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adminliveunc-my.sharepoint.com/personal/dgorelic_ad_unc_edu/Documents/UNC/Research/IM3/CAP/Data/"/>
    </mc:Choice>
  </mc:AlternateContent>
  <xr:revisionPtr revIDLastSave="25" documentId="13_ncr:1_{6419CB53-5AFA-40ED-ACF2-9A43855C6221}" xr6:coauthVersionLast="47" xr6:coauthVersionMax="47" xr10:uidLastSave="{A0BE324B-B8CD-4BD4-8D4F-F273C5D48CF7}"/>
  <bookViews>
    <workbookView xWindow="-108" yWindow="-108" windowWidth="23256" windowHeight="12576" activeTab="1" xr2:uid="{A42CE315-BE27-4EFA-905E-F6FF892B1208}"/>
  </bookViews>
  <sheets>
    <sheet name="2021 T0" sheetId="15" r:id="rId1"/>
    <sheet name="2020 T0" sheetId="14" r:id="rId2"/>
    <sheet name="2019" sheetId="13" r:id="rId3"/>
    <sheet name="2018" sheetId="12" r:id="rId4"/>
    <sheet name="2017" sheetId="11" r:id="rId5"/>
    <sheet name="2016" sheetId="6" r:id="rId6"/>
    <sheet name="2015" sheetId="7" r:id="rId7"/>
    <sheet name="2014" sheetId="8" r:id="rId8"/>
    <sheet name="2013" sheetId="9" r:id="rId9"/>
    <sheet name="2012" sheetId="10" r:id="rId10"/>
    <sheet name="2011" sheetId="5" r:id="rId11"/>
    <sheet name="2010" sheetId="4" r:id="rId12"/>
    <sheet name="2009" sheetId="3" r:id="rId13"/>
    <sheet name="2008" sheetId="2" r:id="rId14"/>
  </sheets>
  <externalReferences>
    <externalReference r:id="rId15"/>
  </externalReferences>
  <definedNames>
    <definedName name="_xlnm._FilterDatabase" localSheetId="10" hidden="1">'2011'!$A$1:$A$948</definedName>
    <definedName name="_xlnm._FilterDatabase" localSheetId="9" hidden="1">'2012'!$A$21:$AJ$989</definedName>
    <definedName name="_xlnm._FilterDatabase" localSheetId="8" hidden="1">'2013'!$A$31:$R$1028</definedName>
    <definedName name="_xlnm._FilterDatabase" localSheetId="7" hidden="1">'2014'!$A$31:$R$798</definedName>
    <definedName name="_xlnm._FilterDatabase" localSheetId="6" hidden="1">'2015'!$A$31:$R$821</definedName>
    <definedName name="_xlnm._FilterDatabase" localSheetId="5" hidden="1">'2016'!$A$31:$R$839</definedName>
    <definedName name="_xlnm._FilterDatabase" localSheetId="4" hidden="1">'2017'!$A$31:$R$873</definedName>
    <definedName name="_xlnm._FilterDatabase" localSheetId="3" hidden="1">'2018'!$A$31:$R$899</definedName>
    <definedName name="_xlnm._FilterDatabase" localSheetId="2" hidden="1">'2019'!$A$31:$R$911</definedName>
    <definedName name="_xlnm._FilterDatabase" localSheetId="1" hidden="1">'2020 T0'!$A$31:$R$965</definedName>
    <definedName name="_xlnm._FilterDatabase" localSheetId="0" hidden="1">'2021 T0'!$A$31:$R$964</definedName>
    <definedName name="_xlnm.Print_Area" localSheetId="13">'2008'!$A$1:$R$745</definedName>
    <definedName name="_xlnm.Print_Area" localSheetId="12">'2009'!$A$1:$R$728</definedName>
    <definedName name="_xlnm.Print_Area" localSheetId="11">'2010'!$A$1:$R$726</definedName>
    <definedName name="_xlnm.Print_Area" localSheetId="10">'2011'!$A$1:$R$748</definedName>
    <definedName name="_xlnm.Print_Area" localSheetId="9">'2012'!$A$1:$R$760</definedName>
    <definedName name="_xlnm.Print_Area" localSheetId="8">'2013'!$A$1:$R$788</definedName>
    <definedName name="_xlnm.Print_Area" localSheetId="7">'2014'!$A$1:$R$797</definedName>
    <definedName name="_xlnm.Print_Area" localSheetId="6">'2015'!$A$1:$R$820</definedName>
    <definedName name="_xlnm.Print_Area" localSheetId="5">'2016'!$A$1:$R$838</definedName>
    <definedName name="_xlnm.Print_Area" localSheetId="4">'2017'!$A$1:$R$872</definedName>
    <definedName name="_xlnm.Print_Area" localSheetId="3">'2018'!$A$1:$R$898</definedName>
    <definedName name="_xlnm.Print_Area" localSheetId="2">'2019'!$A$1:$R$910</definedName>
    <definedName name="_xlnm.Print_Area" localSheetId="1">'2020 T0'!$A$1:$R$954</definedName>
    <definedName name="_xlnm.Print_Area" localSheetId="0">'2021 T0'!$A$1:$R$953</definedName>
    <definedName name="solver_adj" localSheetId="8" hidden="1">'2013'!$N$265</definedName>
    <definedName name="solver_adj" localSheetId="7" hidden="1">'2014'!$N$270</definedName>
    <definedName name="solver_adj" localSheetId="6" hidden="1">'2015'!$N$280</definedName>
    <definedName name="solver_adj" localSheetId="5" hidden="1">'2016'!$N$288</definedName>
    <definedName name="solver_adj" localSheetId="4" hidden="1">'2017'!$N$304</definedName>
    <definedName name="solver_adj" localSheetId="3" hidden="1">'2018'!$N$310</definedName>
    <definedName name="solver_adj" localSheetId="2" hidden="1">'2019'!$N$313</definedName>
    <definedName name="solver_adj" localSheetId="1" hidden="1">'2020 T0'!$N$325</definedName>
    <definedName name="solver_adj" localSheetId="0" hidden="1">'2021 T0'!$N$320</definedName>
    <definedName name="solver_cvg" localSheetId="8" hidden="1">0.0001</definedName>
    <definedName name="solver_cvg" localSheetId="7" hidden="1">0.0001</definedName>
    <definedName name="solver_cvg" localSheetId="6" hidden="1">0.0001</definedName>
    <definedName name="solver_cvg" localSheetId="5" hidden="1">0.0001</definedName>
    <definedName name="solver_cvg" localSheetId="4" hidden="1">0.0001</definedName>
    <definedName name="solver_cvg" localSheetId="3" hidden="1">0.0001</definedName>
    <definedName name="solver_cvg" localSheetId="2" hidden="1">0.0001</definedName>
    <definedName name="solver_cvg" localSheetId="1" hidden="1">0.0001</definedName>
    <definedName name="solver_cvg" localSheetId="0" hidden="1">0.0001</definedName>
    <definedName name="solver_drv" localSheetId="8" hidden="1">1</definedName>
    <definedName name="solver_drv" localSheetId="7" hidden="1">1</definedName>
    <definedName name="solver_drv" localSheetId="6" hidden="1">1</definedName>
    <definedName name="solver_drv" localSheetId="5" hidden="1">1</definedName>
    <definedName name="solver_drv" localSheetId="4" hidden="1">1</definedName>
    <definedName name="solver_drv" localSheetId="3" hidden="1">1</definedName>
    <definedName name="solver_drv" localSheetId="2" hidden="1">1</definedName>
    <definedName name="solver_drv" localSheetId="1" hidden="1">1</definedName>
    <definedName name="solver_drv" localSheetId="0" hidden="1">1</definedName>
    <definedName name="solver_eng" localSheetId="8" hidden="1">1</definedName>
    <definedName name="solver_eng" localSheetId="7" hidden="1">1</definedName>
    <definedName name="solver_eng" localSheetId="6" hidden="1">1</definedName>
    <definedName name="solver_eng" localSheetId="5" hidden="1">1</definedName>
    <definedName name="solver_eng" localSheetId="4" hidden="1">1</definedName>
    <definedName name="solver_eng" localSheetId="3" hidden="1">1</definedName>
    <definedName name="solver_eng" localSheetId="2" hidden="1">1</definedName>
    <definedName name="solver_eng" localSheetId="1" hidden="1">1</definedName>
    <definedName name="solver_eng" localSheetId="0" hidden="1">1</definedName>
    <definedName name="solver_est" localSheetId="8" hidden="1">1</definedName>
    <definedName name="solver_est" localSheetId="7" hidden="1">1</definedName>
    <definedName name="solver_est" localSheetId="6" hidden="1">1</definedName>
    <definedName name="solver_est" localSheetId="5" hidden="1">1</definedName>
    <definedName name="solver_est" localSheetId="4" hidden="1">1</definedName>
    <definedName name="solver_est" localSheetId="3" hidden="1">1</definedName>
    <definedName name="solver_est" localSheetId="2" hidden="1">1</definedName>
    <definedName name="solver_est" localSheetId="1" hidden="1">1</definedName>
    <definedName name="solver_est" localSheetId="0" hidden="1">1</definedName>
    <definedName name="solver_itr" localSheetId="8" hidden="1">2147483647</definedName>
    <definedName name="solver_itr" localSheetId="7" hidden="1">2147483647</definedName>
    <definedName name="solver_itr" localSheetId="6" hidden="1">2147483647</definedName>
    <definedName name="solver_itr" localSheetId="5" hidden="1">2147483647</definedName>
    <definedName name="solver_itr" localSheetId="4" hidden="1">2147483647</definedName>
    <definedName name="solver_itr" localSheetId="3" hidden="1">2147483647</definedName>
    <definedName name="solver_itr" localSheetId="2" hidden="1">2147483647</definedName>
    <definedName name="solver_itr" localSheetId="1" hidden="1">2147483647</definedName>
    <definedName name="solver_itr" localSheetId="0" hidden="1">2147483647</definedName>
    <definedName name="solver_lhs1" localSheetId="8" hidden="1">'2013'!$B$30</definedName>
    <definedName name="solver_lhs1" localSheetId="7" hidden="1">'2014'!$B$30</definedName>
    <definedName name="solver_lhs1" localSheetId="6" hidden="1">'2015'!$B$30</definedName>
    <definedName name="solver_lhs1" localSheetId="5" hidden="1">'2016'!$B$30</definedName>
    <definedName name="solver_lhs1" localSheetId="4" hidden="1">'2017'!$B$30</definedName>
    <definedName name="solver_lhs1" localSheetId="3" hidden="1">'2018'!$B$30</definedName>
    <definedName name="solver_lhs1" localSheetId="2" hidden="1">'2019'!$B$30</definedName>
    <definedName name="solver_lhs1" localSheetId="1" hidden="1">'2020 T0'!$B$30</definedName>
    <definedName name="solver_lhs1" localSheetId="0" hidden="1">'2021 T0'!$B$30</definedName>
    <definedName name="solver_lin" localSheetId="8" hidden="1">2</definedName>
    <definedName name="solver_lin" localSheetId="7" hidden="1">2</definedName>
    <definedName name="solver_lin" localSheetId="6" hidden="1">2</definedName>
    <definedName name="solver_lin" localSheetId="5" hidden="1">2</definedName>
    <definedName name="solver_lin" localSheetId="4" hidden="1">2</definedName>
    <definedName name="solver_lin" localSheetId="3" hidden="1">2</definedName>
    <definedName name="solver_lin" localSheetId="2" hidden="1">2</definedName>
    <definedName name="solver_lin" localSheetId="1" hidden="1">2</definedName>
    <definedName name="solver_lin" localSheetId="0" hidden="1">2</definedName>
    <definedName name="solver_mip" localSheetId="8" hidden="1">2147483647</definedName>
    <definedName name="solver_mip" localSheetId="7" hidden="1">2147483647</definedName>
    <definedName name="solver_mip" localSheetId="6" hidden="1">2147483647</definedName>
    <definedName name="solver_mip" localSheetId="5" hidden="1">2147483647</definedName>
    <definedName name="solver_mip" localSheetId="4" hidden="1">2147483647</definedName>
    <definedName name="solver_mip" localSheetId="3" hidden="1">2147483647</definedName>
    <definedName name="solver_mip" localSheetId="2" hidden="1">2147483647</definedName>
    <definedName name="solver_mip" localSheetId="1" hidden="1">2147483647</definedName>
    <definedName name="solver_mip" localSheetId="0" hidden="1">2147483647</definedName>
    <definedName name="solver_mni" localSheetId="8" hidden="1">30</definedName>
    <definedName name="solver_mni" localSheetId="7" hidden="1">30</definedName>
    <definedName name="solver_mni" localSheetId="6" hidden="1">30</definedName>
    <definedName name="solver_mni" localSheetId="5" hidden="1">30</definedName>
    <definedName name="solver_mni" localSheetId="4" hidden="1">30</definedName>
    <definedName name="solver_mni" localSheetId="3" hidden="1">30</definedName>
    <definedName name="solver_mni" localSheetId="2" hidden="1">30</definedName>
    <definedName name="solver_mni" localSheetId="1" hidden="1">30</definedName>
    <definedName name="solver_mni" localSheetId="0" hidden="1">30</definedName>
    <definedName name="solver_mrt" localSheetId="8" hidden="1">0.075</definedName>
    <definedName name="solver_mrt" localSheetId="7" hidden="1">0.075</definedName>
    <definedName name="solver_mrt" localSheetId="6" hidden="1">0.075</definedName>
    <definedName name="solver_mrt" localSheetId="5" hidden="1">0.075</definedName>
    <definedName name="solver_mrt" localSheetId="4" hidden="1">0.075</definedName>
    <definedName name="solver_mrt" localSheetId="3" hidden="1">0.075</definedName>
    <definedName name="solver_mrt" localSheetId="2" hidden="1">0.075</definedName>
    <definedName name="solver_mrt" localSheetId="1" hidden="1">0.075</definedName>
    <definedName name="solver_mrt" localSheetId="0" hidden="1">0.075</definedName>
    <definedName name="solver_msl" localSheetId="8" hidden="1">2</definedName>
    <definedName name="solver_msl" localSheetId="7" hidden="1">2</definedName>
    <definedName name="solver_msl" localSheetId="6" hidden="1">2</definedName>
    <definedName name="solver_msl" localSheetId="5" hidden="1">2</definedName>
    <definedName name="solver_msl" localSheetId="4" hidden="1">2</definedName>
    <definedName name="solver_msl" localSheetId="3" hidden="1">2</definedName>
    <definedName name="solver_msl" localSheetId="2" hidden="1">2</definedName>
    <definedName name="solver_msl" localSheetId="1" hidden="1">2</definedName>
    <definedName name="solver_msl" localSheetId="0" hidden="1">2</definedName>
    <definedName name="solver_neg" localSheetId="8" hidden="1">1</definedName>
    <definedName name="solver_neg" localSheetId="7" hidden="1">1</definedName>
    <definedName name="solver_neg" localSheetId="6" hidden="1">1</definedName>
    <definedName name="solver_neg" localSheetId="5" hidden="1">1</definedName>
    <definedName name="solver_neg" localSheetId="4" hidden="1">1</definedName>
    <definedName name="solver_neg" localSheetId="3" hidden="1">1</definedName>
    <definedName name="solver_neg" localSheetId="2" hidden="1">1</definedName>
    <definedName name="solver_neg" localSheetId="1" hidden="1">1</definedName>
    <definedName name="solver_neg" localSheetId="0" hidden="1">1</definedName>
    <definedName name="solver_nod" localSheetId="8" hidden="1">2147483647</definedName>
    <definedName name="solver_nod" localSheetId="7" hidden="1">2147483647</definedName>
    <definedName name="solver_nod" localSheetId="6" hidden="1">2147483647</definedName>
    <definedName name="solver_nod" localSheetId="5" hidden="1">2147483647</definedName>
    <definedName name="solver_nod" localSheetId="4" hidden="1">2147483647</definedName>
    <definedName name="solver_nod" localSheetId="3" hidden="1">2147483647</definedName>
    <definedName name="solver_nod" localSheetId="2" hidden="1">2147483647</definedName>
    <definedName name="solver_nod" localSheetId="1" hidden="1">2147483647</definedName>
    <definedName name="solver_nod" localSheetId="0" hidden="1">2147483647</definedName>
    <definedName name="solver_num" localSheetId="8" hidden="1">0</definedName>
    <definedName name="solver_num" localSheetId="7" hidden="1">0</definedName>
    <definedName name="solver_num" localSheetId="6" hidden="1">0</definedName>
    <definedName name="solver_num" localSheetId="5" hidden="1">0</definedName>
    <definedName name="solver_num" localSheetId="4" hidden="1">0</definedName>
    <definedName name="solver_num" localSheetId="3" hidden="1">0</definedName>
    <definedName name="solver_num" localSheetId="2" hidden="1">0</definedName>
    <definedName name="solver_num" localSheetId="1" hidden="1">0</definedName>
    <definedName name="solver_num" localSheetId="0" hidden="1">0</definedName>
    <definedName name="solver_nwt" localSheetId="8" hidden="1">1</definedName>
    <definedName name="solver_nwt" localSheetId="7" hidden="1">1</definedName>
    <definedName name="solver_nwt" localSheetId="6" hidden="1">1</definedName>
    <definedName name="solver_nwt" localSheetId="5" hidden="1">1</definedName>
    <definedName name="solver_nwt" localSheetId="4" hidden="1">1</definedName>
    <definedName name="solver_nwt" localSheetId="3" hidden="1">1</definedName>
    <definedName name="solver_nwt" localSheetId="2" hidden="1">1</definedName>
    <definedName name="solver_nwt" localSheetId="1" hidden="1">1</definedName>
    <definedName name="solver_nwt" localSheetId="0" hidden="1">1</definedName>
    <definedName name="solver_opt" localSheetId="8" hidden="1">'2013'!$O$974</definedName>
    <definedName name="solver_opt" localSheetId="7" hidden="1">'2014'!$R$983</definedName>
    <definedName name="solver_opt" localSheetId="6" hidden="1">'2015'!$R$1006</definedName>
    <definedName name="solver_opt" localSheetId="5" hidden="1">'2016'!$R$1024</definedName>
    <definedName name="solver_opt" localSheetId="4" hidden="1">'2017'!$R$1058</definedName>
    <definedName name="solver_opt" localSheetId="3" hidden="1">'2018'!$R$1084</definedName>
    <definedName name="solver_opt" localSheetId="2" hidden="1">'2019'!$R$1096</definedName>
    <definedName name="solver_opt" localSheetId="1" hidden="1">'2020 T0'!$R$1140</definedName>
    <definedName name="solver_opt" localSheetId="0" hidden="1">'2021 T0'!#REF!</definedName>
    <definedName name="solver_pre" localSheetId="8" hidden="1">0.000001</definedName>
    <definedName name="solver_pre" localSheetId="7" hidden="1">0.000001</definedName>
    <definedName name="solver_pre" localSheetId="6" hidden="1">0.000001</definedName>
    <definedName name="solver_pre" localSheetId="5" hidden="1">0.000001</definedName>
    <definedName name="solver_pre" localSheetId="4" hidden="1">0.000001</definedName>
    <definedName name="solver_pre" localSheetId="3" hidden="1">0.000001</definedName>
    <definedName name="solver_pre" localSheetId="2" hidden="1">0.000001</definedName>
    <definedName name="solver_pre" localSheetId="1" hidden="1">0.000001</definedName>
    <definedName name="solver_pre" localSheetId="0" hidden="1">0.000001</definedName>
    <definedName name="solver_rbv" localSheetId="8" hidden="1">1</definedName>
    <definedName name="solver_rbv" localSheetId="7" hidden="1">1</definedName>
    <definedName name="solver_rbv" localSheetId="6" hidden="1">1</definedName>
    <definedName name="solver_rbv" localSheetId="5" hidden="1">1</definedName>
    <definedName name="solver_rbv" localSheetId="4" hidden="1">1</definedName>
    <definedName name="solver_rbv" localSheetId="3" hidden="1">1</definedName>
    <definedName name="solver_rbv" localSheetId="2" hidden="1">1</definedName>
    <definedName name="solver_rbv" localSheetId="1" hidden="1">1</definedName>
    <definedName name="solver_rbv" localSheetId="0" hidden="1">1</definedName>
    <definedName name="solver_rel1" localSheetId="8" hidden="1">1</definedName>
    <definedName name="solver_rel1" localSheetId="7" hidden="1">1</definedName>
    <definedName name="solver_rel1" localSheetId="6" hidden="1">1</definedName>
    <definedName name="solver_rel1" localSheetId="5" hidden="1">1</definedName>
    <definedName name="solver_rel1" localSheetId="4" hidden="1">1</definedName>
    <definedName name="solver_rel1" localSheetId="3" hidden="1">1</definedName>
    <definedName name="solver_rel1" localSheetId="2" hidden="1">1</definedName>
    <definedName name="solver_rel1" localSheetId="1" hidden="1">1</definedName>
    <definedName name="solver_rel1" localSheetId="0" hidden="1">1</definedName>
    <definedName name="solver_rhs1" localSheetId="8" hidden="1">1400</definedName>
    <definedName name="solver_rhs1" localSheetId="7" hidden="1">1400</definedName>
    <definedName name="solver_rhs1" localSheetId="6" hidden="1">1400</definedName>
    <definedName name="solver_rhs1" localSheetId="5" hidden="1">1400</definedName>
    <definedName name="solver_rhs1" localSheetId="4" hidden="1">1400</definedName>
    <definedName name="solver_rhs1" localSheetId="3" hidden="1">1400</definedName>
    <definedName name="solver_rhs1" localSheetId="2" hidden="1">1400</definedName>
    <definedName name="solver_rhs1" localSheetId="1" hidden="1">1400</definedName>
    <definedName name="solver_rhs1" localSheetId="0" hidden="1">1400</definedName>
    <definedName name="solver_rlx" localSheetId="8" hidden="1">2</definedName>
    <definedName name="solver_rlx" localSheetId="7" hidden="1">2</definedName>
    <definedName name="solver_rlx" localSheetId="6" hidden="1">2</definedName>
    <definedName name="solver_rlx" localSheetId="5" hidden="1">2</definedName>
    <definedName name="solver_rlx" localSheetId="4" hidden="1">2</definedName>
    <definedName name="solver_rlx" localSheetId="3" hidden="1">2</definedName>
    <definedName name="solver_rlx" localSheetId="2" hidden="1">2</definedName>
    <definedName name="solver_rlx" localSheetId="1" hidden="1">2</definedName>
    <definedName name="solver_rlx" localSheetId="0" hidden="1">2</definedName>
    <definedName name="solver_rsd" localSheetId="8" hidden="1">0</definedName>
    <definedName name="solver_rsd" localSheetId="7" hidden="1">0</definedName>
    <definedName name="solver_rsd" localSheetId="6" hidden="1">0</definedName>
    <definedName name="solver_rsd" localSheetId="5" hidden="1">0</definedName>
    <definedName name="solver_rsd" localSheetId="4" hidden="1">0</definedName>
    <definedName name="solver_rsd" localSheetId="3" hidden="1">0</definedName>
    <definedName name="solver_rsd" localSheetId="2" hidden="1">0</definedName>
    <definedName name="solver_rsd" localSheetId="1" hidden="1">0</definedName>
    <definedName name="solver_rsd" localSheetId="0" hidden="1">0</definedName>
    <definedName name="solver_scl" localSheetId="8" hidden="1">1</definedName>
    <definedName name="solver_scl" localSheetId="7" hidden="1">1</definedName>
    <definedName name="solver_scl" localSheetId="6" hidden="1">1</definedName>
    <definedName name="solver_scl" localSheetId="5" hidden="1">1</definedName>
    <definedName name="solver_scl" localSheetId="4" hidden="1">1</definedName>
    <definedName name="solver_scl" localSheetId="3" hidden="1">1</definedName>
    <definedName name="solver_scl" localSheetId="2" hidden="1">1</definedName>
    <definedName name="solver_scl" localSheetId="1" hidden="1">1</definedName>
    <definedName name="solver_scl" localSheetId="0" hidden="1">1</definedName>
    <definedName name="solver_sho" localSheetId="8" hidden="1">2</definedName>
    <definedName name="solver_sho" localSheetId="7" hidden="1">2</definedName>
    <definedName name="solver_sho" localSheetId="6" hidden="1">2</definedName>
    <definedName name="solver_sho" localSheetId="5" hidden="1">2</definedName>
    <definedName name="solver_sho" localSheetId="4" hidden="1">2</definedName>
    <definedName name="solver_sho" localSheetId="3" hidden="1">2</definedName>
    <definedName name="solver_sho" localSheetId="2" hidden="1">2</definedName>
    <definedName name="solver_sho" localSheetId="1" hidden="1">2</definedName>
    <definedName name="solver_sho" localSheetId="0" hidden="1">2</definedName>
    <definedName name="solver_ssz" localSheetId="8" hidden="1">100</definedName>
    <definedName name="solver_ssz" localSheetId="7" hidden="1">100</definedName>
    <definedName name="solver_ssz" localSheetId="6" hidden="1">100</definedName>
    <definedName name="solver_ssz" localSheetId="5" hidden="1">100</definedName>
    <definedName name="solver_ssz" localSheetId="4" hidden="1">100</definedName>
    <definedName name="solver_ssz" localSheetId="3" hidden="1">100</definedName>
    <definedName name="solver_ssz" localSheetId="2" hidden="1">100</definedName>
    <definedName name="solver_ssz" localSheetId="1" hidden="1">100</definedName>
    <definedName name="solver_ssz" localSheetId="0" hidden="1">100</definedName>
    <definedName name="solver_tim" localSheetId="8" hidden="1">2147483647</definedName>
    <definedName name="solver_tim" localSheetId="7" hidden="1">2147483647</definedName>
    <definedName name="solver_tim" localSheetId="6" hidden="1">2147483647</definedName>
    <definedName name="solver_tim" localSheetId="5" hidden="1">2147483647</definedName>
    <definedName name="solver_tim" localSheetId="4" hidden="1">2147483647</definedName>
    <definedName name="solver_tim" localSheetId="3" hidden="1">2147483647</definedName>
    <definedName name="solver_tim" localSheetId="2" hidden="1">2147483647</definedName>
    <definedName name="solver_tim" localSheetId="1" hidden="1">2147483647</definedName>
    <definedName name="solver_tim" localSheetId="0" hidden="1">2147483647</definedName>
    <definedName name="solver_tol" localSheetId="8" hidden="1">0.01</definedName>
    <definedName name="solver_tol" localSheetId="7" hidden="1">0.01</definedName>
    <definedName name="solver_tol" localSheetId="6" hidden="1">0.01</definedName>
    <definedName name="solver_tol" localSheetId="5" hidden="1">0.01</definedName>
    <definedName name="solver_tol" localSheetId="4" hidden="1">0.01</definedName>
    <definedName name="solver_tol" localSheetId="3" hidden="1">0.01</definedName>
    <definedName name="solver_tol" localSheetId="2" hidden="1">0.01</definedName>
    <definedName name="solver_tol" localSheetId="1" hidden="1">0.01</definedName>
    <definedName name="solver_tol" localSheetId="0" hidden="1">0.01</definedName>
    <definedName name="solver_typ" localSheetId="8" hidden="1">3</definedName>
    <definedName name="solver_typ" localSheetId="7" hidden="1">3</definedName>
    <definedName name="solver_typ" localSheetId="6" hidden="1">3</definedName>
    <definedName name="solver_typ" localSheetId="5" hidden="1">3</definedName>
    <definedName name="solver_typ" localSheetId="4" hidden="1">3</definedName>
    <definedName name="solver_typ" localSheetId="3" hidden="1">3</definedName>
    <definedName name="solver_typ" localSheetId="2" hidden="1">3</definedName>
    <definedName name="solver_typ" localSheetId="1" hidden="1">3</definedName>
    <definedName name="solver_typ" localSheetId="0" hidden="1">3</definedName>
    <definedName name="solver_val" localSheetId="8" hidden="1">0</definedName>
    <definedName name="solver_val" localSheetId="7" hidden="1">0</definedName>
    <definedName name="solver_val" localSheetId="6" hidden="1">0</definedName>
    <definedName name="solver_val" localSheetId="5" hidden="1">0</definedName>
    <definedName name="solver_val" localSheetId="4" hidden="1">0</definedName>
    <definedName name="solver_val" localSheetId="3" hidden="1">0</definedName>
    <definedName name="solver_val" localSheetId="2" hidden="1">0</definedName>
    <definedName name="solver_val" localSheetId="1" hidden="1">0</definedName>
    <definedName name="solver_val" localSheetId="0" hidden="1">0</definedName>
    <definedName name="solver_ver" localSheetId="8" hidden="1">3</definedName>
    <definedName name="solver_ver" localSheetId="7" hidden="1">3</definedName>
    <definedName name="solver_ver" localSheetId="6" hidden="1">3</definedName>
    <definedName name="solver_ver" localSheetId="5" hidden="1">3</definedName>
    <definedName name="solver_ver" localSheetId="4" hidden="1">3</definedName>
    <definedName name="solver_ver" localSheetId="3" hidden="1">3</definedName>
    <definedName name="solver_ver" localSheetId="2" hidden="1">3</definedName>
    <definedName name="solver_ver" localSheetId="1" hidden="1">3</definedName>
    <definedName name="solver_ver" localSheetId="0"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980" i="14" l="1"/>
  <c r="B1039" i="14"/>
  <c r="R376" i="14"/>
  <c r="Q921" i="10"/>
  <c r="S936" i="6"/>
  <c r="R936" i="6"/>
  <c r="AJ844" i="6"/>
  <c r="AH842" i="6"/>
  <c r="Q909" i="10"/>
  <c r="P908" i="10"/>
  <c r="P914" i="9"/>
  <c r="P887" i="9"/>
  <c r="F1169" i="14"/>
  <c r="S852" i="3"/>
  <c r="S857" i="3"/>
  <c r="AN905" i="13"/>
  <c r="AF906" i="13"/>
  <c r="AD914" i="13"/>
  <c r="AE914" i="13"/>
  <c r="AF914" i="13" s="1"/>
  <c r="AG914" i="13"/>
  <c r="AI914" i="13"/>
  <c r="AI927" i="13" s="1"/>
  <c r="AK914" i="13"/>
  <c r="AN914" i="13"/>
  <c r="AO914" i="13"/>
  <c r="AP914" i="13"/>
  <c r="AD915" i="13"/>
  <c r="AE915" i="13"/>
  <c r="AF915" i="13" s="1"/>
  <c r="AH915" i="13" s="1"/>
  <c r="AJ915" i="13" s="1"/>
  <c r="AL915" i="13" s="1"/>
  <c r="AG915" i="13"/>
  <c r="AG927" i="13" s="1"/>
  <c r="AI915" i="13"/>
  <c r="AK915" i="13"/>
  <c r="AK927" i="13" s="1"/>
  <c r="AN915" i="13"/>
  <c r="AO915" i="13"/>
  <c r="AP915" i="13"/>
  <c r="AD916" i="13"/>
  <c r="AE916" i="13"/>
  <c r="AF916" i="13" s="1"/>
  <c r="AH916" i="13" s="1"/>
  <c r="AJ916" i="13" s="1"/>
  <c r="AL916" i="13" s="1"/>
  <c r="AG916" i="13"/>
  <c r="AI916" i="13"/>
  <c r="AK916" i="13"/>
  <c r="AN916" i="13"/>
  <c r="AO916" i="13"/>
  <c r="AP916" i="13"/>
  <c r="AD917" i="13"/>
  <c r="AE917" i="13"/>
  <c r="AF917" i="13" s="1"/>
  <c r="AH917" i="13" s="1"/>
  <c r="AJ917" i="13" s="1"/>
  <c r="AL917" i="13" s="1"/>
  <c r="AG917" i="13"/>
  <c r="AI917" i="13"/>
  <c r="AK917" i="13"/>
  <c r="AN917" i="13"/>
  <c r="AO917" i="13"/>
  <c r="AP917" i="13"/>
  <c r="AD918" i="13"/>
  <c r="AE918" i="13"/>
  <c r="AF918" i="13" s="1"/>
  <c r="AH918" i="13" s="1"/>
  <c r="AJ918" i="13" s="1"/>
  <c r="AL918" i="13" s="1"/>
  <c r="AG918" i="13"/>
  <c r="AI918" i="13"/>
  <c r="AK918" i="13"/>
  <c r="AN918" i="13"/>
  <c r="AO918" i="13"/>
  <c r="AP918" i="13"/>
  <c r="AD919" i="13"/>
  <c r="AE919" i="13"/>
  <c r="AF919" i="13" s="1"/>
  <c r="AH919" i="13" s="1"/>
  <c r="AJ919" i="13" s="1"/>
  <c r="AL919" i="13" s="1"/>
  <c r="AG919" i="13"/>
  <c r="AI919" i="13"/>
  <c r="AK919" i="13"/>
  <c r="AN919" i="13"/>
  <c r="AO919" i="13"/>
  <c r="AP919" i="13"/>
  <c r="AD920" i="13"/>
  <c r="AE920" i="13"/>
  <c r="AF920" i="13" s="1"/>
  <c r="AH920" i="13" s="1"/>
  <c r="AJ920" i="13" s="1"/>
  <c r="AL920" i="13" s="1"/>
  <c r="AG920" i="13"/>
  <c r="AI920" i="13"/>
  <c r="AK920" i="13"/>
  <c r="AN920" i="13"/>
  <c r="AO920" i="13"/>
  <c r="AP920" i="13"/>
  <c r="AD921" i="13"/>
  <c r="AE921" i="13"/>
  <c r="AF921" i="13" s="1"/>
  <c r="AH921" i="13" s="1"/>
  <c r="AJ921" i="13" s="1"/>
  <c r="AL921" i="13" s="1"/>
  <c r="AG921" i="13"/>
  <c r="AI921" i="13"/>
  <c r="AK921" i="13"/>
  <c r="AN921" i="13"/>
  <c r="AO921" i="13"/>
  <c r="AP921" i="13"/>
  <c r="AD922" i="13"/>
  <c r="AE922" i="13"/>
  <c r="AF922" i="13" s="1"/>
  <c r="AH922" i="13" s="1"/>
  <c r="AJ922" i="13" s="1"/>
  <c r="AL922" i="13" s="1"/>
  <c r="AG922" i="13"/>
  <c r="AI922" i="13"/>
  <c r="AN922" i="13"/>
  <c r="AO922" i="13"/>
  <c r="AP922" i="13"/>
  <c r="AD923" i="13"/>
  <c r="AD927" i="13" s="1"/>
  <c r="AE923" i="13"/>
  <c r="AF923" i="13"/>
  <c r="AH923" i="13" s="1"/>
  <c r="AJ923" i="13" s="1"/>
  <c r="AL923" i="13" s="1"/>
  <c r="AG923" i="13"/>
  <c r="AI923" i="13"/>
  <c r="AN923" i="13"/>
  <c r="AP923" i="13"/>
  <c r="AD924" i="13"/>
  <c r="AE924" i="13"/>
  <c r="AF924" i="13" s="1"/>
  <c r="AH924" i="13" s="1"/>
  <c r="AJ924" i="13" s="1"/>
  <c r="AL924" i="13" s="1"/>
  <c r="AG924" i="13"/>
  <c r="AI924" i="13"/>
  <c r="AK924" i="13"/>
  <c r="AN924" i="13"/>
  <c r="AO924" i="13"/>
  <c r="AP924" i="13"/>
  <c r="AD925" i="13"/>
  <c r="AE925" i="13"/>
  <c r="AF925" i="13" s="1"/>
  <c r="AH925" i="13" s="1"/>
  <c r="AJ925" i="13" s="1"/>
  <c r="AL925" i="13" s="1"/>
  <c r="AG925" i="13"/>
  <c r="AI925" i="13"/>
  <c r="AK925" i="13"/>
  <c r="AN925" i="13"/>
  <c r="AO925" i="13"/>
  <c r="AP925" i="13"/>
  <c r="B30" i="5"/>
  <c r="F1019" i="15"/>
  <c r="G1018" i="15"/>
  <c r="B1003" i="15"/>
  <c r="B1000" i="15"/>
  <c r="Q999" i="15"/>
  <c r="B977" i="15"/>
  <c r="B974" i="15"/>
  <c r="Q973" i="15"/>
  <c r="U964" i="15"/>
  <c r="G964" i="15"/>
  <c r="G1021" i="15" s="1"/>
  <c r="F964" i="15"/>
  <c r="F1021" i="15" s="1"/>
  <c r="U963" i="15"/>
  <c r="G963" i="15"/>
  <c r="F963" i="15"/>
  <c r="F1020" i="15" s="1"/>
  <c r="U962" i="15"/>
  <c r="G962" i="15"/>
  <c r="F962" i="15"/>
  <c r="U961" i="15"/>
  <c r="G961" i="15"/>
  <c r="F961" i="15"/>
  <c r="F1018" i="15" s="1"/>
  <c r="U960" i="15"/>
  <c r="G960" i="15"/>
  <c r="F960" i="15"/>
  <c r="F1017" i="15" s="1"/>
  <c r="U959" i="15"/>
  <c r="G959" i="15"/>
  <c r="G1016" i="15" s="1"/>
  <c r="F959" i="15"/>
  <c r="F1016" i="15" s="1"/>
  <c r="U958" i="15"/>
  <c r="G958" i="15"/>
  <c r="G1015" i="15" s="1"/>
  <c r="F958" i="15"/>
  <c r="U957" i="15"/>
  <c r="G957" i="15"/>
  <c r="F957" i="15"/>
  <c r="U956" i="15"/>
  <c r="G956" i="15"/>
  <c r="G1013" i="15" s="1"/>
  <c r="F956" i="15"/>
  <c r="F1013" i="15" s="1"/>
  <c r="U955" i="15"/>
  <c r="G955" i="15"/>
  <c r="F955" i="15"/>
  <c r="F1012" i="15" s="1"/>
  <c r="U954" i="15"/>
  <c r="F1011" i="15" s="1"/>
  <c r="G954" i="15"/>
  <c r="F954" i="15"/>
  <c r="U953" i="15"/>
  <c r="G953" i="15"/>
  <c r="G1010" i="15" s="1"/>
  <c r="F953" i="15"/>
  <c r="B948" i="15"/>
  <c r="B945" i="15"/>
  <c r="Q944" i="15"/>
  <c r="A926" i="15"/>
  <c r="A924" i="15"/>
  <c r="Q920" i="15"/>
  <c r="F916" i="15"/>
  <c r="P914" i="15"/>
  <c r="O914" i="15"/>
  <c r="N914" i="15"/>
  <c r="L914" i="15"/>
  <c r="K914" i="15"/>
  <c r="J914" i="15"/>
  <c r="H914" i="15"/>
  <c r="G914" i="15"/>
  <c r="F914" i="15"/>
  <c r="D914" i="15"/>
  <c r="C914" i="15"/>
  <c r="B914" i="15"/>
  <c r="E914" i="15" s="1"/>
  <c r="P913" i="15"/>
  <c r="Q913" i="15" s="1"/>
  <c r="O913" i="15"/>
  <c r="N913" i="15"/>
  <c r="L913" i="15"/>
  <c r="K913" i="15"/>
  <c r="J913" i="15"/>
  <c r="H913" i="15"/>
  <c r="G913" i="15"/>
  <c r="F913" i="15"/>
  <c r="F915" i="15" s="1"/>
  <c r="D913" i="15"/>
  <c r="C913" i="15"/>
  <c r="B913" i="15"/>
  <c r="E913" i="15" s="1"/>
  <c r="Q912" i="15"/>
  <c r="P912" i="15"/>
  <c r="O912" i="15"/>
  <c r="N912" i="15"/>
  <c r="N915" i="15" s="1"/>
  <c r="L912" i="15"/>
  <c r="L915" i="15" s="1"/>
  <c r="K912" i="15"/>
  <c r="J912" i="15"/>
  <c r="H912" i="15"/>
  <c r="I912" i="15" s="1"/>
  <c r="G912" i="15"/>
  <c r="G915" i="15" s="1"/>
  <c r="F912" i="15"/>
  <c r="D912" i="15"/>
  <c r="D915" i="15" s="1"/>
  <c r="C912" i="15"/>
  <c r="C915" i="15" s="1"/>
  <c r="B912" i="15"/>
  <c r="P911" i="15"/>
  <c r="O911" i="15"/>
  <c r="N911" i="15"/>
  <c r="Q911" i="15" s="1"/>
  <c r="L911" i="15"/>
  <c r="K911" i="15"/>
  <c r="J911" i="15"/>
  <c r="M911" i="15" s="1"/>
  <c r="H911" i="15"/>
  <c r="G911" i="15"/>
  <c r="F911" i="15"/>
  <c r="I911" i="15" s="1"/>
  <c r="D911" i="15"/>
  <c r="C911" i="15"/>
  <c r="B911" i="15"/>
  <c r="P910" i="15"/>
  <c r="O910" i="15"/>
  <c r="N910" i="15"/>
  <c r="L910" i="15"/>
  <c r="K910" i="15"/>
  <c r="M910" i="15" s="1"/>
  <c r="J910" i="15"/>
  <c r="H910" i="15"/>
  <c r="G910" i="15"/>
  <c r="F910" i="15"/>
  <c r="I910" i="15" s="1"/>
  <c r="D910" i="15"/>
  <c r="C910" i="15"/>
  <c r="B910" i="15"/>
  <c r="P909" i="15"/>
  <c r="P916" i="15" s="1"/>
  <c r="P938" i="15" s="1"/>
  <c r="O909" i="15"/>
  <c r="N909" i="15"/>
  <c r="L909" i="15"/>
  <c r="K909" i="15"/>
  <c r="K916" i="15" s="1"/>
  <c r="K938" i="15" s="1"/>
  <c r="J909" i="15"/>
  <c r="H909" i="15"/>
  <c r="G909" i="15"/>
  <c r="G916" i="15" s="1"/>
  <c r="G938" i="15" s="1"/>
  <c r="F909" i="15"/>
  <c r="I909" i="15" s="1"/>
  <c r="D909" i="15"/>
  <c r="C909" i="15"/>
  <c r="B909" i="15"/>
  <c r="H905" i="15"/>
  <c r="B905" i="15"/>
  <c r="B903" i="15"/>
  <c r="B934" i="15" s="1"/>
  <c r="P902" i="15"/>
  <c r="O902" i="15"/>
  <c r="N902" i="15"/>
  <c r="Q902" i="15" s="1"/>
  <c r="L902" i="15"/>
  <c r="K902" i="15"/>
  <c r="J902" i="15"/>
  <c r="M902" i="15" s="1"/>
  <c r="I902" i="15"/>
  <c r="H902" i="15"/>
  <c r="G902" i="15"/>
  <c r="F902" i="15"/>
  <c r="D902" i="15"/>
  <c r="C902" i="15"/>
  <c r="B902" i="15"/>
  <c r="P901" i="15"/>
  <c r="O901" i="15"/>
  <c r="N901" i="15"/>
  <c r="L901" i="15"/>
  <c r="K901" i="15"/>
  <c r="J901" i="15"/>
  <c r="H901" i="15"/>
  <c r="F901" i="15"/>
  <c r="D901" i="15"/>
  <c r="C901" i="15"/>
  <c r="B901" i="15"/>
  <c r="P900" i="15"/>
  <c r="O900" i="15"/>
  <c r="N900" i="15"/>
  <c r="N903" i="15" s="1"/>
  <c r="N934" i="15" s="1"/>
  <c r="L900" i="15"/>
  <c r="K900" i="15"/>
  <c r="K903" i="15" s="1"/>
  <c r="K934" i="15" s="1"/>
  <c r="J900" i="15"/>
  <c r="H900" i="15"/>
  <c r="H903" i="15" s="1"/>
  <c r="H934" i="15" s="1"/>
  <c r="G900" i="15"/>
  <c r="F900" i="15"/>
  <c r="F903" i="15" s="1"/>
  <c r="F934" i="15" s="1"/>
  <c r="D900" i="15"/>
  <c r="C900" i="15"/>
  <c r="B900" i="15"/>
  <c r="P897" i="15"/>
  <c r="O897" i="15"/>
  <c r="N897" i="15"/>
  <c r="L897" i="15"/>
  <c r="K897" i="15"/>
  <c r="J897" i="15"/>
  <c r="M897" i="15" s="1"/>
  <c r="H897" i="15"/>
  <c r="G897" i="15"/>
  <c r="F897" i="15"/>
  <c r="D897" i="15"/>
  <c r="C897" i="15"/>
  <c r="B897" i="15"/>
  <c r="P896" i="15"/>
  <c r="Q896" i="15" s="1"/>
  <c r="O896" i="15"/>
  <c r="N896" i="15"/>
  <c r="L896" i="15"/>
  <c r="K896" i="15"/>
  <c r="M896" i="15" s="1"/>
  <c r="J896" i="15"/>
  <c r="H896" i="15"/>
  <c r="G896" i="15"/>
  <c r="F896" i="15"/>
  <c r="D896" i="15"/>
  <c r="C896" i="15"/>
  <c r="B896" i="15"/>
  <c r="Q895" i="15"/>
  <c r="P895" i="15"/>
  <c r="O895" i="15"/>
  <c r="N895" i="15"/>
  <c r="L895" i="15"/>
  <c r="K895" i="15"/>
  <c r="J895" i="15"/>
  <c r="H895" i="15"/>
  <c r="I895" i="15" s="1"/>
  <c r="G895" i="15"/>
  <c r="F895" i="15"/>
  <c r="D895" i="15"/>
  <c r="C895" i="15"/>
  <c r="B895" i="15"/>
  <c r="P894" i="15"/>
  <c r="O894" i="15"/>
  <c r="N894" i="15"/>
  <c r="Q894" i="15" s="1"/>
  <c r="L894" i="15"/>
  <c r="K894" i="15"/>
  <c r="J894" i="15"/>
  <c r="M894" i="15" s="1"/>
  <c r="H894" i="15"/>
  <c r="G894" i="15"/>
  <c r="F894" i="15"/>
  <c r="I894" i="15" s="1"/>
  <c r="D894" i="15"/>
  <c r="C894" i="15"/>
  <c r="B894" i="15"/>
  <c r="P893" i="15"/>
  <c r="O893" i="15"/>
  <c r="N893" i="15"/>
  <c r="L893" i="15"/>
  <c r="K893" i="15"/>
  <c r="J893" i="15"/>
  <c r="H893" i="15"/>
  <c r="G893" i="15"/>
  <c r="F893" i="15"/>
  <c r="I893" i="15" s="1"/>
  <c r="D893" i="15"/>
  <c r="C893" i="15"/>
  <c r="B893" i="15"/>
  <c r="A885" i="15"/>
  <c r="A883" i="15"/>
  <c r="Q879" i="15"/>
  <c r="Q872" i="15"/>
  <c r="M872" i="15"/>
  <c r="I872" i="15"/>
  <c r="E872" i="15"/>
  <c r="Q870" i="15"/>
  <c r="P870" i="15"/>
  <c r="O870" i="15"/>
  <c r="N870" i="15"/>
  <c r="L870" i="15"/>
  <c r="K870" i="15"/>
  <c r="J870" i="15"/>
  <c r="H870" i="15"/>
  <c r="I870" i="15" s="1"/>
  <c r="G870" i="15"/>
  <c r="F870" i="15"/>
  <c r="D870" i="15"/>
  <c r="C870" i="15"/>
  <c r="B870" i="15"/>
  <c r="Q869" i="15"/>
  <c r="P869" i="15"/>
  <c r="O869" i="15"/>
  <c r="N869" i="15"/>
  <c r="L869" i="15"/>
  <c r="K869" i="15"/>
  <c r="J869" i="15"/>
  <c r="H869" i="15"/>
  <c r="G869" i="15"/>
  <c r="F869" i="15"/>
  <c r="D869" i="15"/>
  <c r="C869" i="15"/>
  <c r="B869" i="15"/>
  <c r="E869" i="15" s="1"/>
  <c r="Q866" i="15"/>
  <c r="M866" i="15"/>
  <c r="I866" i="15"/>
  <c r="E866" i="15"/>
  <c r="R866" i="15" s="1"/>
  <c r="Q865" i="15"/>
  <c r="M865" i="15"/>
  <c r="I865" i="15"/>
  <c r="E865" i="15"/>
  <c r="Q863" i="15"/>
  <c r="M863" i="15"/>
  <c r="I863" i="15"/>
  <c r="E863" i="15"/>
  <c r="Q862" i="15"/>
  <c r="M862" i="15"/>
  <c r="I862" i="15"/>
  <c r="E862" i="15"/>
  <c r="R862" i="15" s="1"/>
  <c r="P859" i="15"/>
  <c r="O859" i="15"/>
  <c r="N859" i="15"/>
  <c r="J859" i="15"/>
  <c r="G859" i="15"/>
  <c r="F859" i="15"/>
  <c r="B859" i="15"/>
  <c r="Q858" i="15"/>
  <c r="P858" i="15"/>
  <c r="O858" i="15"/>
  <c r="N858" i="15"/>
  <c r="L858" i="15"/>
  <c r="L859" i="15" s="1"/>
  <c r="K858" i="15"/>
  <c r="J858" i="15"/>
  <c r="H858" i="15"/>
  <c r="G858" i="15"/>
  <c r="F858" i="15"/>
  <c r="D858" i="15"/>
  <c r="C858" i="15"/>
  <c r="B858" i="15"/>
  <c r="Q857" i="15"/>
  <c r="M857" i="15"/>
  <c r="I857" i="15"/>
  <c r="E857" i="15"/>
  <c r="Q856" i="15"/>
  <c r="M856" i="15"/>
  <c r="I856" i="15"/>
  <c r="E856" i="15"/>
  <c r="Q855" i="15"/>
  <c r="M855" i="15"/>
  <c r="I855" i="15"/>
  <c r="E855" i="15"/>
  <c r="Q854" i="15"/>
  <c r="M854" i="15"/>
  <c r="I854" i="15"/>
  <c r="E854" i="15"/>
  <c r="Q853" i="15"/>
  <c r="M853" i="15"/>
  <c r="I853" i="15"/>
  <c r="E853" i="15"/>
  <c r="Q852" i="15"/>
  <c r="M852" i="15"/>
  <c r="I852" i="15"/>
  <c r="E852" i="15"/>
  <c r="R852" i="15" s="1"/>
  <c r="Q850" i="15"/>
  <c r="M850" i="15"/>
  <c r="I850" i="15"/>
  <c r="E850" i="15"/>
  <c r="Q849" i="15"/>
  <c r="M849" i="15"/>
  <c r="I849" i="15"/>
  <c r="D849" i="15"/>
  <c r="P846" i="15"/>
  <c r="Q846" i="15" s="1"/>
  <c r="O846" i="15"/>
  <c r="N846" i="15"/>
  <c r="L846" i="15"/>
  <c r="K846" i="15"/>
  <c r="M846" i="15" s="1"/>
  <c r="J846" i="15"/>
  <c r="H846" i="15"/>
  <c r="G846" i="15"/>
  <c r="F846" i="15"/>
  <c r="D846" i="15"/>
  <c r="C846" i="15"/>
  <c r="E846" i="15" s="1"/>
  <c r="B846" i="15"/>
  <c r="Q844" i="15"/>
  <c r="M844" i="15"/>
  <c r="I844" i="15"/>
  <c r="E844" i="15"/>
  <c r="P841" i="15"/>
  <c r="O841" i="15"/>
  <c r="N841" i="15"/>
  <c r="N871" i="15" s="1"/>
  <c r="N874" i="15" s="1"/>
  <c r="N876" i="15" s="1"/>
  <c r="L841" i="15"/>
  <c r="K841" i="15"/>
  <c r="J841" i="15"/>
  <c r="I841" i="15"/>
  <c r="H841" i="15"/>
  <c r="G841" i="15"/>
  <c r="F841" i="15"/>
  <c r="D841" i="15"/>
  <c r="C841" i="15"/>
  <c r="B841" i="15"/>
  <c r="Q839" i="15"/>
  <c r="M839" i="15"/>
  <c r="I839" i="15"/>
  <c r="E839" i="15"/>
  <c r="Q836" i="15"/>
  <c r="M836" i="15"/>
  <c r="I836" i="15"/>
  <c r="E836" i="15"/>
  <c r="Q835" i="15"/>
  <c r="M835" i="15"/>
  <c r="I835" i="15"/>
  <c r="E835" i="15"/>
  <c r="Q834" i="15"/>
  <c r="M834" i="15"/>
  <c r="I834" i="15"/>
  <c r="E834" i="15"/>
  <c r="Q833" i="15"/>
  <c r="M833" i="15"/>
  <c r="I833" i="15"/>
  <c r="E833" i="15"/>
  <c r="Q832" i="15"/>
  <c r="M832" i="15"/>
  <c r="I832" i="15"/>
  <c r="E832" i="15"/>
  <c r="Q831" i="15"/>
  <c r="M831" i="15"/>
  <c r="I831" i="15"/>
  <c r="E831" i="15"/>
  <c r="Q819" i="15"/>
  <c r="M819" i="15"/>
  <c r="I819" i="15"/>
  <c r="E819" i="15"/>
  <c r="R819" i="15" s="1"/>
  <c r="Q818" i="15"/>
  <c r="M818" i="15"/>
  <c r="I818" i="15"/>
  <c r="E818" i="15"/>
  <c r="R818" i="15" s="1"/>
  <c r="P816" i="15"/>
  <c r="O816" i="15"/>
  <c r="N816" i="15"/>
  <c r="L816" i="15"/>
  <c r="K816" i="15"/>
  <c r="J816" i="15"/>
  <c r="H816" i="15"/>
  <c r="G816" i="15"/>
  <c r="F816" i="15"/>
  <c r="I816" i="15" s="1"/>
  <c r="D816" i="15"/>
  <c r="C816" i="15"/>
  <c r="B816" i="15"/>
  <c r="P815" i="15"/>
  <c r="O815" i="15"/>
  <c r="N815" i="15"/>
  <c r="L815" i="15"/>
  <c r="K815" i="15"/>
  <c r="J815" i="15"/>
  <c r="H815" i="15"/>
  <c r="G815" i="15"/>
  <c r="F815" i="15"/>
  <c r="D815" i="15"/>
  <c r="C815" i="15"/>
  <c r="B815" i="15"/>
  <c r="E815" i="15" s="1"/>
  <c r="P809" i="15"/>
  <c r="O809" i="15"/>
  <c r="N809" i="15"/>
  <c r="L809" i="15"/>
  <c r="K809" i="15"/>
  <c r="J809" i="15"/>
  <c r="H809" i="15"/>
  <c r="G809" i="15"/>
  <c r="F809" i="15"/>
  <c r="D809" i="15"/>
  <c r="C809" i="15"/>
  <c r="B809" i="15"/>
  <c r="P805" i="15"/>
  <c r="O805" i="15"/>
  <c r="N805" i="15"/>
  <c r="Q805" i="15" s="1"/>
  <c r="L805" i="15"/>
  <c r="K805" i="15"/>
  <c r="J805" i="15"/>
  <c r="M805" i="15" s="1"/>
  <c r="H805" i="15"/>
  <c r="H817" i="15" s="1"/>
  <c r="H821" i="15" s="1"/>
  <c r="G805" i="15"/>
  <c r="F805" i="15"/>
  <c r="E805" i="15"/>
  <c r="D805" i="15"/>
  <c r="C805" i="15"/>
  <c r="B805" i="15"/>
  <c r="Q801" i="15"/>
  <c r="P801" i="15"/>
  <c r="O801" i="15"/>
  <c r="N801" i="15"/>
  <c r="L801" i="15"/>
  <c r="M801" i="15" s="1"/>
  <c r="K801" i="15"/>
  <c r="J801" i="15"/>
  <c r="H801" i="15"/>
  <c r="G801" i="15"/>
  <c r="G817" i="15" s="1"/>
  <c r="G821" i="15" s="1"/>
  <c r="G823" i="15" s="1"/>
  <c r="F801" i="15"/>
  <c r="D801" i="15"/>
  <c r="C801" i="15"/>
  <c r="B801" i="15"/>
  <c r="Q797" i="15"/>
  <c r="M797" i="15"/>
  <c r="I797" i="15"/>
  <c r="E797" i="15"/>
  <c r="R797" i="15" s="1"/>
  <c r="P787" i="15"/>
  <c r="O787" i="15"/>
  <c r="N787" i="15"/>
  <c r="L787" i="15"/>
  <c r="K787" i="15"/>
  <c r="J787" i="15"/>
  <c r="M787" i="15" s="1"/>
  <c r="H787" i="15"/>
  <c r="G787" i="15"/>
  <c r="F787" i="15"/>
  <c r="E787" i="15"/>
  <c r="D787" i="15"/>
  <c r="C787" i="15"/>
  <c r="B787" i="15"/>
  <c r="Q785" i="15"/>
  <c r="M785" i="15"/>
  <c r="I785" i="15"/>
  <c r="E785" i="15"/>
  <c r="Q775" i="15"/>
  <c r="M775" i="15"/>
  <c r="I775" i="15"/>
  <c r="E775" i="15"/>
  <c r="P773" i="15"/>
  <c r="O773" i="15"/>
  <c r="N773" i="15"/>
  <c r="L773" i="15"/>
  <c r="K773" i="15"/>
  <c r="M773" i="15" s="1"/>
  <c r="J773" i="15"/>
  <c r="H773" i="15"/>
  <c r="G773" i="15"/>
  <c r="F773" i="15"/>
  <c r="D773" i="15"/>
  <c r="C773" i="15"/>
  <c r="B773" i="15"/>
  <c r="P772" i="15"/>
  <c r="O772" i="15"/>
  <c r="N772" i="15"/>
  <c r="L772" i="15"/>
  <c r="K772" i="15"/>
  <c r="J772" i="15"/>
  <c r="H772" i="15"/>
  <c r="G772" i="15"/>
  <c r="F772" i="15"/>
  <c r="D772" i="15"/>
  <c r="C772" i="15"/>
  <c r="B772" i="15"/>
  <c r="Q769" i="15"/>
  <c r="M769" i="15"/>
  <c r="I769" i="15"/>
  <c r="E769" i="15"/>
  <c r="Q768" i="15"/>
  <c r="M768" i="15"/>
  <c r="I768" i="15"/>
  <c r="E768" i="15"/>
  <c r="Q767" i="15"/>
  <c r="M767" i="15"/>
  <c r="I767" i="15"/>
  <c r="E767" i="15"/>
  <c r="Q766" i="15"/>
  <c r="M766" i="15"/>
  <c r="I766" i="15"/>
  <c r="E766" i="15"/>
  <c r="P762" i="15"/>
  <c r="O762" i="15"/>
  <c r="N762" i="15"/>
  <c r="L762" i="15"/>
  <c r="K762" i="15"/>
  <c r="J762" i="15"/>
  <c r="H762" i="15"/>
  <c r="G762" i="15"/>
  <c r="F762" i="15"/>
  <c r="I762" i="15" s="1"/>
  <c r="D762" i="15"/>
  <c r="C762" i="15"/>
  <c r="B762" i="15"/>
  <c r="Q761" i="15"/>
  <c r="M761" i="15"/>
  <c r="I761" i="15"/>
  <c r="E761" i="15"/>
  <c r="Q760" i="15"/>
  <c r="M760" i="15"/>
  <c r="I760" i="15"/>
  <c r="E760" i="15"/>
  <c r="R760" i="15" s="1"/>
  <c r="Q759" i="15"/>
  <c r="M759" i="15"/>
  <c r="I759" i="15"/>
  <c r="E759" i="15"/>
  <c r="Q758" i="15"/>
  <c r="M758" i="15"/>
  <c r="I758" i="15"/>
  <c r="E758" i="15"/>
  <c r="Q757" i="15"/>
  <c r="M757" i="15"/>
  <c r="I757" i="15"/>
  <c r="E757" i="15"/>
  <c r="R757" i="15" s="1"/>
  <c r="Q756" i="15"/>
  <c r="M756" i="15"/>
  <c r="I756" i="15"/>
  <c r="E756" i="15"/>
  <c r="Q755" i="15"/>
  <c r="M755" i="15"/>
  <c r="I755" i="15"/>
  <c r="E755" i="15"/>
  <c r="R755" i="15" s="1"/>
  <c r="Q754" i="15"/>
  <c r="M754" i="15"/>
  <c r="I754" i="15"/>
  <c r="E754" i="15"/>
  <c r="R754" i="15" s="1"/>
  <c r="Q753" i="15"/>
  <c r="M753" i="15"/>
  <c r="I753" i="15"/>
  <c r="R753" i="15" s="1"/>
  <c r="E753" i="15"/>
  <c r="Q751" i="15"/>
  <c r="M751" i="15"/>
  <c r="I751" i="15"/>
  <c r="R751" i="15" s="1"/>
  <c r="E751" i="15"/>
  <c r="P748" i="15"/>
  <c r="O748" i="15"/>
  <c r="N748" i="15"/>
  <c r="Q748" i="15" s="1"/>
  <c r="L748" i="15"/>
  <c r="K748" i="15"/>
  <c r="J748" i="15"/>
  <c r="H748" i="15"/>
  <c r="G748" i="15"/>
  <c r="F748" i="15"/>
  <c r="D748" i="15"/>
  <c r="C748" i="15"/>
  <c r="B748" i="15"/>
  <c r="P744" i="15"/>
  <c r="O744" i="15"/>
  <c r="N744" i="15"/>
  <c r="N774" i="15" s="1"/>
  <c r="L744" i="15"/>
  <c r="K744" i="15"/>
  <c r="K774" i="15" s="1"/>
  <c r="K777" i="15" s="1"/>
  <c r="J744" i="15"/>
  <c r="H744" i="15"/>
  <c r="G744" i="15"/>
  <c r="F744" i="15"/>
  <c r="F774" i="15" s="1"/>
  <c r="B744" i="15"/>
  <c r="B774" i="15" s="1"/>
  <c r="Q740" i="15"/>
  <c r="M740" i="15"/>
  <c r="I740" i="15"/>
  <c r="E740" i="15"/>
  <c r="Q739" i="15"/>
  <c r="M739" i="15"/>
  <c r="I739" i="15"/>
  <c r="E739" i="15"/>
  <c r="Q738" i="15"/>
  <c r="M738" i="15"/>
  <c r="I738" i="15"/>
  <c r="E738" i="15"/>
  <c r="Q737" i="15"/>
  <c r="M737" i="15"/>
  <c r="I737" i="15"/>
  <c r="E737" i="15"/>
  <c r="Q736" i="15"/>
  <c r="M736" i="15"/>
  <c r="I736" i="15"/>
  <c r="R736" i="15" s="1"/>
  <c r="E736" i="15"/>
  <c r="Q735" i="15"/>
  <c r="M735" i="15"/>
  <c r="I735" i="15"/>
  <c r="D735" i="15"/>
  <c r="D744" i="15" s="1"/>
  <c r="C735" i="15"/>
  <c r="B735" i="15"/>
  <c r="Q723" i="15"/>
  <c r="M723" i="15"/>
  <c r="I723" i="15"/>
  <c r="E723" i="15"/>
  <c r="P721" i="15"/>
  <c r="O721" i="15"/>
  <c r="N721" i="15"/>
  <c r="L721" i="15"/>
  <c r="K721" i="15"/>
  <c r="J721" i="15"/>
  <c r="H721" i="15"/>
  <c r="G721" i="15"/>
  <c r="F721" i="15"/>
  <c r="I721" i="15" s="1"/>
  <c r="D721" i="15"/>
  <c r="C721" i="15"/>
  <c r="B721" i="15"/>
  <c r="P720" i="15"/>
  <c r="Q720" i="15" s="1"/>
  <c r="O720" i="15"/>
  <c r="N720" i="15"/>
  <c r="L720" i="15"/>
  <c r="K720" i="15"/>
  <c r="J720" i="15"/>
  <c r="H720" i="15"/>
  <c r="G720" i="15"/>
  <c r="F720" i="15"/>
  <c r="D720" i="15"/>
  <c r="C720" i="15"/>
  <c r="B720" i="15"/>
  <c r="Q717" i="15"/>
  <c r="M717" i="15"/>
  <c r="I717" i="15"/>
  <c r="E717" i="15"/>
  <c r="Q713" i="15"/>
  <c r="P713" i="15"/>
  <c r="O713" i="15"/>
  <c r="N713" i="15"/>
  <c r="L713" i="15"/>
  <c r="K713" i="15"/>
  <c r="J713" i="15"/>
  <c r="H713" i="15"/>
  <c r="G713" i="15"/>
  <c r="F713" i="15"/>
  <c r="D713" i="15"/>
  <c r="C713" i="15"/>
  <c r="B713" i="15"/>
  <c r="P709" i="15"/>
  <c r="O709" i="15"/>
  <c r="N709" i="15"/>
  <c r="L709" i="15"/>
  <c r="K709" i="15"/>
  <c r="J709" i="15"/>
  <c r="H709" i="15"/>
  <c r="G709" i="15"/>
  <c r="F709" i="15"/>
  <c r="D709" i="15"/>
  <c r="C709" i="15"/>
  <c r="B709" i="15"/>
  <c r="E709" i="15" s="1"/>
  <c r="C705" i="15"/>
  <c r="Q701" i="15"/>
  <c r="M701" i="15"/>
  <c r="I701" i="15"/>
  <c r="E701" i="15"/>
  <c r="Q700" i="15"/>
  <c r="M700" i="15"/>
  <c r="I700" i="15"/>
  <c r="E700" i="15"/>
  <c r="P699" i="15"/>
  <c r="P705" i="15" s="1"/>
  <c r="O699" i="15"/>
  <c r="O705" i="15" s="1"/>
  <c r="N699" i="15"/>
  <c r="L699" i="15"/>
  <c r="L705" i="15" s="1"/>
  <c r="K699" i="15"/>
  <c r="K705" i="15" s="1"/>
  <c r="J699" i="15"/>
  <c r="J705" i="15" s="1"/>
  <c r="H699" i="15"/>
  <c r="H705" i="15" s="1"/>
  <c r="H722" i="15" s="1"/>
  <c r="H725" i="15" s="1"/>
  <c r="G699" i="15"/>
  <c r="G705" i="15" s="1"/>
  <c r="F699" i="15"/>
  <c r="D699" i="15"/>
  <c r="D705" i="15" s="1"/>
  <c r="C699" i="15"/>
  <c r="B699" i="15"/>
  <c r="B705" i="15" s="1"/>
  <c r="P689" i="15"/>
  <c r="O689" i="15"/>
  <c r="N689" i="15"/>
  <c r="L689" i="15"/>
  <c r="K689" i="15"/>
  <c r="J689" i="15"/>
  <c r="H689" i="15"/>
  <c r="G689" i="15"/>
  <c r="F689" i="15"/>
  <c r="D689" i="15"/>
  <c r="C689" i="15"/>
  <c r="B689" i="15"/>
  <c r="E689" i="15" s="1"/>
  <c r="Q687" i="15"/>
  <c r="M687" i="15"/>
  <c r="I687" i="15"/>
  <c r="E687" i="15"/>
  <c r="Q677" i="15"/>
  <c r="M677" i="15"/>
  <c r="I677" i="15"/>
  <c r="E677" i="15"/>
  <c r="R677" i="15" s="1"/>
  <c r="P675" i="15"/>
  <c r="O675" i="15"/>
  <c r="N675" i="15"/>
  <c r="L675" i="15"/>
  <c r="K675" i="15"/>
  <c r="J675" i="15"/>
  <c r="H675" i="15"/>
  <c r="G675" i="15"/>
  <c r="F675" i="15"/>
  <c r="I675" i="15" s="1"/>
  <c r="D675" i="15"/>
  <c r="C675" i="15"/>
  <c r="B675" i="15"/>
  <c r="Q674" i="15"/>
  <c r="P674" i="15"/>
  <c r="O674" i="15"/>
  <c r="N674" i="15"/>
  <c r="L674" i="15"/>
  <c r="K674" i="15"/>
  <c r="J674" i="15"/>
  <c r="H674" i="15"/>
  <c r="G674" i="15"/>
  <c r="F674" i="15"/>
  <c r="D674" i="15"/>
  <c r="C674" i="15"/>
  <c r="B674" i="15"/>
  <c r="E674" i="15" s="1"/>
  <c r="Q673" i="15"/>
  <c r="M673" i="15"/>
  <c r="I673" i="15"/>
  <c r="E673" i="15"/>
  <c r="R673" i="15" s="1"/>
  <c r="Q672" i="15"/>
  <c r="M672" i="15"/>
  <c r="I672" i="15"/>
  <c r="E672" i="15"/>
  <c r="Q671" i="15"/>
  <c r="M671" i="15"/>
  <c r="I671" i="15"/>
  <c r="E671" i="15"/>
  <c r="Q669" i="15"/>
  <c r="M669" i="15"/>
  <c r="I669" i="15"/>
  <c r="E669" i="15"/>
  <c r="Q668" i="15"/>
  <c r="M668" i="15"/>
  <c r="I668" i="15"/>
  <c r="E668" i="15"/>
  <c r="Q666" i="15"/>
  <c r="M666" i="15"/>
  <c r="I666" i="15"/>
  <c r="E666" i="15"/>
  <c r="Q665" i="15"/>
  <c r="M665" i="15"/>
  <c r="R665" i="15" s="1"/>
  <c r="I665" i="15"/>
  <c r="E665" i="15"/>
  <c r="Q664" i="15"/>
  <c r="M664" i="15"/>
  <c r="I664" i="15"/>
  <c r="E664" i="15"/>
  <c r="Q663" i="15"/>
  <c r="M663" i="15"/>
  <c r="I663" i="15"/>
  <c r="E663" i="15"/>
  <c r="R663" i="15" s="1"/>
  <c r="Q661" i="15"/>
  <c r="M661" i="15"/>
  <c r="I661" i="15"/>
  <c r="E661" i="15"/>
  <c r="Q660" i="15"/>
  <c r="M660" i="15"/>
  <c r="I660" i="15"/>
  <c r="E660" i="15"/>
  <c r="P657" i="15"/>
  <c r="Q657" i="15" s="1"/>
  <c r="O657" i="15"/>
  <c r="N657" i="15"/>
  <c r="L657" i="15"/>
  <c r="K657" i="15"/>
  <c r="J657" i="15"/>
  <c r="H657" i="15"/>
  <c r="G657" i="15"/>
  <c r="F657" i="15"/>
  <c r="D657" i="15"/>
  <c r="C657" i="15"/>
  <c r="B657" i="15"/>
  <c r="Q656" i="15"/>
  <c r="M656" i="15"/>
  <c r="I656" i="15"/>
  <c r="E656" i="15"/>
  <c r="Q655" i="15"/>
  <c r="M655" i="15"/>
  <c r="I655" i="15"/>
  <c r="R655" i="15" s="1"/>
  <c r="E655" i="15"/>
  <c r="Q654" i="15"/>
  <c r="M654" i="15"/>
  <c r="I654" i="15"/>
  <c r="E654" i="15"/>
  <c r="Q653" i="15"/>
  <c r="M653" i="15"/>
  <c r="I653" i="15"/>
  <c r="E653" i="15"/>
  <c r="Q652" i="15"/>
  <c r="M652" i="15"/>
  <c r="I652" i="15"/>
  <c r="E652" i="15"/>
  <c r="Q651" i="15"/>
  <c r="M651" i="15"/>
  <c r="I651" i="15"/>
  <c r="E651" i="15"/>
  <c r="Q650" i="15"/>
  <c r="M650" i="15"/>
  <c r="I650" i="15"/>
  <c r="E650" i="15"/>
  <c r="P646" i="15"/>
  <c r="O646" i="15"/>
  <c r="N646" i="15"/>
  <c r="Q646" i="15" s="1"/>
  <c r="L646" i="15"/>
  <c r="K646" i="15"/>
  <c r="J646" i="15"/>
  <c r="H646" i="15"/>
  <c r="G646" i="15"/>
  <c r="F646" i="15"/>
  <c r="I646" i="15" s="1"/>
  <c r="D646" i="15"/>
  <c r="C646" i="15"/>
  <c r="B646" i="15"/>
  <c r="E646" i="15" s="1"/>
  <c r="Q644" i="15"/>
  <c r="M644" i="15"/>
  <c r="I644" i="15"/>
  <c r="E644" i="15"/>
  <c r="R644" i="15" s="1"/>
  <c r="Q643" i="15"/>
  <c r="M643" i="15"/>
  <c r="I643" i="15"/>
  <c r="E643" i="15"/>
  <c r="R643" i="15" s="1"/>
  <c r="P640" i="15"/>
  <c r="O640" i="15"/>
  <c r="O676" i="15" s="1"/>
  <c r="O679" i="15" s="1"/>
  <c r="N640" i="15"/>
  <c r="L640" i="15"/>
  <c r="L676" i="15" s="1"/>
  <c r="L679" i="15" s="1"/>
  <c r="K640" i="15"/>
  <c r="J640" i="15"/>
  <c r="H640" i="15"/>
  <c r="G640" i="15"/>
  <c r="G676" i="15" s="1"/>
  <c r="G679" i="15" s="1"/>
  <c r="F640" i="15"/>
  <c r="D640" i="15"/>
  <c r="C640" i="15"/>
  <c r="B640" i="15"/>
  <c r="E640" i="15" s="1"/>
  <c r="Q638" i="15"/>
  <c r="M638" i="15"/>
  <c r="I638" i="15"/>
  <c r="E638" i="15"/>
  <c r="Q636" i="15"/>
  <c r="M636" i="15"/>
  <c r="I636" i="15"/>
  <c r="E636" i="15"/>
  <c r="R636" i="15" s="1"/>
  <c r="Q634" i="15"/>
  <c r="M634" i="15"/>
  <c r="I634" i="15"/>
  <c r="E634" i="15"/>
  <c r="R634" i="15" s="1"/>
  <c r="Q633" i="15"/>
  <c r="M633" i="15"/>
  <c r="I633" i="15"/>
  <c r="E633" i="15"/>
  <c r="Q632" i="15"/>
  <c r="M632" i="15"/>
  <c r="I632" i="15"/>
  <c r="E632" i="15"/>
  <c r="R632" i="15" s="1"/>
  <c r="Q631" i="15"/>
  <c r="M631" i="15"/>
  <c r="I631" i="15"/>
  <c r="E631" i="15"/>
  <c r="R631" i="15" s="1"/>
  <c r="Q630" i="15"/>
  <c r="M630" i="15"/>
  <c r="I630" i="15"/>
  <c r="R630" i="15" s="1"/>
  <c r="E630" i="15"/>
  <c r="Q629" i="15"/>
  <c r="M629" i="15"/>
  <c r="I629" i="15"/>
  <c r="E629" i="15"/>
  <c r="Q628" i="15"/>
  <c r="M628" i="15"/>
  <c r="I628" i="15"/>
  <c r="E628" i="15"/>
  <c r="Q627" i="15"/>
  <c r="M627" i="15"/>
  <c r="I627" i="15"/>
  <c r="E627" i="15"/>
  <c r="Q626" i="15"/>
  <c r="M626" i="15"/>
  <c r="I626" i="15"/>
  <c r="E626" i="15"/>
  <c r="Q625" i="15"/>
  <c r="M625" i="15"/>
  <c r="I625" i="15"/>
  <c r="E625" i="15"/>
  <c r="Q624" i="15"/>
  <c r="M624" i="15"/>
  <c r="I624" i="15"/>
  <c r="E624" i="15"/>
  <c r="Q623" i="15"/>
  <c r="M623" i="15"/>
  <c r="I623" i="15"/>
  <c r="E623" i="15"/>
  <c r="Q611" i="15"/>
  <c r="M611" i="15"/>
  <c r="I611" i="15"/>
  <c r="R611" i="15" s="1"/>
  <c r="E611" i="15"/>
  <c r="F610" i="15"/>
  <c r="P609" i="15"/>
  <c r="O609" i="15"/>
  <c r="N609" i="15"/>
  <c r="L609" i="15"/>
  <c r="K609" i="15"/>
  <c r="J609" i="15"/>
  <c r="H609" i="15"/>
  <c r="G609" i="15"/>
  <c r="I609" i="15" s="1"/>
  <c r="F609" i="15"/>
  <c r="D609" i="15"/>
  <c r="C609" i="15"/>
  <c r="B609" i="15"/>
  <c r="E609" i="15" s="1"/>
  <c r="P608" i="15"/>
  <c r="O608" i="15"/>
  <c r="N608" i="15"/>
  <c r="L608" i="15"/>
  <c r="K608" i="15"/>
  <c r="J608" i="15"/>
  <c r="H608" i="15"/>
  <c r="G608" i="15"/>
  <c r="F608" i="15"/>
  <c r="D608" i="15"/>
  <c r="C608" i="15"/>
  <c r="B608" i="15"/>
  <c r="E608" i="15" s="1"/>
  <c r="Q607" i="15"/>
  <c r="M607" i="15"/>
  <c r="I607" i="15"/>
  <c r="E607" i="15"/>
  <c r="Q606" i="15"/>
  <c r="M606" i="15"/>
  <c r="I606" i="15"/>
  <c r="E606" i="15"/>
  <c r="R606" i="15" s="1"/>
  <c r="Q605" i="15"/>
  <c r="M605" i="15"/>
  <c r="I605" i="15"/>
  <c r="E605" i="15"/>
  <c r="R605" i="15" s="1"/>
  <c r="Q604" i="15"/>
  <c r="M604" i="15"/>
  <c r="I604" i="15"/>
  <c r="E604" i="15"/>
  <c r="Q602" i="15"/>
  <c r="M602" i="15"/>
  <c r="I602" i="15"/>
  <c r="E602" i="15"/>
  <c r="R602" i="15" s="1"/>
  <c r="P597" i="15"/>
  <c r="O597" i="15"/>
  <c r="N597" i="15"/>
  <c r="Q597" i="15" s="1"/>
  <c r="L597" i="15"/>
  <c r="K597" i="15"/>
  <c r="J597" i="15"/>
  <c r="M597" i="15" s="1"/>
  <c r="I597" i="15"/>
  <c r="H597" i="15"/>
  <c r="G597" i="15"/>
  <c r="F597" i="15"/>
  <c r="D597" i="15"/>
  <c r="C597" i="15"/>
  <c r="B597" i="15"/>
  <c r="Q596" i="15"/>
  <c r="M596" i="15"/>
  <c r="I596" i="15"/>
  <c r="E596" i="15"/>
  <c r="P592" i="15"/>
  <c r="O592" i="15"/>
  <c r="N592" i="15"/>
  <c r="L592" i="15"/>
  <c r="K592" i="15"/>
  <c r="J592" i="15"/>
  <c r="M592" i="15" s="1"/>
  <c r="H592" i="15"/>
  <c r="G592" i="15"/>
  <c r="F592" i="15"/>
  <c r="I592" i="15" s="1"/>
  <c r="D592" i="15"/>
  <c r="C592" i="15"/>
  <c r="B592" i="15"/>
  <c r="Q590" i="15"/>
  <c r="M590" i="15"/>
  <c r="I590" i="15"/>
  <c r="E590" i="15"/>
  <c r="Q589" i="15"/>
  <c r="M589" i="15"/>
  <c r="I589" i="15"/>
  <c r="E589" i="15"/>
  <c r="P586" i="15"/>
  <c r="O586" i="15"/>
  <c r="O610" i="15" s="1"/>
  <c r="O613" i="15" s="1"/>
  <c r="N586" i="15"/>
  <c r="L586" i="15"/>
  <c r="K586" i="15"/>
  <c r="K610" i="15" s="1"/>
  <c r="K613" i="15" s="1"/>
  <c r="J586" i="15"/>
  <c r="H586" i="15"/>
  <c r="G586" i="15"/>
  <c r="F586" i="15"/>
  <c r="I586" i="15" s="1"/>
  <c r="D586" i="15"/>
  <c r="D610" i="15" s="1"/>
  <c r="D613" i="15" s="1"/>
  <c r="C586" i="15"/>
  <c r="C610" i="15" s="1"/>
  <c r="C613" i="15" s="1"/>
  <c r="B586" i="15"/>
  <c r="Q582" i="15"/>
  <c r="M582" i="15"/>
  <c r="I582" i="15"/>
  <c r="E582" i="15"/>
  <c r="Q581" i="15"/>
  <c r="M581" i="15"/>
  <c r="I581" i="15"/>
  <c r="E581" i="15"/>
  <c r="R581" i="15" s="1"/>
  <c r="Q580" i="15"/>
  <c r="M580" i="15"/>
  <c r="I580" i="15"/>
  <c r="E580" i="15"/>
  <c r="Q579" i="15"/>
  <c r="M579" i="15"/>
  <c r="I579" i="15"/>
  <c r="E579" i="15"/>
  <c r="Q578" i="15"/>
  <c r="M578" i="15"/>
  <c r="I578" i="15"/>
  <c r="E578" i="15"/>
  <c r="Q566" i="15"/>
  <c r="M566" i="15"/>
  <c r="I566" i="15"/>
  <c r="E566" i="15"/>
  <c r="P564" i="15"/>
  <c r="O564" i="15"/>
  <c r="N564" i="15"/>
  <c r="L564" i="15"/>
  <c r="M564" i="15" s="1"/>
  <c r="K564" i="15"/>
  <c r="J564" i="15"/>
  <c r="H564" i="15"/>
  <c r="G564" i="15"/>
  <c r="F564" i="15"/>
  <c r="D564" i="15"/>
  <c r="C564" i="15"/>
  <c r="B564" i="15"/>
  <c r="E564" i="15" s="1"/>
  <c r="P563" i="15"/>
  <c r="O563" i="15"/>
  <c r="N563" i="15"/>
  <c r="L563" i="15"/>
  <c r="K563" i="15"/>
  <c r="J563" i="15"/>
  <c r="M563" i="15" s="1"/>
  <c r="H563" i="15"/>
  <c r="G563" i="15"/>
  <c r="F563" i="15"/>
  <c r="D563" i="15"/>
  <c r="C563" i="15"/>
  <c r="B563" i="15"/>
  <c r="Q562" i="15"/>
  <c r="M562" i="15"/>
  <c r="I562" i="15"/>
  <c r="E562" i="15"/>
  <c r="Q561" i="15"/>
  <c r="M561" i="15"/>
  <c r="I561" i="15"/>
  <c r="E561" i="15"/>
  <c r="P555" i="15"/>
  <c r="Q555" i="15" s="1"/>
  <c r="O555" i="15"/>
  <c r="N555" i="15"/>
  <c r="L555" i="15"/>
  <c r="K555" i="15"/>
  <c r="J555" i="15"/>
  <c r="H555" i="15"/>
  <c r="G555" i="15"/>
  <c r="F555" i="15"/>
  <c r="D555" i="15"/>
  <c r="C555" i="15"/>
  <c r="B555" i="15"/>
  <c r="Q554" i="15"/>
  <c r="M554" i="15"/>
  <c r="I554" i="15"/>
  <c r="E554" i="15"/>
  <c r="Q553" i="15"/>
  <c r="M553" i="15"/>
  <c r="I553" i="15"/>
  <c r="R553" i="15" s="1"/>
  <c r="E553" i="15"/>
  <c r="Q552" i="15"/>
  <c r="M552" i="15"/>
  <c r="I552" i="15"/>
  <c r="R552" i="15" s="1"/>
  <c r="E552" i="15"/>
  <c r="P548" i="15"/>
  <c r="O548" i="15"/>
  <c r="N548" i="15"/>
  <c r="Q548" i="15" s="1"/>
  <c r="L548" i="15"/>
  <c r="K548" i="15"/>
  <c r="J548" i="15"/>
  <c r="H548" i="15"/>
  <c r="F548" i="15"/>
  <c r="D548" i="15"/>
  <c r="C548" i="15"/>
  <c r="B548" i="15"/>
  <c r="Q546" i="15"/>
  <c r="M546" i="15"/>
  <c r="G546" i="15"/>
  <c r="G901" i="15" s="1"/>
  <c r="E546" i="15"/>
  <c r="P543" i="15"/>
  <c r="O543" i="15"/>
  <c r="O565" i="15" s="1"/>
  <c r="O568" i="15" s="1"/>
  <c r="N543" i="15"/>
  <c r="N565" i="15" s="1"/>
  <c r="L543" i="15"/>
  <c r="K543" i="15"/>
  <c r="J543" i="15"/>
  <c r="J565" i="15" s="1"/>
  <c r="H543" i="15"/>
  <c r="G543" i="15"/>
  <c r="F543" i="15"/>
  <c r="D543" i="15"/>
  <c r="C543" i="15"/>
  <c r="B543" i="15"/>
  <c r="B565" i="15" s="1"/>
  <c r="B568" i="15" s="1"/>
  <c r="Q540" i="15"/>
  <c r="M540" i="15"/>
  <c r="I540" i="15"/>
  <c r="E540" i="15"/>
  <c r="Q539" i="15"/>
  <c r="M539" i="15"/>
  <c r="I539" i="15"/>
  <c r="E539" i="15"/>
  <c r="Q537" i="15"/>
  <c r="M537" i="15"/>
  <c r="I537" i="15"/>
  <c r="E537" i="15"/>
  <c r="Q536" i="15"/>
  <c r="M536" i="15"/>
  <c r="I536" i="15"/>
  <c r="E536" i="15"/>
  <c r="Q535" i="15"/>
  <c r="M535" i="15"/>
  <c r="I535" i="15"/>
  <c r="E535" i="15"/>
  <c r="Q534" i="15"/>
  <c r="M534" i="15"/>
  <c r="I534" i="15"/>
  <c r="E534" i="15"/>
  <c r="Q533" i="15"/>
  <c r="M533" i="15"/>
  <c r="I533" i="15"/>
  <c r="E533" i="15"/>
  <c r="Q515" i="15"/>
  <c r="M515" i="15"/>
  <c r="I515" i="15"/>
  <c r="E515" i="15"/>
  <c r="Q514" i="15"/>
  <c r="M514" i="15"/>
  <c r="I514" i="15"/>
  <c r="E514" i="15"/>
  <c r="Q513" i="15"/>
  <c r="M513" i="15"/>
  <c r="I513" i="15"/>
  <c r="E513" i="15"/>
  <c r="P511" i="15"/>
  <c r="O511" i="15"/>
  <c r="N511" i="15"/>
  <c r="L511" i="15"/>
  <c r="K511" i="15"/>
  <c r="J511" i="15"/>
  <c r="H511" i="15"/>
  <c r="G511" i="15"/>
  <c r="F511" i="15"/>
  <c r="I511" i="15" s="1"/>
  <c r="D511" i="15"/>
  <c r="C511" i="15"/>
  <c r="B511" i="15"/>
  <c r="P510" i="15"/>
  <c r="O510" i="15"/>
  <c r="N510" i="15"/>
  <c r="L510" i="15"/>
  <c r="K510" i="15"/>
  <c r="J510" i="15"/>
  <c r="H510" i="15"/>
  <c r="G510" i="15"/>
  <c r="F510" i="15"/>
  <c r="D510" i="15"/>
  <c r="C510" i="15"/>
  <c r="B510" i="15"/>
  <c r="Q509" i="15"/>
  <c r="M509" i="15"/>
  <c r="I509" i="15"/>
  <c r="E509" i="15"/>
  <c r="Q508" i="15"/>
  <c r="M508" i="15"/>
  <c r="I508" i="15"/>
  <c r="E508" i="15"/>
  <c r="Q507" i="15"/>
  <c r="M507" i="15"/>
  <c r="I507" i="15"/>
  <c r="E507" i="15"/>
  <c r="Q506" i="15"/>
  <c r="M506" i="15"/>
  <c r="I506" i="15"/>
  <c r="E506" i="15"/>
  <c r="Q505" i="15"/>
  <c r="M505" i="15"/>
  <c r="I505" i="15"/>
  <c r="E505" i="15"/>
  <c r="Q504" i="15"/>
  <c r="M504" i="15"/>
  <c r="I504" i="15"/>
  <c r="E504" i="15"/>
  <c r="Q503" i="15"/>
  <c r="M503" i="15"/>
  <c r="I503" i="15"/>
  <c r="E503" i="15"/>
  <c r="Q502" i="15"/>
  <c r="M502" i="15"/>
  <c r="I502" i="15"/>
  <c r="E502" i="15"/>
  <c r="Q501" i="15"/>
  <c r="M501" i="15"/>
  <c r="I501" i="15"/>
  <c r="E501" i="15"/>
  <c r="Q500" i="15"/>
  <c r="M500" i="15"/>
  <c r="I500" i="15"/>
  <c r="E500" i="15"/>
  <c r="R500" i="15" s="1"/>
  <c r="Q498" i="15"/>
  <c r="M498" i="15"/>
  <c r="I498" i="15"/>
  <c r="E498" i="15"/>
  <c r="Q497" i="15"/>
  <c r="M497" i="15"/>
  <c r="I497" i="15"/>
  <c r="E497" i="15"/>
  <c r="R497" i="15" s="1"/>
  <c r="Q496" i="15"/>
  <c r="M496" i="15"/>
  <c r="I496" i="15"/>
  <c r="E496" i="15"/>
  <c r="Q495" i="15"/>
  <c r="M495" i="15"/>
  <c r="I495" i="15"/>
  <c r="E495" i="15"/>
  <c r="R495" i="15" s="1"/>
  <c r="Q494" i="15"/>
  <c r="M494" i="15"/>
  <c r="I494" i="15"/>
  <c r="E494" i="15"/>
  <c r="R494" i="15" s="1"/>
  <c r="Q493" i="15"/>
  <c r="M493" i="15"/>
  <c r="I493" i="15"/>
  <c r="E493" i="15"/>
  <c r="Q491" i="15"/>
  <c r="M491" i="15"/>
  <c r="I491" i="15"/>
  <c r="E491" i="15"/>
  <c r="Q490" i="15"/>
  <c r="M490" i="15"/>
  <c r="I490" i="15"/>
  <c r="E490" i="15"/>
  <c r="R490" i="15" s="1"/>
  <c r="Q488" i="15"/>
  <c r="M488" i="15"/>
  <c r="I488" i="15"/>
  <c r="E488" i="15"/>
  <c r="L485" i="15"/>
  <c r="P484" i="15"/>
  <c r="O484" i="15"/>
  <c r="N484" i="15"/>
  <c r="Q484" i="15" s="1"/>
  <c r="M484" i="15"/>
  <c r="L484" i="15"/>
  <c r="K484" i="15"/>
  <c r="H484" i="15"/>
  <c r="G484" i="15"/>
  <c r="F484" i="15"/>
  <c r="I484" i="15" s="1"/>
  <c r="D484" i="15"/>
  <c r="D485" i="15" s="1"/>
  <c r="C484" i="15"/>
  <c r="E484" i="15" s="1"/>
  <c r="B484" i="15"/>
  <c r="B485" i="15" s="1"/>
  <c r="Q483" i="15"/>
  <c r="M483" i="15"/>
  <c r="I483" i="15"/>
  <c r="E483" i="15"/>
  <c r="Q482" i="15"/>
  <c r="M482" i="15"/>
  <c r="I482" i="15"/>
  <c r="E482" i="15"/>
  <c r="R482" i="15" s="1"/>
  <c r="Q481" i="15"/>
  <c r="M481" i="15"/>
  <c r="I481" i="15"/>
  <c r="E481" i="15"/>
  <c r="R481" i="15" s="1"/>
  <c r="Q480" i="15"/>
  <c r="M480" i="15"/>
  <c r="I480" i="15"/>
  <c r="E480" i="15"/>
  <c r="R480" i="15" s="1"/>
  <c r="Q479" i="15"/>
  <c r="M479" i="15"/>
  <c r="I479" i="15"/>
  <c r="E479" i="15"/>
  <c r="Q478" i="15"/>
  <c r="M478" i="15"/>
  <c r="I478" i="15"/>
  <c r="E478" i="15"/>
  <c r="R478" i="15" s="1"/>
  <c r="Q477" i="15"/>
  <c r="M477" i="15"/>
  <c r="I477" i="15"/>
  <c r="E477" i="15"/>
  <c r="Q476" i="15"/>
  <c r="M476" i="15"/>
  <c r="I476" i="15"/>
  <c r="E476" i="15"/>
  <c r="Q475" i="15"/>
  <c r="M475" i="15"/>
  <c r="I475" i="15"/>
  <c r="E475" i="15"/>
  <c r="Q474" i="15"/>
  <c r="M474" i="15"/>
  <c r="I474" i="15"/>
  <c r="E474" i="15"/>
  <c r="Q473" i="15"/>
  <c r="M473" i="15"/>
  <c r="I473" i="15"/>
  <c r="E473" i="15"/>
  <c r="Q472" i="15"/>
  <c r="M472" i="15"/>
  <c r="I472" i="15"/>
  <c r="E472" i="15"/>
  <c r="Q471" i="15"/>
  <c r="M471" i="15"/>
  <c r="R471" i="15" s="1"/>
  <c r="I471" i="15"/>
  <c r="E471" i="15"/>
  <c r="Q470" i="15"/>
  <c r="M470" i="15"/>
  <c r="I470" i="15"/>
  <c r="E470" i="15"/>
  <c r="Q469" i="15"/>
  <c r="M469" i="15"/>
  <c r="I469" i="15"/>
  <c r="E469" i="15"/>
  <c r="R469" i="15" s="1"/>
  <c r="Q468" i="15"/>
  <c r="M468" i="15"/>
  <c r="I468" i="15"/>
  <c r="E468" i="15"/>
  <c r="Q467" i="15"/>
  <c r="M467" i="15"/>
  <c r="I467" i="15"/>
  <c r="E467" i="15"/>
  <c r="Q466" i="15"/>
  <c r="M466" i="15"/>
  <c r="I466" i="15"/>
  <c r="E466" i="15"/>
  <c r="R466" i="15" s="1"/>
  <c r="Q465" i="15"/>
  <c r="M465" i="15"/>
  <c r="I465" i="15"/>
  <c r="E465" i="15"/>
  <c r="Q464" i="15"/>
  <c r="M464" i="15"/>
  <c r="I464" i="15"/>
  <c r="E464" i="15"/>
  <c r="R464" i="15" s="1"/>
  <c r="Q463" i="15"/>
  <c r="M463" i="15"/>
  <c r="I463" i="15"/>
  <c r="E463" i="15"/>
  <c r="Q462" i="15"/>
  <c r="M462" i="15"/>
  <c r="I462" i="15"/>
  <c r="E462" i="15"/>
  <c r="R462" i="15" s="1"/>
  <c r="Q461" i="15"/>
  <c r="M461" i="15"/>
  <c r="I461" i="15"/>
  <c r="E461" i="15"/>
  <c r="Q460" i="15"/>
  <c r="M460" i="15"/>
  <c r="I460" i="15"/>
  <c r="R460" i="15" s="1"/>
  <c r="E460" i="15"/>
  <c r="Q459" i="15"/>
  <c r="M459" i="15"/>
  <c r="I459" i="15"/>
  <c r="E459" i="15"/>
  <c r="Q458" i="15"/>
  <c r="M458" i="15"/>
  <c r="I458" i="15"/>
  <c r="E458" i="15"/>
  <c r="Q457" i="15"/>
  <c r="M457" i="15"/>
  <c r="I457" i="15"/>
  <c r="E457" i="15"/>
  <c r="Q456" i="15"/>
  <c r="M456" i="15"/>
  <c r="I456" i="15"/>
  <c r="E456" i="15"/>
  <c r="Q455" i="15"/>
  <c r="M455" i="15"/>
  <c r="I455" i="15"/>
  <c r="E455" i="15"/>
  <c r="Q454" i="15"/>
  <c r="M454" i="15"/>
  <c r="I454" i="15"/>
  <c r="E454" i="15"/>
  <c r="Q453" i="15"/>
  <c r="M453" i="15"/>
  <c r="I453" i="15"/>
  <c r="E453" i="15"/>
  <c r="Q452" i="15"/>
  <c r="M452" i="15"/>
  <c r="I452" i="15"/>
  <c r="E452" i="15"/>
  <c r="Q451" i="15"/>
  <c r="M451" i="15"/>
  <c r="I451" i="15"/>
  <c r="E451" i="15"/>
  <c r="Q450" i="15"/>
  <c r="M450" i="15"/>
  <c r="I450" i="15"/>
  <c r="E450" i="15"/>
  <c r="R450" i="15" s="1"/>
  <c r="Q449" i="15"/>
  <c r="M449" i="15"/>
  <c r="I449" i="15"/>
  <c r="E449" i="15"/>
  <c r="R449" i="15" s="1"/>
  <c r="Q448" i="15"/>
  <c r="M448" i="15"/>
  <c r="I448" i="15"/>
  <c r="E448" i="15"/>
  <c r="R448" i="15" s="1"/>
  <c r="Q447" i="15"/>
  <c r="M447" i="15"/>
  <c r="I447" i="15"/>
  <c r="E447" i="15"/>
  <c r="Q446" i="15"/>
  <c r="M446" i="15"/>
  <c r="I446" i="15"/>
  <c r="E446" i="15"/>
  <c r="R446" i="15" s="1"/>
  <c r="Q445" i="15"/>
  <c r="M445" i="15"/>
  <c r="I445" i="15"/>
  <c r="E445" i="15"/>
  <c r="R445" i="15" s="1"/>
  <c r="Q444" i="15"/>
  <c r="M444" i="15"/>
  <c r="I444" i="15"/>
  <c r="E444" i="15"/>
  <c r="Q443" i="15"/>
  <c r="M443" i="15"/>
  <c r="I443" i="15"/>
  <c r="E443" i="15"/>
  <c r="Q442" i="15"/>
  <c r="M442" i="15"/>
  <c r="I442" i="15"/>
  <c r="E442" i="15"/>
  <c r="R442" i="15" s="1"/>
  <c r="Q441" i="15"/>
  <c r="J441" i="15"/>
  <c r="M441" i="15" s="1"/>
  <c r="I441" i="15"/>
  <c r="H441" i="15"/>
  <c r="H485" i="15" s="1"/>
  <c r="G441" i="15"/>
  <c r="F441" i="15"/>
  <c r="F906" i="15" s="1"/>
  <c r="D441" i="15"/>
  <c r="C441" i="15"/>
  <c r="E441" i="15" s="1"/>
  <c r="Q440" i="15"/>
  <c r="M440" i="15"/>
  <c r="I440" i="15"/>
  <c r="E440" i="15"/>
  <c r="R440" i="15" s="1"/>
  <c r="Q439" i="15"/>
  <c r="M439" i="15"/>
  <c r="I439" i="15"/>
  <c r="E439" i="15"/>
  <c r="Q438" i="15"/>
  <c r="M438" i="15"/>
  <c r="I438" i="15"/>
  <c r="E438" i="15"/>
  <c r="Q437" i="15"/>
  <c r="N437" i="15"/>
  <c r="M437" i="15"/>
  <c r="I437" i="15"/>
  <c r="E437" i="15"/>
  <c r="Q436" i="15"/>
  <c r="M436" i="15"/>
  <c r="I436" i="15"/>
  <c r="E436" i="15"/>
  <c r="Q435" i="15"/>
  <c r="M435" i="15"/>
  <c r="I435" i="15"/>
  <c r="E435" i="15"/>
  <c r="R435" i="15" s="1"/>
  <c r="Q434" i="15"/>
  <c r="P434" i="15"/>
  <c r="O434" i="15"/>
  <c r="N434" i="15"/>
  <c r="M434" i="15"/>
  <c r="L434" i="15"/>
  <c r="I434" i="15"/>
  <c r="E434" i="15"/>
  <c r="R434" i="15" s="1"/>
  <c r="Q433" i="15"/>
  <c r="M433" i="15"/>
  <c r="I433" i="15"/>
  <c r="E433" i="15"/>
  <c r="Q432" i="15"/>
  <c r="M432" i="15"/>
  <c r="I432" i="15"/>
  <c r="E432" i="15"/>
  <c r="D432" i="15"/>
  <c r="C432" i="15"/>
  <c r="Q431" i="15"/>
  <c r="M431" i="15"/>
  <c r="I431" i="15"/>
  <c r="E431" i="15"/>
  <c r="Q430" i="15"/>
  <c r="M430" i="15"/>
  <c r="I430" i="15"/>
  <c r="E430" i="15"/>
  <c r="R430" i="15" s="1"/>
  <c r="Q429" i="15"/>
  <c r="M429" i="15"/>
  <c r="I429" i="15"/>
  <c r="E429" i="15"/>
  <c r="R429" i="15" s="1"/>
  <c r="Q428" i="15"/>
  <c r="M428" i="15"/>
  <c r="I428" i="15"/>
  <c r="E428" i="15"/>
  <c r="R428" i="15" s="1"/>
  <c r="Q427" i="15"/>
  <c r="M427" i="15"/>
  <c r="I427" i="15"/>
  <c r="E427" i="15"/>
  <c r="R427" i="15" s="1"/>
  <c r="Q426" i="15"/>
  <c r="M426" i="15"/>
  <c r="I426" i="15"/>
  <c r="E426" i="15"/>
  <c r="Q425" i="15"/>
  <c r="M425" i="15"/>
  <c r="I425" i="15"/>
  <c r="E425" i="15"/>
  <c r="Q424" i="15"/>
  <c r="M424" i="15"/>
  <c r="I424" i="15"/>
  <c r="E424" i="15"/>
  <c r="Q423" i="15"/>
  <c r="M423" i="15"/>
  <c r="I423" i="15"/>
  <c r="E423" i="15"/>
  <c r="Q422" i="15"/>
  <c r="M422" i="15"/>
  <c r="I422" i="15"/>
  <c r="E422" i="15"/>
  <c r="R422" i="15" s="1"/>
  <c r="Q421" i="15"/>
  <c r="M421" i="15"/>
  <c r="I421" i="15"/>
  <c r="E421" i="15"/>
  <c r="Q420" i="15"/>
  <c r="M420" i="15"/>
  <c r="I420" i="15"/>
  <c r="E420" i="15"/>
  <c r="Q419" i="15"/>
  <c r="M419" i="15"/>
  <c r="I419" i="15"/>
  <c r="E419" i="15"/>
  <c r="R419" i="15" s="1"/>
  <c r="P417" i="15"/>
  <c r="P905" i="15" s="1"/>
  <c r="O417" i="15"/>
  <c r="N417" i="15"/>
  <c r="N905" i="15" s="1"/>
  <c r="L417" i="15"/>
  <c r="L905" i="15" s="1"/>
  <c r="K417" i="15"/>
  <c r="K905" i="15" s="1"/>
  <c r="J417" i="15"/>
  <c r="J905" i="15" s="1"/>
  <c r="G417" i="15"/>
  <c r="G905" i="15" s="1"/>
  <c r="F417" i="15"/>
  <c r="E417" i="15"/>
  <c r="D417" i="15"/>
  <c r="D905" i="15" s="1"/>
  <c r="C417" i="15"/>
  <c r="C905" i="15" s="1"/>
  <c r="Q416" i="15"/>
  <c r="M416" i="15"/>
  <c r="I416" i="15"/>
  <c r="E416" i="15"/>
  <c r="Q415" i="15"/>
  <c r="M415" i="15"/>
  <c r="I415" i="15"/>
  <c r="E415" i="15"/>
  <c r="Q414" i="15"/>
  <c r="M414" i="15"/>
  <c r="I414" i="15"/>
  <c r="E414" i="15"/>
  <c r="P411" i="15"/>
  <c r="O411" i="15"/>
  <c r="N411" i="15"/>
  <c r="L411" i="15"/>
  <c r="K411" i="15"/>
  <c r="J411" i="15"/>
  <c r="M411" i="15" s="1"/>
  <c r="H411" i="15"/>
  <c r="G411" i="15"/>
  <c r="F411" i="15"/>
  <c r="D411" i="15"/>
  <c r="C411" i="15"/>
  <c r="E411" i="15" s="1"/>
  <c r="B411" i="15"/>
  <c r="Q409" i="15"/>
  <c r="M409" i="15"/>
  <c r="I409" i="15"/>
  <c r="E409" i="15"/>
  <c r="Q408" i="15"/>
  <c r="M408" i="15"/>
  <c r="I408" i="15"/>
  <c r="E408" i="15"/>
  <c r="Q407" i="15"/>
  <c r="M407" i="15"/>
  <c r="I407" i="15"/>
  <c r="E407" i="15"/>
  <c r="Q406" i="15"/>
  <c r="M406" i="15"/>
  <c r="I406" i="15"/>
  <c r="E406" i="15"/>
  <c r="AK405" i="15"/>
  <c r="AJ405" i="15"/>
  <c r="AI405" i="15"/>
  <c r="AG405" i="15"/>
  <c r="AF405" i="15"/>
  <c r="AE405" i="15"/>
  <c r="Y405" i="15"/>
  <c r="X405" i="15"/>
  <c r="W405" i="15"/>
  <c r="Z405" i="15" s="1"/>
  <c r="Q405" i="15"/>
  <c r="M405" i="15"/>
  <c r="I405" i="15"/>
  <c r="E405" i="15"/>
  <c r="R405" i="15" s="1"/>
  <c r="AK404" i="15"/>
  <c r="AJ404" i="15"/>
  <c r="AI404" i="15"/>
  <c r="AG404" i="15"/>
  <c r="AF404" i="15"/>
  <c r="AE404" i="15"/>
  <c r="AH404" i="15" s="1"/>
  <c r="AC404" i="15"/>
  <c r="AB404" i="15"/>
  <c r="Y404" i="15"/>
  <c r="X404" i="15"/>
  <c r="W404" i="15"/>
  <c r="Q404" i="15"/>
  <c r="M404" i="15"/>
  <c r="I404" i="15"/>
  <c r="E404" i="15"/>
  <c r="AK403" i="15"/>
  <c r="AJ403" i="15"/>
  <c r="AI403" i="15"/>
  <c r="AG403" i="15"/>
  <c r="AF403" i="15"/>
  <c r="AH403" i="15" s="1"/>
  <c r="AE403" i="15"/>
  <c r="Y403" i="15"/>
  <c r="X403" i="15"/>
  <c r="Z403" i="15" s="1"/>
  <c r="W403" i="15"/>
  <c r="Q403" i="15"/>
  <c r="M403" i="15"/>
  <c r="I403" i="15"/>
  <c r="E403" i="15"/>
  <c r="AL402" i="15"/>
  <c r="AL405" i="15" s="1"/>
  <c r="AH402" i="15"/>
  <c r="AC402" i="15"/>
  <c r="AC405" i="15" s="1"/>
  <c r="AB402" i="15"/>
  <c r="AB405" i="15" s="1"/>
  <c r="AA402" i="15"/>
  <c r="Z402" i="15"/>
  <c r="Q402" i="15"/>
  <c r="M402" i="15"/>
  <c r="I402" i="15"/>
  <c r="E402" i="15"/>
  <c r="Q401" i="15"/>
  <c r="M401" i="15"/>
  <c r="I401" i="15"/>
  <c r="E401" i="15"/>
  <c r="W400" i="15"/>
  <c r="O397" i="15"/>
  <c r="G397" i="15"/>
  <c r="F397" i="15"/>
  <c r="Q395" i="15"/>
  <c r="M395" i="15"/>
  <c r="I395" i="15"/>
  <c r="E395" i="15"/>
  <c r="Q394" i="15"/>
  <c r="M394" i="15"/>
  <c r="I394" i="15"/>
  <c r="E394" i="15"/>
  <c r="Q393" i="15"/>
  <c r="M393" i="15"/>
  <c r="I393" i="15"/>
  <c r="E393" i="15"/>
  <c r="R393" i="15" s="1"/>
  <c r="Q392" i="15"/>
  <c r="M392" i="15"/>
  <c r="I392" i="15"/>
  <c r="E392" i="15"/>
  <c r="R392" i="15" s="1"/>
  <c r="Q390" i="15"/>
  <c r="M390" i="15"/>
  <c r="I390" i="15"/>
  <c r="E390" i="15"/>
  <c r="Q389" i="15"/>
  <c r="M389" i="15"/>
  <c r="I389" i="15"/>
  <c r="E389" i="15"/>
  <c r="Q388" i="15"/>
  <c r="M388" i="15"/>
  <c r="I388" i="15"/>
  <c r="E388" i="15"/>
  <c r="R388" i="15" s="1"/>
  <c r="Q387" i="15"/>
  <c r="M387" i="15"/>
  <c r="I387" i="15"/>
  <c r="E387" i="15"/>
  <c r="Q386" i="15"/>
  <c r="M386" i="15"/>
  <c r="I386" i="15"/>
  <c r="E386" i="15"/>
  <c r="Q385" i="15"/>
  <c r="M385" i="15"/>
  <c r="I385" i="15"/>
  <c r="E385" i="15"/>
  <c r="Q384" i="15"/>
  <c r="M384" i="15"/>
  <c r="I384" i="15"/>
  <c r="E384" i="15"/>
  <c r="Q383" i="15"/>
  <c r="M383" i="15"/>
  <c r="I383" i="15"/>
  <c r="E383" i="15"/>
  <c r="Q382" i="15"/>
  <c r="M382" i="15"/>
  <c r="I382" i="15"/>
  <c r="E382" i="15"/>
  <c r="Q381" i="15"/>
  <c r="M381" i="15"/>
  <c r="R381" i="15" s="1"/>
  <c r="I381" i="15"/>
  <c r="E381" i="15"/>
  <c r="Q380" i="15"/>
  <c r="M380" i="15"/>
  <c r="I380" i="15"/>
  <c r="E380" i="15"/>
  <c r="Q378" i="15"/>
  <c r="M378" i="15"/>
  <c r="I378" i="15"/>
  <c r="E378" i="15"/>
  <c r="Q377" i="15"/>
  <c r="M377" i="15"/>
  <c r="I377" i="15"/>
  <c r="E377" i="15"/>
  <c r="Q376" i="15"/>
  <c r="M376" i="15"/>
  <c r="I376" i="15"/>
  <c r="E376" i="15"/>
  <c r="Q375" i="15"/>
  <c r="M375" i="15"/>
  <c r="I375" i="15"/>
  <c r="E375" i="15"/>
  <c r="R375" i="15" s="1"/>
  <c r="Q374" i="15"/>
  <c r="M374" i="15"/>
  <c r="I374" i="15"/>
  <c r="E374" i="15"/>
  <c r="Q373" i="15"/>
  <c r="M373" i="15"/>
  <c r="G373" i="15"/>
  <c r="I373" i="15" s="1"/>
  <c r="E373" i="15"/>
  <c r="R373" i="15" s="1"/>
  <c r="Q372" i="15"/>
  <c r="M372" i="15"/>
  <c r="I372" i="15"/>
  <c r="E372" i="15"/>
  <c r="R372" i="15" s="1"/>
  <c r="Q371" i="15"/>
  <c r="M371" i="15"/>
  <c r="I371" i="15"/>
  <c r="E371" i="15"/>
  <c r="Q370" i="15"/>
  <c r="M370" i="15"/>
  <c r="H370" i="15"/>
  <c r="I370" i="15" s="1"/>
  <c r="E370" i="15"/>
  <c r="Q369" i="15"/>
  <c r="M369" i="15"/>
  <c r="I369" i="15"/>
  <c r="E369" i="15"/>
  <c r="R369" i="15" s="1"/>
  <c r="P368" i="15"/>
  <c r="O368" i="15"/>
  <c r="Q368" i="15" s="1"/>
  <c r="N368" i="15"/>
  <c r="M368" i="15"/>
  <c r="I368" i="15"/>
  <c r="D368" i="15"/>
  <c r="C368" i="15"/>
  <c r="E368" i="15" s="1"/>
  <c r="Q367" i="15"/>
  <c r="M367" i="15"/>
  <c r="I367" i="15"/>
  <c r="E367" i="15"/>
  <c r="Q366" i="15"/>
  <c r="M366" i="15"/>
  <c r="I366" i="15"/>
  <c r="E366" i="15"/>
  <c r="Q365" i="15"/>
  <c r="M365" i="15"/>
  <c r="R365" i="15" s="1"/>
  <c r="I365" i="15"/>
  <c r="E365" i="15"/>
  <c r="Q364" i="15"/>
  <c r="M364" i="15"/>
  <c r="I364" i="15"/>
  <c r="E364" i="15"/>
  <c r="Q363" i="15"/>
  <c r="M363" i="15"/>
  <c r="I363" i="15"/>
  <c r="E363" i="15"/>
  <c r="Q362" i="15"/>
  <c r="M362" i="15"/>
  <c r="I362" i="15"/>
  <c r="E362" i="15"/>
  <c r="Q361" i="15"/>
  <c r="M361" i="15"/>
  <c r="I361" i="15"/>
  <c r="E361" i="15"/>
  <c r="Q360" i="15"/>
  <c r="M360" i="15"/>
  <c r="I360" i="15"/>
  <c r="E360" i="15"/>
  <c r="Q359" i="15"/>
  <c r="M359" i="15"/>
  <c r="I359" i="15"/>
  <c r="E359" i="15"/>
  <c r="R359" i="15" s="1"/>
  <c r="Q358" i="15"/>
  <c r="M358" i="15"/>
  <c r="I358" i="15"/>
  <c r="E358" i="15"/>
  <c r="R358" i="15" s="1"/>
  <c r="Q357" i="15"/>
  <c r="M357" i="15"/>
  <c r="I357" i="15"/>
  <c r="E357" i="15"/>
  <c r="Q356" i="15"/>
  <c r="M356" i="15"/>
  <c r="I356" i="15"/>
  <c r="E356" i="15"/>
  <c r="R356" i="15" s="1"/>
  <c r="Q355" i="15"/>
  <c r="M355" i="15"/>
  <c r="I355" i="15"/>
  <c r="E355" i="15"/>
  <c r="R355" i="15" s="1"/>
  <c r="Q354" i="15"/>
  <c r="M354" i="15"/>
  <c r="I354" i="15"/>
  <c r="E354" i="15"/>
  <c r="R354" i="15" s="1"/>
  <c r="Q353" i="15"/>
  <c r="M353" i="15"/>
  <c r="I353" i="15"/>
  <c r="E353" i="15"/>
  <c r="Q352" i="15"/>
  <c r="M352" i="15"/>
  <c r="I352" i="15"/>
  <c r="E352" i="15"/>
  <c r="Q351" i="15"/>
  <c r="P351" i="15"/>
  <c r="O351" i="15"/>
  <c r="N351" i="15"/>
  <c r="L351" i="15"/>
  <c r="K351" i="15"/>
  <c r="J351" i="15"/>
  <c r="I351" i="15"/>
  <c r="H351" i="15"/>
  <c r="H397" i="15" s="1"/>
  <c r="G351" i="15"/>
  <c r="F351" i="15"/>
  <c r="D351" i="15"/>
  <c r="D397" i="15" s="1"/>
  <c r="D512" i="15" s="1"/>
  <c r="D517" i="15" s="1"/>
  <c r="C351" i="15"/>
  <c r="C397" i="15" s="1"/>
  <c r="B351" i="15"/>
  <c r="Q350" i="15"/>
  <c r="M350" i="15"/>
  <c r="I350" i="15"/>
  <c r="E350" i="15"/>
  <c r="R350" i="15" s="1"/>
  <c r="Q349" i="15"/>
  <c r="M349" i="15"/>
  <c r="I349" i="15"/>
  <c r="E349" i="15"/>
  <c r="Q348" i="15"/>
  <c r="M348" i="15"/>
  <c r="I348" i="15"/>
  <c r="E348" i="15"/>
  <c r="R348" i="15" s="1"/>
  <c r="Q347" i="15"/>
  <c r="M347" i="15"/>
  <c r="I347" i="15"/>
  <c r="E347" i="15"/>
  <c r="Q346" i="15"/>
  <c r="M346" i="15"/>
  <c r="I346" i="15"/>
  <c r="E346" i="15"/>
  <c r="Q345" i="15"/>
  <c r="M345" i="15"/>
  <c r="I345" i="15"/>
  <c r="E345" i="15"/>
  <c r="Q344" i="15"/>
  <c r="M344" i="15"/>
  <c r="I344" i="15"/>
  <c r="E344" i="15"/>
  <c r="Q343" i="15"/>
  <c r="M343" i="15"/>
  <c r="I343" i="15"/>
  <c r="E343" i="15"/>
  <c r="Q342" i="15"/>
  <c r="P342" i="15"/>
  <c r="O342" i="15"/>
  <c r="N342" i="15"/>
  <c r="N397" i="15" s="1"/>
  <c r="L342" i="15"/>
  <c r="L397" i="15" s="1"/>
  <c r="K342" i="15"/>
  <c r="I342" i="15"/>
  <c r="E342" i="15"/>
  <c r="P334" i="15"/>
  <c r="O334" i="15"/>
  <c r="N334" i="15"/>
  <c r="L334" i="15"/>
  <c r="K334" i="15"/>
  <c r="J334" i="15"/>
  <c r="H334" i="15"/>
  <c r="G334" i="15"/>
  <c r="I334" i="15" s="1"/>
  <c r="F334" i="15"/>
  <c r="D334" i="15"/>
  <c r="C334" i="15"/>
  <c r="B334" i="15"/>
  <c r="E334" i="15" s="1"/>
  <c r="Q332" i="15"/>
  <c r="M332" i="15"/>
  <c r="I332" i="15"/>
  <c r="E332" i="15"/>
  <c r="R332" i="15" s="1"/>
  <c r="R334" i="15" s="1"/>
  <c r="Q328" i="15"/>
  <c r="M328" i="15"/>
  <c r="I328" i="15"/>
  <c r="E328" i="15"/>
  <c r="Q321" i="15"/>
  <c r="M321" i="15"/>
  <c r="I321" i="15"/>
  <c r="E321" i="15"/>
  <c r="Q320" i="15"/>
  <c r="M320" i="15"/>
  <c r="I320" i="15"/>
  <c r="E320" i="15"/>
  <c r="Q319" i="15"/>
  <c r="M319" i="15"/>
  <c r="I319" i="15"/>
  <c r="E319" i="15"/>
  <c r="Q318" i="15"/>
  <c r="M318" i="15"/>
  <c r="I318" i="15"/>
  <c r="E318" i="15"/>
  <c r="Q317" i="15"/>
  <c r="M317" i="15"/>
  <c r="I317" i="15"/>
  <c r="E317" i="15"/>
  <c r="Q316" i="15"/>
  <c r="M316" i="15"/>
  <c r="I316" i="15"/>
  <c r="E316" i="15"/>
  <c r="Q314" i="15"/>
  <c r="P314" i="15"/>
  <c r="O314" i="15"/>
  <c r="N314" i="15"/>
  <c r="M314" i="15"/>
  <c r="L314" i="15"/>
  <c r="K314" i="15"/>
  <c r="J314" i="15"/>
  <c r="I314" i="15"/>
  <c r="H314" i="15"/>
  <c r="G314" i="15"/>
  <c r="F314" i="15"/>
  <c r="D314" i="15"/>
  <c r="C314" i="15"/>
  <c r="B314" i="15"/>
  <c r="P313" i="15"/>
  <c r="O313" i="15"/>
  <c r="N313" i="15"/>
  <c r="Q313" i="15" s="1"/>
  <c r="L313" i="15"/>
  <c r="K313" i="15"/>
  <c r="J313" i="15"/>
  <c r="H313" i="15"/>
  <c r="G313" i="15"/>
  <c r="I313" i="15" s="1"/>
  <c r="F313" i="15"/>
  <c r="D313" i="15"/>
  <c r="C313" i="15"/>
  <c r="B313" i="15"/>
  <c r="E313" i="15" s="1"/>
  <c r="Q312" i="15"/>
  <c r="M312" i="15"/>
  <c r="I312" i="15"/>
  <c r="E312" i="15"/>
  <c r="Q310" i="15"/>
  <c r="M310" i="15"/>
  <c r="I310" i="15"/>
  <c r="E310" i="15"/>
  <c r="Q308" i="15"/>
  <c r="M308" i="15"/>
  <c r="I308" i="15"/>
  <c r="E308" i="15"/>
  <c r="Q307" i="15"/>
  <c r="M307" i="15"/>
  <c r="I307" i="15"/>
  <c r="E307" i="15"/>
  <c r="R307" i="15" s="1"/>
  <c r="Q306" i="15"/>
  <c r="M306" i="15"/>
  <c r="I306" i="15"/>
  <c r="E306" i="15"/>
  <c r="Q305" i="15"/>
  <c r="R305" i="15" s="1"/>
  <c r="M305" i="15"/>
  <c r="I305" i="15"/>
  <c r="E305" i="15"/>
  <c r="Q304" i="15"/>
  <c r="M304" i="15"/>
  <c r="I304" i="15"/>
  <c r="E304" i="15"/>
  <c r="Q303" i="15"/>
  <c r="M303" i="15"/>
  <c r="I303" i="15"/>
  <c r="E303" i="15"/>
  <c r="Q302" i="15"/>
  <c r="R302" i="15" s="1"/>
  <c r="M302" i="15"/>
  <c r="I302" i="15"/>
  <c r="E302" i="15"/>
  <c r="Q301" i="15"/>
  <c r="M301" i="15"/>
  <c r="I301" i="15"/>
  <c r="E301" i="15"/>
  <c r="Q299" i="15"/>
  <c r="M299" i="15"/>
  <c r="I299" i="15"/>
  <c r="E299" i="15"/>
  <c r="Q298" i="15"/>
  <c r="M298" i="15"/>
  <c r="I298" i="15"/>
  <c r="E298" i="15"/>
  <c r="R298" i="15" s="1"/>
  <c r="G295" i="15"/>
  <c r="F295" i="15"/>
  <c r="D295" i="15"/>
  <c r="Q294" i="15"/>
  <c r="M294" i="15"/>
  <c r="I294" i="15"/>
  <c r="E294" i="15"/>
  <c r="Q293" i="15"/>
  <c r="M293" i="15"/>
  <c r="I293" i="15"/>
  <c r="E293" i="15"/>
  <c r="Q292" i="15"/>
  <c r="M292" i="15"/>
  <c r="I292" i="15"/>
  <c r="E292" i="15"/>
  <c r="R292" i="15" s="1"/>
  <c r="Q291" i="15"/>
  <c r="M291" i="15"/>
  <c r="I291" i="15"/>
  <c r="E291" i="15"/>
  <c r="Q290" i="15"/>
  <c r="M290" i="15"/>
  <c r="I290" i="15"/>
  <c r="E290" i="15"/>
  <c r="R290" i="15" s="1"/>
  <c r="Q289" i="15"/>
  <c r="M289" i="15"/>
  <c r="I289" i="15"/>
  <c r="E289" i="15"/>
  <c r="Q288" i="15"/>
  <c r="M288" i="15"/>
  <c r="I288" i="15"/>
  <c r="E288" i="15"/>
  <c r="Q287" i="15"/>
  <c r="M287" i="15"/>
  <c r="I287" i="15"/>
  <c r="E287" i="15"/>
  <c r="Q286" i="15"/>
  <c r="M286" i="15"/>
  <c r="I286" i="15"/>
  <c r="E286" i="15"/>
  <c r="Q285" i="15"/>
  <c r="M285" i="15"/>
  <c r="I285" i="15"/>
  <c r="E285" i="15"/>
  <c r="Q284" i="15"/>
  <c r="M284" i="15"/>
  <c r="I284" i="15"/>
  <c r="E284" i="15"/>
  <c r="Q283" i="15"/>
  <c r="M283" i="15"/>
  <c r="I283" i="15"/>
  <c r="E283" i="15"/>
  <c r="Q282" i="15"/>
  <c r="M282" i="15"/>
  <c r="I282" i="15"/>
  <c r="E282" i="15"/>
  <c r="Q281" i="15"/>
  <c r="M281" i="15"/>
  <c r="I281" i="15"/>
  <c r="E281" i="15"/>
  <c r="R281" i="15" s="1"/>
  <c r="Q280" i="15"/>
  <c r="M280" i="15"/>
  <c r="I280" i="15"/>
  <c r="E280" i="15"/>
  <c r="R280" i="15" s="1"/>
  <c r="Q279" i="15"/>
  <c r="M279" i="15"/>
  <c r="I279" i="15"/>
  <c r="E279" i="15"/>
  <c r="Q278" i="15"/>
  <c r="M278" i="15"/>
  <c r="I278" i="15"/>
  <c r="E278" i="15"/>
  <c r="Q277" i="15"/>
  <c r="M277" i="15"/>
  <c r="I277" i="15"/>
  <c r="E277" i="15"/>
  <c r="R277" i="15" s="1"/>
  <c r="Q276" i="15"/>
  <c r="M276" i="15"/>
  <c r="I276" i="15"/>
  <c r="E276" i="15"/>
  <c r="R276" i="15" s="1"/>
  <c r="Q275" i="15"/>
  <c r="M275" i="15"/>
  <c r="I275" i="15"/>
  <c r="E275" i="15"/>
  <c r="Q274" i="15"/>
  <c r="M274" i="15"/>
  <c r="I274" i="15"/>
  <c r="E274" i="15"/>
  <c r="R274" i="15" s="1"/>
  <c r="Q273" i="15"/>
  <c r="K273" i="15"/>
  <c r="M273" i="15" s="1"/>
  <c r="R273" i="15" s="1"/>
  <c r="I273" i="15"/>
  <c r="G273" i="15"/>
  <c r="G906" i="15" s="1"/>
  <c r="E273" i="15"/>
  <c r="Q272" i="15"/>
  <c r="M272" i="15"/>
  <c r="I272" i="15"/>
  <c r="E272" i="15"/>
  <c r="Q271" i="15"/>
  <c r="M271" i="15"/>
  <c r="I271" i="15"/>
  <c r="E271" i="15"/>
  <c r="Q270" i="15"/>
  <c r="M270" i="15"/>
  <c r="I270" i="15"/>
  <c r="E270" i="15"/>
  <c r="R270" i="15" s="1"/>
  <c r="Q269" i="15"/>
  <c r="M269" i="15"/>
  <c r="I269" i="15"/>
  <c r="E269" i="15"/>
  <c r="Q268" i="15"/>
  <c r="M268" i="15"/>
  <c r="I268" i="15"/>
  <c r="E268" i="15"/>
  <c r="Q267" i="15"/>
  <c r="M267" i="15"/>
  <c r="I267" i="15"/>
  <c r="E267" i="15"/>
  <c r="Q266" i="15"/>
  <c r="M266" i="15"/>
  <c r="I266" i="15"/>
  <c r="E266" i="15"/>
  <c r="Q265" i="15"/>
  <c r="M265" i="15"/>
  <c r="I265" i="15"/>
  <c r="E265" i="15"/>
  <c r="Q264" i="15"/>
  <c r="M264" i="15"/>
  <c r="I264" i="15"/>
  <c r="E264" i="15"/>
  <c r="Q263" i="15"/>
  <c r="M263" i="15"/>
  <c r="I263" i="15"/>
  <c r="E263" i="15"/>
  <c r="Q262" i="15"/>
  <c r="M262" i="15"/>
  <c r="I262" i="15"/>
  <c r="E262" i="15"/>
  <c r="Q261" i="15"/>
  <c r="M261" i="15"/>
  <c r="I261" i="15"/>
  <c r="E261" i="15"/>
  <c r="Q260" i="15"/>
  <c r="M260" i="15"/>
  <c r="I260" i="15"/>
  <c r="E260" i="15"/>
  <c r="Q259" i="15"/>
  <c r="M259" i="15"/>
  <c r="I259" i="15"/>
  <c r="E259" i="15"/>
  <c r="Q258" i="15"/>
  <c r="M258" i="15"/>
  <c r="I258" i="15"/>
  <c r="E258" i="15"/>
  <c r="O257" i="15"/>
  <c r="N257" i="15"/>
  <c r="Q257" i="15" s="1"/>
  <c r="M257" i="15"/>
  <c r="L257" i="15"/>
  <c r="I257" i="15"/>
  <c r="E257" i="15"/>
  <c r="Q256" i="15"/>
  <c r="O256" i="15"/>
  <c r="M256" i="15"/>
  <c r="I256" i="15"/>
  <c r="E256" i="15"/>
  <c r="Q255" i="15"/>
  <c r="M255" i="15"/>
  <c r="I255" i="15"/>
  <c r="E255" i="15"/>
  <c r="R255" i="15" s="1"/>
  <c r="Q254" i="15"/>
  <c r="M254" i="15"/>
  <c r="I254" i="15"/>
  <c r="E254" i="15"/>
  <c r="Q253" i="15"/>
  <c r="M253" i="15"/>
  <c r="I253" i="15"/>
  <c r="E253" i="15"/>
  <c r="Q252" i="15"/>
  <c r="M252" i="15"/>
  <c r="I252" i="15"/>
  <c r="E252" i="15"/>
  <c r="Q251" i="15"/>
  <c r="M251" i="15"/>
  <c r="I251" i="15"/>
  <c r="E251" i="15"/>
  <c r="Q250" i="15"/>
  <c r="M250" i="15"/>
  <c r="I250" i="15"/>
  <c r="E250" i="15"/>
  <c r="R250" i="15" s="1"/>
  <c r="Q249" i="15"/>
  <c r="M249" i="15"/>
  <c r="I249" i="15"/>
  <c r="E249" i="15"/>
  <c r="Q248" i="15"/>
  <c r="M248" i="15"/>
  <c r="I248" i="15"/>
  <c r="E248" i="15"/>
  <c r="Q247" i="15"/>
  <c r="M247" i="15"/>
  <c r="I247" i="15"/>
  <c r="E247" i="15"/>
  <c r="Q246" i="15"/>
  <c r="M246" i="15"/>
  <c r="I246" i="15"/>
  <c r="E246" i="15"/>
  <c r="Q245" i="15"/>
  <c r="M245" i="15"/>
  <c r="I245" i="15"/>
  <c r="E245" i="15"/>
  <c r="P244" i="15"/>
  <c r="Q244" i="15" s="1"/>
  <c r="M244" i="15"/>
  <c r="I244" i="15"/>
  <c r="R244" i="15" s="1"/>
  <c r="E244" i="15"/>
  <c r="Q243" i="15"/>
  <c r="P243" i="15"/>
  <c r="M243" i="15"/>
  <c r="I243" i="15"/>
  <c r="E243" i="15"/>
  <c r="Q242" i="15"/>
  <c r="M242" i="15"/>
  <c r="I242" i="15"/>
  <c r="E242" i="15"/>
  <c r="Q241" i="15"/>
  <c r="M241" i="15"/>
  <c r="I241" i="15"/>
  <c r="E241" i="15"/>
  <c r="Q240" i="15"/>
  <c r="M240" i="15"/>
  <c r="I240" i="15"/>
  <c r="E240" i="15"/>
  <c r="Q239" i="15"/>
  <c r="M239" i="15"/>
  <c r="I239" i="15"/>
  <c r="E239" i="15"/>
  <c r="Q238" i="15"/>
  <c r="M238" i="15"/>
  <c r="I238" i="15"/>
  <c r="C238" i="15"/>
  <c r="C906" i="15" s="1"/>
  <c r="B238" i="15"/>
  <c r="Q237" i="15"/>
  <c r="M237" i="15"/>
  <c r="I237" i="15"/>
  <c r="E237" i="15"/>
  <c r="Q236" i="15"/>
  <c r="M236" i="15"/>
  <c r="I236" i="15"/>
  <c r="E236" i="15"/>
  <c r="Q235" i="15"/>
  <c r="M235" i="15"/>
  <c r="I235" i="15"/>
  <c r="E235" i="15"/>
  <c r="Q234" i="15"/>
  <c r="M234" i="15"/>
  <c r="I234" i="15"/>
  <c r="E234" i="15"/>
  <c r="R234" i="15" s="1"/>
  <c r="Q233" i="15"/>
  <c r="M233" i="15"/>
  <c r="I233" i="15"/>
  <c r="E233" i="15"/>
  <c r="Q232" i="15"/>
  <c r="M232" i="15"/>
  <c r="I232" i="15"/>
  <c r="E232" i="15"/>
  <c r="R232" i="15" s="1"/>
  <c r="Q231" i="15"/>
  <c r="M231" i="15"/>
  <c r="I231" i="15"/>
  <c r="E231" i="15"/>
  <c r="Q230" i="15"/>
  <c r="M230" i="15"/>
  <c r="I230" i="15"/>
  <c r="E230" i="15"/>
  <c r="R230" i="15" s="1"/>
  <c r="Q229" i="15"/>
  <c r="P229" i="15"/>
  <c r="P295" i="15" s="1"/>
  <c r="O229" i="15"/>
  <c r="N229" i="15"/>
  <c r="N906" i="15" s="1"/>
  <c r="M229" i="15"/>
  <c r="L229" i="15"/>
  <c r="K229" i="15"/>
  <c r="J229" i="15"/>
  <c r="I229" i="15"/>
  <c r="H229" i="15"/>
  <c r="H906" i="15" s="1"/>
  <c r="E229" i="15"/>
  <c r="Q228" i="15"/>
  <c r="M228" i="15"/>
  <c r="I228" i="15"/>
  <c r="E228" i="15"/>
  <c r="Q227" i="15"/>
  <c r="M227" i="15"/>
  <c r="I227" i="15"/>
  <c r="E227" i="15"/>
  <c r="Q226" i="15"/>
  <c r="M226" i="15"/>
  <c r="I226" i="15"/>
  <c r="E226" i="15"/>
  <c r="P222" i="15"/>
  <c r="O222" i="15"/>
  <c r="N222" i="15"/>
  <c r="L222" i="15"/>
  <c r="K222" i="15"/>
  <c r="J222" i="15"/>
  <c r="I222" i="15"/>
  <c r="D222" i="15"/>
  <c r="C222" i="15"/>
  <c r="E222" i="15" s="1"/>
  <c r="B222" i="15"/>
  <c r="Q220" i="15"/>
  <c r="M220" i="15"/>
  <c r="I220" i="15"/>
  <c r="E220" i="15"/>
  <c r="Q219" i="15"/>
  <c r="M219" i="15"/>
  <c r="I219" i="15"/>
  <c r="E219" i="15"/>
  <c r="N215" i="15"/>
  <c r="K215" i="15"/>
  <c r="F215" i="15"/>
  <c r="D215" i="15"/>
  <c r="Q213" i="15"/>
  <c r="M213" i="15"/>
  <c r="I213" i="15"/>
  <c r="E213" i="15"/>
  <c r="Q212" i="15"/>
  <c r="M212" i="15"/>
  <c r="I212" i="15"/>
  <c r="E212" i="15"/>
  <c r="Q211" i="15"/>
  <c r="M211" i="15"/>
  <c r="I211" i="15"/>
  <c r="E211" i="15"/>
  <c r="Q209" i="15"/>
  <c r="M209" i="15"/>
  <c r="I209" i="15"/>
  <c r="E209" i="15"/>
  <c r="Q208" i="15"/>
  <c r="M208" i="15"/>
  <c r="I208" i="15"/>
  <c r="E208" i="15"/>
  <c r="Q207" i="15"/>
  <c r="M207" i="15"/>
  <c r="I207" i="15"/>
  <c r="E207" i="15"/>
  <c r="Q206" i="15"/>
  <c r="M206" i="15"/>
  <c r="I206" i="15"/>
  <c r="R206" i="15" s="1"/>
  <c r="E206" i="15"/>
  <c r="Q205" i="15"/>
  <c r="M205" i="15"/>
  <c r="I205" i="15"/>
  <c r="E205" i="15"/>
  <c r="R205" i="15" s="1"/>
  <c r="Q204" i="15"/>
  <c r="M204" i="15"/>
  <c r="I204" i="15"/>
  <c r="E204" i="15"/>
  <c r="Q203" i="15"/>
  <c r="M203" i="15"/>
  <c r="I203" i="15"/>
  <c r="E203" i="15"/>
  <c r="Q202" i="15"/>
  <c r="M202" i="15"/>
  <c r="I202" i="15"/>
  <c r="E202" i="15"/>
  <c r="Q201" i="15"/>
  <c r="M201" i="15"/>
  <c r="I201" i="15"/>
  <c r="E201" i="15"/>
  <c r="Q200" i="15"/>
  <c r="M200" i="15"/>
  <c r="I200" i="15"/>
  <c r="E200" i="15"/>
  <c r="Q198" i="15"/>
  <c r="M198" i="15"/>
  <c r="R198" i="15" s="1"/>
  <c r="I198" i="15"/>
  <c r="E198" i="15"/>
  <c r="Q197" i="15"/>
  <c r="M197" i="15"/>
  <c r="I197" i="15"/>
  <c r="E197" i="15"/>
  <c r="Q196" i="15"/>
  <c r="M196" i="15"/>
  <c r="I196" i="15"/>
  <c r="E196" i="15"/>
  <c r="Q195" i="15"/>
  <c r="M195" i="15"/>
  <c r="I195" i="15"/>
  <c r="E195" i="15"/>
  <c r="R195" i="15" s="1"/>
  <c r="Q194" i="15"/>
  <c r="M194" i="15"/>
  <c r="I194" i="15"/>
  <c r="E194" i="15"/>
  <c r="Q193" i="15"/>
  <c r="M193" i="15"/>
  <c r="I193" i="15"/>
  <c r="E193" i="15"/>
  <c r="R193" i="15" s="1"/>
  <c r="Q192" i="15"/>
  <c r="J192" i="15"/>
  <c r="M192" i="15" s="1"/>
  <c r="I192" i="15"/>
  <c r="E192" i="15"/>
  <c r="R192" i="15" s="1"/>
  <c r="Q191" i="15"/>
  <c r="L191" i="15"/>
  <c r="I191" i="15"/>
  <c r="E191" i="15"/>
  <c r="Q190" i="15"/>
  <c r="M190" i="15"/>
  <c r="I190" i="15"/>
  <c r="E190" i="15"/>
  <c r="Q189" i="15"/>
  <c r="M189" i="15"/>
  <c r="I189" i="15"/>
  <c r="E189" i="15"/>
  <c r="P188" i="15"/>
  <c r="O188" i="15"/>
  <c r="Q188" i="15" s="1"/>
  <c r="M188" i="15"/>
  <c r="I188" i="15"/>
  <c r="G188" i="15"/>
  <c r="E188" i="15"/>
  <c r="D188" i="15"/>
  <c r="C188" i="15"/>
  <c r="P187" i="15"/>
  <c r="P215" i="15" s="1"/>
  <c r="O187" i="15"/>
  <c r="N187" i="15"/>
  <c r="L187" i="15"/>
  <c r="K187" i="15"/>
  <c r="K892" i="15" s="1"/>
  <c r="K898" i="15" s="1"/>
  <c r="J187" i="15"/>
  <c r="H187" i="15"/>
  <c r="H892" i="15" s="1"/>
  <c r="G187" i="15"/>
  <c r="G892" i="15" s="1"/>
  <c r="G898" i="15" s="1"/>
  <c r="F187" i="15"/>
  <c r="F892" i="15" s="1"/>
  <c r="D187" i="15"/>
  <c r="C187" i="15"/>
  <c r="C892" i="15" s="1"/>
  <c r="B187" i="15"/>
  <c r="Q186" i="15"/>
  <c r="M186" i="15"/>
  <c r="I186" i="15"/>
  <c r="E186" i="15"/>
  <c r="Q185" i="15"/>
  <c r="M185" i="15"/>
  <c r="I185" i="15"/>
  <c r="E185" i="15"/>
  <c r="R185" i="15" s="1"/>
  <c r="Q184" i="15"/>
  <c r="M184" i="15"/>
  <c r="I184" i="15"/>
  <c r="E184" i="15"/>
  <c r="Q183" i="15"/>
  <c r="M183" i="15"/>
  <c r="I183" i="15"/>
  <c r="E183" i="15"/>
  <c r="R183" i="15" s="1"/>
  <c r="Q182" i="15"/>
  <c r="M182" i="15"/>
  <c r="I182" i="15"/>
  <c r="E182" i="15"/>
  <c r="Q181" i="15"/>
  <c r="M181" i="15"/>
  <c r="I181" i="15"/>
  <c r="E181" i="15"/>
  <c r="R181" i="15" s="1"/>
  <c r="Q180" i="15"/>
  <c r="M180" i="15"/>
  <c r="I180" i="15"/>
  <c r="E180" i="15"/>
  <c r="Q179" i="15"/>
  <c r="O179" i="15"/>
  <c r="N179" i="15"/>
  <c r="M179" i="15"/>
  <c r="L179" i="15"/>
  <c r="I179" i="15"/>
  <c r="E179" i="15"/>
  <c r="Q178" i="15"/>
  <c r="M178" i="15"/>
  <c r="I178" i="15"/>
  <c r="E178" i="15"/>
  <c r="Q177" i="15"/>
  <c r="M177" i="15"/>
  <c r="I177" i="15"/>
  <c r="E177" i="15"/>
  <c r="Q176" i="15"/>
  <c r="M176" i="15"/>
  <c r="I176" i="15"/>
  <c r="E176" i="15"/>
  <c r="Q175" i="15"/>
  <c r="R175" i="15" s="1"/>
  <c r="M175" i="15"/>
  <c r="I175" i="15"/>
  <c r="E175" i="15"/>
  <c r="Q174" i="15"/>
  <c r="M174" i="15"/>
  <c r="I174" i="15"/>
  <c r="E174" i="15"/>
  <c r="Q173" i="15"/>
  <c r="M173" i="15"/>
  <c r="I173" i="15"/>
  <c r="E173" i="15"/>
  <c r="Q172" i="15"/>
  <c r="M172" i="15"/>
  <c r="I172" i="15"/>
  <c r="E172" i="15"/>
  <c r="R172" i="15" s="1"/>
  <c r="Q171" i="15"/>
  <c r="M171" i="15"/>
  <c r="I171" i="15"/>
  <c r="E171" i="15"/>
  <c r="Q170" i="15"/>
  <c r="M170" i="15"/>
  <c r="I170" i="15"/>
  <c r="E170" i="15"/>
  <c r="Q169" i="15"/>
  <c r="M169" i="15"/>
  <c r="I169" i="15"/>
  <c r="E169" i="15"/>
  <c r="Q168" i="15"/>
  <c r="M168" i="15"/>
  <c r="I168" i="15"/>
  <c r="E168" i="15"/>
  <c r="Q167" i="15"/>
  <c r="M167" i="15"/>
  <c r="I167" i="15"/>
  <c r="E167" i="15"/>
  <c r="Q166" i="15"/>
  <c r="M166" i="15"/>
  <c r="I166" i="15"/>
  <c r="E166" i="15"/>
  <c r="Q165" i="15"/>
  <c r="M165" i="15"/>
  <c r="I165" i="15"/>
  <c r="R165" i="15" s="1"/>
  <c r="E165" i="15"/>
  <c r="Q164" i="15"/>
  <c r="M164" i="15"/>
  <c r="I164" i="15"/>
  <c r="E164" i="15"/>
  <c r="R164" i="15" s="1"/>
  <c r="Q163" i="15"/>
  <c r="M163" i="15"/>
  <c r="I163" i="15"/>
  <c r="E163" i="15"/>
  <c r="Q162" i="15"/>
  <c r="M162" i="15"/>
  <c r="I162" i="15"/>
  <c r="E162" i="15"/>
  <c r="Q161" i="15"/>
  <c r="M161" i="15"/>
  <c r="I161" i="15"/>
  <c r="E161" i="15"/>
  <c r="Q160" i="15"/>
  <c r="M160" i="15"/>
  <c r="I160" i="15"/>
  <c r="E160" i="15"/>
  <c r="Q159" i="15"/>
  <c r="M159" i="15"/>
  <c r="I159" i="15"/>
  <c r="E159" i="15"/>
  <c r="Q158" i="15"/>
  <c r="M158" i="15"/>
  <c r="I158" i="15"/>
  <c r="E158" i="15"/>
  <c r="R158" i="15" s="1"/>
  <c r="Q157" i="15"/>
  <c r="M157" i="15"/>
  <c r="I157" i="15"/>
  <c r="E157" i="15"/>
  <c r="P156" i="15"/>
  <c r="M156" i="15"/>
  <c r="I156" i="15"/>
  <c r="E156" i="15"/>
  <c r="Q155" i="15"/>
  <c r="M155" i="15"/>
  <c r="I155" i="15"/>
  <c r="E155" i="15"/>
  <c r="Q154" i="15"/>
  <c r="M154" i="15"/>
  <c r="I154" i="15"/>
  <c r="E154" i="15"/>
  <c r="Q153" i="15"/>
  <c r="M153" i="15"/>
  <c r="I153" i="15"/>
  <c r="E153" i="15"/>
  <c r="Q152" i="15"/>
  <c r="M152" i="15"/>
  <c r="I152" i="15"/>
  <c r="E152" i="15"/>
  <c r="Q151" i="15"/>
  <c r="M151" i="15"/>
  <c r="I151" i="15"/>
  <c r="E151" i="15"/>
  <c r="R151" i="15" s="1"/>
  <c r="Q150" i="15"/>
  <c r="M150" i="15"/>
  <c r="I150" i="15"/>
  <c r="E150" i="15"/>
  <c r="R150" i="15" s="1"/>
  <c r="Q149" i="15"/>
  <c r="M149" i="15"/>
  <c r="I149" i="15"/>
  <c r="E149" i="15"/>
  <c r="R149" i="15" s="1"/>
  <c r="Q148" i="15"/>
  <c r="M148" i="15"/>
  <c r="I148" i="15"/>
  <c r="E148" i="15"/>
  <c r="Q147" i="15"/>
  <c r="M147" i="15"/>
  <c r="I147" i="15"/>
  <c r="E147" i="15"/>
  <c r="Q146" i="15"/>
  <c r="M146" i="15"/>
  <c r="I146" i="15"/>
  <c r="E146" i="15"/>
  <c r="Q145" i="15"/>
  <c r="M145" i="15"/>
  <c r="I145" i="15"/>
  <c r="E145" i="15"/>
  <c r="Q144" i="15"/>
  <c r="M144" i="15"/>
  <c r="I144" i="15"/>
  <c r="E144" i="15"/>
  <c r="Q143" i="15"/>
  <c r="M143" i="15"/>
  <c r="I143" i="15"/>
  <c r="E143" i="15"/>
  <c r="R143" i="15" s="1"/>
  <c r="Q131" i="15"/>
  <c r="M131" i="15"/>
  <c r="I131" i="15"/>
  <c r="E131" i="15"/>
  <c r="P129" i="15"/>
  <c r="O129" i="15"/>
  <c r="N129" i="15"/>
  <c r="L129" i="15"/>
  <c r="K129" i="15"/>
  <c r="J129" i="15"/>
  <c r="H129" i="15"/>
  <c r="G129" i="15"/>
  <c r="F129" i="15"/>
  <c r="I129" i="15" s="1"/>
  <c r="D129" i="15"/>
  <c r="C129" i="15"/>
  <c r="B129" i="15"/>
  <c r="P128" i="15"/>
  <c r="O128" i="15"/>
  <c r="N128" i="15"/>
  <c r="L128" i="15"/>
  <c r="K128" i="15"/>
  <c r="J128" i="15"/>
  <c r="H128" i="15"/>
  <c r="I128" i="15" s="1"/>
  <c r="G128" i="15"/>
  <c r="F128" i="15"/>
  <c r="D128" i="15"/>
  <c r="C128" i="15"/>
  <c r="B128" i="15"/>
  <c r="Q127" i="15"/>
  <c r="M127" i="15"/>
  <c r="I127" i="15"/>
  <c r="E127" i="15"/>
  <c r="Q126" i="15"/>
  <c r="M126" i="15"/>
  <c r="I126" i="15"/>
  <c r="E126" i="15"/>
  <c r="R126" i="15" s="1"/>
  <c r="Q124" i="15"/>
  <c r="M124" i="15"/>
  <c r="I124" i="15"/>
  <c r="E124" i="15"/>
  <c r="Q122" i="15"/>
  <c r="M122" i="15"/>
  <c r="R122" i="15" s="1"/>
  <c r="I122" i="15"/>
  <c r="E122" i="15"/>
  <c r="Q121" i="15"/>
  <c r="M121" i="15"/>
  <c r="I121" i="15"/>
  <c r="E121" i="15"/>
  <c r="Q119" i="15"/>
  <c r="M119" i="15"/>
  <c r="I119" i="15"/>
  <c r="E119" i="15"/>
  <c r="Q118" i="15"/>
  <c r="M118" i="15"/>
  <c r="I118" i="15"/>
  <c r="E118" i="15"/>
  <c r="Q117" i="15"/>
  <c r="M117" i="15"/>
  <c r="I117" i="15"/>
  <c r="E117" i="15"/>
  <c r="Q116" i="15"/>
  <c r="M116" i="15"/>
  <c r="I116" i="15"/>
  <c r="E116" i="15"/>
  <c r="Q115" i="15"/>
  <c r="M115" i="15"/>
  <c r="I115" i="15"/>
  <c r="E115" i="15"/>
  <c r="R115" i="15" s="1"/>
  <c r="Q114" i="15"/>
  <c r="M114" i="15"/>
  <c r="I114" i="15"/>
  <c r="E114" i="15"/>
  <c r="Q113" i="15"/>
  <c r="M113" i="15"/>
  <c r="I113" i="15"/>
  <c r="E113" i="15"/>
  <c r="Q112" i="15"/>
  <c r="M112" i="15"/>
  <c r="I112" i="15"/>
  <c r="E112" i="15"/>
  <c r="P109" i="15"/>
  <c r="O109" i="15"/>
  <c r="N109" i="15"/>
  <c r="L109" i="15"/>
  <c r="K109" i="15"/>
  <c r="J109" i="15"/>
  <c r="H109" i="15"/>
  <c r="G109" i="15"/>
  <c r="F109" i="15"/>
  <c r="I109" i="15" s="1"/>
  <c r="D109" i="15"/>
  <c r="C109" i="15"/>
  <c r="B109" i="15"/>
  <c r="Q108" i="15"/>
  <c r="M108" i="15"/>
  <c r="I108" i="15"/>
  <c r="E108" i="15"/>
  <c r="Q107" i="15"/>
  <c r="M107" i="15"/>
  <c r="I107" i="15"/>
  <c r="E107" i="15"/>
  <c r="Q106" i="15"/>
  <c r="M106" i="15"/>
  <c r="I106" i="15"/>
  <c r="E106" i="15"/>
  <c r="Q105" i="15"/>
  <c r="M105" i="15"/>
  <c r="I105" i="15"/>
  <c r="E105" i="15"/>
  <c r="Q104" i="15"/>
  <c r="M104" i="15"/>
  <c r="I104" i="15"/>
  <c r="E104" i="15"/>
  <c r="Q103" i="15"/>
  <c r="M103" i="15"/>
  <c r="I103" i="15"/>
  <c r="E103" i="15"/>
  <c r="Q102" i="15"/>
  <c r="R102" i="15" s="1"/>
  <c r="M102" i="15"/>
  <c r="I102" i="15"/>
  <c r="E102" i="15"/>
  <c r="Q101" i="15"/>
  <c r="M101" i="15"/>
  <c r="I101" i="15"/>
  <c r="E101" i="15"/>
  <c r="R101" i="15" s="1"/>
  <c r="Q100" i="15"/>
  <c r="M100" i="15"/>
  <c r="I100" i="15"/>
  <c r="E100" i="15"/>
  <c r="P96" i="15"/>
  <c r="Q96" i="15" s="1"/>
  <c r="O96" i="15"/>
  <c r="N96" i="15"/>
  <c r="L96" i="15"/>
  <c r="K96" i="15"/>
  <c r="J96" i="15"/>
  <c r="H96" i="15"/>
  <c r="G96" i="15"/>
  <c r="F96" i="15"/>
  <c r="D96" i="15"/>
  <c r="C96" i="15"/>
  <c r="B96" i="15"/>
  <c r="Q94" i="15"/>
  <c r="M94" i="15"/>
  <c r="I94" i="15"/>
  <c r="E94" i="15"/>
  <c r="Q93" i="15"/>
  <c r="M93" i="15"/>
  <c r="I93" i="15"/>
  <c r="E93" i="15"/>
  <c r="R93" i="15" s="1"/>
  <c r="P89" i="15"/>
  <c r="P130" i="15" s="1"/>
  <c r="P133" i="15" s="1"/>
  <c r="O89" i="15"/>
  <c r="N89" i="15"/>
  <c r="L89" i="15"/>
  <c r="L130" i="15" s="1"/>
  <c r="L133" i="15" s="1"/>
  <c r="K89" i="15"/>
  <c r="J89" i="15"/>
  <c r="H89" i="15"/>
  <c r="G89" i="15"/>
  <c r="G130" i="15" s="1"/>
  <c r="G133" i="15" s="1"/>
  <c r="F89" i="15"/>
  <c r="D89" i="15"/>
  <c r="C89" i="15"/>
  <c r="B89" i="15"/>
  <c r="B130" i="15" s="1"/>
  <c r="Q87" i="15"/>
  <c r="M87" i="15"/>
  <c r="I87" i="15"/>
  <c r="E87" i="15"/>
  <c r="R87" i="15" s="1"/>
  <c r="Q86" i="15"/>
  <c r="M86" i="15"/>
  <c r="I86" i="15"/>
  <c r="E86" i="15"/>
  <c r="Q84" i="15"/>
  <c r="M84" i="15"/>
  <c r="I84" i="15"/>
  <c r="E84" i="15"/>
  <c r="R84" i="15" s="1"/>
  <c r="Q82" i="15"/>
  <c r="M82" i="15"/>
  <c r="I82" i="15"/>
  <c r="E82" i="15"/>
  <c r="Q81" i="15"/>
  <c r="M81" i="15"/>
  <c r="I81" i="15"/>
  <c r="E81" i="15"/>
  <c r="Q80" i="15"/>
  <c r="M80" i="15"/>
  <c r="I80" i="15"/>
  <c r="E80" i="15"/>
  <c r="R80" i="15" s="1"/>
  <c r="Q79" i="15"/>
  <c r="M79" i="15"/>
  <c r="I79" i="15"/>
  <c r="E79" i="15"/>
  <c r="Q78" i="15"/>
  <c r="M78" i="15"/>
  <c r="I78" i="15"/>
  <c r="E78" i="15"/>
  <c r="R78" i="15" s="1"/>
  <c r="Q77" i="15"/>
  <c r="M77" i="15"/>
  <c r="I77" i="15"/>
  <c r="E77" i="15"/>
  <c r="Q76" i="15"/>
  <c r="M76" i="15"/>
  <c r="I76" i="15"/>
  <c r="E76" i="15"/>
  <c r="Q75" i="15"/>
  <c r="M75" i="15"/>
  <c r="I75" i="15"/>
  <c r="E75" i="15"/>
  <c r="Q74" i="15"/>
  <c r="M74" i="15"/>
  <c r="I74" i="15"/>
  <c r="E74" i="15"/>
  <c r="Q73" i="15"/>
  <c r="M73" i="15"/>
  <c r="I73" i="15"/>
  <c r="E73" i="15"/>
  <c r="Q72" i="15"/>
  <c r="M72" i="15"/>
  <c r="I72" i="15"/>
  <c r="E72" i="15"/>
  <c r="Q60" i="15"/>
  <c r="M60" i="15"/>
  <c r="I60" i="15"/>
  <c r="E60" i="15"/>
  <c r="P58" i="15"/>
  <c r="O58" i="15"/>
  <c r="N58" i="15"/>
  <c r="L58" i="15"/>
  <c r="K58" i="15"/>
  <c r="M58" i="15" s="1"/>
  <c r="J58" i="15"/>
  <c r="H58" i="15"/>
  <c r="G58" i="15"/>
  <c r="F58" i="15"/>
  <c r="I58" i="15" s="1"/>
  <c r="D58" i="15"/>
  <c r="C58" i="15"/>
  <c r="B58" i="15"/>
  <c r="E58" i="15" s="1"/>
  <c r="P57" i="15"/>
  <c r="O57" i="15"/>
  <c r="N57" i="15"/>
  <c r="L57" i="15"/>
  <c r="M57" i="15" s="1"/>
  <c r="K57" i="15"/>
  <c r="J57" i="15"/>
  <c r="H57" i="15"/>
  <c r="G57" i="15"/>
  <c r="F57" i="15"/>
  <c r="D57" i="15"/>
  <c r="C57" i="15"/>
  <c r="B57" i="15"/>
  <c r="Q54" i="15"/>
  <c r="M54" i="15"/>
  <c r="I54" i="15"/>
  <c r="E54" i="15"/>
  <c r="P50" i="15"/>
  <c r="O50" i="15"/>
  <c r="N50" i="15"/>
  <c r="L50" i="15"/>
  <c r="K50" i="15"/>
  <c r="J50" i="15"/>
  <c r="H50" i="15"/>
  <c r="G50" i="15"/>
  <c r="F50" i="15"/>
  <c r="D50" i="15"/>
  <c r="C50" i="15"/>
  <c r="B50" i="15"/>
  <c r="E50" i="15" s="1"/>
  <c r="P46" i="15"/>
  <c r="O46" i="15"/>
  <c r="N46" i="15"/>
  <c r="M46" i="15"/>
  <c r="L46" i="15"/>
  <c r="K46" i="15"/>
  <c r="J46" i="15"/>
  <c r="H46" i="15"/>
  <c r="G46" i="15"/>
  <c r="F46" i="15"/>
  <c r="D46" i="15"/>
  <c r="C46" i="15"/>
  <c r="B46" i="15"/>
  <c r="P41" i="15"/>
  <c r="O41" i="15"/>
  <c r="N41" i="15"/>
  <c r="L41" i="15"/>
  <c r="M41" i="15" s="1"/>
  <c r="K41" i="15"/>
  <c r="J41" i="15"/>
  <c r="H41" i="15"/>
  <c r="H59" i="15" s="1"/>
  <c r="H62" i="15" s="1"/>
  <c r="G41" i="15"/>
  <c r="F41" i="15"/>
  <c r="D41" i="15"/>
  <c r="C41" i="15"/>
  <c r="B41" i="15"/>
  <c r="Q38" i="15"/>
  <c r="M38" i="15"/>
  <c r="I38" i="15"/>
  <c r="E38" i="15"/>
  <c r="P27" i="15"/>
  <c r="O27" i="15"/>
  <c r="N27" i="15"/>
  <c r="L27" i="15"/>
  <c r="K27" i="15"/>
  <c r="J27" i="15"/>
  <c r="H27" i="15"/>
  <c r="G27" i="15"/>
  <c r="F27" i="15"/>
  <c r="D27" i="15"/>
  <c r="C27" i="15"/>
  <c r="B27" i="15"/>
  <c r="Q25" i="15"/>
  <c r="M25" i="15"/>
  <c r="I25" i="15"/>
  <c r="E25" i="15"/>
  <c r="R25" i="15" s="1"/>
  <c r="M20" i="15"/>
  <c r="I20" i="15"/>
  <c r="E20" i="15"/>
  <c r="P18" i="15"/>
  <c r="Q18" i="15" s="1"/>
  <c r="O18" i="15"/>
  <c r="N18" i="15"/>
  <c r="L18" i="15"/>
  <c r="K18" i="15"/>
  <c r="J18" i="15"/>
  <c r="H18" i="15"/>
  <c r="G18" i="15"/>
  <c r="F18" i="15"/>
  <c r="D18" i="15"/>
  <c r="C18" i="15"/>
  <c r="B18" i="15"/>
  <c r="E18" i="15" s="1"/>
  <c r="P17" i="15"/>
  <c r="O17" i="15"/>
  <c r="N17" i="15"/>
  <c r="Q17" i="15" s="1"/>
  <c r="L17" i="15"/>
  <c r="K17" i="15"/>
  <c r="J17" i="15"/>
  <c r="M17" i="15" s="1"/>
  <c r="H17" i="15"/>
  <c r="G17" i="15"/>
  <c r="F17" i="15"/>
  <c r="I17" i="15" s="1"/>
  <c r="D17" i="15"/>
  <c r="C17" i="15"/>
  <c r="B17" i="15"/>
  <c r="E17" i="15" s="1"/>
  <c r="P16" i="15"/>
  <c r="O16" i="15"/>
  <c r="N16" i="15"/>
  <c r="L16" i="15"/>
  <c r="K16" i="15"/>
  <c r="J16" i="15"/>
  <c r="H16" i="15"/>
  <c r="G16" i="15"/>
  <c r="F16" i="15"/>
  <c r="D16" i="15"/>
  <c r="C16" i="15"/>
  <c r="B16" i="15"/>
  <c r="E16" i="15" s="1"/>
  <c r="P15" i="15"/>
  <c r="O15" i="15"/>
  <c r="N15" i="15"/>
  <c r="M15" i="15"/>
  <c r="L15" i="15"/>
  <c r="K15" i="15"/>
  <c r="J15" i="15"/>
  <c r="H15" i="15"/>
  <c r="G15" i="15"/>
  <c r="F15" i="15"/>
  <c r="D15" i="15"/>
  <c r="C15" i="15"/>
  <c r="B15" i="15"/>
  <c r="E15" i="15" s="1"/>
  <c r="P14" i="15"/>
  <c r="O14" i="15"/>
  <c r="N14" i="15"/>
  <c r="L14" i="15"/>
  <c r="K14" i="15"/>
  <c r="J14" i="15"/>
  <c r="H14" i="15"/>
  <c r="G14" i="15"/>
  <c r="F14" i="15"/>
  <c r="D14" i="15"/>
  <c r="E14" i="15" s="1"/>
  <c r="C14" i="15"/>
  <c r="B14" i="15"/>
  <c r="F993" i="15"/>
  <c r="L788" i="15"/>
  <c r="F988" i="15"/>
  <c r="H788" i="15"/>
  <c r="F986" i="15"/>
  <c r="F985" i="15"/>
  <c r="D28" i="15"/>
  <c r="B28" i="15"/>
  <c r="R1" i="15"/>
  <c r="O1181" i="14"/>
  <c r="K1181" i="14"/>
  <c r="G1181" i="14"/>
  <c r="Q1178" i="14"/>
  <c r="M1178" i="14"/>
  <c r="I1178" i="14"/>
  <c r="G1178" i="14"/>
  <c r="F1178" i="14"/>
  <c r="E1178" i="14"/>
  <c r="C1178" i="14"/>
  <c r="Q1177" i="14"/>
  <c r="M1177" i="14"/>
  <c r="G1177" i="14"/>
  <c r="I1177" i="14" s="1"/>
  <c r="E1177" i="14"/>
  <c r="C1177" i="14"/>
  <c r="Q1176" i="14"/>
  <c r="R1178" i="14" s="1"/>
  <c r="M1176" i="14"/>
  <c r="G1176" i="14"/>
  <c r="I1176" i="14" s="1"/>
  <c r="J1178" i="14" s="1"/>
  <c r="E1176" i="14"/>
  <c r="C1176" i="14"/>
  <c r="Q1175" i="14"/>
  <c r="M1175" i="14"/>
  <c r="I1175" i="14"/>
  <c r="G1175" i="14"/>
  <c r="E1175" i="14"/>
  <c r="F1175" i="14" s="1"/>
  <c r="C1175" i="14"/>
  <c r="Q1174" i="14"/>
  <c r="M1174" i="14"/>
  <c r="G1174" i="14"/>
  <c r="I1174" i="14" s="1"/>
  <c r="E1174" i="14"/>
  <c r="C1174" i="14"/>
  <c r="Q1173" i="14"/>
  <c r="M1173" i="14"/>
  <c r="N1175" i="14" s="1"/>
  <c r="G1173" i="14"/>
  <c r="I1173" i="14" s="1"/>
  <c r="J1175" i="14" s="1"/>
  <c r="E1173" i="14"/>
  <c r="C1173" i="14"/>
  <c r="Q1172" i="14"/>
  <c r="M1172" i="14"/>
  <c r="I1172" i="14"/>
  <c r="G1172" i="14"/>
  <c r="F1172" i="14"/>
  <c r="E1172" i="14"/>
  <c r="C1172" i="14"/>
  <c r="Q1171" i="14"/>
  <c r="M1171" i="14"/>
  <c r="N1172" i="14" s="1"/>
  <c r="G1171" i="14"/>
  <c r="I1171" i="14" s="1"/>
  <c r="E1171" i="14"/>
  <c r="C1171" i="14"/>
  <c r="Q1170" i="14"/>
  <c r="R1172" i="14" s="1"/>
  <c r="M1170" i="14"/>
  <c r="I1170" i="14"/>
  <c r="J1172" i="14" s="1"/>
  <c r="G1170" i="14"/>
  <c r="E1170" i="14"/>
  <c r="C1170" i="14"/>
  <c r="Q1169" i="14"/>
  <c r="M1169" i="14"/>
  <c r="I1169" i="14"/>
  <c r="G1169" i="14"/>
  <c r="E1169" i="14"/>
  <c r="C1169" i="14"/>
  <c r="Q1168" i="14"/>
  <c r="M1168" i="14"/>
  <c r="I1168" i="14"/>
  <c r="J1169" i="14" s="1"/>
  <c r="G1168" i="14"/>
  <c r="E1168" i="14"/>
  <c r="C1168" i="14"/>
  <c r="Q1167" i="14"/>
  <c r="M1167" i="14"/>
  <c r="I1167" i="14"/>
  <c r="E1167" i="14"/>
  <c r="C1167" i="14"/>
  <c r="G1161" i="14"/>
  <c r="O1160" i="14"/>
  <c r="K1160" i="14"/>
  <c r="C1160" i="14"/>
  <c r="I1157" i="14"/>
  <c r="J1154" i="14"/>
  <c r="Q1153" i="14"/>
  <c r="P1129" i="14"/>
  <c r="O1129" i="14"/>
  <c r="J1129" i="14"/>
  <c r="I1129" i="14"/>
  <c r="F1129" i="14" s="1"/>
  <c r="P1128" i="14"/>
  <c r="O1128" i="14" s="1"/>
  <c r="J1128" i="14"/>
  <c r="I1128" i="14"/>
  <c r="G1128" i="14"/>
  <c r="N1127" i="14"/>
  <c r="P1127" i="14" s="1"/>
  <c r="O1127" i="14" s="1"/>
  <c r="J1127" i="14"/>
  <c r="L1127" i="14" s="1"/>
  <c r="I1127" i="14"/>
  <c r="G1127" i="14"/>
  <c r="F1127" i="14"/>
  <c r="N1126" i="14"/>
  <c r="P1126" i="14" s="1"/>
  <c r="O1126" i="14" s="1"/>
  <c r="J1126" i="14"/>
  <c r="L1126" i="14" s="1"/>
  <c r="I1126" i="14"/>
  <c r="G1126" i="14"/>
  <c r="F1126" i="14"/>
  <c r="N1125" i="14"/>
  <c r="P1125" i="14" s="1"/>
  <c r="O1125" i="14" s="1"/>
  <c r="J1125" i="14"/>
  <c r="L1125" i="14" s="1"/>
  <c r="I1125" i="14"/>
  <c r="G1125" i="14"/>
  <c r="F1125" i="14"/>
  <c r="N1124" i="14"/>
  <c r="P1124" i="14" s="1"/>
  <c r="O1124" i="14" s="1"/>
  <c r="J1124" i="14"/>
  <c r="I1124" i="14"/>
  <c r="G1124" i="14"/>
  <c r="N1123" i="14"/>
  <c r="P1123" i="14" s="1"/>
  <c r="O1123" i="14" s="1"/>
  <c r="J1123" i="14"/>
  <c r="I1123" i="14"/>
  <c r="G1123" i="14"/>
  <c r="N1122" i="14"/>
  <c r="P1122" i="14" s="1"/>
  <c r="O1122" i="14" s="1"/>
  <c r="J1122" i="14"/>
  <c r="I1122" i="14"/>
  <c r="G1122" i="14"/>
  <c r="P1121" i="14"/>
  <c r="O1121" i="14" s="1"/>
  <c r="L1121" i="14"/>
  <c r="J1121" i="14"/>
  <c r="I1121" i="14"/>
  <c r="G1121" i="14"/>
  <c r="F1121" i="14"/>
  <c r="B1094" i="14" s="1"/>
  <c r="P1120" i="14"/>
  <c r="O1120" i="14" s="1"/>
  <c r="L1120" i="14"/>
  <c r="J1120" i="14"/>
  <c r="G1120" i="14" s="1"/>
  <c r="I1120" i="14"/>
  <c r="F1120" i="14"/>
  <c r="N1119" i="14"/>
  <c r="P1119" i="14" s="1"/>
  <c r="O1119" i="14" s="1"/>
  <c r="L1119" i="14"/>
  <c r="J1119" i="14"/>
  <c r="G1119" i="14" s="1"/>
  <c r="I1119" i="14"/>
  <c r="F1119" i="14"/>
  <c r="P1118" i="14"/>
  <c r="O1118" i="14" s="1"/>
  <c r="J1118" i="14"/>
  <c r="I1118" i="14"/>
  <c r="G1118" i="14"/>
  <c r="B1112" i="14"/>
  <c r="B1109" i="14"/>
  <c r="Q1108" i="14"/>
  <c r="AD1103" i="14"/>
  <c r="B1102" i="14"/>
  <c r="AD1101" i="14"/>
  <c r="C1101" i="14"/>
  <c r="C1100" i="14"/>
  <c r="B1100" i="14"/>
  <c r="AD1099" i="14"/>
  <c r="C1099" i="14"/>
  <c r="B1099" i="14"/>
  <c r="D1098" i="14"/>
  <c r="C1098" i="14"/>
  <c r="B1098" i="14"/>
  <c r="D1097" i="14"/>
  <c r="C1097" i="14"/>
  <c r="D1096" i="14"/>
  <c r="C1096" i="14"/>
  <c r="AD1095" i="14"/>
  <c r="C1095" i="14"/>
  <c r="C1094" i="14"/>
  <c r="AD1093" i="14"/>
  <c r="C1093" i="14"/>
  <c r="B1093" i="14"/>
  <c r="C1092" i="14"/>
  <c r="AD1112" i="14" s="1"/>
  <c r="B1092" i="14"/>
  <c r="AD1097" i="14" s="1"/>
  <c r="AD1091" i="14"/>
  <c r="C1091" i="14"/>
  <c r="AE1088" i="14"/>
  <c r="B1087" i="14"/>
  <c r="B1084" i="14"/>
  <c r="Q1083" i="14"/>
  <c r="P1077" i="14"/>
  <c r="P1076" i="14"/>
  <c r="P1075" i="14"/>
  <c r="P1074" i="14"/>
  <c r="P1073" i="14"/>
  <c r="P1072" i="14"/>
  <c r="P1071" i="14"/>
  <c r="P1070" i="14"/>
  <c r="P1069" i="14"/>
  <c r="P1068" i="14"/>
  <c r="P1067" i="14"/>
  <c r="P1066" i="14"/>
  <c r="M1061" i="14"/>
  <c r="N1052" i="14"/>
  <c r="L1052" i="14"/>
  <c r="K1052" i="14"/>
  <c r="I1052" i="14"/>
  <c r="H1052" i="14"/>
  <c r="J1052" i="14" s="1"/>
  <c r="J1050" i="14"/>
  <c r="J1049" i="14"/>
  <c r="J1048" i="14"/>
  <c r="J1047" i="14"/>
  <c r="J1046" i="14"/>
  <c r="J1045" i="14"/>
  <c r="AR1044" i="14"/>
  <c r="AQ1044" i="14"/>
  <c r="AP1044" i="14"/>
  <c r="AO1044" i="14"/>
  <c r="AN1044" i="14"/>
  <c r="AM1044" i="14"/>
  <c r="AL1044" i="14"/>
  <c r="AK1044" i="14"/>
  <c r="AJ1044" i="14"/>
  <c r="AI1044" i="14"/>
  <c r="AH1044" i="14"/>
  <c r="AG1044" i="14"/>
  <c r="AF1044" i="14"/>
  <c r="AE1044" i="14"/>
  <c r="AD1044" i="14"/>
  <c r="J1044" i="14"/>
  <c r="J1043" i="14"/>
  <c r="J1042" i="14"/>
  <c r="J1041" i="14"/>
  <c r="J1040" i="14"/>
  <c r="J1039" i="14"/>
  <c r="AD1034" i="14"/>
  <c r="AD1031" i="14"/>
  <c r="B1031" i="14"/>
  <c r="AR1030" i="14"/>
  <c r="B1030" i="14"/>
  <c r="Q1029" i="14"/>
  <c r="AR1009" i="14"/>
  <c r="AQ1009" i="14"/>
  <c r="AP1009" i="14"/>
  <c r="AO1009" i="14"/>
  <c r="AN1009" i="14"/>
  <c r="AM1009" i="14"/>
  <c r="AL1009" i="14"/>
  <c r="AK1009" i="14"/>
  <c r="AJ1009" i="14"/>
  <c r="AI1009" i="14"/>
  <c r="AH1009" i="14"/>
  <c r="AG1009" i="14"/>
  <c r="AF1009" i="14"/>
  <c r="AE1009" i="14"/>
  <c r="AD1009" i="14"/>
  <c r="B1004" i="14"/>
  <c r="B1001" i="14"/>
  <c r="Q1000" i="14"/>
  <c r="AD999" i="14"/>
  <c r="AD996" i="14"/>
  <c r="AR995" i="14"/>
  <c r="AH988" i="14"/>
  <c r="AE988" i="14"/>
  <c r="AE983" i="14"/>
  <c r="AR978" i="14"/>
  <c r="AQ978" i="14"/>
  <c r="AP978" i="14"/>
  <c r="AO978" i="14"/>
  <c r="AG978" i="14"/>
  <c r="AF978" i="14"/>
  <c r="AE978" i="14"/>
  <c r="AD978" i="14"/>
  <c r="B978" i="14"/>
  <c r="B975" i="14"/>
  <c r="Q974" i="14"/>
  <c r="AR973" i="14"/>
  <c r="AG973" i="14"/>
  <c r="AS970" i="14"/>
  <c r="AH970" i="14"/>
  <c r="AS968" i="14"/>
  <c r="T965" i="14"/>
  <c r="G965" i="14"/>
  <c r="F965" i="14"/>
  <c r="AG991" i="14" s="1"/>
  <c r="T964" i="14"/>
  <c r="G964" i="14"/>
  <c r="F964" i="14"/>
  <c r="T963" i="14"/>
  <c r="G963" i="14"/>
  <c r="F963" i="14"/>
  <c r="T962" i="14"/>
  <c r="G962" i="14"/>
  <c r="F962" i="14"/>
  <c r="T961" i="14"/>
  <c r="G961" i="14"/>
  <c r="F961" i="14"/>
  <c r="T960" i="14"/>
  <c r="G960" i="14"/>
  <c r="F960" i="14"/>
  <c r="T959" i="14"/>
  <c r="G959" i="14"/>
  <c r="G1016" i="14" s="1"/>
  <c r="F959" i="14"/>
  <c r="T958" i="14"/>
  <c r="G958" i="14"/>
  <c r="F958" i="14"/>
  <c r="AH984" i="14" s="1"/>
  <c r="T957" i="14"/>
  <c r="AE948" i="14" s="1"/>
  <c r="G957" i="14"/>
  <c r="F957" i="14"/>
  <c r="AH983" i="14" s="1"/>
  <c r="AD956" i="14"/>
  <c r="AO956" i="14" s="1"/>
  <c r="T956" i="14"/>
  <c r="G956" i="14"/>
  <c r="F956" i="14"/>
  <c r="AD982" i="14" s="1"/>
  <c r="AE955" i="14"/>
  <c r="AD955" i="14"/>
  <c r="AO955" i="14" s="1"/>
  <c r="T955" i="14"/>
  <c r="AE946" i="14" s="1"/>
  <c r="G955" i="14"/>
  <c r="F955" i="14"/>
  <c r="AG981" i="14" s="1"/>
  <c r="AE954" i="14"/>
  <c r="T954" i="14"/>
  <c r="G954" i="14"/>
  <c r="F954" i="14"/>
  <c r="AO953" i="14"/>
  <c r="AE953" i="14"/>
  <c r="AD953" i="14"/>
  <c r="AE952" i="14"/>
  <c r="AE951" i="14"/>
  <c r="AD951" i="14"/>
  <c r="AO951" i="14" s="1"/>
  <c r="AE950" i="14"/>
  <c r="AE949" i="14"/>
  <c r="AD949" i="14"/>
  <c r="AO949" i="14" s="1"/>
  <c r="B949" i="14"/>
  <c r="AD948" i="14"/>
  <c r="AO948" i="14" s="1"/>
  <c r="AE947" i="14"/>
  <c r="AD947" i="14"/>
  <c r="AO947" i="14" s="1"/>
  <c r="B946" i="14"/>
  <c r="AE945" i="14"/>
  <c r="Q945" i="14"/>
  <c r="AF937" i="14"/>
  <c r="AS936" i="14"/>
  <c r="AN936" i="14"/>
  <c r="A927" i="14"/>
  <c r="A925" i="14"/>
  <c r="Q921" i="14"/>
  <c r="P915" i="14"/>
  <c r="O915" i="14"/>
  <c r="N915" i="14"/>
  <c r="L915" i="14"/>
  <c r="K915" i="14"/>
  <c r="J915" i="14"/>
  <c r="H915" i="14"/>
  <c r="G915" i="14"/>
  <c r="F915" i="14"/>
  <c r="F917" i="14" s="1"/>
  <c r="D915" i="14"/>
  <c r="C915" i="14"/>
  <c r="B915" i="14"/>
  <c r="P914" i="14"/>
  <c r="O914" i="14"/>
  <c r="N914" i="14"/>
  <c r="L914" i="14"/>
  <c r="K914" i="14"/>
  <c r="H914" i="14"/>
  <c r="G914" i="14"/>
  <c r="I914" i="14" s="1"/>
  <c r="F914" i="14"/>
  <c r="D914" i="14"/>
  <c r="C914" i="14"/>
  <c r="E914" i="14" s="1"/>
  <c r="B914" i="14"/>
  <c r="P913" i="14"/>
  <c r="O913" i="14"/>
  <c r="N913" i="14"/>
  <c r="N916" i="14" s="1"/>
  <c r="L913" i="14"/>
  <c r="L916" i="14" s="1"/>
  <c r="K913" i="14"/>
  <c r="J913" i="14"/>
  <c r="H913" i="14"/>
  <c r="H916" i="14" s="1"/>
  <c r="G913" i="14"/>
  <c r="F913" i="14"/>
  <c r="D913" i="14"/>
  <c r="D916" i="14" s="1"/>
  <c r="C913" i="14"/>
  <c r="C916" i="14" s="1"/>
  <c r="B913" i="14"/>
  <c r="P912" i="14"/>
  <c r="O912" i="14"/>
  <c r="N912" i="14"/>
  <c r="Q912" i="14" s="1"/>
  <c r="L912" i="14"/>
  <c r="K912" i="14"/>
  <c r="M912" i="14" s="1"/>
  <c r="J912" i="14"/>
  <c r="H912" i="14"/>
  <c r="G912" i="14"/>
  <c r="F912" i="14"/>
  <c r="I912" i="14" s="1"/>
  <c r="D912" i="14"/>
  <c r="C912" i="14"/>
  <c r="B912" i="14"/>
  <c r="P911" i="14"/>
  <c r="O911" i="14"/>
  <c r="N911" i="14"/>
  <c r="L911" i="14"/>
  <c r="K911" i="14"/>
  <c r="J911" i="14"/>
  <c r="H911" i="14"/>
  <c r="G911" i="14"/>
  <c r="F911" i="14"/>
  <c r="D911" i="14"/>
  <c r="C911" i="14"/>
  <c r="B911" i="14"/>
  <c r="E911" i="14" s="1"/>
  <c r="P910" i="14"/>
  <c r="O910" i="14"/>
  <c r="N910" i="14"/>
  <c r="N917" i="14" s="1"/>
  <c r="L910" i="14"/>
  <c r="K910" i="14"/>
  <c r="J910" i="14"/>
  <c r="H910" i="14"/>
  <c r="H917" i="14" s="1"/>
  <c r="H939" i="14" s="1"/>
  <c r="G910" i="14"/>
  <c r="I910" i="14" s="1"/>
  <c r="F910" i="14"/>
  <c r="D910" i="14"/>
  <c r="D917" i="14" s="1"/>
  <c r="D939" i="14" s="1"/>
  <c r="C910" i="14"/>
  <c r="C917" i="14" s="1"/>
  <c r="C939" i="14" s="1"/>
  <c r="B910" i="14"/>
  <c r="E910" i="14" s="1"/>
  <c r="P906" i="14"/>
  <c r="O906" i="14"/>
  <c r="N906" i="14"/>
  <c r="Q906" i="14" s="1"/>
  <c r="L906" i="14"/>
  <c r="K906" i="14"/>
  <c r="H906" i="14"/>
  <c r="G906" i="14"/>
  <c r="F906" i="14"/>
  <c r="D906" i="14"/>
  <c r="C906" i="14"/>
  <c r="B906" i="14"/>
  <c r="H904" i="14"/>
  <c r="H935" i="14" s="1"/>
  <c r="P903" i="14"/>
  <c r="O903" i="14"/>
  <c r="N903" i="14"/>
  <c r="Q903" i="14" s="1"/>
  <c r="L903" i="14"/>
  <c r="K903" i="14"/>
  <c r="J903" i="14"/>
  <c r="H903" i="14"/>
  <c r="G903" i="14"/>
  <c r="F903" i="14"/>
  <c r="I903" i="14" s="1"/>
  <c r="D903" i="14"/>
  <c r="C903" i="14"/>
  <c r="B903" i="14"/>
  <c r="P902" i="14"/>
  <c r="O902" i="14"/>
  <c r="N902" i="14"/>
  <c r="L902" i="14"/>
  <c r="J902" i="14"/>
  <c r="H902" i="14"/>
  <c r="G902" i="14"/>
  <c r="F902" i="14"/>
  <c r="C902" i="14"/>
  <c r="B902" i="14"/>
  <c r="P901" i="14"/>
  <c r="P904" i="14" s="1"/>
  <c r="P935" i="14" s="1"/>
  <c r="O901" i="14"/>
  <c r="O904" i="14" s="1"/>
  <c r="O935" i="14" s="1"/>
  <c r="N901" i="14"/>
  <c r="N904" i="14" s="1"/>
  <c r="L901" i="14"/>
  <c r="L904" i="14" s="1"/>
  <c r="L935" i="14" s="1"/>
  <c r="K901" i="14"/>
  <c r="J901" i="14"/>
  <c r="M901" i="14" s="1"/>
  <c r="H901" i="14"/>
  <c r="G901" i="14"/>
  <c r="G904" i="14" s="1"/>
  <c r="G935" i="14" s="1"/>
  <c r="F901" i="14"/>
  <c r="F904" i="14" s="1"/>
  <c r="D901" i="14"/>
  <c r="C901" i="14"/>
  <c r="B901" i="14"/>
  <c r="B904" i="14" s="1"/>
  <c r="P898" i="14"/>
  <c r="O898" i="14"/>
  <c r="N898" i="14"/>
  <c r="L898" i="14"/>
  <c r="K898" i="14"/>
  <c r="J898" i="14"/>
  <c r="M898" i="14" s="1"/>
  <c r="H898" i="14"/>
  <c r="G898" i="14"/>
  <c r="F898" i="14"/>
  <c r="D898" i="14"/>
  <c r="C898" i="14"/>
  <c r="B898" i="14"/>
  <c r="P897" i="14"/>
  <c r="O897" i="14"/>
  <c r="Q897" i="14" s="1"/>
  <c r="N897" i="14"/>
  <c r="L897" i="14"/>
  <c r="K897" i="14"/>
  <c r="J897" i="14"/>
  <c r="H897" i="14"/>
  <c r="G897" i="14"/>
  <c r="F897" i="14"/>
  <c r="I897" i="14" s="1"/>
  <c r="D897" i="14"/>
  <c r="C897" i="14"/>
  <c r="E897" i="14" s="1"/>
  <c r="B897" i="14"/>
  <c r="P896" i="14"/>
  <c r="O896" i="14"/>
  <c r="N896" i="14"/>
  <c r="L896" i="14"/>
  <c r="K896" i="14"/>
  <c r="J896" i="14"/>
  <c r="H896" i="14"/>
  <c r="G896" i="14"/>
  <c r="F896" i="14"/>
  <c r="D896" i="14"/>
  <c r="C896" i="14"/>
  <c r="B896" i="14"/>
  <c r="P895" i="14"/>
  <c r="O895" i="14"/>
  <c r="N895" i="14"/>
  <c r="Q895" i="14" s="1"/>
  <c r="L895" i="14"/>
  <c r="K895" i="14"/>
  <c r="J895" i="14"/>
  <c r="H895" i="14"/>
  <c r="G895" i="14"/>
  <c r="F895" i="14"/>
  <c r="I895" i="14" s="1"/>
  <c r="D895" i="14"/>
  <c r="C895" i="14"/>
  <c r="B895" i="14"/>
  <c r="P894" i="14"/>
  <c r="O894" i="14"/>
  <c r="N894" i="14"/>
  <c r="Q894" i="14" s="1"/>
  <c r="L894" i="14"/>
  <c r="K894" i="14"/>
  <c r="J894" i="14"/>
  <c r="H894" i="14"/>
  <c r="G894" i="14"/>
  <c r="F894" i="14"/>
  <c r="D894" i="14"/>
  <c r="C894" i="14"/>
  <c r="B894" i="14"/>
  <c r="E894" i="14" s="1"/>
  <c r="A886" i="14"/>
  <c r="A884" i="14"/>
  <c r="Q880" i="14"/>
  <c r="Q873" i="14"/>
  <c r="M873" i="14"/>
  <c r="I873" i="14"/>
  <c r="R873" i="14" s="1"/>
  <c r="E873" i="14"/>
  <c r="P871" i="14"/>
  <c r="O871" i="14"/>
  <c r="N871" i="14"/>
  <c r="L871" i="14"/>
  <c r="K871" i="14"/>
  <c r="J871" i="14"/>
  <c r="M871" i="14" s="1"/>
  <c r="H871" i="14"/>
  <c r="G871" i="14"/>
  <c r="F871" i="14"/>
  <c r="I871" i="14" s="1"/>
  <c r="D871" i="14"/>
  <c r="C871" i="14"/>
  <c r="B871" i="14"/>
  <c r="P870" i="14"/>
  <c r="O870" i="14"/>
  <c r="Q870" i="14" s="1"/>
  <c r="N870" i="14"/>
  <c r="L870" i="14"/>
  <c r="K870" i="14"/>
  <c r="J870" i="14"/>
  <c r="H870" i="14"/>
  <c r="G870" i="14"/>
  <c r="F870" i="14"/>
  <c r="I870" i="14" s="1"/>
  <c r="D870" i="14"/>
  <c r="C870" i="14"/>
  <c r="E870" i="14" s="1"/>
  <c r="B870" i="14"/>
  <c r="Q867" i="14"/>
  <c r="M867" i="14"/>
  <c r="I867" i="14"/>
  <c r="E867" i="14"/>
  <c r="R867" i="14" s="1"/>
  <c r="Q866" i="14"/>
  <c r="M866" i="14"/>
  <c r="I866" i="14"/>
  <c r="E866" i="14"/>
  <c r="Q864" i="14"/>
  <c r="M864" i="14"/>
  <c r="I864" i="14"/>
  <c r="E864" i="14"/>
  <c r="Q863" i="14"/>
  <c r="M863" i="14"/>
  <c r="I863" i="14"/>
  <c r="E863" i="14"/>
  <c r="P860" i="14"/>
  <c r="N860" i="14"/>
  <c r="H860" i="14"/>
  <c r="F860" i="14"/>
  <c r="B860" i="14"/>
  <c r="Q859" i="14"/>
  <c r="P859" i="14"/>
  <c r="O859" i="14"/>
  <c r="O860" i="14" s="1"/>
  <c r="N859" i="14"/>
  <c r="M859" i="14"/>
  <c r="L859" i="14"/>
  <c r="L860" i="14" s="1"/>
  <c r="K859" i="14"/>
  <c r="K860" i="14" s="1"/>
  <c r="J859" i="14"/>
  <c r="I859" i="14"/>
  <c r="H859" i="14"/>
  <c r="G859" i="14"/>
  <c r="F859" i="14"/>
  <c r="E859" i="14"/>
  <c r="D859" i="14"/>
  <c r="D860" i="14" s="1"/>
  <c r="C859" i="14"/>
  <c r="C860" i="14" s="1"/>
  <c r="B859" i="14"/>
  <c r="R858" i="14"/>
  <c r="Q858" i="14"/>
  <c r="M858" i="14"/>
  <c r="I858" i="14"/>
  <c r="E858" i="14"/>
  <c r="Q857" i="14"/>
  <c r="M857" i="14"/>
  <c r="I857" i="14"/>
  <c r="E857" i="14"/>
  <c r="Q856" i="14"/>
  <c r="M856" i="14"/>
  <c r="I856" i="14"/>
  <c r="E856" i="14"/>
  <c r="R856" i="14" s="1"/>
  <c r="Q855" i="14"/>
  <c r="M855" i="14"/>
  <c r="I855" i="14"/>
  <c r="R855" i="14" s="1"/>
  <c r="E855" i="14"/>
  <c r="Q853" i="14"/>
  <c r="M853" i="14"/>
  <c r="I853" i="14"/>
  <c r="E853" i="14"/>
  <c r="R853" i="14" s="1"/>
  <c r="Q852" i="14"/>
  <c r="J852" i="14"/>
  <c r="M852" i="14" s="1"/>
  <c r="I852" i="14"/>
  <c r="G852" i="14"/>
  <c r="G860" i="14" s="1"/>
  <c r="E852" i="14"/>
  <c r="P849" i="14"/>
  <c r="O849" i="14"/>
  <c r="N849" i="14"/>
  <c r="L849" i="14"/>
  <c r="K849" i="14"/>
  <c r="J849" i="14"/>
  <c r="M849" i="14" s="1"/>
  <c r="H849" i="14"/>
  <c r="G849" i="14"/>
  <c r="F849" i="14"/>
  <c r="D849" i="14"/>
  <c r="C849" i="14"/>
  <c r="B849" i="14"/>
  <c r="Q847" i="14"/>
  <c r="M847" i="14"/>
  <c r="I847" i="14"/>
  <c r="E847" i="14"/>
  <c r="P844" i="14"/>
  <c r="O844" i="14"/>
  <c r="O872" i="14" s="1"/>
  <c r="O875" i="14" s="1"/>
  <c r="N844" i="14"/>
  <c r="L844" i="14"/>
  <c r="L872" i="14" s="1"/>
  <c r="L875" i="14" s="1"/>
  <c r="L877" i="14" s="1"/>
  <c r="K844" i="14"/>
  <c r="K872" i="14" s="1"/>
  <c r="K875" i="14" s="1"/>
  <c r="J844" i="14"/>
  <c r="M844" i="14" s="1"/>
  <c r="H844" i="14"/>
  <c r="G844" i="14"/>
  <c r="F844" i="14"/>
  <c r="D844" i="14"/>
  <c r="D872" i="14" s="1"/>
  <c r="D875" i="14" s="1"/>
  <c r="D877" i="14" s="1"/>
  <c r="C844" i="14"/>
  <c r="C872" i="14" s="1"/>
  <c r="C875" i="14" s="1"/>
  <c r="B844" i="14"/>
  <c r="E844" i="14" s="1"/>
  <c r="Q842" i="14"/>
  <c r="M842" i="14"/>
  <c r="I842" i="14"/>
  <c r="E842" i="14"/>
  <c r="Q839" i="14"/>
  <c r="M839" i="14"/>
  <c r="I839" i="14"/>
  <c r="E839" i="14"/>
  <c r="R839" i="14" s="1"/>
  <c r="Q838" i="14"/>
  <c r="M838" i="14"/>
  <c r="I838" i="14"/>
  <c r="E838" i="14"/>
  <c r="Q837" i="14"/>
  <c r="M837" i="14"/>
  <c r="I837" i="14"/>
  <c r="E837" i="14"/>
  <c r="R837" i="14" s="1"/>
  <c r="Q836" i="14"/>
  <c r="M836" i="14"/>
  <c r="I836" i="14"/>
  <c r="E836" i="14"/>
  <c r="Q835" i="14"/>
  <c r="M835" i="14"/>
  <c r="I835" i="14"/>
  <c r="E835" i="14"/>
  <c r="R835" i="14" s="1"/>
  <c r="Q834" i="14"/>
  <c r="M834" i="14"/>
  <c r="I834" i="14"/>
  <c r="E834" i="14"/>
  <c r="Q822" i="14"/>
  <c r="M822" i="14"/>
  <c r="I822" i="14"/>
  <c r="E822" i="14"/>
  <c r="R822" i="14" s="1"/>
  <c r="Q821" i="14"/>
  <c r="M821" i="14"/>
  <c r="I821" i="14"/>
  <c r="E821" i="14"/>
  <c r="F820" i="14"/>
  <c r="Q819" i="14"/>
  <c r="P819" i="14"/>
  <c r="O819" i="14"/>
  <c r="N819" i="14"/>
  <c r="L819" i="14"/>
  <c r="K819" i="14"/>
  <c r="J819" i="14"/>
  <c r="M819" i="14" s="1"/>
  <c r="I819" i="14"/>
  <c r="H819" i="14"/>
  <c r="G819" i="14"/>
  <c r="F819" i="14"/>
  <c r="D819" i="14"/>
  <c r="C819" i="14"/>
  <c r="B819" i="14"/>
  <c r="E819" i="14" s="1"/>
  <c r="P818" i="14"/>
  <c r="O818" i="14"/>
  <c r="N818" i="14"/>
  <c r="L818" i="14"/>
  <c r="K818" i="14"/>
  <c r="J818" i="14"/>
  <c r="M818" i="14" s="1"/>
  <c r="H818" i="14"/>
  <c r="G818" i="14"/>
  <c r="F818" i="14"/>
  <c r="D818" i="14"/>
  <c r="C818" i="14"/>
  <c r="B818" i="14"/>
  <c r="E818" i="14" s="1"/>
  <c r="P812" i="14"/>
  <c r="O812" i="14"/>
  <c r="N812" i="14"/>
  <c r="Q812" i="14" s="1"/>
  <c r="L812" i="14"/>
  <c r="K812" i="14"/>
  <c r="J812" i="14"/>
  <c r="H812" i="14"/>
  <c r="G812" i="14"/>
  <c r="I812" i="14" s="1"/>
  <c r="F812" i="14"/>
  <c r="D812" i="14"/>
  <c r="C812" i="14"/>
  <c r="B812" i="14"/>
  <c r="P808" i="14"/>
  <c r="O808" i="14"/>
  <c r="N808" i="14"/>
  <c r="L808" i="14"/>
  <c r="K808" i="14"/>
  <c r="J808" i="14"/>
  <c r="H808" i="14"/>
  <c r="G808" i="14"/>
  <c r="F808" i="14"/>
  <c r="D808" i="14"/>
  <c r="C808" i="14"/>
  <c r="B808" i="14"/>
  <c r="E808" i="14" s="1"/>
  <c r="P804" i="14"/>
  <c r="P820" i="14" s="1"/>
  <c r="P824" i="14" s="1"/>
  <c r="P826" i="14" s="1"/>
  <c r="O804" i="14"/>
  <c r="O820" i="14" s="1"/>
  <c r="O824" i="14" s="1"/>
  <c r="O826" i="14" s="1"/>
  <c r="N804" i="14"/>
  <c r="Q804" i="14" s="1"/>
  <c r="L804" i="14"/>
  <c r="K804" i="14"/>
  <c r="K820" i="14" s="1"/>
  <c r="K824" i="14" s="1"/>
  <c r="J804" i="14"/>
  <c r="H804" i="14"/>
  <c r="H820" i="14" s="1"/>
  <c r="H824" i="14" s="1"/>
  <c r="G804" i="14"/>
  <c r="F804" i="14"/>
  <c r="I804" i="14" s="1"/>
  <c r="D804" i="14"/>
  <c r="C804" i="14"/>
  <c r="C820" i="14" s="1"/>
  <c r="C824" i="14" s="1"/>
  <c r="B804" i="14"/>
  <c r="Q800" i="14"/>
  <c r="M800" i="14"/>
  <c r="I800" i="14"/>
  <c r="E800" i="14"/>
  <c r="P790" i="14"/>
  <c r="O790" i="14"/>
  <c r="N790" i="14"/>
  <c r="L790" i="14"/>
  <c r="K790" i="14"/>
  <c r="J790" i="14"/>
  <c r="H790" i="14"/>
  <c r="G790" i="14"/>
  <c r="F790" i="14"/>
  <c r="D790" i="14"/>
  <c r="C790" i="14"/>
  <c r="B790" i="14"/>
  <c r="Q788" i="14"/>
  <c r="M788" i="14"/>
  <c r="I788" i="14"/>
  <c r="E788" i="14"/>
  <c r="Q778" i="14"/>
  <c r="M778" i="14"/>
  <c r="I778" i="14"/>
  <c r="E778" i="14"/>
  <c r="R778" i="14" s="1"/>
  <c r="D777" i="14"/>
  <c r="D780" i="14" s="1"/>
  <c r="Q776" i="14"/>
  <c r="P776" i="14"/>
  <c r="O776" i="14"/>
  <c r="N776" i="14"/>
  <c r="L776" i="14"/>
  <c r="K776" i="14"/>
  <c r="J776" i="14"/>
  <c r="M776" i="14" s="1"/>
  <c r="I776" i="14"/>
  <c r="H776" i="14"/>
  <c r="G776" i="14"/>
  <c r="F776" i="14"/>
  <c r="D776" i="14"/>
  <c r="C776" i="14"/>
  <c r="B776" i="14"/>
  <c r="E776" i="14" s="1"/>
  <c r="P775" i="14"/>
  <c r="O775" i="14"/>
  <c r="N775" i="14"/>
  <c r="L775" i="14"/>
  <c r="K775" i="14"/>
  <c r="J775" i="14"/>
  <c r="M775" i="14" s="1"/>
  <c r="H775" i="14"/>
  <c r="G775" i="14"/>
  <c r="F775" i="14"/>
  <c r="D775" i="14"/>
  <c r="C775" i="14"/>
  <c r="B775" i="14"/>
  <c r="E775" i="14" s="1"/>
  <c r="Q772" i="14"/>
  <c r="M772" i="14"/>
  <c r="I772" i="14"/>
  <c r="E772" i="14"/>
  <c r="R772" i="14" s="1"/>
  <c r="Q771" i="14"/>
  <c r="M771" i="14"/>
  <c r="I771" i="14"/>
  <c r="E771" i="14"/>
  <c r="Q770" i="14"/>
  <c r="M770" i="14"/>
  <c r="I770" i="14"/>
  <c r="E770" i="14"/>
  <c r="Q769" i="14"/>
  <c r="M769" i="14"/>
  <c r="I769" i="14"/>
  <c r="E769" i="14"/>
  <c r="P765" i="14"/>
  <c r="O765" i="14"/>
  <c r="N765" i="14"/>
  <c r="L765" i="14"/>
  <c r="K765" i="14"/>
  <c r="J765" i="14"/>
  <c r="H765" i="14"/>
  <c r="G765" i="14"/>
  <c r="F765" i="14"/>
  <c r="I765" i="14" s="1"/>
  <c r="D765" i="14"/>
  <c r="C765" i="14"/>
  <c r="B765" i="14"/>
  <c r="Q764" i="14"/>
  <c r="M764" i="14"/>
  <c r="I764" i="14"/>
  <c r="E764" i="14"/>
  <c r="Q763" i="14"/>
  <c r="M763" i="14"/>
  <c r="I763" i="14"/>
  <c r="E763" i="14"/>
  <c r="Q762" i="14"/>
  <c r="M762" i="14"/>
  <c r="I762" i="14"/>
  <c r="E762" i="14"/>
  <c r="R762" i="14" s="1"/>
  <c r="Q761" i="14"/>
  <c r="M761" i="14"/>
  <c r="I761" i="14"/>
  <c r="E761" i="14"/>
  <c r="Q760" i="14"/>
  <c r="M760" i="14"/>
  <c r="I760" i="14"/>
  <c r="E760" i="14"/>
  <c r="Q759" i="14"/>
  <c r="M759" i="14"/>
  <c r="I759" i="14"/>
  <c r="E759" i="14"/>
  <c r="R759" i="14" s="1"/>
  <c r="Q758" i="14"/>
  <c r="M758" i="14"/>
  <c r="I758" i="14"/>
  <c r="E758" i="14"/>
  <c r="R758" i="14" s="1"/>
  <c r="Q757" i="14"/>
  <c r="M757" i="14"/>
  <c r="I757" i="14"/>
  <c r="E757" i="14"/>
  <c r="Q756" i="14"/>
  <c r="M756" i="14"/>
  <c r="I756" i="14"/>
  <c r="E756" i="14"/>
  <c r="R756" i="14" s="1"/>
  <c r="Q754" i="14"/>
  <c r="M754" i="14"/>
  <c r="I754" i="14"/>
  <c r="E754" i="14"/>
  <c r="P751" i="14"/>
  <c r="O751" i="14"/>
  <c r="N751" i="14"/>
  <c r="Q751" i="14" s="1"/>
  <c r="L751" i="14"/>
  <c r="K751" i="14"/>
  <c r="J751" i="14"/>
  <c r="H751" i="14"/>
  <c r="G751" i="14"/>
  <c r="F751" i="14"/>
  <c r="D751" i="14"/>
  <c r="C751" i="14"/>
  <c r="B751" i="14"/>
  <c r="E751" i="14" s="1"/>
  <c r="P747" i="14"/>
  <c r="P777" i="14" s="1"/>
  <c r="P780" i="14" s="1"/>
  <c r="O747" i="14"/>
  <c r="N747" i="14"/>
  <c r="L747" i="14"/>
  <c r="L777" i="14" s="1"/>
  <c r="L780" i="14" s="1"/>
  <c r="K747" i="14"/>
  <c r="J747" i="14"/>
  <c r="H747" i="14"/>
  <c r="G747" i="14"/>
  <c r="F747" i="14"/>
  <c r="F777" i="14" s="1"/>
  <c r="D747" i="14"/>
  <c r="C747" i="14"/>
  <c r="C777" i="14" s="1"/>
  <c r="C780" i="14" s="1"/>
  <c r="B747" i="14"/>
  <c r="Q743" i="14"/>
  <c r="M743" i="14"/>
  <c r="I743" i="14"/>
  <c r="E743" i="14"/>
  <c r="Q742" i="14"/>
  <c r="M742" i="14"/>
  <c r="I742" i="14"/>
  <c r="E742" i="14"/>
  <c r="Q741" i="14"/>
  <c r="M741" i="14"/>
  <c r="I741" i="14"/>
  <c r="E741" i="14"/>
  <c r="R741" i="14" s="1"/>
  <c r="Q740" i="14"/>
  <c r="M740" i="14"/>
  <c r="I740" i="14"/>
  <c r="E740" i="14"/>
  <c r="Q739" i="14"/>
  <c r="M739" i="14"/>
  <c r="I739" i="14"/>
  <c r="E739" i="14"/>
  <c r="R739" i="14" s="1"/>
  <c r="Q738" i="14"/>
  <c r="M738" i="14"/>
  <c r="I738" i="14"/>
  <c r="E738" i="14"/>
  <c r="Q726" i="14"/>
  <c r="M726" i="14"/>
  <c r="I726" i="14"/>
  <c r="E726" i="14"/>
  <c r="P724" i="14"/>
  <c r="O724" i="14"/>
  <c r="N724" i="14"/>
  <c r="L724" i="14"/>
  <c r="K724" i="14"/>
  <c r="J724" i="14"/>
  <c r="H724" i="14"/>
  <c r="G724" i="14"/>
  <c r="F724" i="14"/>
  <c r="I724" i="14" s="1"/>
  <c r="D724" i="14"/>
  <c r="C724" i="14"/>
  <c r="B724" i="14"/>
  <c r="P723" i="14"/>
  <c r="O723" i="14"/>
  <c r="N723" i="14"/>
  <c r="L723" i="14"/>
  <c r="K723" i="14"/>
  <c r="M723" i="14" s="1"/>
  <c r="J723" i="14"/>
  <c r="H723" i="14"/>
  <c r="G723" i="14"/>
  <c r="F723" i="14"/>
  <c r="D723" i="14"/>
  <c r="C723" i="14"/>
  <c r="E723" i="14" s="1"/>
  <c r="B723" i="14"/>
  <c r="Q720" i="14"/>
  <c r="M720" i="14"/>
  <c r="I720" i="14"/>
  <c r="E720" i="14"/>
  <c r="P716" i="14"/>
  <c r="O716" i="14"/>
  <c r="Q716" i="14" s="1"/>
  <c r="N716" i="14"/>
  <c r="M716" i="14"/>
  <c r="L716" i="14"/>
  <c r="K716" i="14"/>
  <c r="J716" i="14"/>
  <c r="H716" i="14"/>
  <c r="G716" i="14"/>
  <c r="I716" i="14" s="1"/>
  <c r="F716" i="14"/>
  <c r="E716" i="14"/>
  <c r="D716" i="14"/>
  <c r="C716" i="14"/>
  <c r="B716" i="14"/>
  <c r="P712" i="14"/>
  <c r="O712" i="14"/>
  <c r="N712" i="14"/>
  <c r="Q712" i="14" s="1"/>
  <c r="L712" i="14"/>
  <c r="K712" i="14"/>
  <c r="J712" i="14"/>
  <c r="H712" i="14"/>
  <c r="G712" i="14"/>
  <c r="F712" i="14"/>
  <c r="I712" i="14" s="1"/>
  <c r="D712" i="14"/>
  <c r="C712" i="14"/>
  <c r="B712" i="14"/>
  <c r="P708" i="14"/>
  <c r="P725" i="14" s="1"/>
  <c r="P728" i="14" s="1"/>
  <c r="O708" i="14"/>
  <c r="N708" i="14"/>
  <c r="L708" i="14"/>
  <c r="K708" i="14"/>
  <c r="J708" i="14"/>
  <c r="J725" i="14" s="1"/>
  <c r="J728" i="14" s="1"/>
  <c r="H708" i="14"/>
  <c r="H725" i="14" s="1"/>
  <c r="H728" i="14" s="1"/>
  <c r="G708" i="14"/>
  <c r="F708" i="14"/>
  <c r="D708" i="14"/>
  <c r="C708" i="14"/>
  <c r="B708" i="14"/>
  <c r="Q704" i="14"/>
  <c r="M704" i="14"/>
  <c r="I704" i="14"/>
  <c r="E704" i="14"/>
  <c r="Q703" i="14"/>
  <c r="M703" i="14"/>
  <c r="I703" i="14"/>
  <c r="E703" i="14"/>
  <c r="Q702" i="14"/>
  <c r="M702" i="14"/>
  <c r="I702" i="14"/>
  <c r="E702" i="14"/>
  <c r="R702" i="14" s="1"/>
  <c r="P692" i="14"/>
  <c r="O692" i="14"/>
  <c r="N692" i="14"/>
  <c r="L692" i="14"/>
  <c r="K692" i="14"/>
  <c r="J692" i="14"/>
  <c r="H692" i="14"/>
  <c r="G692" i="14"/>
  <c r="F692" i="14"/>
  <c r="D692" i="14"/>
  <c r="C692" i="14"/>
  <c r="B692" i="14"/>
  <c r="Q690" i="14"/>
  <c r="M690" i="14"/>
  <c r="I690" i="14"/>
  <c r="E690" i="14"/>
  <c r="Q680" i="14"/>
  <c r="M680" i="14"/>
  <c r="I680" i="14"/>
  <c r="E680" i="14"/>
  <c r="P678" i="14"/>
  <c r="O678" i="14"/>
  <c r="N678" i="14"/>
  <c r="L678" i="14"/>
  <c r="K678" i="14"/>
  <c r="J678" i="14"/>
  <c r="H678" i="14"/>
  <c r="G678" i="14"/>
  <c r="F678" i="14"/>
  <c r="I678" i="14" s="1"/>
  <c r="D678" i="14"/>
  <c r="C678" i="14"/>
  <c r="B678" i="14"/>
  <c r="E678" i="14" s="1"/>
  <c r="P677" i="14"/>
  <c r="O677" i="14"/>
  <c r="Q677" i="14" s="1"/>
  <c r="N677" i="14"/>
  <c r="L677" i="14"/>
  <c r="K677" i="14"/>
  <c r="J677" i="14"/>
  <c r="H677" i="14"/>
  <c r="G677" i="14"/>
  <c r="I677" i="14" s="1"/>
  <c r="F677" i="14"/>
  <c r="D677" i="14"/>
  <c r="C677" i="14"/>
  <c r="B677" i="14"/>
  <c r="Q676" i="14"/>
  <c r="M676" i="14"/>
  <c r="I676" i="14"/>
  <c r="E676" i="14"/>
  <c r="Q675" i="14"/>
  <c r="M675" i="14"/>
  <c r="I675" i="14"/>
  <c r="E675" i="14"/>
  <c r="R675" i="14" s="1"/>
  <c r="Q674" i="14"/>
  <c r="M674" i="14"/>
  <c r="I674" i="14"/>
  <c r="R674" i="14" s="1"/>
  <c r="E674" i="14"/>
  <c r="Q672" i="14"/>
  <c r="M672" i="14"/>
  <c r="I672" i="14"/>
  <c r="E672" i="14"/>
  <c r="Q671" i="14"/>
  <c r="M671" i="14"/>
  <c r="I671" i="14"/>
  <c r="E671" i="14"/>
  <c r="Q669" i="14"/>
  <c r="M669" i="14"/>
  <c r="I669" i="14"/>
  <c r="E669" i="14"/>
  <c r="Q668" i="14"/>
  <c r="M668" i="14"/>
  <c r="I668" i="14"/>
  <c r="E668" i="14"/>
  <c r="Q667" i="14"/>
  <c r="M667" i="14"/>
  <c r="I667" i="14"/>
  <c r="E667" i="14"/>
  <c r="Q666" i="14"/>
  <c r="M666" i="14"/>
  <c r="I666" i="14"/>
  <c r="E666" i="14"/>
  <c r="Q664" i="14"/>
  <c r="M664" i="14"/>
  <c r="I664" i="14"/>
  <c r="E664" i="14"/>
  <c r="R664" i="14" s="1"/>
  <c r="Q663" i="14"/>
  <c r="M663" i="14"/>
  <c r="R663" i="14" s="1"/>
  <c r="I663" i="14"/>
  <c r="E663" i="14"/>
  <c r="P660" i="14"/>
  <c r="O660" i="14"/>
  <c r="N660" i="14"/>
  <c r="L660" i="14"/>
  <c r="K660" i="14"/>
  <c r="J660" i="14"/>
  <c r="H660" i="14"/>
  <c r="G660" i="14"/>
  <c r="I660" i="14" s="1"/>
  <c r="F660" i="14"/>
  <c r="D660" i="14"/>
  <c r="C660" i="14"/>
  <c r="B660" i="14"/>
  <c r="Q659" i="14"/>
  <c r="M659" i="14"/>
  <c r="R659" i="14" s="1"/>
  <c r="I659" i="14"/>
  <c r="E659" i="14"/>
  <c r="Q658" i="14"/>
  <c r="M658" i="14"/>
  <c r="I658" i="14"/>
  <c r="E658" i="14"/>
  <c r="R658" i="14" s="1"/>
  <c r="Q657" i="14"/>
  <c r="M657" i="14"/>
  <c r="I657" i="14"/>
  <c r="R657" i="14" s="1"/>
  <c r="E657" i="14"/>
  <c r="Q656" i="14"/>
  <c r="M656" i="14"/>
  <c r="I656" i="14"/>
  <c r="E656" i="14"/>
  <c r="Q655" i="14"/>
  <c r="M655" i="14"/>
  <c r="I655" i="14"/>
  <c r="E655" i="14"/>
  <c r="Q654" i="14"/>
  <c r="M654" i="14"/>
  <c r="I654" i="14"/>
  <c r="E654" i="14"/>
  <c r="P650" i="14"/>
  <c r="O650" i="14"/>
  <c r="N650" i="14"/>
  <c r="L650" i="14"/>
  <c r="K650" i="14"/>
  <c r="J650" i="14"/>
  <c r="M650" i="14" s="1"/>
  <c r="H650" i="14"/>
  <c r="G650" i="14"/>
  <c r="F650" i="14"/>
  <c r="I650" i="14" s="1"/>
  <c r="D650" i="14"/>
  <c r="C650" i="14"/>
  <c r="B650" i="14"/>
  <c r="Q648" i="14"/>
  <c r="M648" i="14"/>
  <c r="I648" i="14"/>
  <c r="E648" i="14"/>
  <c r="Q647" i="14"/>
  <c r="M647" i="14"/>
  <c r="I647" i="14"/>
  <c r="E647" i="14"/>
  <c r="P644" i="14"/>
  <c r="O644" i="14"/>
  <c r="O679" i="14" s="1"/>
  <c r="O682" i="14" s="1"/>
  <c r="N644" i="14"/>
  <c r="M644" i="14"/>
  <c r="L644" i="14"/>
  <c r="K644" i="14"/>
  <c r="K679" i="14" s="1"/>
  <c r="K682" i="14" s="1"/>
  <c r="J644" i="14"/>
  <c r="H644" i="14"/>
  <c r="G644" i="14"/>
  <c r="G679" i="14" s="1"/>
  <c r="G682" i="14" s="1"/>
  <c r="D644" i="14"/>
  <c r="D679" i="14" s="1"/>
  <c r="D682" i="14" s="1"/>
  <c r="C644" i="14"/>
  <c r="C679" i="14" s="1"/>
  <c r="C682" i="14" s="1"/>
  <c r="B644" i="14"/>
  <c r="Q642" i="14"/>
  <c r="M642" i="14"/>
  <c r="I642" i="14"/>
  <c r="E642" i="14"/>
  <c r="R642" i="14" s="1"/>
  <c r="Q640" i="14"/>
  <c r="M640" i="14"/>
  <c r="I640" i="14"/>
  <c r="E640" i="14"/>
  <c r="Q638" i="14"/>
  <c r="M638" i="14"/>
  <c r="I638" i="14"/>
  <c r="E638" i="14"/>
  <c r="R638" i="14" s="1"/>
  <c r="Q637" i="14"/>
  <c r="M637" i="14"/>
  <c r="I637" i="14"/>
  <c r="E637" i="14"/>
  <c r="Q636" i="14"/>
  <c r="M636" i="14"/>
  <c r="I636" i="14"/>
  <c r="E636" i="14"/>
  <c r="R636" i="14" s="1"/>
  <c r="Q635" i="14"/>
  <c r="M635" i="14"/>
  <c r="I635" i="14"/>
  <c r="E635" i="14"/>
  <c r="Q634" i="14"/>
  <c r="M634" i="14"/>
  <c r="I634" i="14"/>
  <c r="E634" i="14"/>
  <c r="Q633" i="14"/>
  <c r="M633" i="14"/>
  <c r="I633" i="14"/>
  <c r="E633" i="14"/>
  <c r="Q632" i="14"/>
  <c r="M632" i="14"/>
  <c r="I632" i="14"/>
  <c r="E632" i="14"/>
  <c r="R632" i="14" s="1"/>
  <c r="Q631" i="14"/>
  <c r="M631" i="14"/>
  <c r="I631" i="14"/>
  <c r="F631" i="14"/>
  <c r="F644" i="14" s="1"/>
  <c r="E631" i="14"/>
  <c r="Q630" i="14"/>
  <c r="M630" i="14"/>
  <c r="I630" i="14"/>
  <c r="E630" i="14"/>
  <c r="R630" i="14" s="1"/>
  <c r="Q629" i="14"/>
  <c r="M629" i="14"/>
  <c r="I629" i="14"/>
  <c r="E629" i="14"/>
  <c r="R629" i="14" s="1"/>
  <c r="Q628" i="14"/>
  <c r="M628" i="14"/>
  <c r="I628" i="14"/>
  <c r="E628" i="14"/>
  <c r="Q627" i="14"/>
  <c r="M627" i="14"/>
  <c r="I627" i="14"/>
  <c r="E627" i="14"/>
  <c r="R627" i="14" s="1"/>
  <c r="Q626" i="14"/>
  <c r="M626" i="14"/>
  <c r="I626" i="14"/>
  <c r="E626" i="14"/>
  <c r="Q614" i="14"/>
  <c r="M614" i="14"/>
  <c r="I614" i="14"/>
  <c r="E614" i="14"/>
  <c r="P612" i="14"/>
  <c r="O612" i="14"/>
  <c r="N612" i="14"/>
  <c r="L612" i="14"/>
  <c r="K612" i="14"/>
  <c r="J612" i="14"/>
  <c r="M612" i="14" s="1"/>
  <c r="H612" i="14"/>
  <c r="G612" i="14"/>
  <c r="F612" i="14"/>
  <c r="D612" i="14"/>
  <c r="C612" i="14"/>
  <c r="B612" i="14"/>
  <c r="P611" i="14"/>
  <c r="O611" i="14"/>
  <c r="Q611" i="14" s="1"/>
  <c r="N611" i="14"/>
  <c r="L611" i="14"/>
  <c r="K611" i="14"/>
  <c r="J611" i="14"/>
  <c r="H611" i="14"/>
  <c r="G611" i="14"/>
  <c r="F611" i="14"/>
  <c r="D611" i="14"/>
  <c r="C611" i="14"/>
  <c r="B611" i="14"/>
  <c r="Q610" i="14"/>
  <c r="M610" i="14"/>
  <c r="R610" i="14" s="1"/>
  <c r="I610" i="14"/>
  <c r="E610" i="14"/>
  <c r="Q609" i="14"/>
  <c r="M609" i="14"/>
  <c r="I609" i="14"/>
  <c r="E609" i="14"/>
  <c r="R609" i="14" s="1"/>
  <c r="Q608" i="14"/>
  <c r="M608" i="14"/>
  <c r="I608" i="14"/>
  <c r="R608" i="14" s="1"/>
  <c r="E608" i="14"/>
  <c r="Q607" i="14"/>
  <c r="M607" i="14"/>
  <c r="I607" i="14"/>
  <c r="E607" i="14"/>
  <c r="Q605" i="14"/>
  <c r="M605" i="14"/>
  <c r="I605" i="14"/>
  <c r="E605" i="14"/>
  <c r="P600" i="14"/>
  <c r="O600" i="14"/>
  <c r="Q600" i="14" s="1"/>
  <c r="N600" i="14"/>
  <c r="M600" i="14"/>
  <c r="L600" i="14"/>
  <c r="K600" i="14"/>
  <c r="J600" i="14"/>
  <c r="H600" i="14"/>
  <c r="G600" i="14"/>
  <c r="I600" i="14" s="1"/>
  <c r="F600" i="14"/>
  <c r="E600" i="14"/>
  <c r="D600" i="14"/>
  <c r="C600" i="14"/>
  <c r="B600" i="14"/>
  <c r="Q599" i="14"/>
  <c r="M599" i="14"/>
  <c r="I599" i="14"/>
  <c r="E599" i="14"/>
  <c r="R599" i="14" s="1"/>
  <c r="P595" i="14"/>
  <c r="O595" i="14"/>
  <c r="N595" i="14"/>
  <c r="L595" i="14"/>
  <c r="J595" i="14"/>
  <c r="H595" i="14"/>
  <c r="G595" i="14"/>
  <c r="F595" i="14"/>
  <c r="D595" i="14"/>
  <c r="C595" i="14"/>
  <c r="E595" i="14" s="1"/>
  <c r="B595" i="14"/>
  <c r="Q593" i="14"/>
  <c r="M593" i="14"/>
  <c r="I593" i="14"/>
  <c r="E593" i="14"/>
  <c r="Q592" i="14"/>
  <c r="K592" i="14"/>
  <c r="K902" i="14" s="1"/>
  <c r="I592" i="14"/>
  <c r="E592" i="14"/>
  <c r="P589" i="14"/>
  <c r="P613" i="14" s="1"/>
  <c r="P616" i="14" s="1"/>
  <c r="O589" i="14"/>
  <c r="N589" i="14"/>
  <c r="Q589" i="14" s="1"/>
  <c r="L589" i="14"/>
  <c r="K589" i="14"/>
  <c r="J589" i="14"/>
  <c r="J613" i="14" s="1"/>
  <c r="J616" i="14" s="1"/>
  <c r="H589" i="14"/>
  <c r="G589" i="14"/>
  <c r="F589" i="14"/>
  <c r="I589" i="14" s="1"/>
  <c r="D589" i="14"/>
  <c r="C589" i="14"/>
  <c r="C613" i="14" s="1"/>
  <c r="C616" i="14" s="1"/>
  <c r="B589" i="14"/>
  <c r="B613" i="14" s="1"/>
  <c r="Q585" i="14"/>
  <c r="M585" i="14"/>
  <c r="I585" i="14"/>
  <c r="E585" i="14"/>
  <c r="Q584" i="14"/>
  <c r="M584" i="14"/>
  <c r="I584" i="14"/>
  <c r="E584" i="14"/>
  <c r="R584" i="14" s="1"/>
  <c r="Q583" i="14"/>
  <c r="M583" i="14"/>
  <c r="I583" i="14"/>
  <c r="E583" i="14"/>
  <c r="Q582" i="14"/>
  <c r="M582" i="14"/>
  <c r="I582" i="14"/>
  <c r="E582" i="14"/>
  <c r="R582" i="14" s="1"/>
  <c r="Q581" i="14"/>
  <c r="R581" i="14" s="1"/>
  <c r="M581" i="14"/>
  <c r="I581" i="14"/>
  <c r="E581" i="14"/>
  <c r="Q569" i="14"/>
  <c r="M569" i="14"/>
  <c r="I569" i="14"/>
  <c r="E569" i="14"/>
  <c r="P567" i="14"/>
  <c r="O567" i="14"/>
  <c r="N567" i="14"/>
  <c r="Q567" i="14" s="1"/>
  <c r="L567" i="14"/>
  <c r="K567" i="14"/>
  <c r="J567" i="14"/>
  <c r="H567" i="14"/>
  <c r="G567" i="14"/>
  <c r="F567" i="14"/>
  <c r="D567" i="14"/>
  <c r="C567" i="14"/>
  <c r="B567" i="14"/>
  <c r="P566" i="14"/>
  <c r="O566" i="14"/>
  <c r="N566" i="14"/>
  <c r="L566" i="14"/>
  <c r="K566" i="14"/>
  <c r="J566" i="14"/>
  <c r="H566" i="14"/>
  <c r="G566" i="14"/>
  <c r="F566" i="14"/>
  <c r="D566" i="14"/>
  <c r="C566" i="14"/>
  <c r="E566" i="14" s="1"/>
  <c r="B566" i="14"/>
  <c r="Q565" i="14"/>
  <c r="M565" i="14"/>
  <c r="I565" i="14"/>
  <c r="E565" i="14"/>
  <c r="Q564" i="14"/>
  <c r="M564" i="14"/>
  <c r="I564" i="14"/>
  <c r="E564" i="14"/>
  <c r="P558" i="14"/>
  <c r="O558" i="14"/>
  <c r="N558" i="14"/>
  <c r="Q558" i="14" s="1"/>
  <c r="L558" i="14"/>
  <c r="K558" i="14"/>
  <c r="J558" i="14"/>
  <c r="H558" i="14"/>
  <c r="G558" i="14"/>
  <c r="F558" i="14"/>
  <c r="D558" i="14"/>
  <c r="C558" i="14"/>
  <c r="B558" i="14"/>
  <c r="Q557" i="14"/>
  <c r="M557" i="14"/>
  <c r="I557" i="14"/>
  <c r="R557" i="14" s="1"/>
  <c r="E557" i="14"/>
  <c r="Q556" i="14"/>
  <c r="M556" i="14"/>
  <c r="I556" i="14"/>
  <c r="R556" i="14" s="1"/>
  <c r="E556" i="14"/>
  <c r="Q555" i="14"/>
  <c r="M555" i="14"/>
  <c r="I555" i="14"/>
  <c r="E555" i="14"/>
  <c r="P551" i="14"/>
  <c r="O551" i="14"/>
  <c r="N551" i="14"/>
  <c r="Q551" i="14" s="1"/>
  <c r="L551" i="14"/>
  <c r="K551" i="14"/>
  <c r="J551" i="14"/>
  <c r="H551" i="14"/>
  <c r="G551" i="14"/>
  <c r="F551" i="14"/>
  <c r="C551" i="14"/>
  <c r="B551" i="14"/>
  <c r="Q549" i="14"/>
  <c r="M549" i="14"/>
  <c r="I549" i="14"/>
  <c r="D549" i="14"/>
  <c r="D902" i="14" s="1"/>
  <c r="P546" i="14"/>
  <c r="P568" i="14" s="1"/>
  <c r="P571" i="14" s="1"/>
  <c r="O546" i="14"/>
  <c r="O568" i="14" s="1"/>
  <c r="O571" i="14" s="1"/>
  <c r="N546" i="14"/>
  <c r="Q546" i="14" s="1"/>
  <c r="L546" i="14"/>
  <c r="L568" i="14" s="1"/>
  <c r="L571" i="14" s="1"/>
  <c r="K546" i="14"/>
  <c r="K568" i="14" s="1"/>
  <c r="K571" i="14" s="1"/>
  <c r="J546" i="14"/>
  <c r="J568" i="14" s="1"/>
  <c r="J571" i="14" s="1"/>
  <c r="I546" i="14"/>
  <c r="H546" i="14"/>
  <c r="G546" i="14"/>
  <c r="G568" i="14" s="1"/>
  <c r="G571" i="14" s="1"/>
  <c r="F546" i="14"/>
  <c r="D546" i="14"/>
  <c r="C546" i="14"/>
  <c r="C568" i="14" s="1"/>
  <c r="B546" i="14"/>
  <c r="B568" i="14" s="1"/>
  <c r="B571" i="14" s="1"/>
  <c r="Q543" i="14"/>
  <c r="M543" i="14"/>
  <c r="I543" i="14"/>
  <c r="E543" i="14"/>
  <c r="R543" i="14" s="1"/>
  <c r="Q542" i="14"/>
  <c r="M542" i="14"/>
  <c r="I542" i="14"/>
  <c r="E542" i="14"/>
  <c r="Q540" i="14"/>
  <c r="M540" i="14"/>
  <c r="I540" i="14"/>
  <c r="E540" i="14"/>
  <c r="Q539" i="14"/>
  <c r="M539" i="14"/>
  <c r="I539" i="14"/>
  <c r="E539" i="14"/>
  <c r="Q538" i="14"/>
  <c r="M538" i="14"/>
  <c r="I538" i="14"/>
  <c r="E538" i="14"/>
  <c r="Q537" i="14"/>
  <c r="M537" i="14"/>
  <c r="I537" i="14"/>
  <c r="R537" i="14" s="1"/>
  <c r="E537" i="14"/>
  <c r="Q536" i="14"/>
  <c r="M536" i="14"/>
  <c r="I536" i="14"/>
  <c r="E536" i="14"/>
  <c r="Q518" i="14"/>
  <c r="M518" i="14"/>
  <c r="I518" i="14"/>
  <c r="E518" i="14"/>
  <c r="Q517" i="14"/>
  <c r="M517" i="14"/>
  <c r="I517" i="14"/>
  <c r="E517" i="14"/>
  <c r="Q516" i="14"/>
  <c r="M516" i="14"/>
  <c r="I516" i="14"/>
  <c r="E516" i="14"/>
  <c r="P514" i="14"/>
  <c r="O514" i="14"/>
  <c r="N514" i="14"/>
  <c r="L514" i="14"/>
  <c r="K514" i="14"/>
  <c r="H514" i="14"/>
  <c r="G514" i="14"/>
  <c r="F514" i="14"/>
  <c r="D514" i="14"/>
  <c r="C514" i="14"/>
  <c r="B514" i="14"/>
  <c r="P513" i="14"/>
  <c r="O513" i="14"/>
  <c r="N513" i="14"/>
  <c r="L513" i="14"/>
  <c r="K513" i="14"/>
  <c r="H513" i="14"/>
  <c r="I513" i="14" s="1"/>
  <c r="G513" i="14"/>
  <c r="F513" i="14"/>
  <c r="D513" i="14"/>
  <c r="C513" i="14"/>
  <c r="E513" i="14" s="1"/>
  <c r="B513" i="14"/>
  <c r="Q512" i="14"/>
  <c r="M512" i="14"/>
  <c r="I512" i="14"/>
  <c r="E512" i="14"/>
  <c r="Q511" i="14"/>
  <c r="M511" i="14"/>
  <c r="I511" i="14"/>
  <c r="E511" i="14"/>
  <c r="Q510" i="14"/>
  <c r="M510" i="14"/>
  <c r="I510" i="14"/>
  <c r="R510" i="14" s="1"/>
  <c r="E510" i="14"/>
  <c r="Q509" i="14"/>
  <c r="M509" i="14"/>
  <c r="I509" i="14"/>
  <c r="E509" i="14"/>
  <c r="Q508" i="14"/>
  <c r="M508" i="14"/>
  <c r="I508" i="14"/>
  <c r="E508" i="14"/>
  <c r="Q507" i="14"/>
  <c r="J507" i="14"/>
  <c r="J914" i="14" s="1"/>
  <c r="I507" i="14"/>
  <c r="E507" i="14"/>
  <c r="Q506" i="14"/>
  <c r="M506" i="14"/>
  <c r="I506" i="14"/>
  <c r="E506" i="14"/>
  <c r="Q505" i="14"/>
  <c r="M505" i="14"/>
  <c r="I505" i="14"/>
  <c r="E505" i="14"/>
  <c r="Q504" i="14"/>
  <c r="M504" i="14"/>
  <c r="R504" i="14" s="1"/>
  <c r="I504" i="14"/>
  <c r="E504" i="14"/>
  <c r="Q503" i="14"/>
  <c r="M503" i="14"/>
  <c r="I503" i="14"/>
  <c r="E503" i="14"/>
  <c r="R503" i="14" s="1"/>
  <c r="Q501" i="14"/>
  <c r="M501" i="14"/>
  <c r="I501" i="14"/>
  <c r="E501" i="14"/>
  <c r="Q500" i="14"/>
  <c r="M500" i="14"/>
  <c r="I500" i="14"/>
  <c r="E500" i="14"/>
  <c r="Q499" i="14"/>
  <c r="M499" i="14"/>
  <c r="I499" i="14"/>
  <c r="E499" i="14"/>
  <c r="Q498" i="14"/>
  <c r="M498" i="14"/>
  <c r="I498" i="14"/>
  <c r="E498" i="14"/>
  <c r="R498" i="14" s="1"/>
  <c r="Q497" i="14"/>
  <c r="M497" i="14"/>
  <c r="I497" i="14"/>
  <c r="E497" i="14"/>
  <c r="Q496" i="14"/>
  <c r="M496" i="14"/>
  <c r="I496" i="14"/>
  <c r="E496" i="14"/>
  <c r="R496" i="14" s="1"/>
  <c r="Q494" i="14"/>
  <c r="M494" i="14"/>
  <c r="I494" i="14"/>
  <c r="E494" i="14"/>
  <c r="R494" i="14" s="1"/>
  <c r="Q493" i="14"/>
  <c r="M493" i="14"/>
  <c r="I493" i="14"/>
  <c r="E493" i="14"/>
  <c r="Q491" i="14"/>
  <c r="M491" i="14"/>
  <c r="I491" i="14"/>
  <c r="E491" i="14"/>
  <c r="P487" i="14"/>
  <c r="O487" i="14"/>
  <c r="N487" i="14"/>
  <c r="Q487" i="14" s="1"/>
  <c r="L487" i="14"/>
  <c r="K487" i="14"/>
  <c r="J487" i="14"/>
  <c r="M487" i="14" s="1"/>
  <c r="H487" i="14"/>
  <c r="G487" i="14"/>
  <c r="F487" i="14"/>
  <c r="I487" i="14" s="1"/>
  <c r="D487" i="14"/>
  <c r="C487" i="14"/>
  <c r="B487" i="14"/>
  <c r="E487" i="14" s="1"/>
  <c r="Q486" i="14"/>
  <c r="M486" i="14"/>
  <c r="I486" i="14"/>
  <c r="E486" i="14"/>
  <c r="Q485" i="14"/>
  <c r="M485" i="14"/>
  <c r="I485" i="14"/>
  <c r="E485" i="14"/>
  <c r="Q484" i="14"/>
  <c r="M484" i="14"/>
  <c r="I484" i="14"/>
  <c r="E484" i="14"/>
  <c r="Q483" i="14"/>
  <c r="M483" i="14"/>
  <c r="I483" i="14"/>
  <c r="E483" i="14"/>
  <c r="R483" i="14" s="1"/>
  <c r="Q482" i="14"/>
  <c r="M482" i="14"/>
  <c r="I482" i="14"/>
  <c r="E482" i="14"/>
  <c r="Q481" i="14"/>
  <c r="M481" i="14"/>
  <c r="I481" i="14"/>
  <c r="E481" i="14"/>
  <c r="Q480" i="14"/>
  <c r="M480" i="14"/>
  <c r="I480" i="14"/>
  <c r="E480" i="14"/>
  <c r="Q479" i="14"/>
  <c r="M479" i="14"/>
  <c r="I479" i="14"/>
  <c r="E479" i="14"/>
  <c r="R479" i="14" s="1"/>
  <c r="Q478" i="14"/>
  <c r="M478" i="14"/>
  <c r="I478" i="14"/>
  <c r="E478" i="14"/>
  <c r="Q477" i="14"/>
  <c r="M477" i="14"/>
  <c r="I477" i="14"/>
  <c r="E477" i="14"/>
  <c r="R477" i="14" s="1"/>
  <c r="Q476" i="14"/>
  <c r="M476" i="14"/>
  <c r="I476" i="14"/>
  <c r="E476" i="14"/>
  <c r="Q475" i="14"/>
  <c r="M475" i="14"/>
  <c r="I475" i="14"/>
  <c r="E475" i="14"/>
  <c r="R475" i="14" s="1"/>
  <c r="Q474" i="14"/>
  <c r="M474" i="14"/>
  <c r="I474" i="14"/>
  <c r="E474" i="14"/>
  <c r="Q473" i="14"/>
  <c r="M473" i="14"/>
  <c r="I473" i="14"/>
  <c r="R473" i="14" s="1"/>
  <c r="E473" i="14"/>
  <c r="Q472" i="14"/>
  <c r="R472" i="14" s="1"/>
  <c r="M472" i="14"/>
  <c r="I472" i="14"/>
  <c r="E472" i="14"/>
  <c r="Q471" i="14"/>
  <c r="M471" i="14"/>
  <c r="I471" i="14"/>
  <c r="E471" i="14"/>
  <c r="Q470" i="14"/>
  <c r="M470" i="14"/>
  <c r="I470" i="14"/>
  <c r="E470" i="14"/>
  <c r="Q469" i="14"/>
  <c r="M469" i="14"/>
  <c r="I469" i="14"/>
  <c r="E469" i="14"/>
  <c r="Q468" i="14"/>
  <c r="M468" i="14"/>
  <c r="I468" i="14"/>
  <c r="E468" i="14"/>
  <c r="Q467" i="14"/>
  <c r="M467" i="14"/>
  <c r="R467" i="14" s="1"/>
  <c r="I467" i="14"/>
  <c r="E467" i="14"/>
  <c r="O466" i="14"/>
  <c r="Q466" i="14" s="1"/>
  <c r="M466" i="14"/>
  <c r="I466" i="14"/>
  <c r="E466" i="14"/>
  <c r="Q465" i="14"/>
  <c r="M465" i="14"/>
  <c r="I465" i="14"/>
  <c r="E465" i="14"/>
  <c r="Q464" i="14"/>
  <c r="L464" i="14"/>
  <c r="K464" i="14"/>
  <c r="M464" i="14" s="1"/>
  <c r="I464" i="14"/>
  <c r="E464" i="14"/>
  <c r="R464" i="14" s="1"/>
  <c r="Q463" i="14"/>
  <c r="M463" i="14"/>
  <c r="L463" i="14"/>
  <c r="K463" i="14"/>
  <c r="I463" i="14"/>
  <c r="E463" i="14"/>
  <c r="Q462" i="14"/>
  <c r="M462" i="14"/>
  <c r="I462" i="14"/>
  <c r="E462" i="14"/>
  <c r="Q461" i="14"/>
  <c r="M461" i="14"/>
  <c r="I461" i="14"/>
  <c r="E461" i="14"/>
  <c r="R461" i="14" s="1"/>
  <c r="Q460" i="14"/>
  <c r="M460" i="14"/>
  <c r="I460" i="14"/>
  <c r="E460" i="14"/>
  <c r="R460" i="14" s="1"/>
  <c r="N459" i="14"/>
  <c r="Q459" i="14" s="1"/>
  <c r="M459" i="14"/>
  <c r="I459" i="14"/>
  <c r="E459" i="14"/>
  <c r="Q458" i="14"/>
  <c r="M458" i="14"/>
  <c r="I458" i="14"/>
  <c r="E458" i="14"/>
  <c r="Q457" i="14"/>
  <c r="M457" i="14"/>
  <c r="I457" i="14"/>
  <c r="E457" i="14"/>
  <c r="R457" i="14" s="1"/>
  <c r="Q456" i="14"/>
  <c r="M456" i="14"/>
  <c r="I456" i="14"/>
  <c r="E456" i="14"/>
  <c r="Q455" i="14"/>
  <c r="M455" i="14"/>
  <c r="I455" i="14"/>
  <c r="E455" i="14"/>
  <c r="R455" i="14" s="1"/>
  <c r="Q454" i="14"/>
  <c r="M454" i="14"/>
  <c r="I454" i="14"/>
  <c r="E454" i="14"/>
  <c r="Q453" i="14"/>
  <c r="M453" i="14"/>
  <c r="I453" i="14"/>
  <c r="E453" i="14"/>
  <c r="R453" i="14" s="1"/>
  <c r="Q452" i="14"/>
  <c r="K452" i="14"/>
  <c r="M452" i="14" s="1"/>
  <c r="R452" i="14" s="1"/>
  <c r="I452" i="14"/>
  <c r="E452" i="14"/>
  <c r="Q451" i="14"/>
  <c r="M451" i="14"/>
  <c r="I451" i="14"/>
  <c r="E451" i="14"/>
  <c r="Q450" i="14"/>
  <c r="M450" i="14"/>
  <c r="I450" i="14"/>
  <c r="E450" i="14"/>
  <c r="Q449" i="14"/>
  <c r="M449" i="14"/>
  <c r="I449" i="14"/>
  <c r="E449" i="14"/>
  <c r="Q448" i="14"/>
  <c r="M448" i="14"/>
  <c r="I448" i="14"/>
  <c r="E448" i="14"/>
  <c r="Q447" i="14"/>
  <c r="M447" i="14"/>
  <c r="I447" i="14"/>
  <c r="E447" i="14"/>
  <c r="R447" i="14" s="1"/>
  <c r="Q446" i="14"/>
  <c r="M446" i="14"/>
  <c r="I446" i="14"/>
  <c r="E446" i="14"/>
  <c r="R446" i="14" s="1"/>
  <c r="Q445" i="14"/>
  <c r="M445" i="14"/>
  <c r="I445" i="14"/>
  <c r="E445" i="14"/>
  <c r="Q444" i="14"/>
  <c r="M444" i="14"/>
  <c r="I444" i="14"/>
  <c r="E444" i="14"/>
  <c r="Q443" i="14"/>
  <c r="M443" i="14"/>
  <c r="H443" i="14"/>
  <c r="G443" i="14"/>
  <c r="F443" i="14"/>
  <c r="I443" i="14" s="1"/>
  <c r="D443" i="14"/>
  <c r="C443" i="14"/>
  <c r="E443" i="14" s="1"/>
  <c r="Q442" i="14"/>
  <c r="M442" i="14"/>
  <c r="I442" i="14"/>
  <c r="E442" i="14"/>
  <c r="Q441" i="14"/>
  <c r="M441" i="14"/>
  <c r="H441" i="14"/>
  <c r="H488" i="14" s="1"/>
  <c r="G441" i="14"/>
  <c r="F441" i="14"/>
  <c r="I441" i="14" s="1"/>
  <c r="E441" i="14"/>
  <c r="Q440" i="14"/>
  <c r="M440" i="14"/>
  <c r="I440" i="14"/>
  <c r="E440" i="14"/>
  <c r="Q439" i="14"/>
  <c r="O439" i="14"/>
  <c r="N439" i="14"/>
  <c r="J439" i="14"/>
  <c r="J488" i="14" s="1"/>
  <c r="I439" i="14"/>
  <c r="E439" i="14"/>
  <c r="Q438" i="14"/>
  <c r="M438" i="14"/>
  <c r="G438" i="14"/>
  <c r="I438" i="14" s="1"/>
  <c r="E438" i="14"/>
  <c r="P437" i="14"/>
  <c r="P488" i="14" s="1"/>
  <c r="O437" i="14"/>
  <c r="O488" i="14" s="1"/>
  <c r="N437" i="14"/>
  <c r="L437" i="14"/>
  <c r="L488" i="14" s="1"/>
  <c r="K437" i="14"/>
  <c r="M437" i="14" s="1"/>
  <c r="I437" i="14"/>
  <c r="E437" i="14"/>
  <c r="Q436" i="14"/>
  <c r="M436" i="14"/>
  <c r="I436" i="14"/>
  <c r="E436" i="14"/>
  <c r="Q435" i="14"/>
  <c r="M435" i="14"/>
  <c r="K435" i="14"/>
  <c r="I435" i="14"/>
  <c r="G435" i="14"/>
  <c r="G488" i="14" s="1"/>
  <c r="F435" i="14"/>
  <c r="D435" i="14"/>
  <c r="D488" i="14" s="1"/>
  <c r="C435" i="14"/>
  <c r="B435" i="14"/>
  <c r="Q434" i="14"/>
  <c r="M434" i="14"/>
  <c r="I434" i="14"/>
  <c r="E434" i="14"/>
  <c r="R434" i="14" s="1"/>
  <c r="Q433" i="14"/>
  <c r="M433" i="14"/>
  <c r="I433" i="14"/>
  <c r="R433" i="14" s="1"/>
  <c r="E433" i="14"/>
  <c r="Q432" i="14"/>
  <c r="M432" i="14"/>
  <c r="I432" i="14"/>
  <c r="R432" i="14" s="1"/>
  <c r="E432" i="14"/>
  <c r="Q431" i="14"/>
  <c r="M431" i="14"/>
  <c r="R431" i="14" s="1"/>
  <c r="I431" i="14"/>
  <c r="E431" i="14"/>
  <c r="Q430" i="14"/>
  <c r="M430" i="14"/>
  <c r="I430" i="14"/>
  <c r="E430" i="14"/>
  <c r="Q429" i="14"/>
  <c r="M429" i="14"/>
  <c r="I429" i="14"/>
  <c r="E429" i="14"/>
  <c r="Q428" i="14"/>
  <c r="M428" i="14"/>
  <c r="I428" i="14"/>
  <c r="E428" i="14"/>
  <c r="R428" i="14" s="1"/>
  <c r="Q427" i="14"/>
  <c r="M427" i="14"/>
  <c r="I427" i="14"/>
  <c r="E427" i="14"/>
  <c r="Q426" i="14"/>
  <c r="M426" i="14"/>
  <c r="I426" i="14"/>
  <c r="E426" i="14"/>
  <c r="Q425" i="14"/>
  <c r="M425" i="14"/>
  <c r="R425" i="14" s="1"/>
  <c r="I425" i="14"/>
  <c r="E425" i="14"/>
  <c r="Q424" i="14"/>
  <c r="M424" i="14"/>
  <c r="I424" i="14"/>
  <c r="E424" i="14"/>
  <c r="Q423" i="14"/>
  <c r="M423" i="14"/>
  <c r="I423" i="14"/>
  <c r="E423" i="14"/>
  <c r="R423" i="14" s="1"/>
  <c r="Q421" i="14"/>
  <c r="M421" i="14"/>
  <c r="I421" i="14"/>
  <c r="E421" i="14"/>
  <c r="Q420" i="14"/>
  <c r="M420" i="14"/>
  <c r="I420" i="14"/>
  <c r="E420" i="14"/>
  <c r="Q419" i="14"/>
  <c r="M419" i="14"/>
  <c r="I419" i="14"/>
  <c r="E419" i="14"/>
  <c r="Q418" i="14"/>
  <c r="M418" i="14"/>
  <c r="I418" i="14"/>
  <c r="E418" i="14"/>
  <c r="Q417" i="14"/>
  <c r="M417" i="14"/>
  <c r="I417" i="14"/>
  <c r="R417" i="14" s="1"/>
  <c r="E417" i="14"/>
  <c r="P414" i="14"/>
  <c r="O414" i="14"/>
  <c r="N414" i="14"/>
  <c r="L414" i="14"/>
  <c r="K414" i="14"/>
  <c r="J414" i="14"/>
  <c r="H414" i="14"/>
  <c r="G414" i="14"/>
  <c r="F414" i="14"/>
  <c r="D414" i="14"/>
  <c r="C414" i="14"/>
  <c r="B414" i="14"/>
  <c r="Q412" i="14"/>
  <c r="M412" i="14"/>
  <c r="I412" i="14"/>
  <c r="E412" i="14"/>
  <c r="Q411" i="14"/>
  <c r="M411" i="14"/>
  <c r="I411" i="14"/>
  <c r="E411" i="14"/>
  <c r="Q410" i="14"/>
  <c r="M410" i="14"/>
  <c r="I410" i="14"/>
  <c r="R410" i="14" s="1"/>
  <c r="E410" i="14"/>
  <c r="Q409" i="14"/>
  <c r="M409" i="14"/>
  <c r="I409" i="14"/>
  <c r="E409" i="14"/>
  <c r="AK408" i="14"/>
  <c r="AJ408" i="14"/>
  <c r="AI408" i="14"/>
  <c r="AG408" i="14"/>
  <c r="AF408" i="14"/>
  <c r="AE408" i="14"/>
  <c r="AH408" i="14" s="1"/>
  <c r="AB408" i="14"/>
  <c r="Y408" i="14"/>
  <c r="X408" i="14"/>
  <c r="Z408" i="14" s="1"/>
  <c r="W408" i="14"/>
  <c r="Q408" i="14"/>
  <c r="M408" i="14"/>
  <c r="I408" i="14"/>
  <c r="E408" i="14"/>
  <c r="AK407" i="14"/>
  <c r="AJ407" i="14"/>
  <c r="AL407" i="14" s="1"/>
  <c r="AI407" i="14"/>
  <c r="AG407" i="14"/>
  <c r="AF407" i="14"/>
  <c r="AE407" i="14"/>
  <c r="Y407" i="14"/>
  <c r="X407" i="14"/>
  <c r="Z407" i="14" s="1"/>
  <c r="W407" i="14"/>
  <c r="Q407" i="14"/>
  <c r="M407" i="14"/>
  <c r="I407" i="14"/>
  <c r="E407" i="14"/>
  <c r="AK406" i="14"/>
  <c r="AJ406" i="14"/>
  <c r="AL406" i="14" s="1"/>
  <c r="AI406" i="14"/>
  <c r="AG406" i="14"/>
  <c r="AF406" i="14"/>
  <c r="AE406" i="14"/>
  <c r="Y406" i="14"/>
  <c r="X406" i="14"/>
  <c r="W406" i="14"/>
  <c r="Q406" i="14"/>
  <c r="M406" i="14"/>
  <c r="I406" i="14"/>
  <c r="E406" i="14"/>
  <c r="R406" i="14" s="1"/>
  <c r="AL405" i="14"/>
  <c r="AL408" i="14" s="1"/>
  <c r="AH405" i="14"/>
  <c r="AD405" i="14"/>
  <c r="AC405" i="14"/>
  <c r="AC406" i="14" s="1"/>
  <c r="AB405" i="14"/>
  <c r="AB406" i="14" s="1"/>
  <c r="AA405" i="14"/>
  <c r="AA406" i="14" s="1"/>
  <c r="AD406" i="14" s="1"/>
  <c r="Z405" i="14"/>
  <c r="Q405" i="14"/>
  <c r="M405" i="14"/>
  <c r="I405" i="14"/>
  <c r="E405" i="14"/>
  <c r="Q404" i="14"/>
  <c r="M404" i="14"/>
  <c r="I404" i="14"/>
  <c r="E404" i="14"/>
  <c r="W403" i="14"/>
  <c r="J400" i="14"/>
  <c r="B400" i="14"/>
  <c r="Q398" i="14"/>
  <c r="M398" i="14"/>
  <c r="I398" i="14"/>
  <c r="E398" i="14"/>
  <c r="Q397" i="14"/>
  <c r="M397" i="14"/>
  <c r="I397" i="14"/>
  <c r="E397" i="14"/>
  <c r="R397" i="14" s="1"/>
  <c r="Q396" i="14"/>
  <c r="M396" i="14"/>
  <c r="I396" i="14"/>
  <c r="R396" i="14" s="1"/>
  <c r="E396" i="14"/>
  <c r="R395" i="14"/>
  <c r="Q395" i="14"/>
  <c r="M395" i="14"/>
  <c r="I395" i="14"/>
  <c r="E395" i="14"/>
  <c r="Q393" i="14"/>
  <c r="M393" i="14"/>
  <c r="I393" i="14"/>
  <c r="E393" i="14"/>
  <c r="R393" i="14" s="1"/>
  <c r="Q392" i="14"/>
  <c r="M392" i="14"/>
  <c r="I392" i="14"/>
  <c r="E392" i="14"/>
  <c r="Q391" i="14"/>
  <c r="M391" i="14"/>
  <c r="I391" i="14"/>
  <c r="E391" i="14"/>
  <c r="R391" i="14" s="1"/>
  <c r="Q390" i="14"/>
  <c r="M390" i="14"/>
  <c r="I390" i="14"/>
  <c r="E390" i="14"/>
  <c r="Q389" i="14"/>
  <c r="M389" i="14"/>
  <c r="I389" i="14"/>
  <c r="E389" i="14"/>
  <c r="Q388" i="14"/>
  <c r="M388" i="14"/>
  <c r="I388" i="14"/>
  <c r="E388" i="14"/>
  <c r="Q387" i="14"/>
  <c r="M387" i="14"/>
  <c r="I387" i="14"/>
  <c r="E387" i="14"/>
  <c r="R386" i="14"/>
  <c r="Q386" i="14"/>
  <c r="M386" i="14"/>
  <c r="I386" i="14"/>
  <c r="E386" i="14"/>
  <c r="Q385" i="14"/>
  <c r="M385" i="14"/>
  <c r="I385" i="14"/>
  <c r="E385" i="14"/>
  <c r="Q384" i="14"/>
  <c r="M384" i="14"/>
  <c r="I384" i="14"/>
  <c r="E384" i="14"/>
  <c r="Q383" i="14"/>
  <c r="M383" i="14"/>
  <c r="I383" i="14"/>
  <c r="E383" i="14"/>
  <c r="Q381" i="14"/>
  <c r="M381" i="14"/>
  <c r="I381" i="14"/>
  <c r="E381" i="14"/>
  <c r="Q380" i="14"/>
  <c r="M380" i="14"/>
  <c r="I380" i="14"/>
  <c r="E380" i="14"/>
  <c r="Q379" i="14"/>
  <c r="M379" i="14"/>
  <c r="I379" i="14"/>
  <c r="E379" i="14"/>
  <c r="Q378" i="14"/>
  <c r="M378" i="14"/>
  <c r="I378" i="14"/>
  <c r="E378" i="14"/>
  <c r="Q377" i="14"/>
  <c r="M377" i="14"/>
  <c r="I377" i="14"/>
  <c r="E377" i="14"/>
  <c r="Q376" i="14"/>
  <c r="M376" i="14"/>
  <c r="I376" i="14"/>
  <c r="E376" i="14"/>
  <c r="Q375" i="14"/>
  <c r="M375" i="14"/>
  <c r="L375" i="14"/>
  <c r="I375" i="14"/>
  <c r="D375" i="14"/>
  <c r="C375" i="14"/>
  <c r="B375" i="14"/>
  <c r="Q374" i="14"/>
  <c r="M374" i="14"/>
  <c r="I374" i="14"/>
  <c r="E374" i="14"/>
  <c r="Q373" i="14"/>
  <c r="M373" i="14"/>
  <c r="H373" i="14"/>
  <c r="I373" i="14" s="1"/>
  <c r="D373" i="14"/>
  <c r="E373" i="14" s="1"/>
  <c r="R373" i="14" s="1"/>
  <c r="Q372" i="14"/>
  <c r="M372" i="14"/>
  <c r="I372" i="14"/>
  <c r="E372" i="14"/>
  <c r="P371" i="14"/>
  <c r="P400" i="14" s="1"/>
  <c r="O371" i="14"/>
  <c r="N371" i="14"/>
  <c r="L371" i="14"/>
  <c r="K371" i="14"/>
  <c r="J371" i="14"/>
  <c r="M371" i="14" s="1"/>
  <c r="H371" i="14"/>
  <c r="D371" i="14"/>
  <c r="C371" i="14"/>
  <c r="B371" i="14"/>
  <c r="E371" i="14" s="1"/>
  <c r="Q370" i="14"/>
  <c r="M370" i="14"/>
  <c r="I370" i="14"/>
  <c r="E370" i="14"/>
  <c r="Q369" i="14"/>
  <c r="M369" i="14"/>
  <c r="I369" i="14"/>
  <c r="E369" i="14"/>
  <c r="R369" i="14" s="1"/>
  <c r="Q368" i="14"/>
  <c r="M368" i="14"/>
  <c r="I368" i="14"/>
  <c r="E368" i="14"/>
  <c r="Q367" i="14"/>
  <c r="M367" i="14"/>
  <c r="I367" i="14"/>
  <c r="E367" i="14"/>
  <c r="R367" i="14" s="1"/>
  <c r="Q366" i="14"/>
  <c r="M366" i="14"/>
  <c r="I366" i="14"/>
  <c r="E366" i="14"/>
  <c r="Q365" i="14"/>
  <c r="M365" i="14"/>
  <c r="I365" i="14"/>
  <c r="E365" i="14"/>
  <c r="Q364" i="14"/>
  <c r="M364" i="14"/>
  <c r="I364" i="14"/>
  <c r="E364" i="14"/>
  <c r="Q363" i="14"/>
  <c r="M363" i="14"/>
  <c r="I363" i="14"/>
  <c r="E363" i="14"/>
  <c r="Q362" i="14"/>
  <c r="M362" i="14"/>
  <c r="I362" i="14"/>
  <c r="E362" i="14"/>
  <c r="Q361" i="14"/>
  <c r="M361" i="14"/>
  <c r="I361" i="14"/>
  <c r="E361" i="14"/>
  <c r="R361" i="14" s="1"/>
  <c r="Q360" i="14"/>
  <c r="K360" i="14"/>
  <c r="M360" i="14" s="1"/>
  <c r="I360" i="14"/>
  <c r="E360" i="14"/>
  <c r="Q359" i="14"/>
  <c r="M359" i="14"/>
  <c r="I359" i="14"/>
  <c r="C359" i="14"/>
  <c r="E359" i="14" s="1"/>
  <c r="Q358" i="14"/>
  <c r="M358" i="14"/>
  <c r="I358" i="14"/>
  <c r="E358" i="14"/>
  <c r="Q357" i="14"/>
  <c r="M357" i="14"/>
  <c r="R357" i="14" s="1"/>
  <c r="I357" i="14"/>
  <c r="E357" i="14"/>
  <c r="O356" i="14"/>
  <c r="O400" i="14" s="1"/>
  <c r="O515" i="14" s="1"/>
  <c r="O520" i="14" s="1"/>
  <c r="N356" i="14"/>
  <c r="L356" i="14"/>
  <c r="L400" i="14" s="1"/>
  <c r="K356" i="14"/>
  <c r="K400" i="14" s="1"/>
  <c r="J356" i="14"/>
  <c r="H356" i="14"/>
  <c r="G356" i="14"/>
  <c r="G400" i="14" s="1"/>
  <c r="G515" i="14" s="1"/>
  <c r="G520" i="14" s="1"/>
  <c r="F356" i="14"/>
  <c r="D356" i="14"/>
  <c r="D400" i="14" s="1"/>
  <c r="C356" i="14"/>
  <c r="B356" i="14"/>
  <c r="E356" i="14" s="1"/>
  <c r="Q355" i="14"/>
  <c r="M355" i="14"/>
  <c r="I355" i="14"/>
  <c r="E355" i="14"/>
  <c r="Q354" i="14"/>
  <c r="M354" i="14"/>
  <c r="J354" i="14"/>
  <c r="I354" i="14"/>
  <c r="R354" i="14" s="1"/>
  <c r="E354" i="14"/>
  <c r="Q353" i="14"/>
  <c r="M353" i="14"/>
  <c r="I353" i="14"/>
  <c r="E353" i="14"/>
  <c r="Q352" i="14"/>
  <c r="M352" i="14"/>
  <c r="I352" i="14"/>
  <c r="E352" i="14"/>
  <c r="R351" i="14"/>
  <c r="Q351" i="14"/>
  <c r="M351" i="14"/>
  <c r="I351" i="14"/>
  <c r="E351" i="14"/>
  <c r="Q350" i="14"/>
  <c r="M350" i="14"/>
  <c r="I350" i="14"/>
  <c r="E350" i="14"/>
  <c r="Q349" i="14"/>
  <c r="M349" i="14"/>
  <c r="I349" i="14"/>
  <c r="E349" i="14"/>
  <c r="Q348" i="14"/>
  <c r="M348" i="14"/>
  <c r="I348" i="14"/>
  <c r="E348" i="14"/>
  <c r="Q347" i="14"/>
  <c r="M347" i="14"/>
  <c r="J347" i="14"/>
  <c r="I347" i="14"/>
  <c r="E347" i="14"/>
  <c r="P339" i="14"/>
  <c r="O339" i="14"/>
  <c r="N339" i="14"/>
  <c r="L339" i="14"/>
  <c r="K339" i="14"/>
  <c r="J339" i="14"/>
  <c r="H339" i="14"/>
  <c r="G339" i="14"/>
  <c r="F339" i="14"/>
  <c r="D339" i="14"/>
  <c r="C339" i="14"/>
  <c r="B339" i="14"/>
  <c r="Q337" i="14"/>
  <c r="M337" i="14"/>
  <c r="I337" i="14"/>
  <c r="E337" i="14"/>
  <c r="R337" i="14" s="1"/>
  <c r="R339" i="14" s="1"/>
  <c r="Q333" i="14"/>
  <c r="M333" i="14"/>
  <c r="I333" i="14"/>
  <c r="E333" i="14"/>
  <c r="Q326" i="14"/>
  <c r="M326" i="14"/>
  <c r="I326" i="14"/>
  <c r="E326" i="14"/>
  <c r="R326" i="14" s="1"/>
  <c r="Q325" i="14"/>
  <c r="M325" i="14"/>
  <c r="I325" i="14"/>
  <c r="E325" i="14"/>
  <c r="Q324" i="14"/>
  <c r="M324" i="14"/>
  <c r="I324" i="14"/>
  <c r="E324" i="14"/>
  <c r="R324" i="14" s="1"/>
  <c r="Q323" i="14"/>
  <c r="M323" i="14"/>
  <c r="I323" i="14"/>
  <c r="E323" i="14"/>
  <c r="Q322" i="14"/>
  <c r="M322" i="14"/>
  <c r="I322" i="14"/>
  <c r="E322" i="14"/>
  <c r="Q321" i="14"/>
  <c r="M321" i="14"/>
  <c r="R321" i="14" s="1"/>
  <c r="I321" i="14"/>
  <c r="E321" i="14"/>
  <c r="P319" i="14"/>
  <c r="O319" i="14"/>
  <c r="N319" i="14"/>
  <c r="L319" i="14"/>
  <c r="K319" i="14"/>
  <c r="J319" i="14"/>
  <c r="M319" i="14" s="1"/>
  <c r="H319" i="14"/>
  <c r="G319" i="14"/>
  <c r="F319" i="14"/>
  <c r="D319" i="14"/>
  <c r="C319" i="14"/>
  <c r="B319" i="14"/>
  <c r="E319" i="14" s="1"/>
  <c r="P318" i="14"/>
  <c r="O318" i="14"/>
  <c r="N318" i="14"/>
  <c r="Q318" i="14" s="1"/>
  <c r="L318" i="14"/>
  <c r="K318" i="14"/>
  <c r="J318" i="14"/>
  <c r="H318" i="14"/>
  <c r="G318" i="14"/>
  <c r="I318" i="14" s="1"/>
  <c r="F318" i="14"/>
  <c r="D318" i="14"/>
  <c r="C318" i="14"/>
  <c r="E318" i="14" s="1"/>
  <c r="B318" i="14"/>
  <c r="Q317" i="14"/>
  <c r="M317" i="14"/>
  <c r="I317" i="14"/>
  <c r="E317" i="14"/>
  <c r="R317" i="14" s="1"/>
  <c r="Q315" i="14"/>
  <c r="M315" i="14"/>
  <c r="I315" i="14"/>
  <c r="E315" i="14"/>
  <c r="Q313" i="14"/>
  <c r="M313" i="14"/>
  <c r="I313" i="14"/>
  <c r="E313" i="14"/>
  <c r="Q312" i="14"/>
  <c r="M312" i="14"/>
  <c r="I312" i="14"/>
  <c r="E312" i="14"/>
  <c r="Q311" i="14"/>
  <c r="M311" i="14"/>
  <c r="I311" i="14"/>
  <c r="E311" i="14"/>
  <c r="Q310" i="14"/>
  <c r="M310" i="14"/>
  <c r="I310" i="14"/>
  <c r="E310" i="14"/>
  <c r="R310" i="14" s="1"/>
  <c r="Q309" i="14"/>
  <c r="M309" i="14"/>
  <c r="R309" i="14" s="1"/>
  <c r="I309" i="14"/>
  <c r="E309" i="14"/>
  <c r="Q308" i="14"/>
  <c r="M308" i="14"/>
  <c r="I308" i="14"/>
  <c r="E308" i="14"/>
  <c r="Q307" i="14"/>
  <c r="M307" i="14"/>
  <c r="I307" i="14"/>
  <c r="E307" i="14"/>
  <c r="Q306" i="14"/>
  <c r="M306" i="14"/>
  <c r="I306" i="14"/>
  <c r="E306" i="14"/>
  <c r="Q304" i="14"/>
  <c r="M304" i="14"/>
  <c r="I304" i="14"/>
  <c r="E304" i="14"/>
  <c r="Q303" i="14"/>
  <c r="M303" i="14"/>
  <c r="I303" i="14"/>
  <c r="R303" i="14" s="1"/>
  <c r="E303" i="14"/>
  <c r="Q302" i="14"/>
  <c r="M302" i="14"/>
  <c r="I302" i="14"/>
  <c r="E302" i="14"/>
  <c r="N299" i="14"/>
  <c r="L299" i="14"/>
  <c r="J299" i="14"/>
  <c r="F299" i="14"/>
  <c r="D299" i="14"/>
  <c r="B299" i="14"/>
  <c r="Q298" i="14"/>
  <c r="M298" i="14"/>
  <c r="I298" i="14"/>
  <c r="E298" i="14"/>
  <c r="Q297" i="14"/>
  <c r="M297" i="14"/>
  <c r="J297" i="14"/>
  <c r="J907" i="14" s="1"/>
  <c r="I297" i="14"/>
  <c r="H297" i="14"/>
  <c r="E297" i="14"/>
  <c r="Q296" i="14"/>
  <c r="M296" i="14"/>
  <c r="I296" i="14"/>
  <c r="E296" i="14"/>
  <c r="Q295" i="14"/>
  <c r="M295" i="14"/>
  <c r="I295" i="14"/>
  <c r="E295" i="14"/>
  <c r="Q294" i="14"/>
  <c r="M294" i="14"/>
  <c r="I294" i="14"/>
  <c r="R294" i="14" s="1"/>
  <c r="E294" i="14"/>
  <c r="R293" i="14"/>
  <c r="Q293" i="14"/>
  <c r="M293" i="14"/>
  <c r="I293" i="14"/>
  <c r="E293" i="14"/>
  <c r="D293" i="14"/>
  <c r="C293" i="14"/>
  <c r="Q292" i="14"/>
  <c r="M292" i="14"/>
  <c r="I292" i="14"/>
  <c r="E292" i="14"/>
  <c r="Q291" i="14"/>
  <c r="M291" i="14"/>
  <c r="I291" i="14"/>
  <c r="E291" i="14"/>
  <c r="R291" i="14" s="1"/>
  <c r="Q290" i="14"/>
  <c r="M290" i="14"/>
  <c r="I290" i="14"/>
  <c r="E290" i="14"/>
  <c r="Q289" i="14"/>
  <c r="M289" i="14"/>
  <c r="I289" i="14"/>
  <c r="E289" i="14"/>
  <c r="R289" i="14" s="1"/>
  <c r="Q288" i="14"/>
  <c r="M288" i="14"/>
  <c r="I288" i="14"/>
  <c r="E288" i="14"/>
  <c r="Q287" i="14"/>
  <c r="M287" i="14"/>
  <c r="I287" i="14"/>
  <c r="R287" i="14" s="1"/>
  <c r="E287" i="14"/>
  <c r="Q286" i="14"/>
  <c r="M286" i="14"/>
  <c r="I286" i="14"/>
  <c r="E286" i="14"/>
  <c r="Q285" i="14"/>
  <c r="M285" i="14"/>
  <c r="I285" i="14"/>
  <c r="E285" i="14"/>
  <c r="R285" i="14" s="1"/>
  <c r="Q284" i="14"/>
  <c r="M284" i="14"/>
  <c r="I284" i="14"/>
  <c r="E284" i="14"/>
  <c r="Q283" i="14"/>
  <c r="M283" i="14"/>
  <c r="I283" i="14"/>
  <c r="E283" i="14"/>
  <c r="R283" i="14" s="1"/>
  <c r="Q282" i="14"/>
  <c r="M282" i="14"/>
  <c r="I282" i="14"/>
  <c r="E282" i="14"/>
  <c r="Q281" i="14"/>
  <c r="M281" i="14"/>
  <c r="I281" i="14"/>
  <c r="E281" i="14"/>
  <c r="R281" i="14" s="1"/>
  <c r="Q280" i="14"/>
  <c r="M280" i="14"/>
  <c r="I280" i="14"/>
  <c r="E280" i="14"/>
  <c r="Q279" i="14"/>
  <c r="M279" i="14"/>
  <c r="I279" i="14"/>
  <c r="E279" i="14"/>
  <c r="Q278" i="14"/>
  <c r="M278" i="14"/>
  <c r="I278" i="14"/>
  <c r="H278" i="14"/>
  <c r="E278" i="14"/>
  <c r="Q277" i="14"/>
  <c r="M277" i="14"/>
  <c r="I277" i="14"/>
  <c r="H277" i="14"/>
  <c r="H907" i="14" s="1"/>
  <c r="E277" i="14"/>
  <c r="Q276" i="14"/>
  <c r="M276" i="14"/>
  <c r="I276" i="14"/>
  <c r="E276" i="14"/>
  <c r="Q275" i="14"/>
  <c r="M275" i="14"/>
  <c r="I275" i="14"/>
  <c r="E275" i="14"/>
  <c r="Q274" i="14"/>
  <c r="M274" i="14"/>
  <c r="I274" i="14"/>
  <c r="E274" i="14"/>
  <c r="R274" i="14" s="1"/>
  <c r="Q273" i="14"/>
  <c r="M273" i="14"/>
  <c r="I273" i="14"/>
  <c r="E273" i="14"/>
  <c r="R273" i="14" s="1"/>
  <c r="Q272" i="14"/>
  <c r="M272" i="14"/>
  <c r="I272" i="14"/>
  <c r="R272" i="14" s="1"/>
  <c r="E272" i="14"/>
  <c r="R271" i="14"/>
  <c r="Q271" i="14"/>
  <c r="M271" i="14"/>
  <c r="I271" i="14"/>
  <c r="E271" i="14"/>
  <c r="Q270" i="14"/>
  <c r="M270" i="14"/>
  <c r="I270" i="14"/>
  <c r="E270" i="14"/>
  <c r="Q269" i="14"/>
  <c r="M269" i="14"/>
  <c r="I269" i="14"/>
  <c r="E269" i="14"/>
  <c r="Q268" i="14"/>
  <c r="M268" i="14"/>
  <c r="I268" i="14"/>
  <c r="E268" i="14"/>
  <c r="Q267" i="14"/>
  <c r="M267" i="14"/>
  <c r="I267" i="14"/>
  <c r="E267" i="14"/>
  <c r="Q266" i="14"/>
  <c r="M266" i="14"/>
  <c r="I266" i="14"/>
  <c r="E266" i="14"/>
  <c r="R266" i="14" s="1"/>
  <c r="Q265" i="14"/>
  <c r="M265" i="14"/>
  <c r="I265" i="14"/>
  <c r="E265" i="14"/>
  <c r="Q264" i="14"/>
  <c r="M264" i="14"/>
  <c r="I264" i="14"/>
  <c r="E264" i="14"/>
  <c r="R263" i="14"/>
  <c r="Q263" i="14"/>
  <c r="M263" i="14"/>
  <c r="I263" i="14"/>
  <c r="E263" i="14"/>
  <c r="Q262" i="14"/>
  <c r="M262" i="14"/>
  <c r="I262" i="14"/>
  <c r="G262" i="14"/>
  <c r="G907" i="14" s="1"/>
  <c r="E262" i="14"/>
  <c r="Q261" i="14"/>
  <c r="M261" i="14"/>
  <c r="I261" i="14"/>
  <c r="E261" i="14"/>
  <c r="Q260" i="14"/>
  <c r="M260" i="14"/>
  <c r="K260" i="14"/>
  <c r="I260" i="14"/>
  <c r="E260" i="14"/>
  <c r="R260" i="14" s="1"/>
  <c r="Q259" i="14"/>
  <c r="M259" i="14"/>
  <c r="I259" i="14"/>
  <c r="E259" i="14"/>
  <c r="R259" i="14" s="1"/>
  <c r="Q258" i="14"/>
  <c r="M258" i="14"/>
  <c r="I258" i="14"/>
  <c r="E258" i="14"/>
  <c r="Q257" i="14"/>
  <c r="M257" i="14"/>
  <c r="I257" i="14"/>
  <c r="R257" i="14" s="1"/>
  <c r="E257" i="14"/>
  <c r="Q256" i="14"/>
  <c r="M256" i="14"/>
  <c r="I256" i="14"/>
  <c r="E256" i="14"/>
  <c r="R256" i="14" s="1"/>
  <c r="Q255" i="14"/>
  <c r="M255" i="14"/>
  <c r="I255" i="14"/>
  <c r="E255" i="14"/>
  <c r="Q254" i="14"/>
  <c r="M254" i="14"/>
  <c r="I254" i="14"/>
  <c r="E254" i="14"/>
  <c r="R254" i="14" s="1"/>
  <c r="C254" i="14"/>
  <c r="Q253" i="14"/>
  <c r="M253" i="14"/>
  <c r="I253" i="14"/>
  <c r="E253" i="14"/>
  <c r="Q252" i="14"/>
  <c r="M252" i="14"/>
  <c r="I252" i="14"/>
  <c r="E252" i="14"/>
  <c r="Q251" i="14"/>
  <c r="M251" i="14"/>
  <c r="I251" i="14"/>
  <c r="E251" i="14"/>
  <c r="Q250" i="14"/>
  <c r="M250" i="14"/>
  <c r="I250" i="14"/>
  <c r="E250" i="14"/>
  <c r="Q249" i="14"/>
  <c r="M249" i="14"/>
  <c r="I249" i="14"/>
  <c r="E249" i="14"/>
  <c r="Q248" i="14"/>
  <c r="M248" i="14"/>
  <c r="I248" i="14"/>
  <c r="E248" i="14"/>
  <c r="Q247" i="14"/>
  <c r="M247" i="14"/>
  <c r="I247" i="14"/>
  <c r="E247" i="14"/>
  <c r="Q246" i="14"/>
  <c r="M246" i="14"/>
  <c r="I246" i="14"/>
  <c r="E246" i="14"/>
  <c r="R246" i="14" s="1"/>
  <c r="Q245" i="14"/>
  <c r="M245" i="14"/>
  <c r="I245" i="14"/>
  <c r="E245" i="14"/>
  <c r="Q244" i="14"/>
  <c r="M244" i="14"/>
  <c r="I244" i="14"/>
  <c r="E244" i="14"/>
  <c r="R244" i="14" s="1"/>
  <c r="Q243" i="14"/>
  <c r="M243" i="14"/>
  <c r="I243" i="14"/>
  <c r="E243" i="14"/>
  <c r="Q242" i="14"/>
  <c r="M242" i="14"/>
  <c r="I242" i="14"/>
  <c r="E242" i="14"/>
  <c r="R242" i="14" s="1"/>
  <c r="Q241" i="14"/>
  <c r="M241" i="14"/>
  <c r="I241" i="14"/>
  <c r="E241" i="14"/>
  <c r="Q240" i="14"/>
  <c r="M240" i="14"/>
  <c r="I240" i="14"/>
  <c r="E240" i="14"/>
  <c r="R240" i="14" s="1"/>
  <c r="Q239" i="14"/>
  <c r="M239" i="14"/>
  <c r="I239" i="14"/>
  <c r="E239" i="14"/>
  <c r="Q238" i="14"/>
  <c r="M238" i="14"/>
  <c r="I238" i="14"/>
  <c r="R238" i="14" s="1"/>
  <c r="E238" i="14"/>
  <c r="Q237" i="14"/>
  <c r="M237" i="14"/>
  <c r="I237" i="14"/>
  <c r="E237" i="14"/>
  <c r="Q236" i="14"/>
  <c r="M236" i="14"/>
  <c r="I236" i="14"/>
  <c r="E236" i="14"/>
  <c r="Q235" i="14"/>
  <c r="M235" i="14"/>
  <c r="I235" i="14"/>
  <c r="E235" i="14"/>
  <c r="P234" i="14"/>
  <c r="O234" i="14"/>
  <c r="O907" i="14" s="1"/>
  <c r="O908" i="14" s="1"/>
  <c r="O937" i="14" s="1"/>
  <c r="N234" i="14"/>
  <c r="L234" i="14"/>
  <c r="L907" i="14" s="1"/>
  <c r="K234" i="14"/>
  <c r="I234" i="14"/>
  <c r="E234" i="14"/>
  <c r="Q233" i="14"/>
  <c r="M233" i="14"/>
  <c r="I233" i="14"/>
  <c r="E233" i="14"/>
  <c r="Q232" i="14"/>
  <c r="M232" i="14"/>
  <c r="I232" i="14"/>
  <c r="E232" i="14"/>
  <c r="Q231" i="14"/>
  <c r="M231" i="14"/>
  <c r="I231" i="14"/>
  <c r="R231" i="14" s="1"/>
  <c r="E231" i="14"/>
  <c r="P227" i="14"/>
  <c r="O227" i="14"/>
  <c r="N227" i="14"/>
  <c r="Q227" i="14" s="1"/>
  <c r="L227" i="14"/>
  <c r="K227" i="14"/>
  <c r="J227" i="14"/>
  <c r="M227" i="14" s="1"/>
  <c r="I227" i="14"/>
  <c r="D227" i="14"/>
  <c r="C227" i="14"/>
  <c r="B227" i="14"/>
  <c r="Q225" i="14"/>
  <c r="M225" i="14"/>
  <c r="I225" i="14"/>
  <c r="E225" i="14"/>
  <c r="Q224" i="14"/>
  <c r="M224" i="14"/>
  <c r="I224" i="14"/>
  <c r="E224" i="14"/>
  <c r="R224" i="14" s="1"/>
  <c r="O220" i="14"/>
  <c r="G220" i="14"/>
  <c r="Q218" i="14"/>
  <c r="M218" i="14"/>
  <c r="I218" i="14"/>
  <c r="E218" i="14"/>
  <c r="R218" i="14" s="1"/>
  <c r="Q217" i="14"/>
  <c r="M217" i="14"/>
  <c r="I217" i="14"/>
  <c r="E217" i="14"/>
  <c r="Q216" i="14"/>
  <c r="M216" i="14"/>
  <c r="I216" i="14"/>
  <c r="E216" i="14"/>
  <c r="R216" i="14" s="1"/>
  <c r="Q214" i="14"/>
  <c r="M214" i="14"/>
  <c r="I214" i="14"/>
  <c r="E214" i="14"/>
  <c r="Q213" i="14"/>
  <c r="M213" i="14"/>
  <c r="I213" i="14"/>
  <c r="E213" i="14"/>
  <c r="Q212" i="14"/>
  <c r="M212" i="14"/>
  <c r="I212" i="14"/>
  <c r="E212" i="14"/>
  <c r="Q211" i="14"/>
  <c r="M211" i="14"/>
  <c r="I211" i="14"/>
  <c r="E211" i="14"/>
  <c r="Q210" i="14"/>
  <c r="M210" i="14"/>
  <c r="I210" i="14"/>
  <c r="E210" i="14"/>
  <c r="Q209" i="14"/>
  <c r="M209" i="14"/>
  <c r="I209" i="14"/>
  <c r="E209" i="14"/>
  <c r="Q208" i="14"/>
  <c r="M208" i="14"/>
  <c r="I208" i="14"/>
  <c r="E208" i="14"/>
  <c r="Q207" i="14"/>
  <c r="M207" i="14"/>
  <c r="I207" i="14"/>
  <c r="E207" i="14"/>
  <c r="R207" i="14" s="1"/>
  <c r="Q206" i="14"/>
  <c r="M206" i="14"/>
  <c r="I206" i="14"/>
  <c r="E206" i="14"/>
  <c r="Q205" i="14"/>
  <c r="M205" i="14"/>
  <c r="I205" i="14"/>
  <c r="E205" i="14"/>
  <c r="R205" i="14" s="1"/>
  <c r="Q203" i="14"/>
  <c r="M203" i="14"/>
  <c r="I203" i="14"/>
  <c r="E203" i="14"/>
  <c r="Q202" i="14"/>
  <c r="M202" i="14"/>
  <c r="I202" i="14"/>
  <c r="E202" i="14"/>
  <c r="Q201" i="14"/>
  <c r="M201" i="14"/>
  <c r="I201" i="14"/>
  <c r="E201" i="14"/>
  <c r="Q200" i="14"/>
  <c r="M200" i="14"/>
  <c r="I200" i="14"/>
  <c r="E200" i="14"/>
  <c r="R200" i="14" s="1"/>
  <c r="Q199" i="14"/>
  <c r="M199" i="14"/>
  <c r="I199" i="14"/>
  <c r="E199" i="14"/>
  <c r="Q198" i="14"/>
  <c r="M198" i="14"/>
  <c r="I198" i="14"/>
  <c r="E198" i="14"/>
  <c r="R198" i="14" s="1"/>
  <c r="R197" i="14"/>
  <c r="Q197" i="14"/>
  <c r="M197" i="14"/>
  <c r="K197" i="14"/>
  <c r="I197" i="14"/>
  <c r="E197" i="14"/>
  <c r="P196" i="14"/>
  <c r="O196" i="14"/>
  <c r="N196" i="14"/>
  <c r="Q196" i="14" s="1"/>
  <c r="L196" i="14"/>
  <c r="K196" i="14"/>
  <c r="J196" i="14"/>
  <c r="M196" i="14" s="1"/>
  <c r="I196" i="14"/>
  <c r="E196" i="14"/>
  <c r="Q195" i="14"/>
  <c r="M195" i="14"/>
  <c r="I195" i="14"/>
  <c r="E195" i="14"/>
  <c r="Q194" i="14"/>
  <c r="M194" i="14"/>
  <c r="I194" i="14"/>
  <c r="E194" i="14"/>
  <c r="Q193" i="14"/>
  <c r="M193" i="14"/>
  <c r="I193" i="14"/>
  <c r="H193" i="14"/>
  <c r="D193" i="14"/>
  <c r="C193" i="14"/>
  <c r="E193" i="14" s="1"/>
  <c r="Q192" i="14"/>
  <c r="P192" i="14"/>
  <c r="P220" i="14" s="1"/>
  <c r="O192" i="14"/>
  <c r="N192" i="14"/>
  <c r="L192" i="14"/>
  <c r="K192" i="14"/>
  <c r="M192" i="14" s="1"/>
  <c r="J192" i="14"/>
  <c r="J893" i="14" s="1"/>
  <c r="I192" i="14"/>
  <c r="H192" i="14"/>
  <c r="H220" i="14" s="1"/>
  <c r="G192" i="14"/>
  <c r="F192" i="14"/>
  <c r="D192" i="14"/>
  <c r="C192" i="14"/>
  <c r="B192" i="14"/>
  <c r="Q191" i="14"/>
  <c r="M191" i="14"/>
  <c r="I191" i="14"/>
  <c r="E191" i="14"/>
  <c r="Q190" i="14"/>
  <c r="M190" i="14"/>
  <c r="I190" i="14"/>
  <c r="E190" i="14"/>
  <c r="Q189" i="14"/>
  <c r="M189" i="14"/>
  <c r="I189" i="14"/>
  <c r="E189" i="14"/>
  <c r="Q188" i="14"/>
  <c r="M188" i="14"/>
  <c r="R188" i="14" s="1"/>
  <c r="I188" i="14"/>
  <c r="E188" i="14"/>
  <c r="Q187" i="14"/>
  <c r="M187" i="14"/>
  <c r="I187" i="14"/>
  <c r="E187" i="14"/>
  <c r="Q186" i="14"/>
  <c r="M186" i="14"/>
  <c r="I186" i="14"/>
  <c r="E186" i="14"/>
  <c r="R185" i="14"/>
  <c r="Q185" i="14"/>
  <c r="M185" i="14"/>
  <c r="I185" i="14"/>
  <c r="E185" i="14"/>
  <c r="Q184" i="14"/>
  <c r="O184" i="14"/>
  <c r="O893" i="14" s="1"/>
  <c r="N184" i="14"/>
  <c r="L184" i="14"/>
  <c r="L220" i="14" s="1"/>
  <c r="K184" i="14"/>
  <c r="G184" i="14"/>
  <c r="G893" i="14" s="1"/>
  <c r="G899" i="14" s="1"/>
  <c r="F184" i="14"/>
  <c r="D184" i="14"/>
  <c r="B184" i="14"/>
  <c r="B893" i="14" s="1"/>
  <c r="Q183" i="14"/>
  <c r="M183" i="14"/>
  <c r="I183" i="14"/>
  <c r="E183" i="14"/>
  <c r="Q182" i="14"/>
  <c r="M182" i="14"/>
  <c r="I182" i="14"/>
  <c r="E182" i="14"/>
  <c r="Q181" i="14"/>
  <c r="M181" i="14"/>
  <c r="I181" i="14"/>
  <c r="E181" i="14"/>
  <c r="Q180" i="14"/>
  <c r="M180" i="14"/>
  <c r="I180" i="14"/>
  <c r="E180" i="14"/>
  <c r="Q179" i="14"/>
  <c r="M179" i="14"/>
  <c r="I179" i="14"/>
  <c r="E179" i="14"/>
  <c r="Q178" i="14"/>
  <c r="M178" i="14"/>
  <c r="I178" i="14"/>
  <c r="E178" i="14"/>
  <c r="R177" i="14"/>
  <c r="Q177" i="14"/>
  <c r="M177" i="14"/>
  <c r="I177" i="14"/>
  <c r="E177" i="14"/>
  <c r="Q176" i="14"/>
  <c r="M176" i="14"/>
  <c r="I176" i="14"/>
  <c r="E176" i="14"/>
  <c r="Q175" i="14"/>
  <c r="M175" i="14"/>
  <c r="I175" i="14"/>
  <c r="E175" i="14"/>
  <c r="R175" i="14" s="1"/>
  <c r="Q174" i="14"/>
  <c r="M174" i="14"/>
  <c r="I174" i="14"/>
  <c r="E174" i="14"/>
  <c r="Q173" i="14"/>
  <c r="M173" i="14"/>
  <c r="I173" i="14"/>
  <c r="E173" i="14"/>
  <c r="Q172" i="14"/>
  <c r="M172" i="14"/>
  <c r="I172" i="14"/>
  <c r="E172" i="14"/>
  <c r="Q171" i="14"/>
  <c r="M171" i="14"/>
  <c r="I171" i="14"/>
  <c r="E171" i="14"/>
  <c r="Q170" i="14"/>
  <c r="M170" i="14"/>
  <c r="I170" i="14"/>
  <c r="E170" i="14"/>
  <c r="Q169" i="14"/>
  <c r="M169" i="14"/>
  <c r="I169" i="14"/>
  <c r="E169" i="14"/>
  <c r="R169" i="14" s="1"/>
  <c r="Q168" i="14"/>
  <c r="M168" i="14"/>
  <c r="I168" i="14"/>
  <c r="E168" i="14"/>
  <c r="Q167" i="14"/>
  <c r="M167" i="14"/>
  <c r="I167" i="14"/>
  <c r="E167" i="14"/>
  <c r="Q166" i="14"/>
  <c r="M166" i="14"/>
  <c r="I166" i="14"/>
  <c r="E166" i="14"/>
  <c r="Q165" i="14"/>
  <c r="M165" i="14"/>
  <c r="I165" i="14"/>
  <c r="E165" i="14"/>
  <c r="Q164" i="14"/>
  <c r="M164" i="14"/>
  <c r="I164" i="14"/>
  <c r="E164" i="14"/>
  <c r="Q163" i="14"/>
  <c r="M163" i="14"/>
  <c r="R163" i="14" s="1"/>
  <c r="I163" i="14"/>
  <c r="E163" i="14"/>
  <c r="Q162" i="14"/>
  <c r="M162" i="14"/>
  <c r="I162" i="14"/>
  <c r="E162" i="14"/>
  <c r="Q161" i="14"/>
  <c r="M161" i="14"/>
  <c r="I161" i="14"/>
  <c r="E161" i="14"/>
  <c r="R161" i="14" s="1"/>
  <c r="Q160" i="14"/>
  <c r="M160" i="14"/>
  <c r="I160" i="14"/>
  <c r="E160" i="14"/>
  <c r="Q159" i="14"/>
  <c r="M159" i="14"/>
  <c r="I159" i="14"/>
  <c r="E159" i="14"/>
  <c r="R159" i="14" s="1"/>
  <c r="Q158" i="14"/>
  <c r="M158" i="14"/>
  <c r="I158" i="14"/>
  <c r="E158" i="14"/>
  <c r="Q157" i="14"/>
  <c r="M157" i="14"/>
  <c r="I157" i="14"/>
  <c r="E157" i="14"/>
  <c r="Q156" i="14"/>
  <c r="R156" i="14" s="1"/>
  <c r="M156" i="14"/>
  <c r="I156" i="14"/>
  <c r="E156" i="14"/>
  <c r="Q155" i="14"/>
  <c r="M155" i="14"/>
  <c r="I155" i="14"/>
  <c r="E155" i="14"/>
  <c r="Q154" i="14"/>
  <c r="M154" i="14"/>
  <c r="I154" i="14"/>
  <c r="E154" i="14"/>
  <c r="Q153" i="14"/>
  <c r="M153" i="14"/>
  <c r="I153" i="14"/>
  <c r="E153" i="14"/>
  <c r="R153" i="14" s="1"/>
  <c r="Q152" i="14"/>
  <c r="M152" i="14"/>
  <c r="I152" i="14"/>
  <c r="E152" i="14"/>
  <c r="R152" i="14" s="1"/>
  <c r="Q151" i="14"/>
  <c r="M151" i="14"/>
  <c r="I151" i="14"/>
  <c r="E151" i="14"/>
  <c r="Q150" i="14"/>
  <c r="M150" i="14"/>
  <c r="I150" i="14"/>
  <c r="E150" i="14"/>
  <c r="Q149" i="14"/>
  <c r="M149" i="14"/>
  <c r="I149" i="14"/>
  <c r="E149" i="14"/>
  <c r="Q148" i="14"/>
  <c r="M148" i="14"/>
  <c r="I148" i="14"/>
  <c r="E148" i="14"/>
  <c r="Q136" i="14"/>
  <c r="M136" i="14"/>
  <c r="I136" i="14"/>
  <c r="R136" i="14" s="1"/>
  <c r="E136" i="14"/>
  <c r="P134" i="14"/>
  <c r="O134" i="14"/>
  <c r="N134" i="14"/>
  <c r="L134" i="14"/>
  <c r="K134" i="14"/>
  <c r="J134" i="14"/>
  <c r="H134" i="14"/>
  <c r="G134" i="14"/>
  <c r="F134" i="14"/>
  <c r="D134" i="14"/>
  <c r="C134" i="14"/>
  <c r="B134" i="14"/>
  <c r="E134" i="14" s="1"/>
  <c r="Q133" i="14"/>
  <c r="P133" i="14"/>
  <c r="O133" i="14"/>
  <c r="N133" i="14"/>
  <c r="L133" i="14"/>
  <c r="K133" i="14"/>
  <c r="J133" i="14"/>
  <c r="I133" i="14"/>
  <c r="H133" i="14"/>
  <c r="G133" i="14"/>
  <c r="F133" i="14"/>
  <c r="D133" i="14"/>
  <c r="C133" i="14"/>
  <c r="B133" i="14"/>
  <c r="Q132" i="14"/>
  <c r="M132" i="14"/>
  <c r="I132" i="14"/>
  <c r="E132" i="14"/>
  <c r="R132" i="14" s="1"/>
  <c r="Q131" i="14"/>
  <c r="M131" i="14"/>
  <c r="I131" i="14"/>
  <c r="E131" i="14"/>
  <c r="Q129" i="14"/>
  <c r="M129" i="14"/>
  <c r="I129" i="14"/>
  <c r="E129" i="14"/>
  <c r="Q127" i="14"/>
  <c r="M127" i="14"/>
  <c r="I127" i="14"/>
  <c r="E127" i="14"/>
  <c r="Q126" i="14"/>
  <c r="M126" i="14"/>
  <c r="I126" i="14"/>
  <c r="E126" i="14"/>
  <c r="Q124" i="14"/>
  <c r="M124" i="14"/>
  <c r="I124" i="14"/>
  <c r="E124" i="14"/>
  <c r="R123" i="14"/>
  <c r="Q123" i="14"/>
  <c r="M123" i="14"/>
  <c r="I123" i="14"/>
  <c r="E123" i="14"/>
  <c r="Q122" i="14"/>
  <c r="M122" i="14"/>
  <c r="I122" i="14"/>
  <c r="E122" i="14"/>
  <c r="R122" i="14" s="1"/>
  <c r="R121" i="14"/>
  <c r="Q121" i="14"/>
  <c r="M121" i="14"/>
  <c r="I121" i="14"/>
  <c r="E121" i="14"/>
  <c r="Q120" i="14"/>
  <c r="M120" i="14"/>
  <c r="I120" i="14"/>
  <c r="E120" i="14"/>
  <c r="Q119" i="14"/>
  <c r="M119" i="14"/>
  <c r="I119" i="14"/>
  <c r="E119" i="14"/>
  <c r="R119" i="14" s="1"/>
  <c r="Q118" i="14"/>
  <c r="M118" i="14"/>
  <c r="I118" i="14"/>
  <c r="R118" i="14" s="1"/>
  <c r="E118" i="14"/>
  <c r="Q117" i="14"/>
  <c r="M117" i="14"/>
  <c r="I117" i="14"/>
  <c r="E117" i="14"/>
  <c r="P114" i="14"/>
  <c r="O114" i="14"/>
  <c r="N114" i="14"/>
  <c r="Q114" i="14" s="1"/>
  <c r="L114" i="14"/>
  <c r="K114" i="14"/>
  <c r="M114" i="14" s="1"/>
  <c r="J114" i="14"/>
  <c r="H114" i="14"/>
  <c r="G114" i="14"/>
  <c r="F114" i="14"/>
  <c r="I114" i="14" s="1"/>
  <c r="D114" i="14"/>
  <c r="C114" i="14"/>
  <c r="B114" i="14"/>
  <c r="Q113" i="14"/>
  <c r="M113" i="14"/>
  <c r="I113" i="14"/>
  <c r="E113" i="14"/>
  <c r="Q112" i="14"/>
  <c r="M112" i="14"/>
  <c r="I112" i="14"/>
  <c r="E112" i="14"/>
  <c r="Q111" i="14"/>
  <c r="M111" i="14"/>
  <c r="I111" i="14"/>
  <c r="E111" i="14"/>
  <c r="Q110" i="14"/>
  <c r="R110" i="14" s="1"/>
  <c r="M110" i="14"/>
  <c r="I110" i="14"/>
  <c r="E110" i="14"/>
  <c r="Q109" i="14"/>
  <c r="M109" i="14"/>
  <c r="R109" i="14" s="1"/>
  <c r="I109" i="14"/>
  <c r="E109" i="14"/>
  <c r="Q108" i="14"/>
  <c r="M108" i="14"/>
  <c r="I108" i="14"/>
  <c r="E108" i="14"/>
  <c r="Q107" i="14"/>
  <c r="M107" i="14"/>
  <c r="I107" i="14"/>
  <c r="E107" i="14"/>
  <c r="R107" i="14" s="1"/>
  <c r="Q106" i="14"/>
  <c r="M106" i="14"/>
  <c r="I106" i="14"/>
  <c r="E106" i="14"/>
  <c r="Q105" i="14"/>
  <c r="M105" i="14"/>
  <c r="I105" i="14"/>
  <c r="E105" i="14"/>
  <c r="R105" i="14" s="1"/>
  <c r="Q104" i="14"/>
  <c r="M104" i="14"/>
  <c r="I104" i="14"/>
  <c r="E104" i="14"/>
  <c r="Q103" i="14"/>
  <c r="M103" i="14"/>
  <c r="I103" i="14"/>
  <c r="E103" i="14"/>
  <c r="R103" i="14" s="1"/>
  <c r="Q99" i="14"/>
  <c r="P99" i="14"/>
  <c r="O99" i="14"/>
  <c r="N99" i="14"/>
  <c r="L99" i="14"/>
  <c r="K99" i="14"/>
  <c r="J99" i="14"/>
  <c r="M99" i="14" s="1"/>
  <c r="H99" i="14"/>
  <c r="G99" i="14"/>
  <c r="I99" i="14" s="1"/>
  <c r="F99" i="14"/>
  <c r="D99" i="14"/>
  <c r="C99" i="14"/>
  <c r="B99" i="14"/>
  <c r="E99" i="14" s="1"/>
  <c r="Q97" i="14"/>
  <c r="M97" i="14"/>
  <c r="I97" i="14"/>
  <c r="E97" i="14"/>
  <c r="Q96" i="14"/>
  <c r="M96" i="14"/>
  <c r="I96" i="14"/>
  <c r="E96" i="14"/>
  <c r="P92" i="14"/>
  <c r="P135" i="14" s="1"/>
  <c r="P138" i="14" s="1"/>
  <c r="O92" i="14"/>
  <c r="O135" i="14" s="1"/>
  <c r="O138" i="14" s="1"/>
  <c r="N92" i="14"/>
  <c r="L92" i="14"/>
  <c r="K92" i="14"/>
  <c r="K135" i="14" s="1"/>
  <c r="K138" i="14" s="1"/>
  <c r="J92" i="14"/>
  <c r="H92" i="14"/>
  <c r="G92" i="14"/>
  <c r="G135" i="14" s="1"/>
  <c r="G138" i="14" s="1"/>
  <c r="F92" i="14"/>
  <c r="D92" i="14"/>
  <c r="C92" i="14"/>
  <c r="C135" i="14" s="1"/>
  <c r="C138" i="14" s="1"/>
  <c r="B92" i="14"/>
  <c r="Q90" i="14"/>
  <c r="M90" i="14"/>
  <c r="I90" i="14"/>
  <c r="E90" i="14"/>
  <c r="Q89" i="14"/>
  <c r="M89" i="14"/>
  <c r="I89" i="14"/>
  <c r="E89" i="14"/>
  <c r="Q87" i="14"/>
  <c r="M87" i="14"/>
  <c r="I87" i="14"/>
  <c r="E87" i="14"/>
  <c r="Q85" i="14"/>
  <c r="M85" i="14"/>
  <c r="I85" i="14"/>
  <c r="E85" i="14"/>
  <c r="Q84" i="14"/>
  <c r="M84" i="14"/>
  <c r="I84" i="14"/>
  <c r="E84" i="14"/>
  <c r="R84" i="14" s="1"/>
  <c r="Q83" i="14"/>
  <c r="M83" i="14"/>
  <c r="I83" i="14"/>
  <c r="R83" i="14" s="1"/>
  <c r="E83" i="14"/>
  <c r="Q82" i="14"/>
  <c r="M82" i="14"/>
  <c r="I82" i="14"/>
  <c r="E82" i="14"/>
  <c r="R82" i="14" s="1"/>
  <c r="Q81" i="14"/>
  <c r="M81" i="14"/>
  <c r="I81" i="14"/>
  <c r="E81" i="14"/>
  <c r="Q80" i="14"/>
  <c r="M80" i="14"/>
  <c r="I80" i="14"/>
  <c r="E80" i="14"/>
  <c r="R80" i="14" s="1"/>
  <c r="Q79" i="14"/>
  <c r="M79" i="14"/>
  <c r="I79" i="14"/>
  <c r="E79" i="14"/>
  <c r="Q78" i="14"/>
  <c r="M78" i="14"/>
  <c r="I78" i="14"/>
  <c r="R78" i="14" s="1"/>
  <c r="E78" i="14"/>
  <c r="Q77" i="14"/>
  <c r="M77" i="14"/>
  <c r="I77" i="14"/>
  <c r="E77" i="14"/>
  <c r="Q76" i="14"/>
  <c r="M76" i="14"/>
  <c r="I76" i="14"/>
  <c r="E76" i="14"/>
  <c r="Q75" i="14"/>
  <c r="M75" i="14"/>
  <c r="I75" i="14"/>
  <c r="E75" i="14"/>
  <c r="Q74" i="14"/>
  <c r="M74" i="14"/>
  <c r="I74" i="14"/>
  <c r="E74" i="14"/>
  <c r="Q73" i="14"/>
  <c r="M73" i="14"/>
  <c r="I73" i="14"/>
  <c r="E73" i="14"/>
  <c r="Q72" i="14"/>
  <c r="M72" i="14"/>
  <c r="R72" i="14" s="1"/>
  <c r="I72" i="14"/>
  <c r="E72" i="14"/>
  <c r="Q60" i="14"/>
  <c r="M60" i="14"/>
  <c r="I60" i="14"/>
  <c r="E60" i="14"/>
  <c r="P58" i="14"/>
  <c r="O58" i="14"/>
  <c r="Q58" i="14" s="1"/>
  <c r="N58" i="14"/>
  <c r="L58" i="14"/>
  <c r="K58" i="14"/>
  <c r="J58" i="14"/>
  <c r="M58" i="14" s="1"/>
  <c r="H58" i="14"/>
  <c r="G58" i="14"/>
  <c r="F58" i="14"/>
  <c r="D58" i="14"/>
  <c r="C58" i="14"/>
  <c r="E58" i="14" s="1"/>
  <c r="B58" i="14"/>
  <c r="P57" i="14"/>
  <c r="O57" i="14"/>
  <c r="N57" i="14"/>
  <c r="L57" i="14"/>
  <c r="K57" i="14"/>
  <c r="J57" i="14"/>
  <c r="H57" i="14"/>
  <c r="G57" i="14"/>
  <c r="F57" i="14"/>
  <c r="I57" i="14" s="1"/>
  <c r="D57" i="14"/>
  <c r="C57" i="14"/>
  <c r="B57" i="14"/>
  <c r="E57" i="14" s="1"/>
  <c r="Q54" i="14"/>
  <c r="M54" i="14"/>
  <c r="I54" i="14"/>
  <c r="E54" i="14"/>
  <c r="P50" i="14"/>
  <c r="O50" i="14"/>
  <c r="N50" i="14"/>
  <c r="L50" i="14"/>
  <c r="L59" i="14" s="1"/>
  <c r="L62" i="14" s="1"/>
  <c r="K50" i="14"/>
  <c r="J50" i="14"/>
  <c r="H50" i="14"/>
  <c r="G50" i="14"/>
  <c r="F50" i="14"/>
  <c r="I50" i="14" s="1"/>
  <c r="D50" i="14"/>
  <c r="C50" i="14"/>
  <c r="B50" i="14"/>
  <c r="B59" i="14" s="1"/>
  <c r="P46" i="14"/>
  <c r="O46" i="14"/>
  <c r="N46" i="14"/>
  <c r="L46" i="14"/>
  <c r="K46" i="14"/>
  <c r="J46" i="14"/>
  <c r="M46" i="14" s="1"/>
  <c r="H46" i="14"/>
  <c r="G46" i="14"/>
  <c r="F46" i="14"/>
  <c r="D46" i="14"/>
  <c r="C46" i="14"/>
  <c r="E46" i="14" s="1"/>
  <c r="B46" i="14"/>
  <c r="P41" i="14"/>
  <c r="O41" i="14"/>
  <c r="N41" i="14"/>
  <c r="L41" i="14"/>
  <c r="K41" i="14"/>
  <c r="K59" i="14" s="1"/>
  <c r="K62" i="14" s="1"/>
  <c r="J41" i="14"/>
  <c r="H41" i="14"/>
  <c r="G41" i="14"/>
  <c r="F41" i="14"/>
  <c r="D41" i="14"/>
  <c r="C41" i="14"/>
  <c r="C59" i="14" s="1"/>
  <c r="C62" i="14" s="1"/>
  <c r="B41" i="14"/>
  <c r="Q38" i="14"/>
  <c r="M38" i="14"/>
  <c r="I38" i="14"/>
  <c r="E38" i="14"/>
  <c r="P27" i="14"/>
  <c r="O27" i="14"/>
  <c r="N27" i="14"/>
  <c r="M27" i="14"/>
  <c r="L27" i="14"/>
  <c r="K27" i="14"/>
  <c r="J27" i="14"/>
  <c r="H27" i="14"/>
  <c r="G27" i="14"/>
  <c r="F27" i="14"/>
  <c r="E27" i="14"/>
  <c r="D27" i="14"/>
  <c r="C27" i="14"/>
  <c r="B27" i="14"/>
  <c r="Q25" i="14"/>
  <c r="M25" i="14"/>
  <c r="I25" i="14"/>
  <c r="E25" i="14"/>
  <c r="R25" i="14" s="1"/>
  <c r="Q20" i="14"/>
  <c r="M20" i="14"/>
  <c r="I20" i="14"/>
  <c r="R20" i="14" s="1"/>
  <c r="E20" i="14"/>
  <c r="P18" i="14"/>
  <c r="O18" i="14"/>
  <c r="N18" i="14"/>
  <c r="Q18" i="14" s="1"/>
  <c r="L18" i="14"/>
  <c r="K18" i="14"/>
  <c r="J18" i="14"/>
  <c r="H18" i="14"/>
  <c r="G18" i="14"/>
  <c r="F18" i="14"/>
  <c r="I18" i="14" s="1"/>
  <c r="D18" i="14"/>
  <c r="C18" i="14"/>
  <c r="B18" i="14"/>
  <c r="P17" i="14"/>
  <c r="O17" i="14"/>
  <c r="N17" i="14"/>
  <c r="L17" i="14"/>
  <c r="K17" i="14"/>
  <c r="J17" i="14"/>
  <c r="H17" i="14"/>
  <c r="G17" i="14"/>
  <c r="F17" i="14"/>
  <c r="D17" i="14"/>
  <c r="C17" i="14"/>
  <c r="B17" i="14"/>
  <c r="Q16" i="14"/>
  <c r="P16" i="14"/>
  <c r="O16" i="14"/>
  <c r="N16" i="14"/>
  <c r="L16" i="14"/>
  <c r="K16" i="14"/>
  <c r="M16" i="14" s="1"/>
  <c r="J16" i="14"/>
  <c r="H16" i="14"/>
  <c r="G16" i="14"/>
  <c r="I16" i="14" s="1"/>
  <c r="F16" i="14"/>
  <c r="D16" i="14"/>
  <c r="C16" i="14"/>
  <c r="B16" i="14"/>
  <c r="P15" i="14"/>
  <c r="O15" i="14"/>
  <c r="N15" i="14"/>
  <c r="Q15" i="14" s="1"/>
  <c r="L15" i="14"/>
  <c r="K15" i="14"/>
  <c r="J15" i="14"/>
  <c r="H15" i="14"/>
  <c r="G15" i="14"/>
  <c r="F15" i="14"/>
  <c r="D15" i="14"/>
  <c r="C15" i="14"/>
  <c r="B15" i="14"/>
  <c r="P14" i="14"/>
  <c r="O14" i="14"/>
  <c r="N14" i="14"/>
  <c r="L14" i="14"/>
  <c r="K14" i="14"/>
  <c r="J14" i="14"/>
  <c r="M14" i="14" s="1"/>
  <c r="H14" i="14"/>
  <c r="G14" i="14"/>
  <c r="F14" i="14"/>
  <c r="D14" i="14"/>
  <c r="C14" i="14"/>
  <c r="B14" i="14"/>
  <c r="E14" i="14" s="1"/>
  <c r="K340" i="14"/>
  <c r="AP952" i="14" s="1"/>
  <c r="J28" i="14"/>
  <c r="D28" i="14"/>
  <c r="R1" i="14"/>
  <c r="R974" i="14" s="1"/>
  <c r="O1150" i="13"/>
  <c r="K1150" i="13"/>
  <c r="Q1147" i="13"/>
  <c r="M1147" i="13"/>
  <c r="J1147" i="13"/>
  <c r="G1147" i="13"/>
  <c r="I1147" i="13" s="1"/>
  <c r="E1147" i="13"/>
  <c r="C1147" i="13"/>
  <c r="Q1146" i="13"/>
  <c r="M1146" i="13"/>
  <c r="I1146" i="13"/>
  <c r="G1146" i="13"/>
  <c r="E1146" i="13"/>
  <c r="C1146" i="13"/>
  <c r="Q1145" i="13"/>
  <c r="R1147" i="13" s="1"/>
  <c r="M1145" i="13"/>
  <c r="N1147" i="13" s="1"/>
  <c r="G1145" i="13"/>
  <c r="I1145" i="13" s="1"/>
  <c r="E1145" i="13"/>
  <c r="F1147" i="13" s="1"/>
  <c r="C1145" i="13"/>
  <c r="R1144" i="13"/>
  <c r="Q1144" i="13"/>
  <c r="N1144" i="13"/>
  <c r="M1144" i="13"/>
  <c r="G1144" i="13"/>
  <c r="I1144" i="13" s="1"/>
  <c r="E1144" i="13"/>
  <c r="C1144" i="13"/>
  <c r="Q1143" i="13"/>
  <c r="M1143" i="13"/>
  <c r="G1143" i="13"/>
  <c r="I1143" i="13" s="1"/>
  <c r="E1143" i="13"/>
  <c r="C1143" i="13"/>
  <c r="Q1142" i="13"/>
  <c r="M1142" i="13"/>
  <c r="I1142" i="13"/>
  <c r="J1144" i="13" s="1"/>
  <c r="G1142" i="13"/>
  <c r="E1142" i="13"/>
  <c r="C1142" i="13"/>
  <c r="R1141" i="13"/>
  <c r="Q1141" i="13"/>
  <c r="N1141" i="13"/>
  <c r="M1141" i="13"/>
  <c r="G1141" i="13"/>
  <c r="I1141" i="13" s="1"/>
  <c r="E1141" i="13"/>
  <c r="C1141" i="13"/>
  <c r="Q1140" i="13"/>
  <c r="M1140" i="13"/>
  <c r="I1140" i="13"/>
  <c r="G1140" i="13"/>
  <c r="E1140" i="13"/>
  <c r="C1140" i="13"/>
  <c r="Q1139" i="13"/>
  <c r="M1139" i="13"/>
  <c r="I1139" i="13"/>
  <c r="J1141" i="13" s="1"/>
  <c r="G1139" i="13"/>
  <c r="E1139" i="13"/>
  <c r="F1141" i="13" s="1"/>
  <c r="C1139" i="13"/>
  <c r="Q1138" i="13"/>
  <c r="N1138" i="13"/>
  <c r="M1138" i="13"/>
  <c r="G1138" i="13"/>
  <c r="I1138" i="13" s="1"/>
  <c r="E1138" i="13"/>
  <c r="C1138" i="13"/>
  <c r="Q1137" i="13"/>
  <c r="M1137" i="13"/>
  <c r="I1137" i="13"/>
  <c r="J1138" i="13" s="1"/>
  <c r="G1137" i="13"/>
  <c r="G1150" i="13" s="1"/>
  <c r="E1137" i="13"/>
  <c r="C1137" i="13"/>
  <c r="Q1136" i="13"/>
  <c r="R1138" i="13" s="1"/>
  <c r="M1136" i="13"/>
  <c r="M1150" i="13" s="1"/>
  <c r="I1136" i="13"/>
  <c r="I1150" i="13" s="1"/>
  <c r="E1136" i="13"/>
  <c r="F1138" i="13" s="1"/>
  <c r="C1136" i="13"/>
  <c r="C1150" i="13" s="1"/>
  <c r="G1130" i="13"/>
  <c r="O1129" i="13"/>
  <c r="K1129" i="13"/>
  <c r="C1129" i="13"/>
  <c r="I1126" i="13"/>
  <c r="J1123" i="13"/>
  <c r="Q1122" i="13"/>
  <c r="P1098" i="13"/>
  <c r="O1098" i="13"/>
  <c r="J1098" i="13"/>
  <c r="G1098" i="13" s="1"/>
  <c r="I1098" i="13"/>
  <c r="P1097" i="13"/>
  <c r="O1097" i="13" s="1"/>
  <c r="J1097" i="13"/>
  <c r="L1097" i="13" s="1"/>
  <c r="I1097" i="13"/>
  <c r="F1097" i="13" s="1"/>
  <c r="G1097" i="13"/>
  <c r="C1070" i="13" s="1"/>
  <c r="N1096" i="13"/>
  <c r="P1096" i="13" s="1"/>
  <c r="O1096" i="13" s="1"/>
  <c r="J1096" i="13"/>
  <c r="L1096" i="13" s="1"/>
  <c r="I1096" i="13"/>
  <c r="F1096" i="13" s="1"/>
  <c r="G1096" i="13"/>
  <c r="N1095" i="13"/>
  <c r="P1095" i="13" s="1"/>
  <c r="O1095" i="13" s="1"/>
  <c r="J1095" i="13"/>
  <c r="L1095" i="13" s="1"/>
  <c r="I1095" i="13"/>
  <c r="F1095" i="13" s="1"/>
  <c r="G1095" i="13"/>
  <c r="N1094" i="13"/>
  <c r="P1094" i="13" s="1"/>
  <c r="O1094" i="13" s="1"/>
  <c r="J1094" i="13"/>
  <c r="L1094" i="13" s="1"/>
  <c r="I1094" i="13"/>
  <c r="F1094" i="13" s="1"/>
  <c r="G1094" i="13"/>
  <c r="O1093" i="13"/>
  <c r="N1093" i="13"/>
  <c r="P1093" i="13" s="1"/>
  <c r="J1093" i="13"/>
  <c r="L1093" i="13" s="1"/>
  <c r="I1093" i="13"/>
  <c r="F1093" i="13" s="1"/>
  <c r="G1093" i="13"/>
  <c r="N1092" i="13"/>
  <c r="P1092" i="13" s="1"/>
  <c r="O1092" i="13" s="1"/>
  <c r="J1092" i="13"/>
  <c r="L1092" i="13" s="1"/>
  <c r="I1092" i="13"/>
  <c r="F1092" i="13" s="1"/>
  <c r="G1092" i="13"/>
  <c r="O1091" i="13"/>
  <c r="N1091" i="13"/>
  <c r="P1091" i="13" s="1"/>
  <c r="J1091" i="13"/>
  <c r="L1091" i="13" s="1"/>
  <c r="I1091" i="13"/>
  <c r="F1091" i="13" s="1"/>
  <c r="G1091" i="13"/>
  <c r="C1064" i="13" s="1"/>
  <c r="P1090" i="13"/>
  <c r="O1090" i="13"/>
  <c r="J1090" i="13"/>
  <c r="I1090" i="13"/>
  <c r="L1090" i="13" s="1"/>
  <c r="G1090" i="13"/>
  <c r="P1089" i="13"/>
  <c r="O1089" i="13" s="1"/>
  <c r="J1089" i="13"/>
  <c r="L1089" i="13" s="1"/>
  <c r="I1089" i="13"/>
  <c r="G1089" i="13"/>
  <c r="F1089" i="13"/>
  <c r="P1088" i="13"/>
  <c r="O1088" i="13"/>
  <c r="N1088" i="13"/>
  <c r="J1088" i="13"/>
  <c r="L1088" i="13" s="1"/>
  <c r="I1088" i="13"/>
  <c r="F1088" i="13"/>
  <c r="P1087" i="13"/>
  <c r="O1087" i="13"/>
  <c r="J1087" i="13"/>
  <c r="G1087" i="13" s="1"/>
  <c r="I1087" i="13"/>
  <c r="B1081" i="13"/>
  <c r="B1078" i="13"/>
  <c r="Q1077" i="13"/>
  <c r="C1071" i="13"/>
  <c r="B1070" i="13"/>
  <c r="C1069" i="13"/>
  <c r="B1069" i="13"/>
  <c r="C1068" i="13"/>
  <c r="B1068" i="13"/>
  <c r="D1067" i="13"/>
  <c r="C1067" i="13"/>
  <c r="B1067" i="13"/>
  <c r="D1066" i="13"/>
  <c r="C1066" i="13"/>
  <c r="B1066" i="13"/>
  <c r="AD1065" i="13"/>
  <c r="D1065" i="13"/>
  <c r="C1065" i="13"/>
  <c r="B1065" i="13"/>
  <c r="AD1064" i="13"/>
  <c r="B1064" i="13"/>
  <c r="C1063" i="13"/>
  <c r="AD1062" i="13"/>
  <c r="C1062" i="13"/>
  <c r="B1062" i="13"/>
  <c r="B1061" i="13"/>
  <c r="AD1063" i="13" s="1"/>
  <c r="AD1060" i="13"/>
  <c r="C1060" i="13"/>
  <c r="AE1057" i="13"/>
  <c r="B1056" i="13"/>
  <c r="B1053" i="13"/>
  <c r="Q1052" i="13"/>
  <c r="P1046" i="13"/>
  <c r="P1045" i="13"/>
  <c r="P1044" i="13"/>
  <c r="P1043" i="13"/>
  <c r="P1042" i="13"/>
  <c r="P1041" i="13"/>
  <c r="P1040" i="13"/>
  <c r="P1039" i="13"/>
  <c r="P1038" i="13"/>
  <c r="P1037" i="13"/>
  <c r="P1036" i="13"/>
  <c r="P1035" i="13"/>
  <c r="M1030" i="13"/>
  <c r="N1021" i="13"/>
  <c r="L1021" i="13"/>
  <c r="K1021" i="13"/>
  <c r="I1021" i="13"/>
  <c r="H1021" i="13"/>
  <c r="J1021" i="13" s="1"/>
  <c r="J1019" i="13"/>
  <c r="J1018" i="13"/>
  <c r="J1017" i="13"/>
  <c r="J1016" i="13"/>
  <c r="J1015" i="13"/>
  <c r="J1014" i="13"/>
  <c r="AR1013" i="13"/>
  <c r="AQ1013" i="13"/>
  <c r="AP1013" i="13"/>
  <c r="AO1013" i="13"/>
  <c r="AN1013" i="13"/>
  <c r="AM1013" i="13"/>
  <c r="AL1013" i="13"/>
  <c r="AK1013" i="13"/>
  <c r="AJ1013" i="13"/>
  <c r="AI1013" i="13"/>
  <c r="AH1013" i="13"/>
  <c r="AG1013" i="13"/>
  <c r="AF1013" i="13"/>
  <c r="AE1013" i="13"/>
  <c r="AD1013" i="13"/>
  <c r="J1013" i="13"/>
  <c r="J1012" i="13"/>
  <c r="J1011" i="13"/>
  <c r="J1010" i="13"/>
  <c r="J1009" i="13"/>
  <c r="J1008" i="13"/>
  <c r="AD1003" i="13"/>
  <c r="AD1000" i="13"/>
  <c r="B1000" i="13"/>
  <c r="AR999" i="13"/>
  <c r="B999" i="13"/>
  <c r="Q998" i="13"/>
  <c r="F991" i="13"/>
  <c r="F985" i="13"/>
  <c r="AR978" i="13"/>
  <c r="AQ978" i="13"/>
  <c r="AP978" i="13"/>
  <c r="AO978" i="13"/>
  <c r="AN978" i="13"/>
  <c r="AM978" i="13"/>
  <c r="AL978" i="13"/>
  <c r="AK978" i="13"/>
  <c r="AJ978" i="13"/>
  <c r="AI978" i="13"/>
  <c r="AH978" i="13"/>
  <c r="AG978" i="13"/>
  <c r="AF978" i="13"/>
  <c r="AE978" i="13"/>
  <c r="AD978" i="13"/>
  <c r="B973" i="13"/>
  <c r="B970" i="13"/>
  <c r="Q969" i="13"/>
  <c r="AD968" i="13"/>
  <c r="AD965" i="13"/>
  <c r="AR964" i="13"/>
  <c r="AS957" i="13"/>
  <c r="AS956" i="13"/>
  <c r="AF950" i="13"/>
  <c r="AR947" i="13"/>
  <c r="AQ947" i="13"/>
  <c r="AP947" i="13"/>
  <c r="AO947" i="13"/>
  <c r="AG947" i="13"/>
  <c r="AF947" i="13"/>
  <c r="AE947" i="13"/>
  <c r="AE959" i="13" s="1"/>
  <c r="AD947" i="13"/>
  <c r="B947" i="13"/>
  <c r="B944" i="13"/>
  <c r="Q943" i="13"/>
  <c r="AR942" i="13"/>
  <c r="AG942" i="13"/>
  <c r="AS939" i="13"/>
  <c r="AH939" i="13"/>
  <c r="AS937" i="13"/>
  <c r="T934" i="13"/>
  <c r="G934" i="13"/>
  <c r="G991" i="13" s="1"/>
  <c r="G1019" i="13" s="1"/>
  <c r="F934" i="13"/>
  <c r="AD960" i="13" s="1"/>
  <c r="T933" i="13"/>
  <c r="G933" i="13"/>
  <c r="F933" i="13"/>
  <c r="T932" i="13"/>
  <c r="G932" i="13"/>
  <c r="G989" i="13" s="1"/>
  <c r="F932" i="13"/>
  <c r="F989" i="13" s="1"/>
  <c r="T931" i="13"/>
  <c r="G931" i="13"/>
  <c r="F931" i="13"/>
  <c r="T930" i="13"/>
  <c r="G930" i="13"/>
  <c r="F930" i="13"/>
  <c r="T929" i="13"/>
  <c r="G929" i="13"/>
  <c r="G986" i="13" s="1"/>
  <c r="F929" i="13"/>
  <c r="T928" i="13"/>
  <c r="G928" i="13"/>
  <c r="F928" i="13"/>
  <c r="AH954" i="13" s="1"/>
  <c r="T927" i="13"/>
  <c r="G927" i="13"/>
  <c r="F927" i="13"/>
  <c r="AG953" i="13" s="1"/>
  <c r="T926" i="13"/>
  <c r="G926" i="13"/>
  <c r="F926" i="13"/>
  <c r="AD952" i="13" s="1"/>
  <c r="T925" i="13"/>
  <c r="G925" i="13"/>
  <c r="F925" i="13"/>
  <c r="T924" i="13"/>
  <c r="G924" i="13"/>
  <c r="F924" i="13"/>
  <c r="AH950" i="13" s="1"/>
  <c r="T923" i="13"/>
  <c r="G923" i="13"/>
  <c r="F923" i="13"/>
  <c r="AS949" i="13" s="1"/>
  <c r="B918" i="13"/>
  <c r="B915" i="13"/>
  <c r="Q914" i="13"/>
  <c r="AS905" i="13"/>
  <c r="A896" i="13"/>
  <c r="A894" i="13"/>
  <c r="Q890" i="13"/>
  <c r="N885" i="13"/>
  <c r="F885" i="13"/>
  <c r="P884" i="13"/>
  <c r="O884" i="13"/>
  <c r="N884" i="13"/>
  <c r="M884" i="13"/>
  <c r="L884" i="13"/>
  <c r="K884" i="13"/>
  <c r="J884" i="13"/>
  <c r="H884" i="13"/>
  <c r="G884" i="13"/>
  <c r="F884" i="13"/>
  <c r="I884" i="13" s="1"/>
  <c r="E884" i="13"/>
  <c r="D884" i="13"/>
  <c r="C884" i="13"/>
  <c r="B884" i="13"/>
  <c r="P883" i="13"/>
  <c r="O883" i="13"/>
  <c r="N883" i="13"/>
  <c r="L883" i="13"/>
  <c r="K883" i="13"/>
  <c r="J883" i="13"/>
  <c r="M883" i="13" s="1"/>
  <c r="H883" i="13"/>
  <c r="G883" i="13"/>
  <c r="F883" i="13"/>
  <c r="D883" i="13"/>
  <c r="C883" i="13"/>
  <c r="B883" i="13"/>
  <c r="E883" i="13" s="1"/>
  <c r="Q882" i="13"/>
  <c r="P882" i="13"/>
  <c r="O882" i="13"/>
  <c r="N882" i="13"/>
  <c r="L882" i="13"/>
  <c r="L885" i="13" s="1"/>
  <c r="K882" i="13"/>
  <c r="K885" i="13" s="1"/>
  <c r="J882" i="13"/>
  <c r="J885" i="13" s="1"/>
  <c r="I882" i="13"/>
  <c r="H882" i="13"/>
  <c r="G882" i="13"/>
  <c r="G885" i="13" s="1"/>
  <c r="F882" i="13"/>
  <c r="D882" i="13"/>
  <c r="D885" i="13" s="1"/>
  <c r="C882" i="13"/>
  <c r="C885" i="13" s="1"/>
  <c r="B882" i="13"/>
  <c r="B885" i="13" s="1"/>
  <c r="P881" i="13"/>
  <c r="Q881" i="13" s="1"/>
  <c r="O881" i="13"/>
  <c r="N881" i="13"/>
  <c r="L881" i="13"/>
  <c r="K881" i="13"/>
  <c r="J881" i="13"/>
  <c r="M881" i="13" s="1"/>
  <c r="H881" i="13"/>
  <c r="I881" i="13" s="1"/>
  <c r="G881" i="13"/>
  <c r="F881" i="13"/>
  <c r="D881" i="13"/>
  <c r="C881" i="13"/>
  <c r="B881" i="13"/>
  <c r="E881" i="13" s="1"/>
  <c r="R881" i="13" s="1"/>
  <c r="Q880" i="13"/>
  <c r="P880" i="13"/>
  <c r="O880" i="13"/>
  <c r="N880" i="13"/>
  <c r="L880" i="13"/>
  <c r="K880" i="13"/>
  <c r="J880" i="13"/>
  <c r="H880" i="13"/>
  <c r="G880" i="13"/>
  <c r="F880" i="13"/>
  <c r="I880" i="13" s="1"/>
  <c r="D880" i="13"/>
  <c r="C880" i="13"/>
  <c r="B880" i="13"/>
  <c r="E880" i="13" s="1"/>
  <c r="P879" i="13"/>
  <c r="P886" i="13" s="1"/>
  <c r="P908" i="13" s="1"/>
  <c r="O879" i="13"/>
  <c r="Q879" i="13" s="1"/>
  <c r="N879" i="13"/>
  <c r="N886" i="13" s="1"/>
  <c r="L879" i="13"/>
  <c r="L886" i="13" s="1"/>
  <c r="L908" i="13" s="1"/>
  <c r="K879" i="13"/>
  <c r="J879" i="13"/>
  <c r="H879" i="13"/>
  <c r="G879" i="13"/>
  <c r="G886" i="13" s="1"/>
  <c r="G908" i="13" s="1"/>
  <c r="F879" i="13"/>
  <c r="I879" i="13" s="1"/>
  <c r="D879" i="13"/>
  <c r="D886" i="13" s="1"/>
  <c r="D908" i="13" s="1"/>
  <c r="C879" i="13"/>
  <c r="C886" i="13" s="1"/>
  <c r="C908" i="13" s="1"/>
  <c r="B879" i="13"/>
  <c r="N877" i="13"/>
  <c r="P876" i="13"/>
  <c r="O876" i="13"/>
  <c r="N876" i="13"/>
  <c r="G876" i="13"/>
  <c r="P875" i="13"/>
  <c r="P877" i="13" s="1"/>
  <c r="P906" i="13" s="1"/>
  <c r="O875" i="13"/>
  <c r="N875" i="13"/>
  <c r="H875" i="13"/>
  <c r="Q872" i="13"/>
  <c r="P872" i="13"/>
  <c r="O872" i="13"/>
  <c r="N872" i="13"/>
  <c r="L872" i="13"/>
  <c r="K872" i="13"/>
  <c r="J872" i="13"/>
  <c r="M872" i="13" s="1"/>
  <c r="R872" i="13" s="1"/>
  <c r="I872" i="13"/>
  <c r="H872" i="13"/>
  <c r="G872" i="13"/>
  <c r="F872" i="13"/>
  <c r="D872" i="13"/>
  <c r="C872" i="13"/>
  <c r="B872" i="13"/>
  <c r="E872" i="13" s="1"/>
  <c r="P871" i="13"/>
  <c r="O871" i="13"/>
  <c r="G871" i="13"/>
  <c r="F871" i="13"/>
  <c r="D871" i="13"/>
  <c r="C871" i="13"/>
  <c r="B871" i="13"/>
  <c r="E871" i="13" s="1"/>
  <c r="P870" i="13"/>
  <c r="P873" i="13" s="1"/>
  <c r="P904" i="13" s="1"/>
  <c r="O870" i="13"/>
  <c r="O873" i="13" s="1"/>
  <c r="O904" i="13" s="1"/>
  <c r="N870" i="13"/>
  <c r="L870" i="13"/>
  <c r="L873" i="13" s="1"/>
  <c r="L904" i="13" s="1"/>
  <c r="K870" i="13"/>
  <c r="J870" i="13"/>
  <c r="H870" i="13"/>
  <c r="G870" i="13"/>
  <c r="G873" i="13" s="1"/>
  <c r="G904" i="13" s="1"/>
  <c r="F870" i="13"/>
  <c r="F873" i="13" s="1"/>
  <c r="F904" i="13" s="1"/>
  <c r="D870" i="13"/>
  <c r="D873" i="13" s="1"/>
  <c r="D904" i="13" s="1"/>
  <c r="C870" i="13"/>
  <c r="C873" i="13" s="1"/>
  <c r="C904" i="13" s="1"/>
  <c r="B870" i="13"/>
  <c r="B873" i="13" s="1"/>
  <c r="P867" i="13"/>
  <c r="O867" i="13"/>
  <c r="N867" i="13"/>
  <c r="Q867" i="13" s="1"/>
  <c r="L867" i="13"/>
  <c r="K867" i="13"/>
  <c r="J867" i="13"/>
  <c r="M867" i="13" s="1"/>
  <c r="H867" i="13"/>
  <c r="G867" i="13"/>
  <c r="F867" i="13"/>
  <c r="D867" i="13"/>
  <c r="C867" i="13"/>
  <c r="B867" i="13"/>
  <c r="E867" i="13" s="1"/>
  <c r="P866" i="13"/>
  <c r="O866" i="13"/>
  <c r="Q866" i="13" s="1"/>
  <c r="N866" i="13"/>
  <c r="L866" i="13"/>
  <c r="K866" i="13"/>
  <c r="M866" i="13" s="1"/>
  <c r="J866" i="13"/>
  <c r="H866" i="13"/>
  <c r="G866" i="13"/>
  <c r="F866" i="13"/>
  <c r="D866" i="13"/>
  <c r="C866" i="13"/>
  <c r="E866" i="13" s="1"/>
  <c r="B866" i="13"/>
  <c r="Q865" i="13"/>
  <c r="P865" i="13"/>
  <c r="O865" i="13"/>
  <c r="N865" i="13"/>
  <c r="L865" i="13"/>
  <c r="K865" i="13"/>
  <c r="J865" i="13"/>
  <c r="M865" i="13" s="1"/>
  <c r="I865" i="13"/>
  <c r="H865" i="13"/>
  <c r="G865" i="13"/>
  <c r="F865" i="13"/>
  <c r="D865" i="13"/>
  <c r="C865" i="13"/>
  <c r="B865" i="13"/>
  <c r="E865" i="13" s="1"/>
  <c r="R865" i="13" s="1"/>
  <c r="Q864" i="13"/>
  <c r="P864" i="13"/>
  <c r="O864" i="13"/>
  <c r="N864" i="13"/>
  <c r="L864" i="13"/>
  <c r="K864" i="13"/>
  <c r="J864" i="13"/>
  <c r="M864" i="13" s="1"/>
  <c r="G864" i="13"/>
  <c r="F864" i="13"/>
  <c r="D864" i="13"/>
  <c r="C864" i="13"/>
  <c r="B864" i="13"/>
  <c r="E864" i="13" s="1"/>
  <c r="R864" i="13" s="1"/>
  <c r="P863" i="13"/>
  <c r="O863" i="13"/>
  <c r="N863" i="13"/>
  <c r="Q863" i="13" s="1"/>
  <c r="L863" i="13"/>
  <c r="K863" i="13"/>
  <c r="J863" i="13"/>
  <c r="H863" i="13"/>
  <c r="G863" i="13"/>
  <c r="F863" i="13"/>
  <c r="I863" i="13" s="1"/>
  <c r="D863" i="13"/>
  <c r="C863" i="13"/>
  <c r="B863" i="13"/>
  <c r="P862" i="13"/>
  <c r="P868" i="13" s="1"/>
  <c r="A855" i="13"/>
  <c r="A853" i="13"/>
  <c r="Q849" i="13"/>
  <c r="Q842" i="13"/>
  <c r="M842" i="13"/>
  <c r="I842" i="13"/>
  <c r="R842" i="13" s="1"/>
  <c r="E842" i="13"/>
  <c r="P841" i="13"/>
  <c r="P844" i="13" s="1"/>
  <c r="H841" i="13"/>
  <c r="H844" i="13" s="1"/>
  <c r="Q840" i="13"/>
  <c r="P840" i="13"/>
  <c r="O840" i="13"/>
  <c r="N840" i="13"/>
  <c r="M840" i="13"/>
  <c r="L840" i="13"/>
  <c r="K840" i="13"/>
  <c r="J840" i="13"/>
  <c r="I840" i="13"/>
  <c r="H840" i="13"/>
  <c r="G840" i="13"/>
  <c r="F840" i="13"/>
  <c r="E840" i="13"/>
  <c r="D840" i="13"/>
  <c r="C840" i="13"/>
  <c r="B840" i="13"/>
  <c r="R839" i="13"/>
  <c r="P839" i="13"/>
  <c r="O839" i="13"/>
  <c r="N839" i="13"/>
  <c r="Q839" i="13" s="1"/>
  <c r="L839" i="13"/>
  <c r="K839" i="13"/>
  <c r="J839" i="13"/>
  <c r="M839" i="13" s="1"/>
  <c r="H839" i="13"/>
  <c r="G839" i="13"/>
  <c r="F839" i="13"/>
  <c r="I839" i="13" s="1"/>
  <c r="D839" i="13"/>
  <c r="C839" i="13"/>
  <c r="B839" i="13"/>
  <c r="E839" i="13" s="1"/>
  <c r="Q836" i="13"/>
  <c r="M836" i="13"/>
  <c r="I836" i="13"/>
  <c r="R836" i="13" s="1"/>
  <c r="E836" i="13"/>
  <c r="Q835" i="13"/>
  <c r="M835" i="13"/>
  <c r="I835" i="13"/>
  <c r="E835" i="13"/>
  <c r="Q833" i="13"/>
  <c r="R833" i="13" s="1"/>
  <c r="M833" i="13"/>
  <c r="I833" i="13"/>
  <c r="E833" i="13"/>
  <c r="R832" i="13"/>
  <c r="Q832" i="13"/>
  <c r="M832" i="13"/>
  <c r="I832" i="13"/>
  <c r="E832" i="13"/>
  <c r="P829" i="13"/>
  <c r="O829" i="13"/>
  <c r="N829" i="13"/>
  <c r="K829" i="13"/>
  <c r="G829" i="13"/>
  <c r="F829" i="13"/>
  <c r="C829" i="13"/>
  <c r="B829" i="13"/>
  <c r="Q828" i="13"/>
  <c r="M828" i="13"/>
  <c r="L828" i="13"/>
  <c r="L829" i="13" s="1"/>
  <c r="K828" i="13"/>
  <c r="J828" i="13"/>
  <c r="J829" i="13" s="1"/>
  <c r="M829" i="13" s="1"/>
  <c r="I828" i="13"/>
  <c r="H828" i="13"/>
  <c r="H829" i="13" s="1"/>
  <c r="G828" i="13"/>
  <c r="F828" i="13"/>
  <c r="E828" i="13"/>
  <c r="R828" i="13" s="1"/>
  <c r="D828" i="13"/>
  <c r="D829" i="13" s="1"/>
  <c r="C828" i="13"/>
  <c r="Q827" i="13"/>
  <c r="R827" i="13" s="1"/>
  <c r="M827" i="13"/>
  <c r="I827" i="13"/>
  <c r="E827" i="13"/>
  <c r="R826" i="13"/>
  <c r="Q826" i="13"/>
  <c r="M826" i="13"/>
  <c r="I826" i="13"/>
  <c r="E826" i="13"/>
  <c r="Q825" i="13"/>
  <c r="M825" i="13"/>
  <c r="I825" i="13"/>
  <c r="E825" i="13"/>
  <c r="R825" i="13" s="1"/>
  <c r="Q823" i="13"/>
  <c r="M823" i="13"/>
  <c r="I823" i="13"/>
  <c r="E823" i="13"/>
  <c r="R823" i="13" s="1"/>
  <c r="Q822" i="13"/>
  <c r="M822" i="13"/>
  <c r="I822" i="13"/>
  <c r="E822" i="13"/>
  <c r="R822" i="13" s="1"/>
  <c r="P819" i="13"/>
  <c r="O819" i="13"/>
  <c r="N819" i="13"/>
  <c r="Q819" i="13" s="1"/>
  <c r="L819" i="13"/>
  <c r="K819" i="13"/>
  <c r="J819" i="13"/>
  <c r="M819" i="13" s="1"/>
  <c r="H819" i="13"/>
  <c r="G819" i="13"/>
  <c r="F819" i="13"/>
  <c r="I819" i="13" s="1"/>
  <c r="D819" i="13"/>
  <c r="C819" i="13"/>
  <c r="B819" i="13"/>
  <c r="E819" i="13" s="1"/>
  <c r="Q817" i="13"/>
  <c r="M817" i="13"/>
  <c r="I817" i="13"/>
  <c r="E817" i="13"/>
  <c r="R817" i="13" s="1"/>
  <c r="P814" i="13"/>
  <c r="Q814" i="13" s="1"/>
  <c r="O814" i="13"/>
  <c r="N814" i="13"/>
  <c r="N841" i="13" s="1"/>
  <c r="L814" i="13"/>
  <c r="L841" i="13" s="1"/>
  <c r="L844" i="13" s="1"/>
  <c r="K814" i="13"/>
  <c r="K841" i="13" s="1"/>
  <c r="K844" i="13" s="1"/>
  <c r="K846" i="13" s="1"/>
  <c r="J814" i="13"/>
  <c r="H814" i="13"/>
  <c r="I814" i="13" s="1"/>
  <c r="G814" i="13"/>
  <c r="F814" i="13"/>
  <c r="F841" i="13" s="1"/>
  <c r="D814" i="13"/>
  <c r="D841" i="13" s="1"/>
  <c r="D844" i="13" s="1"/>
  <c r="C814" i="13"/>
  <c r="C841" i="13" s="1"/>
  <c r="C844" i="13" s="1"/>
  <c r="B814" i="13"/>
  <c r="B841" i="13" s="1"/>
  <c r="Q812" i="13"/>
  <c r="R812" i="13" s="1"/>
  <c r="M812" i="13"/>
  <c r="I812" i="13"/>
  <c r="E812" i="13"/>
  <c r="R809" i="13"/>
  <c r="Q809" i="13"/>
  <c r="M809" i="13"/>
  <c r="I809" i="13"/>
  <c r="E809" i="13"/>
  <c r="Q808" i="13"/>
  <c r="M808" i="13"/>
  <c r="I808" i="13"/>
  <c r="E808" i="13"/>
  <c r="R808" i="13" s="1"/>
  <c r="Q807" i="13"/>
  <c r="M807" i="13"/>
  <c r="I807" i="13"/>
  <c r="E807" i="13"/>
  <c r="R807" i="13" s="1"/>
  <c r="Q806" i="13"/>
  <c r="M806" i="13"/>
  <c r="I806" i="13"/>
  <c r="E806" i="13"/>
  <c r="R806" i="13" s="1"/>
  <c r="Q805" i="13"/>
  <c r="M805" i="13"/>
  <c r="I805" i="13"/>
  <c r="E805" i="13"/>
  <c r="R805" i="13" s="1"/>
  <c r="G797" i="13"/>
  <c r="P927" i="13" s="1"/>
  <c r="D795" i="13"/>
  <c r="Q793" i="13"/>
  <c r="R793" i="13" s="1"/>
  <c r="M793" i="13"/>
  <c r="I793" i="13"/>
  <c r="E793" i="13"/>
  <c r="R792" i="13"/>
  <c r="Q792" i="13"/>
  <c r="M792" i="13"/>
  <c r="I792" i="13"/>
  <c r="E792" i="13"/>
  <c r="O791" i="13"/>
  <c r="O795" i="13" s="1"/>
  <c r="O797" i="13" s="1"/>
  <c r="G791" i="13"/>
  <c r="G795" i="13" s="1"/>
  <c r="P790" i="13"/>
  <c r="O790" i="13"/>
  <c r="Q790" i="13" s="1"/>
  <c r="N790" i="13"/>
  <c r="L790" i="13"/>
  <c r="M790" i="13" s="1"/>
  <c r="K790" i="13"/>
  <c r="J790" i="13"/>
  <c r="H790" i="13"/>
  <c r="G790" i="13"/>
  <c r="F790" i="13"/>
  <c r="D790" i="13"/>
  <c r="E790" i="13" s="1"/>
  <c r="C790" i="13"/>
  <c r="B790" i="13"/>
  <c r="Q789" i="13"/>
  <c r="P789" i="13"/>
  <c r="O789" i="13"/>
  <c r="N789" i="13"/>
  <c r="M789" i="13"/>
  <c r="L789" i="13"/>
  <c r="K789" i="13"/>
  <c r="J789" i="13"/>
  <c r="I789" i="13"/>
  <c r="H789" i="13"/>
  <c r="G789" i="13"/>
  <c r="F789" i="13"/>
  <c r="E789" i="13"/>
  <c r="D789" i="13"/>
  <c r="C789" i="13"/>
  <c r="B789" i="13"/>
  <c r="P783" i="13"/>
  <c r="O783" i="13"/>
  <c r="N783" i="13"/>
  <c r="N791" i="13" s="1"/>
  <c r="L783" i="13"/>
  <c r="K783" i="13"/>
  <c r="J783" i="13"/>
  <c r="M783" i="13" s="1"/>
  <c r="H783" i="13"/>
  <c r="G783" i="13"/>
  <c r="F783" i="13"/>
  <c r="F791" i="13" s="1"/>
  <c r="D783" i="13"/>
  <c r="C783" i="13"/>
  <c r="B783" i="13"/>
  <c r="E783" i="13" s="1"/>
  <c r="P779" i="13"/>
  <c r="O779" i="13"/>
  <c r="N779" i="13"/>
  <c r="Q779" i="13" s="1"/>
  <c r="L779" i="13"/>
  <c r="K779" i="13"/>
  <c r="J779" i="13"/>
  <c r="M779" i="13" s="1"/>
  <c r="H779" i="13"/>
  <c r="G779" i="13"/>
  <c r="F779" i="13"/>
  <c r="I779" i="13" s="1"/>
  <c r="D779" i="13"/>
  <c r="C779" i="13"/>
  <c r="B779" i="13"/>
  <c r="E779" i="13" s="1"/>
  <c r="P775" i="13"/>
  <c r="Q775" i="13" s="1"/>
  <c r="O775" i="13"/>
  <c r="N775" i="13"/>
  <c r="L775" i="13"/>
  <c r="L791" i="13" s="1"/>
  <c r="L795" i="13" s="1"/>
  <c r="K775" i="13"/>
  <c r="K791" i="13" s="1"/>
  <c r="K795" i="13" s="1"/>
  <c r="J775" i="13"/>
  <c r="J791" i="13" s="1"/>
  <c r="H775" i="13"/>
  <c r="I775" i="13" s="1"/>
  <c r="G775" i="13"/>
  <c r="F775" i="13"/>
  <c r="D775" i="13"/>
  <c r="D791" i="13" s="1"/>
  <c r="C775" i="13"/>
  <c r="B775" i="13"/>
  <c r="B791" i="13" s="1"/>
  <c r="R771" i="13"/>
  <c r="Q771" i="13"/>
  <c r="M771" i="13"/>
  <c r="I771" i="13"/>
  <c r="E771" i="13"/>
  <c r="P761" i="13"/>
  <c r="O761" i="13"/>
  <c r="N761" i="13"/>
  <c r="Q761" i="13" s="1"/>
  <c r="L761" i="13"/>
  <c r="K761" i="13"/>
  <c r="J761" i="13"/>
  <c r="H761" i="13"/>
  <c r="G761" i="13"/>
  <c r="F761" i="13"/>
  <c r="I761" i="13" s="1"/>
  <c r="D761" i="13"/>
  <c r="C761" i="13"/>
  <c r="B761" i="13"/>
  <c r="Q759" i="13"/>
  <c r="M759" i="13"/>
  <c r="I759" i="13"/>
  <c r="E759" i="13"/>
  <c r="R759" i="13" s="1"/>
  <c r="R749" i="13"/>
  <c r="Q749" i="13"/>
  <c r="M749" i="13"/>
  <c r="I749" i="13"/>
  <c r="E749" i="13"/>
  <c r="P748" i="13"/>
  <c r="P751" i="13" s="1"/>
  <c r="H748" i="13"/>
  <c r="H751" i="13" s="1"/>
  <c r="Q747" i="13"/>
  <c r="P747" i="13"/>
  <c r="O747" i="13"/>
  <c r="N747" i="13"/>
  <c r="M747" i="13"/>
  <c r="L747" i="13"/>
  <c r="K747" i="13"/>
  <c r="J747" i="13"/>
  <c r="I747" i="13"/>
  <c r="H747" i="13"/>
  <c r="G747" i="13"/>
  <c r="F747" i="13"/>
  <c r="E747" i="13"/>
  <c r="D747" i="13"/>
  <c r="C747" i="13"/>
  <c r="B747" i="13"/>
  <c r="Q746" i="13"/>
  <c r="P746" i="13"/>
  <c r="O746" i="13"/>
  <c r="N746" i="13"/>
  <c r="L746" i="13"/>
  <c r="K746" i="13"/>
  <c r="J746" i="13"/>
  <c r="M746" i="13" s="1"/>
  <c r="I746" i="13"/>
  <c r="H746" i="13"/>
  <c r="G746" i="13"/>
  <c r="F746" i="13"/>
  <c r="D746" i="13"/>
  <c r="C746" i="13"/>
  <c r="B746" i="13"/>
  <c r="E746" i="13" s="1"/>
  <c r="R746" i="13" s="1"/>
  <c r="R743" i="13"/>
  <c r="Q743" i="13"/>
  <c r="M743" i="13"/>
  <c r="I743" i="13"/>
  <c r="E743" i="13"/>
  <c r="Q742" i="13"/>
  <c r="M742" i="13"/>
  <c r="I742" i="13"/>
  <c r="E742" i="13"/>
  <c r="R742" i="13" s="1"/>
  <c r="R741" i="13"/>
  <c r="Q741" i="13"/>
  <c r="M741" i="13"/>
  <c r="I741" i="13"/>
  <c r="E741" i="13"/>
  <c r="R740" i="13"/>
  <c r="Q740" i="13"/>
  <c r="M740" i="13"/>
  <c r="I740" i="13"/>
  <c r="E740" i="13"/>
  <c r="P736" i="13"/>
  <c r="O736" i="13"/>
  <c r="N736" i="13"/>
  <c r="L736" i="13"/>
  <c r="K736" i="13"/>
  <c r="J736" i="13"/>
  <c r="M736" i="13" s="1"/>
  <c r="H736" i="13"/>
  <c r="G736" i="13"/>
  <c r="F736" i="13"/>
  <c r="D736" i="13"/>
  <c r="C736" i="13"/>
  <c r="B736" i="13"/>
  <c r="E736" i="13" s="1"/>
  <c r="Q735" i="13"/>
  <c r="M735" i="13"/>
  <c r="I735" i="13"/>
  <c r="E735" i="13"/>
  <c r="R735" i="13" s="1"/>
  <c r="R734" i="13"/>
  <c r="Q734" i="13"/>
  <c r="M734" i="13"/>
  <c r="I734" i="13"/>
  <c r="E734" i="13"/>
  <c r="R733" i="13"/>
  <c r="Q733" i="13"/>
  <c r="M733" i="13"/>
  <c r="I733" i="13"/>
  <c r="E733" i="13"/>
  <c r="Q732" i="13"/>
  <c r="M732" i="13"/>
  <c r="I732" i="13"/>
  <c r="E732" i="13"/>
  <c r="Q731" i="13"/>
  <c r="M731" i="13"/>
  <c r="I731" i="13"/>
  <c r="E731" i="13"/>
  <c r="R731" i="13" s="1"/>
  <c r="Q730" i="13"/>
  <c r="M730" i="13"/>
  <c r="I730" i="13"/>
  <c r="E730" i="13"/>
  <c r="R730" i="13" s="1"/>
  <c r="Q729" i="13"/>
  <c r="M729" i="13"/>
  <c r="I729" i="13"/>
  <c r="E729" i="13"/>
  <c r="R729" i="13" s="1"/>
  <c r="R728" i="13"/>
  <c r="Q728" i="13"/>
  <c r="M728" i="13"/>
  <c r="I728" i="13"/>
  <c r="E728" i="13"/>
  <c r="Q727" i="13"/>
  <c r="M727" i="13"/>
  <c r="I727" i="13"/>
  <c r="E727" i="13"/>
  <c r="R725" i="13"/>
  <c r="Q725" i="13"/>
  <c r="M725" i="13"/>
  <c r="I725" i="13"/>
  <c r="E725" i="13"/>
  <c r="Q722" i="13"/>
  <c r="P722" i="13"/>
  <c r="O722" i="13"/>
  <c r="N722" i="13"/>
  <c r="L722" i="13"/>
  <c r="K722" i="13"/>
  <c r="J722" i="13"/>
  <c r="M722" i="13" s="1"/>
  <c r="I722" i="13"/>
  <c r="H722" i="13"/>
  <c r="G722" i="13"/>
  <c r="F722" i="13"/>
  <c r="D722" i="13"/>
  <c r="C722" i="13"/>
  <c r="B722" i="13"/>
  <c r="E722" i="13" s="1"/>
  <c r="P718" i="13"/>
  <c r="O718" i="13"/>
  <c r="N718" i="13"/>
  <c r="N748" i="13" s="1"/>
  <c r="L718" i="13"/>
  <c r="L748" i="13" s="1"/>
  <c r="L751" i="13" s="1"/>
  <c r="K718" i="13"/>
  <c r="K748" i="13" s="1"/>
  <c r="K751" i="13" s="1"/>
  <c r="J718" i="13"/>
  <c r="J748" i="13" s="1"/>
  <c r="H718" i="13"/>
  <c r="G718" i="13"/>
  <c r="F718" i="13"/>
  <c r="F748" i="13" s="1"/>
  <c r="D718" i="13"/>
  <c r="D748" i="13" s="1"/>
  <c r="D751" i="13" s="1"/>
  <c r="C718" i="13"/>
  <c r="C748" i="13" s="1"/>
  <c r="C751" i="13" s="1"/>
  <c r="B718" i="13"/>
  <c r="Q714" i="13"/>
  <c r="M714" i="13"/>
  <c r="I714" i="13"/>
  <c r="E714" i="13"/>
  <c r="R714" i="13" s="1"/>
  <c r="Q713" i="13"/>
  <c r="M713" i="13"/>
  <c r="I713" i="13"/>
  <c r="E713" i="13"/>
  <c r="Q712" i="13"/>
  <c r="M712" i="13"/>
  <c r="I712" i="13"/>
  <c r="E712" i="13"/>
  <c r="R712" i="13" s="1"/>
  <c r="R711" i="13"/>
  <c r="Q711" i="13"/>
  <c r="M711" i="13"/>
  <c r="I711" i="13"/>
  <c r="E711" i="13"/>
  <c r="Q710" i="13"/>
  <c r="M710" i="13"/>
  <c r="I710" i="13"/>
  <c r="E710" i="13"/>
  <c r="R710" i="13" s="1"/>
  <c r="R709" i="13"/>
  <c r="Q709" i="13"/>
  <c r="M709" i="13"/>
  <c r="I709" i="13"/>
  <c r="E709" i="13"/>
  <c r="R708" i="13"/>
  <c r="Q708" i="13"/>
  <c r="M708" i="13"/>
  <c r="I708" i="13"/>
  <c r="E708" i="13"/>
  <c r="Q696" i="13"/>
  <c r="M696" i="13"/>
  <c r="I696" i="13"/>
  <c r="E696" i="13"/>
  <c r="R696" i="13" s="1"/>
  <c r="P694" i="13"/>
  <c r="O694" i="13"/>
  <c r="N694" i="13"/>
  <c r="Q694" i="13" s="1"/>
  <c r="L694" i="13"/>
  <c r="K694" i="13"/>
  <c r="M694" i="13" s="1"/>
  <c r="J694" i="13"/>
  <c r="H694" i="13"/>
  <c r="G694" i="13"/>
  <c r="F694" i="13"/>
  <c r="I694" i="13" s="1"/>
  <c r="D694" i="13"/>
  <c r="C694" i="13"/>
  <c r="E694" i="13" s="1"/>
  <c r="B694" i="13"/>
  <c r="P693" i="13"/>
  <c r="O693" i="13"/>
  <c r="N693" i="13"/>
  <c r="Q693" i="13" s="1"/>
  <c r="M693" i="13"/>
  <c r="L693" i="13"/>
  <c r="K693" i="13"/>
  <c r="J693" i="13"/>
  <c r="H693" i="13"/>
  <c r="G693" i="13"/>
  <c r="F693" i="13"/>
  <c r="I693" i="13" s="1"/>
  <c r="E693" i="13"/>
  <c r="D693" i="13"/>
  <c r="C693" i="13"/>
  <c r="B693" i="13"/>
  <c r="Q690" i="13"/>
  <c r="M690" i="13"/>
  <c r="I690" i="13"/>
  <c r="E690" i="13"/>
  <c r="R690" i="13" s="1"/>
  <c r="P686" i="13"/>
  <c r="O686" i="13"/>
  <c r="N686" i="13"/>
  <c r="M686" i="13"/>
  <c r="L686" i="13"/>
  <c r="K686" i="13"/>
  <c r="J686" i="13"/>
  <c r="H686" i="13"/>
  <c r="G686" i="13"/>
  <c r="F686" i="13"/>
  <c r="I686" i="13" s="1"/>
  <c r="E686" i="13"/>
  <c r="D686" i="13"/>
  <c r="C686" i="13"/>
  <c r="B686" i="13"/>
  <c r="P682" i="13"/>
  <c r="O682" i="13"/>
  <c r="N682" i="13"/>
  <c r="L682" i="13"/>
  <c r="K682" i="13"/>
  <c r="M682" i="13" s="1"/>
  <c r="J682" i="13"/>
  <c r="H682" i="13"/>
  <c r="G682" i="13"/>
  <c r="F682" i="13"/>
  <c r="I682" i="13" s="1"/>
  <c r="D682" i="13"/>
  <c r="C682" i="13"/>
  <c r="E682" i="13" s="1"/>
  <c r="B682" i="13"/>
  <c r="P678" i="13"/>
  <c r="P695" i="13" s="1"/>
  <c r="P698" i="13" s="1"/>
  <c r="O678" i="13"/>
  <c r="N678" i="13"/>
  <c r="L678" i="13"/>
  <c r="L695" i="13" s="1"/>
  <c r="L698" i="13" s="1"/>
  <c r="J678" i="13"/>
  <c r="J695" i="13" s="1"/>
  <c r="H678" i="13"/>
  <c r="H695" i="13" s="1"/>
  <c r="H698" i="13" s="1"/>
  <c r="G678" i="13"/>
  <c r="G695" i="13" s="1"/>
  <c r="G698" i="13" s="1"/>
  <c r="F678" i="13"/>
  <c r="D678" i="13"/>
  <c r="D695" i="13" s="1"/>
  <c r="D698" i="13" s="1"/>
  <c r="C678" i="13"/>
  <c r="C695" i="13" s="1"/>
  <c r="C698" i="13" s="1"/>
  <c r="B678" i="13"/>
  <c r="B695" i="13" s="1"/>
  <c r="Q674" i="13"/>
  <c r="M674" i="13"/>
  <c r="I674" i="13"/>
  <c r="E674" i="13"/>
  <c r="R674" i="13" s="1"/>
  <c r="Q673" i="13"/>
  <c r="M673" i="13"/>
  <c r="I673" i="13"/>
  <c r="E673" i="13"/>
  <c r="R673" i="13" s="1"/>
  <c r="R672" i="13"/>
  <c r="Q672" i="13"/>
  <c r="M672" i="13"/>
  <c r="K672" i="13"/>
  <c r="K678" i="13" s="1"/>
  <c r="I672" i="13"/>
  <c r="E672" i="13"/>
  <c r="Q662" i="13"/>
  <c r="P662" i="13"/>
  <c r="O662" i="13"/>
  <c r="N662" i="13"/>
  <c r="L662" i="13"/>
  <c r="K662" i="13"/>
  <c r="J662" i="13"/>
  <c r="I662" i="13"/>
  <c r="H662" i="13"/>
  <c r="G662" i="13"/>
  <c r="F662" i="13"/>
  <c r="D662" i="13"/>
  <c r="C662" i="13"/>
  <c r="B662" i="13"/>
  <c r="R660" i="13"/>
  <c r="Q660" i="13"/>
  <c r="M660" i="13"/>
  <c r="I660" i="13"/>
  <c r="E660" i="13"/>
  <c r="R650" i="13"/>
  <c r="Q650" i="13"/>
  <c r="M650" i="13"/>
  <c r="I650" i="13"/>
  <c r="E650" i="13"/>
  <c r="O649" i="13"/>
  <c r="O652" i="13" s="1"/>
  <c r="G649" i="13"/>
  <c r="G652" i="13" s="1"/>
  <c r="P648" i="13"/>
  <c r="O648" i="13"/>
  <c r="N648" i="13"/>
  <c r="L648" i="13"/>
  <c r="M648" i="13" s="1"/>
  <c r="K648" i="13"/>
  <c r="J648" i="13"/>
  <c r="H648" i="13"/>
  <c r="G648" i="13"/>
  <c r="F648" i="13"/>
  <c r="I648" i="13" s="1"/>
  <c r="D648" i="13"/>
  <c r="E648" i="13" s="1"/>
  <c r="C648" i="13"/>
  <c r="B648" i="13"/>
  <c r="Q647" i="13"/>
  <c r="P647" i="13"/>
  <c r="O647" i="13"/>
  <c r="N647" i="13"/>
  <c r="M647" i="13"/>
  <c r="L647" i="13"/>
  <c r="K647" i="13"/>
  <c r="J647" i="13"/>
  <c r="I647" i="13"/>
  <c r="H647" i="13"/>
  <c r="G647" i="13"/>
  <c r="F647" i="13"/>
  <c r="E647" i="13"/>
  <c r="R647" i="13" s="1"/>
  <c r="D647" i="13"/>
  <c r="C647" i="13"/>
  <c r="B647" i="13"/>
  <c r="R646" i="13"/>
  <c r="Q646" i="13"/>
  <c r="M646" i="13"/>
  <c r="I646" i="13"/>
  <c r="E646" i="13"/>
  <c r="Q645" i="13"/>
  <c r="M645" i="13"/>
  <c r="I645" i="13"/>
  <c r="E645" i="13"/>
  <c r="R645" i="13" s="1"/>
  <c r="Q644" i="13"/>
  <c r="M644" i="13"/>
  <c r="I644" i="13"/>
  <c r="E644" i="13"/>
  <c r="R644" i="13" s="1"/>
  <c r="Q642" i="13"/>
  <c r="M642" i="13"/>
  <c r="I642" i="13"/>
  <c r="E642" i="13"/>
  <c r="R642" i="13" s="1"/>
  <c r="Q641" i="13"/>
  <c r="M641" i="13"/>
  <c r="I641" i="13"/>
  <c r="E641" i="13"/>
  <c r="R641" i="13" s="1"/>
  <c r="R639" i="13"/>
  <c r="Q639" i="13"/>
  <c r="M639" i="13"/>
  <c r="I639" i="13"/>
  <c r="E639" i="13"/>
  <c r="Q638" i="13"/>
  <c r="M638" i="13"/>
  <c r="I638" i="13"/>
  <c r="R638" i="13" s="1"/>
  <c r="E638" i="13"/>
  <c r="Q637" i="13"/>
  <c r="M637" i="13"/>
  <c r="I637" i="13"/>
  <c r="R637" i="13" s="1"/>
  <c r="E637" i="13"/>
  <c r="R636" i="13"/>
  <c r="Q636" i="13"/>
  <c r="M636" i="13"/>
  <c r="I636" i="13"/>
  <c r="E636" i="13"/>
  <c r="Q634" i="13"/>
  <c r="M634" i="13"/>
  <c r="I634" i="13"/>
  <c r="E634" i="13"/>
  <c r="Q633" i="13"/>
  <c r="M633" i="13"/>
  <c r="I633" i="13"/>
  <c r="E633" i="13"/>
  <c r="R633" i="13" s="1"/>
  <c r="Q630" i="13"/>
  <c r="P630" i="13"/>
  <c r="O630" i="13"/>
  <c r="N630" i="13"/>
  <c r="L630" i="13"/>
  <c r="K630" i="13"/>
  <c r="M630" i="13" s="1"/>
  <c r="J630" i="13"/>
  <c r="I630" i="13"/>
  <c r="H630" i="13"/>
  <c r="G630" i="13"/>
  <c r="F630" i="13"/>
  <c r="E630" i="13"/>
  <c r="D630" i="13"/>
  <c r="C630" i="13"/>
  <c r="B630" i="13"/>
  <c r="R629" i="13"/>
  <c r="Q629" i="13"/>
  <c r="M629" i="13"/>
  <c r="I629" i="13"/>
  <c r="E629" i="13"/>
  <c r="Q628" i="13"/>
  <c r="M628" i="13"/>
  <c r="I628" i="13"/>
  <c r="E628" i="13"/>
  <c r="R628" i="13" s="1"/>
  <c r="Q627" i="13"/>
  <c r="M627" i="13"/>
  <c r="I627" i="13"/>
  <c r="E627" i="13"/>
  <c r="R627" i="13" s="1"/>
  <c r="Q626" i="13"/>
  <c r="M626" i="13"/>
  <c r="I626" i="13"/>
  <c r="E626" i="13"/>
  <c r="R626" i="13" s="1"/>
  <c r="Q625" i="13"/>
  <c r="M625" i="13"/>
  <c r="I625" i="13"/>
  <c r="E625" i="13"/>
  <c r="R625" i="13" s="1"/>
  <c r="P621" i="13"/>
  <c r="O621" i="13"/>
  <c r="N621" i="13"/>
  <c r="Q621" i="13" s="1"/>
  <c r="L621" i="13"/>
  <c r="K621" i="13"/>
  <c r="J621" i="13"/>
  <c r="M621" i="13" s="1"/>
  <c r="H621" i="13"/>
  <c r="G621" i="13"/>
  <c r="F621" i="13"/>
  <c r="I621" i="13" s="1"/>
  <c r="D621" i="13"/>
  <c r="C621" i="13"/>
  <c r="B621" i="13"/>
  <c r="E621" i="13" s="1"/>
  <c r="R621" i="13" s="1"/>
  <c r="Q619" i="13"/>
  <c r="M619" i="13"/>
  <c r="I619" i="13"/>
  <c r="E619" i="13"/>
  <c r="R619" i="13" s="1"/>
  <c r="Q618" i="13"/>
  <c r="M618" i="13"/>
  <c r="I618" i="13"/>
  <c r="E618" i="13"/>
  <c r="R618" i="13" s="1"/>
  <c r="P615" i="13"/>
  <c r="O615" i="13"/>
  <c r="N615" i="13"/>
  <c r="M615" i="13"/>
  <c r="L615" i="13"/>
  <c r="L649" i="13" s="1"/>
  <c r="L652" i="13" s="1"/>
  <c r="K615" i="13"/>
  <c r="K649" i="13" s="1"/>
  <c r="K652" i="13" s="1"/>
  <c r="J615" i="13"/>
  <c r="J649" i="13" s="1"/>
  <c r="H615" i="13"/>
  <c r="G615" i="13"/>
  <c r="F615" i="13"/>
  <c r="E615" i="13"/>
  <c r="D615" i="13"/>
  <c r="D649" i="13" s="1"/>
  <c r="D652" i="13" s="1"/>
  <c r="C615" i="13"/>
  <c r="C649" i="13" s="1"/>
  <c r="C652" i="13" s="1"/>
  <c r="B615" i="13"/>
  <c r="B649" i="13" s="1"/>
  <c r="Q613" i="13"/>
  <c r="M613" i="13"/>
  <c r="I613" i="13"/>
  <c r="E613" i="13"/>
  <c r="R613" i="13" s="1"/>
  <c r="Q611" i="13"/>
  <c r="M611" i="13"/>
  <c r="I611" i="13"/>
  <c r="E611" i="13"/>
  <c r="R611" i="13" s="1"/>
  <c r="Q609" i="13"/>
  <c r="M609" i="13"/>
  <c r="I609" i="13"/>
  <c r="E609" i="13"/>
  <c r="R609" i="13" s="1"/>
  <c r="Q608" i="13"/>
  <c r="M608" i="13"/>
  <c r="I608" i="13"/>
  <c r="E608" i="13"/>
  <c r="R608" i="13" s="1"/>
  <c r="R607" i="13"/>
  <c r="Q607" i="13"/>
  <c r="M607" i="13"/>
  <c r="I607" i="13"/>
  <c r="E607" i="13"/>
  <c r="Q606" i="13"/>
  <c r="M606" i="13"/>
  <c r="I606" i="13"/>
  <c r="E606" i="13"/>
  <c r="Q605" i="13"/>
  <c r="M605" i="13"/>
  <c r="I605" i="13"/>
  <c r="E605" i="13"/>
  <c r="R605" i="13" s="1"/>
  <c r="R604" i="13"/>
  <c r="Q604" i="13"/>
  <c r="M604" i="13"/>
  <c r="I604" i="13"/>
  <c r="E604" i="13"/>
  <c r="Q603" i="13"/>
  <c r="M603" i="13"/>
  <c r="I603" i="13"/>
  <c r="E603" i="13"/>
  <c r="Q602" i="13"/>
  <c r="M602" i="13"/>
  <c r="I602" i="13"/>
  <c r="E602" i="13"/>
  <c r="R602" i="13" s="1"/>
  <c r="Q601" i="13"/>
  <c r="M601" i="13"/>
  <c r="I601" i="13"/>
  <c r="E601" i="13"/>
  <c r="R601" i="13" s="1"/>
  <c r="Q600" i="13"/>
  <c r="M600" i="13"/>
  <c r="I600" i="13"/>
  <c r="E600" i="13"/>
  <c r="R600" i="13" s="1"/>
  <c r="R599" i="13"/>
  <c r="Q599" i="13"/>
  <c r="M599" i="13"/>
  <c r="I599" i="13"/>
  <c r="E599" i="13"/>
  <c r="Q598" i="13"/>
  <c r="M598" i="13"/>
  <c r="I598" i="13"/>
  <c r="E598" i="13"/>
  <c r="Q597" i="13"/>
  <c r="M597" i="13"/>
  <c r="I597" i="13"/>
  <c r="E597" i="13"/>
  <c r="R597" i="13" s="1"/>
  <c r="R596" i="13"/>
  <c r="Q596" i="13"/>
  <c r="M596" i="13"/>
  <c r="I596" i="13"/>
  <c r="E596" i="13"/>
  <c r="Q595" i="13"/>
  <c r="M595" i="13"/>
  <c r="I595" i="13"/>
  <c r="E595" i="13"/>
  <c r="R595" i="13" s="1"/>
  <c r="Q583" i="13"/>
  <c r="M583" i="13"/>
  <c r="I583" i="13"/>
  <c r="E583" i="13"/>
  <c r="R583" i="13" s="1"/>
  <c r="K582" i="13"/>
  <c r="K585" i="13" s="1"/>
  <c r="C582" i="13"/>
  <c r="C585" i="13" s="1"/>
  <c r="Q581" i="13"/>
  <c r="P581" i="13"/>
  <c r="O581" i="13"/>
  <c r="N581" i="13"/>
  <c r="L581" i="13"/>
  <c r="K581" i="13"/>
  <c r="J581" i="13"/>
  <c r="I581" i="13"/>
  <c r="H581" i="13"/>
  <c r="G581" i="13"/>
  <c r="F581" i="13"/>
  <c r="D581" i="13"/>
  <c r="C581" i="13"/>
  <c r="E581" i="13" s="1"/>
  <c r="B581" i="13"/>
  <c r="P580" i="13"/>
  <c r="O580" i="13"/>
  <c r="N580" i="13"/>
  <c r="Q580" i="13" s="1"/>
  <c r="M580" i="13"/>
  <c r="L580" i="13"/>
  <c r="K580" i="13"/>
  <c r="J580" i="13"/>
  <c r="H580" i="13"/>
  <c r="G580" i="13"/>
  <c r="F580" i="13"/>
  <c r="I580" i="13" s="1"/>
  <c r="E580" i="13"/>
  <c r="D580" i="13"/>
  <c r="C580" i="13"/>
  <c r="B580" i="13"/>
  <c r="Q579" i="13"/>
  <c r="M579" i="13"/>
  <c r="I579" i="13"/>
  <c r="E579" i="13"/>
  <c r="R579" i="13" s="1"/>
  <c r="R578" i="13"/>
  <c r="Q578" i="13"/>
  <c r="M578" i="13"/>
  <c r="I578" i="13"/>
  <c r="E578" i="13"/>
  <c r="Q577" i="13"/>
  <c r="M577" i="13"/>
  <c r="I577" i="13"/>
  <c r="E577" i="13"/>
  <c r="R577" i="13" s="1"/>
  <c r="Q576" i="13"/>
  <c r="M576" i="13"/>
  <c r="I576" i="13"/>
  <c r="E576" i="13"/>
  <c r="R576" i="13" s="1"/>
  <c r="R574" i="13"/>
  <c r="Q574" i="13"/>
  <c r="M574" i="13"/>
  <c r="I574" i="13"/>
  <c r="E574" i="13"/>
  <c r="P569" i="13"/>
  <c r="O569" i="13"/>
  <c r="N569" i="13"/>
  <c r="Q569" i="13" s="1"/>
  <c r="L569" i="13"/>
  <c r="K569" i="13"/>
  <c r="J569" i="13"/>
  <c r="M569" i="13" s="1"/>
  <c r="H569" i="13"/>
  <c r="G569" i="13"/>
  <c r="F569" i="13"/>
  <c r="I569" i="13" s="1"/>
  <c r="D569" i="13"/>
  <c r="C569" i="13"/>
  <c r="B569" i="13"/>
  <c r="E569" i="13" s="1"/>
  <c r="Q568" i="13"/>
  <c r="M568" i="13"/>
  <c r="I568" i="13"/>
  <c r="E568" i="13"/>
  <c r="P564" i="13"/>
  <c r="O564" i="13"/>
  <c r="N564" i="13"/>
  <c r="Q564" i="13" s="1"/>
  <c r="M564" i="13"/>
  <c r="L564" i="13"/>
  <c r="K564" i="13"/>
  <c r="J564" i="13"/>
  <c r="H564" i="13"/>
  <c r="G564" i="13"/>
  <c r="F564" i="13"/>
  <c r="I564" i="13" s="1"/>
  <c r="E564" i="13"/>
  <c r="R564" i="13" s="1"/>
  <c r="D564" i="13"/>
  <c r="C564" i="13"/>
  <c r="B564" i="13"/>
  <c r="Q562" i="13"/>
  <c r="M562" i="13"/>
  <c r="I562" i="13"/>
  <c r="E562" i="13"/>
  <c r="R562" i="13" s="1"/>
  <c r="Q561" i="13"/>
  <c r="M561" i="13"/>
  <c r="I561" i="13"/>
  <c r="E561" i="13"/>
  <c r="R561" i="13" s="1"/>
  <c r="Q558" i="13"/>
  <c r="P558" i="13"/>
  <c r="P582" i="13" s="1"/>
  <c r="P585" i="13" s="1"/>
  <c r="O558" i="13"/>
  <c r="O582" i="13" s="1"/>
  <c r="O585" i="13" s="1"/>
  <c r="N558" i="13"/>
  <c r="N582" i="13" s="1"/>
  <c r="L558" i="13"/>
  <c r="L582" i="13" s="1"/>
  <c r="L585" i="13" s="1"/>
  <c r="K558" i="13"/>
  <c r="J558" i="13"/>
  <c r="J582" i="13" s="1"/>
  <c r="I558" i="13"/>
  <c r="H558" i="13"/>
  <c r="H582" i="13" s="1"/>
  <c r="H585" i="13" s="1"/>
  <c r="G558" i="13"/>
  <c r="G582" i="13" s="1"/>
  <c r="G585" i="13" s="1"/>
  <c r="F558" i="13"/>
  <c r="F582" i="13" s="1"/>
  <c r="D558" i="13"/>
  <c r="D582" i="13" s="1"/>
  <c r="D585" i="13" s="1"/>
  <c r="C558" i="13"/>
  <c r="B558" i="13"/>
  <c r="B582" i="13" s="1"/>
  <c r="R554" i="13"/>
  <c r="Q554" i="13"/>
  <c r="M554" i="13"/>
  <c r="I554" i="13"/>
  <c r="E554" i="13"/>
  <c r="Q553" i="13"/>
  <c r="M553" i="13"/>
  <c r="I553" i="13"/>
  <c r="E553" i="13"/>
  <c r="R553" i="13" s="1"/>
  <c r="Q552" i="13"/>
  <c r="M552" i="13"/>
  <c r="I552" i="13"/>
  <c r="R552" i="13" s="1"/>
  <c r="E552" i="13"/>
  <c r="Q551" i="13"/>
  <c r="M551" i="13"/>
  <c r="R551" i="13" s="1"/>
  <c r="I551" i="13"/>
  <c r="E551" i="13"/>
  <c r="Q550" i="13"/>
  <c r="M550" i="13"/>
  <c r="I550" i="13"/>
  <c r="E550" i="13"/>
  <c r="R550" i="13" s="1"/>
  <c r="L540" i="13"/>
  <c r="Q538" i="13"/>
  <c r="M538" i="13"/>
  <c r="I538" i="13"/>
  <c r="E538" i="13"/>
  <c r="R538" i="13" s="1"/>
  <c r="J537" i="13"/>
  <c r="P536" i="13"/>
  <c r="O536" i="13"/>
  <c r="N536" i="13"/>
  <c r="Q536" i="13" s="1"/>
  <c r="L536" i="13"/>
  <c r="K536" i="13"/>
  <c r="J536" i="13"/>
  <c r="M536" i="13" s="1"/>
  <c r="H536" i="13"/>
  <c r="G536" i="13"/>
  <c r="F536" i="13"/>
  <c r="I536" i="13" s="1"/>
  <c r="D536" i="13"/>
  <c r="C536" i="13"/>
  <c r="B536" i="13"/>
  <c r="E536" i="13" s="1"/>
  <c r="R536" i="13" s="1"/>
  <c r="P535" i="13"/>
  <c r="O535" i="13"/>
  <c r="Q535" i="13" s="1"/>
  <c r="N535" i="13"/>
  <c r="L535" i="13"/>
  <c r="K535" i="13"/>
  <c r="J535" i="13"/>
  <c r="H535" i="13"/>
  <c r="G535" i="13"/>
  <c r="I535" i="13" s="1"/>
  <c r="F535" i="13"/>
  <c r="D535" i="13"/>
  <c r="C535" i="13"/>
  <c r="E535" i="13" s="1"/>
  <c r="B535" i="13"/>
  <c r="Q534" i="13"/>
  <c r="M534" i="13"/>
  <c r="I534" i="13"/>
  <c r="E534" i="13"/>
  <c r="R534" i="13" s="1"/>
  <c r="R533" i="13"/>
  <c r="Q533" i="13"/>
  <c r="M533" i="13"/>
  <c r="I533" i="13"/>
  <c r="E533" i="13"/>
  <c r="P527" i="13"/>
  <c r="O527" i="13"/>
  <c r="N527" i="13"/>
  <c r="Q527" i="13" s="1"/>
  <c r="L527" i="13"/>
  <c r="K527" i="13"/>
  <c r="J527" i="13"/>
  <c r="M527" i="13" s="1"/>
  <c r="H527" i="13"/>
  <c r="G527" i="13"/>
  <c r="F527" i="13"/>
  <c r="I527" i="13" s="1"/>
  <c r="D527" i="13"/>
  <c r="C527" i="13"/>
  <c r="B527" i="13"/>
  <c r="E527" i="13" s="1"/>
  <c r="Q526" i="13"/>
  <c r="M526" i="13"/>
  <c r="I526" i="13"/>
  <c r="E526" i="13"/>
  <c r="R525" i="13"/>
  <c r="Q525" i="13"/>
  <c r="M525" i="13"/>
  <c r="I525" i="13"/>
  <c r="E525" i="13"/>
  <c r="Q521" i="13"/>
  <c r="P521" i="13"/>
  <c r="O521" i="13"/>
  <c r="N521" i="13"/>
  <c r="L521" i="13"/>
  <c r="J521" i="13"/>
  <c r="G521" i="13"/>
  <c r="F521" i="13"/>
  <c r="D521" i="13"/>
  <c r="C521" i="13"/>
  <c r="B521" i="13"/>
  <c r="Q519" i="13"/>
  <c r="M519" i="13"/>
  <c r="K519" i="13"/>
  <c r="K521" i="13" s="1"/>
  <c r="J519" i="13"/>
  <c r="J871" i="13" s="1"/>
  <c r="H519" i="13"/>
  <c r="H521" i="13" s="1"/>
  <c r="I521" i="13" s="1"/>
  <c r="E519" i="13"/>
  <c r="P516" i="13"/>
  <c r="P537" i="13" s="1"/>
  <c r="P540" i="13" s="1"/>
  <c r="O516" i="13"/>
  <c r="O537" i="13" s="1"/>
  <c r="O540" i="13" s="1"/>
  <c r="N516" i="13"/>
  <c r="Q516" i="13" s="1"/>
  <c r="L516" i="13"/>
  <c r="L537" i="13" s="1"/>
  <c r="K516" i="13"/>
  <c r="K537" i="13" s="1"/>
  <c r="K540" i="13" s="1"/>
  <c r="J516" i="13"/>
  <c r="M516" i="13" s="1"/>
  <c r="H516" i="13"/>
  <c r="H537" i="13" s="1"/>
  <c r="H540" i="13" s="1"/>
  <c r="G516" i="13"/>
  <c r="G537" i="13" s="1"/>
  <c r="G540" i="13" s="1"/>
  <c r="F516" i="13"/>
  <c r="I516" i="13" s="1"/>
  <c r="D516" i="13"/>
  <c r="D537" i="13" s="1"/>
  <c r="D540" i="13" s="1"/>
  <c r="C516" i="13"/>
  <c r="C537" i="13" s="1"/>
  <c r="C540" i="13" s="1"/>
  <c r="B516" i="13"/>
  <c r="E516" i="13" s="1"/>
  <c r="R516" i="13" s="1"/>
  <c r="R513" i="13"/>
  <c r="Q513" i="13"/>
  <c r="M513" i="13"/>
  <c r="I513" i="13"/>
  <c r="E513" i="13"/>
  <c r="Q512" i="13"/>
  <c r="M512" i="13"/>
  <c r="I512" i="13"/>
  <c r="E512" i="13"/>
  <c r="Q510" i="13"/>
  <c r="M510" i="13"/>
  <c r="I510" i="13"/>
  <c r="E510" i="13"/>
  <c r="R510" i="13" s="1"/>
  <c r="Q509" i="13"/>
  <c r="M509" i="13"/>
  <c r="I509" i="13"/>
  <c r="R509" i="13" s="1"/>
  <c r="E509" i="13"/>
  <c r="Q508" i="13"/>
  <c r="M508" i="13"/>
  <c r="I508" i="13"/>
  <c r="E508" i="13"/>
  <c r="Q507" i="13"/>
  <c r="M507" i="13"/>
  <c r="I507" i="13"/>
  <c r="E507" i="13"/>
  <c r="R507" i="13" s="1"/>
  <c r="R506" i="13"/>
  <c r="Q506" i="13"/>
  <c r="M506" i="13"/>
  <c r="I506" i="13"/>
  <c r="E506" i="13"/>
  <c r="H490" i="13"/>
  <c r="Q488" i="13"/>
  <c r="M488" i="13"/>
  <c r="I488" i="13"/>
  <c r="E488" i="13"/>
  <c r="R488" i="13" s="1"/>
  <c r="Q487" i="13"/>
  <c r="M487" i="13"/>
  <c r="I487" i="13"/>
  <c r="E487" i="13"/>
  <c r="R487" i="13" s="1"/>
  <c r="Q486" i="13"/>
  <c r="M486" i="13"/>
  <c r="I486" i="13"/>
  <c r="R486" i="13" s="1"/>
  <c r="E486" i="13"/>
  <c r="P485" i="13"/>
  <c r="P490" i="13" s="1"/>
  <c r="Q484" i="13"/>
  <c r="P484" i="13"/>
  <c r="O484" i="13"/>
  <c r="N484" i="13"/>
  <c r="M484" i="13"/>
  <c r="L484" i="13"/>
  <c r="K484" i="13"/>
  <c r="J484" i="13"/>
  <c r="I484" i="13"/>
  <c r="H484" i="13"/>
  <c r="G484" i="13"/>
  <c r="F484" i="13"/>
  <c r="E484" i="13"/>
  <c r="D484" i="13"/>
  <c r="C484" i="13"/>
  <c r="B484" i="13"/>
  <c r="Q483" i="13"/>
  <c r="P483" i="13"/>
  <c r="O483" i="13"/>
  <c r="N483" i="13"/>
  <c r="L483" i="13"/>
  <c r="K483" i="13"/>
  <c r="J483" i="13"/>
  <c r="M483" i="13" s="1"/>
  <c r="I483" i="13"/>
  <c r="H483" i="13"/>
  <c r="G483" i="13"/>
  <c r="F483" i="13"/>
  <c r="D483" i="13"/>
  <c r="C483" i="13"/>
  <c r="B483" i="13"/>
  <c r="E483" i="13" s="1"/>
  <c r="R483" i="13" s="1"/>
  <c r="R482" i="13"/>
  <c r="Q482" i="13"/>
  <c r="M482" i="13"/>
  <c r="I482" i="13"/>
  <c r="E482" i="13"/>
  <c r="Q481" i="13"/>
  <c r="M481" i="13"/>
  <c r="I481" i="13"/>
  <c r="E481" i="13"/>
  <c r="R481" i="13" s="1"/>
  <c r="R480" i="13"/>
  <c r="Q480" i="13"/>
  <c r="M480" i="13"/>
  <c r="I480" i="13"/>
  <c r="E480" i="13"/>
  <c r="R479" i="13"/>
  <c r="Q479" i="13"/>
  <c r="M479" i="13"/>
  <c r="I479" i="13"/>
  <c r="E479" i="13"/>
  <c r="Q478" i="13"/>
  <c r="M478" i="13"/>
  <c r="I478" i="13"/>
  <c r="E478" i="13"/>
  <c r="R478" i="13" s="1"/>
  <c r="Q477" i="13"/>
  <c r="M477" i="13"/>
  <c r="I477" i="13"/>
  <c r="E477" i="13"/>
  <c r="R477" i="13" s="1"/>
  <c r="Q476" i="13"/>
  <c r="M476" i="13"/>
  <c r="I476" i="13"/>
  <c r="E476" i="13"/>
  <c r="R476" i="13" s="1"/>
  <c r="Q475" i="13"/>
  <c r="M475" i="13"/>
  <c r="I475" i="13"/>
  <c r="E475" i="13"/>
  <c r="R475" i="13" s="1"/>
  <c r="R474" i="13"/>
  <c r="Q474" i="13"/>
  <c r="M474" i="13"/>
  <c r="I474" i="13"/>
  <c r="E474" i="13"/>
  <c r="Q473" i="13"/>
  <c r="M473" i="13"/>
  <c r="I473" i="13"/>
  <c r="E473" i="13"/>
  <c r="Q471" i="13"/>
  <c r="M471" i="13"/>
  <c r="R471" i="13" s="1"/>
  <c r="I471" i="13"/>
  <c r="E471" i="13"/>
  <c r="R470" i="13"/>
  <c r="Q470" i="13"/>
  <c r="M470" i="13"/>
  <c r="I470" i="13"/>
  <c r="E470" i="13"/>
  <c r="Q469" i="13"/>
  <c r="M469" i="13"/>
  <c r="I469" i="13"/>
  <c r="E469" i="13"/>
  <c r="Q468" i="13"/>
  <c r="M468" i="13"/>
  <c r="I468" i="13"/>
  <c r="E468" i="13"/>
  <c r="R468" i="13" s="1"/>
  <c r="Q467" i="13"/>
  <c r="M467" i="13"/>
  <c r="I467" i="13"/>
  <c r="E467" i="13"/>
  <c r="R467" i="13" s="1"/>
  <c r="Q466" i="13"/>
  <c r="M466" i="13"/>
  <c r="I466" i="13"/>
  <c r="E466" i="13"/>
  <c r="R466" i="13" s="1"/>
  <c r="R464" i="13"/>
  <c r="Q464" i="13"/>
  <c r="M464" i="13"/>
  <c r="I464" i="13"/>
  <c r="E464" i="13"/>
  <c r="Q463" i="13"/>
  <c r="M463" i="13"/>
  <c r="I463" i="13"/>
  <c r="R463" i="13" s="1"/>
  <c r="E463" i="13"/>
  <c r="Q461" i="13"/>
  <c r="M461" i="13"/>
  <c r="I461" i="13"/>
  <c r="R461" i="13" s="1"/>
  <c r="E461" i="13"/>
  <c r="Q458" i="13"/>
  <c r="P458" i="13"/>
  <c r="O458" i="13"/>
  <c r="N458" i="13"/>
  <c r="J458" i="13"/>
  <c r="B458" i="13"/>
  <c r="Q457" i="13"/>
  <c r="L457" i="13"/>
  <c r="K457" i="13"/>
  <c r="M457" i="13" s="1"/>
  <c r="J457" i="13"/>
  <c r="H457" i="13"/>
  <c r="G457" i="13"/>
  <c r="F457" i="13"/>
  <c r="I457" i="13" s="1"/>
  <c r="D457" i="13"/>
  <c r="C457" i="13"/>
  <c r="E457" i="13" s="1"/>
  <c r="B457" i="13"/>
  <c r="Q456" i="13"/>
  <c r="M456" i="13"/>
  <c r="I456" i="13"/>
  <c r="E456" i="13"/>
  <c r="R456" i="13" s="1"/>
  <c r="Q455" i="13"/>
  <c r="M455" i="13"/>
  <c r="I455" i="13"/>
  <c r="E455" i="13"/>
  <c r="R455" i="13" s="1"/>
  <c r="R454" i="13"/>
  <c r="Q454" i="13"/>
  <c r="M454" i="13"/>
  <c r="I454" i="13"/>
  <c r="E454" i="13"/>
  <c r="Q453" i="13"/>
  <c r="M453" i="13"/>
  <c r="I453" i="13"/>
  <c r="E453" i="13"/>
  <c r="Q452" i="13"/>
  <c r="M452" i="13"/>
  <c r="I452" i="13"/>
  <c r="E452" i="13"/>
  <c r="R452" i="13" s="1"/>
  <c r="R451" i="13"/>
  <c r="Q451" i="13"/>
  <c r="M451" i="13"/>
  <c r="I451" i="13"/>
  <c r="E451" i="13"/>
  <c r="Q450" i="13"/>
  <c r="M450" i="13"/>
  <c r="I450" i="13"/>
  <c r="E450" i="13"/>
  <c r="R449" i="13"/>
  <c r="Q449" i="13"/>
  <c r="M449" i="13"/>
  <c r="I449" i="13"/>
  <c r="E449" i="13"/>
  <c r="Q448" i="13"/>
  <c r="M448" i="13"/>
  <c r="I448" i="13"/>
  <c r="E448" i="13"/>
  <c r="Q447" i="13"/>
  <c r="M447" i="13"/>
  <c r="I447" i="13"/>
  <c r="E447" i="13"/>
  <c r="R447" i="13" s="1"/>
  <c r="R446" i="13"/>
  <c r="Q446" i="13"/>
  <c r="M446" i="13"/>
  <c r="I446" i="13"/>
  <c r="E446" i="13"/>
  <c r="Q445" i="13"/>
  <c r="M445" i="13"/>
  <c r="I445" i="13"/>
  <c r="E445" i="13"/>
  <c r="Q444" i="13"/>
  <c r="M444" i="13"/>
  <c r="I444" i="13"/>
  <c r="E444" i="13"/>
  <c r="R444" i="13" s="1"/>
  <c r="R443" i="13"/>
  <c r="Q443" i="13"/>
  <c r="M443" i="13"/>
  <c r="I443" i="13"/>
  <c r="E443" i="13"/>
  <c r="Q442" i="13"/>
  <c r="M442" i="13"/>
  <c r="I442" i="13"/>
  <c r="E442" i="13"/>
  <c r="R441" i="13"/>
  <c r="Q441" i="13"/>
  <c r="M441" i="13"/>
  <c r="I441" i="13"/>
  <c r="E441" i="13"/>
  <c r="Q440" i="13"/>
  <c r="M440" i="13"/>
  <c r="I440" i="13"/>
  <c r="E440" i="13"/>
  <c r="R440" i="13" s="1"/>
  <c r="Q439" i="13"/>
  <c r="M439" i="13"/>
  <c r="I439" i="13"/>
  <c r="E439" i="13"/>
  <c r="R439" i="13" s="1"/>
  <c r="R438" i="13"/>
  <c r="Q438" i="13"/>
  <c r="M438" i="13"/>
  <c r="I438" i="13"/>
  <c r="E438" i="13"/>
  <c r="Q437" i="13"/>
  <c r="M437" i="13"/>
  <c r="I437" i="13"/>
  <c r="E437" i="13"/>
  <c r="Q436" i="13"/>
  <c r="M436" i="13"/>
  <c r="I436" i="13"/>
  <c r="E436" i="13"/>
  <c r="R436" i="13" s="1"/>
  <c r="R435" i="13"/>
  <c r="Q435" i="13"/>
  <c r="M435" i="13"/>
  <c r="I435" i="13"/>
  <c r="E435" i="13"/>
  <c r="Q434" i="13"/>
  <c r="M434" i="13"/>
  <c r="I434" i="13"/>
  <c r="E434" i="13"/>
  <c r="R434" i="13" s="1"/>
  <c r="R433" i="13"/>
  <c r="Q433" i="13"/>
  <c r="M433" i="13"/>
  <c r="I433" i="13"/>
  <c r="E433" i="13"/>
  <c r="Q432" i="13"/>
  <c r="M432" i="13"/>
  <c r="I432" i="13"/>
  <c r="E432" i="13"/>
  <c r="R432" i="13" s="1"/>
  <c r="Q431" i="13"/>
  <c r="M431" i="13"/>
  <c r="I431" i="13"/>
  <c r="E431" i="13"/>
  <c r="R431" i="13" s="1"/>
  <c r="R430" i="13"/>
  <c r="Q430" i="13"/>
  <c r="M430" i="13"/>
  <c r="I430" i="13"/>
  <c r="E430" i="13"/>
  <c r="Q429" i="13"/>
  <c r="M429" i="13"/>
  <c r="I429" i="13"/>
  <c r="E429" i="13"/>
  <c r="Q428" i="13"/>
  <c r="M428" i="13"/>
  <c r="I428" i="13"/>
  <c r="E428" i="13"/>
  <c r="R428" i="13" s="1"/>
  <c r="R427" i="13"/>
  <c r="Q427" i="13"/>
  <c r="M427" i="13"/>
  <c r="I427" i="13"/>
  <c r="E427" i="13"/>
  <c r="Q426" i="13"/>
  <c r="M426" i="13"/>
  <c r="I426" i="13"/>
  <c r="E426" i="13"/>
  <c r="Q425" i="13"/>
  <c r="M425" i="13"/>
  <c r="I425" i="13"/>
  <c r="E425" i="13"/>
  <c r="R425" i="13" s="1"/>
  <c r="Q424" i="13"/>
  <c r="M424" i="13"/>
  <c r="I424" i="13"/>
  <c r="E424" i="13"/>
  <c r="Q423" i="13"/>
  <c r="M423" i="13"/>
  <c r="I423" i="13"/>
  <c r="E423" i="13"/>
  <c r="R423" i="13" s="1"/>
  <c r="R422" i="13"/>
  <c r="Q422" i="13"/>
  <c r="M422" i="13"/>
  <c r="I422" i="13"/>
  <c r="E422" i="13"/>
  <c r="Q421" i="13"/>
  <c r="M421" i="13"/>
  <c r="J421" i="13"/>
  <c r="H421" i="13"/>
  <c r="G421" i="13"/>
  <c r="F421" i="13"/>
  <c r="I421" i="13" s="1"/>
  <c r="D421" i="13"/>
  <c r="C421" i="13"/>
  <c r="E421" i="13" s="1"/>
  <c r="R421" i="13" s="1"/>
  <c r="R420" i="13"/>
  <c r="Q420" i="13"/>
  <c r="M420" i="13"/>
  <c r="I420" i="13"/>
  <c r="E420" i="13"/>
  <c r="Q419" i="13"/>
  <c r="M419" i="13"/>
  <c r="I419" i="13"/>
  <c r="E419" i="13"/>
  <c r="Q418" i="13"/>
  <c r="M418" i="13"/>
  <c r="L418" i="13"/>
  <c r="I418" i="13"/>
  <c r="E418" i="13"/>
  <c r="R418" i="13" s="1"/>
  <c r="R417" i="13"/>
  <c r="Q417" i="13"/>
  <c r="M417" i="13"/>
  <c r="I417" i="13"/>
  <c r="E417" i="13"/>
  <c r="Q416" i="13"/>
  <c r="M416" i="13"/>
  <c r="L416" i="13"/>
  <c r="K416" i="13"/>
  <c r="J416" i="13"/>
  <c r="H416" i="13"/>
  <c r="H876" i="13" s="1"/>
  <c r="G416" i="13"/>
  <c r="F416" i="13"/>
  <c r="I416" i="13" s="1"/>
  <c r="E416" i="13"/>
  <c r="D416" i="13"/>
  <c r="C416" i="13"/>
  <c r="Q415" i="13"/>
  <c r="M415" i="13"/>
  <c r="I415" i="13"/>
  <c r="E415" i="13"/>
  <c r="R415" i="13" s="1"/>
  <c r="R414" i="13"/>
  <c r="Q414" i="13"/>
  <c r="M414" i="13"/>
  <c r="I414" i="13"/>
  <c r="E414" i="13"/>
  <c r="Q413" i="13"/>
  <c r="M413" i="13"/>
  <c r="I413" i="13"/>
  <c r="E413" i="13"/>
  <c r="Q412" i="13"/>
  <c r="M412" i="13"/>
  <c r="I412" i="13"/>
  <c r="E412" i="13"/>
  <c r="R412" i="13" s="1"/>
  <c r="Q411" i="13"/>
  <c r="M411" i="13"/>
  <c r="I411" i="13"/>
  <c r="E411" i="13"/>
  <c r="Q410" i="13"/>
  <c r="M410" i="13"/>
  <c r="I410" i="13"/>
  <c r="E410" i="13"/>
  <c r="R410" i="13" s="1"/>
  <c r="R409" i="13"/>
  <c r="Q409" i="13"/>
  <c r="M409" i="13"/>
  <c r="I409" i="13"/>
  <c r="E409" i="13"/>
  <c r="Q408" i="13"/>
  <c r="M408" i="13"/>
  <c r="I408" i="13"/>
  <c r="E408" i="13"/>
  <c r="R408" i="13" s="1"/>
  <c r="Q407" i="13"/>
  <c r="M407" i="13"/>
  <c r="I407" i="13"/>
  <c r="E407" i="13"/>
  <c r="R407" i="13" s="1"/>
  <c r="R406" i="13"/>
  <c r="Q406" i="13"/>
  <c r="M406" i="13"/>
  <c r="I406" i="13"/>
  <c r="E406" i="13"/>
  <c r="Q404" i="13"/>
  <c r="L404" i="13"/>
  <c r="K404" i="13"/>
  <c r="K875" i="13" s="1"/>
  <c r="J404" i="13"/>
  <c r="J875" i="13" s="1"/>
  <c r="H404" i="13"/>
  <c r="H458" i="13" s="1"/>
  <c r="H485" i="13" s="1"/>
  <c r="G404" i="13"/>
  <c r="G875" i="13" s="1"/>
  <c r="G877" i="13" s="1"/>
  <c r="G906" i="13" s="1"/>
  <c r="F404" i="13"/>
  <c r="F875" i="13" s="1"/>
  <c r="D404" i="13"/>
  <c r="C404" i="13"/>
  <c r="C875" i="13" s="1"/>
  <c r="B404" i="13"/>
  <c r="B875" i="13" s="1"/>
  <c r="Q403" i="13"/>
  <c r="M403" i="13"/>
  <c r="I403" i="13"/>
  <c r="E403" i="13"/>
  <c r="R403" i="13" s="1"/>
  <c r="R400" i="13"/>
  <c r="Q400" i="13"/>
  <c r="P400" i="13"/>
  <c r="O400" i="13"/>
  <c r="N400" i="13"/>
  <c r="L400" i="13"/>
  <c r="K400" i="13"/>
  <c r="J400" i="13"/>
  <c r="M400" i="13" s="1"/>
  <c r="I400" i="13"/>
  <c r="H400" i="13"/>
  <c r="G400" i="13"/>
  <c r="F400" i="13"/>
  <c r="D400" i="13"/>
  <c r="C400" i="13"/>
  <c r="B400" i="13"/>
  <c r="E400" i="13" s="1"/>
  <c r="R398" i="13"/>
  <c r="Q398" i="13"/>
  <c r="M398" i="13"/>
  <c r="L398" i="13"/>
  <c r="I398" i="13"/>
  <c r="E398" i="13"/>
  <c r="Q397" i="13"/>
  <c r="M397" i="13"/>
  <c r="I397" i="13"/>
  <c r="E397" i="13"/>
  <c r="Q396" i="13"/>
  <c r="M396" i="13"/>
  <c r="I396" i="13"/>
  <c r="E396" i="13"/>
  <c r="R396" i="13" s="1"/>
  <c r="R395" i="13"/>
  <c r="Q395" i="13"/>
  <c r="M395" i="13"/>
  <c r="I395" i="13"/>
  <c r="E395" i="13"/>
  <c r="AK394" i="13"/>
  <c r="AJ394" i="13"/>
  <c r="AI394" i="13"/>
  <c r="AG394" i="13"/>
  <c r="AF394" i="13"/>
  <c r="AE394" i="13"/>
  <c r="AH394" i="13" s="1"/>
  <c r="AC394" i="13"/>
  <c r="Y394" i="13"/>
  <c r="X394" i="13"/>
  <c r="W394" i="13"/>
  <c r="Z394" i="13" s="1"/>
  <c r="Q394" i="13"/>
  <c r="M394" i="13"/>
  <c r="R394" i="13" s="1"/>
  <c r="I394" i="13"/>
  <c r="E394" i="13"/>
  <c r="AK393" i="13"/>
  <c r="AJ393" i="13"/>
  <c r="AI393" i="13"/>
  <c r="AL393" i="13" s="1"/>
  <c r="AH393" i="13"/>
  <c r="AG393" i="13"/>
  <c r="AF393" i="13"/>
  <c r="AE393" i="13"/>
  <c r="AA393" i="13"/>
  <c r="Z393" i="13"/>
  <c r="Y393" i="13"/>
  <c r="X393" i="13"/>
  <c r="W393" i="13"/>
  <c r="Q393" i="13"/>
  <c r="M393" i="13"/>
  <c r="I393" i="13"/>
  <c r="E393" i="13"/>
  <c r="AK392" i="13"/>
  <c r="AJ392" i="13"/>
  <c r="AI392" i="13"/>
  <c r="AL392" i="13" s="1"/>
  <c r="AG392" i="13"/>
  <c r="AF392" i="13"/>
  <c r="AH392" i="13" s="1"/>
  <c r="AE392" i="13"/>
  <c r="Y392" i="13"/>
  <c r="X392" i="13"/>
  <c r="W392" i="13"/>
  <c r="Q392" i="13"/>
  <c r="M392" i="13"/>
  <c r="I392" i="13"/>
  <c r="E392" i="13"/>
  <c r="R392" i="13" s="1"/>
  <c r="AL391" i="13"/>
  <c r="AL394" i="13" s="1"/>
  <c r="AH391" i="13"/>
  <c r="AC391" i="13"/>
  <c r="AC392" i="13" s="1"/>
  <c r="AB391" i="13"/>
  <c r="AB394" i="13" s="1"/>
  <c r="AA391" i="13"/>
  <c r="AA394" i="13" s="1"/>
  <c r="Z391" i="13"/>
  <c r="R391" i="13"/>
  <c r="Q391" i="13"/>
  <c r="M391" i="13"/>
  <c r="I391" i="13"/>
  <c r="E391" i="13"/>
  <c r="Q390" i="13"/>
  <c r="M390" i="13"/>
  <c r="I390" i="13"/>
  <c r="E390" i="13"/>
  <c r="R390" i="13" s="1"/>
  <c r="W389" i="13"/>
  <c r="P386" i="13"/>
  <c r="Q384" i="13"/>
  <c r="M384" i="13"/>
  <c r="I384" i="13"/>
  <c r="E384" i="13"/>
  <c r="R384" i="13" s="1"/>
  <c r="Q383" i="13"/>
  <c r="M383" i="13"/>
  <c r="H383" i="13"/>
  <c r="H864" i="13" s="1"/>
  <c r="I864" i="13" s="1"/>
  <c r="E383" i="13"/>
  <c r="Q382" i="13"/>
  <c r="M382" i="13"/>
  <c r="I382" i="13"/>
  <c r="E382" i="13"/>
  <c r="R382" i="13" s="1"/>
  <c r="Q381" i="13"/>
  <c r="M381" i="13"/>
  <c r="I381" i="13"/>
  <c r="E381" i="13"/>
  <c r="R381" i="13" s="1"/>
  <c r="R379" i="13"/>
  <c r="Q379" i="13"/>
  <c r="M379" i="13"/>
  <c r="I379" i="13"/>
  <c r="E379" i="13"/>
  <c r="Q378" i="13"/>
  <c r="M378" i="13"/>
  <c r="I378" i="13"/>
  <c r="E378" i="13"/>
  <c r="Q377" i="13"/>
  <c r="M377" i="13"/>
  <c r="I377" i="13"/>
  <c r="E377" i="13"/>
  <c r="R377" i="13" s="1"/>
  <c r="R376" i="13"/>
  <c r="Q376" i="13"/>
  <c r="M376" i="13"/>
  <c r="I376" i="13"/>
  <c r="E376" i="13"/>
  <c r="Q375" i="13"/>
  <c r="M375" i="13"/>
  <c r="I375" i="13"/>
  <c r="E375" i="13"/>
  <c r="Q374" i="13"/>
  <c r="M374" i="13"/>
  <c r="I374" i="13"/>
  <c r="R374" i="13" s="1"/>
  <c r="E374" i="13"/>
  <c r="Q373" i="13"/>
  <c r="M373" i="13"/>
  <c r="I373" i="13"/>
  <c r="E373" i="13"/>
  <c r="R373" i="13" s="1"/>
  <c r="Q372" i="13"/>
  <c r="M372" i="13"/>
  <c r="I372" i="13"/>
  <c r="E372" i="13"/>
  <c r="R372" i="13" s="1"/>
  <c r="R371" i="13"/>
  <c r="Q371" i="13"/>
  <c r="M371" i="13"/>
  <c r="I371" i="13"/>
  <c r="E371" i="13"/>
  <c r="Q370" i="13"/>
  <c r="M370" i="13"/>
  <c r="I370" i="13"/>
  <c r="E370" i="13"/>
  <c r="R370" i="13" s="1"/>
  <c r="Q369" i="13"/>
  <c r="M369" i="13"/>
  <c r="I369" i="13"/>
  <c r="E369" i="13"/>
  <c r="R369" i="13" s="1"/>
  <c r="R367" i="13"/>
  <c r="Q367" i="13"/>
  <c r="M367" i="13"/>
  <c r="I367" i="13"/>
  <c r="E367" i="13"/>
  <c r="Q366" i="13"/>
  <c r="M366" i="13"/>
  <c r="I366" i="13"/>
  <c r="E366" i="13"/>
  <c r="R366" i="13" s="1"/>
  <c r="Q365" i="13"/>
  <c r="M365" i="13"/>
  <c r="I365" i="13"/>
  <c r="E365" i="13"/>
  <c r="R365" i="13" s="1"/>
  <c r="R364" i="13"/>
  <c r="Q364" i="13"/>
  <c r="M364" i="13"/>
  <c r="I364" i="13"/>
  <c r="E364" i="13"/>
  <c r="Q363" i="13"/>
  <c r="M363" i="13"/>
  <c r="I363" i="13"/>
  <c r="E363" i="13"/>
  <c r="R363" i="13" s="1"/>
  <c r="Q362" i="13"/>
  <c r="M362" i="13"/>
  <c r="I362" i="13"/>
  <c r="R362" i="13" s="1"/>
  <c r="E362" i="13"/>
  <c r="Q361" i="13"/>
  <c r="M361" i="13"/>
  <c r="I361" i="13"/>
  <c r="E361" i="13"/>
  <c r="R361" i="13" s="1"/>
  <c r="D361" i="13"/>
  <c r="C361" i="13"/>
  <c r="B361" i="13"/>
  <c r="Q360" i="13"/>
  <c r="M360" i="13"/>
  <c r="I360" i="13"/>
  <c r="E360" i="13"/>
  <c r="R360" i="13" s="1"/>
  <c r="Q359" i="13"/>
  <c r="M359" i="13"/>
  <c r="I359" i="13"/>
  <c r="E359" i="13"/>
  <c r="R359" i="13" s="1"/>
  <c r="R358" i="13"/>
  <c r="Q358" i="13"/>
  <c r="M358" i="13"/>
  <c r="L358" i="13"/>
  <c r="I358" i="13"/>
  <c r="E358" i="13"/>
  <c r="Q357" i="13"/>
  <c r="N357" i="13"/>
  <c r="M357" i="13"/>
  <c r="L357" i="13"/>
  <c r="K357" i="13"/>
  <c r="J357" i="13"/>
  <c r="H357" i="13"/>
  <c r="G357" i="13"/>
  <c r="F357" i="13"/>
  <c r="E357" i="13"/>
  <c r="R356" i="13"/>
  <c r="Q356" i="13"/>
  <c r="M356" i="13"/>
  <c r="I356" i="13"/>
  <c r="E356" i="13"/>
  <c r="R355" i="13"/>
  <c r="Q355" i="13"/>
  <c r="M355" i="13"/>
  <c r="I355" i="13"/>
  <c r="E355" i="13"/>
  <c r="Q354" i="13"/>
  <c r="M354" i="13"/>
  <c r="I354" i="13"/>
  <c r="E354" i="13"/>
  <c r="R353" i="13"/>
  <c r="Q353" i="13"/>
  <c r="M353" i="13"/>
  <c r="I353" i="13"/>
  <c r="E353" i="13"/>
  <c r="Q352" i="13"/>
  <c r="M352" i="13"/>
  <c r="I352" i="13"/>
  <c r="E352" i="13"/>
  <c r="Q351" i="13"/>
  <c r="M351" i="13"/>
  <c r="I351" i="13"/>
  <c r="E351" i="13"/>
  <c r="R351" i="13" s="1"/>
  <c r="Q350" i="13"/>
  <c r="M350" i="13"/>
  <c r="I350" i="13"/>
  <c r="C350" i="13"/>
  <c r="E350" i="13" s="1"/>
  <c r="R350" i="13" s="1"/>
  <c r="Q349" i="13"/>
  <c r="M349" i="13"/>
  <c r="I349" i="13"/>
  <c r="E349" i="13"/>
  <c r="Q348" i="13"/>
  <c r="M348" i="13"/>
  <c r="I348" i="13"/>
  <c r="E348" i="13"/>
  <c r="R348" i="13" s="1"/>
  <c r="R347" i="13"/>
  <c r="Q347" i="13"/>
  <c r="M347" i="13"/>
  <c r="I347" i="13"/>
  <c r="E347" i="13"/>
  <c r="Q346" i="13"/>
  <c r="M346" i="13"/>
  <c r="I346" i="13"/>
  <c r="E346" i="13"/>
  <c r="R346" i="13" s="1"/>
  <c r="R345" i="13"/>
  <c r="Q345" i="13"/>
  <c r="M345" i="13"/>
  <c r="I345" i="13"/>
  <c r="E345" i="13"/>
  <c r="R344" i="13"/>
  <c r="Q344" i="13"/>
  <c r="M344" i="13"/>
  <c r="I344" i="13"/>
  <c r="E344" i="13"/>
  <c r="O343" i="13"/>
  <c r="N343" i="13"/>
  <c r="Q343" i="13" s="1"/>
  <c r="M343" i="13"/>
  <c r="L343" i="13"/>
  <c r="K343" i="13"/>
  <c r="J343" i="13"/>
  <c r="J386" i="13" s="1"/>
  <c r="H343" i="13"/>
  <c r="H386" i="13" s="1"/>
  <c r="G343" i="13"/>
  <c r="F343" i="13"/>
  <c r="E343" i="13"/>
  <c r="D343" i="13"/>
  <c r="D386" i="13" s="1"/>
  <c r="E386" i="13" s="1"/>
  <c r="C343" i="13"/>
  <c r="C386" i="13" s="1"/>
  <c r="B343" i="13"/>
  <c r="B386" i="13" s="1"/>
  <c r="Q342" i="13"/>
  <c r="M342" i="13"/>
  <c r="I342" i="13"/>
  <c r="E342" i="13"/>
  <c r="R341" i="13"/>
  <c r="Q341" i="13"/>
  <c r="M341" i="13"/>
  <c r="I341" i="13"/>
  <c r="E341" i="13"/>
  <c r="Q340" i="13"/>
  <c r="M340" i="13"/>
  <c r="I340" i="13"/>
  <c r="E340" i="13"/>
  <c r="R340" i="13" s="1"/>
  <c r="Q339" i="13"/>
  <c r="M339" i="13"/>
  <c r="I339" i="13"/>
  <c r="E339" i="13"/>
  <c r="R339" i="13" s="1"/>
  <c r="R338" i="13"/>
  <c r="Q338" i="13"/>
  <c r="M338" i="13"/>
  <c r="I338" i="13"/>
  <c r="E338" i="13"/>
  <c r="Q337" i="13"/>
  <c r="M337" i="13"/>
  <c r="I337" i="13"/>
  <c r="E337" i="13"/>
  <c r="R336" i="13"/>
  <c r="Q336" i="13"/>
  <c r="M336" i="13"/>
  <c r="I336" i="13"/>
  <c r="E336" i="13"/>
  <c r="Q335" i="13"/>
  <c r="O335" i="13"/>
  <c r="O386" i="13" s="1"/>
  <c r="O485" i="13" s="1"/>
  <c r="O490" i="13" s="1"/>
  <c r="N335" i="13"/>
  <c r="N386" i="13" s="1"/>
  <c r="L335" i="13"/>
  <c r="L386" i="13" s="1"/>
  <c r="K335" i="13"/>
  <c r="K386" i="13" s="1"/>
  <c r="I335" i="13"/>
  <c r="E335" i="13"/>
  <c r="P327" i="13"/>
  <c r="O327" i="13"/>
  <c r="N327" i="13"/>
  <c r="L327" i="13"/>
  <c r="M327" i="13" s="1"/>
  <c r="K327" i="13"/>
  <c r="J327" i="13"/>
  <c r="H327" i="13"/>
  <c r="G327" i="13"/>
  <c r="F327" i="13"/>
  <c r="D327" i="13"/>
  <c r="C327" i="13"/>
  <c r="B327" i="13"/>
  <c r="Q325" i="13"/>
  <c r="M325" i="13"/>
  <c r="I325" i="13"/>
  <c r="E325" i="13"/>
  <c r="R314" i="13"/>
  <c r="Q314" i="13"/>
  <c r="M314" i="13"/>
  <c r="I314" i="13"/>
  <c r="E314" i="13"/>
  <c r="Q313" i="13"/>
  <c r="M313" i="13"/>
  <c r="I313" i="13"/>
  <c r="E313" i="13"/>
  <c r="R312" i="13"/>
  <c r="Q312" i="13"/>
  <c r="M312" i="13"/>
  <c r="I312" i="13"/>
  <c r="E312" i="13"/>
  <c r="R311" i="13"/>
  <c r="Q311" i="13"/>
  <c r="M311" i="13"/>
  <c r="I311" i="13"/>
  <c r="E311" i="13"/>
  <c r="Q310" i="13"/>
  <c r="M310" i="13"/>
  <c r="I310" i="13"/>
  <c r="E310" i="13"/>
  <c r="Q309" i="13"/>
  <c r="R309" i="13" s="1"/>
  <c r="M309" i="13"/>
  <c r="I309" i="13"/>
  <c r="E309" i="13"/>
  <c r="Q307" i="13"/>
  <c r="P307" i="13"/>
  <c r="O307" i="13"/>
  <c r="N307" i="13"/>
  <c r="L307" i="13"/>
  <c r="K307" i="13"/>
  <c r="J307" i="13"/>
  <c r="M307" i="13" s="1"/>
  <c r="R307" i="13" s="1"/>
  <c r="I307" i="13"/>
  <c r="H307" i="13"/>
  <c r="G307" i="13"/>
  <c r="F307" i="13"/>
  <c r="D307" i="13"/>
  <c r="C307" i="13"/>
  <c r="B307" i="13"/>
  <c r="E307" i="13" s="1"/>
  <c r="P306" i="13"/>
  <c r="Q306" i="13" s="1"/>
  <c r="O306" i="13"/>
  <c r="N306" i="13"/>
  <c r="L306" i="13"/>
  <c r="K306" i="13"/>
  <c r="J306" i="13"/>
  <c r="H306" i="13"/>
  <c r="I306" i="13" s="1"/>
  <c r="G306" i="13"/>
  <c r="F306" i="13"/>
  <c r="D306" i="13"/>
  <c r="C306" i="13"/>
  <c r="B306" i="13"/>
  <c r="E306" i="13" s="1"/>
  <c r="Q305" i="13"/>
  <c r="R305" i="13" s="1"/>
  <c r="M305" i="13"/>
  <c r="I305" i="13"/>
  <c r="E305" i="13"/>
  <c r="Q303" i="13"/>
  <c r="M303" i="13"/>
  <c r="I303" i="13"/>
  <c r="E303" i="13"/>
  <c r="Q301" i="13"/>
  <c r="M301" i="13"/>
  <c r="I301" i="13"/>
  <c r="E301" i="13"/>
  <c r="R301" i="13" s="1"/>
  <c r="R300" i="13"/>
  <c r="Q300" i="13"/>
  <c r="M300" i="13"/>
  <c r="I300" i="13"/>
  <c r="E300" i="13"/>
  <c r="Q299" i="13"/>
  <c r="M299" i="13"/>
  <c r="I299" i="13"/>
  <c r="E299" i="13"/>
  <c r="R299" i="13" s="1"/>
  <c r="R298" i="13"/>
  <c r="Q298" i="13"/>
  <c r="M298" i="13"/>
  <c r="I298" i="13"/>
  <c r="E298" i="13"/>
  <c r="R297" i="13"/>
  <c r="Q297" i="13"/>
  <c r="M297" i="13"/>
  <c r="I297" i="13"/>
  <c r="E297" i="13"/>
  <c r="Q296" i="13"/>
  <c r="M296" i="13"/>
  <c r="I296" i="13"/>
  <c r="E296" i="13"/>
  <c r="R295" i="13"/>
  <c r="Q295" i="13"/>
  <c r="M295" i="13"/>
  <c r="I295" i="13"/>
  <c r="E295" i="13"/>
  <c r="R294" i="13"/>
  <c r="Q294" i="13"/>
  <c r="M294" i="13"/>
  <c r="I294" i="13"/>
  <c r="E294" i="13"/>
  <c r="Q292" i="13"/>
  <c r="M292" i="13"/>
  <c r="I292" i="13"/>
  <c r="E292" i="13"/>
  <c r="R291" i="13"/>
  <c r="Q291" i="13"/>
  <c r="M291" i="13"/>
  <c r="I291" i="13"/>
  <c r="E291" i="13"/>
  <c r="Q290" i="13"/>
  <c r="M290" i="13"/>
  <c r="I290" i="13"/>
  <c r="E290" i="13"/>
  <c r="R290" i="13" s="1"/>
  <c r="P287" i="13"/>
  <c r="O287" i="13"/>
  <c r="N287" i="13"/>
  <c r="Q287" i="13" s="1"/>
  <c r="H287" i="13"/>
  <c r="G287" i="13"/>
  <c r="F287" i="13"/>
  <c r="I287" i="13" s="1"/>
  <c r="Q286" i="13"/>
  <c r="M286" i="13"/>
  <c r="I286" i="13"/>
  <c r="E286" i="13"/>
  <c r="R286" i="13" s="1"/>
  <c r="R285" i="13"/>
  <c r="Q285" i="13"/>
  <c r="M285" i="13"/>
  <c r="I285" i="13"/>
  <c r="E285" i="13"/>
  <c r="Q284" i="13"/>
  <c r="M284" i="13"/>
  <c r="I284" i="13"/>
  <c r="E284" i="13"/>
  <c r="R284" i="13" s="1"/>
  <c r="Q283" i="13"/>
  <c r="M283" i="13"/>
  <c r="I283" i="13"/>
  <c r="E283" i="13"/>
  <c r="R283" i="13" s="1"/>
  <c r="Q282" i="13"/>
  <c r="R282" i="13" s="1"/>
  <c r="M282" i="13"/>
  <c r="I282" i="13"/>
  <c r="E282" i="13"/>
  <c r="Q281" i="13"/>
  <c r="M281" i="13"/>
  <c r="I281" i="13"/>
  <c r="E281" i="13"/>
  <c r="R281" i="13" s="1"/>
  <c r="R280" i="13"/>
  <c r="Q280" i="13"/>
  <c r="M280" i="13"/>
  <c r="I280" i="13"/>
  <c r="E280" i="13"/>
  <c r="R279" i="13"/>
  <c r="Q279" i="13"/>
  <c r="M279" i="13"/>
  <c r="I279" i="13"/>
  <c r="E279" i="13"/>
  <c r="Q278" i="13"/>
  <c r="J278" i="13"/>
  <c r="M278" i="13" s="1"/>
  <c r="I278" i="13"/>
  <c r="E278" i="13"/>
  <c r="R277" i="13"/>
  <c r="Q277" i="13"/>
  <c r="M277" i="13"/>
  <c r="I277" i="13"/>
  <c r="E277" i="13"/>
  <c r="R276" i="13"/>
  <c r="Q276" i="13"/>
  <c r="M276" i="13"/>
  <c r="I276" i="13"/>
  <c r="E276" i="13"/>
  <c r="Q275" i="13"/>
  <c r="M275" i="13"/>
  <c r="I275" i="13"/>
  <c r="E275" i="13"/>
  <c r="R275" i="13" s="1"/>
  <c r="R274" i="13"/>
  <c r="Q274" i="13"/>
  <c r="M274" i="13"/>
  <c r="I274" i="13"/>
  <c r="E274" i="13"/>
  <c r="Q273" i="13"/>
  <c r="M273" i="13"/>
  <c r="I273" i="13"/>
  <c r="E273" i="13"/>
  <c r="R273" i="13" s="1"/>
  <c r="Q272" i="13"/>
  <c r="M272" i="13"/>
  <c r="I272" i="13"/>
  <c r="E272" i="13"/>
  <c r="R272" i="13" s="1"/>
  <c r="Q271" i="13"/>
  <c r="R271" i="13" s="1"/>
  <c r="M271" i="13"/>
  <c r="I271" i="13"/>
  <c r="E271" i="13"/>
  <c r="Q270" i="13"/>
  <c r="M270" i="13"/>
  <c r="I270" i="13"/>
  <c r="E270" i="13"/>
  <c r="Q269" i="13"/>
  <c r="K269" i="13"/>
  <c r="M269" i="13" s="1"/>
  <c r="I269" i="13"/>
  <c r="E269" i="13"/>
  <c r="R269" i="13" s="1"/>
  <c r="R268" i="13"/>
  <c r="Q268" i="13"/>
  <c r="M268" i="13"/>
  <c r="I268" i="13"/>
  <c r="E268" i="13"/>
  <c r="Q267" i="13"/>
  <c r="M267" i="13"/>
  <c r="I267" i="13"/>
  <c r="E267" i="13"/>
  <c r="R266" i="13"/>
  <c r="Q266" i="13"/>
  <c r="M266" i="13"/>
  <c r="I266" i="13"/>
  <c r="E266" i="13"/>
  <c r="R265" i="13"/>
  <c r="Q265" i="13"/>
  <c r="M265" i="13"/>
  <c r="I265" i="13"/>
  <c r="E265" i="13"/>
  <c r="Q264" i="13"/>
  <c r="M264" i="13"/>
  <c r="I264" i="13"/>
  <c r="E264" i="13"/>
  <c r="R264" i="13" s="1"/>
  <c r="R263" i="13"/>
  <c r="Q263" i="13"/>
  <c r="M263" i="13"/>
  <c r="I263" i="13"/>
  <c r="E263" i="13"/>
  <c r="Q262" i="13"/>
  <c r="M262" i="13"/>
  <c r="I262" i="13"/>
  <c r="E262" i="13"/>
  <c r="R262" i="13" s="1"/>
  <c r="Q261" i="13"/>
  <c r="L261" i="13"/>
  <c r="M261" i="13" s="1"/>
  <c r="I261" i="13"/>
  <c r="E261" i="13"/>
  <c r="R260" i="13"/>
  <c r="Q260" i="13"/>
  <c r="M260" i="13"/>
  <c r="L260" i="13"/>
  <c r="I260" i="13"/>
  <c r="E260" i="13"/>
  <c r="R259" i="13"/>
  <c r="Q259" i="13"/>
  <c r="M259" i="13"/>
  <c r="I259" i="13"/>
  <c r="E259" i="13"/>
  <c r="Q258" i="13"/>
  <c r="M258" i="13"/>
  <c r="I258" i="13"/>
  <c r="E258" i="13"/>
  <c r="R257" i="13"/>
  <c r="Q257" i="13"/>
  <c r="M257" i="13"/>
  <c r="I257" i="13"/>
  <c r="E257" i="13"/>
  <c r="Q256" i="13"/>
  <c r="M256" i="13"/>
  <c r="I256" i="13"/>
  <c r="E256" i="13"/>
  <c r="R256" i="13" s="1"/>
  <c r="Q255" i="13"/>
  <c r="M255" i="13"/>
  <c r="I255" i="13"/>
  <c r="E255" i="13"/>
  <c r="R255" i="13" s="1"/>
  <c r="R254" i="13"/>
  <c r="Q254" i="13"/>
  <c r="M254" i="13"/>
  <c r="I254" i="13"/>
  <c r="F254" i="13"/>
  <c r="F876" i="13" s="1"/>
  <c r="I876" i="13" s="1"/>
  <c r="E254" i="13"/>
  <c r="Q253" i="13"/>
  <c r="M253" i="13"/>
  <c r="I253" i="13"/>
  <c r="E253" i="13"/>
  <c r="Q252" i="13"/>
  <c r="M252" i="13"/>
  <c r="I252" i="13"/>
  <c r="E252" i="13"/>
  <c r="R252" i="13" s="1"/>
  <c r="R251" i="13"/>
  <c r="Q251" i="13"/>
  <c r="M251" i="13"/>
  <c r="I251" i="13"/>
  <c r="E251" i="13"/>
  <c r="Q250" i="13"/>
  <c r="M250" i="13"/>
  <c r="I250" i="13"/>
  <c r="E250" i="13"/>
  <c r="R250" i="13" s="1"/>
  <c r="R249" i="13"/>
  <c r="Q249" i="13"/>
  <c r="M249" i="13"/>
  <c r="I249" i="13"/>
  <c r="E249" i="13"/>
  <c r="R248" i="13"/>
  <c r="Q248" i="13"/>
  <c r="M248" i="13"/>
  <c r="I248" i="13"/>
  <c r="E248" i="13"/>
  <c r="Q247" i="13"/>
  <c r="M247" i="13"/>
  <c r="I247" i="13"/>
  <c r="E247" i="13"/>
  <c r="R246" i="13"/>
  <c r="Q246" i="13"/>
  <c r="M246" i="13"/>
  <c r="I246" i="13"/>
  <c r="E246" i="13"/>
  <c r="Q245" i="13"/>
  <c r="M245" i="13"/>
  <c r="I245" i="13"/>
  <c r="E245" i="13"/>
  <c r="D245" i="13"/>
  <c r="D287" i="13" s="1"/>
  <c r="C245" i="13"/>
  <c r="C287" i="13" s="1"/>
  <c r="Q244" i="13"/>
  <c r="M244" i="13"/>
  <c r="I244" i="13"/>
  <c r="E244" i="13"/>
  <c r="R243" i="13"/>
  <c r="Q243" i="13"/>
  <c r="M243" i="13"/>
  <c r="I243" i="13"/>
  <c r="E243" i="13"/>
  <c r="R242" i="13"/>
  <c r="Q242" i="13"/>
  <c r="M242" i="13"/>
  <c r="I242" i="13"/>
  <c r="E242" i="13"/>
  <c r="Q241" i="13"/>
  <c r="M241" i="13"/>
  <c r="I241" i="13"/>
  <c r="E241" i="13"/>
  <c r="R241" i="13" s="1"/>
  <c r="R240" i="13"/>
  <c r="Q240" i="13"/>
  <c r="M240" i="13"/>
  <c r="I240" i="13"/>
  <c r="E240" i="13"/>
  <c r="Q239" i="13"/>
  <c r="M239" i="13"/>
  <c r="I239" i="13"/>
  <c r="E239" i="13"/>
  <c r="R239" i="13" s="1"/>
  <c r="Q238" i="13"/>
  <c r="M238" i="13"/>
  <c r="I238" i="13"/>
  <c r="E238" i="13"/>
  <c r="R238" i="13" s="1"/>
  <c r="R237" i="13"/>
  <c r="Q237" i="13"/>
  <c r="M237" i="13"/>
  <c r="I237" i="13"/>
  <c r="E237" i="13"/>
  <c r="Q236" i="13"/>
  <c r="M236" i="13"/>
  <c r="I236" i="13"/>
  <c r="E236" i="13"/>
  <c r="R236" i="13" s="1"/>
  <c r="R235" i="13"/>
  <c r="Q235" i="13"/>
  <c r="M235" i="13"/>
  <c r="I235" i="13"/>
  <c r="E235" i="13"/>
  <c r="R234" i="13"/>
  <c r="Q234" i="13"/>
  <c r="M234" i="13"/>
  <c r="I234" i="13"/>
  <c r="E234" i="13"/>
  <c r="Q233" i="13"/>
  <c r="M233" i="13"/>
  <c r="I233" i="13"/>
  <c r="E233" i="13"/>
  <c r="R233" i="13" s="1"/>
  <c r="R232" i="13"/>
  <c r="Q232" i="13"/>
  <c r="M232" i="13"/>
  <c r="I232" i="13"/>
  <c r="E232" i="13"/>
  <c r="Q231" i="13"/>
  <c r="M231" i="13"/>
  <c r="I231" i="13"/>
  <c r="E231" i="13"/>
  <c r="R231" i="13" s="1"/>
  <c r="Q230" i="13"/>
  <c r="M230" i="13"/>
  <c r="I230" i="13"/>
  <c r="E230" i="13"/>
  <c r="R230" i="13" s="1"/>
  <c r="R229" i="13"/>
  <c r="Q229" i="13"/>
  <c r="M229" i="13"/>
  <c r="I229" i="13"/>
  <c r="E229" i="13"/>
  <c r="Q228" i="13"/>
  <c r="M228" i="13"/>
  <c r="I228" i="13"/>
  <c r="E228" i="13"/>
  <c r="R227" i="13"/>
  <c r="Q227" i="13"/>
  <c r="M227" i="13"/>
  <c r="I227" i="13"/>
  <c r="E227" i="13"/>
  <c r="Q226" i="13"/>
  <c r="M226" i="13"/>
  <c r="L226" i="13"/>
  <c r="L287" i="13" s="1"/>
  <c r="K226" i="13"/>
  <c r="K287" i="13" s="1"/>
  <c r="J226" i="13"/>
  <c r="J287" i="13" s="1"/>
  <c r="M287" i="13" s="1"/>
  <c r="I226" i="13"/>
  <c r="B226" i="13"/>
  <c r="R225" i="13"/>
  <c r="Q225" i="13"/>
  <c r="M225" i="13"/>
  <c r="I225" i="13"/>
  <c r="E225" i="13"/>
  <c r="Q224" i="13"/>
  <c r="M224" i="13"/>
  <c r="I224" i="13"/>
  <c r="E224" i="13"/>
  <c r="R224" i="13" s="1"/>
  <c r="R223" i="13"/>
  <c r="Q223" i="13"/>
  <c r="M223" i="13"/>
  <c r="I223" i="13"/>
  <c r="E223" i="13"/>
  <c r="Q219" i="13"/>
  <c r="P219" i="13"/>
  <c r="O219" i="13"/>
  <c r="N219" i="13"/>
  <c r="L219" i="13"/>
  <c r="K219" i="13"/>
  <c r="J219" i="13"/>
  <c r="M219" i="13" s="1"/>
  <c r="R219" i="13" s="1"/>
  <c r="I219" i="13"/>
  <c r="E219" i="13"/>
  <c r="D219" i="13"/>
  <c r="C219" i="13"/>
  <c r="B219" i="13"/>
  <c r="Q217" i="13"/>
  <c r="M217" i="13"/>
  <c r="I217" i="13"/>
  <c r="E217" i="13"/>
  <c r="R217" i="13" s="1"/>
  <c r="R216" i="13"/>
  <c r="Q216" i="13"/>
  <c r="M216" i="13"/>
  <c r="I216" i="13"/>
  <c r="E216" i="13"/>
  <c r="P212" i="13"/>
  <c r="P308" i="13" s="1"/>
  <c r="P316" i="13" s="1"/>
  <c r="B212" i="13"/>
  <c r="R210" i="13"/>
  <c r="Q210" i="13"/>
  <c r="M210" i="13"/>
  <c r="I210" i="13"/>
  <c r="E210" i="13"/>
  <c r="Q209" i="13"/>
  <c r="M209" i="13"/>
  <c r="I209" i="13"/>
  <c r="E209" i="13"/>
  <c r="R209" i="13" s="1"/>
  <c r="R208" i="13"/>
  <c r="Q208" i="13"/>
  <c r="M208" i="13"/>
  <c r="I208" i="13"/>
  <c r="E208" i="13"/>
  <c r="R206" i="13"/>
  <c r="Q206" i="13"/>
  <c r="M206" i="13"/>
  <c r="I206" i="13"/>
  <c r="E206" i="13"/>
  <c r="Q205" i="13"/>
  <c r="M205" i="13"/>
  <c r="I205" i="13"/>
  <c r="E205" i="13"/>
  <c r="R204" i="13"/>
  <c r="Q204" i="13"/>
  <c r="M204" i="13"/>
  <c r="I204" i="13"/>
  <c r="E204" i="13"/>
  <c r="Q203" i="13"/>
  <c r="M203" i="13"/>
  <c r="I203" i="13"/>
  <c r="E203" i="13"/>
  <c r="Q202" i="13"/>
  <c r="M202" i="13"/>
  <c r="I202" i="13"/>
  <c r="E202" i="13"/>
  <c r="R202" i="13" s="1"/>
  <c r="R201" i="13"/>
  <c r="Q201" i="13"/>
  <c r="M201" i="13"/>
  <c r="I201" i="13"/>
  <c r="E201" i="13"/>
  <c r="Q200" i="13"/>
  <c r="M200" i="13"/>
  <c r="I200" i="13"/>
  <c r="E200" i="13"/>
  <c r="R199" i="13"/>
  <c r="Q199" i="13"/>
  <c r="M199" i="13"/>
  <c r="I199" i="13"/>
  <c r="E199" i="13"/>
  <c r="R198" i="13"/>
  <c r="Q198" i="13"/>
  <c r="M198" i="13"/>
  <c r="I198" i="13"/>
  <c r="E198" i="13"/>
  <c r="Q197" i="13"/>
  <c r="M197" i="13"/>
  <c r="I197" i="13"/>
  <c r="E197" i="13"/>
  <c r="R195" i="13"/>
  <c r="Q195" i="13"/>
  <c r="M195" i="13"/>
  <c r="I195" i="13"/>
  <c r="E195" i="13"/>
  <c r="R194" i="13"/>
  <c r="Q194" i="13"/>
  <c r="M194" i="13"/>
  <c r="I194" i="13"/>
  <c r="E194" i="13"/>
  <c r="Q193" i="13"/>
  <c r="M193" i="13"/>
  <c r="I193" i="13"/>
  <c r="E193" i="13"/>
  <c r="R193" i="13" s="1"/>
  <c r="R192" i="13"/>
  <c r="Q192" i="13"/>
  <c r="M192" i="13"/>
  <c r="I192" i="13"/>
  <c r="E192" i="13"/>
  <c r="Q191" i="13"/>
  <c r="M191" i="13"/>
  <c r="I191" i="13"/>
  <c r="E191" i="13"/>
  <c r="R191" i="13" s="1"/>
  <c r="Q190" i="13"/>
  <c r="M190" i="13"/>
  <c r="I190" i="13"/>
  <c r="E190" i="13"/>
  <c r="R190" i="13" s="1"/>
  <c r="Q189" i="13"/>
  <c r="N189" i="13"/>
  <c r="L189" i="13"/>
  <c r="K189" i="13"/>
  <c r="J189" i="13"/>
  <c r="M189" i="13" s="1"/>
  <c r="I189" i="13"/>
  <c r="H189" i="13"/>
  <c r="E189" i="13"/>
  <c r="O188" i="13"/>
  <c r="N188" i="13"/>
  <c r="Q188" i="13" s="1"/>
  <c r="L188" i="13"/>
  <c r="K188" i="13"/>
  <c r="J188" i="13"/>
  <c r="I188" i="13"/>
  <c r="H188" i="13"/>
  <c r="E188" i="13"/>
  <c r="Q187" i="13"/>
  <c r="M187" i="13"/>
  <c r="I187" i="13"/>
  <c r="E187" i="13"/>
  <c r="R187" i="13" s="1"/>
  <c r="Q186" i="13"/>
  <c r="J186" i="13"/>
  <c r="M186" i="13" s="1"/>
  <c r="H186" i="13"/>
  <c r="G186" i="13"/>
  <c r="F186" i="13"/>
  <c r="I186" i="13" s="1"/>
  <c r="E186" i="13"/>
  <c r="D186" i="13"/>
  <c r="C186" i="13"/>
  <c r="Q185" i="13"/>
  <c r="M185" i="13"/>
  <c r="I185" i="13"/>
  <c r="E185" i="13"/>
  <c r="R185" i="13" s="1"/>
  <c r="Q184" i="13"/>
  <c r="K184" i="13"/>
  <c r="J184" i="13"/>
  <c r="M184" i="13" s="1"/>
  <c r="I184" i="13"/>
  <c r="H184" i="13"/>
  <c r="G184" i="13"/>
  <c r="F184" i="13"/>
  <c r="D184" i="13"/>
  <c r="C184" i="13"/>
  <c r="B184" i="13"/>
  <c r="E184" i="13" s="1"/>
  <c r="Q183" i="13"/>
  <c r="M183" i="13"/>
  <c r="L183" i="13"/>
  <c r="K183" i="13"/>
  <c r="J183" i="13"/>
  <c r="H183" i="13"/>
  <c r="G183" i="13"/>
  <c r="F183" i="13"/>
  <c r="I183" i="13" s="1"/>
  <c r="R183" i="13" s="1"/>
  <c r="E183" i="13"/>
  <c r="D183" i="13"/>
  <c r="C183" i="13"/>
  <c r="C862" i="13" s="1"/>
  <c r="B183" i="13"/>
  <c r="B862" i="13" s="1"/>
  <c r="Q182" i="13"/>
  <c r="M182" i="13"/>
  <c r="I182" i="13"/>
  <c r="E182" i="13"/>
  <c r="R182" i="13" s="1"/>
  <c r="R181" i="13"/>
  <c r="Q181" i="13"/>
  <c r="M181" i="13"/>
  <c r="I181" i="13"/>
  <c r="E181" i="13"/>
  <c r="Q180" i="13"/>
  <c r="M180" i="13"/>
  <c r="R180" i="13" s="1"/>
  <c r="I180" i="13"/>
  <c r="E180" i="13"/>
  <c r="Q179" i="13"/>
  <c r="M179" i="13"/>
  <c r="I179" i="13"/>
  <c r="E179" i="13"/>
  <c r="R178" i="13"/>
  <c r="Q178" i="13"/>
  <c r="M178" i="13"/>
  <c r="I178" i="13"/>
  <c r="E178" i="13"/>
  <c r="Q177" i="13"/>
  <c r="M177" i="13"/>
  <c r="I177" i="13"/>
  <c r="E177" i="13"/>
  <c r="Q176" i="13"/>
  <c r="M176" i="13"/>
  <c r="I176" i="13"/>
  <c r="E176" i="13"/>
  <c r="R176" i="13" s="1"/>
  <c r="Q175" i="13"/>
  <c r="M175" i="13"/>
  <c r="I175" i="13"/>
  <c r="E175" i="13"/>
  <c r="Q174" i="13"/>
  <c r="L174" i="13"/>
  <c r="K174" i="13"/>
  <c r="J174" i="13"/>
  <c r="H174" i="13"/>
  <c r="G174" i="13"/>
  <c r="F174" i="13"/>
  <c r="I174" i="13" s="1"/>
  <c r="E174" i="13"/>
  <c r="R173" i="13"/>
  <c r="Q173" i="13"/>
  <c r="M173" i="13"/>
  <c r="I173" i="13"/>
  <c r="E173" i="13"/>
  <c r="Q172" i="13"/>
  <c r="M172" i="13"/>
  <c r="I172" i="13"/>
  <c r="E172" i="13"/>
  <c r="Q171" i="13"/>
  <c r="M171" i="13"/>
  <c r="I171" i="13"/>
  <c r="E171" i="13"/>
  <c r="R171" i="13" s="1"/>
  <c r="R170" i="13"/>
  <c r="Q170" i="13"/>
  <c r="M170" i="13"/>
  <c r="I170" i="13"/>
  <c r="E170" i="13"/>
  <c r="Q169" i="13"/>
  <c r="M169" i="13"/>
  <c r="I169" i="13"/>
  <c r="E169" i="13"/>
  <c r="R169" i="13" s="1"/>
  <c r="Q168" i="13"/>
  <c r="M168" i="13"/>
  <c r="I168" i="13"/>
  <c r="E168" i="13"/>
  <c r="R168" i="13" s="1"/>
  <c r="Q167" i="13"/>
  <c r="M167" i="13"/>
  <c r="I167" i="13"/>
  <c r="R167" i="13" s="1"/>
  <c r="E167" i="13"/>
  <c r="Q166" i="13"/>
  <c r="M166" i="13"/>
  <c r="I166" i="13"/>
  <c r="E166" i="13"/>
  <c r="Q165" i="13"/>
  <c r="M165" i="13"/>
  <c r="R165" i="13" s="1"/>
  <c r="I165" i="13"/>
  <c r="E165" i="13"/>
  <c r="Q164" i="13"/>
  <c r="M164" i="13"/>
  <c r="I164" i="13"/>
  <c r="E164" i="13"/>
  <c r="R164" i="13" s="1"/>
  <c r="Q163" i="13"/>
  <c r="M163" i="13"/>
  <c r="I163" i="13"/>
  <c r="E163" i="13"/>
  <c r="R163" i="13" s="1"/>
  <c r="Q162" i="13"/>
  <c r="M162" i="13"/>
  <c r="I162" i="13"/>
  <c r="E162" i="13"/>
  <c r="Q161" i="13"/>
  <c r="M161" i="13"/>
  <c r="I161" i="13"/>
  <c r="E161" i="13"/>
  <c r="Q160" i="13"/>
  <c r="R160" i="13" s="1"/>
  <c r="M160" i="13"/>
  <c r="I160" i="13"/>
  <c r="E160" i="13"/>
  <c r="Q159" i="13"/>
  <c r="M159" i="13"/>
  <c r="I159" i="13"/>
  <c r="E159" i="13"/>
  <c r="R159" i="13" s="1"/>
  <c r="Q158" i="13"/>
  <c r="M158" i="13"/>
  <c r="L158" i="13"/>
  <c r="I158" i="13"/>
  <c r="E158" i="13"/>
  <c r="R158" i="13" s="1"/>
  <c r="Q157" i="13"/>
  <c r="M157" i="13"/>
  <c r="R157" i="13" s="1"/>
  <c r="I157" i="13"/>
  <c r="E157" i="13"/>
  <c r="O156" i="13"/>
  <c r="N156" i="13"/>
  <c r="K156" i="13"/>
  <c r="I156" i="13"/>
  <c r="E156" i="13"/>
  <c r="Q155" i="13"/>
  <c r="M155" i="13"/>
  <c r="I155" i="13"/>
  <c r="E155" i="13"/>
  <c r="R154" i="13"/>
  <c r="Q154" i="13"/>
  <c r="M154" i="13"/>
  <c r="I154" i="13"/>
  <c r="E154" i="13"/>
  <c r="R153" i="13"/>
  <c r="Q153" i="13"/>
  <c r="M153" i="13"/>
  <c r="I153" i="13"/>
  <c r="E153" i="13"/>
  <c r="Q152" i="13"/>
  <c r="M152" i="13"/>
  <c r="I152" i="13"/>
  <c r="H152" i="13"/>
  <c r="G152" i="13"/>
  <c r="F152" i="13"/>
  <c r="E152" i="13"/>
  <c r="D152" i="13"/>
  <c r="D212" i="13" s="1"/>
  <c r="Q151" i="13"/>
  <c r="M151" i="13"/>
  <c r="I151" i="13"/>
  <c r="E151" i="13"/>
  <c r="R151" i="13" s="1"/>
  <c r="R150" i="13"/>
  <c r="Q150" i="13"/>
  <c r="M150" i="13"/>
  <c r="I150" i="13"/>
  <c r="E150" i="13"/>
  <c r="R149" i="13"/>
  <c r="Q149" i="13"/>
  <c r="M149" i="13"/>
  <c r="I149" i="13"/>
  <c r="E149" i="13"/>
  <c r="Q148" i="13"/>
  <c r="M148" i="13"/>
  <c r="I148" i="13"/>
  <c r="E148" i="13"/>
  <c r="R148" i="13" s="1"/>
  <c r="Q147" i="13"/>
  <c r="M147" i="13"/>
  <c r="I147" i="13"/>
  <c r="E147" i="13"/>
  <c r="Q146" i="13"/>
  <c r="M146" i="13"/>
  <c r="I146" i="13"/>
  <c r="E146" i="13"/>
  <c r="R146" i="13" s="1"/>
  <c r="Q145" i="13"/>
  <c r="M145" i="13"/>
  <c r="I145" i="13"/>
  <c r="E145" i="13"/>
  <c r="R145" i="13" s="1"/>
  <c r="Q144" i="13"/>
  <c r="M144" i="13"/>
  <c r="I144" i="13"/>
  <c r="E144" i="13"/>
  <c r="Q143" i="13"/>
  <c r="M143" i="13"/>
  <c r="I143" i="13"/>
  <c r="E143" i="13"/>
  <c r="R142" i="13"/>
  <c r="Q142" i="13"/>
  <c r="M142" i="13"/>
  <c r="I142" i="13"/>
  <c r="E142" i="13"/>
  <c r="R141" i="13"/>
  <c r="Q141" i="13"/>
  <c r="M141" i="13"/>
  <c r="I141" i="13"/>
  <c r="E141" i="13"/>
  <c r="P131" i="13"/>
  <c r="Q129" i="13"/>
  <c r="M129" i="13"/>
  <c r="I129" i="13"/>
  <c r="E129" i="13"/>
  <c r="R129" i="13" s="1"/>
  <c r="N128" i="13"/>
  <c r="K128" i="13"/>
  <c r="K131" i="13" s="1"/>
  <c r="P127" i="13"/>
  <c r="O127" i="13"/>
  <c r="N127" i="13"/>
  <c r="L127" i="13"/>
  <c r="K127" i="13"/>
  <c r="J127" i="13"/>
  <c r="M127" i="13" s="1"/>
  <c r="H127" i="13"/>
  <c r="G127" i="13"/>
  <c r="F127" i="13"/>
  <c r="D127" i="13"/>
  <c r="C127" i="13"/>
  <c r="B127" i="13"/>
  <c r="P126" i="13"/>
  <c r="O126" i="13"/>
  <c r="N126" i="13"/>
  <c r="M126" i="13"/>
  <c r="L126" i="13"/>
  <c r="K126" i="13"/>
  <c r="J126" i="13"/>
  <c r="H126" i="13"/>
  <c r="G126" i="13"/>
  <c r="I126" i="13" s="1"/>
  <c r="F126" i="13"/>
  <c r="E126" i="13"/>
  <c r="D126" i="13"/>
  <c r="C126" i="13"/>
  <c r="B126" i="13"/>
  <c r="Q125" i="13"/>
  <c r="M125" i="13"/>
  <c r="I125" i="13"/>
  <c r="E125" i="13"/>
  <c r="R125" i="13" s="1"/>
  <c r="Q124" i="13"/>
  <c r="M124" i="13"/>
  <c r="I124" i="13"/>
  <c r="E124" i="13"/>
  <c r="R124" i="13" s="1"/>
  <c r="Q122" i="13"/>
  <c r="M122" i="13"/>
  <c r="I122" i="13"/>
  <c r="R122" i="13" s="1"/>
  <c r="E122" i="13"/>
  <c r="Q120" i="13"/>
  <c r="M120" i="13"/>
  <c r="I120" i="13"/>
  <c r="E120" i="13"/>
  <c r="R120" i="13" s="1"/>
  <c r="R119" i="13"/>
  <c r="Q119" i="13"/>
  <c r="M119" i="13"/>
  <c r="I119" i="13"/>
  <c r="E119" i="13"/>
  <c r="R117" i="13"/>
  <c r="Q117" i="13"/>
  <c r="M117" i="13"/>
  <c r="I117" i="13"/>
  <c r="E117" i="13"/>
  <c r="Q116" i="13"/>
  <c r="M116" i="13"/>
  <c r="I116" i="13"/>
  <c r="E116" i="13"/>
  <c r="R116" i="13" s="1"/>
  <c r="Q115" i="13"/>
  <c r="M115" i="13"/>
  <c r="I115" i="13"/>
  <c r="R115" i="13" s="1"/>
  <c r="E115" i="13"/>
  <c r="Q114" i="13"/>
  <c r="M114" i="13"/>
  <c r="I114" i="13"/>
  <c r="E114" i="13"/>
  <c r="Q113" i="13"/>
  <c r="M113" i="13"/>
  <c r="I113" i="13"/>
  <c r="E113" i="13"/>
  <c r="R113" i="13" s="1"/>
  <c r="Q112" i="13"/>
  <c r="M112" i="13"/>
  <c r="I112" i="13"/>
  <c r="E112" i="13"/>
  <c r="Q111" i="13"/>
  <c r="M111" i="13"/>
  <c r="I111" i="13"/>
  <c r="E111" i="13"/>
  <c r="R110" i="13"/>
  <c r="Q110" i="13"/>
  <c r="M110" i="13"/>
  <c r="I110" i="13"/>
  <c r="E110" i="13"/>
  <c r="P107" i="13"/>
  <c r="O107" i="13"/>
  <c r="N107" i="13"/>
  <c r="Q107" i="13" s="1"/>
  <c r="L107" i="13"/>
  <c r="K107" i="13"/>
  <c r="J107" i="13"/>
  <c r="M107" i="13" s="1"/>
  <c r="H107" i="13"/>
  <c r="G107" i="13"/>
  <c r="F107" i="13"/>
  <c r="D107" i="13"/>
  <c r="C107" i="13"/>
  <c r="B107" i="13"/>
  <c r="E107" i="13" s="1"/>
  <c r="Q106" i="13"/>
  <c r="M106" i="13"/>
  <c r="I106" i="13"/>
  <c r="E106" i="13"/>
  <c r="Q105" i="13"/>
  <c r="M105" i="13"/>
  <c r="I105" i="13"/>
  <c r="E105" i="13"/>
  <c r="R105" i="13" s="1"/>
  <c r="R104" i="13"/>
  <c r="Q104" i="13"/>
  <c r="M104" i="13"/>
  <c r="I104" i="13"/>
  <c r="E104" i="13"/>
  <c r="R103" i="13"/>
  <c r="Q103" i="13"/>
  <c r="M103" i="13"/>
  <c r="I103" i="13"/>
  <c r="E103" i="13"/>
  <c r="Q102" i="13"/>
  <c r="M102" i="13"/>
  <c r="I102" i="13"/>
  <c r="E102" i="13"/>
  <c r="R102" i="13" s="1"/>
  <c r="Q101" i="13"/>
  <c r="M101" i="13"/>
  <c r="I101" i="13"/>
  <c r="E101" i="13"/>
  <c r="Q100" i="13"/>
  <c r="M100" i="13"/>
  <c r="I100" i="13"/>
  <c r="E100" i="13"/>
  <c r="R100" i="13" s="1"/>
  <c r="P96" i="13"/>
  <c r="O96" i="13"/>
  <c r="N96" i="13"/>
  <c r="Q96" i="13" s="1"/>
  <c r="K96" i="13"/>
  <c r="J96" i="13"/>
  <c r="H96" i="13"/>
  <c r="G96" i="13"/>
  <c r="F96" i="13"/>
  <c r="I96" i="13" s="1"/>
  <c r="D96" i="13"/>
  <c r="C96" i="13"/>
  <c r="C128" i="13" s="1"/>
  <c r="C131" i="13" s="1"/>
  <c r="B96" i="13"/>
  <c r="N94" i="13"/>
  <c r="N871" i="13" s="1"/>
  <c r="Q871" i="13" s="1"/>
  <c r="M94" i="13"/>
  <c r="L94" i="13"/>
  <c r="L871" i="13" s="1"/>
  <c r="K94" i="13"/>
  <c r="K871" i="13" s="1"/>
  <c r="I94" i="13"/>
  <c r="E94" i="13"/>
  <c r="Q93" i="13"/>
  <c r="M93" i="13"/>
  <c r="I93" i="13"/>
  <c r="E93" i="13"/>
  <c r="Q89" i="13"/>
  <c r="P89" i="13"/>
  <c r="P128" i="13" s="1"/>
  <c r="O89" i="13"/>
  <c r="N89" i="13"/>
  <c r="L89" i="13"/>
  <c r="K89" i="13"/>
  <c r="J89" i="13"/>
  <c r="I89" i="13"/>
  <c r="H89" i="13"/>
  <c r="H128" i="13" s="1"/>
  <c r="H131" i="13" s="1"/>
  <c r="G89" i="13"/>
  <c r="F89" i="13"/>
  <c r="D89" i="13"/>
  <c r="C89" i="13"/>
  <c r="B89" i="13"/>
  <c r="R87" i="13"/>
  <c r="Q87" i="13"/>
  <c r="M87" i="13"/>
  <c r="I87" i="13"/>
  <c r="E87" i="13"/>
  <c r="R86" i="13"/>
  <c r="Q86" i="13"/>
  <c r="M86" i="13"/>
  <c r="I86" i="13"/>
  <c r="E86" i="13"/>
  <c r="Q84" i="13"/>
  <c r="M84" i="13"/>
  <c r="I84" i="13"/>
  <c r="E84" i="13"/>
  <c r="R84" i="13" s="1"/>
  <c r="R82" i="13"/>
  <c r="Q82" i="13"/>
  <c r="M82" i="13"/>
  <c r="I82" i="13"/>
  <c r="E82" i="13"/>
  <c r="Q81" i="13"/>
  <c r="M81" i="13"/>
  <c r="I81" i="13"/>
  <c r="R81" i="13" s="1"/>
  <c r="E81" i="13"/>
  <c r="Q80" i="13"/>
  <c r="M80" i="13"/>
  <c r="I80" i="13"/>
  <c r="E80" i="13"/>
  <c r="Q79" i="13"/>
  <c r="M79" i="13"/>
  <c r="I79" i="13"/>
  <c r="R79" i="13" s="1"/>
  <c r="E79" i="13"/>
  <c r="Q78" i="13"/>
  <c r="M78" i="13"/>
  <c r="I78" i="13"/>
  <c r="E78" i="13"/>
  <c r="Q77" i="13"/>
  <c r="M77" i="13"/>
  <c r="I77" i="13"/>
  <c r="E77" i="13"/>
  <c r="R77" i="13" s="1"/>
  <c r="Q76" i="13"/>
  <c r="M76" i="13"/>
  <c r="I76" i="13"/>
  <c r="R76" i="13" s="1"/>
  <c r="E76" i="13"/>
  <c r="Q75" i="13"/>
  <c r="M75" i="13"/>
  <c r="I75" i="13"/>
  <c r="E75" i="13"/>
  <c r="R74" i="13"/>
  <c r="Q74" i="13"/>
  <c r="M74" i="13"/>
  <c r="I74" i="13"/>
  <c r="E74" i="13"/>
  <c r="R73" i="13"/>
  <c r="Q73" i="13"/>
  <c r="M73" i="13"/>
  <c r="I73" i="13"/>
  <c r="E73" i="13"/>
  <c r="Q72" i="13"/>
  <c r="M72" i="13"/>
  <c r="I72" i="13"/>
  <c r="E72" i="13"/>
  <c r="R72" i="13" s="1"/>
  <c r="J62" i="13"/>
  <c r="Q60" i="13"/>
  <c r="M60" i="13"/>
  <c r="I60" i="13"/>
  <c r="E60" i="13"/>
  <c r="R60" i="13" s="1"/>
  <c r="O59" i="13"/>
  <c r="O62" i="13" s="1"/>
  <c r="H59" i="13"/>
  <c r="H62" i="13" s="1"/>
  <c r="P58" i="13"/>
  <c r="Q58" i="13" s="1"/>
  <c r="O58" i="13"/>
  <c r="N58" i="13"/>
  <c r="L58" i="13"/>
  <c r="K58" i="13"/>
  <c r="M58" i="13" s="1"/>
  <c r="J58" i="13"/>
  <c r="I58" i="13"/>
  <c r="H58" i="13"/>
  <c r="G58" i="13"/>
  <c r="F58" i="13"/>
  <c r="D58" i="13"/>
  <c r="C58" i="13"/>
  <c r="B58" i="13"/>
  <c r="Q57" i="13"/>
  <c r="P57" i="13"/>
  <c r="O57" i="13"/>
  <c r="N57" i="13"/>
  <c r="M57" i="13"/>
  <c r="L57" i="13"/>
  <c r="K57" i="13"/>
  <c r="J57" i="13"/>
  <c r="I57" i="13"/>
  <c r="H57" i="13"/>
  <c r="G57" i="13"/>
  <c r="F57" i="13"/>
  <c r="E57" i="13"/>
  <c r="R57" i="13" s="1"/>
  <c r="D57" i="13"/>
  <c r="C57" i="13"/>
  <c r="B57" i="13"/>
  <c r="Q54" i="13"/>
  <c r="M54" i="13"/>
  <c r="I54" i="13"/>
  <c r="E54" i="13"/>
  <c r="R54" i="13" s="1"/>
  <c r="P50" i="13"/>
  <c r="O50" i="13"/>
  <c r="N50" i="13"/>
  <c r="Q50" i="13" s="1"/>
  <c r="L50" i="13"/>
  <c r="K50" i="13"/>
  <c r="K59" i="13" s="1"/>
  <c r="K62" i="13" s="1"/>
  <c r="J50" i="13"/>
  <c r="M50" i="13" s="1"/>
  <c r="H50" i="13"/>
  <c r="G50" i="13"/>
  <c r="G59" i="13" s="1"/>
  <c r="G62" i="13" s="1"/>
  <c r="F50" i="13"/>
  <c r="D50" i="13"/>
  <c r="C50" i="13"/>
  <c r="C59" i="13" s="1"/>
  <c r="C62" i="13" s="1"/>
  <c r="B50" i="13"/>
  <c r="P46" i="13"/>
  <c r="Q46" i="13" s="1"/>
  <c r="O46" i="13"/>
  <c r="N46" i="13"/>
  <c r="L46" i="13"/>
  <c r="K46" i="13"/>
  <c r="M46" i="13" s="1"/>
  <c r="J46" i="13"/>
  <c r="I46" i="13"/>
  <c r="H46" i="13"/>
  <c r="G46" i="13"/>
  <c r="F46" i="13"/>
  <c r="D46" i="13"/>
  <c r="C46" i="13"/>
  <c r="B46" i="13"/>
  <c r="Q41" i="13"/>
  <c r="P41" i="13"/>
  <c r="O41" i="13"/>
  <c r="N41" i="13"/>
  <c r="N59" i="13" s="1"/>
  <c r="M41" i="13"/>
  <c r="L41" i="13"/>
  <c r="L59" i="13" s="1"/>
  <c r="L62" i="13" s="1"/>
  <c r="K41" i="13"/>
  <c r="J41" i="13"/>
  <c r="J59" i="13" s="1"/>
  <c r="I41" i="13"/>
  <c r="H41" i="13"/>
  <c r="G41" i="13"/>
  <c r="F41" i="13"/>
  <c r="F59" i="13" s="1"/>
  <c r="E41" i="13"/>
  <c r="R41" i="13" s="1"/>
  <c r="D41" i="13"/>
  <c r="C41" i="13"/>
  <c r="B41" i="13"/>
  <c r="B59" i="13" s="1"/>
  <c r="Q38" i="13"/>
  <c r="M38" i="13"/>
  <c r="I38" i="13"/>
  <c r="E38" i="13"/>
  <c r="R38" i="13" s="1"/>
  <c r="P27" i="13"/>
  <c r="O27" i="13"/>
  <c r="N27" i="13"/>
  <c r="L27" i="13"/>
  <c r="K27" i="13"/>
  <c r="M27" i="13" s="1"/>
  <c r="J27" i="13"/>
  <c r="I27" i="13"/>
  <c r="H27" i="13"/>
  <c r="G27" i="13"/>
  <c r="F27" i="13"/>
  <c r="D27" i="13"/>
  <c r="C27" i="13"/>
  <c r="B27" i="13"/>
  <c r="Q25" i="13"/>
  <c r="R25" i="13" s="1"/>
  <c r="M25" i="13"/>
  <c r="I25" i="13"/>
  <c r="E25" i="13"/>
  <c r="M20" i="13"/>
  <c r="I20" i="13"/>
  <c r="E20" i="13"/>
  <c r="Q18" i="13"/>
  <c r="P18" i="13"/>
  <c r="O18" i="13"/>
  <c r="N18" i="13"/>
  <c r="M18" i="13"/>
  <c r="L18" i="13"/>
  <c r="K18" i="13"/>
  <c r="J18" i="13"/>
  <c r="I18" i="13"/>
  <c r="H18" i="13"/>
  <c r="G18" i="13"/>
  <c r="F18" i="13"/>
  <c r="E18" i="13"/>
  <c r="R18" i="13" s="1"/>
  <c r="D18" i="13"/>
  <c r="C18" i="13"/>
  <c r="B18" i="13"/>
  <c r="P17" i="13"/>
  <c r="O17" i="13"/>
  <c r="N17" i="13"/>
  <c r="L17" i="13"/>
  <c r="K17" i="13"/>
  <c r="J17" i="13"/>
  <c r="M17" i="13" s="1"/>
  <c r="H17" i="13"/>
  <c r="G17" i="13"/>
  <c r="F17" i="13"/>
  <c r="D17" i="13"/>
  <c r="C17" i="13"/>
  <c r="B17" i="13"/>
  <c r="E17" i="13" s="1"/>
  <c r="P16" i="13"/>
  <c r="O16" i="13"/>
  <c r="N16" i="13"/>
  <c r="L16" i="13"/>
  <c r="K16" i="13"/>
  <c r="J16" i="13"/>
  <c r="M16" i="13" s="1"/>
  <c r="H16" i="13"/>
  <c r="G16" i="13"/>
  <c r="F16" i="13"/>
  <c r="I16" i="13" s="1"/>
  <c r="D16" i="13"/>
  <c r="C16" i="13"/>
  <c r="B16" i="13"/>
  <c r="E16" i="13" s="1"/>
  <c r="P15" i="13"/>
  <c r="Q15" i="13" s="1"/>
  <c r="O15" i="13"/>
  <c r="N15" i="13"/>
  <c r="L15" i="13"/>
  <c r="K15" i="13"/>
  <c r="J15" i="13"/>
  <c r="I15" i="13"/>
  <c r="H15" i="13"/>
  <c r="G15" i="13"/>
  <c r="F15" i="13"/>
  <c r="D15" i="13"/>
  <c r="C15" i="13"/>
  <c r="E15" i="13" s="1"/>
  <c r="B15" i="13"/>
  <c r="Q14" i="13"/>
  <c r="P14" i="13"/>
  <c r="O14" i="13"/>
  <c r="N14" i="13"/>
  <c r="M14" i="13"/>
  <c r="L14" i="13"/>
  <c r="K14" i="13"/>
  <c r="J14" i="13"/>
  <c r="I14" i="13"/>
  <c r="H14" i="13"/>
  <c r="G14" i="13"/>
  <c r="F14" i="13"/>
  <c r="E14" i="13"/>
  <c r="R14" i="13" s="1"/>
  <c r="D14" i="13"/>
  <c r="C14" i="13"/>
  <c r="B14" i="13"/>
  <c r="N28" i="13"/>
  <c r="K663" i="13"/>
  <c r="J28" i="13"/>
  <c r="H28" i="13"/>
  <c r="C541" i="13"/>
  <c r="B28" i="13"/>
  <c r="R1" i="13"/>
  <c r="O1138" i="12"/>
  <c r="K1138" i="12"/>
  <c r="Q1135" i="12"/>
  <c r="M1135" i="12"/>
  <c r="I1135" i="12"/>
  <c r="G1135" i="12"/>
  <c r="E1135" i="12"/>
  <c r="C1135" i="12"/>
  <c r="Q1134" i="12"/>
  <c r="M1134" i="12"/>
  <c r="I1134" i="12"/>
  <c r="G1134" i="12"/>
  <c r="E1134" i="12"/>
  <c r="C1134" i="12"/>
  <c r="Q1133" i="12"/>
  <c r="R1135" i="12" s="1"/>
  <c r="M1133" i="12"/>
  <c r="N1135" i="12" s="1"/>
  <c r="G1133" i="12"/>
  <c r="I1133" i="12" s="1"/>
  <c r="J1135" i="12" s="1"/>
  <c r="E1133" i="12"/>
  <c r="F1135" i="12" s="1"/>
  <c r="C1133" i="12"/>
  <c r="Q1132" i="12"/>
  <c r="N1132" i="12"/>
  <c r="M1132" i="12"/>
  <c r="G1132" i="12"/>
  <c r="I1132" i="12" s="1"/>
  <c r="E1132" i="12"/>
  <c r="C1132" i="12"/>
  <c r="C1138" i="12" s="1"/>
  <c r="Q1131" i="12"/>
  <c r="M1131" i="12"/>
  <c r="G1131" i="12"/>
  <c r="I1131" i="12" s="1"/>
  <c r="E1131" i="12"/>
  <c r="F1132" i="12" s="1"/>
  <c r="C1131" i="12"/>
  <c r="Q1130" i="12"/>
  <c r="M1130" i="12"/>
  <c r="I1130" i="12"/>
  <c r="J1132" i="12" s="1"/>
  <c r="G1130" i="12"/>
  <c r="E1130" i="12"/>
  <c r="C1130" i="12"/>
  <c r="R1129" i="12"/>
  <c r="Q1129" i="12"/>
  <c r="M1129" i="12"/>
  <c r="I1129" i="12"/>
  <c r="G1129" i="12"/>
  <c r="E1129" i="12"/>
  <c r="C1129" i="12"/>
  <c r="Q1128" i="12"/>
  <c r="M1128" i="12"/>
  <c r="I1128" i="12"/>
  <c r="G1128" i="12"/>
  <c r="E1128" i="12"/>
  <c r="C1128" i="12"/>
  <c r="Q1127" i="12"/>
  <c r="M1127" i="12"/>
  <c r="N1129" i="12" s="1"/>
  <c r="G1127" i="12"/>
  <c r="I1127" i="12" s="1"/>
  <c r="J1129" i="12" s="1"/>
  <c r="E1127" i="12"/>
  <c r="C1127" i="12"/>
  <c r="Q1126" i="12"/>
  <c r="N1126" i="12"/>
  <c r="M1126" i="12"/>
  <c r="G1126" i="12"/>
  <c r="I1126" i="12" s="1"/>
  <c r="E1126" i="12"/>
  <c r="C1126" i="12"/>
  <c r="Q1125" i="12"/>
  <c r="Q1138" i="12" s="1"/>
  <c r="M1125" i="12"/>
  <c r="G1125" i="12"/>
  <c r="E1125" i="12"/>
  <c r="C1125" i="12"/>
  <c r="Q1124" i="12"/>
  <c r="R1126" i="12" s="1"/>
  <c r="M1124" i="12"/>
  <c r="M1138" i="12" s="1"/>
  <c r="I1124" i="12"/>
  <c r="E1124" i="12"/>
  <c r="F1126" i="12" s="1"/>
  <c r="C1124" i="12"/>
  <c r="G1118" i="12"/>
  <c r="O1117" i="12"/>
  <c r="K1117" i="12"/>
  <c r="C1117" i="12"/>
  <c r="I1114" i="12"/>
  <c r="J1111" i="12"/>
  <c r="Q1110" i="12"/>
  <c r="P1086" i="12"/>
  <c r="O1086" i="12"/>
  <c r="J1086" i="12"/>
  <c r="L1086" i="12" s="1"/>
  <c r="I1086" i="12"/>
  <c r="F1086" i="12" s="1"/>
  <c r="G1086" i="12"/>
  <c r="C1059" i="12" s="1"/>
  <c r="P1085" i="12"/>
  <c r="O1085" i="12"/>
  <c r="J1085" i="12"/>
  <c r="I1085" i="12"/>
  <c r="L1085" i="12" s="1"/>
  <c r="G1085" i="12"/>
  <c r="C1058" i="12" s="1"/>
  <c r="F1085" i="12"/>
  <c r="N1084" i="12"/>
  <c r="P1084" i="12" s="1"/>
  <c r="O1084" i="12" s="1"/>
  <c r="J1084" i="12"/>
  <c r="I1084" i="12"/>
  <c r="G1084" i="12"/>
  <c r="C1057" i="12" s="1"/>
  <c r="N1083" i="12"/>
  <c r="P1083" i="12" s="1"/>
  <c r="O1083" i="12" s="1"/>
  <c r="J1083" i="12"/>
  <c r="I1083" i="12"/>
  <c r="G1083" i="12"/>
  <c r="C1056" i="12" s="1"/>
  <c r="N1082" i="12"/>
  <c r="P1082" i="12" s="1"/>
  <c r="O1082" i="12" s="1"/>
  <c r="J1082" i="12"/>
  <c r="I1082" i="12"/>
  <c r="G1082" i="12"/>
  <c r="N1081" i="12"/>
  <c r="P1081" i="12" s="1"/>
  <c r="O1081" i="12" s="1"/>
  <c r="J1081" i="12"/>
  <c r="I1081" i="12"/>
  <c r="L1081" i="12" s="1"/>
  <c r="G1081" i="12"/>
  <c r="F1081" i="12"/>
  <c r="N1080" i="12"/>
  <c r="P1080" i="12" s="1"/>
  <c r="O1080" i="12" s="1"/>
  <c r="J1080" i="12"/>
  <c r="I1080" i="12"/>
  <c r="L1080" i="12" s="1"/>
  <c r="G1080" i="12"/>
  <c r="C1053" i="12" s="1"/>
  <c r="F1080" i="12"/>
  <c r="B1053" i="12" s="1"/>
  <c r="N1079" i="12"/>
  <c r="P1079" i="12" s="1"/>
  <c r="O1079" i="12" s="1"/>
  <c r="J1079" i="12"/>
  <c r="I1079" i="12"/>
  <c r="L1079" i="12" s="1"/>
  <c r="G1079" i="12"/>
  <c r="F1079" i="12"/>
  <c r="P1078" i="12"/>
  <c r="O1078" i="12" s="1"/>
  <c r="L1078" i="12"/>
  <c r="J1078" i="12"/>
  <c r="I1078" i="12"/>
  <c r="G1078" i="12"/>
  <c r="C1051" i="12" s="1"/>
  <c r="F1078" i="12"/>
  <c r="B1051" i="12" s="1"/>
  <c r="P1077" i="12"/>
  <c r="O1077" i="12" s="1"/>
  <c r="J1077" i="12"/>
  <c r="I1077" i="12"/>
  <c r="F1077" i="12"/>
  <c r="B1050" i="12" s="1"/>
  <c r="P1076" i="12"/>
  <c r="O1076" i="12"/>
  <c r="N1076" i="12"/>
  <c r="J1076" i="12"/>
  <c r="I1076" i="12"/>
  <c r="F1076" i="12"/>
  <c r="B1049" i="12" s="1"/>
  <c r="P1075" i="12"/>
  <c r="O1075" i="12"/>
  <c r="J1075" i="12"/>
  <c r="I1075" i="12"/>
  <c r="F1075" i="12" s="1"/>
  <c r="B1048" i="12" s="1"/>
  <c r="B1069" i="12"/>
  <c r="B1066" i="12"/>
  <c r="Q1065" i="12"/>
  <c r="B1059" i="12"/>
  <c r="B1058" i="12"/>
  <c r="D1055" i="12"/>
  <c r="C1055" i="12"/>
  <c r="AD1054" i="12"/>
  <c r="D1054" i="12"/>
  <c r="C1054" i="12"/>
  <c r="B1054" i="12"/>
  <c r="D1053" i="12"/>
  <c r="C1052" i="12"/>
  <c r="B1052" i="12"/>
  <c r="AE1045" i="12"/>
  <c r="B1044" i="12"/>
  <c r="B1041" i="12"/>
  <c r="Q1040" i="12"/>
  <c r="P1034" i="12"/>
  <c r="P1033" i="12"/>
  <c r="P1032" i="12"/>
  <c r="P1031" i="12"/>
  <c r="P1030" i="12"/>
  <c r="P1029" i="12"/>
  <c r="P1028" i="12"/>
  <c r="P1027" i="12"/>
  <c r="P1026" i="12"/>
  <c r="P1025" i="12"/>
  <c r="P1024" i="12"/>
  <c r="P1023" i="12"/>
  <c r="M1018" i="12"/>
  <c r="N1009" i="12"/>
  <c r="L1009" i="12"/>
  <c r="K1009" i="12"/>
  <c r="J1009" i="12"/>
  <c r="I1009" i="12"/>
  <c r="H1009" i="12"/>
  <c r="J1007" i="12"/>
  <c r="J1006" i="12"/>
  <c r="J1005" i="12"/>
  <c r="J1004" i="12"/>
  <c r="J1003" i="12"/>
  <c r="J1002" i="12"/>
  <c r="AR1001" i="12"/>
  <c r="AQ1001" i="12"/>
  <c r="AP1001" i="12"/>
  <c r="AO1001" i="12"/>
  <c r="AN1001" i="12"/>
  <c r="AM1001" i="12"/>
  <c r="AL1001" i="12"/>
  <c r="AK1001" i="12"/>
  <c r="AJ1001" i="12"/>
  <c r="AI1001" i="12"/>
  <c r="AH1001" i="12"/>
  <c r="AG1001" i="12"/>
  <c r="AF1001" i="12"/>
  <c r="AE1001" i="12"/>
  <c r="AD1001" i="12"/>
  <c r="J1001" i="12"/>
  <c r="J1000" i="12"/>
  <c r="J999" i="12"/>
  <c r="J998" i="12"/>
  <c r="J997" i="12"/>
  <c r="J996" i="12"/>
  <c r="AD991" i="12"/>
  <c r="AD988" i="12"/>
  <c r="B988" i="12"/>
  <c r="AR987" i="12"/>
  <c r="B987" i="12"/>
  <c r="Q986" i="12"/>
  <c r="F975" i="12"/>
  <c r="F971" i="12"/>
  <c r="AR966" i="12"/>
  <c r="AQ966" i="12"/>
  <c r="AP966" i="12"/>
  <c r="AO966" i="12"/>
  <c r="AN966" i="12"/>
  <c r="AM966" i="12"/>
  <c r="AL966" i="12"/>
  <c r="AK966" i="12"/>
  <c r="AJ966" i="12"/>
  <c r="AI966" i="12"/>
  <c r="AH966" i="12"/>
  <c r="AG966" i="12"/>
  <c r="AF966" i="12"/>
  <c r="AE966" i="12"/>
  <c r="AD966" i="12"/>
  <c r="B961" i="12"/>
  <c r="B958" i="12"/>
  <c r="Q957" i="12"/>
  <c r="AD956" i="12"/>
  <c r="AD953" i="12"/>
  <c r="AR952" i="12"/>
  <c r="AE948" i="12"/>
  <c r="AS947" i="12"/>
  <c r="AE947" i="12"/>
  <c r="AE946" i="12"/>
  <c r="AS944" i="12"/>
  <c r="AF944" i="12"/>
  <c r="AH943" i="12"/>
  <c r="AH942" i="12"/>
  <c r="AE942" i="12"/>
  <c r="AD942" i="12"/>
  <c r="AE941" i="12"/>
  <c r="AS940" i="12"/>
  <c r="AF940" i="12"/>
  <c r="AG939" i="12"/>
  <c r="AD939" i="12"/>
  <c r="AD938" i="12"/>
  <c r="AE937" i="12"/>
  <c r="AR935" i="12"/>
  <c r="AQ935" i="12"/>
  <c r="AP935" i="12"/>
  <c r="AO935" i="12"/>
  <c r="AG935" i="12"/>
  <c r="AG940" i="12" s="1"/>
  <c r="AF935" i="12"/>
  <c r="AF947" i="12" s="1"/>
  <c r="AE935" i="12"/>
  <c r="AD935" i="12"/>
  <c r="B935" i="12"/>
  <c r="B932" i="12"/>
  <c r="Q931" i="12"/>
  <c r="AR930" i="12"/>
  <c r="AG930" i="12"/>
  <c r="AS927" i="12"/>
  <c r="AH927" i="12"/>
  <c r="AS925" i="12"/>
  <c r="F924" i="12"/>
  <c r="T922" i="12"/>
  <c r="G922" i="12"/>
  <c r="F922" i="12"/>
  <c r="AD948" i="12" s="1"/>
  <c r="T921" i="12"/>
  <c r="G921" i="12"/>
  <c r="G978" i="12" s="1"/>
  <c r="F921" i="12"/>
  <c r="T920" i="12"/>
  <c r="G920" i="12"/>
  <c r="F920" i="12"/>
  <c r="T919" i="12"/>
  <c r="AE910" i="12" s="1"/>
  <c r="G919" i="12"/>
  <c r="F919" i="12"/>
  <c r="AH945" i="12" s="1"/>
  <c r="T918" i="12"/>
  <c r="G918" i="12"/>
  <c r="G975" i="12" s="1"/>
  <c r="F918" i="12"/>
  <c r="T917" i="12"/>
  <c r="G917" i="12"/>
  <c r="G974" i="12" s="1"/>
  <c r="F917" i="12"/>
  <c r="F974" i="12" s="1"/>
  <c r="T916" i="12"/>
  <c r="AE907" i="12" s="1"/>
  <c r="G916" i="12"/>
  <c r="F916" i="12"/>
  <c r="AG942" i="12" s="1"/>
  <c r="T915" i="12"/>
  <c r="AE906" i="12" s="1"/>
  <c r="G915" i="12"/>
  <c r="G972" i="12" s="1"/>
  <c r="F915" i="12"/>
  <c r="T914" i="12"/>
  <c r="G914" i="12"/>
  <c r="F914" i="12"/>
  <c r="AH940" i="12" s="1"/>
  <c r="AE913" i="12"/>
  <c r="AD913" i="12"/>
  <c r="AO913" i="12" s="1"/>
  <c r="T913" i="12"/>
  <c r="G913" i="12"/>
  <c r="G970" i="12" s="1"/>
  <c r="F913" i="12"/>
  <c r="AS939" i="12" s="1"/>
  <c r="AE912" i="12"/>
  <c r="AD912" i="12"/>
  <c r="T912" i="12"/>
  <c r="G912" i="12"/>
  <c r="G969" i="12" s="1"/>
  <c r="F912" i="12"/>
  <c r="F969" i="12" s="1"/>
  <c r="AE911" i="12"/>
  <c r="T911" i="12"/>
  <c r="AE902" i="12" s="1"/>
  <c r="AF902" i="12" s="1"/>
  <c r="G911" i="12"/>
  <c r="F911" i="12"/>
  <c r="AH937" i="12" s="1"/>
  <c r="AD910" i="12"/>
  <c r="AO909" i="12"/>
  <c r="AF909" i="12"/>
  <c r="AE909" i="12"/>
  <c r="AD909" i="12"/>
  <c r="AE908" i="12"/>
  <c r="AD908" i="12"/>
  <c r="AO907" i="12"/>
  <c r="AF907" i="12"/>
  <c r="AD907" i="12"/>
  <c r="AD906" i="12"/>
  <c r="B906" i="12"/>
  <c r="AE905" i="12"/>
  <c r="AD905" i="12"/>
  <c r="AO905" i="12" s="1"/>
  <c r="AO904" i="12"/>
  <c r="AE904" i="12"/>
  <c r="AF904" i="12" s="1"/>
  <c r="AD904" i="12"/>
  <c r="AE903" i="12"/>
  <c r="AD903" i="12"/>
  <c r="AO903" i="12" s="1"/>
  <c r="B903" i="12"/>
  <c r="AO902" i="12"/>
  <c r="AD902" i="12"/>
  <c r="Q902" i="12"/>
  <c r="AF894" i="12"/>
  <c r="AS893" i="12"/>
  <c r="AN893" i="12"/>
  <c r="A884" i="12"/>
  <c r="A882" i="12"/>
  <c r="Q878" i="12"/>
  <c r="C874" i="12"/>
  <c r="C896" i="12" s="1"/>
  <c r="L873" i="12"/>
  <c r="D873" i="12"/>
  <c r="P872" i="12"/>
  <c r="O872" i="12"/>
  <c r="Q872" i="12" s="1"/>
  <c r="N872" i="12"/>
  <c r="M872" i="12"/>
  <c r="L872" i="12"/>
  <c r="K872" i="12"/>
  <c r="J872" i="12"/>
  <c r="H872" i="12"/>
  <c r="G872" i="12"/>
  <c r="I872" i="12" s="1"/>
  <c r="F872" i="12"/>
  <c r="E872" i="12"/>
  <c r="D872" i="12"/>
  <c r="C872" i="12"/>
  <c r="B872" i="12"/>
  <c r="P871" i="12"/>
  <c r="P873" i="12" s="1"/>
  <c r="O871" i="12"/>
  <c r="N871" i="12"/>
  <c r="L871" i="12"/>
  <c r="K871" i="12"/>
  <c r="J871" i="12"/>
  <c r="M871" i="12" s="1"/>
  <c r="H871" i="12"/>
  <c r="H873" i="12" s="1"/>
  <c r="G871" i="12"/>
  <c r="F871" i="12"/>
  <c r="I871" i="12" s="1"/>
  <c r="D871" i="12"/>
  <c r="C871" i="12"/>
  <c r="B871" i="12"/>
  <c r="E871" i="12" s="1"/>
  <c r="P870" i="12"/>
  <c r="O870" i="12"/>
  <c r="O873" i="12" s="1"/>
  <c r="N870" i="12"/>
  <c r="L870" i="12"/>
  <c r="K870" i="12"/>
  <c r="K873" i="12" s="1"/>
  <c r="J870" i="12"/>
  <c r="J873" i="12" s="1"/>
  <c r="M873" i="12" s="1"/>
  <c r="H870" i="12"/>
  <c r="G870" i="12"/>
  <c r="G873" i="12" s="1"/>
  <c r="F870" i="12"/>
  <c r="D870" i="12"/>
  <c r="C870" i="12"/>
  <c r="C873" i="12" s="1"/>
  <c r="B870" i="12"/>
  <c r="B873" i="12" s="1"/>
  <c r="P869" i="12"/>
  <c r="Q869" i="12" s="1"/>
  <c r="O869" i="12"/>
  <c r="N869" i="12"/>
  <c r="L869" i="12"/>
  <c r="K869" i="12"/>
  <c r="J869" i="12"/>
  <c r="M869" i="12" s="1"/>
  <c r="R869" i="12" s="1"/>
  <c r="H869" i="12"/>
  <c r="I869" i="12" s="1"/>
  <c r="G869" i="12"/>
  <c r="F869" i="12"/>
  <c r="D869" i="12"/>
  <c r="C869" i="12"/>
  <c r="B869" i="12"/>
  <c r="E869" i="12" s="1"/>
  <c r="O868" i="12"/>
  <c r="N868" i="12"/>
  <c r="L868" i="12"/>
  <c r="K868" i="12"/>
  <c r="M868" i="12" s="1"/>
  <c r="J868" i="12"/>
  <c r="I868" i="12"/>
  <c r="H868" i="12"/>
  <c r="G868" i="12"/>
  <c r="F868" i="12"/>
  <c r="D868" i="12"/>
  <c r="C868" i="12"/>
  <c r="E868" i="12" s="1"/>
  <c r="B868" i="12"/>
  <c r="P867" i="12"/>
  <c r="O867" i="12"/>
  <c r="O874" i="12" s="1"/>
  <c r="O896" i="12" s="1"/>
  <c r="N867" i="12"/>
  <c r="Q867" i="12" s="1"/>
  <c r="L867" i="12"/>
  <c r="L874" i="12" s="1"/>
  <c r="L896" i="12" s="1"/>
  <c r="K867" i="12"/>
  <c r="J867" i="12"/>
  <c r="H867" i="12"/>
  <c r="H874" i="12" s="1"/>
  <c r="H896" i="12" s="1"/>
  <c r="G867" i="12"/>
  <c r="F867" i="12"/>
  <c r="I867" i="12" s="1"/>
  <c r="D867" i="12"/>
  <c r="D874" i="12" s="1"/>
  <c r="D896" i="12" s="1"/>
  <c r="C867" i="12"/>
  <c r="B867" i="12"/>
  <c r="P863" i="12"/>
  <c r="O863" i="12"/>
  <c r="N863" i="12"/>
  <c r="Q863" i="12" s="1"/>
  <c r="L863" i="12"/>
  <c r="K863" i="12"/>
  <c r="J863" i="12"/>
  <c r="M863" i="12" s="1"/>
  <c r="B863" i="12"/>
  <c r="O861" i="12"/>
  <c r="O892" i="12" s="1"/>
  <c r="G861" i="12"/>
  <c r="G892" i="12" s="1"/>
  <c r="P860" i="12"/>
  <c r="O860" i="12"/>
  <c r="N860" i="12"/>
  <c r="Q860" i="12" s="1"/>
  <c r="L860" i="12"/>
  <c r="K860" i="12"/>
  <c r="J860" i="12"/>
  <c r="M860" i="12" s="1"/>
  <c r="H860" i="12"/>
  <c r="G860" i="12"/>
  <c r="F860" i="12"/>
  <c r="D860" i="12"/>
  <c r="C860" i="12"/>
  <c r="B860" i="12"/>
  <c r="E860" i="12" s="1"/>
  <c r="Q859" i="12"/>
  <c r="P859" i="12"/>
  <c r="O859" i="12"/>
  <c r="N859" i="12"/>
  <c r="J859" i="12"/>
  <c r="I859" i="12"/>
  <c r="H859" i="12"/>
  <c r="G859" i="12"/>
  <c r="F859" i="12"/>
  <c r="D859" i="12"/>
  <c r="C859" i="12"/>
  <c r="E859" i="12" s="1"/>
  <c r="B859" i="12"/>
  <c r="P858" i="12"/>
  <c r="P861" i="12" s="1"/>
  <c r="P892" i="12" s="1"/>
  <c r="O858" i="12"/>
  <c r="N858" i="12"/>
  <c r="N861" i="12" s="1"/>
  <c r="N892" i="12" s="1"/>
  <c r="Q892" i="12" s="1"/>
  <c r="L858" i="12"/>
  <c r="K858" i="12"/>
  <c r="J858" i="12"/>
  <c r="H858" i="12"/>
  <c r="G858" i="12"/>
  <c r="F858" i="12"/>
  <c r="F861" i="12" s="1"/>
  <c r="F892" i="12" s="1"/>
  <c r="D858" i="12"/>
  <c r="D861" i="12" s="1"/>
  <c r="D892" i="12" s="1"/>
  <c r="C858" i="12"/>
  <c r="C861" i="12" s="1"/>
  <c r="C892" i="12" s="1"/>
  <c r="B858" i="12"/>
  <c r="P855" i="12"/>
  <c r="O855" i="12"/>
  <c r="Q855" i="12" s="1"/>
  <c r="N855" i="12"/>
  <c r="M855" i="12"/>
  <c r="L855" i="12"/>
  <c r="K855" i="12"/>
  <c r="J855" i="12"/>
  <c r="H855" i="12"/>
  <c r="G855" i="12"/>
  <c r="I855" i="12" s="1"/>
  <c r="F855" i="12"/>
  <c r="E855" i="12"/>
  <c r="D855" i="12"/>
  <c r="C855" i="12"/>
  <c r="B855" i="12"/>
  <c r="P854" i="12"/>
  <c r="O854" i="12"/>
  <c r="N854" i="12"/>
  <c r="Q854" i="12" s="1"/>
  <c r="L854" i="12"/>
  <c r="K854" i="12"/>
  <c r="J854" i="12"/>
  <c r="M854" i="12" s="1"/>
  <c r="H854" i="12"/>
  <c r="G854" i="12"/>
  <c r="F854" i="12"/>
  <c r="D854" i="12"/>
  <c r="C854" i="12"/>
  <c r="B854" i="12"/>
  <c r="E854" i="12" s="1"/>
  <c r="P853" i="12"/>
  <c r="O853" i="12"/>
  <c r="Q853" i="12" s="1"/>
  <c r="N853" i="12"/>
  <c r="M853" i="12"/>
  <c r="L853" i="12"/>
  <c r="K853" i="12"/>
  <c r="J853" i="12"/>
  <c r="H853" i="12"/>
  <c r="G853" i="12"/>
  <c r="I853" i="12" s="1"/>
  <c r="F853" i="12"/>
  <c r="E853" i="12"/>
  <c r="D853" i="12"/>
  <c r="C853" i="12"/>
  <c r="B853" i="12"/>
  <c r="P852" i="12"/>
  <c r="O852" i="12"/>
  <c r="N852" i="12"/>
  <c r="Q852" i="12" s="1"/>
  <c r="H852" i="12"/>
  <c r="G852" i="12"/>
  <c r="F852" i="12"/>
  <c r="D852" i="12"/>
  <c r="C852" i="12"/>
  <c r="B852" i="12"/>
  <c r="E852" i="12" s="1"/>
  <c r="Q851" i="12"/>
  <c r="P851" i="12"/>
  <c r="O851" i="12"/>
  <c r="N851" i="12"/>
  <c r="L851" i="12"/>
  <c r="K851" i="12"/>
  <c r="M851" i="12" s="1"/>
  <c r="J851" i="12"/>
  <c r="I851" i="12"/>
  <c r="H851" i="12"/>
  <c r="G851" i="12"/>
  <c r="F851" i="12"/>
  <c r="D851" i="12"/>
  <c r="C851" i="12"/>
  <c r="B851" i="12"/>
  <c r="E851" i="12" s="1"/>
  <c r="A843" i="12"/>
  <c r="A841" i="12"/>
  <c r="Q837" i="12"/>
  <c r="C834" i="12"/>
  <c r="Q830" i="12"/>
  <c r="M830" i="12"/>
  <c r="I830" i="12"/>
  <c r="R830" i="12" s="1"/>
  <c r="E830" i="12"/>
  <c r="F829" i="12"/>
  <c r="P828" i="12"/>
  <c r="O828" i="12"/>
  <c r="Q828" i="12" s="1"/>
  <c r="N828" i="12"/>
  <c r="M828" i="12"/>
  <c r="L828" i="12"/>
  <c r="K828" i="12"/>
  <c r="J828" i="12"/>
  <c r="H828" i="12"/>
  <c r="G828" i="12"/>
  <c r="I828" i="12" s="1"/>
  <c r="F828" i="12"/>
  <c r="E828" i="12"/>
  <c r="D828" i="12"/>
  <c r="C828" i="12"/>
  <c r="B828" i="12"/>
  <c r="P827" i="12"/>
  <c r="O827" i="12"/>
  <c r="N827" i="12"/>
  <c r="Q827" i="12" s="1"/>
  <c r="L827" i="12"/>
  <c r="K827" i="12"/>
  <c r="J827" i="12"/>
  <c r="M827" i="12" s="1"/>
  <c r="H827" i="12"/>
  <c r="G827" i="12"/>
  <c r="F827" i="12"/>
  <c r="D827" i="12"/>
  <c r="C827" i="12"/>
  <c r="B827" i="12"/>
  <c r="E827" i="12" s="1"/>
  <c r="Q824" i="12"/>
  <c r="M824" i="12"/>
  <c r="I824" i="12"/>
  <c r="E824" i="12"/>
  <c r="Q823" i="12"/>
  <c r="M823" i="12"/>
  <c r="I823" i="12"/>
  <c r="E823" i="12"/>
  <c r="Q821" i="12"/>
  <c r="M821" i="12"/>
  <c r="I821" i="12"/>
  <c r="E821" i="12"/>
  <c r="R821" i="12" s="1"/>
  <c r="Q820" i="12"/>
  <c r="M820" i="12"/>
  <c r="R820" i="12" s="1"/>
  <c r="I820" i="12"/>
  <c r="E820" i="12"/>
  <c r="O817" i="12"/>
  <c r="K817" i="12"/>
  <c r="H817" i="12"/>
  <c r="G817" i="12"/>
  <c r="I817" i="12" s="1"/>
  <c r="F817" i="12"/>
  <c r="E817" i="12"/>
  <c r="D817" i="12"/>
  <c r="C817" i="12"/>
  <c r="B817" i="12"/>
  <c r="P816" i="12"/>
  <c r="P817" i="12" s="1"/>
  <c r="O816" i="12"/>
  <c r="N816" i="12"/>
  <c r="L816" i="12"/>
  <c r="L817" i="12" s="1"/>
  <c r="K816" i="12"/>
  <c r="J816" i="12"/>
  <c r="M816" i="12" s="1"/>
  <c r="I816" i="12"/>
  <c r="E816" i="12"/>
  <c r="Q815" i="12"/>
  <c r="M815" i="12"/>
  <c r="I815" i="12"/>
  <c r="R815" i="12" s="1"/>
  <c r="E815" i="12"/>
  <c r="Q814" i="12"/>
  <c r="M814" i="12"/>
  <c r="I814" i="12"/>
  <c r="E814" i="12"/>
  <c r="Q813" i="12"/>
  <c r="M813" i="12"/>
  <c r="I813" i="12"/>
  <c r="E813" i="12"/>
  <c r="R813" i="12" s="1"/>
  <c r="Q811" i="12"/>
  <c r="M811" i="12"/>
  <c r="R811" i="12" s="1"/>
  <c r="I811" i="12"/>
  <c r="E811" i="12"/>
  <c r="Q810" i="12"/>
  <c r="M810" i="12"/>
  <c r="I810" i="12"/>
  <c r="E810" i="12"/>
  <c r="P807" i="12"/>
  <c r="O807" i="12"/>
  <c r="N807" i="12"/>
  <c r="Q807" i="12" s="1"/>
  <c r="L807" i="12"/>
  <c r="K807" i="12"/>
  <c r="J807" i="12"/>
  <c r="M807" i="12" s="1"/>
  <c r="H807" i="12"/>
  <c r="G807" i="12"/>
  <c r="F807" i="12"/>
  <c r="I807" i="12" s="1"/>
  <c r="D807" i="12"/>
  <c r="C807" i="12"/>
  <c r="B807" i="12"/>
  <c r="Q805" i="12"/>
  <c r="M805" i="12"/>
  <c r="I805" i="12"/>
  <c r="E805" i="12"/>
  <c r="R805" i="12" s="1"/>
  <c r="P802" i="12"/>
  <c r="P829" i="12" s="1"/>
  <c r="P832" i="12" s="1"/>
  <c r="O802" i="12"/>
  <c r="N802" i="12"/>
  <c r="L802" i="12"/>
  <c r="L829" i="12" s="1"/>
  <c r="L832" i="12" s="1"/>
  <c r="K802" i="12"/>
  <c r="K829" i="12" s="1"/>
  <c r="K832" i="12" s="1"/>
  <c r="K834" i="12" s="1"/>
  <c r="J802" i="12"/>
  <c r="H802" i="12"/>
  <c r="H829" i="12" s="1"/>
  <c r="H832" i="12" s="1"/>
  <c r="H834" i="12" s="1"/>
  <c r="G802" i="12"/>
  <c r="F802" i="12"/>
  <c r="D802" i="12"/>
  <c r="D829" i="12" s="1"/>
  <c r="D832" i="12" s="1"/>
  <c r="C802" i="12"/>
  <c r="C829" i="12" s="1"/>
  <c r="C832" i="12" s="1"/>
  <c r="B802" i="12"/>
  <c r="Q800" i="12"/>
  <c r="M800" i="12"/>
  <c r="I800" i="12"/>
  <c r="R800" i="12" s="1"/>
  <c r="E800" i="12"/>
  <c r="Q797" i="12"/>
  <c r="M797" i="12"/>
  <c r="I797" i="12"/>
  <c r="E797" i="12"/>
  <c r="R797" i="12" s="1"/>
  <c r="Q796" i="12"/>
  <c r="M796" i="12"/>
  <c r="I796" i="12"/>
  <c r="E796" i="12"/>
  <c r="R796" i="12" s="1"/>
  <c r="R795" i="12"/>
  <c r="Q795" i="12"/>
  <c r="M795" i="12"/>
  <c r="I795" i="12"/>
  <c r="E795" i="12"/>
  <c r="Q794" i="12"/>
  <c r="M794" i="12"/>
  <c r="I794" i="12"/>
  <c r="E794" i="12"/>
  <c r="R794" i="12" s="1"/>
  <c r="R793" i="12"/>
  <c r="Q793" i="12"/>
  <c r="M793" i="12"/>
  <c r="I793" i="12"/>
  <c r="E793" i="12"/>
  <c r="K785" i="12"/>
  <c r="H783" i="12"/>
  <c r="Q781" i="12"/>
  <c r="M781" i="12"/>
  <c r="I781" i="12"/>
  <c r="R781" i="12" s="1"/>
  <c r="E781" i="12"/>
  <c r="Q780" i="12"/>
  <c r="M780" i="12"/>
  <c r="I780" i="12"/>
  <c r="E780" i="12"/>
  <c r="R780" i="12" s="1"/>
  <c r="K779" i="12"/>
  <c r="K783" i="12" s="1"/>
  <c r="C779" i="12"/>
  <c r="C783" i="12" s="1"/>
  <c r="P778" i="12"/>
  <c r="O778" i="12"/>
  <c r="N778" i="12"/>
  <c r="Q778" i="12" s="1"/>
  <c r="R778" i="12" s="1"/>
  <c r="L778" i="12"/>
  <c r="K778" i="12"/>
  <c r="J778" i="12"/>
  <c r="M778" i="12" s="1"/>
  <c r="H778" i="12"/>
  <c r="G778" i="12"/>
  <c r="F778" i="12"/>
  <c r="I778" i="12" s="1"/>
  <c r="D778" i="12"/>
  <c r="C778" i="12"/>
  <c r="B778" i="12"/>
  <c r="E778" i="12" s="1"/>
  <c r="P777" i="12"/>
  <c r="O777" i="12"/>
  <c r="Q777" i="12" s="1"/>
  <c r="N777" i="12"/>
  <c r="M777" i="12"/>
  <c r="L777" i="12"/>
  <c r="K777" i="12"/>
  <c r="J777" i="12"/>
  <c r="H777" i="12"/>
  <c r="G777" i="12"/>
  <c r="I777" i="12" s="1"/>
  <c r="F777" i="12"/>
  <c r="D777" i="12"/>
  <c r="C777" i="12"/>
  <c r="E777" i="12" s="1"/>
  <c r="R777" i="12" s="1"/>
  <c r="B777" i="12"/>
  <c r="P771" i="12"/>
  <c r="O771" i="12"/>
  <c r="N771" i="12"/>
  <c r="L771" i="12"/>
  <c r="K771" i="12"/>
  <c r="J771" i="12"/>
  <c r="M771" i="12" s="1"/>
  <c r="H771" i="12"/>
  <c r="G771" i="12"/>
  <c r="F771" i="12"/>
  <c r="I771" i="12" s="1"/>
  <c r="D771" i="12"/>
  <c r="C771" i="12"/>
  <c r="B771" i="12"/>
  <c r="E771" i="12" s="1"/>
  <c r="P767" i="12"/>
  <c r="O767" i="12"/>
  <c r="Q767" i="12" s="1"/>
  <c r="N767" i="12"/>
  <c r="M767" i="12"/>
  <c r="L767" i="12"/>
  <c r="K767" i="12"/>
  <c r="J767" i="12"/>
  <c r="H767" i="12"/>
  <c r="G767" i="12"/>
  <c r="I767" i="12" s="1"/>
  <c r="F767" i="12"/>
  <c r="E767" i="12"/>
  <c r="D767" i="12"/>
  <c r="C767" i="12"/>
  <c r="B767" i="12"/>
  <c r="P763" i="12"/>
  <c r="P779" i="12" s="1"/>
  <c r="P783" i="12" s="1"/>
  <c r="O763" i="12"/>
  <c r="O779" i="12" s="1"/>
  <c r="O783" i="12" s="1"/>
  <c r="N763" i="12"/>
  <c r="L763" i="12"/>
  <c r="L779" i="12" s="1"/>
  <c r="L783" i="12" s="1"/>
  <c r="K763" i="12"/>
  <c r="J763" i="12"/>
  <c r="H763" i="12"/>
  <c r="H779" i="12" s="1"/>
  <c r="G763" i="12"/>
  <c r="F763" i="12"/>
  <c r="D763" i="12"/>
  <c r="D779" i="12" s="1"/>
  <c r="D783" i="12" s="1"/>
  <c r="C763" i="12"/>
  <c r="B763" i="12"/>
  <c r="Q759" i="12"/>
  <c r="M759" i="12"/>
  <c r="I759" i="12"/>
  <c r="R759" i="12" s="1"/>
  <c r="E759" i="12"/>
  <c r="Q749" i="12"/>
  <c r="P749" i="12"/>
  <c r="O749" i="12"/>
  <c r="N749" i="12"/>
  <c r="L749" i="12"/>
  <c r="K749" i="12"/>
  <c r="J749" i="12"/>
  <c r="I749" i="12"/>
  <c r="H749" i="12"/>
  <c r="G749" i="12"/>
  <c r="F749" i="12"/>
  <c r="D749" i="12"/>
  <c r="C749" i="12"/>
  <c r="B749" i="12"/>
  <c r="R747" i="12"/>
  <c r="Q747" i="12"/>
  <c r="M747" i="12"/>
  <c r="I747" i="12"/>
  <c r="E747" i="12"/>
  <c r="B739" i="12"/>
  <c r="Q737" i="12"/>
  <c r="M737" i="12"/>
  <c r="I737" i="12"/>
  <c r="E737" i="12"/>
  <c r="P735" i="12"/>
  <c r="O735" i="12"/>
  <c r="N735" i="12"/>
  <c r="Q735" i="12" s="1"/>
  <c r="L735" i="12"/>
  <c r="K735" i="12"/>
  <c r="M735" i="12" s="1"/>
  <c r="J735" i="12"/>
  <c r="I735" i="12"/>
  <c r="H735" i="12"/>
  <c r="G735" i="12"/>
  <c r="F735" i="12"/>
  <c r="D735" i="12"/>
  <c r="C735" i="12"/>
  <c r="E735" i="12" s="1"/>
  <c r="B735" i="12"/>
  <c r="P734" i="12"/>
  <c r="O734" i="12"/>
  <c r="Q734" i="12" s="1"/>
  <c r="N734" i="12"/>
  <c r="L734" i="12"/>
  <c r="K734" i="12"/>
  <c r="J734" i="12"/>
  <c r="H734" i="12"/>
  <c r="G734" i="12"/>
  <c r="I734" i="12" s="1"/>
  <c r="F734" i="12"/>
  <c r="D734" i="12"/>
  <c r="C734" i="12"/>
  <c r="B734" i="12"/>
  <c r="E734" i="12" s="1"/>
  <c r="Q731" i="12"/>
  <c r="M731" i="12"/>
  <c r="I731" i="12"/>
  <c r="E731" i="12"/>
  <c r="R731" i="12" s="1"/>
  <c r="Q730" i="12"/>
  <c r="M730" i="12"/>
  <c r="R730" i="12" s="1"/>
  <c r="I730" i="12"/>
  <c r="E730" i="12"/>
  <c r="Q729" i="12"/>
  <c r="M729" i="12"/>
  <c r="I729" i="12"/>
  <c r="R729" i="12" s="1"/>
  <c r="E729" i="12"/>
  <c r="R728" i="12"/>
  <c r="Q728" i="12"/>
  <c r="M728" i="12"/>
  <c r="I728" i="12"/>
  <c r="E728" i="12"/>
  <c r="P724" i="12"/>
  <c r="O724" i="12"/>
  <c r="Q724" i="12" s="1"/>
  <c r="N724" i="12"/>
  <c r="L724" i="12"/>
  <c r="K724" i="12"/>
  <c r="J724" i="12"/>
  <c r="I724" i="12"/>
  <c r="H724" i="12"/>
  <c r="G724" i="12"/>
  <c r="F724" i="12"/>
  <c r="D724" i="12"/>
  <c r="C724" i="12"/>
  <c r="B724" i="12"/>
  <c r="Q723" i="12"/>
  <c r="M723" i="12"/>
  <c r="R723" i="12" s="1"/>
  <c r="I723" i="12"/>
  <c r="E723" i="12"/>
  <c r="Q722" i="12"/>
  <c r="M722" i="12"/>
  <c r="I722" i="12"/>
  <c r="R722" i="12" s="1"/>
  <c r="E722" i="12"/>
  <c r="R721" i="12"/>
  <c r="Q721" i="12"/>
  <c r="M721" i="12"/>
  <c r="I721" i="12"/>
  <c r="E721" i="12"/>
  <c r="Q720" i="12"/>
  <c r="M720" i="12"/>
  <c r="I720" i="12"/>
  <c r="R720" i="12" s="1"/>
  <c r="E720" i="12"/>
  <c r="Q719" i="12"/>
  <c r="M719" i="12"/>
  <c r="I719" i="12"/>
  <c r="E719" i="12"/>
  <c r="Q718" i="12"/>
  <c r="M718" i="12"/>
  <c r="I718" i="12"/>
  <c r="E718" i="12"/>
  <c r="Q717" i="12"/>
  <c r="M717" i="12"/>
  <c r="I717" i="12"/>
  <c r="E717" i="12"/>
  <c r="Q716" i="12"/>
  <c r="M716" i="12"/>
  <c r="I716" i="12"/>
  <c r="E716" i="12"/>
  <c r="R714" i="12"/>
  <c r="Q714" i="12"/>
  <c r="M714" i="12"/>
  <c r="I714" i="12"/>
  <c r="E714" i="12"/>
  <c r="P711" i="12"/>
  <c r="O711" i="12"/>
  <c r="N711" i="12"/>
  <c r="L711" i="12"/>
  <c r="L736" i="12" s="1"/>
  <c r="L739" i="12" s="1"/>
  <c r="K711" i="12"/>
  <c r="J711" i="12"/>
  <c r="J736" i="12" s="1"/>
  <c r="J739" i="12" s="1"/>
  <c r="H711" i="12"/>
  <c r="G711" i="12"/>
  <c r="F711" i="12"/>
  <c r="E711" i="12"/>
  <c r="D711" i="12"/>
  <c r="D736" i="12" s="1"/>
  <c r="D739" i="12" s="1"/>
  <c r="C711" i="12"/>
  <c r="B711" i="12"/>
  <c r="B736" i="12" s="1"/>
  <c r="O707" i="12"/>
  <c r="N707" i="12"/>
  <c r="L707" i="12"/>
  <c r="K707" i="12"/>
  <c r="J707" i="12"/>
  <c r="H707" i="12"/>
  <c r="H736" i="12" s="1"/>
  <c r="H739" i="12" s="1"/>
  <c r="G707" i="12"/>
  <c r="F707" i="12"/>
  <c r="F736" i="12" s="1"/>
  <c r="D707" i="12"/>
  <c r="C707" i="12"/>
  <c r="B707" i="12"/>
  <c r="R703" i="12"/>
  <c r="Q703" i="12"/>
  <c r="M703" i="12"/>
  <c r="I703" i="12"/>
  <c r="E703" i="12"/>
  <c r="Q702" i="12"/>
  <c r="M702" i="12"/>
  <c r="I702" i="12"/>
  <c r="E702" i="12"/>
  <c r="R702" i="12" s="1"/>
  <c r="Q701" i="12"/>
  <c r="M701" i="12"/>
  <c r="I701" i="12"/>
  <c r="E701" i="12"/>
  <c r="R701" i="12" s="1"/>
  <c r="Q700" i="12"/>
  <c r="M700" i="12"/>
  <c r="I700" i="12"/>
  <c r="E700" i="12"/>
  <c r="Q699" i="12"/>
  <c r="M699" i="12"/>
  <c r="R699" i="12" s="1"/>
  <c r="I699" i="12"/>
  <c r="E699" i="12"/>
  <c r="R698" i="12"/>
  <c r="P698" i="12"/>
  <c r="Q698" i="12" s="1"/>
  <c r="M698" i="12"/>
  <c r="I698" i="12"/>
  <c r="E698" i="12"/>
  <c r="Q686" i="12"/>
  <c r="M686" i="12"/>
  <c r="R686" i="12" s="1"/>
  <c r="I686" i="12"/>
  <c r="E686" i="12"/>
  <c r="D685" i="12"/>
  <c r="D688" i="12" s="1"/>
  <c r="P684" i="12"/>
  <c r="O684" i="12"/>
  <c r="N684" i="12"/>
  <c r="L684" i="12"/>
  <c r="K684" i="12"/>
  <c r="J684" i="12"/>
  <c r="M684" i="12" s="1"/>
  <c r="H684" i="12"/>
  <c r="G684" i="12"/>
  <c r="F684" i="12"/>
  <c r="I684" i="12" s="1"/>
  <c r="D684" i="12"/>
  <c r="C684" i="12"/>
  <c r="B684" i="12"/>
  <c r="E684" i="12" s="1"/>
  <c r="Q683" i="12"/>
  <c r="P683" i="12"/>
  <c r="O683" i="12"/>
  <c r="N683" i="12"/>
  <c r="L683" i="12"/>
  <c r="K683" i="12"/>
  <c r="J683" i="12"/>
  <c r="M683" i="12" s="1"/>
  <c r="H683" i="12"/>
  <c r="G683" i="12"/>
  <c r="F683" i="12"/>
  <c r="I683" i="12" s="1"/>
  <c r="D683" i="12"/>
  <c r="C683" i="12"/>
  <c r="B683" i="12"/>
  <c r="Q680" i="12"/>
  <c r="M680" i="12"/>
  <c r="R680" i="12" s="1"/>
  <c r="I680" i="12"/>
  <c r="E680" i="12"/>
  <c r="P676" i="12"/>
  <c r="O676" i="12"/>
  <c r="Q676" i="12" s="1"/>
  <c r="N676" i="12"/>
  <c r="M676" i="12"/>
  <c r="L676" i="12"/>
  <c r="K676" i="12"/>
  <c r="J676" i="12"/>
  <c r="H676" i="12"/>
  <c r="G676" i="12"/>
  <c r="G685" i="12" s="1"/>
  <c r="G688" i="12" s="1"/>
  <c r="F676" i="12"/>
  <c r="E676" i="12"/>
  <c r="D676" i="12"/>
  <c r="C676" i="12"/>
  <c r="B676" i="12"/>
  <c r="P672" i="12"/>
  <c r="O672" i="12"/>
  <c r="N672" i="12"/>
  <c r="Q672" i="12" s="1"/>
  <c r="L672" i="12"/>
  <c r="K672" i="12"/>
  <c r="J672" i="12"/>
  <c r="M672" i="12" s="1"/>
  <c r="H672" i="12"/>
  <c r="G672" i="12"/>
  <c r="F672" i="12"/>
  <c r="I672" i="12" s="1"/>
  <c r="D672" i="12"/>
  <c r="C672" i="12"/>
  <c r="B672" i="12"/>
  <c r="E672" i="12" s="1"/>
  <c r="P668" i="12"/>
  <c r="O668" i="12"/>
  <c r="N668" i="12"/>
  <c r="J668" i="12"/>
  <c r="J685" i="12" s="1"/>
  <c r="H668" i="12"/>
  <c r="G668" i="12"/>
  <c r="F668" i="12"/>
  <c r="D668" i="12"/>
  <c r="C668" i="12"/>
  <c r="C685" i="12" s="1"/>
  <c r="C688" i="12" s="1"/>
  <c r="B668" i="12"/>
  <c r="B685" i="12" s="1"/>
  <c r="Q664" i="12"/>
  <c r="M664" i="12"/>
  <c r="R664" i="12" s="1"/>
  <c r="I664" i="12"/>
  <c r="E664" i="12"/>
  <c r="Q663" i="12"/>
  <c r="M663" i="12"/>
  <c r="I663" i="12"/>
  <c r="R663" i="12" s="1"/>
  <c r="E663" i="12"/>
  <c r="Q662" i="12"/>
  <c r="L662" i="12"/>
  <c r="L668" i="12" s="1"/>
  <c r="L685" i="12" s="1"/>
  <c r="L688" i="12" s="1"/>
  <c r="K662" i="12"/>
  <c r="I662" i="12"/>
  <c r="E662" i="12"/>
  <c r="P652" i="12"/>
  <c r="O652" i="12"/>
  <c r="N652" i="12"/>
  <c r="Q652" i="12" s="1"/>
  <c r="L652" i="12"/>
  <c r="K652" i="12"/>
  <c r="J652" i="12"/>
  <c r="H652" i="12"/>
  <c r="G652" i="12"/>
  <c r="F652" i="12"/>
  <c r="I652" i="12" s="1"/>
  <c r="D652" i="12"/>
  <c r="C652" i="12"/>
  <c r="B652" i="12"/>
  <c r="Q650" i="12"/>
  <c r="M650" i="12"/>
  <c r="I650" i="12"/>
  <c r="R650" i="12" s="1"/>
  <c r="E650" i="12"/>
  <c r="Q640" i="12"/>
  <c r="M640" i="12"/>
  <c r="I640" i="12"/>
  <c r="E640" i="12"/>
  <c r="R640" i="12" s="1"/>
  <c r="I639" i="12"/>
  <c r="P638" i="12"/>
  <c r="O638" i="12"/>
  <c r="N638" i="12"/>
  <c r="Q638" i="12" s="1"/>
  <c r="L638" i="12"/>
  <c r="K638" i="12"/>
  <c r="J638" i="12"/>
  <c r="M638" i="12" s="1"/>
  <c r="H638" i="12"/>
  <c r="G638" i="12"/>
  <c r="F638" i="12"/>
  <c r="I638" i="12" s="1"/>
  <c r="D638" i="12"/>
  <c r="C638" i="12"/>
  <c r="B638" i="12"/>
  <c r="E638" i="12" s="1"/>
  <c r="R638" i="12" s="1"/>
  <c r="Q637" i="12"/>
  <c r="P637" i="12"/>
  <c r="O637" i="12"/>
  <c r="N637" i="12"/>
  <c r="L637" i="12"/>
  <c r="K637" i="12"/>
  <c r="M637" i="12" s="1"/>
  <c r="J637" i="12"/>
  <c r="I637" i="12"/>
  <c r="H637" i="12"/>
  <c r="G637" i="12"/>
  <c r="F637" i="12"/>
  <c r="D637" i="12"/>
  <c r="C637" i="12"/>
  <c r="E637" i="12" s="1"/>
  <c r="B637" i="12"/>
  <c r="Q636" i="12"/>
  <c r="M636" i="12"/>
  <c r="I636" i="12"/>
  <c r="E636" i="12"/>
  <c r="R636" i="12" s="1"/>
  <c r="Q635" i="12"/>
  <c r="M635" i="12"/>
  <c r="I635" i="12"/>
  <c r="E635" i="12"/>
  <c r="Q634" i="12"/>
  <c r="M634" i="12"/>
  <c r="I634" i="12"/>
  <c r="E634" i="12"/>
  <c r="R634" i="12" s="1"/>
  <c r="Q632" i="12"/>
  <c r="M632" i="12"/>
  <c r="I632" i="12"/>
  <c r="E632" i="12"/>
  <c r="R632" i="12" s="1"/>
  <c r="Q631" i="12"/>
  <c r="M631" i="12"/>
  <c r="I631" i="12"/>
  <c r="E631" i="12"/>
  <c r="Q629" i="12"/>
  <c r="M629" i="12"/>
  <c r="I629" i="12"/>
  <c r="E629" i="12"/>
  <c r="R629" i="12" s="1"/>
  <c r="R628" i="12"/>
  <c r="Q628" i="12"/>
  <c r="M628" i="12"/>
  <c r="I628" i="12"/>
  <c r="E628" i="12"/>
  <c r="Q627" i="12"/>
  <c r="M627" i="12"/>
  <c r="I627" i="12"/>
  <c r="E627" i="12"/>
  <c r="R627" i="12" s="1"/>
  <c r="Q626" i="12"/>
  <c r="M626" i="12"/>
  <c r="I626" i="12"/>
  <c r="E626" i="12"/>
  <c r="R626" i="12" s="1"/>
  <c r="Q624" i="12"/>
  <c r="M624" i="12"/>
  <c r="I624" i="12"/>
  <c r="E624" i="12"/>
  <c r="R624" i="12" s="1"/>
  <c r="Q623" i="12"/>
  <c r="M623" i="12"/>
  <c r="I623" i="12"/>
  <c r="E623" i="12"/>
  <c r="R623" i="12" s="1"/>
  <c r="Q620" i="12"/>
  <c r="P620" i="12"/>
  <c r="O620" i="12"/>
  <c r="N620" i="12"/>
  <c r="L620" i="12"/>
  <c r="K620" i="12"/>
  <c r="M620" i="12" s="1"/>
  <c r="J620" i="12"/>
  <c r="I620" i="12"/>
  <c r="H620" i="12"/>
  <c r="G620" i="12"/>
  <c r="F620" i="12"/>
  <c r="D620" i="12"/>
  <c r="C620" i="12"/>
  <c r="E620" i="12" s="1"/>
  <c r="R620" i="12" s="1"/>
  <c r="B620" i="12"/>
  <c r="Q619" i="12"/>
  <c r="M619" i="12"/>
  <c r="I619" i="12"/>
  <c r="E619" i="12"/>
  <c r="R619" i="12" s="1"/>
  <c r="Q618" i="12"/>
  <c r="M618" i="12"/>
  <c r="I618" i="12"/>
  <c r="E618" i="12"/>
  <c r="Q617" i="12"/>
  <c r="M617" i="12"/>
  <c r="I617" i="12"/>
  <c r="E617" i="12"/>
  <c r="R617" i="12" s="1"/>
  <c r="Q616" i="12"/>
  <c r="M616" i="12"/>
  <c r="I616" i="12"/>
  <c r="E616" i="12"/>
  <c r="R616" i="12" s="1"/>
  <c r="Q615" i="12"/>
  <c r="M615" i="12"/>
  <c r="I615" i="12"/>
  <c r="E615" i="12"/>
  <c r="P611" i="12"/>
  <c r="O611" i="12"/>
  <c r="O639" i="12" s="1"/>
  <c r="O642" i="12" s="1"/>
  <c r="N611" i="12"/>
  <c r="M611" i="12"/>
  <c r="L611" i="12"/>
  <c r="K611" i="12"/>
  <c r="K639" i="12" s="1"/>
  <c r="K642" i="12" s="1"/>
  <c r="J611" i="12"/>
  <c r="H611" i="12"/>
  <c r="G611" i="12"/>
  <c r="G639" i="12" s="1"/>
  <c r="G642" i="12" s="1"/>
  <c r="F611" i="12"/>
  <c r="E611" i="12"/>
  <c r="D611" i="12"/>
  <c r="C611" i="12"/>
  <c r="B611" i="12"/>
  <c r="Q609" i="12"/>
  <c r="M609" i="12"/>
  <c r="I609" i="12"/>
  <c r="E609" i="12"/>
  <c r="R609" i="12" s="1"/>
  <c r="Q608" i="12"/>
  <c r="M608" i="12"/>
  <c r="I608" i="12"/>
  <c r="E608" i="12"/>
  <c r="R608" i="12" s="1"/>
  <c r="P605" i="12"/>
  <c r="P639" i="12" s="1"/>
  <c r="P642" i="12" s="1"/>
  <c r="O605" i="12"/>
  <c r="N605" i="12"/>
  <c r="N639" i="12" s="1"/>
  <c r="N642" i="12" s="1"/>
  <c r="L605" i="12"/>
  <c r="L639" i="12" s="1"/>
  <c r="L642" i="12" s="1"/>
  <c r="K605" i="12"/>
  <c r="J605" i="12"/>
  <c r="M605" i="12" s="1"/>
  <c r="H605" i="12"/>
  <c r="H639" i="12" s="1"/>
  <c r="H642" i="12" s="1"/>
  <c r="G605" i="12"/>
  <c r="F605" i="12"/>
  <c r="F639" i="12" s="1"/>
  <c r="F642" i="12" s="1"/>
  <c r="D605" i="12"/>
  <c r="D639" i="12" s="1"/>
  <c r="D642" i="12" s="1"/>
  <c r="C605" i="12"/>
  <c r="B605" i="12"/>
  <c r="E605" i="12" s="1"/>
  <c r="Q603" i="12"/>
  <c r="M603" i="12"/>
  <c r="I603" i="12"/>
  <c r="E603" i="12"/>
  <c r="Q601" i="12"/>
  <c r="M601" i="12"/>
  <c r="I601" i="12"/>
  <c r="E601" i="12"/>
  <c r="R601" i="12" s="1"/>
  <c r="Q599" i="12"/>
  <c r="M599" i="12"/>
  <c r="I599" i="12"/>
  <c r="E599" i="12"/>
  <c r="R599" i="12" s="1"/>
  <c r="Q598" i="12"/>
  <c r="M598" i="12"/>
  <c r="I598" i="12"/>
  <c r="E598" i="12"/>
  <c r="R598" i="12" s="1"/>
  <c r="Q597" i="12"/>
  <c r="M597" i="12"/>
  <c r="I597" i="12"/>
  <c r="R597" i="12" s="1"/>
  <c r="E597" i="12"/>
  <c r="R596" i="12"/>
  <c r="Q596" i="12"/>
  <c r="M596" i="12"/>
  <c r="I596" i="12"/>
  <c r="E596" i="12"/>
  <c r="Q595" i="12"/>
  <c r="M595" i="12"/>
  <c r="I595" i="12"/>
  <c r="E595" i="12"/>
  <c r="Q594" i="12"/>
  <c r="M594" i="12"/>
  <c r="I594" i="12"/>
  <c r="E594" i="12"/>
  <c r="R594" i="12" s="1"/>
  <c r="Q593" i="12"/>
  <c r="M593" i="12"/>
  <c r="I593" i="12"/>
  <c r="E593" i="12"/>
  <c r="Q592" i="12"/>
  <c r="M592" i="12"/>
  <c r="I592" i="12"/>
  <c r="E592" i="12"/>
  <c r="R592" i="12" s="1"/>
  <c r="Q591" i="12"/>
  <c r="M591" i="12"/>
  <c r="I591" i="12"/>
  <c r="E591" i="12"/>
  <c r="R591" i="12" s="1"/>
  <c r="Q590" i="12"/>
  <c r="M590" i="12"/>
  <c r="I590" i="12"/>
  <c r="E590" i="12"/>
  <c r="R590" i="12" s="1"/>
  <c r="Q589" i="12"/>
  <c r="M589" i="12"/>
  <c r="I589" i="12"/>
  <c r="R589" i="12" s="1"/>
  <c r="E589" i="12"/>
  <c r="R588" i="12"/>
  <c r="Q588" i="12"/>
  <c r="M588" i="12"/>
  <c r="I588" i="12"/>
  <c r="E588" i="12"/>
  <c r="P578" i="12"/>
  <c r="H578" i="12"/>
  <c r="Q576" i="12"/>
  <c r="M576" i="12"/>
  <c r="I576" i="12"/>
  <c r="E576" i="12"/>
  <c r="N575" i="12"/>
  <c r="F575" i="12"/>
  <c r="P574" i="12"/>
  <c r="O574" i="12"/>
  <c r="Q574" i="12" s="1"/>
  <c r="N574" i="12"/>
  <c r="M574" i="12"/>
  <c r="L574" i="12"/>
  <c r="K574" i="12"/>
  <c r="J574" i="12"/>
  <c r="H574" i="12"/>
  <c r="G574" i="12"/>
  <c r="I574" i="12" s="1"/>
  <c r="F574" i="12"/>
  <c r="E574" i="12"/>
  <c r="D574" i="12"/>
  <c r="C574" i="12"/>
  <c r="B574" i="12"/>
  <c r="P573" i="12"/>
  <c r="O573" i="12"/>
  <c r="N573" i="12"/>
  <c r="Q573" i="12" s="1"/>
  <c r="L573" i="12"/>
  <c r="K573" i="12"/>
  <c r="J573" i="12"/>
  <c r="M573" i="12" s="1"/>
  <c r="H573" i="12"/>
  <c r="G573" i="12"/>
  <c r="F573" i="12"/>
  <c r="D573" i="12"/>
  <c r="C573" i="12"/>
  <c r="B573" i="12"/>
  <c r="E573" i="12" s="1"/>
  <c r="Q572" i="12"/>
  <c r="M572" i="12"/>
  <c r="I572" i="12"/>
  <c r="E572" i="12"/>
  <c r="Q571" i="12"/>
  <c r="M571" i="12"/>
  <c r="I571" i="12"/>
  <c r="E571" i="12"/>
  <c r="R571" i="12" s="1"/>
  <c r="Q570" i="12"/>
  <c r="M570" i="12"/>
  <c r="I570" i="12"/>
  <c r="E570" i="12"/>
  <c r="R570" i="12" s="1"/>
  <c r="Q569" i="12"/>
  <c r="M569" i="12"/>
  <c r="I569" i="12"/>
  <c r="E569" i="12"/>
  <c r="R569" i="12" s="1"/>
  <c r="Q567" i="12"/>
  <c r="M567" i="12"/>
  <c r="I567" i="12"/>
  <c r="R567" i="12" s="1"/>
  <c r="E567" i="12"/>
  <c r="P562" i="12"/>
  <c r="O562" i="12"/>
  <c r="N562" i="12"/>
  <c r="Q562" i="12" s="1"/>
  <c r="L562" i="12"/>
  <c r="K562" i="12"/>
  <c r="J562" i="12"/>
  <c r="M562" i="12" s="1"/>
  <c r="H562" i="12"/>
  <c r="G562" i="12"/>
  <c r="F562" i="12"/>
  <c r="I562" i="12" s="1"/>
  <c r="R562" i="12" s="1"/>
  <c r="D562" i="12"/>
  <c r="C562" i="12"/>
  <c r="B562" i="12"/>
  <c r="E562" i="12" s="1"/>
  <c r="Q561" i="12"/>
  <c r="M561" i="12"/>
  <c r="I561" i="12"/>
  <c r="E561" i="12"/>
  <c r="R561" i="12" s="1"/>
  <c r="P557" i="12"/>
  <c r="P575" i="12" s="1"/>
  <c r="O557" i="12"/>
  <c r="N557" i="12"/>
  <c r="Q557" i="12" s="1"/>
  <c r="L557" i="12"/>
  <c r="K557" i="12"/>
  <c r="J557" i="12"/>
  <c r="M557" i="12" s="1"/>
  <c r="H557" i="12"/>
  <c r="H575" i="12" s="1"/>
  <c r="G557" i="12"/>
  <c r="F557" i="12"/>
  <c r="I557" i="12" s="1"/>
  <c r="D557" i="12"/>
  <c r="C557" i="12"/>
  <c r="B557" i="12"/>
  <c r="E557" i="12" s="1"/>
  <c r="Q555" i="12"/>
  <c r="M555" i="12"/>
  <c r="I555" i="12"/>
  <c r="E555" i="12"/>
  <c r="R555" i="12" s="1"/>
  <c r="Q554" i="12"/>
  <c r="M554" i="12"/>
  <c r="I554" i="12"/>
  <c r="E554" i="12"/>
  <c r="P551" i="12"/>
  <c r="O551" i="12"/>
  <c r="N551" i="12"/>
  <c r="Q551" i="12" s="1"/>
  <c r="L551" i="12"/>
  <c r="L575" i="12" s="1"/>
  <c r="L578" i="12" s="1"/>
  <c r="K551" i="12"/>
  <c r="K575" i="12" s="1"/>
  <c r="K578" i="12" s="1"/>
  <c r="J551" i="12"/>
  <c r="J575" i="12" s="1"/>
  <c r="H551" i="12"/>
  <c r="G551" i="12"/>
  <c r="F551" i="12"/>
  <c r="I551" i="12" s="1"/>
  <c r="D551" i="12"/>
  <c r="D575" i="12" s="1"/>
  <c r="D578" i="12" s="1"/>
  <c r="C551" i="12"/>
  <c r="C575" i="12" s="1"/>
  <c r="C578" i="12" s="1"/>
  <c r="B551" i="12"/>
  <c r="B575" i="12" s="1"/>
  <c r="Q547" i="12"/>
  <c r="M547" i="12"/>
  <c r="I547" i="12"/>
  <c r="E547" i="12"/>
  <c r="R547" i="12" s="1"/>
  <c r="R546" i="12"/>
  <c r="Q546" i="12"/>
  <c r="M546" i="12"/>
  <c r="I546" i="12"/>
  <c r="E546" i="12"/>
  <c r="Q545" i="12"/>
  <c r="M545" i="12"/>
  <c r="I545" i="12"/>
  <c r="E545" i="12"/>
  <c r="Q544" i="12"/>
  <c r="M544" i="12"/>
  <c r="I544" i="12"/>
  <c r="E544" i="12"/>
  <c r="R544" i="12" s="1"/>
  <c r="Q543" i="12"/>
  <c r="M543" i="12"/>
  <c r="I543" i="12"/>
  <c r="E543" i="12"/>
  <c r="Q531" i="12"/>
  <c r="M531" i="12"/>
  <c r="I531" i="12"/>
  <c r="E531" i="12"/>
  <c r="E530" i="12"/>
  <c r="P529" i="12"/>
  <c r="O529" i="12"/>
  <c r="N529" i="12"/>
  <c r="Q529" i="12" s="1"/>
  <c r="L529" i="12"/>
  <c r="K529" i="12"/>
  <c r="J529" i="12"/>
  <c r="M529" i="12" s="1"/>
  <c r="H529" i="12"/>
  <c r="G529" i="12"/>
  <c r="F529" i="12"/>
  <c r="I529" i="12" s="1"/>
  <c r="D529" i="12"/>
  <c r="C529" i="12"/>
  <c r="B529" i="12"/>
  <c r="E529" i="12" s="1"/>
  <c r="P528" i="12"/>
  <c r="O528" i="12"/>
  <c r="Q528" i="12" s="1"/>
  <c r="N528" i="12"/>
  <c r="M528" i="12"/>
  <c r="L528" i="12"/>
  <c r="K528" i="12"/>
  <c r="J528" i="12"/>
  <c r="H528" i="12"/>
  <c r="G528" i="12"/>
  <c r="I528" i="12" s="1"/>
  <c r="F528" i="12"/>
  <c r="E528" i="12"/>
  <c r="R528" i="12" s="1"/>
  <c r="D528" i="12"/>
  <c r="C528" i="12"/>
  <c r="B528" i="12"/>
  <c r="Q527" i="12"/>
  <c r="M527" i="12"/>
  <c r="I527" i="12"/>
  <c r="E527" i="12"/>
  <c r="Q526" i="12"/>
  <c r="M526" i="12"/>
  <c r="I526" i="12"/>
  <c r="E526" i="12"/>
  <c r="R526" i="12" s="1"/>
  <c r="P520" i="12"/>
  <c r="O520" i="12"/>
  <c r="N520" i="12"/>
  <c r="Q520" i="12" s="1"/>
  <c r="L520" i="12"/>
  <c r="K520" i="12"/>
  <c r="J520" i="12"/>
  <c r="M520" i="12" s="1"/>
  <c r="H520" i="12"/>
  <c r="G520" i="12"/>
  <c r="F520" i="12"/>
  <c r="I520" i="12" s="1"/>
  <c r="D520" i="12"/>
  <c r="C520" i="12"/>
  <c r="B520" i="12"/>
  <c r="E520" i="12" s="1"/>
  <c r="R520" i="12" s="1"/>
  <c r="Q519" i="12"/>
  <c r="M519" i="12"/>
  <c r="I519" i="12"/>
  <c r="E519" i="12"/>
  <c r="R519" i="12" s="1"/>
  <c r="Q518" i="12"/>
  <c r="M518" i="12"/>
  <c r="I518" i="12"/>
  <c r="E518" i="12"/>
  <c r="R518" i="12" s="1"/>
  <c r="P514" i="12"/>
  <c r="O514" i="12"/>
  <c r="Q514" i="12" s="1"/>
  <c r="N514" i="12"/>
  <c r="L514" i="12"/>
  <c r="J514" i="12"/>
  <c r="H514" i="12"/>
  <c r="G514" i="12"/>
  <c r="I514" i="12" s="1"/>
  <c r="F514" i="12"/>
  <c r="E514" i="12"/>
  <c r="D514" i="12"/>
  <c r="C514" i="12"/>
  <c r="B514" i="12"/>
  <c r="Q512" i="12"/>
  <c r="L512" i="12"/>
  <c r="L859" i="12" s="1"/>
  <c r="K512" i="12"/>
  <c r="I512" i="12"/>
  <c r="E512" i="12"/>
  <c r="P509" i="12"/>
  <c r="P530" i="12" s="1"/>
  <c r="P533" i="12" s="1"/>
  <c r="O509" i="12"/>
  <c r="Q509" i="12" s="1"/>
  <c r="N509" i="12"/>
  <c r="N530" i="12" s="1"/>
  <c r="M509" i="12"/>
  <c r="L509" i="12"/>
  <c r="L530" i="12" s="1"/>
  <c r="L533" i="12" s="1"/>
  <c r="K509" i="12"/>
  <c r="J509" i="12"/>
  <c r="J530" i="12" s="1"/>
  <c r="J533" i="12" s="1"/>
  <c r="H509" i="12"/>
  <c r="H530" i="12" s="1"/>
  <c r="H533" i="12" s="1"/>
  <c r="G509" i="12"/>
  <c r="I509" i="12" s="1"/>
  <c r="F509" i="12"/>
  <c r="E509" i="12"/>
  <c r="R509" i="12" s="1"/>
  <c r="D509" i="12"/>
  <c r="D530" i="12" s="1"/>
  <c r="D533" i="12" s="1"/>
  <c r="C509" i="12"/>
  <c r="C530" i="12" s="1"/>
  <c r="C533" i="12" s="1"/>
  <c r="B509" i="12"/>
  <c r="B530" i="12" s="1"/>
  <c r="B533" i="12" s="1"/>
  <c r="Q506" i="12"/>
  <c r="M506" i="12"/>
  <c r="I506" i="12"/>
  <c r="E506" i="12"/>
  <c r="R506" i="12" s="1"/>
  <c r="Q505" i="12"/>
  <c r="M505" i="12"/>
  <c r="I505" i="12"/>
  <c r="E505" i="12"/>
  <c r="R505" i="12" s="1"/>
  <c r="Q503" i="12"/>
  <c r="M503" i="12"/>
  <c r="I503" i="12"/>
  <c r="E503" i="12"/>
  <c r="Q502" i="12"/>
  <c r="M502" i="12"/>
  <c r="I502" i="12"/>
  <c r="E502" i="12"/>
  <c r="R502" i="12" s="1"/>
  <c r="R501" i="12"/>
  <c r="Q501" i="12"/>
  <c r="M501" i="12"/>
  <c r="I501" i="12"/>
  <c r="E501" i="12"/>
  <c r="Q500" i="12"/>
  <c r="M500" i="12"/>
  <c r="I500" i="12"/>
  <c r="E500" i="12"/>
  <c r="R500" i="12" s="1"/>
  <c r="Q499" i="12"/>
  <c r="M499" i="12"/>
  <c r="I499" i="12"/>
  <c r="E499" i="12"/>
  <c r="R499" i="12" s="1"/>
  <c r="Q481" i="12"/>
  <c r="M481" i="12"/>
  <c r="I481" i="12"/>
  <c r="E481" i="12"/>
  <c r="R481" i="12" s="1"/>
  <c r="Q480" i="12"/>
  <c r="M480" i="12"/>
  <c r="R480" i="12" s="1"/>
  <c r="I480" i="12"/>
  <c r="E480" i="12"/>
  <c r="Q479" i="12"/>
  <c r="M479" i="12"/>
  <c r="I479" i="12"/>
  <c r="E479" i="12"/>
  <c r="R479" i="12" s="1"/>
  <c r="B478" i="12"/>
  <c r="B483" i="12" s="1"/>
  <c r="Q477" i="12"/>
  <c r="P477" i="12"/>
  <c r="O477" i="12"/>
  <c r="N477" i="12"/>
  <c r="L477" i="12"/>
  <c r="K477" i="12"/>
  <c r="M477" i="12" s="1"/>
  <c r="J477" i="12"/>
  <c r="I477" i="12"/>
  <c r="H477" i="12"/>
  <c r="G477" i="12"/>
  <c r="F477" i="12"/>
  <c r="D477" i="12"/>
  <c r="C477" i="12"/>
  <c r="E477" i="12" s="1"/>
  <c r="R477" i="12" s="1"/>
  <c r="B477" i="12"/>
  <c r="P476" i="12"/>
  <c r="O476" i="12"/>
  <c r="N476" i="12"/>
  <c r="Q476" i="12" s="1"/>
  <c r="L476" i="12"/>
  <c r="K476" i="12"/>
  <c r="J476" i="12"/>
  <c r="M476" i="12" s="1"/>
  <c r="H476" i="12"/>
  <c r="G476" i="12"/>
  <c r="F476" i="12"/>
  <c r="I476" i="12" s="1"/>
  <c r="D476" i="12"/>
  <c r="C476" i="12"/>
  <c r="B476" i="12"/>
  <c r="Q475" i="12"/>
  <c r="M475" i="12"/>
  <c r="I475" i="12"/>
  <c r="E475" i="12"/>
  <c r="R475" i="12" s="1"/>
  <c r="R474" i="12"/>
  <c r="Q474" i="12"/>
  <c r="M474" i="12"/>
  <c r="I474" i="12"/>
  <c r="E474" i="12"/>
  <c r="Q473" i="12"/>
  <c r="M473" i="12"/>
  <c r="I473" i="12"/>
  <c r="E473" i="12"/>
  <c r="Q472" i="12"/>
  <c r="M472" i="12"/>
  <c r="I472" i="12"/>
  <c r="E472" i="12"/>
  <c r="R472" i="12" s="1"/>
  <c r="Q471" i="12"/>
  <c r="M471" i="12"/>
  <c r="I471" i="12"/>
  <c r="E471" i="12"/>
  <c r="Q470" i="12"/>
  <c r="M470" i="12"/>
  <c r="I470" i="12"/>
  <c r="E470" i="12"/>
  <c r="R470" i="12" s="1"/>
  <c r="Q469" i="12"/>
  <c r="M469" i="12"/>
  <c r="I469" i="12"/>
  <c r="E469" i="12"/>
  <c r="R469" i="12" s="1"/>
  <c r="Q468" i="12"/>
  <c r="M468" i="12"/>
  <c r="R468" i="12" s="1"/>
  <c r="I468" i="12"/>
  <c r="E468" i="12"/>
  <c r="Q467" i="12"/>
  <c r="M467" i="12"/>
  <c r="I467" i="12"/>
  <c r="E467" i="12"/>
  <c r="R467" i="12" s="1"/>
  <c r="R466" i="12"/>
  <c r="Q466" i="12"/>
  <c r="M466" i="12"/>
  <c r="I466" i="12"/>
  <c r="E466" i="12"/>
  <c r="Q464" i="12"/>
  <c r="M464" i="12"/>
  <c r="I464" i="12"/>
  <c r="E464" i="12"/>
  <c r="R464" i="12" s="1"/>
  <c r="Q463" i="12"/>
  <c r="M463" i="12"/>
  <c r="I463" i="12"/>
  <c r="E463" i="12"/>
  <c r="R463" i="12" s="1"/>
  <c r="Q462" i="12"/>
  <c r="M462" i="12"/>
  <c r="I462" i="12"/>
  <c r="E462" i="12"/>
  <c r="Q461" i="12"/>
  <c r="M461" i="12"/>
  <c r="I461" i="12"/>
  <c r="E461" i="12"/>
  <c r="R461" i="12" s="1"/>
  <c r="Q460" i="12"/>
  <c r="M460" i="12"/>
  <c r="I460" i="12"/>
  <c r="E460" i="12"/>
  <c r="R460" i="12" s="1"/>
  <c r="Q459" i="12"/>
  <c r="M459" i="12"/>
  <c r="R459" i="12" s="1"/>
  <c r="I459" i="12"/>
  <c r="E459" i="12"/>
  <c r="Q457" i="12"/>
  <c r="M457" i="12"/>
  <c r="I457" i="12"/>
  <c r="E457" i="12"/>
  <c r="R457" i="12" s="1"/>
  <c r="R456" i="12"/>
  <c r="Q456" i="12"/>
  <c r="M456" i="12"/>
  <c r="I456" i="12"/>
  <c r="E456" i="12"/>
  <c r="Q454" i="12"/>
  <c r="M454" i="12"/>
  <c r="I454" i="12"/>
  <c r="E454" i="12"/>
  <c r="N451" i="12"/>
  <c r="L451" i="12"/>
  <c r="D451" i="12"/>
  <c r="B451" i="12"/>
  <c r="P450" i="12"/>
  <c r="O450" i="12"/>
  <c r="Q450" i="12" s="1"/>
  <c r="N450" i="12"/>
  <c r="M450" i="12"/>
  <c r="L450" i="12"/>
  <c r="I450" i="12"/>
  <c r="E450" i="12"/>
  <c r="R450" i="12" s="1"/>
  <c r="Q449" i="12"/>
  <c r="M449" i="12"/>
  <c r="I449" i="12"/>
  <c r="E449" i="12"/>
  <c r="R449" i="12" s="1"/>
  <c r="Q448" i="12"/>
  <c r="M448" i="12"/>
  <c r="I448" i="12"/>
  <c r="E448" i="12"/>
  <c r="R448" i="12" s="1"/>
  <c r="Q447" i="12"/>
  <c r="M447" i="12"/>
  <c r="R447" i="12" s="1"/>
  <c r="I447" i="12"/>
  <c r="E447" i="12"/>
  <c r="Q446" i="12"/>
  <c r="M446" i="12"/>
  <c r="I446" i="12"/>
  <c r="E446" i="12"/>
  <c r="R446" i="12" s="1"/>
  <c r="R445" i="12"/>
  <c r="Q445" i="12"/>
  <c r="M445" i="12"/>
  <c r="I445" i="12"/>
  <c r="E445" i="12"/>
  <c r="Q444" i="12"/>
  <c r="M444" i="12"/>
  <c r="I444" i="12"/>
  <c r="E444" i="12"/>
  <c r="Q443" i="12"/>
  <c r="M443" i="12"/>
  <c r="I443" i="12"/>
  <c r="E443" i="12"/>
  <c r="R443" i="12" s="1"/>
  <c r="Q442" i="12"/>
  <c r="M442" i="12"/>
  <c r="I442" i="12"/>
  <c r="E442" i="12"/>
  <c r="R442" i="12" s="1"/>
  <c r="Q441" i="12"/>
  <c r="M441" i="12"/>
  <c r="I441" i="12"/>
  <c r="E441" i="12"/>
  <c r="R441" i="12" s="1"/>
  <c r="Q440" i="12"/>
  <c r="M440" i="12"/>
  <c r="I440" i="12"/>
  <c r="E440" i="12"/>
  <c r="R440" i="12" s="1"/>
  <c r="Q439" i="12"/>
  <c r="M439" i="12"/>
  <c r="R439" i="12" s="1"/>
  <c r="I439" i="12"/>
  <c r="E439" i="12"/>
  <c r="Q438" i="12"/>
  <c r="M438" i="12"/>
  <c r="I438" i="12"/>
  <c r="E438" i="12"/>
  <c r="R438" i="12" s="1"/>
  <c r="R437" i="12"/>
  <c r="Q437" i="12"/>
  <c r="M437" i="12"/>
  <c r="I437" i="12"/>
  <c r="E437" i="12"/>
  <c r="Q436" i="12"/>
  <c r="M436" i="12"/>
  <c r="I436" i="12"/>
  <c r="E436" i="12"/>
  <c r="Q435" i="12"/>
  <c r="M435" i="12"/>
  <c r="I435" i="12"/>
  <c r="E435" i="12"/>
  <c r="R435" i="12" s="1"/>
  <c r="Q434" i="12"/>
  <c r="M434" i="12"/>
  <c r="I434" i="12"/>
  <c r="E434" i="12"/>
  <c r="Q433" i="12"/>
  <c r="M433" i="12"/>
  <c r="I433" i="12"/>
  <c r="E433" i="12"/>
  <c r="R433" i="12" s="1"/>
  <c r="Q432" i="12"/>
  <c r="M432" i="12"/>
  <c r="I432" i="12"/>
  <c r="E432" i="12"/>
  <c r="R432" i="12" s="1"/>
  <c r="Q431" i="12"/>
  <c r="M431" i="12"/>
  <c r="R431" i="12" s="1"/>
  <c r="I431" i="12"/>
  <c r="E431" i="12"/>
  <c r="Q430" i="12"/>
  <c r="M430" i="12"/>
  <c r="I430" i="12"/>
  <c r="R430" i="12" s="1"/>
  <c r="E430" i="12"/>
  <c r="R429" i="12"/>
  <c r="Q429" i="12"/>
  <c r="M429" i="12"/>
  <c r="I429" i="12"/>
  <c r="E429" i="12"/>
  <c r="Q428" i="12"/>
  <c r="M428" i="12"/>
  <c r="I428" i="12"/>
  <c r="E428" i="12"/>
  <c r="Q427" i="12"/>
  <c r="M427" i="12"/>
  <c r="I427" i="12"/>
  <c r="E427" i="12"/>
  <c r="R427" i="12" s="1"/>
  <c r="Q426" i="12"/>
  <c r="M426" i="12"/>
  <c r="I426" i="12"/>
  <c r="H426" i="12"/>
  <c r="G426" i="12"/>
  <c r="G864" i="12" s="1"/>
  <c r="E426" i="12"/>
  <c r="Q425" i="12"/>
  <c r="M425" i="12"/>
  <c r="H425" i="12"/>
  <c r="H864" i="12" s="1"/>
  <c r="E425" i="12"/>
  <c r="Q424" i="12"/>
  <c r="M424" i="12"/>
  <c r="I424" i="12"/>
  <c r="E424" i="12"/>
  <c r="R424" i="12" s="1"/>
  <c r="Q423" i="12"/>
  <c r="M423" i="12"/>
  <c r="I423" i="12"/>
  <c r="E423" i="12"/>
  <c r="R423" i="12" s="1"/>
  <c r="Q422" i="12"/>
  <c r="M422" i="12"/>
  <c r="I422" i="12"/>
  <c r="E422" i="12"/>
  <c r="R422" i="12" s="1"/>
  <c r="Q421" i="12"/>
  <c r="M421" i="12"/>
  <c r="I421" i="12"/>
  <c r="R421" i="12" s="1"/>
  <c r="E421" i="12"/>
  <c r="R420" i="12"/>
  <c r="Q420" i="12"/>
  <c r="M420" i="12"/>
  <c r="I420" i="12"/>
  <c r="E420" i="12"/>
  <c r="Q419" i="12"/>
  <c r="M419" i="12"/>
  <c r="I419" i="12"/>
  <c r="E419" i="12"/>
  <c r="R418" i="12"/>
  <c r="Q418" i="12"/>
  <c r="M418" i="12"/>
  <c r="I418" i="12"/>
  <c r="E418" i="12"/>
  <c r="Q417" i="12"/>
  <c r="M417" i="12"/>
  <c r="I417" i="12"/>
  <c r="E417" i="12"/>
  <c r="Q416" i="12"/>
  <c r="M416" i="12"/>
  <c r="I416" i="12"/>
  <c r="E416" i="12"/>
  <c r="R416" i="12" s="1"/>
  <c r="Q415" i="12"/>
  <c r="M415" i="12"/>
  <c r="I415" i="12"/>
  <c r="E415" i="12"/>
  <c r="R415" i="12" s="1"/>
  <c r="Q414" i="12"/>
  <c r="M414" i="12"/>
  <c r="I414" i="12"/>
  <c r="E414" i="12"/>
  <c r="R414" i="12" s="1"/>
  <c r="P413" i="12"/>
  <c r="P451" i="12" s="1"/>
  <c r="O413" i="12"/>
  <c r="O864" i="12" s="1"/>
  <c r="N413" i="12"/>
  <c r="M413" i="12"/>
  <c r="L413" i="12"/>
  <c r="K413" i="12"/>
  <c r="K451" i="12" s="1"/>
  <c r="J413" i="12"/>
  <c r="I413" i="12"/>
  <c r="E413" i="12"/>
  <c r="Q412" i="12"/>
  <c r="M412" i="12"/>
  <c r="I412" i="12"/>
  <c r="E412" i="12"/>
  <c r="R412" i="12" s="1"/>
  <c r="Q411" i="12"/>
  <c r="J411" i="12"/>
  <c r="J451" i="12" s="1"/>
  <c r="I411" i="12"/>
  <c r="E411" i="12"/>
  <c r="Q410" i="12"/>
  <c r="M410" i="12"/>
  <c r="I410" i="12"/>
  <c r="E410" i="12"/>
  <c r="R410" i="12" s="1"/>
  <c r="Q409" i="12"/>
  <c r="M409" i="12"/>
  <c r="I409" i="12"/>
  <c r="E409" i="12"/>
  <c r="R409" i="12" s="1"/>
  <c r="Q408" i="12"/>
  <c r="M408" i="12"/>
  <c r="I408" i="12"/>
  <c r="R408" i="12" s="1"/>
  <c r="E408" i="12"/>
  <c r="R407" i="12"/>
  <c r="Q407" i="12"/>
  <c r="M407" i="12"/>
  <c r="I407" i="12"/>
  <c r="E407" i="12"/>
  <c r="Q406" i="12"/>
  <c r="M406" i="12"/>
  <c r="I406" i="12"/>
  <c r="E406" i="12"/>
  <c r="Q405" i="12"/>
  <c r="M405" i="12"/>
  <c r="I405" i="12"/>
  <c r="E405" i="12"/>
  <c r="R405" i="12" s="1"/>
  <c r="Q404" i="12"/>
  <c r="M404" i="12"/>
  <c r="I404" i="12"/>
  <c r="E404" i="12"/>
  <c r="Q403" i="12"/>
  <c r="M403" i="12"/>
  <c r="I403" i="12"/>
  <c r="E403" i="12"/>
  <c r="R403" i="12" s="1"/>
  <c r="Q402" i="12"/>
  <c r="M402" i="12"/>
  <c r="I402" i="12"/>
  <c r="E402" i="12"/>
  <c r="R402" i="12" s="1"/>
  <c r="Q400" i="12"/>
  <c r="M400" i="12"/>
  <c r="H400" i="12"/>
  <c r="H863" i="12" s="1"/>
  <c r="H865" i="12" s="1"/>
  <c r="H894" i="12" s="1"/>
  <c r="G400" i="12"/>
  <c r="G863" i="12" s="1"/>
  <c r="F400" i="12"/>
  <c r="F863" i="12" s="1"/>
  <c r="D400" i="12"/>
  <c r="D863" i="12" s="1"/>
  <c r="C400" i="12"/>
  <c r="C863" i="12" s="1"/>
  <c r="R399" i="12"/>
  <c r="Q399" i="12"/>
  <c r="M399" i="12"/>
  <c r="I399" i="12"/>
  <c r="E399" i="12"/>
  <c r="P396" i="12"/>
  <c r="O396" i="12"/>
  <c r="Q396" i="12" s="1"/>
  <c r="N396" i="12"/>
  <c r="M396" i="12"/>
  <c r="L396" i="12"/>
  <c r="K396" i="12"/>
  <c r="J396" i="12"/>
  <c r="H396" i="12"/>
  <c r="G396" i="12"/>
  <c r="I396" i="12" s="1"/>
  <c r="F396" i="12"/>
  <c r="E396" i="12"/>
  <c r="R396" i="12" s="1"/>
  <c r="D396" i="12"/>
  <c r="C396" i="12"/>
  <c r="B396" i="12"/>
  <c r="Q394" i="12"/>
  <c r="M394" i="12"/>
  <c r="I394" i="12"/>
  <c r="E394" i="12"/>
  <c r="Q393" i="12"/>
  <c r="M393" i="12"/>
  <c r="I393" i="12"/>
  <c r="R393" i="12" s="1"/>
  <c r="E393" i="12"/>
  <c r="R392" i="12"/>
  <c r="Q392" i="12"/>
  <c r="M392" i="12"/>
  <c r="I392" i="12"/>
  <c r="E392" i="12"/>
  <c r="Q391" i="12"/>
  <c r="M391" i="12"/>
  <c r="I391" i="12"/>
  <c r="E391" i="12"/>
  <c r="R391" i="12" s="1"/>
  <c r="AK390" i="12"/>
  <c r="AJ390" i="12"/>
  <c r="AI390" i="12"/>
  <c r="AG390" i="12"/>
  <c r="AF390" i="12"/>
  <c r="AE390" i="12"/>
  <c r="Y390" i="12"/>
  <c r="X390" i="12"/>
  <c r="W390" i="12"/>
  <c r="Z390" i="12" s="1"/>
  <c r="Q390" i="12"/>
  <c r="M390" i="12"/>
  <c r="I390" i="12"/>
  <c r="R390" i="12" s="1"/>
  <c r="E390" i="12"/>
  <c r="AK389" i="12"/>
  <c r="AJ389" i="12"/>
  <c r="AI389" i="12"/>
  <c r="AL389" i="12" s="1"/>
  <c r="AG389" i="12"/>
  <c r="AF389" i="12"/>
  <c r="AE389" i="12"/>
  <c r="AH389" i="12" s="1"/>
  <c r="Y389" i="12"/>
  <c r="X389" i="12"/>
  <c r="W389" i="12"/>
  <c r="Z389" i="12" s="1"/>
  <c r="Q389" i="12"/>
  <c r="M389" i="12"/>
  <c r="I389" i="12"/>
  <c r="E389" i="12"/>
  <c r="R389" i="12" s="1"/>
  <c r="AK388" i="12"/>
  <c r="AJ388" i="12"/>
  <c r="AI388" i="12"/>
  <c r="AG388" i="12"/>
  <c r="AF388" i="12"/>
  <c r="AE388" i="12"/>
  <c r="AH388" i="12" s="1"/>
  <c r="Y388" i="12"/>
  <c r="X388" i="12"/>
  <c r="W388" i="12"/>
  <c r="Z388" i="12" s="1"/>
  <c r="Q388" i="12"/>
  <c r="M388" i="12"/>
  <c r="I388" i="12"/>
  <c r="E388" i="12"/>
  <c r="R388" i="12" s="1"/>
  <c r="AL387" i="12"/>
  <c r="AL390" i="12" s="1"/>
  <c r="AH387" i="12"/>
  <c r="AC387" i="12"/>
  <c r="AB387" i="12"/>
  <c r="AB389" i="12" s="1"/>
  <c r="AA387" i="12"/>
  <c r="AA388" i="12" s="1"/>
  <c r="Z387" i="12"/>
  <c r="Q387" i="12"/>
  <c r="M387" i="12"/>
  <c r="I387" i="12"/>
  <c r="E387" i="12"/>
  <c r="R387" i="12" s="1"/>
  <c r="Q386" i="12"/>
  <c r="M386" i="12"/>
  <c r="I386" i="12"/>
  <c r="E386" i="12"/>
  <c r="R386" i="12" s="1"/>
  <c r="W385" i="12"/>
  <c r="G382" i="12"/>
  <c r="F382" i="12"/>
  <c r="D382" i="12"/>
  <c r="C382" i="12"/>
  <c r="E382" i="12" s="1"/>
  <c r="B382" i="12"/>
  <c r="R380" i="12"/>
  <c r="Q380" i="12"/>
  <c r="M380" i="12"/>
  <c r="I380" i="12"/>
  <c r="E380" i="12"/>
  <c r="Q379" i="12"/>
  <c r="L379" i="12"/>
  <c r="L852" i="12" s="1"/>
  <c r="K379" i="12"/>
  <c r="J379" i="12"/>
  <c r="J852" i="12" s="1"/>
  <c r="I379" i="12"/>
  <c r="E379" i="12"/>
  <c r="Q378" i="12"/>
  <c r="K378" i="12"/>
  <c r="I378" i="12"/>
  <c r="E378" i="12"/>
  <c r="Q377" i="12"/>
  <c r="M377" i="12"/>
  <c r="I377" i="12"/>
  <c r="R377" i="12" s="1"/>
  <c r="E377" i="12"/>
  <c r="R375" i="12"/>
  <c r="Q375" i="12"/>
  <c r="M375" i="12"/>
  <c r="I375" i="12"/>
  <c r="E375" i="12"/>
  <c r="Q374" i="12"/>
  <c r="M374" i="12"/>
  <c r="I374" i="12"/>
  <c r="E374" i="12"/>
  <c r="R373" i="12"/>
  <c r="Q373" i="12"/>
  <c r="M373" i="12"/>
  <c r="I373" i="12"/>
  <c r="E373" i="12"/>
  <c r="Q372" i="12"/>
  <c r="M372" i="12"/>
  <c r="I372" i="12"/>
  <c r="E372" i="12"/>
  <c r="Q371" i="12"/>
  <c r="M371" i="12"/>
  <c r="I371" i="12"/>
  <c r="E371" i="12"/>
  <c r="R371" i="12" s="1"/>
  <c r="Q370" i="12"/>
  <c r="M370" i="12"/>
  <c r="I370" i="12"/>
  <c r="E370" i="12"/>
  <c r="R370" i="12" s="1"/>
  <c r="Q369" i="12"/>
  <c r="M369" i="12"/>
  <c r="I369" i="12"/>
  <c r="E369" i="12"/>
  <c r="R369" i="12" s="1"/>
  <c r="Q368" i="12"/>
  <c r="M368" i="12"/>
  <c r="I368" i="12"/>
  <c r="R368" i="12" s="1"/>
  <c r="E368" i="12"/>
  <c r="R367" i="12"/>
  <c r="Q367" i="12"/>
  <c r="M367" i="12"/>
  <c r="I367" i="12"/>
  <c r="E367" i="12"/>
  <c r="Q366" i="12"/>
  <c r="M366" i="12"/>
  <c r="I366" i="12"/>
  <c r="E366" i="12"/>
  <c r="R365" i="12"/>
  <c r="Q365" i="12"/>
  <c r="M365" i="12"/>
  <c r="I365" i="12"/>
  <c r="E365" i="12"/>
  <c r="Q364" i="12"/>
  <c r="M364" i="12"/>
  <c r="I364" i="12"/>
  <c r="E364" i="12"/>
  <c r="R364" i="12" s="1"/>
  <c r="Q362" i="12"/>
  <c r="M362" i="12"/>
  <c r="I362" i="12"/>
  <c r="E362" i="12"/>
  <c r="R362" i="12" s="1"/>
  <c r="R361" i="12"/>
  <c r="Q361" i="12"/>
  <c r="M361" i="12"/>
  <c r="I361" i="12"/>
  <c r="E361" i="12"/>
  <c r="Q360" i="12"/>
  <c r="M360" i="12"/>
  <c r="I360" i="12"/>
  <c r="E360" i="12"/>
  <c r="Q359" i="12"/>
  <c r="M359" i="12"/>
  <c r="I359" i="12"/>
  <c r="E359" i="12"/>
  <c r="R359" i="12" s="1"/>
  <c r="Q358" i="12"/>
  <c r="M358" i="12"/>
  <c r="I358" i="12"/>
  <c r="E358" i="12"/>
  <c r="R358" i="12" s="1"/>
  <c r="Q357" i="12"/>
  <c r="M357" i="12"/>
  <c r="I357" i="12"/>
  <c r="E357" i="12"/>
  <c r="R357" i="12" s="1"/>
  <c r="Q356" i="12"/>
  <c r="L356" i="12"/>
  <c r="M356" i="12" s="1"/>
  <c r="I356" i="12"/>
  <c r="E356" i="12"/>
  <c r="Q355" i="12"/>
  <c r="M355" i="12"/>
  <c r="I355" i="12"/>
  <c r="E355" i="12"/>
  <c r="R355" i="12" s="1"/>
  <c r="P354" i="12"/>
  <c r="O354" i="12"/>
  <c r="N354" i="12"/>
  <c r="L354" i="12"/>
  <c r="K354" i="12"/>
  <c r="J354" i="12"/>
  <c r="M354" i="12" s="1"/>
  <c r="H354" i="12"/>
  <c r="E354" i="12"/>
  <c r="R353" i="12"/>
  <c r="Q353" i="12"/>
  <c r="M353" i="12"/>
  <c r="I353" i="12"/>
  <c r="E353" i="12"/>
  <c r="Q352" i="12"/>
  <c r="M352" i="12"/>
  <c r="I352" i="12"/>
  <c r="E352" i="12"/>
  <c r="R352" i="12" s="1"/>
  <c r="Q351" i="12"/>
  <c r="M351" i="12"/>
  <c r="I351" i="12"/>
  <c r="E351" i="12"/>
  <c r="R351" i="12" s="1"/>
  <c r="Q350" i="12"/>
  <c r="M350" i="12"/>
  <c r="I350" i="12"/>
  <c r="E350" i="12"/>
  <c r="R350" i="12" s="1"/>
  <c r="Q349" i="12"/>
  <c r="M349" i="12"/>
  <c r="I349" i="12"/>
  <c r="E349" i="12"/>
  <c r="R349" i="12" s="1"/>
  <c r="Q348" i="12"/>
  <c r="M348" i="12"/>
  <c r="I348" i="12"/>
  <c r="R348" i="12" s="1"/>
  <c r="E348" i="12"/>
  <c r="R347" i="12"/>
  <c r="Q347" i="12"/>
  <c r="M347" i="12"/>
  <c r="I347" i="12"/>
  <c r="E347" i="12"/>
  <c r="Q346" i="12"/>
  <c r="M346" i="12"/>
  <c r="I346" i="12"/>
  <c r="E346" i="12"/>
  <c r="R345" i="12"/>
  <c r="Q345" i="12"/>
  <c r="M345" i="12"/>
  <c r="I345" i="12"/>
  <c r="E345" i="12"/>
  <c r="Q344" i="12"/>
  <c r="M344" i="12"/>
  <c r="I344" i="12"/>
  <c r="E344" i="12"/>
  <c r="Q343" i="12"/>
  <c r="M343" i="12"/>
  <c r="I343" i="12"/>
  <c r="E343" i="12"/>
  <c r="R343" i="12" s="1"/>
  <c r="Q342" i="12"/>
  <c r="M342" i="12"/>
  <c r="I342" i="12"/>
  <c r="E342" i="12"/>
  <c r="R342" i="12" s="1"/>
  <c r="Q341" i="12"/>
  <c r="M341" i="12"/>
  <c r="I341" i="12"/>
  <c r="E341" i="12"/>
  <c r="Q340" i="12"/>
  <c r="M340" i="12"/>
  <c r="I340" i="12"/>
  <c r="E340" i="12"/>
  <c r="R340" i="12" s="1"/>
  <c r="P339" i="12"/>
  <c r="O339" i="12"/>
  <c r="N339" i="12"/>
  <c r="N382" i="12" s="1"/>
  <c r="N478" i="12" s="1"/>
  <c r="L339" i="12"/>
  <c r="K339" i="12"/>
  <c r="J339" i="12"/>
  <c r="M339" i="12" s="1"/>
  <c r="I339" i="12"/>
  <c r="E339" i="12"/>
  <c r="Q338" i="12"/>
  <c r="M338" i="12"/>
  <c r="I338" i="12"/>
  <c r="E338" i="12"/>
  <c r="R338" i="12" s="1"/>
  <c r="R337" i="12"/>
  <c r="Q337" i="12"/>
  <c r="M337" i="12"/>
  <c r="I337" i="12"/>
  <c r="E337" i="12"/>
  <c r="Q336" i="12"/>
  <c r="M336" i="12"/>
  <c r="I336" i="12"/>
  <c r="E336" i="12"/>
  <c r="R336" i="12" s="1"/>
  <c r="R335" i="12"/>
  <c r="Q335" i="12"/>
  <c r="M335" i="12"/>
  <c r="I335" i="12"/>
  <c r="E335" i="12"/>
  <c r="Q334" i="12"/>
  <c r="M334" i="12"/>
  <c r="I334" i="12"/>
  <c r="E334" i="12"/>
  <c r="R334" i="12" s="1"/>
  <c r="Q333" i="12"/>
  <c r="M333" i="12"/>
  <c r="I333" i="12"/>
  <c r="E333" i="12"/>
  <c r="R333" i="12" s="1"/>
  <c r="Q332" i="12"/>
  <c r="P332" i="12"/>
  <c r="O332" i="12"/>
  <c r="O382" i="12" s="1"/>
  <c r="L332" i="12"/>
  <c r="L382" i="12" s="1"/>
  <c r="L478" i="12" s="1"/>
  <c r="L483" i="12" s="1"/>
  <c r="K332" i="12"/>
  <c r="J332" i="12"/>
  <c r="I332" i="12"/>
  <c r="E332" i="12"/>
  <c r="Q324" i="12"/>
  <c r="P324" i="12"/>
  <c r="O324" i="12"/>
  <c r="N324" i="12"/>
  <c r="L324" i="12"/>
  <c r="K324" i="12"/>
  <c r="M324" i="12" s="1"/>
  <c r="J324" i="12"/>
  <c r="I324" i="12"/>
  <c r="H324" i="12"/>
  <c r="G324" i="12"/>
  <c r="F324" i="12"/>
  <c r="D324" i="12"/>
  <c r="C324" i="12"/>
  <c r="E324" i="12" s="1"/>
  <c r="B324" i="12"/>
  <c r="R322" i="12"/>
  <c r="R324" i="12" s="1"/>
  <c r="Q322" i="12"/>
  <c r="M322" i="12"/>
  <c r="I322" i="12"/>
  <c r="E322" i="12"/>
  <c r="Q311" i="12"/>
  <c r="M311" i="12"/>
  <c r="I311" i="12"/>
  <c r="R311" i="12" s="1"/>
  <c r="E311" i="12"/>
  <c r="R310" i="12"/>
  <c r="Q310" i="12"/>
  <c r="M310" i="12"/>
  <c r="I310" i="12"/>
  <c r="E310" i="12"/>
  <c r="Q309" i="12"/>
  <c r="M309" i="12"/>
  <c r="I309" i="12"/>
  <c r="E309" i="12"/>
  <c r="R309" i="12" s="1"/>
  <c r="R308" i="12"/>
  <c r="Q308" i="12"/>
  <c r="M308" i="12"/>
  <c r="I308" i="12"/>
  <c r="E308" i="12"/>
  <c r="Q307" i="12"/>
  <c r="M307" i="12"/>
  <c r="I307" i="12"/>
  <c r="E307" i="12"/>
  <c r="R307" i="12" s="1"/>
  <c r="Q306" i="12"/>
  <c r="M306" i="12"/>
  <c r="I306" i="12"/>
  <c r="E306" i="12"/>
  <c r="R306" i="12" s="1"/>
  <c r="O304" i="12"/>
  <c r="N304" i="12"/>
  <c r="L304" i="12"/>
  <c r="K304" i="12"/>
  <c r="J304" i="12"/>
  <c r="H304" i="12"/>
  <c r="G304" i="12"/>
  <c r="F304" i="12"/>
  <c r="I304" i="12" s="1"/>
  <c r="D304" i="12"/>
  <c r="C304" i="12"/>
  <c r="B304" i="12"/>
  <c r="E304" i="12" s="1"/>
  <c r="P303" i="12"/>
  <c r="O303" i="12"/>
  <c r="Q303" i="12" s="1"/>
  <c r="N303" i="12"/>
  <c r="M303" i="12"/>
  <c r="L303" i="12"/>
  <c r="K303" i="12"/>
  <c r="J303" i="12"/>
  <c r="H303" i="12"/>
  <c r="G303" i="12"/>
  <c r="I303" i="12" s="1"/>
  <c r="F303" i="12"/>
  <c r="E303" i="12"/>
  <c r="R303" i="12" s="1"/>
  <c r="D303" i="12"/>
  <c r="C303" i="12"/>
  <c r="B303" i="12"/>
  <c r="Q302" i="12"/>
  <c r="M302" i="12"/>
  <c r="I302" i="12"/>
  <c r="E302" i="12"/>
  <c r="R302" i="12" s="1"/>
  <c r="Q300" i="12"/>
  <c r="M300" i="12"/>
  <c r="I300" i="12"/>
  <c r="E300" i="12"/>
  <c r="R300" i="12" s="1"/>
  <c r="Q298" i="12"/>
  <c r="M298" i="12"/>
  <c r="I298" i="12"/>
  <c r="E298" i="12"/>
  <c r="Q297" i="12"/>
  <c r="M297" i="12"/>
  <c r="I297" i="12"/>
  <c r="E297" i="12"/>
  <c r="R297" i="12" s="1"/>
  <c r="R296" i="12"/>
  <c r="Q296" i="12"/>
  <c r="M296" i="12"/>
  <c r="I296" i="12"/>
  <c r="E296" i="12"/>
  <c r="Q295" i="12"/>
  <c r="M295" i="12"/>
  <c r="I295" i="12"/>
  <c r="E295" i="12"/>
  <c r="R295" i="12" s="1"/>
  <c r="Q294" i="12"/>
  <c r="M294" i="12"/>
  <c r="I294" i="12"/>
  <c r="E294" i="12"/>
  <c r="R294" i="12" s="1"/>
  <c r="Q293" i="12"/>
  <c r="M293" i="12"/>
  <c r="I293" i="12"/>
  <c r="E293" i="12"/>
  <c r="R293" i="12" s="1"/>
  <c r="Q292" i="12"/>
  <c r="M292" i="12"/>
  <c r="I292" i="12"/>
  <c r="E292" i="12"/>
  <c r="R292" i="12" s="1"/>
  <c r="P291" i="12"/>
  <c r="P868" i="12" s="1"/>
  <c r="Q868" i="12" s="1"/>
  <c r="M291" i="12"/>
  <c r="I291" i="12"/>
  <c r="E291" i="12"/>
  <c r="R289" i="12"/>
  <c r="Q289" i="12"/>
  <c r="M289" i="12"/>
  <c r="I289" i="12"/>
  <c r="E289" i="12"/>
  <c r="Q288" i="12"/>
  <c r="M288" i="12"/>
  <c r="I288" i="12"/>
  <c r="E288" i="12"/>
  <c r="Q287" i="12"/>
  <c r="M287" i="12"/>
  <c r="I287" i="12"/>
  <c r="E287" i="12"/>
  <c r="R287" i="12" s="1"/>
  <c r="O284" i="12"/>
  <c r="H284" i="12"/>
  <c r="G284" i="12"/>
  <c r="R283" i="12"/>
  <c r="Q283" i="12"/>
  <c r="M283" i="12"/>
  <c r="I283" i="12"/>
  <c r="E283" i="12"/>
  <c r="Q282" i="12"/>
  <c r="M282" i="12"/>
  <c r="I282" i="12"/>
  <c r="E282" i="12"/>
  <c r="R282" i="12" s="1"/>
  <c r="R281" i="12"/>
  <c r="Q281" i="12"/>
  <c r="M281" i="12"/>
  <c r="I281" i="12"/>
  <c r="E281" i="12"/>
  <c r="Q280" i="12"/>
  <c r="M280" i="12"/>
  <c r="I280" i="12"/>
  <c r="E280" i="12"/>
  <c r="Q279" i="12"/>
  <c r="M279" i="12"/>
  <c r="I279" i="12"/>
  <c r="E279" i="12"/>
  <c r="R279" i="12" s="1"/>
  <c r="Q278" i="12"/>
  <c r="M278" i="12"/>
  <c r="I278" i="12"/>
  <c r="R278" i="12" s="1"/>
  <c r="E278" i="12"/>
  <c r="Q277" i="12"/>
  <c r="M277" i="12"/>
  <c r="I277" i="12"/>
  <c r="E277" i="12"/>
  <c r="R277" i="12" s="1"/>
  <c r="Q276" i="12"/>
  <c r="M276" i="12"/>
  <c r="I276" i="12"/>
  <c r="E276" i="12"/>
  <c r="R276" i="12" s="1"/>
  <c r="R275" i="12"/>
  <c r="Q275" i="12"/>
  <c r="M275" i="12"/>
  <c r="I275" i="12"/>
  <c r="E275" i="12"/>
  <c r="Q274" i="12"/>
  <c r="M274" i="12"/>
  <c r="I274" i="12"/>
  <c r="E274" i="12"/>
  <c r="R273" i="12"/>
  <c r="Q273" i="12"/>
  <c r="M273" i="12"/>
  <c r="I273" i="12"/>
  <c r="E273" i="12"/>
  <c r="Q272" i="12"/>
  <c r="M272" i="12"/>
  <c r="I272" i="12"/>
  <c r="E272" i="12"/>
  <c r="R272" i="12" s="1"/>
  <c r="Q271" i="12"/>
  <c r="M271" i="12"/>
  <c r="I271" i="12"/>
  <c r="E271" i="12"/>
  <c r="R271" i="12" s="1"/>
  <c r="Q270" i="12"/>
  <c r="M270" i="12"/>
  <c r="I270" i="12"/>
  <c r="R270" i="12" s="1"/>
  <c r="E270" i="12"/>
  <c r="Q269" i="12"/>
  <c r="M269" i="12"/>
  <c r="I269" i="12"/>
  <c r="E269" i="12"/>
  <c r="Q268" i="12"/>
  <c r="M268" i="12"/>
  <c r="I268" i="12"/>
  <c r="R268" i="12" s="1"/>
  <c r="E268" i="12"/>
  <c r="R267" i="12"/>
  <c r="Q267" i="12"/>
  <c r="M267" i="12"/>
  <c r="I267" i="12"/>
  <c r="E267" i="12"/>
  <c r="Q266" i="12"/>
  <c r="M266" i="12"/>
  <c r="I266" i="12"/>
  <c r="E266" i="12"/>
  <c r="R266" i="12" s="1"/>
  <c r="P265" i="12"/>
  <c r="Q265" i="12" s="1"/>
  <c r="R265" i="12" s="1"/>
  <c r="M265" i="12"/>
  <c r="I265" i="12"/>
  <c r="E265" i="12"/>
  <c r="R264" i="12"/>
  <c r="Q264" i="12"/>
  <c r="M264" i="12"/>
  <c r="I264" i="12"/>
  <c r="E264" i="12"/>
  <c r="Q263" i="12"/>
  <c r="M263" i="12"/>
  <c r="I263" i="12"/>
  <c r="E263" i="12"/>
  <c r="R263" i="12" s="1"/>
  <c r="R262" i="12"/>
  <c r="Q262" i="12"/>
  <c r="M262" i="12"/>
  <c r="I262" i="12"/>
  <c r="E262" i="12"/>
  <c r="Q261" i="12"/>
  <c r="M261" i="12"/>
  <c r="I261" i="12"/>
  <c r="E261" i="12"/>
  <c r="R261" i="12" s="1"/>
  <c r="Q260" i="12"/>
  <c r="M260" i="12"/>
  <c r="I260" i="12"/>
  <c r="E260" i="12"/>
  <c r="R260" i="12" s="1"/>
  <c r="Q259" i="12"/>
  <c r="M259" i="12"/>
  <c r="I259" i="12"/>
  <c r="R259" i="12" s="1"/>
  <c r="E259" i="12"/>
  <c r="Q258" i="12"/>
  <c r="M258" i="12"/>
  <c r="I258" i="12"/>
  <c r="E258" i="12"/>
  <c r="R258" i="12" s="1"/>
  <c r="Q257" i="12"/>
  <c r="M257" i="12"/>
  <c r="I257" i="12"/>
  <c r="F257" i="12"/>
  <c r="E257" i="12"/>
  <c r="R257" i="12" s="1"/>
  <c r="Q256" i="12"/>
  <c r="M256" i="12"/>
  <c r="I256" i="12"/>
  <c r="R256" i="12" s="1"/>
  <c r="E256" i="12"/>
  <c r="Q255" i="12"/>
  <c r="M255" i="12"/>
  <c r="I255" i="12"/>
  <c r="E255" i="12"/>
  <c r="Q254" i="12"/>
  <c r="M254" i="12"/>
  <c r="I254" i="12"/>
  <c r="E254" i="12"/>
  <c r="R254" i="12" s="1"/>
  <c r="R253" i="12"/>
  <c r="Q253" i="12"/>
  <c r="M253" i="12"/>
  <c r="I253" i="12"/>
  <c r="E253" i="12"/>
  <c r="Q252" i="12"/>
  <c r="M252" i="12"/>
  <c r="I252" i="12"/>
  <c r="E252" i="12"/>
  <c r="R252" i="12" s="1"/>
  <c r="R251" i="12"/>
  <c r="Q251" i="12"/>
  <c r="M251" i="12"/>
  <c r="I251" i="12"/>
  <c r="E251" i="12"/>
  <c r="Q250" i="12"/>
  <c r="M250" i="12"/>
  <c r="I250" i="12"/>
  <c r="F250" i="12"/>
  <c r="E250" i="12"/>
  <c r="Q249" i="12"/>
  <c r="M249" i="12"/>
  <c r="I249" i="12"/>
  <c r="F249" i="12"/>
  <c r="E249" i="12"/>
  <c r="Q248" i="12"/>
  <c r="M248" i="12"/>
  <c r="I248" i="12"/>
  <c r="F248" i="12"/>
  <c r="F864" i="12" s="1"/>
  <c r="I864" i="12" s="1"/>
  <c r="E248" i="12"/>
  <c r="R248" i="12" s="1"/>
  <c r="Q247" i="12"/>
  <c r="M247" i="12"/>
  <c r="I247" i="12"/>
  <c r="R247" i="12" s="1"/>
  <c r="E247" i="12"/>
  <c r="Q246" i="12"/>
  <c r="M246" i="12"/>
  <c r="I246" i="12"/>
  <c r="E246" i="12"/>
  <c r="R246" i="12" s="1"/>
  <c r="Q245" i="12"/>
  <c r="M245" i="12"/>
  <c r="I245" i="12"/>
  <c r="E245" i="12"/>
  <c r="R245" i="12" s="1"/>
  <c r="R244" i="12"/>
  <c r="Q244" i="12"/>
  <c r="M244" i="12"/>
  <c r="I244" i="12"/>
  <c r="E244" i="12"/>
  <c r="Q243" i="12"/>
  <c r="M243" i="12"/>
  <c r="I243" i="12"/>
  <c r="E243" i="12"/>
  <c r="R243" i="12" s="1"/>
  <c r="R242" i="12"/>
  <c r="Q242" i="12"/>
  <c r="M242" i="12"/>
  <c r="I242" i="12"/>
  <c r="E242" i="12"/>
  <c r="Q241" i="12"/>
  <c r="M241" i="12"/>
  <c r="I241" i="12"/>
  <c r="R241" i="12" s="1"/>
  <c r="E241" i="12"/>
  <c r="Q240" i="12"/>
  <c r="M240" i="12"/>
  <c r="I240" i="12"/>
  <c r="E240" i="12"/>
  <c r="R240" i="12" s="1"/>
  <c r="Q239" i="12"/>
  <c r="M239" i="12"/>
  <c r="I239" i="12"/>
  <c r="R239" i="12" s="1"/>
  <c r="E239" i="12"/>
  <c r="Q238" i="12"/>
  <c r="M238" i="12"/>
  <c r="I238" i="12"/>
  <c r="E238" i="12"/>
  <c r="R238" i="12" s="1"/>
  <c r="Q237" i="12"/>
  <c r="M237" i="12"/>
  <c r="I237" i="12"/>
  <c r="E237" i="12"/>
  <c r="R237" i="12" s="1"/>
  <c r="R236" i="12"/>
  <c r="Q236" i="12"/>
  <c r="M236" i="12"/>
  <c r="I236" i="12"/>
  <c r="E236" i="12"/>
  <c r="Q235" i="12"/>
  <c r="M235" i="12"/>
  <c r="I235" i="12"/>
  <c r="E235" i="12"/>
  <c r="R235" i="12" s="1"/>
  <c r="R234" i="12"/>
  <c r="Q234" i="12"/>
  <c r="M234" i="12"/>
  <c r="I234" i="12"/>
  <c r="E234" i="12"/>
  <c r="Q233" i="12"/>
  <c r="M233" i="12"/>
  <c r="I233" i="12"/>
  <c r="E233" i="12"/>
  <c r="Q232" i="12"/>
  <c r="M232" i="12"/>
  <c r="I232" i="12"/>
  <c r="E232" i="12"/>
  <c r="R232" i="12" s="1"/>
  <c r="Q231" i="12"/>
  <c r="M231" i="12"/>
  <c r="I231" i="12"/>
  <c r="R231" i="12" s="1"/>
  <c r="E231" i="12"/>
  <c r="Q230" i="12"/>
  <c r="M230" i="12"/>
  <c r="I230" i="12"/>
  <c r="E230" i="12"/>
  <c r="Q229" i="12"/>
  <c r="M229" i="12"/>
  <c r="I229" i="12"/>
  <c r="E229" i="12"/>
  <c r="R229" i="12" s="1"/>
  <c r="R228" i="12"/>
  <c r="Q228" i="12"/>
  <c r="M228" i="12"/>
  <c r="I228" i="12"/>
  <c r="E228" i="12"/>
  <c r="Q227" i="12"/>
  <c r="M227" i="12"/>
  <c r="I227" i="12"/>
  <c r="E227" i="12"/>
  <c r="R227" i="12" s="1"/>
  <c r="R226" i="12"/>
  <c r="Q226" i="12"/>
  <c r="M226" i="12"/>
  <c r="I226" i="12"/>
  <c r="E226" i="12"/>
  <c r="Q225" i="12"/>
  <c r="M225" i="12"/>
  <c r="I225" i="12"/>
  <c r="R225" i="12" s="1"/>
  <c r="E225" i="12"/>
  <c r="Q224" i="12"/>
  <c r="M224" i="12"/>
  <c r="I224" i="12"/>
  <c r="E224" i="12"/>
  <c r="R224" i="12" s="1"/>
  <c r="Q223" i="12"/>
  <c r="P223" i="12"/>
  <c r="P864" i="12" s="1"/>
  <c r="N223" i="12"/>
  <c r="N864" i="12" s="1"/>
  <c r="Q864" i="12" s="1"/>
  <c r="L223" i="12"/>
  <c r="L864" i="12" s="1"/>
  <c r="L865" i="12" s="1"/>
  <c r="L894" i="12" s="1"/>
  <c r="K223" i="12"/>
  <c r="K864" i="12" s="1"/>
  <c r="J223" i="12"/>
  <c r="I223" i="12"/>
  <c r="E223" i="12"/>
  <c r="D223" i="12"/>
  <c r="D864" i="12" s="1"/>
  <c r="C223" i="12"/>
  <c r="C864" i="12" s="1"/>
  <c r="B223" i="12"/>
  <c r="B864" i="12" s="1"/>
  <c r="Q222" i="12"/>
  <c r="M222" i="12"/>
  <c r="R222" i="12" s="1"/>
  <c r="I222" i="12"/>
  <c r="E222" i="12"/>
  <c r="Q221" i="12"/>
  <c r="M221" i="12"/>
  <c r="I221" i="12"/>
  <c r="R221" i="12" s="1"/>
  <c r="E221" i="12"/>
  <c r="R220" i="12"/>
  <c r="Q220" i="12"/>
  <c r="M220" i="12"/>
  <c r="I220" i="12"/>
  <c r="E220" i="12"/>
  <c r="P216" i="12"/>
  <c r="O216" i="12"/>
  <c r="Q216" i="12" s="1"/>
  <c r="N216" i="12"/>
  <c r="M216" i="12"/>
  <c r="L216" i="12"/>
  <c r="K216" i="12"/>
  <c r="J216" i="12"/>
  <c r="I216" i="12"/>
  <c r="D216" i="12"/>
  <c r="C216" i="12"/>
  <c r="B216" i="12"/>
  <c r="E216" i="12" s="1"/>
  <c r="R216" i="12" s="1"/>
  <c r="Q214" i="12"/>
  <c r="M214" i="12"/>
  <c r="I214" i="12"/>
  <c r="R214" i="12" s="1"/>
  <c r="E214" i="12"/>
  <c r="R213" i="12"/>
  <c r="Q213" i="12"/>
  <c r="M213" i="12"/>
  <c r="I213" i="12"/>
  <c r="E213" i="12"/>
  <c r="Q207" i="12"/>
  <c r="M207" i="12"/>
  <c r="I207" i="12"/>
  <c r="E207" i="12"/>
  <c r="R207" i="12" s="1"/>
  <c r="Q206" i="12"/>
  <c r="M206" i="12"/>
  <c r="I206" i="12"/>
  <c r="R206" i="12" s="1"/>
  <c r="E206" i="12"/>
  <c r="R205" i="12"/>
  <c r="Q205" i="12"/>
  <c r="M205" i="12"/>
  <c r="I205" i="12"/>
  <c r="E205" i="12"/>
  <c r="Q203" i="12"/>
  <c r="M203" i="12"/>
  <c r="I203" i="12"/>
  <c r="R203" i="12" s="1"/>
  <c r="E203" i="12"/>
  <c r="R202" i="12"/>
  <c r="Q202" i="12"/>
  <c r="M202" i="12"/>
  <c r="I202" i="12"/>
  <c r="E202" i="12"/>
  <c r="Q201" i="12"/>
  <c r="M201" i="12"/>
  <c r="I201" i="12"/>
  <c r="E201" i="12"/>
  <c r="Q200" i="12"/>
  <c r="M200" i="12"/>
  <c r="I200" i="12"/>
  <c r="E200" i="12"/>
  <c r="R200" i="12" s="1"/>
  <c r="Q199" i="12"/>
  <c r="M199" i="12"/>
  <c r="I199" i="12"/>
  <c r="E199" i="12"/>
  <c r="R199" i="12" s="1"/>
  <c r="Q198" i="12"/>
  <c r="M198" i="12"/>
  <c r="I198" i="12"/>
  <c r="E198" i="12"/>
  <c r="R198" i="12" s="1"/>
  <c r="Q197" i="12"/>
  <c r="M197" i="12"/>
  <c r="I197" i="12"/>
  <c r="R197" i="12" s="1"/>
  <c r="E197" i="12"/>
  <c r="Q196" i="12"/>
  <c r="M196" i="12"/>
  <c r="R196" i="12" s="1"/>
  <c r="I196" i="12"/>
  <c r="E196" i="12"/>
  <c r="Q195" i="12"/>
  <c r="M195" i="12"/>
  <c r="I195" i="12"/>
  <c r="R195" i="12" s="1"/>
  <c r="E195" i="12"/>
  <c r="R194" i="12"/>
  <c r="Q194" i="12"/>
  <c r="M194" i="12"/>
  <c r="I194" i="12"/>
  <c r="E194" i="12"/>
  <c r="Q193" i="12"/>
  <c r="M193" i="12"/>
  <c r="I193" i="12"/>
  <c r="E193" i="12"/>
  <c r="Q192" i="12"/>
  <c r="M192" i="12"/>
  <c r="I192" i="12"/>
  <c r="E192" i="12"/>
  <c r="R192" i="12" s="1"/>
  <c r="Q190" i="12"/>
  <c r="M190" i="12"/>
  <c r="I190" i="12"/>
  <c r="E190" i="12"/>
  <c r="Q189" i="12"/>
  <c r="M189" i="12"/>
  <c r="I189" i="12"/>
  <c r="E189" i="12"/>
  <c r="Q188" i="12"/>
  <c r="M188" i="12"/>
  <c r="H188" i="12"/>
  <c r="G188" i="12"/>
  <c r="F188" i="12"/>
  <c r="I188" i="12" s="1"/>
  <c r="R188" i="12" s="1"/>
  <c r="E188" i="12"/>
  <c r="Q187" i="12"/>
  <c r="M187" i="12"/>
  <c r="I187" i="12"/>
  <c r="E187" i="12"/>
  <c r="R187" i="12" s="1"/>
  <c r="Q186" i="12"/>
  <c r="M186" i="12"/>
  <c r="I186" i="12"/>
  <c r="E186" i="12"/>
  <c r="R186" i="12" s="1"/>
  <c r="Q185" i="12"/>
  <c r="M185" i="12"/>
  <c r="I185" i="12"/>
  <c r="E185" i="12"/>
  <c r="R185" i="12" s="1"/>
  <c r="Q184" i="12"/>
  <c r="M184" i="12"/>
  <c r="I184" i="12"/>
  <c r="R184" i="12" s="1"/>
  <c r="E184" i="12"/>
  <c r="P183" i="12"/>
  <c r="O183" i="12"/>
  <c r="N183" i="12"/>
  <c r="Q183" i="12" s="1"/>
  <c r="L183" i="12"/>
  <c r="K183" i="12"/>
  <c r="J183" i="12"/>
  <c r="M183" i="12" s="1"/>
  <c r="H183" i="12"/>
  <c r="G183" i="12"/>
  <c r="F183" i="12"/>
  <c r="E183" i="12"/>
  <c r="Q182" i="12"/>
  <c r="M182" i="12"/>
  <c r="I182" i="12"/>
  <c r="E182" i="12"/>
  <c r="R182" i="12" s="1"/>
  <c r="P181" i="12"/>
  <c r="O181" i="12"/>
  <c r="Q181" i="12" s="1"/>
  <c r="N181" i="12"/>
  <c r="M181" i="12"/>
  <c r="L181" i="12"/>
  <c r="K181" i="12"/>
  <c r="J181" i="12"/>
  <c r="H181" i="12"/>
  <c r="H209" i="12" s="1"/>
  <c r="H305" i="12" s="1"/>
  <c r="H313" i="12" s="1"/>
  <c r="G181" i="12"/>
  <c r="I181" i="12" s="1"/>
  <c r="R181" i="12" s="1"/>
  <c r="E181" i="12"/>
  <c r="P180" i="12"/>
  <c r="O180" i="12"/>
  <c r="N180" i="12"/>
  <c r="N850" i="12" s="1"/>
  <c r="L180" i="12"/>
  <c r="M180" i="12" s="1"/>
  <c r="G180" i="12"/>
  <c r="I180" i="12" s="1"/>
  <c r="D180" i="12"/>
  <c r="C180" i="12"/>
  <c r="C850" i="12" s="1"/>
  <c r="C856" i="12" s="1"/>
  <c r="B180" i="12"/>
  <c r="B850" i="12" s="1"/>
  <c r="Q179" i="12"/>
  <c r="M179" i="12"/>
  <c r="I179" i="12"/>
  <c r="R179" i="12" s="1"/>
  <c r="E179" i="12"/>
  <c r="R178" i="12"/>
  <c r="Q178" i="12"/>
  <c r="M178" i="12"/>
  <c r="I178" i="12"/>
  <c r="E178" i="12"/>
  <c r="Q177" i="12"/>
  <c r="M177" i="12"/>
  <c r="I177" i="12"/>
  <c r="E177" i="12"/>
  <c r="R177" i="12" s="1"/>
  <c r="Q176" i="12"/>
  <c r="M176" i="12"/>
  <c r="I176" i="12"/>
  <c r="E176" i="12"/>
  <c r="R176" i="12" s="1"/>
  <c r="Q175" i="12"/>
  <c r="M175" i="12"/>
  <c r="I175" i="12"/>
  <c r="E175" i="12"/>
  <c r="R175" i="12" s="1"/>
  <c r="Q174" i="12"/>
  <c r="M174" i="12"/>
  <c r="I174" i="12"/>
  <c r="E174" i="12"/>
  <c r="R174" i="12" s="1"/>
  <c r="Q173" i="12"/>
  <c r="M173" i="12"/>
  <c r="I173" i="12"/>
  <c r="R173" i="12" s="1"/>
  <c r="E173" i="12"/>
  <c r="R172" i="12"/>
  <c r="Q172" i="12"/>
  <c r="M172" i="12"/>
  <c r="L172" i="12"/>
  <c r="L209" i="12" s="1"/>
  <c r="K172" i="12"/>
  <c r="J172" i="12"/>
  <c r="I172" i="12"/>
  <c r="E172" i="12"/>
  <c r="R171" i="12"/>
  <c r="Q171" i="12"/>
  <c r="M171" i="12"/>
  <c r="I171" i="12"/>
  <c r="E171" i="12"/>
  <c r="Q170" i="12"/>
  <c r="M170" i="12"/>
  <c r="I170" i="12"/>
  <c r="R170" i="12" s="1"/>
  <c r="E170" i="12"/>
  <c r="R169" i="12"/>
  <c r="Q169" i="12"/>
  <c r="M169" i="12"/>
  <c r="I169" i="12"/>
  <c r="E169" i="12"/>
  <c r="Q168" i="12"/>
  <c r="M168" i="12"/>
  <c r="I168" i="12"/>
  <c r="E168" i="12"/>
  <c r="Q167" i="12"/>
  <c r="M167" i="12"/>
  <c r="I167" i="12"/>
  <c r="E167" i="12"/>
  <c r="R167" i="12" s="1"/>
  <c r="Q166" i="12"/>
  <c r="M166" i="12"/>
  <c r="I166" i="12"/>
  <c r="E166" i="12"/>
  <c r="Q165" i="12"/>
  <c r="M165" i="12"/>
  <c r="I165" i="12"/>
  <c r="E165" i="12"/>
  <c r="Q164" i="12"/>
  <c r="M164" i="12"/>
  <c r="I164" i="12"/>
  <c r="R164" i="12" s="1"/>
  <c r="E164" i="12"/>
  <c r="Q163" i="12"/>
  <c r="M163" i="12"/>
  <c r="I163" i="12"/>
  <c r="E163" i="12"/>
  <c r="R163" i="12" s="1"/>
  <c r="Q162" i="12"/>
  <c r="M162" i="12"/>
  <c r="I162" i="12"/>
  <c r="R162" i="12" s="1"/>
  <c r="E162" i="12"/>
  <c r="R161" i="12"/>
  <c r="Q161" i="12"/>
  <c r="M161" i="12"/>
  <c r="I161" i="12"/>
  <c r="E161" i="12"/>
  <c r="Q160" i="12"/>
  <c r="M160" i="12"/>
  <c r="I160" i="12"/>
  <c r="E160" i="12"/>
  <c r="Q159" i="12"/>
  <c r="M159" i="12"/>
  <c r="I159" i="12"/>
  <c r="E159" i="12"/>
  <c r="R159" i="12" s="1"/>
  <c r="Q158" i="12"/>
  <c r="M158" i="12"/>
  <c r="I158" i="12"/>
  <c r="E158" i="12"/>
  <c r="Q157" i="12"/>
  <c r="M157" i="12"/>
  <c r="G157" i="12"/>
  <c r="G209" i="12" s="1"/>
  <c r="G305" i="12" s="1"/>
  <c r="G313" i="12" s="1"/>
  <c r="F157" i="12"/>
  <c r="E157" i="12"/>
  <c r="Q156" i="12"/>
  <c r="M156" i="12"/>
  <c r="I156" i="12"/>
  <c r="E156" i="12"/>
  <c r="R155" i="12"/>
  <c r="Q155" i="12"/>
  <c r="M155" i="12"/>
  <c r="I155" i="12"/>
  <c r="E155" i="12"/>
  <c r="Q154" i="12"/>
  <c r="M154" i="12"/>
  <c r="I154" i="12"/>
  <c r="E154" i="12"/>
  <c r="R154" i="12" s="1"/>
  <c r="R153" i="12"/>
  <c r="Q153" i="12"/>
  <c r="M153" i="12"/>
  <c r="I153" i="12"/>
  <c r="E153" i="12"/>
  <c r="P152" i="12"/>
  <c r="O152" i="12"/>
  <c r="O850" i="12" s="1"/>
  <c r="O856" i="12" s="1"/>
  <c r="M152" i="12"/>
  <c r="I152" i="12"/>
  <c r="E152" i="12"/>
  <c r="Q151" i="12"/>
  <c r="M151" i="12"/>
  <c r="I151" i="12"/>
  <c r="E151" i="12"/>
  <c r="R151" i="12" s="1"/>
  <c r="Q150" i="12"/>
  <c r="M150" i="12"/>
  <c r="I150" i="12"/>
  <c r="E150" i="12"/>
  <c r="Q149" i="12"/>
  <c r="M149" i="12"/>
  <c r="I149" i="12"/>
  <c r="E149" i="12"/>
  <c r="R149" i="12" s="1"/>
  <c r="Q148" i="12"/>
  <c r="M148" i="12"/>
  <c r="I148" i="12"/>
  <c r="E148" i="12"/>
  <c r="Q147" i="12"/>
  <c r="M147" i="12"/>
  <c r="R147" i="12" s="1"/>
  <c r="I147" i="12"/>
  <c r="E147" i="12"/>
  <c r="Q146" i="12"/>
  <c r="M146" i="12"/>
  <c r="I146" i="12"/>
  <c r="E146" i="12"/>
  <c r="R146" i="12" s="1"/>
  <c r="Q145" i="12"/>
  <c r="M145" i="12"/>
  <c r="R145" i="12" s="1"/>
  <c r="I145" i="12"/>
  <c r="E145" i="12"/>
  <c r="Q144" i="12"/>
  <c r="M144" i="12"/>
  <c r="I144" i="12"/>
  <c r="E144" i="12"/>
  <c r="R143" i="12"/>
  <c r="Q143" i="12"/>
  <c r="M143" i="12"/>
  <c r="I143" i="12"/>
  <c r="E143" i="12"/>
  <c r="Q142" i="12"/>
  <c r="M142" i="12"/>
  <c r="I142" i="12"/>
  <c r="R142" i="12" s="1"/>
  <c r="E142" i="12"/>
  <c r="R141" i="12"/>
  <c r="Q141" i="12"/>
  <c r="M141" i="12"/>
  <c r="I141" i="12"/>
  <c r="E141" i="12"/>
  <c r="Q129" i="12"/>
  <c r="M129" i="12"/>
  <c r="I129" i="12"/>
  <c r="E129" i="12"/>
  <c r="N128" i="12"/>
  <c r="B128" i="12"/>
  <c r="B131" i="12" s="1"/>
  <c r="Q127" i="12"/>
  <c r="P127" i="12"/>
  <c r="O127" i="12"/>
  <c r="N127" i="12"/>
  <c r="L127" i="12"/>
  <c r="K127" i="12"/>
  <c r="M127" i="12" s="1"/>
  <c r="J127" i="12"/>
  <c r="I127" i="12"/>
  <c r="H127" i="12"/>
  <c r="G127" i="12"/>
  <c r="F127" i="12"/>
  <c r="D127" i="12"/>
  <c r="C127" i="12"/>
  <c r="E127" i="12" s="1"/>
  <c r="R127" i="12" s="1"/>
  <c r="B127" i="12"/>
  <c r="P126" i="12"/>
  <c r="O126" i="12"/>
  <c r="N126" i="12"/>
  <c r="Q126" i="12" s="1"/>
  <c r="L126" i="12"/>
  <c r="K126" i="12"/>
  <c r="J126" i="12"/>
  <c r="M126" i="12" s="1"/>
  <c r="H126" i="12"/>
  <c r="G126" i="12"/>
  <c r="F126" i="12"/>
  <c r="D126" i="12"/>
  <c r="C126" i="12"/>
  <c r="B126" i="12"/>
  <c r="Q125" i="12"/>
  <c r="M125" i="12"/>
  <c r="I125" i="12"/>
  <c r="R125" i="12" s="1"/>
  <c r="E125" i="12"/>
  <c r="Q124" i="12"/>
  <c r="M124" i="12"/>
  <c r="I124" i="12"/>
  <c r="E124" i="12"/>
  <c r="R124" i="12" s="1"/>
  <c r="R122" i="12"/>
  <c r="Q122" i="12"/>
  <c r="M122" i="12"/>
  <c r="I122" i="12"/>
  <c r="E122" i="12"/>
  <c r="Q120" i="12"/>
  <c r="M120" i="12"/>
  <c r="I120" i="12"/>
  <c r="E120" i="12"/>
  <c r="R120" i="12" s="1"/>
  <c r="Q119" i="12"/>
  <c r="M119" i="12"/>
  <c r="I119" i="12"/>
  <c r="E119" i="12"/>
  <c r="R119" i="12" s="1"/>
  <c r="Q117" i="12"/>
  <c r="M117" i="12"/>
  <c r="R117" i="12" s="1"/>
  <c r="I117" i="12"/>
  <c r="E117" i="12"/>
  <c r="Q116" i="12"/>
  <c r="M116" i="12"/>
  <c r="I116" i="12"/>
  <c r="E116" i="12"/>
  <c r="R116" i="12" s="1"/>
  <c r="R115" i="12"/>
  <c r="Q115" i="12"/>
  <c r="M115" i="12"/>
  <c r="I115" i="12"/>
  <c r="E115" i="12"/>
  <c r="Q114" i="12"/>
  <c r="M114" i="12"/>
  <c r="I114" i="12"/>
  <c r="R114" i="12" s="1"/>
  <c r="E114" i="12"/>
  <c r="Q113" i="12"/>
  <c r="M113" i="12"/>
  <c r="I113" i="12"/>
  <c r="E113" i="12"/>
  <c r="R113" i="12" s="1"/>
  <c r="R112" i="12"/>
  <c r="Q112" i="12"/>
  <c r="M112" i="12"/>
  <c r="I112" i="12"/>
  <c r="E112" i="12"/>
  <c r="Q111" i="12"/>
  <c r="M111" i="12"/>
  <c r="I111" i="12"/>
  <c r="E111" i="12"/>
  <c r="R111" i="12" s="1"/>
  <c r="Q110" i="12"/>
  <c r="M110" i="12"/>
  <c r="I110" i="12"/>
  <c r="E110" i="12"/>
  <c r="R110" i="12" s="1"/>
  <c r="Q107" i="12"/>
  <c r="P107" i="12"/>
  <c r="O107" i="12"/>
  <c r="N107" i="12"/>
  <c r="M107" i="12"/>
  <c r="L107" i="12"/>
  <c r="K107" i="12"/>
  <c r="J107" i="12"/>
  <c r="I107" i="12"/>
  <c r="H107" i="12"/>
  <c r="G107" i="12"/>
  <c r="F107" i="12"/>
  <c r="E107" i="12"/>
  <c r="R107" i="12" s="1"/>
  <c r="D107" i="12"/>
  <c r="C107" i="12"/>
  <c r="B107" i="12"/>
  <c r="R106" i="12"/>
  <c r="Q106" i="12"/>
  <c r="M106" i="12"/>
  <c r="I106" i="12"/>
  <c r="E106" i="12"/>
  <c r="Q105" i="12"/>
  <c r="M105" i="12"/>
  <c r="I105" i="12"/>
  <c r="E105" i="12"/>
  <c r="R105" i="12" s="1"/>
  <c r="Q104" i="12"/>
  <c r="M104" i="12"/>
  <c r="I104" i="12"/>
  <c r="E104" i="12"/>
  <c r="R104" i="12" s="1"/>
  <c r="Q103" i="12"/>
  <c r="M103" i="12"/>
  <c r="R103" i="12" s="1"/>
  <c r="I103" i="12"/>
  <c r="E103" i="12"/>
  <c r="Q102" i="12"/>
  <c r="M102" i="12"/>
  <c r="I102" i="12"/>
  <c r="E102" i="12"/>
  <c r="R102" i="12" s="1"/>
  <c r="R101" i="12"/>
  <c r="Q101" i="12"/>
  <c r="M101" i="12"/>
  <c r="I101" i="12"/>
  <c r="E101" i="12"/>
  <c r="Q100" i="12"/>
  <c r="M100" i="12"/>
  <c r="I100" i="12"/>
  <c r="R100" i="12" s="1"/>
  <c r="E100" i="12"/>
  <c r="Q96" i="12"/>
  <c r="P96" i="12"/>
  <c r="O96" i="12"/>
  <c r="N96" i="12"/>
  <c r="M96" i="12"/>
  <c r="L96" i="12"/>
  <c r="K96" i="12"/>
  <c r="J96" i="12"/>
  <c r="I96" i="12"/>
  <c r="H96" i="12"/>
  <c r="G96" i="12"/>
  <c r="F96" i="12"/>
  <c r="E96" i="12"/>
  <c r="R96" i="12" s="1"/>
  <c r="D96" i="12"/>
  <c r="C96" i="12"/>
  <c r="B96" i="12"/>
  <c r="Q94" i="12"/>
  <c r="M94" i="12"/>
  <c r="I94" i="12"/>
  <c r="E94" i="12"/>
  <c r="R94" i="12" s="1"/>
  <c r="R93" i="12"/>
  <c r="Q93" i="12"/>
  <c r="M93" i="12"/>
  <c r="I93" i="12"/>
  <c r="E93" i="12"/>
  <c r="P89" i="12"/>
  <c r="P128" i="12" s="1"/>
  <c r="P131" i="12" s="1"/>
  <c r="O89" i="12"/>
  <c r="O128" i="12" s="1"/>
  <c r="O131" i="12" s="1"/>
  <c r="N89" i="12"/>
  <c r="L89" i="12"/>
  <c r="L128" i="12" s="1"/>
  <c r="L131" i="12" s="1"/>
  <c r="K89" i="12"/>
  <c r="K128" i="12" s="1"/>
  <c r="K131" i="12" s="1"/>
  <c r="J89" i="12"/>
  <c r="J128" i="12" s="1"/>
  <c r="H89" i="12"/>
  <c r="H128" i="12" s="1"/>
  <c r="H131" i="12" s="1"/>
  <c r="G89" i="12"/>
  <c r="G128" i="12" s="1"/>
  <c r="G131" i="12" s="1"/>
  <c r="F89" i="12"/>
  <c r="F128" i="12" s="1"/>
  <c r="D89" i="12"/>
  <c r="D128" i="12" s="1"/>
  <c r="D131" i="12" s="1"/>
  <c r="C89" i="12"/>
  <c r="C128" i="12" s="1"/>
  <c r="C131" i="12" s="1"/>
  <c r="B89" i="12"/>
  <c r="E89" i="12" s="1"/>
  <c r="Q87" i="12"/>
  <c r="M87" i="12"/>
  <c r="R87" i="12" s="1"/>
  <c r="I87" i="12"/>
  <c r="E87" i="12"/>
  <c r="Q86" i="12"/>
  <c r="M86" i="12"/>
  <c r="I86" i="12"/>
  <c r="E86" i="12"/>
  <c r="R86" i="12" s="1"/>
  <c r="R84" i="12"/>
  <c r="Q84" i="12"/>
  <c r="M84" i="12"/>
  <c r="I84" i="12"/>
  <c r="E84" i="12"/>
  <c r="Q82" i="12"/>
  <c r="M82" i="12"/>
  <c r="R82" i="12" s="1"/>
  <c r="I82" i="12"/>
  <c r="E82" i="12"/>
  <c r="Q81" i="12"/>
  <c r="M81" i="12"/>
  <c r="I81" i="12"/>
  <c r="E81" i="12"/>
  <c r="R81" i="12" s="1"/>
  <c r="R80" i="12"/>
  <c r="Q80" i="12"/>
  <c r="M80" i="12"/>
  <c r="I80" i="12"/>
  <c r="E80" i="12"/>
  <c r="Q79" i="12"/>
  <c r="M79" i="12"/>
  <c r="I79" i="12"/>
  <c r="R79" i="12" s="1"/>
  <c r="E79" i="12"/>
  <c r="Q78" i="12"/>
  <c r="M78" i="12"/>
  <c r="I78" i="12"/>
  <c r="E78" i="12"/>
  <c r="R78" i="12" s="1"/>
  <c r="R77" i="12"/>
  <c r="Q77" i="12"/>
  <c r="M77" i="12"/>
  <c r="I77" i="12"/>
  <c r="E77" i="12"/>
  <c r="Q76" i="12"/>
  <c r="M76" i="12"/>
  <c r="I76" i="12"/>
  <c r="E76" i="12"/>
  <c r="R76" i="12" s="1"/>
  <c r="Q75" i="12"/>
  <c r="M75" i="12"/>
  <c r="I75" i="12"/>
  <c r="E75" i="12"/>
  <c r="R75" i="12" s="1"/>
  <c r="Q74" i="12"/>
  <c r="M74" i="12"/>
  <c r="R74" i="12" s="1"/>
  <c r="I74" i="12"/>
  <c r="E74" i="12"/>
  <c r="Q73" i="12"/>
  <c r="M73" i="12"/>
  <c r="I73" i="12"/>
  <c r="E73" i="12"/>
  <c r="R73" i="12" s="1"/>
  <c r="R72" i="12"/>
  <c r="Q72" i="12"/>
  <c r="M72" i="12"/>
  <c r="I72" i="12"/>
  <c r="E72" i="12"/>
  <c r="R60" i="12"/>
  <c r="Q60" i="12"/>
  <c r="M60" i="12"/>
  <c r="I60" i="12"/>
  <c r="E60" i="12"/>
  <c r="P58" i="12"/>
  <c r="O58" i="12"/>
  <c r="Q58" i="12" s="1"/>
  <c r="N58" i="12"/>
  <c r="L58" i="12"/>
  <c r="K58" i="12"/>
  <c r="J58" i="12"/>
  <c r="M58" i="12" s="1"/>
  <c r="H58" i="12"/>
  <c r="G58" i="12"/>
  <c r="I58" i="12" s="1"/>
  <c r="F58" i="12"/>
  <c r="D58" i="12"/>
  <c r="C58" i="12"/>
  <c r="B58" i="12"/>
  <c r="E58" i="12" s="1"/>
  <c r="Q57" i="12"/>
  <c r="P57" i="12"/>
  <c r="O57" i="12"/>
  <c r="N57" i="12"/>
  <c r="M57" i="12"/>
  <c r="L57" i="12"/>
  <c r="K57" i="12"/>
  <c r="J57" i="12"/>
  <c r="I57" i="12"/>
  <c r="H57" i="12"/>
  <c r="G57" i="12"/>
  <c r="F57" i="12"/>
  <c r="E57" i="12"/>
  <c r="R57" i="12" s="1"/>
  <c r="D57" i="12"/>
  <c r="C57" i="12"/>
  <c r="B57" i="12"/>
  <c r="R54" i="12"/>
  <c r="Q54" i="12"/>
  <c r="M54" i="12"/>
  <c r="I54" i="12"/>
  <c r="E54" i="12"/>
  <c r="P50" i="12"/>
  <c r="O50" i="12"/>
  <c r="O59" i="12" s="1"/>
  <c r="O62" i="12" s="1"/>
  <c r="N50" i="12"/>
  <c r="N59" i="12" s="1"/>
  <c r="L50" i="12"/>
  <c r="K50" i="12"/>
  <c r="K59" i="12" s="1"/>
  <c r="K62" i="12" s="1"/>
  <c r="J50" i="12"/>
  <c r="M50" i="12" s="1"/>
  <c r="H50" i="12"/>
  <c r="G50" i="12"/>
  <c r="G59" i="12" s="1"/>
  <c r="G62" i="12" s="1"/>
  <c r="F50" i="12"/>
  <c r="F59" i="12" s="1"/>
  <c r="D50" i="12"/>
  <c r="C50" i="12"/>
  <c r="C59" i="12" s="1"/>
  <c r="C62" i="12" s="1"/>
  <c r="B50" i="12"/>
  <c r="E50" i="12" s="1"/>
  <c r="P46" i="12"/>
  <c r="O46" i="12"/>
  <c r="Q46" i="12" s="1"/>
  <c r="N46" i="12"/>
  <c r="L46" i="12"/>
  <c r="K46" i="12"/>
  <c r="J46" i="12"/>
  <c r="M46" i="12" s="1"/>
  <c r="H46" i="12"/>
  <c r="G46" i="12"/>
  <c r="I46" i="12" s="1"/>
  <c r="F46" i="12"/>
  <c r="D46" i="12"/>
  <c r="C46" i="12"/>
  <c r="B46" i="12"/>
  <c r="E46" i="12" s="1"/>
  <c r="Q41" i="12"/>
  <c r="P41" i="12"/>
  <c r="P59" i="12" s="1"/>
  <c r="P62" i="12" s="1"/>
  <c r="O41" i="12"/>
  <c r="N41" i="12"/>
  <c r="M41" i="12"/>
  <c r="L41" i="12"/>
  <c r="L59" i="12" s="1"/>
  <c r="L62" i="12" s="1"/>
  <c r="K41" i="12"/>
  <c r="J41" i="12"/>
  <c r="J59" i="12" s="1"/>
  <c r="I41" i="12"/>
  <c r="H41" i="12"/>
  <c r="H59" i="12" s="1"/>
  <c r="H62" i="12" s="1"/>
  <c r="G41" i="12"/>
  <c r="F41" i="12"/>
  <c r="E41" i="12"/>
  <c r="R41" i="12" s="1"/>
  <c r="D41" i="12"/>
  <c r="D59" i="12" s="1"/>
  <c r="D62" i="12" s="1"/>
  <c r="C41" i="12"/>
  <c r="B41" i="12"/>
  <c r="B59" i="12" s="1"/>
  <c r="R38" i="12"/>
  <c r="Q38" i="12"/>
  <c r="M38" i="12"/>
  <c r="I38" i="12"/>
  <c r="E38" i="12"/>
  <c r="P27" i="12"/>
  <c r="O27" i="12"/>
  <c r="N27" i="12"/>
  <c r="L27" i="12"/>
  <c r="K27" i="12"/>
  <c r="J27" i="12"/>
  <c r="M27" i="12" s="1"/>
  <c r="H27" i="12"/>
  <c r="G27" i="12"/>
  <c r="F27" i="12"/>
  <c r="D27" i="12"/>
  <c r="C27" i="12"/>
  <c r="B27" i="12"/>
  <c r="E27" i="12" s="1"/>
  <c r="Q25" i="12"/>
  <c r="M25" i="12"/>
  <c r="R25" i="12" s="1"/>
  <c r="I25" i="12"/>
  <c r="E25" i="12"/>
  <c r="Q20" i="12"/>
  <c r="M20" i="12"/>
  <c r="I20" i="12"/>
  <c r="E20" i="12"/>
  <c r="R20" i="12" s="1"/>
  <c r="P18" i="12"/>
  <c r="O18" i="12"/>
  <c r="N18" i="12"/>
  <c r="Q18" i="12" s="1"/>
  <c r="L18" i="12"/>
  <c r="K18" i="12"/>
  <c r="M18" i="12" s="1"/>
  <c r="J18" i="12"/>
  <c r="H18" i="12"/>
  <c r="G18" i="12"/>
  <c r="F18" i="12"/>
  <c r="I18" i="12" s="1"/>
  <c r="D18" i="12"/>
  <c r="C18" i="12"/>
  <c r="E18" i="12" s="1"/>
  <c r="B18" i="12"/>
  <c r="Q17" i="12"/>
  <c r="P17" i="12"/>
  <c r="O17" i="12"/>
  <c r="N17" i="12"/>
  <c r="M17" i="12"/>
  <c r="L17" i="12"/>
  <c r="K17" i="12"/>
  <c r="J17" i="12"/>
  <c r="I17" i="12"/>
  <c r="H17" i="12"/>
  <c r="G17" i="12"/>
  <c r="F17" i="12"/>
  <c r="E17" i="12"/>
  <c r="R17" i="12" s="1"/>
  <c r="D17" i="12"/>
  <c r="C17" i="12"/>
  <c r="B17" i="12"/>
  <c r="P16" i="12"/>
  <c r="O16" i="12"/>
  <c r="N16" i="12"/>
  <c r="Q16" i="12" s="1"/>
  <c r="M16" i="12"/>
  <c r="L16" i="12"/>
  <c r="K16" i="12"/>
  <c r="J16" i="12"/>
  <c r="H16" i="12"/>
  <c r="G16" i="12"/>
  <c r="F16" i="12"/>
  <c r="I16" i="12" s="1"/>
  <c r="E16" i="12"/>
  <c r="D16" i="12"/>
  <c r="C16" i="12"/>
  <c r="B16" i="12"/>
  <c r="P15" i="12"/>
  <c r="O15" i="12"/>
  <c r="N15" i="12"/>
  <c r="Q15" i="12" s="1"/>
  <c r="L15" i="12"/>
  <c r="K15" i="12"/>
  <c r="J15" i="12"/>
  <c r="M15" i="12" s="1"/>
  <c r="H15" i="12"/>
  <c r="G15" i="12"/>
  <c r="F15" i="12"/>
  <c r="I15" i="12" s="1"/>
  <c r="D15" i="12"/>
  <c r="C15" i="12"/>
  <c r="B15" i="12"/>
  <c r="E15" i="12" s="1"/>
  <c r="R15" i="12" s="1"/>
  <c r="P14" i="12"/>
  <c r="O14" i="12"/>
  <c r="Q14" i="12" s="1"/>
  <c r="N14" i="12"/>
  <c r="L14" i="12"/>
  <c r="K14" i="12"/>
  <c r="J14" i="12"/>
  <c r="M14" i="12" s="1"/>
  <c r="H14" i="12"/>
  <c r="G14" i="12"/>
  <c r="I14" i="12" s="1"/>
  <c r="F14" i="12"/>
  <c r="D14" i="12"/>
  <c r="C14" i="12"/>
  <c r="B14" i="12"/>
  <c r="E14" i="12" s="1"/>
  <c r="O750" i="12"/>
  <c r="N653" i="12"/>
  <c r="C653" i="12"/>
  <c r="R1" i="12"/>
  <c r="O1112" i="11"/>
  <c r="K1112" i="11"/>
  <c r="G1112" i="11"/>
  <c r="Q1109" i="11"/>
  <c r="M1109" i="11"/>
  <c r="I1109" i="11"/>
  <c r="G1109" i="11"/>
  <c r="F1109" i="11"/>
  <c r="E1109" i="11"/>
  <c r="C1109" i="11"/>
  <c r="Q1108" i="11"/>
  <c r="M1108" i="11"/>
  <c r="G1108" i="11"/>
  <c r="I1108" i="11" s="1"/>
  <c r="E1108" i="11"/>
  <c r="C1108" i="11"/>
  <c r="Q1107" i="11"/>
  <c r="R1109" i="11" s="1"/>
  <c r="M1107" i="11"/>
  <c r="N1109" i="11" s="1"/>
  <c r="I1107" i="11"/>
  <c r="J1109" i="11" s="1"/>
  <c r="G1107" i="11"/>
  <c r="E1107" i="11"/>
  <c r="C1107" i="11"/>
  <c r="Q1106" i="11"/>
  <c r="M1106" i="11"/>
  <c r="I1106" i="11"/>
  <c r="G1106" i="11"/>
  <c r="E1106" i="11"/>
  <c r="C1106" i="11"/>
  <c r="Q1105" i="11"/>
  <c r="M1105" i="11"/>
  <c r="M1112" i="11" s="1"/>
  <c r="I1105" i="11"/>
  <c r="G1105" i="11"/>
  <c r="E1105" i="11"/>
  <c r="C1105" i="11"/>
  <c r="Q1104" i="11"/>
  <c r="R1106" i="11" s="1"/>
  <c r="M1104" i="11"/>
  <c r="N1106" i="11" s="1"/>
  <c r="G1104" i="11"/>
  <c r="I1104" i="11" s="1"/>
  <c r="J1106" i="11" s="1"/>
  <c r="E1104" i="11"/>
  <c r="F1106" i="11" s="1"/>
  <c r="C1104" i="11"/>
  <c r="Q1103" i="11"/>
  <c r="M1103" i="11"/>
  <c r="I1103" i="11"/>
  <c r="G1103" i="11"/>
  <c r="E1103" i="11"/>
  <c r="C1103" i="11"/>
  <c r="Q1102" i="11"/>
  <c r="M1102" i="11"/>
  <c r="G1102" i="11"/>
  <c r="I1102" i="11" s="1"/>
  <c r="E1102" i="11"/>
  <c r="C1102" i="11"/>
  <c r="Q1101" i="11"/>
  <c r="R1103" i="11" s="1"/>
  <c r="M1101" i="11"/>
  <c r="N1103" i="11" s="1"/>
  <c r="G1101" i="11"/>
  <c r="I1101" i="11" s="1"/>
  <c r="J1103" i="11" s="1"/>
  <c r="E1101" i="11"/>
  <c r="F1103" i="11" s="1"/>
  <c r="C1101" i="11"/>
  <c r="Q1100" i="11"/>
  <c r="M1100" i="11"/>
  <c r="G1100" i="11"/>
  <c r="I1100" i="11" s="1"/>
  <c r="F1100" i="11"/>
  <c r="E1100" i="11"/>
  <c r="C1100" i="11"/>
  <c r="Q1099" i="11"/>
  <c r="M1099" i="11"/>
  <c r="G1099" i="11"/>
  <c r="I1099" i="11" s="1"/>
  <c r="E1099" i="11"/>
  <c r="C1099" i="11"/>
  <c r="Q1098" i="11"/>
  <c r="R1100" i="11" s="1"/>
  <c r="M1098" i="11"/>
  <c r="N1100" i="11" s="1"/>
  <c r="I1098" i="11"/>
  <c r="E1098" i="11"/>
  <c r="E1112" i="11" s="1"/>
  <c r="C1098" i="11"/>
  <c r="C1112" i="11" s="1"/>
  <c r="G1092" i="11"/>
  <c r="O1091" i="11"/>
  <c r="K1091" i="11"/>
  <c r="C1091" i="11"/>
  <c r="I1088" i="11"/>
  <c r="J1085" i="11"/>
  <c r="Q1084" i="11"/>
  <c r="P1060" i="11"/>
  <c r="O1060" i="11"/>
  <c r="L1060" i="11"/>
  <c r="J1060" i="11"/>
  <c r="I1060" i="11"/>
  <c r="F1060" i="11" s="1"/>
  <c r="B1033" i="11" s="1"/>
  <c r="G1060" i="11"/>
  <c r="P1059" i="11"/>
  <c r="O1059" i="11"/>
  <c r="L1059" i="11"/>
  <c r="J1059" i="11"/>
  <c r="G1059" i="11" s="1"/>
  <c r="C1032" i="11" s="1"/>
  <c r="I1059" i="11"/>
  <c r="F1059" i="11"/>
  <c r="P1058" i="11"/>
  <c r="O1058" i="11" s="1"/>
  <c r="N1058" i="11"/>
  <c r="L1058" i="11"/>
  <c r="J1058" i="11"/>
  <c r="I1058" i="11"/>
  <c r="G1058" i="11"/>
  <c r="F1058" i="11"/>
  <c r="B1031" i="11" s="1"/>
  <c r="P1057" i="11"/>
  <c r="O1057" i="11" s="1"/>
  <c r="N1057" i="11"/>
  <c r="L1057" i="11"/>
  <c r="J1057" i="11"/>
  <c r="I1057" i="11"/>
  <c r="G1057" i="11"/>
  <c r="F1057" i="11"/>
  <c r="B1030" i="11" s="1"/>
  <c r="P1056" i="11"/>
  <c r="O1056" i="11" s="1"/>
  <c r="N1056" i="11"/>
  <c r="L1056" i="11"/>
  <c r="J1056" i="11"/>
  <c r="I1056" i="11"/>
  <c r="G1056" i="11"/>
  <c r="F1056" i="11"/>
  <c r="B1029" i="11" s="1"/>
  <c r="P1055" i="11"/>
  <c r="O1055" i="11" s="1"/>
  <c r="N1055" i="11"/>
  <c r="L1055" i="11"/>
  <c r="J1055" i="11"/>
  <c r="G1055" i="11" s="1"/>
  <c r="C1028" i="11" s="1"/>
  <c r="I1055" i="11"/>
  <c r="F1055" i="11"/>
  <c r="P1054" i="11"/>
  <c r="O1054" i="11" s="1"/>
  <c r="N1054" i="11"/>
  <c r="L1054" i="11"/>
  <c r="J1054" i="11"/>
  <c r="G1054" i="11" s="1"/>
  <c r="I1054" i="11"/>
  <c r="F1054" i="11"/>
  <c r="P1053" i="11"/>
  <c r="O1053" i="11" s="1"/>
  <c r="N1053" i="11"/>
  <c r="L1053" i="11"/>
  <c r="J1053" i="11"/>
  <c r="G1053" i="11" s="1"/>
  <c r="C1026" i="11" s="1"/>
  <c r="I1053" i="11"/>
  <c r="F1053" i="11"/>
  <c r="P1052" i="11"/>
  <c r="O1052" i="11" s="1"/>
  <c r="J1052" i="11"/>
  <c r="L1052" i="11" s="1"/>
  <c r="I1052" i="11"/>
  <c r="F1052" i="11"/>
  <c r="P1051" i="11"/>
  <c r="O1051" i="11"/>
  <c r="J1051" i="11"/>
  <c r="I1051" i="11"/>
  <c r="L1051" i="11" s="1"/>
  <c r="G1051" i="11"/>
  <c r="N1050" i="11"/>
  <c r="P1050" i="11" s="1"/>
  <c r="O1050" i="11" s="1"/>
  <c r="J1050" i="11"/>
  <c r="I1050" i="11"/>
  <c r="L1050" i="11" s="1"/>
  <c r="G1050" i="11"/>
  <c r="P1049" i="11"/>
  <c r="O1049" i="11" s="1"/>
  <c r="J1049" i="11"/>
  <c r="I1049" i="11"/>
  <c r="L1049" i="11" s="1"/>
  <c r="G1049" i="11"/>
  <c r="C1022" i="11" s="1"/>
  <c r="F1049" i="11"/>
  <c r="B1043" i="11"/>
  <c r="B1040" i="11"/>
  <c r="Q1039" i="11"/>
  <c r="C1033" i="11"/>
  <c r="B1032" i="11"/>
  <c r="C1031" i="11"/>
  <c r="C1030" i="11"/>
  <c r="D1029" i="11"/>
  <c r="C1029" i="11"/>
  <c r="D1028" i="11"/>
  <c r="B1028" i="11"/>
  <c r="D1027" i="11"/>
  <c r="C1027" i="11"/>
  <c r="B1027" i="11"/>
  <c r="B1026" i="11"/>
  <c r="B1025" i="11"/>
  <c r="C1024" i="11"/>
  <c r="C1023" i="11"/>
  <c r="B1022" i="11"/>
  <c r="AE1019" i="11"/>
  <c r="B1018" i="11"/>
  <c r="B1015" i="11"/>
  <c r="Q1014" i="11"/>
  <c r="P1008" i="11"/>
  <c r="P1007" i="11"/>
  <c r="P1006" i="11"/>
  <c r="P1005" i="11"/>
  <c r="P1004" i="11"/>
  <c r="P1003" i="11"/>
  <c r="P1002" i="11"/>
  <c r="P1001" i="11"/>
  <c r="P1000" i="11"/>
  <c r="P999" i="11"/>
  <c r="P998" i="11"/>
  <c r="P997" i="11"/>
  <c r="M992" i="11"/>
  <c r="R983" i="11"/>
  <c r="N983" i="11"/>
  <c r="L983" i="11"/>
  <c r="K983" i="11"/>
  <c r="I983" i="11"/>
  <c r="H983" i="11"/>
  <c r="J981" i="11"/>
  <c r="J980" i="11"/>
  <c r="J979" i="11"/>
  <c r="J978" i="11"/>
  <c r="J977" i="11"/>
  <c r="J976" i="11"/>
  <c r="AR975" i="11"/>
  <c r="AQ975" i="11"/>
  <c r="AP975" i="11"/>
  <c r="AO975" i="11"/>
  <c r="AN975" i="11"/>
  <c r="AM975" i="11"/>
  <c r="AL975" i="11"/>
  <c r="AK975" i="11"/>
  <c r="AJ975" i="11"/>
  <c r="AI975" i="11"/>
  <c r="AH975" i="11"/>
  <c r="AG975" i="11"/>
  <c r="AF975" i="11"/>
  <c r="AE975" i="11"/>
  <c r="AD975" i="11"/>
  <c r="J975" i="11"/>
  <c r="J974" i="11"/>
  <c r="J973" i="11"/>
  <c r="J972" i="11"/>
  <c r="J971" i="11"/>
  <c r="J970" i="11"/>
  <c r="AD965" i="11"/>
  <c r="AD962" i="11"/>
  <c r="B962" i="11"/>
  <c r="AR961" i="11"/>
  <c r="B961" i="11"/>
  <c r="Q960" i="11"/>
  <c r="G953" i="11"/>
  <c r="G949" i="11"/>
  <c r="F944" i="11"/>
  <c r="AR940" i="11"/>
  <c r="AQ940" i="11"/>
  <c r="AP940" i="11"/>
  <c r="AO940" i="11"/>
  <c r="AN940" i="11"/>
  <c r="AM940" i="11"/>
  <c r="AL940" i="11"/>
  <c r="AK940" i="11"/>
  <c r="AJ940" i="11"/>
  <c r="AI940" i="11"/>
  <c r="AH940" i="11"/>
  <c r="AG940" i="11"/>
  <c r="AF940" i="11"/>
  <c r="AE940" i="11"/>
  <c r="AD940" i="11"/>
  <c r="B935" i="11"/>
  <c r="B932" i="11"/>
  <c r="Q931" i="11"/>
  <c r="AD930" i="11"/>
  <c r="AD927" i="11"/>
  <c r="AR926" i="11"/>
  <c r="AH922" i="11"/>
  <c r="AD921" i="11"/>
  <c r="AG919" i="11"/>
  <c r="AD919" i="11"/>
  <c r="AH918" i="11"/>
  <c r="AH917" i="11"/>
  <c r="AE916" i="11"/>
  <c r="AG915" i="11"/>
  <c r="AG914" i="11"/>
  <c r="AD914" i="11"/>
  <c r="AD913" i="11"/>
  <c r="AS911" i="11"/>
  <c r="AF911" i="11"/>
  <c r="AR909" i="11"/>
  <c r="AQ909" i="11"/>
  <c r="AP909" i="11"/>
  <c r="AO909" i="11"/>
  <c r="AG909" i="11"/>
  <c r="AF909" i="11"/>
  <c r="AE909" i="11"/>
  <c r="AD909" i="11"/>
  <c r="B909" i="11"/>
  <c r="B906" i="11"/>
  <c r="Q905" i="11"/>
  <c r="AR904" i="11"/>
  <c r="AG904" i="11"/>
  <c r="AS901" i="11"/>
  <c r="AH901" i="11"/>
  <c r="AS899" i="11"/>
  <c r="T896" i="11"/>
  <c r="G896" i="11"/>
  <c r="F896" i="11"/>
  <c r="AS922" i="11" s="1"/>
  <c r="T895" i="11"/>
  <c r="AE886" i="11" s="1"/>
  <c r="G895" i="11"/>
  <c r="F895" i="11"/>
  <c r="AG921" i="11" s="1"/>
  <c r="T894" i="11"/>
  <c r="G894" i="11"/>
  <c r="G951" i="11" s="1"/>
  <c r="G979" i="11" s="1"/>
  <c r="F894" i="11"/>
  <c r="T893" i="11"/>
  <c r="G893" i="11"/>
  <c r="F893" i="11"/>
  <c r="AE919" i="11" s="1"/>
  <c r="T892" i="11"/>
  <c r="G892" i="11"/>
  <c r="F892" i="11"/>
  <c r="AG918" i="11" s="1"/>
  <c r="T891" i="11"/>
  <c r="G891" i="11"/>
  <c r="F891" i="11"/>
  <c r="T890" i="11"/>
  <c r="AE881" i="11" s="1"/>
  <c r="G890" i="11"/>
  <c r="F890" i="11"/>
  <c r="AH916" i="11" s="1"/>
  <c r="T889" i="11"/>
  <c r="G889" i="11"/>
  <c r="F889" i="11"/>
  <c r="AH915" i="11" s="1"/>
  <c r="T888" i="11"/>
  <c r="G888" i="11"/>
  <c r="G945" i="11" s="1"/>
  <c r="F888" i="11"/>
  <c r="F945" i="11" s="1"/>
  <c r="AE887" i="11"/>
  <c r="AD887" i="11"/>
  <c r="AO887" i="11" s="1"/>
  <c r="T887" i="11"/>
  <c r="AE878" i="11" s="1"/>
  <c r="G887" i="11"/>
  <c r="F887" i="11"/>
  <c r="AH913" i="11" s="1"/>
  <c r="AD886" i="11"/>
  <c r="AO886" i="11" s="1"/>
  <c r="T886" i="11"/>
  <c r="G886" i="11"/>
  <c r="G943" i="11" s="1"/>
  <c r="F886" i="11"/>
  <c r="AE885" i="11"/>
  <c r="T885" i="11"/>
  <c r="AE876" i="11" s="1"/>
  <c r="AF876" i="11" s="1"/>
  <c r="G885" i="11"/>
  <c r="G898" i="11" s="1"/>
  <c r="F885" i="11"/>
  <c r="AD911" i="11" s="1"/>
  <c r="AE884" i="11"/>
  <c r="AD884" i="11"/>
  <c r="AO884" i="11" s="1"/>
  <c r="AE883" i="11"/>
  <c r="AD883" i="11"/>
  <c r="AO883" i="11" s="1"/>
  <c r="AE882" i="11"/>
  <c r="AD882" i="11"/>
  <c r="AO882" i="11" s="1"/>
  <c r="AD881" i="11"/>
  <c r="AO881" i="11" s="1"/>
  <c r="AE880" i="11"/>
  <c r="AD880" i="11"/>
  <c r="AO880" i="11" s="1"/>
  <c r="B880" i="11"/>
  <c r="AE879" i="11"/>
  <c r="AD879" i="11"/>
  <c r="AE877" i="11"/>
  <c r="AD877" i="11"/>
  <c r="B877" i="11"/>
  <c r="AO876" i="11"/>
  <c r="AD876" i="11"/>
  <c r="Q876" i="11"/>
  <c r="AF868" i="11"/>
  <c r="N868" i="11"/>
  <c r="AS867" i="11"/>
  <c r="AN867" i="11"/>
  <c r="A858" i="11"/>
  <c r="A856" i="11"/>
  <c r="Q852" i="11"/>
  <c r="P848" i="11"/>
  <c r="P870" i="11" s="1"/>
  <c r="H848" i="11"/>
  <c r="H870" i="11" s="1"/>
  <c r="N847" i="11"/>
  <c r="F847" i="11"/>
  <c r="P846" i="11"/>
  <c r="O846" i="11"/>
  <c r="N846" i="11"/>
  <c r="Q846" i="11" s="1"/>
  <c r="L846" i="11"/>
  <c r="K846" i="11"/>
  <c r="J846" i="11"/>
  <c r="H846" i="11"/>
  <c r="G846" i="11"/>
  <c r="F846" i="11"/>
  <c r="I846" i="11" s="1"/>
  <c r="D846" i="11"/>
  <c r="C846" i="11"/>
  <c r="B846" i="11"/>
  <c r="P845" i="11"/>
  <c r="O845" i="11"/>
  <c r="N845" i="11"/>
  <c r="Q845" i="11" s="1"/>
  <c r="L845" i="11"/>
  <c r="K845" i="11"/>
  <c r="J845" i="11"/>
  <c r="H845" i="11"/>
  <c r="G845" i="11"/>
  <c r="F845" i="11"/>
  <c r="I845" i="11" s="1"/>
  <c r="D845" i="11"/>
  <c r="C845" i="11"/>
  <c r="B845" i="11"/>
  <c r="Q844" i="11"/>
  <c r="P844" i="11"/>
  <c r="P847" i="11" s="1"/>
  <c r="O844" i="11"/>
  <c r="O847" i="11" s="1"/>
  <c r="Q847" i="11" s="1"/>
  <c r="N844" i="11"/>
  <c r="L844" i="11"/>
  <c r="K844" i="11"/>
  <c r="J844" i="11"/>
  <c r="I844" i="11"/>
  <c r="H844" i="11"/>
  <c r="H847" i="11" s="1"/>
  <c r="I847" i="11" s="1"/>
  <c r="G844" i="11"/>
  <c r="G847" i="11" s="1"/>
  <c r="F844" i="11"/>
  <c r="D844" i="11"/>
  <c r="C844" i="11"/>
  <c r="C847" i="11" s="1"/>
  <c r="B844" i="11"/>
  <c r="P843" i="11"/>
  <c r="O843" i="11"/>
  <c r="N843" i="11"/>
  <c r="Q843" i="11" s="1"/>
  <c r="M843" i="11"/>
  <c r="L843" i="11"/>
  <c r="K843" i="11"/>
  <c r="J843" i="11"/>
  <c r="H843" i="11"/>
  <c r="G843" i="11"/>
  <c r="F843" i="11"/>
  <c r="I843" i="11" s="1"/>
  <c r="E843" i="11"/>
  <c r="R843" i="11" s="1"/>
  <c r="D843" i="11"/>
  <c r="C843" i="11"/>
  <c r="B843" i="11"/>
  <c r="P842" i="11"/>
  <c r="O842" i="11"/>
  <c r="N842" i="11"/>
  <c r="Q842" i="11" s="1"/>
  <c r="L842" i="11"/>
  <c r="K842" i="11"/>
  <c r="J842" i="11"/>
  <c r="M842" i="11" s="1"/>
  <c r="H842" i="11"/>
  <c r="G842" i="11"/>
  <c r="F842" i="11"/>
  <c r="I842" i="11" s="1"/>
  <c r="D842" i="11"/>
  <c r="C842" i="11"/>
  <c r="B842" i="11"/>
  <c r="E842" i="11" s="1"/>
  <c r="P841" i="11"/>
  <c r="O841" i="11"/>
  <c r="N841" i="11"/>
  <c r="N848" i="11" s="1"/>
  <c r="L841" i="11"/>
  <c r="K841" i="11"/>
  <c r="M841" i="11" s="1"/>
  <c r="J841" i="11"/>
  <c r="J848" i="11" s="1"/>
  <c r="H841" i="11"/>
  <c r="G841" i="11"/>
  <c r="G848" i="11" s="1"/>
  <c r="G870" i="11" s="1"/>
  <c r="F841" i="11"/>
  <c r="F848" i="11" s="1"/>
  <c r="D841" i="11"/>
  <c r="D848" i="11" s="1"/>
  <c r="D870" i="11" s="1"/>
  <c r="C841" i="11"/>
  <c r="C848" i="11" s="1"/>
  <c r="C870" i="11" s="1"/>
  <c r="B841" i="11"/>
  <c r="E841" i="11" s="1"/>
  <c r="N839" i="11"/>
  <c r="P838" i="11"/>
  <c r="O838" i="11"/>
  <c r="N838" i="11"/>
  <c r="Q838" i="11" s="1"/>
  <c r="D838" i="11"/>
  <c r="C838" i="11"/>
  <c r="B838" i="11"/>
  <c r="E838" i="11" s="1"/>
  <c r="N837" i="11"/>
  <c r="L837" i="11"/>
  <c r="D837" i="11"/>
  <c r="D839" i="11" s="1"/>
  <c r="D868" i="11" s="1"/>
  <c r="L835" i="11"/>
  <c r="L866" i="11" s="1"/>
  <c r="D835" i="11"/>
  <c r="D866" i="11" s="1"/>
  <c r="P834" i="11"/>
  <c r="O834" i="11"/>
  <c r="N834" i="11"/>
  <c r="Q834" i="11" s="1"/>
  <c r="M834" i="11"/>
  <c r="L834" i="11"/>
  <c r="K834" i="11"/>
  <c r="J834" i="11"/>
  <c r="H834" i="11"/>
  <c r="G834" i="11"/>
  <c r="F834" i="11"/>
  <c r="I834" i="11" s="1"/>
  <c r="E834" i="11"/>
  <c r="D834" i="11"/>
  <c r="C834" i="11"/>
  <c r="B834" i="11"/>
  <c r="P833" i="11"/>
  <c r="O833" i="11"/>
  <c r="N833" i="11"/>
  <c r="L833" i="11"/>
  <c r="K833" i="11"/>
  <c r="J833" i="11"/>
  <c r="M833" i="11" s="1"/>
  <c r="H833" i="11"/>
  <c r="G833" i="11"/>
  <c r="F833" i="11"/>
  <c r="D833" i="11"/>
  <c r="C833" i="11"/>
  <c r="B833" i="11"/>
  <c r="E833" i="11" s="1"/>
  <c r="P832" i="11"/>
  <c r="P835" i="11" s="1"/>
  <c r="P866" i="11" s="1"/>
  <c r="O832" i="11"/>
  <c r="N832" i="11"/>
  <c r="L832" i="11"/>
  <c r="K832" i="11"/>
  <c r="M832" i="11" s="1"/>
  <c r="J832" i="11"/>
  <c r="J835" i="11" s="1"/>
  <c r="J866" i="11" s="1"/>
  <c r="H832" i="11"/>
  <c r="H835" i="11" s="1"/>
  <c r="H866" i="11" s="1"/>
  <c r="G832" i="11"/>
  <c r="F832" i="11"/>
  <c r="D832" i="11"/>
  <c r="C832" i="11"/>
  <c r="E832" i="11" s="1"/>
  <c r="B832" i="11"/>
  <c r="B835" i="11" s="1"/>
  <c r="B866" i="11" s="1"/>
  <c r="P829" i="11"/>
  <c r="O829" i="11"/>
  <c r="N829" i="11"/>
  <c r="Q829" i="11" s="1"/>
  <c r="L829" i="11"/>
  <c r="K829" i="11"/>
  <c r="J829" i="11"/>
  <c r="H829" i="11"/>
  <c r="G829" i="11"/>
  <c r="F829" i="11"/>
  <c r="I829" i="11" s="1"/>
  <c r="D829" i="11"/>
  <c r="C829" i="11"/>
  <c r="B829" i="11"/>
  <c r="O828" i="11"/>
  <c r="N828" i="11"/>
  <c r="Q828" i="11" s="1"/>
  <c r="L828" i="11"/>
  <c r="K828" i="11"/>
  <c r="J828" i="11"/>
  <c r="M828" i="11" s="1"/>
  <c r="H828" i="11"/>
  <c r="G828" i="11"/>
  <c r="F828" i="11"/>
  <c r="I828" i="11" s="1"/>
  <c r="D828" i="11"/>
  <c r="C828" i="11"/>
  <c r="B828" i="11"/>
  <c r="E828" i="11" s="1"/>
  <c r="R828" i="11" s="1"/>
  <c r="P827" i="11"/>
  <c r="O827" i="11"/>
  <c r="Q827" i="11" s="1"/>
  <c r="N827" i="11"/>
  <c r="L827" i="11"/>
  <c r="K827" i="11"/>
  <c r="J827" i="11"/>
  <c r="H827" i="11"/>
  <c r="G827" i="11"/>
  <c r="I827" i="11" s="1"/>
  <c r="F827" i="11"/>
  <c r="D827" i="11"/>
  <c r="C827" i="11"/>
  <c r="B827" i="11"/>
  <c r="Q826" i="11"/>
  <c r="P826" i="11"/>
  <c r="O826" i="11"/>
  <c r="N826" i="11"/>
  <c r="L826" i="11"/>
  <c r="M826" i="11" s="1"/>
  <c r="K826" i="11"/>
  <c r="J826" i="11"/>
  <c r="I826" i="11"/>
  <c r="H826" i="11"/>
  <c r="G826" i="11"/>
  <c r="F826" i="11"/>
  <c r="D826" i="11"/>
  <c r="E826" i="11" s="1"/>
  <c r="R826" i="11" s="1"/>
  <c r="C826" i="11"/>
  <c r="B826" i="11"/>
  <c r="P825" i="11"/>
  <c r="O825" i="11"/>
  <c r="N825" i="11"/>
  <c r="Q825" i="11" s="1"/>
  <c r="M825" i="11"/>
  <c r="L825" i="11"/>
  <c r="K825" i="11"/>
  <c r="J825" i="11"/>
  <c r="H825" i="11"/>
  <c r="G825" i="11"/>
  <c r="F825" i="11"/>
  <c r="I825" i="11" s="1"/>
  <c r="E825" i="11"/>
  <c r="D825" i="11"/>
  <c r="C825" i="11"/>
  <c r="B825" i="11"/>
  <c r="F824" i="11"/>
  <c r="D824" i="11"/>
  <c r="D830" i="11" s="1"/>
  <c r="A817" i="11"/>
  <c r="A815" i="11"/>
  <c r="Q811" i="11"/>
  <c r="H808" i="11"/>
  <c r="Q890" i="11" s="1"/>
  <c r="Q804" i="11"/>
  <c r="M804" i="11"/>
  <c r="I804" i="11"/>
  <c r="E804" i="11"/>
  <c r="R804" i="11" s="1"/>
  <c r="J803" i="11"/>
  <c r="P802" i="11"/>
  <c r="Q802" i="11" s="1"/>
  <c r="O802" i="11"/>
  <c r="N802" i="11"/>
  <c r="L802" i="11"/>
  <c r="L803" i="11" s="1"/>
  <c r="L806" i="11" s="1"/>
  <c r="K802" i="11"/>
  <c r="J802" i="11"/>
  <c r="H802" i="11"/>
  <c r="I802" i="11" s="1"/>
  <c r="G802" i="11"/>
  <c r="F802" i="11"/>
  <c r="D802" i="11"/>
  <c r="D803" i="11" s="1"/>
  <c r="D806" i="11" s="1"/>
  <c r="C802" i="11"/>
  <c r="C803" i="11" s="1"/>
  <c r="C806" i="11" s="1"/>
  <c r="B802" i="11"/>
  <c r="Q801" i="11"/>
  <c r="P801" i="11"/>
  <c r="O801" i="11"/>
  <c r="N801" i="11"/>
  <c r="L801" i="11"/>
  <c r="M801" i="11" s="1"/>
  <c r="K801" i="11"/>
  <c r="J801" i="11"/>
  <c r="I801" i="11"/>
  <c r="H801" i="11"/>
  <c r="G801" i="11"/>
  <c r="F801" i="11"/>
  <c r="D801" i="11"/>
  <c r="E801" i="11" s="1"/>
  <c r="C801" i="11"/>
  <c r="B801" i="11"/>
  <c r="Q798" i="11"/>
  <c r="M798" i="11"/>
  <c r="I798" i="11"/>
  <c r="E798" i="11"/>
  <c r="R798" i="11" s="1"/>
  <c r="R797" i="11"/>
  <c r="Q797" i="11"/>
  <c r="M797" i="11"/>
  <c r="I797" i="11"/>
  <c r="E797" i="11"/>
  <c r="Q795" i="11"/>
  <c r="M795" i="11"/>
  <c r="I795" i="11"/>
  <c r="E795" i="11"/>
  <c r="Q794" i="11"/>
  <c r="M794" i="11"/>
  <c r="I794" i="11"/>
  <c r="E794" i="11"/>
  <c r="R794" i="11" s="1"/>
  <c r="Q791" i="11"/>
  <c r="P791" i="11"/>
  <c r="O791" i="11"/>
  <c r="N791" i="11"/>
  <c r="L791" i="11"/>
  <c r="K791" i="11"/>
  <c r="J791" i="11"/>
  <c r="M791" i="11" s="1"/>
  <c r="I791" i="11"/>
  <c r="R791" i="11" s="1"/>
  <c r="H791" i="11"/>
  <c r="G791" i="11"/>
  <c r="F791" i="11"/>
  <c r="D791" i="11"/>
  <c r="C791" i="11"/>
  <c r="B791" i="11"/>
  <c r="E791" i="11" s="1"/>
  <c r="R790" i="11"/>
  <c r="Q790" i="11"/>
  <c r="M790" i="11"/>
  <c r="I790" i="11"/>
  <c r="E790" i="11"/>
  <c r="Q789" i="11"/>
  <c r="M789" i="11"/>
  <c r="I789" i="11"/>
  <c r="E789" i="11"/>
  <c r="Q788" i="11"/>
  <c r="M788" i="11"/>
  <c r="I788" i="11"/>
  <c r="E788" i="11"/>
  <c r="R788" i="11" s="1"/>
  <c r="R787" i="11"/>
  <c r="Q787" i="11"/>
  <c r="M787" i="11"/>
  <c r="I787" i="11"/>
  <c r="E787" i="11"/>
  <c r="Q785" i="11"/>
  <c r="M785" i="11"/>
  <c r="I785" i="11"/>
  <c r="E785" i="11"/>
  <c r="R785" i="11" s="1"/>
  <c r="Q784" i="11"/>
  <c r="M784" i="11"/>
  <c r="I784" i="11"/>
  <c r="E784" i="11"/>
  <c r="R784" i="11" s="1"/>
  <c r="P781" i="11"/>
  <c r="Q781" i="11" s="1"/>
  <c r="O781" i="11"/>
  <c r="N781" i="11"/>
  <c r="M781" i="11"/>
  <c r="L781" i="11"/>
  <c r="K781" i="11"/>
  <c r="J781" i="11"/>
  <c r="H781" i="11"/>
  <c r="I781" i="11" s="1"/>
  <c r="G781" i="11"/>
  <c r="F781" i="11"/>
  <c r="E781" i="11"/>
  <c r="D781" i="11"/>
  <c r="C781" i="11"/>
  <c r="B781" i="11"/>
  <c r="Q779" i="11"/>
  <c r="R779" i="11" s="1"/>
  <c r="M779" i="11"/>
  <c r="I779" i="11"/>
  <c r="E779" i="11"/>
  <c r="P776" i="11"/>
  <c r="P803" i="11" s="1"/>
  <c r="P806" i="11" s="1"/>
  <c r="O776" i="11"/>
  <c r="O803" i="11" s="1"/>
  <c r="O806" i="11" s="1"/>
  <c r="N776" i="11"/>
  <c r="L776" i="11"/>
  <c r="K776" i="11"/>
  <c r="J776" i="11"/>
  <c r="M776" i="11" s="1"/>
  <c r="H776" i="11"/>
  <c r="H803" i="11" s="1"/>
  <c r="H806" i="11" s="1"/>
  <c r="G776" i="11"/>
  <c r="G803" i="11" s="1"/>
  <c r="G806" i="11" s="1"/>
  <c r="G808" i="11" s="1"/>
  <c r="F776" i="11"/>
  <c r="D776" i="11"/>
  <c r="C776" i="11"/>
  <c r="B776" i="11"/>
  <c r="E776" i="11" s="1"/>
  <c r="Q774" i="11"/>
  <c r="M774" i="11"/>
  <c r="I774" i="11"/>
  <c r="R774" i="11" s="1"/>
  <c r="E774" i="11"/>
  <c r="Q771" i="11"/>
  <c r="M771" i="11"/>
  <c r="I771" i="11"/>
  <c r="E771" i="11"/>
  <c r="R771" i="11" s="1"/>
  <c r="R770" i="11"/>
  <c r="Q770" i="11"/>
  <c r="M770" i="11"/>
  <c r="I770" i="11"/>
  <c r="E770" i="11"/>
  <c r="Q769" i="11"/>
  <c r="M769" i="11"/>
  <c r="I769" i="11"/>
  <c r="E769" i="11"/>
  <c r="R769" i="11" s="1"/>
  <c r="Q768" i="11"/>
  <c r="M768" i="11"/>
  <c r="I768" i="11"/>
  <c r="E768" i="11"/>
  <c r="R768" i="11" s="1"/>
  <c r="Q767" i="11"/>
  <c r="M767" i="11"/>
  <c r="R767" i="11" s="1"/>
  <c r="I767" i="11"/>
  <c r="E767" i="11"/>
  <c r="Q755" i="11"/>
  <c r="M755" i="11"/>
  <c r="I755" i="11"/>
  <c r="E755" i="11"/>
  <c r="R755" i="11" s="1"/>
  <c r="Q754" i="11"/>
  <c r="M754" i="11"/>
  <c r="I754" i="11"/>
  <c r="E754" i="11"/>
  <c r="R754" i="11" s="1"/>
  <c r="R752" i="11"/>
  <c r="P752" i="11"/>
  <c r="O752" i="11"/>
  <c r="N752" i="11"/>
  <c r="Q752" i="11" s="1"/>
  <c r="L752" i="11"/>
  <c r="K752" i="11"/>
  <c r="J752" i="11"/>
  <c r="M752" i="11" s="1"/>
  <c r="H752" i="11"/>
  <c r="G752" i="11"/>
  <c r="F752" i="11"/>
  <c r="I752" i="11" s="1"/>
  <c r="D752" i="11"/>
  <c r="C752" i="11"/>
  <c r="B752" i="11"/>
  <c r="E752" i="11" s="1"/>
  <c r="P751" i="11"/>
  <c r="Q751" i="11" s="1"/>
  <c r="O751" i="11"/>
  <c r="N751" i="11"/>
  <c r="L751" i="11"/>
  <c r="K751" i="11"/>
  <c r="J751" i="11"/>
  <c r="H751" i="11"/>
  <c r="I751" i="11" s="1"/>
  <c r="G751" i="11"/>
  <c r="F751" i="11"/>
  <c r="D751" i="11"/>
  <c r="C751" i="11"/>
  <c r="B751" i="11"/>
  <c r="Q745" i="11"/>
  <c r="P745" i="11"/>
  <c r="O745" i="11"/>
  <c r="N745" i="11"/>
  <c r="L745" i="11"/>
  <c r="M745" i="11" s="1"/>
  <c r="K745" i="11"/>
  <c r="J745" i="11"/>
  <c r="I745" i="11"/>
  <c r="H745" i="11"/>
  <c r="G745" i="11"/>
  <c r="F745" i="11"/>
  <c r="D745" i="11"/>
  <c r="E745" i="11" s="1"/>
  <c r="R745" i="11" s="1"/>
  <c r="C745" i="11"/>
  <c r="B745" i="11"/>
  <c r="P741" i="11"/>
  <c r="O741" i="11"/>
  <c r="N741" i="11"/>
  <c r="Q741" i="11" s="1"/>
  <c r="M741" i="11"/>
  <c r="L741" i="11"/>
  <c r="K741" i="11"/>
  <c r="J741" i="11"/>
  <c r="H741" i="11"/>
  <c r="G741" i="11"/>
  <c r="F741" i="11"/>
  <c r="I741" i="11" s="1"/>
  <c r="E741" i="11"/>
  <c r="D741" i="11"/>
  <c r="C741" i="11"/>
  <c r="B741" i="11"/>
  <c r="P737" i="11"/>
  <c r="P753" i="11" s="1"/>
  <c r="P757" i="11" s="1"/>
  <c r="P759" i="11" s="1"/>
  <c r="O737" i="11"/>
  <c r="O753" i="11" s="1"/>
  <c r="O757" i="11" s="1"/>
  <c r="N737" i="11"/>
  <c r="L737" i="11"/>
  <c r="L753" i="11" s="1"/>
  <c r="L757" i="11" s="1"/>
  <c r="K737" i="11"/>
  <c r="J737" i="11"/>
  <c r="M737" i="11" s="1"/>
  <c r="H737" i="11"/>
  <c r="H753" i="11" s="1"/>
  <c r="H757" i="11" s="1"/>
  <c r="G737" i="11"/>
  <c r="G753" i="11" s="1"/>
  <c r="G757" i="11" s="1"/>
  <c r="F737" i="11"/>
  <c r="D737" i="11"/>
  <c r="D753" i="11" s="1"/>
  <c r="D757" i="11" s="1"/>
  <c r="C737" i="11"/>
  <c r="C753" i="11" s="1"/>
  <c r="C757" i="11" s="1"/>
  <c r="B737" i="11"/>
  <c r="E737" i="11" s="1"/>
  <c r="Q733" i="11"/>
  <c r="M733" i="11"/>
  <c r="I733" i="11"/>
  <c r="E733" i="11"/>
  <c r="R733" i="11" s="1"/>
  <c r="P723" i="11"/>
  <c r="O723" i="11"/>
  <c r="N723" i="11"/>
  <c r="M723" i="11"/>
  <c r="L723" i="11"/>
  <c r="K723" i="11"/>
  <c r="J723" i="11"/>
  <c r="H723" i="11"/>
  <c r="G723" i="11"/>
  <c r="F723" i="11"/>
  <c r="E723" i="11"/>
  <c r="D723" i="11"/>
  <c r="C723" i="11"/>
  <c r="B723" i="11"/>
  <c r="Q721" i="11"/>
  <c r="M721" i="11"/>
  <c r="I721" i="11"/>
  <c r="E721" i="11"/>
  <c r="R721" i="11" s="1"/>
  <c r="L713" i="11"/>
  <c r="D713" i="11"/>
  <c r="Q711" i="11"/>
  <c r="M711" i="11"/>
  <c r="I711" i="11"/>
  <c r="E711" i="11"/>
  <c r="R711" i="11" s="1"/>
  <c r="O710" i="11"/>
  <c r="O713" i="11" s="1"/>
  <c r="G710" i="11"/>
  <c r="G713" i="11" s="1"/>
  <c r="C710" i="11"/>
  <c r="C713" i="11" s="1"/>
  <c r="P709" i="11"/>
  <c r="O709" i="11"/>
  <c r="Q709" i="11" s="1"/>
  <c r="N709" i="11"/>
  <c r="L709" i="11"/>
  <c r="L710" i="11" s="1"/>
  <c r="K709" i="11"/>
  <c r="M709" i="11" s="1"/>
  <c r="J709" i="11"/>
  <c r="H709" i="11"/>
  <c r="G709" i="11"/>
  <c r="I709" i="11" s="1"/>
  <c r="F709" i="11"/>
  <c r="D709" i="11"/>
  <c r="D710" i="11" s="1"/>
  <c r="C709" i="11"/>
  <c r="E709" i="11" s="1"/>
  <c r="B709" i="11"/>
  <c r="Q708" i="11"/>
  <c r="P708" i="11"/>
  <c r="O708" i="11"/>
  <c r="N708" i="11"/>
  <c r="L708" i="11"/>
  <c r="M708" i="11" s="1"/>
  <c r="K708" i="11"/>
  <c r="J708" i="11"/>
  <c r="I708" i="11"/>
  <c r="H708" i="11"/>
  <c r="G708" i="11"/>
  <c r="F708" i="11"/>
  <c r="E708" i="11"/>
  <c r="D708" i="11"/>
  <c r="C708" i="11"/>
  <c r="B708" i="11"/>
  <c r="Q705" i="11"/>
  <c r="M705" i="11"/>
  <c r="I705" i="11"/>
  <c r="E705" i="11"/>
  <c r="R705" i="11" s="1"/>
  <c r="R704" i="11"/>
  <c r="Q704" i="11"/>
  <c r="M704" i="11"/>
  <c r="I704" i="11"/>
  <c r="E704" i="11"/>
  <c r="Q703" i="11"/>
  <c r="M703" i="11"/>
  <c r="I703" i="11"/>
  <c r="E703" i="11"/>
  <c r="Q702" i="11"/>
  <c r="M702" i="11"/>
  <c r="I702" i="11"/>
  <c r="E702" i="11"/>
  <c r="R702" i="11" s="1"/>
  <c r="Q698" i="11"/>
  <c r="P698" i="11"/>
  <c r="O698" i="11"/>
  <c r="N698" i="11"/>
  <c r="L698" i="11"/>
  <c r="K698" i="11"/>
  <c r="J698" i="11"/>
  <c r="M698" i="11" s="1"/>
  <c r="I698" i="11"/>
  <c r="R698" i="11" s="1"/>
  <c r="H698" i="11"/>
  <c r="G698" i="11"/>
  <c r="F698" i="11"/>
  <c r="D698" i="11"/>
  <c r="C698" i="11"/>
  <c r="B698" i="11"/>
  <c r="E698" i="11" s="1"/>
  <c r="R697" i="11"/>
  <c r="Q697" i="11"/>
  <c r="M697" i="11"/>
  <c r="I697" i="11"/>
  <c r="E697" i="11"/>
  <c r="Q696" i="11"/>
  <c r="M696" i="11"/>
  <c r="I696" i="11"/>
  <c r="E696" i="11"/>
  <c r="R696" i="11" s="1"/>
  <c r="Q695" i="11"/>
  <c r="M695" i="11"/>
  <c r="I695" i="11"/>
  <c r="E695" i="11"/>
  <c r="R695" i="11" s="1"/>
  <c r="Q694" i="11"/>
  <c r="R694" i="11" s="1"/>
  <c r="M694" i="11"/>
  <c r="I694" i="11"/>
  <c r="E694" i="11"/>
  <c r="Q693" i="11"/>
  <c r="M693" i="11"/>
  <c r="I693" i="11"/>
  <c r="E693" i="11"/>
  <c r="Q691" i="11"/>
  <c r="M691" i="11"/>
  <c r="I691" i="11"/>
  <c r="E691" i="11"/>
  <c r="R691" i="11" s="1"/>
  <c r="Q688" i="11"/>
  <c r="P688" i="11"/>
  <c r="O688" i="11"/>
  <c r="N688" i="11"/>
  <c r="M688" i="11"/>
  <c r="L688" i="11"/>
  <c r="K688" i="11"/>
  <c r="J688" i="11"/>
  <c r="I688" i="11"/>
  <c r="H688" i="11"/>
  <c r="G688" i="11"/>
  <c r="F688" i="11"/>
  <c r="E688" i="11"/>
  <c r="D688" i="11"/>
  <c r="C688" i="11"/>
  <c r="B688" i="11"/>
  <c r="Q684" i="11"/>
  <c r="P684" i="11"/>
  <c r="P710" i="11" s="1"/>
  <c r="P713" i="11" s="1"/>
  <c r="O684" i="11"/>
  <c r="N684" i="11"/>
  <c r="N710" i="11" s="1"/>
  <c r="L684" i="11"/>
  <c r="K684" i="11"/>
  <c r="J684" i="11"/>
  <c r="M684" i="11" s="1"/>
  <c r="I684" i="11"/>
  <c r="R684" i="11" s="1"/>
  <c r="H684" i="11"/>
  <c r="H710" i="11" s="1"/>
  <c r="H713" i="11" s="1"/>
  <c r="G684" i="11"/>
  <c r="F684" i="11"/>
  <c r="F710" i="11" s="1"/>
  <c r="D684" i="11"/>
  <c r="C684" i="11"/>
  <c r="B684" i="11"/>
  <c r="E684" i="11" s="1"/>
  <c r="R680" i="11"/>
  <c r="Q680" i="11"/>
  <c r="M680" i="11"/>
  <c r="I680" i="11"/>
  <c r="E680" i="11"/>
  <c r="Q679" i="11"/>
  <c r="M679" i="11"/>
  <c r="I679" i="11"/>
  <c r="E679" i="11"/>
  <c r="Q678" i="11"/>
  <c r="M678" i="11"/>
  <c r="I678" i="11"/>
  <c r="E678" i="11"/>
  <c r="R678" i="11" s="1"/>
  <c r="R677" i="11"/>
  <c r="Q677" i="11"/>
  <c r="M677" i="11"/>
  <c r="I677" i="11"/>
  <c r="E677" i="11"/>
  <c r="Q676" i="11"/>
  <c r="M676" i="11"/>
  <c r="I676" i="11"/>
  <c r="E676" i="11"/>
  <c r="R676" i="11" s="1"/>
  <c r="Q675" i="11"/>
  <c r="M675" i="11"/>
  <c r="I675" i="11"/>
  <c r="E675" i="11"/>
  <c r="R675" i="11" s="1"/>
  <c r="R663" i="11"/>
  <c r="Q663" i="11"/>
  <c r="M663" i="11"/>
  <c r="I663" i="11"/>
  <c r="E663" i="11"/>
  <c r="G662" i="11"/>
  <c r="G665" i="11" s="1"/>
  <c r="P661" i="11"/>
  <c r="Q661" i="11" s="1"/>
  <c r="O661" i="11"/>
  <c r="N661" i="11"/>
  <c r="M661" i="11"/>
  <c r="L661" i="11"/>
  <c r="K661" i="11"/>
  <c r="J661" i="11"/>
  <c r="H661" i="11"/>
  <c r="I661" i="11" s="1"/>
  <c r="G661" i="11"/>
  <c r="F661" i="11"/>
  <c r="E661" i="11"/>
  <c r="D661" i="11"/>
  <c r="C661" i="11"/>
  <c r="B661" i="11"/>
  <c r="Q660" i="11"/>
  <c r="P660" i="11"/>
  <c r="O660" i="11"/>
  <c r="N660" i="11"/>
  <c r="L660" i="11"/>
  <c r="K660" i="11"/>
  <c r="J660" i="11"/>
  <c r="M660" i="11" s="1"/>
  <c r="I660" i="11"/>
  <c r="H660" i="11"/>
  <c r="G660" i="11"/>
  <c r="F660" i="11"/>
  <c r="D660" i="11"/>
  <c r="C660" i="11"/>
  <c r="B660" i="11"/>
  <c r="E660" i="11" s="1"/>
  <c r="R660" i="11" s="1"/>
  <c r="R657" i="11"/>
  <c r="Q657" i="11"/>
  <c r="M657" i="11"/>
  <c r="I657" i="11"/>
  <c r="E657" i="11"/>
  <c r="P653" i="11"/>
  <c r="O653" i="11"/>
  <c r="Q653" i="11" s="1"/>
  <c r="N653" i="11"/>
  <c r="L653" i="11"/>
  <c r="L662" i="11" s="1"/>
  <c r="L665" i="11" s="1"/>
  <c r="K653" i="11"/>
  <c r="J653" i="11"/>
  <c r="M653" i="11" s="1"/>
  <c r="H653" i="11"/>
  <c r="G653" i="11"/>
  <c r="I653" i="11" s="1"/>
  <c r="F653" i="11"/>
  <c r="D653" i="11"/>
  <c r="D662" i="11" s="1"/>
  <c r="D665" i="11" s="1"/>
  <c r="C653" i="11"/>
  <c r="B653" i="11"/>
  <c r="E653" i="11" s="1"/>
  <c r="R653" i="11" s="1"/>
  <c r="P649" i="11"/>
  <c r="P662" i="11" s="1"/>
  <c r="P665" i="11" s="1"/>
  <c r="O649" i="11"/>
  <c r="N649" i="11"/>
  <c r="M649" i="11"/>
  <c r="L649" i="11"/>
  <c r="K649" i="11"/>
  <c r="J649" i="11"/>
  <c r="H649" i="11"/>
  <c r="H662" i="11" s="1"/>
  <c r="H665" i="11" s="1"/>
  <c r="G649" i="11"/>
  <c r="F649" i="11"/>
  <c r="E649" i="11"/>
  <c r="D649" i="11"/>
  <c r="C649" i="11"/>
  <c r="B649" i="11"/>
  <c r="Q645" i="11"/>
  <c r="P645" i="11"/>
  <c r="O645" i="11"/>
  <c r="N645" i="11"/>
  <c r="N662" i="11" s="1"/>
  <c r="L645" i="11"/>
  <c r="K645" i="11"/>
  <c r="K662" i="11" s="1"/>
  <c r="K665" i="11" s="1"/>
  <c r="J645" i="11"/>
  <c r="I645" i="11"/>
  <c r="H645" i="11"/>
  <c r="G645" i="11"/>
  <c r="F645" i="11"/>
  <c r="F662" i="11" s="1"/>
  <c r="D645" i="11"/>
  <c r="C645" i="11"/>
  <c r="C662" i="11" s="1"/>
  <c r="C665" i="11" s="1"/>
  <c r="B645" i="11"/>
  <c r="R641" i="11"/>
  <c r="Q641" i="11"/>
  <c r="M641" i="11"/>
  <c r="I641" i="11"/>
  <c r="E641" i="11"/>
  <c r="Q640" i="11"/>
  <c r="M640" i="11"/>
  <c r="I640" i="11"/>
  <c r="E640" i="11"/>
  <c r="R640" i="11" s="1"/>
  <c r="Q639" i="11"/>
  <c r="M639" i="11"/>
  <c r="I639" i="11"/>
  <c r="E639" i="11"/>
  <c r="R639" i="11" s="1"/>
  <c r="P629" i="11"/>
  <c r="O629" i="11"/>
  <c r="N629" i="11"/>
  <c r="L629" i="11"/>
  <c r="K629" i="11"/>
  <c r="J629" i="11"/>
  <c r="H629" i="11"/>
  <c r="G629" i="11"/>
  <c r="F629" i="11"/>
  <c r="D629" i="11"/>
  <c r="C629" i="11"/>
  <c r="B629" i="11"/>
  <c r="Q627" i="11"/>
  <c r="M627" i="11"/>
  <c r="R627" i="11" s="1"/>
  <c r="I627" i="11"/>
  <c r="E627" i="11"/>
  <c r="R617" i="11"/>
  <c r="Q617" i="11"/>
  <c r="M617" i="11"/>
  <c r="I617" i="11"/>
  <c r="E617" i="11"/>
  <c r="O616" i="11"/>
  <c r="O619" i="11" s="1"/>
  <c r="H616" i="11"/>
  <c r="H619" i="11" s="1"/>
  <c r="G616" i="11"/>
  <c r="G619" i="11" s="1"/>
  <c r="P615" i="11"/>
  <c r="P616" i="11" s="1"/>
  <c r="P619" i="11" s="1"/>
  <c r="O615" i="11"/>
  <c r="N615" i="11"/>
  <c r="L615" i="11"/>
  <c r="K615" i="11"/>
  <c r="J615" i="11"/>
  <c r="M615" i="11" s="1"/>
  <c r="I615" i="11"/>
  <c r="H615" i="11"/>
  <c r="G615" i="11"/>
  <c r="F615" i="11"/>
  <c r="D615" i="11"/>
  <c r="C615" i="11"/>
  <c r="B615" i="11"/>
  <c r="E615" i="11" s="1"/>
  <c r="Q614" i="11"/>
  <c r="P614" i="11"/>
  <c r="O614" i="11"/>
  <c r="N614" i="11"/>
  <c r="L614" i="11"/>
  <c r="K614" i="11"/>
  <c r="J614" i="11"/>
  <c r="M614" i="11" s="1"/>
  <c r="I614" i="11"/>
  <c r="R614" i="11" s="1"/>
  <c r="H614" i="11"/>
  <c r="G614" i="11"/>
  <c r="F614" i="11"/>
  <c r="D614" i="11"/>
  <c r="C614" i="11"/>
  <c r="B614" i="11"/>
  <c r="E614" i="11" s="1"/>
  <c r="R613" i="11"/>
  <c r="Q613" i="11"/>
  <c r="M613" i="11"/>
  <c r="I613" i="11"/>
  <c r="E613" i="11"/>
  <c r="Q612" i="11"/>
  <c r="M612" i="11"/>
  <c r="I612" i="11"/>
  <c r="E612" i="11"/>
  <c r="R612" i="11" s="1"/>
  <c r="Q609" i="11"/>
  <c r="M609" i="11"/>
  <c r="I609" i="11"/>
  <c r="E609" i="11"/>
  <c r="R609" i="11" s="1"/>
  <c r="Q608" i="11"/>
  <c r="R608" i="11" s="1"/>
  <c r="M608" i="11"/>
  <c r="I608" i="11"/>
  <c r="E608" i="11"/>
  <c r="Q607" i="11"/>
  <c r="M607" i="11"/>
  <c r="I607" i="11"/>
  <c r="E607" i="11"/>
  <c r="Q606" i="11"/>
  <c r="M606" i="11"/>
  <c r="R606" i="11" s="1"/>
  <c r="I606" i="11"/>
  <c r="E606" i="11"/>
  <c r="Q604" i="11"/>
  <c r="M604" i="11"/>
  <c r="I604" i="11"/>
  <c r="E604" i="11"/>
  <c r="Q603" i="11"/>
  <c r="M603" i="11"/>
  <c r="I603" i="11"/>
  <c r="E603" i="11"/>
  <c r="R603" i="11" s="1"/>
  <c r="P600" i="11"/>
  <c r="O600" i="11"/>
  <c r="Q600" i="11" s="1"/>
  <c r="N600" i="11"/>
  <c r="L600" i="11"/>
  <c r="K600" i="11"/>
  <c r="J600" i="11"/>
  <c r="M600" i="11" s="1"/>
  <c r="H600" i="11"/>
  <c r="G600" i="11"/>
  <c r="I600" i="11" s="1"/>
  <c r="R600" i="11" s="1"/>
  <c r="F600" i="11"/>
  <c r="D600" i="11"/>
  <c r="C600" i="11"/>
  <c r="B600" i="11"/>
  <c r="E600" i="11" s="1"/>
  <c r="Q599" i="11"/>
  <c r="M599" i="11"/>
  <c r="R599" i="11" s="1"/>
  <c r="I599" i="11"/>
  <c r="E599" i="11"/>
  <c r="Q598" i="11"/>
  <c r="M598" i="11"/>
  <c r="R598" i="11" s="1"/>
  <c r="I598" i="11"/>
  <c r="E598" i="11"/>
  <c r="Q597" i="11"/>
  <c r="M597" i="11"/>
  <c r="I597" i="11"/>
  <c r="E597" i="11"/>
  <c r="R597" i="11" s="1"/>
  <c r="P593" i="11"/>
  <c r="O593" i="11"/>
  <c r="Q593" i="11" s="1"/>
  <c r="N593" i="11"/>
  <c r="L593" i="11"/>
  <c r="L616" i="11" s="1"/>
  <c r="L619" i="11" s="1"/>
  <c r="K593" i="11"/>
  <c r="J593" i="11"/>
  <c r="H593" i="11"/>
  <c r="G593" i="11"/>
  <c r="I593" i="11" s="1"/>
  <c r="F593" i="11"/>
  <c r="D593" i="11"/>
  <c r="D616" i="11" s="1"/>
  <c r="D619" i="11" s="1"/>
  <c r="C593" i="11"/>
  <c r="B593" i="11"/>
  <c r="Q591" i="11"/>
  <c r="M591" i="11"/>
  <c r="I591" i="11"/>
  <c r="E591" i="11"/>
  <c r="R591" i="11" s="1"/>
  <c r="Q590" i="11"/>
  <c r="M590" i="11"/>
  <c r="I590" i="11"/>
  <c r="E590" i="11"/>
  <c r="P587" i="11"/>
  <c r="O587" i="11"/>
  <c r="N587" i="11"/>
  <c r="M587" i="11"/>
  <c r="L587" i="11"/>
  <c r="K587" i="11"/>
  <c r="J587" i="11"/>
  <c r="H587" i="11"/>
  <c r="G587" i="11"/>
  <c r="F587" i="11"/>
  <c r="E587" i="11"/>
  <c r="D587" i="11"/>
  <c r="C587" i="11"/>
  <c r="C616" i="11" s="1"/>
  <c r="C619" i="11" s="1"/>
  <c r="B587" i="11"/>
  <c r="B616" i="11" s="1"/>
  <c r="B619" i="11" s="1"/>
  <c r="Q585" i="11"/>
  <c r="M585" i="11"/>
  <c r="I585" i="11"/>
  <c r="E585" i="11"/>
  <c r="Q583" i="11"/>
  <c r="M583" i="11"/>
  <c r="I583" i="11"/>
  <c r="E583" i="11"/>
  <c r="R583" i="11" s="1"/>
  <c r="Q581" i="11"/>
  <c r="M581" i="11"/>
  <c r="I581" i="11"/>
  <c r="E581" i="11"/>
  <c r="Q580" i="11"/>
  <c r="M580" i="11"/>
  <c r="I580" i="11"/>
  <c r="E580" i="11"/>
  <c r="R580" i="11" s="1"/>
  <c r="R579" i="11"/>
  <c r="Q579" i="11"/>
  <c r="M579" i="11"/>
  <c r="I579" i="11"/>
  <c r="E579" i="11"/>
  <c r="Q578" i="11"/>
  <c r="M578" i="11"/>
  <c r="I578" i="11"/>
  <c r="E578" i="11"/>
  <c r="Q577" i="11"/>
  <c r="M577" i="11"/>
  <c r="I577" i="11"/>
  <c r="E577" i="11"/>
  <c r="R577" i="11" s="1"/>
  <c r="Q576" i="11"/>
  <c r="R576" i="11" s="1"/>
  <c r="M576" i="11"/>
  <c r="I576" i="11"/>
  <c r="E576" i="11"/>
  <c r="Q575" i="11"/>
  <c r="M575" i="11"/>
  <c r="I575" i="11"/>
  <c r="E575" i="11"/>
  <c r="Q574" i="11"/>
  <c r="M574" i="11"/>
  <c r="I574" i="11"/>
  <c r="E574" i="11"/>
  <c r="R574" i="11" s="1"/>
  <c r="Q573" i="11"/>
  <c r="M573" i="11"/>
  <c r="I573" i="11"/>
  <c r="E573" i="11"/>
  <c r="Q572" i="11"/>
  <c r="M572" i="11"/>
  <c r="I572" i="11"/>
  <c r="E572" i="11"/>
  <c r="R572" i="11" s="1"/>
  <c r="R571" i="11"/>
  <c r="Q571" i="11"/>
  <c r="M571" i="11"/>
  <c r="I571" i="11"/>
  <c r="E571" i="11"/>
  <c r="Q559" i="11"/>
  <c r="R559" i="11" s="1"/>
  <c r="M559" i="11"/>
  <c r="I559" i="11"/>
  <c r="E559" i="11"/>
  <c r="G558" i="11"/>
  <c r="G561" i="11" s="1"/>
  <c r="P557" i="11"/>
  <c r="O557" i="11"/>
  <c r="N557" i="11"/>
  <c r="L557" i="11"/>
  <c r="K557" i="11"/>
  <c r="M557" i="11" s="1"/>
  <c r="J557" i="11"/>
  <c r="H557" i="11"/>
  <c r="G557" i="11"/>
  <c r="F557" i="11"/>
  <c r="D557" i="11"/>
  <c r="E557" i="11" s="1"/>
  <c r="C557" i="11"/>
  <c r="B557" i="11"/>
  <c r="Q556" i="11"/>
  <c r="P556" i="11"/>
  <c r="O556" i="11"/>
  <c r="N556" i="11"/>
  <c r="L556" i="11"/>
  <c r="K556" i="11"/>
  <c r="J556" i="11"/>
  <c r="M556" i="11" s="1"/>
  <c r="H556" i="11"/>
  <c r="I556" i="11" s="1"/>
  <c r="G556" i="11"/>
  <c r="F556" i="11"/>
  <c r="D556" i="11"/>
  <c r="C556" i="11"/>
  <c r="B556" i="11"/>
  <c r="E556" i="11" s="1"/>
  <c r="R555" i="11"/>
  <c r="Q555" i="11"/>
  <c r="M555" i="11"/>
  <c r="I555" i="11"/>
  <c r="E555" i="11"/>
  <c r="Q554" i="11"/>
  <c r="M554" i="11"/>
  <c r="I554" i="11"/>
  <c r="E554" i="11"/>
  <c r="Q553" i="11"/>
  <c r="M553" i="11"/>
  <c r="I553" i="11"/>
  <c r="E553" i="11"/>
  <c r="R553" i="11" s="1"/>
  <c r="Q551" i="11"/>
  <c r="M551" i="11"/>
  <c r="R551" i="11" s="1"/>
  <c r="I551" i="11"/>
  <c r="E551" i="11"/>
  <c r="P546" i="11"/>
  <c r="O546" i="11"/>
  <c r="N546" i="11"/>
  <c r="Q546" i="11" s="1"/>
  <c r="M546" i="11"/>
  <c r="L546" i="11"/>
  <c r="K546" i="11"/>
  <c r="J546" i="11"/>
  <c r="H546" i="11"/>
  <c r="G546" i="11"/>
  <c r="F546" i="11"/>
  <c r="I546" i="11" s="1"/>
  <c r="E546" i="11"/>
  <c r="D546" i="11"/>
  <c r="C546" i="11"/>
  <c r="B546" i="11"/>
  <c r="Q545" i="11"/>
  <c r="M545" i="11"/>
  <c r="I545" i="11"/>
  <c r="E545" i="11"/>
  <c r="R545" i="11" s="1"/>
  <c r="P541" i="11"/>
  <c r="O541" i="11"/>
  <c r="Q541" i="11" s="1"/>
  <c r="N541" i="11"/>
  <c r="L541" i="11"/>
  <c r="K541" i="11"/>
  <c r="J541" i="11"/>
  <c r="H541" i="11"/>
  <c r="I541" i="11" s="1"/>
  <c r="G541" i="11"/>
  <c r="F541" i="11"/>
  <c r="D541" i="11"/>
  <c r="C541" i="11"/>
  <c r="B541" i="11"/>
  <c r="Q539" i="11"/>
  <c r="M539" i="11"/>
  <c r="I539" i="11"/>
  <c r="E539" i="11"/>
  <c r="R539" i="11" s="1"/>
  <c r="R538" i="11"/>
  <c r="S538" i="11" s="1"/>
  <c r="Q538" i="11"/>
  <c r="M538" i="11"/>
  <c r="I538" i="11"/>
  <c r="E538" i="11"/>
  <c r="P535" i="11"/>
  <c r="O535" i="11"/>
  <c r="Q535" i="11" s="1"/>
  <c r="N535" i="11"/>
  <c r="L535" i="11"/>
  <c r="L558" i="11" s="1"/>
  <c r="L561" i="11" s="1"/>
  <c r="K535" i="11"/>
  <c r="M535" i="11" s="1"/>
  <c r="J535" i="11"/>
  <c r="J558" i="11" s="1"/>
  <c r="H535" i="11"/>
  <c r="G535" i="11"/>
  <c r="F535" i="11"/>
  <c r="D535" i="11"/>
  <c r="C535" i="11"/>
  <c r="E535" i="11" s="1"/>
  <c r="B535" i="11"/>
  <c r="B558" i="11" s="1"/>
  <c r="Q531" i="11"/>
  <c r="M531" i="11"/>
  <c r="R531" i="11" s="1"/>
  <c r="I531" i="11"/>
  <c r="E531" i="11"/>
  <c r="Q530" i="11"/>
  <c r="M530" i="11"/>
  <c r="I530" i="11"/>
  <c r="E530" i="11"/>
  <c r="R530" i="11" s="1"/>
  <c r="R529" i="11"/>
  <c r="Q529" i="11"/>
  <c r="M529" i="11"/>
  <c r="I529" i="11"/>
  <c r="E529" i="11"/>
  <c r="Q528" i="11"/>
  <c r="M528" i="11"/>
  <c r="I528" i="11"/>
  <c r="E528" i="11"/>
  <c r="Q527" i="11"/>
  <c r="M527" i="11"/>
  <c r="I527" i="11"/>
  <c r="E527" i="11"/>
  <c r="R527" i="11" s="1"/>
  <c r="Q515" i="11"/>
  <c r="M515" i="11"/>
  <c r="I515" i="11"/>
  <c r="E515" i="11"/>
  <c r="R515" i="11" s="1"/>
  <c r="P514" i="11"/>
  <c r="P517" i="11" s="1"/>
  <c r="H514" i="11"/>
  <c r="H517" i="11" s="1"/>
  <c r="Q513" i="11"/>
  <c r="P513" i="11"/>
  <c r="O513" i="11"/>
  <c r="N513" i="11"/>
  <c r="L513" i="11"/>
  <c r="K513" i="11"/>
  <c r="J513" i="11"/>
  <c r="M513" i="11" s="1"/>
  <c r="I513" i="11"/>
  <c r="R513" i="11" s="1"/>
  <c r="H513" i="11"/>
  <c r="G513" i="11"/>
  <c r="F513" i="11"/>
  <c r="D513" i="11"/>
  <c r="C513" i="11"/>
  <c r="B513" i="11"/>
  <c r="E513" i="11" s="1"/>
  <c r="P512" i="11"/>
  <c r="O512" i="11"/>
  <c r="N512" i="11"/>
  <c r="Q512" i="11" s="1"/>
  <c r="L512" i="11"/>
  <c r="K512" i="11"/>
  <c r="J512" i="11"/>
  <c r="M512" i="11" s="1"/>
  <c r="H512" i="11"/>
  <c r="G512" i="11"/>
  <c r="F512" i="11"/>
  <c r="I512" i="11" s="1"/>
  <c r="D512" i="11"/>
  <c r="C512" i="11"/>
  <c r="B512" i="11"/>
  <c r="Q511" i="11"/>
  <c r="M511" i="11"/>
  <c r="I511" i="11"/>
  <c r="E511" i="11"/>
  <c r="R511" i="11" s="1"/>
  <c r="Q510" i="11"/>
  <c r="M510" i="11"/>
  <c r="I510" i="11"/>
  <c r="E510" i="11"/>
  <c r="P504" i="11"/>
  <c r="O504" i="11"/>
  <c r="N504" i="11"/>
  <c r="Q504" i="11" s="1"/>
  <c r="M504" i="11"/>
  <c r="L504" i="11"/>
  <c r="K504" i="11"/>
  <c r="J504" i="11"/>
  <c r="H504" i="11"/>
  <c r="G504" i="11"/>
  <c r="F504" i="11"/>
  <c r="I504" i="11" s="1"/>
  <c r="E504" i="11"/>
  <c r="D504" i="11"/>
  <c r="C504" i="11"/>
  <c r="B504" i="11"/>
  <c r="Q503" i="11"/>
  <c r="M503" i="11"/>
  <c r="I503" i="11"/>
  <c r="E503" i="11"/>
  <c r="R503" i="11" s="1"/>
  <c r="P499" i="11"/>
  <c r="O499" i="11"/>
  <c r="N499" i="11"/>
  <c r="Q499" i="11" s="1"/>
  <c r="L499" i="11"/>
  <c r="K499" i="11"/>
  <c r="M499" i="11" s="1"/>
  <c r="J499" i="11"/>
  <c r="H499" i="11"/>
  <c r="G499" i="11"/>
  <c r="F499" i="11"/>
  <c r="I499" i="11" s="1"/>
  <c r="D499" i="11"/>
  <c r="C499" i="11"/>
  <c r="E499" i="11" s="1"/>
  <c r="B499" i="11"/>
  <c r="Q497" i="11"/>
  <c r="M497" i="11"/>
  <c r="I497" i="11"/>
  <c r="E497" i="11"/>
  <c r="R497" i="11" s="1"/>
  <c r="Q494" i="11"/>
  <c r="P494" i="11"/>
  <c r="O494" i="11"/>
  <c r="O514" i="11" s="1"/>
  <c r="O517" i="11" s="1"/>
  <c r="N494" i="11"/>
  <c r="N514" i="11" s="1"/>
  <c r="N517" i="11" s="1"/>
  <c r="L494" i="11"/>
  <c r="K494" i="11"/>
  <c r="J494" i="11"/>
  <c r="I494" i="11"/>
  <c r="H494" i="11"/>
  <c r="G494" i="11"/>
  <c r="G514" i="11" s="1"/>
  <c r="G517" i="11" s="1"/>
  <c r="F494" i="11"/>
  <c r="F514" i="11" s="1"/>
  <c r="F517" i="11" s="1"/>
  <c r="D494" i="11"/>
  <c r="D514" i="11" s="1"/>
  <c r="D517" i="11" s="1"/>
  <c r="C494" i="11"/>
  <c r="B494" i="11"/>
  <c r="R491" i="11"/>
  <c r="Q491" i="11"/>
  <c r="M491" i="11"/>
  <c r="I491" i="11"/>
  <c r="E491" i="11"/>
  <c r="Q490" i="11"/>
  <c r="M490" i="11"/>
  <c r="I490" i="11"/>
  <c r="E490" i="11"/>
  <c r="R490" i="11" s="1"/>
  <c r="Q488" i="11"/>
  <c r="M488" i="11"/>
  <c r="I488" i="11"/>
  <c r="E488" i="11"/>
  <c r="R488" i="11" s="1"/>
  <c r="R487" i="11"/>
  <c r="Q487" i="11"/>
  <c r="M487" i="11"/>
  <c r="I487" i="11"/>
  <c r="E487" i="11"/>
  <c r="Q486" i="11"/>
  <c r="M486" i="11"/>
  <c r="I486" i="11"/>
  <c r="E486" i="11"/>
  <c r="R486" i="11" s="1"/>
  <c r="Q485" i="11"/>
  <c r="M485" i="11"/>
  <c r="I485" i="11"/>
  <c r="E485" i="11"/>
  <c r="R485" i="11" s="1"/>
  <c r="R467" i="11"/>
  <c r="Q467" i="11"/>
  <c r="M467" i="11"/>
  <c r="I467" i="11"/>
  <c r="E467" i="11"/>
  <c r="Q466" i="11"/>
  <c r="M466" i="11"/>
  <c r="I466" i="11"/>
  <c r="E466" i="11"/>
  <c r="R466" i="11" s="1"/>
  <c r="Q465" i="11"/>
  <c r="M465" i="11"/>
  <c r="I465" i="11"/>
  <c r="E465" i="11"/>
  <c r="R465" i="11" s="1"/>
  <c r="P463" i="11"/>
  <c r="O463" i="11"/>
  <c r="N463" i="11"/>
  <c r="Q463" i="11" s="1"/>
  <c r="L463" i="11"/>
  <c r="K463" i="11"/>
  <c r="J463" i="11"/>
  <c r="M463" i="11" s="1"/>
  <c r="H463" i="11"/>
  <c r="G463" i="11"/>
  <c r="F463" i="11"/>
  <c r="I463" i="11" s="1"/>
  <c r="D463" i="11"/>
  <c r="C463" i="11"/>
  <c r="B463" i="11"/>
  <c r="P462" i="11"/>
  <c r="O462" i="11"/>
  <c r="Q462" i="11" s="1"/>
  <c r="N462" i="11"/>
  <c r="L462" i="11"/>
  <c r="K462" i="11"/>
  <c r="J462" i="11"/>
  <c r="H462" i="11"/>
  <c r="G462" i="11"/>
  <c r="I462" i="11" s="1"/>
  <c r="F462" i="11"/>
  <c r="D462" i="11"/>
  <c r="C462" i="11"/>
  <c r="B462" i="11"/>
  <c r="Q461" i="11"/>
  <c r="M461" i="11"/>
  <c r="I461" i="11"/>
  <c r="E461" i="11"/>
  <c r="R461" i="11" s="1"/>
  <c r="Q460" i="11"/>
  <c r="R460" i="11" s="1"/>
  <c r="M460" i="11"/>
  <c r="I460" i="11"/>
  <c r="E460" i="11"/>
  <c r="Q459" i="11"/>
  <c r="M459" i="11"/>
  <c r="I459" i="11"/>
  <c r="E459" i="11"/>
  <c r="Q458" i="11"/>
  <c r="M458" i="11"/>
  <c r="R458" i="11" s="1"/>
  <c r="I458" i="11"/>
  <c r="E458" i="11"/>
  <c r="Q457" i="11"/>
  <c r="M457" i="11"/>
  <c r="R457" i="11" s="1"/>
  <c r="I457" i="11"/>
  <c r="E457" i="11"/>
  <c r="Q456" i="11"/>
  <c r="M456" i="11"/>
  <c r="I456" i="11"/>
  <c r="E456" i="11"/>
  <c r="R456" i="11" s="1"/>
  <c r="R455" i="11"/>
  <c r="Q455" i="11"/>
  <c r="M455" i="11"/>
  <c r="I455" i="11"/>
  <c r="E455" i="11"/>
  <c r="Q454" i="11"/>
  <c r="M454" i="11"/>
  <c r="I454" i="11"/>
  <c r="E454" i="11"/>
  <c r="Q452" i="11"/>
  <c r="M452" i="11"/>
  <c r="I452" i="11"/>
  <c r="E452" i="11"/>
  <c r="R452" i="11" s="1"/>
  <c r="Q451" i="11"/>
  <c r="R451" i="11" s="1"/>
  <c r="M451" i="11"/>
  <c r="I451" i="11"/>
  <c r="E451" i="11"/>
  <c r="Q450" i="11"/>
  <c r="M450" i="11"/>
  <c r="I450" i="11"/>
  <c r="E450" i="11"/>
  <c r="Q449" i="11"/>
  <c r="M449" i="11"/>
  <c r="R449" i="11" s="1"/>
  <c r="I449" i="11"/>
  <c r="E449" i="11"/>
  <c r="Q448" i="11"/>
  <c r="M448" i="11"/>
  <c r="I448" i="11"/>
  <c r="E448" i="11"/>
  <c r="Q447" i="11"/>
  <c r="M447" i="11"/>
  <c r="I447" i="11"/>
  <c r="E447" i="11"/>
  <c r="R447" i="11" s="1"/>
  <c r="R445" i="11"/>
  <c r="Q445" i="11"/>
  <c r="M445" i="11"/>
  <c r="I445" i="11"/>
  <c r="E445" i="11"/>
  <c r="Q444" i="11"/>
  <c r="M444" i="11"/>
  <c r="I444" i="11"/>
  <c r="E444" i="11"/>
  <c r="Q442" i="11"/>
  <c r="M442" i="11"/>
  <c r="I442" i="11"/>
  <c r="E442" i="11"/>
  <c r="R442" i="11" s="1"/>
  <c r="N439" i="11"/>
  <c r="L439" i="11"/>
  <c r="F439" i="11"/>
  <c r="B439" i="11"/>
  <c r="E439" i="11" s="1"/>
  <c r="R438" i="11"/>
  <c r="Q438" i="11"/>
  <c r="M438" i="11"/>
  <c r="I438" i="11"/>
  <c r="E438" i="11"/>
  <c r="Q437" i="11"/>
  <c r="M437" i="11"/>
  <c r="I437" i="11"/>
  <c r="E437" i="11"/>
  <c r="Q436" i="11"/>
  <c r="M436" i="11"/>
  <c r="I436" i="11"/>
  <c r="E436" i="11"/>
  <c r="R436" i="11" s="1"/>
  <c r="R435" i="11"/>
  <c r="Q435" i="11"/>
  <c r="M435" i="11"/>
  <c r="I435" i="11"/>
  <c r="E435" i="11"/>
  <c r="Q434" i="11"/>
  <c r="M434" i="11"/>
  <c r="I434" i="11"/>
  <c r="E434" i="11"/>
  <c r="R434" i="11" s="1"/>
  <c r="Q433" i="11"/>
  <c r="M433" i="11"/>
  <c r="R433" i="11" s="1"/>
  <c r="I433" i="11"/>
  <c r="E433" i="11"/>
  <c r="Q432" i="11"/>
  <c r="M432" i="11"/>
  <c r="I432" i="11"/>
  <c r="E432" i="11"/>
  <c r="Q431" i="11"/>
  <c r="M431" i="11"/>
  <c r="I431" i="11"/>
  <c r="E431" i="11"/>
  <c r="R431" i="11" s="1"/>
  <c r="R430" i="11"/>
  <c r="Q430" i="11"/>
  <c r="M430" i="11"/>
  <c r="I430" i="11"/>
  <c r="E430" i="11"/>
  <c r="Q429" i="11"/>
  <c r="M429" i="11"/>
  <c r="I429" i="11"/>
  <c r="E429" i="11"/>
  <c r="R429" i="11" s="1"/>
  <c r="Q428" i="11"/>
  <c r="M428" i="11"/>
  <c r="I428" i="11"/>
  <c r="E428" i="11"/>
  <c r="R428" i="11" s="1"/>
  <c r="R427" i="11"/>
  <c r="Q427" i="11"/>
  <c r="M427" i="11"/>
  <c r="I427" i="11"/>
  <c r="E427" i="11"/>
  <c r="Q426" i="11"/>
  <c r="M426" i="11"/>
  <c r="I426" i="11"/>
  <c r="E426" i="11"/>
  <c r="R426" i="11" s="1"/>
  <c r="Q425" i="11"/>
  <c r="M425" i="11"/>
  <c r="I425" i="11"/>
  <c r="E425" i="11"/>
  <c r="R425" i="11" s="1"/>
  <c r="Q424" i="11"/>
  <c r="M424" i="11"/>
  <c r="R424" i="11" s="1"/>
  <c r="I424" i="11"/>
  <c r="E424" i="11"/>
  <c r="Q423" i="11"/>
  <c r="M423" i="11"/>
  <c r="I423" i="11"/>
  <c r="E423" i="11"/>
  <c r="R423" i="11" s="1"/>
  <c r="R422" i="11"/>
  <c r="Q422" i="11"/>
  <c r="M422" i="11"/>
  <c r="I422" i="11"/>
  <c r="E422" i="11"/>
  <c r="Q421" i="11"/>
  <c r="M421" i="11"/>
  <c r="I421" i="11"/>
  <c r="E421" i="11"/>
  <c r="Q420" i="11"/>
  <c r="M420" i="11"/>
  <c r="I420" i="11"/>
  <c r="E420" i="11"/>
  <c r="R420" i="11" s="1"/>
  <c r="Q419" i="11"/>
  <c r="R419" i="11" s="1"/>
  <c r="M419" i="11"/>
  <c r="I419" i="11"/>
  <c r="E419" i="11"/>
  <c r="Q418" i="11"/>
  <c r="M418" i="11"/>
  <c r="I418" i="11"/>
  <c r="E418" i="11"/>
  <c r="R418" i="11" s="1"/>
  <c r="Q417" i="11"/>
  <c r="M417" i="11"/>
  <c r="I417" i="11"/>
  <c r="E417" i="11"/>
  <c r="R417" i="11" s="1"/>
  <c r="Q416" i="11"/>
  <c r="M416" i="11"/>
  <c r="R416" i="11" s="1"/>
  <c r="I416" i="11"/>
  <c r="E416" i="11"/>
  <c r="Q415" i="11"/>
  <c r="M415" i="11"/>
  <c r="I415" i="11"/>
  <c r="E415" i="11"/>
  <c r="R415" i="11" s="1"/>
  <c r="R414" i="11"/>
  <c r="Q414" i="11"/>
  <c r="M414" i="11"/>
  <c r="I414" i="11"/>
  <c r="E414" i="11"/>
  <c r="Q413" i="11"/>
  <c r="M413" i="11"/>
  <c r="I413" i="11"/>
  <c r="E413" i="11"/>
  <c r="Q412" i="11"/>
  <c r="M412" i="11"/>
  <c r="I412" i="11"/>
  <c r="E412" i="11"/>
  <c r="R412" i="11" s="1"/>
  <c r="R411" i="11"/>
  <c r="Q411" i="11"/>
  <c r="M411" i="11"/>
  <c r="I411" i="11"/>
  <c r="E411" i="11"/>
  <c r="Q410" i="11"/>
  <c r="M410" i="11"/>
  <c r="I410" i="11"/>
  <c r="E410" i="11"/>
  <c r="Q409" i="11"/>
  <c r="M409" i="11"/>
  <c r="I409" i="11"/>
  <c r="E409" i="11"/>
  <c r="R409" i="11" s="1"/>
  <c r="Q408" i="11"/>
  <c r="M408" i="11"/>
  <c r="R408" i="11" s="1"/>
  <c r="I408" i="11"/>
  <c r="E408" i="11"/>
  <c r="Q407" i="11"/>
  <c r="M407" i="11"/>
  <c r="I407" i="11"/>
  <c r="E407" i="11"/>
  <c r="R407" i="11" s="1"/>
  <c r="R406" i="11"/>
  <c r="Q406" i="11"/>
  <c r="M406" i="11"/>
  <c r="I406" i="11"/>
  <c r="E406" i="11"/>
  <c r="Q405" i="11"/>
  <c r="M405" i="11"/>
  <c r="I405" i="11"/>
  <c r="E405" i="11"/>
  <c r="Q404" i="11"/>
  <c r="M404" i="11"/>
  <c r="I404" i="11"/>
  <c r="E404" i="11"/>
  <c r="R404" i="11" s="1"/>
  <c r="R403" i="11"/>
  <c r="Q403" i="11"/>
  <c r="M403" i="11"/>
  <c r="I403" i="11"/>
  <c r="E403" i="11"/>
  <c r="Q402" i="11"/>
  <c r="M402" i="11"/>
  <c r="I402" i="11"/>
  <c r="E402" i="11"/>
  <c r="R402" i="11" s="1"/>
  <c r="Q401" i="11"/>
  <c r="M401" i="11"/>
  <c r="I401" i="11"/>
  <c r="E401" i="11"/>
  <c r="R401" i="11" s="1"/>
  <c r="Q400" i="11"/>
  <c r="M400" i="11"/>
  <c r="I400" i="11"/>
  <c r="E400" i="11"/>
  <c r="Q399" i="11"/>
  <c r="M399" i="11"/>
  <c r="I399" i="11"/>
  <c r="E399" i="11"/>
  <c r="R399" i="11" s="1"/>
  <c r="R398" i="11"/>
  <c r="Q398" i="11"/>
  <c r="M398" i="11"/>
  <c r="I398" i="11"/>
  <c r="E398" i="11"/>
  <c r="Q397" i="11"/>
  <c r="M397" i="11"/>
  <c r="I397" i="11"/>
  <c r="E397" i="11"/>
  <c r="R397" i="11" s="1"/>
  <c r="Q395" i="11"/>
  <c r="P395" i="11"/>
  <c r="P837" i="11" s="1"/>
  <c r="P839" i="11" s="1"/>
  <c r="P868" i="11" s="1"/>
  <c r="O395" i="11"/>
  <c r="O439" i="11" s="1"/>
  <c r="K395" i="11"/>
  <c r="K439" i="11" s="1"/>
  <c r="J395" i="11"/>
  <c r="H395" i="11"/>
  <c r="H837" i="11" s="1"/>
  <c r="G395" i="11"/>
  <c r="G439" i="11" s="1"/>
  <c r="F395" i="11"/>
  <c r="F837" i="11" s="1"/>
  <c r="D395" i="11"/>
  <c r="D439" i="11" s="1"/>
  <c r="C395" i="11"/>
  <c r="C439" i="11" s="1"/>
  <c r="B395" i="11"/>
  <c r="Q394" i="11"/>
  <c r="M394" i="11"/>
  <c r="I394" i="11"/>
  <c r="E394" i="11"/>
  <c r="R394" i="11" s="1"/>
  <c r="Q391" i="11"/>
  <c r="P391" i="11"/>
  <c r="O391" i="11"/>
  <c r="N391" i="11"/>
  <c r="L391" i="11"/>
  <c r="K391" i="11"/>
  <c r="J391" i="11"/>
  <c r="M391" i="11" s="1"/>
  <c r="H391" i="11"/>
  <c r="I391" i="11" s="1"/>
  <c r="G391" i="11"/>
  <c r="F391" i="11"/>
  <c r="D391" i="11"/>
  <c r="C391" i="11"/>
  <c r="B391" i="11"/>
  <c r="E391" i="11" s="1"/>
  <c r="Q389" i="11"/>
  <c r="R389" i="11" s="1"/>
  <c r="M389" i="11"/>
  <c r="I389" i="11"/>
  <c r="E389" i="11"/>
  <c r="Q388" i="11"/>
  <c r="M388" i="11"/>
  <c r="I388" i="11"/>
  <c r="E388" i="11"/>
  <c r="Q387" i="11"/>
  <c r="M387" i="11"/>
  <c r="I387" i="11"/>
  <c r="E387" i="11"/>
  <c r="R387" i="11" s="1"/>
  <c r="Q386" i="11"/>
  <c r="M386" i="11"/>
  <c r="I386" i="11"/>
  <c r="E386" i="11"/>
  <c r="AK385" i="11"/>
  <c r="AJ385" i="11"/>
  <c r="AI385" i="11"/>
  <c r="AH385" i="11"/>
  <c r="AG385" i="11"/>
  <c r="AF385" i="11"/>
  <c r="AE385" i="11"/>
  <c r="AB385" i="11"/>
  <c r="AA385" i="11"/>
  <c r="AD385" i="11" s="1"/>
  <c r="Z385" i="11"/>
  <c r="AM385" i="11" s="1"/>
  <c r="Y385" i="11"/>
  <c r="X385" i="11"/>
  <c r="W385" i="11"/>
  <c r="Q385" i="11"/>
  <c r="M385" i="11"/>
  <c r="I385" i="11"/>
  <c r="E385" i="11"/>
  <c r="R385" i="11" s="1"/>
  <c r="AK384" i="11"/>
  <c r="AJ384" i="11"/>
  <c r="AI384" i="11"/>
  <c r="AL384" i="11" s="1"/>
  <c r="AG384" i="11"/>
  <c r="AF384" i="11"/>
  <c r="AE384" i="11"/>
  <c r="AC384" i="11"/>
  <c r="Y384" i="11"/>
  <c r="X384" i="11"/>
  <c r="Z384" i="11" s="1"/>
  <c r="W384" i="11"/>
  <c r="Q384" i="11"/>
  <c r="M384" i="11"/>
  <c r="I384" i="11"/>
  <c r="E384" i="11"/>
  <c r="R384" i="11" s="1"/>
  <c r="AL383" i="11"/>
  <c r="AK383" i="11"/>
  <c r="AJ383" i="11"/>
  <c r="AI383" i="11"/>
  <c r="AG383" i="11"/>
  <c r="AF383" i="11"/>
  <c r="AE383" i="11"/>
  <c r="AH383" i="11" s="1"/>
  <c r="Y383" i="11"/>
  <c r="X383" i="11"/>
  <c r="W383" i="11"/>
  <c r="Z383" i="11" s="1"/>
  <c r="R383" i="11"/>
  <c r="Q383" i="11"/>
  <c r="M383" i="11"/>
  <c r="I383" i="11"/>
  <c r="E383" i="11"/>
  <c r="AL382" i="11"/>
  <c r="AL385" i="11" s="1"/>
  <c r="AH382" i="11"/>
  <c r="AD382" i="11"/>
  <c r="AC382" i="11"/>
  <c r="AC385" i="11" s="1"/>
  <c r="AB382" i="11"/>
  <c r="AB383" i="11" s="1"/>
  <c r="AA382" i="11"/>
  <c r="AA383" i="11" s="1"/>
  <c r="Z382" i="11"/>
  <c r="AM382" i="11" s="1"/>
  <c r="Q382" i="11"/>
  <c r="M382" i="11"/>
  <c r="I382" i="11"/>
  <c r="E382" i="11"/>
  <c r="Q381" i="11"/>
  <c r="M381" i="11"/>
  <c r="I381" i="11"/>
  <c r="E381" i="11"/>
  <c r="R381" i="11" s="1"/>
  <c r="W380" i="11"/>
  <c r="P377" i="11"/>
  <c r="O377" i="11"/>
  <c r="N377" i="11"/>
  <c r="N464" i="11" s="1"/>
  <c r="N469" i="11" s="1"/>
  <c r="L377" i="11"/>
  <c r="L464" i="11" s="1"/>
  <c r="L469" i="11" s="1"/>
  <c r="K377" i="11"/>
  <c r="K464" i="11" s="1"/>
  <c r="K469" i="11" s="1"/>
  <c r="J377" i="11"/>
  <c r="M377" i="11" s="1"/>
  <c r="H377" i="11"/>
  <c r="G377" i="11"/>
  <c r="G464" i="11" s="1"/>
  <c r="G469" i="11" s="1"/>
  <c r="F377" i="11"/>
  <c r="F464" i="11" s="1"/>
  <c r="F469" i="11" s="1"/>
  <c r="D377" i="11"/>
  <c r="D464" i="11" s="1"/>
  <c r="D469" i="11" s="1"/>
  <c r="C377" i="11"/>
  <c r="C464" i="11" s="1"/>
  <c r="C469" i="11" s="1"/>
  <c r="B377" i="11"/>
  <c r="E377" i="11" s="1"/>
  <c r="Q375" i="11"/>
  <c r="M375" i="11"/>
  <c r="I375" i="11"/>
  <c r="E375" i="11"/>
  <c r="R375" i="11" s="1"/>
  <c r="R374" i="11"/>
  <c r="Q374" i="11"/>
  <c r="M374" i="11"/>
  <c r="I374" i="11"/>
  <c r="E374" i="11"/>
  <c r="Q373" i="11"/>
  <c r="M373" i="11"/>
  <c r="I373" i="11"/>
  <c r="E373" i="11"/>
  <c r="R373" i="11" s="1"/>
  <c r="R372" i="11"/>
  <c r="Q372" i="11"/>
  <c r="M372" i="11"/>
  <c r="I372" i="11"/>
  <c r="E372" i="11"/>
  <c r="Q370" i="11"/>
  <c r="M370" i="11"/>
  <c r="I370" i="11"/>
  <c r="E370" i="11"/>
  <c r="Q369" i="11"/>
  <c r="M369" i="11"/>
  <c r="I369" i="11"/>
  <c r="E369" i="11"/>
  <c r="R369" i="11" s="1"/>
  <c r="Q368" i="11"/>
  <c r="R368" i="11" s="1"/>
  <c r="M368" i="11"/>
  <c r="I368" i="11"/>
  <c r="E368" i="11"/>
  <c r="Q367" i="11"/>
  <c r="M367" i="11"/>
  <c r="I367" i="11"/>
  <c r="E367" i="11"/>
  <c r="Q366" i="11"/>
  <c r="M366" i="11"/>
  <c r="I366" i="11"/>
  <c r="E366" i="11"/>
  <c r="R366" i="11" s="1"/>
  <c r="Q365" i="11"/>
  <c r="M365" i="11"/>
  <c r="R365" i="11" s="1"/>
  <c r="I365" i="11"/>
  <c r="E365" i="11"/>
  <c r="Q364" i="11"/>
  <c r="M364" i="11"/>
  <c r="I364" i="11"/>
  <c r="E364" i="11"/>
  <c r="R364" i="11" s="1"/>
  <c r="R363" i="11"/>
  <c r="Q363" i="11"/>
  <c r="M363" i="11"/>
  <c r="I363" i="11"/>
  <c r="E363" i="11"/>
  <c r="Q362" i="11"/>
  <c r="M362" i="11"/>
  <c r="I362" i="11"/>
  <c r="E362" i="11"/>
  <c r="Q361" i="11"/>
  <c r="M361" i="11"/>
  <c r="I361" i="11"/>
  <c r="E361" i="11"/>
  <c r="R361" i="11" s="1"/>
  <c r="R360" i="11"/>
  <c r="Q360" i="11"/>
  <c r="M360" i="11"/>
  <c r="I360" i="11"/>
  <c r="E360" i="11"/>
  <c r="Q359" i="11"/>
  <c r="M359" i="11"/>
  <c r="I359" i="11"/>
  <c r="E359" i="11"/>
  <c r="Q358" i="11"/>
  <c r="M358" i="11"/>
  <c r="I358" i="11"/>
  <c r="E358" i="11"/>
  <c r="R358" i="11" s="1"/>
  <c r="Q356" i="11"/>
  <c r="M356" i="11"/>
  <c r="R356" i="11" s="1"/>
  <c r="I356" i="11"/>
  <c r="E356" i="11"/>
  <c r="Q355" i="11"/>
  <c r="M355" i="11"/>
  <c r="I355" i="11"/>
  <c r="E355" i="11"/>
  <c r="Q354" i="11"/>
  <c r="M354" i="11"/>
  <c r="I354" i="11"/>
  <c r="E354" i="11"/>
  <c r="R354" i="11" s="1"/>
  <c r="Q353" i="11"/>
  <c r="M353" i="11"/>
  <c r="R353" i="11" s="1"/>
  <c r="I353" i="11"/>
  <c r="E353" i="11"/>
  <c r="Q352" i="11"/>
  <c r="M352" i="11"/>
  <c r="I352" i="11"/>
  <c r="E352" i="11"/>
  <c r="R352" i="11" s="1"/>
  <c r="R351" i="11"/>
  <c r="Q351" i="11"/>
  <c r="M351" i="11"/>
  <c r="I351" i="11"/>
  <c r="E351" i="11"/>
  <c r="Q350" i="11"/>
  <c r="M350" i="11"/>
  <c r="I350" i="11"/>
  <c r="E350" i="11"/>
  <c r="Q349" i="11"/>
  <c r="M349" i="11"/>
  <c r="I349" i="11"/>
  <c r="E349" i="11"/>
  <c r="R349" i="11" s="1"/>
  <c r="R348" i="11"/>
  <c r="Q348" i="11"/>
  <c r="M348" i="11"/>
  <c r="I348" i="11"/>
  <c r="E348" i="11"/>
  <c r="Q347" i="11"/>
  <c r="M347" i="11"/>
  <c r="I347" i="11"/>
  <c r="E347" i="11"/>
  <c r="Q346" i="11"/>
  <c r="M346" i="11"/>
  <c r="I346" i="11"/>
  <c r="E346" i="11"/>
  <c r="R346" i="11" s="1"/>
  <c r="Q345" i="11"/>
  <c r="M345" i="11"/>
  <c r="R345" i="11" s="1"/>
  <c r="I345" i="11"/>
  <c r="E345" i="11"/>
  <c r="R344" i="11"/>
  <c r="Q344" i="11"/>
  <c r="M344" i="11"/>
  <c r="I344" i="11"/>
  <c r="E344" i="11"/>
  <c r="Q343" i="11"/>
  <c r="M343" i="11"/>
  <c r="I343" i="11"/>
  <c r="R343" i="11" s="1"/>
  <c r="E343" i="11"/>
  <c r="Q342" i="11"/>
  <c r="M342" i="11"/>
  <c r="I342" i="11"/>
  <c r="E342" i="11"/>
  <c r="Q341" i="11"/>
  <c r="M341" i="11"/>
  <c r="I341" i="11"/>
  <c r="E341" i="11"/>
  <c r="R340" i="11"/>
  <c r="Q340" i="11"/>
  <c r="M340" i="11"/>
  <c r="I340" i="11"/>
  <c r="E340" i="11"/>
  <c r="Q339" i="11"/>
  <c r="M339" i="11"/>
  <c r="I339" i="11"/>
  <c r="E339" i="11"/>
  <c r="R339" i="11" s="1"/>
  <c r="Q338" i="11"/>
  <c r="M338" i="11"/>
  <c r="R338" i="11" s="1"/>
  <c r="I338" i="11"/>
  <c r="E338" i="11"/>
  <c r="Q337" i="11"/>
  <c r="M337" i="11"/>
  <c r="R337" i="11" s="1"/>
  <c r="I337" i="11"/>
  <c r="E337" i="11"/>
  <c r="Q336" i="11"/>
  <c r="M336" i="11"/>
  <c r="I336" i="11"/>
  <c r="E336" i="11"/>
  <c r="R336" i="11" s="1"/>
  <c r="Q335" i="11"/>
  <c r="M335" i="11"/>
  <c r="I335" i="11"/>
  <c r="R335" i="11" s="1"/>
  <c r="E335" i="11"/>
  <c r="Q334" i="11"/>
  <c r="M334" i="11"/>
  <c r="I334" i="11"/>
  <c r="E334" i="11"/>
  <c r="Q333" i="11"/>
  <c r="M333" i="11"/>
  <c r="I333" i="11"/>
  <c r="E333" i="11"/>
  <c r="Q332" i="11"/>
  <c r="M332" i="11"/>
  <c r="I332" i="11"/>
  <c r="E332" i="11"/>
  <c r="R332" i="11" s="1"/>
  <c r="C332" i="11"/>
  <c r="C824" i="11" s="1"/>
  <c r="C830" i="11" s="1"/>
  <c r="B332" i="11"/>
  <c r="B824" i="11" s="1"/>
  <c r="E824" i="11" s="1"/>
  <c r="R331" i="11"/>
  <c r="Q331" i="11"/>
  <c r="M331" i="11"/>
  <c r="I331" i="11"/>
  <c r="E331" i="11"/>
  <c r="R330" i="11"/>
  <c r="Q330" i="11"/>
  <c r="M330" i="11"/>
  <c r="I330" i="11"/>
  <c r="E330" i="11"/>
  <c r="Q329" i="11"/>
  <c r="M329" i="11"/>
  <c r="I329" i="11"/>
  <c r="R329" i="11" s="1"/>
  <c r="E329" i="11"/>
  <c r="Q328" i="11"/>
  <c r="M328" i="11"/>
  <c r="I328" i="11"/>
  <c r="E328" i="11"/>
  <c r="Q327" i="11"/>
  <c r="M327" i="11"/>
  <c r="I327" i="11"/>
  <c r="E327" i="11"/>
  <c r="Q326" i="11"/>
  <c r="M326" i="11"/>
  <c r="I326" i="11"/>
  <c r="E326" i="11"/>
  <c r="R326" i="11" s="1"/>
  <c r="P318" i="11"/>
  <c r="O318" i="11"/>
  <c r="N318" i="11"/>
  <c r="L318" i="11"/>
  <c r="K318" i="11"/>
  <c r="J318" i="11"/>
  <c r="H318" i="11"/>
  <c r="G318" i="11"/>
  <c r="I318" i="11" s="1"/>
  <c r="F318" i="11"/>
  <c r="D318" i="11"/>
  <c r="C318" i="11"/>
  <c r="B318" i="11"/>
  <c r="Q316" i="11"/>
  <c r="M316" i="11"/>
  <c r="R316" i="11" s="1"/>
  <c r="R318" i="11" s="1"/>
  <c r="I316" i="11"/>
  <c r="E316" i="11"/>
  <c r="Q305" i="11"/>
  <c r="M305" i="11"/>
  <c r="I305" i="11"/>
  <c r="E305" i="11"/>
  <c r="R304" i="11"/>
  <c r="Q304" i="11"/>
  <c r="M304" i="11"/>
  <c r="I304" i="11"/>
  <c r="E304" i="11"/>
  <c r="R303" i="11"/>
  <c r="Q303" i="11"/>
  <c r="M303" i="11"/>
  <c r="I303" i="11"/>
  <c r="E303" i="11"/>
  <c r="Q302" i="11"/>
  <c r="M302" i="11"/>
  <c r="I302" i="11"/>
  <c r="E302" i="11"/>
  <c r="R302" i="11" s="1"/>
  <c r="Q301" i="11"/>
  <c r="M301" i="11"/>
  <c r="I301" i="11"/>
  <c r="E301" i="11"/>
  <c r="R301" i="11" s="1"/>
  <c r="Q300" i="11"/>
  <c r="M300" i="11"/>
  <c r="I300" i="11"/>
  <c r="E300" i="11"/>
  <c r="R300" i="11" s="1"/>
  <c r="P298" i="11"/>
  <c r="O298" i="11"/>
  <c r="Q298" i="11" s="1"/>
  <c r="N298" i="11"/>
  <c r="L298" i="11"/>
  <c r="M298" i="11" s="1"/>
  <c r="K298" i="11"/>
  <c r="J298" i="11"/>
  <c r="H298" i="11"/>
  <c r="G298" i="11"/>
  <c r="I298" i="11" s="1"/>
  <c r="F298" i="11"/>
  <c r="D298" i="11"/>
  <c r="E298" i="11" s="1"/>
  <c r="C298" i="11"/>
  <c r="B298" i="11"/>
  <c r="P297" i="11"/>
  <c r="O297" i="11"/>
  <c r="N297" i="11"/>
  <c r="Q297" i="11" s="1"/>
  <c r="L297" i="11"/>
  <c r="K297" i="11"/>
  <c r="J297" i="11"/>
  <c r="M297" i="11" s="1"/>
  <c r="H297" i="11"/>
  <c r="G297" i="11"/>
  <c r="F297" i="11"/>
  <c r="I297" i="11" s="1"/>
  <c r="D297" i="11"/>
  <c r="C297" i="11"/>
  <c r="B297" i="11"/>
  <c r="E297" i="11" s="1"/>
  <c r="R297" i="11" s="1"/>
  <c r="Q296" i="11"/>
  <c r="M296" i="11"/>
  <c r="I296" i="11"/>
  <c r="E296" i="11"/>
  <c r="R296" i="11" s="1"/>
  <c r="Q294" i="11"/>
  <c r="M294" i="11"/>
  <c r="I294" i="11"/>
  <c r="E294" i="11"/>
  <c r="R294" i="11" s="1"/>
  <c r="Q292" i="11"/>
  <c r="M292" i="11"/>
  <c r="I292" i="11"/>
  <c r="E292" i="11"/>
  <c r="R292" i="11" s="1"/>
  <c r="Q291" i="11"/>
  <c r="M291" i="11"/>
  <c r="R291" i="11" s="1"/>
  <c r="I291" i="11"/>
  <c r="E291" i="11"/>
  <c r="Q290" i="11"/>
  <c r="M290" i="11"/>
  <c r="I290" i="11"/>
  <c r="R290" i="11" s="1"/>
  <c r="E290" i="11"/>
  <c r="R289" i="11"/>
  <c r="Q289" i="11"/>
  <c r="M289" i="11"/>
  <c r="I289" i="11"/>
  <c r="E289" i="11"/>
  <c r="Q288" i="11"/>
  <c r="M288" i="11"/>
  <c r="I288" i="11"/>
  <c r="E288" i="11"/>
  <c r="R288" i="11" s="1"/>
  <c r="Q287" i="11"/>
  <c r="M287" i="11"/>
  <c r="I287" i="11"/>
  <c r="E287" i="11"/>
  <c r="R287" i="11" s="1"/>
  <c r="R286" i="11"/>
  <c r="Q286" i="11"/>
  <c r="M286" i="11"/>
  <c r="I286" i="11"/>
  <c r="E286" i="11"/>
  <c r="Q285" i="11"/>
  <c r="M285" i="11"/>
  <c r="I285" i="11"/>
  <c r="E285" i="11"/>
  <c r="R285" i="11" s="1"/>
  <c r="Q283" i="11"/>
  <c r="M283" i="11"/>
  <c r="I283" i="11"/>
  <c r="E283" i="11"/>
  <c r="R283" i="11" s="1"/>
  <c r="Q282" i="11"/>
  <c r="M282" i="11"/>
  <c r="I282" i="11"/>
  <c r="E282" i="11"/>
  <c r="R282" i="11" s="1"/>
  <c r="Q281" i="11"/>
  <c r="M281" i="11"/>
  <c r="I281" i="11"/>
  <c r="E281" i="11"/>
  <c r="R281" i="11" s="1"/>
  <c r="P278" i="11"/>
  <c r="Q278" i="11" s="1"/>
  <c r="O278" i="11"/>
  <c r="N278" i="11"/>
  <c r="L278" i="11"/>
  <c r="K278" i="11"/>
  <c r="H278" i="11"/>
  <c r="D278" i="11"/>
  <c r="C278" i="11"/>
  <c r="E278" i="11" s="1"/>
  <c r="B278" i="11"/>
  <c r="Q277" i="11"/>
  <c r="M277" i="11"/>
  <c r="I277" i="11"/>
  <c r="E277" i="11"/>
  <c r="R277" i="11" s="1"/>
  <c r="Q276" i="11"/>
  <c r="M276" i="11"/>
  <c r="I276" i="11"/>
  <c r="E276" i="11"/>
  <c r="R276" i="11" s="1"/>
  <c r="Q275" i="11"/>
  <c r="M275" i="11"/>
  <c r="I275" i="11"/>
  <c r="E275" i="11"/>
  <c r="R275" i="11" s="1"/>
  <c r="Q274" i="11"/>
  <c r="M274" i="11"/>
  <c r="I274" i="11"/>
  <c r="R274" i="11" s="1"/>
  <c r="E274" i="11"/>
  <c r="Q273" i="11"/>
  <c r="M273" i="11"/>
  <c r="R273" i="11" s="1"/>
  <c r="I273" i="11"/>
  <c r="E273" i="11"/>
  <c r="Q272" i="11"/>
  <c r="M272" i="11"/>
  <c r="I272" i="11"/>
  <c r="R272" i="11" s="1"/>
  <c r="E272" i="11"/>
  <c r="R271" i="11"/>
  <c r="Q271" i="11"/>
  <c r="M271" i="11"/>
  <c r="I271" i="11"/>
  <c r="E271" i="11"/>
  <c r="Q270" i="11"/>
  <c r="M270" i="11"/>
  <c r="I270" i="11"/>
  <c r="E270" i="11"/>
  <c r="R270" i="11" s="1"/>
  <c r="Q269" i="11"/>
  <c r="M269" i="11"/>
  <c r="L269" i="11"/>
  <c r="L838" i="11" s="1"/>
  <c r="I269" i="11"/>
  <c r="R269" i="11" s="1"/>
  <c r="E269" i="11"/>
  <c r="R268" i="11"/>
  <c r="Q268" i="11"/>
  <c r="M268" i="11"/>
  <c r="I268" i="11"/>
  <c r="E268" i="11"/>
  <c r="Q267" i="11"/>
  <c r="M267" i="11"/>
  <c r="I267" i="11"/>
  <c r="R267" i="11" s="1"/>
  <c r="E267" i="11"/>
  <c r="Q266" i="11"/>
  <c r="M266" i="11"/>
  <c r="I266" i="11"/>
  <c r="E266" i="11"/>
  <c r="R266" i="11" s="1"/>
  <c r="Q265" i="11"/>
  <c r="M265" i="11"/>
  <c r="I265" i="11"/>
  <c r="E265" i="11"/>
  <c r="R265" i="11" s="1"/>
  <c r="Q264" i="11"/>
  <c r="M264" i="11"/>
  <c r="I264" i="11"/>
  <c r="E264" i="11"/>
  <c r="R264" i="11" s="1"/>
  <c r="Q263" i="11"/>
  <c r="M263" i="11"/>
  <c r="I263" i="11"/>
  <c r="E263" i="11"/>
  <c r="R263" i="11" s="1"/>
  <c r="Q262" i="11"/>
  <c r="M262" i="11"/>
  <c r="R262" i="11" s="1"/>
  <c r="I262" i="11"/>
  <c r="E262" i="11"/>
  <c r="Q261" i="11"/>
  <c r="K261" i="11"/>
  <c r="K838" i="11" s="1"/>
  <c r="J261" i="11"/>
  <c r="M261" i="11" s="1"/>
  <c r="I261" i="11"/>
  <c r="R261" i="11" s="1"/>
  <c r="H261" i="11"/>
  <c r="H838" i="11" s="1"/>
  <c r="E261" i="11"/>
  <c r="Q260" i="11"/>
  <c r="M260" i="11"/>
  <c r="I260" i="11"/>
  <c r="R260" i="11" s="1"/>
  <c r="E260" i="11"/>
  <c r="R259" i="11"/>
  <c r="Q259" i="11"/>
  <c r="M259" i="11"/>
  <c r="I259" i="11"/>
  <c r="E259" i="11"/>
  <c r="Q258" i="11"/>
  <c r="M258" i="11"/>
  <c r="I258" i="11"/>
  <c r="E258" i="11"/>
  <c r="R258" i="11" s="1"/>
  <c r="Q257" i="11"/>
  <c r="M257" i="11"/>
  <c r="I257" i="11"/>
  <c r="E257" i="11"/>
  <c r="R257" i="11" s="1"/>
  <c r="Q256" i="11"/>
  <c r="M256" i="11"/>
  <c r="I256" i="11"/>
  <c r="E256" i="11"/>
  <c r="R256" i="11" s="1"/>
  <c r="Q255" i="11"/>
  <c r="M255" i="11"/>
  <c r="I255" i="11"/>
  <c r="E255" i="11"/>
  <c r="R255" i="11" s="1"/>
  <c r="Q254" i="11"/>
  <c r="M254" i="11"/>
  <c r="I254" i="11"/>
  <c r="R254" i="11" s="1"/>
  <c r="E254" i="11"/>
  <c r="Q253" i="11"/>
  <c r="M253" i="11"/>
  <c r="R253" i="11" s="1"/>
  <c r="I253" i="11"/>
  <c r="E253" i="11"/>
  <c r="Q252" i="11"/>
  <c r="M252" i="11"/>
  <c r="I252" i="11"/>
  <c r="R252" i="11" s="1"/>
  <c r="E252" i="11"/>
  <c r="R251" i="11"/>
  <c r="Q251" i="11"/>
  <c r="M251" i="11"/>
  <c r="I251" i="11"/>
  <c r="E251" i="11"/>
  <c r="Q250" i="11"/>
  <c r="M250" i="11"/>
  <c r="I250" i="11"/>
  <c r="E250" i="11"/>
  <c r="R250" i="11" s="1"/>
  <c r="Q249" i="11"/>
  <c r="M249" i="11"/>
  <c r="I249" i="11"/>
  <c r="E249" i="11"/>
  <c r="R249" i="11" s="1"/>
  <c r="Q248" i="11"/>
  <c r="M248" i="11"/>
  <c r="I248" i="11"/>
  <c r="E248" i="11"/>
  <c r="R248" i="11" s="1"/>
  <c r="Q247" i="11"/>
  <c r="M247" i="11"/>
  <c r="G247" i="11"/>
  <c r="G838" i="11" s="1"/>
  <c r="E247" i="11"/>
  <c r="Q246" i="11"/>
  <c r="M246" i="11"/>
  <c r="I246" i="11"/>
  <c r="E246" i="11"/>
  <c r="R246" i="11" s="1"/>
  <c r="Q245" i="11"/>
  <c r="M245" i="11"/>
  <c r="F245" i="11"/>
  <c r="F838" i="11" s="1"/>
  <c r="E245" i="11"/>
  <c r="Q244" i="11"/>
  <c r="M244" i="11"/>
  <c r="I244" i="11"/>
  <c r="E244" i="11"/>
  <c r="R244" i="11" s="1"/>
  <c r="Q243" i="11"/>
  <c r="M243" i="11"/>
  <c r="I243" i="11"/>
  <c r="E243" i="11"/>
  <c r="R243" i="11" s="1"/>
  <c r="Q242" i="11"/>
  <c r="M242" i="11"/>
  <c r="I242" i="11"/>
  <c r="E242" i="11"/>
  <c r="R242" i="11" s="1"/>
  <c r="Q241" i="11"/>
  <c r="M241" i="11"/>
  <c r="I241" i="11"/>
  <c r="E241" i="11"/>
  <c r="R241" i="11" s="1"/>
  <c r="Q240" i="11"/>
  <c r="M240" i="11"/>
  <c r="I240" i="11"/>
  <c r="R240" i="11" s="1"/>
  <c r="E240" i="11"/>
  <c r="Q239" i="11"/>
  <c r="M239" i="11"/>
  <c r="R239" i="11" s="1"/>
  <c r="I239" i="11"/>
  <c r="E239" i="11"/>
  <c r="R238" i="11"/>
  <c r="Q238" i="11"/>
  <c r="M238" i="11"/>
  <c r="I238" i="11"/>
  <c r="E238" i="11"/>
  <c r="R237" i="11"/>
  <c r="Q237" i="11"/>
  <c r="M237" i="11"/>
  <c r="I237" i="11"/>
  <c r="E237" i="11"/>
  <c r="Q236" i="11"/>
  <c r="M236" i="11"/>
  <c r="I236" i="11"/>
  <c r="E236" i="11"/>
  <c r="R236" i="11" s="1"/>
  <c r="Q235" i="11"/>
  <c r="M235" i="11"/>
  <c r="I235" i="11"/>
  <c r="E235" i="11"/>
  <c r="R235" i="11" s="1"/>
  <c r="Q234" i="11"/>
  <c r="M234" i="11"/>
  <c r="I234" i="11"/>
  <c r="E234" i="11"/>
  <c r="R234" i="11" s="1"/>
  <c r="Q233" i="11"/>
  <c r="M233" i="11"/>
  <c r="I233" i="11"/>
  <c r="E233" i="11"/>
  <c r="R233" i="11" s="1"/>
  <c r="Q232" i="11"/>
  <c r="M232" i="11"/>
  <c r="I232" i="11"/>
  <c r="R232" i="11" s="1"/>
  <c r="E232" i="11"/>
  <c r="Q231" i="11"/>
  <c r="M231" i="11"/>
  <c r="R231" i="11" s="1"/>
  <c r="I231" i="11"/>
  <c r="E231" i="11"/>
  <c r="R230" i="11"/>
  <c r="Q230" i="11"/>
  <c r="M230" i="11"/>
  <c r="I230" i="11"/>
  <c r="E230" i="11"/>
  <c r="R229" i="11"/>
  <c r="Q229" i="11"/>
  <c r="M229" i="11"/>
  <c r="I229" i="11"/>
  <c r="E229" i="11"/>
  <c r="Q228" i="11"/>
  <c r="M228" i="11"/>
  <c r="I228" i="11"/>
  <c r="E228" i="11"/>
  <c r="R228" i="11" s="1"/>
  <c r="Q227" i="11"/>
  <c r="M227" i="11"/>
  <c r="I227" i="11"/>
  <c r="E227" i="11"/>
  <c r="R227" i="11" s="1"/>
  <c r="Q226" i="11"/>
  <c r="M226" i="11"/>
  <c r="I226" i="11"/>
  <c r="E226" i="11"/>
  <c r="R226" i="11" s="1"/>
  <c r="Q225" i="11"/>
  <c r="M225" i="11"/>
  <c r="I225" i="11"/>
  <c r="E225" i="11"/>
  <c r="R225" i="11" s="1"/>
  <c r="Q224" i="11"/>
  <c r="M224" i="11"/>
  <c r="I224" i="11"/>
  <c r="R224" i="11" s="1"/>
  <c r="E224" i="11"/>
  <c r="Q223" i="11"/>
  <c r="M223" i="11"/>
  <c r="R223" i="11" s="1"/>
  <c r="I223" i="11"/>
  <c r="E223" i="11"/>
  <c r="R222" i="11"/>
  <c r="Q222" i="11"/>
  <c r="M222" i="11"/>
  <c r="I222" i="11"/>
  <c r="E222" i="11"/>
  <c r="R221" i="11"/>
  <c r="Q221" i="11"/>
  <c r="M221" i="11"/>
  <c r="I221" i="11"/>
  <c r="E221" i="11"/>
  <c r="Q220" i="11"/>
  <c r="M220" i="11"/>
  <c r="I220" i="11"/>
  <c r="E220" i="11"/>
  <c r="R220" i="11" s="1"/>
  <c r="Q219" i="11"/>
  <c r="M219" i="11"/>
  <c r="I219" i="11"/>
  <c r="E219" i="11"/>
  <c r="R219" i="11" s="1"/>
  <c r="Q218" i="11"/>
  <c r="M218" i="11"/>
  <c r="I218" i="11"/>
  <c r="E218" i="11"/>
  <c r="R218" i="11" s="1"/>
  <c r="Q217" i="11"/>
  <c r="M217" i="11"/>
  <c r="I217" i="11"/>
  <c r="E217" i="11"/>
  <c r="R217" i="11" s="1"/>
  <c r="P213" i="11"/>
  <c r="Q213" i="11" s="1"/>
  <c r="O213" i="11"/>
  <c r="N213" i="11"/>
  <c r="L213" i="11"/>
  <c r="K213" i="11"/>
  <c r="M213" i="11" s="1"/>
  <c r="J213" i="11"/>
  <c r="I213" i="11"/>
  <c r="E213" i="11"/>
  <c r="R213" i="11" s="1"/>
  <c r="D213" i="11"/>
  <c r="C213" i="11"/>
  <c r="B213" i="11"/>
  <c r="Q211" i="11"/>
  <c r="M211" i="11"/>
  <c r="I211" i="11"/>
  <c r="E211" i="11"/>
  <c r="R211" i="11" s="1"/>
  <c r="Q210" i="11"/>
  <c r="M210" i="11"/>
  <c r="I210" i="11"/>
  <c r="E210" i="11"/>
  <c r="R210" i="11" s="1"/>
  <c r="K206" i="11"/>
  <c r="K299" i="11" s="1"/>
  <c r="K307" i="11" s="1"/>
  <c r="H206" i="11"/>
  <c r="H299" i="11" s="1"/>
  <c r="H307" i="11" s="1"/>
  <c r="F206" i="11"/>
  <c r="D206" i="11"/>
  <c r="D299" i="11" s="1"/>
  <c r="D307" i="11" s="1"/>
  <c r="C206" i="11"/>
  <c r="C299" i="11" s="1"/>
  <c r="C307" i="11" s="1"/>
  <c r="B206" i="11"/>
  <c r="B299" i="11" s="1"/>
  <c r="Q204" i="11"/>
  <c r="M204" i="11"/>
  <c r="I204" i="11"/>
  <c r="E204" i="11"/>
  <c r="R204" i="11" s="1"/>
  <c r="Q203" i="11"/>
  <c r="M203" i="11"/>
  <c r="I203" i="11"/>
  <c r="E203" i="11"/>
  <c r="R203" i="11" s="1"/>
  <c r="Q202" i="11"/>
  <c r="M202" i="11"/>
  <c r="I202" i="11"/>
  <c r="E202" i="11"/>
  <c r="R202" i="11" s="1"/>
  <c r="Q200" i="11"/>
  <c r="M200" i="11"/>
  <c r="I200" i="11"/>
  <c r="E200" i="11"/>
  <c r="R200" i="11" s="1"/>
  <c r="Q199" i="11"/>
  <c r="M199" i="11"/>
  <c r="R199" i="11" s="1"/>
  <c r="I199" i="11"/>
  <c r="E199" i="11"/>
  <c r="R198" i="11"/>
  <c r="Q198" i="11"/>
  <c r="M198" i="11"/>
  <c r="I198" i="11"/>
  <c r="E198" i="11"/>
  <c r="R197" i="11"/>
  <c r="Q197" i="11"/>
  <c r="M197" i="11"/>
  <c r="I197" i="11"/>
  <c r="E197" i="11"/>
  <c r="Q196" i="11"/>
  <c r="M196" i="11"/>
  <c r="I196" i="11"/>
  <c r="E196" i="11"/>
  <c r="R196" i="11" s="1"/>
  <c r="Q195" i="11"/>
  <c r="M195" i="11"/>
  <c r="I195" i="11"/>
  <c r="E195" i="11"/>
  <c r="R195" i="11" s="1"/>
  <c r="Q194" i="11"/>
  <c r="M194" i="11"/>
  <c r="I194" i="11"/>
  <c r="E194" i="11"/>
  <c r="R194" i="11" s="1"/>
  <c r="Q193" i="11"/>
  <c r="M193" i="11"/>
  <c r="I193" i="11"/>
  <c r="E193" i="11"/>
  <c r="R193" i="11" s="1"/>
  <c r="Q192" i="11"/>
  <c r="M192" i="11"/>
  <c r="I192" i="11"/>
  <c r="R192" i="11" s="1"/>
  <c r="E192" i="11"/>
  <c r="Q191" i="11"/>
  <c r="M191" i="11"/>
  <c r="R191" i="11" s="1"/>
  <c r="I191" i="11"/>
  <c r="E191" i="11"/>
  <c r="R190" i="11"/>
  <c r="Q190" i="11"/>
  <c r="M190" i="11"/>
  <c r="I190" i="11"/>
  <c r="E190" i="11"/>
  <c r="R189" i="11"/>
  <c r="Q189" i="11"/>
  <c r="M189" i="11"/>
  <c r="I189" i="11"/>
  <c r="E189" i="11"/>
  <c r="Q187" i="11"/>
  <c r="M187" i="11"/>
  <c r="I187" i="11"/>
  <c r="E187" i="11"/>
  <c r="R187" i="11" s="1"/>
  <c r="R186" i="11"/>
  <c r="Q186" i="11"/>
  <c r="M186" i="11"/>
  <c r="I186" i="11"/>
  <c r="E186" i="11"/>
  <c r="R185" i="11"/>
  <c r="Q185" i="11"/>
  <c r="M185" i="11"/>
  <c r="I185" i="11"/>
  <c r="E185" i="11"/>
  <c r="Q184" i="11"/>
  <c r="M184" i="11"/>
  <c r="I184" i="11"/>
  <c r="E184" i="11"/>
  <c r="R184" i="11" s="1"/>
  <c r="Q183" i="11"/>
  <c r="M183" i="11"/>
  <c r="I183" i="11"/>
  <c r="E183" i="11"/>
  <c r="R183" i="11" s="1"/>
  <c r="Q182" i="11"/>
  <c r="M182" i="11"/>
  <c r="I182" i="11"/>
  <c r="E182" i="11"/>
  <c r="R182" i="11" s="1"/>
  <c r="Q181" i="11"/>
  <c r="M181" i="11"/>
  <c r="J181" i="11"/>
  <c r="I181" i="11"/>
  <c r="R181" i="11" s="1"/>
  <c r="E181" i="11"/>
  <c r="Q180" i="11"/>
  <c r="P180" i="11"/>
  <c r="O180" i="11"/>
  <c r="N180" i="11"/>
  <c r="L180" i="11"/>
  <c r="K180" i="11"/>
  <c r="J180" i="11"/>
  <c r="J824" i="11" s="1"/>
  <c r="J830" i="11" s="1"/>
  <c r="I180" i="11"/>
  <c r="H180" i="11"/>
  <c r="H824" i="11" s="1"/>
  <c r="H830" i="11" s="1"/>
  <c r="G180" i="11"/>
  <c r="G206" i="11" s="1"/>
  <c r="E180" i="11"/>
  <c r="Q179" i="11"/>
  <c r="M179" i="11"/>
  <c r="I179" i="11"/>
  <c r="E179" i="11"/>
  <c r="R179" i="11" s="1"/>
  <c r="P178" i="11"/>
  <c r="Q178" i="11" s="1"/>
  <c r="L178" i="11"/>
  <c r="M178" i="11" s="1"/>
  <c r="K178" i="11"/>
  <c r="K824" i="11" s="1"/>
  <c r="K830" i="11" s="1"/>
  <c r="I178" i="11"/>
  <c r="E178" i="11"/>
  <c r="P177" i="11"/>
  <c r="P824" i="11" s="1"/>
  <c r="P830" i="11" s="1"/>
  <c r="O177" i="11"/>
  <c r="O824" i="11" s="1"/>
  <c r="O830" i="11" s="1"/>
  <c r="N177" i="11"/>
  <c r="N824" i="11" s="1"/>
  <c r="M177" i="11"/>
  <c r="I177" i="11"/>
  <c r="E177" i="11"/>
  <c r="Q176" i="11"/>
  <c r="M176" i="11"/>
  <c r="I176" i="11"/>
  <c r="E176" i="11"/>
  <c r="R176" i="11" s="1"/>
  <c r="Q175" i="11"/>
  <c r="M175" i="11"/>
  <c r="I175" i="11"/>
  <c r="R175" i="11" s="1"/>
  <c r="E175" i="11"/>
  <c r="Q174" i="11"/>
  <c r="M174" i="11"/>
  <c r="R174" i="11" s="1"/>
  <c r="I174" i="11"/>
  <c r="E174" i="11"/>
  <c r="R173" i="11"/>
  <c r="Q173" i="11"/>
  <c r="M173" i="11"/>
  <c r="I173" i="11"/>
  <c r="E173" i="11"/>
  <c r="R172" i="11"/>
  <c r="Q172" i="11"/>
  <c r="M172" i="11"/>
  <c r="I172" i="11"/>
  <c r="E172" i="11"/>
  <c r="Q171" i="11"/>
  <c r="M171" i="11"/>
  <c r="I171" i="11"/>
  <c r="E171" i="11"/>
  <c r="R171" i="11" s="1"/>
  <c r="Q170" i="11"/>
  <c r="M170" i="11"/>
  <c r="I170" i="11"/>
  <c r="E170" i="11"/>
  <c r="R170" i="11" s="1"/>
  <c r="Q169" i="11"/>
  <c r="M169" i="11"/>
  <c r="I169" i="11"/>
  <c r="E169" i="11"/>
  <c r="R169" i="11" s="1"/>
  <c r="Q168" i="11"/>
  <c r="M168" i="11"/>
  <c r="I168" i="11"/>
  <c r="E168" i="11"/>
  <c r="R168" i="11" s="1"/>
  <c r="Q167" i="11"/>
  <c r="M167" i="11"/>
  <c r="I167" i="11"/>
  <c r="R167" i="11" s="1"/>
  <c r="E167" i="11"/>
  <c r="Q166" i="11"/>
  <c r="M166" i="11"/>
  <c r="R166" i="11" s="1"/>
  <c r="I166" i="11"/>
  <c r="E166" i="11"/>
  <c r="R165" i="11"/>
  <c r="Q165" i="11"/>
  <c r="M165" i="11"/>
  <c r="I165" i="11"/>
  <c r="E165" i="11"/>
  <c r="R164" i="11"/>
  <c r="Q164" i="11"/>
  <c r="M164" i="11"/>
  <c r="I164" i="11"/>
  <c r="E164" i="11"/>
  <c r="Q163" i="11"/>
  <c r="M163" i="11"/>
  <c r="I163" i="11"/>
  <c r="E163" i="11"/>
  <c r="R163" i="11" s="1"/>
  <c r="Q162" i="11"/>
  <c r="M162" i="11"/>
  <c r="I162" i="11"/>
  <c r="E162" i="11"/>
  <c r="R162" i="11" s="1"/>
  <c r="Q161" i="11"/>
  <c r="M161" i="11"/>
  <c r="I161" i="11"/>
  <c r="E161" i="11"/>
  <c r="R161" i="11" s="1"/>
  <c r="Q160" i="11"/>
  <c r="M160" i="11"/>
  <c r="I160" i="11"/>
  <c r="E160" i="11"/>
  <c r="R160" i="11" s="1"/>
  <c r="Q159" i="11"/>
  <c r="M159" i="11"/>
  <c r="I159" i="11"/>
  <c r="R159" i="11" s="1"/>
  <c r="E159" i="11"/>
  <c r="Q158" i="11"/>
  <c r="M158" i="11"/>
  <c r="R158" i="11" s="1"/>
  <c r="I158" i="11"/>
  <c r="E158" i="11"/>
  <c r="R157" i="11"/>
  <c r="Q157" i="11"/>
  <c r="M157" i="11"/>
  <c r="I157" i="11"/>
  <c r="E157" i="11"/>
  <c r="R156" i="11"/>
  <c r="Q156" i="11"/>
  <c r="M156" i="11"/>
  <c r="I156" i="11"/>
  <c r="E156" i="11"/>
  <c r="Q155" i="11"/>
  <c r="M155" i="11"/>
  <c r="I155" i="11"/>
  <c r="E155" i="11"/>
  <c r="R155" i="11" s="1"/>
  <c r="Q154" i="11"/>
  <c r="M154" i="11"/>
  <c r="L154" i="11"/>
  <c r="L206" i="11" s="1"/>
  <c r="L299" i="11" s="1"/>
  <c r="L307" i="11" s="1"/>
  <c r="I154" i="11"/>
  <c r="R154" i="11" s="1"/>
  <c r="E154" i="11"/>
  <c r="R153" i="11"/>
  <c r="Q153" i="11"/>
  <c r="M153" i="11"/>
  <c r="I153" i="11"/>
  <c r="E153" i="11"/>
  <c r="Q152" i="11"/>
  <c r="M152" i="11"/>
  <c r="I152" i="11"/>
  <c r="E152" i="11"/>
  <c r="R152" i="11" s="1"/>
  <c r="Q151" i="11"/>
  <c r="M151" i="11"/>
  <c r="I151" i="11"/>
  <c r="E151" i="11"/>
  <c r="R151" i="11" s="1"/>
  <c r="Q150" i="11"/>
  <c r="M150" i="11"/>
  <c r="I150" i="11"/>
  <c r="E150" i="11"/>
  <c r="R150" i="11" s="1"/>
  <c r="Q149" i="11"/>
  <c r="M149" i="11"/>
  <c r="I149" i="11"/>
  <c r="E149" i="11"/>
  <c r="R149" i="11" s="1"/>
  <c r="Q148" i="11"/>
  <c r="M148" i="11"/>
  <c r="I148" i="11"/>
  <c r="R148" i="11" s="1"/>
  <c r="E148" i="11"/>
  <c r="Q147" i="11"/>
  <c r="M147" i="11"/>
  <c r="R147" i="11" s="1"/>
  <c r="I147" i="11"/>
  <c r="E147" i="11"/>
  <c r="R146" i="11"/>
  <c r="Q146" i="11"/>
  <c r="M146" i="11"/>
  <c r="I146" i="11"/>
  <c r="E146" i="11"/>
  <c r="R145" i="11"/>
  <c r="T286" i="11" s="1"/>
  <c r="Q145" i="11"/>
  <c r="M145" i="11"/>
  <c r="I145" i="11"/>
  <c r="E145" i="11"/>
  <c r="Q144" i="11"/>
  <c r="M144" i="11"/>
  <c r="I144" i="11"/>
  <c r="E144" i="11"/>
  <c r="R144" i="11" s="1"/>
  <c r="Q143" i="11"/>
  <c r="M143" i="11"/>
  <c r="I143" i="11"/>
  <c r="E143" i="11"/>
  <c r="R143" i="11" s="1"/>
  <c r="Q142" i="11"/>
  <c r="M142" i="11"/>
  <c r="I142" i="11"/>
  <c r="E142" i="11"/>
  <c r="R142" i="11" s="1"/>
  <c r="Q141" i="11"/>
  <c r="M141" i="11"/>
  <c r="I141" i="11"/>
  <c r="E141" i="11"/>
  <c r="R141" i="11" s="1"/>
  <c r="Q140" i="11"/>
  <c r="M140" i="11"/>
  <c r="I140" i="11"/>
  <c r="R140" i="11" s="1"/>
  <c r="E140" i="11"/>
  <c r="Q139" i="11"/>
  <c r="M139" i="11"/>
  <c r="R139" i="11" s="1"/>
  <c r="I139" i="11"/>
  <c r="E139" i="11"/>
  <c r="Q127" i="11"/>
  <c r="M127" i="11"/>
  <c r="I127" i="11"/>
  <c r="E127" i="11"/>
  <c r="R127" i="11" s="1"/>
  <c r="L126" i="11"/>
  <c r="L129" i="11" s="1"/>
  <c r="D126" i="11"/>
  <c r="D129" i="11" s="1"/>
  <c r="P125" i="11"/>
  <c r="O125" i="11"/>
  <c r="Q125" i="11" s="1"/>
  <c r="N125" i="11"/>
  <c r="M125" i="11"/>
  <c r="L125" i="11"/>
  <c r="K125" i="11"/>
  <c r="J125" i="11"/>
  <c r="H125" i="11"/>
  <c r="G125" i="11"/>
  <c r="I125" i="11" s="1"/>
  <c r="F125" i="11"/>
  <c r="E125" i="11"/>
  <c r="D125" i="11"/>
  <c r="C125" i="11"/>
  <c r="B125" i="11"/>
  <c r="P124" i="11"/>
  <c r="O124" i="11"/>
  <c r="N124" i="11"/>
  <c r="Q124" i="11" s="1"/>
  <c r="L124" i="11"/>
  <c r="K124" i="11"/>
  <c r="J124" i="11"/>
  <c r="M124" i="11" s="1"/>
  <c r="H124" i="11"/>
  <c r="G124" i="11"/>
  <c r="F124" i="11"/>
  <c r="I124" i="11" s="1"/>
  <c r="D124" i="11"/>
  <c r="C124" i="11"/>
  <c r="B124" i="11"/>
  <c r="E124" i="11" s="1"/>
  <c r="Q122" i="11"/>
  <c r="M122" i="11"/>
  <c r="I122" i="11"/>
  <c r="E122" i="11"/>
  <c r="R122" i="11" s="1"/>
  <c r="Q120" i="11"/>
  <c r="M120" i="11"/>
  <c r="I120" i="11"/>
  <c r="E120" i="11"/>
  <c r="R120" i="11" s="1"/>
  <c r="Q119" i="11"/>
  <c r="M119" i="11"/>
  <c r="I119" i="11"/>
  <c r="E119" i="11"/>
  <c r="R119" i="11" s="1"/>
  <c r="Q117" i="11"/>
  <c r="M117" i="11"/>
  <c r="I117" i="11"/>
  <c r="E117" i="11"/>
  <c r="R117" i="11" s="1"/>
  <c r="Q116" i="11"/>
  <c r="M116" i="11"/>
  <c r="I116" i="11"/>
  <c r="E116" i="11"/>
  <c r="R116" i="11" s="1"/>
  <c r="Q115" i="11"/>
  <c r="M115" i="11"/>
  <c r="R115" i="11" s="1"/>
  <c r="I115" i="11"/>
  <c r="E115" i="11"/>
  <c r="R114" i="11"/>
  <c r="Q114" i="11"/>
  <c r="M114" i="11"/>
  <c r="I114" i="11"/>
  <c r="E114" i="11"/>
  <c r="R113" i="11"/>
  <c r="Q113" i="11"/>
  <c r="M113" i="11"/>
  <c r="I113" i="11"/>
  <c r="E113" i="11"/>
  <c r="Q112" i="11"/>
  <c r="M112" i="11"/>
  <c r="I112" i="11"/>
  <c r="E112" i="11"/>
  <c r="R112" i="11" s="1"/>
  <c r="Q111" i="11"/>
  <c r="M111" i="11"/>
  <c r="I111" i="11"/>
  <c r="E111" i="11"/>
  <c r="R111" i="11" s="1"/>
  <c r="Q110" i="11"/>
  <c r="M110" i="11"/>
  <c r="I110" i="11"/>
  <c r="E110" i="11"/>
  <c r="R110" i="11" s="1"/>
  <c r="P107" i="11"/>
  <c r="O107" i="11"/>
  <c r="N107" i="11"/>
  <c r="Q107" i="11" s="1"/>
  <c r="L107" i="11"/>
  <c r="K107" i="11"/>
  <c r="J107" i="11"/>
  <c r="M107" i="11" s="1"/>
  <c r="H107" i="11"/>
  <c r="G107" i="11"/>
  <c r="F107" i="11"/>
  <c r="I107" i="11" s="1"/>
  <c r="D107" i="11"/>
  <c r="C107" i="11"/>
  <c r="B107" i="11"/>
  <c r="E107" i="11" s="1"/>
  <c r="Q106" i="11"/>
  <c r="M106" i="11"/>
  <c r="I106" i="11"/>
  <c r="E106" i="11"/>
  <c r="R106" i="11" s="1"/>
  <c r="Q105" i="11"/>
  <c r="M105" i="11"/>
  <c r="I105" i="11"/>
  <c r="E105" i="11"/>
  <c r="R105" i="11" s="1"/>
  <c r="Q104" i="11"/>
  <c r="M104" i="11"/>
  <c r="I104" i="11"/>
  <c r="E104" i="11"/>
  <c r="R104" i="11" s="1"/>
  <c r="Q103" i="11"/>
  <c r="M103" i="11"/>
  <c r="I103" i="11"/>
  <c r="E103" i="11"/>
  <c r="R103" i="11" s="1"/>
  <c r="Q102" i="11"/>
  <c r="M102" i="11"/>
  <c r="I102" i="11"/>
  <c r="R102" i="11" s="1"/>
  <c r="E102" i="11"/>
  <c r="Q101" i="11"/>
  <c r="M101" i="11"/>
  <c r="R101" i="11" s="1"/>
  <c r="I101" i="11"/>
  <c r="E101" i="11"/>
  <c r="R100" i="11"/>
  <c r="Q100" i="11"/>
  <c r="M100" i="11"/>
  <c r="I100" i="11"/>
  <c r="E100" i="11"/>
  <c r="P96" i="11"/>
  <c r="O96" i="11"/>
  <c r="N96" i="11"/>
  <c r="Q96" i="11" s="1"/>
  <c r="L96" i="11"/>
  <c r="K96" i="11"/>
  <c r="J96" i="11"/>
  <c r="M96" i="11" s="1"/>
  <c r="H96" i="11"/>
  <c r="G96" i="11"/>
  <c r="F96" i="11"/>
  <c r="I96" i="11" s="1"/>
  <c r="D96" i="11"/>
  <c r="C96" i="11"/>
  <c r="B96" i="11"/>
  <c r="E96" i="11" s="1"/>
  <c r="Q94" i="11"/>
  <c r="M94" i="11"/>
  <c r="R94" i="11" s="1"/>
  <c r="I94" i="11"/>
  <c r="E94" i="11"/>
  <c r="Q93" i="11"/>
  <c r="M93" i="11"/>
  <c r="R93" i="11" s="1"/>
  <c r="I93" i="11"/>
  <c r="E93" i="11"/>
  <c r="P89" i="11"/>
  <c r="P126" i="11" s="1"/>
  <c r="P129" i="11" s="1"/>
  <c r="O89" i="11"/>
  <c r="O126" i="11" s="1"/>
  <c r="O129" i="11" s="1"/>
  <c r="N89" i="11"/>
  <c r="Q89" i="11" s="1"/>
  <c r="M89" i="11"/>
  <c r="L89" i="11"/>
  <c r="K89" i="11"/>
  <c r="K126" i="11" s="1"/>
  <c r="K129" i="11" s="1"/>
  <c r="J89" i="11"/>
  <c r="J126" i="11" s="1"/>
  <c r="H89" i="11"/>
  <c r="H126" i="11" s="1"/>
  <c r="H129" i="11" s="1"/>
  <c r="G89" i="11"/>
  <c r="G126" i="11" s="1"/>
  <c r="G129" i="11" s="1"/>
  <c r="F89" i="11"/>
  <c r="I89" i="11" s="1"/>
  <c r="E89" i="11"/>
  <c r="R89" i="11" s="1"/>
  <c r="D89" i="11"/>
  <c r="C89" i="11"/>
  <c r="C126" i="11" s="1"/>
  <c r="C129" i="11" s="1"/>
  <c r="B89" i="11"/>
  <c r="B126" i="11" s="1"/>
  <c r="Q87" i="11"/>
  <c r="M87" i="11"/>
  <c r="I87" i="11"/>
  <c r="E87" i="11"/>
  <c r="R87" i="11" s="1"/>
  <c r="Q86" i="11"/>
  <c r="M86" i="11"/>
  <c r="R86" i="11" s="1"/>
  <c r="I86" i="11"/>
  <c r="E86" i="11"/>
  <c r="Q84" i="11"/>
  <c r="M84" i="11"/>
  <c r="R84" i="11" s="1"/>
  <c r="I84" i="11"/>
  <c r="E84" i="11"/>
  <c r="Q82" i="11"/>
  <c r="M82" i="11"/>
  <c r="I82" i="11"/>
  <c r="E82" i="11"/>
  <c r="R82" i="11" s="1"/>
  <c r="Q81" i="11"/>
  <c r="M81" i="11"/>
  <c r="R81" i="11" s="1"/>
  <c r="I81" i="11"/>
  <c r="E81" i="11"/>
  <c r="Q80" i="11"/>
  <c r="M80" i="11"/>
  <c r="R80" i="11" s="1"/>
  <c r="I80" i="11"/>
  <c r="E80" i="11"/>
  <c r="R79" i="11"/>
  <c r="Q79" i="11"/>
  <c r="M79" i="11"/>
  <c r="I79" i="11"/>
  <c r="E79" i="11"/>
  <c r="R78" i="11"/>
  <c r="Q78" i="11"/>
  <c r="M78" i="11"/>
  <c r="I78" i="11"/>
  <c r="E78" i="11"/>
  <c r="Q77" i="11"/>
  <c r="M77" i="11"/>
  <c r="I77" i="11"/>
  <c r="E77" i="11"/>
  <c r="R77" i="11" s="1"/>
  <c r="Q76" i="11"/>
  <c r="M76" i="11"/>
  <c r="I76" i="11"/>
  <c r="E76" i="11"/>
  <c r="R76" i="11" s="1"/>
  <c r="Q75" i="11"/>
  <c r="M75" i="11"/>
  <c r="I75" i="11"/>
  <c r="E75" i="11"/>
  <c r="R75" i="11" s="1"/>
  <c r="Q74" i="11"/>
  <c r="M74" i="11"/>
  <c r="I74" i="11"/>
  <c r="E74" i="11"/>
  <c r="R74" i="11" s="1"/>
  <c r="Q73" i="11"/>
  <c r="M73" i="11"/>
  <c r="R73" i="11" s="1"/>
  <c r="I73" i="11"/>
  <c r="E73" i="11"/>
  <c r="Q72" i="11"/>
  <c r="M72" i="11"/>
  <c r="R72" i="11" s="1"/>
  <c r="I72" i="11"/>
  <c r="E72" i="11"/>
  <c r="Q60" i="11"/>
  <c r="M60" i="11"/>
  <c r="I60" i="11"/>
  <c r="E60" i="11"/>
  <c r="R60" i="11" s="1"/>
  <c r="P58" i="11"/>
  <c r="O58" i="11"/>
  <c r="Q58" i="11" s="1"/>
  <c r="N58" i="11"/>
  <c r="M58" i="11"/>
  <c r="L58" i="11"/>
  <c r="K58" i="11"/>
  <c r="J58" i="11"/>
  <c r="H58" i="11"/>
  <c r="G58" i="11"/>
  <c r="I58" i="11" s="1"/>
  <c r="F58" i="11"/>
  <c r="E58" i="11"/>
  <c r="R58" i="11" s="1"/>
  <c r="D58" i="11"/>
  <c r="C58" i="11"/>
  <c r="B58" i="11"/>
  <c r="P57" i="11"/>
  <c r="O57" i="11"/>
  <c r="N57" i="11"/>
  <c r="Q57" i="11" s="1"/>
  <c r="L57" i="11"/>
  <c r="K57" i="11"/>
  <c r="J57" i="11"/>
  <c r="M57" i="11" s="1"/>
  <c r="H57" i="11"/>
  <c r="G57" i="11"/>
  <c r="F57" i="11"/>
  <c r="I57" i="11" s="1"/>
  <c r="D57" i="11"/>
  <c r="C57" i="11"/>
  <c r="E57" i="11" s="1"/>
  <c r="B57" i="11"/>
  <c r="Q54" i="11"/>
  <c r="M54" i="11"/>
  <c r="I54" i="11"/>
  <c r="E54" i="11"/>
  <c r="R54" i="11" s="1"/>
  <c r="Q50" i="11"/>
  <c r="P50" i="11"/>
  <c r="O50" i="11"/>
  <c r="N50" i="11"/>
  <c r="L50" i="11"/>
  <c r="L59" i="11" s="1"/>
  <c r="L62" i="11" s="1"/>
  <c r="K50" i="11"/>
  <c r="J50" i="11"/>
  <c r="M50" i="11" s="1"/>
  <c r="I50" i="11"/>
  <c r="H50" i="11"/>
  <c r="G50" i="11"/>
  <c r="F50" i="11"/>
  <c r="D50" i="11"/>
  <c r="D59" i="11" s="1"/>
  <c r="D62" i="11" s="1"/>
  <c r="C50" i="11"/>
  <c r="B50" i="11"/>
  <c r="E50" i="11" s="1"/>
  <c r="P46" i="11"/>
  <c r="O46" i="11"/>
  <c r="N46" i="11"/>
  <c r="Q46" i="11" s="1"/>
  <c r="M46" i="11"/>
  <c r="L46" i="11"/>
  <c r="K46" i="11"/>
  <c r="J46" i="11"/>
  <c r="H46" i="11"/>
  <c r="G46" i="11"/>
  <c r="F46" i="11"/>
  <c r="I46" i="11" s="1"/>
  <c r="E46" i="11"/>
  <c r="R46" i="11" s="1"/>
  <c r="D46" i="11"/>
  <c r="C46" i="11"/>
  <c r="B46" i="11"/>
  <c r="P41" i="11"/>
  <c r="P59" i="11" s="1"/>
  <c r="P62" i="11" s="1"/>
  <c r="O41" i="11"/>
  <c r="O59" i="11" s="1"/>
  <c r="O62" i="11" s="1"/>
  <c r="N41" i="11"/>
  <c r="Q41" i="11" s="1"/>
  <c r="L41" i="11"/>
  <c r="K41" i="11"/>
  <c r="K59" i="11" s="1"/>
  <c r="K62" i="11" s="1"/>
  <c r="J41" i="11"/>
  <c r="J59" i="11" s="1"/>
  <c r="H41" i="11"/>
  <c r="H59" i="11" s="1"/>
  <c r="H62" i="11" s="1"/>
  <c r="G41" i="11"/>
  <c r="G59" i="11" s="1"/>
  <c r="G62" i="11" s="1"/>
  <c r="F41" i="11"/>
  <c r="I41" i="11" s="1"/>
  <c r="D41" i="11"/>
  <c r="C41" i="11"/>
  <c r="C59" i="11" s="1"/>
  <c r="C62" i="11" s="1"/>
  <c r="B41" i="11"/>
  <c r="B59" i="11" s="1"/>
  <c r="Q38" i="11"/>
  <c r="M38" i="11"/>
  <c r="I38" i="11"/>
  <c r="E38" i="11"/>
  <c r="R38" i="11" s="1"/>
  <c r="P27" i="11"/>
  <c r="O27" i="11"/>
  <c r="N27" i="11"/>
  <c r="Q27" i="11" s="1"/>
  <c r="M27" i="11"/>
  <c r="L27" i="11"/>
  <c r="K27" i="11"/>
  <c r="J27" i="11"/>
  <c r="H27" i="11"/>
  <c r="G27" i="11"/>
  <c r="F27" i="11"/>
  <c r="I27" i="11" s="1"/>
  <c r="E27" i="11"/>
  <c r="R27" i="11" s="1"/>
  <c r="D27" i="11"/>
  <c r="C27" i="11"/>
  <c r="B27" i="11"/>
  <c r="Q25" i="11"/>
  <c r="M25" i="11"/>
  <c r="I25" i="11"/>
  <c r="E25" i="11"/>
  <c r="R25" i="11" s="1"/>
  <c r="Q20" i="11"/>
  <c r="M20" i="11"/>
  <c r="R20" i="11" s="1"/>
  <c r="I20" i="11"/>
  <c r="E20" i="11"/>
  <c r="Q18" i="11"/>
  <c r="P18" i="11"/>
  <c r="O18" i="11"/>
  <c r="N18" i="11"/>
  <c r="L18" i="11"/>
  <c r="K18" i="11"/>
  <c r="J18" i="11"/>
  <c r="M18" i="11" s="1"/>
  <c r="I18" i="11"/>
  <c r="H18" i="11"/>
  <c r="G18" i="11"/>
  <c r="F18" i="11"/>
  <c r="D18" i="11"/>
  <c r="C18" i="11"/>
  <c r="B18" i="11"/>
  <c r="E18" i="11" s="1"/>
  <c r="R18" i="11" s="1"/>
  <c r="P17" i="11"/>
  <c r="O17" i="11"/>
  <c r="Q17" i="11" s="1"/>
  <c r="N17" i="11"/>
  <c r="L17" i="11"/>
  <c r="K17" i="11"/>
  <c r="J17" i="11"/>
  <c r="M17" i="11" s="1"/>
  <c r="H17" i="11"/>
  <c r="G17" i="11"/>
  <c r="I17" i="11" s="1"/>
  <c r="F17" i="11"/>
  <c r="D17" i="11"/>
  <c r="C17" i="11"/>
  <c r="B17" i="11"/>
  <c r="E17" i="11" s="1"/>
  <c r="P16" i="11"/>
  <c r="Q16" i="11" s="1"/>
  <c r="O16" i="11"/>
  <c r="N16" i="11"/>
  <c r="L16" i="11"/>
  <c r="K16" i="11"/>
  <c r="M16" i="11" s="1"/>
  <c r="J16" i="11"/>
  <c r="H16" i="11"/>
  <c r="I16" i="11" s="1"/>
  <c r="G16" i="11"/>
  <c r="F16" i="11"/>
  <c r="D16" i="11"/>
  <c r="C16" i="11"/>
  <c r="E16" i="11" s="1"/>
  <c r="R16" i="11" s="1"/>
  <c r="B16" i="11"/>
  <c r="Q15" i="11"/>
  <c r="P15" i="11"/>
  <c r="O15" i="11"/>
  <c r="N15" i="11"/>
  <c r="L15" i="11"/>
  <c r="K15" i="11"/>
  <c r="J15" i="11"/>
  <c r="M15" i="11" s="1"/>
  <c r="I15" i="11"/>
  <c r="H15" i="11"/>
  <c r="G15" i="11"/>
  <c r="F15" i="11"/>
  <c r="D15" i="11"/>
  <c r="C15" i="11"/>
  <c r="B15" i="11"/>
  <c r="E15" i="11" s="1"/>
  <c r="P14" i="11"/>
  <c r="O14" i="11"/>
  <c r="N14" i="11"/>
  <c r="Q14" i="11" s="1"/>
  <c r="M14" i="11"/>
  <c r="L14" i="11"/>
  <c r="K14" i="11"/>
  <c r="J14" i="11"/>
  <c r="H14" i="11"/>
  <c r="G14" i="11"/>
  <c r="F14" i="11"/>
  <c r="I14" i="11" s="1"/>
  <c r="E14" i="11"/>
  <c r="D14" i="11"/>
  <c r="C14" i="11"/>
  <c r="B14" i="11"/>
  <c r="S13" i="11"/>
  <c r="O28" i="11"/>
  <c r="N319" i="11"/>
  <c r="AP885" i="11" s="1"/>
  <c r="L630" i="11"/>
  <c r="K630" i="11"/>
  <c r="D28" i="11"/>
  <c r="B319" i="11"/>
  <c r="AP876" i="11" s="1"/>
  <c r="R1" i="11"/>
  <c r="AT899" i="11" s="1"/>
  <c r="O989" i="10"/>
  <c r="I921" i="10" s="1"/>
  <c r="J921" i="10" s="1"/>
  <c r="K989" i="10"/>
  <c r="Q986" i="10"/>
  <c r="M986" i="10"/>
  <c r="G986" i="10"/>
  <c r="I986" i="10" s="1"/>
  <c r="Q985" i="10"/>
  <c r="M985" i="10"/>
  <c r="G985" i="10"/>
  <c r="I985" i="10" s="1"/>
  <c r="Q984" i="10"/>
  <c r="R986" i="10" s="1"/>
  <c r="M984" i="10"/>
  <c r="N986" i="10" s="1"/>
  <c r="G984" i="10"/>
  <c r="I984" i="10" s="1"/>
  <c r="J986" i="10" s="1"/>
  <c r="Q983" i="10"/>
  <c r="M983" i="10"/>
  <c r="I983" i="10"/>
  <c r="G983" i="10"/>
  <c r="Q982" i="10"/>
  <c r="M982" i="10"/>
  <c r="N983" i="10" s="1"/>
  <c r="G982" i="10"/>
  <c r="I982" i="10" s="1"/>
  <c r="Q981" i="10"/>
  <c r="R983" i="10" s="1"/>
  <c r="M981" i="10"/>
  <c r="G981" i="10"/>
  <c r="I981" i="10" s="1"/>
  <c r="J983" i="10" s="1"/>
  <c r="Q980" i="10"/>
  <c r="N980" i="10"/>
  <c r="M980" i="10"/>
  <c r="I980" i="10"/>
  <c r="G980" i="10"/>
  <c r="Q979" i="10"/>
  <c r="Q989" i="10" s="1"/>
  <c r="M979" i="10"/>
  <c r="G979" i="10"/>
  <c r="I979" i="10" s="1"/>
  <c r="Q978" i="10"/>
  <c r="M978" i="10"/>
  <c r="I978" i="10"/>
  <c r="J980" i="10" s="1"/>
  <c r="G978" i="10"/>
  <c r="Q977" i="10"/>
  <c r="M977" i="10"/>
  <c r="J977" i="10"/>
  <c r="G977" i="10"/>
  <c r="I977" i="10" s="1"/>
  <c r="Q976" i="10"/>
  <c r="M976" i="10"/>
  <c r="I976" i="10"/>
  <c r="G976" i="10"/>
  <c r="G989" i="10" s="1"/>
  <c r="Q975" i="10"/>
  <c r="R977" i="10" s="1"/>
  <c r="M975" i="10"/>
  <c r="M989" i="10" s="1"/>
  <c r="I975" i="10"/>
  <c r="I989" i="10" s="1"/>
  <c r="G969" i="10"/>
  <c r="O968" i="10"/>
  <c r="K968" i="10"/>
  <c r="C968" i="10"/>
  <c r="I965" i="10"/>
  <c r="J962" i="10"/>
  <c r="Q961" i="10"/>
  <c r="N946" i="10"/>
  <c r="M946" i="10"/>
  <c r="L946" i="10"/>
  <c r="K946" i="10"/>
  <c r="I946" i="10"/>
  <c r="H946" i="10"/>
  <c r="N945" i="10"/>
  <c r="M945" i="10"/>
  <c r="L945" i="10"/>
  <c r="K945" i="10"/>
  <c r="I945" i="10"/>
  <c r="N944" i="10"/>
  <c r="M944" i="10"/>
  <c r="L944" i="10"/>
  <c r="K944" i="10"/>
  <c r="N943" i="10"/>
  <c r="M943" i="10"/>
  <c r="L943" i="10"/>
  <c r="K943" i="10"/>
  <c r="O942" i="10"/>
  <c r="N942" i="10"/>
  <c r="M942" i="10"/>
  <c r="L942" i="10"/>
  <c r="K942" i="10"/>
  <c r="N941" i="10"/>
  <c r="M941" i="10"/>
  <c r="L941" i="10"/>
  <c r="K941" i="10"/>
  <c r="H941" i="10"/>
  <c r="O940" i="10"/>
  <c r="N940" i="10"/>
  <c r="M940" i="10"/>
  <c r="L940" i="10"/>
  <c r="K940" i="10"/>
  <c r="O939" i="10"/>
  <c r="N939" i="10"/>
  <c r="M939" i="10"/>
  <c r="L939" i="10"/>
  <c r="K939" i="10"/>
  <c r="H939" i="10"/>
  <c r="N938" i="10"/>
  <c r="M938" i="10"/>
  <c r="L938" i="10"/>
  <c r="K938" i="10"/>
  <c r="I938" i="10"/>
  <c r="H938" i="10"/>
  <c r="N937" i="10"/>
  <c r="M937" i="10"/>
  <c r="L937" i="10"/>
  <c r="K937" i="10"/>
  <c r="I937" i="10"/>
  <c r="N936" i="10"/>
  <c r="M936" i="10"/>
  <c r="L936" i="10"/>
  <c r="K936" i="10"/>
  <c r="N935" i="10"/>
  <c r="M935" i="10"/>
  <c r="L935" i="10"/>
  <c r="K935" i="10"/>
  <c r="N921" i="10"/>
  <c r="M921" i="10"/>
  <c r="O921" i="10" s="1"/>
  <c r="L921" i="10"/>
  <c r="K921" i="10"/>
  <c r="H921" i="10"/>
  <c r="O920" i="10"/>
  <c r="O919" i="10"/>
  <c r="O946" i="10" s="1"/>
  <c r="J919" i="10"/>
  <c r="J946" i="10" s="1"/>
  <c r="I919" i="10"/>
  <c r="H919" i="10"/>
  <c r="O918" i="10"/>
  <c r="O945" i="10" s="1"/>
  <c r="J918" i="10"/>
  <c r="J945" i="10" s="1"/>
  <c r="I918" i="10"/>
  <c r="H918" i="10"/>
  <c r="H945" i="10" s="1"/>
  <c r="O917" i="10"/>
  <c r="O944" i="10" s="1"/>
  <c r="I917" i="10"/>
  <c r="I944" i="10" s="1"/>
  <c r="H917" i="10"/>
  <c r="H944" i="10" s="1"/>
  <c r="O916" i="10"/>
  <c r="O943" i="10" s="1"/>
  <c r="I916" i="10"/>
  <c r="I943" i="10" s="1"/>
  <c r="H916" i="10"/>
  <c r="H943" i="10" s="1"/>
  <c r="O915" i="10"/>
  <c r="I915" i="10"/>
  <c r="I942" i="10" s="1"/>
  <c r="H915" i="10"/>
  <c r="H942" i="10" s="1"/>
  <c r="O914" i="10"/>
  <c r="O941" i="10" s="1"/>
  <c r="I914" i="10"/>
  <c r="I941" i="10" s="1"/>
  <c r="H914" i="10"/>
  <c r="J914" i="10" s="1"/>
  <c r="J941" i="10" s="1"/>
  <c r="O913" i="10"/>
  <c r="I913" i="10"/>
  <c r="I940" i="10" s="1"/>
  <c r="H913" i="10"/>
  <c r="O912" i="10"/>
  <c r="I912" i="10"/>
  <c r="I939" i="10" s="1"/>
  <c r="H912" i="10"/>
  <c r="J912" i="10" s="1"/>
  <c r="J939" i="10" s="1"/>
  <c r="O911" i="10"/>
  <c r="O938" i="10" s="1"/>
  <c r="J911" i="10"/>
  <c r="J938" i="10" s="1"/>
  <c r="I911" i="10"/>
  <c r="H911" i="10"/>
  <c r="O910" i="10"/>
  <c r="O937" i="10" s="1"/>
  <c r="I910" i="10"/>
  <c r="H910" i="10"/>
  <c r="O909" i="10"/>
  <c r="O936" i="10" s="1"/>
  <c r="I909" i="10"/>
  <c r="I936" i="10" s="1"/>
  <c r="H909" i="10"/>
  <c r="H936" i="10" s="1"/>
  <c r="O908" i="10"/>
  <c r="O935" i="10" s="1"/>
  <c r="J908" i="10"/>
  <c r="J935" i="10" s="1"/>
  <c r="I908" i="10"/>
  <c r="I935" i="10" s="1"/>
  <c r="H908" i="10"/>
  <c r="H935" i="10" s="1"/>
  <c r="A901" i="10"/>
  <c r="A899" i="10"/>
  <c r="Q898" i="10"/>
  <c r="F892" i="10"/>
  <c r="C891" i="10"/>
  <c r="D886" i="10"/>
  <c r="B884" i="10"/>
  <c r="P876" i="10"/>
  <c r="E876" i="10"/>
  <c r="Q873" i="10"/>
  <c r="F873" i="10"/>
  <c r="Q871" i="10"/>
  <c r="G856" i="10"/>
  <c r="E848" i="10"/>
  <c r="F845" i="10"/>
  <c r="Q844" i="10"/>
  <c r="F839" i="10"/>
  <c r="F838" i="10"/>
  <c r="F831" i="10"/>
  <c r="E824" i="10"/>
  <c r="F821" i="10"/>
  <c r="Q820" i="10"/>
  <c r="C809" i="10"/>
  <c r="C808" i="10"/>
  <c r="C807" i="10"/>
  <c r="C806" i="10"/>
  <c r="C805" i="10"/>
  <c r="C804" i="10"/>
  <c r="C803" i="10"/>
  <c r="C802" i="10"/>
  <c r="C801" i="10"/>
  <c r="D800" i="10"/>
  <c r="C800" i="10"/>
  <c r="C799" i="10"/>
  <c r="C798" i="10"/>
  <c r="B798" i="10"/>
  <c r="M798" i="10" s="1"/>
  <c r="D790" i="10"/>
  <c r="Q789" i="10"/>
  <c r="L789" i="10"/>
  <c r="G784" i="10"/>
  <c r="F784" i="10"/>
  <c r="G783" i="10"/>
  <c r="F783" i="10"/>
  <c r="F841" i="10" s="1"/>
  <c r="G782" i="10"/>
  <c r="F782" i="10"/>
  <c r="Q892" i="10" s="1"/>
  <c r="G781" i="10"/>
  <c r="G863" i="10" s="1"/>
  <c r="F781" i="10"/>
  <c r="G780" i="10"/>
  <c r="G915" i="10" s="1"/>
  <c r="F780" i="10"/>
  <c r="G779" i="10"/>
  <c r="F779" i="10"/>
  <c r="G778" i="10"/>
  <c r="F778" i="10"/>
  <c r="G777" i="10"/>
  <c r="F777" i="10"/>
  <c r="G776" i="10"/>
  <c r="F776" i="10"/>
  <c r="G775" i="10"/>
  <c r="F775" i="10"/>
  <c r="B800" i="10" s="1"/>
  <c r="M800" i="10" s="1"/>
  <c r="G774" i="10"/>
  <c r="G832" i="10" s="1"/>
  <c r="F774" i="10"/>
  <c r="C884" i="10" s="1"/>
  <c r="G773" i="10"/>
  <c r="F773" i="10"/>
  <c r="E766" i="10"/>
  <c r="F763" i="10"/>
  <c r="Q762" i="10"/>
  <c r="P756" i="10"/>
  <c r="O756" i="10"/>
  <c r="K756" i="10"/>
  <c r="A746" i="10"/>
  <c r="A744" i="10"/>
  <c r="Q740" i="10"/>
  <c r="P735" i="10"/>
  <c r="J735" i="10"/>
  <c r="Q734" i="10"/>
  <c r="P734" i="10"/>
  <c r="O734" i="10"/>
  <c r="N734" i="10"/>
  <c r="L734" i="10"/>
  <c r="K734" i="10"/>
  <c r="J734" i="10"/>
  <c r="M734" i="10" s="1"/>
  <c r="I734" i="10"/>
  <c r="H734" i="10"/>
  <c r="G734" i="10"/>
  <c r="F734" i="10"/>
  <c r="D734" i="10"/>
  <c r="C734" i="10"/>
  <c r="B734" i="10"/>
  <c r="E734" i="10" s="1"/>
  <c r="P733" i="10"/>
  <c r="O733" i="10"/>
  <c r="N733" i="10"/>
  <c r="L733" i="10"/>
  <c r="K733" i="10"/>
  <c r="J733" i="10"/>
  <c r="H733" i="10"/>
  <c r="H735" i="10" s="1"/>
  <c r="G733" i="10"/>
  <c r="F733" i="10"/>
  <c r="D733" i="10"/>
  <c r="C733" i="10"/>
  <c r="B733" i="10"/>
  <c r="B735" i="10" s="1"/>
  <c r="P732" i="10"/>
  <c r="O732" i="10"/>
  <c r="O735" i="10" s="1"/>
  <c r="N732" i="10"/>
  <c r="L732" i="10"/>
  <c r="K732" i="10"/>
  <c r="K735" i="10" s="1"/>
  <c r="J732" i="10"/>
  <c r="H732" i="10"/>
  <c r="G732" i="10"/>
  <c r="G735" i="10" s="1"/>
  <c r="F732" i="10"/>
  <c r="D732" i="10"/>
  <c r="C732" i="10"/>
  <c r="C735" i="10" s="1"/>
  <c r="B732" i="10"/>
  <c r="P731" i="10"/>
  <c r="O731" i="10"/>
  <c r="N731" i="10"/>
  <c r="Q731" i="10" s="1"/>
  <c r="L731" i="10"/>
  <c r="M731" i="10" s="1"/>
  <c r="K731" i="10"/>
  <c r="J731" i="10"/>
  <c r="H731" i="10"/>
  <c r="G731" i="10"/>
  <c r="F731" i="10"/>
  <c r="I731" i="10" s="1"/>
  <c r="D731" i="10"/>
  <c r="C731" i="10"/>
  <c r="B731" i="10"/>
  <c r="E731" i="10" s="1"/>
  <c r="R731" i="10" s="1"/>
  <c r="P730" i="10"/>
  <c r="O730" i="10"/>
  <c r="N730" i="10"/>
  <c r="Q730" i="10" s="1"/>
  <c r="L730" i="10"/>
  <c r="K730" i="10"/>
  <c r="M730" i="10" s="1"/>
  <c r="J730" i="10"/>
  <c r="H730" i="10"/>
  <c r="G730" i="10"/>
  <c r="F730" i="10"/>
  <c r="I730" i="10" s="1"/>
  <c r="D730" i="10"/>
  <c r="C730" i="10"/>
  <c r="B730" i="10"/>
  <c r="E730" i="10" s="1"/>
  <c r="P729" i="10"/>
  <c r="P736" i="10" s="1"/>
  <c r="P758" i="10" s="1"/>
  <c r="O729" i="10"/>
  <c r="O736" i="10" s="1"/>
  <c r="O758" i="10" s="1"/>
  <c r="N729" i="10"/>
  <c r="L729" i="10"/>
  <c r="K729" i="10"/>
  <c r="J729" i="10"/>
  <c r="H729" i="10"/>
  <c r="H736" i="10" s="1"/>
  <c r="H758" i="10" s="1"/>
  <c r="G729" i="10"/>
  <c r="G736" i="10" s="1"/>
  <c r="G758" i="10" s="1"/>
  <c r="F729" i="10"/>
  <c r="D729" i="10"/>
  <c r="C729" i="10"/>
  <c r="B729" i="10"/>
  <c r="P727" i="10"/>
  <c r="H727" i="10"/>
  <c r="H756" i="10" s="1"/>
  <c r="P726" i="10"/>
  <c r="O726" i="10"/>
  <c r="N726" i="10"/>
  <c r="Q726" i="10" s="1"/>
  <c r="L726" i="10"/>
  <c r="K726" i="10"/>
  <c r="H726" i="10"/>
  <c r="G726" i="10"/>
  <c r="E726" i="10"/>
  <c r="D726" i="10"/>
  <c r="C726" i="10"/>
  <c r="B726" i="10"/>
  <c r="P725" i="10"/>
  <c r="O725" i="10"/>
  <c r="O727" i="10" s="1"/>
  <c r="N725" i="10"/>
  <c r="L725" i="10"/>
  <c r="L727" i="10" s="1"/>
  <c r="L756" i="10" s="1"/>
  <c r="K725" i="10"/>
  <c r="K727" i="10" s="1"/>
  <c r="J725" i="10"/>
  <c r="H725" i="10"/>
  <c r="G725" i="10"/>
  <c r="F725" i="10"/>
  <c r="I725" i="10" s="1"/>
  <c r="D725" i="10"/>
  <c r="D727" i="10" s="1"/>
  <c r="D756" i="10" s="1"/>
  <c r="C725" i="10"/>
  <c r="C727" i="10" s="1"/>
  <c r="C756" i="10" s="1"/>
  <c r="B725" i="10"/>
  <c r="I723" i="10"/>
  <c r="H723" i="10"/>
  <c r="H754" i="10" s="1"/>
  <c r="Q722" i="10"/>
  <c r="P722" i="10"/>
  <c r="O722" i="10"/>
  <c r="N722" i="10"/>
  <c r="L722" i="10"/>
  <c r="K722" i="10"/>
  <c r="J722" i="10"/>
  <c r="M722" i="10" s="1"/>
  <c r="I722" i="10"/>
  <c r="H722" i="10"/>
  <c r="G722" i="10"/>
  <c r="F722" i="10"/>
  <c r="D722" i="10"/>
  <c r="C722" i="10"/>
  <c r="B722" i="10"/>
  <c r="B723" i="10" s="1"/>
  <c r="P721" i="10"/>
  <c r="O721" i="10"/>
  <c r="L721" i="10"/>
  <c r="K721" i="10"/>
  <c r="K723" i="10" s="1"/>
  <c r="K754" i="10" s="1"/>
  <c r="J721" i="10"/>
  <c r="H721" i="10"/>
  <c r="G721" i="10"/>
  <c r="F721" i="10"/>
  <c r="I721" i="10" s="1"/>
  <c r="D721" i="10"/>
  <c r="C721" i="10"/>
  <c r="B721" i="10"/>
  <c r="P720" i="10"/>
  <c r="P723" i="10" s="1"/>
  <c r="P754" i="10" s="1"/>
  <c r="O720" i="10"/>
  <c r="O723" i="10" s="1"/>
  <c r="O754" i="10" s="1"/>
  <c r="N720" i="10"/>
  <c r="M720" i="10"/>
  <c r="L720" i="10"/>
  <c r="L723" i="10" s="1"/>
  <c r="L754" i="10" s="1"/>
  <c r="K720" i="10"/>
  <c r="J720" i="10"/>
  <c r="H720" i="10"/>
  <c r="I720" i="10" s="1"/>
  <c r="G720" i="10"/>
  <c r="G723" i="10" s="1"/>
  <c r="G754" i="10" s="1"/>
  <c r="F720" i="10"/>
  <c r="F723" i="10" s="1"/>
  <c r="F754" i="10" s="1"/>
  <c r="D720" i="10"/>
  <c r="C720" i="10"/>
  <c r="B720" i="10"/>
  <c r="P717" i="10"/>
  <c r="O717" i="10"/>
  <c r="O718" i="10" s="1"/>
  <c r="N717" i="10"/>
  <c r="L717" i="10"/>
  <c r="K717" i="10"/>
  <c r="J717" i="10"/>
  <c r="M717" i="10" s="1"/>
  <c r="H717" i="10"/>
  <c r="G717" i="10"/>
  <c r="F717" i="10"/>
  <c r="D717" i="10"/>
  <c r="C717" i="10"/>
  <c r="B717" i="10"/>
  <c r="E717" i="10" s="1"/>
  <c r="Q716" i="10"/>
  <c r="O716" i="10"/>
  <c r="N716" i="10"/>
  <c r="L716" i="10"/>
  <c r="K716" i="10"/>
  <c r="J716" i="10"/>
  <c r="M716" i="10" s="1"/>
  <c r="H716" i="10"/>
  <c r="G716" i="10"/>
  <c r="F716" i="10"/>
  <c r="I716" i="10" s="1"/>
  <c r="D716" i="10"/>
  <c r="C716" i="10"/>
  <c r="B716" i="10"/>
  <c r="E716" i="10" s="1"/>
  <c r="P715" i="10"/>
  <c r="Q715" i="10" s="1"/>
  <c r="O715" i="10"/>
  <c r="N715" i="10"/>
  <c r="L715" i="10"/>
  <c r="M715" i="10" s="1"/>
  <c r="K715" i="10"/>
  <c r="J715" i="10"/>
  <c r="H715" i="10"/>
  <c r="I715" i="10" s="1"/>
  <c r="G715" i="10"/>
  <c r="F715" i="10"/>
  <c r="D715" i="10"/>
  <c r="E715" i="10" s="1"/>
  <c r="C715" i="10"/>
  <c r="B715" i="10"/>
  <c r="P714" i="10"/>
  <c r="O714" i="10"/>
  <c r="L714" i="10"/>
  <c r="K714" i="10"/>
  <c r="J714" i="10"/>
  <c r="M714" i="10" s="1"/>
  <c r="G714" i="10"/>
  <c r="F714" i="10"/>
  <c r="D714" i="10"/>
  <c r="C714" i="10"/>
  <c r="B714" i="10"/>
  <c r="E714" i="10" s="1"/>
  <c r="Q713" i="10"/>
  <c r="P713" i="10"/>
  <c r="O713" i="10"/>
  <c r="N713" i="10"/>
  <c r="L713" i="10"/>
  <c r="K713" i="10"/>
  <c r="J713" i="10"/>
  <c r="I713" i="10"/>
  <c r="H713" i="10"/>
  <c r="G713" i="10"/>
  <c r="F713" i="10"/>
  <c r="D713" i="10"/>
  <c r="C713" i="10"/>
  <c r="B713" i="10"/>
  <c r="E713" i="10" s="1"/>
  <c r="P712" i="10"/>
  <c r="O712" i="10"/>
  <c r="D712" i="10"/>
  <c r="D718" i="10" s="1"/>
  <c r="C712" i="10"/>
  <c r="A705" i="10"/>
  <c r="A703" i="10"/>
  <c r="Q699" i="10"/>
  <c r="J695" i="10"/>
  <c r="J694" i="10"/>
  <c r="B694" i="10"/>
  <c r="R692" i="10"/>
  <c r="Q692" i="10"/>
  <c r="M692" i="10"/>
  <c r="I692" i="10"/>
  <c r="E692" i="10"/>
  <c r="H691" i="10"/>
  <c r="H694" i="10" s="1"/>
  <c r="P690" i="10"/>
  <c r="Q690" i="10" s="1"/>
  <c r="O690" i="10"/>
  <c r="N690" i="10"/>
  <c r="M690" i="10"/>
  <c r="L690" i="10"/>
  <c r="K690" i="10"/>
  <c r="J690" i="10"/>
  <c r="H690" i="10"/>
  <c r="I690" i="10" s="1"/>
  <c r="G690" i="10"/>
  <c r="F690" i="10"/>
  <c r="E690" i="10"/>
  <c r="D690" i="10"/>
  <c r="C690" i="10"/>
  <c r="B690" i="10"/>
  <c r="Q689" i="10"/>
  <c r="P689" i="10"/>
  <c r="O689" i="10"/>
  <c r="N689" i="10"/>
  <c r="L689" i="10"/>
  <c r="K689" i="10"/>
  <c r="J689" i="10"/>
  <c r="M689" i="10" s="1"/>
  <c r="H689" i="10"/>
  <c r="I689" i="10" s="1"/>
  <c r="G689" i="10"/>
  <c r="F689" i="10"/>
  <c r="D689" i="10"/>
  <c r="C689" i="10"/>
  <c r="B689" i="10"/>
  <c r="E689" i="10" s="1"/>
  <c r="R686" i="10"/>
  <c r="Q686" i="10"/>
  <c r="M686" i="10"/>
  <c r="I686" i="10"/>
  <c r="E686" i="10"/>
  <c r="Q685" i="10"/>
  <c r="M685" i="10"/>
  <c r="I685" i="10"/>
  <c r="E685" i="10"/>
  <c r="Q683" i="10"/>
  <c r="M683" i="10"/>
  <c r="I683" i="10"/>
  <c r="R683" i="10" s="1"/>
  <c r="E683" i="10"/>
  <c r="Q682" i="10"/>
  <c r="M682" i="10"/>
  <c r="R682" i="10" s="1"/>
  <c r="I682" i="10"/>
  <c r="E682" i="10"/>
  <c r="P679" i="10"/>
  <c r="O679" i="10"/>
  <c r="N679" i="10"/>
  <c r="Q679" i="10" s="1"/>
  <c r="M679" i="10"/>
  <c r="L679" i="10"/>
  <c r="K679" i="10"/>
  <c r="J679" i="10"/>
  <c r="H679" i="10"/>
  <c r="G679" i="10"/>
  <c r="F679" i="10"/>
  <c r="E679" i="10"/>
  <c r="D679" i="10"/>
  <c r="C679" i="10"/>
  <c r="B679" i="10"/>
  <c r="Q678" i="10"/>
  <c r="M678" i="10"/>
  <c r="I678" i="10"/>
  <c r="E678" i="10"/>
  <c r="Q677" i="10"/>
  <c r="M677" i="10"/>
  <c r="I677" i="10"/>
  <c r="R677" i="10" s="1"/>
  <c r="E677" i="10"/>
  <c r="Q676" i="10"/>
  <c r="M676" i="10"/>
  <c r="R676" i="10" s="1"/>
  <c r="I676" i="10"/>
  <c r="E676" i="10"/>
  <c r="Q674" i="10"/>
  <c r="M674" i="10"/>
  <c r="I674" i="10"/>
  <c r="E674" i="10"/>
  <c r="R673" i="10"/>
  <c r="Q673" i="10"/>
  <c r="M673" i="10"/>
  <c r="I673" i="10"/>
  <c r="E673" i="10"/>
  <c r="P670" i="10"/>
  <c r="O670" i="10"/>
  <c r="N670" i="10"/>
  <c r="M670" i="10"/>
  <c r="L670" i="10"/>
  <c r="K670" i="10"/>
  <c r="J670" i="10"/>
  <c r="H670" i="10"/>
  <c r="I670" i="10" s="1"/>
  <c r="G670" i="10"/>
  <c r="G691" i="10" s="1"/>
  <c r="G694" i="10" s="1"/>
  <c r="F670" i="10"/>
  <c r="E670" i="10"/>
  <c r="D670" i="10"/>
  <c r="C670" i="10"/>
  <c r="B670" i="10"/>
  <c r="Q668" i="10"/>
  <c r="R668" i="10" s="1"/>
  <c r="M668" i="10"/>
  <c r="I668" i="10"/>
  <c r="E668" i="10"/>
  <c r="P665" i="10"/>
  <c r="O665" i="10"/>
  <c r="O691" i="10" s="1"/>
  <c r="O694" i="10" s="1"/>
  <c r="N665" i="10"/>
  <c r="M665" i="10"/>
  <c r="L665" i="10"/>
  <c r="L691" i="10" s="1"/>
  <c r="L694" i="10" s="1"/>
  <c r="K665" i="10"/>
  <c r="K691" i="10" s="1"/>
  <c r="K694" i="10" s="1"/>
  <c r="K696" i="10" s="1"/>
  <c r="J665" i="10"/>
  <c r="J691" i="10" s="1"/>
  <c r="H665" i="10"/>
  <c r="G665" i="10"/>
  <c r="F665" i="10"/>
  <c r="E665" i="10"/>
  <c r="D665" i="10"/>
  <c r="D691" i="10" s="1"/>
  <c r="D694" i="10" s="1"/>
  <c r="D695" i="10" s="1"/>
  <c r="C665" i="10"/>
  <c r="C691" i="10" s="1"/>
  <c r="C694" i="10" s="1"/>
  <c r="B665" i="10"/>
  <c r="B691" i="10" s="1"/>
  <c r="N663" i="10"/>
  <c r="M663" i="10"/>
  <c r="I663" i="10"/>
  <c r="E663" i="10"/>
  <c r="Q660" i="10"/>
  <c r="M660" i="10"/>
  <c r="I660" i="10"/>
  <c r="E660" i="10"/>
  <c r="R660" i="10" s="1"/>
  <c r="Q659" i="10"/>
  <c r="R659" i="10" s="1"/>
  <c r="M659" i="10"/>
  <c r="I659" i="10"/>
  <c r="E659" i="10"/>
  <c r="Q658" i="10"/>
  <c r="M658" i="10"/>
  <c r="I658" i="10"/>
  <c r="E658" i="10"/>
  <c r="O650" i="10"/>
  <c r="O649" i="10"/>
  <c r="Q646" i="10"/>
  <c r="M646" i="10"/>
  <c r="I646" i="10"/>
  <c r="E646" i="10"/>
  <c r="R646" i="10" s="1"/>
  <c r="R645" i="10"/>
  <c r="Q645" i="10"/>
  <c r="M645" i="10"/>
  <c r="I645" i="10"/>
  <c r="E645" i="10"/>
  <c r="O644" i="10"/>
  <c r="O648" i="10" s="1"/>
  <c r="G644" i="10"/>
  <c r="G648" i="10" s="1"/>
  <c r="Q643" i="10"/>
  <c r="P643" i="10"/>
  <c r="P644" i="10" s="1"/>
  <c r="P648" i="10" s="1"/>
  <c r="O643" i="10"/>
  <c r="N643" i="10"/>
  <c r="L643" i="10"/>
  <c r="K643" i="10"/>
  <c r="J643" i="10"/>
  <c r="M643" i="10" s="1"/>
  <c r="H643" i="10"/>
  <c r="G643" i="10"/>
  <c r="F643" i="10"/>
  <c r="D643" i="10"/>
  <c r="C643" i="10"/>
  <c r="B643" i="10"/>
  <c r="E643" i="10" s="1"/>
  <c r="Q642" i="10"/>
  <c r="P642" i="10"/>
  <c r="O642" i="10"/>
  <c r="N642" i="10"/>
  <c r="L642" i="10"/>
  <c r="K642" i="10"/>
  <c r="J642" i="10"/>
  <c r="M642" i="10" s="1"/>
  <c r="I642" i="10"/>
  <c r="H642" i="10"/>
  <c r="G642" i="10"/>
  <c r="F642" i="10"/>
  <c r="D642" i="10"/>
  <c r="C642" i="10"/>
  <c r="B642" i="10"/>
  <c r="P636" i="10"/>
  <c r="O636" i="10"/>
  <c r="N636" i="10"/>
  <c r="Q636" i="10" s="1"/>
  <c r="L636" i="10"/>
  <c r="K636" i="10"/>
  <c r="J636" i="10"/>
  <c r="M636" i="10" s="1"/>
  <c r="H636" i="10"/>
  <c r="G636" i="10"/>
  <c r="F636" i="10"/>
  <c r="I636" i="10" s="1"/>
  <c r="D636" i="10"/>
  <c r="C636" i="10"/>
  <c r="B636" i="10"/>
  <c r="Q632" i="10"/>
  <c r="P632" i="10"/>
  <c r="O632" i="10"/>
  <c r="N632" i="10"/>
  <c r="L632" i="10"/>
  <c r="K632" i="10"/>
  <c r="M632" i="10" s="1"/>
  <c r="J632" i="10"/>
  <c r="I632" i="10"/>
  <c r="H632" i="10"/>
  <c r="G632" i="10"/>
  <c r="F632" i="10"/>
  <c r="D632" i="10"/>
  <c r="C632" i="10"/>
  <c r="E632" i="10" s="1"/>
  <c r="R632" i="10" s="1"/>
  <c r="B632" i="10"/>
  <c r="P628" i="10"/>
  <c r="O628" i="10"/>
  <c r="N628" i="10"/>
  <c r="L628" i="10"/>
  <c r="K628" i="10"/>
  <c r="J628" i="10"/>
  <c r="J644" i="10" s="1"/>
  <c r="H628" i="10"/>
  <c r="G628" i="10"/>
  <c r="F628" i="10"/>
  <c r="D628" i="10"/>
  <c r="D644" i="10" s="1"/>
  <c r="D648" i="10" s="1"/>
  <c r="D650" i="10" s="1"/>
  <c r="C628" i="10"/>
  <c r="B628" i="10"/>
  <c r="Q624" i="10"/>
  <c r="M624" i="10"/>
  <c r="I624" i="10"/>
  <c r="E624" i="10"/>
  <c r="R624" i="10" s="1"/>
  <c r="O615" i="10"/>
  <c r="N615" i="10"/>
  <c r="L615" i="10"/>
  <c r="B615" i="10"/>
  <c r="P614" i="10"/>
  <c r="P615" i="10" s="1"/>
  <c r="O614" i="10"/>
  <c r="Q614" i="10" s="1"/>
  <c r="N614" i="10"/>
  <c r="L614" i="10"/>
  <c r="K614" i="10"/>
  <c r="J614" i="10"/>
  <c r="J615" i="10" s="1"/>
  <c r="H614" i="10"/>
  <c r="H615" i="10" s="1"/>
  <c r="G614" i="10"/>
  <c r="I614" i="10" s="1"/>
  <c r="F614" i="10"/>
  <c r="F615" i="10" s="1"/>
  <c r="E614" i="10"/>
  <c r="D614" i="10"/>
  <c r="C614" i="10"/>
  <c r="B614" i="10"/>
  <c r="Q612" i="10"/>
  <c r="M612" i="10"/>
  <c r="I612" i="10"/>
  <c r="E612" i="10"/>
  <c r="R612" i="10" s="1"/>
  <c r="Q602" i="10"/>
  <c r="M602" i="10"/>
  <c r="I602" i="10"/>
  <c r="R602" i="10" s="1"/>
  <c r="E602" i="10"/>
  <c r="Q600" i="10"/>
  <c r="P600" i="10"/>
  <c r="O600" i="10"/>
  <c r="N600" i="10"/>
  <c r="L600" i="10"/>
  <c r="K600" i="10"/>
  <c r="J600" i="10"/>
  <c r="I600" i="10"/>
  <c r="H600" i="10"/>
  <c r="G600" i="10"/>
  <c r="F600" i="10"/>
  <c r="D600" i="10"/>
  <c r="C600" i="10"/>
  <c r="B600" i="10"/>
  <c r="E600" i="10" s="1"/>
  <c r="Q599" i="10"/>
  <c r="P599" i="10"/>
  <c r="O599" i="10"/>
  <c r="N599" i="10"/>
  <c r="L599" i="10"/>
  <c r="K599" i="10"/>
  <c r="J599" i="10"/>
  <c r="M599" i="10" s="1"/>
  <c r="I599" i="10"/>
  <c r="H599" i="10"/>
  <c r="G599" i="10"/>
  <c r="F599" i="10"/>
  <c r="D599" i="10"/>
  <c r="C599" i="10"/>
  <c r="B599" i="10"/>
  <c r="E599" i="10" s="1"/>
  <c r="R596" i="10"/>
  <c r="Q596" i="10"/>
  <c r="M596" i="10"/>
  <c r="I596" i="10"/>
  <c r="E596" i="10"/>
  <c r="Q595" i="10"/>
  <c r="M595" i="10"/>
  <c r="I595" i="10"/>
  <c r="R595" i="10" s="1"/>
  <c r="E595" i="10"/>
  <c r="R594" i="10"/>
  <c r="Q594" i="10"/>
  <c r="M594" i="10"/>
  <c r="I594" i="10"/>
  <c r="E594" i="10"/>
  <c r="Q593" i="10"/>
  <c r="M593" i="10"/>
  <c r="I593" i="10"/>
  <c r="R593" i="10" s="1"/>
  <c r="E593" i="10"/>
  <c r="P589" i="10"/>
  <c r="O589" i="10"/>
  <c r="N589" i="10"/>
  <c r="Q589" i="10" s="1"/>
  <c r="L589" i="10"/>
  <c r="K589" i="10"/>
  <c r="M589" i="10" s="1"/>
  <c r="J589" i="10"/>
  <c r="H589" i="10"/>
  <c r="G589" i="10"/>
  <c r="F589" i="10"/>
  <c r="I589" i="10" s="1"/>
  <c r="D589" i="10"/>
  <c r="C589" i="10"/>
  <c r="E589" i="10" s="1"/>
  <c r="B589" i="10"/>
  <c r="Q588" i="10"/>
  <c r="M588" i="10"/>
  <c r="I588" i="10"/>
  <c r="E588" i="10"/>
  <c r="R588" i="10" s="1"/>
  <c r="Q587" i="10"/>
  <c r="M587" i="10"/>
  <c r="I587" i="10"/>
  <c r="E587" i="10"/>
  <c r="R587" i="10" s="1"/>
  <c r="Q586" i="10"/>
  <c r="M586" i="10"/>
  <c r="I586" i="10"/>
  <c r="E586" i="10"/>
  <c r="Q584" i="10"/>
  <c r="M584" i="10"/>
  <c r="I584" i="10"/>
  <c r="E584" i="10"/>
  <c r="R584" i="10" s="1"/>
  <c r="P581" i="10"/>
  <c r="O581" i="10"/>
  <c r="N581" i="10"/>
  <c r="L581" i="10"/>
  <c r="K581" i="10"/>
  <c r="J581" i="10"/>
  <c r="M581" i="10" s="1"/>
  <c r="H581" i="10"/>
  <c r="I581" i="10" s="1"/>
  <c r="G581" i="10"/>
  <c r="F581" i="10"/>
  <c r="D581" i="10"/>
  <c r="C581" i="10"/>
  <c r="B581" i="10"/>
  <c r="E581" i="10" s="1"/>
  <c r="Q577" i="10"/>
  <c r="P577" i="10"/>
  <c r="O577" i="10"/>
  <c r="N577" i="10"/>
  <c r="L577" i="10"/>
  <c r="L601" i="10" s="1"/>
  <c r="L604" i="10" s="1"/>
  <c r="K577" i="10"/>
  <c r="J577" i="10"/>
  <c r="H577" i="10"/>
  <c r="F577" i="10"/>
  <c r="D577" i="10"/>
  <c r="D601" i="10" s="1"/>
  <c r="D604" i="10" s="1"/>
  <c r="C577" i="10"/>
  <c r="C601" i="10" s="1"/>
  <c r="C604" i="10" s="1"/>
  <c r="B577" i="10"/>
  <c r="R573" i="10"/>
  <c r="Q573" i="10"/>
  <c r="M573" i="10"/>
  <c r="I573" i="10"/>
  <c r="E573" i="10"/>
  <c r="Q572" i="10"/>
  <c r="R572" i="10" s="1"/>
  <c r="M572" i="10"/>
  <c r="I572" i="10"/>
  <c r="E572" i="10"/>
  <c r="Q571" i="10"/>
  <c r="M571" i="10"/>
  <c r="I571" i="10"/>
  <c r="G571" i="10"/>
  <c r="G577" i="10" s="1"/>
  <c r="G601" i="10" s="1"/>
  <c r="G604" i="10" s="1"/>
  <c r="G605" i="10" s="1"/>
  <c r="F571" i="10"/>
  <c r="E571" i="10"/>
  <c r="R571" i="10" s="1"/>
  <c r="O561" i="10"/>
  <c r="O562" i="10" s="1"/>
  <c r="Q559" i="10"/>
  <c r="M559" i="10"/>
  <c r="I559" i="10"/>
  <c r="E559" i="10"/>
  <c r="D558" i="10"/>
  <c r="D561" i="10" s="1"/>
  <c r="B558" i="10"/>
  <c r="B561" i="10" s="1"/>
  <c r="P557" i="10"/>
  <c r="O557" i="10"/>
  <c r="N557" i="10"/>
  <c r="Q557" i="10" s="1"/>
  <c r="L557" i="10"/>
  <c r="K557" i="10"/>
  <c r="M557" i="10" s="1"/>
  <c r="J557" i="10"/>
  <c r="H557" i="10"/>
  <c r="G557" i="10"/>
  <c r="F557" i="10"/>
  <c r="I557" i="10" s="1"/>
  <c r="D557" i="10"/>
  <c r="C557" i="10"/>
  <c r="E557" i="10" s="1"/>
  <c r="R557" i="10" s="1"/>
  <c r="B557" i="10"/>
  <c r="P556" i="10"/>
  <c r="O556" i="10"/>
  <c r="N556" i="10"/>
  <c r="L556" i="10"/>
  <c r="M556" i="10" s="1"/>
  <c r="K556" i="10"/>
  <c r="J556" i="10"/>
  <c r="H556" i="10"/>
  <c r="G556" i="10"/>
  <c r="F556" i="10"/>
  <c r="I556" i="10" s="1"/>
  <c r="D556" i="10"/>
  <c r="E556" i="10" s="1"/>
  <c r="C556" i="10"/>
  <c r="B556" i="10"/>
  <c r="Q553" i="10"/>
  <c r="M553" i="10"/>
  <c r="I553" i="10"/>
  <c r="R553" i="10" s="1"/>
  <c r="E553" i="10"/>
  <c r="P549" i="10"/>
  <c r="O549" i="10"/>
  <c r="Q549" i="10" s="1"/>
  <c r="N549" i="10"/>
  <c r="L549" i="10"/>
  <c r="K549" i="10"/>
  <c r="J549" i="10"/>
  <c r="M549" i="10" s="1"/>
  <c r="H549" i="10"/>
  <c r="G549" i="10"/>
  <c r="I549" i="10" s="1"/>
  <c r="F549" i="10"/>
  <c r="D549" i="10"/>
  <c r="C549" i="10"/>
  <c r="B549" i="10"/>
  <c r="E549" i="10" s="1"/>
  <c r="R549" i="10" s="1"/>
  <c r="P545" i="10"/>
  <c r="P558" i="10" s="1"/>
  <c r="P561" i="10" s="1"/>
  <c r="O545" i="10"/>
  <c r="N545" i="10"/>
  <c r="Q545" i="10" s="1"/>
  <c r="M545" i="10"/>
  <c r="L545" i="10"/>
  <c r="K545" i="10"/>
  <c r="J545" i="10"/>
  <c r="H545" i="10"/>
  <c r="G545" i="10"/>
  <c r="F545" i="10"/>
  <c r="I545" i="10" s="1"/>
  <c r="E545" i="10"/>
  <c r="D545" i="10"/>
  <c r="C545" i="10"/>
  <c r="B545" i="10"/>
  <c r="P541" i="10"/>
  <c r="O541" i="10"/>
  <c r="O558" i="10" s="1"/>
  <c r="N541" i="10"/>
  <c r="L541" i="10"/>
  <c r="L558" i="10" s="1"/>
  <c r="L561" i="10" s="1"/>
  <c r="G541" i="10"/>
  <c r="G558" i="10" s="1"/>
  <c r="G561" i="10" s="1"/>
  <c r="F541" i="10"/>
  <c r="D541" i="10"/>
  <c r="E541" i="10" s="1"/>
  <c r="C541" i="10"/>
  <c r="B541" i="10"/>
  <c r="Q537" i="10"/>
  <c r="M537" i="10"/>
  <c r="I537" i="10"/>
  <c r="R537" i="10" s="1"/>
  <c r="E537" i="10"/>
  <c r="N536" i="10"/>
  <c r="N712" i="10" s="1"/>
  <c r="Q712" i="10" s="1"/>
  <c r="L536" i="10"/>
  <c r="L712" i="10" s="1"/>
  <c r="L718" i="10" s="1"/>
  <c r="K536" i="10"/>
  <c r="J536" i="10"/>
  <c r="H536" i="10"/>
  <c r="G536" i="10"/>
  <c r="F536" i="10"/>
  <c r="F712" i="10" s="1"/>
  <c r="F718" i="10" s="1"/>
  <c r="E536" i="10"/>
  <c r="N527" i="10"/>
  <c r="K527" i="10"/>
  <c r="J527" i="10"/>
  <c r="C527" i="10"/>
  <c r="P526" i="10"/>
  <c r="P527" i="10" s="1"/>
  <c r="O526" i="10"/>
  <c r="N526" i="10"/>
  <c r="L526" i="10"/>
  <c r="L527" i="10" s="1"/>
  <c r="K526" i="10"/>
  <c r="J526" i="10"/>
  <c r="M526" i="10" s="1"/>
  <c r="H526" i="10"/>
  <c r="G526" i="10"/>
  <c r="F526" i="10"/>
  <c r="F527" i="10" s="1"/>
  <c r="D526" i="10"/>
  <c r="D527" i="10" s="1"/>
  <c r="C526" i="10"/>
  <c r="B526" i="10"/>
  <c r="Q524" i="10"/>
  <c r="M524" i="10"/>
  <c r="R524" i="10" s="1"/>
  <c r="I524" i="10"/>
  <c r="E524" i="10"/>
  <c r="N516" i="10"/>
  <c r="Q514" i="10"/>
  <c r="M514" i="10"/>
  <c r="I514" i="10"/>
  <c r="R514" i="10" s="1"/>
  <c r="E514" i="10"/>
  <c r="N513" i="10"/>
  <c r="F513" i="10"/>
  <c r="D513" i="10"/>
  <c r="D516" i="10" s="1"/>
  <c r="D517" i="10" s="1"/>
  <c r="P512" i="10"/>
  <c r="O512" i="10"/>
  <c r="N512" i="10"/>
  <c r="M512" i="10"/>
  <c r="L512" i="10"/>
  <c r="K512" i="10"/>
  <c r="J512" i="10"/>
  <c r="H512" i="10"/>
  <c r="G512" i="10"/>
  <c r="F512" i="10"/>
  <c r="E512" i="10"/>
  <c r="D512" i="10"/>
  <c r="C512" i="10"/>
  <c r="B512" i="10"/>
  <c r="P511" i="10"/>
  <c r="O511" i="10"/>
  <c r="N511" i="10"/>
  <c r="Q511" i="10" s="1"/>
  <c r="L511" i="10"/>
  <c r="K511" i="10"/>
  <c r="M511" i="10" s="1"/>
  <c r="J511" i="10"/>
  <c r="H511" i="10"/>
  <c r="G511" i="10"/>
  <c r="F511" i="10"/>
  <c r="I511" i="10" s="1"/>
  <c r="D511" i="10"/>
  <c r="C511" i="10"/>
  <c r="E511" i="10" s="1"/>
  <c r="B511" i="10"/>
  <c r="Q510" i="10"/>
  <c r="M510" i="10"/>
  <c r="I510" i="10"/>
  <c r="R510" i="10" s="1"/>
  <c r="E510" i="10"/>
  <c r="Q509" i="10"/>
  <c r="M509" i="10"/>
  <c r="I509" i="10"/>
  <c r="E509" i="10"/>
  <c r="Q506" i="10"/>
  <c r="M506" i="10"/>
  <c r="I506" i="10"/>
  <c r="E506" i="10"/>
  <c r="R506" i="10" s="1"/>
  <c r="Q505" i="10"/>
  <c r="M505" i="10"/>
  <c r="I505" i="10"/>
  <c r="E505" i="10"/>
  <c r="Q504" i="10"/>
  <c r="M504" i="10"/>
  <c r="I504" i="10"/>
  <c r="E504" i="10"/>
  <c r="R504" i="10" s="1"/>
  <c r="R503" i="10"/>
  <c r="Q503" i="10"/>
  <c r="M503" i="10"/>
  <c r="I503" i="10"/>
  <c r="E503" i="10"/>
  <c r="Q501" i="10"/>
  <c r="M501" i="10"/>
  <c r="I501" i="10"/>
  <c r="R501" i="10" s="1"/>
  <c r="E501" i="10"/>
  <c r="Q500" i="10"/>
  <c r="M500" i="10"/>
  <c r="I500" i="10"/>
  <c r="R500" i="10" s="1"/>
  <c r="E500" i="10"/>
  <c r="Q497" i="10"/>
  <c r="P497" i="10"/>
  <c r="O497" i="10"/>
  <c r="N497" i="10"/>
  <c r="L497" i="10"/>
  <c r="L513" i="10" s="1"/>
  <c r="L516" i="10" s="1"/>
  <c r="K497" i="10"/>
  <c r="J497" i="10"/>
  <c r="M497" i="10" s="1"/>
  <c r="I497" i="10"/>
  <c r="R497" i="10" s="1"/>
  <c r="H497" i="10"/>
  <c r="G497" i="10"/>
  <c r="F497" i="10"/>
  <c r="D497" i="10"/>
  <c r="C497" i="10"/>
  <c r="B497" i="10"/>
  <c r="E497" i="10" s="1"/>
  <c r="Q496" i="10"/>
  <c r="M496" i="10"/>
  <c r="R496" i="10" s="1"/>
  <c r="I496" i="10"/>
  <c r="E496" i="10"/>
  <c r="P492" i="10"/>
  <c r="O492" i="10"/>
  <c r="O513" i="10" s="1"/>
  <c r="O516" i="10" s="1"/>
  <c r="N492" i="10"/>
  <c r="M492" i="10"/>
  <c r="L492" i="10"/>
  <c r="K492" i="10"/>
  <c r="J492" i="10"/>
  <c r="H492" i="10"/>
  <c r="G492" i="10"/>
  <c r="G513" i="10" s="1"/>
  <c r="G516" i="10" s="1"/>
  <c r="F492" i="10"/>
  <c r="I492" i="10" s="1"/>
  <c r="E492" i="10"/>
  <c r="D492" i="10"/>
  <c r="C492" i="10"/>
  <c r="B492" i="10"/>
  <c r="Q490" i="10"/>
  <c r="M490" i="10"/>
  <c r="I490" i="10"/>
  <c r="E490" i="10"/>
  <c r="R490" i="10" s="1"/>
  <c r="Q489" i="10"/>
  <c r="M489" i="10"/>
  <c r="I489" i="10"/>
  <c r="E489" i="10"/>
  <c r="P486" i="10"/>
  <c r="O486" i="10"/>
  <c r="N486" i="10"/>
  <c r="Q486" i="10" s="1"/>
  <c r="L486" i="10"/>
  <c r="K486" i="10"/>
  <c r="K513" i="10" s="1"/>
  <c r="K516" i="10" s="1"/>
  <c r="K517" i="10" s="1"/>
  <c r="J486" i="10"/>
  <c r="H486" i="10"/>
  <c r="G486" i="10"/>
  <c r="F486" i="10"/>
  <c r="D486" i="10"/>
  <c r="C486" i="10"/>
  <c r="C513" i="10" s="1"/>
  <c r="C516" i="10" s="1"/>
  <c r="B486" i="10"/>
  <c r="B513" i="10" s="1"/>
  <c r="Q484" i="10"/>
  <c r="M484" i="10"/>
  <c r="I484" i="10"/>
  <c r="E484" i="10"/>
  <c r="Q482" i="10"/>
  <c r="M482" i="10"/>
  <c r="I482" i="10"/>
  <c r="E482" i="10"/>
  <c r="R482" i="10" s="1"/>
  <c r="Q480" i="10"/>
  <c r="M480" i="10"/>
  <c r="I480" i="10"/>
  <c r="E480" i="10"/>
  <c r="Q479" i="10"/>
  <c r="M479" i="10"/>
  <c r="R479" i="10" s="1"/>
  <c r="I479" i="10"/>
  <c r="E479" i="10"/>
  <c r="Q478" i="10"/>
  <c r="M478" i="10"/>
  <c r="I478" i="10"/>
  <c r="R478" i="10" s="1"/>
  <c r="E478" i="10"/>
  <c r="R477" i="10"/>
  <c r="Q477" i="10"/>
  <c r="M477" i="10"/>
  <c r="I477" i="10"/>
  <c r="E477" i="10"/>
  <c r="Q476" i="10"/>
  <c r="M476" i="10"/>
  <c r="I476" i="10"/>
  <c r="R476" i="10" s="1"/>
  <c r="E476" i="10"/>
  <c r="Q475" i="10"/>
  <c r="M475" i="10"/>
  <c r="I475" i="10"/>
  <c r="E475" i="10"/>
  <c r="Q474" i="10"/>
  <c r="M474" i="10"/>
  <c r="I474" i="10"/>
  <c r="E474" i="10"/>
  <c r="R474" i="10" s="1"/>
  <c r="Q473" i="10"/>
  <c r="M473" i="10"/>
  <c r="I473" i="10"/>
  <c r="E473" i="10"/>
  <c r="P464" i="10"/>
  <c r="Q461" i="10"/>
  <c r="M461" i="10"/>
  <c r="I461" i="10"/>
  <c r="E461" i="10"/>
  <c r="J460" i="10"/>
  <c r="H460" i="10"/>
  <c r="H463" i="10" s="1"/>
  <c r="Q459" i="10"/>
  <c r="P459" i="10"/>
  <c r="O459" i="10"/>
  <c r="N459" i="10"/>
  <c r="L459" i="10"/>
  <c r="K459" i="10"/>
  <c r="M459" i="10" s="1"/>
  <c r="J459" i="10"/>
  <c r="I459" i="10"/>
  <c r="H459" i="10"/>
  <c r="G459" i="10"/>
  <c r="F459" i="10"/>
  <c r="D459" i="10"/>
  <c r="C459" i="10"/>
  <c r="E459" i="10" s="1"/>
  <c r="R459" i="10" s="1"/>
  <c r="B459" i="10"/>
  <c r="Q458" i="10"/>
  <c r="P458" i="10"/>
  <c r="O458" i="10"/>
  <c r="N458" i="10"/>
  <c r="L458" i="10"/>
  <c r="K458" i="10"/>
  <c r="J458" i="10"/>
  <c r="M458" i="10" s="1"/>
  <c r="I458" i="10"/>
  <c r="H458" i="10"/>
  <c r="G458" i="10"/>
  <c r="F458" i="10"/>
  <c r="D458" i="10"/>
  <c r="C458" i="10"/>
  <c r="B458" i="10"/>
  <c r="E458" i="10" s="1"/>
  <c r="R458" i="10" s="1"/>
  <c r="R457" i="10"/>
  <c r="Q457" i="10"/>
  <c r="M457" i="10"/>
  <c r="I457" i="10"/>
  <c r="E457" i="10"/>
  <c r="Q456" i="10"/>
  <c r="M456" i="10"/>
  <c r="I456" i="10"/>
  <c r="E456" i="10"/>
  <c r="Q455" i="10"/>
  <c r="M455" i="10"/>
  <c r="I455" i="10"/>
  <c r="R455" i="10" s="1"/>
  <c r="E455" i="10"/>
  <c r="R453" i="10"/>
  <c r="Q453" i="10"/>
  <c r="M453" i="10"/>
  <c r="I453" i="10"/>
  <c r="E453" i="10"/>
  <c r="P448" i="10"/>
  <c r="O448" i="10"/>
  <c r="N448" i="10"/>
  <c r="Q448" i="10" s="1"/>
  <c r="L448" i="10"/>
  <c r="K448" i="10"/>
  <c r="J448" i="10"/>
  <c r="H448" i="10"/>
  <c r="G448" i="10"/>
  <c r="F448" i="10"/>
  <c r="I448" i="10" s="1"/>
  <c r="D448" i="10"/>
  <c r="C448" i="10"/>
  <c r="B448" i="10"/>
  <c r="P444" i="10"/>
  <c r="O444" i="10"/>
  <c r="Q444" i="10" s="1"/>
  <c r="N444" i="10"/>
  <c r="L444" i="10"/>
  <c r="K444" i="10"/>
  <c r="M444" i="10" s="1"/>
  <c r="J444" i="10"/>
  <c r="H444" i="10"/>
  <c r="G444" i="10"/>
  <c r="I444" i="10" s="1"/>
  <c r="F444" i="10"/>
  <c r="D444" i="10"/>
  <c r="C444" i="10"/>
  <c r="B444" i="10"/>
  <c r="Q442" i="10"/>
  <c r="M442" i="10"/>
  <c r="I442" i="10"/>
  <c r="E442" i="10"/>
  <c r="R442" i="10" s="1"/>
  <c r="R441" i="10"/>
  <c r="Q441" i="10"/>
  <c r="M441" i="10"/>
  <c r="I441" i="10"/>
  <c r="E441" i="10"/>
  <c r="P438" i="10"/>
  <c r="P460" i="10" s="1"/>
  <c r="P463" i="10" s="1"/>
  <c r="O438" i="10"/>
  <c r="O460" i="10" s="1"/>
  <c r="O463" i="10" s="1"/>
  <c r="N438" i="10"/>
  <c r="L438" i="10"/>
  <c r="K438" i="10"/>
  <c r="K460" i="10" s="1"/>
  <c r="K463" i="10" s="1"/>
  <c r="J438" i="10"/>
  <c r="H438" i="10"/>
  <c r="G438" i="10"/>
  <c r="G460" i="10" s="1"/>
  <c r="G463" i="10" s="1"/>
  <c r="F438" i="10"/>
  <c r="D438" i="10"/>
  <c r="D460" i="10" s="1"/>
  <c r="D463" i="10" s="1"/>
  <c r="C438" i="10"/>
  <c r="C460" i="10" s="1"/>
  <c r="C463" i="10" s="1"/>
  <c r="B438" i="10"/>
  <c r="Q434" i="10"/>
  <c r="M434" i="10"/>
  <c r="I434" i="10"/>
  <c r="R434" i="10" s="1"/>
  <c r="E434" i="10"/>
  <c r="R433" i="10"/>
  <c r="Q433" i="10"/>
  <c r="M433" i="10"/>
  <c r="I433" i="10"/>
  <c r="E433" i="10"/>
  <c r="Q432" i="10"/>
  <c r="M432" i="10"/>
  <c r="I432" i="10"/>
  <c r="E432" i="10"/>
  <c r="R432" i="10" s="1"/>
  <c r="H423" i="10"/>
  <c r="P422" i="10"/>
  <c r="H422" i="10"/>
  <c r="Q420" i="10"/>
  <c r="M420" i="10"/>
  <c r="I420" i="10"/>
  <c r="R420" i="10" s="1"/>
  <c r="E420" i="10"/>
  <c r="P419" i="10"/>
  <c r="N419" i="10"/>
  <c r="H419" i="10"/>
  <c r="F419" i="10"/>
  <c r="P418" i="10"/>
  <c r="O418" i="10"/>
  <c r="N418" i="10"/>
  <c r="Q418" i="10" s="1"/>
  <c r="M418" i="10"/>
  <c r="L418" i="10"/>
  <c r="K418" i="10"/>
  <c r="J418" i="10"/>
  <c r="H418" i="10"/>
  <c r="G418" i="10"/>
  <c r="F418" i="10"/>
  <c r="I418" i="10" s="1"/>
  <c r="E418" i="10"/>
  <c r="R418" i="10" s="1"/>
  <c r="D418" i="10"/>
  <c r="C418" i="10"/>
  <c r="B418" i="10"/>
  <c r="P417" i="10"/>
  <c r="O417" i="10"/>
  <c r="N417" i="10"/>
  <c r="Q417" i="10" s="1"/>
  <c r="L417" i="10"/>
  <c r="K417" i="10"/>
  <c r="J417" i="10"/>
  <c r="M417" i="10" s="1"/>
  <c r="H417" i="10"/>
  <c r="G417" i="10"/>
  <c r="F417" i="10"/>
  <c r="I417" i="10" s="1"/>
  <c r="D417" i="10"/>
  <c r="C417" i="10"/>
  <c r="B417" i="10"/>
  <c r="E417" i="10" s="1"/>
  <c r="R417" i="10" s="1"/>
  <c r="Q416" i="10"/>
  <c r="M416" i="10"/>
  <c r="I416" i="10"/>
  <c r="E416" i="10"/>
  <c r="Q415" i="10"/>
  <c r="M415" i="10"/>
  <c r="I415" i="10"/>
  <c r="E415" i="10"/>
  <c r="R415" i="10" s="1"/>
  <c r="Q409" i="10"/>
  <c r="P409" i="10"/>
  <c r="O409" i="10"/>
  <c r="N409" i="10"/>
  <c r="L409" i="10"/>
  <c r="K409" i="10"/>
  <c r="J409" i="10"/>
  <c r="M409" i="10" s="1"/>
  <c r="I409" i="10"/>
  <c r="H409" i="10"/>
  <c r="G409" i="10"/>
  <c r="F409" i="10"/>
  <c r="D409" i="10"/>
  <c r="C409" i="10"/>
  <c r="B409" i="10"/>
  <c r="E409" i="10" s="1"/>
  <c r="P405" i="10"/>
  <c r="O405" i="10"/>
  <c r="N405" i="10"/>
  <c r="Q405" i="10" s="1"/>
  <c r="L405" i="10"/>
  <c r="L419" i="10" s="1"/>
  <c r="L422" i="10" s="1"/>
  <c r="K405" i="10"/>
  <c r="J405" i="10"/>
  <c r="M405" i="10" s="1"/>
  <c r="H405" i="10"/>
  <c r="G405" i="10"/>
  <c r="F405" i="10"/>
  <c r="I405" i="10" s="1"/>
  <c r="D405" i="10"/>
  <c r="D419" i="10" s="1"/>
  <c r="D422" i="10" s="1"/>
  <c r="C405" i="10"/>
  <c r="B405" i="10"/>
  <c r="Q403" i="10"/>
  <c r="N403" i="10"/>
  <c r="N721" i="10" s="1"/>
  <c r="Q721" i="10" s="1"/>
  <c r="M403" i="10"/>
  <c r="I403" i="10"/>
  <c r="E403" i="10"/>
  <c r="R403" i="10" s="1"/>
  <c r="Q400" i="10"/>
  <c r="P400" i="10"/>
  <c r="O400" i="10"/>
  <c r="N400" i="10"/>
  <c r="L400" i="10"/>
  <c r="K400" i="10"/>
  <c r="K419" i="10" s="1"/>
  <c r="K422" i="10" s="1"/>
  <c r="K423" i="10" s="1"/>
  <c r="J400" i="10"/>
  <c r="J419" i="10" s="1"/>
  <c r="I400" i="10"/>
  <c r="H400" i="10"/>
  <c r="G400" i="10"/>
  <c r="G419" i="10" s="1"/>
  <c r="G422" i="10" s="1"/>
  <c r="F400" i="10"/>
  <c r="D400" i="10"/>
  <c r="C400" i="10"/>
  <c r="C419" i="10" s="1"/>
  <c r="C422" i="10" s="1"/>
  <c r="C423" i="10" s="1"/>
  <c r="B400" i="10"/>
  <c r="B419" i="10" s="1"/>
  <c r="R397" i="10"/>
  <c r="Q397" i="10"/>
  <c r="M397" i="10"/>
  <c r="I397" i="10"/>
  <c r="E397" i="10"/>
  <c r="Q396" i="10"/>
  <c r="M396" i="10"/>
  <c r="I396" i="10"/>
  <c r="R396" i="10" s="1"/>
  <c r="E396" i="10"/>
  <c r="Q395" i="10"/>
  <c r="M395" i="10"/>
  <c r="I395" i="10"/>
  <c r="E395" i="10"/>
  <c r="R395" i="10" s="1"/>
  <c r="Q393" i="10"/>
  <c r="R393" i="10" s="1"/>
  <c r="M393" i="10"/>
  <c r="I393" i="10"/>
  <c r="E393" i="10"/>
  <c r="Q392" i="10"/>
  <c r="M392" i="10"/>
  <c r="I392" i="10"/>
  <c r="E392" i="10"/>
  <c r="Q375" i="10"/>
  <c r="M375" i="10"/>
  <c r="I375" i="10"/>
  <c r="E375" i="10"/>
  <c r="R374" i="10"/>
  <c r="Q374" i="10"/>
  <c r="M374" i="10"/>
  <c r="I374" i="10"/>
  <c r="E374" i="10"/>
  <c r="Q373" i="10"/>
  <c r="M373" i="10"/>
  <c r="I373" i="10"/>
  <c r="E373" i="10"/>
  <c r="L372" i="10"/>
  <c r="L377" i="10" s="1"/>
  <c r="P371" i="10"/>
  <c r="O371" i="10"/>
  <c r="N371" i="10"/>
  <c r="Q371" i="10" s="1"/>
  <c r="M371" i="10"/>
  <c r="L371" i="10"/>
  <c r="K371" i="10"/>
  <c r="J371" i="10"/>
  <c r="H371" i="10"/>
  <c r="G371" i="10"/>
  <c r="F371" i="10"/>
  <c r="I371" i="10" s="1"/>
  <c r="E371" i="10"/>
  <c r="D371" i="10"/>
  <c r="C371" i="10"/>
  <c r="B371" i="10"/>
  <c r="P370" i="10"/>
  <c r="O370" i="10"/>
  <c r="N370" i="10"/>
  <c r="L370" i="10"/>
  <c r="K370" i="10"/>
  <c r="J370" i="10"/>
  <c r="M370" i="10" s="1"/>
  <c r="H370" i="10"/>
  <c r="G370" i="10"/>
  <c r="F370" i="10"/>
  <c r="D370" i="10"/>
  <c r="C370" i="10"/>
  <c r="B370" i="10"/>
  <c r="E370" i="10" s="1"/>
  <c r="Q369" i="10"/>
  <c r="M369" i="10"/>
  <c r="I369" i="10"/>
  <c r="E369" i="10"/>
  <c r="R369" i="10" s="1"/>
  <c r="Q368" i="10"/>
  <c r="M368" i="10"/>
  <c r="I368" i="10"/>
  <c r="E368" i="10"/>
  <c r="R368" i="10" s="1"/>
  <c r="Q367" i="10"/>
  <c r="R367" i="10" s="1"/>
  <c r="M367" i="10"/>
  <c r="I367" i="10"/>
  <c r="E367" i="10"/>
  <c r="Q366" i="10"/>
  <c r="M366" i="10"/>
  <c r="I366" i="10"/>
  <c r="E366" i="10"/>
  <c r="R366" i="10" s="1"/>
  <c r="Q365" i="10"/>
  <c r="M365" i="10"/>
  <c r="I365" i="10"/>
  <c r="E365" i="10"/>
  <c r="R365" i="10" s="1"/>
  <c r="R364" i="10"/>
  <c r="Q364" i="10"/>
  <c r="M364" i="10"/>
  <c r="I364" i="10"/>
  <c r="E364" i="10"/>
  <c r="Q363" i="10"/>
  <c r="M363" i="10"/>
  <c r="I363" i="10"/>
  <c r="E363" i="10"/>
  <c r="R362" i="10"/>
  <c r="Q362" i="10"/>
  <c r="M362" i="10"/>
  <c r="I362" i="10"/>
  <c r="E362" i="10"/>
  <c r="Q360" i="10"/>
  <c r="M360" i="10"/>
  <c r="I360" i="10"/>
  <c r="E360" i="10"/>
  <c r="Q359" i="10"/>
  <c r="M359" i="10"/>
  <c r="I359" i="10"/>
  <c r="E359" i="10"/>
  <c r="R359" i="10" s="1"/>
  <c r="R358" i="10"/>
  <c r="Q358" i="10"/>
  <c r="M358" i="10"/>
  <c r="I358" i="10"/>
  <c r="E358" i="10"/>
  <c r="Q357" i="10"/>
  <c r="M357" i="10"/>
  <c r="I357" i="10"/>
  <c r="E357" i="10"/>
  <c r="R357" i="10" s="1"/>
  <c r="Q356" i="10"/>
  <c r="M356" i="10"/>
  <c r="I356" i="10"/>
  <c r="E356" i="10"/>
  <c r="R356" i="10" s="1"/>
  <c r="Q355" i="10"/>
  <c r="M355" i="10"/>
  <c r="R355" i="10" s="1"/>
  <c r="I355" i="10"/>
  <c r="E355" i="10"/>
  <c r="Q353" i="10"/>
  <c r="M353" i="10"/>
  <c r="I353" i="10"/>
  <c r="E353" i="10"/>
  <c r="R353" i="10" s="1"/>
  <c r="R352" i="10"/>
  <c r="Q352" i="10"/>
  <c r="M352" i="10"/>
  <c r="I352" i="10"/>
  <c r="E352" i="10"/>
  <c r="Q350" i="10"/>
  <c r="M350" i="10"/>
  <c r="I350" i="10"/>
  <c r="R350" i="10" s="1"/>
  <c r="E350" i="10"/>
  <c r="Q349" i="10"/>
  <c r="M349" i="10"/>
  <c r="I349" i="10"/>
  <c r="E349" i="10"/>
  <c r="R349" i="10" s="1"/>
  <c r="Q346" i="10"/>
  <c r="P346" i="10"/>
  <c r="O346" i="10"/>
  <c r="N346" i="10"/>
  <c r="L346" i="10"/>
  <c r="K346" i="10"/>
  <c r="J346" i="10"/>
  <c r="H346" i="10"/>
  <c r="G346" i="10"/>
  <c r="D346" i="10"/>
  <c r="C346" i="10"/>
  <c r="B346" i="10"/>
  <c r="E346" i="10" s="1"/>
  <c r="R345" i="10"/>
  <c r="Q345" i="10"/>
  <c r="M345" i="10"/>
  <c r="I345" i="10"/>
  <c r="E345" i="10"/>
  <c r="Q344" i="10"/>
  <c r="M344" i="10"/>
  <c r="I344" i="10"/>
  <c r="R344" i="10" s="1"/>
  <c r="E344" i="10"/>
  <c r="Q343" i="10"/>
  <c r="M343" i="10"/>
  <c r="I343" i="10"/>
  <c r="E343" i="10"/>
  <c r="R343" i="10" s="1"/>
  <c r="Q342" i="10"/>
  <c r="R342" i="10" s="1"/>
  <c r="M342" i="10"/>
  <c r="I342" i="10"/>
  <c r="E342" i="10"/>
  <c r="Q341" i="10"/>
  <c r="M341" i="10"/>
  <c r="I341" i="10"/>
  <c r="E341" i="10"/>
  <c r="R341" i="10" s="1"/>
  <c r="Q340" i="10"/>
  <c r="M340" i="10"/>
  <c r="I340" i="10"/>
  <c r="E340" i="10"/>
  <c r="R340" i="10" s="1"/>
  <c r="Q339" i="10"/>
  <c r="M339" i="10"/>
  <c r="R339" i="10" s="1"/>
  <c r="I339" i="10"/>
  <c r="E339" i="10"/>
  <c r="Q338" i="10"/>
  <c r="M338" i="10"/>
  <c r="I338" i="10"/>
  <c r="E338" i="10"/>
  <c r="R337" i="10"/>
  <c r="Q337" i="10"/>
  <c r="M337" i="10"/>
  <c r="I337" i="10"/>
  <c r="E337" i="10"/>
  <c r="Q336" i="10"/>
  <c r="M336" i="10"/>
  <c r="I336" i="10"/>
  <c r="E336" i="10"/>
  <c r="Q335" i="10"/>
  <c r="M335" i="10"/>
  <c r="F335" i="10"/>
  <c r="E335" i="10"/>
  <c r="R334" i="10"/>
  <c r="Q334" i="10"/>
  <c r="M334" i="10"/>
  <c r="I334" i="10"/>
  <c r="E334" i="10"/>
  <c r="Q333" i="10"/>
  <c r="M333" i="10"/>
  <c r="I333" i="10"/>
  <c r="R333" i="10" s="1"/>
  <c r="E333" i="10"/>
  <c r="Q332" i="10"/>
  <c r="M332" i="10"/>
  <c r="I332" i="10"/>
  <c r="E332" i="10"/>
  <c r="R332" i="10" s="1"/>
  <c r="Q331" i="10"/>
  <c r="R331" i="10" s="1"/>
  <c r="M331" i="10"/>
  <c r="I331" i="10"/>
  <c r="E331" i="10"/>
  <c r="Q330" i="10"/>
  <c r="M330" i="10"/>
  <c r="I330" i="10"/>
  <c r="E330" i="10"/>
  <c r="R330" i="10" s="1"/>
  <c r="Q329" i="10"/>
  <c r="M329" i="10"/>
  <c r="I329" i="10"/>
  <c r="E329" i="10"/>
  <c r="R329" i="10" s="1"/>
  <c r="Q328" i="10"/>
  <c r="M328" i="10"/>
  <c r="R328" i="10" s="1"/>
  <c r="I328" i="10"/>
  <c r="E328" i="10"/>
  <c r="Q327" i="10"/>
  <c r="M327" i="10"/>
  <c r="I327" i="10"/>
  <c r="E327" i="10"/>
  <c r="R326" i="10"/>
  <c r="Q326" i="10"/>
  <c r="M326" i="10"/>
  <c r="I326" i="10"/>
  <c r="E326" i="10"/>
  <c r="Q325" i="10"/>
  <c r="M325" i="10"/>
  <c r="I325" i="10"/>
  <c r="E325" i="10"/>
  <c r="Q324" i="10"/>
  <c r="M324" i="10"/>
  <c r="I324" i="10"/>
  <c r="E324" i="10"/>
  <c r="R324" i="10" s="1"/>
  <c r="R323" i="10"/>
  <c r="Q323" i="10"/>
  <c r="M323" i="10"/>
  <c r="I323" i="10"/>
  <c r="E323" i="10"/>
  <c r="Q322" i="10"/>
  <c r="M322" i="10"/>
  <c r="I322" i="10"/>
  <c r="E322" i="10"/>
  <c r="Q321" i="10"/>
  <c r="M321" i="10"/>
  <c r="I321" i="10"/>
  <c r="E321" i="10"/>
  <c r="R321" i="10" s="1"/>
  <c r="Q320" i="10"/>
  <c r="M320" i="10"/>
  <c r="R320" i="10" s="1"/>
  <c r="I320" i="10"/>
  <c r="E320" i="10"/>
  <c r="Q319" i="10"/>
  <c r="M319" i="10"/>
  <c r="I319" i="10"/>
  <c r="E319" i="10"/>
  <c r="R319" i="10" s="1"/>
  <c r="R317" i="10"/>
  <c r="Q317" i="10"/>
  <c r="M317" i="10"/>
  <c r="I317" i="10"/>
  <c r="E317" i="10"/>
  <c r="Q316" i="10"/>
  <c r="M316" i="10"/>
  <c r="I316" i="10"/>
  <c r="E316" i="10"/>
  <c r="R316" i="10" s="1"/>
  <c r="P313" i="10"/>
  <c r="O313" i="10"/>
  <c r="N313" i="10"/>
  <c r="Q313" i="10" s="1"/>
  <c r="L313" i="10"/>
  <c r="M313" i="10" s="1"/>
  <c r="K313" i="10"/>
  <c r="J313" i="10"/>
  <c r="H313" i="10"/>
  <c r="G313" i="10"/>
  <c r="F313" i="10"/>
  <c r="I313" i="10" s="1"/>
  <c r="E313" i="10"/>
  <c r="D313" i="10"/>
  <c r="D372" i="10" s="1"/>
  <c r="D377" i="10" s="1"/>
  <c r="D378" i="10" s="1"/>
  <c r="C313" i="10"/>
  <c r="B313" i="10"/>
  <c r="Q311" i="10"/>
  <c r="M311" i="10"/>
  <c r="I311" i="10"/>
  <c r="E311" i="10"/>
  <c r="R310" i="10"/>
  <c r="Q310" i="10"/>
  <c r="M310" i="10"/>
  <c r="I310" i="10"/>
  <c r="E310" i="10"/>
  <c r="Q309" i="10"/>
  <c r="M309" i="10"/>
  <c r="I309" i="10"/>
  <c r="E309" i="10"/>
  <c r="Q308" i="10"/>
  <c r="M308" i="10"/>
  <c r="I308" i="10"/>
  <c r="E308" i="10"/>
  <c r="R308" i="10" s="1"/>
  <c r="Q307" i="10"/>
  <c r="R307" i="10" s="1"/>
  <c r="M307" i="10"/>
  <c r="I307" i="10"/>
  <c r="E307" i="10"/>
  <c r="Q306" i="10"/>
  <c r="M306" i="10"/>
  <c r="I306" i="10"/>
  <c r="E306" i="10"/>
  <c r="R306" i="10" s="1"/>
  <c r="Q305" i="10"/>
  <c r="M305" i="10"/>
  <c r="I305" i="10"/>
  <c r="E305" i="10"/>
  <c r="R305" i="10" s="1"/>
  <c r="Q304" i="10"/>
  <c r="M304" i="10"/>
  <c r="R304" i="10" s="1"/>
  <c r="I304" i="10"/>
  <c r="E304" i="10"/>
  <c r="P300" i="10"/>
  <c r="P372" i="10" s="1"/>
  <c r="P377" i="10" s="1"/>
  <c r="P378" i="10" s="1"/>
  <c r="O300" i="10"/>
  <c r="O372" i="10" s="1"/>
  <c r="O377" i="10" s="1"/>
  <c r="O378" i="10" s="1"/>
  <c r="N300" i="10"/>
  <c r="N372" i="10" s="1"/>
  <c r="M300" i="10"/>
  <c r="L300" i="10"/>
  <c r="K300" i="10"/>
  <c r="J300" i="10"/>
  <c r="J372" i="10" s="1"/>
  <c r="J377" i="10" s="1"/>
  <c r="H300" i="10"/>
  <c r="H372" i="10" s="1"/>
  <c r="H377" i="10" s="1"/>
  <c r="G300" i="10"/>
  <c r="G372" i="10" s="1"/>
  <c r="G377" i="10" s="1"/>
  <c r="G378" i="10" s="1"/>
  <c r="F300" i="10"/>
  <c r="E300" i="10"/>
  <c r="D300" i="10"/>
  <c r="C300" i="10"/>
  <c r="B300" i="10"/>
  <c r="Q298" i="10"/>
  <c r="M298" i="10"/>
  <c r="I298" i="10"/>
  <c r="E298" i="10"/>
  <c r="Q297" i="10"/>
  <c r="M297" i="10"/>
  <c r="I297" i="10"/>
  <c r="E297" i="10"/>
  <c r="R297" i="10" s="1"/>
  <c r="Q296" i="10"/>
  <c r="R296" i="10" s="1"/>
  <c r="M296" i="10"/>
  <c r="I296" i="10"/>
  <c r="E296" i="10"/>
  <c r="Q295" i="10"/>
  <c r="M295" i="10"/>
  <c r="I295" i="10"/>
  <c r="E295" i="10"/>
  <c r="R295" i="10" s="1"/>
  <c r="R293" i="10"/>
  <c r="Q293" i="10"/>
  <c r="M293" i="10"/>
  <c r="I293" i="10"/>
  <c r="E293" i="10"/>
  <c r="Q292" i="10"/>
  <c r="M292" i="10"/>
  <c r="I292" i="10"/>
  <c r="E292" i="10"/>
  <c r="R292" i="10" s="1"/>
  <c r="Q291" i="10"/>
  <c r="M291" i="10"/>
  <c r="I291" i="10"/>
  <c r="E291" i="10"/>
  <c r="R291" i="10" s="1"/>
  <c r="Q290" i="10"/>
  <c r="R290" i="10" s="1"/>
  <c r="M290" i="10"/>
  <c r="I290" i="10"/>
  <c r="E290" i="10"/>
  <c r="Q289" i="10"/>
  <c r="M289" i="10"/>
  <c r="I289" i="10"/>
  <c r="E289" i="10"/>
  <c r="R289" i="10" s="1"/>
  <c r="Q288" i="10"/>
  <c r="M288" i="10"/>
  <c r="I288" i="10"/>
  <c r="E288" i="10"/>
  <c r="R288" i="10" s="1"/>
  <c r="R287" i="10"/>
  <c r="Q287" i="10"/>
  <c r="M287" i="10"/>
  <c r="I287" i="10"/>
  <c r="E287" i="10"/>
  <c r="Q286" i="10"/>
  <c r="M286" i="10"/>
  <c r="I286" i="10"/>
  <c r="E286" i="10"/>
  <c r="R285" i="10"/>
  <c r="Q285" i="10"/>
  <c r="M285" i="10"/>
  <c r="I285" i="10"/>
  <c r="E285" i="10"/>
  <c r="Q284" i="10"/>
  <c r="M284" i="10"/>
  <c r="I284" i="10"/>
  <c r="E284" i="10"/>
  <c r="Q283" i="10"/>
  <c r="M283" i="10"/>
  <c r="I283" i="10"/>
  <c r="E283" i="10"/>
  <c r="R283" i="10" s="1"/>
  <c r="R282" i="10"/>
  <c r="Q282" i="10"/>
  <c r="M282" i="10"/>
  <c r="I282" i="10"/>
  <c r="E282" i="10"/>
  <c r="Q281" i="10"/>
  <c r="M281" i="10"/>
  <c r="I281" i="10"/>
  <c r="E281" i="10"/>
  <c r="R281" i="10" s="1"/>
  <c r="Q280" i="10"/>
  <c r="M280" i="10"/>
  <c r="I280" i="10"/>
  <c r="E280" i="10"/>
  <c r="R280" i="10" s="1"/>
  <c r="Q278" i="10"/>
  <c r="R278" i="10" s="1"/>
  <c r="M278" i="10"/>
  <c r="I278" i="10"/>
  <c r="E278" i="10"/>
  <c r="Q277" i="10"/>
  <c r="M277" i="10"/>
  <c r="I277" i="10"/>
  <c r="E277" i="10"/>
  <c r="R277" i="10" s="1"/>
  <c r="Q276" i="10"/>
  <c r="M276" i="10"/>
  <c r="I276" i="10"/>
  <c r="E276" i="10"/>
  <c r="R276" i="10" s="1"/>
  <c r="Q275" i="10"/>
  <c r="M275" i="10"/>
  <c r="R275" i="10" s="1"/>
  <c r="I275" i="10"/>
  <c r="E275" i="10"/>
  <c r="Q274" i="10"/>
  <c r="M274" i="10"/>
  <c r="I274" i="10"/>
  <c r="G274" i="10"/>
  <c r="E274" i="10"/>
  <c r="Q273" i="10"/>
  <c r="M273" i="10"/>
  <c r="I273" i="10"/>
  <c r="R273" i="10" s="1"/>
  <c r="E273" i="10"/>
  <c r="R272" i="10"/>
  <c r="Q272" i="10"/>
  <c r="M272" i="10"/>
  <c r="I272" i="10"/>
  <c r="E272" i="10"/>
  <c r="Q271" i="10"/>
  <c r="M271" i="10"/>
  <c r="I271" i="10"/>
  <c r="E271" i="10"/>
  <c r="R270" i="10"/>
  <c r="Q270" i="10"/>
  <c r="M270" i="10"/>
  <c r="I270" i="10"/>
  <c r="E270" i="10"/>
  <c r="Q269" i="10"/>
  <c r="M269" i="10"/>
  <c r="I269" i="10"/>
  <c r="E269" i="10"/>
  <c r="Q268" i="10"/>
  <c r="M268" i="10"/>
  <c r="I268" i="10"/>
  <c r="E268" i="10"/>
  <c r="R268" i="10" s="1"/>
  <c r="R267" i="10"/>
  <c r="Q267" i="10"/>
  <c r="M267" i="10"/>
  <c r="I267" i="10"/>
  <c r="E267" i="10"/>
  <c r="H260" i="10"/>
  <c r="N803" i="10" s="1"/>
  <c r="C260" i="10"/>
  <c r="N799" i="10" s="1"/>
  <c r="P259" i="10"/>
  <c r="P260" i="10" s="1"/>
  <c r="N809" i="10" s="1"/>
  <c r="O259" i="10"/>
  <c r="O260" i="10" s="1"/>
  <c r="N808" i="10" s="1"/>
  <c r="N259" i="10"/>
  <c r="Q259" i="10" s="1"/>
  <c r="L259" i="10"/>
  <c r="L260" i="10" s="1"/>
  <c r="N806" i="10" s="1"/>
  <c r="K259" i="10"/>
  <c r="K260" i="10" s="1"/>
  <c r="N805" i="10" s="1"/>
  <c r="J259" i="10"/>
  <c r="H259" i="10"/>
  <c r="G259" i="10"/>
  <c r="G260" i="10" s="1"/>
  <c r="N802" i="10" s="1"/>
  <c r="F259" i="10"/>
  <c r="D259" i="10"/>
  <c r="D260" i="10" s="1"/>
  <c r="N800" i="10" s="1"/>
  <c r="C259" i="10"/>
  <c r="B259" i="10"/>
  <c r="E259" i="10" s="1"/>
  <c r="Q257" i="10"/>
  <c r="M257" i="10"/>
  <c r="I257" i="10"/>
  <c r="E257" i="10"/>
  <c r="K248" i="10"/>
  <c r="C248" i="10"/>
  <c r="Q246" i="10"/>
  <c r="M246" i="10"/>
  <c r="I246" i="10"/>
  <c r="E246" i="10"/>
  <c r="R246" i="10" s="1"/>
  <c r="Q245" i="10"/>
  <c r="R245" i="10" s="1"/>
  <c r="M245" i="10"/>
  <c r="I245" i="10"/>
  <c r="E245" i="10"/>
  <c r="Q244" i="10"/>
  <c r="M244" i="10"/>
  <c r="I244" i="10"/>
  <c r="E244" i="10"/>
  <c r="R244" i="10" s="1"/>
  <c r="R243" i="10"/>
  <c r="Q243" i="10"/>
  <c r="M243" i="10"/>
  <c r="I243" i="10"/>
  <c r="E243" i="10"/>
  <c r="Q242" i="10"/>
  <c r="M242" i="10"/>
  <c r="I242" i="10"/>
  <c r="E242" i="10"/>
  <c r="P241" i="10"/>
  <c r="O241" i="10"/>
  <c r="N241" i="10"/>
  <c r="Q241" i="10" s="1"/>
  <c r="M241" i="10"/>
  <c r="L241" i="10"/>
  <c r="L16" i="10" s="1"/>
  <c r="M16" i="10" s="1"/>
  <c r="K241" i="10"/>
  <c r="J241" i="10"/>
  <c r="H241" i="10"/>
  <c r="G241" i="10"/>
  <c r="F241" i="10"/>
  <c r="I241" i="10" s="1"/>
  <c r="E241" i="10"/>
  <c r="D241" i="10"/>
  <c r="D16" i="10" s="1"/>
  <c r="E16" i="10" s="1"/>
  <c r="L240" i="10"/>
  <c r="L248" i="10" s="1"/>
  <c r="K240" i="10"/>
  <c r="D240" i="10"/>
  <c r="D248" i="10" s="1"/>
  <c r="C240" i="10"/>
  <c r="P239" i="10"/>
  <c r="O239" i="10"/>
  <c r="N239" i="10"/>
  <c r="Q239" i="10" s="1"/>
  <c r="M239" i="10"/>
  <c r="L239" i="10"/>
  <c r="K239" i="10"/>
  <c r="J239" i="10"/>
  <c r="H239" i="10"/>
  <c r="G239" i="10"/>
  <c r="F239" i="10"/>
  <c r="I239" i="10" s="1"/>
  <c r="E239" i="10"/>
  <c r="R239" i="10" s="1"/>
  <c r="D239" i="10"/>
  <c r="C239" i="10"/>
  <c r="B239" i="10"/>
  <c r="P238" i="10"/>
  <c r="O238" i="10"/>
  <c r="N238" i="10"/>
  <c r="Q238" i="10" s="1"/>
  <c r="M238" i="10"/>
  <c r="L238" i="10"/>
  <c r="K238" i="10"/>
  <c r="J238" i="10"/>
  <c r="H238" i="10"/>
  <c r="G238" i="10"/>
  <c r="F238" i="10"/>
  <c r="I238" i="10" s="1"/>
  <c r="E238" i="10"/>
  <c r="R238" i="10" s="1"/>
  <c r="D238" i="10"/>
  <c r="C238" i="10"/>
  <c r="B238" i="10"/>
  <c r="Q235" i="10"/>
  <c r="M235" i="10"/>
  <c r="I235" i="10"/>
  <c r="E235" i="10"/>
  <c r="R235" i="10" s="1"/>
  <c r="Q234" i="10"/>
  <c r="M234" i="10"/>
  <c r="I234" i="10"/>
  <c r="E234" i="10"/>
  <c r="R234" i="10" s="1"/>
  <c r="R233" i="10"/>
  <c r="Q233" i="10"/>
  <c r="M233" i="10"/>
  <c r="I233" i="10"/>
  <c r="E233" i="10"/>
  <c r="Q232" i="10"/>
  <c r="M232" i="10"/>
  <c r="I232" i="10"/>
  <c r="E232" i="10"/>
  <c r="R231" i="10"/>
  <c r="Q231" i="10"/>
  <c r="M231" i="10"/>
  <c r="I231" i="10"/>
  <c r="E231" i="10"/>
  <c r="Q230" i="10"/>
  <c r="M230" i="10"/>
  <c r="I230" i="10"/>
  <c r="E230" i="10"/>
  <c r="Q229" i="10"/>
  <c r="M229" i="10"/>
  <c r="I229" i="10"/>
  <c r="E229" i="10"/>
  <c r="R229" i="10" s="1"/>
  <c r="R228" i="10"/>
  <c r="Q228" i="10"/>
  <c r="M228" i="10"/>
  <c r="I228" i="10"/>
  <c r="E228" i="10"/>
  <c r="Q226" i="10"/>
  <c r="M226" i="10"/>
  <c r="I226" i="10"/>
  <c r="E226" i="10"/>
  <c r="R226" i="10" s="1"/>
  <c r="Q225" i="10"/>
  <c r="M225" i="10"/>
  <c r="I225" i="10"/>
  <c r="E225" i="10"/>
  <c r="R225" i="10" s="1"/>
  <c r="Q224" i="10"/>
  <c r="R224" i="10" s="1"/>
  <c r="M224" i="10"/>
  <c r="I224" i="10"/>
  <c r="E224" i="10"/>
  <c r="Q223" i="10"/>
  <c r="M223" i="10"/>
  <c r="I223" i="10"/>
  <c r="E223" i="10"/>
  <c r="R223" i="10" s="1"/>
  <c r="R222" i="10"/>
  <c r="Q222" i="10"/>
  <c r="M222" i="10"/>
  <c r="I222" i="10"/>
  <c r="E222" i="10"/>
  <c r="P219" i="10"/>
  <c r="Q219" i="10" s="1"/>
  <c r="O219" i="10"/>
  <c r="N219" i="10"/>
  <c r="L219" i="10"/>
  <c r="K219" i="10"/>
  <c r="I219" i="10"/>
  <c r="H219" i="10"/>
  <c r="G219" i="10"/>
  <c r="F219" i="10"/>
  <c r="D219" i="10"/>
  <c r="C219" i="10"/>
  <c r="B219" i="10"/>
  <c r="E219" i="10" s="1"/>
  <c r="R218" i="10"/>
  <c r="Q218" i="10"/>
  <c r="M218" i="10"/>
  <c r="I218" i="10"/>
  <c r="E218" i="10"/>
  <c r="Q217" i="10"/>
  <c r="M217" i="10"/>
  <c r="I217" i="10"/>
  <c r="E217" i="10"/>
  <c r="R216" i="10"/>
  <c r="Q216" i="10"/>
  <c r="M216" i="10"/>
  <c r="I216" i="10"/>
  <c r="E216" i="10"/>
  <c r="Q215" i="10"/>
  <c r="M215" i="10"/>
  <c r="R215" i="10" s="1"/>
  <c r="I215" i="10"/>
  <c r="E215" i="10"/>
  <c r="Q214" i="10"/>
  <c r="M214" i="10"/>
  <c r="I214" i="10"/>
  <c r="E214" i="10"/>
  <c r="R214" i="10" s="1"/>
  <c r="R213" i="10"/>
  <c r="Q213" i="10"/>
  <c r="M213" i="10"/>
  <c r="I213" i="10"/>
  <c r="E213" i="10"/>
  <c r="Q212" i="10"/>
  <c r="M212" i="10"/>
  <c r="I212" i="10"/>
  <c r="E212" i="10"/>
  <c r="R212" i="10" s="1"/>
  <c r="Q211" i="10"/>
  <c r="M211" i="10"/>
  <c r="I211" i="10"/>
  <c r="E211" i="10"/>
  <c r="R211" i="10" s="1"/>
  <c r="Q210" i="10"/>
  <c r="R210" i="10" s="1"/>
  <c r="M210" i="10"/>
  <c r="I210" i="10"/>
  <c r="E210" i="10"/>
  <c r="Q209" i="10"/>
  <c r="J209" i="10"/>
  <c r="I209" i="10"/>
  <c r="E209" i="10"/>
  <c r="Q208" i="10"/>
  <c r="M208" i="10"/>
  <c r="I208" i="10"/>
  <c r="E208" i="10"/>
  <c r="R208" i="10" s="1"/>
  <c r="R207" i="10"/>
  <c r="Q207" i="10"/>
  <c r="M207" i="10"/>
  <c r="I207" i="10"/>
  <c r="E207" i="10"/>
  <c r="Q206" i="10"/>
  <c r="M206" i="10"/>
  <c r="I206" i="10"/>
  <c r="E206" i="10"/>
  <c r="R206" i="10" s="1"/>
  <c r="R205" i="10"/>
  <c r="Q205" i="10"/>
  <c r="M205" i="10"/>
  <c r="I205" i="10"/>
  <c r="E205" i="10"/>
  <c r="Q204" i="10"/>
  <c r="M204" i="10"/>
  <c r="R204" i="10" s="1"/>
  <c r="I204" i="10"/>
  <c r="E204" i="10"/>
  <c r="Q203" i="10"/>
  <c r="M203" i="10"/>
  <c r="I203" i="10"/>
  <c r="E203" i="10"/>
  <c r="R203" i="10" s="1"/>
  <c r="R202" i="10"/>
  <c r="Q202" i="10"/>
  <c r="M202" i="10"/>
  <c r="I202" i="10"/>
  <c r="E202" i="10"/>
  <c r="Q201" i="10"/>
  <c r="M201" i="10"/>
  <c r="I201" i="10"/>
  <c r="E201" i="10"/>
  <c r="R201" i="10" s="1"/>
  <c r="Q200" i="10"/>
  <c r="M200" i="10"/>
  <c r="I200" i="10"/>
  <c r="E200" i="10"/>
  <c r="R200" i="10" s="1"/>
  <c r="Q199" i="10"/>
  <c r="R199" i="10" s="1"/>
  <c r="M199" i="10"/>
  <c r="I199" i="10"/>
  <c r="E199" i="10"/>
  <c r="Q198" i="10"/>
  <c r="M198" i="10"/>
  <c r="I198" i="10"/>
  <c r="E198" i="10"/>
  <c r="R197" i="10"/>
  <c r="Q197" i="10"/>
  <c r="M197" i="10"/>
  <c r="I197" i="10"/>
  <c r="E197" i="10"/>
  <c r="Q196" i="10"/>
  <c r="M196" i="10"/>
  <c r="I196" i="10"/>
  <c r="E196" i="10"/>
  <c r="Q195" i="10"/>
  <c r="M195" i="10"/>
  <c r="I195" i="10"/>
  <c r="E195" i="10"/>
  <c r="R195" i="10" s="1"/>
  <c r="R194" i="10"/>
  <c r="Q194" i="10"/>
  <c r="M194" i="10"/>
  <c r="I194" i="10"/>
  <c r="E194" i="10"/>
  <c r="Q193" i="10"/>
  <c r="M193" i="10"/>
  <c r="I193" i="10"/>
  <c r="E193" i="10"/>
  <c r="Q192" i="10"/>
  <c r="M192" i="10"/>
  <c r="I192" i="10"/>
  <c r="E192" i="10"/>
  <c r="R192" i="10" s="1"/>
  <c r="Q191" i="10"/>
  <c r="R191" i="10" s="1"/>
  <c r="M191" i="10"/>
  <c r="I191" i="10"/>
  <c r="E191" i="10"/>
  <c r="Q190" i="10"/>
  <c r="M190" i="10"/>
  <c r="I190" i="10"/>
  <c r="E190" i="10"/>
  <c r="R190" i="10" s="1"/>
  <c r="R189" i="10"/>
  <c r="Q189" i="10"/>
  <c r="M189" i="10"/>
  <c r="I189" i="10"/>
  <c r="E189" i="10"/>
  <c r="Q188" i="10"/>
  <c r="M188" i="10"/>
  <c r="R188" i="10" s="1"/>
  <c r="I188" i="10"/>
  <c r="E188" i="10"/>
  <c r="Q187" i="10"/>
  <c r="M187" i="10"/>
  <c r="I187" i="10"/>
  <c r="E187" i="10"/>
  <c r="R187" i="10" s="1"/>
  <c r="R186" i="10"/>
  <c r="Q186" i="10"/>
  <c r="M186" i="10"/>
  <c r="I186" i="10"/>
  <c r="E186" i="10"/>
  <c r="P182" i="10"/>
  <c r="O182" i="10"/>
  <c r="N182" i="10"/>
  <c r="L182" i="10"/>
  <c r="K182" i="10"/>
  <c r="J182" i="10"/>
  <c r="M182" i="10" s="1"/>
  <c r="H182" i="10"/>
  <c r="G182" i="10"/>
  <c r="F182" i="10"/>
  <c r="D182" i="10"/>
  <c r="C182" i="10"/>
  <c r="B182" i="10"/>
  <c r="E182" i="10" s="1"/>
  <c r="Q180" i="10"/>
  <c r="M180" i="10"/>
  <c r="I180" i="10"/>
  <c r="R180" i="10" s="1"/>
  <c r="E180" i="10"/>
  <c r="P176" i="10"/>
  <c r="P240" i="10" s="1"/>
  <c r="P248" i="10" s="1"/>
  <c r="P249" i="10" s="1"/>
  <c r="O176" i="10"/>
  <c r="O240" i="10" s="1"/>
  <c r="O248" i="10" s="1"/>
  <c r="N176" i="10"/>
  <c r="M176" i="10"/>
  <c r="L176" i="10"/>
  <c r="K176" i="10"/>
  <c r="J176" i="10"/>
  <c r="H176" i="10"/>
  <c r="H240" i="10" s="1"/>
  <c r="H248" i="10" s="1"/>
  <c r="F176" i="10"/>
  <c r="D176" i="10"/>
  <c r="C176" i="10"/>
  <c r="Q174" i="10"/>
  <c r="M174" i="10"/>
  <c r="I174" i="10"/>
  <c r="E174" i="10"/>
  <c r="R173" i="10"/>
  <c r="Q173" i="10"/>
  <c r="M173" i="10"/>
  <c r="I173" i="10"/>
  <c r="E173" i="10"/>
  <c r="R172" i="10"/>
  <c r="Q172" i="10"/>
  <c r="M172" i="10"/>
  <c r="I172" i="10"/>
  <c r="E172" i="10"/>
  <c r="Q170" i="10"/>
  <c r="M170" i="10"/>
  <c r="I170" i="10"/>
  <c r="E170" i="10"/>
  <c r="R170" i="10" s="1"/>
  <c r="R169" i="10"/>
  <c r="Q169" i="10"/>
  <c r="M169" i="10"/>
  <c r="I169" i="10"/>
  <c r="E169" i="10"/>
  <c r="Q168" i="10"/>
  <c r="M168" i="10"/>
  <c r="I168" i="10"/>
  <c r="E168" i="10"/>
  <c r="Q167" i="10"/>
  <c r="M167" i="10"/>
  <c r="I167" i="10"/>
  <c r="E167" i="10"/>
  <c r="R167" i="10" s="1"/>
  <c r="Q166" i="10"/>
  <c r="R166" i="10" s="1"/>
  <c r="M166" i="10"/>
  <c r="I166" i="10"/>
  <c r="E166" i="10"/>
  <c r="Q165" i="10"/>
  <c r="M165" i="10"/>
  <c r="I165" i="10"/>
  <c r="E165" i="10"/>
  <c r="R165" i="10" s="1"/>
  <c r="R164" i="10"/>
  <c r="Q164" i="10"/>
  <c r="M164" i="10"/>
  <c r="I164" i="10"/>
  <c r="E164" i="10"/>
  <c r="Q163" i="10"/>
  <c r="M163" i="10"/>
  <c r="R163" i="10" s="1"/>
  <c r="I163" i="10"/>
  <c r="E163" i="10"/>
  <c r="Q162" i="10"/>
  <c r="M162" i="10"/>
  <c r="I162" i="10"/>
  <c r="E162" i="10"/>
  <c r="R161" i="10"/>
  <c r="Q161" i="10"/>
  <c r="M161" i="10"/>
  <c r="I161" i="10"/>
  <c r="E161" i="10"/>
  <c r="Q160" i="10"/>
  <c r="M160" i="10"/>
  <c r="I160" i="10"/>
  <c r="E160" i="10"/>
  <c r="Q158" i="10"/>
  <c r="M158" i="10"/>
  <c r="I158" i="10"/>
  <c r="E158" i="10"/>
  <c r="R157" i="10"/>
  <c r="Q157" i="10"/>
  <c r="M157" i="10"/>
  <c r="I157" i="10"/>
  <c r="E157" i="10"/>
  <c r="Q156" i="10"/>
  <c r="M156" i="10"/>
  <c r="I156" i="10"/>
  <c r="E156" i="10"/>
  <c r="Q155" i="10"/>
  <c r="M155" i="10"/>
  <c r="I155" i="10"/>
  <c r="B155" i="10"/>
  <c r="R154" i="10"/>
  <c r="Q154" i="10"/>
  <c r="M154" i="10"/>
  <c r="I154" i="10"/>
  <c r="E154" i="10"/>
  <c r="Q153" i="10"/>
  <c r="M153" i="10"/>
  <c r="I153" i="10"/>
  <c r="E153" i="10"/>
  <c r="R153" i="10" s="1"/>
  <c r="Q152" i="10"/>
  <c r="M152" i="10"/>
  <c r="I152" i="10"/>
  <c r="E152" i="10"/>
  <c r="R152" i="10" s="1"/>
  <c r="Q151" i="10"/>
  <c r="M151" i="10"/>
  <c r="R151" i="10" s="1"/>
  <c r="I151" i="10"/>
  <c r="E151" i="10"/>
  <c r="Q150" i="10"/>
  <c r="M150" i="10"/>
  <c r="I150" i="10"/>
  <c r="E150" i="10"/>
  <c r="R149" i="10"/>
  <c r="Q149" i="10"/>
  <c r="M149" i="10"/>
  <c r="I149" i="10"/>
  <c r="E149" i="10"/>
  <c r="Q148" i="10"/>
  <c r="M148" i="10"/>
  <c r="I148" i="10"/>
  <c r="R148" i="10" s="1"/>
  <c r="E148" i="10"/>
  <c r="Q147" i="10"/>
  <c r="M147" i="10"/>
  <c r="I147" i="10"/>
  <c r="E147" i="10"/>
  <c r="Q146" i="10"/>
  <c r="R146" i="10" s="1"/>
  <c r="M146" i="10"/>
  <c r="I146" i="10"/>
  <c r="E146" i="10"/>
  <c r="Q145" i="10"/>
  <c r="M145" i="10"/>
  <c r="I145" i="10"/>
  <c r="E145" i="10"/>
  <c r="Q144" i="10"/>
  <c r="M144" i="10"/>
  <c r="I144" i="10"/>
  <c r="E144" i="10"/>
  <c r="R144" i="10" s="1"/>
  <c r="R143" i="10"/>
  <c r="Q143" i="10"/>
  <c r="M143" i="10"/>
  <c r="I143" i="10"/>
  <c r="E143" i="10"/>
  <c r="Q142" i="10"/>
  <c r="M142" i="10"/>
  <c r="G142" i="10"/>
  <c r="E142" i="10"/>
  <c r="Q141" i="10"/>
  <c r="M141" i="10"/>
  <c r="I141" i="10"/>
  <c r="E141" i="10"/>
  <c r="R141" i="10" s="1"/>
  <c r="Q140" i="10"/>
  <c r="M140" i="10"/>
  <c r="R140" i="10" s="1"/>
  <c r="I140" i="10"/>
  <c r="E140" i="10"/>
  <c r="Q139" i="10"/>
  <c r="M139" i="10"/>
  <c r="I139" i="10"/>
  <c r="E139" i="10"/>
  <c r="R139" i="10" s="1"/>
  <c r="R138" i="10"/>
  <c r="Q138" i="10"/>
  <c r="M138" i="10"/>
  <c r="I138" i="10"/>
  <c r="E138" i="10"/>
  <c r="Q137" i="10"/>
  <c r="M137" i="10"/>
  <c r="I137" i="10"/>
  <c r="R137" i="10" s="1"/>
  <c r="E137" i="10"/>
  <c r="Q136" i="10"/>
  <c r="M136" i="10"/>
  <c r="I136" i="10"/>
  <c r="E136" i="10"/>
  <c r="R136" i="10" s="1"/>
  <c r="Q124" i="10"/>
  <c r="M124" i="10"/>
  <c r="I124" i="10"/>
  <c r="E124" i="10"/>
  <c r="R124" i="10" s="1"/>
  <c r="P123" i="10"/>
  <c r="P126" i="10" s="1"/>
  <c r="P127" i="10" s="1"/>
  <c r="B123" i="10"/>
  <c r="Q122" i="10"/>
  <c r="P122" i="10"/>
  <c r="O122" i="10"/>
  <c r="N122" i="10"/>
  <c r="L122" i="10"/>
  <c r="K122" i="10"/>
  <c r="J122" i="10"/>
  <c r="M122" i="10" s="1"/>
  <c r="I122" i="10"/>
  <c r="R122" i="10" s="1"/>
  <c r="H122" i="10"/>
  <c r="G122" i="10"/>
  <c r="F122" i="10"/>
  <c r="D122" i="10"/>
  <c r="C122" i="10"/>
  <c r="B122" i="10"/>
  <c r="E122" i="10" s="1"/>
  <c r="Q121" i="10"/>
  <c r="P121" i="10"/>
  <c r="O121" i="10"/>
  <c r="N121" i="10"/>
  <c r="L121" i="10"/>
  <c r="K121" i="10"/>
  <c r="J121" i="10"/>
  <c r="M121" i="10" s="1"/>
  <c r="R121" i="10" s="1"/>
  <c r="I121" i="10"/>
  <c r="H121" i="10"/>
  <c r="G121" i="10"/>
  <c r="F121" i="10"/>
  <c r="D121" i="10"/>
  <c r="C121" i="10"/>
  <c r="B121" i="10"/>
  <c r="E121" i="10" s="1"/>
  <c r="Q119" i="10"/>
  <c r="M119" i="10"/>
  <c r="I119" i="10"/>
  <c r="E119" i="10"/>
  <c r="R119" i="10" s="1"/>
  <c r="Q117" i="10"/>
  <c r="M117" i="10"/>
  <c r="R117" i="10" s="1"/>
  <c r="I117" i="10"/>
  <c r="E117" i="10"/>
  <c r="Q116" i="10"/>
  <c r="M116" i="10"/>
  <c r="I116" i="10"/>
  <c r="E116" i="10"/>
  <c r="R114" i="10"/>
  <c r="Q114" i="10"/>
  <c r="M114" i="10"/>
  <c r="I114" i="10"/>
  <c r="E114" i="10"/>
  <c r="Q113" i="10"/>
  <c r="M113" i="10"/>
  <c r="I113" i="10"/>
  <c r="R113" i="10" s="1"/>
  <c r="E113" i="10"/>
  <c r="Q112" i="10"/>
  <c r="M112" i="10"/>
  <c r="I112" i="10"/>
  <c r="E112" i="10"/>
  <c r="Q111" i="10"/>
  <c r="R111" i="10" s="1"/>
  <c r="M111" i="10"/>
  <c r="I111" i="10"/>
  <c r="E111" i="10"/>
  <c r="Q110" i="10"/>
  <c r="M110" i="10"/>
  <c r="I110" i="10"/>
  <c r="E110" i="10"/>
  <c r="Q109" i="10"/>
  <c r="M109" i="10"/>
  <c r="I109" i="10"/>
  <c r="E109" i="10"/>
  <c r="R109" i="10" s="1"/>
  <c r="R108" i="10"/>
  <c r="Q108" i="10"/>
  <c r="M108" i="10"/>
  <c r="I108" i="10"/>
  <c r="E108" i="10"/>
  <c r="P105" i="10"/>
  <c r="O105" i="10"/>
  <c r="N105" i="10"/>
  <c r="Q105" i="10" s="1"/>
  <c r="M105" i="10"/>
  <c r="L105" i="10"/>
  <c r="K105" i="10"/>
  <c r="J105" i="10"/>
  <c r="H105" i="10"/>
  <c r="G105" i="10"/>
  <c r="F105" i="10"/>
  <c r="I105" i="10" s="1"/>
  <c r="E105" i="10"/>
  <c r="R105" i="10" s="1"/>
  <c r="D105" i="10"/>
  <c r="C105" i="10"/>
  <c r="B105" i="10"/>
  <c r="Q104" i="10"/>
  <c r="M104" i="10"/>
  <c r="I104" i="10"/>
  <c r="E104" i="10"/>
  <c r="R104" i="10" s="1"/>
  <c r="Q103" i="10"/>
  <c r="M103" i="10"/>
  <c r="I103" i="10"/>
  <c r="E103" i="10"/>
  <c r="R103" i="10" s="1"/>
  <c r="Q102" i="10"/>
  <c r="M102" i="10"/>
  <c r="R102" i="10" s="1"/>
  <c r="I102" i="10"/>
  <c r="E102" i="10"/>
  <c r="Q101" i="10"/>
  <c r="M101" i="10"/>
  <c r="I101" i="10"/>
  <c r="E101" i="10"/>
  <c r="R100" i="10"/>
  <c r="Q100" i="10"/>
  <c r="M100" i="10"/>
  <c r="I100" i="10"/>
  <c r="E100" i="10"/>
  <c r="R99" i="10"/>
  <c r="Q99" i="10"/>
  <c r="M99" i="10"/>
  <c r="I99" i="10"/>
  <c r="E99" i="10"/>
  <c r="Q98" i="10"/>
  <c r="M98" i="10"/>
  <c r="I98" i="10"/>
  <c r="E98" i="10"/>
  <c r="Q94" i="10"/>
  <c r="P94" i="10"/>
  <c r="O94" i="10"/>
  <c r="N94" i="10"/>
  <c r="L94" i="10"/>
  <c r="K94" i="10"/>
  <c r="K123" i="10" s="1"/>
  <c r="K126" i="10" s="1"/>
  <c r="J94" i="10"/>
  <c r="I94" i="10"/>
  <c r="H94" i="10"/>
  <c r="G94" i="10"/>
  <c r="F94" i="10"/>
  <c r="D94" i="10"/>
  <c r="C94" i="10"/>
  <c r="C123" i="10" s="1"/>
  <c r="C126" i="10" s="1"/>
  <c r="B94" i="10"/>
  <c r="R92" i="10"/>
  <c r="Q92" i="10"/>
  <c r="M92" i="10"/>
  <c r="I92" i="10"/>
  <c r="E92" i="10"/>
  <c r="Q91" i="10"/>
  <c r="M91" i="10"/>
  <c r="I91" i="10"/>
  <c r="E91" i="10"/>
  <c r="P87" i="10"/>
  <c r="O87" i="10"/>
  <c r="N87" i="10"/>
  <c r="L87" i="10"/>
  <c r="K87" i="10"/>
  <c r="J87" i="10"/>
  <c r="G87" i="10"/>
  <c r="G123" i="10" s="1"/>
  <c r="G126" i="10" s="1"/>
  <c r="G127" i="10" s="1"/>
  <c r="F87" i="10"/>
  <c r="D87" i="10"/>
  <c r="C87" i="10"/>
  <c r="B87" i="10"/>
  <c r="Q85" i="10"/>
  <c r="M85" i="10"/>
  <c r="I85" i="10"/>
  <c r="H85" i="10"/>
  <c r="E85" i="10"/>
  <c r="Q84" i="10"/>
  <c r="M84" i="10"/>
  <c r="I84" i="10"/>
  <c r="E84" i="10"/>
  <c r="R84" i="10" s="1"/>
  <c r="R82" i="10"/>
  <c r="Q82" i="10"/>
  <c r="M82" i="10"/>
  <c r="I82" i="10"/>
  <c r="E82" i="10"/>
  <c r="Q81" i="10"/>
  <c r="M81" i="10"/>
  <c r="I81" i="10"/>
  <c r="E81" i="10"/>
  <c r="Q79" i="10"/>
  <c r="M79" i="10"/>
  <c r="I79" i="10"/>
  <c r="E79" i="10"/>
  <c r="R79" i="10" s="1"/>
  <c r="Q78" i="10"/>
  <c r="R78" i="10" s="1"/>
  <c r="M78" i="10"/>
  <c r="I78" i="10"/>
  <c r="E78" i="10"/>
  <c r="Q77" i="10"/>
  <c r="M77" i="10"/>
  <c r="I77" i="10"/>
  <c r="E77" i="10"/>
  <c r="R77" i="10" s="1"/>
  <c r="R76" i="10"/>
  <c r="Q76" i="10"/>
  <c r="M76" i="10"/>
  <c r="I76" i="10"/>
  <c r="E76" i="10"/>
  <c r="Q75" i="10"/>
  <c r="M75" i="10"/>
  <c r="I75" i="10"/>
  <c r="E75" i="10"/>
  <c r="Q74" i="10"/>
  <c r="M74" i="10"/>
  <c r="I74" i="10"/>
  <c r="E74" i="10"/>
  <c r="R74" i="10" s="1"/>
  <c r="Q73" i="10"/>
  <c r="R73" i="10" s="1"/>
  <c r="M73" i="10"/>
  <c r="I73" i="10"/>
  <c r="E73" i="10"/>
  <c r="R61" i="10"/>
  <c r="Q61" i="10"/>
  <c r="M61" i="10"/>
  <c r="I61" i="10"/>
  <c r="E61" i="10"/>
  <c r="H60" i="10"/>
  <c r="H63" i="10" s="1"/>
  <c r="P59" i="10"/>
  <c r="O59" i="10"/>
  <c r="N59" i="10"/>
  <c r="L59" i="10"/>
  <c r="K59" i="10"/>
  <c r="J59" i="10"/>
  <c r="M59" i="10" s="1"/>
  <c r="H59" i="10"/>
  <c r="G59" i="10"/>
  <c r="F59" i="10"/>
  <c r="I59" i="10" s="1"/>
  <c r="D59" i="10"/>
  <c r="C59" i="10"/>
  <c r="B59" i="10"/>
  <c r="E59" i="10" s="1"/>
  <c r="P58" i="10"/>
  <c r="O58" i="10"/>
  <c r="Q58" i="10" s="1"/>
  <c r="N58" i="10"/>
  <c r="L58" i="10"/>
  <c r="K58" i="10"/>
  <c r="J58" i="10"/>
  <c r="M58" i="10" s="1"/>
  <c r="H58" i="10"/>
  <c r="G58" i="10"/>
  <c r="I58" i="10" s="1"/>
  <c r="F58" i="10"/>
  <c r="D58" i="10"/>
  <c r="C58" i="10"/>
  <c r="B58" i="10"/>
  <c r="E58" i="10" s="1"/>
  <c r="R55" i="10"/>
  <c r="Q55" i="10"/>
  <c r="M55" i="10"/>
  <c r="I55" i="10"/>
  <c r="E55" i="10"/>
  <c r="P51" i="10"/>
  <c r="O51" i="10"/>
  <c r="N51" i="10"/>
  <c r="M51" i="10"/>
  <c r="L51" i="10"/>
  <c r="K51" i="10"/>
  <c r="J51" i="10"/>
  <c r="H51" i="10"/>
  <c r="G51" i="10"/>
  <c r="F51" i="10"/>
  <c r="E51" i="10"/>
  <c r="D51" i="10"/>
  <c r="C51" i="10"/>
  <c r="B51" i="10"/>
  <c r="P47" i="10"/>
  <c r="O47" i="10"/>
  <c r="N47" i="10"/>
  <c r="Q47" i="10" s="1"/>
  <c r="L47" i="10"/>
  <c r="K47" i="10"/>
  <c r="J47" i="10"/>
  <c r="M47" i="10" s="1"/>
  <c r="H47" i="10"/>
  <c r="G47" i="10"/>
  <c r="F47" i="10"/>
  <c r="D47" i="10"/>
  <c r="C47" i="10"/>
  <c r="B47" i="10"/>
  <c r="E47" i="10" s="1"/>
  <c r="P42" i="10"/>
  <c r="O42" i="10"/>
  <c r="Q42" i="10" s="1"/>
  <c r="N42" i="10"/>
  <c r="L42" i="10"/>
  <c r="L60" i="10" s="1"/>
  <c r="L63" i="10" s="1"/>
  <c r="K42" i="10"/>
  <c r="K60" i="10" s="1"/>
  <c r="K63" i="10" s="1"/>
  <c r="K64" i="10" s="1"/>
  <c r="J42" i="10"/>
  <c r="H42" i="10"/>
  <c r="G42" i="10"/>
  <c r="F42" i="10"/>
  <c r="D42" i="10"/>
  <c r="D60" i="10" s="1"/>
  <c r="D63" i="10" s="1"/>
  <c r="D64" i="10" s="1"/>
  <c r="C42" i="10"/>
  <c r="C60" i="10" s="1"/>
  <c r="C63" i="10" s="1"/>
  <c r="B42" i="10"/>
  <c r="R39" i="10"/>
  <c r="Q39" i="10"/>
  <c r="M39" i="10"/>
  <c r="I39" i="10"/>
  <c r="E39" i="10"/>
  <c r="K29" i="10"/>
  <c r="J29" i="10"/>
  <c r="H29" i="10"/>
  <c r="D29" i="10"/>
  <c r="P28" i="10"/>
  <c r="O28" i="10"/>
  <c r="N28" i="10"/>
  <c r="M28" i="10"/>
  <c r="L28" i="10"/>
  <c r="L29" i="10" s="1"/>
  <c r="K28" i="10"/>
  <c r="J28" i="10"/>
  <c r="H28" i="10"/>
  <c r="G28" i="10"/>
  <c r="F28" i="10"/>
  <c r="E28" i="10"/>
  <c r="D28" i="10"/>
  <c r="C28" i="10"/>
  <c r="C29" i="10" s="1"/>
  <c r="B28" i="10"/>
  <c r="B29" i="10" s="1"/>
  <c r="Q26" i="10"/>
  <c r="M26" i="10"/>
  <c r="I26" i="10"/>
  <c r="R26" i="10" s="1"/>
  <c r="E26" i="10"/>
  <c r="Q21" i="10"/>
  <c r="M21" i="10"/>
  <c r="I21" i="10"/>
  <c r="E21" i="10"/>
  <c r="R21" i="10" s="1"/>
  <c r="R19" i="10"/>
  <c r="P19" i="10"/>
  <c r="O19" i="10"/>
  <c r="N19" i="10"/>
  <c r="Q19" i="10" s="1"/>
  <c r="L19" i="10"/>
  <c r="K19" i="10"/>
  <c r="J19" i="10"/>
  <c r="M19" i="10" s="1"/>
  <c r="H19" i="10"/>
  <c r="G19" i="10"/>
  <c r="F19" i="10"/>
  <c r="I19" i="10" s="1"/>
  <c r="D19" i="10"/>
  <c r="C19" i="10"/>
  <c r="B19" i="10"/>
  <c r="E19" i="10" s="1"/>
  <c r="P18" i="10"/>
  <c r="O18" i="10"/>
  <c r="N18" i="10"/>
  <c r="Q18" i="10" s="1"/>
  <c r="M18" i="10"/>
  <c r="L18" i="10"/>
  <c r="K18" i="10"/>
  <c r="J18" i="10"/>
  <c r="H18" i="10"/>
  <c r="G18" i="10"/>
  <c r="F18" i="10"/>
  <c r="I18" i="10" s="1"/>
  <c r="E18" i="10"/>
  <c r="D18" i="10"/>
  <c r="C18" i="10"/>
  <c r="B18" i="10"/>
  <c r="P17" i="10"/>
  <c r="O17" i="10"/>
  <c r="N17" i="10"/>
  <c r="Q17" i="10" s="1"/>
  <c r="M17" i="10"/>
  <c r="L17" i="10"/>
  <c r="K17" i="10"/>
  <c r="J17" i="10"/>
  <c r="H17" i="10"/>
  <c r="G17" i="10"/>
  <c r="F17" i="10"/>
  <c r="I17" i="10" s="1"/>
  <c r="D17" i="10"/>
  <c r="E17" i="10" s="1"/>
  <c r="R17" i="10" s="1"/>
  <c r="C17" i="10"/>
  <c r="B17" i="10"/>
  <c r="P16" i="10"/>
  <c r="O16" i="10"/>
  <c r="N16" i="10"/>
  <c r="K16" i="10"/>
  <c r="J16" i="10"/>
  <c r="H16" i="10"/>
  <c r="G16" i="10"/>
  <c r="F16" i="10"/>
  <c r="C16" i="10"/>
  <c r="B16" i="10"/>
  <c r="P15" i="10"/>
  <c r="O15" i="10"/>
  <c r="N15" i="10"/>
  <c r="L15" i="10"/>
  <c r="K15" i="10"/>
  <c r="J15" i="10"/>
  <c r="M15" i="10" s="1"/>
  <c r="H15" i="10"/>
  <c r="G15" i="10"/>
  <c r="F15" i="10"/>
  <c r="D15" i="10"/>
  <c r="C15" i="10"/>
  <c r="B15" i="10"/>
  <c r="E15" i="10" s="1"/>
  <c r="R1" i="10"/>
  <c r="O1028" i="9"/>
  <c r="K1028" i="9"/>
  <c r="Q1025" i="9"/>
  <c r="M1025" i="9"/>
  <c r="G1025" i="9"/>
  <c r="I1025" i="9" s="1"/>
  <c r="Q1024" i="9"/>
  <c r="M1024" i="9"/>
  <c r="G1024" i="9"/>
  <c r="I1024" i="9" s="1"/>
  <c r="Q1023" i="9"/>
  <c r="R1025" i="9" s="1"/>
  <c r="M1023" i="9"/>
  <c r="I1023" i="9"/>
  <c r="J1025" i="9" s="1"/>
  <c r="G1023" i="9"/>
  <c r="Q1022" i="9"/>
  <c r="M1022" i="9"/>
  <c r="G1022" i="9"/>
  <c r="I1022" i="9" s="1"/>
  <c r="Q1021" i="9"/>
  <c r="M1021" i="9"/>
  <c r="I1021" i="9"/>
  <c r="G1021" i="9"/>
  <c r="Q1020" i="9"/>
  <c r="R1022" i="9" s="1"/>
  <c r="M1020" i="9"/>
  <c r="N1022" i="9" s="1"/>
  <c r="I1020" i="9"/>
  <c r="J1022" i="9" s="1"/>
  <c r="G1020" i="9"/>
  <c r="Q1019" i="9"/>
  <c r="M1019" i="9"/>
  <c r="I1019" i="9"/>
  <c r="G1019" i="9"/>
  <c r="Q1018" i="9"/>
  <c r="M1018" i="9"/>
  <c r="I1018" i="9"/>
  <c r="G1018" i="9"/>
  <c r="Q1017" i="9"/>
  <c r="M1017" i="9"/>
  <c r="G1017" i="9"/>
  <c r="I1017" i="9" s="1"/>
  <c r="J1019" i="9" s="1"/>
  <c r="Q1016" i="9"/>
  <c r="M1016" i="9"/>
  <c r="G1016" i="9"/>
  <c r="I1016" i="9" s="1"/>
  <c r="Q1015" i="9"/>
  <c r="M1015" i="9"/>
  <c r="I1015" i="9"/>
  <c r="G1015" i="9"/>
  <c r="G1028" i="9" s="1"/>
  <c r="Q1014" i="9"/>
  <c r="R1016" i="9" s="1"/>
  <c r="M1014" i="9"/>
  <c r="I1014" i="9"/>
  <c r="I1028" i="9" s="1"/>
  <c r="G1008" i="9"/>
  <c r="O1007" i="9"/>
  <c r="K1007" i="9"/>
  <c r="C1007" i="9"/>
  <c r="I1004" i="9"/>
  <c r="J1001" i="9"/>
  <c r="Q1000" i="9"/>
  <c r="M976" i="9"/>
  <c r="L976" i="9" s="1"/>
  <c r="H976" i="9"/>
  <c r="G976" i="9"/>
  <c r="E976" i="9" s="1"/>
  <c r="B949" i="9" s="1"/>
  <c r="M975" i="9"/>
  <c r="L975" i="9" s="1"/>
  <c r="H975" i="9"/>
  <c r="G975" i="9"/>
  <c r="E975" i="9" s="1"/>
  <c r="F975" i="9"/>
  <c r="C948" i="9" s="1"/>
  <c r="M974" i="9"/>
  <c r="L974" i="9" s="1"/>
  <c r="H974" i="9"/>
  <c r="G974" i="9"/>
  <c r="I974" i="9" s="1"/>
  <c r="F974" i="9"/>
  <c r="C947" i="9" s="1"/>
  <c r="M973" i="9"/>
  <c r="L973" i="9" s="1"/>
  <c r="H973" i="9"/>
  <c r="F973" i="9" s="1"/>
  <c r="C946" i="9" s="1"/>
  <c r="G973" i="9"/>
  <c r="E973" i="9" s="1"/>
  <c r="B946" i="9" s="1"/>
  <c r="M972" i="9"/>
  <c r="L972" i="9" s="1"/>
  <c r="H972" i="9"/>
  <c r="G972" i="9"/>
  <c r="E972" i="9"/>
  <c r="B945" i="9" s="1"/>
  <c r="M971" i="9"/>
  <c r="L971" i="9" s="1"/>
  <c r="H971" i="9"/>
  <c r="G971" i="9"/>
  <c r="E971" i="9"/>
  <c r="B944" i="9" s="1"/>
  <c r="M970" i="9"/>
  <c r="L970" i="9" s="1"/>
  <c r="H970" i="9"/>
  <c r="G970" i="9"/>
  <c r="E970" i="9" s="1"/>
  <c r="B943" i="9" s="1"/>
  <c r="M969" i="9"/>
  <c r="L969" i="9"/>
  <c r="H969" i="9"/>
  <c r="I969" i="9" s="1"/>
  <c r="G969" i="9"/>
  <c r="F969" i="9"/>
  <c r="E969" i="9"/>
  <c r="B942" i="9" s="1"/>
  <c r="M968" i="9"/>
  <c r="L968" i="9" s="1"/>
  <c r="H968" i="9"/>
  <c r="F968" i="9" s="1"/>
  <c r="C941" i="9" s="1"/>
  <c r="G968" i="9"/>
  <c r="E968" i="9" s="1"/>
  <c r="B941" i="9" s="1"/>
  <c r="M967" i="9"/>
  <c r="L967" i="9" s="1"/>
  <c r="H967" i="9"/>
  <c r="G967" i="9"/>
  <c r="E967" i="9" s="1"/>
  <c r="B940" i="9" s="1"/>
  <c r="M966" i="9"/>
  <c r="L966" i="9" s="1"/>
  <c r="H966" i="9"/>
  <c r="F966" i="9" s="1"/>
  <c r="C939" i="9" s="1"/>
  <c r="G966" i="9"/>
  <c r="M965" i="9"/>
  <c r="L965" i="9" s="1"/>
  <c r="H965" i="9"/>
  <c r="G965" i="9"/>
  <c r="E965" i="9" s="1"/>
  <c r="B938" i="9" s="1"/>
  <c r="B959" i="9"/>
  <c r="B956" i="9"/>
  <c r="Q955" i="9"/>
  <c r="B948" i="9"/>
  <c r="C942" i="9"/>
  <c r="B934" i="9"/>
  <c r="B931" i="9"/>
  <c r="Q930" i="9"/>
  <c r="N899" i="9"/>
  <c r="M899" i="9"/>
  <c r="L899" i="9"/>
  <c r="K899" i="9"/>
  <c r="I899" i="9"/>
  <c r="H899" i="9"/>
  <c r="O898" i="9"/>
  <c r="O897" i="9"/>
  <c r="I897" i="9"/>
  <c r="H897" i="9"/>
  <c r="O896" i="9"/>
  <c r="I896" i="9"/>
  <c r="H896" i="9"/>
  <c r="J896" i="9" s="1"/>
  <c r="O895" i="9"/>
  <c r="I895" i="9"/>
  <c r="H895" i="9"/>
  <c r="O894" i="9"/>
  <c r="I894" i="9"/>
  <c r="H894" i="9"/>
  <c r="O893" i="9"/>
  <c r="J893" i="9"/>
  <c r="I893" i="9"/>
  <c r="H893" i="9"/>
  <c r="O892" i="9"/>
  <c r="I892" i="9"/>
  <c r="H892" i="9"/>
  <c r="O891" i="9"/>
  <c r="J891" i="9"/>
  <c r="I891" i="9"/>
  <c r="H891" i="9"/>
  <c r="O890" i="9"/>
  <c r="I890" i="9"/>
  <c r="H890" i="9"/>
  <c r="O889" i="9"/>
  <c r="I889" i="9"/>
  <c r="H889" i="9"/>
  <c r="O888" i="9"/>
  <c r="I888" i="9"/>
  <c r="H888" i="9"/>
  <c r="O887" i="9"/>
  <c r="I887" i="9"/>
  <c r="H887" i="9"/>
  <c r="O886" i="9"/>
  <c r="I886" i="9"/>
  <c r="H886" i="9"/>
  <c r="J886" i="9" s="1"/>
  <c r="B878" i="9"/>
  <c r="B877" i="9"/>
  <c r="Q876" i="9"/>
  <c r="Q856" i="9"/>
  <c r="P856" i="9"/>
  <c r="O856" i="9"/>
  <c r="N856" i="9"/>
  <c r="M856" i="9"/>
  <c r="L856" i="9"/>
  <c r="K856" i="9"/>
  <c r="J856" i="9"/>
  <c r="I856" i="9"/>
  <c r="H856" i="9"/>
  <c r="E856" i="9"/>
  <c r="D856" i="9"/>
  <c r="C856" i="9"/>
  <c r="B856" i="9"/>
  <c r="B851" i="9"/>
  <c r="AG849" i="9"/>
  <c r="B848" i="9"/>
  <c r="Q847" i="9"/>
  <c r="AG846" i="9"/>
  <c r="AS838" i="9"/>
  <c r="AR836" i="9"/>
  <c r="AQ836" i="9"/>
  <c r="AP836" i="9"/>
  <c r="AO836" i="9"/>
  <c r="AG836" i="9"/>
  <c r="AF836" i="9"/>
  <c r="AE836" i="9"/>
  <c r="AD836" i="9"/>
  <c r="AR831" i="9"/>
  <c r="AG831" i="9"/>
  <c r="Q830" i="9"/>
  <c r="P830" i="9"/>
  <c r="O830" i="9"/>
  <c r="N830" i="9"/>
  <c r="M830" i="9"/>
  <c r="L830" i="9"/>
  <c r="K830" i="9"/>
  <c r="J830" i="9"/>
  <c r="I830" i="9"/>
  <c r="H830" i="9"/>
  <c r="E830" i="9"/>
  <c r="D830" i="9"/>
  <c r="C830" i="9"/>
  <c r="B830" i="9"/>
  <c r="AS828" i="9"/>
  <c r="AH828" i="9"/>
  <c r="AS826" i="9"/>
  <c r="B825" i="9"/>
  <c r="B822" i="9"/>
  <c r="Q821" i="9"/>
  <c r="T814" i="9"/>
  <c r="AE814" i="9" s="1"/>
  <c r="G814" i="9"/>
  <c r="G897" i="9" s="1"/>
  <c r="F814" i="9"/>
  <c r="AS849" i="9" s="1"/>
  <c r="T813" i="9"/>
  <c r="AE813" i="9" s="1"/>
  <c r="G813" i="9"/>
  <c r="F813" i="9"/>
  <c r="AD813" i="9" s="1"/>
  <c r="T812" i="9"/>
  <c r="AE812" i="9" s="1"/>
  <c r="G812" i="9"/>
  <c r="F812" i="9"/>
  <c r="T811" i="9"/>
  <c r="F866" i="9" s="1"/>
  <c r="G811" i="9"/>
  <c r="F811" i="9"/>
  <c r="AD811" i="9" s="1"/>
  <c r="AE810" i="9"/>
  <c r="T810" i="9"/>
  <c r="G810" i="9"/>
  <c r="F810" i="9"/>
  <c r="AE809" i="9"/>
  <c r="T809" i="9"/>
  <c r="G809" i="9"/>
  <c r="G892" i="9" s="1"/>
  <c r="F809" i="9"/>
  <c r="AD809" i="9" s="1"/>
  <c r="T808" i="9"/>
  <c r="AE808" i="9" s="1"/>
  <c r="G808" i="9"/>
  <c r="F808" i="9"/>
  <c r="T807" i="9"/>
  <c r="AE807" i="9" s="1"/>
  <c r="G807" i="9"/>
  <c r="F807" i="9"/>
  <c r="AE806" i="9"/>
  <c r="T806" i="9"/>
  <c r="G806" i="9"/>
  <c r="F806" i="9"/>
  <c r="T805" i="9"/>
  <c r="AE805" i="9" s="1"/>
  <c r="G805" i="9"/>
  <c r="F805" i="9"/>
  <c r="AE804" i="9"/>
  <c r="T804" i="9"/>
  <c r="G804" i="9"/>
  <c r="F804" i="9"/>
  <c r="T803" i="9"/>
  <c r="G803" i="9"/>
  <c r="F803" i="9"/>
  <c r="B796" i="9"/>
  <c r="AF795" i="9"/>
  <c r="AS794" i="9"/>
  <c r="AN794" i="9"/>
  <c r="B793" i="9"/>
  <c r="Q792" i="9"/>
  <c r="N782" i="9"/>
  <c r="A774" i="9"/>
  <c r="A772" i="9"/>
  <c r="Q768" i="9"/>
  <c r="N764" i="9"/>
  <c r="F763" i="9"/>
  <c r="P762" i="9"/>
  <c r="O762" i="9"/>
  <c r="N762" i="9"/>
  <c r="L762" i="9"/>
  <c r="K762" i="9"/>
  <c r="J762" i="9"/>
  <c r="H762" i="9"/>
  <c r="G762" i="9"/>
  <c r="F762" i="9"/>
  <c r="D762" i="9"/>
  <c r="C762" i="9"/>
  <c r="B762" i="9"/>
  <c r="E762" i="9" s="1"/>
  <c r="P761" i="9"/>
  <c r="O761" i="9"/>
  <c r="N761" i="9"/>
  <c r="L761" i="9"/>
  <c r="K761" i="9"/>
  <c r="J761" i="9"/>
  <c r="H761" i="9"/>
  <c r="G761" i="9"/>
  <c r="F761" i="9"/>
  <c r="D761" i="9"/>
  <c r="C761" i="9"/>
  <c r="B761" i="9"/>
  <c r="P760" i="9"/>
  <c r="O760" i="9"/>
  <c r="N760" i="9"/>
  <c r="Q760" i="9" s="1"/>
  <c r="L760" i="9"/>
  <c r="K760" i="9"/>
  <c r="K763" i="9" s="1"/>
  <c r="J760" i="9"/>
  <c r="H760" i="9"/>
  <c r="G760" i="9"/>
  <c r="F760" i="9"/>
  <c r="D760" i="9"/>
  <c r="D763" i="9" s="1"/>
  <c r="C760" i="9"/>
  <c r="B760" i="9"/>
  <c r="P759" i="9"/>
  <c r="O759" i="9"/>
  <c r="N759" i="9"/>
  <c r="Q759" i="9" s="1"/>
  <c r="L759" i="9"/>
  <c r="K759" i="9"/>
  <c r="J759" i="9"/>
  <c r="H759" i="9"/>
  <c r="G759" i="9"/>
  <c r="F759" i="9"/>
  <c r="I759" i="9" s="1"/>
  <c r="D759" i="9"/>
  <c r="C759" i="9"/>
  <c r="B759" i="9"/>
  <c r="E759" i="9" s="1"/>
  <c r="P758" i="9"/>
  <c r="O758" i="9"/>
  <c r="N758" i="9"/>
  <c r="L758" i="9"/>
  <c r="K758" i="9"/>
  <c r="J758" i="9"/>
  <c r="H758" i="9"/>
  <c r="G758" i="9"/>
  <c r="F758" i="9"/>
  <c r="D758" i="9"/>
  <c r="C758" i="9"/>
  <c r="B758" i="9"/>
  <c r="P757" i="9"/>
  <c r="O757" i="9"/>
  <c r="N757" i="9"/>
  <c r="M757" i="9"/>
  <c r="L757" i="9"/>
  <c r="L764" i="9" s="1"/>
  <c r="L786" i="9" s="1"/>
  <c r="K757" i="9"/>
  <c r="J757" i="9"/>
  <c r="H757" i="9"/>
  <c r="G757" i="9"/>
  <c r="F757" i="9"/>
  <c r="D757" i="9"/>
  <c r="D764" i="9" s="1"/>
  <c r="D786" i="9" s="1"/>
  <c r="C757" i="9"/>
  <c r="B757" i="9"/>
  <c r="P754" i="9"/>
  <c r="O754" i="9"/>
  <c r="N754" i="9"/>
  <c r="L754" i="9"/>
  <c r="K754" i="9"/>
  <c r="J754" i="9"/>
  <c r="H754" i="9"/>
  <c r="G754" i="9"/>
  <c r="F754" i="9"/>
  <c r="D754" i="9"/>
  <c r="C754" i="9"/>
  <c r="B754" i="9"/>
  <c r="P753" i="9"/>
  <c r="P755" i="9" s="1"/>
  <c r="P784" i="9" s="1"/>
  <c r="O753" i="9"/>
  <c r="N753" i="9"/>
  <c r="L753" i="9"/>
  <c r="L755" i="9" s="1"/>
  <c r="L784" i="9" s="1"/>
  <c r="K753" i="9"/>
  <c r="K755" i="9" s="1"/>
  <c r="K784" i="9" s="1"/>
  <c r="J753" i="9"/>
  <c r="H753" i="9"/>
  <c r="G753" i="9"/>
  <c r="F753" i="9"/>
  <c r="F755" i="9" s="1"/>
  <c r="F784" i="9" s="1"/>
  <c r="D753" i="9"/>
  <c r="D755" i="9" s="1"/>
  <c r="D784" i="9" s="1"/>
  <c r="C753" i="9"/>
  <c r="C755" i="9" s="1"/>
  <c r="C784" i="9" s="1"/>
  <c r="B753" i="9"/>
  <c r="E753" i="9" s="1"/>
  <c r="P750" i="9"/>
  <c r="P751" i="9" s="1"/>
  <c r="P782" i="9" s="1"/>
  <c r="O750" i="9"/>
  <c r="N750" i="9"/>
  <c r="L750" i="9"/>
  <c r="K750" i="9"/>
  <c r="J750" i="9"/>
  <c r="H750" i="9"/>
  <c r="G750" i="9"/>
  <c r="F750" i="9"/>
  <c r="I750" i="9" s="1"/>
  <c r="D750" i="9"/>
  <c r="C750" i="9"/>
  <c r="B750" i="9"/>
  <c r="P749" i="9"/>
  <c r="O749" i="9"/>
  <c r="N749" i="9"/>
  <c r="Q749" i="9" s="1"/>
  <c r="L749" i="9"/>
  <c r="K749" i="9"/>
  <c r="J749" i="9"/>
  <c r="H749" i="9"/>
  <c r="G749" i="9"/>
  <c r="F749" i="9"/>
  <c r="D749" i="9"/>
  <c r="C749" i="9"/>
  <c r="B749" i="9"/>
  <c r="P748" i="9"/>
  <c r="O748" i="9"/>
  <c r="O751" i="9" s="1"/>
  <c r="O782" i="9" s="1"/>
  <c r="N748" i="9"/>
  <c r="N751" i="9" s="1"/>
  <c r="L748" i="9"/>
  <c r="K748" i="9"/>
  <c r="J748" i="9"/>
  <c r="J751" i="9" s="1"/>
  <c r="H748" i="9"/>
  <c r="H751" i="9" s="1"/>
  <c r="H782" i="9" s="1"/>
  <c r="G748" i="9"/>
  <c r="G751" i="9" s="1"/>
  <c r="G782" i="9" s="1"/>
  <c r="F748" i="9"/>
  <c r="F751" i="9" s="1"/>
  <c r="F782" i="9" s="1"/>
  <c r="D748" i="9"/>
  <c r="C748" i="9"/>
  <c r="B748" i="9"/>
  <c r="E748" i="9" s="1"/>
  <c r="P745" i="9"/>
  <c r="O745" i="9"/>
  <c r="N745" i="9"/>
  <c r="L745" i="9"/>
  <c r="K745" i="9"/>
  <c r="J745" i="9"/>
  <c r="M745" i="9" s="1"/>
  <c r="H745" i="9"/>
  <c r="G745" i="9"/>
  <c r="F745" i="9"/>
  <c r="D745" i="9"/>
  <c r="C745" i="9"/>
  <c r="B745" i="9"/>
  <c r="N744" i="9"/>
  <c r="Q744" i="9" s="1"/>
  <c r="L744" i="9"/>
  <c r="K744" i="9"/>
  <c r="J744" i="9"/>
  <c r="M744" i="9" s="1"/>
  <c r="H744" i="9"/>
  <c r="G744" i="9"/>
  <c r="F744" i="9"/>
  <c r="E744" i="9"/>
  <c r="D744" i="9"/>
  <c r="C744" i="9"/>
  <c r="B744" i="9"/>
  <c r="P743" i="9"/>
  <c r="O743" i="9"/>
  <c r="N743" i="9"/>
  <c r="L743" i="9"/>
  <c r="K743" i="9"/>
  <c r="J743" i="9"/>
  <c r="H743" i="9"/>
  <c r="G743" i="9"/>
  <c r="F743" i="9"/>
  <c r="I743" i="9" s="1"/>
  <c r="D743" i="9"/>
  <c r="C743" i="9"/>
  <c r="B743" i="9"/>
  <c r="Q742" i="9"/>
  <c r="P742" i="9"/>
  <c r="O742" i="9"/>
  <c r="N742" i="9"/>
  <c r="L742" i="9"/>
  <c r="K742" i="9"/>
  <c r="J742" i="9"/>
  <c r="H742" i="9"/>
  <c r="G742" i="9"/>
  <c r="F742" i="9"/>
  <c r="I742" i="9" s="1"/>
  <c r="D742" i="9"/>
  <c r="C742" i="9"/>
  <c r="B742" i="9"/>
  <c r="P741" i="9"/>
  <c r="O741" i="9"/>
  <c r="N741" i="9"/>
  <c r="L741" i="9"/>
  <c r="K741" i="9"/>
  <c r="J741" i="9"/>
  <c r="H741" i="9"/>
  <c r="I741" i="9" s="1"/>
  <c r="G741" i="9"/>
  <c r="F741" i="9"/>
  <c r="D741" i="9"/>
  <c r="C741" i="9"/>
  <c r="B741" i="9"/>
  <c r="P740" i="9"/>
  <c r="O740" i="9"/>
  <c r="N740" i="9"/>
  <c r="Q740" i="9" s="1"/>
  <c r="L740" i="9"/>
  <c r="K740" i="9"/>
  <c r="H740" i="9"/>
  <c r="D740" i="9"/>
  <c r="C740" i="9"/>
  <c r="B740" i="9"/>
  <c r="A733" i="9"/>
  <c r="A731" i="9"/>
  <c r="Q727" i="9"/>
  <c r="Q720" i="9"/>
  <c r="M720" i="9"/>
  <c r="I720" i="9"/>
  <c r="E720" i="9"/>
  <c r="P718" i="9"/>
  <c r="O718" i="9"/>
  <c r="N718" i="9"/>
  <c r="Q718" i="9" s="1"/>
  <c r="L718" i="9"/>
  <c r="K718" i="9"/>
  <c r="J718" i="9"/>
  <c r="M718" i="9" s="1"/>
  <c r="H718" i="9"/>
  <c r="G718" i="9"/>
  <c r="F718" i="9"/>
  <c r="E718" i="9"/>
  <c r="D718" i="9"/>
  <c r="C718" i="9"/>
  <c r="B718" i="9"/>
  <c r="P717" i="9"/>
  <c r="O717" i="9"/>
  <c r="N717" i="9"/>
  <c r="L717" i="9"/>
  <c r="K717" i="9"/>
  <c r="J717" i="9"/>
  <c r="H717" i="9"/>
  <c r="G717" i="9"/>
  <c r="F717" i="9"/>
  <c r="D717" i="9"/>
  <c r="C717" i="9"/>
  <c r="B717" i="9"/>
  <c r="Q714" i="9"/>
  <c r="M714" i="9"/>
  <c r="I714" i="9"/>
  <c r="E714" i="9"/>
  <c r="R714" i="9" s="1"/>
  <c r="Q713" i="9"/>
  <c r="M713" i="9"/>
  <c r="I713" i="9"/>
  <c r="E713" i="9"/>
  <c r="Q711" i="9"/>
  <c r="M711" i="9"/>
  <c r="I711" i="9"/>
  <c r="E711" i="9"/>
  <c r="R711" i="9" s="1"/>
  <c r="Q710" i="9"/>
  <c r="M710" i="9"/>
  <c r="I710" i="9"/>
  <c r="E710" i="9"/>
  <c r="P707" i="9"/>
  <c r="O707" i="9"/>
  <c r="N707" i="9"/>
  <c r="Q707" i="9" s="1"/>
  <c r="L707" i="9"/>
  <c r="M707" i="9" s="1"/>
  <c r="K707" i="9"/>
  <c r="J707" i="9"/>
  <c r="H707" i="9"/>
  <c r="G707" i="9"/>
  <c r="F707" i="9"/>
  <c r="D707" i="9"/>
  <c r="C707" i="9"/>
  <c r="B707" i="9"/>
  <c r="Q706" i="9"/>
  <c r="M706" i="9"/>
  <c r="I706" i="9"/>
  <c r="E706" i="9"/>
  <c r="Q705" i="9"/>
  <c r="M705" i="9"/>
  <c r="I705" i="9"/>
  <c r="E705" i="9"/>
  <c r="Q704" i="9"/>
  <c r="M704" i="9"/>
  <c r="I704" i="9"/>
  <c r="E704" i="9"/>
  <c r="Q702" i="9"/>
  <c r="M702" i="9"/>
  <c r="I702" i="9"/>
  <c r="E702" i="9"/>
  <c r="Q701" i="9"/>
  <c r="M701" i="9"/>
  <c r="I701" i="9"/>
  <c r="E701" i="9"/>
  <c r="P698" i="9"/>
  <c r="P719" i="9" s="1"/>
  <c r="P722" i="9" s="1"/>
  <c r="O698" i="9"/>
  <c r="N698" i="9"/>
  <c r="L698" i="9"/>
  <c r="K698" i="9"/>
  <c r="M698" i="9" s="1"/>
  <c r="J698" i="9"/>
  <c r="H698" i="9"/>
  <c r="G698" i="9"/>
  <c r="F698" i="9"/>
  <c r="D698" i="9"/>
  <c r="C698" i="9"/>
  <c r="B698" i="9"/>
  <c r="E698" i="9" s="1"/>
  <c r="Q696" i="9"/>
  <c r="M696" i="9"/>
  <c r="I696" i="9"/>
  <c r="R696" i="9" s="1"/>
  <c r="E696" i="9"/>
  <c r="P693" i="9"/>
  <c r="O693" i="9"/>
  <c r="N693" i="9"/>
  <c r="Q693" i="9" s="1"/>
  <c r="L693" i="9"/>
  <c r="K693" i="9"/>
  <c r="J693" i="9"/>
  <c r="H693" i="9"/>
  <c r="G693" i="9"/>
  <c r="F693" i="9"/>
  <c r="E693" i="9"/>
  <c r="D693" i="9"/>
  <c r="C693" i="9"/>
  <c r="B693" i="9"/>
  <c r="Q691" i="9"/>
  <c r="M691" i="9"/>
  <c r="I691" i="9"/>
  <c r="E691" i="9"/>
  <c r="Q688" i="9"/>
  <c r="M688" i="9"/>
  <c r="I688" i="9"/>
  <c r="E688" i="9"/>
  <c r="R688" i="9" s="1"/>
  <c r="Q687" i="9"/>
  <c r="M687" i="9"/>
  <c r="I687" i="9"/>
  <c r="E687" i="9"/>
  <c r="Q686" i="9"/>
  <c r="M686" i="9"/>
  <c r="I686" i="9"/>
  <c r="E686" i="9"/>
  <c r="Q674" i="9"/>
  <c r="M674" i="9"/>
  <c r="I674" i="9"/>
  <c r="E674" i="9"/>
  <c r="Q673" i="9"/>
  <c r="M673" i="9"/>
  <c r="I673" i="9"/>
  <c r="E673" i="9"/>
  <c r="R673" i="9" s="1"/>
  <c r="P671" i="9"/>
  <c r="O671" i="9"/>
  <c r="N671" i="9"/>
  <c r="L671" i="9"/>
  <c r="K671" i="9"/>
  <c r="J671" i="9"/>
  <c r="H671" i="9"/>
  <c r="G671" i="9"/>
  <c r="F671" i="9"/>
  <c r="I671" i="9" s="1"/>
  <c r="D671" i="9"/>
  <c r="C671" i="9"/>
  <c r="B671" i="9"/>
  <c r="E671" i="9" s="1"/>
  <c r="P670" i="9"/>
  <c r="O670" i="9"/>
  <c r="N670" i="9"/>
  <c r="Q670" i="9" s="1"/>
  <c r="L670" i="9"/>
  <c r="K670" i="9"/>
  <c r="J670" i="9"/>
  <c r="H670" i="9"/>
  <c r="I670" i="9" s="1"/>
  <c r="G670" i="9"/>
  <c r="F670" i="9"/>
  <c r="D670" i="9"/>
  <c r="C670" i="9"/>
  <c r="B670" i="9"/>
  <c r="P664" i="9"/>
  <c r="O664" i="9"/>
  <c r="N664" i="9"/>
  <c r="L664" i="9"/>
  <c r="K664" i="9"/>
  <c r="J664" i="9"/>
  <c r="I664" i="9"/>
  <c r="H664" i="9"/>
  <c r="G664" i="9"/>
  <c r="F664" i="9"/>
  <c r="D664" i="9"/>
  <c r="C664" i="9"/>
  <c r="B664" i="9"/>
  <c r="P660" i="9"/>
  <c r="O660" i="9"/>
  <c r="N660" i="9"/>
  <c r="L660" i="9"/>
  <c r="K660" i="9"/>
  <c r="J660" i="9"/>
  <c r="H660" i="9"/>
  <c r="G660" i="9"/>
  <c r="F660" i="9"/>
  <c r="I660" i="9" s="1"/>
  <c r="D660" i="9"/>
  <c r="C660" i="9"/>
  <c r="B660" i="9"/>
  <c r="E660" i="9" s="1"/>
  <c r="P656" i="9"/>
  <c r="O656" i="9"/>
  <c r="N656" i="9"/>
  <c r="L656" i="9"/>
  <c r="L672" i="9" s="1"/>
  <c r="L676" i="9" s="1"/>
  <c r="K656" i="9"/>
  <c r="J656" i="9"/>
  <c r="H656" i="9"/>
  <c r="H672" i="9" s="1"/>
  <c r="H676" i="9" s="1"/>
  <c r="H678" i="9" s="1"/>
  <c r="P808" i="9" s="1"/>
  <c r="G656" i="9"/>
  <c r="G672" i="9" s="1"/>
  <c r="G676" i="9" s="1"/>
  <c r="G678" i="9" s="1"/>
  <c r="P807" i="9" s="1"/>
  <c r="F656" i="9"/>
  <c r="D656" i="9"/>
  <c r="C656" i="9"/>
  <c r="B656" i="9"/>
  <c r="Q652" i="9"/>
  <c r="M652" i="9"/>
  <c r="I652" i="9"/>
  <c r="E652" i="9"/>
  <c r="P642" i="9"/>
  <c r="O642" i="9"/>
  <c r="N642" i="9"/>
  <c r="L642" i="9"/>
  <c r="K642" i="9"/>
  <c r="J642" i="9"/>
  <c r="H642" i="9"/>
  <c r="G642" i="9"/>
  <c r="F642" i="9"/>
  <c r="I642" i="9" s="1"/>
  <c r="D642" i="9"/>
  <c r="C642" i="9"/>
  <c r="B642" i="9"/>
  <c r="Q640" i="9"/>
  <c r="M640" i="9"/>
  <c r="I640" i="9"/>
  <c r="E640" i="9"/>
  <c r="R640" i="9" s="1"/>
  <c r="Q630" i="9"/>
  <c r="M630" i="9"/>
  <c r="I630" i="9"/>
  <c r="E630" i="9"/>
  <c r="R630" i="9" s="1"/>
  <c r="G629" i="9"/>
  <c r="G632" i="9" s="1"/>
  <c r="P628" i="9"/>
  <c r="O628" i="9"/>
  <c r="N628" i="9"/>
  <c r="L628" i="9"/>
  <c r="K628" i="9"/>
  <c r="J628" i="9"/>
  <c r="M628" i="9" s="1"/>
  <c r="H628" i="9"/>
  <c r="G628" i="9"/>
  <c r="F628" i="9"/>
  <c r="D628" i="9"/>
  <c r="E628" i="9" s="1"/>
  <c r="C628" i="9"/>
  <c r="B628" i="9"/>
  <c r="Q627" i="9"/>
  <c r="P627" i="9"/>
  <c r="O627" i="9"/>
  <c r="N627" i="9"/>
  <c r="M627" i="9"/>
  <c r="L627" i="9"/>
  <c r="K627" i="9"/>
  <c r="J627" i="9"/>
  <c r="I627" i="9"/>
  <c r="H627" i="9"/>
  <c r="G627" i="9"/>
  <c r="F627" i="9"/>
  <c r="E627" i="9"/>
  <c r="D627" i="9"/>
  <c r="C627" i="9"/>
  <c r="B627" i="9"/>
  <c r="Q624" i="9"/>
  <c r="M624" i="9"/>
  <c r="I624" i="9"/>
  <c r="E624" i="9"/>
  <c r="R624" i="9" s="1"/>
  <c r="Q623" i="9"/>
  <c r="M623" i="9"/>
  <c r="I623" i="9"/>
  <c r="E623" i="9"/>
  <c r="Q622" i="9"/>
  <c r="M622" i="9"/>
  <c r="I622" i="9"/>
  <c r="E622" i="9"/>
  <c r="Q621" i="9"/>
  <c r="M621" i="9"/>
  <c r="I621" i="9"/>
  <c r="E621" i="9"/>
  <c r="R621" i="9" s="1"/>
  <c r="P617" i="9"/>
  <c r="O617" i="9"/>
  <c r="N617" i="9"/>
  <c r="L617" i="9"/>
  <c r="K617" i="9"/>
  <c r="J617" i="9"/>
  <c r="H617" i="9"/>
  <c r="G617" i="9"/>
  <c r="F617" i="9"/>
  <c r="D617" i="9"/>
  <c r="C617" i="9"/>
  <c r="B617" i="9"/>
  <c r="Q616" i="9"/>
  <c r="M616" i="9"/>
  <c r="I616" i="9"/>
  <c r="E616" i="9"/>
  <c r="Q615" i="9"/>
  <c r="M615" i="9"/>
  <c r="I615" i="9"/>
  <c r="E615" i="9"/>
  <c r="R615" i="9" s="1"/>
  <c r="Q614" i="9"/>
  <c r="M614" i="9"/>
  <c r="I614" i="9"/>
  <c r="E614" i="9"/>
  <c r="R614" i="9" s="1"/>
  <c r="Q613" i="9"/>
  <c r="M613" i="9"/>
  <c r="I613" i="9"/>
  <c r="E613" i="9"/>
  <c r="Q611" i="9"/>
  <c r="M611" i="9"/>
  <c r="I611" i="9"/>
  <c r="E611" i="9"/>
  <c r="P608" i="9"/>
  <c r="O608" i="9"/>
  <c r="N608" i="9"/>
  <c r="L608" i="9"/>
  <c r="K608" i="9"/>
  <c r="J608" i="9"/>
  <c r="H608" i="9"/>
  <c r="I608" i="9" s="1"/>
  <c r="G608" i="9"/>
  <c r="F608" i="9"/>
  <c r="D608" i="9"/>
  <c r="C608" i="9"/>
  <c r="B608" i="9"/>
  <c r="P604" i="9"/>
  <c r="P629" i="9" s="1"/>
  <c r="P632" i="9" s="1"/>
  <c r="O604" i="9"/>
  <c r="O629" i="9" s="1"/>
  <c r="O632" i="9" s="1"/>
  <c r="N604" i="9"/>
  <c r="L604" i="9"/>
  <c r="K604" i="9"/>
  <c r="J604" i="9"/>
  <c r="M604" i="9" s="1"/>
  <c r="H604" i="9"/>
  <c r="H629" i="9" s="1"/>
  <c r="H632" i="9" s="1"/>
  <c r="G604" i="9"/>
  <c r="F604" i="9"/>
  <c r="I604" i="9" s="1"/>
  <c r="D604" i="9"/>
  <c r="D629" i="9" s="1"/>
  <c r="D632" i="9" s="1"/>
  <c r="C604" i="9"/>
  <c r="C629" i="9" s="1"/>
  <c r="C632" i="9" s="1"/>
  <c r="B604" i="9"/>
  <c r="Q600" i="9"/>
  <c r="M600" i="9"/>
  <c r="I600" i="9"/>
  <c r="E600" i="9"/>
  <c r="Q599" i="9"/>
  <c r="M599" i="9"/>
  <c r="I599" i="9"/>
  <c r="E599" i="9"/>
  <c r="Q598" i="9"/>
  <c r="M598" i="9"/>
  <c r="I598" i="9"/>
  <c r="E598" i="9"/>
  <c r="Q586" i="9"/>
  <c r="M586" i="9"/>
  <c r="I586" i="9"/>
  <c r="E586" i="9"/>
  <c r="R586" i="9" s="1"/>
  <c r="P584" i="9"/>
  <c r="O584" i="9"/>
  <c r="N584" i="9"/>
  <c r="L584" i="9"/>
  <c r="K584" i="9"/>
  <c r="J584" i="9"/>
  <c r="M584" i="9" s="1"/>
  <c r="H584" i="9"/>
  <c r="G584" i="9"/>
  <c r="F584" i="9"/>
  <c r="I584" i="9" s="1"/>
  <c r="D584" i="9"/>
  <c r="C584" i="9"/>
  <c r="B584" i="9"/>
  <c r="E584" i="9" s="1"/>
  <c r="P583" i="9"/>
  <c r="O583" i="9"/>
  <c r="N583" i="9"/>
  <c r="L583" i="9"/>
  <c r="K583" i="9"/>
  <c r="J583" i="9"/>
  <c r="H583" i="9"/>
  <c r="G583" i="9"/>
  <c r="F583" i="9"/>
  <c r="D583" i="9"/>
  <c r="C583" i="9"/>
  <c r="B583" i="9"/>
  <c r="E583" i="9" s="1"/>
  <c r="Q580" i="9"/>
  <c r="M580" i="9"/>
  <c r="I580" i="9"/>
  <c r="E580" i="9"/>
  <c r="P576" i="9"/>
  <c r="O576" i="9"/>
  <c r="N576" i="9"/>
  <c r="L576" i="9"/>
  <c r="K576" i="9"/>
  <c r="J576" i="9"/>
  <c r="H576" i="9"/>
  <c r="G576" i="9"/>
  <c r="F576" i="9"/>
  <c r="D576" i="9"/>
  <c r="C576" i="9"/>
  <c r="B576" i="9"/>
  <c r="E576" i="9" s="1"/>
  <c r="P572" i="9"/>
  <c r="O572" i="9"/>
  <c r="N572" i="9"/>
  <c r="L572" i="9"/>
  <c r="K572" i="9"/>
  <c r="J572" i="9"/>
  <c r="M572" i="9" s="1"/>
  <c r="H572" i="9"/>
  <c r="G572" i="9"/>
  <c r="F572" i="9"/>
  <c r="I572" i="9" s="1"/>
  <c r="D572" i="9"/>
  <c r="C572" i="9"/>
  <c r="B572" i="9"/>
  <c r="E572" i="9" s="1"/>
  <c r="P568" i="9"/>
  <c r="O568" i="9"/>
  <c r="N568" i="9"/>
  <c r="L568" i="9"/>
  <c r="L585" i="9" s="1"/>
  <c r="L588" i="9" s="1"/>
  <c r="K568" i="9"/>
  <c r="J568" i="9"/>
  <c r="H568" i="9"/>
  <c r="G568" i="9"/>
  <c r="G585" i="9" s="1"/>
  <c r="G588" i="9" s="1"/>
  <c r="F568" i="9"/>
  <c r="D568" i="9"/>
  <c r="D585" i="9" s="1"/>
  <c r="D588" i="9" s="1"/>
  <c r="C568" i="9"/>
  <c r="B568" i="9"/>
  <c r="E568" i="9" s="1"/>
  <c r="Q564" i="9"/>
  <c r="M564" i="9"/>
  <c r="I564" i="9"/>
  <c r="E564" i="9"/>
  <c r="Q563" i="9"/>
  <c r="M563" i="9"/>
  <c r="I563" i="9"/>
  <c r="E563" i="9"/>
  <c r="Q562" i="9"/>
  <c r="M562" i="9"/>
  <c r="I562" i="9"/>
  <c r="E562" i="9"/>
  <c r="P552" i="9"/>
  <c r="O552" i="9"/>
  <c r="N552" i="9"/>
  <c r="L552" i="9"/>
  <c r="K552" i="9"/>
  <c r="J552" i="9"/>
  <c r="H552" i="9"/>
  <c r="G552" i="9"/>
  <c r="F552" i="9"/>
  <c r="D552" i="9"/>
  <c r="C552" i="9"/>
  <c r="B552" i="9"/>
  <c r="Q550" i="9"/>
  <c r="M550" i="9"/>
  <c r="I550" i="9"/>
  <c r="E550" i="9"/>
  <c r="Q540" i="9"/>
  <c r="M540" i="9"/>
  <c r="I540" i="9"/>
  <c r="E540" i="9"/>
  <c r="P538" i="9"/>
  <c r="O538" i="9"/>
  <c r="N538" i="9"/>
  <c r="Q538" i="9" s="1"/>
  <c r="L538" i="9"/>
  <c r="M538" i="9" s="1"/>
  <c r="K538" i="9"/>
  <c r="J538" i="9"/>
  <c r="I538" i="9"/>
  <c r="H538" i="9"/>
  <c r="G538" i="9"/>
  <c r="F538" i="9"/>
  <c r="D538" i="9"/>
  <c r="E538" i="9" s="1"/>
  <c r="C538" i="9"/>
  <c r="B538" i="9"/>
  <c r="P537" i="9"/>
  <c r="O537" i="9"/>
  <c r="N537" i="9"/>
  <c r="L537" i="9"/>
  <c r="K537" i="9"/>
  <c r="J537" i="9"/>
  <c r="M537" i="9" s="1"/>
  <c r="H537" i="9"/>
  <c r="G537" i="9"/>
  <c r="F537" i="9"/>
  <c r="E537" i="9"/>
  <c r="D537" i="9"/>
  <c r="C537" i="9"/>
  <c r="B537" i="9"/>
  <c r="Q536" i="9"/>
  <c r="M536" i="9"/>
  <c r="I536" i="9"/>
  <c r="E536" i="9"/>
  <c r="Q535" i="9"/>
  <c r="M535" i="9"/>
  <c r="I535" i="9"/>
  <c r="E535" i="9"/>
  <c r="Q532" i="9"/>
  <c r="M532" i="9"/>
  <c r="I532" i="9"/>
  <c r="E532" i="9"/>
  <c r="R532" i="9" s="1"/>
  <c r="Q531" i="9"/>
  <c r="M531" i="9"/>
  <c r="I531" i="9"/>
  <c r="E531" i="9"/>
  <c r="R531" i="9" s="1"/>
  <c r="Q530" i="9"/>
  <c r="M530" i="9"/>
  <c r="I530" i="9"/>
  <c r="E530" i="9"/>
  <c r="R530" i="9" s="1"/>
  <c r="Q529" i="9"/>
  <c r="M529" i="9"/>
  <c r="I529" i="9"/>
  <c r="E529" i="9"/>
  <c r="Q527" i="9"/>
  <c r="M527" i="9"/>
  <c r="I527" i="9"/>
  <c r="E527" i="9"/>
  <c r="Q526" i="9"/>
  <c r="M526" i="9"/>
  <c r="I526" i="9"/>
  <c r="E526" i="9"/>
  <c r="P523" i="9"/>
  <c r="O523" i="9"/>
  <c r="N523" i="9"/>
  <c r="Q523" i="9" s="1"/>
  <c r="L523" i="9"/>
  <c r="K523" i="9"/>
  <c r="J523" i="9"/>
  <c r="H523" i="9"/>
  <c r="G523" i="9"/>
  <c r="F523" i="9"/>
  <c r="D523" i="9"/>
  <c r="C523" i="9"/>
  <c r="E523" i="9" s="1"/>
  <c r="B523" i="9"/>
  <c r="Q522" i="9"/>
  <c r="M522" i="9"/>
  <c r="I522" i="9"/>
  <c r="E522" i="9"/>
  <c r="P518" i="9"/>
  <c r="O518" i="9"/>
  <c r="N518" i="9"/>
  <c r="Q518" i="9" s="1"/>
  <c r="L518" i="9"/>
  <c r="K518" i="9"/>
  <c r="J518" i="9"/>
  <c r="H518" i="9"/>
  <c r="G518" i="9"/>
  <c r="F518" i="9"/>
  <c r="D518" i="9"/>
  <c r="E518" i="9" s="1"/>
  <c r="C518" i="9"/>
  <c r="B518" i="9"/>
  <c r="Q516" i="9"/>
  <c r="M516" i="9"/>
  <c r="I516" i="9"/>
  <c r="E516" i="9"/>
  <c r="Q515" i="9"/>
  <c r="M515" i="9"/>
  <c r="I515" i="9"/>
  <c r="E515" i="9"/>
  <c r="P512" i="9"/>
  <c r="P539" i="9" s="1"/>
  <c r="P542" i="9" s="1"/>
  <c r="O512" i="9"/>
  <c r="N512" i="9"/>
  <c r="L512" i="9"/>
  <c r="K512" i="9"/>
  <c r="H512" i="9"/>
  <c r="G512" i="9"/>
  <c r="F512" i="9"/>
  <c r="F539" i="9" s="1"/>
  <c r="F542" i="9" s="1"/>
  <c r="D512" i="9"/>
  <c r="C512" i="9"/>
  <c r="B512" i="9"/>
  <c r="Q510" i="9"/>
  <c r="M510" i="9"/>
  <c r="I510" i="9"/>
  <c r="E510" i="9"/>
  <c r="R510" i="9" s="1"/>
  <c r="Q508" i="9"/>
  <c r="M508" i="9"/>
  <c r="I508" i="9"/>
  <c r="E508" i="9"/>
  <c r="R508" i="9" s="1"/>
  <c r="Q506" i="9"/>
  <c r="M506" i="9"/>
  <c r="I506" i="9"/>
  <c r="E506" i="9"/>
  <c r="Q505" i="9"/>
  <c r="M505" i="9"/>
  <c r="I505" i="9"/>
  <c r="E505" i="9"/>
  <c r="Q504" i="9"/>
  <c r="M504" i="9"/>
  <c r="I504" i="9"/>
  <c r="E504" i="9"/>
  <c r="Q503" i="9"/>
  <c r="M503" i="9"/>
  <c r="I503" i="9"/>
  <c r="E503" i="9"/>
  <c r="Q502" i="9"/>
  <c r="M502" i="9"/>
  <c r="I502" i="9"/>
  <c r="E502" i="9"/>
  <c r="Q501" i="9"/>
  <c r="J501" i="9"/>
  <c r="I501" i="9"/>
  <c r="E501" i="9"/>
  <c r="Q500" i="9"/>
  <c r="M500" i="9"/>
  <c r="I500" i="9"/>
  <c r="E500" i="9"/>
  <c r="Q499" i="9"/>
  <c r="M499" i="9"/>
  <c r="I499" i="9"/>
  <c r="E499" i="9"/>
  <c r="Q487" i="9"/>
  <c r="M487" i="9"/>
  <c r="I487" i="9"/>
  <c r="E487" i="9"/>
  <c r="P485" i="9"/>
  <c r="O485" i="9"/>
  <c r="N485" i="9"/>
  <c r="L485" i="9"/>
  <c r="K485" i="9"/>
  <c r="J485" i="9"/>
  <c r="H485" i="9"/>
  <c r="G485" i="9"/>
  <c r="F485" i="9"/>
  <c r="D485" i="9"/>
  <c r="C485" i="9"/>
  <c r="B485" i="9"/>
  <c r="P484" i="9"/>
  <c r="O484" i="9"/>
  <c r="N484" i="9"/>
  <c r="L484" i="9"/>
  <c r="K484" i="9"/>
  <c r="J484" i="9"/>
  <c r="H484" i="9"/>
  <c r="G484" i="9"/>
  <c r="F484" i="9"/>
  <c r="D484" i="9"/>
  <c r="C484" i="9"/>
  <c r="B484" i="9"/>
  <c r="E484" i="9" s="1"/>
  <c r="Q483" i="9"/>
  <c r="M483" i="9"/>
  <c r="I483" i="9"/>
  <c r="E483" i="9"/>
  <c r="Q482" i="9"/>
  <c r="M482" i="9"/>
  <c r="I482" i="9"/>
  <c r="E482" i="9"/>
  <c r="R482" i="9" s="1"/>
  <c r="Q481" i="9"/>
  <c r="M481" i="9"/>
  <c r="I481" i="9"/>
  <c r="E481" i="9"/>
  <c r="Q479" i="9"/>
  <c r="M479" i="9"/>
  <c r="I479" i="9"/>
  <c r="E479" i="9"/>
  <c r="P474" i="9"/>
  <c r="O474" i="9"/>
  <c r="N474" i="9"/>
  <c r="L474" i="9"/>
  <c r="K474" i="9"/>
  <c r="J474" i="9"/>
  <c r="H474" i="9"/>
  <c r="G474" i="9"/>
  <c r="F474" i="9"/>
  <c r="D474" i="9"/>
  <c r="E474" i="9" s="1"/>
  <c r="C474" i="9"/>
  <c r="B474" i="9"/>
  <c r="Q473" i="9"/>
  <c r="M473" i="9"/>
  <c r="I473" i="9"/>
  <c r="E473" i="9"/>
  <c r="P469" i="9"/>
  <c r="O469" i="9"/>
  <c r="Q469" i="9" s="1"/>
  <c r="N469" i="9"/>
  <c r="L469" i="9"/>
  <c r="K469" i="9"/>
  <c r="J469" i="9"/>
  <c r="H469" i="9"/>
  <c r="G469" i="9"/>
  <c r="F469" i="9"/>
  <c r="D469" i="9"/>
  <c r="C469" i="9"/>
  <c r="B469" i="9"/>
  <c r="Q467" i="9"/>
  <c r="M467" i="9"/>
  <c r="I467" i="9"/>
  <c r="E467" i="9"/>
  <c r="Q466" i="9"/>
  <c r="M466" i="9"/>
  <c r="I466" i="9"/>
  <c r="E466" i="9"/>
  <c r="P463" i="9"/>
  <c r="P486" i="9" s="1"/>
  <c r="P489" i="9" s="1"/>
  <c r="O463" i="9"/>
  <c r="N463" i="9"/>
  <c r="L463" i="9"/>
  <c r="K463" i="9"/>
  <c r="J463" i="9"/>
  <c r="H463" i="9"/>
  <c r="H486" i="9" s="1"/>
  <c r="H489" i="9" s="1"/>
  <c r="G463" i="9"/>
  <c r="F463" i="9"/>
  <c r="D463" i="9"/>
  <c r="D486" i="9" s="1"/>
  <c r="D489" i="9" s="1"/>
  <c r="C463" i="9"/>
  <c r="B463" i="9"/>
  <c r="Q459" i="9"/>
  <c r="M459" i="9"/>
  <c r="I459" i="9"/>
  <c r="E459" i="9"/>
  <c r="Q458" i="9"/>
  <c r="M458" i="9"/>
  <c r="I458" i="9"/>
  <c r="E458" i="9"/>
  <c r="Q457" i="9"/>
  <c r="M457" i="9"/>
  <c r="I457" i="9"/>
  <c r="E457" i="9"/>
  <c r="Q445" i="9"/>
  <c r="M445" i="9"/>
  <c r="R445" i="9" s="1"/>
  <c r="I445" i="9"/>
  <c r="E445" i="9"/>
  <c r="P443" i="9"/>
  <c r="O443" i="9"/>
  <c r="N443" i="9"/>
  <c r="L443" i="9"/>
  <c r="K443" i="9"/>
  <c r="J443" i="9"/>
  <c r="H443" i="9"/>
  <c r="G443" i="9"/>
  <c r="F443" i="9"/>
  <c r="D443" i="9"/>
  <c r="E443" i="9" s="1"/>
  <c r="C443" i="9"/>
  <c r="B443" i="9"/>
  <c r="P442" i="9"/>
  <c r="O442" i="9"/>
  <c r="N442" i="9"/>
  <c r="L442" i="9"/>
  <c r="K442" i="9"/>
  <c r="J442" i="9"/>
  <c r="M442" i="9" s="1"/>
  <c r="H442" i="9"/>
  <c r="G442" i="9"/>
  <c r="F442" i="9"/>
  <c r="D442" i="9"/>
  <c r="C442" i="9"/>
  <c r="B442" i="9"/>
  <c r="Q441" i="9"/>
  <c r="M441" i="9"/>
  <c r="R441" i="9" s="1"/>
  <c r="I441" i="9"/>
  <c r="E441" i="9"/>
  <c r="Q440" i="9"/>
  <c r="M440" i="9"/>
  <c r="I440" i="9"/>
  <c r="E440" i="9"/>
  <c r="P434" i="9"/>
  <c r="O434" i="9"/>
  <c r="N434" i="9"/>
  <c r="L434" i="9"/>
  <c r="K434" i="9"/>
  <c r="J434" i="9"/>
  <c r="M434" i="9" s="1"/>
  <c r="H434" i="9"/>
  <c r="G434" i="9"/>
  <c r="F434" i="9"/>
  <c r="D434" i="9"/>
  <c r="C434" i="9"/>
  <c r="B434" i="9"/>
  <c r="Q433" i="9"/>
  <c r="M433" i="9"/>
  <c r="I433" i="9"/>
  <c r="E433" i="9"/>
  <c r="P429" i="9"/>
  <c r="Q429" i="9" s="1"/>
  <c r="O429" i="9"/>
  <c r="N429" i="9"/>
  <c r="L429" i="9"/>
  <c r="K429" i="9"/>
  <c r="J429" i="9"/>
  <c r="H429" i="9"/>
  <c r="G429" i="9"/>
  <c r="F429" i="9"/>
  <c r="D429" i="9"/>
  <c r="C429" i="9"/>
  <c r="B429" i="9"/>
  <c r="Q427" i="9"/>
  <c r="R427" i="9" s="1"/>
  <c r="M427" i="9"/>
  <c r="I427" i="9"/>
  <c r="E427" i="9"/>
  <c r="P424" i="9"/>
  <c r="O424" i="9"/>
  <c r="N424" i="9"/>
  <c r="L424" i="9"/>
  <c r="L444" i="9" s="1"/>
  <c r="L447" i="9" s="1"/>
  <c r="K424" i="9"/>
  <c r="K444" i="9" s="1"/>
  <c r="K447" i="9" s="1"/>
  <c r="J424" i="9"/>
  <c r="H424" i="9"/>
  <c r="G424" i="9"/>
  <c r="F424" i="9"/>
  <c r="I424" i="9" s="1"/>
  <c r="D424" i="9"/>
  <c r="C424" i="9"/>
  <c r="C444" i="9" s="1"/>
  <c r="C447" i="9" s="1"/>
  <c r="B424" i="9"/>
  <c r="Q421" i="9"/>
  <c r="M421" i="9"/>
  <c r="I421" i="9"/>
  <c r="E421" i="9"/>
  <c r="Q420" i="9"/>
  <c r="M420" i="9"/>
  <c r="I420" i="9"/>
  <c r="E420" i="9"/>
  <c r="Q419" i="9"/>
  <c r="R419" i="9" s="1"/>
  <c r="M419" i="9"/>
  <c r="I419" i="9"/>
  <c r="E419" i="9"/>
  <c r="Q417" i="9"/>
  <c r="M417" i="9"/>
  <c r="I417" i="9"/>
  <c r="E417" i="9"/>
  <c r="Q416" i="9"/>
  <c r="M416" i="9"/>
  <c r="I416" i="9"/>
  <c r="E416" i="9"/>
  <c r="Q398" i="9"/>
  <c r="M398" i="9"/>
  <c r="I398" i="9"/>
  <c r="E398" i="9"/>
  <c r="R398" i="9" s="1"/>
  <c r="Q397" i="9"/>
  <c r="M397" i="9"/>
  <c r="I397" i="9"/>
  <c r="E397" i="9"/>
  <c r="Q396" i="9"/>
  <c r="M396" i="9"/>
  <c r="I396" i="9"/>
  <c r="E396" i="9"/>
  <c r="R396" i="9" s="1"/>
  <c r="P394" i="9"/>
  <c r="O394" i="9"/>
  <c r="N394" i="9"/>
  <c r="L394" i="9"/>
  <c r="K394" i="9"/>
  <c r="J394" i="9"/>
  <c r="H394" i="9"/>
  <c r="G394" i="9"/>
  <c r="F394" i="9"/>
  <c r="D394" i="9"/>
  <c r="C394" i="9"/>
  <c r="B394" i="9"/>
  <c r="P393" i="9"/>
  <c r="O393" i="9"/>
  <c r="N393" i="9"/>
  <c r="L393" i="9"/>
  <c r="K393" i="9"/>
  <c r="M393" i="9" s="1"/>
  <c r="J393" i="9"/>
  <c r="H393" i="9"/>
  <c r="G393" i="9"/>
  <c r="F393" i="9"/>
  <c r="I393" i="9" s="1"/>
  <c r="D393" i="9"/>
  <c r="C393" i="9"/>
  <c r="E393" i="9" s="1"/>
  <c r="B393" i="9"/>
  <c r="Q392" i="9"/>
  <c r="M392" i="9"/>
  <c r="I392" i="9"/>
  <c r="E392" i="9"/>
  <c r="Q391" i="9"/>
  <c r="R391" i="9" s="1"/>
  <c r="M391" i="9"/>
  <c r="I391" i="9"/>
  <c r="E391" i="9"/>
  <c r="Q390" i="9"/>
  <c r="M390" i="9"/>
  <c r="I390" i="9"/>
  <c r="E390" i="9"/>
  <c r="Q389" i="9"/>
  <c r="M389" i="9"/>
  <c r="I389" i="9"/>
  <c r="E389" i="9"/>
  <c r="Q388" i="9"/>
  <c r="M388" i="9"/>
  <c r="I388" i="9"/>
  <c r="E388" i="9"/>
  <c r="Q387" i="9"/>
  <c r="M387" i="9"/>
  <c r="I387" i="9"/>
  <c r="E387" i="9"/>
  <c r="Q386" i="9"/>
  <c r="M386" i="9"/>
  <c r="I386" i="9"/>
  <c r="E386" i="9"/>
  <c r="R386" i="9" s="1"/>
  <c r="Q385" i="9"/>
  <c r="M385" i="9"/>
  <c r="I385" i="9"/>
  <c r="E385" i="9"/>
  <c r="Q384" i="9"/>
  <c r="M384" i="9"/>
  <c r="I384" i="9"/>
  <c r="E384" i="9"/>
  <c r="R384" i="9" s="1"/>
  <c r="Q382" i="9"/>
  <c r="M382" i="9"/>
  <c r="I382" i="9"/>
  <c r="E382" i="9"/>
  <c r="Q381" i="9"/>
  <c r="M381" i="9"/>
  <c r="I381" i="9"/>
  <c r="E381" i="9"/>
  <c r="R381" i="9" s="1"/>
  <c r="Q380" i="9"/>
  <c r="M380" i="9"/>
  <c r="I380" i="9"/>
  <c r="E380" i="9"/>
  <c r="R380" i="9" s="1"/>
  <c r="Q379" i="9"/>
  <c r="M379" i="9"/>
  <c r="I379" i="9"/>
  <c r="E379" i="9"/>
  <c r="Q378" i="9"/>
  <c r="M378" i="9"/>
  <c r="I378" i="9"/>
  <c r="E378" i="9"/>
  <c r="R378" i="9" s="1"/>
  <c r="Q377" i="9"/>
  <c r="M377" i="9"/>
  <c r="I377" i="9"/>
  <c r="E377" i="9"/>
  <c r="R377" i="9" s="1"/>
  <c r="Q375" i="9"/>
  <c r="M375" i="9"/>
  <c r="I375" i="9"/>
  <c r="E375" i="9"/>
  <c r="Q374" i="9"/>
  <c r="M374" i="9"/>
  <c r="I374" i="9"/>
  <c r="E374" i="9"/>
  <c r="Q372" i="9"/>
  <c r="M372" i="9"/>
  <c r="I372" i="9"/>
  <c r="E372" i="9"/>
  <c r="R372" i="9" s="1"/>
  <c r="P369" i="9"/>
  <c r="O369" i="9"/>
  <c r="N369" i="9"/>
  <c r="L369" i="9"/>
  <c r="K369" i="9"/>
  <c r="J369" i="9"/>
  <c r="H369" i="9"/>
  <c r="G369" i="9"/>
  <c r="F369" i="9"/>
  <c r="D369" i="9"/>
  <c r="C369" i="9"/>
  <c r="B369" i="9"/>
  <c r="Q368" i="9"/>
  <c r="M368" i="9"/>
  <c r="I368" i="9"/>
  <c r="E368" i="9"/>
  <c r="Q367" i="9"/>
  <c r="M367" i="9"/>
  <c r="I367" i="9"/>
  <c r="E367" i="9"/>
  <c r="Q366" i="9"/>
  <c r="M366" i="9"/>
  <c r="I366" i="9"/>
  <c r="E366" i="9"/>
  <c r="Q365" i="9"/>
  <c r="M365" i="9"/>
  <c r="I365" i="9"/>
  <c r="E365" i="9"/>
  <c r="Q364" i="9"/>
  <c r="M364" i="9"/>
  <c r="I364" i="9"/>
  <c r="E364" i="9"/>
  <c r="Q363" i="9"/>
  <c r="M363" i="9"/>
  <c r="R363" i="9" s="1"/>
  <c r="I363" i="9"/>
  <c r="E363" i="9"/>
  <c r="Q362" i="9"/>
  <c r="M362" i="9"/>
  <c r="I362" i="9"/>
  <c r="E362" i="9"/>
  <c r="Q361" i="9"/>
  <c r="M361" i="9"/>
  <c r="I361" i="9"/>
  <c r="E361" i="9"/>
  <c r="R361" i="9" s="1"/>
  <c r="Q360" i="9"/>
  <c r="M360" i="9"/>
  <c r="I360" i="9"/>
  <c r="E360" i="9"/>
  <c r="Q359" i="9"/>
  <c r="M359" i="9"/>
  <c r="I359" i="9"/>
  <c r="E359" i="9"/>
  <c r="Q358" i="9"/>
  <c r="M358" i="9"/>
  <c r="I358" i="9"/>
  <c r="E358" i="9"/>
  <c r="R358" i="9" s="1"/>
  <c r="Q357" i="9"/>
  <c r="M357" i="9"/>
  <c r="I357" i="9"/>
  <c r="E357" i="9"/>
  <c r="R357" i="9" s="1"/>
  <c r="Q356" i="9"/>
  <c r="M356" i="9"/>
  <c r="I356" i="9"/>
  <c r="E356" i="9"/>
  <c r="R356" i="9" s="1"/>
  <c r="Q355" i="9"/>
  <c r="M355" i="9"/>
  <c r="I355" i="9"/>
  <c r="E355" i="9"/>
  <c r="Q354" i="9"/>
  <c r="M354" i="9"/>
  <c r="I354" i="9"/>
  <c r="E354" i="9"/>
  <c r="R354" i="9" s="1"/>
  <c r="Q353" i="9"/>
  <c r="M353" i="9"/>
  <c r="I353" i="9"/>
  <c r="E353" i="9"/>
  <c r="R353" i="9" s="1"/>
  <c r="Q352" i="9"/>
  <c r="M352" i="9"/>
  <c r="I352" i="9"/>
  <c r="R352" i="9" s="1"/>
  <c r="E352" i="9"/>
  <c r="Q351" i="9"/>
  <c r="M351" i="9"/>
  <c r="I351" i="9"/>
  <c r="E351" i="9"/>
  <c r="Q350" i="9"/>
  <c r="M350" i="9"/>
  <c r="I350" i="9"/>
  <c r="E350" i="9"/>
  <c r="Q349" i="9"/>
  <c r="M349" i="9"/>
  <c r="I349" i="9"/>
  <c r="E349" i="9"/>
  <c r="Q348" i="9"/>
  <c r="M348" i="9"/>
  <c r="I348" i="9"/>
  <c r="E348" i="9"/>
  <c r="Q347" i="9"/>
  <c r="M347" i="9"/>
  <c r="I347" i="9"/>
  <c r="E347" i="9"/>
  <c r="Q346" i="9"/>
  <c r="M346" i="9"/>
  <c r="I346" i="9"/>
  <c r="E346" i="9"/>
  <c r="Q345" i="9"/>
  <c r="M345" i="9"/>
  <c r="I345" i="9"/>
  <c r="E345" i="9"/>
  <c r="R345" i="9" s="1"/>
  <c r="Q344" i="9"/>
  <c r="M344" i="9"/>
  <c r="I344" i="9"/>
  <c r="E344" i="9"/>
  <c r="Q343" i="9"/>
  <c r="M343" i="9"/>
  <c r="I343" i="9"/>
  <c r="E343" i="9"/>
  <c r="Q342" i="9"/>
  <c r="M342" i="9"/>
  <c r="I342" i="9"/>
  <c r="E342" i="9"/>
  <c r="Q340" i="9"/>
  <c r="M340" i="9"/>
  <c r="I340" i="9"/>
  <c r="E340" i="9"/>
  <c r="Q339" i="9"/>
  <c r="M339" i="9"/>
  <c r="I339" i="9"/>
  <c r="E339" i="9"/>
  <c r="P336" i="9"/>
  <c r="O336" i="9"/>
  <c r="N336" i="9"/>
  <c r="L336" i="9"/>
  <c r="K336" i="9"/>
  <c r="J336" i="9"/>
  <c r="M336" i="9" s="1"/>
  <c r="H336" i="9"/>
  <c r="G336" i="9"/>
  <c r="F336" i="9"/>
  <c r="I336" i="9" s="1"/>
  <c r="D336" i="9"/>
  <c r="C336" i="9"/>
  <c r="B336" i="9"/>
  <c r="E336" i="9" s="1"/>
  <c r="Q334" i="9"/>
  <c r="R334" i="9" s="1"/>
  <c r="M334" i="9"/>
  <c r="I334" i="9"/>
  <c r="E334" i="9"/>
  <c r="Q333" i="9"/>
  <c r="M333" i="9"/>
  <c r="I333" i="9"/>
  <c r="E333" i="9"/>
  <c r="Q332" i="9"/>
  <c r="M332" i="9"/>
  <c r="I332" i="9"/>
  <c r="E332" i="9"/>
  <c r="Q331" i="9"/>
  <c r="M331" i="9"/>
  <c r="I331" i="9"/>
  <c r="E331" i="9"/>
  <c r="Q330" i="9"/>
  <c r="M330" i="9"/>
  <c r="I330" i="9"/>
  <c r="E330" i="9"/>
  <c r="Q329" i="9"/>
  <c r="M329" i="9"/>
  <c r="I329" i="9"/>
  <c r="E329" i="9"/>
  <c r="R329" i="9" s="1"/>
  <c r="Q328" i="9"/>
  <c r="M328" i="9"/>
  <c r="I328" i="9"/>
  <c r="E328" i="9"/>
  <c r="Q327" i="9"/>
  <c r="M327" i="9"/>
  <c r="I327" i="9"/>
  <c r="E327" i="9"/>
  <c r="R327" i="9" s="1"/>
  <c r="P323" i="9"/>
  <c r="P395" i="9" s="1"/>
  <c r="P400" i="9" s="1"/>
  <c r="O323" i="9"/>
  <c r="N323" i="9"/>
  <c r="L323" i="9"/>
  <c r="K323" i="9"/>
  <c r="K395" i="9" s="1"/>
  <c r="K400" i="9" s="1"/>
  <c r="J323" i="9"/>
  <c r="H323" i="9"/>
  <c r="G323" i="9"/>
  <c r="G395" i="9" s="1"/>
  <c r="G400" i="9" s="1"/>
  <c r="F323" i="9"/>
  <c r="D323" i="9"/>
  <c r="C323" i="9"/>
  <c r="B323" i="9"/>
  <c r="Q321" i="9"/>
  <c r="M321" i="9"/>
  <c r="I321" i="9"/>
  <c r="E321" i="9"/>
  <c r="R321" i="9" s="1"/>
  <c r="Q320" i="9"/>
  <c r="M320" i="9"/>
  <c r="I320" i="9"/>
  <c r="E320" i="9"/>
  <c r="Q319" i="9"/>
  <c r="M319" i="9"/>
  <c r="I319" i="9"/>
  <c r="E319" i="9"/>
  <c r="R319" i="9" s="1"/>
  <c r="Q318" i="9"/>
  <c r="M318" i="9"/>
  <c r="I318" i="9"/>
  <c r="E318" i="9"/>
  <c r="Q316" i="9"/>
  <c r="M316" i="9"/>
  <c r="I316" i="9"/>
  <c r="E316" i="9"/>
  <c r="Q315" i="9"/>
  <c r="M315" i="9"/>
  <c r="I315" i="9"/>
  <c r="E315" i="9"/>
  <c r="Q314" i="9"/>
  <c r="M314" i="9"/>
  <c r="I314" i="9"/>
  <c r="E314" i="9"/>
  <c r="Q313" i="9"/>
  <c r="M313" i="9"/>
  <c r="I313" i="9"/>
  <c r="E313" i="9"/>
  <c r="Q312" i="9"/>
  <c r="M312" i="9"/>
  <c r="I312" i="9"/>
  <c r="E312" i="9"/>
  <c r="R312" i="9" s="1"/>
  <c r="Q311" i="9"/>
  <c r="M311" i="9"/>
  <c r="I311" i="9"/>
  <c r="E311" i="9"/>
  <c r="Q310" i="9"/>
  <c r="M310" i="9"/>
  <c r="I310" i="9"/>
  <c r="E310" i="9"/>
  <c r="R310" i="9" s="1"/>
  <c r="Q309" i="9"/>
  <c r="M309" i="9"/>
  <c r="I309" i="9"/>
  <c r="E309" i="9"/>
  <c r="Q308" i="9"/>
  <c r="M308" i="9"/>
  <c r="I308" i="9"/>
  <c r="E308" i="9"/>
  <c r="Q307" i="9"/>
  <c r="M307" i="9"/>
  <c r="I307" i="9"/>
  <c r="E307" i="9"/>
  <c r="R307" i="9" s="1"/>
  <c r="Q306" i="9"/>
  <c r="M306" i="9"/>
  <c r="I306" i="9"/>
  <c r="E306" i="9"/>
  <c r="Q305" i="9"/>
  <c r="M305" i="9"/>
  <c r="I305" i="9"/>
  <c r="E305" i="9"/>
  <c r="R305" i="9" s="1"/>
  <c r="Q304" i="9"/>
  <c r="M304" i="9"/>
  <c r="I304" i="9"/>
  <c r="E304" i="9"/>
  <c r="R304" i="9" s="1"/>
  <c r="Q303" i="9"/>
  <c r="M303" i="9"/>
  <c r="I303" i="9"/>
  <c r="R303" i="9" s="1"/>
  <c r="E303" i="9"/>
  <c r="Q302" i="9"/>
  <c r="M302" i="9"/>
  <c r="I302" i="9"/>
  <c r="E302" i="9"/>
  <c r="Q300" i="9"/>
  <c r="M300" i="9"/>
  <c r="I300" i="9"/>
  <c r="E300" i="9"/>
  <c r="R300" i="9" s="1"/>
  <c r="Q299" i="9"/>
  <c r="M299" i="9"/>
  <c r="I299" i="9"/>
  <c r="E299" i="9"/>
  <c r="Q298" i="9"/>
  <c r="M298" i="9"/>
  <c r="I298" i="9"/>
  <c r="E298" i="9"/>
  <c r="R298" i="9" s="1"/>
  <c r="Q297" i="9"/>
  <c r="R297" i="9" s="1"/>
  <c r="M297" i="9"/>
  <c r="I297" i="9"/>
  <c r="E297" i="9"/>
  <c r="Q296" i="9"/>
  <c r="M296" i="9"/>
  <c r="I296" i="9"/>
  <c r="E296" i="9"/>
  <c r="Q295" i="9"/>
  <c r="M295" i="9"/>
  <c r="I295" i="9"/>
  <c r="E295" i="9"/>
  <c r="Q294" i="9"/>
  <c r="M294" i="9"/>
  <c r="I294" i="9"/>
  <c r="E294" i="9"/>
  <c r="Q293" i="9"/>
  <c r="M293" i="9"/>
  <c r="I293" i="9"/>
  <c r="E293" i="9"/>
  <c r="Q292" i="9"/>
  <c r="M292" i="9"/>
  <c r="I292" i="9"/>
  <c r="E292" i="9"/>
  <c r="R292" i="9" s="1"/>
  <c r="Q291" i="9"/>
  <c r="M291" i="9"/>
  <c r="I291" i="9"/>
  <c r="E291" i="9"/>
  <c r="Q290" i="9"/>
  <c r="M290" i="9"/>
  <c r="I290" i="9"/>
  <c r="E290" i="9"/>
  <c r="R290" i="9" s="1"/>
  <c r="Q289" i="9"/>
  <c r="M289" i="9"/>
  <c r="I289" i="9"/>
  <c r="E289" i="9"/>
  <c r="R289" i="9" s="1"/>
  <c r="Q288" i="9"/>
  <c r="M288" i="9"/>
  <c r="I288" i="9"/>
  <c r="E288" i="9"/>
  <c r="Q287" i="9"/>
  <c r="M287" i="9"/>
  <c r="I287" i="9"/>
  <c r="E287" i="9"/>
  <c r="P279" i="9"/>
  <c r="O279" i="9"/>
  <c r="N279" i="9"/>
  <c r="L279" i="9"/>
  <c r="K279" i="9"/>
  <c r="J279" i="9"/>
  <c r="H279" i="9"/>
  <c r="G279" i="9"/>
  <c r="F279" i="9"/>
  <c r="I279" i="9" s="1"/>
  <c r="D279" i="9"/>
  <c r="E279" i="9" s="1"/>
  <c r="C279" i="9"/>
  <c r="B279" i="9"/>
  <c r="Q277" i="9"/>
  <c r="M277" i="9"/>
  <c r="I277" i="9"/>
  <c r="E277" i="9"/>
  <c r="Q266" i="9"/>
  <c r="M266" i="9"/>
  <c r="I266" i="9"/>
  <c r="E266" i="9"/>
  <c r="Q265" i="9"/>
  <c r="M265" i="9"/>
  <c r="I265" i="9"/>
  <c r="E265" i="9"/>
  <c r="Q264" i="9"/>
  <c r="M264" i="9"/>
  <c r="I264" i="9"/>
  <c r="E264" i="9"/>
  <c r="R264" i="9" s="1"/>
  <c r="Q263" i="9"/>
  <c r="M263" i="9"/>
  <c r="I263" i="9"/>
  <c r="E263" i="9"/>
  <c r="Q262" i="9"/>
  <c r="J262" i="9"/>
  <c r="M262" i="9" s="1"/>
  <c r="I262" i="9"/>
  <c r="E262" i="9"/>
  <c r="P261" i="9"/>
  <c r="O261" i="9"/>
  <c r="N261" i="9"/>
  <c r="Q261" i="9" s="1"/>
  <c r="L261" i="9"/>
  <c r="K261" i="9"/>
  <c r="J261" i="9"/>
  <c r="M261" i="9" s="1"/>
  <c r="H261" i="9"/>
  <c r="G261" i="9"/>
  <c r="F261" i="9"/>
  <c r="I261" i="9" s="1"/>
  <c r="D261" i="9"/>
  <c r="C261" i="9"/>
  <c r="E261" i="9" s="1"/>
  <c r="P259" i="9"/>
  <c r="O259" i="9"/>
  <c r="N259" i="9"/>
  <c r="L259" i="9"/>
  <c r="K259" i="9"/>
  <c r="M259" i="9" s="1"/>
  <c r="J259" i="9"/>
  <c r="H259" i="9"/>
  <c r="G259" i="9"/>
  <c r="F259" i="9"/>
  <c r="I259" i="9" s="1"/>
  <c r="D259" i="9"/>
  <c r="C259" i="9"/>
  <c r="E259" i="9" s="1"/>
  <c r="B259" i="9"/>
  <c r="P258" i="9"/>
  <c r="O258" i="9"/>
  <c r="N258" i="9"/>
  <c r="L258" i="9"/>
  <c r="K258" i="9"/>
  <c r="J258" i="9"/>
  <c r="H258" i="9"/>
  <c r="G258" i="9"/>
  <c r="F258" i="9"/>
  <c r="I258" i="9" s="1"/>
  <c r="D258" i="9"/>
  <c r="C258" i="9"/>
  <c r="B258" i="9"/>
  <c r="Q255" i="9"/>
  <c r="M255" i="9"/>
  <c r="I255" i="9"/>
  <c r="E255" i="9"/>
  <c r="Q254" i="9"/>
  <c r="M254" i="9"/>
  <c r="I254" i="9"/>
  <c r="E254" i="9"/>
  <c r="Q253" i="9"/>
  <c r="M253" i="9"/>
  <c r="I253" i="9"/>
  <c r="E253" i="9"/>
  <c r="Q252" i="9"/>
  <c r="M252" i="9"/>
  <c r="I252" i="9"/>
  <c r="E252" i="9"/>
  <c r="Q251" i="9"/>
  <c r="M251" i="9"/>
  <c r="I251" i="9"/>
  <c r="E251" i="9"/>
  <c r="Q250" i="9"/>
  <c r="M250" i="9"/>
  <c r="I250" i="9"/>
  <c r="E250" i="9"/>
  <c r="Q249" i="9"/>
  <c r="M249" i="9"/>
  <c r="I249" i="9"/>
  <c r="E249" i="9"/>
  <c r="Q248" i="9"/>
  <c r="M248" i="9"/>
  <c r="I248" i="9"/>
  <c r="E248" i="9"/>
  <c r="Q246" i="9"/>
  <c r="M246" i="9"/>
  <c r="I246" i="9"/>
  <c r="E246" i="9"/>
  <c r="Q245" i="9"/>
  <c r="M245" i="9"/>
  <c r="I245" i="9"/>
  <c r="E245" i="9"/>
  <c r="R245" i="9" s="1"/>
  <c r="Q244" i="9"/>
  <c r="M244" i="9"/>
  <c r="I244" i="9"/>
  <c r="E244" i="9"/>
  <c r="Q243" i="9"/>
  <c r="M243" i="9"/>
  <c r="I243" i="9"/>
  <c r="E243" i="9"/>
  <c r="Q240" i="9"/>
  <c r="P240" i="9"/>
  <c r="O240" i="9"/>
  <c r="N240" i="9"/>
  <c r="L240" i="9"/>
  <c r="K240" i="9"/>
  <c r="J240" i="9"/>
  <c r="H240" i="9"/>
  <c r="I240" i="9" s="1"/>
  <c r="G240" i="9"/>
  <c r="F240" i="9"/>
  <c r="D240" i="9"/>
  <c r="C240" i="9"/>
  <c r="B240" i="9"/>
  <c r="Q239" i="9"/>
  <c r="M239" i="9"/>
  <c r="I239" i="9"/>
  <c r="E239" i="9"/>
  <c r="Q238" i="9"/>
  <c r="M238" i="9"/>
  <c r="I238" i="9"/>
  <c r="R238" i="9" s="1"/>
  <c r="E238" i="9"/>
  <c r="Q237" i="9"/>
  <c r="M237" i="9"/>
  <c r="I237" i="9"/>
  <c r="E237" i="9"/>
  <c r="Q236" i="9"/>
  <c r="M236" i="9"/>
  <c r="I236" i="9"/>
  <c r="E236" i="9"/>
  <c r="Q235" i="9"/>
  <c r="M235" i="9"/>
  <c r="I235" i="9"/>
  <c r="E235" i="9"/>
  <c r="Q234" i="9"/>
  <c r="M234" i="9"/>
  <c r="I234" i="9"/>
  <c r="E234" i="9"/>
  <c r="Q233" i="9"/>
  <c r="M233" i="9"/>
  <c r="I233" i="9"/>
  <c r="E233" i="9"/>
  <c r="Q232" i="9"/>
  <c r="M232" i="9"/>
  <c r="I232" i="9"/>
  <c r="E232" i="9"/>
  <c r="Q231" i="9"/>
  <c r="M231" i="9"/>
  <c r="I231" i="9"/>
  <c r="E231" i="9"/>
  <c r="R231" i="9" s="1"/>
  <c r="Q230" i="9"/>
  <c r="M230" i="9"/>
  <c r="I230" i="9"/>
  <c r="E230" i="9"/>
  <c r="Q229" i="9"/>
  <c r="M229" i="9"/>
  <c r="I229" i="9"/>
  <c r="E229" i="9"/>
  <c r="Q228" i="9"/>
  <c r="M228" i="9"/>
  <c r="I228" i="9"/>
  <c r="E228" i="9"/>
  <c r="Q227" i="9"/>
  <c r="M227" i="9"/>
  <c r="I227" i="9"/>
  <c r="E227" i="9"/>
  <c r="Q226" i="9"/>
  <c r="M226" i="9"/>
  <c r="I226" i="9"/>
  <c r="E226" i="9"/>
  <c r="Q225" i="9"/>
  <c r="M225" i="9"/>
  <c r="I225" i="9"/>
  <c r="E225" i="9"/>
  <c r="Q224" i="9"/>
  <c r="M224" i="9"/>
  <c r="I224" i="9"/>
  <c r="E224" i="9"/>
  <c r="Q223" i="9"/>
  <c r="M223" i="9"/>
  <c r="I223" i="9"/>
  <c r="E223" i="9"/>
  <c r="R223" i="9" s="1"/>
  <c r="Q222" i="9"/>
  <c r="M222" i="9"/>
  <c r="I222" i="9"/>
  <c r="E222" i="9"/>
  <c r="Q221" i="9"/>
  <c r="M221" i="9"/>
  <c r="I221" i="9"/>
  <c r="E221" i="9"/>
  <c r="Q220" i="9"/>
  <c r="M220" i="9"/>
  <c r="I220" i="9"/>
  <c r="E220" i="9"/>
  <c r="R220" i="9" s="1"/>
  <c r="Q219" i="9"/>
  <c r="M219" i="9"/>
  <c r="I219" i="9"/>
  <c r="E219" i="9"/>
  <c r="R219" i="9" s="1"/>
  <c r="Q218" i="9"/>
  <c r="M218" i="9"/>
  <c r="I218" i="9"/>
  <c r="E218" i="9"/>
  <c r="R218" i="9" s="1"/>
  <c r="Q217" i="9"/>
  <c r="M217" i="9"/>
  <c r="I217" i="9"/>
  <c r="E217" i="9"/>
  <c r="R217" i="9" s="1"/>
  <c r="Q216" i="9"/>
  <c r="M216" i="9"/>
  <c r="I216" i="9"/>
  <c r="E216" i="9"/>
  <c r="R216" i="9" s="1"/>
  <c r="Q215" i="9"/>
  <c r="M215" i="9"/>
  <c r="I215" i="9"/>
  <c r="E215" i="9"/>
  <c r="R215" i="9" s="1"/>
  <c r="Q214" i="9"/>
  <c r="M214" i="9"/>
  <c r="I214" i="9"/>
  <c r="E214" i="9"/>
  <c r="Q213" i="9"/>
  <c r="M213" i="9"/>
  <c r="I213" i="9"/>
  <c r="E213" i="9"/>
  <c r="Q212" i="9"/>
  <c r="M212" i="9"/>
  <c r="I212" i="9"/>
  <c r="E212" i="9"/>
  <c r="Q211" i="9"/>
  <c r="M211" i="9"/>
  <c r="I211" i="9"/>
  <c r="E211" i="9"/>
  <c r="Q210" i="9"/>
  <c r="M210" i="9"/>
  <c r="I210" i="9"/>
  <c r="E210" i="9"/>
  <c r="Q209" i="9"/>
  <c r="M209" i="9"/>
  <c r="I209" i="9"/>
  <c r="E209" i="9"/>
  <c r="Q208" i="9"/>
  <c r="M208" i="9"/>
  <c r="I208" i="9"/>
  <c r="E208" i="9"/>
  <c r="Q207" i="9"/>
  <c r="M207" i="9"/>
  <c r="I207" i="9"/>
  <c r="E207" i="9"/>
  <c r="R207" i="9" s="1"/>
  <c r="Q206" i="9"/>
  <c r="M206" i="9"/>
  <c r="I206" i="9"/>
  <c r="E206" i="9"/>
  <c r="Q205" i="9"/>
  <c r="M205" i="9"/>
  <c r="I205" i="9"/>
  <c r="E205" i="9"/>
  <c r="R205" i="9" s="1"/>
  <c r="Q204" i="9"/>
  <c r="R204" i="9" s="1"/>
  <c r="M204" i="9"/>
  <c r="I204" i="9"/>
  <c r="E204" i="9"/>
  <c r="Q203" i="9"/>
  <c r="M203" i="9"/>
  <c r="I203" i="9"/>
  <c r="E203" i="9"/>
  <c r="Q202" i="9"/>
  <c r="M202" i="9"/>
  <c r="I202" i="9"/>
  <c r="E202" i="9"/>
  <c r="P198" i="9"/>
  <c r="Q198" i="9" s="1"/>
  <c r="O198" i="9"/>
  <c r="N198" i="9"/>
  <c r="L198" i="9"/>
  <c r="K198" i="9"/>
  <c r="J198" i="9"/>
  <c r="H198" i="9"/>
  <c r="G198" i="9"/>
  <c r="I198" i="9" s="1"/>
  <c r="F198" i="9"/>
  <c r="D198" i="9"/>
  <c r="C198" i="9"/>
  <c r="B198" i="9"/>
  <c r="E198" i="9" s="1"/>
  <c r="Q196" i="9"/>
  <c r="M196" i="9"/>
  <c r="I196" i="9"/>
  <c r="E196" i="9"/>
  <c r="Q195" i="9"/>
  <c r="M195" i="9"/>
  <c r="I195" i="9"/>
  <c r="E195" i="9"/>
  <c r="P191" i="9"/>
  <c r="P260" i="9" s="1"/>
  <c r="P268" i="9" s="1"/>
  <c r="O191" i="9"/>
  <c r="O260" i="9" s="1"/>
  <c r="O268" i="9" s="1"/>
  <c r="N191" i="9"/>
  <c r="L191" i="9"/>
  <c r="K191" i="9"/>
  <c r="M191" i="9" s="1"/>
  <c r="J191" i="9"/>
  <c r="J260" i="9" s="1"/>
  <c r="H191" i="9"/>
  <c r="D191" i="9"/>
  <c r="C191" i="9"/>
  <c r="C260" i="9" s="1"/>
  <c r="C268" i="9" s="1"/>
  <c r="B191" i="9"/>
  <c r="Q189" i="9"/>
  <c r="M189" i="9"/>
  <c r="I189" i="9"/>
  <c r="R189" i="9" s="1"/>
  <c r="E189" i="9"/>
  <c r="Q188" i="9"/>
  <c r="M188" i="9"/>
  <c r="I188" i="9"/>
  <c r="E188" i="9"/>
  <c r="Q187" i="9"/>
  <c r="M187" i="9"/>
  <c r="I187" i="9"/>
  <c r="E187" i="9"/>
  <c r="Q185" i="9"/>
  <c r="M185" i="9"/>
  <c r="I185" i="9"/>
  <c r="E185" i="9"/>
  <c r="Q184" i="9"/>
  <c r="M184" i="9"/>
  <c r="I184" i="9"/>
  <c r="E184" i="9"/>
  <c r="Q183" i="9"/>
  <c r="M183" i="9"/>
  <c r="I183" i="9"/>
  <c r="E183" i="9"/>
  <c r="Q182" i="9"/>
  <c r="M182" i="9"/>
  <c r="I182" i="9"/>
  <c r="E182" i="9"/>
  <c r="R182" i="9" s="1"/>
  <c r="Q181" i="9"/>
  <c r="M181" i="9"/>
  <c r="I181" i="9"/>
  <c r="E181" i="9"/>
  <c r="Q180" i="9"/>
  <c r="M180" i="9"/>
  <c r="I180" i="9"/>
  <c r="E180" i="9"/>
  <c r="Q179" i="9"/>
  <c r="M179" i="9"/>
  <c r="I179" i="9"/>
  <c r="E179" i="9"/>
  <c r="Q178" i="9"/>
  <c r="M178" i="9"/>
  <c r="I178" i="9"/>
  <c r="E178" i="9"/>
  <c r="Q177" i="9"/>
  <c r="M177" i="9"/>
  <c r="I177" i="9"/>
  <c r="E177" i="9"/>
  <c r="Q176" i="9"/>
  <c r="M176" i="9"/>
  <c r="I176" i="9"/>
  <c r="E176" i="9"/>
  <c r="Q175" i="9"/>
  <c r="M175" i="9"/>
  <c r="I175" i="9"/>
  <c r="E175" i="9"/>
  <c r="Q173" i="9"/>
  <c r="M173" i="9"/>
  <c r="I173" i="9"/>
  <c r="E173" i="9"/>
  <c r="Q172" i="9"/>
  <c r="M172" i="9"/>
  <c r="I172" i="9"/>
  <c r="E172" i="9"/>
  <c r="Q171" i="9"/>
  <c r="M171" i="9"/>
  <c r="I171" i="9"/>
  <c r="E171" i="9"/>
  <c r="Q170" i="9"/>
  <c r="M170" i="9"/>
  <c r="I170" i="9"/>
  <c r="E170" i="9"/>
  <c r="R170" i="9" s="1"/>
  <c r="Q169" i="9"/>
  <c r="M169" i="9"/>
  <c r="I169" i="9"/>
  <c r="E169" i="9"/>
  <c r="Q168" i="9"/>
  <c r="M168" i="9"/>
  <c r="I168" i="9"/>
  <c r="E168" i="9"/>
  <c r="R167" i="9"/>
  <c r="Q167" i="9"/>
  <c r="M167" i="9"/>
  <c r="I167" i="9"/>
  <c r="E167" i="9"/>
  <c r="Q166" i="9"/>
  <c r="M166" i="9"/>
  <c r="I166" i="9"/>
  <c r="E166" i="9"/>
  <c r="R166" i="9" s="1"/>
  <c r="Q165" i="9"/>
  <c r="M165" i="9"/>
  <c r="I165" i="9"/>
  <c r="E165" i="9"/>
  <c r="R165" i="9" s="1"/>
  <c r="Q164" i="9"/>
  <c r="M164" i="9"/>
  <c r="I164" i="9"/>
  <c r="E164" i="9"/>
  <c r="R164" i="9" s="1"/>
  <c r="Q163" i="9"/>
  <c r="M163" i="9"/>
  <c r="I163" i="9"/>
  <c r="E163" i="9"/>
  <c r="R163" i="9" s="1"/>
  <c r="Q162" i="9"/>
  <c r="M162" i="9"/>
  <c r="I162" i="9"/>
  <c r="E162" i="9"/>
  <c r="R162" i="9" s="1"/>
  <c r="Q161" i="9"/>
  <c r="M161" i="9"/>
  <c r="I161" i="9"/>
  <c r="E161" i="9"/>
  <c r="Q160" i="9"/>
  <c r="M160" i="9"/>
  <c r="I160" i="9"/>
  <c r="E160" i="9"/>
  <c r="Q159" i="9"/>
  <c r="M159" i="9"/>
  <c r="I159" i="9"/>
  <c r="E159" i="9"/>
  <c r="Q158" i="9"/>
  <c r="M158" i="9"/>
  <c r="I158" i="9"/>
  <c r="E158" i="9"/>
  <c r="Q157" i="9"/>
  <c r="M157" i="9"/>
  <c r="I157" i="9"/>
  <c r="E157" i="9"/>
  <c r="Q156" i="9"/>
  <c r="M156" i="9"/>
  <c r="I156" i="9"/>
  <c r="E156" i="9"/>
  <c r="Q155" i="9"/>
  <c r="M155" i="9"/>
  <c r="I155" i="9"/>
  <c r="E155" i="9"/>
  <c r="Q154" i="9"/>
  <c r="M154" i="9"/>
  <c r="I154" i="9"/>
  <c r="E154" i="9"/>
  <c r="Q153" i="9"/>
  <c r="M153" i="9"/>
  <c r="I153" i="9"/>
  <c r="R153" i="9" s="1"/>
  <c r="E153" i="9"/>
  <c r="Q152" i="9"/>
  <c r="M152" i="9"/>
  <c r="I152" i="9"/>
  <c r="E152" i="9"/>
  <c r="Q151" i="9"/>
  <c r="M151" i="9"/>
  <c r="G151" i="9"/>
  <c r="G740" i="9" s="1"/>
  <c r="G746" i="9" s="1"/>
  <c r="F151" i="9"/>
  <c r="F740" i="9" s="1"/>
  <c r="E151" i="9"/>
  <c r="Q150" i="9"/>
  <c r="M150" i="9"/>
  <c r="R150" i="9" s="1"/>
  <c r="I150" i="9"/>
  <c r="E150" i="9"/>
  <c r="Q149" i="9"/>
  <c r="M149" i="9"/>
  <c r="I149" i="9"/>
  <c r="E149" i="9"/>
  <c r="Q148" i="9"/>
  <c r="M148" i="9"/>
  <c r="I148" i="9"/>
  <c r="E148" i="9"/>
  <c r="R148" i="9" s="1"/>
  <c r="Q147" i="9"/>
  <c r="M147" i="9"/>
  <c r="I147" i="9"/>
  <c r="E147" i="9"/>
  <c r="Q146" i="9"/>
  <c r="M146" i="9"/>
  <c r="I146" i="9"/>
  <c r="E146" i="9"/>
  <c r="Q145" i="9"/>
  <c r="R145" i="9" s="1"/>
  <c r="M145" i="9"/>
  <c r="I145" i="9"/>
  <c r="E145" i="9"/>
  <c r="Q144" i="9"/>
  <c r="M144" i="9"/>
  <c r="I144" i="9"/>
  <c r="E144" i="9"/>
  <c r="Q143" i="9"/>
  <c r="M143" i="9"/>
  <c r="I143" i="9"/>
  <c r="E143" i="9"/>
  <c r="Q142" i="9"/>
  <c r="M142" i="9"/>
  <c r="I142" i="9"/>
  <c r="E142" i="9"/>
  <c r="Q141" i="9"/>
  <c r="M141" i="9"/>
  <c r="I141" i="9"/>
  <c r="E141" i="9"/>
  <c r="Q140" i="9"/>
  <c r="M140" i="9"/>
  <c r="I140" i="9"/>
  <c r="E140" i="9"/>
  <c r="R140" i="9" s="1"/>
  <c r="Q139" i="9"/>
  <c r="M139" i="9"/>
  <c r="I139" i="9"/>
  <c r="E139" i="9"/>
  <c r="Q138" i="9"/>
  <c r="M138" i="9"/>
  <c r="I138" i="9"/>
  <c r="E138" i="9"/>
  <c r="R138" i="9" s="1"/>
  <c r="Q126" i="9"/>
  <c r="M126" i="9"/>
  <c r="I126" i="9"/>
  <c r="E126" i="9"/>
  <c r="R126" i="9" s="1"/>
  <c r="P124" i="9"/>
  <c r="O124" i="9"/>
  <c r="N124" i="9"/>
  <c r="Q124" i="9" s="1"/>
  <c r="L124" i="9"/>
  <c r="K124" i="9"/>
  <c r="J124" i="9"/>
  <c r="H124" i="9"/>
  <c r="G124" i="9"/>
  <c r="I124" i="9" s="1"/>
  <c r="F124" i="9"/>
  <c r="D124" i="9"/>
  <c r="C124" i="9"/>
  <c r="B124" i="9"/>
  <c r="E124" i="9" s="1"/>
  <c r="P123" i="9"/>
  <c r="O123" i="9"/>
  <c r="N123" i="9"/>
  <c r="L123" i="9"/>
  <c r="K123" i="9"/>
  <c r="J123" i="9"/>
  <c r="H123" i="9"/>
  <c r="G123" i="9"/>
  <c r="F123" i="9"/>
  <c r="D123" i="9"/>
  <c r="C123" i="9"/>
  <c r="B123" i="9"/>
  <c r="Q121" i="9"/>
  <c r="M121" i="9"/>
  <c r="I121" i="9"/>
  <c r="E121" i="9"/>
  <c r="R121" i="9" s="1"/>
  <c r="Q119" i="9"/>
  <c r="M119" i="9"/>
  <c r="I119" i="9"/>
  <c r="E119" i="9"/>
  <c r="Q118" i="9"/>
  <c r="M118" i="9"/>
  <c r="I118" i="9"/>
  <c r="E118" i="9"/>
  <c r="R118" i="9" s="1"/>
  <c r="Q116" i="9"/>
  <c r="M116" i="9"/>
  <c r="I116" i="9"/>
  <c r="E116" i="9"/>
  <c r="Q115" i="9"/>
  <c r="M115" i="9"/>
  <c r="I115" i="9"/>
  <c r="E115" i="9"/>
  <c r="Q114" i="9"/>
  <c r="M114" i="9"/>
  <c r="I114" i="9"/>
  <c r="E114" i="9"/>
  <c r="Q113" i="9"/>
  <c r="R113" i="9" s="1"/>
  <c r="M113" i="9"/>
  <c r="I113" i="9"/>
  <c r="E113" i="9"/>
  <c r="Q112" i="9"/>
  <c r="M112" i="9"/>
  <c r="I112" i="9"/>
  <c r="E112" i="9"/>
  <c r="Q111" i="9"/>
  <c r="M111" i="9"/>
  <c r="I111" i="9"/>
  <c r="E111" i="9"/>
  <c r="Q110" i="9"/>
  <c r="M110" i="9"/>
  <c r="I110" i="9"/>
  <c r="E110" i="9"/>
  <c r="Q109" i="9"/>
  <c r="M109" i="9"/>
  <c r="I109" i="9"/>
  <c r="E109" i="9"/>
  <c r="P106" i="9"/>
  <c r="O106" i="9"/>
  <c r="N106" i="9"/>
  <c r="L106" i="9"/>
  <c r="K106" i="9"/>
  <c r="J106" i="9"/>
  <c r="H106" i="9"/>
  <c r="G106" i="9"/>
  <c r="F106" i="9"/>
  <c r="I106" i="9" s="1"/>
  <c r="D106" i="9"/>
  <c r="C106" i="9"/>
  <c r="B106" i="9"/>
  <c r="E106" i="9" s="1"/>
  <c r="Q105" i="9"/>
  <c r="M105" i="9"/>
  <c r="I105" i="9"/>
  <c r="E105" i="9"/>
  <c r="R105" i="9" s="1"/>
  <c r="Q104" i="9"/>
  <c r="M104" i="9"/>
  <c r="I104" i="9"/>
  <c r="E104" i="9"/>
  <c r="R104" i="9" s="1"/>
  <c r="Q103" i="9"/>
  <c r="M103" i="9"/>
  <c r="I103" i="9"/>
  <c r="E103" i="9"/>
  <c r="R103" i="9" s="1"/>
  <c r="Q102" i="9"/>
  <c r="M102" i="9"/>
  <c r="I102" i="9"/>
  <c r="E102" i="9"/>
  <c r="R102" i="9" s="1"/>
  <c r="Q101" i="9"/>
  <c r="M101" i="9"/>
  <c r="I101" i="9"/>
  <c r="E101" i="9"/>
  <c r="Q100" i="9"/>
  <c r="M100" i="9"/>
  <c r="I100" i="9"/>
  <c r="E100" i="9"/>
  <c r="Q99" i="9"/>
  <c r="M99" i="9"/>
  <c r="I99" i="9"/>
  <c r="E99" i="9"/>
  <c r="P95" i="9"/>
  <c r="O95" i="9"/>
  <c r="N95" i="9"/>
  <c r="L95" i="9"/>
  <c r="K95" i="9"/>
  <c r="J95" i="9"/>
  <c r="M95" i="9" s="1"/>
  <c r="H95" i="9"/>
  <c r="G95" i="9"/>
  <c r="F95" i="9"/>
  <c r="D95" i="9"/>
  <c r="C95" i="9"/>
  <c r="B95" i="9"/>
  <c r="Q93" i="9"/>
  <c r="M93" i="9"/>
  <c r="I93" i="9"/>
  <c r="E93" i="9"/>
  <c r="Q92" i="9"/>
  <c r="M92" i="9"/>
  <c r="I92" i="9"/>
  <c r="E92" i="9"/>
  <c r="P88" i="9"/>
  <c r="P125" i="9" s="1"/>
  <c r="P128" i="9" s="1"/>
  <c r="O88" i="9"/>
  <c r="N88" i="9"/>
  <c r="L88" i="9"/>
  <c r="L125" i="9" s="1"/>
  <c r="L128" i="9" s="1"/>
  <c r="K88" i="9"/>
  <c r="J88" i="9"/>
  <c r="H88" i="9"/>
  <c r="H125" i="9" s="1"/>
  <c r="H128" i="9" s="1"/>
  <c r="G88" i="9"/>
  <c r="F88" i="9"/>
  <c r="I88" i="9" s="1"/>
  <c r="D88" i="9"/>
  <c r="C88" i="9"/>
  <c r="B88" i="9"/>
  <c r="Q86" i="9"/>
  <c r="M86" i="9"/>
  <c r="I86" i="9"/>
  <c r="E86" i="9"/>
  <c r="R86" i="9" s="1"/>
  <c r="Q85" i="9"/>
  <c r="M85" i="9"/>
  <c r="I85" i="9"/>
  <c r="E85" i="9"/>
  <c r="Q83" i="9"/>
  <c r="M83" i="9"/>
  <c r="I83" i="9"/>
  <c r="E83" i="9"/>
  <c r="Q82" i="9"/>
  <c r="M82" i="9"/>
  <c r="I82" i="9"/>
  <c r="E82" i="9"/>
  <c r="R82" i="9" s="1"/>
  <c r="Q80" i="9"/>
  <c r="M80" i="9"/>
  <c r="I80" i="9"/>
  <c r="E80" i="9"/>
  <c r="Q79" i="9"/>
  <c r="M79" i="9"/>
  <c r="I79" i="9"/>
  <c r="E79" i="9"/>
  <c r="Q78" i="9"/>
  <c r="M78" i="9"/>
  <c r="I78" i="9"/>
  <c r="E78" i="9"/>
  <c r="Q77" i="9"/>
  <c r="M77" i="9"/>
  <c r="I77" i="9"/>
  <c r="E77" i="9"/>
  <c r="Q76" i="9"/>
  <c r="M76" i="9"/>
  <c r="I76" i="9"/>
  <c r="E76" i="9"/>
  <c r="Q75" i="9"/>
  <c r="M75" i="9"/>
  <c r="I75" i="9"/>
  <c r="E75" i="9"/>
  <c r="Q74" i="9"/>
  <c r="M74" i="9"/>
  <c r="I74" i="9"/>
  <c r="E74" i="9"/>
  <c r="Q73" i="9"/>
  <c r="M73" i="9"/>
  <c r="I73" i="9"/>
  <c r="E73" i="9"/>
  <c r="R73" i="9" s="1"/>
  <c r="Q72" i="9"/>
  <c r="M72" i="9"/>
  <c r="I72" i="9"/>
  <c r="E72" i="9"/>
  <c r="Q60" i="9"/>
  <c r="M60" i="9"/>
  <c r="I60" i="9"/>
  <c r="E60" i="9"/>
  <c r="P58" i="9"/>
  <c r="O58" i="9"/>
  <c r="N58" i="9"/>
  <c r="L58" i="9"/>
  <c r="K58" i="9"/>
  <c r="J58" i="9"/>
  <c r="H58" i="9"/>
  <c r="I58" i="9" s="1"/>
  <c r="G58" i="9"/>
  <c r="F58" i="9"/>
  <c r="D58" i="9"/>
  <c r="D59" i="9" s="1"/>
  <c r="D62" i="9" s="1"/>
  <c r="C58" i="9"/>
  <c r="B58" i="9"/>
  <c r="P57" i="9"/>
  <c r="O57" i="9"/>
  <c r="N57" i="9"/>
  <c r="L57" i="9"/>
  <c r="K57" i="9"/>
  <c r="J57" i="9"/>
  <c r="M57" i="9" s="1"/>
  <c r="H57" i="9"/>
  <c r="G57" i="9"/>
  <c r="F57" i="9"/>
  <c r="I57" i="9" s="1"/>
  <c r="D57" i="9"/>
  <c r="C57" i="9"/>
  <c r="B57" i="9"/>
  <c r="E57" i="9" s="1"/>
  <c r="Q54" i="9"/>
  <c r="M54" i="9"/>
  <c r="I54" i="9"/>
  <c r="E54" i="9"/>
  <c r="R54" i="9" s="1"/>
  <c r="P50" i="9"/>
  <c r="O50" i="9"/>
  <c r="N50" i="9"/>
  <c r="Q50" i="9" s="1"/>
  <c r="L50" i="9"/>
  <c r="K50" i="9"/>
  <c r="J50" i="9"/>
  <c r="H50" i="9"/>
  <c r="G50" i="9"/>
  <c r="F50" i="9"/>
  <c r="D50" i="9"/>
  <c r="C50" i="9"/>
  <c r="B50" i="9"/>
  <c r="P46" i="9"/>
  <c r="O46" i="9"/>
  <c r="N46" i="9"/>
  <c r="M46" i="9"/>
  <c r="L46" i="9"/>
  <c r="K46" i="9"/>
  <c r="J46" i="9"/>
  <c r="I46" i="9"/>
  <c r="H46" i="9"/>
  <c r="G46" i="9"/>
  <c r="F46" i="9"/>
  <c r="E46" i="9"/>
  <c r="D46" i="9"/>
  <c r="C46" i="9"/>
  <c r="B46" i="9"/>
  <c r="P41" i="9"/>
  <c r="P59" i="9" s="1"/>
  <c r="P62" i="9" s="1"/>
  <c r="P63" i="9" s="1"/>
  <c r="O41" i="9"/>
  <c r="N41" i="9"/>
  <c r="L41" i="9"/>
  <c r="M41" i="9" s="1"/>
  <c r="K41" i="9"/>
  <c r="J41" i="9"/>
  <c r="H41" i="9"/>
  <c r="G41" i="9"/>
  <c r="G59" i="9" s="1"/>
  <c r="G62" i="9" s="1"/>
  <c r="F41" i="9"/>
  <c r="D41" i="9"/>
  <c r="C41" i="9"/>
  <c r="C59" i="9" s="1"/>
  <c r="C62" i="9" s="1"/>
  <c r="B41" i="9"/>
  <c r="E41" i="9" s="1"/>
  <c r="Q38" i="9"/>
  <c r="M38" i="9"/>
  <c r="I38" i="9"/>
  <c r="E38" i="9"/>
  <c r="Q27" i="9"/>
  <c r="P27" i="9"/>
  <c r="O27" i="9"/>
  <c r="N27" i="9"/>
  <c r="L27" i="9"/>
  <c r="K27" i="9"/>
  <c r="J27" i="9"/>
  <c r="I27" i="9"/>
  <c r="H27" i="9"/>
  <c r="G27" i="9"/>
  <c r="F27" i="9"/>
  <c r="D27" i="9"/>
  <c r="C27" i="9"/>
  <c r="B27" i="9"/>
  <c r="Q25" i="9"/>
  <c r="M25" i="9"/>
  <c r="I25" i="9"/>
  <c r="E25" i="9"/>
  <c r="R25" i="9" s="1"/>
  <c r="R20" i="9"/>
  <c r="Q20" i="9"/>
  <c r="M20" i="9"/>
  <c r="I20" i="9"/>
  <c r="E20" i="9"/>
  <c r="P18" i="9"/>
  <c r="O18" i="9"/>
  <c r="N18" i="9"/>
  <c r="L18" i="9"/>
  <c r="K18" i="9"/>
  <c r="J18" i="9"/>
  <c r="H18" i="9"/>
  <c r="G18" i="9"/>
  <c r="F18" i="9"/>
  <c r="D18" i="9"/>
  <c r="C18" i="9"/>
  <c r="B18" i="9"/>
  <c r="E18" i="9" s="1"/>
  <c r="P17" i="9"/>
  <c r="O17" i="9"/>
  <c r="N17" i="9"/>
  <c r="Q17" i="9" s="1"/>
  <c r="L17" i="9"/>
  <c r="K17" i="9"/>
  <c r="J17" i="9"/>
  <c r="M17" i="9" s="1"/>
  <c r="I17" i="9"/>
  <c r="H17" i="9"/>
  <c r="G17" i="9"/>
  <c r="F17" i="9"/>
  <c r="D17" i="9"/>
  <c r="C17" i="9"/>
  <c r="B17" i="9"/>
  <c r="P16" i="9"/>
  <c r="Q16" i="9" s="1"/>
  <c r="O16" i="9"/>
  <c r="N16" i="9"/>
  <c r="L16" i="9"/>
  <c r="K16" i="9"/>
  <c r="J16" i="9"/>
  <c r="H16" i="9"/>
  <c r="G16" i="9"/>
  <c r="F16" i="9"/>
  <c r="I16" i="9" s="1"/>
  <c r="D16" i="9"/>
  <c r="C16" i="9"/>
  <c r="B16" i="9"/>
  <c r="E16" i="9" s="1"/>
  <c r="P15" i="9"/>
  <c r="O15" i="9"/>
  <c r="N15" i="9"/>
  <c r="Q15" i="9" s="1"/>
  <c r="L15" i="9"/>
  <c r="K15" i="9"/>
  <c r="J15" i="9"/>
  <c r="M15" i="9" s="1"/>
  <c r="I15" i="9"/>
  <c r="H15" i="9"/>
  <c r="G15" i="9"/>
  <c r="F15" i="9"/>
  <c r="D15" i="9"/>
  <c r="C15" i="9"/>
  <c r="B15" i="9"/>
  <c r="P14" i="9"/>
  <c r="O14" i="9"/>
  <c r="N14" i="9"/>
  <c r="L14" i="9"/>
  <c r="K14" i="9"/>
  <c r="J14" i="9"/>
  <c r="H14" i="9"/>
  <c r="G14" i="9"/>
  <c r="F14" i="9"/>
  <c r="I14" i="9" s="1"/>
  <c r="D14" i="9"/>
  <c r="C14" i="9"/>
  <c r="B14" i="9"/>
  <c r="AO11" i="9"/>
  <c r="AN11" i="9"/>
  <c r="AM11" i="9"/>
  <c r="AL11" i="9"/>
  <c r="AK11" i="9"/>
  <c r="AJ11" i="9"/>
  <c r="AI11" i="9"/>
  <c r="AH11" i="9"/>
  <c r="AG11" i="9"/>
  <c r="AF11" i="9"/>
  <c r="AE11" i="9"/>
  <c r="AD11" i="9"/>
  <c r="O280" i="9"/>
  <c r="AP813" i="9" s="1"/>
  <c r="N280" i="9"/>
  <c r="AP812" i="9" s="1"/>
  <c r="H679" i="9"/>
  <c r="D280" i="9"/>
  <c r="AP805" i="9" s="1"/>
  <c r="C280" i="9"/>
  <c r="AP804" i="9" s="1"/>
  <c r="R1" i="9"/>
  <c r="O1037" i="8"/>
  <c r="K1037" i="8"/>
  <c r="Q1034" i="8"/>
  <c r="N1034" i="8"/>
  <c r="M1034" i="8"/>
  <c r="G1034" i="8"/>
  <c r="I1034" i="8" s="1"/>
  <c r="Q1033" i="8"/>
  <c r="M1033" i="8"/>
  <c r="G1033" i="8"/>
  <c r="I1033" i="8" s="1"/>
  <c r="Q1032" i="8"/>
  <c r="R1034" i="8" s="1"/>
  <c r="M1032" i="8"/>
  <c r="I1032" i="8"/>
  <c r="J1034" i="8" s="1"/>
  <c r="G1032" i="8"/>
  <c r="Q1031" i="8"/>
  <c r="M1031" i="8"/>
  <c r="J1031" i="8"/>
  <c r="I1031" i="8"/>
  <c r="G1031" i="8"/>
  <c r="Q1030" i="8"/>
  <c r="M1030" i="8"/>
  <c r="I1030" i="8"/>
  <c r="G1030" i="8"/>
  <c r="Q1029" i="8"/>
  <c r="M1029" i="8"/>
  <c r="N1031" i="8" s="1"/>
  <c r="I1029" i="8"/>
  <c r="G1029" i="8"/>
  <c r="Q1028" i="8"/>
  <c r="N1028" i="8"/>
  <c r="M1028" i="8"/>
  <c r="G1028" i="8"/>
  <c r="I1028" i="8" s="1"/>
  <c r="Q1027" i="8"/>
  <c r="M1027" i="8"/>
  <c r="M1037" i="8" s="1"/>
  <c r="I1027" i="8"/>
  <c r="G1027" i="8"/>
  <c r="Q1026" i="8"/>
  <c r="R1028" i="8" s="1"/>
  <c r="M1026" i="8"/>
  <c r="I1026" i="8"/>
  <c r="J1028" i="8" s="1"/>
  <c r="G1026" i="8"/>
  <c r="Q1025" i="8"/>
  <c r="M1025" i="8"/>
  <c r="J1025" i="8"/>
  <c r="I1025" i="8"/>
  <c r="G1025" i="8"/>
  <c r="Q1024" i="8"/>
  <c r="M1024" i="8"/>
  <c r="I1024" i="8"/>
  <c r="G1024" i="8"/>
  <c r="G1037" i="8" s="1"/>
  <c r="Q1023" i="8"/>
  <c r="M1023" i="8"/>
  <c r="N1025" i="8" s="1"/>
  <c r="I1023" i="8"/>
  <c r="G1017" i="8"/>
  <c r="O1016" i="8"/>
  <c r="K1016" i="8"/>
  <c r="C1016" i="8"/>
  <c r="I1013" i="8"/>
  <c r="J1010" i="8"/>
  <c r="Q1009" i="8"/>
  <c r="P985" i="8"/>
  <c r="O985" i="8" s="1"/>
  <c r="L985" i="8"/>
  <c r="J985" i="8"/>
  <c r="G985" i="8" s="1"/>
  <c r="C958" i="8" s="1"/>
  <c r="I985" i="8"/>
  <c r="F985" i="8"/>
  <c r="B958" i="8" s="1"/>
  <c r="P984" i="8"/>
  <c r="O984" i="8"/>
  <c r="J984" i="8"/>
  <c r="I984" i="8"/>
  <c r="F984" i="8" s="1"/>
  <c r="B957" i="8" s="1"/>
  <c r="P983" i="8"/>
  <c r="O983" i="8"/>
  <c r="J983" i="8"/>
  <c r="I983" i="8"/>
  <c r="G983" i="8"/>
  <c r="P982" i="8"/>
  <c r="O982" i="8" s="1"/>
  <c r="L982" i="8"/>
  <c r="J982" i="8"/>
  <c r="I982" i="8"/>
  <c r="G982" i="8"/>
  <c r="C955" i="8" s="1"/>
  <c r="F982" i="8"/>
  <c r="P981" i="8"/>
  <c r="O981" i="8" s="1"/>
  <c r="L981" i="8"/>
  <c r="K981" i="8"/>
  <c r="J981" i="8"/>
  <c r="I981" i="8"/>
  <c r="H981" i="8"/>
  <c r="D954" i="8" s="1"/>
  <c r="G981" i="8"/>
  <c r="F981" i="8"/>
  <c r="P980" i="8"/>
  <c r="O980" i="8" s="1"/>
  <c r="L980" i="8"/>
  <c r="K980" i="8"/>
  <c r="J980" i="8"/>
  <c r="I980" i="8"/>
  <c r="F980" i="8" s="1"/>
  <c r="B953" i="8" s="1"/>
  <c r="H980" i="8"/>
  <c r="G980" i="8"/>
  <c r="P979" i="8"/>
  <c r="O979" i="8"/>
  <c r="K979" i="8"/>
  <c r="J979" i="8"/>
  <c r="I979" i="8"/>
  <c r="H979" i="8"/>
  <c r="F979" i="8"/>
  <c r="B952" i="8" s="1"/>
  <c r="P978" i="8"/>
  <c r="O978" i="8"/>
  <c r="J978" i="8"/>
  <c r="I978" i="8"/>
  <c r="F978" i="8" s="1"/>
  <c r="B951" i="8" s="1"/>
  <c r="P977" i="8"/>
  <c r="O977" i="8"/>
  <c r="J977" i="8"/>
  <c r="L977" i="8" s="1"/>
  <c r="I977" i="8"/>
  <c r="F977" i="8" s="1"/>
  <c r="B950" i="8" s="1"/>
  <c r="G977" i="8"/>
  <c r="P976" i="8"/>
  <c r="O976" i="8"/>
  <c r="L976" i="8"/>
  <c r="J976" i="8"/>
  <c r="I976" i="8"/>
  <c r="G976" i="8"/>
  <c r="F976" i="8"/>
  <c r="P975" i="8"/>
  <c r="O975" i="8" s="1"/>
  <c r="L975" i="8"/>
  <c r="J975" i="8"/>
  <c r="G975" i="8" s="1"/>
  <c r="I975" i="8"/>
  <c r="F975" i="8"/>
  <c r="B948" i="8" s="1"/>
  <c r="P974" i="8"/>
  <c r="O974" i="8" s="1"/>
  <c r="J974" i="8"/>
  <c r="I974" i="8"/>
  <c r="F974" i="8" s="1"/>
  <c r="B968" i="8"/>
  <c r="B965" i="8"/>
  <c r="Q964" i="8"/>
  <c r="AD962" i="8"/>
  <c r="AD961" i="8"/>
  <c r="AD960" i="8"/>
  <c r="AD959" i="8"/>
  <c r="C956" i="8"/>
  <c r="B955" i="8"/>
  <c r="C954" i="8"/>
  <c r="B954" i="8"/>
  <c r="AD953" i="8"/>
  <c r="D953" i="8"/>
  <c r="C953" i="8"/>
  <c r="D952" i="8"/>
  <c r="C950" i="8"/>
  <c r="AD949" i="8"/>
  <c r="C949" i="8"/>
  <c r="B949" i="8"/>
  <c r="AD969" i="8" s="1"/>
  <c r="C948" i="8"/>
  <c r="B947" i="8"/>
  <c r="AE944" i="8"/>
  <c r="AW951" i="8" s="1"/>
  <c r="B943" i="8"/>
  <c r="B940" i="8"/>
  <c r="Q939" i="8"/>
  <c r="M917" i="8"/>
  <c r="N908" i="8"/>
  <c r="M908" i="8"/>
  <c r="O908" i="8" s="1"/>
  <c r="L908" i="8"/>
  <c r="K908" i="8"/>
  <c r="J908" i="8"/>
  <c r="I908" i="8"/>
  <c r="H908" i="8"/>
  <c r="O907" i="8"/>
  <c r="O906" i="8"/>
  <c r="J906" i="8"/>
  <c r="O905" i="8"/>
  <c r="J905" i="8"/>
  <c r="O904" i="8"/>
  <c r="J904" i="8"/>
  <c r="O903" i="8"/>
  <c r="J903" i="8"/>
  <c r="O902" i="8"/>
  <c r="J902" i="8"/>
  <c r="O901" i="8"/>
  <c r="J901" i="8"/>
  <c r="AR900" i="8"/>
  <c r="AQ900" i="8"/>
  <c r="AP900" i="8"/>
  <c r="AO900" i="8"/>
  <c r="AN900" i="8"/>
  <c r="AM900" i="8"/>
  <c r="AL900" i="8"/>
  <c r="AK900" i="8"/>
  <c r="AJ900" i="8"/>
  <c r="AI900" i="8"/>
  <c r="AH900" i="8"/>
  <c r="AG900" i="8"/>
  <c r="AF900" i="8"/>
  <c r="AE900" i="8"/>
  <c r="AD900" i="8"/>
  <c r="O900" i="8"/>
  <c r="J900" i="8"/>
  <c r="O899" i="8"/>
  <c r="J899" i="8"/>
  <c r="O898" i="8"/>
  <c r="J898" i="8"/>
  <c r="O897" i="8"/>
  <c r="J897" i="8"/>
  <c r="O896" i="8"/>
  <c r="J896" i="8"/>
  <c r="O895" i="8"/>
  <c r="J895" i="8"/>
  <c r="AD890" i="8"/>
  <c r="AD887" i="8"/>
  <c r="B887" i="8"/>
  <c r="AR886" i="8"/>
  <c r="B886" i="8"/>
  <c r="Q885" i="8"/>
  <c r="F875" i="8"/>
  <c r="G874" i="8"/>
  <c r="F867" i="8"/>
  <c r="AR865" i="8"/>
  <c r="AQ865" i="8"/>
  <c r="AP865" i="8"/>
  <c r="AO865" i="8"/>
  <c r="AN865" i="8"/>
  <c r="AM865" i="8"/>
  <c r="AL865" i="8"/>
  <c r="AK865" i="8"/>
  <c r="AJ865" i="8"/>
  <c r="AI865" i="8"/>
  <c r="AH865" i="8"/>
  <c r="AG865" i="8"/>
  <c r="AF865" i="8"/>
  <c r="AE865" i="8"/>
  <c r="AD865" i="8"/>
  <c r="B860" i="8"/>
  <c r="B857" i="8"/>
  <c r="Q856" i="8"/>
  <c r="AD855" i="8"/>
  <c r="AD852" i="8"/>
  <c r="AR851" i="8"/>
  <c r="AG847" i="8"/>
  <c r="AG845" i="8"/>
  <c r="AH844" i="8"/>
  <c r="AD844" i="8"/>
  <c r="AH843" i="8"/>
  <c r="AD843" i="8"/>
  <c r="AS841" i="8"/>
  <c r="AF841" i="8"/>
  <c r="AG840" i="8"/>
  <c r="AH839" i="8"/>
  <c r="AD839" i="8"/>
  <c r="AE838" i="8"/>
  <c r="AS837" i="8"/>
  <c r="AF837" i="8"/>
  <c r="AG836" i="8"/>
  <c r="AR834" i="8"/>
  <c r="AQ834" i="8"/>
  <c r="AP834" i="8"/>
  <c r="AO834" i="8"/>
  <c r="AG834" i="8"/>
  <c r="AF834" i="8"/>
  <c r="AE834" i="8"/>
  <c r="AD834" i="8"/>
  <c r="B834" i="8"/>
  <c r="B831" i="8"/>
  <c r="Q830" i="8"/>
  <c r="AR829" i="8"/>
  <c r="AG829" i="8"/>
  <c r="AS826" i="8"/>
  <c r="AH826" i="8"/>
  <c r="AS824" i="8"/>
  <c r="T821" i="8"/>
  <c r="G821" i="8"/>
  <c r="F821" i="8"/>
  <c r="F878" i="8" s="1"/>
  <c r="T820" i="8"/>
  <c r="AE811" i="8" s="1"/>
  <c r="G820" i="8"/>
  <c r="F820" i="8"/>
  <c r="T819" i="8"/>
  <c r="G819" i="8"/>
  <c r="F819" i="8"/>
  <c r="F876" i="8" s="1"/>
  <c r="T818" i="8"/>
  <c r="G818" i="8"/>
  <c r="F818" i="8"/>
  <c r="AS844" i="8" s="1"/>
  <c r="T817" i="8"/>
  <c r="G817" i="8"/>
  <c r="F817" i="8"/>
  <c r="AG843" i="8" s="1"/>
  <c r="T816" i="8"/>
  <c r="AE807" i="8" s="1"/>
  <c r="G816" i="8"/>
  <c r="F816" i="8"/>
  <c r="AD807" i="8" s="1"/>
  <c r="T815" i="8"/>
  <c r="G815" i="8"/>
  <c r="F815" i="8"/>
  <c r="AD841" i="8" s="1"/>
  <c r="T814" i="8"/>
  <c r="G814" i="8"/>
  <c r="F814" i="8"/>
  <c r="AD840" i="8" s="1"/>
  <c r="T813" i="8"/>
  <c r="G813" i="8"/>
  <c r="F813" i="8"/>
  <c r="F870" i="8" s="1"/>
  <c r="AE812" i="8"/>
  <c r="AD812" i="8"/>
  <c r="AO812" i="8" s="1"/>
  <c r="T812" i="8"/>
  <c r="AE803" i="8" s="1"/>
  <c r="G812" i="8"/>
  <c r="F812" i="8"/>
  <c r="T811" i="8"/>
  <c r="G811" i="8"/>
  <c r="F811" i="8"/>
  <c r="AH837" i="8" s="1"/>
  <c r="AE810" i="8"/>
  <c r="AD810" i="8"/>
  <c r="T810" i="8"/>
  <c r="G810" i="8"/>
  <c r="F810" i="8"/>
  <c r="AE836" i="8" s="1"/>
  <c r="AE809" i="8"/>
  <c r="AD809" i="8"/>
  <c r="AE808" i="8"/>
  <c r="AD808" i="8"/>
  <c r="AE806" i="8"/>
  <c r="AD806" i="8"/>
  <c r="AE805" i="8"/>
  <c r="AD805" i="8"/>
  <c r="B805" i="8"/>
  <c r="AE804" i="8"/>
  <c r="AO802" i="8"/>
  <c r="AE802" i="8"/>
  <c r="AF802" i="8" s="1"/>
  <c r="AD802" i="8"/>
  <c r="B802" i="8"/>
  <c r="AO801" i="8"/>
  <c r="AF801" i="8"/>
  <c r="AE801" i="8"/>
  <c r="AD801" i="8"/>
  <c r="Q801" i="8"/>
  <c r="AF793" i="8"/>
  <c r="AS792" i="8"/>
  <c r="AN792" i="8"/>
  <c r="J791" i="8"/>
  <c r="B791" i="8"/>
  <c r="A783" i="8"/>
  <c r="A781" i="8"/>
  <c r="Q777" i="8"/>
  <c r="J772" i="8"/>
  <c r="C772" i="8"/>
  <c r="P771" i="8"/>
  <c r="O771" i="8"/>
  <c r="Q771" i="8" s="1"/>
  <c r="N771" i="8"/>
  <c r="L771" i="8"/>
  <c r="K771" i="8"/>
  <c r="M771" i="8" s="1"/>
  <c r="J771" i="8"/>
  <c r="H771" i="8"/>
  <c r="G771" i="8"/>
  <c r="I771" i="8" s="1"/>
  <c r="F771" i="8"/>
  <c r="D771" i="8"/>
  <c r="C771" i="8"/>
  <c r="B771" i="8"/>
  <c r="P770" i="8"/>
  <c r="O770" i="8"/>
  <c r="N770" i="8"/>
  <c r="Q770" i="8" s="1"/>
  <c r="L770" i="8"/>
  <c r="M770" i="8" s="1"/>
  <c r="K770" i="8"/>
  <c r="J770" i="8"/>
  <c r="H770" i="8"/>
  <c r="G770" i="8"/>
  <c r="F770" i="8"/>
  <c r="I770" i="8" s="1"/>
  <c r="E770" i="8"/>
  <c r="D770" i="8"/>
  <c r="C770" i="8"/>
  <c r="B770" i="8"/>
  <c r="P769" i="8"/>
  <c r="O769" i="8"/>
  <c r="O772" i="8" s="1"/>
  <c r="N769" i="8"/>
  <c r="N772" i="8" s="1"/>
  <c r="M769" i="8"/>
  <c r="L769" i="8"/>
  <c r="K769" i="8"/>
  <c r="K772" i="8" s="1"/>
  <c r="J769" i="8"/>
  <c r="H769" i="8"/>
  <c r="H772" i="8" s="1"/>
  <c r="G769" i="8"/>
  <c r="G772" i="8" s="1"/>
  <c r="F769" i="8"/>
  <c r="I769" i="8" s="1"/>
  <c r="D769" i="8"/>
  <c r="D772" i="8" s="1"/>
  <c r="C769" i="8"/>
  <c r="E769" i="8" s="1"/>
  <c r="B769" i="8"/>
  <c r="B772" i="8" s="1"/>
  <c r="P768" i="8"/>
  <c r="O768" i="8"/>
  <c r="N768" i="8"/>
  <c r="Q768" i="8" s="1"/>
  <c r="L768" i="8"/>
  <c r="M768" i="8" s="1"/>
  <c r="K768" i="8"/>
  <c r="J768" i="8"/>
  <c r="H768" i="8"/>
  <c r="G768" i="8"/>
  <c r="F768" i="8"/>
  <c r="I768" i="8" s="1"/>
  <c r="D768" i="8"/>
  <c r="C768" i="8"/>
  <c r="B768" i="8"/>
  <c r="P767" i="8"/>
  <c r="O767" i="8"/>
  <c r="Q767" i="8" s="1"/>
  <c r="N767" i="8"/>
  <c r="M767" i="8"/>
  <c r="L767" i="8"/>
  <c r="K767" i="8"/>
  <c r="J767" i="8"/>
  <c r="H767" i="8"/>
  <c r="G767" i="8"/>
  <c r="F767" i="8"/>
  <c r="I767" i="8" s="1"/>
  <c r="E767" i="8"/>
  <c r="R767" i="8" s="1"/>
  <c r="D767" i="8"/>
  <c r="C767" i="8"/>
  <c r="B767" i="8"/>
  <c r="P766" i="8"/>
  <c r="P773" i="8" s="1"/>
  <c r="P795" i="8" s="1"/>
  <c r="O766" i="8"/>
  <c r="N766" i="8"/>
  <c r="L766" i="8"/>
  <c r="K766" i="8"/>
  <c r="J766" i="8"/>
  <c r="J773" i="8" s="1"/>
  <c r="J795" i="8" s="1"/>
  <c r="H766" i="8"/>
  <c r="H773" i="8" s="1"/>
  <c r="H795" i="8" s="1"/>
  <c r="G766" i="8"/>
  <c r="F766" i="8"/>
  <c r="D766" i="8"/>
  <c r="C766" i="8"/>
  <c r="B766" i="8"/>
  <c r="B773" i="8" s="1"/>
  <c r="B795" i="8" s="1"/>
  <c r="P764" i="8"/>
  <c r="P793" i="8" s="1"/>
  <c r="J764" i="8"/>
  <c r="H764" i="8"/>
  <c r="H793" i="8" s="1"/>
  <c r="Q763" i="8"/>
  <c r="P763" i="8"/>
  <c r="O763" i="8"/>
  <c r="N763" i="8"/>
  <c r="L763" i="8"/>
  <c r="K763" i="8"/>
  <c r="J763" i="8"/>
  <c r="M763" i="8" s="1"/>
  <c r="H763" i="8"/>
  <c r="G763" i="8"/>
  <c r="P762" i="8"/>
  <c r="O762" i="8"/>
  <c r="O764" i="8" s="1"/>
  <c r="O793" i="8" s="1"/>
  <c r="N762" i="8"/>
  <c r="N764" i="8" s="1"/>
  <c r="L762" i="8"/>
  <c r="L764" i="8" s="1"/>
  <c r="L793" i="8" s="1"/>
  <c r="K762" i="8"/>
  <c r="J762" i="8"/>
  <c r="H762" i="8"/>
  <c r="G762" i="8"/>
  <c r="G764" i="8" s="1"/>
  <c r="G793" i="8" s="1"/>
  <c r="F762" i="8"/>
  <c r="I762" i="8" s="1"/>
  <c r="D762" i="8"/>
  <c r="C762" i="8"/>
  <c r="C764" i="8" s="1"/>
  <c r="C793" i="8" s="1"/>
  <c r="B762" i="8"/>
  <c r="K760" i="8"/>
  <c r="K791" i="8" s="1"/>
  <c r="C760" i="8"/>
  <c r="C791" i="8" s="1"/>
  <c r="P759" i="8"/>
  <c r="O759" i="8"/>
  <c r="N759" i="8"/>
  <c r="Q759" i="8" s="1"/>
  <c r="L759" i="8"/>
  <c r="K759" i="8"/>
  <c r="J759" i="8"/>
  <c r="H759" i="8"/>
  <c r="G759" i="8"/>
  <c r="F759" i="8"/>
  <c r="I759" i="8" s="1"/>
  <c r="D759" i="8"/>
  <c r="C759" i="8"/>
  <c r="B759" i="8"/>
  <c r="P758" i="8"/>
  <c r="O758" i="8"/>
  <c r="N758" i="8"/>
  <c r="M758" i="8"/>
  <c r="L758" i="8"/>
  <c r="K758" i="8"/>
  <c r="J758" i="8"/>
  <c r="H758" i="8"/>
  <c r="G758" i="8"/>
  <c r="F758" i="8"/>
  <c r="I758" i="8" s="1"/>
  <c r="E758" i="8"/>
  <c r="D758" i="8"/>
  <c r="C758" i="8"/>
  <c r="B758" i="8"/>
  <c r="P757" i="8"/>
  <c r="P760" i="8" s="1"/>
  <c r="P791" i="8" s="1"/>
  <c r="O757" i="8"/>
  <c r="O760" i="8" s="1"/>
  <c r="O791" i="8" s="1"/>
  <c r="N757" i="8"/>
  <c r="L757" i="8"/>
  <c r="K757" i="8"/>
  <c r="M757" i="8" s="1"/>
  <c r="J757" i="8"/>
  <c r="J760" i="8" s="1"/>
  <c r="H757" i="8"/>
  <c r="H760" i="8" s="1"/>
  <c r="H791" i="8" s="1"/>
  <c r="G757" i="8"/>
  <c r="G760" i="8" s="1"/>
  <c r="G791" i="8" s="1"/>
  <c r="F757" i="8"/>
  <c r="D757" i="8"/>
  <c r="C757" i="8"/>
  <c r="E757" i="8" s="1"/>
  <c r="B757" i="8"/>
  <c r="B760" i="8" s="1"/>
  <c r="H755" i="8"/>
  <c r="B755" i="8"/>
  <c r="Q754" i="8"/>
  <c r="P754" i="8"/>
  <c r="O754" i="8"/>
  <c r="N754" i="8"/>
  <c r="L754" i="8"/>
  <c r="K754" i="8"/>
  <c r="J754" i="8"/>
  <c r="M754" i="8" s="1"/>
  <c r="I754" i="8"/>
  <c r="H754" i="8"/>
  <c r="G754" i="8"/>
  <c r="F754" i="8"/>
  <c r="D754" i="8"/>
  <c r="C754" i="8"/>
  <c r="B754" i="8"/>
  <c r="P753" i="8"/>
  <c r="O753" i="8"/>
  <c r="Q753" i="8" s="1"/>
  <c r="N753" i="8"/>
  <c r="L753" i="8"/>
  <c r="K753" i="8"/>
  <c r="J753" i="8"/>
  <c r="M753" i="8" s="1"/>
  <c r="H753" i="8"/>
  <c r="I753" i="8" s="1"/>
  <c r="G753" i="8"/>
  <c r="F753" i="8"/>
  <c r="D753" i="8"/>
  <c r="C753" i="8"/>
  <c r="B753" i="8"/>
  <c r="Q752" i="8"/>
  <c r="P752" i="8"/>
  <c r="O752" i="8"/>
  <c r="N752" i="8"/>
  <c r="M752" i="8"/>
  <c r="L752" i="8"/>
  <c r="K752" i="8"/>
  <c r="J752" i="8"/>
  <c r="I752" i="8"/>
  <c r="H752" i="8"/>
  <c r="G752" i="8"/>
  <c r="F752" i="8"/>
  <c r="E752" i="8"/>
  <c r="R752" i="8" s="1"/>
  <c r="D752" i="8"/>
  <c r="C752" i="8"/>
  <c r="B752" i="8"/>
  <c r="P751" i="8"/>
  <c r="N751" i="8"/>
  <c r="L751" i="8"/>
  <c r="K751" i="8"/>
  <c r="J751" i="8"/>
  <c r="M751" i="8" s="1"/>
  <c r="H751" i="8"/>
  <c r="G751" i="8"/>
  <c r="F751" i="8"/>
  <c r="I751" i="8" s="1"/>
  <c r="D751" i="8"/>
  <c r="C751" i="8"/>
  <c r="B751" i="8"/>
  <c r="P750" i="8"/>
  <c r="O750" i="8"/>
  <c r="N750" i="8"/>
  <c r="M750" i="8"/>
  <c r="L750" i="8"/>
  <c r="K750" i="8"/>
  <c r="J750" i="8"/>
  <c r="H750" i="8"/>
  <c r="G750" i="8"/>
  <c r="F750" i="8"/>
  <c r="I750" i="8" s="1"/>
  <c r="E750" i="8"/>
  <c r="D750" i="8"/>
  <c r="C750" i="8"/>
  <c r="B750" i="8"/>
  <c r="P749" i="8"/>
  <c r="P755" i="8" s="1"/>
  <c r="O749" i="8"/>
  <c r="L749" i="8"/>
  <c r="L755" i="8" s="1"/>
  <c r="K749" i="8"/>
  <c r="M749" i="8" s="1"/>
  <c r="J749" i="8"/>
  <c r="H749" i="8"/>
  <c r="G749" i="8"/>
  <c r="F749" i="8"/>
  <c r="D749" i="8"/>
  <c r="C749" i="8"/>
  <c r="C755" i="8" s="1"/>
  <c r="B749" i="8"/>
  <c r="E749" i="8" s="1"/>
  <c r="A742" i="8"/>
  <c r="A740" i="8"/>
  <c r="Q736" i="8"/>
  <c r="O733" i="8"/>
  <c r="Q729" i="8"/>
  <c r="M729" i="8"/>
  <c r="I729" i="8"/>
  <c r="E729" i="8"/>
  <c r="R729" i="8" s="1"/>
  <c r="L728" i="8"/>
  <c r="L731" i="8" s="1"/>
  <c r="J728" i="8"/>
  <c r="Q727" i="8"/>
  <c r="P727" i="8"/>
  <c r="O727" i="8"/>
  <c r="N727" i="8"/>
  <c r="M727" i="8"/>
  <c r="L727" i="8"/>
  <c r="K727" i="8"/>
  <c r="J727" i="8"/>
  <c r="I727" i="8"/>
  <c r="H727" i="8"/>
  <c r="G727" i="8"/>
  <c r="F727" i="8"/>
  <c r="E727" i="8"/>
  <c r="R727" i="8" s="1"/>
  <c r="D727" i="8"/>
  <c r="C727" i="8"/>
  <c r="B727" i="8"/>
  <c r="P726" i="8"/>
  <c r="O726" i="8"/>
  <c r="N726" i="8"/>
  <c r="Q726" i="8" s="1"/>
  <c r="L726" i="8"/>
  <c r="K726" i="8"/>
  <c r="J726" i="8"/>
  <c r="M726" i="8" s="1"/>
  <c r="H726" i="8"/>
  <c r="G726" i="8"/>
  <c r="F726" i="8"/>
  <c r="I726" i="8" s="1"/>
  <c r="D726" i="8"/>
  <c r="C726" i="8"/>
  <c r="B726" i="8"/>
  <c r="E726" i="8" s="1"/>
  <c r="Q723" i="8"/>
  <c r="M723" i="8"/>
  <c r="I723" i="8"/>
  <c r="E723" i="8"/>
  <c r="R722" i="8"/>
  <c r="Q722" i="8"/>
  <c r="M722" i="8"/>
  <c r="I722" i="8"/>
  <c r="E722" i="8"/>
  <c r="Q720" i="8"/>
  <c r="M720" i="8"/>
  <c r="I720" i="8"/>
  <c r="E720" i="8"/>
  <c r="Q719" i="8"/>
  <c r="M719" i="8"/>
  <c r="I719" i="8"/>
  <c r="E719" i="8"/>
  <c r="R719" i="8" s="1"/>
  <c r="Q716" i="8"/>
  <c r="P716" i="8"/>
  <c r="O716" i="8"/>
  <c r="N716" i="8"/>
  <c r="L716" i="8"/>
  <c r="K716" i="8"/>
  <c r="J716" i="8"/>
  <c r="I716" i="8"/>
  <c r="H716" i="8"/>
  <c r="G716" i="8"/>
  <c r="F716" i="8"/>
  <c r="D716" i="8"/>
  <c r="C716" i="8"/>
  <c r="B716" i="8"/>
  <c r="E716" i="8" s="1"/>
  <c r="R715" i="8"/>
  <c r="Q715" i="8"/>
  <c r="M715" i="8"/>
  <c r="I715" i="8"/>
  <c r="E715" i="8"/>
  <c r="Q714" i="8"/>
  <c r="M714" i="8"/>
  <c r="I714" i="8"/>
  <c r="E714" i="8"/>
  <c r="Q713" i="8"/>
  <c r="M713" i="8"/>
  <c r="I713" i="8"/>
  <c r="E713" i="8"/>
  <c r="R713" i="8" s="1"/>
  <c r="Q712" i="8"/>
  <c r="M712" i="8"/>
  <c r="I712" i="8"/>
  <c r="E712" i="8"/>
  <c r="Q710" i="8"/>
  <c r="M710" i="8"/>
  <c r="I710" i="8"/>
  <c r="E710" i="8"/>
  <c r="Q709" i="8"/>
  <c r="M709" i="8"/>
  <c r="I709" i="8"/>
  <c r="E709" i="8"/>
  <c r="R709" i="8" s="1"/>
  <c r="P706" i="8"/>
  <c r="O706" i="8"/>
  <c r="N706" i="8"/>
  <c r="L706" i="8"/>
  <c r="K706" i="8"/>
  <c r="J706" i="8"/>
  <c r="M706" i="8" s="1"/>
  <c r="H706" i="8"/>
  <c r="G706" i="8"/>
  <c r="F706" i="8"/>
  <c r="I706" i="8" s="1"/>
  <c r="D706" i="8"/>
  <c r="C706" i="8"/>
  <c r="B706" i="8"/>
  <c r="E706" i="8" s="1"/>
  <c r="Q704" i="8"/>
  <c r="M704" i="8"/>
  <c r="I704" i="8"/>
  <c r="R704" i="8" s="1"/>
  <c r="E704" i="8"/>
  <c r="P701" i="8"/>
  <c r="P728" i="8" s="1"/>
  <c r="P731" i="8" s="1"/>
  <c r="O701" i="8"/>
  <c r="O728" i="8" s="1"/>
  <c r="O731" i="8" s="1"/>
  <c r="N701" i="8"/>
  <c r="L701" i="8"/>
  <c r="K701" i="8"/>
  <c r="J701" i="8"/>
  <c r="M701" i="8" s="1"/>
  <c r="H701" i="8"/>
  <c r="H728" i="8" s="1"/>
  <c r="H731" i="8" s="1"/>
  <c r="G701" i="8"/>
  <c r="G728" i="8" s="1"/>
  <c r="G731" i="8" s="1"/>
  <c r="F701" i="8"/>
  <c r="D701" i="8"/>
  <c r="D728" i="8" s="1"/>
  <c r="D731" i="8" s="1"/>
  <c r="C701" i="8"/>
  <c r="B701" i="8"/>
  <c r="Q699" i="8"/>
  <c r="M699" i="8"/>
  <c r="I699" i="8"/>
  <c r="E699" i="8"/>
  <c r="R699" i="8" s="1"/>
  <c r="R696" i="8"/>
  <c r="Q696" i="8"/>
  <c r="M696" i="8"/>
  <c r="I696" i="8"/>
  <c r="E696" i="8"/>
  <c r="Q695" i="8"/>
  <c r="M695" i="8"/>
  <c r="I695" i="8"/>
  <c r="R695" i="8" s="1"/>
  <c r="E695" i="8"/>
  <c r="Q694" i="8"/>
  <c r="M694" i="8"/>
  <c r="I694" i="8"/>
  <c r="E694" i="8"/>
  <c r="R694" i="8" s="1"/>
  <c r="Q682" i="8"/>
  <c r="M682" i="8"/>
  <c r="I682" i="8"/>
  <c r="E682" i="8"/>
  <c r="R682" i="8" s="1"/>
  <c r="Q681" i="8"/>
  <c r="M681" i="8"/>
  <c r="I681" i="8"/>
  <c r="E681" i="8"/>
  <c r="P679" i="8"/>
  <c r="O679" i="8"/>
  <c r="N679" i="8"/>
  <c r="M679" i="8"/>
  <c r="L679" i="8"/>
  <c r="K679" i="8"/>
  <c r="J679" i="8"/>
  <c r="H679" i="8"/>
  <c r="G679" i="8"/>
  <c r="F679" i="8"/>
  <c r="E679" i="8"/>
  <c r="D679" i="8"/>
  <c r="C679" i="8"/>
  <c r="B679" i="8"/>
  <c r="P678" i="8"/>
  <c r="O678" i="8"/>
  <c r="N678" i="8"/>
  <c r="L678" i="8"/>
  <c r="K678" i="8"/>
  <c r="J678" i="8"/>
  <c r="M678" i="8" s="1"/>
  <c r="H678" i="8"/>
  <c r="G678" i="8"/>
  <c r="F678" i="8"/>
  <c r="D678" i="8"/>
  <c r="C678" i="8"/>
  <c r="B678" i="8"/>
  <c r="E678" i="8" s="1"/>
  <c r="P672" i="8"/>
  <c r="O672" i="8"/>
  <c r="N672" i="8"/>
  <c r="L672" i="8"/>
  <c r="K672" i="8"/>
  <c r="J672" i="8"/>
  <c r="M672" i="8" s="1"/>
  <c r="H672" i="8"/>
  <c r="G672" i="8"/>
  <c r="F672" i="8"/>
  <c r="D672" i="8"/>
  <c r="C672" i="8"/>
  <c r="B672" i="8"/>
  <c r="E672" i="8" s="1"/>
  <c r="Q668" i="8"/>
  <c r="P668" i="8"/>
  <c r="O668" i="8"/>
  <c r="N668" i="8"/>
  <c r="L668" i="8"/>
  <c r="L680" i="8" s="1"/>
  <c r="L684" i="8" s="1"/>
  <c r="K668" i="8"/>
  <c r="J668" i="8"/>
  <c r="M668" i="8" s="1"/>
  <c r="I668" i="8"/>
  <c r="H668" i="8"/>
  <c r="G668" i="8"/>
  <c r="F668" i="8"/>
  <c r="D668" i="8"/>
  <c r="D680" i="8" s="1"/>
  <c r="D684" i="8" s="1"/>
  <c r="C668" i="8"/>
  <c r="B668" i="8"/>
  <c r="E668" i="8" s="1"/>
  <c r="Q664" i="8"/>
  <c r="P664" i="8"/>
  <c r="O664" i="8"/>
  <c r="O680" i="8" s="1"/>
  <c r="O684" i="8" s="1"/>
  <c r="N664" i="8"/>
  <c r="L664" i="8"/>
  <c r="K664" i="8"/>
  <c r="K680" i="8" s="1"/>
  <c r="K684" i="8" s="1"/>
  <c r="K686" i="8" s="1"/>
  <c r="J664" i="8"/>
  <c r="I664" i="8"/>
  <c r="H664" i="8"/>
  <c r="G664" i="8"/>
  <c r="G680" i="8" s="1"/>
  <c r="G684" i="8" s="1"/>
  <c r="F664" i="8"/>
  <c r="D664" i="8"/>
  <c r="C664" i="8"/>
  <c r="C680" i="8" s="1"/>
  <c r="C684" i="8" s="1"/>
  <c r="B664" i="8"/>
  <c r="Q660" i="8"/>
  <c r="M660" i="8"/>
  <c r="I660" i="8"/>
  <c r="E660" i="8"/>
  <c r="R660" i="8" s="1"/>
  <c r="Q650" i="8"/>
  <c r="P650" i="8"/>
  <c r="O650" i="8"/>
  <c r="N650" i="8"/>
  <c r="L650" i="8"/>
  <c r="K650" i="8"/>
  <c r="J650" i="8"/>
  <c r="I650" i="8"/>
  <c r="H650" i="8"/>
  <c r="G650" i="8"/>
  <c r="F650" i="8"/>
  <c r="D650" i="8"/>
  <c r="C650" i="8"/>
  <c r="B650" i="8"/>
  <c r="R648" i="8"/>
  <c r="Q648" i="8"/>
  <c r="M648" i="8"/>
  <c r="I648" i="8"/>
  <c r="E648" i="8"/>
  <c r="Q638" i="8"/>
  <c r="R638" i="8" s="1"/>
  <c r="M638" i="8"/>
  <c r="I638" i="8"/>
  <c r="E638" i="8"/>
  <c r="N637" i="8"/>
  <c r="F637" i="8"/>
  <c r="P636" i="8"/>
  <c r="O636" i="8"/>
  <c r="N636" i="8"/>
  <c r="L636" i="8"/>
  <c r="K636" i="8"/>
  <c r="J636" i="8"/>
  <c r="M636" i="8" s="1"/>
  <c r="H636" i="8"/>
  <c r="G636" i="8"/>
  <c r="F636" i="8"/>
  <c r="D636" i="8"/>
  <c r="C636" i="8"/>
  <c r="B636" i="8"/>
  <c r="E636" i="8" s="1"/>
  <c r="P635" i="8"/>
  <c r="Q635" i="8" s="1"/>
  <c r="O635" i="8"/>
  <c r="N635" i="8"/>
  <c r="L635" i="8"/>
  <c r="K635" i="8"/>
  <c r="J635" i="8"/>
  <c r="M635" i="8" s="1"/>
  <c r="H635" i="8"/>
  <c r="I635" i="8" s="1"/>
  <c r="G635" i="8"/>
  <c r="F635" i="8"/>
  <c r="D635" i="8"/>
  <c r="C635" i="8"/>
  <c r="B635" i="8"/>
  <c r="E635" i="8" s="1"/>
  <c r="Q632" i="8"/>
  <c r="R632" i="8" s="1"/>
  <c r="M632" i="8"/>
  <c r="I632" i="8"/>
  <c r="E632" i="8"/>
  <c r="Q631" i="8"/>
  <c r="M631" i="8"/>
  <c r="I631" i="8"/>
  <c r="E631" i="8"/>
  <c r="R631" i="8" s="1"/>
  <c r="Q630" i="8"/>
  <c r="M630" i="8"/>
  <c r="I630" i="8"/>
  <c r="E630" i="8"/>
  <c r="R630" i="8" s="1"/>
  <c r="Q629" i="8"/>
  <c r="M629" i="8"/>
  <c r="I629" i="8"/>
  <c r="R629" i="8" s="1"/>
  <c r="E629" i="8"/>
  <c r="P625" i="8"/>
  <c r="O625" i="8"/>
  <c r="N625" i="8"/>
  <c r="Q625" i="8" s="1"/>
  <c r="M625" i="8"/>
  <c r="L625" i="8"/>
  <c r="K625" i="8"/>
  <c r="J625" i="8"/>
  <c r="H625" i="8"/>
  <c r="G625" i="8"/>
  <c r="F625" i="8"/>
  <c r="I625" i="8" s="1"/>
  <c r="E625" i="8"/>
  <c r="D625" i="8"/>
  <c r="C625" i="8"/>
  <c r="B625" i="8"/>
  <c r="Q624" i="8"/>
  <c r="M624" i="8"/>
  <c r="I624" i="8"/>
  <c r="E624" i="8"/>
  <c r="R624" i="8" s="1"/>
  <c r="Q623" i="8"/>
  <c r="M623" i="8"/>
  <c r="I623" i="8"/>
  <c r="E623" i="8"/>
  <c r="R623" i="8" s="1"/>
  <c r="Q622" i="8"/>
  <c r="M622" i="8"/>
  <c r="I622" i="8"/>
  <c r="E622" i="8"/>
  <c r="Q621" i="8"/>
  <c r="M621" i="8"/>
  <c r="I621" i="8"/>
  <c r="E621" i="8"/>
  <c r="R621" i="8" s="1"/>
  <c r="R619" i="8"/>
  <c r="Q619" i="8"/>
  <c r="M619" i="8"/>
  <c r="I619" i="8"/>
  <c r="E619" i="8"/>
  <c r="P616" i="8"/>
  <c r="O616" i="8"/>
  <c r="N616" i="8"/>
  <c r="Q616" i="8" s="1"/>
  <c r="L616" i="8"/>
  <c r="K616" i="8"/>
  <c r="J616" i="8"/>
  <c r="M616" i="8" s="1"/>
  <c r="H616" i="8"/>
  <c r="G616" i="8"/>
  <c r="G637" i="8" s="1"/>
  <c r="G640" i="8" s="1"/>
  <c r="F616" i="8"/>
  <c r="I616" i="8" s="1"/>
  <c r="D616" i="8"/>
  <c r="C616" i="8"/>
  <c r="B616" i="8"/>
  <c r="E616" i="8" s="1"/>
  <c r="P612" i="8"/>
  <c r="O612" i="8"/>
  <c r="N612" i="8"/>
  <c r="L612" i="8"/>
  <c r="L637" i="8" s="1"/>
  <c r="L640" i="8" s="1"/>
  <c r="K612" i="8"/>
  <c r="K637" i="8" s="1"/>
  <c r="K640" i="8" s="1"/>
  <c r="J612" i="8"/>
  <c r="M612" i="8" s="1"/>
  <c r="H612" i="8"/>
  <c r="G612" i="8"/>
  <c r="F612" i="8"/>
  <c r="D612" i="8"/>
  <c r="D637" i="8" s="1"/>
  <c r="D640" i="8" s="1"/>
  <c r="C612" i="8"/>
  <c r="C637" i="8" s="1"/>
  <c r="C640" i="8" s="1"/>
  <c r="B612" i="8"/>
  <c r="E612" i="8" s="1"/>
  <c r="Q608" i="8"/>
  <c r="R608" i="8" s="1"/>
  <c r="M608" i="8"/>
  <c r="I608" i="8"/>
  <c r="E608" i="8"/>
  <c r="Q607" i="8"/>
  <c r="M607" i="8"/>
  <c r="I607" i="8"/>
  <c r="E607" i="8"/>
  <c r="R607" i="8" s="1"/>
  <c r="Q606" i="8"/>
  <c r="M606" i="8"/>
  <c r="I606" i="8"/>
  <c r="E606" i="8"/>
  <c r="R606" i="8" s="1"/>
  <c r="R594" i="8"/>
  <c r="Q594" i="8"/>
  <c r="M594" i="8"/>
  <c r="I594" i="8"/>
  <c r="E594" i="8"/>
  <c r="O593" i="8"/>
  <c r="O596" i="8" s="1"/>
  <c r="P592" i="8"/>
  <c r="Q592" i="8" s="1"/>
  <c r="O592" i="8"/>
  <c r="N592" i="8"/>
  <c r="L592" i="8"/>
  <c r="K592" i="8"/>
  <c r="J592" i="8"/>
  <c r="M592" i="8" s="1"/>
  <c r="H592" i="8"/>
  <c r="I592" i="8" s="1"/>
  <c r="G592" i="8"/>
  <c r="F592" i="8"/>
  <c r="D592" i="8"/>
  <c r="C592" i="8"/>
  <c r="B592" i="8"/>
  <c r="E592" i="8" s="1"/>
  <c r="Q591" i="8"/>
  <c r="P591" i="8"/>
  <c r="O591" i="8"/>
  <c r="N591" i="8"/>
  <c r="L591" i="8"/>
  <c r="K591" i="8"/>
  <c r="J591" i="8"/>
  <c r="M591" i="8" s="1"/>
  <c r="I591" i="8"/>
  <c r="H591" i="8"/>
  <c r="G591" i="8"/>
  <c r="F591" i="8"/>
  <c r="D591" i="8"/>
  <c r="C591" i="8"/>
  <c r="B591" i="8"/>
  <c r="E591" i="8" s="1"/>
  <c r="R591" i="8" s="1"/>
  <c r="R588" i="8"/>
  <c r="Q588" i="8"/>
  <c r="M588" i="8"/>
  <c r="I588" i="8"/>
  <c r="E588" i="8"/>
  <c r="P584" i="8"/>
  <c r="O584" i="8"/>
  <c r="N584" i="8"/>
  <c r="N593" i="8" s="1"/>
  <c r="L584" i="8"/>
  <c r="K584" i="8"/>
  <c r="J584" i="8"/>
  <c r="M584" i="8" s="1"/>
  <c r="H584" i="8"/>
  <c r="G584" i="8"/>
  <c r="G593" i="8" s="1"/>
  <c r="G596" i="8" s="1"/>
  <c r="F584" i="8"/>
  <c r="F593" i="8" s="1"/>
  <c r="D584" i="8"/>
  <c r="C584" i="8"/>
  <c r="B584" i="8"/>
  <c r="E584" i="8" s="1"/>
  <c r="P580" i="8"/>
  <c r="O580" i="8"/>
  <c r="N580" i="8"/>
  <c r="L580" i="8"/>
  <c r="K580" i="8"/>
  <c r="J580" i="8"/>
  <c r="M580" i="8" s="1"/>
  <c r="H580" i="8"/>
  <c r="G580" i="8"/>
  <c r="F580" i="8"/>
  <c r="D580" i="8"/>
  <c r="C580" i="8"/>
  <c r="B580" i="8"/>
  <c r="E580" i="8" s="1"/>
  <c r="Q576" i="8"/>
  <c r="P576" i="8"/>
  <c r="O576" i="8"/>
  <c r="N576" i="8"/>
  <c r="L576" i="8"/>
  <c r="L593" i="8" s="1"/>
  <c r="L596" i="8" s="1"/>
  <c r="K576" i="8"/>
  <c r="K593" i="8" s="1"/>
  <c r="K596" i="8" s="1"/>
  <c r="J576" i="8"/>
  <c r="M576" i="8" s="1"/>
  <c r="I576" i="8"/>
  <c r="H576" i="8"/>
  <c r="G576" i="8"/>
  <c r="F576" i="8"/>
  <c r="D576" i="8"/>
  <c r="D593" i="8" s="1"/>
  <c r="D596" i="8" s="1"/>
  <c r="C576" i="8"/>
  <c r="C593" i="8" s="1"/>
  <c r="C596" i="8" s="1"/>
  <c r="B576" i="8"/>
  <c r="E576" i="8" s="1"/>
  <c r="R572" i="8"/>
  <c r="Q572" i="8"/>
  <c r="M572" i="8"/>
  <c r="I572" i="8"/>
  <c r="E572" i="8"/>
  <c r="Q571" i="8"/>
  <c r="M571" i="8"/>
  <c r="I571" i="8"/>
  <c r="R571" i="8" s="1"/>
  <c r="E571" i="8"/>
  <c r="Q570" i="8"/>
  <c r="M570" i="8"/>
  <c r="I570" i="8"/>
  <c r="E570" i="8"/>
  <c r="R570" i="8" s="1"/>
  <c r="Q560" i="8"/>
  <c r="P560" i="8"/>
  <c r="O560" i="8"/>
  <c r="N560" i="8"/>
  <c r="L560" i="8"/>
  <c r="K560" i="8"/>
  <c r="J560" i="8"/>
  <c r="I560" i="8"/>
  <c r="H560" i="8"/>
  <c r="G560" i="8"/>
  <c r="F560" i="8"/>
  <c r="D560" i="8"/>
  <c r="C560" i="8"/>
  <c r="B560" i="8"/>
  <c r="Q558" i="8"/>
  <c r="M558" i="8"/>
  <c r="I558" i="8"/>
  <c r="E558" i="8"/>
  <c r="R558" i="8" s="1"/>
  <c r="R548" i="8"/>
  <c r="Q548" i="8"/>
  <c r="M548" i="8"/>
  <c r="I548" i="8"/>
  <c r="E548" i="8"/>
  <c r="O547" i="8"/>
  <c r="O550" i="8" s="1"/>
  <c r="G547" i="8"/>
  <c r="G550" i="8" s="1"/>
  <c r="P546" i="8"/>
  <c r="Q546" i="8" s="1"/>
  <c r="O546" i="8"/>
  <c r="N546" i="8"/>
  <c r="L546" i="8"/>
  <c r="K546" i="8"/>
  <c r="J546" i="8"/>
  <c r="M546" i="8" s="1"/>
  <c r="H546" i="8"/>
  <c r="I546" i="8" s="1"/>
  <c r="G546" i="8"/>
  <c r="F546" i="8"/>
  <c r="D546" i="8"/>
  <c r="C546" i="8"/>
  <c r="B546" i="8"/>
  <c r="E546" i="8" s="1"/>
  <c r="Q545" i="8"/>
  <c r="P545" i="8"/>
  <c r="O545" i="8"/>
  <c r="N545" i="8"/>
  <c r="L545" i="8"/>
  <c r="K545" i="8"/>
  <c r="J545" i="8"/>
  <c r="M545" i="8" s="1"/>
  <c r="I545" i="8"/>
  <c r="H545" i="8"/>
  <c r="G545" i="8"/>
  <c r="F545" i="8"/>
  <c r="D545" i="8"/>
  <c r="C545" i="8"/>
  <c r="B545" i="8"/>
  <c r="E545" i="8" s="1"/>
  <c r="R545" i="8" s="1"/>
  <c r="R544" i="8"/>
  <c r="Q544" i="8"/>
  <c r="M544" i="8"/>
  <c r="I544" i="8"/>
  <c r="E544" i="8"/>
  <c r="Q543" i="8"/>
  <c r="M543" i="8"/>
  <c r="I543" i="8"/>
  <c r="R543" i="8" s="1"/>
  <c r="E543" i="8"/>
  <c r="Q540" i="8"/>
  <c r="M540" i="8"/>
  <c r="I540" i="8"/>
  <c r="E540" i="8"/>
  <c r="R540" i="8" s="1"/>
  <c r="Q539" i="8"/>
  <c r="R539" i="8" s="1"/>
  <c r="M539" i="8"/>
  <c r="I539" i="8"/>
  <c r="E539" i="8"/>
  <c r="Q538" i="8"/>
  <c r="M538" i="8"/>
  <c r="I538" i="8"/>
  <c r="E538" i="8"/>
  <c r="R538" i="8" s="1"/>
  <c r="Q537" i="8"/>
  <c r="M537" i="8"/>
  <c r="I537" i="8"/>
  <c r="E537" i="8"/>
  <c r="R537" i="8" s="1"/>
  <c r="Q535" i="8"/>
  <c r="M535" i="8"/>
  <c r="I535" i="8"/>
  <c r="E535" i="8"/>
  <c r="Q534" i="8"/>
  <c r="M534" i="8"/>
  <c r="I534" i="8"/>
  <c r="E534" i="8"/>
  <c r="R534" i="8" s="1"/>
  <c r="Q531" i="8"/>
  <c r="P531" i="8"/>
  <c r="O531" i="8"/>
  <c r="N531" i="8"/>
  <c r="L531" i="8"/>
  <c r="K531" i="8"/>
  <c r="J531" i="8"/>
  <c r="M531" i="8" s="1"/>
  <c r="I531" i="8"/>
  <c r="H531" i="8"/>
  <c r="G531" i="8"/>
  <c r="F531" i="8"/>
  <c r="D531" i="8"/>
  <c r="C531" i="8"/>
  <c r="B531" i="8"/>
  <c r="E531" i="8" s="1"/>
  <c r="R531" i="8" s="1"/>
  <c r="Q530" i="8"/>
  <c r="M530" i="8"/>
  <c r="I530" i="8"/>
  <c r="E530" i="8"/>
  <c r="R530" i="8" s="1"/>
  <c r="P526" i="8"/>
  <c r="O526" i="8"/>
  <c r="N526" i="8"/>
  <c r="L526" i="8"/>
  <c r="K526" i="8"/>
  <c r="J526" i="8"/>
  <c r="M526" i="8" s="1"/>
  <c r="H526" i="8"/>
  <c r="G526" i="8"/>
  <c r="F526" i="8"/>
  <c r="D526" i="8"/>
  <c r="C526" i="8"/>
  <c r="B526" i="8"/>
  <c r="E526" i="8" s="1"/>
  <c r="Q524" i="8"/>
  <c r="R524" i="8" s="1"/>
  <c r="M524" i="8"/>
  <c r="I524" i="8"/>
  <c r="E524" i="8"/>
  <c r="Q523" i="8"/>
  <c r="M523" i="8"/>
  <c r="I523" i="8"/>
  <c r="E523" i="8"/>
  <c r="R523" i="8" s="1"/>
  <c r="P520" i="8"/>
  <c r="O520" i="8"/>
  <c r="N520" i="8"/>
  <c r="N547" i="8" s="1"/>
  <c r="L520" i="8"/>
  <c r="L547" i="8" s="1"/>
  <c r="L550" i="8" s="1"/>
  <c r="K520" i="8"/>
  <c r="K547" i="8" s="1"/>
  <c r="K550" i="8" s="1"/>
  <c r="J520" i="8"/>
  <c r="H520" i="8"/>
  <c r="G520" i="8"/>
  <c r="F520" i="8"/>
  <c r="F547" i="8" s="1"/>
  <c r="D520" i="8"/>
  <c r="D547" i="8" s="1"/>
  <c r="D550" i="8" s="1"/>
  <c r="C520" i="8"/>
  <c r="C547" i="8" s="1"/>
  <c r="C550" i="8" s="1"/>
  <c r="B520" i="8"/>
  <c r="Q518" i="8"/>
  <c r="M518" i="8"/>
  <c r="I518" i="8"/>
  <c r="E518" i="8"/>
  <c r="R518" i="8" s="1"/>
  <c r="Q516" i="8"/>
  <c r="R516" i="8" s="1"/>
  <c r="M516" i="8"/>
  <c r="I516" i="8"/>
  <c r="E516" i="8"/>
  <c r="Q514" i="8"/>
  <c r="M514" i="8"/>
  <c r="I514" i="8"/>
  <c r="E514" i="8"/>
  <c r="R514" i="8" s="1"/>
  <c r="Q513" i="8"/>
  <c r="M513" i="8"/>
  <c r="I513" i="8"/>
  <c r="E513" i="8"/>
  <c r="R513" i="8" s="1"/>
  <c r="Q512" i="8"/>
  <c r="M512" i="8"/>
  <c r="I512" i="8"/>
  <c r="R512" i="8" s="1"/>
  <c r="E512" i="8"/>
  <c r="Q511" i="8"/>
  <c r="M511" i="8"/>
  <c r="I511" i="8"/>
  <c r="E511" i="8"/>
  <c r="R511" i="8" s="1"/>
  <c r="R510" i="8"/>
  <c r="Q510" i="8"/>
  <c r="M510" i="8"/>
  <c r="I510" i="8"/>
  <c r="E510" i="8"/>
  <c r="Q509" i="8"/>
  <c r="M509" i="8"/>
  <c r="I509" i="8"/>
  <c r="R509" i="8" s="1"/>
  <c r="E509" i="8"/>
  <c r="Q508" i="8"/>
  <c r="M508" i="8"/>
  <c r="I508" i="8"/>
  <c r="E508" i="8"/>
  <c r="R508" i="8" s="1"/>
  <c r="Q507" i="8"/>
  <c r="R507" i="8" s="1"/>
  <c r="M507" i="8"/>
  <c r="I507" i="8"/>
  <c r="E507" i="8"/>
  <c r="P497" i="8"/>
  <c r="H497" i="8"/>
  <c r="Q495" i="8"/>
  <c r="M495" i="8"/>
  <c r="I495" i="8"/>
  <c r="E495" i="8"/>
  <c r="P494" i="8"/>
  <c r="H494" i="8"/>
  <c r="P493" i="8"/>
  <c r="O493" i="8"/>
  <c r="N493" i="8"/>
  <c r="Q493" i="8" s="1"/>
  <c r="M493" i="8"/>
  <c r="L493" i="8"/>
  <c r="K493" i="8"/>
  <c r="J493" i="8"/>
  <c r="H493" i="8"/>
  <c r="G493" i="8"/>
  <c r="F493" i="8"/>
  <c r="I493" i="8" s="1"/>
  <c r="E493" i="8"/>
  <c r="D493" i="8"/>
  <c r="C493" i="8"/>
  <c r="B493" i="8"/>
  <c r="P492" i="8"/>
  <c r="O492" i="8"/>
  <c r="N492" i="8"/>
  <c r="Q492" i="8" s="1"/>
  <c r="L492" i="8"/>
  <c r="K492" i="8"/>
  <c r="J492" i="8"/>
  <c r="M492" i="8" s="1"/>
  <c r="H492" i="8"/>
  <c r="G492" i="8"/>
  <c r="F492" i="8"/>
  <c r="I492" i="8" s="1"/>
  <c r="D492" i="8"/>
  <c r="C492" i="8"/>
  <c r="B492" i="8"/>
  <c r="E492" i="8" s="1"/>
  <c r="Q491" i="8"/>
  <c r="M491" i="8"/>
  <c r="I491" i="8"/>
  <c r="R491" i="8" s="1"/>
  <c r="E491" i="8"/>
  <c r="Q490" i="8"/>
  <c r="M490" i="8"/>
  <c r="I490" i="8"/>
  <c r="E490" i="8"/>
  <c r="R490" i="8" s="1"/>
  <c r="R489" i="8"/>
  <c r="Q489" i="8"/>
  <c r="M489" i="8"/>
  <c r="I489" i="8"/>
  <c r="E489" i="8"/>
  <c r="Q487" i="8"/>
  <c r="M487" i="8"/>
  <c r="I487" i="8"/>
  <c r="R487" i="8" s="1"/>
  <c r="E487" i="8"/>
  <c r="P482" i="8"/>
  <c r="O482" i="8"/>
  <c r="N482" i="8"/>
  <c r="Q482" i="8" s="1"/>
  <c r="L482" i="8"/>
  <c r="K482" i="8"/>
  <c r="J482" i="8"/>
  <c r="H482" i="8"/>
  <c r="G482" i="8"/>
  <c r="F482" i="8"/>
  <c r="I482" i="8" s="1"/>
  <c r="D482" i="8"/>
  <c r="C482" i="8"/>
  <c r="B482" i="8"/>
  <c r="Q481" i="8"/>
  <c r="M481" i="8"/>
  <c r="I481" i="8"/>
  <c r="E481" i="8"/>
  <c r="R481" i="8" s="1"/>
  <c r="Q477" i="8"/>
  <c r="P477" i="8"/>
  <c r="O477" i="8"/>
  <c r="N477" i="8"/>
  <c r="L477" i="8"/>
  <c r="K477" i="8"/>
  <c r="J477" i="8"/>
  <c r="M477" i="8" s="1"/>
  <c r="I477" i="8"/>
  <c r="H477" i="8"/>
  <c r="G477" i="8"/>
  <c r="F477" i="8"/>
  <c r="D477" i="8"/>
  <c r="C477" i="8"/>
  <c r="B477" i="8"/>
  <c r="E477" i="8" s="1"/>
  <c r="R477" i="8" s="1"/>
  <c r="Q475" i="8"/>
  <c r="M475" i="8"/>
  <c r="I475" i="8"/>
  <c r="E475" i="8"/>
  <c r="R475" i="8" s="1"/>
  <c r="Q474" i="8"/>
  <c r="R474" i="8" s="1"/>
  <c r="S474" i="8" s="1"/>
  <c r="M474" i="8"/>
  <c r="I474" i="8"/>
  <c r="E474" i="8"/>
  <c r="P471" i="8"/>
  <c r="O471" i="8"/>
  <c r="O494" i="8" s="1"/>
  <c r="O497" i="8" s="1"/>
  <c r="N471" i="8"/>
  <c r="M471" i="8"/>
  <c r="L471" i="8"/>
  <c r="K471" i="8"/>
  <c r="K494" i="8" s="1"/>
  <c r="K497" i="8" s="1"/>
  <c r="J471" i="8"/>
  <c r="H471" i="8"/>
  <c r="G471" i="8"/>
  <c r="G494" i="8" s="1"/>
  <c r="G497" i="8" s="1"/>
  <c r="F471" i="8"/>
  <c r="E471" i="8"/>
  <c r="D471" i="8"/>
  <c r="C471" i="8"/>
  <c r="C494" i="8" s="1"/>
  <c r="C497" i="8" s="1"/>
  <c r="B471" i="8"/>
  <c r="Q467" i="8"/>
  <c r="M467" i="8"/>
  <c r="I467" i="8"/>
  <c r="R467" i="8" s="1"/>
  <c r="E467" i="8"/>
  <c r="Q466" i="8"/>
  <c r="M466" i="8"/>
  <c r="I466" i="8"/>
  <c r="E466" i="8"/>
  <c r="R466" i="8" s="1"/>
  <c r="Q465" i="8"/>
  <c r="R465" i="8" s="1"/>
  <c r="M465" i="8"/>
  <c r="I465" i="8"/>
  <c r="E465" i="8"/>
  <c r="Q453" i="8"/>
  <c r="M453" i="8"/>
  <c r="I453" i="8"/>
  <c r="E453" i="8"/>
  <c r="L452" i="8"/>
  <c r="L455" i="8" s="1"/>
  <c r="E452" i="8"/>
  <c r="D452" i="8"/>
  <c r="D455" i="8" s="1"/>
  <c r="P451" i="8"/>
  <c r="O451" i="8"/>
  <c r="N451" i="8"/>
  <c r="Q451" i="8" s="1"/>
  <c r="M451" i="8"/>
  <c r="L451" i="8"/>
  <c r="K451" i="8"/>
  <c r="J451" i="8"/>
  <c r="H451" i="8"/>
  <c r="G451" i="8"/>
  <c r="F451" i="8"/>
  <c r="I451" i="8" s="1"/>
  <c r="E451" i="8"/>
  <c r="D451" i="8"/>
  <c r="C451" i="8"/>
  <c r="B451" i="8"/>
  <c r="P450" i="8"/>
  <c r="O450" i="8"/>
  <c r="N450" i="8"/>
  <c r="L450" i="8"/>
  <c r="K450" i="8"/>
  <c r="J450" i="8"/>
  <c r="M450" i="8" s="1"/>
  <c r="H450" i="8"/>
  <c r="G450" i="8"/>
  <c r="F450" i="8"/>
  <c r="I450" i="8" s="1"/>
  <c r="D450" i="8"/>
  <c r="C450" i="8"/>
  <c r="B450" i="8"/>
  <c r="E450" i="8" s="1"/>
  <c r="Q449" i="8"/>
  <c r="M449" i="8"/>
  <c r="I449" i="8"/>
  <c r="E449" i="8"/>
  <c r="Q448" i="8"/>
  <c r="M448" i="8"/>
  <c r="I448" i="8"/>
  <c r="E448" i="8"/>
  <c r="R448" i="8" s="1"/>
  <c r="Q442" i="8"/>
  <c r="P442" i="8"/>
  <c r="O442" i="8"/>
  <c r="N442" i="8"/>
  <c r="L442" i="8"/>
  <c r="K442" i="8"/>
  <c r="J442" i="8"/>
  <c r="M442" i="8" s="1"/>
  <c r="R442" i="8" s="1"/>
  <c r="I442" i="8"/>
  <c r="H442" i="8"/>
  <c r="G442" i="8"/>
  <c r="F442" i="8"/>
  <c r="D442" i="8"/>
  <c r="C442" i="8"/>
  <c r="B442" i="8"/>
  <c r="E442" i="8" s="1"/>
  <c r="Q441" i="8"/>
  <c r="M441" i="8"/>
  <c r="I441" i="8"/>
  <c r="E441" i="8"/>
  <c r="R441" i="8" s="1"/>
  <c r="P437" i="8"/>
  <c r="O437" i="8"/>
  <c r="N437" i="8"/>
  <c r="L437" i="8"/>
  <c r="K437" i="8"/>
  <c r="J437" i="8"/>
  <c r="M437" i="8" s="1"/>
  <c r="H437" i="8"/>
  <c r="G437" i="8"/>
  <c r="F437" i="8"/>
  <c r="D437" i="8"/>
  <c r="C437" i="8"/>
  <c r="B437" i="8"/>
  <c r="E437" i="8" s="1"/>
  <c r="Q435" i="8"/>
  <c r="R435" i="8" s="1"/>
  <c r="M435" i="8"/>
  <c r="I435" i="8"/>
  <c r="E435" i="8"/>
  <c r="P432" i="8"/>
  <c r="O432" i="8"/>
  <c r="O452" i="8" s="1"/>
  <c r="O455" i="8" s="1"/>
  <c r="N432" i="8"/>
  <c r="M432" i="8"/>
  <c r="L432" i="8"/>
  <c r="K432" i="8"/>
  <c r="K452" i="8" s="1"/>
  <c r="K455" i="8" s="1"/>
  <c r="J432" i="8"/>
  <c r="J452" i="8" s="1"/>
  <c r="H432" i="8"/>
  <c r="G432" i="8"/>
  <c r="G452" i="8" s="1"/>
  <c r="G455" i="8" s="1"/>
  <c r="F432" i="8"/>
  <c r="E432" i="8"/>
  <c r="D432" i="8"/>
  <c r="C432" i="8"/>
  <c r="C452" i="8" s="1"/>
  <c r="C455" i="8" s="1"/>
  <c r="B432" i="8"/>
  <c r="B452" i="8" s="1"/>
  <c r="B455" i="8" s="1"/>
  <c r="Q429" i="8"/>
  <c r="M429" i="8"/>
  <c r="I429" i="8"/>
  <c r="R429" i="8" s="1"/>
  <c r="E429" i="8"/>
  <c r="Q428" i="8"/>
  <c r="M428" i="8"/>
  <c r="I428" i="8"/>
  <c r="E428" i="8"/>
  <c r="R428" i="8" s="1"/>
  <c r="Q427" i="8"/>
  <c r="R427" i="8" s="1"/>
  <c r="M427" i="8"/>
  <c r="I427" i="8"/>
  <c r="E427" i="8"/>
  <c r="Q425" i="8"/>
  <c r="M425" i="8"/>
  <c r="I425" i="8"/>
  <c r="E425" i="8"/>
  <c r="R425" i="8" s="1"/>
  <c r="Q424" i="8"/>
  <c r="M424" i="8"/>
  <c r="I424" i="8"/>
  <c r="E424" i="8"/>
  <c r="R424" i="8" s="1"/>
  <c r="R406" i="8"/>
  <c r="Q406" i="8"/>
  <c r="M406" i="8"/>
  <c r="I406" i="8"/>
  <c r="E406" i="8"/>
  <c r="Q405" i="8"/>
  <c r="M405" i="8"/>
  <c r="I405" i="8"/>
  <c r="R405" i="8" s="1"/>
  <c r="E405" i="8"/>
  <c r="Q404" i="8"/>
  <c r="M404" i="8"/>
  <c r="I404" i="8"/>
  <c r="E404" i="8"/>
  <c r="R404" i="8" s="1"/>
  <c r="R402" i="8"/>
  <c r="Q402" i="8"/>
  <c r="P402" i="8"/>
  <c r="O402" i="8"/>
  <c r="N402" i="8"/>
  <c r="L402" i="8"/>
  <c r="K402" i="8"/>
  <c r="J402" i="8"/>
  <c r="M402" i="8" s="1"/>
  <c r="I402" i="8"/>
  <c r="H402" i="8"/>
  <c r="G402" i="8"/>
  <c r="F402" i="8"/>
  <c r="D402" i="8"/>
  <c r="C402" i="8"/>
  <c r="B402" i="8"/>
  <c r="E402" i="8" s="1"/>
  <c r="P401" i="8"/>
  <c r="O401" i="8"/>
  <c r="N401" i="8"/>
  <c r="Q401" i="8" s="1"/>
  <c r="L401" i="8"/>
  <c r="K401" i="8"/>
  <c r="J401" i="8"/>
  <c r="H401" i="8"/>
  <c r="G401" i="8"/>
  <c r="F401" i="8"/>
  <c r="I401" i="8" s="1"/>
  <c r="D401" i="8"/>
  <c r="C401" i="8"/>
  <c r="B401" i="8"/>
  <c r="Q400" i="8"/>
  <c r="M400" i="8"/>
  <c r="I400" i="8"/>
  <c r="E400" i="8"/>
  <c r="R400" i="8" s="1"/>
  <c r="Q399" i="8"/>
  <c r="R399" i="8" s="1"/>
  <c r="M399" i="8"/>
  <c r="I399" i="8"/>
  <c r="E399" i="8"/>
  <c r="Q398" i="8"/>
  <c r="M398" i="8"/>
  <c r="I398" i="8"/>
  <c r="E398" i="8"/>
  <c r="R398" i="8" s="1"/>
  <c r="Q397" i="8"/>
  <c r="M397" i="8"/>
  <c r="I397" i="8"/>
  <c r="E397" i="8"/>
  <c r="R397" i="8" s="1"/>
  <c r="Q396" i="8"/>
  <c r="M396" i="8"/>
  <c r="I396" i="8"/>
  <c r="R396" i="8" s="1"/>
  <c r="E396" i="8"/>
  <c r="Q395" i="8"/>
  <c r="M395" i="8"/>
  <c r="I395" i="8"/>
  <c r="E395" i="8"/>
  <c r="R395" i="8" s="1"/>
  <c r="R394" i="8"/>
  <c r="Q394" i="8"/>
  <c r="M394" i="8"/>
  <c r="I394" i="8"/>
  <c r="E394" i="8"/>
  <c r="Q393" i="8"/>
  <c r="M393" i="8"/>
  <c r="I393" i="8"/>
  <c r="R393" i="8" s="1"/>
  <c r="E393" i="8"/>
  <c r="Q392" i="8"/>
  <c r="M392" i="8"/>
  <c r="I392" i="8"/>
  <c r="E392" i="8"/>
  <c r="R392" i="8" s="1"/>
  <c r="Q390" i="8"/>
  <c r="R390" i="8" s="1"/>
  <c r="M390" i="8"/>
  <c r="I390" i="8"/>
  <c r="E390" i="8"/>
  <c r="Q389" i="8"/>
  <c r="M389" i="8"/>
  <c r="I389" i="8"/>
  <c r="E389" i="8"/>
  <c r="R389" i="8" s="1"/>
  <c r="Q388" i="8"/>
  <c r="M388" i="8"/>
  <c r="I388" i="8"/>
  <c r="E388" i="8"/>
  <c r="R388" i="8" s="1"/>
  <c r="Q387" i="8"/>
  <c r="M387" i="8"/>
  <c r="I387" i="8"/>
  <c r="E387" i="8"/>
  <c r="Q386" i="8"/>
  <c r="M386" i="8"/>
  <c r="I386" i="8"/>
  <c r="E386" i="8"/>
  <c r="R386" i="8" s="1"/>
  <c r="R385" i="8"/>
  <c r="Q385" i="8"/>
  <c r="M385" i="8"/>
  <c r="I385" i="8"/>
  <c r="E385" i="8"/>
  <c r="Q383" i="8"/>
  <c r="M383" i="8"/>
  <c r="I383" i="8"/>
  <c r="R383" i="8" s="1"/>
  <c r="E383" i="8"/>
  <c r="Q382" i="8"/>
  <c r="M382" i="8"/>
  <c r="I382" i="8"/>
  <c r="E382" i="8"/>
  <c r="R382" i="8" s="1"/>
  <c r="Q380" i="8"/>
  <c r="R380" i="8" s="1"/>
  <c r="M380" i="8"/>
  <c r="I380" i="8"/>
  <c r="E380" i="8"/>
  <c r="P377" i="8"/>
  <c r="O377" i="8"/>
  <c r="N377" i="8"/>
  <c r="Q377" i="8" s="1"/>
  <c r="M377" i="8"/>
  <c r="L377" i="8"/>
  <c r="K377" i="8"/>
  <c r="J377" i="8"/>
  <c r="H377" i="8"/>
  <c r="G377" i="8"/>
  <c r="F377" i="8"/>
  <c r="I377" i="8" s="1"/>
  <c r="E377" i="8"/>
  <c r="R377" i="8" s="1"/>
  <c r="D377" i="8"/>
  <c r="C377" i="8"/>
  <c r="B377" i="8"/>
  <c r="Q376" i="8"/>
  <c r="M376" i="8"/>
  <c r="I376" i="8"/>
  <c r="R376" i="8" s="1"/>
  <c r="E376" i="8"/>
  <c r="Q375" i="8"/>
  <c r="M375" i="8"/>
  <c r="I375" i="8"/>
  <c r="E375" i="8"/>
  <c r="R375" i="8" s="1"/>
  <c r="Q374" i="8"/>
  <c r="R374" i="8" s="1"/>
  <c r="M374" i="8"/>
  <c r="I374" i="8"/>
  <c r="E374" i="8"/>
  <c r="Q373" i="8"/>
  <c r="M373" i="8"/>
  <c r="I373" i="8"/>
  <c r="E373" i="8"/>
  <c r="R373" i="8" s="1"/>
  <c r="Q372" i="8"/>
  <c r="M372" i="8"/>
  <c r="I372" i="8"/>
  <c r="E372" i="8"/>
  <c r="R372" i="8" s="1"/>
  <c r="Q371" i="8"/>
  <c r="M371" i="8"/>
  <c r="I371" i="8"/>
  <c r="E371" i="8"/>
  <c r="Q370" i="8"/>
  <c r="M370" i="8"/>
  <c r="I370" i="8"/>
  <c r="E370" i="8"/>
  <c r="R370" i="8" s="1"/>
  <c r="R369" i="8"/>
  <c r="Q369" i="8"/>
  <c r="M369" i="8"/>
  <c r="I369" i="8"/>
  <c r="E369" i="8"/>
  <c r="Q368" i="8"/>
  <c r="M368" i="8"/>
  <c r="I368" i="8"/>
  <c r="R368" i="8" s="1"/>
  <c r="E368" i="8"/>
  <c r="Q367" i="8"/>
  <c r="M367" i="8"/>
  <c r="I367" i="8"/>
  <c r="E367" i="8"/>
  <c r="R367" i="8" s="1"/>
  <c r="Q366" i="8"/>
  <c r="R366" i="8" s="1"/>
  <c r="M366" i="8"/>
  <c r="I366" i="8"/>
  <c r="E366" i="8"/>
  <c r="Q365" i="8"/>
  <c r="M365" i="8"/>
  <c r="I365" i="8"/>
  <c r="E365" i="8"/>
  <c r="R365" i="8" s="1"/>
  <c r="Q364" i="8"/>
  <c r="M364" i="8"/>
  <c r="I364" i="8"/>
  <c r="E364" i="8"/>
  <c r="R364" i="8" s="1"/>
  <c r="Q363" i="8"/>
  <c r="M363" i="8"/>
  <c r="I363" i="8"/>
  <c r="E363" i="8"/>
  <c r="Q362" i="8"/>
  <c r="M362" i="8"/>
  <c r="I362" i="8"/>
  <c r="E362" i="8"/>
  <c r="R362" i="8" s="1"/>
  <c r="R361" i="8"/>
  <c r="Q361" i="8"/>
  <c r="M361" i="8"/>
  <c r="I361" i="8"/>
  <c r="E361" i="8"/>
  <c r="Q360" i="8"/>
  <c r="M360" i="8"/>
  <c r="I360" i="8"/>
  <c r="R360" i="8" s="1"/>
  <c r="E360" i="8"/>
  <c r="Q359" i="8"/>
  <c r="M359" i="8"/>
  <c r="I359" i="8"/>
  <c r="E359" i="8"/>
  <c r="R359" i="8" s="1"/>
  <c r="Q358" i="8"/>
  <c r="R358" i="8" s="1"/>
  <c r="M358" i="8"/>
  <c r="I358" i="8"/>
  <c r="E358" i="8"/>
  <c r="Q357" i="8"/>
  <c r="M357" i="8"/>
  <c r="I357" i="8"/>
  <c r="E357" i="8"/>
  <c r="R357" i="8" s="1"/>
  <c r="Q356" i="8"/>
  <c r="M356" i="8"/>
  <c r="I356" i="8"/>
  <c r="E356" i="8"/>
  <c r="R356" i="8" s="1"/>
  <c r="Q355" i="8"/>
  <c r="M355" i="8"/>
  <c r="I355" i="8"/>
  <c r="R355" i="8" s="1"/>
  <c r="E355" i="8"/>
  <c r="Q354" i="8"/>
  <c r="M354" i="8"/>
  <c r="I354" i="8"/>
  <c r="E354" i="8"/>
  <c r="R354" i="8" s="1"/>
  <c r="R353" i="8"/>
  <c r="Q353" i="8"/>
  <c r="M353" i="8"/>
  <c r="I353" i="8"/>
  <c r="E353" i="8"/>
  <c r="Q352" i="8"/>
  <c r="M352" i="8"/>
  <c r="I352" i="8"/>
  <c r="R352" i="8" s="1"/>
  <c r="E352" i="8"/>
  <c r="Q351" i="8"/>
  <c r="M351" i="8"/>
  <c r="I351" i="8"/>
  <c r="E351" i="8"/>
  <c r="R351" i="8" s="1"/>
  <c r="Q350" i="8"/>
  <c r="R350" i="8" s="1"/>
  <c r="M350" i="8"/>
  <c r="I350" i="8"/>
  <c r="E350" i="8"/>
  <c r="Q349" i="8"/>
  <c r="M349" i="8"/>
  <c r="I349" i="8"/>
  <c r="E349" i="8"/>
  <c r="R349" i="8" s="1"/>
  <c r="Q348" i="8"/>
  <c r="M348" i="8"/>
  <c r="I348" i="8"/>
  <c r="E348" i="8"/>
  <c r="R348" i="8" s="1"/>
  <c r="Q346" i="8"/>
  <c r="M346" i="8"/>
  <c r="I346" i="8"/>
  <c r="E346" i="8"/>
  <c r="Q345" i="8"/>
  <c r="M345" i="8"/>
  <c r="I345" i="8"/>
  <c r="E345" i="8"/>
  <c r="R345" i="8" s="1"/>
  <c r="Q342" i="8"/>
  <c r="P342" i="8"/>
  <c r="O342" i="8"/>
  <c r="N342" i="8"/>
  <c r="L342" i="8"/>
  <c r="K342" i="8"/>
  <c r="J342" i="8"/>
  <c r="I342" i="8"/>
  <c r="H342" i="8"/>
  <c r="G342" i="8"/>
  <c r="F342" i="8"/>
  <c r="D342" i="8"/>
  <c r="C342" i="8"/>
  <c r="B342" i="8"/>
  <c r="Q340" i="8"/>
  <c r="M340" i="8"/>
  <c r="I340" i="8"/>
  <c r="E340" i="8"/>
  <c r="R340" i="8" s="1"/>
  <c r="Q339" i="8"/>
  <c r="M339" i="8"/>
  <c r="I339" i="8"/>
  <c r="R339" i="8" s="1"/>
  <c r="E339" i="8"/>
  <c r="Q338" i="8"/>
  <c r="M338" i="8"/>
  <c r="I338" i="8"/>
  <c r="E338" i="8"/>
  <c r="R338" i="8" s="1"/>
  <c r="R337" i="8"/>
  <c r="Q337" i="8"/>
  <c r="M337" i="8"/>
  <c r="I337" i="8"/>
  <c r="E337" i="8"/>
  <c r="Q336" i="8"/>
  <c r="M336" i="8"/>
  <c r="I336" i="8"/>
  <c r="R336" i="8" s="1"/>
  <c r="E336" i="8"/>
  <c r="Q335" i="8"/>
  <c r="M335" i="8"/>
  <c r="I335" i="8"/>
  <c r="E335" i="8"/>
  <c r="R335" i="8" s="1"/>
  <c r="Q334" i="8"/>
  <c r="R334" i="8" s="1"/>
  <c r="M334" i="8"/>
  <c r="I334" i="8"/>
  <c r="E334" i="8"/>
  <c r="Q333" i="8"/>
  <c r="M333" i="8"/>
  <c r="I333" i="8"/>
  <c r="E333" i="8"/>
  <c r="R333" i="8" s="1"/>
  <c r="P329" i="8"/>
  <c r="P403" i="8" s="1"/>
  <c r="P408" i="8" s="1"/>
  <c r="O329" i="8"/>
  <c r="O403" i="8" s="1"/>
  <c r="O408" i="8" s="1"/>
  <c r="N329" i="8"/>
  <c r="Q329" i="8" s="1"/>
  <c r="L329" i="8"/>
  <c r="L403" i="8" s="1"/>
  <c r="L408" i="8" s="1"/>
  <c r="K329" i="8"/>
  <c r="K403" i="8" s="1"/>
  <c r="K408" i="8" s="1"/>
  <c r="J329" i="8"/>
  <c r="M329" i="8" s="1"/>
  <c r="H329" i="8"/>
  <c r="H403" i="8" s="1"/>
  <c r="H408" i="8" s="1"/>
  <c r="G329" i="8"/>
  <c r="G403" i="8" s="1"/>
  <c r="G408" i="8" s="1"/>
  <c r="F329" i="8"/>
  <c r="I329" i="8" s="1"/>
  <c r="D329" i="8"/>
  <c r="D403" i="8" s="1"/>
  <c r="D408" i="8" s="1"/>
  <c r="C329" i="8"/>
  <c r="C403" i="8" s="1"/>
  <c r="C408" i="8" s="1"/>
  <c r="B329" i="8"/>
  <c r="E329" i="8" s="1"/>
  <c r="R329" i="8" s="1"/>
  <c r="Q327" i="8"/>
  <c r="M327" i="8"/>
  <c r="I327" i="8"/>
  <c r="E327" i="8"/>
  <c r="R327" i="8" s="1"/>
  <c r="Q326" i="8"/>
  <c r="R326" i="8" s="1"/>
  <c r="M326" i="8"/>
  <c r="I326" i="8"/>
  <c r="E326" i="8"/>
  <c r="Q325" i="8"/>
  <c r="M325" i="8"/>
  <c r="I325" i="8"/>
  <c r="E325" i="8"/>
  <c r="R325" i="8" s="1"/>
  <c r="Q324" i="8"/>
  <c r="M324" i="8"/>
  <c r="I324" i="8"/>
  <c r="E324" i="8"/>
  <c r="R324" i="8" s="1"/>
  <c r="Q322" i="8"/>
  <c r="M322" i="8"/>
  <c r="I322" i="8"/>
  <c r="R322" i="8" s="1"/>
  <c r="E322" i="8"/>
  <c r="Q321" i="8"/>
  <c r="M321" i="8"/>
  <c r="I321" i="8"/>
  <c r="E321" i="8"/>
  <c r="R321" i="8" s="1"/>
  <c r="R320" i="8"/>
  <c r="Q320" i="8"/>
  <c r="M320" i="8"/>
  <c r="I320" i="8"/>
  <c r="E320" i="8"/>
  <c r="Q319" i="8"/>
  <c r="M319" i="8"/>
  <c r="I319" i="8"/>
  <c r="R319" i="8" s="1"/>
  <c r="E319" i="8"/>
  <c r="Q318" i="8"/>
  <c r="M318" i="8"/>
  <c r="I318" i="8"/>
  <c r="E318" i="8"/>
  <c r="R318" i="8" s="1"/>
  <c r="Q317" i="8"/>
  <c r="R317" i="8" s="1"/>
  <c r="M317" i="8"/>
  <c r="I317" i="8"/>
  <c r="E317" i="8"/>
  <c r="Q316" i="8"/>
  <c r="M316" i="8"/>
  <c r="I316" i="8"/>
  <c r="E316" i="8"/>
  <c r="R316" i="8" s="1"/>
  <c r="Q315" i="8"/>
  <c r="M315" i="8"/>
  <c r="I315" i="8"/>
  <c r="E315" i="8"/>
  <c r="R315" i="8" s="1"/>
  <c r="Q314" i="8"/>
  <c r="M314" i="8"/>
  <c r="I314" i="8"/>
  <c r="E314" i="8"/>
  <c r="Q313" i="8"/>
  <c r="M313" i="8"/>
  <c r="I313" i="8"/>
  <c r="E313" i="8"/>
  <c r="R313" i="8" s="1"/>
  <c r="R312" i="8"/>
  <c r="Q312" i="8"/>
  <c r="M312" i="8"/>
  <c r="I312" i="8"/>
  <c r="E312" i="8"/>
  <c r="Q311" i="8"/>
  <c r="M311" i="8"/>
  <c r="I311" i="8"/>
  <c r="R311" i="8" s="1"/>
  <c r="E311" i="8"/>
  <c r="Q310" i="8"/>
  <c r="M310" i="8"/>
  <c r="I310" i="8"/>
  <c r="E310" i="8"/>
  <c r="R310" i="8" s="1"/>
  <c r="Q309" i="8"/>
  <c r="R309" i="8" s="1"/>
  <c r="M309" i="8"/>
  <c r="I309" i="8"/>
  <c r="E309" i="8"/>
  <c r="Q307" i="8"/>
  <c r="M307" i="8"/>
  <c r="I307" i="8"/>
  <c r="R307" i="8" s="1"/>
  <c r="E307" i="8"/>
  <c r="Q306" i="8"/>
  <c r="M306" i="8"/>
  <c r="I306" i="8"/>
  <c r="E306" i="8"/>
  <c r="R306" i="8" s="1"/>
  <c r="Q305" i="8"/>
  <c r="R305" i="8" s="1"/>
  <c r="M305" i="8"/>
  <c r="I305" i="8"/>
  <c r="E305" i="8"/>
  <c r="Q304" i="8"/>
  <c r="M304" i="8"/>
  <c r="I304" i="8"/>
  <c r="E304" i="8"/>
  <c r="R304" i="8" s="1"/>
  <c r="Q303" i="8"/>
  <c r="M303" i="8"/>
  <c r="I303" i="8"/>
  <c r="E303" i="8"/>
  <c r="R303" i="8" s="1"/>
  <c r="Q302" i="8"/>
  <c r="M302" i="8"/>
  <c r="I302" i="8"/>
  <c r="E302" i="8"/>
  <c r="Q301" i="8"/>
  <c r="M301" i="8"/>
  <c r="I301" i="8"/>
  <c r="E301" i="8"/>
  <c r="R301" i="8" s="1"/>
  <c r="R300" i="8"/>
  <c r="Q300" i="8"/>
  <c r="M300" i="8"/>
  <c r="I300" i="8"/>
  <c r="E300" i="8"/>
  <c r="Q299" i="8"/>
  <c r="M299" i="8"/>
  <c r="I299" i="8"/>
  <c r="R299" i="8" s="1"/>
  <c r="E299" i="8"/>
  <c r="Q298" i="8"/>
  <c r="M298" i="8"/>
  <c r="I298" i="8"/>
  <c r="E298" i="8"/>
  <c r="R298" i="8" s="1"/>
  <c r="Q297" i="8"/>
  <c r="R297" i="8" s="1"/>
  <c r="M297" i="8"/>
  <c r="I297" i="8"/>
  <c r="E297" i="8"/>
  <c r="Q296" i="8"/>
  <c r="M296" i="8"/>
  <c r="I296" i="8"/>
  <c r="E296" i="8"/>
  <c r="R296" i="8" s="1"/>
  <c r="Q295" i="8"/>
  <c r="M295" i="8"/>
  <c r="I295" i="8"/>
  <c r="E295" i="8"/>
  <c r="R295" i="8" s="1"/>
  <c r="Q294" i="8"/>
  <c r="M294" i="8"/>
  <c r="I294" i="8"/>
  <c r="R294" i="8" s="1"/>
  <c r="E294" i="8"/>
  <c r="Q293" i="8"/>
  <c r="M293" i="8"/>
  <c r="I293" i="8"/>
  <c r="E293" i="8"/>
  <c r="R293" i="8" s="1"/>
  <c r="R292" i="8"/>
  <c r="Q292" i="8"/>
  <c r="M292" i="8"/>
  <c r="I292" i="8"/>
  <c r="E292" i="8"/>
  <c r="P284" i="8"/>
  <c r="O284" i="8"/>
  <c r="N284" i="8"/>
  <c r="Q284" i="8" s="1"/>
  <c r="L284" i="8"/>
  <c r="K284" i="8"/>
  <c r="J284" i="8"/>
  <c r="H284" i="8"/>
  <c r="G284" i="8"/>
  <c r="F284" i="8"/>
  <c r="I284" i="8" s="1"/>
  <c r="D284" i="8"/>
  <c r="C284" i="8"/>
  <c r="B284" i="8"/>
  <c r="E284" i="8" s="1"/>
  <c r="Q282" i="8"/>
  <c r="M282" i="8"/>
  <c r="I282" i="8"/>
  <c r="E282" i="8"/>
  <c r="R282" i="8" s="1"/>
  <c r="R284" i="8" s="1"/>
  <c r="Q271" i="8"/>
  <c r="M271" i="8"/>
  <c r="I271" i="8"/>
  <c r="R271" i="8" s="1"/>
  <c r="E271" i="8"/>
  <c r="Q270" i="8"/>
  <c r="M270" i="8"/>
  <c r="I270" i="8"/>
  <c r="E270" i="8"/>
  <c r="R270" i="8" s="1"/>
  <c r="Q269" i="8"/>
  <c r="R269" i="8" s="1"/>
  <c r="M269" i="8"/>
  <c r="I269" i="8"/>
  <c r="E269" i="8"/>
  <c r="Q268" i="8"/>
  <c r="M268" i="8"/>
  <c r="I268" i="8"/>
  <c r="E268" i="8"/>
  <c r="R268" i="8" s="1"/>
  <c r="Q267" i="8"/>
  <c r="M267" i="8"/>
  <c r="I267" i="8"/>
  <c r="E267" i="8"/>
  <c r="R267" i="8" s="1"/>
  <c r="Q266" i="8"/>
  <c r="M266" i="8"/>
  <c r="L266" i="8"/>
  <c r="K266" i="8"/>
  <c r="J266" i="8"/>
  <c r="H266" i="8"/>
  <c r="G266" i="8"/>
  <c r="F266" i="8"/>
  <c r="I266" i="8" s="1"/>
  <c r="E266" i="8"/>
  <c r="D266" i="8"/>
  <c r="L265" i="8"/>
  <c r="L273" i="8" s="1"/>
  <c r="D265" i="8"/>
  <c r="D273" i="8" s="1"/>
  <c r="P264" i="8"/>
  <c r="O264" i="8"/>
  <c r="N264" i="8"/>
  <c r="Q264" i="8" s="1"/>
  <c r="M264" i="8"/>
  <c r="L264" i="8"/>
  <c r="K264" i="8"/>
  <c r="J264" i="8"/>
  <c r="H264" i="8"/>
  <c r="G264" i="8"/>
  <c r="F264" i="8"/>
  <c r="I264" i="8" s="1"/>
  <c r="E264" i="8"/>
  <c r="D264" i="8"/>
  <c r="C264" i="8"/>
  <c r="B264" i="8"/>
  <c r="P263" i="8"/>
  <c r="O263" i="8"/>
  <c r="N263" i="8"/>
  <c r="Q263" i="8" s="1"/>
  <c r="M263" i="8"/>
  <c r="L263" i="8"/>
  <c r="K263" i="8"/>
  <c r="J263" i="8"/>
  <c r="H263" i="8"/>
  <c r="G263" i="8"/>
  <c r="F263" i="8"/>
  <c r="I263" i="8" s="1"/>
  <c r="E263" i="8"/>
  <c r="R263" i="8" s="1"/>
  <c r="D263" i="8"/>
  <c r="C263" i="8"/>
  <c r="B263" i="8"/>
  <c r="Q260" i="8"/>
  <c r="M260" i="8"/>
  <c r="I260" i="8"/>
  <c r="R260" i="8" s="1"/>
  <c r="E260" i="8"/>
  <c r="Q259" i="8"/>
  <c r="M259" i="8"/>
  <c r="I259" i="8"/>
  <c r="E259" i="8"/>
  <c r="R259" i="8" s="1"/>
  <c r="Q258" i="8"/>
  <c r="R258" i="8" s="1"/>
  <c r="M258" i="8"/>
  <c r="I258" i="8"/>
  <c r="E258" i="8"/>
  <c r="Q257" i="8"/>
  <c r="M257" i="8"/>
  <c r="I257" i="8"/>
  <c r="E257" i="8"/>
  <c r="R257" i="8" s="1"/>
  <c r="Q256" i="8"/>
  <c r="M256" i="8"/>
  <c r="I256" i="8"/>
  <c r="E256" i="8"/>
  <c r="R256" i="8" s="1"/>
  <c r="Q255" i="8"/>
  <c r="M255" i="8"/>
  <c r="I255" i="8"/>
  <c r="R255" i="8" s="1"/>
  <c r="E255" i="8"/>
  <c r="Q254" i="8"/>
  <c r="M254" i="8"/>
  <c r="I254" i="8"/>
  <c r="E254" i="8"/>
  <c r="R254" i="8" s="1"/>
  <c r="R253" i="8"/>
  <c r="Q253" i="8"/>
  <c r="M253" i="8"/>
  <c r="I253" i="8"/>
  <c r="E253" i="8"/>
  <c r="Q251" i="8"/>
  <c r="M251" i="8"/>
  <c r="I251" i="8"/>
  <c r="R251" i="8" s="1"/>
  <c r="E251" i="8"/>
  <c r="Q250" i="8"/>
  <c r="M250" i="8"/>
  <c r="I250" i="8"/>
  <c r="E250" i="8"/>
  <c r="R250" i="8" s="1"/>
  <c r="Q249" i="8"/>
  <c r="R249" i="8" s="1"/>
  <c r="M249" i="8"/>
  <c r="I249" i="8"/>
  <c r="E249" i="8"/>
  <c r="Q248" i="8"/>
  <c r="M248" i="8"/>
  <c r="I248" i="8"/>
  <c r="E248" i="8"/>
  <c r="R248" i="8" s="1"/>
  <c r="P245" i="8"/>
  <c r="O245" i="8"/>
  <c r="N245" i="8"/>
  <c r="Q245" i="8" s="1"/>
  <c r="L245" i="8"/>
  <c r="K245" i="8"/>
  <c r="J245" i="8"/>
  <c r="M245" i="8" s="1"/>
  <c r="H245" i="8"/>
  <c r="G245" i="8"/>
  <c r="F245" i="8"/>
  <c r="I245" i="8" s="1"/>
  <c r="D245" i="8"/>
  <c r="C245" i="8"/>
  <c r="Q244" i="8"/>
  <c r="M244" i="8"/>
  <c r="I244" i="8"/>
  <c r="E244" i="8"/>
  <c r="R244" i="8" s="1"/>
  <c r="Q243" i="8"/>
  <c r="R243" i="8" s="1"/>
  <c r="M243" i="8"/>
  <c r="I243" i="8"/>
  <c r="E243" i="8"/>
  <c r="Q242" i="8"/>
  <c r="M242" i="8"/>
  <c r="I242" i="8"/>
  <c r="E242" i="8"/>
  <c r="R242" i="8" s="1"/>
  <c r="Q241" i="8"/>
  <c r="M241" i="8"/>
  <c r="I241" i="8"/>
  <c r="E241" i="8"/>
  <c r="R241" i="8" s="1"/>
  <c r="Q240" i="8"/>
  <c r="M240" i="8"/>
  <c r="I240" i="8"/>
  <c r="R240" i="8" s="1"/>
  <c r="E240" i="8"/>
  <c r="Q239" i="8"/>
  <c r="M239" i="8"/>
  <c r="I239" i="8"/>
  <c r="E239" i="8"/>
  <c r="R239" i="8" s="1"/>
  <c r="R238" i="8"/>
  <c r="Q238" i="8"/>
  <c r="M238" i="8"/>
  <c r="I238" i="8"/>
  <c r="E238" i="8"/>
  <c r="Q237" i="8"/>
  <c r="M237" i="8"/>
  <c r="I237" i="8"/>
  <c r="R237" i="8" s="1"/>
  <c r="E237" i="8"/>
  <c r="Q236" i="8"/>
  <c r="M236" i="8"/>
  <c r="I236" i="8"/>
  <c r="E236" i="8"/>
  <c r="R236" i="8" s="1"/>
  <c r="Q235" i="8"/>
  <c r="R235" i="8" s="1"/>
  <c r="M235" i="8"/>
  <c r="I235" i="8"/>
  <c r="E235" i="8"/>
  <c r="Q234" i="8"/>
  <c r="M234" i="8"/>
  <c r="I234" i="8"/>
  <c r="E234" i="8"/>
  <c r="R234" i="8" s="1"/>
  <c r="Q233" i="8"/>
  <c r="M233" i="8"/>
  <c r="I233" i="8"/>
  <c r="E233" i="8"/>
  <c r="R233" i="8" s="1"/>
  <c r="Q232" i="8"/>
  <c r="M232" i="8"/>
  <c r="I232" i="8"/>
  <c r="R232" i="8" s="1"/>
  <c r="E232" i="8"/>
  <c r="Q231" i="8"/>
  <c r="M231" i="8"/>
  <c r="I231" i="8"/>
  <c r="E231" i="8"/>
  <c r="R231" i="8" s="1"/>
  <c r="R230" i="8"/>
  <c r="Q230" i="8"/>
  <c r="M230" i="8"/>
  <c r="I230" i="8"/>
  <c r="E230" i="8"/>
  <c r="Q229" i="8"/>
  <c r="M229" i="8"/>
  <c r="I229" i="8"/>
  <c r="R229" i="8" s="1"/>
  <c r="E229" i="8"/>
  <c r="Q228" i="8"/>
  <c r="M228" i="8"/>
  <c r="I228" i="8"/>
  <c r="E228" i="8"/>
  <c r="R228" i="8" s="1"/>
  <c r="Q227" i="8"/>
  <c r="R227" i="8" s="1"/>
  <c r="M227" i="8"/>
  <c r="I227" i="8"/>
  <c r="E227" i="8"/>
  <c r="Q226" i="8"/>
  <c r="M226" i="8"/>
  <c r="I226" i="8"/>
  <c r="E226" i="8"/>
  <c r="R226" i="8" s="1"/>
  <c r="Q225" i="8"/>
  <c r="M225" i="8"/>
  <c r="I225" i="8"/>
  <c r="E225" i="8"/>
  <c r="R225" i="8" s="1"/>
  <c r="Q224" i="8"/>
  <c r="M224" i="8"/>
  <c r="I224" i="8"/>
  <c r="E224" i="8"/>
  <c r="Q223" i="8"/>
  <c r="M223" i="8"/>
  <c r="I223" i="8"/>
  <c r="E223" i="8"/>
  <c r="R223" i="8" s="1"/>
  <c r="R222" i="8"/>
  <c r="Q222" i="8"/>
  <c r="M222" i="8"/>
  <c r="I222" i="8"/>
  <c r="E222" i="8"/>
  <c r="Q221" i="8"/>
  <c r="M221" i="8"/>
  <c r="I221" i="8"/>
  <c r="R221" i="8" s="1"/>
  <c r="E221" i="8"/>
  <c r="Q220" i="8"/>
  <c r="M220" i="8"/>
  <c r="I220" i="8"/>
  <c r="E220" i="8"/>
  <c r="R220" i="8" s="1"/>
  <c r="Q219" i="8"/>
  <c r="M219" i="8"/>
  <c r="F219" i="8"/>
  <c r="F763" i="8" s="1"/>
  <c r="I763" i="8" s="1"/>
  <c r="D219" i="8"/>
  <c r="D763" i="8" s="1"/>
  <c r="C219" i="8"/>
  <c r="C763" i="8" s="1"/>
  <c r="B219" i="8"/>
  <c r="R218" i="8"/>
  <c r="Q218" i="8"/>
  <c r="M218" i="8"/>
  <c r="I218" i="8"/>
  <c r="E218" i="8"/>
  <c r="Q217" i="8"/>
  <c r="M217" i="8"/>
  <c r="I217" i="8"/>
  <c r="E217" i="8"/>
  <c r="Q216" i="8"/>
  <c r="M216" i="8"/>
  <c r="I216" i="8"/>
  <c r="E216" i="8"/>
  <c r="R216" i="8" s="1"/>
  <c r="Q215" i="8"/>
  <c r="R215" i="8" s="1"/>
  <c r="M215" i="8"/>
  <c r="I215" i="8"/>
  <c r="E215" i="8"/>
  <c r="Q214" i="8"/>
  <c r="M214" i="8"/>
  <c r="I214" i="8"/>
  <c r="E214" i="8"/>
  <c r="R214" i="8" s="1"/>
  <c r="Q213" i="8"/>
  <c r="M213" i="8"/>
  <c r="I213" i="8"/>
  <c r="E213" i="8"/>
  <c r="R213" i="8" s="1"/>
  <c r="Q212" i="8"/>
  <c r="M212" i="8"/>
  <c r="I212" i="8"/>
  <c r="E212" i="8"/>
  <c r="Q211" i="8"/>
  <c r="M211" i="8"/>
  <c r="I211" i="8"/>
  <c r="E211" i="8"/>
  <c r="R211" i="8" s="1"/>
  <c r="R210" i="8"/>
  <c r="Q210" i="8"/>
  <c r="M210" i="8"/>
  <c r="I210" i="8"/>
  <c r="E210" i="8"/>
  <c r="Q209" i="8"/>
  <c r="M209" i="8"/>
  <c r="I209" i="8"/>
  <c r="R209" i="8" s="1"/>
  <c r="E209" i="8"/>
  <c r="Q208" i="8"/>
  <c r="M208" i="8"/>
  <c r="I208" i="8"/>
  <c r="E208" i="8"/>
  <c r="R208" i="8" s="1"/>
  <c r="R207" i="8"/>
  <c r="Q207" i="8"/>
  <c r="M207" i="8"/>
  <c r="I207" i="8"/>
  <c r="E207" i="8"/>
  <c r="Q206" i="8"/>
  <c r="M206" i="8"/>
  <c r="I206" i="8"/>
  <c r="E206" i="8"/>
  <c r="Q205" i="8"/>
  <c r="M205" i="8"/>
  <c r="I205" i="8"/>
  <c r="E205" i="8"/>
  <c r="R205" i="8" s="1"/>
  <c r="Q204" i="8"/>
  <c r="M204" i="8"/>
  <c r="I204" i="8"/>
  <c r="R204" i="8" s="1"/>
  <c r="E204" i="8"/>
  <c r="Q203" i="8"/>
  <c r="M203" i="8"/>
  <c r="I203" i="8"/>
  <c r="E203" i="8"/>
  <c r="R203" i="8" s="1"/>
  <c r="Q199" i="8"/>
  <c r="P199" i="8"/>
  <c r="O199" i="8"/>
  <c r="N199" i="8"/>
  <c r="L199" i="8"/>
  <c r="K199" i="8"/>
  <c r="J199" i="8"/>
  <c r="M199" i="8" s="1"/>
  <c r="I199" i="8"/>
  <c r="H199" i="8"/>
  <c r="G199" i="8"/>
  <c r="F199" i="8"/>
  <c r="D199" i="8"/>
  <c r="C199" i="8"/>
  <c r="B199" i="8"/>
  <c r="E199" i="8" s="1"/>
  <c r="R199" i="8" s="1"/>
  <c r="Q197" i="8"/>
  <c r="M197" i="8"/>
  <c r="I197" i="8"/>
  <c r="E197" i="8"/>
  <c r="R197" i="8" s="1"/>
  <c r="Q196" i="8"/>
  <c r="M196" i="8"/>
  <c r="I196" i="8"/>
  <c r="R196" i="8" s="1"/>
  <c r="E196" i="8"/>
  <c r="P192" i="8"/>
  <c r="P265" i="8" s="1"/>
  <c r="P273" i="8" s="1"/>
  <c r="N192" i="8"/>
  <c r="M192" i="8"/>
  <c r="L192" i="8"/>
  <c r="K192" i="8"/>
  <c r="J192" i="8"/>
  <c r="H192" i="8"/>
  <c r="H265" i="8" s="1"/>
  <c r="H273" i="8" s="1"/>
  <c r="G192" i="8"/>
  <c r="G265" i="8" s="1"/>
  <c r="G273" i="8" s="1"/>
  <c r="F192" i="8"/>
  <c r="E192" i="8"/>
  <c r="D192" i="8"/>
  <c r="C192" i="8"/>
  <c r="C265" i="8" s="1"/>
  <c r="C273" i="8" s="1"/>
  <c r="B192" i="8"/>
  <c r="Q190" i="8"/>
  <c r="M190" i="8"/>
  <c r="I190" i="8"/>
  <c r="E190" i="8"/>
  <c r="R190" i="8" s="1"/>
  <c r="Q189" i="8"/>
  <c r="M189" i="8"/>
  <c r="I189" i="8"/>
  <c r="E189" i="8"/>
  <c r="R189" i="8" s="1"/>
  <c r="O188" i="8"/>
  <c r="M188" i="8"/>
  <c r="I188" i="8"/>
  <c r="E188" i="8"/>
  <c r="Q186" i="8"/>
  <c r="M186" i="8"/>
  <c r="I186" i="8"/>
  <c r="E186" i="8"/>
  <c r="Q185" i="8"/>
  <c r="M185" i="8"/>
  <c r="I185" i="8"/>
  <c r="E185" i="8"/>
  <c r="R185" i="8" s="1"/>
  <c r="Q184" i="8"/>
  <c r="M184" i="8"/>
  <c r="I184" i="8"/>
  <c r="E184" i="8"/>
  <c r="Q183" i="8"/>
  <c r="M183" i="8"/>
  <c r="I183" i="8"/>
  <c r="E183" i="8"/>
  <c r="R183" i="8" s="1"/>
  <c r="R182" i="8"/>
  <c r="Q182" i="8"/>
  <c r="M182" i="8"/>
  <c r="I182" i="8"/>
  <c r="E182" i="8"/>
  <c r="Q181" i="8"/>
  <c r="M181" i="8"/>
  <c r="I181" i="8"/>
  <c r="E181" i="8"/>
  <c r="Q180" i="8"/>
  <c r="M180" i="8"/>
  <c r="I180" i="8"/>
  <c r="E180" i="8"/>
  <c r="R180" i="8" s="1"/>
  <c r="Q179" i="8"/>
  <c r="R179" i="8" s="1"/>
  <c r="M179" i="8"/>
  <c r="I179" i="8"/>
  <c r="E179" i="8"/>
  <c r="Q178" i="8"/>
  <c r="M178" i="8"/>
  <c r="I178" i="8"/>
  <c r="E178" i="8"/>
  <c r="R178" i="8" s="1"/>
  <c r="Q177" i="8"/>
  <c r="M177" i="8"/>
  <c r="I177" i="8"/>
  <c r="E177" i="8"/>
  <c r="R177" i="8" s="1"/>
  <c r="Q176" i="8"/>
  <c r="M176" i="8"/>
  <c r="I176" i="8"/>
  <c r="R176" i="8" s="1"/>
  <c r="E176" i="8"/>
  <c r="Q174" i="8"/>
  <c r="M174" i="8"/>
  <c r="I174" i="8"/>
  <c r="E174" i="8"/>
  <c r="R174" i="8" s="1"/>
  <c r="Q173" i="8"/>
  <c r="M173" i="8"/>
  <c r="I173" i="8"/>
  <c r="E173" i="8"/>
  <c r="R173" i="8" s="1"/>
  <c r="Q172" i="8"/>
  <c r="M172" i="8"/>
  <c r="I172" i="8"/>
  <c r="E172" i="8"/>
  <c r="Q171" i="8"/>
  <c r="M171" i="8"/>
  <c r="I171" i="8"/>
  <c r="E171" i="8"/>
  <c r="R171" i="8" s="1"/>
  <c r="R170" i="8"/>
  <c r="Q170" i="8"/>
  <c r="M170" i="8"/>
  <c r="I170" i="8"/>
  <c r="E170" i="8"/>
  <c r="Q169" i="8"/>
  <c r="M169" i="8"/>
  <c r="I169" i="8"/>
  <c r="R169" i="8" s="1"/>
  <c r="E169" i="8"/>
  <c r="Q168" i="8"/>
  <c r="M168" i="8"/>
  <c r="I168" i="8"/>
  <c r="E168" i="8"/>
  <c r="R168" i="8" s="1"/>
  <c r="Q167" i="8"/>
  <c r="R167" i="8" s="1"/>
  <c r="M167" i="8"/>
  <c r="I167" i="8"/>
  <c r="E167" i="8"/>
  <c r="Q166" i="8"/>
  <c r="M166" i="8"/>
  <c r="I166" i="8"/>
  <c r="E166" i="8"/>
  <c r="Q165" i="8"/>
  <c r="M165" i="8"/>
  <c r="I165" i="8"/>
  <c r="E165" i="8"/>
  <c r="R165" i="8" s="1"/>
  <c r="Q164" i="8"/>
  <c r="M164" i="8"/>
  <c r="I164" i="8"/>
  <c r="E164" i="8"/>
  <c r="Q163" i="8"/>
  <c r="M163" i="8"/>
  <c r="I163" i="8"/>
  <c r="E163" i="8"/>
  <c r="R163" i="8" s="1"/>
  <c r="R162" i="8"/>
  <c r="Q162" i="8"/>
  <c r="M162" i="8"/>
  <c r="I162" i="8"/>
  <c r="E162" i="8"/>
  <c r="Q161" i="8"/>
  <c r="M161" i="8"/>
  <c r="I161" i="8"/>
  <c r="E161" i="8"/>
  <c r="Q160" i="8"/>
  <c r="M160" i="8"/>
  <c r="I160" i="8"/>
  <c r="E160" i="8"/>
  <c r="R160" i="8" s="1"/>
  <c r="Q159" i="8"/>
  <c r="R159" i="8" s="1"/>
  <c r="M159" i="8"/>
  <c r="I159" i="8"/>
  <c r="E159" i="8"/>
  <c r="Q158" i="8"/>
  <c r="M158" i="8"/>
  <c r="I158" i="8"/>
  <c r="E158" i="8"/>
  <c r="R158" i="8" s="1"/>
  <c r="Q157" i="8"/>
  <c r="M157" i="8"/>
  <c r="I157" i="8"/>
  <c r="E157" i="8"/>
  <c r="R157" i="8" s="1"/>
  <c r="Q156" i="8"/>
  <c r="M156" i="8"/>
  <c r="I156" i="8"/>
  <c r="R156" i="8" s="1"/>
  <c r="E156" i="8"/>
  <c r="Q155" i="8"/>
  <c r="M155" i="8"/>
  <c r="I155" i="8"/>
  <c r="E155" i="8"/>
  <c r="R155" i="8" s="1"/>
  <c r="R154" i="8"/>
  <c r="Q154" i="8"/>
  <c r="M154" i="8"/>
  <c r="I154" i="8"/>
  <c r="E154" i="8"/>
  <c r="Q153" i="8"/>
  <c r="M153" i="8"/>
  <c r="I153" i="8"/>
  <c r="R153" i="8" s="1"/>
  <c r="E153" i="8"/>
  <c r="Q152" i="8"/>
  <c r="M152" i="8"/>
  <c r="I152" i="8"/>
  <c r="E152" i="8"/>
  <c r="R152" i="8" s="1"/>
  <c r="Q151" i="8"/>
  <c r="R151" i="8" s="1"/>
  <c r="M151" i="8"/>
  <c r="I151" i="8"/>
  <c r="E151" i="8"/>
  <c r="Q150" i="8"/>
  <c r="N150" i="8"/>
  <c r="N749" i="8" s="1"/>
  <c r="M150" i="8"/>
  <c r="I150" i="8"/>
  <c r="E150" i="8"/>
  <c r="Q149" i="8"/>
  <c r="M149" i="8"/>
  <c r="I149" i="8"/>
  <c r="E149" i="8"/>
  <c r="R149" i="8" s="1"/>
  <c r="Q148" i="8"/>
  <c r="R148" i="8" s="1"/>
  <c r="M148" i="8"/>
  <c r="I148" i="8"/>
  <c r="E148" i="8"/>
  <c r="Q147" i="8"/>
  <c r="M147" i="8"/>
  <c r="I147" i="8"/>
  <c r="E147" i="8"/>
  <c r="R147" i="8" s="1"/>
  <c r="Q146" i="8"/>
  <c r="M146" i="8"/>
  <c r="I146" i="8"/>
  <c r="E146" i="8"/>
  <c r="R146" i="8" s="1"/>
  <c r="Q145" i="8"/>
  <c r="M145" i="8"/>
  <c r="I145" i="8"/>
  <c r="R145" i="8" s="1"/>
  <c r="E145" i="8"/>
  <c r="Q144" i="8"/>
  <c r="M144" i="8"/>
  <c r="I144" i="8"/>
  <c r="E144" i="8"/>
  <c r="R144" i="8" s="1"/>
  <c r="R143" i="8"/>
  <c r="Q143" i="8"/>
  <c r="M143" i="8"/>
  <c r="I143" i="8"/>
  <c r="E143" i="8"/>
  <c r="Q142" i="8"/>
  <c r="M142" i="8"/>
  <c r="I142" i="8"/>
  <c r="R142" i="8" s="1"/>
  <c r="E142" i="8"/>
  <c r="Q141" i="8"/>
  <c r="M141" i="8"/>
  <c r="I141" i="8"/>
  <c r="E141" i="8"/>
  <c r="R141" i="8" s="1"/>
  <c r="Q140" i="8"/>
  <c r="R140" i="8" s="1"/>
  <c r="M140" i="8"/>
  <c r="I140" i="8"/>
  <c r="E140" i="8"/>
  <c r="Q139" i="8"/>
  <c r="M139" i="8"/>
  <c r="I139" i="8"/>
  <c r="E139" i="8"/>
  <c r="D129" i="8"/>
  <c r="Q127" i="8"/>
  <c r="M127" i="8"/>
  <c r="I127" i="8"/>
  <c r="E127" i="8"/>
  <c r="R127" i="8" s="1"/>
  <c r="J126" i="8"/>
  <c r="B126" i="8"/>
  <c r="P125" i="8"/>
  <c r="O125" i="8"/>
  <c r="N125" i="8"/>
  <c r="Q125" i="8" s="1"/>
  <c r="L125" i="8"/>
  <c r="K125" i="8"/>
  <c r="J125" i="8"/>
  <c r="M125" i="8" s="1"/>
  <c r="H125" i="8"/>
  <c r="G125" i="8"/>
  <c r="F125" i="8"/>
  <c r="I125" i="8" s="1"/>
  <c r="D125" i="8"/>
  <c r="C125" i="8"/>
  <c r="B125" i="8"/>
  <c r="P124" i="8"/>
  <c r="O124" i="8"/>
  <c r="N124" i="8"/>
  <c r="Q124" i="8" s="1"/>
  <c r="M124" i="8"/>
  <c r="L124" i="8"/>
  <c r="K124" i="8"/>
  <c r="J124" i="8"/>
  <c r="H124" i="8"/>
  <c r="G124" i="8"/>
  <c r="F124" i="8"/>
  <c r="I124" i="8" s="1"/>
  <c r="D124" i="8"/>
  <c r="E124" i="8" s="1"/>
  <c r="R124" i="8" s="1"/>
  <c r="C124" i="8"/>
  <c r="B124" i="8"/>
  <c r="Q122" i="8"/>
  <c r="M122" i="8"/>
  <c r="I122" i="8"/>
  <c r="E122" i="8"/>
  <c r="R122" i="8" s="1"/>
  <c r="R120" i="8"/>
  <c r="Q120" i="8"/>
  <c r="M120" i="8"/>
  <c r="I120" i="8"/>
  <c r="E120" i="8"/>
  <c r="Q119" i="8"/>
  <c r="M119" i="8"/>
  <c r="I119" i="8"/>
  <c r="R119" i="8" s="1"/>
  <c r="E119" i="8"/>
  <c r="Q117" i="8"/>
  <c r="M117" i="8"/>
  <c r="I117" i="8"/>
  <c r="E117" i="8"/>
  <c r="R117" i="8" s="1"/>
  <c r="R116" i="8"/>
  <c r="Q116" i="8"/>
  <c r="M116" i="8"/>
  <c r="I116" i="8"/>
  <c r="E116" i="8"/>
  <c r="Q115" i="8"/>
  <c r="M115" i="8"/>
  <c r="I115" i="8"/>
  <c r="E115" i="8"/>
  <c r="Q114" i="8"/>
  <c r="M114" i="8"/>
  <c r="I114" i="8"/>
  <c r="E114" i="8"/>
  <c r="R114" i="8" s="1"/>
  <c r="Q113" i="8"/>
  <c r="M113" i="8"/>
  <c r="I113" i="8"/>
  <c r="R113" i="8" s="1"/>
  <c r="E113" i="8"/>
  <c r="Q112" i="8"/>
  <c r="M112" i="8"/>
  <c r="I112" i="8"/>
  <c r="E112" i="8"/>
  <c r="R112" i="8" s="1"/>
  <c r="R111" i="8"/>
  <c r="Q111" i="8"/>
  <c r="M111" i="8"/>
  <c r="I111" i="8"/>
  <c r="E111" i="8"/>
  <c r="Q110" i="8"/>
  <c r="M110" i="8"/>
  <c r="I110" i="8"/>
  <c r="R110" i="8" s="1"/>
  <c r="E110" i="8"/>
  <c r="P107" i="8"/>
  <c r="O107" i="8"/>
  <c r="N107" i="8"/>
  <c r="Q107" i="8" s="1"/>
  <c r="L107" i="8"/>
  <c r="M107" i="8" s="1"/>
  <c r="K107" i="8"/>
  <c r="J107" i="8"/>
  <c r="H107" i="8"/>
  <c r="G107" i="8"/>
  <c r="F107" i="8"/>
  <c r="I107" i="8" s="1"/>
  <c r="E107" i="8"/>
  <c r="D107" i="8"/>
  <c r="C107" i="8"/>
  <c r="B107" i="8"/>
  <c r="Q106" i="8"/>
  <c r="M106" i="8"/>
  <c r="I106" i="8"/>
  <c r="E106" i="8"/>
  <c r="R106" i="8" s="1"/>
  <c r="R105" i="8"/>
  <c r="Q105" i="8"/>
  <c r="M105" i="8"/>
  <c r="I105" i="8"/>
  <c r="E105" i="8"/>
  <c r="Q104" i="8"/>
  <c r="M104" i="8"/>
  <c r="I104" i="8"/>
  <c r="R104" i="8" s="1"/>
  <c r="E104" i="8"/>
  <c r="Q103" i="8"/>
  <c r="M103" i="8"/>
  <c r="I103" i="8"/>
  <c r="E103" i="8"/>
  <c r="R103" i="8" s="1"/>
  <c r="Q102" i="8"/>
  <c r="R102" i="8" s="1"/>
  <c r="M102" i="8"/>
  <c r="I102" i="8"/>
  <c r="E102" i="8"/>
  <c r="Q101" i="8"/>
  <c r="M101" i="8"/>
  <c r="I101" i="8"/>
  <c r="E101" i="8"/>
  <c r="Q100" i="8"/>
  <c r="M100" i="8"/>
  <c r="I100" i="8"/>
  <c r="E100" i="8"/>
  <c r="R100" i="8" s="1"/>
  <c r="P96" i="8"/>
  <c r="Q96" i="8" s="1"/>
  <c r="O96" i="8"/>
  <c r="N96" i="8"/>
  <c r="L96" i="8"/>
  <c r="K96" i="8"/>
  <c r="K126" i="8" s="1"/>
  <c r="K129" i="8" s="1"/>
  <c r="J96" i="8"/>
  <c r="H96" i="8"/>
  <c r="I96" i="8" s="1"/>
  <c r="G96" i="8"/>
  <c r="F96" i="8"/>
  <c r="D96" i="8"/>
  <c r="C96" i="8"/>
  <c r="B96" i="8"/>
  <c r="E96" i="8" s="1"/>
  <c r="R94" i="8"/>
  <c r="Q94" i="8"/>
  <c r="M94" i="8"/>
  <c r="I94" i="8"/>
  <c r="E94" i="8"/>
  <c r="Q93" i="8"/>
  <c r="M93" i="8"/>
  <c r="I93" i="8"/>
  <c r="E93" i="8"/>
  <c r="P89" i="8"/>
  <c r="O89" i="8"/>
  <c r="O126" i="8" s="1"/>
  <c r="O129" i="8" s="1"/>
  <c r="N89" i="8"/>
  <c r="L89" i="8"/>
  <c r="L126" i="8" s="1"/>
  <c r="L129" i="8" s="1"/>
  <c r="K89" i="8"/>
  <c r="J89" i="8"/>
  <c r="H89" i="8"/>
  <c r="H126" i="8" s="1"/>
  <c r="H129" i="8" s="1"/>
  <c r="G89" i="8"/>
  <c r="G126" i="8" s="1"/>
  <c r="G129" i="8" s="1"/>
  <c r="F89" i="8"/>
  <c r="D89" i="8"/>
  <c r="D126" i="8" s="1"/>
  <c r="C89" i="8"/>
  <c r="C126" i="8" s="1"/>
  <c r="C129" i="8" s="1"/>
  <c r="B89" i="8"/>
  <c r="E89" i="8" s="1"/>
  <c r="Q87" i="8"/>
  <c r="M87" i="8"/>
  <c r="I87" i="8"/>
  <c r="E87" i="8"/>
  <c r="Q86" i="8"/>
  <c r="R86" i="8" s="1"/>
  <c r="M86" i="8"/>
  <c r="I86" i="8"/>
  <c r="E86" i="8"/>
  <c r="Q84" i="8"/>
  <c r="M84" i="8"/>
  <c r="I84" i="8"/>
  <c r="E84" i="8"/>
  <c r="Q83" i="8"/>
  <c r="M83" i="8"/>
  <c r="I83" i="8"/>
  <c r="E83" i="8"/>
  <c r="R83" i="8" s="1"/>
  <c r="Q81" i="8"/>
  <c r="R81" i="8" s="1"/>
  <c r="M81" i="8"/>
  <c r="I81" i="8"/>
  <c r="E81" i="8"/>
  <c r="Q80" i="8"/>
  <c r="M80" i="8"/>
  <c r="I80" i="8"/>
  <c r="E80" i="8"/>
  <c r="Q79" i="8"/>
  <c r="M79" i="8"/>
  <c r="I79" i="8"/>
  <c r="E79" i="8"/>
  <c r="R79" i="8" s="1"/>
  <c r="Q78" i="8"/>
  <c r="M78" i="8"/>
  <c r="I78" i="8"/>
  <c r="E78" i="8"/>
  <c r="Q77" i="8"/>
  <c r="M77" i="8"/>
  <c r="I77" i="8"/>
  <c r="E77" i="8"/>
  <c r="R77" i="8" s="1"/>
  <c r="R76" i="8"/>
  <c r="Q76" i="8"/>
  <c r="M76" i="8"/>
  <c r="I76" i="8"/>
  <c r="E76" i="8"/>
  <c r="Q75" i="8"/>
  <c r="M75" i="8"/>
  <c r="I75" i="8"/>
  <c r="R75" i="8" s="1"/>
  <c r="E75" i="8"/>
  <c r="Q74" i="8"/>
  <c r="M74" i="8"/>
  <c r="I74" i="8"/>
  <c r="E74" i="8"/>
  <c r="Q73" i="8"/>
  <c r="M73" i="8"/>
  <c r="R73" i="8" s="1"/>
  <c r="I73" i="8"/>
  <c r="E73" i="8"/>
  <c r="Q72" i="8"/>
  <c r="M72" i="8"/>
  <c r="I72" i="8"/>
  <c r="E72" i="8"/>
  <c r="O62" i="8"/>
  <c r="G62" i="8"/>
  <c r="Q60" i="8"/>
  <c r="M60" i="8"/>
  <c r="I60" i="8"/>
  <c r="E60" i="8"/>
  <c r="R60" i="8" s="1"/>
  <c r="J59" i="8"/>
  <c r="J62" i="8" s="1"/>
  <c r="P58" i="8"/>
  <c r="O58" i="8"/>
  <c r="N58" i="8"/>
  <c r="Q58" i="8" s="1"/>
  <c r="L58" i="8"/>
  <c r="K58" i="8"/>
  <c r="J58" i="8"/>
  <c r="M58" i="8" s="1"/>
  <c r="H58" i="8"/>
  <c r="G58" i="8"/>
  <c r="F58" i="8"/>
  <c r="I58" i="8" s="1"/>
  <c r="D58" i="8"/>
  <c r="C58" i="8"/>
  <c r="B58" i="8"/>
  <c r="P57" i="8"/>
  <c r="O57" i="8"/>
  <c r="N57" i="8"/>
  <c r="Q57" i="8" s="1"/>
  <c r="M57" i="8"/>
  <c r="L57" i="8"/>
  <c r="K57" i="8"/>
  <c r="J57" i="8"/>
  <c r="H57" i="8"/>
  <c r="G57" i="8"/>
  <c r="F57" i="8"/>
  <c r="I57" i="8" s="1"/>
  <c r="D57" i="8"/>
  <c r="E57" i="8" s="1"/>
  <c r="R57" i="8" s="1"/>
  <c r="C57" i="8"/>
  <c r="B57" i="8"/>
  <c r="Q54" i="8"/>
  <c r="M54" i="8"/>
  <c r="I54" i="8"/>
  <c r="E54" i="8"/>
  <c r="R54" i="8" s="1"/>
  <c r="Q50" i="8"/>
  <c r="P50" i="8"/>
  <c r="O50" i="8"/>
  <c r="N50" i="8"/>
  <c r="L50" i="8"/>
  <c r="K50" i="8"/>
  <c r="J50" i="8"/>
  <c r="M50" i="8" s="1"/>
  <c r="I50" i="8"/>
  <c r="H50" i="8"/>
  <c r="G50" i="8"/>
  <c r="F50" i="8"/>
  <c r="D50" i="8"/>
  <c r="C50" i="8"/>
  <c r="B50" i="8"/>
  <c r="E50" i="8" s="1"/>
  <c r="P46" i="8"/>
  <c r="O46" i="8"/>
  <c r="N46" i="8"/>
  <c r="Q46" i="8" s="1"/>
  <c r="L46" i="8"/>
  <c r="K46" i="8"/>
  <c r="J46" i="8"/>
  <c r="M46" i="8" s="1"/>
  <c r="H46" i="8"/>
  <c r="G46" i="8"/>
  <c r="F46" i="8"/>
  <c r="I46" i="8" s="1"/>
  <c r="D46" i="8"/>
  <c r="C46" i="8"/>
  <c r="C59" i="8" s="1"/>
  <c r="C62" i="8" s="1"/>
  <c r="B46" i="8"/>
  <c r="P41" i="8"/>
  <c r="P59" i="8" s="1"/>
  <c r="P62" i="8" s="1"/>
  <c r="O41" i="8"/>
  <c r="O59" i="8" s="1"/>
  <c r="N41" i="8"/>
  <c r="Q41" i="8" s="1"/>
  <c r="M41" i="8"/>
  <c r="L41" i="8"/>
  <c r="K41" i="8"/>
  <c r="K59" i="8" s="1"/>
  <c r="K62" i="8" s="1"/>
  <c r="J41" i="8"/>
  <c r="H41" i="8"/>
  <c r="H59" i="8" s="1"/>
  <c r="H62" i="8" s="1"/>
  <c r="G41" i="8"/>
  <c r="G59" i="8" s="1"/>
  <c r="F41" i="8"/>
  <c r="D41" i="8"/>
  <c r="C41" i="8"/>
  <c r="B41" i="8"/>
  <c r="R38" i="8"/>
  <c r="Q38" i="8"/>
  <c r="M38" i="8"/>
  <c r="I38" i="8"/>
  <c r="E38" i="8"/>
  <c r="P27" i="8"/>
  <c r="O27" i="8"/>
  <c r="N27" i="8"/>
  <c r="L27" i="8"/>
  <c r="K27" i="8"/>
  <c r="M27" i="8" s="1"/>
  <c r="J27" i="8"/>
  <c r="H27" i="8"/>
  <c r="G27" i="8"/>
  <c r="F27" i="8"/>
  <c r="D27" i="8"/>
  <c r="C27" i="8"/>
  <c r="E27" i="8" s="1"/>
  <c r="B27" i="8"/>
  <c r="Q25" i="8"/>
  <c r="M25" i="8"/>
  <c r="R25" i="8" s="1"/>
  <c r="I25" i="8"/>
  <c r="E25" i="8"/>
  <c r="M20" i="8"/>
  <c r="I20" i="8"/>
  <c r="E20" i="8"/>
  <c r="P18" i="8"/>
  <c r="O18" i="8"/>
  <c r="N18" i="8"/>
  <c r="Q18" i="8" s="1"/>
  <c r="L18" i="8"/>
  <c r="K18" i="8"/>
  <c r="J18" i="8"/>
  <c r="M18" i="8" s="1"/>
  <c r="H18" i="8"/>
  <c r="G18" i="8"/>
  <c r="F18" i="8"/>
  <c r="I18" i="8" s="1"/>
  <c r="D18" i="8"/>
  <c r="C18" i="8"/>
  <c r="B18" i="8"/>
  <c r="E18" i="8" s="1"/>
  <c r="P17" i="8"/>
  <c r="O17" i="8"/>
  <c r="Q17" i="8" s="1"/>
  <c r="N17" i="8"/>
  <c r="L17" i="8"/>
  <c r="K17" i="8"/>
  <c r="M17" i="8" s="1"/>
  <c r="J17" i="8"/>
  <c r="H17" i="8"/>
  <c r="G17" i="8"/>
  <c r="I17" i="8" s="1"/>
  <c r="F17" i="8"/>
  <c r="D17" i="8"/>
  <c r="C17" i="8"/>
  <c r="E17" i="8" s="1"/>
  <c r="B17" i="8"/>
  <c r="P16" i="8"/>
  <c r="Q16" i="8" s="1"/>
  <c r="O16" i="8"/>
  <c r="N16" i="8"/>
  <c r="M16" i="8"/>
  <c r="L16" i="8"/>
  <c r="K16" i="8"/>
  <c r="J16" i="8"/>
  <c r="H16" i="8"/>
  <c r="I16" i="8" s="1"/>
  <c r="G16" i="8"/>
  <c r="F16" i="8"/>
  <c r="E16" i="8"/>
  <c r="R16" i="8" s="1"/>
  <c r="D16" i="8"/>
  <c r="C16" i="8"/>
  <c r="B16" i="8"/>
  <c r="Q15" i="8"/>
  <c r="P15" i="8"/>
  <c r="O15" i="8"/>
  <c r="N15" i="8"/>
  <c r="L15" i="8"/>
  <c r="K15" i="8"/>
  <c r="J15" i="8"/>
  <c r="M15" i="8" s="1"/>
  <c r="I15" i="8"/>
  <c r="H15" i="8"/>
  <c r="G15" i="8"/>
  <c r="F15" i="8"/>
  <c r="D15" i="8"/>
  <c r="C15" i="8"/>
  <c r="B15" i="8"/>
  <c r="E15" i="8" s="1"/>
  <c r="R15" i="8" s="1"/>
  <c r="P14" i="8"/>
  <c r="O14" i="8"/>
  <c r="N14" i="8"/>
  <c r="Q14" i="8" s="1"/>
  <c r="L14" i="8"/>
  <c r="K14" i="8"/>
  <c r="J14" i="8"/>
  <c r="M14" i="8" s="1"/>
  <c r="H14" i="8"/>
  <c r="G14" i="8"/>
  <c r="F14" i="8"/>
  <c r="I14" i="8" s="1"/>
  <c r="D14" i="8"/>
  <c r="C14" i="8"/>
  <c r="B14" i="8"/>
  <c r="E14" i="8" s="1"/>
  <c r="R14" i="8" s="1"/>
  <c r="O130" i="8"/>
  <c r="N28" i="8"/>
  <c r="K561" i="8"/>
  <c r="C28" i="8"/>
  <c r="R1" i="8"/>
  <c r="Q1060" i="7"/>
  <c r="O1060" i="7"/>
  <c r="K1060" i="7"/>
  <c r="R1057" i="7"/>
  <c r="Q1057" i="7"/>
  <c r="M1057" i="7"/>
  <c r="G1057" i="7"/>
  <c r="I1057" i="7" s="1"/>
  <c r="Q1056" i="7"/>
  <c r="M1056" i="7"/>
  <c r="N1057" i="7" s="1"/>
  <c r="I1056" i="7"/>
  <c r="G1056" i="7"/>
  <c r="Q1055" i="7"/>
  <c r="M1055" i="7"/>
  <c r="G1055" i="7"/>
  <c r="I1055" i="7" s="1"/>
  <c r="J1057" i="7" s="1"/>
  <c r="Q1054" i="7"/>
  <c r="N1054" i="7"/>
  <c r="M1054" i="7"/>
  <c r="I1054" i="7"/>
  <c r="G1054" i="7"/>
  <c r="Q1053" i="7"/>
  <c r="M1053" i="7"/>
  <c r="G1053" i="7"/>
  <c r="I1053" i="7" s="1"/>
  <c r="Q1052" i="7"/>
  <c r="R1054" i="7" s="1"/>
  <c r="M1052" i="7"/>
  <c r="I1052" i="7"/>
  <c r="J1054" i="7" s="1"/>
  <c r="G1052" i="7"/>
  <c r="Q1051" i="7"/>
  <c r="M1051" i="7"/>
  <c r="G1051" i="7"/>
  <c r="I1051" i="7" s="1"/>
  <c r="Q1050" i="7"/>
  <c r="M1050" i="7"/>
  <c r="N1051" i="7" s="1"/>
  <c r="I1050" i="7"/>
  <c r="G1050" i="7"/>
  <c r="Q1049" i="7"/>
  <c r="R1051" i="7" s="1"/>
  <c r="M1049" i="7"/>
  <c r="G1049" i="7"/>
  <c r="I1049" i="7" s="1"/>
  <c r="J1051" i="7" s="1"/>
  <c r="Q1048" i="7"/>
  <c r="M1048" i="7"/>
  <c r="G1048" i="7"/>
  <c r="I1048" i="7" s="1"/>
  <c r="Q1047" i="7"/>
  <c r="M1047" i="7"/>
  <c r="G1047" i="7"/>
  <c r="G1060" i="7" s="1"/>
  <c r="Q1046" i="7"/>
  <c r="R1048" i="7" s="1"/>
  <c r="M1046" i="7"/>
  <c r="M1060" i="7" s="1"/>
  <c r="I1046" i="7"/>
  <c r="G1040" i="7"/>
  <c r="O1039" i="7"/>
  <c r="K1039" i="7"/>
  <c r="C1039" i="7"/>
  <c r="I1036" i="7"/>
  <c r="J1033" i="7"/>
  <c r="Q1032" i="7"/>
  <c r="P1008" i="7"/>
  <c r="O1008" i="7" s="1"/>
  <c r="J1008" i="7"/>
  <c r="G1008" i="7" s="1"/>
  <c r="C981" i="7" s="1"/>
  <c r="I1008" i="7"/>
  <c r="F1008" i="7" s="1"/>
  <c r="B981" i="7" s="1"/>
  <c r="P1007" i="7"/>
  <c r="O1007" i="7"/>
  <c r="J1007" i="7"/>
  <c r="L1007" i="7" s="1"/>
  <c r="I1007" i="7"/>
  <c r="F1007" i="7" s="1"/>
  <c r="G1007" i="7"/>
  <c r="P1006" i="7"/>
  <c r="O1006" i="7"/>
  <c r="J1006" i="7"/>
  <c r="I1006" i="7"/>
  <c r="L1006" i="7" s="1"/>
  <c r="G1006" i="7"/>
  <c r="F1006" i="7"/>
  <c r="B979" i="7" s="1"/>
  <c r="P1005" i="7"/>
  <c r="O1005" i="7" s="1"/>
  <c r="J1005" i="7"/>
  <c r="I1005" i="7"/>
  <c r="F1005" i="7"/>
  <c r="P1004" i="7"/>
  <c r="O1004" i="7"/>
  <c r="K1004" i="7"/>
  <c r="H1004" i="7" s="1"/>
  <c r="D977" i="7" s="1"/>
  <c r="J1004" i="7"/>
  <c r="L1004" i="7" s="1"/>
  <c r="I1004" i="7"/>
  <c r="G1004" i="7"/>
  <c r="F1004" i="7"/>
  <c r="B977" i="7" s="1"/>
  <c r="P1003" i="7"/>
  <c r="O1003" i="7" s="1"/>
  <c r="L1003" i="7"/>
  <c r="K1003" i="7"/>
  <c r="H1003" i="7" s="1"/>
  <c r="D976" i="7" s="1"/>
  <c r="J1003" i="7"/>
  <c r="I1003" i="7"/>
  <c r="F1003" i="7" s="1"/>
  <c r="G1003" i="7"/>
  <c r="P1002" i="7"/>
  <c r="O1002" i="7"/>
  <c r="K1002" i="7"/>
  <c r="J1002" i="7"/>
  <c r="G1002" i="7" s="1"/>
  <c r="I1002" i="7"/>
  <c r="F1002" i="7" s="1"/>
  <c r="B975" i="7" s="1"/>
  <c r="H1002" i="7"/>
  <c r="D975" i="7" s="1"/>
  <c r="P1001" i="7"/>
  <c r="O1001" i="7"/>
  <c r="J1001" i="7"/>
  <c r="L1001" i="7" s="1"/>
  <c r="I1001" i="7"/>
  <c r="F1001" i="7" s="1"/>
  <c r="G1001" i="7"/>
  <c r="P1000" i="7"/>
  <c r="O1000" i="7"/>
  <c r="J1000" i="7"/>
  <c r="I1000" i="7"/>
  <c r="L1000" i="7" s="1"/>
  <c r="G1000" i="7"/>
  <c r="F1000" i="7"/>
  <c r="B973" i="7" s="1"/>
  <c r="P999" i="7"/>
  <c r="O999" i="7" s="1"/>
  <c r="J999" i="7"/>
  <c r="I999" i="7"/>
  <c r="F999" i="7"/>
  <c r="P998" i="7"/>
  <c r="O998" i="7"/>
  <c r="J998" i="7"/>
  <c r="L998" i="7" s="1"/>
  <c r="I998" i="7"/>
  <c r="F998" i="7"/>
  <c r="P997" i="7"/>
  <c r="O997" i="7"/>
  <c r="J997" i="7"/>
  <c r="L997" i="7" s="1"/>
  <c r="I997" i="7"/>
  <c r="F997" i="7" s="1"/>
  <c r="B970" i="7" s="1"/>
  <c r="G997" i="7"/>
  <c r="C970" i="7" s="1"/>
  <c r="B991" i="7"/>
  <c r="B988" i="7"/>
  <c r="Q987" i="7"/>
  <c r="C980" i="7"/>
  <c r="B980" i="7"/>
  <c r="C979" i="7"/>
  <c r="B978" i="7"/>
  <c r="C977" i="7"/>
  <c r="C976" i="7"/>
  <c r="B976" i="7"/>
  <c r="C975" i="7"/>
  <c r="C974" i="7"/>
  <c r="B974" i="7"/>
  <c r="C973" i="7"/>
  <c r="AD972" i="7"/>
  <c r="B972" i="7"/>
  <c r="AD970" i="7" s="1"/>
  <c r="AD971" i="7"/>
  <c r="B971" i="7"/>
  <c r="AE967" i="7"/>
  <c r="AW989" i="7" s="1"/>
  <c r="B966" i="7"/>
  <c r="B963" i="7"/>
  <c r="Q962" i="7"/>
  <c r="M940" i="7"/>
  <c r="N931" i="7"/>
  <c r="L931" i="7"/>
  <c r="K931" i="7"/>
  <c r="I931" i="7"/>
  <c r="J931" i="7" s="1"/>
  <c r="H931" i="7"/>
  <c r="O930" i="7"/>
  <c r="M929" i="7"/>
  <c r="O929" i="7" s="1"/>
  <c r="J929" i="7"/>
  <c r="O928" i="7"/>
  <c r="M928" i="7"/>
  <c r="J928" i="7"/>
  <c r="M927" i="7"/>
  <c r="J927" i="7"/>
  <c r="O926" i="7"/>
  <c r="O925" i="7"/>
  <c r="J925" i="7"/>
  <c r="O924" i="7"/>
  <c r="J924" i="7"/>
  <c r="AR923" i="7"/>
  <c r="AQ923" i="7"/>
  <c r="AP923" i="7"/>
  <c r="AO923" i="7"/>
  <c r="AN923" i="7"/>
  <c r="AM923" i="7"/>
  <c r="AL923" i="7"/>
  <c r="AK923" i="7"/>
  <c r="AJ923" i="7"/>
  <c r="AI923" i="7"/>
  <c r="AH923" i="7"/>
  <c r="AG923" i="7"/>
  <c r="AF923" i="7"/>
  <c r="AE923" i="7"/>
  <c r="AD923" i="7"/>
  <c r="O923" i="7"/>
  <c r="J923" i="7"/>
  <c r="M922" i="7"/>
  <c r="O922" i="7" s="1"/>
  <c r="J922" i="7"/>
  <c r="M921" i="7"/>
  <c r="O921" i="7" s="1"/>
  <c r="J921" i="7"/>
  <c r="O920" i="7"/>
  <c r="J920" i="7"/>
  <c r="O919" i="7"/>
  <c r="J919" i="7"/>
  <c r="O918" i="7"/>
  <c r="M918" i="7"/>
  <c r="J918" i="7"/>
  <c r="AD913" i="7"/>
  <c r="AD910" i="7"/>
  <c r="B910" i="7"/>
  <c r="AR909" i="7"/>
  <c r="B909" i="7"/>
  <c r="Q908" i="7"/>
  <c r="AR888" i="7"/>
  <c r="AQ888" i="7"/>
  <c r="AP888" i="7"/>
  <c r="AO888" i="7"/>
  <c r="AN888" i="7"/>
  <c r="AM888" i="7"/>
  <c r="AL888" i="7"/>
  <c r="AK888" i="7"/>
  <c r="AJ888" i="7"/>
  <c r="AI888" i="7"/>
  <c r="AH888" i="7"/>
  <c r="AG888" i="7"/>
  <c r="AE888" i="7"/>
  <c r="AG883" i="7"/>
  <c r="AF883" i="7"/>
  <c r="AF888" i="7" s="1"/>
  <c r="AE883" i="7"/>
  <c r="AD883" i="7"/>
  <c r="AD888" i="7" s="1"/>
  <c r="B883" i="7"/>
  <c r="B880" i="7"/>
  <c r="Q879" i="7"/>
  <c r="AD878" i="7"/>
  <c r="AD875" i="7"/>
  <c r="AR874" i="7"/>
  <c r="AF863" i="7"/>
  <c r="AH861" i="7"/>
  <c r="AR857" i="7"/>
  <c r="AQ857" i="7"/>
  <c r="AP857" i="7"/>
  <c r="AO857" i="7"/>
  <c r="AG857" i="7"/>
  <c r="AF857" i="7"/>
  <c r="AE857" i="7"/>
  <c r="AD857" i="7"/>
  <c r="B857" i="7"/>
  <c r="B854" i="7"/>
  <c r="Q853" i="7"/>
  <c r="AR852" i="7"/>
  <c r="AG852" i="7"/>
  <c r="AS849" i="7"/>
  <c r="AH849" i="7"/>
  <c r="AS847" i="7"/>
  <c r="T844" i="7"/>
  <c r="G844" i="7"/>
  <c r="G901" i="7" s="1"/>
  <c r="F844" i="7"/>
  <c r="T843" i="7"/>
  <c r="G843" i="7"/>
  <c r="F843" i="7"/>
  <c r="T842" i="7"/>
  <c r="G842" i="7"/>
  <c r="F842" i="7"/>
  <c r="T841" i="7"/>
  <c r="G841" i="7"/>
  <c r="G898" i="7" s="1"/>
  <c r="F841" i="7"/>
  <c r="T840" i="7"/>
  <c r="G840" i="7"/>
  <c r="F840" i="7"/>
  <c r="AF866" i="7" s="1"/>
  <c r="T839" i="7"/>
  <c r="G839" i="7"/>
  <c r="G896" i="7" s="1"/>
  <c r="F839" i="7"/>
  <c r="T838" i="7"/>
  <c r="G838" i="7"/>
  <c r="G895" i="7" s="1"/>
  <c r="F838" i="7"/>
  <c r="AF864" i="7" s="1"/>
  <c r="T837" i="7"/>
  <c r="AE828" i="7" s="1"/>
  <c r="G837" i="7"/>
  <c r="F837" i="7"/>
  <c r="AE863" i="7" s="1"/>
  <c r="T836" i="7"/>
  <c r="AH862" i="7" s="1"/>
  <c r="G836" i="7"/>
  <c r="G893" i="7" s="1"/>
  <c r="F836" i="7"/>
  <c r="AG862" i="7" s="1"/>
  <c r="AO835" i="7"/>
  <c r="AE835" i="7"/>
  <c r="AD835" i="7"/>
  <c r="AF835" i="7" s="1"/>
  <c r="T835" i="7"/>
  <c r="G835" i="7"/>
  <c r="G892" i="7" s="1"/>
  <c r="G920" i="7" s="1"/>
  <c r="F835" i="7"/>
  <c r="AO834" i="7"/>
  <c r="AF834" i="7"/>
  <c r="AE834" i="7"/>
  <c r="AD834" i="7"/>
  <c r="T834" i="7"/>
  <c r="AE825" i="7" s="1"/>
  <c r="G834" i="7"/>
  <c r="F834" i="7"/>
  <c r="AE860" i="7" s="1"/>
  <c r="T833" i="7"/>
  <c r="G833" i="7"/>
  <c r="F833" i="7"/>
  <c r="AE859" i="7" s="1"/>
  <c r="AE832" i="7"/>
  <c r="AO831" i="7"/>
  <c r="AF831" i="7"/>
  <c r="AE831" i="7"/>
  <c r="AD831" i="7"/>
  <c r="AO830" i="7"/>
  <c r="AF830" i="7"/>
  <c r="AE830" i="7"/>
  <c r="AD830" i="7"/>
  <c r="AE829" i="7"/>
  <c r="B828" i="7"/>
  <c r="AE827" i="7"/>
  <c r="AD827" i="7"/>
  <c r="AO827" i="7" s="1"/>
  <c r="AK826" i="7"/>
  <c r="AE826" i="7"/>
  <c r="AD826" i="7"/>
  <c r="AO825" i="7"/>
  <c r="AD825" i="7"/>
  <c r="B825" i="7"/>
  <c r="AE824" i="7"/>
  <c r="Q824" i="7"/>
  <c r="AF816" i="7"/>
  <c r="AS815" i="7"/>
  <c r="AN815" i="7"/>
  <c r="A806" i="7"/>
  <c r="A804" i="7"/>
  <c r="Q800" i="7"/>
  <c r="P794" i="7"/>
  <c r="O794" i="7"/>
  <c r="N794" i="7"/>
  <c r="M794" i="7"/>
  <c r="L794" i="7"/>
  <c r="L795" i="7" s="1"/>
  <c r="K794" i="7"/>
  <c r="J794" i="7"/>
  <c r="H794" i="7"/>
  <c r="G794" i="7"/>
  <c r="F794" i="7"/>
  <c r="D794" i="7"/>
  <c r="C794" i="7"/>
  <c r="B794" i="7"/>
  <c r="P793" i="7"/>
  <c r="O793" i="7"/>
  <c r="N793" i="7"/>
  <c r="L793" i="7"/>
  <c r="K793" i="7"/>
  <c r="J793" i="7"/>
  <c r="M793" i="7" s="1"/>
  <c r="H793" i="7"/>
  <c r="G793" i="7"/>
  <c r="F793" i="7"/>
  <c r="D793" i="7"/>
  <c r="C793" i="7"/>
  <c r="B793" i="7"/>
  <c r="P792" i="7"/>
  <c r="O792" i="7"/>
  <c r="N792" i="7"/>
  <c r="L792" i="7"/>
  <c r="K792" i="7"/>
  <c r="K795" i="7" s="1"/>
  <c r="J792" i="7"/>
  <c r="J795" i="7" s="1"/>
  <c r="M795" i="7" s="1"/>
  <c r="H792" i="7"/>
  <c r="G792" i="7"/>
  <c r="F792" i="7"/>
  <c r="F795" i="7" s="1"/>
  <c r="D792" i="7"/>
  <c r="D795" i="7" s="1"/>
  <c r="C792" i="7"/>
  <c r="C795" i="7" s="1"/>
  <c r="B792" i="7"/>
  <c r="B795" i="7" s="1"/>
  <c r="P791" i="7"/>
  <c r="O791" i="7"/>
  <c r="Q791" i="7" s="1"/>
  <c r="N791" i="7"/>
  <c r="L791" i="7"/>
  <c r="K791" i="7"/>
  <c r="J791" i="7"/>
  <c r="H791" i="7"/>
  <c r="G791" i="7"/>
  <c r="F791" i="7"/>
  <c r="I791" i="7" s="1"/>
  <c r="D791" i="7"/>
  <c r="C791" i="7"/>
  <c r="B791" i="7"/>
  <c r="Q790" i="7"/>
  <c r="P790" i="7"/>
  <c r="O790" i="7"/>
  <c r="N790" i="7"/>
  <c r="L790" i="7"/>
  <c r="K790" i="7"/>
  <c r="J790" i="7"/>
  <c r="H790" i="7"/>
  <c r="G790" i="7"/>
  <c r="F790" i="7"/>
  <c r="I790" i="7" s="1"/>
  <c r="D790" i="7"/>
  <c r="C790" i="7"/>
  <c r="B790" i="7"/>
  <c r="P789" i="7"/>
  <c r="O789" i="7"/>
  <c r="N789" i="7"/>
  <c r="L789" i="7"/>
  <c r="K789" i="7"/>
  <c r="J789" i="7"/>
  <c r="H789" i="7"/>
  <c r="G789" i="7"/>
  <c r="F789" i="7"/>
  <c r="D789" i="7"/>
  <c r="C789" i="7"/>
  <c r="C796" i="7" s="1"/>
  <c r="C818" i="7" s="1"/>
  <c r="B789" i="7"/>
  <c r="P787" i="7"/>
  <c r="P816" i="7" s="1"/>
  <c r="P786" i="7"/>
  <c r="N786" i="7"/>
  <c r="G786" i="7"/>
  <c r="F786" i="7"/>
  <c r="C786" i="7"/>
  <c r="B786" i="7"/>
  <c r="P785" i="7"/>
  <c r="O785" i="7"/>
  <c r="J785" i="7"/>
  <c r="H785" i="7"/>
  <c r="G785" i="7"/>
  <c r="G787" i="7" s="1"/>
  <c r="G816" i="7" s="1"/>
  <c r="F785" i="7"/>
  <c r="D785" i="7"/>
  <c r="C785" i="7"/>
  <c r="C787" i="7" s="1"/>
  <c r="C816" i="7" s="1"/>
  <c r="B785" i="7"/>
  <c r="H783" i="7"/>
  <c r="H814" i="7" s="1"/>
  <c r="P782" i="7"/>
  <c r="O782" i="7"/>
  <c r="Q782" i="7" s="1"/>
  <c r="N782" i="7"/>
  <c r="L782" i="7"/>
  <c r="K782" i="7"/>
  <c r="J782" i="7"/>
  <c r="H782" i="7"/>
  <c r="G782" i="7"/>
  <c r="F782" i="7"/>
  <c r="D782" i="7"/>
  <c r="C782" i="7"/>
  <c r="B782" i="7"/>
  <c r="P781" i="7"/>
  <c r="P783" i="7" s="1"/>
  <c r="P814" i="7" s="1"/>
  <c r="L781" i="7"/>
  <c r="K781" i="7"/>
  <c r="K783" i="7" s="1"/>
  <c r="K814" i="7" s="1"/>
  <c r="J781" i="7"/>
  <c r="H781" i="7"/>
  <c r="G781" i="7"/>
  <c r="I781" i="7" s="1"/>
  <c r="F781" i="7"/>
  <c r="D781" i="7"/>
  <c r="C781" i="7"/>
  <c r="B781" i="7"/>
  <c r="E781" i="7" s="1"/>
  <c r="P780" i="7"/>
  <c r="O780" i="7"/>
  <c r="N780" i="7"/>
  <c r="L780" i="7"/>
  <c r="K780" i="7"/>
  <c r="J780" i="7"/>
  <c r="H780" i="7"/>
  <c r="G780" i="7"/>
  <c r="G783" i="7" s="1"/>
  <c r="G814" i="7" s="1"/>
  <c r="F780" i="7"/>
  <c r="D780" i="7"/>
  <c r="C780" i="7"/>
  <c r="B780" i="7"/>
  <c r="P777" i="7"/>
  <c r="O777" i="7"/>
  <c r="Q777" i="7" s="1"/>
  <c r="N777" i="7"/>
  <c r="L777" i="7"/>
  <c r="K777" i="7"/>
  <c r="M777" i="7" s="1"/>
  <c r="J777" i="7"/>
  <c r="H777" i="7"/>
  <c r="G777" i="7"/>
  <c r="I777" i="7" s="1"/>
  <c r="F777" i="7"/>
  <c r="D777" i="7"/>
  <c r="C777" i="7"/>
  <c r="E777" i="7" s="1"/>
  <c r="B777" i="7"/>
  <c r="P776" i="7"/>
  <c r="O776" i="7"/>
  <c r="N776" i="7"/>
  <c r="L776" i="7"/>
  <c r="K776" i="7"/>
  <c r="J776" i="7"/>
  <c r="H776" i="7"/>
  <c r="G776" i="7"/>
  <c r="F776" i="7"/>
  <c r="D776" i="7"/>
  <c r="C776" i="7"/>
  <c r="B776" i="7"/>
  <c r="P775" i="7"/>
  <c r="O775" i="7"/>
  <c r="N775" i="7"/>
  <c r="L775" i="7"/>
  <c r="K775" i="7"/>
  <c r="M775" i="7" s="1"/>
  <c r="J775" i="7"/>
  <c r="H775" i="7"/>
  <c r="G775" i="7"/>
  <c r="F775" i="7"/>
  <c r="D775" i="7"/>
  <c r="C775" i="7"/>
  <c r="E775" i="7" s="1"/>
  <c r="B775" i="7"/>
  <c r="P774" i="7"/>
  <c r="O774" i="7"/>
  <c r="Q774" i="7" s="1"/>
  <c r="N774" i="7"/>
  <c r="L774" i="7"/>
  <c r="K774" i="7"/>
  <c r="J774" i="7"/>
  <c r="M774" i="7" s="1"/>
  <c r="H774" i="7"/>
  <c r="G774" i="7"/>
  <c r="F774" i="7"/>
  <c r="I774" i="7" s="1"/>
  <c r="D774" i="7"/>
  <c r="C774" i="7"/>
  <c r="B774" i="7"/>
  <c r="Q773" i="7"/>
  <c r="P773" i="7"/>
  <c r="O773" i="7"/>
  <c r="N773" i="7"/>
  <c r="L773" i="7"/>
  <c r="K773" i="7"/>
  <c r="J773" i="7"/>
  <c r="H773" i="7"/>
  <c r="G773" i="7"/>
  <c r="F773" i="7"/>
  <c r="D773" i="7"/>
  <c r="C773" i="7"/>
  <c r="B773" i="7"/>
  <c r="E773" i="7" s="1"/>
  <c r="P772" i="7"/>
  <c r="P778" i="7" s="1"/>
  <c r="F772" i="7"/>
  <c r="A765" i="7"/>
  <c r="A763" i="7"/>
  <c r="Q759" i="7"/>
  <c r="Q752" i="7"/>
  <c r="M752" i="7"/>
  <c r="I752" i="7"/>
  <c r="E752" i="7"/>
  <c r="R752" i="7" s="1"/>
  <c r="P750" i="7"/>
  <c r="O750" i="7"/>
  <c r="N750" i="7"/>
  <c r="L750" i="7"/>
  <c r="K750" i="7"/>
  <c r="M750" i="7" s="1"/>
  <c r="J750" i="7"/>
  <c r="H750" i="7"/>
  <c r="G750" i="7"/>
  <c r="F750" i="7"/>
  <c r="D750" i="7"/>
  <c r="C750" i="7"/>
  <c r="E750" i="7" s="1"/>
  <c r="B750" i="7"/>
  <c r="Q749" i="7"/>
  <c r="P749" i="7"/>
  <c r="O749" i="7"/>
  <c r="N749" i="7"/>
  <c r="L749" i="7"/>
  <c r="K749" i="7"/>
  <c r="J749" i="7"/>
  <c r="H749" i="7"/>
  <c r="G749" i="7"/>
  <c r="F749" i="7"/>
  <c r="D749" i="7"/>
  <c r="C749" i="7"/>
  <c r="B749" i="7"/>
  <c r="Q746" i="7"/>
  <c r="M746" i="7"/>
  <c r="I746" i="7"/>
  <c r="E746" i="7"/>
  <c r="Q745" i="7"/>
  <c r="M745" i="7"/>
  <c r="I745" i="7"/>
  <c r="E745" i="7"/>
  <c r="Q743" i="7"/>
  <c r="M743" i="7"/>
  <c r="I743" i="7"/>
  <c r="E743" i="7"/>
  <c r="Q742" i="7"/>
  <c r="M742" i="7"/>
  <c r="I742" i="7"/>
  <c r="E742" i="7"/>
  <c r="P739" i="7"/>
  <c r="H739" i="7"/>
  <c r="G739" i="7"/>
  <c r="F739" i="7"/>
  <c r="D739" i="7"/>
  <c r="C739" i="7"/>
  <c r="B739" i="7"/>
  <c r="O738" i="7"/>
  <c r="N738" i="7"/>
  <c r="Q738" i="7" s="1"/>
  <c r="L738" i="7"/>
  <c r="K738" i="7"/>
  <c r="M738" i="7" s="1"/>
  <c r="J738" i="7"/>
  <c r="I738" i="7"/>
  <c r="E738" i="7"/>
  <c r="Q737" i="7"/>
  <c r="M737" i="7"/>
  <c r="I737" i="7"/>
  <c r="E737" i="7"/>
  <c r="Q736" i="7"/>
  <c r="M736" i="7"/>
  <c r="I736" i="7"/>
  <c r="E736" i="7"/>
  <c r="Q735" i="7"/>
  <c r="M735" i="7"/>
  <c r="I735" i="7"/>
  <c r="E735" i="7"/>
  <c r="Q733" i="7"/>
  <c r="M733" i="7"/>
  <c r="I733" i="7"/>
  <c r="E733" i="7"/>
  <c r="O732" i="7"/>
  <c r="O739" i="7" s="1"/>
  <c r="N732" i="7"/>
  <c r="N785" i="7" s="1"/>
  <c r="L732" i="7"/>
  <c r="K732" i="7"/>
  <c r="K739" i="7" s="1"/>
  <c r="J732" i="7"/>
  <c r="J739" i="7" s="1"/>
  <c r="I732" i="7"/>
  <c r="E732" i="7"/>
  <c r="P729" i="7"/>
  <c r="O729" i="7"/>
  <c r="N729" i="7"/>
  <c r="L729" i="7"/>
  <c r="K729" i="7"/>
  <c r="J729" i="7"/>
  <c r="M729" i="7" s="1"/>
  <c r="H729" i="7"/>
  <c r="G729" i="7"/>
  <c r="F729" i="7"/>
  <c r="D729" i="7"/>
  <c r="C729" i="7"/>
  <c r="B729" i="7"/>
  <c r="Q727" i="7"/>
  <c r="M727" i="7"/>
  <c r="I727" i="7"/>
  <c r="E727" i="7"/>
  <c r="P724" i="7"/>
  <c r="O724" i="7"/>
  <c r="N724" i="7"/>
  <c r="L724" i="7"/>
  <c r="K724" i="7"/>
  <c r="J724" i="7"/>
  <c r="H724" i="7"/>
  <c r="G724" i="7"/>
  <c r="F724" i="7"/>
  <c r="D724" i="7"/>
  <c r="C724" i="7"/>
  <c r="B724" i="7"/>
  <c r="B751" i="7" s="1"/>
  <c r="Q722" i="7"/>
  <c r="M722" i="7"/>
  <c r="I722" i="7"/>
  <c r="E722" i="7"/>
  <c r="Q719" i="7"/>
  <c r="M719" i="7"/>
  <c r="I719" i="7"/>
  <c r="E719" i="7"/>
  <c r="Q718" i="7"/>
  <c r="M718" i="7"/>
  <c r="I718" i="7"/>
  <c r="E718" i="7"/>
  <c r="Q717" i="7"/>
  <c r="M717" i="7"/>
  <c r="I717" i="7"/>
  <c r="E717" i="7"/>
  <c r="Q716" i="7"/>
  <c r="M716" i="7"/>
  <c r="I716" i="7"/>
  <c r="E716" i="7"/>
  <c r="Q704" i="7"/>
  <c r="M704" i="7"/>
  <c r="I704" i="7"/>
  <c r="E704" i="7"/>
  <c r="Q703" i="7"/>
  <c r="M703" i="7"/>
  <c r="I703" i="7"/>
  <c r="E703" i="7"/>
  <c r="F702" i="7"/>
  <c r="P701" i="7"/>
  <c r="O701" i="7"/>
  <c r="N701" i="7"/>
  <c r="N702" i="7" s="1"/>
  <c r="L701" i="7"/>
  <c r="K701" i="7"/>
  <c r="J701" i="7"/>
  <c r="H701" i="7"/>
  <c r="G701" i="7"/>
  <c r="I701" i="7" s="1"/>
  <c r="F701" i="7"/>
  <c r="D701" i="7"/>
  <c r="C701" i="7"/>
  <c r="B701" i="7"/>
  <c r="P700" i="7"/>
  <c r="O700" i="7"/>
  <c r="N700" i="7"/>
  <c r="Q700" i="7" s="1"/>
  <c r="M700" i="7"/>
  <c r="L700" i="7"/>
  <c r="K700" i="7"/>
  <c r="J700" i="7"/>
  <c r="H700" i="7"/>
  <c r="G700" i="7"/>
  <c r="F700" i="7"/>
  <c r="D700" i="7"/>
  <c r="E700" i="7" s="1"/>
  <c r="C700" i="7"/>
  <c r="B700" i="7"/>
  <c r="P694" i="7"/>
  <c r="O694" i="7"/>
  <c r="N694" i="7"/>
  <c r="L694" i="7"/>
  <c r="K694" i="7"/>
  <c r="J694" i="7"/>
  <c r="H694" i="7"/>
  <c r="G694" i="7"/>
  <c r="F694" i="7"/>
  <c r="I694" i="7" s="1"/>
  <c r="D694" i="7"/>
  <c r="C694" i="7"/>
  <c r="B694" i="7"/>
  <c r="P690" i="7"/>
  <c r="O690" i="7"/>
  <c r="N690" i="7"/>
  <c r="L690" i="7"/>
  <c r="K690" i="7"/>
  <c r="J690" i="7"/>
  <c r="H690" i="7"/>
  <c r="G690" i="7"/>
  <c r="F690" i="7"/>
  <c r="D690" i="7"/>
  <c r="C690" i="7"/>
  <c r="B690" i="7"/>
  <c r="P686" i="7"/>
  <c r="P702" i="7" s="1"/>
  <c r="P706" i="7" s="1"/>
  <c r="O686" i="7"/>
  <c r="O702" i="7" s="1"/>
  <c r="O706" i="7" s="1"/>
  <c r="N686" i="7"/>
  <c r="L686" i="7"/>
  <c r="K686" i="7"/>
  <c r="J686" i="7"/>
  <c r="H686" i="7"/>
  <c r="G686" i="7"/>
  <c r="F686" i="7"/>
  <c r="D686" i="7"/>
  <c r="D702" i="7" s="1"/>
  <c r="D706" i="7" s="1"/>
  <c r="C686" i="7"/>
  <c r="B686" i="7"/>
  <c r="Q682" i="7"/>
  <c r="M682" i="7"/>
  <c r="I682" i="7"/>
  <c r="E682" i="7"/>
  <c r="P672" i="7"/>
  <c r="O672" i="7"/>
  <c r="N672" i="7"/>
  <c r="L672" i="7"/>
  <c r="K672" i="7"/>
  <c r="J672" i="7"/>
  <c r="H672" i="7"/>
  <c r="G672" i="7"/>
  <c r="F672" i="7"/>
  <c r="D672" i="7"/>
  <c r="C672" i="7"/>
  <c r="B672" i="7"/>
  <c r="Q670" i="7"/>
  <c r="M670" i="7"/>
  <c r="I670" i="7"/>
  <c r="E670" i="7"/>
  <c r="Q660" i="7"/>
  <c r="M660" i="7"/>
  <c r="I660" i="7"/>
  <c r="E660" i="7"/>
  <c r="R660" i="7" s="1"/>
  <c r="P658" i="7"/>
  <c r="O658" i="7"/>
  <c r="N658" i="7"/>
  <c r="L658" i="7"/>
  <c r="K658" i="7"/>
  <c r="M658" i="7" s="1"/>
  <c r="J658" i="7"/>
  <c r="H658" i="7"/>
  <c r="G658" i="7"/>
  <c r="F658" i="7"/>
  <c r="D658" i="7"/>
  <c r="C658" i="7"/>
  <c r="B658" i="7"/>
  <c r="P657" i="7"/>
  <c r="O657" i="7"/>
  <c r="N657" i="7"/>
  <c r="Q657" i="7" s="1"/>
  <c r="L657" i="7"/>
  <c r="K657" i="7"/>
  <c r="J657" i="7"/>
  <c r="I657" i="7"/>
  <c r="H657" i="7"/>
  <c r="G657" i="7"/>
  <c r="F657" i="7"/>
  <c r="D657" i="7"/>
  <c r="C657" i="7"/>
  <c r="B657" i="7"/>
  <c r="Q654" i="7"/>
  <c r="M654" i="7"/>
  <c r="I654" i="7"/>
  <c r="E654" i="7"/>
  <c r="R654" i="7" s="1"/>
  <c r="Q653" i="7"/>
  <c r="M653" i="7"/>
  <c r="I653" i="7"/>
  <c r="E653" i="7"/>
  <c r="Q652" i="7"/>
  <c r="M652" i="7"/>
  <c r="I652" i="7"/>
  <c r="E652" i="7"/>
  <c r="Q651" i="7"/>
  <c r="M651" i="7"/>
  <c r="I651" i="7"/>
  <c r="E651" i="7"/>
  <c r="P647" i="7"/>
  <c r="O647" i="7"/>
  <c r="N647" i="7"/>
  <c r="L647" i="7"/>
  <c r="K647" i="7"/>
  <c r="J647" i="7"/>
  <c r="H647" i="7"/>
  <c r="G647" i="7"/>
  <c r="F647" i="7"/>
  <c r="I647" i="7" s="1"/>
  <c r="D647" i="7"/>
  <c r="C647" i="7"/>
  <c r="B647" i="7"/>
  <c r="Q646" i="7"/>
  <c r="M646" i="7"/>
  <c r="I646" i="7"/>
  <c r="E646" i="7"/>
  <c r="Q645" i="7"/>
  <c r="M645" i="7"/>
  <c r="I645" i="7"/>
  <c r="E645" i="7"/>
  <c r="Q644" i="7"/>
  <c r="M644" i="7"/>
  <c r="I644" i="7"/>
  <c r="E644" i="7"/>
  <c r="Q643" i="7"/>
  <c r="M643" i="7"/>
  <c r="I643" i="7"/>
  <c r="E643" i="7"/>
  <c r="Q641" i="7"/>
  <c r="M641" i="7"/>
  <c r="I641" i="7"/>
  <c r="E641" i="7"/>
  <c r="P638" i="7"/>
  <c r="O638" i="7"/>
  <c r="N638" i="7"/>
  <c r="L638" i="7"/>
  <c r="K638" i="7"/>
  <c r="M638" i="7" s="1"/>
  <c r="J638" i="7"/>
  <c r="H638" i="7"/>
  <c r="G638" i="7"/>
  <c r="F638" i="7"/>
  <c r="D638" i="7"/>
  <c r="C638" i="7"/>
  <c r="B638" i="7"/>
  <c r="P634" i="7"/>
  <c r="O634" i="7"/>
  <c r="O659" i="7" s="1"/>
  <c r="O662" i="7" s="1"/>
  <c r="N634" i="7"/>
  <c r="L634" i="7"/>
  <c r="L659" i="7" s="1"/>
  <c r="L662" i="7" s="1"/>
  <c r="K634" i="7"/>
  <c r="J634" i="7"/>
  <c r="J659" i="7" s="1"/>
  <c r="H634" i="7"/>
  <c r="G634" i="7"/>
  <c r="G659" i="7" s="1"/>
  <c r="G662" i="7" s="1"/>
  <c r="F634" i="7"/>
  <c r="D634" i="7"/>
  <c r="D659" i="7" s="1"/>
  <c r="D662" i="7" s="1"/>
  <c r="C634" i="7"/>
  <c r="B634" i="7"/>
  <c r="B659" i="7" s="1"/>
  <c r="Q630" i="7"/>
  <c r="M630" i="7"/>
  <c r="I630" i="7"/>
  <c r="E630" i="7"/>
  <c r="Q629" i="7"/>
  <c r="M629" i="7"/>
  <c r="I629" i="7"/>
  <c r="E629" i="7"/>
  <c r="Q628" i="7"/>
  <c r="M628" i="7"/>
  <c r="I628" i="7"/>
  <c r="E628" i="7"/>
  <c r="Q627" i="7"/>
  <c r="M627" i="7"/>
  <c r="I627" i="7"/>
  <c r="E627" i="7"/>
  <c r="Q626" i="7"/>
  <c r="M626" i="7"/>
  <c r="I626" i="7"/>
  <c r="E626" i="7"/>
  <c r="Q614" i="7"/>
  <c r="M614" i="7"/>
  <c r="I614" i="7"/>
  <c r="E614" i="7"/>
  <c r="R614" i="7" s="1"/>
  <c r="G613" i="7"/>
  <c r="G616" i="7" s="1"/>
  <c r="P612" i="7"/>
  <c r="O612" i="7"/>
  <c r="N612" i="7"/>
  <c r="L612" i="7"/>
  <c r="K612" i="7"/>
  <c r="J612" i="7"/>
  <c r="H612" i="7"/>
  <c r="G612" i="7"/>
  <c r="F612" i="7"/>
  <c r="D612" i="7"/>
  <c r="C612" i="7"/>
  <c r="E612" i="7" s="1"/>
  <c r="B612" i="7"/>
  <c r="P611" i="7"/>
  <c r="O611" i="7"/>
  <c r="N611" i="7"/>
  <c r="Q611" i="7" s="1"/>
  <c r="L611" i="7"/>
  <c r="K611" i="7"/>
  <c r="J611" i="7"/>
  <c r="I611" i="7"/>
  <c r="H611" i="7"/>
  <c r="G611" i="7"/>
  <c r="F611" i="7"/>
  <c r="D611" i="7"/>
  <c r="C611" i="7"/>
  <c r="B611" i="7"/>
  <c r="Q608" i="7"/>
  <c r="M608" i="7"/>
  <c r="I608" i="7"/>
  <c r="E608" i="7"/>
  <c r="R608" i="7" s="1"/>
  <c r="P604" i="7"/>
  <c r="O604" i="7"/>
  <c r="N604" i="7"/>
  <c r="L604" i="7"/>
  <c r="K604" i="7"/>
  <c r="J604" i="7"/>
  <c r="H604" i="7"/>
  <c r="G604" i="7"/>
  <c r="F604" i="7"/>
  <c r="D604" i="7"/>
  <c r="C604" i="7"/>
  <c r="B604" i="7"/>
  <c r="P600" i="7"/>
  <c r="O600" i="7"/>
  <c r="N600" i="7"/>
  <c r="L600" i="7"/>
  <c r="K600" i="7"/>
  <c r="M600" i="7" s="1"/>
  <c r="J600" i="7"/>
  <c r="H600" i="7"/>
  <c r="G600" i="7"/>
  <c r="F600" i="7"/>
  <c r="D600" i="7"/>
  <c r="C600" i="7"/>
  <c r="E600" i="7" s="1"/>
  <c r="B600" i="7"/>
  <c r="B613" i="7" s="1"/>
  <c r="Q596" i="7"/>
  <c r="P596" i="7"/>
  <c r="O596" i="7"/>
  <c r="N596" i="7"/>
  <c r="L596" i="7"/>
  <c r="L613" i="7" s="1"/>
  <c r="L616" i="7" s="1"/>
  <c r="K596" i="7"/>
  <c r="J596" i="7"/>
  <c r="H596" i="7"/>
  <c r="G596" i="7"/>
  <c r="F596" i="7"/>
  <c r="D596" i="7"/>
  <c r="D613" i="7" s="1"/>
  <c r="D616" i="7" s="1"/>
  <c r="C596" i="7"/>
  <c r="B596" i="7"/>
  <c r="Q592" i="7"/>
  <c r="M592" i="7"/>
  <c r="I592" i="7"/>
  <c r="E592" i="7"/>
  <c r="Q591" i="7"/>
  <c r="M591" i="7"/>
  <c r="I591" i="7"/>
  <c r="E591" i="7"/>
  <c r="Q590" i="7"/>
  <c r="M590" i="7"/>
  <c r="I590" i="7"/>
  <c r="E590" i="7"/>
  <c r="P580" i="7"/>
  <c r="O580" i="7"/>
  <c r="N580" i="7"/>
  <c r="L580" i="7"/>
  <c r="K580" i="7"/>
  <c r="J580" i="7"/>
  <c r="M580" i="7" s="1"/>
  <c r="H580" i="7"/>
  <c r="G580" i="7"/>
  <c r="I580" i="7" s="1"/>
  <c r="F580" i="7"/>
  <c r="D580" i="7"/>
  <c r="C580" i="7"/>
  <c r="E580" i="7" s="1"/>
  <c r="B580" i="7"/>
  <c r="Q578" i="7"/>
  <c r="M578" i="7"/>
  <c r="I578" i="7"/>
  <c r="E578" i="7"/>
  <c r="Q568" i="7"/>
  <c r="M568" i="7"/>
  <c r="I568" i="7"/>
  <c r="E568" i="7"/>
  <c r="R568" i="7" s="1"/>
  <c r="P566" i="7"/>
  <c r="O566" i="7"/>
  <c r="N566" i="7"/>
  <c r="L566" i="7"/>
  <c r="K566" i="7"/>
  <c r="J566" i="7"/>
  <c r="H566" i="7"/>
  <c r="G566" i="7"/>
  <c r="F566" i="7"/>
  <c r="D566" i="7"/>
  <c r="C566" i="7"/>
  <c r="B566" i="7"/>
  <c r="P565" i="7"/>
  <c r="O565" i="7"/>
  <c r="N565" i="7"/>
  <c r="L565" i="7"/>
  <c r="K565" i="7"/>
  <c r="J565" i="7"/>
  <c r="H565" i="7"/>
  <c r="G565" i="7"/>
  <c r="F565" i="7"/>
  <c r="I565" i="7" s="1"/>
  <c r="D565" i="7"/>
  <c r="C565" i="7"/>
  <c r="B565" i="7"/>
  <c r="Q564" i="7"/>
  <c r="M564" i="7"/>
  <c r="I564" i="7"/>
  <c r="E564" i="7"/>
  <c r="R564" i="7" s="1"/>
  <c r="Q563" i="7"/>
  <c r="M563" i="7"/>
  <c r="I563" i="7"/>
  <c r="E563" i="7"/>
  <c r="Q561" i="7"/>
  <c r="M561" i="7"/>
  <c r="I561" i="7"/>
  <c r="E561" i="7"/>
  <c r="Q559" i="7"/>
  <c r="M559" i="7"/>
  <c r="I559" i="7"/>
  <c r="E559" i="7"/>
  <c r="Q558" i="7"/>
  <c r="M558" i="7"/>
  <c r="I558" i="7"/>
  <c r="E558" i="7"/>
  <c r="R558" i="7" s="1"/>
  <c r="Q557" i="7"/>
  <c r="M557" i="7"/>
  <c r="I557" i="7"/>
  <c r="E557" i="7"/>
  <c r="R557" i="7" s="1"/>
  <c r="Q556" i="7"/>
  <c r="M556" i="7"/>
  <c r="I556" i="7"/>
  <c r="E556" i="7"/>
  <c r="Q554" i="7"/>
  <c r="M554" i="7"/>
  <c r="I554" i="7"/>
  <c r="E554" i="7"/>
  <c r="Q553" i="7"/>
  <c r="M553" i="7"/>
  <c r="I553" i="7"/>
  <c r="E553" i="7"/>
  <c r="R553" i="7" s="1"/>
  <c r="P550" i="7"/>
  <c r="O550" i="7"/>
  <c r="O567" i="7" s="1"/>
  <c r="O570" i="7" s="1"/>
  <c r="N550" i="7"/>
  <c r="L550" i="7"/>
  <c r="K550" i="7"/>
  <c r="J550" i="7"/>
  <c r="M550" i="7" s="1"/>
  <c r="H550" i="7"/>
  <c r="G550" i="7"/>
  <c r="F550" i="7"/>
  <c r="D550" i="7"/>
  <c r="C550" i="7"/>
  <c r="B550" i="7"/>
  <c r="Q549" i="7"/>
  <c r="M549" i="7"/>
  <c r="I549" i="7"/>
  <c r="E549" i="7"/>
  <c r="Q548" i="7"/>
  <c r="M548" i="7"/>
  <c r="R548" i="7" s="1"/>
  <c r="I548" i="7"/>
  <c r="E548" i="7"/>
  <c r="P544" i="7"/>
  <c r="Q544" i="7" s="1"/>
  <c r="O544" i="7"/>
  <c r="N544" i="7"/>
  <c r="L544" i="7"/>
  <c r="K544" i="7"/>
  <c r="J544" i="7"/>
  <c r="H544" i="7"/>
  <c r="G544" i="7"/>
  <c r="F544" i="7"/>
  <c r="D544" i="7"/>
  <c r="C544" i="7"/>
  <c r="B544" i="7"/>
  <c r="B567" i="7" s="1"/>
  <c r="Q542" i="7"/>
  <c r="M542" i="7"/>
  <c r="I542" i="7"/>
  <c r="E542" i="7"/>
  <c r="Q541" i="7"/>
  <c r="M541" i="7"/>
  <c r="I541" i="7"/>
  <c r="R541" i="7" s="1"/>
  <c r="E541" i="7"/>
  <c r="P538" i="7"/>
  <c r="O538" i="7"/>
  <c r="N538" i="7"/>
  <c r="Q538" i="7" s="1"/>
  <c r="L538" i="7"/>
  <c r="L567" i="7" s="1"/>
  <c r="L570" i="7" s="1"/>
  <c r="K538" i="7"/>
  <c r="J538" i="7"/>
  <c r="J567" i="7" s="1"/>
  <c r="H538" i="7"/>
  <c r="G538" i="7"/>
  <c r="G567" i="7" s="1"/>
  <c r="G570" i="7" s="1"/>
  <c r="F538" i="7"/>
  <c r="D538" i="7"/>
  <c r="C538" i="7"/>
  <c r="E538" i="7" s="1"/>
  <c r="B538" i="7"/>
  <c r="Q536" i="7"/>
  <c r="M536" i="7"/>
  <c r="I536" i="7"/>
  <c r="E536" i="7"/>
  <c r="Q534" i="7"/>
  <c r="M534" i="7"/>
  <c r="I534" i="7"/>
  <c r="E534" i="7"/>
  <c r="Q532" i="7"/>
  <c r="M532" i="7"/>
  <c r="I532" i="7"/>
  <c r="E532" i="7"/>
  <c r="Q531" i="7"/>
  <c r="M531" i="7"/>
  <c r="I531" i="7"/>
  <c r="E531" i="7"/>
  <c r="Q530" i="7"/>
  <c r="M530" i="7"/>
  <c r="I530" i="7"/>
  <c r="E530" i="7"/>
  <c r="R530" i="7" s="1"/>
  <c r="Q529" i="7"/>
  <c r="M529" i="7"/>
  <c r="I529" i="7"/>
  <c r="E529" i="7"/>
  <c r="Q528" i="7"/>
  <c r="M528" i="7"/>
  <c r="I528" i="7"/>
  <c r="E528" i="7"/>
  <c r="Q527" i="7"/>
  <c r="M527" i="7"/>
  <c r="I527" i="7"/>
  <c r="E527" i="7"/>
  <c r="Q526" i="7"/>
  <c r="M526" i="7"/>
  <c r="I526" i="7"/>
  <c r="E526" i="7"/>
  <c r="Q525" i="7"/>
  <c r="M525" i="7"/>
  <c r="I525" i="7"/>
  <c r="E525" i="7"/>
  <c r="Q524" i="7"/>
  <c r="M524" i="7"/>
  <c r="I524" i="7"/>
  <c r="E524" i="7"/>
  <c r="Q512" i="7"/>
  <c r="M512" i="7"/>
  <c r="I512" i="7"/>
  <c r="E512" i="7"/>
  <c r="R512" i="7" s="1"/>
  <c r="P510" i="7"/>
  <c r="O510" i="7"/>
  <c r="N510" i="7"/>
  <c r="L510" i="7"/>
  <c r="K510" i="7"/>
  <c r="M510" i="7" s="1"/>
  <c r="J510" i="7"/>
  <c r="H510" i="7"/>
  <c r="G510" i="7"/>
  <c r="F510" i="7"/>
  <c r="D510" i="7"/>
  <c r="C510" i="7"/>
  <c r="B510" i="7"/>
  <c r="E510" i="7" s="1"/>
  <c r="P509" i="7"/>
  <c r="O509" i="7"/>
  <c r="N509" i="7"/>
  <c r="L509" i="7"/>
  <c r="K509" i="7"/>
  <c r="J509" i="7"/>
  <c r="H509" i="7"/>
  <c r="G509" i="7"/>
  <c r="F509" i="7"/>
  <c r="D509" i="7"/>
  <c r="C509" i="7"/>
  <c r="B509" i="7"/>
  <c r="E509" i="7" s="1"/>
  <c r="Q508" i="7"/>
  <c r="M508" i="7"/>
  <c r="I508" i="7"/>
  <c r="E508" i="7"/>
  <c r="R508" i="7" s="1"/>
  <c r="Q507" i="7"/>
  <c r="M507" i="7"/>
  <c r="I507" i="7"/>
  <c r="E507" i="7"/>
  <c r="Q506" i="7"/>
  <c r="M506" i="7"/>
  <c r="I506" i="7"/>
  <c r="E506" i="7"/>
  <c r="Q504" i="7"/>
  <c r="M504" i="7"/>
  <c r="I504" i="7"/>
  <c r="E504" i="7"/>
  <c r="P499" i="7"/>
  <c r="O499" i="7"/>
  <c r="N499" i="7"/>
  <c r="L499" i="7"/>
  <c r="K499" i="7"/>
  <c r="J499" i="7"/>
  <c r="H499" i="7"/>
  <c r="G499" i="7"/>
  <c r="F499" i="7"/>
  <c r="I499" i="7" s="1"/>
  <c r="D499" i="7"/>
  <c r="C499" i="7"/>
  <c r="B499" i="7"/>
  <c r="Q498" i="7"/>
  <c r="M498" i="7"/>
  <c r="I498" i="7"/>
  <c r="E498" i="7"/>
  <c r="P494" i="7"/>
  <c r="Q494" i="7" s="1"/>
  <c r="O494" i="7"/>
  <c r="N494" i="7"/>
  <c r="L494" i="7"/>
  <c r="K494" i="7"/>
  <c r="J494" i="7"/>
  <c r="H494" i="7"/>
  <c r="G494" i="7"/>
  <c r="F494" i="7"/>
  <c r="I494" i="7" s="1"/>
  <c r="D494" i="7"/>
  <c r="C494" i="7"/>
  <c r="B494" i="7"/>
  <c r="Q492" i="7"/>
  <c r="M492" i="7"/>
  <c r="I492" i="7"/>
  <c r="E492" i="7"/>
  <c r="R492" i="7" s="1"/>
  <c r="Q491" i="7"/>
  <c r="M491" i="7"/>
  <c r="I491" i="7"/>
  <c r="E491" i="7"/>
  <c r="P488" i="7"/>
  <c r="O488" i="7"/>
  <c r="O511" i="7" s="1"/>
  <c r="O514" i="7" s="1"/>
  <c r="N488" i="7"/>
  <c r="M488" i="7"/>
  <c r="L488" i="7"/>
  <c r="K488" i="7"/>
  <c r="J488" i="7"/>
  <c r="H488" i="7"/>
  <c r="H511" i="7" s="1"/>
  <c r="H514" i="7" s="1"/>
  <c r="G488" i="7"/>
  <c r="F488" i="7"/>
  <c r="D488" i="7"/>
  <c r="D511" i="7" s="1"/>
  <c r="D514" i="7" s="1"/>
  <c r="C488" i="7"/>
  <c r="B488" i="7"/>
  <c r="Q484" i="7"/>
  <c r="M484" i="7"/>
  <c r="I484" i="7"/>
  <c r="E484" i="7"/>
  <c r="Q483" i="7"/>
  <c r="M483" i="7"/>
  <c r="I483" i="7"/>
  <c r="E483" i="7"/>
  <c r="Q482" i="7"/>
  <c r="M482" i="7"/>
  <c r="I482" i="7"/>
  <c r="E482" i="7"/>
  <c r="Q481" i="7"/>
  <c r="M481" i="7"/>
  <c r="R481" i="7" s="1"/>
  <c r="I481" i="7"/>
  <c r="E481" i="7"/>
  <c r="Q469" i="7"/>
  <c r="M469" i="7"/>
  <c r="I469" i="7"/>
  <c r="E469" i="7"/>
  <c r="P468" i="7"/>
  <c r="P471" i="7" s="1"/>
  <c r="Q467" i="7"/>
  <c r="P467" i="7"/>
  <c r="O467" i="7"/>
  <c r="N467" i="7"/>
  <c r="M467" i="7"/>
  <c r="L467" i="7"/>
  <c r="K467" i="7"/>
  <c r="J467" i="7"/>
  <c r="I467" i="7"/>
  <c r="H467" i="7"/>
  <c r="G467" i="7"/>
  <c r="F467" i="7"/>
  <c r="E467" i="7"/>
  <c r="R467" i="7" s="1"/>
  <c r="D467" i="7"/>
  <c r="C467" i="7"/>
  <c r="B467" i="7"/>
  <c r="P466" i="7"/>
  <c r="O466" i="7"/>
  <c r="N466" i="7"/>
  <c r="L466" i="7"/>
  <c r="K466" i="7"/>
  <c r="J466" i="7"/>
  <c r="H466" i="7"/>
  <c r="G466" i="7"/>
  <c r="F466" i="7"/>
  <c r="I466" i="7" s="1"/>
  <c r="D466" i="7"/>
  <c r="C466" i="7"/>
  <c r="B466" i="7"/>
  <c r="Q465" i="7"/>
  <c r="M465" i="7"/>
  <c r="I465" i="7"/>
  <c r="E465" i="7"/>
  <c r="Q464" i="7"/>
  <c r="M464" i="7"/>
  <c r="I464" i="7"/>
  <c r="E464" i="7"/>
  <c r="Q458" i="7"/>
  <c r="P458" i="7"/>
  <c r="O458" i="7"/>
  <c r="N458" i="7"/>
  <c r="M458" i="7"/>
  <c r="L458" i="7"/>
  <c r="K458" i="7"/>
  <c r="J458" i="7"/>
  <c r="I458" i="7"/>
  <c r="H458" i="7"/>
  <c r="G458" i="7"/>
  <c r="F458" i="7"/>
  <c r="E458" i="7"/>
  <c r="D458" i="7"/>
  <c r="C458" i="7"/>
  <c r="B458" i="7"/>
  <c r="Q457" i="7"/>
  <c r="M457" i="7"/>
  <c r="I457" i="7"/>
  <c r="E457" i="7"/>
  <c r="R457" i="7" s="1"/>
  <c r="P453" i="7"/>
  <c r="O453" i="7"/>
  <c r="N453" i="7"/>
  <c r="L453" i="7"/>
  <c r="L468" i="7" s="1"/>
  <c r="L471" i="7" s="1"/>
  <c r="K453" i="7"/>
  <c r="J453" i="7"/>
  <c r="H453" i="7"/>
  <c r="G453" i="7"/>
  <c r="I453" i="7" s="1"/>
  <c r="F453" i="7"/>
  <c r="D453" i="7"/>
  <c r="C453" i="7"/>
  <c r="B453" i="7"/>
  <c r="Q451" i="7"/>
  <c r="M451" i="7"/>
  <c r="I451" i="7"/>
  <c r="E451" i="7"/>
  <c r="P448" i="7"/>
  <c r="O448" i="7"/>
  <c r="O468" i="7" s="1"/>
  <c r="O471" i="7" s="1"/>
  <c r="N448" i="7"/>
  <c r="Q448" i="7" s="1"/>
  <c r="L448" i="7"/>
  <c r="K448" i="7"/>
  <c r="J448" i="7"/>
  <c r="I448" i="7"/>
  <c r="H448" i="7"/>
  <c r="H468" i="7" s="1"/>
  <c r="H471" i="7" s="1"/>
  <c r="G448" i="7"/>
  <c r="F448" i="7"/>
  <c r="D448" i="7"/>
  <c r="C448" i="7"/>
  <c r="C468" i="7" s="1"/>
  <c r="C471" i="7" s="1"/>
  <c r="B448" i="7"/>
  <c r="Q445" i="7"/>
  <c r="M445" i="7"/>
  <c r="I445" i="7"/>
  <c r="E445" i="7"/>
  <c r="Q444" i="7"/>
  <c r="M444" i="7"/>
  <c r="I444" i="7"/>
  <c r="E444" i="7"/>
  <c r="Q442" i="7"/>
  <c r="M442" i="7"/>
  <c r="R442" i="7" s="1"/>
  <c r="I442" i="7"/>
  <c r="E442" i="7"/>
  <c r="Q441" i="7"/>
  <c r="M441" i="7"/>
  <c r="I441" i="7"/>
  <c r="E441" i="7"/>
  <c r="R441" i="7" s="1"/>
  <c r="Q440" i="7"/>
  <c r="M440" i="7"/>
  <c r="I440" i="7"/>
  <c r="E440" i="7"/>
  <c r="Q422" i="7"/>
  <c r="M422" i="7"/>
  <c r="I422" i="7"/>
  <c r="E422" i="7"/>
  <c r="Q421" i="7"/>
  <c r="M421" i="7"/>
  <c r="I421" i="7"/>
  <c r="E421" i="7"/>
  <c r="Q420" i="7"/>
  <c r="M420" i="7"/>
  <c r="I420" i="7"/>
  <c r="E420" i="7"/>
  <c r="P419" i="7"/>
  <c r="P424" i="7" s="1"/>
  <c r="P418" i="7"/>
  <c r="O418" i="7"/>
  <c r="N418" i="7"/>
  <c r="Q418" i="7" s="1"/>
  <c r="L418" i="7"/>
  <c r="K418" i="7"/>
  <c r="J418" i="7"/>
  <c r="M418" i="7" s="1"/>
  <c r="H418" i="7"/>
  <c r="G418" i="7"/>
  <c r="F418" i="7"/>
  <c r="I418" i="7" s="1"/>
  <c r="D418" i="7"/>
  <c r="C418" i="7"/>
  <c r="B418" i="7"/>
  <c r="E418" i="7" s="1"/>
  <c r="P417" i="7"/>
  <c r="O417" i="7"/>
  <c r="N417" i="7"/>
  <c r="L417" i="7"/>
  <c r="K417" i="7"/>
  <c r="J417" i="7"/>
  <c r="H417" i="7"/>
  <c r="G417" i="7"/>
  <c r="F417" i="7"/>
  <c r="D417" i="7"/>
  <c r="C417" i="7"/>
  <c r="B417" i="7"/>
  <c r="E417" i="7" s="1"/>
  <c r="Q416" i="7"/>
  <c r="M416" i="7"/>
  <c r="I416" i="7"/>
  <c r="E416" i="7"/>
  <c r="Q415" i="7"/>
  <c r="M415" i="7"/>
  <c r="I415" i="7"/>
  <c r="E415" i="7"/>
  <c r="Q414" i="7"/>
  <c r="M414" i="7"/>
  <c r="I414" i="7"/>
  <c r="E414" i="7"/>
  <c r="Q413" i="7"/>
  <c r="M413" i="7"/>
  <c r="I413" i="7"/>
  <c r="R413" i="7" s="1"/>
  <c r="E413" i="7"/>
  <c r="Q412" i="7"/>
  <c r="M412" i="7"/>
  <c r="I412" i="7"/>
  <c r="E412" i="7"/>
  <c r="Q411" i="7"/>
  <c r="M411" i="7"/>
  <c r="I411" i="7"/>
  <c r="E411" i="7"/>
  <c r="Q410" i="7"/>
  <c r="M410" i="7"/>
  <c r="I410" i="7"/>
  <c r="E410" i="7"/>
  <c r="Q409" i="7"/>
  <c r="M409" i="7"/>
  <c r="I409" i="7"/>
  <c r="E409" i="7"/>
  <c r="Q407" i="7"/>
  <c r="M407" i="7"/>
  <c r="I407" i="7"/>
  <c r="R407" i="7" s="1"/>
  <c r="E407" i="7"/>
  <c r="Q406" i="7"/>
  <c r="M406" i="7"/>
  <c r="I406" i="7"/>
  <c r="E406" i="7"/>
  <c r="Q405" i="7"/>
  <c r="M405" i="7"/>
  <c r="I405" i="7"/>
  <c r="E405" i="7"/>
  <c r="Q404" i="7"/>
  <c r="M404" i="7"/>
  <c r="I404" i="7"/>
  <c r="E404" i="7"/>
  <c r="R404" i="7" s="1"/>
  <c r="Q403" i="7"/>
  <c r="M403" i="7"/>
  <c r="I403" i="7"/>
  <c r="E403" i="7"/>
  <c r="Q402" i="7"/>
  <c r="M402" i="7"/>
  <c r="I402" i="7"/>
  <c r="E402" i="7"/>
  <c r="Q400" i="7"/>
  <c r="M400" i="7"/>
  <c r="I400" i="7"/>
  <c r="E400" i="7"/>
  <c r="Q399" i="7"/>
  <c r="M399" i="7"/>
  <c r="I399" i="7"/>
  <c r="E399" i="7"/>
  <c r="Q397" i="7"/>
  <c r="M397" i="7"/>
  <c r="I397" i="7"/>
  <c r="E397" i="7"/>
  <c r="P394" i="7"/>
  <c r="L394" i="7"/>
  <c r="J394" i="7"/>
  <c r="H394" i="7"/>
  <c r="G394" i="7"/>
  <c r="F394" i="7"/>
  <c r="D394" i="7"/>
  <c r="C394" i="7"/>
  <c r="B394" i="7"/>
  <c r="Q393" i="7"/>
  <c r="M393" i="7"/>
  <c r="I393" i="7"/>
  <c r="E393" i="7"/>
  <c r="Q392" i="7"/>
  <c r="M392" i="7"/>
  <c r="I392" i="7"/>
  <c r="E392" i="7"/>
  <c r="Q391" i="7"/>
  <c r="M391" i="7"/>
  <c r="I391" i="7"/>
  <c r="E391" i="7"/>
  <c r="Q390" i="7"/>
  <c r="M390" i="7"/>
  <c r="I390" i="7"/>
  <c r="E390" i="7"/>
  <c r="Q389" i="7"/>
  <c r="M389" i="7"/>
  <c r="I389" i="7"/>
  <c r="E389" i="7"/>
  <c r="Q388" i="7"/>
  <c r="M388" i="7"/>
  <c r="I388" i="7"/>
  <c r="E388" i="7"/>
  <c r="R388" i="7" s="1"/>
  <c r="Q387" i="7"/>
  <c r="M387" i="7"/>
  <c r="I387" i="7"/>
  <c r="E387" i="7"/>
  <c r="Q386" i="7"/>
  <c r="M386" i="7"/>
  <c r="I386" i="7"/>
  <c r="E386" i="7"/>
  <c r="R386" i="7" s="1"/>
  <c r="Q385" i="7"/>
  <c r="M385" i="7"/>
  <c r="I385" i="7"/>
  <c r="E385" i="7"/>
  <c r="R385" i="7" s="1"/>
  <c r="Q384" i="7"/>
  <c r="M384" i="7"/>
  <c r="I384" i="7"/>
  <c r="E384" i="7"/>
  <c r="R384" i="7" s="1"/>
  <c r="Q383" i="7"/>
  <c r="M383" i="7"/>
  <c r="I383" i="7"/>
  <c r="E383" i="7"/>
  <c r="Q382" i="7"/>
  <c r="M382" i="7"/>
  <c r="I382" i="7"/>
  <c r="E382" i="7"/>
  <c r="Q381" i="7"/>
  <c r="M381" i="7"/>
  <c r="I381" i="7"/>
  <c r="E381" i="7"/>
  <c r="R381" i="7" s="1"/>
  <c r="O380" i="7"/>
  <c r="N380" i="7"/>
  <c r="Q380" i="7" s="1"/>
  <c r="M380" i="7"/>
  <c r="L380" i="7"/>
  <c r="K380" i="7"/>
  <c r="I380" i="7"/>
  <c r="R380" i="7" s="1"/>
  <c r="E380" i="7"/>
  <c r="Q379" i="7"/>
  <c r="M379" i="7"/>
  <c r="I379" i="7"/>
  <c r="R379" i="7" s="1"/>
  <c r="E379" i="7"/>
  <c r="Q378" i="7"/>
  <c r="M378" i="7"/>
  <c r="I378" i="7"/>
  <c r="E378" i="7"/>
  <c r="Q377" i="7"/>
  <c r="M377" i="7"/>
  <c r="I377" i="7"/>
  <c r="E377" i="7"/>
  <c r="R377" i="7" s="1"/>
  <c r="Q376" i="7"/>
  <c r="M376" i="7"/>
  <c r="I376" i="7"/>
  <c r="E376" i="7"/>
  <c r="Q375" i="7"/>
  <c r="M375" i="7"/>
  <c r="I375" i="7"/>
  <c r="E375" i="7"/>
  <c r="Q374" i="7"/>
  <c r="M374" i="7"/>
  <c r="I374" i="7"/>
  <c r="E374" i="7"/>
  <c r="Q373" i="7"/>
  <c r="M373" i="7"/>
  <c r="I373" i="7"/>
  <c r="E373" i="7"/>
  <c r="Q372" i="7"/>
  <c r="M372" i="7"/>
  <c r="I372" i="7"/>
  <c r="E372" i="7"/>
  <c r="Q371" i="7"/>
  <c r="M371" i="7"/>
  <c r="I371" i="7"/>
  <c r="E371" i="7"/>
  <c r="Q370" i="7"/>
  <c r="M370" i="7"/>
  <c r="I370" i="7"/>
  <c r="E370" i="7"/>
  <c r="Q369" i="7"/>
  <c r="O369" i="7"/>
  <c r="N369" i="7"/>
  <c r="M369" i="7"/>
  <c r="I369" i="7"/>
  <c r="E369" i="7"/>
  <c r="R369" i="7" s="1"/>
  <c r="Q368" i="7"/>
  <c r="M368" i="7"/>
  <c r="I368" i="7"/>
  <c r="E368" i="7"/>
  <c r="Q367" i="7"/>
  <c r="O367" i="7"/>
  <c r="O394" i="7" s="1"/>
  <c r="N367" i="7"/>
  <c r="M367" i="7"/>
  <c r="I367" i="7"/>
  <c r="E367" i="7"/>
  <c r="Q366" i="7"/>
  <c r="M366" i="7"/>
  <c r="R366" i="7" s="1"/>
  <c r="I366" i="7"/>
  <c r="E366" i="7"/>
  <c r="Q365" i="7"/>
  <c r="M365" i="7"/>
  <c r="I365" i="7"/>
  <c r="E365" i="7"/>
  <c r="R365" i="7" s="1"/>
  <c r="Q364" i="7"/>
  <c r="M364" i="7"/>
  <c r="I364" i="7"/>
  <c r="E364" i="7"/>
  <c r="Q363" i="7"/>
  <c r="M363" i="7"/>
  <c r="I363" i="7"/>
  <c r="E363" i="7"/>
  <c r="Q362" i="7"/>
  <c r="M362" i="7"/>
  <c r="I362" i="7"/>
  <c r="E362" i="7"/>
  <c r="Q361" i="7"/>
  <c r="M361" i="7"/>
  <c r="I361" i="7"/>
  <c r="E361" i="7"/>
  <c r="Q359" i="7"/>
  <c r="M359" i="7"/>
  <c r="K359" i="7"/>
  <c r="K394" i="7" s="1"/>
  <c r="I359" i="7"/>
  <c r="E359" i="7"/>
  <c r="Q358" i="7"/>
  <c r="M358" i="7"/>
  <c r="I358" i="7"/>
  <c r="E358" i="7"/>
  <c r="R358" i="7" s="1"/>
  <c r="P355" i="7"/>
  <c r="N355" i="7"/>
  <c r="L355" i="7"/>
  <c r="K355" i="7"/>
  <c r="J355" i="7"/>
  <c r="M355" i="7" s="1"/>
  <c r="H355" i="7"/>
  <c r="G355" i="7"/>
  <c r="F355" i="7"/>
  <c r="I355" i="7" s="1"/>
  <c r="D355" i="7"/>
  <c r="C355" i="7"/>
  <c r="B355" i="7"/>
  <c r="O353" i="7"/>
  <c r="O781" i="7" s="1"/>
  <c r="O783" i="7" s="1"/>
  <c r="O814" i="7" s="1"/>
  <c r="N353" i="7"/>
  <c r="M353" i="7"/>
  <c r="I353" i="7"/>
  <c r="E353" i="7"/>
  <c r="Q352" i="7"/>
  <c r="M352" i="7"/>
  <c r="I352" i="7"/>
  <c r="E352" i="7"/>
  <c r="Q351" i="7"/>
  <c r="M351" i="7"/>
  <c r="I351" i="7"/>
  <c r="E351" i="7"/>
  <c r="AK350" i="7"/>
  <c r="AJ350" i="7"/>
  <c r="AI350" i="7"/>
  <c r="AG350" i="7"/>
  <c r="AF350" i="7"/>
  <c r="AH350" i="7" s="1"/>
  <c r="AE350" i="7"/>
  <c r="AC350" i="7"/>
  <c r="Y350" i="7"/>
  <c r="X350" i="7"/>
  <c r="Z350" i="7" s="1"/>
  <c r="W350" i="7"/>
  <c r="Q350" i="7"/>
  <c r="M350" i="7"/>
  <c r="I350" i="7"/>
  <c r="E350" i="7"/>
  <c r="AK349" i="7"/>
  <c r="AJ349" i="7"/>
  <c r="AL349" i="7" s="1"/>
  <c r="AI349" i="7"/>
  <c r="AG349" i="7"/>
  <c r="AF349" i="7"/>
  <c r="AH349" i="7" s="1"/>
  <c r="AE349" i="7"/>
  <c r="AC349" i="7"/>
  <c r="AA349" i="7"/>
  <c r="Z349" i="7"/>
  <c r="Y349" i="7"/>
  <c r="X349" i="7"/>
  <c r="W349" i="7"/>
  <c r="Q349" i="7"/>
  <c r="M349" i="7"/>
  <c r="I349" i="7"/>
  <c r="E349" i="7"/>
  <c r="R349" i="7" s="1"/>
  <c r="AK348" i="7"/>
  <c r="AJ348" i="7"/>
  <c r="AL348" i="7" s="1"/>
  <c r="AI348" i="7"/>
  <c r="AG348" i="7"/>
  <c r="AF348" i="7"/>
  <c r="AE348" i="7"/>
  <c r="AB348" i="7"/>
  <c r="Y348" i="7"/>
  <c r="X348" i="7"/>
  <c r="W348" i="7"/>
  <c r="Q348" i="7"/>
  <c r="M348" i="7"/>
  <c r="R348" i="7" s="1"/>
  <c r="I348" i="7"/>
  <c r="E348" i="7"/>
  <c r="AL347" i="7"/>
  <c r="AL350" i="7" s="1"/>
  <c r="AH347" i="7"/>
  <c r="AC347" i="7"/>
  <c r="AC348" i="7" s="1"/>
  <c r="AB347" i="7"/>
  <c r="AA347" i="7"/>
  <c r="AA350" i="7" s="1"/>
  <c r="Z347" i="7"/>
  <c r="Q347" i="7"/>
  <c r="M347" i="7"/>
  <c r="I347" i="7"/>
  <c r="E347" i="7"/>
  <c r="R347" i="7" s="1"/>
  <c r="Q346" i="7"/>
  <c r="M346" i="7"/>
  <c r="I346" i="7"/>
  <c r="R346" i="7" s="1"/>
  <c r="E346" i="7"/>
  <c r="Q345" i="7"/>
  <c r="M345" i="7"/>
  <c r="I345" i="7"/>
  <c r="E345" i="7"/>
  <c r="W344" i="7"/>
  <c r="P341" i="7"/>
  <c r="L341" i="7"/>
  <c r="K341" i="7"/>
  <c r="J341" i="7"/>
  <c r="H341" i="7"/>
  <c r="G341" i="7"/>
  <c r="G419" i="7" s="1"/>
  <c r="G424" i="7" s="1"/>
  <c r="F341" i="7"/>
  <c r="I341" i="7" s="1"/>
  <c r="D341" i="7"/>
  <c r="C341" i="7"/>
  <c r="C419" i="7" s="1"/>
  <c r="C424" i="7" s="1"/>
  <c r="B341" i="7"/>
  <c r="Q339" i="7"/>
  <c r="M339" i="7"/>
  <c r="I339" i="7"/>
  <c r="E339" i="7"/>
  <c r="Q338" i="7"/>
  <c r="M338" i="7"/>
  <c r="I338" i="7"/>
  <c r="E338" i="7"/>
  <c r="Q337" i="7"/>
  <c r="M337" i="7"/>
  <c r="I337" i="7"/>
  <c r="E337" i="7"/>
  <c r="Q336" i="7"/>
  <c r="M336" i="7"/>
  <c r="I336" i="7"/>
  <c r="E336" i="7"/>
  <c r="R336" i="7" s="1"/>
  <c r="Q334" i="7"/>
  <c r="M334" i="7"/>
  <c r="I334" i="7"/>
  <c r="E334" i="7"/>
  <c r="R334" i="7" s="1"/>
  <c r="Q333" i="7"/>
  <c r="M333" i="7"/>
  <c r="I333" i="7"/>
  <c r="E333" i="7"/>
  <c r="Q332" i="7"/>
  <c r="M332" i="7"/>
  <c r="I332" i="7"/>
  <c r="E332" i="7"/>
  <c r="Q331" i="7"/>
  <c r="M331" i="7"/>
  <c r="I331" i="7"/>
  <c r="E331" i="7"/>
  <c r="Q330" i="7"/>
  <c r="M330" i="7"/>
  <c r="I330" i="7"/>
  <c r="E330" i="7"/>
  <c r="Q329" i="7"/>
  <c r="M329" i="7"/>
  <c r="I329" i="7"/>
  <c r="E329" i="7"/>
  <c r="Q328" i="7"/>
  <c r="M328" i="7"/>
  <c r="I328" i="7"/>
  <c r="E328" i="7"/>
  <c r="Q327" i="7"/>
  <c r="M327" i="7"/>
  <c r="I327" i="7"/>
  <c r="E327" i="7"/>
  <c r="R327" i="7" s="1"/>
  <c r="Q326" i="7"/>
  <c r="M326" i="7"/>
  <c r="I326" i="7"/>
  <c r="E326" i="7"/>
  <c r="Q325" i="7"/>
  <c r="M325" i="7"/>
  <c r="I325" i="7"/>
  <c r="E325" i="7"/>
  <c r="Q324" i="7"/>
  <c r="M324" i="7"/>
  <c r="I324" i="7"/>
  <c r="E324" i="7"/>
  <c r="Q323" i="7"/>
  <c r="M323" i="7"/>
  <c r="I323" i="7"/>
  <c r="E323" i="7"/>
  <c r="Q322" i="7"/>
  <c r="M322" i="7"/>
  <c r="I322" i="7"/>
  <c r="E322" i="7"/>
  <c r="Q321" i="7"/>
  <c r="M321" i="7"/>
  <c r="I321" i="7"/>
  <c r="E321" i="7"/>
  <c r="Q320" i="7"/>
  <c r="M320" i="7"/>
  <c r="R320" i="7" s="1"/>
  <c r="I320" i="7"/>
  <c r="E320" i="7"/>
  <c r="Q318" i="7"/>
  <c r="M318" i="7"/>
  <c r="I318" i="7"/>
  <c r="E318" i="7"/>
  <c r="Q317" i="7"/>
  <c r="M317" i="7"/>
  <c r="I317" i="7"/>
  <c r="E317" i="7"/>
  <c r="Q316" i="7"/>
  <c r="M316" i="7"/>
  <c r="R316" i="7" s="1"/>
  <c r="I316" i="7"/>
  <c r="E316" i="7"/>
  <c r="Q315" i="7"/>
  <c r="O315" i="7"/>
  <c r="N315" i="7"/>
  <c r="M315" i="7"/>
  <c r="I315" i="7"/>
  <c r="E315" i="7"/>
  <c r="Q314" i="7"/>
  <c r="M314" i="7"/>
  <c r="I314" i="7"/>
  <c r="E314" i="7"/>
  <c r="R314" i="7" s="1"/>
  <c r="Q313" i="7"/>
  <c r="M313" i="7"/>
  <c r="I313" i="7"/>
  <c r="E313" i="7"/>
  <c r="R313" i="7" s="1"/>
  <c r="Q312" i="7"/>
  <c r="M312" i="7"/>
  <c r="I312" i="7"/>
  <c r="E312" i="7"/>
  <c r="R312" i="7" s="1"/>
  <c r="Q311" i="7"/>
  <c r="M311" i="7"/>
  <c r="I311" i="7"/>
  <c r="E311" i="7"/>
  <c r="Q310" i="7"/>
  <c r="M310" i="7"/>
  <c r="I310" i="7"/>
  <c r="E310" i="7"/>
  <c r="Q309" i="7"/>
  <c r="M309" i="7"/>
  <c r="I309" i="7"/>
  <c r="E309" i="7"/>
  <c r="Q308" i="7"/>
  <c r="M308" i="7"/>
  <c r="I308" i="7"/>
  <c r="E308" i="7"/>
  <c r="R308" i="7" s="1"/>
  <c r="Q307" i="7"/>
  <c r="M307" i="7"/>
  <c r="I307" i="7"/>
  <c r="E307" i="7"/>
  <c r="Q306" i="7"/>
  <c r="M306" i="7"/>
  <c r="I306" i="7"/>
  <c r="E306" i="7"/>
  <c r="Q305" i="7"/>
  <c r="M305" i="7"/>
  <c r="I305" i="7"/>
  <c r="E305" i="7"/>
  <c r="O304" i="7"/>
  <c r="Q304" i="7" s="1"/>
  <c r="N304" i="7"/>
  <c r="N341" i="7" s="1"/>
  <c r="M304" i="7"/>
  <c r="I304" i="7"/>
  <c r="E304" i="7"/>
  <c r="Q303" i="7"/>
  <c r="M303" i="7"/>
  <c r="I303" i="7"/>
  <c r="E303" i="7"/>
  <c r="R303" i="7" s="1"/>
  <c r="Q302" i="7"/>
  <c r="O302" i="7"/>
  <c r="M302" i="7"/>
  <c r="I302" i="7"/>
  <c r="E302" i="7"/>
  <c r="Q294" i="7"/>
  <c r="P294" i="7"/>
  <c r="O294" i="7"/>
  <c r="N294" i="7"/>
  <c r="L294" i="7"/>
  <c r="K294" i="7"/>
  <c r="J294" i="7"/>
  <c r="H294" i="7"/>
  <c r="G294" i="7"/>
  <c r="F294" i="7"/>
  <c r="D294" i="7"/>
  <c r="C294" i="7"/>
  <c r="B294" i="7"/>
  <c r="Q292" i="7"/>
  <c r="M292" i="7"/>
  <c r="I292" i="7"/>
  <c r="E292" i="7"/>
  <c r="R292" i="7" s="1"/>
  <c r="R294" i="7" s="1"/>
  <c r="Q281" i="7"/>
  <c r="M281" i="7"/>
  <c r="R281" i="7" s="1"/>
  <c r="I281" i="7"/>
  <c r="E281" i="7"/>
  <c r="Q280" i="7"/>
  <c r="M280" i="7"/>
  <c r="I280" i="7"/>
  <c r="E280" i="7"/>
  <c r="Q279" i="7"/>
  <c r="M279" i="7"/>
  <c r="I279" i="7"/>
  <c r="E279" i="7"/>
  <c r="Q278" i="7"/>
  <c r="M278" i="7"/>
  <c r="I278" i="7"/>
  <c r="E278" i="7"/>
  <c r="Q277" i="7"/>
  <c r="M277" i="7"/>
  <c r="I277" i="7"/>
  <c r="E277" i="7"/>
  <c r="P276" i="7"/>
  <c r="O276" i="7"/>
  <c r="N276" i="7"/>
  <c r="Q276" i="7" s="1"/>
  <c r="M276" i="7"/>
  <c r="L276" i="7"/>
  <c r="K276" i="7"/>
  <c r="J276" i="7"/>
  <c r="H276" i="7"/>
  <c r="G276" i="7"/>
  <c r="F276" i="7"/>
  <c r="I276" i="7" s="1"/>
  <c r="E276" i="7"/>
  <c r="D276" i="7"/>
  <c r="P274" i="7"/>
  <c r="Q274" i="7" s="1"/>
  <c r="O274" i="7"/>
  <c r="N274" i="7"/>
  <c r="L274" i="7"/>
  <c r="M274" i="7" s="1"/>
  <c r="K274" i="7"/>
  <c r="J274" i="7"/>
  <c r="H274" i="7"/>
  <c r="I274" i="7" s="1"/>
  <c r="G274" i="7"/>
  <c r="F274" i="7"/>
  <c r="D274" i="7"/>
  <c r="E274" i="7" s="1"/>
  <c r="C274" i="7"/>
  <c r="B274" i="7"/>
  <c r="P273" i="7"/>
  <c r="O273" i="7"/>
  <c r="N273" i="7"/>
  <c r="L273" i="7"/>
  <c r="K273" i="7"/>
  <c r="J273" i="7"/>
  <c r="M273" i="7" s="1"/>
  <c r="H273" i="7"/>
  <c r="G273" i="7"/>
  <c r="F273" i="7"/>
  <c r="D273" i="7"/>
  <c r="C273" i="7"/>
  <c r="B273" i="7"/>
  <c r="Q270" i="7"/>
  <c r="M270" i="7"/>
  <c r="I270" i="7"/>
  <c r="E270" i="7"/>
  <c r="Q269" i="7"/>
  <c r="M269" i="7"/>
  <c r="R269" i="7" s="1"/>
  <c r="I269" i="7"/>
  <c r="E269" i="7"/>
  <c r="Q268" i="7"/>
  <c r="M268" i="7"/>
  <c r="I268" i="7"/>
  <c r="E268" i="7"/>
  <c r="Q267" i="7"/>
  <c r="M267" i="7"/>
  <c r="I267" i="7"/>
  <c r="E267" i="7"/>
  <c r="Q266" i="7"/>
  <c r="M266" i="7"/>
  <c r="I266" i="7"/>
  <c r="E266" i="7"/>
  <c r="Q265" i="7"/>
  <c r="M265" i="7"/>
  <c r="I265" i="7"/>
  <c r="E265" i="7"/>
  <c r="Q264" i="7"/>
  <c r="M264" i="7"/>
  <c r="I264" i="7"/>
  <c r="E264" i="7"/>
  <c r="Q263" i="7"/>
  <c r="M263" i="7"/>
  <c r="I263" i="7"/>
  <c r="E263" i="7"/>
  <c r="Q261" i="7"/>
  <c r="M261" i="7"/>
  <c r="I261" i="7"/>
  <c r="E261" i="7"/>
  <c r="Q260" i="7"/>
  <c r="M260" i="7"/>
  <c r="I260" i="7"/>
  <c r="E260" i="7"/>
  <c r="Q259" i="7"/>
  <c r="M259" i="7"/>
  <c r="I259" i="7"/>
  <c r="E259" i="7"/>
  <c r="R259" i="7" s="1"/>
  <c r="Q258" i="7"/>
  <c r="M258" i="7"/>
  <c r="I258" i="7"/>
  <c r="E258" i="7"/>
  <c r="R258" i="7" s="1"/>
  <c r="P255" i="7"/>
  <c r="O255" i="7"/>
  <c r="N255" i="7"/>
  <c r="L255" i="7"/>
  <c r="K255" i="7"/>
  <c r="G255" i="7"/>
  <c r="F255" i="7"/>
  <c r="D255" i="7"/>
  <c r="C255" i="7"/>
  <c r="B255" i="7"/>
  <c r="Q254" i="7"/>
  <c r="M254" i="7"/>
  <c r="I254" i="7"/>
  <c r="E254" i="7"/>
  <c r="Q253" i="7"/>
  <c r="M253" i="7"/>
  <c r="I253" i="7"/>
  <c r="E253" i="7"/>
  <c r="R253" i="7" s="1"/>
  <c r="Q252" i="7"/>
  <c r="M252" i="7"/>
  <c r="I252" i="7"/>
  <c r="E252" i="7"/>
  <c r="R252" i="7" s="1"/>
  <c r="Q251" i="7"/>
  <c r="J251" i="7"/>
  <c r="M251" i="7" s="1"/>
  <c r="I251" i="7"/>
  <c r="E251" i="7"/>
  <c r="Q250" i="7"/>
  <c r="M250" i="7"/>
  <c r="I250" i="7"/>
  <c r="E250" i="7"/>
  <c r="Q249" i="7"/>
  <c r="M249" i="7"/>
  <c r="I249" i="7"/>
  <c r="R249" i="7" s="1"/>
  <c r="E249" i="7"/>
  <c r="Q248" i="7"/>
  <c r="M248" i="7"/>
  <c r="I248" i="7"/>
  <c r="E248" i="7"/>
  <c r="Q247" i="7"/>
  <c r="M247" i="7"/>
  <c r="I247" i="7"/>
  <c r="E247" i="7"/>
  <c r="Q246" i="7"/>
  <c r="M246" i="7"/>
  <c r="I246" i="7"/>
  <c r="E246" i="7"/>
  <c r="D246" i="7"/>
  <c r="Q245" i="7"/>
  <c r="M245" i="7"/>
  <c r="I245" i="7"/>
  <c r="E245" i="7"/>
  <c r="Q244" i="7"/>
  <c r="M244" i="7"/>
  <c r="I244" i="7"/>
  <c r="E244" i="7"/>
  <c r="Q243" i="7"/>
  <c r="M243" i="7"/>
  <c r="I243" i="7"/>
  <c r="E243" i="7"/>
  <c r="Q242" i="7"/>
  <c r="M242" i="7"/>
  <c r="I242" i="7"/>
  <c r="E242" i="7"/>
  <c r="Q241" i="7"/>
  <c r="M241" i="7"/>
  <c r="L241" i="7"/>
  <c r="L786" i="7" s="1"/>
  <c r="K241" i="7"/>
  <c r="K786" i="7" s="1"/>
  <c r="J241" i="7"/>
  <c r="I241" i="7"/>
  <c r="E241" i="7"/>
  <c r="Q240" i="7"/>
  <c r="M240" i="7"/>
  <c r="I240" i="7"/>
  <c r="E240" i="7"/>
  <c r="Q239" i="7"/>
  <c r="M239" i="7"/>
  <c r="I239" i="7"/>
  <c r="E239" i="7"/>
  <c r="Q238" i="7"/>
  <c r="M238" i="7"/>
  <c r="I238" i="7"/>
  <c r="E238" i="7"/>
  <c r="Q237" i="7"/>
  <c r="M237" i="7"/>
  <c r="I237" i="7"/>
  <c r="E237" i="7"/>
  <c r="Q236" i="7"/>
  <c r="M236" i="7"/>
  <c r="I236" i="7"/>
  <c r="E236" i="7"/>
  <c r="Q235" i="7"/>
  <c r="M235" i="7"/>
  <c r="I235" i="7"/>
  <c r="E235" i="7"/>
  <c r="Q234" i="7"/>
  <c r="M234" i="7"/>
  <c r="I234" i="7"/>
  <c r="E234" i="7"/>
  <c r="D234" i="7"/>
  <c r="D786" i="7" s="1"/>
  <c r="Q233" i="7"/>
  <c r="M233" i="7"/>
  <c r="I233" i="7"/>
  <c r="E233" i="7"/>
  <c r="R233" i="7" s="1"/>
  <c r="Q232" i="7"/>
  <c r="M232" i="7"/>
  <c r="J232" i="7"/>
  <c r="J255" i="7" s="1"/>
  <c r="M255" i="7" s="1"/>
  <c r="I232" i="7"/>
  <c r="E232" i="7"/>
  <c r="Q231" i="7"/>
  <c r="M231" i="7"/>
  <c r="I231" i="7"/>
  <c r="E231" i="7"/>
  <c r="R231" i="7" s="1"/>
  <c r="Q230" i="7"/>
  <c r="M230" i="7"/>
  <c r="I230" i="7"/>
  <c r="H230" i="7"/>
  <c r="H255" i="7" s="1"/>
  <c r="E230" i="7"/>
  <c r="Q229" i="7"/>
  <c r="M229" i="7"/>
  <c r="I229" i="7"/>
  <c r="E229" i="7"/>
  <c r="R229" i="7" s="1"/>
  <c r="Q228" i="7"/>
  <c r="M228" i="7"/>
  <c r="I228" i="7"/>
  <c r="E228" i="7"/>
  <c r="Q227" i="7"/>
  <c r="M227" i="7"/>
  <c r="I227" i="7"/>
  <c r="E227" i="7"/>
  <c r="Q226" i="7"/>
  <c r="M226" i="7"/>
  <c r="I226" i="7"/>
  <c r="E226" i="7"/>
  <c r="Q225" i="7"/>
  <c r="M225" i="7"/>
  <c r="I225" i="7"/>
  <c r="E225" i="7"/>
  <c r="R225" i="7" s="1"/>
  <c r="Q224" i="7"/>
  <c r="M224" i="7"/>
  <c r="I224" i="7"/>
  <c r="E224" i="7"/>
  <c r="R224" i="7" s="1"/>
  <c r="Q223" i="7"/>
  <c r="M223" i="7"/>
  <c r="I223" i="7"/>
  <c r="E223" i="7"/>
  <c r="Q222" i="7"/>
  <c r="M222" i="7"/>
  <c r="I222" i="7"/>
  <c r="E222" i="7"/>
  <c r="Q221" i="7"/>
  <c r="M221" i="7"/>
  <c r="I221" i="7"/>
  <c r="E221" i="7"/>
  <c r="R221" i="7" s="1"/>
  <c r="Q220" i="7"/>
  <c r="M220" i="7"/>
  <c r="I220" i="7"/>
  <c r="E220" i="7"/>
  <c r="Q219" i="7"/>
  <c r="M219" i="7"/>
  <c r="I219" i="7"/>
  <c r="E219" i="7"/>
  <c r="Q218" i="7"/>
  <c r="M218" i="7"/>
  <c r="I218" i="7"/>
  <c r="E218" i="7"/>
  <c r="Q217" i="7"/>
  <c r="M217" i="7"/>
  <c r="I217" i="7"/>
  <c r="E217" i="7"/>
  <c r="Q216" i="7"/>
  <c r="M216" i="7"/>
  <c r="I216" i="7"/>
  <c r="E216" i="7"/>
  <c r="Q215" i="7"/>
  <c r="M215" i="7"/>
  <c r="I215" i="7"/>
  <c r="E215" i="7"/>
  <c r="Q214" i="7"/>
  <c r="M214" i="7"/>
  <c r="R214" i="7" s="1"/>
  <c r="I214" i="7"/>
  <c r="E214" i="7"/>
  <c r="Q213" i="7"/>
  <c r="M213" i="7"/>
  <c r="I213" i="7"/>
  <c r="E213" i="7"/>
  <c r="Q212" i="7"/>
  <c r="M212" i="7"/>
  <c r="I212" i="7"/>
  <c r="E212" i="7"/>
  <c r="Q211" i="7"/>
  <c r="M211" i="7"/>
  <c r="I211" i="7"/>
  <c r="E211" i="7"/>
  <c r="Q210" i="7"/>
  <c r="M210" i="7"/>
  <c r="I210" i="7"/>
  <c r="E210" i="7"/>
  <c r="Q209" i="7"/>
  <c r="M209" i="7"/>
  <c r="I209" i="7"/>
  <c r="E209" i="7"/>
  <c r="P205" i="7"/>
  <c r="O205" i="7"/>
  <c r="N205" i="7"/>
  <c r="L205" i="7"/>
  <c r="K205" i="7"/>
  <c r="J205" i="7"/>
  <c r="H205" i="7"/>
  <c r="G205" i="7"/>
  <c r="F205" i="7"/>
  <c r="I205" i="7" s="1"/>
  <c r="D205" i="7"/>
  <c r="C205" i="7"/>
  <c r="B205" i="7"/>
  <c r="Q203" i="7"/>
  <c r="M203" i="7"/>
  <c r="I203" i="7"/>
  <c r="E203" i="7"/>
  <c r="Q202" i="7"/>
  <c r="M202" i="7"/>
  <c r="I202" i="7"/>
  <c r="E202" i="7"/>
  <c r="P198" i="7"/>
  <c r="P275" i="7" s="1"/>
  <c r="P283" i="7" s="1"/>
  <c r="N198" i="7"/>
  <c r="F198" i="7"/>
  <c r="Q196" i="7"/>
  <c r="M196" i="7"/>
  <c r="I196" i="7"/>
  <c r="E196" i="7"/>
  <c r="Q195" i="7"/>
  <c r="M195" i="7"/>
  <c r="I195" i="7"/>
  <c r="E195" i="7"/>
  <c r="Q194" i="7"/>
  <c r="M194" i="7"/>
  <c r="I194" i="7"/>
  <c r="E194" i="7"/>
  <c r="Q192" i="7"/>
  <c r="M192" i="7"/>
  <c r="I192" i="7"/>
  <c r="E192" i="7"/>
  <c r="Q191" i="7"/>
  <c r="M191" i="7"/>
  <c r="I191" i="7"/>
  <c r="E191" i="7"/>
  <c r="Q190" i="7"/>
  <c r="M190" i="7"/>
  <c r="I190" i="7"/>
  <c r="E190" i="7"/>
  <c r="Q189" i="7"/>
  <c r="M189" i="7"/>
  <c r="I189" i="7"/>
  <c r="E189" i="7"/>
  <c r="Q188" i="7"/>
  <c r="M188" i="7"/>
  <c r="I188" i="7"/>
  <c r="E188" i="7"/>
  <c r="R188" i="7" s="1"/>
  <c r="Q187" i="7"/>
  <c r="M187" i="7"/>
  <c r="I187" i="7"/>
  <c r="E187" i="7"/>
  <c r="Q186" i="7"/>
  <c r="M186" i="7"/>
  <c r="I186" i="7"/>
  <c r="E186" i="7"/>
  <c r="R186" i="7" s="1"/>
  <c r="Q185" i="7"/>
  <c r="M185" i="7"/>
  <c r="I185" i="7"/>
  <c r="E185" i="7"/>
  <c r="R185" i="7" s="1"/>
  <c r="Q184" i="7"/>
  <c r="M184" i="7"/>
  <c r="I184" i="7"/>
  <c r="E184" i="7"/>
  <c r="R184" i="7" s="1"/>
  <c r="Q183" i="7"/>
  <c r="M183" i="7"/>
  <c r="I183" i="7"/>
  <c r="E183" i="7"/>
  <c r="R183" i="7" s="1"/>
  <c r="Q181" i="7"/>
  <c r="M181" i="7"/>
  <c r="I181" i="7"/>
  <c r="E181" i="7"/>
  <c r="Q180" i="7"/>
  <c r="M180" i="7"/>
  <c r="I180" i="7"/>
  <c r="E180" i="7"/>
  <c r="Q179" i="7"/>
  <c r="M179" i="7"/>
  <c r="H179" i="7"/>
  <c r="I179" i="7" s="1"/>
  <c r="G179" i="7"/>
  <c r="F179" i="7"/>
  <c r="E179" i="7"/>
  <c r="D179" i="7"/>
  <c r="C179" i="7"/>
  <c r="Q178" i="7"/>
  <c r="M178" i="7"/>
  <c r="I178" i="7"/>
  <c r="E178" i="7"/>
  <c r="Q177" i="7"/>
  <c r="M177" i="7"/>
  <c r="I177" i="7"/>
  <c r="E177" i="7"/>
  <c r="O176" i="7"/>
  <c r="N176" i="7"/>
  <c r="Q176" i="7" s="1"/>
  <c r="M176" i="7"/>
  <c r="L176" i="7"/>
  <c r="K176" i="7"/>
  <c r="J176" i="7"/>
  <c r="I176" i="7"/>
  <c r="E176" i="7"/>
  <c r="Q175" i="7"/>
  <c r="M175" i="7"/>
  <c r="I175" i="7"/>
  <c r="E175" i="7"/>
  <c r="Q174" i="7"/>
  <c r="O174" i="7"/>
  <c r="N174" i="7"/>
  <c r="M174" i="7"/>
  <c r="L174" i="7"/>
  <c r="K174" i="7"/>
  <c r="J174" i="7"/>
  <c r="G174" i="7"/>
  <c r="I174" i="7" s="1"/>
  <c r="F174" i="7"/>
  <c r="D174" i="7"/>
  <c r="C174" i="7"/>
  <c r="C198" i="7" s="1"/>
  <c r="B174" i="7"/>
  <c r="B772" i="7" s="1"/>
  <c r="Q173" i="7"/>
  <c r="M173" i="7"/>
  <c r="R173" i="7" s="1"/>
  <c r="I173" i="7"/>
  <c r="E173" i="7"/>
  <c r="Q172" i="7"/>
  <c r="M172" i="7"/>
  <c r="I172" i="7"/>
  <c r="E172" i="7"/>
  <c r="Q171" i="7"/>
  <c r="M171" i="7"/>
  <c r="I171" i="7"/>
  <c r="E171" i="7"/>
  <c r="Q170" i="7"/>
  <c r="M170" i="7"/>
  <c r="I170" i="7"/>
  <c r="E170" i="7"/>
  <c r="Q169" i="7"/>
  <c r="M169" i="7"/>
  <c r="I169" i="7"/>
  <c r="E169" i="7"/>
  <c r="Q168" i="7"/>
  <c r="M168" i="7"/>
  <c r="I168" i="7"/>
  <c r="E168" i="7"/>
  <c r="Q167" i="7"/>
  <c r="M167" i="7"/>
  <c r="I167" i="7"/>
  <c r="E167" i="7"/>
  <c r="Q166" i="7"/>
  <c r="M166" i="7"/>
  <c r="I166" i="7"/>
  <c r="E166" i="7"/>
  <c r="Q165" i="7"/>
  <c r="M165" i="7"/>
  <c r="I165" i="7"/>
  <c r="E165" i="7"/>
  <c r="R165" i="7" s="1"/>
  <c r="Q164" i="7"/>
  <c r="M164" i="7"/>
  <c r="I164" i="7"/>
  <c r="E164" i="7"/>
  <c r="Q163" i="7"/>
  <c r="M163" i="7"/>
  <c r="I163" i="7"/>
  <c r="E163" i="7"/>
  <c r="R163" i="7" s="1"/>
  <c r="Q162" i="7"/>
  <c r="M162" i="7"/>
  <c r="I162" i="7"/>
  <c r="E162" i="7"/>
  <c r="Q161" i="7"/>
  <c r="M161" i="7"/>
  <c r="I161" i="7"/>
  <c r="E161" i="7"/>
  <c r="Q160" i="7"/>
  <c r="M160" i="7"/>
  <c r="I160" i="7"/>
  <c r="E160" i="7"/>
  <c r="Q159" i="7"/>
  <c r="M159" i="7"/>
  <c r="I159" i="7"/>
  <c r="E159" i="7"/>
  <c r="Q158" i="7"/>
  <c r="M158" i="7"/>
  <c r="I158" i="7"/>
  <c r="E158" i="7"/>
  <c r="O157" i="7"/>
  <c r="N157" i="7"/>
  <c r="L157" i="7"/>
  <c r="M157" i="7" s="1"/>
  <c r="I157" i="7"/>
  <c r="E157" i="7"/>
  <c r="Q156" i="7"/>
  <c r="M156" i="7"/>
  <c r="I156" i="7"/>
  <c r="E156" i="7"/>
  <c r="R156" i="7" s="1"/>
  <c r="Q155" i="7"/>
  <c r="M155" i="7"/>
  <c r="I155" i="7"/>
  <c r="E155" i="7"/>
  <c r="R155" i="7" s="1"/>
  <c r="Q154" i="7"/>
  <c r="M154" i="7"/>
  <c r="I154" i="7"/>
  <c r="E154" i="7"/>
  <c r="Q153" i="7"/>
  <c r="N153" i="7"/>
  <c r="M153" i="7"/>
  <c r="L153" i="7"/>
  <c r="I153" i="7"/>
  <c r="E153" i="7"/>
  <c r="Q152" i="7"/>
  <c r="M152" i="7"/>
  <c r="I152" i="7"/>
  <c r="E152" i="7"/>
  <c r="Q151" i="7"/>
  <c r="M151" i="7"/>
  <c r="I151" i="7"/>
  <c r="E151" i="7"/>
  <c r="Q150" i="7"/>
  <c r="M150" i="7"/>
  <c r="I150" i="7"/>
  <c r="E150" i="7"/>
  <c r="R150" i="7" s="1"/>
  <c r="Q149" i="7"/>
  <c r="M149" i="7"/>
  <c r="I149" i="7"/>
  <c r="E149" i="7"/>
  <c r="Q148" i="7"/>
  <c r="M148" i="7"/>
  <c r="I148" i="7"/>
  <c r="E148" i="7"/>
  <c r="R148" i="7" s="1"/>
  <c r="Q147" i="7"/>
  <c r="M147" i="7"/>
  <c r="I147" i="7"/>
  <c r="E147" i="7"/>
  <c r="Q146" i="7"/>
  <c r="M146" i="7"/>
  <c r="I146" i="7"/>
  <c r="E146" i="7"/>
  <c r="Q145" i="7"/>
  <c r="M145" i="7"/>
  <c r="I145" i="7"/>
  <c r="E145" i="7"/>
  <c r="Q144" i="7"/>
  <c r="M144" i="7"/>
  <c r="I144" i="7"/>
  <c r="E144" i="7"/>
  <c r="Q143" i="7"/>
  <c r="M143" i="7"/>
  <c r="I143" i="7"/>
  <c r="E143" i="7"/>
  <c r="Q142" i="7"/>
  <c r="M142" i="7"/>
  <c r="I142" i="7"/>
  <c r="E142" i="7"/>
  <c r="R142" i="7" s="1"/>
  <c r="Q141" i="7"/>
  <c r="N141" i="7"/>
  <c r="M141" i="7"/>
  <c r="H141" i="7"/>
  <c r="I141" i="7" s="1"/>
  <c r="G141" i="7"/>
  <c r="F141" i="7"/>
  <c r="E141" i="7"/>
  <c r="D141" i="7"/>
  <c r="Q140" i="7"/>
  <c r="K140" i="7"/>
  <c r="J140" i="7"/>
  <c r="J772" i="7" s="1"/>
  <c r="H140" i="7"/>
  <c r="G140" i="7"/>
  <c r="F140" i="7"/>
  <c r="I140" i="7" s="1"/>
  <c r="E140" i="7"/>
  <c r="D140" i="7"/>
  <c r="Q128" i="7"/>
  <c r="M128" i="7"/>
  <c r="I128" i="7"/>
  <c r="E128" i="7"/>
  <c r="P126" i="7"/>
  <c r="O126" i="7"/>
  <c r="N126" i="7"/>
  <c r="L126" i="7"/>
  <c r="K126" i="7"/>
  <c r="M126" i="7" s="1"/>
  <c r="J126" i="7"/>
  <c r="H126" i="7"/>
  <c r="G126" i="7"/>
  <c r="F126" i="7"/>
  <c r="D126" i="7"/>
  <c r="C126" i="7"/>
  <c r="B126" i="7"/>
  <c r="E126" i="7" s="1"/>
  <c r="P125" i="7"/>
  <c r="O125" i="7"/>
  <c r="N125" i="7"/>
  <c r="Q125" i="7" s="1"/>
  <c r="L125" i="7"/>
  <c r="K125" i="7"/>
  <c r="M125" i="7" s="1"/>
  <c r="J125" i="7"/>
  <c r="I125" i="7"/>
  <c r="H125" i="7"/>
  <c r="G125" i="7"/>
  <c r="F125" i="7"/>
  <c r="D125" i="7"/>
  <c r="C125" i="7"/>
  <c r="B125" i="7"/>
  <c r="Q123" i="7"/>
  <c r="M123" i="7"/>
  <c r="I123" i="7"/>
  <c r="E123" i="7"/>
  <c r="Q121" i="7"/>
  <c r="M121" i="7"/>
  <c r="I121" i="7"/>
  <c r="E121" i="7"/>
  <c r="Q120" i="7"/>
  <c r="M120" i="7"/>
  <c r="I120" i="7"/>
  <c r="E120" i="7"/>
  <c r="Q118" i="7"/>
  <c r="M118" i="7"/>
  <c r="I118" i="7"/>
  <c r="E118" i="7"/>
  <c r="Q117" i="7"/>
  <c r="M117" i="7"/>
  <c r="I117" i="7"/>
  <c r="E117" i="7"/>
  <c r="Q116" i="7"/>
  <c r="M116" i="7"/>
  <c r="I116" i="7"/>
  <c r="E116" i="7"/>
  <c r="R116" i="7" s="1"/>
  <c r="Q115" i="7"/>
  <c r="M115" i="7"/>
  <c r="I115" i="7"/>
  <c r="E115" i="7"/>
  <c r="Q114" i="7"/>
  <c r="M114" i="7"/>
  <c r="I114" i="7"/>
  <c r="E114" i="7"/>
  <c r="R114" i="7" s="1"/>
  <c r="Q113" i="7"/>
  <c r="M113" i="7"/>
  <c r="I113" i="7"/>
  <c r="E113" i="7"/>
  <c r="Q112" i="7"/>
  <c r="M112" i="7"/>
  <c r="I112" i="7"/>
  <c r="E112" i="7"/>
  <c r="Q111" i="7"/>
  <c r="M111" i="7"/>
  <c r="I111" i="7"/>
  <c r="E111" i="7"/>
  <c r="P108" i="7"/>
  <c r="O108" i="7"/>
  <c r="N108" i="7"/>
  <c r="N127" i="7" s="1"/>
  <c r="L108" i="7"/>
  <c r="K108" i="7"/>
  <c r="M108" i="7" s="1"/>
  <c r="J108" i="7"/>
  <c r="H108" i="7"/>
  <c r="G108" i="7"/>
  <c r="I108" i="7" s="1"/>
  <c r="F108" i="7"/>
  <c r="D108" i="7"/>
  <c r="C108" i="7"/>
  <c r="B108" i="7"/>
  <c r="Q107" i="7"/>
  <c r="M107" i="7"/>
  <c r="I107" i="7"/>
  <c r="E107" i="7"/>
  <c r="R107" i="7" s="1"/>
  <c r="Q106" i="7"/>
  <c r="M106" i="7"/>
  <c r="I106" i="7"/>
  <c r="E106" i="7"/>
  <c r="Q105" i="7"/>
  <c r="M105" i="7"/>
  <c r="I105" i="7"/>
  <c r="E105" i="7"/>
  <c r="Q104" i="7"/>
  <c r="M104" i="7"/>
  <c r="I104" i="7"/>
  <c r="E104" i="7"/>
  <c r="Q103" i="7"/>
  <c r="M103" i="7"/>
  <c r="I103" i="7"/>
  <c r="E103" i="7"/>
  <c r="Q102" i="7"/>
  <c r="M102" i="7"/>
  <c r="I102" i="7"/>
  <c r="E102" i="7"/>
  <c r="Q101" i="7"/>
  <c r="M101" i="7"/>
  <c r="I101" i="7"/>
  <c r="E101" i="7"/>
  <c r="Q100" i="7"/>
  <c r="M100" i="7"/>
  <c r="I100" i="7"/>
  <c r="E100" i="7"/>
  <c r="Q96" i="7"/>
  <c r="P96" i="7"/>
  <c r="O96" i="7"/>
  <c r="N96" i="7"/>
  <c r="L96" i="7"/>
  <c r="K96" i="7"/>
  <c r="J96" i="7"/>
  <c r="H96" i="7"/>
  <c r="G96" i="7"/>
  <c r="F96" i="7"/>
  <c r="I96" i="7" s="1"/>
  <c r="D96" i="7"/>
  <c r="C96" i="7"/>
  <c r="B96" i="7"/>
  <c r="Q94" i="7"/>
  <c r="M94" i="7"/>
  <c r="I94" i="7"/>
  <c r="E94" i="7"/>
  <c r="R94" i="7" s="1"/>
  <c r="Q93" i="7"/>
  <c r="M93" i="7"/>
  <c r="I93" i="7"/>
  <c r="E93" i="7"/>
  <c r="P89" i="7"/>
  <c r="O89" i="7"/>
  <c r="N89" i="7"/>
  <c r="L89" i="7"/>
  <c r="K89" i="7"/>
  <c r="J89" i="7"/>
  <c r="H89" i="7"/>
  <c r="G89" i="7"/>
  <c r="F89" i="7"/>
  <c r="D89" i="7"/>
  <c r="D127" i="7" s="1"/>
  <c r="D130" i="7" s="1"/>
  <c r="C89" i="7"/>
  <c r="B89" i="7"/>
  <c r="E89" i="7" s="1"/>
  <c r="Q87" i="7"/>
  <c r="M87" i="7"/>
  <c r="I87" i="7"/>
  <c r="E87" i="7"/>
  <c r="R87" i="7" s="1"/>
  <c r="Q86" i="7"/>
  <c r="M86" i="7"/>
  <c r="I86" i="7"/>
  <c r="E86" i="7"/>
  <c r="R86" i="7" s="1"/>
  <c r="Q84" i="7"/>
  <c r="M84" i="7"/>
  <c r="I84" i="7"/>
  <c r="R84" i="7" s="1"/>
  <c r="E84" i="7"/>
  <c r="Q83" i="7"/>
  <c r="M83" i="7"/>
  <c r="I83" i="7"/>
  <c r="E83" i="7"/>
  <c r="R83" i="7" s="1"/>
  <c r="Q81" i="7"/>
  <c r="M81" i="7"/>
  <c r="I81" i="7"/>
  <c r="E81" i="7"/>
  <c r="Q80" i="7"/>
  <c r="M80" i="7"/>
  <c r="I80" i="7"/>
  <c r="E80" i="7"/>
  <c r="Q79" i="7"/>
  <c r="M79" i="7"/>
  <c r="I79" i="7"/>
  <c r="E79" i="7"/>
  <c r="R79" i="7" s="1"/>
  <c r="Q78" i="7"/>
  <c r="M78" i="7"/>
  <c r="I78" i="7"/>
  <c r="E78" i="7"/>
  <c r="R78" i="7" s="1"/>
  <c r="Q77" i="7"/>
  <c r="M77" i="7"/>
  <c r="I77" i="7"/>
  <c r="E77" i="7"/>
  <c r="Q76" i="7"/>
  <c r="M76" i="7"/>
  <c r="I76" i="7"/>
  <c r="E76" i="7"/>
  <c r="Q75" i="7"/>
  <c r="M75" i="7"/>
  <c r="I75" i="7"/>
  <c r="E75" i="7"/>
  <c r="Q74" i="7"/>
  <c r="M74" i="7"/>
  <c r="I74" i="7"/>
  <c r="E74" i="7"/>
  <c r="Q73" i="7"/>
  <c r="M73" i="7"/>
  <c r="I73" i="7"/>
  <c r="E73" i="7"/>
  <c r="R73" i="7" s="1"/>
  <c r="Q72" i="7"/>
  <c r="M72" i="7"/>
  <c r="I72" i="7"/>
  <c r="E72" i="7"/>
  <c r="Q60" i="7"/>
  <c r="M60" i="7"/>
  <c r="I60" i="7"/>
  <c r="E60" i="7"/>
  <c r="P58" i="7"/>
  <c r="O58" i="7"/>
  <c r="N58" i="7"/>
  <c r="L58" i="7"/>
  <c r="K58" i="7"/>
  <c r="J58" i="7"/>
  <c r="H58" i="7"/>
  <c r="G58" i="7"/>
  <c r="I58" i="7" s="1"/>
  <c r="F58" i="7"/>
  <c r="D58" i="7"/>
  <c r="C58" i="7"/>
  <c r="E58" i="7" s="1"/>
  <c r="B58" i="7"/>
  <c r="P57" i="7"/>
  <c r="O57" i="7"/>
  <c r="N57" i="7"/>
  <c r="Q57" i="7" s="1"/>
  <c r="L57" i="7"/>
  <c r="K57" i="7"/>
  <c r="J57" i="7"/>
  <c r="M57" i="7" s="1"/>
  <c r="H57" i="7"/>
  <c r="G57" i="7"/>
  <c r="F57" i="7"/>
  <c r="E57" i="7"/>
  <c r="D57" i="7"/>
  <c r="C57" i="7"/>
  <c r="B57" i="7"/>
  <c r="Q54" i="7"/>
  <c r="M54" i="7"/>
  <c r="I54" i="7"/>
  <c r="E54" i="7"/>
  <c r="Q50" i="7"/>
  <c r="P50" i="7"/>
  <c r="O50" i="7"/>
  <c r="O59" i="7" s="1"/>
  <c r="O62" i="7" s="1"/>
  <c r="N50" i="7"/>
  <c r="L50" i="7"/>
  <c r="K50" i="7"/>
  <c r="J50" i="7"/>
  <c r="H50" i="7"/>
  <c r="G50" i="7"/>
  <c r="F50" i="7"/>
  <c r="I50" i="7" s="1"/>
  <c r="D50" i="7"/>
  <c r="C50" i="7"/>
  <c r="B50" i="7"/>
  <c r="P46" i="7"/>
  <c r="O46" i="7"/>
  <c r="N46" i="7"/>
  <c r="L46" i="7"/>
  <c r="K46" i="7"/>
  <c r="J46" i="7"/>
  <c r="M46" i="7" s="1"/>
  <c r="H46" i="7"/>
  <c r="G46" i="7"/>
  <c r="I46" i="7" s="1"/>
  <c r="F46" i="7"/>
  <c r="E46" i="7"/>
  <c r="D46" i="7"/>
  <c r="C46" i="7"/>
  <c r="B46" i="7"/>
  <c r="P41" i="7"/>
  <c r="P59" i="7" s="1"/>
  <c r="P62" i="7" s="1"/>
  <c r="O41" i="7"/>
  <c r="N41" i="7"/>
  <c r="L41" i="7"/>
  <c r="K41" i="7"/>
  <c r="J41" i="7"/>
  <c r="H41" i="7"/>
  <c r="G41" i="7"/>
  <c r="F41" i="7"/>
  <c r="D41" i="7"/>
  <c r="D59" i="7" s="1"/>
  <c r="D62" i="7" s="1"/>
  <c r="C41" i="7"/>
  <c r="B41" i="7"/>
  <c r="Q38" i="7"/>
  <c r="M38" i="7"/>
  <c r="I38" i="7"/>
  <c r="E38" i="7"/>
  <c r="P27" i="7"/>
  <c r="O27" i="7"/>
  <c r="Q27" i="7" s="1"/>
  <c r="N27" i="7"/>
  <c r="M27" i="7"/>
  <c r="L27" i="7"/>
  <c r="K27" i="7"/>
  <c r="J27" i="7"/>
  <c r="H27" i="7"/>
  <c r="I27" i="7" s="1"/>
  <c r="G27" i="7"/>
  <c r="F27" i="7"/>
  <c r="E27" i="7"/>
  <c r="D27" i="7"/>
  <c r="C27" i="7"/>
  <c r="B27" i="7"/>
  <c r="Q25" i="7"/>
  <c r="M25" i="7"/>
  <c r="I25" i="7"/>
  <c r="E25" i="7"/>
  <c r="R25" i="7" s="1"/>
  <c r="R20" i="7"/>
  <c r="Q20" i="7"/>
  <c r="M20" i="7"/>
  <c r="I20" i="7"/>
  <c r="E20" i="7"/>
  <c r="P18" i="7"/>
  <c r="O18" i="7"/>
  <c r="N18" i="7"/>
  <c r="Q18" i="7" s="1"/>
  <c r="L18" i="7"/>
  <c r="K18" i="7"/>
  <c r="J18" i="7"/>
  <c r="I18" i="7"/>
  <c r="H18" i="7"/>
  <c r="G18" i="7"/>
  <c r="F18" i="7"/>
  <c r="D18" i="7"/>
  <c r="E18" i="7" s="1"/>
  <c r="C18" i="7"/>
  <c r="B18" i="7"/>
  <c r="Q17" i="7"/>
  <c r="P17" i="7"/>
  <c r="O17" i="7"/>
  <c r="N17" i="7"/>
  <c r="L17" i="7"/>
  <c r="K17" i="7"/>
  <c r="J17" i="7"/>
  <c r="H17" i="7"/>
  <c r="G17" i="7"/>
  <c r="F17" i="7"/>
  <c r="D17" i="7"/>
  <c r="C17" i="7"/>
  <c r="B17" i="7"/>
  <c r="P16" i="7"/>
  <c r="O16" i="7"/>
  <c r="N16" i="7"/>
  <c r="Q16" i="7" s="1"/>
  <c r="L16" i="7"/>
  <c r="K16" i="7"/>
  <c r="J16" i="7"/>
  <c r="H16" i="7"/>
  <c r="G16" i="7"/>
  <c r="F16" i="7"/>
  <c r="D16" i="7"/>
  <c r="C16" i="7"/>
  <c r="B16" i="7"/>
  <c r="P15" i="7"/>
  <c r="O15" i="7"/>
  <c r="Q15" i="7" s="1"/>
  <c r="N15" i="7"/>
  <c r="L15" i="7"/>
  <c r="K15" i="7"/>
  <c r="J15" i="7"/>
  <c r="H15" i="7"/>
  <c r="G15" i="7"/>
  <c r="F15" i="7"/>
  <c r="I15" i="7" s="1"/>
  <c r="D15" i="7"/>
  <c r="C15" i="7"/>
  <c r="E15" i="7" s="1"/>
  <c r="B15" i="7"/>
  <c r="P14" i="7"/>
  <c r="O14" i="7"/>
  <c r="N14" i="7"/>
  <c r="L14" i="7"/>
  <c r="K14" i="7"/>
  <c r="J14" i="7"/>
  <c r="H14" i="7"/>
  <c r="G14" i="7"/>
  <c r="I14" i="7" s="1"/>
  <c r="F14" i="7"/>
  <c r="D14" i="7"/>
  <c r="C14" i="7"/>
  <c r="E14" i="7" s="1"/>
  <c r="B14" i="7"/>
  <c r="S13" i="7"/>
  <c r="O581" i="7"/>
  <c r="N954" i="7"/>
  <c r="G870" i="7"/>
  <c r="K581" i="7"/>
  <c r="D581" i="7"/>
  <c r="C28" i="7"/>
  <c r="O945" i="7"/>
  <c r="R1" i="7"/>
  <c r="O1078" i="6"/>
  <c r="K1078" i="6"/>
  <c r="Q1075" i="6"/>
  <c r="M1075" i="6"/>
  <c r="G1075" i="6"/>
  <c r="I1075" i="6" s="1"/>
  <c r="Q1074" i="6"/>
  <c r="M1074" i="6"/>
  <c r="I1074" i="6"/>
  <c r="G1074" i="6"/>
  <c r="Q1073" i="6"/>
  <c r="R1075" i="6" s="1"/>
  <c r="M1073" i="6"/>
  <c r="G1073" i="6"/>
  <c r="I1073" i="6" s="1"/>
  <c r="J1075" i="6" s="1"/>
  <c r="Q1072" i="6"/>
  <c r="N1072" i="6"/>
  <c r="M1072" i="6"/>
  <c r="I1072" i="6"/>
  <c r="G1072" i="6"/>
  <c r="Q1071" i="6"/>
  <c r="M1071" i="6"/>
  <c r="G1071" i="6"/>
  <c r="I1071" i="6" s="1"/>
  <c r="Q1070" i="6"/>
  <c r="R1072" i="6" s="1"/>
  <c r="M1070" i="6"/>
  <c r="I1070" i="6"/>
  <c r="J1072" i="6" s="1"/>
  <c r="G1070" i="6"/>
  <c r="Q1069" i="6"/>
  <c r="N1069" i="6"/>
  <c r="M1069" i="6"/>
  <c r="I1069" i="6"/>
  <c r="G1069" i="6"/>
  <c r="Q1068" i="6"/>
  <c r="M1068" i="6"/>
  <c r="I1068" i="6"/>
  <c r="G1068" i="6"/>
  <c r="Q1067" i="6"/>
  <c r="R1069" i="6" s="1"/>
  <c r="M1067" i="6"/>
  <c r="I1067" i="6"/>
  <c r="J1069" i="6" s="1"/>
  <c r="G1067" i="6"/>
  <c r="Q1066" i="6"/>
  <c r="M1066" i="6"/>
  <c r="G1066" i="6"/>
  <c r="I1066" i="6" s="1"/>
  <c r="Q1065" i="6"/>
  <c r="Q1078" i="6" s="1"/>
  <c r="M1065" i="6"/>
  <c r="I1065" i="6"/>
  <c r="G1065" i="6"/>
  <c r="G1078" i="6" s="1"/>
  <c r="Q1064" i="6"/>
  <c r="R1066" i="6" s="1"/>
  <c r="M1064" i="6"/>
  <c r="I1064" i="6"/>
  <c r="I1078" i="6" s="1"/>
  <c r="G1058" i="6"/>
  <c r="O1057" i="6"/>
  <c r="K1057" i="6"/>
  <c r="C1057" i="6"/>
  <c r="I1054" i="6"/>
  <c r="J1051" i="6"/>
  <c r="Q1050" i="6"/>
  <c r="P1026" i="6"/>
  <c r="O1026" i="6" s="1"/>
  <c r="L1026" i="6"/>
  <c r="J1026" i="6"/>
  <c r="G1026" i="6" s="1"/>
  <c r="C999" i="6" s="1"/>
  <c r="I1026" i="6"/>
  <c r="F1026" i="6" s="1"/>
  <c r="B999" i="6" s="1"/>
  <c r="P1025" i="6"/>
  <c r="O1025" i="6" s="1"/>
  <c r="J1025" i="6"/>
  <c r="I1025" i="6"/>
  <c r="G1025" i="6"/>
  <c r="P1024" i="6"/>
  <c r="O1024" i="6" s="1"/>
  <c r="J1024" i="6"/>
  <c r="I1024" i="6"/>
  <c r="L1024" i="6" s="1"/>
  <c r="G1024" i="6"/>
  <c r="P1023" i="6"/>
  <c r="O1023" i="6" s="1"/>
  <c r="J1023" i="6"/>
  <c r="L1023" i="6" s="1"/>
  <c r="I1023" i="6"/>
  <c r="F1023" i="6"/>
  <c r="P1022" i="6"/>
  <c r="O1022" i="6"/>
  <c r="K1022" i="6"/>
  <c r="H1022" i="6" s="1"/>
  <c r="D995" i="6" s="1"/>
  <c r="J1022" i="6"/>
  <c r="G1022" i="6" s="1"/>
  <c r="I1022" i="6"/>
  <c r="F1022" i="6"/>
  <c r="P1021" i="6"/>
  <c r="O1021" i="6" s="1"/>
  <c r="K1021" i="6"/>
  <c r="J1021" i="6"/>
  <c r="L1021" i="6" s="1"/>
  <c r="I1021" i="6"/>
  <c r="F1021" i="6" s="1"/>
  <c r="B994" i="6" s="1"/>
  <c r="H1021" i="6"/>
  <c r="G1021" i="6"/>
  <c r="P1020" i="6"/>
  <c r="O1020" i="6" s="1"/>
  <c r="K1020" i="6"/>
  <c r="J1020" i="6"/>
  <c r="L1020" i="6" s="1"/>
  <c r="I1020" i="6"/>
  <c r="F1020" i="6" s="1"/>
  <c r="B993" i="6" s="1"/>
  <c r="H1020" i="6"/>
  <c r="P1019" i="6"/>
  <c r="O1019" i="6" s="1"/>
  <c r="J1019" i="6"/>
  <c r="I1019" i="6"/>
  <c r="G1019" i="6"/>
  <c r="P1018" i="6"/>
  <c r="O1018" i="6" s="1"/>
  <c r="J1018" i="6"/>
  <c r="I1018" i="6"/>
  <c r="L1018" i="6" s="1"/>
  <c r="G1018" i="6"/>
  <c r="P1017" i="6"/>
  <c r="O1017" i="6" s="1"/>
  <c r="J1017" i="6"/>
  <c r="L1017" i="6" s="1"/>
  <c r="I1017" i="6"/>
  <c r="F1017" i="6"/>
  <c r="P1016" i="6"/>
  <c r="O1016" i="6"/>
  <c r="J1016" i="6"/>
  <c r="I1016" i="6"/>
  <c r="F1016" i="6" s="1"/>
  <c r="B989" i="6" s="1"/>
  <c r="P1015" i="6"/>
  <c r="O1015" i="6"/>
  <c r="J1015" i="6"/>
  <c r="L1015" i="6" s="1"/>
  <c r="I1015" i="6"/>
  <c r="F1015" i="6"/>
  <c r="B1009" i="6"/>
  <c r="B1006" i="6"/>
  <c r="Q1005" i="6"/>
  <c r="C998" i="6"/>
  <c r="C997" i="6"/>
  <c r="B996" i="6"/>
  <c r="C995" i="6"/>
  <c r="B995" i="6"/>
  <c r="D994" i="6"/>
  <c r="C994" i="6"/>
  <c r="D993" i="6"/>
  <c r="C992" i="6"/>
  <c r="C991" i="6"/>
  <c r="AD990" i="6"/>
  <c r="B990" i="6"/>
  <c r="AD993" i="6" s="1"/>
  <c r="B988" i="6"/>
  <c r="AE985" i="6"/>
  <c r="B984" i="6"/>
  <c r="B981" i="6"/>
  <c r="Q980" i="6"/>
  <c r="P974" i="6"/>
  <c r="P973" i="6"/>
  <c r="P972" i="6"/>
  <c r="P971" i="6"/>
  <c r="P970" i="6"/>
  <c r="P969" i="6"/>
  <c r="P968" i="6"/>
  <c r="P967" i="6"/>
  <c r="P966" i="6"/>
  <c r="P965" i="6"/>
  <c r="P964" i="6"/>
  <c r="P963" i="6"/>
  <c r="M958" i="6"/>
  <c r="N949" i="6"/>
  <c r="M949" i="6"/>
  <c r="O949" i="6" s="1"/>
  <c r="L949" i="6"/>
  <c r="K949" i="6"/>
  <c r="I949" i="6"/>
  <c r="H949" i="6"/>
  <c r="J949" i="6" s="1"/>
  <c r="O947" i="6"/>
  <c r="J947" i="6"/>
  <c r="O946" i="6"/>
  <c r="J946" i="6"/>
  <c r="R945" i="6"/>
  <c r="O945" i="6"/>
  <c r="Q945" i="6" s="1"/>
  <c r="J945" i="6"/>
  <c r="O944" i="6"/>
  <c r="Q944" i="6" s="1"/>
  <c r="J944" i="6"/>
  <c r="Q943" i="6"/>
  <c r="R943" i="6" s="1"/>
  <c r="O943" i="6"/>
  <c r="J943" i="6"/>
  <c r="Q942" i="6"/>
  <c r="R942" i="6" s="1"/>
  <c r="O942" i="6"/>
  <c r="J942" i="6"/>
  <c r="AR941" i="6"/>
  <c r="AQ941" i="6"/>
  <c r="AP941" i="6"/>
  <c r="AO941" i="6"/>
  <c r="AN941" i="6"/>
  <c r="AM941" i="6"/>
  <c r="AL941" i="6"/>
  <c r="AK941" i="6"/>
  <c r="AJ941" i="6"/>
  <c r="AI941" i="6"/>
  <c r="AH941" i="6"/>
  <c r="AG941" i="6"/>
  <c r="AF941" i="6"/>
  <c r="AE941" i="6"/>
  <c r="AD941" i="6"/>
  <c r="Q941" i="6"/>
  <c r="R941" i="6" s="1"/>
  <c r="O941" i="6"/>
  <c r="J941" i="6"/>
  <c r="O940" i="6"/>
  <c r="Q940" i="6" s="1"/>
  <c r="R940" i="6" s="1"/>
  <c r="J940" i="6"/>
  <c r="R939" i="6"/>
  <c r="O939" i="6"/>
  <c r="Q939" i="6" s="1"/>
  <c r="J939" i="6"/>
  <c r="O938" i="6"/>
  <c r="J938" i="6"/>
  <c r="Q937" i="6"/>
  <c r="R937" i="6" s="1"/>
  <c r="O937" i="6"/>
  <c r="J937" i="6"/>
  <c r="Q936" i="6"/>
  <c r="O936" i="6"/>
  <c r="J936" i="6"/>
  <c r="AD931" i="6"/>
  <c r="AD928" i="6"/>
  <c r="B928" i="6"/>
  <c r="AR927" i="6"/>
  <c r="B927" i="6"/>
  <c r="Q926" i="6"/>
  <c r="F919" i="6"/>
  <c r="F911" i="6"/>
  <c r="AR906" i="6"/>
  <c r="AQ906" i="6"/>
  <c r="AP906" i="6"/>
  <c r="AO906" i="6"/>
  <c r="AN906" i="6"/>
  <c r="AM906" i="6"/>
  <c r="AL906" i="6"/>
  <c r="AK906" i="6"/>
  <c r="AJ906" i="6"/>
  <c r="AI906" i="6"/>
  <c r="AH906" i="6"/>
  <c r="AG906" i="6"/>
  <c r="AF906" i="6"/>
  <c r="AE906" i="6"/>
  <c r="AD906" i="6"/>
  <c r="B901" i="6"/>
  <c r="B898" i="6"/>
  <c r="Q897" i="6"/>
  <c r="AD896" i="6"/>
  <c r="AD893" i="6"/>
  <c r="AR892" i="6"/>
  <c r="AS884" i="6"/>
  <c r="AF884" i="6"/>
  <c r="AE881" i="6"/>
  <c r="AS880" i="6"/>
  <c r="AF880" i="6"/>
  <c r="AR875" i="6"/>
  <c r="AQ875" i="6"/>
  <c r="AP875" i="6"/>
  <c r="AO875" i="6"/>
  <c r="AG875" i="6"/>
  <c r="AF875" i="6"/>
  <c r="AE875" i="6"/>
  <c r="AD875" i="6"/>
  <c r="B875" i="6"/>
  <c r="B872" i="6"/>
  <c r="Q871" i="6"/>
  <c r="AR870" i="6"/>
  <c r="AG870" i="6"/>
  <c r="AS867" i="6"/>
  <c r="AH867" i="6"/>
  <c r="AS865" i="6"/>
  <c r="T862" i="6"/>
  <c r="G862" i="6"/>
  <c r="F862" i="6"/>
  <c r="AD888" i="6" s="1"/>
  <c r="T861" i="6"/>
  <c r="AE852" i="6" s="1"/>
  <c r="G861" i="6"/>
  <c r="G918" i="6" s="1"/>
  <c r="F861" i="6"/>
  <c r="T860" i="6"/>
  <c r="AE851" i="6" s="1"/>
  <c r="G860" i="6"/>
  <c r="G917" i="6" s="1"/>
  <c r="F860" i="6"/>
  <c r="T859" i="6"/>
  <c r="AE850" i="6" s="1"/>
  <c r="G859" i="6"/>
  <c r="F859" i="6"/>
  <c r="AH885" i="6" s="1"/>
  <c r="T858" i="6"/>
  <c r="G858" i="6"/>
  <c r="G915" i="6" s="1"/>
  <c r="F858" i="6"/>
  <c r="F915" i="6" s="1"/>
  <c r="T857" i="6"/>
  <c r="AE848" i="6" s="1"/>
  <c r="G857" i="6"/>
  <c r="G914" i="6" s="1"/>
  <c r="F857" i="6"/>
  <c r="F914" i="6" s="1"/>
  <c r="T856" i="6"/>
  <c r="G856" i="6"/>
  <c r="F856" i="6"/>
  <c r="T855" i="6"/>
  <c r="AE846" i="6" s="1"/>
  <c r="G855" i="6"/>
  <c r="G912" i="6" s="1"/>
  <c r="F855" i="6"/>
  <c r="T854" i="6"/>
  <c r="G854" i="6"/>
  <c r="F854" i="6"/>
  <c r="AE853" i="6"/>
  <c r="AD853" i="6"/>
  <c r="AO853" i="6" s="1"/>
  <c r="T853" i="6"/>
  <c r="G853" i="6"/>
  <c r="G910" i="6" s="1"/>
  <c r="F853" i="6"/>
  <c r="AO852" i="6"/>
  <c r="AD852" i="6"/>
  <c r="T852" i="6"/>
  <c r="G852" i="6"/>
  <c r="G909" i="6" s="1"/>
  <c r="F852" i="6"/>
  <c r="T851" i="6"/>
  <c r="G851" i="6"/>
  <c r="F851" i="6"/>
  <c r="AE849" i="6"/>
  <c r="AD849" i="6"/>
  <c r="AD848" i="6"/>
  <c r="AO848" i="6" s="1"/>
  <c r="AE847" i="6"/>
  <c r="AD847" i="6"/>
  <c r="B846" i="6"/>
  <c r="AE845" i="6"/>
  <c r="AE844" i="6"/>
  <c r="AD844" i="6"/>
  <c r="AO844" i="6" s="1"/>
  <c r="AE843" i="6"/>
  <c r="B843" i="6"/>
  <c r="AE842" i="6"/>
  <c r="AD842" i="6"/>
  <c r="Q842" i="6"/>
  <c r="AF834" i="6"/>
  <c r="P834" i="6"/>
  <c r="AS833" i="6"/>
  <c r="AN833" i="6"/>
  <c r="A824" i="6"/>
  <c r="A822" i="6"/>
  <c r="Q818" i="6"/>
  <c r="C814" i="6"/>
  <c r="C836" i="6" s="1"/>
  <c r="D813" i="6"/>
  <c r="P812" i="6"/>
  <c r="O812" i="6"/>
  <c r="N812" i="6"/>
  <c r="Q812" i="6" s="1"/>
  <c r="L812" i="6"/>
  <c r="K812" i="6"/>
  <c r="J812" i="6"/>
  <c r="M812" i="6" s="1"/>
  <c r="H812" i="6"/>
  <c r="G812" i="6"/>
  <c r="F812" i="6"/>
  <c r="I812" i="6" s="1"/>
  <c r="D812" i="6"/>
  <c r="C812" i="6"/>
  <c r="B812" i="6"/>
  <c r="E812" i="6" s="1"/>
  <c r="P811" i="6"/>
  <c r="O811" i="6"/>
  <c r="N811" i="6"/>
  <c r="L811" i="6"/>
  <c r="K811" i="6"/>
  <c r="J811" i="6"/>
  <c r="H811" i="6"/>
  <c r="G811" i="6"/>
  <c r="F811" i="6"/>
  <c r="D811" i="6"/>
  <c r="C811" i="6"/>
  <c r="B811" i="6"/>
  <c r="E811" i="6" s="1"/>
  <c r="P810" i="6"/>
  <c r="P813" i="6" s="1"/>
  <c r="O810" i="6"/>
  <c r="N810" i="6"/>
  <c r="L810" i="6"/>
  <c r="L813" i="6" s="1"/>
  <c r="K810" i="6"/>
  <c r="K813" i="6" s="1"/>
  <c r="J810" i="6"/>
  <c r="H810" i="6"/>
  <c r="H813" i="6" s="1"/>
  <c r="G810" i="6"/>
  <c r="F810" i="6"/>
  <c r="D810" i="6"/>
  <c r="C810" i="6"/>
  <c r="C813" i="6" s="1"/>
  <c r="B810" i="6"/>
  <c r="P809" i="6"/>
  <c r="O809" i="6"/>
  <c r="N809" i="6"/>
  <c r="L809" i="6"/>
  <c r="M809" i="6" s="1"/>
  <c r="K809" i="6"/>
  <c r="J809" i="6"/>
  <c r="H809" i="6"/>
  <c r="G809" i="6"/>
  <c r="F809" i="6"/>
  <c r="D809" i="6"/>
  <c r="C809" i="6"/>
  <c r="B809" i="6"/>
  <c r="P808" i="6"/>
  <c r="O808" i="6"/>
  <c r="N808" i="6"/>
  <c r="Q808" i="6" s="1"/>
  <c r="L808" i="6"/>
  <c r="K808" i="6"/>
  <c r="J808" i="6"/>
  <c r="M808" i="6" s="1"/>
  <c r="H808" i="6"/>
  <c r="G808" i="6"/>
  <c r="F808" i="6"/>
  <c r="I808" i="6" s="1"/>
  <c r="D808" i="6"/>
  <c r="C808" i="6"/>
  <c r="B808" i="6"/>
  <c r="E808" i="6" s="1"/>
  <c r="P807" i="6"/>
  <c r="O807" i="6"/>
  <c r="O814" i="6" s="1"/>
  <c r="O836" i="6" s="1"/>
  <c r="N807" i="6"/>
  <c r="L807" i="6"/>
  <c r="L814" i="6" s="1"/>
  <c r="L836" i="6" s="1"/>
  <c r="K807" i="6"/>
  <c r="K814" i="6" s="1"/>
  <c r="K836" i="6" s="1"/>
  <c r="J807" i="6"/>
  <c r="H807" i="6"/>
  <c r="G807" i="6"/>
  <c r="G814" i="6" s="1"/>
  <c r="G836" i="6" s="1"/>
  <c r="F807" i="6"/>
  <c r="D807" i="6"/>
  <c r="D814" i="6" s="1"/>
  <c r="D836" i="6" s="1"/>
  <c r="C807" i="6"/>
  <c r="B807" i="6"/>
  <c r="P804" i="6"/>
  <c r="O804" i="6"/>
  <c r="Q804" i="6" s="1"/>
  <c r="N804" i="6"/>
  <c r="D804" i="6"/>
  <c r="C804" i="6"/>
  <c r="B804" i="6"/>
  <c r="P803" i="6"/>
  <c r="P805" i="6" s="1"/>
  <c r="O803" i="6"/>
  <c r="L803" i="6"/>
  <c r="K803" i="6"/>
  <c r="J803" i="6"/>
  <c r="F803" i="6"/>
  <c r="O801" i="6"/>
  <c r="O832" i="6" s="1"/>
  <c r="P800" i="6"/>
  <c r="O800" i="6"/>
  <c r="N800" i="6"/>
  <c r="L800" i="6"/>
  <c r="K800" i="6"/>
  <c r="J800" i="6"/>
  <c r="M800" i="6" s="1"/>
  <c r="H800" i="6"/>
  <c r="G800" i="6"/>
  <c r="F800" i="6"/>
  <c r="I800" i="6" s="1"/>
  <c r="D800" i="6"/>
  <c r="C800" i="6"/>
  <c r="B800" i="6"/>
  <c r="P799" i="6"/>
  <c r="Q799" i="6" s="1"/>
  <c r="O799" i="6"/>
  <c r="N799" i="6"/>
  <c r="L799" i="6"/>
  <c r="M799" i="6" s="1"/>
  <c r="K799" i="6"/>
  <c r="J799" i="6"/>
  <c r="H799" i="6"/>
  <c r="I799" i="6" s="1"/>
  <c r="G799" i="6"/>
  <c r="G801" i="6" s="1"/>
  <c r="G832" i="6" s="1"/>
  <c r="F799" i="6"/>
  <c r="D799" i="6"/>
  <c r="E799" i="6" s="1"/>
  <c r="C799" i="6"/>
  <c r="B799" i="6"/>
  <c r="P798" i="6"/>
  <c r="O798" i="6"/>
  <c r="N798" i="6"/>
  <c r="N801" i="6" s="1"/>
  <c r="L798" i="6"/>
  <c r="K798" i="6"/>
  <c r="K801" i="6" s="1"/>
  <c r="K832" i="6" s="1"/>
  <c r="J798" i="6"/>
  <c r="H798" i="6"/>
  <c r="G798" i="6"/>
  <c r="F798" i="6"/>
  <c r="F801" i="6" s="1"/>
  <c r="D798" i="6"/>
  <c r="D801" i="6" s="1"/>
  <c r="D832" i="6" s="1"/>
  <c r="C798" i="6"/>
  <c r="C801" i="6" s="1"/>
  <c r="C832" i="6" s="1"/>
  <c r="B798" i="6"/>
  <c r="P795" i="6"/>
  <c r="Q795" i="6" s="1"/>
  <c r="O795" i="6"/>
  <c r="N795" i="6"/>
  <c r="L795" i="6"/>
  <c r="M795" i="6" s="1"/>
  <c r="K795" i="6"/>
  <c r="J795" i="6"/>
  <c r="H795" i="6"/>
  <c r="I795" i="6" s="1"/>
  <c r="G795" i="6"/>
  <c r="F795" i="6"/>
  <c r="D795" i="6"/>
  <c r="E795" i="6" s="1"/>
  <c r="C795" i="6"/>
  <c r="B795" i="6"/>
  <c r="P794" i="6"/>
  <c r="O794" i="6"/>
  <c r="N794" i="6"/>
  <c r="L794" i="6"/>
  <c r="K794" i="6"/>
  <c r="J794" i="6"/>
  <c r="M794" i="6" s="1"/>
  <c r="H794" i="6"/>
  <c r="G794" i="6"/>
  <c r="F794" i="6"/>
  <c r="I794" i="6" s="1"/>
  <c r="D794" i="6"/>
  <c r="C794" i="6"/>
  <c r="B794" i="6"/>
  <c r="P793" i="6"/>
  <c r="O793" i="6"/>
  <c r="Q793" i="6" s="1"/>
  <c r="N793" i="6"/>
  <c r="L793" i="6"/>
  <c r="K793" i="6"/>
  <c r="J793" i="6"/>
  <c r="H793" i="6"/>
  <c r="G793" i="6"/>
  <c r="F793" i="6"/>
  <c r="D793" i="6"/>
  <c r="C793" i="6"/>
  <c r="B793" i="6"/>
  <c r="P792" i="6"/>
  <c r="O792" i="6"/>
  <c r="N792" i="6"/>
  <c r="L792" i="6"/>
  <c r="K792" i="6"/>
  <c r="J792" i="6"/>
  <c r="M792" i="6" s="1"/>
  <c r="H792" i="6"/>
  <c r="G792" i="6"/>
  <c r="F792" i="6"/>
  <c r="I792" i="6" s="1"/>
  <c r="D792" i="6"/>
  <c r="C792" i="6"/>
  <c r="B792" i="6"/>
  <c r="P791" i="6"/>
  <c r="Q791" i="6" s="1"/>
  <c r="O791" i="6"/>
  <c r="N791" i="6"/>
  <c r="L791" i="6"/>
  <c r="M791" i="6" s="1"/>
  <c r="K791" i="6"/>
  <c r="J791" i="6"/>
  <c r="H791" i="6"/>
  <c r="I791" i="6" s="1"/>
  <c r="G791" i="6"/>
  <c r="F791" i="6"/>
  <c r="D791" i="6"/>
  <c r="E791" i="6" s="1"/>
  <c r="C791" i="6"/>
  <c r="B791" i="6"/>
  <c r="A783" i="6"/>
  <c r="A781" i="6"/>
  <c r="Q777" i="6"/>
  <c r="Q770" i="6"/>
  <c r="M770" i="6"/>
  <c r="I770" i="6"/>
  <c r="E770" i="6"/>
  <c r="P768" i="6"/>
  <c r="O768" i="6"/>
  <c r="N768" i="6"/>
  <c r="L768" i="6"/>
  <c r="K768" i="6"/>
  <c r="J768" i="6"/>
  <c r="H768" i="6"/>
  <c r="G768" i="6"/>
  <c r="I768" i="6" s="1"/>
  <c r="F768" i="6"/>
  <c r="D768" i="6"/>
  <c r="C768" i="6"/>
  <c r="B768" i="6"/>
  <c r="P767" i="6"/>
  <c r="O767" i="6"/>
  <c r="N767" i="6"/>
  <c r="L767" i="6"/>
  <c r="K767" i="6"/>
  <c r="J767" i="6"/>
  <c r="H767" i="6"/>
  <c r="G767" i="6"/>
  <c r="F767" i="6"/>
  <c r="D767" i="6"/>
  <c r="C767" i="6"/>
  <c r="B767" i="6"/>
  <c r="E767" i="6" s="1"/>
  <c r="Q764" i="6"/>
  <c r="M764" i="6"/>
  <c r="I764" i="6"/>
  <c r="E764" i="6"/>
  <c r="Q763" i="6"/>
  <c r="M763" i="6"/>
  <c r="I763" i="6"/>
  <c r="E763" i="6"/>
  <c r="R763" i="6" s="1"/>
  <c r="Q761" i="6"/>
  <c r="M761" i="6"/>
  <c r="I761" i="6"/>
  <c r="E761" i="6"/>
  <c r="R761" i="6" s="1"/>
  <c r="Q760" i="6"/>
  <c r="M760" i="6"/>
  <c r="I760" i="6"/>
  <c r="E760" i="6"/>
  <c r="R760" i="6" s="1"/>
  <c r="P757" i="6"/>
  <c r="O757" i="6"/>
  <c r="N757" i="6"/>
  <c r="Q757" i="6" s="1"/>
  <c r="L757" i="6"/>
  <c r="K757" i="6"/>
  <c r="J757" i="6"/>
  <c r="M757" i="6" s="1"/>
  <c r="H757" i="6"/>
  <c r="G757" i="6"/>
  <c r="F757" i="6"/>
  <c r="I757" i="6" s="1"/>
  <c r="D757" i="6"/>
  <c r="C757" i="6"/>
  <c r="B757" i="6"/>
  <c r="E757" i="6" s="1"/>
  <c r="Q756" i="6"/>
  <c r="M756" i="6"/>
  <c r="I756" i="6"/>
  <c r="E756" i="6"/>
  <c r="R756" i="6" s="1"/>
  <c r="Q755" i="6"/>
  <c r="M755" i="6"/>
  <c r="I755" i="6"/>
  <c r="E755" i="6"/>
  <c r="R755" i="6" s="1"/>
  <c r="Q754" i="6"/>
  <c r="M754" i="6"/>
  <c r="I754" i="6"/>
  <c r="E754" i="6"/>
  <c r="Q753" i="6"/>
  <c r="M753" i="6"/>
  <c r="I753" i="6"/>
  <c r="E753" i="6"/>
  <c r="R753" i="6" s="1"/>
  <c r="Q751" i="6"/>
  <c r="M751" i="6"/>
  <c r="I751" i="6"/>
  <c r="E751" i="6"/>
  <c r="R751" i="6" s="1"/>
  <c r="Q750" i="6"/>
  <c r="M750" i="6"/>
  <c r="I750" i="6"/>
  <c r="E750" i="6"/>
  <c r="P747" i="6"/>
  <c r="O747" i="6"/>
  <c r="N747" i="6"/>
  <c r="Q747" i="6" s="1"/>
  <c r="L747" i="6"/>
  <c r="K747" i="6"/>
  <c r="J747" i="6"/>
  <c r="H747" i="6"/>
  <c r="G747" i="6"/>
  <c r="F747" i="6"/>
  <c r="D747" i="6"/>
  <c r="C747" i="6"/>
  <c r="B747" i="6"/>
  <c r="Q745" i="6"/>
  <c r="M745" i="6"/>
  <c r="I745" i="6"/>
  <c r="E745" i="6"/>
  <c r="P742" i="6"/>
  <c r="O742" i="6"/>
  <c r="N742" i="6"/>
  <c r="L742" i="6"/>
  <c r="K742" i="6"/>
  <c r="J742" i="6"/>
  <c r="H742" i="6"/>
  <c r="H769" i="6" s="1"/>
  <c r="H772" i="6" s="1"/>
  <c r="G742" i="6"/>
  <c r="F742" i="6"/>
  <c r="D742" i="6"/>
  <c r="C742" i="6"/>
  <c r="C769" i="6" s="1"/>
  <c r="C772" i="6" s="1"/>
  <c r="C774" i="6" s="1"/>
  <c r="B742" i="6"/>
  <c r="Q740" i="6"/>
  <c r="M740" i="6"/>
  <c r="I740" i="6"/>
  <c r="E740" i="6"/>
  <c r="Q737" i="6"/>
  <c r="M737" i="6"/>
  <c r="I737" i="6"/>
  <c r="E737" i="6"/>
  <c r="Q736" i="6"/>
  <c r="M736" i="6"/>
  <c r="I736" i="6"/>
  <c r="E736" i="6"/>
  <c r="Q735" i="6"/>
  <c r="M735" i="6"/>
  <c r="I735" i="6"/>
  <c r="E735" i="6"/>
  <c r="Q734" i="6"/>
  <c r="M734" i="6"/>
  <c r="I734" i="6"/>
  <c r="E734" i="6"/>
  <c r="Q722" i="6"/>
  <c r="M722" i="6"/>
  <c r="I722" i="6"/>
  <c r="E722" i="6"/>
  <c r="Q721" i="6"/>
  <c r="M721" i="6"/>
  <c r="I721" i="6"/>
  <c r="E721" i="6"/>
  <c r="Q719" i="6"/>
  <c r="P719" i="6"/>
  <c r="O719" i="6"/>
  <c r="N719" i="6"/>
  <c r="M719" i="6"/>
  <c r="L719" i="6"/>
  <c r="K719" i="6"/>
  <c r="J719" i="6"/>
  <c r="I719" i="6"/>
  <c r="H719" i="6"/>
  <c r="G719" i="6"/>
  <c r="F719" i="6"/>
  <c r="E719" i="6"/>
  <c r="D719" i="6"/>
  <c r="C719" i="6"/>
  <c r="B719" i="6"/>
  <c r="P718" i="6"/>
  <c r="O718" i="6"/>
  <c r="N718" i="6"/>
  <c r="L718" i="6"/>
  <c r="K718" i="6"/>
  <c r="J718" i="6"/>
  <c r="H718" i="6"/>
  <c r="G718" i="6"/>
  <c r="F718" i="6"/>
  <c r="I718" i="6" s="1"/>
  <c r="D718" i="6"/>
  <c r="C718" i="6"/>
  <c r="B718" i="6"/>
  <c r="P712" i="6"/>
  <c r="O712" i="6"/>
  <c r="N712" i="6"/>
  <c r="L712" i="6"/>
  <c r="K712" i="6"/>
  <c r="M712" i="6" s="1"/>
  <c r="J712" i="6"/>
  <c r="H712" i="6"/>
  <c r="G712" i="6"/>
  <c r="F712" i="6"/>
  <c r="D712" i="6"/>
  <c r="C712" i="6"/>
  <c r="E712" i="6" s="1"/>
  <c r="B712" i="6"/>
  <c r="P708" i="6"/>
  <c r="P720" i="6" s="1"/>
  <c r="P724" i="6" s="1"/>
  <c r="O708" i="6"/>
  <c r="N708" i="6"/>
  <c r="L708" i="6"/>
  <c r="L720" i="6" s="1"/>
  <c r="L724" i="6" s="1"/>
  <c r="K708" i="6"/>
  <c r="J708" i="6"/>
  <c r="H708" i="6"/>
  <c r="H720" i="6" s="1"/>
  <c r="H724" i="6" s="1"/>
  <c r="H726" i="6" s="1"/>
  <c r="G708" i="6"/>
  <c r="F708" i="6"/>
  <c r="I708" i="6" s="1"/>
  <c r="D708" i="6"/>
  <c r="C708" i="6"/>
  <c r="B708" i="6"/>
  <c r="Q704" i="6"/>
  <c r="P704" i="6"/>
  <c r="O704" i="6"/>
  <c r="O720" i="6" s="1"/>
  <c r="O724" i="6" s="1"/>
  <c r="O726" i="6" s="1"/>
  <c r="P861" i="6" s="1"/>
  <c r="N704" i="6"/>
  <c r="M704" i="6"/>
  <c r="L704" i="6"/>
  <c r="K704" i="6"/>
  <c r="J704" i="6"/>
  <c r="J720" i="6" s="1"/>
  <c r="I704" i="6"/>
  <c r="H704" i="6"/>
  <c r="G704" i="6"/>
  <c r="G720" i="6" s="1"/>
  <c r="G724" i="6" s="1"/>
  <c r="F704" i="6"/>
  <c r="E704" i="6"/>
  <c r="R704" i="6" s="1"/>
  <c r="D704" i="6"/>
  <c r="C704" i="6"/>
  <c r="C720" i="6" s="1"/>
  <c r="C724" i="6" s="1"/>
  <c r="B704" i="6"/>
  <c r="B720" i="6" s="1"/>
  <c r="Q700" i="6"/>
  <c r="M700" i="6"/>
  <c r="I700" i="6"/>
  <c r="E700" i="6"/>
  <c r="P690" i="6"/>
  <c r="O690" i="6"/>
  <c r="N690" i="6"/>
  <c r="L690" i="6"/>
  <c r="K690" i="6"/>
  <c r="J690" i="6"/>
  <c r="H690" i="6"/>
  <c r="G690" i="6"/>
  <c r="F690" i="6"/>
  <c r="D690" i="6"/>
  <c r="C690" i="6"/>
  <c r="B690" i="6"/>
  <c r="Q688" i="6"/>
  <c r="M688" i="6"/>
  <c r="I688" i="6"/>
  <c r="E688" i="6"/>
  <c r="Q678" i="6"/>
  <c r="M678" i="6"/>
  <c r="I678" i="6"/>
  <c r="E678" i="6"/>
  <c r="P676" i="6"/>
  <c r="O676" i="6"/>
  <c r="N676" i="6"/>
  <c r="L676" i="6"/>
  <c r="K676" i="6"/>
  <c r="J676" i="6"/>
  <c r="H676" i="6"/>
  <c r="G676" i="6"/>
  <c r="F676" i="6"/>
  <c r="I676" i="6" s="1"/>
  <c r="D676" i="6"/>
  <c r="C676" i="6"/>
  <c r="B676" i="6"/>
  <c r="P675" i="6"/>
  <c r="O675" i="6"/>
  <c r="N675" i="6"/>
  <c r="L675" i="6"/>
  <c r="K675" i="6"/>
  <c r="M675" i="6" s="1"/>
  <c r="J675" i="6"/>
  <c r="H675" i="6"/>
  <c r="G675" i="6"/>
  <c r="F675" i="6"/>
  <c r="D675" i="6"/>
  <c r="C675" i="6"/>
  <c r="E675" i="6" s="1"/>
  <c r="B675" i="6"/>
  <c r="Q672" i="6"/>
  <c r="M672" i="6"/>
  <c r="I672" i="6"/>
  <c r="E672" i="6"/>
  <c r="Q671" i="6"/>
  <c r="M671" i="6"/>
  <c r="I671" i="6"/>
  <c r="E671" i="6"/>
  <c r="Q670" i="6"/>
  <c r="M670" i="6"/>
  <c r="I670" i="6"/>
  <c r="E670" i="6"/>
  <c r="Q669" i="6"/>
  <c r="M669" i="6"/>
  <c r="I669" i="6"/>
  <c r="E669" i="6"/>
  <c r="P665" i="6"/>
  <c r="O665" i="6"/>
  <c r="N665" i="6"/>
  <c r="L665" i="6"/>
  <c r="K665" i="6"/>
  <c r="J665" i="6"/>
  <c r="H665" i="6"/>
  <c r="G665" i="6"/>
  <c r="F665" i="6"/>
  <c r="I665" i="6" s="1"/>
  <c r="D665" i="6"/>
  <c r="C665" i="6"/>
  <c r="B665" i="6"/>
  <c r="Q664" i="6"/>
  <c r="M664" i="6"/>
  <c r="I664" i="6"/>
  <c r="E664" i="6"/>
  <c r="Q663" i="6"/>
  <c r="M663" i="6"/>
  <c r="I663" i="6"/>
  <c r="E663" i="6"/>
  <c r="Q662" i="6"/>
  <c r="M662" i="6"/>
  <c r="I662" i="6"/>
  <c r="E662" i="6"/>
  <c r="Q661" i="6"/>
  <c r="M661" i="6"/>
  <c r="I661" i="6"/>
  <c r="E661" i="6"/>
  <c r="Q659" i="6"/>
  <c r="M659" i="6"/>
  <c r="I659" i="6"/>
  <c r="E659" i="6"/>
  <c r="P656" i="6"/>
  <c r="O656" i="6"/>
  <c r="N656" i="6"/>
  <c r="L656" i="6"/>
  <c r="K656" i="6"/>
  <c r="J656" i="6"/>
  <c r="H656" i="6"/>
  <c r="G656" i="6"/>
  <c r="F656" i="6"/>
  <c r="I656" i="6" s="1"/>
  <c r="D656" i="6"/>
  <c r="C656" i="6"/>
  <c r="B656" i="6"/>
  <c r="P652" i="6"/>
  <c r="P677" i="6" s="1"/>
  <c r="P680" i="6" s="1"/>
  <c r="O652" i="6"/>
  <c r="O677" i="6" s="1"/>
  <c r="O680" i="6" s="1"/>
  <c r="N652" i="6"/>
  <c r="N677" i="6" s="1"/>
  <c r="N680" i="6" s="1"/>
  <c r="L652" i="6"/>
  <c r="L677" i="6" s="1"/>
  <c r="L680" i="6" s="1"/>
  <c r="K652" i="6"/>
  <c r="J652" i="6"/>
  <c r="H652" i="6"/>
  <c r="H677" i="6" s="1"/>
  <c r="H680" i="6" s="1"/>
  <c r="G652" i="6"/>
  <c r="G677" i="6" s="1"/>
  <c r="G680" i="6" s="1"/>
  <c r="F652" i="6"/>
  <c r="F677" i="6" s="1"/>
  <c r="F680" i="6" s="1"/>
  <c r="D652" i="6"/>
  <c r="D677" i="6" s="1"/>
  <c r="D680" i="6" s="1"/>
  <c r="C652" i="6"/>
  <c r="B652" i="6"/>
  <c r="B677" i="6" s="1"/>
  <c r="Q648" i="6"/>
  <c r="M648" i="6"/>
  <c r="I648" i="6"/>
  <c r="E648" i="6"/>
  <c r="Q647" i="6"/>
  <c r="M647" i="6"/>
  <c r="I647" i="6"/>
  <c r="E647" i="6"/>
  <c r="Q646" i="6"/>
  <c r="M646" i="6"/>
  <c r="I646" i="6"/>
  <c r="E646" i="6"/>
  <c r="Q645" i="6"/>
  <c r="M645" i="6"/>
  <c r="I645" i="6"/>
  <c r="E645" i="6"/>
  <c r="Q644" i="6"/>
  <c r="M644" i="6"/>
  <c r="I644" i="6"/>
  <c r="E644" i="6"/>
  <c r="Q643" i="6"/>
  <c r="M643" i="6"/>
  <c r="I643" i="6"/>
  <c r="E643" i="6"/>
  <c r="C633" i="6"/>
  <c r="Q631" i="6"/>
  <c r="M631" i="6"/>
  <c r="I631" i="6"/>
  <c r="E631" i="6"/>
  <c r="R631" i="6" s="1"/>
  <c r="P629" i="6"/>
  <c r="O629" i="6"/>
  <c r="N629" i="6"/>
  <c r="L629" i="6"/>
  <c r="K629" i="6"/>
  <c r="J629" i="6"/>
  <c r="H629" i="6"/>
  <c r="G629" i="6"/>
  <c r="F629" i="6"/>
  <c r="D629" i="6"/>
  <c r="C629" i="6"/>
  <c r="B629" i="6"/>
  <c r="E629" i="6" s="1"/>
  <c r="P628" i="6"/>
  <c r="O628" i="6"/>
  <c r="Q628" i="6" s="1"/>
  <c r="N628" i="6"/>
  <c r="L628" i="6"/>
  <c r="K628" i="6"/>
  <c r="J628" i="6"/>
  <c r="H628" i="6"/>
  <c r="G628" i="6"/>
  <c r="I628" i="6" s="1"/>
  <c r="F628" i="6"/>
  <c r="D628" i="6"/>
  <c r="C628" i="6"/>
  <c r="B628" i="6"/>
  <c r="Q625" i="6"/>
  <c r="M625" i="6"/>
  <c r="I625" i="6"/>
  <c r="E625" i="6"/>
  <c r="R625" i="6" s="1"/>
  <c r="P621" i="6"/>
  <c r="O621" i="6"/>
  <c r="N621" i="6"/>
  <c r="L621" i="6"/>
  <c r="K621" i="6"/>
  <c r="J621" i="6"/>
  <c r="H621" i="6"/>
  <c r="G621" i="6"/>
  <c r="F621" i="6"/>
  <c r="I621" i="6" s="1"/>
  <c r="D621" i="6"/>
  <c r="C621" i="6"/>
  <c r="B621" i="6"/>
  <c r="E621" i="6" s="1"/>
  <c r="P617" i="6"/>
  <c r="O617" i="6"/>
  <c r="N617" i="6"/>
  <c r="L617" i="6"/>
  <c r="K617" i="6"/>
  <c r="J617" i="6"/>
  <c r="H617" i="6"/>
  <c r="G617" i="6"/>
  <c r="F617" i="6"/>
  <c r="D617" i="6"/>
  <c r="C617" i="6"/>
  <c r="B617" i="6"/>
  <c r="E617" i="6" s="1"/>
  <c r="P613" i="6"/>
  <c r="O613" i="6"/>
  <c r="N613" i="6"/>
  <c r="L613" i="6"/>
  <c r="L630" i="6" s="1"/>
  <c r="L633" i="6" s="1"/>
  <c r="K613" i="6"/>
  <c r="J613" i="6"/>
  <c r="H613" i="6"/>
  <c r="H630" i="6" s="1"/>
  <c r="H633" i="6" s="1"/>
  <c r="G613" i="6"/>
  <c r="F613" i="6"/>
  <c r="D613" i="6"/>
  <c r="D630" i="6" s="1"/>
  <c r="D633" i="6" s="1"/>
  <c r="C613" i="6"/>
  <c r="C630" i="6" s="1"/>
  <c r="B613" i="6"/>
  <c r="B630" i="6" s="1"/>
  <c r="Q609" i="6"/>
  <c r="M609" i="6"/>
  <c r="I609" i="6"/>
  <c r="E609" i="6"/>
  <c r="Q608" i="6"/>
  <c r="M608" i="6"/>
  <c r="I608" i="6"/>
  <c r="E608" i="6"/>
  <c r="Q607" i="6"/>
  <c r="M607" i="6"/>
  <c r="I607" i="6"/>
  <c r="E607" i="6"/>
  <c r="P597" i="6"/>
  <c r="O597" i="6"/>
  <c r="N597" i="6"/>
  <c r="L597" i="6"/>
  <c r="K597" i="6"/>
  <c r="J597" i="6"/>
  <c r="H597" i="6"/>
  <c r="G597" i="6"/>
  <c r="F597" i="6"/>
  <c r="D597" i="6"/>
  <c r="C597" i="6"/>
  <c r="B597" i="6"/>
  <c r="Q595" i="6"/>
  <c r="M595" i="6"/>
  <c r="I595" i="6"/>
  <c r="E595" i="6"/>
  <c r="Q585" i="6"/>
  <c r="M585" i="6"/>
  <c r="I585" i="6"/>
  <c r="E585" i="6"/>
  <c r="R585" i="6" s="1"/>
  <c r="P583" i="6"/>
  <c r="O583" i="6"/>
  <c r="N583" i="6"/>
  <c r="L583" i="6"/>
  <c r="K583" i="6"/>
  <c r="J583" i="6"/>
  <c r="M583" i="6" s="1"/>
  <c r="H583" i="6"/>
  <c r="G583" i="6"/>
  <c r="F583" i="6"/>
  <c r="D583" i="6"/>
  <c r="C583" i="6"/>
  <c r="B583" i="6"/>
  <c r="P582" i="6"/>
  <c r="O582" i="6"/>
  <c r="N582" i="6"/>
  <c r="L582" i="6"/>
  <c r="K582" i="6"/>
  <c r="M582" i="6" s="1"/>
  <c r="J582" i="6"/>
  <c r="H582" i="6"/>
  <c r="G582" i="6"/>
  <c r="F582" i="6"/>
  <c r="I582" i="6" s="1"/>
  <c r="D582" i="6"/>
  <c r="C582" i="6"/>
  <c r="B582" i="6"/>
  <c r="Q581" i="6"/>
  <c r="M581" i="6"/>
  <c r="I581" i="6"/>
  <c r="E581" i="6"/>
  <c r="R581" i="6" s="1"/>
  <c r="Q580" i="6"/>
  <c r="M580" i="6"/>
  <c r="I580" i="6"/>
  <c r="E580" i="6"/>
  <c r="R580" i="6" s="1"/>
  <c r="Q577" i="6"/>
  <c r="M577" i="6"/>
  <c r="I577" i="6"/>
  <c r="E577" i="6"/>
  <c r="R577" i="6" s="1"/>
  <c r="Q576" i="6"/>
  <c r="M576" i="6"/>
  <c r="I576" i="6"/>
  <c r="E576" i="6"/>
  <c r="Q575" i="6"/>
  <c r="M575" i="6"/>
  <c r="I575" i="6"/>
  <c r="E575" i="6"/>
  <c r="Q574" i="6"/>
  <c r="M574" i="6"/>
  <c r="I574" i="6"/>
  <c r="R574" i="6" s="1"/>
  <c r="E574" i="6"/>
  <c r="Q572" i="6"/>
  <c r="M572" i="6"/>
  <c r="I572" i="6"/>
  <c r="E572" i="6"/>
  <c r="Q571" i="6"/>
  <c r="M571" i="6"/>
  <c r="I571" i="6"/>
  <c r="R571" i="6" s="1"/>
  <c r="E571" i="6"/>
  <c r="P568" i="6"/>
  <c r="O568" i="6"/>
  <c r="N568" i="6"/>
  <c r="Q568" i="6" s="1"/>
  <c r="L568" i="6"/>
  <c r="K568" i="6"/>
  <c r="J568" i="6"/>
  <c r="M568" i="6" s="1"/>
  <c r="H568" i="6"/>
  <c r="G568" i="6"/>
  <c r="F568" i="6"/>
  <c r="D568" i="6"/>
  <c r="C568" i="6"/>
  <c r="B568" i="6"/>
  <c r="Q567" i="6"/>
  <c r="M567" i="6"/>
  <c r="I567" i="6"/>
  <c r="R567" i="6" s="1"/>
  <c r="E567" i="6"/>
  <c r="P563" i="6"/>
  <c r="O563" i="6"/>
  <c r="N563" i="6"/>
  <c r="Q563" i="6" s="1"/>
  <c r="L563" i="6"/>
  <c r="K563" i="6"/>
  <c r="J563" i="6"/>
  <c r="M563" i="6" s="1"/>
  <c r="H563" i="6"/>
  <c r="G563" i="6"/>
  <c r="F563" i="6"/>
  <c r="D563" i="6"/>
  <c r="C563" i="6"/>
  <c r="B563" i="6"/>
  <c r="Q561" i="6"/>
  <c r="M561" i="6"/>
  <c r="I561" i="6"/>
  <c r="E561" i="6"/>
  <c r="Q560" i="6"/>
  <c r="M560" i="6"/>
  <c r="I560" i="6"/>
  <c r="E560" i="6"/>
  <c r="P557" i="6"/>
  <c r="P584" i="6" s="1"/>
  <c r="P587" i="6" s="1"/>
  <c r="O557" i="6"/>
  <c r="O584" i="6" s="1"/>
  <c r="O587" i="6" s="1"/>
  <c r="N557" i="6"/>
  <c r="L557" i="6"/>
  <c r="K557" i="6"/>
  <c r="J557" i="6"/>
  <c r="J584" i="6" s="1"/>
  <c r="I557" i="6"/>
  <c r="H557" i="6"/>
  <c r="G557" i="6"/>
  <c r="G584" i="6" s="1"/>
  <c r="G587" i="6" s="1"/>
  <c r="F557" i="6"/>
  <c r="F584" i="6" s="1"/>
  <c r="D557" i="6"/>
  <c r="D584" i="6" s="1"/>
  <c r="D587" i="6" s="1"/>
  <c r="C557" i="6"/>
  <c r="B557" i="6"/>
  <c r="Q555" i="6"/>
  <c r="M555" i="6"/>
  <c r="I555" i="6"/>
  <c r="E555" i="6"/>
  <c r="Q553" i="6"/>
  <c r="M553" i="6"/>
  <c r="I553" i="6"/>
  <c r="E553" i="6"/>
  <c r="Q551" i="6"/>
  <c r="M551" i="6"/>
  <c r="I551" i="6"/>
  <c r="E551" i="6"/>
  <c r="Q550" i="6"/>
  <c r="M550" i="6"/>
  <c r="I550" i="6"/>
  <c r="E550" i="6"/>
  <c r="Q549" i="6"/>
  <c r="M549" i="6"/>
  <c r="I549" i="6"/>
  <c r="E549" i="6"/>
  <c r="Q548" i="6"/>
  <c r="M548" i="6"/>
  <c r="I548" i="6"/>
  <c r="E548" i="6"/>
  <c r="Q547" i="6"/>
  <c r="M547" i="6"/>
  <c r="I547" i="6"/>
  <c r="E547" i="6"/>
  <c r="R547" i="6" s="1"/>
  <c r="Q546" i="6"/>
  <c r="M546" i="6"/>
  <c r="I546" i="6"/>
  <c r="E546" i="6"/>
  <c r="R546" i="6" s="1"/>
  <c r="Q545" i="6"/>
  <c r="M545" i="6"/>
  <c r="I545" i="6"/>
  <c r="E545" i="6"/>
  <c r="R545" i="6" s="1"/>
  <c r="Q544" i="6"/>
  <c r="M544" i="6"/>
  <c r="I544" i="6"/>
  <c r="E544" i="6"/>
  <c r="R544" i="6" s="1"/>
  <c r="Q543" i="6"/>
  <c r="M543" i="6"/>
  <c r="I543" i="6"/>
  <c r="E543" i="6"/>
  <c r="R543" i="6" s="1"/>
  <c r="Q542" i="6"/>
  <c r="M542" i="6"/>
  <c r="I542" i="6"/>
  <c r="E542" i="6"/>
  <c r="Q530" i="6"/>
  <c r="M530" i="6"/>
  <c r="I530" i="6"/>
  <c r="E530" i="6"/>
  <c r="R530" i="6" s="1"/>
  <c r="P528" i="6"/>
  <c r="O528" i="6"/>
  <c r="N528" i="6"/>
  <c r="Q528" i="6" s="1"/>
  <c r="L528" i="6"/>
  <c r="K528" i="6"/>
  <c r="J528" i="6"/>
  <c r="H528" i="6"/>
  <c r="G528" i="6"/>
  <c r="F528" i="6"/>
  <c r="D528" i="6"/>
  <c r="C528" i="6"/>
  <c r="B528" i="6"/>
  <c r="P527" i="6"/>
  <c r="O527" i="6"/>
  <c r="Q527" i="6" s="1"/>
  <c r="N527" i="6"/>
  <c r="L527" i="6"/>
  <c r="K527" i="6"/>
  <c r="J527" i="6"/>
  <c r="H527" i="6"/>
  <c r="G527" i="6"/>
  <c r="F527" i="6"/>
  <c r="D527" i="6"/>
  <c r="C527" i="6"/>
  <c r="E527" i="6" s="1"/>
  <c r="B527" i="6"/>
  <c r="Q526" i="6"/>
  <c r="M526" i="6"/>
  <c r="I526" i="6"/>
  <c r="E526" i="6"/>
  <c r="R526" i="6" s="1"/>
  <c r="Q525" i="6"/>
  <c r="M525" i="6"/>
  <c r="I525" i="6"/>
  <c r="E525" i="6"/>
  <c r="Q524" i="6"/>
  <c r="M524" i="6"/>
  <c r="I524" i="6"/>
  <c r="E524" i="6"/>
  <c r="Q522" i="6"/>
  <c r="M522" i="6"/>
  <c r="I522" i="6"/>
  <c r="E522" i="6"/>
  <c r="P517" i="6"/>
  <c r="O517" i="6"/>
  <c r="N517" i="6"/>
  <c r="L517" i="6"/>
  <c r="K517" i="6"/>
  <c r="J517" i="6"/>
  <c r="M517" i="6" s="1"/>
  <c r="H517" i="6"/>
  <c r="G517" i="6"/>
  <c r="F517" i="6"/>
  <c r="D517" i="6"/>
  <c r="C517" i="6"/>
  <c r="B517" i="6"/>
  <c r="Q516" i="6"/>
  <c r="M516" i="6"/>
  <c r="I516" i="6"/>
  <c r="E516" i="6"/>
  <c r="P512" i="6"/>
  <c r="O512" i="6"/>
  <c r="N512" i="6"/>
  <c r="L512" i="6"/>
  <c r="K512" i="6"/>
  <c r="J512" i="6"/>
  <c r="M512" i="6" s="1"/>
  <c r="H512" i="6"/>
  <c r="G512" i="6"/>
  <c r="F512" i="6"/>
  <c r="D512" i="6"/>
  <c r="C512" i="6"/>
  <c r="B512" i="6"/>
  <c r="Q511" i="6"/>
  <c r="R511" i="6" s="1"/>
  <c r="Q509" i="6"/>
  <c r="M509" i="6"/>
  <c r="I509" i="6"/>
  <c r="E509" i="6"/>
  <c r="Q508" i="6"/>
  <c r="M508" i="6"/>
  <c r="I508" i="6"/>
  <c r="E508" i="6"/>
  <c r="P505" i="6"/>
  <c r="P529" i="6" s="1"/>
  <c r="P532" i="6" s="1"/>
  <c r="O505" i="6"/>
  <c r="N505" i="6"/>
  <c r="L505" i="6"/>
  <c r="K505" i="6"/>
  <c r="J505" i="6"/>
  <c r="H505" i="6"/>
  <c r="G505" i="6"/>
  <c r="F505" i="6"/>
  <c r="F529" i="6" s="1"/>
  <c r="D505" i="6"/>
  <c r="C505" i="6"/>
  <c r="B505" i="6"/>
  <c r="Q501" i="6"/>
  <c r="M501" i="6"/>
  <c r="I501" i="6"/>
  <c r="E501" i="6"/>
  <c r="Q500" i="6"/>
  <c r="M500" i="6"/>
  <c r="I500" i="6"/>
  <c r="E500" i="6"/>
  <c r="Q499" i="6"/>
  <c r="M499" i="6"/>
  <c r="I499" i="6"/>
  <c r="E499" i="6"/>
  <c r="Q498" i="6"/>
  <c r="M498" i="6"/>
  <c r="I498" i="6"/>
  <c r="E498" i="6"/>
  <c r="R498" i="6" s="1"/>
  <c r="Q486" i="6"/>
  <c r="M486" i="6"/>
  <c r="I486" i="6"/>
  <c r="E486" i="6"/>
  <c r="R486" i="6" s="1"/>
  <c r="P484" i="6"/>
  <c r="O484" i="6"/>
  <c r="N484" i="6"/>
  <c r="L484" i="6"/>
  <c r="K484" i="6"/>
  <c r="M484" i="6" s="1"/>
  <c r="J484" i="6"/>
  <c r="H484" i="6"/>
  <c r="G484" i="6"/>
  <c r="F484" i="6"/>
  <c r="D484" i="6"/>
  <c r="C484" i="6"/>
  <c r="B484" i="6"/>
  <c r="P483" i="6"/>
  <c r="O483" i="6"/>
  <c r="N483" i="6"/>
  <c r="L483" i="6"/>
  <c r="K483" i="6"/>
  <c r="J483" i="6"/>
  <c r="H483" i="6"/>
  <c r="G483" i="6"/>
  <c r="F483" i="6"/>
  <c r="I483" i="6" s="1"/>
  <c r="D483" i="6"/>
  <c r="C483" i="6"/>
  <c r="B483" i="6"/>
  <c r="E483" i="6" s="1"/>
  <c r="Q482" i="6"/>
  <c r="M482" i="6"/>
  <c r="I482" i="6"/>
  <c r="E482" i="6"/>
  <c r="Q481" i="6"/>
  <c r="M481" i="6"/>
  <c r="I481" i="6"/>
  <c r="E481" i="6"/>
  <c r="P475" i="6"/>
  <c r="P485" i="6" s="1"/>
  <c r="P488" i="6" s="1"/>
  <c r="O475" i="6"/>
  <c r="N475" i="6"/>
  <c r="L475" i="6"/>
  <c r="K475" i="6"/>
  <c r="M475" i="6" s="1"/>
  <c r="J475" i="6"/>
  <c r="H475" i="6"/>
  <c r="G475" i="6"/>
  <c r="F475" i="6"/>
  <c r="D475" i="6"/>
  <c r="C475" i="6"/>
  <c r="B475" i="6"/>
  <c r="Q474" i="6"/>
  <c r="M474" i="6"/>
  <c r="I474" i="6"/>
  <c r="E474" i="6"/>
  <c r="Q470" i="6"/>
  <c r="P470" i="6"/>
  <c r="O470" i="6"/>
  <c r="N470" i="6"/>
  <c r="M470" i="6"/>
  <c r="L470" i="6"/>
  <c r="K470" i="6"/>
  <c r="J470" i="6"/>
  <c r="J485" i="6" s="1"/>
  <c r="J488" i="6" s="1"/>
  <c r="I470" i="6"/>
  <c r="H470" i="6"/>
  <c r="G470" i="6"/>
  <c r="F470" i="6"/>
  <c r="E470" i="6"/>
  <c r="R470" i="6" s="1"/>
  <c r="D470" i="6"/>
  <c r="C470" i="6"/>
  <c r="B470" i="6"/>
  <c r="Q468" i="6"/>
  <c r="M468" i="6"/>
  <c r="I468" i="6"/>
  <c r="E468" i="6"/>
  <c r="R468" i="6" s="1"/>
  <c r="P465" i="6"/>
  <c r="O465" i="6"/>
  <c r="N465" i="6"/>
  <c r="N485" i="6" s="1"/>
  <c r="L465" i="6"/>
  <c r="L485" i="6" s="1"/>
  <c r="L488" i="6" s="1"/>
  <c r="K465" i="6"/>
  <c r="J465" i="6"/>
  <c r="H465" i="6"/>
  <c r="G465" i="6"/>
  <c r="I465" i="6" s="1"/>
  <c r="F465" i="6"/>
  <c r="D465" i="6"/>
  <c r="C465" i="6"/>
  <c r="B465" i="6"/>
  <c r="B485" i="6" s="1"/>
  <c r="B488" i="6" s="1"/>
  <c r="Q462" i="6"/>
  <c r="M462" i="6"/>
  <c r="I462" i="6"/>
  <c r="E462" i="6"/>
  <c r="Q461" i="6"/>
  <c r="M461" i="6"/>
  <c r="I461" i="6"/>
  <c r="E461" i="6"/>
  <c r="Q459" i="6"/>
  <c r="M459" i="6"/>
  <c r="I459" i="6"/>
  <c r="E459" i="6"/>
  <c r="R459" i="6" s="1"/>
  <c r="Q458" i="6"/>
  <c r="M458" i="6"/>
  <c r="I458" i="6"/>
  <c r="E458" i="6"/>
  <c r="Q457" i="6"/>
  <c r="M457" i="6"/>
  <c r="I457" i="6"/>
  <c r="E457" i="6"/>
  <c r="Q439" i="6"/>
  <c r="M439" i="6"/>
  <c r="I439" i="6"/>
  <c r="E439" i="6"/>
  <c r="Q438" i="6"/>
  <c r="M438" i="6"/>
  <c r="I438" i="6"/>
  <c r="E438" i="6"/>
  <c r="Q437" i="6"/>
  <c r="M437" i="6"/>
  <c r="I437" i="6"/>
  <c r="R437" i="6" s="1"/>
  <c r="E437" i="6"/>
  <c r="P435" i="6"/>
  <c r="O435" i="6"/>
  <c r="N435" i="6"/>
  <c r="L435" i="6"/>
  <c r="K435" i="6"/>
  <c r="J435" i="6"/>
  <c r="H435" i="6"/>
  <c r="G435" i="6"/>
  <c r="F435" i="6"/>
  <c r="D435" i="6"/>
  <c r="C435" i="6"/>
  <c r="E435" i="6" s="1"/>
  <c r="B435" i="6"/>
  <c r="P434" i="6"/>
  <c r="O434" i="6"/>
  <c r="N434" i="6"/>
  <c r="Q434" i="6" s="1"/>
  <c r="L434" i="6"/>
  <c r="K434" i="6"/>
  <c r="J434" i="6"/>
  <c r="M434" i="6" s="1"/>
  <c r="H434" i="6"/>
  <c r="G434" i="6"/>
  <c r="F434" i="6"/>
  <c r="D434" i="6"/>
  <c r="C434" i="6"/>
  <c r="B434" i="6"/>
  <c r="Q433" i="6"/>
  <c r="M433" i="6"/>
  <c r="I433" i="6"/>
  <c r="R433" i="6" s="1"/>
  <c r="E433" i="6"/>
  <c r="Q432" i="6"/>
  <c r="M432" i="6"/>
  <c r="I432" i="6"/>
  <c r="E432" i="6"/>
  <c r="Q431" i="6"/>
  <c r="M431" i="6"/>
  <c r="I431" i="6"/>
  <c r="R431" i="6" s="1"/>
  <c r="E431" i="6"/>
  <c r="Q430" i="6"/>
  <c r="M430" i="6"/>
  <c r="I430" i="6"/>
  <c r="E430" i="6"/>
  <c r="Q429" i="6"/>
  <c r="M429" i="6"/>
  <c r="I429" i="6"/>
  <c r="E429" i="6"/>
  <c r="Q428" i="6"/>
  <c r="M428" i="6"/>
  <c r="I428" i="6"/>
  <c r="E428" i="6"/>
  <c r="Q427" i="6"/>
  <c r="M427" i="6"/>
  <c r="I427" i="6"/>
  <c r="E427" i="6"/>
  <c r="Q426" i="6"/>
  <c r="M426" i="6"/>
  <c r="I426" i="6"/>
  <c r="E426" i="6"/>
  <c r="Q424" i="6"/>
  <c r="M424" i="6"/>
  <c r="I424" i="6"/>
  <c r="R424" i="6" s="1"/>
  <c r="E424" i="6"/>
  <c r="Q423" i="6"/>
  <c r="M423" i="6"/>
  <c r="I423" i="6"/>
  <c r="E423" i="6"/>
  <c r="Q422" i="6"/>
  <c r="M422" i="6"/>
  <c r="I422" i="6"/>
  <c r="E422" i="6"/>
  <c r="Q421" i="6"/>
  <c r="M421" i="6"/>
  <c r="I421" i="6"/>
  <c r="E421" i="6"/>
  <c r="Q420" i="6"/>
  <c r="M420" i="6"/>
  <c r="I420" i="6"/>
  <c r="E420" i="6"/>
  <c r="Q419" i="6"/>
  <c r="M419" i="6"/>
  <c r="I419" i="6"/>
  <c r="E419" i="6"/>
  <c r="Q417" i="6"/>
  <c r="M417" i="6"/>
  <c r="I417" i="6"/>
  <c r="E417" i="6"/>
  <c r="Q416" i="6"/>
  <c r="M416" i="6"/>
  <c r="I416" i="6"/>
  <c r="E416" i="6"/>
  <c r="Q414" i="6"/>
  <c r="M414" i="6"/>
  <c r="I414" i="6"/>
  <c r="E414" i="6"/>
  <c r="P411" i="6"/>
  <c r="O411" i="6"/>
  <c r="L411" i="6"/>
  <c r="K411" i="6"/>
  <c r="G411" i="6"/>
  <c r="D411" i="6"/>
  <c r="Q410" i="6"/>
  <c r="M410" i="6"/>
  <c r="I410" i="6"/>
  <c r="R410" i="6" s="1"/>
  <c r="E410" i="6"/>
  <c r="Q409" i="6"/>
  <c r="M409" i="6"/>
  <c r="I409" i="6"/>
  <c r="E409" i="6"/>
  <c r="Q408" i="6"/>
  <c r="M408" i="6"/>
  <c r="I408" i="6"/>
  <c r="R408" i="6" s="1"/>
  <c r="E408" i="6"/>
  <c r="Q407" i="6"/>
  <c r="M407" i="6"/>
  <c r="I407" i="6"/>
  <c r="E407" i="6"/>
  <c r="Q406" i="6"/>
  <c r="M406" i="6"/>
  <c r="I406" i="6"/>
  <c r="E406" i="6"/>
  <c r="Q405" i="6"/>
  <c r="M405" i="6"/>
  <c r="I405" i="6"/>
  <c r="E405" i="6"/>
  <c r="Q404" i="6"/>
  <c r="M404" i="6"/>
  <c r="I404" i="6"/>
  <c r="E404" i="6"/>
  <c r="Q403" i="6"/>
  <c r="M403" i="6"/>
  <c r="I403" i="6"/>
  <c r="E403" i="6"/>
  <c r="Q402" i="6"/>
  <c r="M402" i="6"/>
  <c r="I402" i="6"/>
  <c r="R402" i="6" s="1"/>
  <c r="E402" i="6"/>
  <c r="Q401" i="6"/>
  <c r="M401" i="6"/>
  <c r="I401" i="6"/>
  <c r="E401" i="6"/>
  <c r="Q400" i="6"/>
  <c r="M400" i="6"/>
  <c r="I400" i="6"/>
  <c r="E400" i="6"/>
  <c r="Q399" i="6"/>
  <c r="M399" i="6"/>
  <c r="I399" i="6"/>
  <c r="E399" i="6"/>
  <c r="Q398" i="6"/>
  <c r="M398" i="6"/>
  <c r="I398" i="6"/>
  <c r="E398" i="6"/>
  <c r="Q397" i="6"/>
  <c r="M397" i="6"/>
  <c r="I397" i="6"/>
  <c r="E397" i="6"/>
  <c r="Q396" i="6"/>
  <c r="M396" i="6"/>
  <c r="I396" i="6"/>
  <c r="E396" i="6"/>
  <c r="Q395" i="6"/>
  <c r="M395" i="6"/>
  <c r="I395" i="6"/>
  <c r="E395" i="6"/>
  <c r="Q394" i="6"/>
  <c r="J394" i="6"/>
  <c r="J411" i="6" s="1"/>
  <c r="M411" i="6" s="1"/>
  <c r="H394" i="6"/>
  <c r="G394" i="6"/>
  <c r="G804" i="6" s="1"/>
  <c r="F394" i="6"/>
  <c r="F804" i="6" s="1"/>
  <c r="E394" i="6"/>
  <c r="Q393" i="6"/>
  <c r="M393" i="6"/>
  <c r="I393" i="6"/>
  <c r="E393" i="6"/>
  <c r="Q392" i="6"/>
  <c r="M392" i="6"/>
  <c r="I392" i="6"/>
  <c r="E392" i="6"/>
  <c r="Q391" i="6"/>
  <c r="M391" i="6"/>
  <c r="I391" i="6"/>
  <c r="E391" i="6"/>
  <c r="Q390" i="6"/>
  <c r="M390" i="6"/>
  <c r="I390" i="6"/>
  <c r="E390" i="6"/>
  <c r="Q389" i="6"/>
  <c r="M389" i="6"/>
  <c r="I389" i="6"/>
  <c r="E389" i="6"/>
  <c r="Q388" i="6"/>
  <c r="M388" i="6"/>
  <c r="I388" i="6"/>
  <c r="E388" i="6"/>
  <c r="Q387" i="6"/>
  <c r="M387" i="6"/>
  <c r="I387" i="6"/>
  <c r="E387" i="6"/>
  <c r="R387" i="6" s="1"/>
  <c r="Q386" i="6"/>
  <c r="M386" i="6"/>
  <c r="I386" i="6"/>
  <c r="E386" i="6"/>
  <c r="R386" i="6" s="1"/>
  <c r="Q385" i="6"/>
  <c r="M385" i="6"/>
  <c r="I385" i="6"/>
  <c r="E385" i="6"/>
  <c r="R385" i="6" s="1"/>
  <c r="Q384" i="6"/>
  <c r="M384" i="6"/>
  <c r="I384" i="6"/>
  <c r="E384" i="6"/>
  <c r="R384" i="6" s="1"/>
  <c r="Q383" i="6"/>
  <c r="M383" i="6"/>
  <c r="I383" i="6"/>
  <c r="E383" i="6"/>
  <c r="R383" i="6" s="1"/>
  <c r="Q382" i="6"/>
  <c r="M382" i="6"/>
  <c r="I382" i="6"/>
  <c r="E382" i="6"/>
  <c r="Q381" i="6"/>
  <c r="M381" i="6"/>
  <c r="I381" i="6"/>
  <c r="E381" i="6"/>
  <c r="Q380" i="6"/>
  <c r="M380" i="6"/>
  <c r="I380" i="6"/>
  <c r="E380" i="6"/>
  <c r="Q379" i="6"/>
  <c r="M379" i="6"/>
  <c r="I379" i="6"/>
  <c r="E379" i="6"/>
  <c r="R379" i="6" s="1"/>
  <c r="Q378" i="6"/>
  <c r="M378" i="6"/>
  <c r="I378" i="6"/>
  <c r="E378" i="6"/>
  <c r="Q377" i="6"/>
  <c r="M377" i="6"/>
  <c r="I377" i="6"/>
  <c r="E377" i="6"/>
  <c r="Q376" i="6"/>
  <c r="M376" i="6"/>
  <c r="I376" i="6"/>
  <c r="E376" i="6"/>
  <c r="Q375" i="6"/>
  <c r="M375" i="6"/>
  <c r="I375" i="6"/>
  <c r="E375" i="6"/>
  <c r="R375" i="6" s="1"/>
  <c r="N373" i="6"/>
  <c r="N803" i="6" s="1"/>
  <c r="M373" i="6"/>
  <c r="H373" i="6"/>
  <c r="H803" i="6" s="1"/>
  <c r="G373" i="6"/>
  <c r="G803" i="6" s="1"/>
  <c r="G805" i="6" s="1"/>
  <c r="G834" i="6" s="1"/>
  <c r="E373" i="6"/>
  <c r="D373" i="6"/>
  <c r="D803" i="6" s="1"/>
  <c r="D805" i="6" s="1"/>
  <c r="D834" i="6" s="1"/>
  <c r="C373" i="6"/>
  <c r="C803" i="6" s="1"/>
  <c r="B373" i="6"/>
  <c r="B803" i="6" s="1"/>
  <c r="Q372" i="6"/>
  <c r="M372" i="6"/>
  <c r="I372" i="6"/>
  <c r="E372" i="6"/>
  <c r="R372" i="6" s="1"/>
  <c r="P369" i="6"/>
  <c r="O369" i="6"/>
  <c r="N369" i="6"/>
  <c r="L369" i="6"/>
  <c r="K369" i="6"/>
  <c r="J369" i="6"/>
  <c r="H369" i="6"/>
  <c r="G369" i="6"/>
  <c r="I369" i="6" s="1"/>
  <c r="F369" i="6"/>
  <c r="D369" i="6"/>
  <c r="C369" i="6"/>
  <c r="B369" i="6"/>
  <c r="Q368" i="6"/>
  <c r="R368" i="6" s="1"/>
  <c r="Q366" i="6"/>
  <c r="M366" i="6"/>
  <c r="I366" i="6"/>
  <c r="E366" i="6"/>
  <c r="Q365" i="6"/>
  <c r="M365" i="6"/>
  <c r="I365" i="6"/>
  <c r="R365" i="6" s="1"/>
  <c r="E365" i="6"/>
  <c r="Q364" i="6"/>
  <c r="M364" i="6"/>
  <c r="I364" i="6"/>
  <c r="E364" i="6"/>
  <c r="AK363" i="6"/>
  <c r="AJ363" i="6"/>
  <c r="AI363" i="6"/>
  <c r="AG363" i="6"/>
  <c r="AF363" i="6"/>
  <c r="AE363" i="6"/>
  <c r="AB363" i="6"/>
  <c r="Z363" i="6"/>
  <c r="Y363" i="6"/>
  <c r="X363" i="6"/>
  <c r="W363" i="6"/>
  <c r="Q363" i="6"/>
  <c r="M363" i="6"/>
  <c r="I363" i="6"/>
  <c r="E363" i="6"/>
  <c r="AK362" i="6"/>
  <c r="AJ362" i="6"/>
  <c r="AI362" i="6"/>
  <c r="AG362" i="6"/>
  <c r="AF362" i="6"/>
  <c r="AH362" i="6" s="1"/>
  <c r="AE362" i="6"/>
  <c r="AC362" i="6"/>
  <c r="AB362" i="6"/>
  <c r="Y362" i="6"/>
  <c r="X362" i="6"/>
  <c r="W362" i="6"/>
  <c r="Q362" i="6"/>
  <c r="M362" i="6"/>
  <c r="I362" i="6"/>
  <c r="E362" i="6"/>
  <c r="AK361" i="6"/>
  <c r="AJ361" i="6"/>
  <c r="AI361" i="6"/>
  <c r="AG361" i="6"/>
  <c r="AF361" i="6"/>
  <c r="AE361" i="6"/>
  <c r="Y361" i="6"/>
  <c r="X361" i="6"/>
  <c r="W361" i="6"/>
  <c r="Q361" i="6"/>
  <c r="M361" i="6"/>
  <c r="I361" i="6"/>
  <c r="E361" i="6"/>
  <c r="R361" i="6" s="1"/>
  <c r="AL360" i="6"/>
  <c r="AL363" i="6" s="1"/>
  <c r="AH360" i="6"/>
  <c r="AD360" i="6"/>
  <c r="AC360" i="6"/>
  <c r="AC363" i="6" s="1"/>
  <c r="AB360" i="6"/>
  <c r="AB361" i="6" s="1"/>
  <c r="AA360" i="6"/>
  <c r="AA362" i="6" s="1"/>
  <c r="Z360" i="6"/>
  <c r="AM360" i="6" s="1"/>
  <c r="Q360" i="6"/>
  <c r="M360" i="6"/>
  <c r="I360" i="6"/>
  <c r="E360" i="6"/>
  <c r="Q359" i="6"/>
  <c r="M359" i="6"/>
  <c r="I359" i="6"/>
  <c r="E359" i="6"/>
  <c r="Q358" i="6"/>
  <c r="M358" i="6"/>
  <c r="I358" i="6"/>
  <c r="E358" i="6"/>
  <c r="W357" i="6"/>
  <c r="P354" i="6"/>
  <c r="O354" i="6"/>
  <c r="N354" i="6"/>
  <c r="L354" i="6"/>
  <c r="L436" i="6" s="1"/>
  <c r="L441" i="6" s="1"/>
  <c r="K354" i="6"/>
  <c r="K436" i="6" s="1"/>
  <c r="K441" i="6" s="1"/>
  <c r="J354" i="6"/>
  <c r="G354" i="6"/>
  <c r="F354" i="6"/>
  <c r="D354" i="6"/>
  <c r="D436" i="6" s="1"/>
  <c r="D441" i="6" s="1"/>
  <c r="C354" i="6"/>
  <c r="B354" i="6"/>
  <c r="Q352" i="6"/>
  <c r="M352" i="6"/>
  <c r="I352" i="6"/>
  <c r="E352" i="6"/>
  <c r="Q351" i="6"/>
  <c r="R351" i="6" s="1"/>
  <c r="M351" i="6"/>
  <c r="I351" i="6"/>
  <c r="E351" i="6"/>
  <c r="Q350" i="6"/>
  <c r="M350" i="6"/>
  <c r="I350" i="6"/>
  <c r="E350" i="6"/>
  <c r="R350" i="6" s="1"/>
  <c r="Q349" i="6"/>
  <c r="M349" i="6"/>
  <c r="I349" i="6"/>
  <c r="E349" i="6"/>
  <c r="R349" i="6" s="1"/>
  <c r="Q347" i="6"/>
  <c r="M347" i="6"/>
  <c r="I347" i="6"/>
  <c r="E347" i="6"/>
  <c r="R347" i="6" s="1"/>
  <c r="Q346" i="6"/>
  <c r="M346" i="6"/>
  <c r="I346" i="6"/>
  <c r="E346" i="6"/>
  <c r="R346" i="6" s="1"/>
  <c r="Q345" i="6"/>
  <c r="M345" i="6"/>
  <c r="I345" i="6"/>
  <c r="E345" i="6"/>
  <c r="R345" i="6" s="1"/>
  <c r="Q344" i="6"/>
  <c r="M344" i="6"/>
  <c r="I344" i="6"/>
  <c r="E344" i="6"/>
  <c r="Q343" i="6"/>
  <c r="M343" i="6"/>
  <c r="I343" i="6"/>
  <c r="E343" i="6"/>
  <c r="Q342" i="6"/>
  <c r="M342" i="6"/>
  <c r="I342" i="6"/>
  <c r="E342" i="6"/>
  <c r="Q341" i="6"/>
  <c r="M341" i="6"/>
  <c r="I341" i="6"/>
  <c r="E341" i="6"/>
  <c r="R341" i="6" s="1"/>
  <c r="Q340" i="6"/>
  <c r="M340" i="6"/>
  <c r="I340" i="6"/>
  <c r="E340" i="6"/>
  <c r="Q339" i="6"/>
  <c r="M339" i="6"/>
  <c r="I339" i="6"/>
  <c r="E339" i="6"/>
  <c r="Q338" i="6"/>
  <c r="M338" i="6"/>
  <c r="I338" i="6"/>
  <c r="E338" i="6"/>
  <c r="Q337" i="6"/>
  <c r="M337" i="6"/>
  <c r="I337" i="6"/>
  <c r="E337" i="6"/>
  <c r="Q335" i="6"/>
  <c r="M335" i="6"/>
  <c r="I335" i="6"/>
  <c r="R335" i="6" s="1"/>
  <c r="E335" i="6"/>
  <c r="Q334" i="6"/>
  <c r="M334" i="6"/>
  <c r="I334" i="6"/>
  <c r="E334" i="6"/>
  <c r="Q333" i="6"/>
  <c r="M333" i="6"/>
  <c r="I333" i="6"/>
  <c r="E333" i="6"/>
  <c r="Q332" i="6"/>
  <c r="M332" i="6"/>
  <c r="I332" i="6"/>
  <c r="R332" i="6" s="1"/>
  <c r="E332" i="6"/>
  <c r="Q331" i="6"/>
  <c r="M331" i="6"/>
  <c r="I331" i="6"/>
  <c r="E331" i="6"/>
  <c r="Q330" i="6"/>
  <c r="M330" i="6"/>
  <c r="I330" i="6"/>
  <c r="E330" i="6"/>
  <c r="Q329" i="6"/>
  <c r="M329" i="6"/>
  <c r="I329" i="6"/>
  <c r="E329" i="6"/>
  <c r="Q328" i="6"/>
  <c r="M328" i="6"/>
  <c r="I328" i="6"/>
  <c r="E328" i="6"/>
  <c r="Q327" i="6"/>
  <c r="M327" i="6"/>
  <c r="I327" i="6"/>
  <c r="E327" i="6"/>
  <c r="Q326" i="6"/>
  <c r="M326" i="6"/>
  <c r="I326" i="6"/>
  <c r="E326" i="6"/>
  <c r="Q325" i="6"/>
  <c r="M325" i="6"/>
  <c r="I325" i="6"/>
  <c r="E325" i="6"/>
  <c r="Q324" i="6"/>
  <c r="M324" i="6"/>
  <c r="I324" i="6"/>
  <c r="R324" i="6" s="1"/>
  <c r="E324" i="6"/>
  <c r="Q323" i="6"/>
  <c r="M323" i="6"/>
  <c r="I323" i="6"/>
  <c r="E323" i="6"/>
  <c r="Q322" i="6"/>
  <c r="M322" i="6"/>
  <c r="I322" i="6"/>
  <c r="E322" i="6"/>
  <c r="Q321" i="6"/>
  <c r="M321" i="6"/>
  <c r="H321" i="6"/>
  <c r="H354" i="6" s="1"/>
  <c r="E321" i="6"/>
  <c r="Q320" i="6"/>
  <c r="M320" i="6"/>
  <c r="I320" i="6"/>
  <c r="E320" i="6"/>
  <c r="Q319" i="6"/>
  <c r="M319" i="6"/>
  <c r="I319" i="6"/>
  <c r="E319" i="6"/>
  <c r="Q318" i="6"/>
  <c r="M318" i="6"/>
  <c r="I318" i="6"/>
  <c r="E318" i="6"/>
  <c r="R318" i="6" s="1"/>
  <c r="Q317" i="6"/>
  <c r="M317" i="6"/>
  <c r="I317" i="6"/>
  <c r="E317" i="6"/>
  <c r="Q316" i="6"/>
  <c r="M316" i="6"/>
  <c r="I316" i="6"/>
  <c r="E316" i="6"/>
  <c r="Q315" i="6"/>
  <c r="M315" i="6"/>
  <c r="I315" i="6"/>
  <c r="E315" i="6"/>
  <c r="Q314" i="6"/>
  <c r="M314" i="6"/>
  <c r="I314" i="6"/>
  <c r="E314" i="6"/>
  <c r="Q313" i="6"/>
  <c r="M313" i="6"/>
  <c r="I313" i="6"/>
  <c r="E313" i="6"/>
  <c r="Q312" i="6"/>
  <c r="M312" i="6"/>
  <c r="R312" i="6" s="1"/>
  <c r="I312" i="6"/>
  <c r="E312" i="6"/>
  <c r="Q311" i="6"/>
  <c r="M311" i="6"/>
  <c r="I311" i="6"/>
  <c r="E311" i="6"/>
  <c r="Q310" i="6"/>
  <c r="M310" i="6"/>
  <c r="I310" i="6"/>
  <c r="E310" i="6"/>
  <c r="P302" i="6"/>
  <c r="O302" i="6"/>
  <c r="N302" i="6"/>
  <c r="L302" i="6"/>
  <c r="K302" i="6"/>
  <c r="J302" i="6"/>
  <c r="H302" i="6"/>
  <c r="G302" i="6"/>
  <c r="F302" i="6"/>
  <c r="D302" i="6"/>
  <c r="C302" i="6"/>
  <c r="B302" i="6"/>
  <c r="Q300" i="6"/>
  <c r="M300" i="6"/>
  <c r="I300" i="6"/>
  <c r="E300" i="6"/>
  <c r="Q289" i="6"/>
  <c r="M289" i="6"/>
  <c r="I289" i="6"/>
  <c r="E289" i="6"/>
  <c r="Q288" i="6"/>
  <c r="M288" i="6"/>
  <c r="I288" i="6"/>
  <c r="E288" i="6"/>
  <c r="Q287" i="6"/>
  <c r="M287" i="6"/>
  <c r="I287" i="6"/>
  <c r="E287" i="6"/>
  <c r="Q286" i="6"/>
  <c r="M286" i="6"/>
  <c r="I286" i="6"/>
  <c r="E286" i="6"/>
  <c r="Q285" i="6"/>
  <c r="M285" i="6"/>
  <c r="I285" i="6"/>
  <c r="E285" i="6"/>
  <c r="Q284" i="6"/>
  <c r="M284" i="6"/>
  <c r="R284" i="6" s="1"/>
  <c r="I284" i="6"/>
  <c r="E284" i="6"/>
  <c r="P282" i="6"/>
  <c r="O282" i="6"/>
  <c r="N282" i="6"/>
  <c r="L282" i="6"/>
  <c r="K282" i="6"/>
  <c r="J282" i="6"/>
  <c r="M282" i="6" s="1"/>
  <c r="H282" i="6"/>
  <c r="G282" i="6"/>
  <c r="F282" i="6"/>
  <c r="I282" i="6" s="1"/>
  <c r="D282" i="6"/>
  <c r="C282" i="6"/>
  <c r="B282" i="6"/>
  <c r="P281" i="6"/>
  <c r="O281" i="6"/>
  <c r="Q281" i="6" s="1"/>
  <c r="N281" i="6"/>
  <c r="L281" i="6"/>
  <c r="K281" i="6"/>
  <c r="J281" i="6"/>
  <c r="H281" i="6"/>
  <c r="G281" i="6"/>
  <c r="F281" i="6"/>
  <c r="D281" i="6"/>
  <c r="C281" i="6"/>
  <c r="B281" i="6"/>
  <c r="Q280" i="6"/>
  <c r="M280" i="6"/>
  <c r="R280" i="6" s="1"/>
  <c r="I280" i="6"/>
  <c r="E280" i="6"/>
  <c r="Q277" i="6"/>
  <c r="M277" i="6"/>
  <c r="I277" i="6"/>
  <c r="E277" i="6"/>
  <c r="Q276" i="6"/>
  <c r="M276" i="6"/>
  <c r="I276" i="6"/>
  <c r="E276" i="6"/>
  <c r="Q275" i="6"/>
  <c r="M275" i="6"/>
  <c r="I275" i="6"/>
  <c r="E275" i="6"/>
  <c r="Q274" i="6"/>
  <c r="M274" i="6"/>
  <c r="I274" i="6"/>
  <c r="E274" i="6"/>
  <c r="Q273" i="6"/>
  <c r="M273" i="6"/>
  <c r="I273" i="6"/>
  <c r="E273" i="6"/>
  <c r="Q272" i="6"/>
  <c r="M272" i="6"/>
  <c r="I272" i="6"/>
  <c r="E272" i="6"/>
  <c r="R272" i="6" s="1"/>
  <c r="Q271" i="6"/>
  <c r="M271" i="6"/>
  <c r="I271" i="6"/>
  <c r="E271" i="6"/>
  <c r="Q270" i="6"/>
  <c r="M270" i="6"/>
  <c r="I270" i="6"/>
  <c r="E270" i="6"/>
  <c r="Q268" i="6"/>
  <c r="M268" i="6"/>
  <c r="I268" i="6"/>
  <c r="E268" i="6"/>
  <c r="R268" i="6" s="1"/>
  <c r="Q267" i="6"/>
  <c r="M267" i="6"/>
  <c r="I267" i="6"/>
  <c r="E267" i="6"/>
  <c r="Q266" i="6"/>
  <c r="M266" i="6"/>
  <c r="I266" i="6"/>
  <c r="E266" i="6"/>
  <c r="P263" i="6"/>
  <c r="O263" i="6"/>
  <c r="N263" i="6"/>
  <c r="Q263" i="6" s="1"/>
  <c r="G263" i="6"/>
  <c r="F263" i="6"/>
  <c r="D263" i="6"/>
  <c r="C263" i="6"/>
  <c r="B263" i="6"/>
  <c r="Q262" i="6"/>
  <c r="M262" i="6"/>
  <c r="I262" i="6"/>
  <c r="E262" i="6"/>
  <c r="R262" i="6" s="1"/>
  <c r="Q261" i="6"/>
  <c r="M261" i="6"/>
  <c r="I261" i="6"/>
  <c r="E261" i="6"/>
  <c r="Q260" i="6"/>
  <c r="M260" i="6"/>
  <c r="R260" i="6" s="1"/>
  <c r="I260" i="6"/>
  <c r="E260" i="6"/>
  <c r="Q259" i="6"/>
  <c r="M259" i="6"/>
  <c r="I259" i="6"/>
  <c r="E259" i="6"/>
  <c r="R259" i="6" s="1"/>
  <c r="Q258" i="6"/>
  <c r="M258" i="6"/>
  <c r="I258" i="6"/>
  <c r="E258" i="6"/>
  <c r="Q257" i="6"/>
  <c r="M257" i="6"/>
  <c r="I257" i="6"/>
  <c r="E257" i="6"/>
  <c r="Q256" i="6"/>
  <c r="M256" i="6"/>
  <c r="I256" i="6"/>
  <c r="E256" i="6"/>
  <c r="Q255" i="6"/>
  <c r="M255" i="6"/>
  <c r="I255" i="6"/>
  <c r="E255" i="6"/>
  <c r="Q254" i="6"/>
  <c r="M254" i="6"/>
  <c r="I254" i="6"/>
  <c r="E254" i="6"/>
  <c r="R254" i="6" s="1"/>
  <c r="Q253" i="6"/>
  <c r="M253" i="6"/>
  <c r="I253" i="6"/>
  <c r="E253" i="6"/>
  <c r="Q252" i="6"/>
  <c r="M252" i="6"/>
  <c r="I252" i="6"/>
  <c r="E252" i="6"/>
  <c r="Q251" i="6"/>
  <c r="M251" i="6"/>
  <c r="I251" i="6"/>
  <c r="E251" i="6"/>
  <c r="Q250" i="6"/>
  <c r="M250" i="6"/>
  <c r="I250" i="6"/>
  <c r="E250" i="6"/>
  <c r="Q249" i="6"/>
  <c r="M249" i="6"/>
  <c r="I249" i="6"/>
  <c r="E249" i="6"/>
  <c r="Q248" i="6"/>
  <c r="M248" i="6"/>
  <c r="I248" i="6"/>
  <c r="E248" i="6"/>
  <c r="Q247" i="6"/>
  <c r="L247" i="6"/>
  <c r="L804" i="6" s="1"/>
  <c r="K247" i="6"/>
  <c r="K804" i="6" s="1"/>
  <c r="J247" i="6"/>
  <c r="J804" i="6" s="1"/>
  <c r="H247" i="6"/>
  <c r="H804" i="6" s="1"/>
  <c r="E247" i="6"/>
  <c r="Q246" i="6"/>
  <c r="M246" i="6"/>
  <c r="I246" i="6"/>
  <c r="E246" i="6"/>
  <c r="Q245" i="6"/>
  <c r="M245" i="6"/>
  <c r="I245" i="6"/>
  <c r="E245" i="6"/>
  <c r="Q244" i="6"/>
  <c r="M244" i="6"/>
  <c r="I244" i="6"/>
  <c r="E244" i="6"/>
  <c r="Q243" i="6"/>
  <c r="M243" i="6"/>
  <c r="I243" i="6"/>
  <c r="E243" i="6"/>
  <c r="Q242" i="6"/>
  <c r="M242" i="6"/>
  <c r="I242" i="6"/>
  <c r="E242" i="6"/>
  <c r="R242" i="6" s="1"/>
  <c r="Q241" i="6"/>
  <c r="M241" i="6"/>
  <c r="I241" i="6"/>
  <c r="E241" i="6"/>
  <c r="Q240" i="6"/>
  <c r="M240" i="6"/>
  <c r="I240" i="6"/>
  <c r="E240" i="6"/>
  <c r="Q239" i="6"/>
  <c r="M239" i="6"/>
  <c r="I239" i="6"/>
  <c r="E239" i="6"/>
  <c r="R239" i="6" s="1"/>
  <c r="Q238" i="6"/>
  <c r="M238" i="6"/>
  <c r="I238" i="6"/>
  <c r="E238" i="6"/>
  <c r="Q237" i="6"/>
  <c r="M237" i="6"/>
  <c r="I237" i="6"/>
  <c r="E237" i="6"/>
  <c r="Q236" i="6"/>
  <c r="M236" i="6"/>
  <c r="I236" i="6"/>
  <c r="E236" i="6"/>
  <c r="Q235" i="6"/>
  <c r="M235" i="6"/>
  <c r="I235" i="6"/>
  <c r="E235" i="6"/>
  <c r="Q234" i="6"/>
  <c r="M234" i="6"/>
  <c r="I234" i="6"/>
  <c r="E234" i="6"/>
  <c r="R234" i="6" s="1"/>
  <c r="Q233" i="6"/>
  <c r="M233" i="6"/>
  <c r="I233" i="6"/>
  <c r="E233" i="6"/>
  <c r="R233" i="6" s="1"/>
  <c r="Q232" i="6"/>
  <c r="M232" i="6"/>
  <c r="I232" i="6"/>
  <c r="E232" i="6"/>
  <c r="R232" i="6" s="1"/>
  <c r="Q231" i="6"/>
  <c r="M231" i="6"/>
  <c r="I231" i="6"/>
  <c r="E231" i="6"/>
  <c r="Q230" i="6"/>
  <c r="M230" i="6"/>
  <c r="I230" i="6"/>
  <c r="E230" i="6"/>
  <c r="Q229" i="6"/>
  <c r="M229" i="6"/>
  <c r="I229" i="6"/>
  <c r="E229" i="6"/>
  <c r="Q228" i="6"/>
  <c r="M228" i="6"/>
  <c r="I228" i="6"/>
  <c r="E228" i="6"/>
  <c r="Q227" i="6"/>
  <c r="M227" i="6"/>
  <c r="I227" i="6"/>
  <c r="E227" i="6"/>
  <c r="Q226" i="6"/>
  <c r="M226" i="6"/>
  <c r="I226" i="6"/>
  <c r="E226" i="6"/>
  <c r="Q225" i="6"/>
  <c r="M225" i="6"/>
  <c r="I225" i="6"/>
  <c r="E225" i="6"/>
  <c r="Q224" i="6"/>
  <c r="M224" i="6"/>
  <c r="I224" i="6"/>
  <c r="E224" i="6"/>
  <c r="R224" i="6" s="1"/>
  <c r="Q223" i="6"/>
  <c r="M223" i="6"/>
  <c r="I223" i="6"/>
  <c r="E223" i="6"/>
  <c r="Q222" i="6"/>
  <c r="M222" i="6"/>
  <c r="I222" i="6"/>
  <c r="E222" i="6"/>
  <c r="Q221" i="6"/>
  <c r="M221" i="6"/>
  <c r="I221" i="6"/>
  <c r="E221" i="6"/>
  <c r="Q220" i="6"/>
  <c r="M220" i="6"/>
  <c r="I220" i="6"/>
  <c r="E220" i="6"/>
  <c r="Q219" i="6"/>
  <c r="M219" i="6"/>
  <c r="I219" i="6"/>
  <c r="E219" i="6"/>
  <c r="Q218" i="6"/>
  <c r="M218" i="6"/>
  <c r="I218" i="6"/>
  <c r="E218" i="6"/>
  <c r="R218" i="6" s="1"/>
  <c r="Q217" i="6"/>
  <c r="M217" i="6"/>
  <c r="I217" i="6"/>
  <c r="E217" i="6"/>
  <c r="Q216" i="6"/>
  <c r="M216" i="6"/>
  <c r="I216" i="6"/>
  <c r="E216" i="6"/>
  <c r="R216" i="6" s="1"/>
  <c r="Q215" i="6"/>
  <c r="M215" i="6"/>
  <c r="I215" i="6"/>
  <c r="E215" i="6"/>
  <c r="Q214" i="6"/>
  <c r="M214" i="6"/>
  <c r="I214" i="6"/>
  <c r="E214" i="6"/>
  <c r="R214" i="6" s="1"/>
  <c r="Q213" i="6"/>
  <c r="M213" i="6"/>
  <c r="I213" i="6"/>
  <c r="E213" i="6"/>
  <c r="Q212" i="6"/>
  <c r="M212" i="6"/>
  <c r="I212" i="6"/>
  <c r="E212" i="6"/>
  <c r="R212" i="6" s="1"/>
  <c r="Q211" i="6"/>
  <c r="M211" i="6"/>
  <c r="I211" i="6"/>
  <c r="E211" i="6"/>
  <c r="R211" i="6" s="1"/>
  <c r="P207" i="6"/>
  <c r="O207" i="6"/>
  <c r="N207" i="6"/>
  <c r="Q207" i="6" s="1"/>
  <c r="L207" i="6"/>
  <c r="K207" i="6"/>
  <c r="J207" i="6"/>
  <c r="H207" i="6"/>
  <c r="G207" i="6"/>
  <c r="F207" i="6"/>
  <c r="D207" i="6"/>
  <c r="C207" i="6"/>
  <c r="B207" i="6"/>
  <c r="E207" i="6" s="1"/>
  <c r="Q205" i="6"/>
  <c r="M205" i="6"/>
  <c r="I205" i="6"/>
  <c r="E205" i="6"/>
  <c r="Q204" i="6"/>
  <c r="M204" i="6"/>
  <c r="I204" i="6"/>
  <c r="E204" i="6"/>
  <c r="R204" i="6" s="1"/>
  <c r="Q198" i="6"/>
  <c r="M198" i="6"/>
  <c r="I198" i="6"/>
  <c r="E198" i="6"/>
  <c r="R198" i="6" s="1"/>
  <c r="Q197" i="6"/>
  <c r="M197" i="6"/>
  <c r="I197" i="6"/>
  <c r="E197" i="6"/>
  <c r="Q196" i="6"/>
  <c r="M196" i="6"/>
  <c r="I196" i="6"/>
  <c r="E196" i="6"/>
  <c r="R196" i="6" s="1"/>
  <c r="Q194" i="6"/>
  <c r="M194" i="6"/>
  <c r="I194" i="6"/>
  <c r="E194" i="6"/>
  <c r="R194" i="6" s="1"/>
  <c r="Q193" i="6"/>
  <c r="M193" i="6"/>
  <c r="I193" i="6"/>
  <c r="E193" i="6"/>
  <c r="R193" i="6" s="1"/>
  <c r="Q192" i="6"/>
  <c r="M192" i="6"/>
  <c r="I192" i="6"/>
  <c r="E192" i="6"/>
  <c r="Q191" i="6"/>
  <c r="M191" i="6"/>
  <c r="I191" i="6"/>
  <c r="E191" i="6"/>
  <c r="R191" i="6" s="1"/>
  <c r="Q190" i="6"/>
  <c r="M190" i="6"/>
  <c r="I190" i="6"/>
  <c r="E190" i="6"/>
  <c r="R190" i="6" s="1"/>
  <c r="Q189" i="6"/>
  <c r="M189" i="6"/>
  <c r="I189" i="6"/>
  <c r="E189" i="6"/>
  <c r="Q188" i="6"/>
  <c r="M188" i="6"/>
  <c r="I188" i="6"/>
  <c r="E188" i="6"/>
  <c r="Q187" i="6"/>
  <c r="M187" i="6"/>
  <c r="I187" i="6"/>
  <c r="E187" i="6"/>
  <c r="Q186" i="6"/>
  <c r="M186" i="6"/>
  <c r="I186" i="6"/>
  <c r="E186" i="6"/>
  <c r="Q185" i="6"/>
  <c r="M185" i="6"/>
  <c r="I185" i="6"/>
  <c r="E185" i="6"/>
  <c r="R185" i="6" s="1"/>
  <c r="Q183" i="6"/>
  <c r="M183" i="6"/>
  <c r="I183" i="6"/>
  <c r="E183" i="6"/>
  <c r="R183" i="6" s="1"/>
  <c r="Q182" i="6"/>
  <c r="M182" i="6"/>
  <c r="I182" i="6"/>
  <c r="E182" i="6"/>
  <c r="R182" i="6" s="1"/>
  <c r="P181" i="6"/>
  <c r="O181" i="6"/>
  <c r="N181" i="6"/>
  <c r="Q181" i="6" s="1"/>
  <c r="K181" i="6"/>
  <c r="M181" i="6" s="1"/>
  <c r="I181" i="6"/>
  <c r="H181" i="6"/>
  <c r="G181" i="6"/>
  <c r="F181" i="6"/>
  <c r="D181" i="6"/>
  <c r="C181" i="6"/>
  <c r="B181" i="6"/>
  <c r="E181" i="6" s="1"/>
  <c r="Q180" i="6"/>
  <c r="M180" i="6"/>
  <c r="I180" i="6"/>
  <c r="E180" i="6"/>
  <c r="R180" i="6" s="1"/>
  <c r="Q179" i="6"/>
  <c r="M179" i="6"/>
  <c r="I179" i="6"/>
  <c r="E179" i="6"/>
  <c r="R179" i="6" s="1"/>
  <c r="Q178" i="6"/>
  <c r="M178" i="6"/>
  <c r="I178" i="6"/>
  <c r="E178" i="6"/>
  <c r="R178" i="6" s="1"/>
  <c r="Q177" i="6"/>
  <c r="N177" i="6"/>
  <c r="M177" i="6"/>
  <c r="I177" i="6"/>
  <c r="R177" i="6" s="1"/>
  <c r="E177" i="6"/>
  <c r="P176" i="6"/>
  <c r="O176" i="6"/>
  <c r="N176" i="6"/>
  <c r="Q176" i="6" s="1"/>
  <c r="L176" i="6"/>
  <c r="K176" i="6"/>
  <c r="J176" i="6"/>
  <c r="M176" i="6" s="1"/>
  <c r="H176" i="6"/>
  <c r="G176" i="6"/>
  <c r="F176" i="6"/>
  <c r="I176" i="6" s="1"/>
  <c r="D176" i="6"/>
  <c r="D790" i="6" s="1"/>
  <c r="D796" i="6" s="1"/>
  <c r="C176" i="6"/>
  <c r="B176" i="6"/>
  <c r="E176" i="6" s="1"/>
  <c r="Q175" i="6"/>
  <c r="M175" i="6"/>
  <c r="I175" i="6"/>
  <c r="E175" i="6"/>
  <c r="Q174" i="6"/>
  <c r="M174" i="6"/>
  <c r="K174" i="6"/>
  <c r="J174" i="6"/>
  <c r="I174" i="6"/>
  <c r="E174" i="6"/>
  <c r="R174" i="6" s="1"/>
  <c r="Q173" i="6"/>
  <c r="P173" i="6"/>
  <c r="P200" i="6" s="1"/>
  <c r="O173" i="6"/>
  <c r="N173" i="6"/>
  <c r="L173" i="6"/>
  <c r="K173" i="6"/>
  <c r="K790" i="6" s="1"/>
  <c r="K796" i="6" s="1"/>
  <c r="J173" i="6"/>
  <c r="I173" i="6"/>
  <c r="H173" i="6"/>
  <c r="G173" i="6"/>
  <c r="F173" i="6"/>
  <c r="C173" i="6"/>
  <c r="C790" i="6" s="1"/>
  <c r="C796" i="6" s="1"/>
  <c r="B173" i="6"/>
  <c r="B200" i="6" s="1"/>
  <c r="Q172" i="6"/>
  <c r="M172" i="6"/>
  <c r="I172" i="6"/>
  <c r="E172" i="6"/>
  <c r="R172" i="6" s="1"/>
  <c r="Q171" i="6"/>
  <c r="M171" i="6"/>
  <c r="I171" i="6"/>
  <c r="E171" i="6"/>
  <c r="R171" i="6" s="1"/>
  <c r="Q170" i="6"/>
  <c r="M170" i="6"/>
  <c r="I170" i="6"/>
  <c r="E170" i="6"/>
  <c r="R170" i="6" s="1"/>
  <c r="Q169" i="6"/>
  <c r="M169" i="6"/>
  <c r="I169" i="6"/>
  <c r="E169" i="6"/>
  <c r="Q168" i="6"/>
  <c r="M168" i="6"/>
  <c r="I168" i="6"/>
  <c r="E168" i="6"/>
  <c r="Q167" i="6"/>
  <c r="M167" i="6"/>
  <c r="I167" i="6"/>
  <c r="E167" i="6"/>
  <c r="R167" i="6" s="1"/>
  <c r="Q166" i="6"/>
  <c r="M166" i="6"/>
  <c r="I166" i="6"/>
  <c r="E166" i="6"/>
  <c r="Q165" i="6"/>
  <c r="M165" i="6"/>
  <c r="I165" i="6"/>
  <c r="E165" i="6"/>
  <c r="R165" i="6" s="1"/>
  <c r="Q164" i="6"/>
  <c r="M164" i="6"/>
  <c r="I164" i="6"/>
  <c r="E164" i="6"/>
  <c r="R164" i="6" s="1"/>
  <c r="Q163" i="6"/>
  <c r="M163" i="6"/>
  <c r="I163" i="6"/>
  <c r="E163" i="6"/>
  <c r="R163" i="6" s="1"/>
  <c r="Q162" i="6"/>
  <c r="M162" i="6"/>
  <c r="I162" i="6"/>
  <c r="E162" i="6"/>
  <c r="R162" i="6" s="1"/>
  <c r="Q161" i="6"/>
  <c r="M161" i="6"/>
  <c r="I161" i="6"/>
  <c r="E161" i="6"/>
  <c r="R161" i="6" s="1"/>
  <c r="Q160" i="6"/>
  <c r="M160" i="6"/>
  <c r="I160" i="6"/>
  <c r="E160" i="6"/>
  <c r="Q159" i="6"/>
  <c r="M159" i="6"/>
  <c r="I159" i="6"/>
  <c r="E159" i="6"/>
  <c r="R159" i="6" s="1"/>
  <c r="Q158" i="6"/>
  <c r="M158" i="6"/>
  <c r="I158" i="6"/>
  <c r="E158" i="6"/>
  <c r="Q157" i="6"/>
  <c r="M157" i="6"/>
  <c r="I157" i="6"/>
  <c r="E157" i="6"/>
  <c r="Q156" i="6"/>
  <c r="L156" i="6"/>
  <c r="M156" i="6" s="1"/>
  <c r="J156" i="6"/>
  <c r="I156" i="6"/>
  <c r="E156" i="6"/>
  <c r="Q155" i="6"/>
  <c r="M155" i="6"/>
  <c r="I155" i="6"/>
  <c r="E155" i="6"/>
  <c r="R155" i="6" s="1"/>
  <c r="Q154" i="6"/>
  <c r="M154" i="6"/>
  <c r="I154" i="6"/>
  <c r="E154" i="6"/>
  <c r="R154" i="6" s="1"/>
  <c r="Q153" i="6"/>
  <c r="M153" i="6"/>
  <c r="I153" i="6"/>
  <c r="E153" i="6"/>
  <c r="R153" i="6" s="1"/>
  <c r="Q152" i="6"/>
  <c r="O152" i="6"/>
  <c r="O200" i="6" s="1"/>
  <c r="N152" i="6"/>
  <c r="N790" i="6" s="1"/>
  <c r="L152" i="6"/>
  <c r="I152" i="6"/>
  <c r="E152" i="6"/>
  <c r="Q151" i="6"/>
  <c r="R151" i="6" s="1"/>
  <c r="M151" i="6"/>
  <c r="I151" i="6"/>
  <c r="E151" i="6"/>
  <c r="Q150" i="6"/>
  <c r="M150" i="6"/>
  <c r="I150" i="6"/>
  <c r="E150" i="6"/>
  <c r="Q149" i="6"/>
  <c r="M149" i="6"/>
  <c r="I149" i="6"/>
  <c r="E149" i="6"/>
  <c r="Q148" i="6"/>
  <c r="M148" i="6"/>
  <c r="I148" i="6"/>
  <c r="E148" i="6"/>
  <c r="Q147" i="6"/>
  <c r="M147" i="6"/>
  <c r="I147" i="6"/>
  <c r="E147" i="6"/>
  <c r="Q146" i="6"/>
  <c r="M146" i="6"/>
  <c r="I146" i="6"/>
  <c r="E146" i="6"/>
  <c r="R146" i="6" s="1"/>
  <c r="Q145" i="6"/>
  <c r="M145" i="6"/>
  <c r="I145" i="6"/>
  <c r="E145" i="6"/>
  <c r="R145" i="6" s="1"/>
  <c r="Q144" i="6"/>
  <c r="M144" i="6"/>
  <c r="I144" i="6"/>
  <c r="E144" i="6"/>
  <c r="R144" i="6" s="1"/>
  <c r="Q143" i="6"/>
  <c r="M143" i="6"/>
  <c r="I143" i="6"/>
  <c r="E143" i="6"/>
  <c r="Q142" i="6"/>
  <c r="M142" i="6"/>
  <c r="I142" i="6"/>
  <c r="E142" i="6"/>
  <c r="Q141" i="6"/>
  <c r="M141" i="6"/>
  <c r="I141" i="6"/>
  <c r="R141" i="6" s="1"/>
  <c r="E141" i="6"/>
  <c r="Q140" i="6"/>
  <c r="M140" i="6"/>
  <c r="I140" i="6"/>
  <c r="E140" i="6"/>
  <c r="Q139" i="6"/>
  <c r="J139" i="6"/>
  <c r="J200" i="6" s="1"/>
  <c r="H139" i="6"/>
  <c r="H790" i="6" s="1"/>
  <c r="H796" i="6" s="1"/>
  <c r="G139" i="6"/>
  <c r="G200" i="6" s="1"/>
  <c r="F139" i="6"/>
  <c r="F790" i="6" s="1"/>
  <c r="E139" i="6"/>
  <c r="Q138" i="6"/>
  <c r="M138" i="6"/>
  <c r="I138" i="6"/>
  <c r="E138" i="6"/>
  <c r="Q126" i="6"/>
  <c r="M126" i="6"/>
  <c r="I126" i="6"/>
  <c r="E126" i="6"/>
  <c r="Q124" i="6"/>
  <c r="P124" i="6"/>
  <c r="O124" i="6"/>
  <c r="N124" i="6"/>
  <c r="L124" i="6"/>
  <c r="K124" i="6"/>
  <c r="J124" i="6"/>
  <c r="H124" i="6"/>
  <c r="G124" i="6"/>
  <c r="F124" i="6"/>
  <c r="D124" i="6"/>
  <c r="C124" i="6"/>
  <c r="B124" i="6"/>
  <c r="P123" i="6"/>
  <c r="O123" i="6"/>
  <c r="N123" i="6"/>
  <c r="Q123" i="6" s="1"/>
  <c r="L123" i="6"/>
  <c r="K123" i="6"/>
  <c r="J123" i="6"/>
  <c r="H123" i="6"/>
  <c r="G123" i="6"/>
  <c r="F123" i="6"/>
  <c r="D123" i="6"/>
  <c r="C123" i="6"/>
  <c r="B123" i="6"/>
  <c r="E123" i="6" s="1"/>
  <c r="Q121" i="6"/>
  <c r="M121" i="6"/>
  <c r="I121" i="6"/>
  <c r="E121" i="6"/>
  <c r="R121" i="6" s="1"/>
  <c r="Q119" i="6"/>
  <c r="M119" i="6"/>
  <c r="I119" i="6"/>
  <c r="E119" i="6"/>
  <c r="R119" i="6" s="1"/>
  <c r="Q118" i="6"/>
  <c r="M118" i="6"/>
  <c r="I118" i="6"/>
  <c r="E118" i="6"/>
  <c r="Q116" i="6"/>
  <c r="M116" i="6"/>
  <c r="I116" i="6"/>
  <c r="E116" i="6"/>
  <c r="Q115" i="6"/>
  <c r="M115" i="6"/>
  <c r="I115" i="6"/>
  <c r="R115" i="6" s="1"/>
  <c r="E115" i="6"/>
  <c r="Q114" i="6"/>
  <c r="M114" i="6"/>
  <c r="I114" i="6"/>
  <c r="E114" i="6"/>
  <c r="Q113" i="6"/>
  <c r="M113" i="6"/>
  <c r="I113" i="6"/>
  <c r="E113" i="6"/>
  <c r="Q112" i="6"/>
  <c r="M112" i="6"/>
  <c r="I112" i="6"/>
  <c r="E112" i="6"/>
  <c r="Q111" i="6"/>
  <c r="M111" i="6"/>
  <c r="I111" i="6"/>
  <c r="E111" i="6"/>
  <c r="Q110" i="6"/>
  <c r="M110" i="6"/>
  <c r="I110" i="6"/>
  <c r="E110" i="6"/>
  <c r="R110" i="6" s="1"/>
  <c r="Q109" i="6"/>
  <c r="M109" i="6"/>
  <c r="I109" i="6"/>
  <c r="E109" i="6"/>
  <c r="P106" i="6"/>
  <c r="O106" i="6"/>
  <c r="N106" i="6"/>
  <c r="L106" i="6"/>
  <c r="K106" i="6"/>
  <c r="J106" i="6"/>
  <c r="M106" i="6" s="1"/>
  <c r="H106" i="6"/>
  <c r="G106" i="6"/>
  <c r="F106" i="6"/>
  <c r="I106" i="6" s="1"/>
  <c r="D106" i="6"/>
  <c r="C106" i="6"/>
  <c r="B106" i="6"/>
  <c r="Q105" i="6"/>
  <c r="M105" i="6"/>
  <c r="I105" i="6"/>
  <c r="E105" i="6"/>
  <c r="Q104" i="6"/>
  <c r="M104" i="6"/>
  <c r="I104" i="6"/>
  <c r="E104" i="6"/>
  <c r="R104" i="6" s="1"/>
  <c r="Q103" i="6"/>
  <c r="M103" i="6"/>
  <c r="I103" i="6"/>
  <c r="E103" i="6"/>
  <c r="Q102" i="6"/>
  <c r="M102" i="6"/>
  <c r="I102" i="6"/>
  <c r="E102" i="6"/>
  <c r="R102" i="6" s="1"/>
  <c r="Q101" i="6"/>
  <c r="M101" i="6"/>
  <c r="I101" i="6"/>
  <c r="E101" i="6"/>
  <c r="Q100" i="6"/>
  <c r="M100" i="6"/>
  <c r="I100" i="6"/>
  <c r="E100" i="6"/>
  <c r="R100" i="6" s="1"/>
  <c r="Q99" i="6"/>
  <c r="M99" i="6"/>
  <c r="I99" i="6"/>
  <c r="E99" i="6"/>
  <c r="R99" i="6" s="1"/>
  <c r="P95" i="6"/>
  <c r="O95" i="6"/>
  <c r="N95" i="6"/>
  <c r="L95" i="6"/>
  <c r="K95" i="6"/>
  <c r="J95" i="6"/>
  <c r="H95" i="6"/>
  <c r="H125" i="6" s="1"/>
  <c r="H128" i="6" s="1"/>
  <c r="G95" i="6"/>
  <c r="F95" i="6"/>
  <c r="D95" i="6"/>
  <c r="C95" i="6"/>
  <c r="B95" i="6"/>
  <c r="E95" i="6" s="1"/>
  <c r="Q93" i="6"/>
  <c r="M93" i="6"/>
  <c r="I93" i="6"/>
  <c r="E93" i="6"/>
  <c r="Q92" i="6"/>
  <c r="M92" i="6"/>
  <c r="I92" i="6"/>
  <c r="E92" i="6"/>
  <c r="R92" i="6" s="1"/>
  <c r="P88" i="6"/>
  <c r="O88" i="6"/>
  <c r="N88" i="6"/>
  <c r="Q88" i="6" s="1"/>
  <c r="L88" i="6"/>
  <c r="K88" i="6"/>
  <c r="J88" i="6"/>
  <c r="I88" i="6"/>
  <c r="H88" i="6"/>
  <c r="G88" i="6"/>
  <c r="F88" i="6"/>
  <c r="D88" i="6"/>
  <c r="D125" i="6" s="1"/>
  <c r="D128" i="6" s="1"/>
  <c r="C88" i="6"/>
  <c r="B88" i="6"/>
  <c r="Q86" i="6"/>
  <c r="M86" i="6"/>
  <c r="I86" i="6"/>
  <c r="E86" i="6"/>
  <c r="R86" i="6" s="1"/>
  <c r="Q85" i="6"/>
  <c r="M85" i="6"/>
  <c r="I85" i="6"/>
  <c r="E85" i="6"/>
  <c r="Q83" i="6"/>
  <c r="M83" i="6"/>
  <c r="I83" i="6"/>
  <c r="E83" i="6"/>
  <c r="Q81" i="6"/>
  <c r="M81" i="6"/>
  <c r="I81" i="6"/>
  <c r="E81" i="6"/>
  <c r="R81" i="6" s="1"/>
  <c r="Q80" i="6"/>
  <c r="M80" i="6"/>
  <c r="I80" i="6"/>
  <c r="E80" i="6"/>
  <c r="Q79" i="6"/>
  <c r="M79" i="6"/>
  <c r="I79" i="6"/>
  <c r="E79" i="6"/>
  <c r="R79" i="6" s="1"/>
  <c r="Q78" i="6"/>
  <c r="M78" i="6"/>
  <c r="I78" i="6"/>
  <c r="E78" i="6"/>
  <c r="R78" i="6" s="1"/>
  <c r="Q77" i="6"/>
  <c r="M77" i="6"/>
  <c r="I77" i="6"/>
  <c r="E77" i="6"/>
  <c r="R77" i="6" s="1"/>
  <c r="Q76" i="6"/>
  <c r="M76" i="6"/>
  <c r="I76" i="6"/>
  <c r="E76" i="6"/>
  <c r="R76" i="6" s="1"/>
  <c r="Q75" i="6"/>
  <c r="M75" i="6"/>
  <c r="I75" i="6"/>
  <c r="E75" i="6"/>
  <c r="R75" i="6" s="1"/>
  <c r="Q74" i="6"/>
  <c r="M74" i="6"/>
  <c r="I74" i="6"/>
  <c r="E74" i="6"/>
  <c r="Q73" i="6"/>
  <c r="M73" i="6"/>
  <c r="I73" i="6"/>
  <c r="E73" i="6"/>
  <c r="R73" i="6" s="1"/>
  <c r="Q72" i="6"/>
  <c r="M72" i="6"/>
  <c r="I72" i="6"/>
  <c r="E72" i="6"/>
  <c r="Q60" i="6"/>
  <c r="M60" i="6"/>
  <c r="I60" i="6"/>
  <c r="E60" i="6"/>
  <c r="P58" i="6"/>
  <c r="O58" i="6"/>
  <c r="N58" i="6"/>
  <c r="L58" i="6"/>
  <c r="K58" i="6"/>
  <c r="J58" i="6"/>
  <c r="M58" i="6" s="1"/>
  <c r="H58" i="6"/>
  <c r="G58" i="6"/>
  <c r="F58" i="6"/>
  <c r="I58" i="6" s="1"/>
  <c r="D58" i="6"/>
  <c r="C58" i="6"/>
  <c r="B58" i="6"/>
  <c r="P57" i="6"/>
  <c r="O57" i="6"/>
  <c r="Q57" i="6" s="1"/>
  <c r="N57" i="6"/>
  <c r="L57" i="6"/>
  <c r="K57" i="6"/>
  <c r="M57" i="6" s="1"/>
  <c r="J57" i="6"/>
  <c r="H57" i="6"/>
  <c r="G57" i="6"/>
  <c r="F57" i="6"/>
  <c r="D57" i="6"/>
  <c r="C57" i="6"/>
  <c r="B57" i="6"/>
  <c r="E57" i="6" s="1"/>
  <c r="Q54" i="6"/>
  <c r="M54" i="6"/>
  <c r="I54" i="6"/>
  <c r="E54" i="6"/>
  <c r="R54" i="6" s="1"/>
  <c r="P50" i="6"/>
  <c r="O50" i="6"/>
  <c r="N50" i="6"/>
  <c r="Q50" i="6" s="1"/>
  <c r="M50" i="6"/>
  <c r="L50" i="6"/>
  <c r="K50" i="6"/>
  <c r="J50" i="6"/>
  <c r="H50" i="6"/>
  <c r="G50" i="6"/>
  <c r="F50" i="6"/>
  <c r="D50" i="6"/>
  <c r="E50" i="6" s="1"/>
  <c r="C50" i="6"/>
  <c r="B50" i="6"/>
  <c r="P46" i="6"/>
  <c r="O46" i="6"/>
  <c r="N46" i="6"/>
  <c r="L46" i="6"/>
  <c r="K46" i="6"/>
  <c r="J46" i="6"/>
  <c r="M46" i="6" s="1"/>
  <c r="H46" i="6"/>
  <c r="G46" i="6"/>
  <c r="F46" i="6"/>
  <c r="I46" i="6" s="1"/>
  <c r="D46" i="6"/>
  <c r="C46" i="6"/>
  <c r="B46" i="6"/>
  <c r="P41" i="6"/>
  <c r="P59" i="6" s="1"/>
  <c r="P62" i="6" s="1"/>
  <c r="O41" i="6"/>
  <c r="O59" i="6" s="1"/>
  <c r="O62" i="6" s="1"/>
  <c r="N41" i="6"/>
  <c r="L41" i="6"/>
  <c r="L59" i="6" s="1"/>
  <c r="L62" i="6" s="1"/>
  <c r="K41" i="6"/>
  <c r="M41" i="6" s="1"/>
  <c r="J41" i="6"/>
  <c r="H41" i="6"/>
  <c r="G41" i="6"/>
  <c r="G59" i="6" s="1"/>
  <c r="G62" i="6" s="1"/>
  <c r="F41" i="6"/>
  <c r="D41" i="6"/>
  <c r="C41" i="6"/>
  <c r="B41" i="6"/>
  <c r="B59" i="6" s="1"/>
  <c r="Q38" i="6"/>
  <c r="M38" i="6"/>
  <c r="I38" i="6"/>
  <c r="E38" i="6"/>
  <c r="R38" i="6" s="1"/>
  <c r="P27" i="6"/>
  <c r="O27" i="6"/>
  <c r="N27" i="6"/>
  <c r="L27" i="6"/>
  <c r="K27" i="6"/>
  <c r="J27" i="6"/>
  <c r="M27" i="6" s="1"/>
  <c r="H27" i="6"/>
  <c r="G27" i="6"/>
  <c r="F27" i="6"/>
  <c r="D27" i="6"/>
  <c r="C27" i="6"/>
  <c r="B27" i="6"/>
  <c r="E27" i="6" s="1"/>
  <c r="Q25" i="6"/>
  <c r="M25" i="6"/>
  <c r="I25" i="6"/>
  <c r="E25" i="6"/>
  <c r="R25" i="6" s="1"/>
  <c r="R20" i="6"/>
  <c r="Q20" i="6"/>
  <c r="M20" i="6"/>
  <c r="I20" i="6"/>
  <c r="E20" i="6"/>
  <c r="P18" i="6"/>
  <c r="O18" i="6"/>
  <c r="N18" i="6"/>
  <c r="Q18" i="6" s="1"/>
  <c r="L18" i="6"/>
  <c r="K18" i="6"/>
  <c r="J18" i="6"/>
  <c r="M18" i="6" s="1"/>
  <c r="H18" i="6"/>
  <c r="G18" i="6"/>
  <c r="F18" i="6"/>
  <c r="D18" i="6"/>
  <c r="C18" i="6"/>
  <c r="B18" i="6"/>
  <c r="P17" i="6"/>
  <c r="O17" i="6"/>
  <c r="Q17" i="6" s="1"/>
  <c r="N17" i="6"/>
  <c r="L17" i="6"/>
  <c r="K17" i="6"/>
  <c r="J17" i="6"/>
  <c r="H17" i="6"/>
  <c r="G17" i="6"/>
  <c r="F17" i="6"/>
  <c r="I17" i="6" s="1"/>
  <c r="D17" i="6"/>
  <c r="C17" i="6"/>
  <c r="B17" i="6"/>
  <c r="P16" i="6"/>
  <c r="O16" i="6"/>
  <c r="N16" i="6"/>
  <c r="L16" i="6"/>
  <c r="K16" i="6"/>
  <c r="J16" i="6"/>
  <c r="H16" i="6"/>
  <c r="G16" i="6"/>
  <c r="F16" i="6"/>
  <c r="I16" i="6" s="1"/>
  <c r="D16" i="6"/>
  <c r="C16" i="6"/>
  <c r="B16" i="6"/>
  <c r="E16" i="6" s="1"/>
  <c r="P15" i="6"/>
  <c r="O15" i="6"/>
  <c r="N15" i="6"/>
  <c r="L15" i="6"/>
  <c r="M15" i="6" s="1"/>
  <c r="K15" i="6"/>
  <c r="J15" i="6"/>
  <c r="H15" i="6"/>
  <c r="G15" i="6"/>
  <c r="F15" i="6"/>
  <c r="D15" i="6"/>
  <c r="C15" i="6"/>
  <c r="E15" i="6" s="1"/>
  <c r="B15" i="6"/>
  <c r="P14" i="6"/>
  <c r="O14" i="6"/>
  <c r="N14" i="6"/>
  <c r="Q14" i="6" s="1"/>
  <c r="L14" i="6"/>
  <c r="K14" i="6"/>
  <c r="J14" i="6"/>
  <c r="M14" i="6" s="1"/>
  <c r="H14" i="6"/>
  <c r="G14" i="6"/>
  <c r="F14" i="6"/>
  <c r="D14" i="6"/>
  <c r="C14" i="6"/>
  <c r="B14" i="6"/>
  <c r="S13" i="6"/>
  <c r="P28" i="6"/>
  <c r="O725" i="6"/>
  <c r="G889" i="6"/>
  <c r="K28" i="6"/>
  <c r="L966" i="6"/>
  <c r="F882" i="6"/>
  <c r="C691" i="6"/>
  <c r="O972" i="6"/>
  <c r="R1" i="6"/>
  <c r="R926" i="6" s="1"/>
  <c r="O948" i="5"/>
  <c r="K948" i="5"/>
  <c r="Q945" i="5"/>
  <c r="M945" i="5"/>
  <c r="Q944" i="5"/>
  <c r="M944" i="5"/>
  <c r="Q943" i="5"/>
  <c r="R945" i="5" s="1"/>
  <c r="M943" i="5"/>
  <c r="N945" i="5" s="1"/>
  <c r="Q942" i="5"/>
  <c r="R942" i="5" s="1"/>
  <c r="M942" i="5"/>
  <c r="Q941" i="5"/>
  <c r="M941" i="5"/>
  <c r="Q940" i="5"/>
  <c r="M940" i="5"/>
  <c r="N942" i="5" s="1"/>
  <c r="Q939" i="5"/>
  <c r="M939" i="5"/>
  <c r="Q938" i="5"/>
  <c r="M938" i="5"/>
  <c r="N939" i="5" s="1"/>
  <c r="G938" i="5"/>
  <c r="I938" i="5" s="1"/>
  <c r="Q937" i="5"/>
  <c r="R939" i="5" s="1"/>
  <c r="M937" i="5"/>
  <c r="I937" i="5"/>
  <c r="G937" i="5"/>
  <c r="Q936" i="5"/>
  <c r="M936" i="5"/>
  <c r="I936" i="5"/>
  <c r="G936" i="5"/>
  <c r="Q935" i="5"/>
  <c r="M935" i="5"/>
  <c r="G935" i="5"/>
  <c r="Q934" i="5"/>
  <c r="M934" i="5"/>
  <c r="I934" i="5"/>
  <c r="G928" i="5"/>
  <c r="O927" i="5"/>
  <c r="K927" i="5"/>
  <c r="C927" i="5"/>
  <c r="I924" i="5"/>
  <c r="J921" i="5"/>
  <c r="Q920" i="5"/>
  <c r="H910" i="5"/>
  <c r="G910" i="5"/>
  <c r="F910" i="5"/>
  <c r="J908" i="5"/>
  <c r="M908" i="5" s="1"/>
  <c r="G908" i="5"/>
  <c r="F908" i="5"/>
  <c r="H908" i="5" s="1"/>
  <c r="M907" i="5"/>
  <c r="J907" i="5"/>
  <c r="H907" i="5"/>
  <c r="G907" i="5"/>
  <c r="F907" i="5"/>
  <c r="J906" i="5"/>
  <c r="M906" i="5" s="1"/>
  <c r="G906" i="5"/>
  <c r="F906" i="5"/>
  <c r="H906" i="5" s="1"/>
  <c r="M905" i="5"/>
  <c r="J905" i="5"/>
  <c r="H905" i="5"/>
  <c r="G905" i="5"/>
  <c r="F905" i="5"/>
  <c r="J904" i="5"/>
  <c r="M904" i="5" s="1"/>
  <c r="G904" i="5"/>
  <c r="F904" i="5"/>
  <c r="H904" i="5" s="1"/>
  <c r="M903" i="5"/>
  <c r="J903" i="5"/>
  <c r="G903" i="5"/>
  <c r="F903" i="5"/>
  <c r="H903" i="5" s="1"/>
  <c r="M902" i="5"/>
  <c r="J902" i="5"/>
  <c r="H902" i="5"/>
  <c r="G902" i="5"/>
  <c r="F902" i="5"/>
  <c r="J901" i="5"/>
  <c r="M901" i="5" s="1"/>
  <c r="I901" i="5"/>
  <c r="G901" i="5"/>
  <c r="F901" i="5"/>
  <c r="H901" i="5" s="1"/>
  <c r="M900" i="5"/>
  <c r="J900" i="5"/>
  <c r="I900" i="5"/>
  <c r="H900" i="5"/>
  <c r="G900" i="5"/>
  <c r="F900" i="5"/>
  <c r="J899" i="5"/>
  <c r="M899" i="5" s="1"/>
  <c r="I899" i="5"/>
  <c r="G899" i="5"/>
  <c r="F899" i="5"/>
  <c r="M898" i="5"/>
  <c r="J898" i="5"/>
  <c r="H898" i="5"/>
  <c r="G898" i="5"/>
  <c r="F898" i="5"/>
  <c r="E898" i="5"/>
  <c r="J897" i="5"/>
  <c r="I897" i="5"/>
  <c r="G897" i="5"/>
  <c r="F897" i="5"/>
  <c r="H897" i="5" s="1"/>
  <c r="H890" i="5"/>
  <c r="I887" i="5"/>
  <c r="Q886" i="5"/>
  <c r="F880" i="5"/>
  <c r="C877" i="5"/>
  <c r="B875" i="5"/>
  <c r="F872" i="5"/>
  <c r="P864" i="5"/>
  <c r="E864" i="5"/>
  <c r="Q861" i="5"/>
  <c r="F861" i="5"/>
  <c r="Q859" i="5"/>
  <c r="E836" i="5"/>
  <c r="F833" i="5"/>
  <c r="Q832" i="5"/>
  <c r="E812" i="5"/>
  <c r="F809" i="5"/>
  <c r="Q808" i="5"/>
  <c r="C797" i="5"/>
  <c r="B797" i="5"/>
  <c r="C796" i="5"/>
  <c r="C795" i="5"/>
  <c r="B795" i="5"/>
  <c r="C794" i="5"/>
  <c r="C793" i="5"/>
  <c r="C792" i="5"/>
  <c r="C791" i="5"/>
  <c r="C790" i="5"/>
  <c r="C789" i="5"/>
  <c r="C788" i="5"/>
  <c r="I787" i="5"/>
  <c r="C787" i="5"/>
  <c r="C786" i="5"/>
  <c r="D778" i="5"/>
  <c r="Q777" i="5"/>
  <c r="L777" i="5"/>
  <c r="G772" i="5"/>
  <c r="F772" i="5"/>
  <c r="G771" i="5"/>
  <c r="G829" i="5" s="1"/>
  <c r="F771" i="5"/>
  <c r="C881" i="5" s="1"/>
  <c r="G770" i="5"/>
  <c r="G828" i="5" s="1"/>
  <c r="F770" i="5"/>
  <c r="G769" i="5"/>
  <c r="G827" i="5" s="1"/>
  <c r="F769" i="5"/>
  <c r="B879" i="5" s="1"/>
  <c r="G768" i="5"/>
  <c r="G826" i="5" s="1"/>
  <c r="F768" i="5"/>
  <c r="F826" i="5" s="1"/>
  <c r="G767" i="5"/>
  <c r="G849" i="5" s="1"/>
  <c r="F767" i="5"/>
  <c r="F825" i="5" s="1"/>
  <c r="G766" i="5"/>
  <c r="G848" i="5" s="1"/>
  <c r="F766" i="5"/>
  <c r="F876" i="5" s="1"/>
  <c r="G765" i="5"/>
  <c r="G823" i="5" s="1"/>
  <c r="F765" i="5"/>
  <c r="F823" i="5" s="1"/>
  <c r="G764" i="5"/>
  <c r="G822" i="5" s="1"/>
  <c r="F764" i="5"/>
  <c r="F822" i="5" s="1"/>
  <c r="G763" i="5"/>
  <c r="G821" i="5" s="1"/>
  <c r="F763" i="5"/>
  <c r="C873" i="5" s="1"/>
  <c r="G762" i="5"/>
  <c r="G820" i="5" s="1"/>
  <c r="F762" i="5"/>
  <c r="F820" i="5" s="1"/>
  <c r="G761" i="5"/>
  <c r="G819" i="5" s="1"/>
  <c r="F761" i="5"/>
  <c r="B871" i="5" s="1"/>
  <c r="E754" i="5"/>
  <c r="F751" i="5"/>
  <c r="Q750" i="5"/>
  <c r="P744" i="5"/>
  <c r="A734" i="5"/>
  <c r="A732" i="5"/>
  <c r="Q728" i="5"/>
  <c r="I724" i="5"/>
  <c r="P723" i="5"/>
  <c r="O723" i="5"/>
  <c r="N723" i="5"/>
  <c r="Q723" i="5" s="1"/>
  <c r="L723" i="5"/>
  <c r="K723" i="5"/>
  <c r="J723" i="5"/>
  <c r="H723" i="5"/>
  <c r="G723" i="5"/>
  <c r="F723" i="5"/>
  <c r="I723" i="5" s="1"/>
  <c r="D723" i="5"/>
  <c r="C723" i="5"/>
  <c r="B723" i="5"/>
  <c r="P722" i="5"/>
  <c r="O722" i="5"/>
  <c r="N722" i="5"/>
  <c r="Q722" i="5" s="1"/>
  <c r="L722" i="5"/>
  <c r="K722" i="5"/>
  <c r="J722" i="5"/>
  <c r="H722" i="5"/>
  <c r="G722" i="5"/>
  <c r="F722" i="5"/>
  <c r="I722" i="5" s="1"/>
  <c r="D722" i="5"/>
  <c r="C722" i="5"/>
  <c r="B722" i="5"/>
  <c r="P721" i="5"/>
  <c r="P724" i="5" s="1"/>
  <c r="O721" i="5"/>
  <c r="O724" i="5" s="1"/>
  <c r="N721" i="5"/>
  <c r="N724" i="5" s="1"/>
  <c r="Q724" i="5" s="1"/>
  <c r="L721" i="5"/>
  <c r="L724" i="5" s="1"/>
  <c r="K721" i="5"/>
  <c r="K724" i="5" s="1"/>
  <c r="J721" i="5"/>
  <c r="H721" i="5"/>
  <c r="H724" i="5" s="1"/>
  <c r="G721" i="5"/>
  <c r="G724" i="5" s="1"/>
  <c r="F721" i="5"/>
  <c r="F724" i="5" s="1"/>
  <c r="E721" i="5"/>
  <c r="D721" i="5"/>
  <c r="C721" i="5"/>
  <c r="B721" i="5"/>
  <c r="P720" i="5"/>
  <c r="O720" i="5"/>
  <c r="N720" i="5"/>
  <c r="Q720" i="5" s="1"/>
  <c r="M720" i="5"/>
  <c r="L720" i="5"/>
  <c r="K720" i="5"/>
  <c r="J720" i="5"/>
  <c r="H720" i="5"/>
  <c r="G720" i="5"/>
  <c r="F720" i="5"/>
  <c r="I720" i="5" s="1"/>
  <c r="E720" i="5"/>
  <c r="R720" i="5" s="1"/>
  <c r="D720" i="5"/>
  <c r="C720" i="5"/>
  <c r="B720" i="5"/>
  <c r="P719" i="5"/>
  <c r="O719" i="5"/>
  <c r="N719" i="5"/>
  <c r="L719" i="5"/>
  <c r="K719" i="5"/>
  <c r="J719" i="5"/>
  <c r="M719" i="5" s="1"/>
  <c r="H719" i="5"/>
  <c r="G719" i="5"/>
  <c r="F719" i="5"/>
  <c r="I719" i="5" s="1"/>
  <c r="D719" i="5"/>
  <c r="C719" i="5"/>
  <c r="B719" i="5"/>
  <c r="E719" i="5" s="1"/>
  <c r="P718" i="5"/>
  <c r="P725" i="5" s="1"/>
  <c r="P746" i="5" s="1"/>
  <c r="O718" i="5"/>
  <c r="N718" i="5"/>
  <c r="N725" i="5" s="1"/>
  <c r="L718" i="5"/>
  <c r="L725" i="5" s="1"/>
  <c r="L746" i="5" s="1"/>
  <c r="K718" i="5"/>
  <c r="K725" i="5" s="1"/>
  <c r="K746" i="5" s="1"/>
  <c r="J718" i="5"/>
  <c r="M718" i="5" s="1"/>
  <c r="H718" i="5"/>
  <c r="H725" i="5" s="1"/>
  <c r="H746" i="5" s="1"/>
  <c r="G718" i="5"/>
  <c r="G725" i="5" s="1"/>
  <c r="G746" i="5" s="1"/>
  <c r="F718" i="5"/>
  <c r="F725" i="5" s="1"/>
  <c r="F746" i="5" s="1"/>
  <c r="D718" i="5"/>
  <c r="C718" i="5"/>
  <c r="C725" i="5" s="1"/>
  <c r="C746" i="5" s="1"/>
  <c r="B718" i="5"/>
  <c r="E718" i="5" s="1"/>
  <c r="P716" i="5"/>
  <c r="Q715" i="5"/>
  <c r="P715" i="5"/>
  <c r="O715" i="5"/>
  <c r="N715" i="5"/>
  <c r="F715" i="5"/>
  <c r="D715" i="5"/>
  <c r="C715" i="5"/>
  <c r="B715" i="5"/>
  <c r="E715" i="5" s="1"/>
  <c r="P714" i="5"/>
  <c r="O714" i="5"/>
  <c r="O716" i="5" s="1"/>
  <c r="O744" i="5" s="1"/>
  <c r="N714" i="5"/>
  <c r="Q714" i="5" s="1"/>
  <c r="L714" i="5"/>
  <c r="K714" i="5"/>
  <c r="J714" i="5"/>
  <c r="H714" i="5"/>
  <c r="G714" i="5"/>
  <c r="F714" i="5"/>
  <c r="I714" i="5" s="1"/>
  <c r="D714" i="5"/>
  <c r="D716" i="5" s="1"/>
  <c r="D744" i="5" s="1"/>
  <c r="C714" i="5"/>
  <c r="C716" i="5" s="1"/>
  <c r="C744" i="5" s="1"/>
  <c r="B714" i="5"/>
  <c r="C712" i="5"/>
  <c r="C742" i="5" s="1"/>
  <c r="P711" i="5"/>
  <c r="O711" i="5"/>
  <c r="N711" i="5"/>
  <c r="Q711" i="5" s="1"/>
  <c r="L711" i="5"/>
  <c r="M711" i="5" s="1"/>
  <c r="K711" i="5"/>
  <c r="J711" i="5"/>
  <c r="H711" i="5"/>
  <c r="G711" i="5"/>
  <c r="F711" i="5"/>
  <c r="I711" i="5" s="1"/>
  <c r="D711" i="5"/>
  <c r="E711" i="5" s="1"/>
  <c r="R711" i="5" s="1"/>
  <c r="C711" i="5"/>
  <c r="B711" i="5"/>
  <c r="O710" i="5"/>
  <c r="N710" i="5"/>
  <c r="L710" i="5"/>
  <c r="C710" i="5"/>
  <c r="B710" i="5"/>
  <c r="P709" i="5"/>
  <c r="O709" i="5"/>
  <c r="O712" i="5" s="1"/>
  <c r="O742" i="5" s="1"/>
  <c r="N709" i="5"/>
  <c r="L709" i="5"/>
  <c r="M709" i="5" s="1"/>
  <c r="K709" i="5"/>
  <c r="J709" i="5"/>
  <c r="H709" i="5"/>
  <c r="G709" i="5"/>
  <c r="F709" i="5"/>
  <c r="D709" i="5"/>
  <c r="C709" i="5"/>
  <c r="B709" i="5"/>
  <c r="B712" i="5" s="1"/>
  <c r="O707" i="5"/>
  <c r="O740" i="5" s="1"/>
  <c r="Q706" i="5"/>
  <c r="P706" i="5"/>
  <c r="O706" i="5"/>
  <c r="N706" i="5"/>
  <c r="L706" i="5"/>
  <c r="K706" i="5"/>
  <c r="J706" i="5"/>
  <c r="M706" i="5" s="1"/>
  <c r="H706" i="5"/>
  <c r="I706" i="5" s="1"/>
  <c r="G706" i="5"/>
  <c r="F706" i="5"/>
  <c r="D706" i="5"/>
  <c r="C706" i="5"/>
  <c r="B706" i="5"/>
  <c r="E706" i="5" s="1"/>
  <c r="Q705" i="5"/>
  <c r="P705" i="5"/>
  <c r="O705" i="5"/>
  <c r="N705" i="5"/>
  <c r="L705" i="5"/>
  <c r="K705" i="5"/>
  <c r="J705" i="5"/>
  <c r="M705" i="5" s="1"/>
  <c r="I705" i="5"/>
  <c r="R705" i="5" s="1"/>
  <c r="H705" i="5"/>
  <c r="G705" i="5"/>
  <c r="F705" i="5"/>
  <c r="D705" i="5"/>
  <c r="C705" i="5"/>
  <c r="B705" i="5"/>
  <c r="E705" i="5" s="1"/>
  <c r="P704" i="5"/>
  <c r="O704" i="5"/>
  <c r="N704" i="5"/>
  <c r="Q704" i="5" s="1"/>
  <c r="L704" i="5"/>
  <c r="K704" i="5"/>
  <c r="J704" i="5"/>
  <c r="M704" i="5" s="1"/>
  <c r="H704" i="5"/>
  <c r="G704" i="5"/>
  <c r="F704" i="5"/>
  <c r="I704" i="5" s="1"/>
  <c r="D704" i="5"/>
  <c r="C704" i="5"/>
  <c r="B704" i="5"/>
  <c r="P703" i="5"/>
  <c r="O703" i="5"/>
  <c r="N703" i="5"/>
  <c r="Q703" i="5" s="1"/>
  <c r="L703" i="5"/>
  <c r="K703" i="5"/>
  <c r="J703" i="5"/>
  <c r="H703" i="5"/>
  <c r="G703" i="5"/>
  <c r="F703" i="5"/>
  <c r="I703" i="5" s="1"/>
  <c r="D703" i="5"/>
  <c r="C703" i="5"/>
  <c r="B703" i="5"/>
  <c r="P702" i="5"/>
  <c r="O702" i="5"/>
  <c r="N702" i="5"/>
  <c r="Q702" i="5" s="1"/>
  <c r="M702" i="5"/>
  <c r="L702" i="5"/>
  <c r="K702" i="5"/>
  <c r="J702" i="5"/>
  <c r="H702" i="5"/>
  <c r="G702" i="5"/>
  <c r="F702" i="5"/>
  <c r="I702" i="5" s="1"/>
  <c r="E702" i="5"/>
  <c r="R702" i="5" s="1"/>
  <c r="D702" i="5"/>
  <c r="C702" i="5"/>
  <c r="B702" i="5"/>
  <c r="O701" i="5"/>
  <c r="N701" i="5"/>
  <c r="E701" i="5"/>
  <c r="D701" i="5"/>
  <c r="C701" i="5"/>
  <c r="B701" i="5"/>
  <c r="B707" i="5" s="1"/>
  <c r="A694" i="5"/>
  <c r="A692" i="5"/>
  <c r="Q688" i="5"/>
  <c r="C684" i="5"/>
  <c r="Q681" i="5"/>
  <c r="M681" i="5"/>
  <c r="I681" i="5"/>
  <c r="R681" i="5" s="1"/>
  <c r="E681" i="5"/>
  <c r="P679" i="5"/>
  <c r="O679" i="5"/>
  <c r="N679" i="5"/>
  <c r="Q679" i="5" s="1"/>
  <c r="L679" i="5"/>
  <c r="K679" i="5"/>
  <c r="J679" i="5"/>
  <c r="M679" i="5" s="1"/>
  <c r="H679" i="5"/>
  <c r="G679" i="5"/>
  <c r="F679" i="5"/>
  <c r="I679" i="5" s="1"/>
  <c r="D679" i="5"/>
  <c r="C679" i="5"/>
  <c r="B679" i="5"/>
  <c r="P678" i="5"/>
  <c r="O678" i="5"/>
  <c r="N678" i="5"/>
  <c r="Q678" i="5" s="1"/>
  <c r="L678" i="5"/>
  <c r="K678" i="5"/>
  <c r="J678" i="5"/>
  <c r="H678" i="5"/>
  <c r="G678" i="5"/>
  <c r="F678" i="5"/>
  <c r="I678" i="5" s="1"/>
  <c r="D678" i="5"/>
  <c r="C678" i="5"/>
  <c r="B678" i="5"/>
  <c r="Q675" i="5"/>
  <c r="M675" i="5"/>
  <c r="I675" i="5"/>
  <c r="E675" i="5"/>
  <c r="R675" i="5" s="1"/>
  <c r="Q674" i="5"/>
  <c r="R674" i="5" s="1"/>
  <c r="M674" i="5"/>
  <c r="I674" i="5"/>
  <c r="E674" i="5"/>
  <c r="Q672" i="5"/>
  <c r="M672" i="5"/>
  <c r="I672" i="5"/>
  <c r="E672" i="5"/>
  <c r="Q671" i="5"/>
  <c r="M671" i="5"/>
  <c r="I671" i="5"/>
  <c r="E671" i="5"/>
  <c r="R671" i="5" s="1"/>
  <c r="Q668" i="5"/>
  <c r="P668" i="5"/>
  <c r="O668" i="5"/>
  <c r="N668" i="5"/>
  <c r="L668" i="5"/>
  <c r="K668" i="5"/>
  <c r="J668" i="5"/>
  <c r="M668" i="5" s="1"/>
  <c r="I668" i="5"/>
  <c r="H668" i="5"/>
  <c r="G668" i="5"/>
  <c r="F668" i="5"/>
  <c r="D668" i="5"/>
  <c r="C668" i="5"/>
  <c r="B668" i="5"/>
  <c r="E668" i="5" s="1"/>
  <c r="Q667" i="5"/>
  <c r="R667" i="5" s="1"/>
  <c r="M667" i="5"/>
  <c r="I667" i="5"/>
  <c r="E667" i="5"/>
  <c r="Q666" i="5"/>
  <c r="M666" i="5"/>
  <c r="I666" i="5"/>
  <c r="E666" i="5"/>
  <c r="Q664" i="5"/>
  <c r="M664" i="5"/>
  <c r="I664" i="5"/>
  <c r="E664" i="5"/>
  <c r="R664" i="5" s="1"/>
  <c r="P661" i="5"/>
  <c r="Q661" i="5" s="1"/>
  <c r="O661" i="5"/>
  <c r="N661" i="5"/>
  <c r="L661" i="5"/>
  <c r="K661" i="5"/>
  <c r="J661" i="5"/>
  <c r="M661" i="5" s="1"/>
  <c r="I661" i="5"/>
  <c r="H661" i="5"/>
  <c r="G661" i="5"/>
  <c r="F661" i="5"/>
  <c r="D661" i="5"/>
  <c r="C661" i="5"/>
  <c r="B661" i="5"/>
  <c r="E661" i="5" s="1"/>
  <c r="Q659" i="5"/>
  <c r="R659" i="5" s="1"/>
  <c r="M659" i="5"/>
  <c r="I659" i="5"/>
  <c r="E659" i="5"/>
  <c r="P656" i="5"/>
  <c r="O656" i="5"/>
  <c r="O680" i="5" s="1"/>
  <c r="O683" i="5" s="1"/>
  <c r="N656" i="5"/>
  <c r="L656" i="5"/>
  <c r="L680" i="5" s="1"/>
  <c r="L683" i="5" s="1"/>
  <c r="K656" i="5"/>
  <c r="K680" i="5" s="1"/>
  <c r="K683" i="5" s="1"/>
  <c r="J656" i="5"/>
  <c r="M656" i="5" s="1"/>
  <c r="H656" i="5"/>
  <c r="H680" i="5" s="1"/>
  <c r="H683" i="5" s="1"/>
  <c r="G656" i="5"/>
  <c r="G680" i="5" s="1"/>
  <c r="G683" i="5" s="1"/>
  <c r="G684" i="5" s="1"/>
  <c r="F656" i="5"/>
  <c r="D656" i="5"/>
  <c r="D680" i="5" s="1"/>
  <c r="D683" i="5" s="1"/>
  <c r="C656" i="5"/>
  <c r="C680" i="5" s="1"/>
  <c r="C683" i="5" s="1"/>
  <c r="C685" i="5" s="1"/>
  <c r="B656" i="5"/>
  <c r="E656" i="5" s="1"/>
  <c r="Q654" i="5"/>
  <c r="M654" i="5"/>
  <c r="I654" i="5"/>
  <c r="R654" i="5" s="1"/>
  <c r="E654" i="5"/>
  <c r="Q651" i="5"/>
  <c r="M651" i="5"/>
  <c r="I651" i="5"/>
  <c r="E651" i="5"/>
  <c r="R651" i="5" s="1"/>
  <c r="R650" i="5"/>
  <c r="Q650" i="5"/>
  <c r="M650" i="5"/>
  <c r="I650" i="5"/>
  <c r="E650" i="5"/>
  <c r="Q638" i="5"/>
  <c r="M638" i="5"/>
  <c r="I638" i="5"/>
  <c r="E638" i="5"/>
  <c r="Q637" i="5"/>
  <c r="M637" i="5"/>
  <c r="I637" i="5"/>
  <c r="E637" i="5"/>
  <c r="R637" i="5" s="1"/>
  <c r="J636" i="5"/>
  <c r="P635" i="5"/>
  <c r="O635" i="5"/>
  <c r="N635" i="5"/>
  <c r="Q635" i="5" s="1"/>
  <c r="L635" i="5"/>
  <c r="K635" i="5"/>
  <c r="J635" i="5"/>
  <c r="M635" i="5" s="1"/>
  <c r="H635" i="5"/>
  <c r="G635" i="5"/>
  <c r="F635" i="5"/>
  <c r="I635" i="5" s="1"/>
  <c r="D635" i="5"/>
  <c r="C635" i="5"/>
  <c r="B635" i="5"/>
  <c r="E635" i="5" s="1"/>
  <c r="P634" i="5"/>
  <c r="O634" i="5"/>
  <c r="N634" i="5"/>
  <c r="Q634" i="5" s="1"/>
  <c r="L634" i="5"/>
  <c r="M634" i="5" s="1"/>
  <c r="K634" i="5"/>
  <c r="J634" i="5"/>
  <c r="H634" i="5"/>
  <c r="G634" i="5"/>
  <c r="F634" i="5"/>
  <c r="I634" i="5" s="1"/>
  <c r="E634" i="5"/>
  <c r="D634" i="5"/>
  <c r="C634" i="5"/>
  <c r="B634" i="5"/>
  <c r="P628" i="5"/>
  <c r="O628" i="5"/>
  <c r="N628" i="5"/>
  <c r="Q628" i="5" s="1"/>
  <c r="M628" i="5"/>
  <c r="L628" i="5"/>
  <c r="K628" i="5"/>
  <c r="J628" i="5"/>
  <c r="H628" i="5"/>
  <c r="G628" i="5"/>
  <c r="F628" i="5"/>
  <c r="I628" i="5" s="1"/>
  <c r="E628" i="5"/>
  <c r="D628" i="5"/>
  <c r="C628" i="5"/>
  <c r="B628" i="5"/>
  <c r="P624" i="5"/>
  <c r="O624" i="5"/>
  <c r="N624" i="5"/>
  <c r="Q624" i="5" s="1"/>
  <c r="L624" i="5"/>
  <c r="K624" i="5"/>
  <c r="J624" i="5"/>
  <c r="M624" i="5" s="1"/>
  <c r="H624" i="5"/>
  <c r="G624" i="5"/>
  <c r="F624" i="5"/>
  <c r="D624" i="5"/>
  <c r="C624" i="5"/>
  <c r="B624" i="5"/>
  <c r="E624" i="5" s="1"/>
  <c r="P620" i="5"/>
  <c r="P636" i="5" s="1"/>
  <c r="P640" i="5" s="1"/>
  <c r="O620" i="5"/>
  <c r="N620" i="5"/>
  <c r="N636" i="5" s="1"/>
  <c r="L620" i="5"/>
  <c r="K620" i="5"/>
  <c r="K636" i="5" s="1"/>
  <c r="K640" i="5" s="1"/>
  <c r="J620" i="5"/>
  <c r="M620" i="5" s="1"/>
  <c r="H620" i="5"/>
  <c r="H636" i="5" s="1"/>
  <c r="H640" i="5" s="1"/>
  <c r="G620" i="5"/>
  <c r="F620" i="5"/>
  <c r="D620" i="5"/>
  <c r="D636" i="5" s="1"/>
  <c r="D640" i="5" s="1"/>
  <c r="C620" i="5"/>
  <c r="C636" i="5" s="1"/>
  <c r="C640" i="5" s="1"/>
  <c r="B620" i="5"/>
  <c r="B636" i="5" s="1"/>
  <c r="Q616" i="5"/>
  <c r="M616" i="5"/>
  <c r="R616" i="5" s="1"/>
  <c r="I616" i="5"/>
  <c r="E616" i="5"/>
  <c r="P607" i="5"/>
  <c r="L607" i="5"/>
  <c r="J607" i="5"/>
  <c r="F607" i="5"/>
  <c r="D607" i="5"/>
  <c r="B607" i="5"/>
  <c r="P606" i="5"/>
  <c r="O606" i="5"/>
  <c r="O607" i="5" s="1"/>
  <c r="N606" i="5"/>
  <c r="L606" i="5"/>
  <c r="K606" i="5"/>
  <c r="J606" i="5"/>
  <c r="H606" i="5"/>
  <c r="H607" i="5" s="1"/>
  <c r="G606" i="5"/>
  <c r="G607" i="5" s="1"/>
  <c r="F606" i="5"/>
  <c r="I606" i="5" s="1"/>
  <c r="D606" i="5"/>
  <c r="C606" i="5"/>
  <c r="B606" i="5"/>
  <c r="Q604" i="5"/>
  <c r="M604" i="5"/>
  <c r="I604" i="5"/>
  <c r="R604" i="5" s="1"/>
  <c r="E604" i="5"/>
  <c r="D597" i="5"/>
  <c r="Q594" i="5"/>
  <c r="M594" i="5"/>
  <c r="I594" i="5"/>
  <c r="E594" i="5"/>
  <c r="R594" i="5" s="1"/>
  <c r="H593" i="5"/>
  <c r="H596" i="5" s="1"/>
  <c r="H597" i="5" s="1"/>
  <c r="Q592" i="5"/>
  <c r="P592" i="5"/>
  <c r="O592" i="5"/>
  <c r="N592" i="5"/>
  <c r="L592" i="5"/>
  <c r="M592" i="5" s="1"/>
  <c r="K592" i="5"/>
  <c r="J592" i="5"/>
  <c r="I592" i="5"/>
  <c r="H592" i="5"/>
  <c r="G592" i="5"/>
  <c r="F592" i="5"/>
  <c r="D592" i="5"/>
  <c r="E592" i="5" s="1"/>
  <c r="C592" i="5"/>
  <c r="B592" i="5"/>
  <c r="P591" i="5"/>
  <c r="O591" i="5"/>
  <c r="N591" i="5"/>
  <c r="Q591" i="5" s="1"/>
  <c r="M591" i="5"/>
  <c r="R591" i="5" s="1"/>
  <c r="L591" i="5"/>
  <c r="K591" i="5"/>
  <c r="J591" i="5"/>
  <c r="H591" i="5"/>
  <c r="G591" i="5"/>
  <c r="F591" i="5"/>
  <c r="I591" i="5" s="1"/>
  <c r="E591" i="5"/>
  <c r="D591" i="5"/>
  <c r="C591" i="5"/>
  <c r="B591" i="5"/>
  <c r="Q588" i="5"/>
  <c r="M588" i="5"/>
  <c r="I588" i="5"/>
  <c r="E588" i="5"/>
  <c r="R588" i="5" s="1"/>
  <c r="Q587" i="5"/>
  <c r="M587" i="5"/>
  <c r="I587" i="5"/>
  <c r="E587" i="5"/>
  <c r="Q586" i="5"/>
  <c r="M586" i="5"/>
  <c r="R586" i="5" s="1"/>
  <c r="I586" i="5"/>
  <c r="E586" i="5"/>
  <c r="R585" i="5"/>
  <c r="Q585" i="5"/>
  <c r="M585" i="5"/>
  <c r="I585" i="5"/>
  <c r="E585" i="5"/>
  <c r="P581" i="5"/>
  <c r="O581" i="5"/>
  <c r="N581" i="5"/>
  <c r="L581" i="5"/>
  <c r="K581" i="5"/>
  <c r="J581" i="5"/>
  <c r="M581" i="5" s="1"/>
  <c r="H581" i="5"/>
  <c r="G581" i="5"/>
  <c r="F581" i="5"/>
  <c r="I581" i="5" s="1"/>
  <c r="D581" i="5"/>
  <c r="C581" i="5"/>
  <c r="B581" i="5"/>
  <c r="E581" i="5" s="1"/>
  <c r="Q580" i="5"/>
  <c r="M580" i="5"/>
  <c r="I580" i="5"/>
  <c r="E580" i="5"/>
  <c r="R580" i="5" s="1"/>
  <c r="Q579" i="5"/>
  <c r="M579" i="5"/>
  <c r="R579" i="5" s="1"/>
  <c r="I579" i="5"/>
  <c r="E579" i="5"/>
  <c r="R577" i="5"/>
  <c r="Q577" i="5"/>
  <c r="M577" i="5"/>
  <c r="I577" i="5"/>
  <c r="E577" i="5"/>
  <c r="P574" i="5"/>
  <c r="O574" i="5"/>
  <c r="N574" i="5"/>
  <c r="L574" i="5"/>
  <c r="K574" i="5"/>
  <c r="J574" i="5"/>
  <c r="M574" i="5" s="1"/>
  <c r="H574" i="5"/>
  <c r="G574" i="5"/>
  <c r="F574" i="5"/>
  <c r="D574" i="5"/>
  <c r="C574" i="5"/>
  <c r="B574" i="5"/>
  <c r="E574" i="5" s="1"/>
  <c r="P570" i="5"/>
  <c r="P593" i="5" s="1"/>
  <c r="P596" i="5" s="1"/>
  <c r="O570" i="5"/>
  <c r="N570" i="5"/>
  <c r="N593" i="5" s="1"/>
  <c r="L570" i="5"/>
  <c r="L593" i="5" s="1"/>
  <c r="L596" i="5" s="1"/>
  <c r="K570" i="5"/>
  <c r="M570" i="5" s="1"/>
  <c r="J570" i="5"/>
  <c r="J593" i="5" s="1"/>
  <c r="H570" i="5"/>
  <c r="G570" i="5"/>
  <c r="F570" i="5"/>
  <c r="F593" i="5" s="1"/>
  <c r="D570" i="5"/>
  <c r="D593" i="5" s="1"/>
  <c r="D596" i="5" s="1"/>
  <c r="C570" i="5"/>
  <c r="B570" i="5"/>
  <c r="Q566" i="5"/>
  <c r="M566" i="5"/>
  <c r="I566" i="5"/>
  <c r="E566" i="5"/>
  <c r="Q565" i="5"/>
  <c r="L565" i="5"/>
  <c r="M565" i="5" s="1"/>
  <c r="I565" i="5"/>
  <c r="R565" i="5" s="1"/>
  <c r="E565" i="5"/>
  <c r="Q553" i="5"/>
  <c r="M553" i="5"/>
  <c r="I553" i="5"/>
  <c r="E553" i="5"/>
  <c r="R553" i="5" s="1"/>
  <c r="P551" i="5"/>
  <c r="O551" i="5"/>
  <c r="Q551" i="5" s="1"/>
  <c r="N551" i="5"/>
  <c r="L551" i="5"/>
  <c r="K551" i="5"/>
  <c r="J551" i="5"/>
  <c r="H551" i="5"/>
  <c r="G551" i="5"/>
  <c r="I551" i="5" s="1"/>
  <c r="F551" i="5"/>
  <c r="D551" i="5"/>
  <c r="C551" i="5"/>
  <c r="B551" i="5"/>
  <c r="E551" i="5" s="1"/>
  <c r="P550" i="5"/>
  <c r="Q550" i="5" s="1"/>
  <c r="O550" i="5"/>
  <c r="N550" i="5"/>
  <c r="M550" i="5"/>
  <c r="L550" i="5"/>
  <c r="K550" i="5"/>
  <c r="J550" i="5"/>
  <c r="H550" i="5"/>
  <c r="I550" i="5" s="1"/>
  <c r="G550" i="5"/>
  <c r="F550" i="5"/>
  <c r="E550" i="5"/>
  <c r="D550" i="5"/>
  <c r="C550" i="5"/>
  <c r="B550" i="5"/>
  <c r="Q547" i="5"/>
  <c r="M547" i="5"/>
  <c r="I547" i="5"/>
  <c r="E547" i="5"/>
  <c r="P543" i="5"/>
  <c r="O543" i="5"/>
  <c r="N543" i="5"/>
  <c r="L543" i="5"/>
  <c r="K543" i="5"/>
  <c r="J543" i="5"/>
  <c r="M543" i="5" s="1"/>
  <c r="H543" i="5"/>
  <c r="G543" i="5"/>
  <c r="F543" i="5"/>
  <c r="I543" i="5" s="1"/>
  <c r="D543" i="5"/>
  <c r="C543" i="5"/>
  <c r="C552" i="5" s="1"/>
  <c r="C555" i="5" s="1"/>
  <c r="C556" i="5" s="1"/>
  <c r="B543" i="5"/>
  <c r="P539" i="5"/>
  <c r="O539" i="5"/>
  <c r="N539" i="5"/>
  <c r="L539" i="5"/>
  <c r="K539" i="5"/>
  <c r="J539" i="5"/>
  <c r="M539" i="5" s="1"/>
  <c r="H539" i="5"/>
  <c r="G539" i="5"/>
  <c r="I539" i="5" s="1"/>
  <c r="F539" i="5"/>
  <c r="D539" i="5"/>
  <c r="C539" i="5"/>
  <c r="B539" i="5"/>
  <c r="P535" i="5"/>
  <c r="O535" i="5"/>
  <c r="N535" i="5"/>
  <c r="J535" i="5"/>
  <c r="J552" i="5" s="1"/>
  <c r="E535" i="5"/>
  <c r="D535" i="5"/>
  <c r="C535" i="5"/>
  <c r="B535" i="5"/>
  <c r="B552" i="5" s="1"/>
  <c r="Q531" i="5"/>
  <c r="M531" i="5"/>
  <c r="I531" i="5"/>
  <c r="E531" i="5"/>
  <c r="Q530" i="5"/>
  <c r="L530" i="5"/>
  <c r="L701" i="5" s="1"/>
  <c r="L707" i="5" s="1"/>
  <c r="K530" i="5"/>
  <c r="J530" i="5"/>
  <c r="J701" i="5" s="1"/>
  <c r="H530" i="5"/>
  <c r="G530" i="5"/>
  <c r="G701" i="5" s="1"/>
  <c r="G707" i="5" s="1"/>
  <c r="G740" i="5" s="1"/>
  <c r="F530" i="5"/>
  <c r="F701" i="5" s="1"/>
  <c r="E530" i="5"/>
  <c r="P521" i="5"/>
  <c r="N521" i="5"/>
  <c r="K521" i="5"/>
  <c r="P520" i="5"/>
  <c r="O520" i="5"/>
  <c r="N520" i="5"/>
  <c r="Q520" i="5" s="1"/>
  <c r="L520" i="5"/>
  <c r="L521" i="5" s="1"/>
  <c r="K520" i="5"/>
  <c r="J520" i="5"/>
  <c r="H520" i="5"/>
  <c r="G520" i="5"/>
  <c r="F520" i="5"/>
  <c r="F521" i="5" s="1"/>
  <c r="D520" i="5"/>
  <c r="D521" i="5" s="1"/>
  <c r="C520" i="5"/>
  <c r="C521" i="5" s="1"/>
  <c r="B520" i="5"/>
  <c r="Q518" i="5"/>
  <c r="M518" i="5"/>
  <c r="R518" i="5" s="1"/>
  <c r="I518" i="5"/>
  <c r="E518" i="5"/>
  <c r="R508" i="5"/>
  <c r="Q508" i="5"/>
  <c r="M508" i="5"/>
  <c r="I508" i="5"/>
  <c r="E508" i="5"/>
  <c r="P506" i="5"/>
  <c r="Q506" i="5" s="1"/>
  <c r="O506" i="5"/>
  <c r="N506" i="5"/>
  <c r="M506" i="5"/>
  <c r="L506" i="5"/>
  <c r="K506" i="5"/>
  <c r="J506" i="5"/>
  <c r="H506" i="5"/>
  <c r="I506" i="5" s="1"/>
  <c r="G506" i="5"/>
  <c r="F506" i="5"/>
  <c r="E506" i="5"/>
  <c r="D506" i="5"/>
  <c r="C506" i="5"/>
  <c r="B506" i="5"/>
  <c r="P505" i="5"/>
  <c r="O505" i="5"/>
  <c r="N505" i="5"/>
  <c r="Q505" i="5" s="1"/>
  <c r="L505" i="5"/>
  <c r="K505" i="5"/>
  <c r="J505" i="5"/>
  <c r="M505" i="5" s="1"/>
  <c r="H505" i="5"/>
  <c r="G505" i="5"/>
  <c r="F505" i="5"/>
  <c r="I505" i="5" s="1"/>
  <c r="D505" i="5"/>
  <c r="C505" i="5"/>
  <c r="B505" i="5"/>
  <c r="E505" i="5" s="1"/>
  <c r="Q504" i="5"/>
  <c r="M504" i="5"/>
  <c r="I504" i="5"/>
  <c r="R504" i="5" s="1"/>
  <c r="E504" i="5"/>
  <c r="Q501" i="5"/>
  <c r="M501" i="5"/>
  <c r="I501" i="5"/>
  <c r="E501" i="5"/>
  <c r="Q500" i="5"/>
  <c r="M500" i="5"/>
  <c r="I500" i="5"/>
  <c r="E500" i="5"/>
  <c r="R500" i="5" s="1"/>
  <c r="Q499" i="5"/>
  <c r="M499" i="5"/>
  <c r="I499" i="5"/>
  <c r="E499" i="5"/>
  <c r="R499" i="5" s="1"/>
  <c r="Q498" i="5"/>
  <c r="M498" i="5"/>
  <c r="I498" i="5"/>
  <c r="E498" i="5"/>
  <c r="R498" i="5" s="1"/>
  <c r="Q496" i="5"/>
  <c r="M496" i="5"/>
  <c r="R496" i="5" s="1"/>
  <c r="I496" i="5"/>
  <c r="E496" i="5"/>
  <c r="Q495" i="5"/>
  <c r="M495" i="5"/>
  <c r="R495" i="5" s="1"/>
  <c r="I495" i="5"/>
  <c r="E495" i="5"/>
  <c r="P492" i="5"/>
  <c r="O492" i="5"/>
  <c r="O507" i="5" s="1"/>
  <c r="O510" i="5" s="1"/>
  <c r="N492" i="5"/>
  <c r="L492" i="5"/>
  <c r="K492" i="5"/>
  <c r="J492" i="5"/>
  <c r="M492" i="5" s="1"/>
  <c r="H492" i="5"/>
  <c r="G492" i="5"/>
  <c r="F492" i="5"/>
  <c r="D492" i="5"/>
  <c r="C492" i="5"/>
  <c r="B492" i="5"/>
  <c r="E492" i="5" s="1"/>
  <c r="Q491" i="5"/>
  <c r="M491" i="5"/>
  <c r="I491" i="5"/>
  <c r="E491" i="5"/>
  <c r="P487" i="5"/>
  <c r="O487" i="5"/>
  <c r="Q487" i="5" s="1"/>
  <c r="N487" i="5"/>
  <c r="M487" i="5"/>
  <c r="L487" i="5"/>
  <c r="L507" i="5" s="1"/>
  <c r="L510" i="5" s="1"/>
  <c r="K487" i="5"/>
  <c r="J487" i="5"/>
  <c r="H487" i="5"/>
  <c r="I487" i="5" s="1"/>
  <c r="G487" i="5"/>
  <c r="F487" i="5"/>
  <c r="D487" i="5"/>
  <c r="C487" i="5"/>
  <c r="B487" i="5"/>
  <c r="Q485" i="5"/>
  <c r="M485" i="5"/>
  <c r="I485" i="5"/>
  <c r="E485" i="5"/>
  <c r="Q484" i="5"/>
  <c r="M484" i="5"/>
  <c r="I484" i="5"/>
  <c r="E484" i="5"/>
  <c r="P481" i="5"/>
  <c r="O481" i="5"/>
  <c r="N481" i="5"/>
  <c r="L481" i="5"/>
  <c r="K481" i="5"/>
  <c r="K507" i="5" s="1"/>
  <c r="K510" i="5" s="1"/>
  <c r="J481" i="5"/>
  <c r="J507" i="5" s="1"/>
  <c r="H481" i="5"/>
  <c r="G481" i="5"/>
  <c r="F481" i="5"/>
  <c r="D481" i="5"/>
  <c r="C481" i="5"/>
  <c r="C507" i="5" s="1"/>
  <c r="C510" i="5" s="1"/>
  <c r="B481" i="5"/>
  <c r="Q479" i="5"/>
  <c r="M479" i="5"/>
  <c r="I479" i="5"/>
  <c r="E479" i="5"/>
  <c r="Q477" i="5"/>
  <c r="M477" i="5"/>
  <c r="I477" i="5"/>
  <c r="E477" i="5"/>
  <c r="R477" i="5" s="1"/>
  <c r="Q475" i="5"/>
  <c r="M475" i="5"/>
  <c r="I475" i="5"/>
  <c r="E475" i="5"/>
  <c r="Q474" i="5"/>
  <c r="M474" i="5"/>
  <c r="R474" i="5" s="1"/>
  <c r="I474" i="5"/>
  <c r="E474" i="5"/>
  <c r="R473" i="5"/>
  <c r="Q473" i="5"/>
  <c r="M473" i="5"/>
  <c r="I473" i="5"/>
  <c r="E473" i="5"/>
  <c r="R472" i="5"/>
  <c r="Q472" i="5"/>
  <c r="M472" i="5"/>
  <c r="I472" i="5"/>
  <c r="E472" i="5"/>
  <c r="Q471" i="5"/>
  <c r="M471" i="5"/>
  <c r="I471" i="5"/>
  <c r="E471" i="5"/>
  <c r="R471" i="5" s="1"/>
  <c r="Q470" i="5"/>
  <c r="M470" i="5"/>
  <c r="I470" i="5"/>
  <c r="E470" i="5"/>
  <c r="R470" i="5" s="1"/>
  <c r="Q469" i="5"/>
  <c r="M469" i="5"/>
  <c r="I469" i="5"/>
  <c r="E469" i="5"/>
  <c r="R469" i="5" s="1"/>
  <c r="Q468" i="5"/>
  <c r="M468" i="5"/>
  <c r="I468" i="5"/>
  <c r="E468" i="5"/>
  <c r="R468" i="5" s="1"/>
  <c r="D458" i="5"/>
  <c r="R456" i="5"/>
  <c r="Q456" i="5"/>
  <c r="M456" i="5"/>
  <c r="I456" i="5"/>
  <c r="E456" i="5"/>
  <c r="O455" i="5"/>
  <c r="O458" i="5" s="1"/>
  <c r="J455" i="5"/>
  <c r="G455" i="5"/>
  <c r="G458" i="5" s="1"/>
  <c r="G459" i="5" s="1"/>
  <c r="B455" i="5"/>
  <c r="P454" i="5"/>
  <c r="O454" i="5"/>
  <c r="Q454" i="5" s="1"/>
  <c r="N454" i="5"/>
  <c r="L454" i="5"/>
  <c r="K454" i="5"/>
  <c r="M454" i="5" s="1"/>
  <c r="J454" i="5"/>
  <c r="H454" i="5"/>
  <c r="G454" i="5"/>
  <c r="I454" i="5" s="1"/>
  <c r="F454" i="5"/>
  <c r="D454" i="5"/>
  <c r="C454" i="5"/>
  <c r="E454" i="5" s="1"/>
  <c r="B454" i="5"/>
  <c r="Q453" i="5"/>
  <c r="P453" i="5"/>
  <c r="O453" i="5"/>
  <c r="N453" i="5"/>
  <c r="L453" i="5"/>
  <c r="M453" i="5" s="1"/>
  <c r="K453" i="5"/>
  <c r="J453" i="5"/>
  <c r="I453" i="5"/>
  <c r="H453" i="5"/>
  <c r="G453" i="5"/>
  <c r="F453" i="5"/>
  <c r="D453" i="5"/>
  <c r="E453" i="5" s="1"/>
  <c r="C453" i="5"/>
  <c r="B453" i="5"/>
  <c r="R452" i="5"/>
  <c r="Q452" i="5"/>
  <c r="M452" i="5"/>
  <c r="I452" i="5"/>
  <c r="E452" i="5"/>
  <c r="R451" i="5"/>
  <c r="Q451" i="5"/>
  <c r="M451" i="5"/>
  <c r="I451" i="5"/>
  <c r="E451" i="5"/>
  <c r="Q450" i="5"/>
  <c r="M450" i="5"/>
  <c r="I450" i="5"/>
  <c r="E450" i="5"/>
  <c r="R450" i="5" s="1"/>
  <c r="Q448" i="5"/>
  <c r="M448" i="5"/>
  <c r="I448" i="5"/>
  <c r="E448" i="5"/>
  <c r="R448" i="5" s="1"/>
  <c r="Q443" i="5"/>
  <c r="P443" i="5"/>
  <c r="O443" i="5"/>
  <c r="N443" i="5"/>
  <c r="L443" i="5"/>
  <c r="K443" i="5"/>
  <c r="J443" i="5"/>
  <c r="M443" i="5" s="1"/>
  <c r="I443" i="5"/>
  <c r="H443" i="5"/>
  <c r="G443" i="5"/>
  <c r="F443" i="5"/>
  <c r="D443" i="5"/>
  <c r="C443" i="5"/>
  <c r="B443" i="5"/>
  <c r="E443" i="5" s="1"/>
  <c r="P439" i="5"/>
  <c r="O439" i="5"/>
  <c r="N439" i="5"/>
  <c r="Q439" i="5" s="1"/>
  <c r="L439" i="5"/>
  <c r="K439" i="5"/>
  <c r="K455" i="5" s="1"/>
  <c r="K458" i="5" s="1"/>
  <c r="J439" i="5"/>
  <c r="M439" i="5" s="1"/>
  <c r="H439" i="5"/>
  <c r="G439" i="5"/>
  <c r="F439" i="5"/>
  <c r="I439" i="5" s="1"/>
  <c r="D439" i="5"/>
  <c r="C439" i="5"/>
  <c r="C455" i="5" s="1"/>
  <c r="C458" i="5" s="1"/>
  <c r="B439" i="5"/>
  <c r="E439" i="5" s="1"/>
  <c r="Q437" i="5"/>
  <c r="M437" i="5"/>
  <c r="I437" i="5"/>
  <c r="R437" i="5" s="1"/>
  <c r="E437" i="5"/>
  <c r="Q436" i="5"/>
  <c r="M436" i="5"/>
  <c r="R436" i="5" s="1"/>
  <c r="I436" i="5"/>
  <c r="E436" i="5"/>
  <c r="P433" i="5"/>
  <c r="P455" i="5" s="1"/>
  <c r="P458" i="5" s="1"/>
  <c r="O433" i="5"/>
  <c r="N433" i="5"/>
  <c r="M433" i="5"/>
  <c r="L433" i="5"/>
  <c r="L455" i="5" s="1"/>
  <c r="L458" i="5" s="1"/>
  <c r="L459" i="5" s="1"/>
  <c r="K433" i="5"/>
  <c r="J433" i="5"/>
  <c r="H433" i="5"/>
  <c r="H455" i="5" s="1"/>
  <c r="H458" i="5" s="1"/>
  <c r="G433" i="5"/>
  <c r="F433" i="5"/>
  <c r="D433" i="5"/>
  <c r="D455" i="5" s="1"/>
  <c r="C433" i="5"/>
  <c r="B433" i="5"/>
  <c r="E433" i="5" s="1"/>
  <c r="Q429" i="5"/>
  <c r="M429" i="5"/>
  <c r="I429" i="5"/>
  <c r="E429" i="5"/>
  <c r="R429" i="5" s="1"/>
  <c r="Q428" i="5"/>
  <c r="M428" i="5"/>
  <c r="I428" i="5"/>
  <c r="R428" i="5" s="1"/>
  <c r="E428" i="5"/>
  <c r="Q427" i="5"/>
  <c r="M427" i="5"/>
  <c r="R427" i="5" s="1"/>
  <c r="I427" i="5"/>
  <c r="E427" i="5"/>
  <c r="K417" i="5"/>
  <c r="F417" i="5"/>
  <c r="Q415" i="5"/>
  <c r="M415" i="5"/>
  <c r="I415" i="5"/>
  <c r="E415" i="5"/>
  <c r="R415" i="5" s="1"/>
  <c r="L414" i="5"/>
  <c r="L417" i="5" s="1"/>
  <c r="D414" i="5"/>
  <c r="D417" i="5" s="1"/>
  <c r="P413" i="5"/>
  <c r="O413" i="5"/>
  <c r="N413" i="5"/>
  <c r="Q413" i="5" s="1"/>
  <c r="M413" i="5"/>
  <c r="L413" i="5"/>
  <c r="K413" i="5"/>
  <c r="J413" i="5"/>
  <c r="H413" i="5"/>
  <c r="G413" i="5"/>
  <c r="F413" i="5"/>
  <c r="I413" i="5" s="1"/>
  <c r="E413" i="5"/>
  <c r="R413" i="5" s="1"/>
  <c r="D413" i="5"/>
  <c r="C413" i="5"/>
  <c r="B413" i="5"/>
  <c r="P412" i="5"/>
  <c r="O412" i="5"/>
  <c r="N412" i="5"/>
  <c r="Q412" i="5" s="1"/>
  <c r="L412" i="5"/>
  <c r="K412" i="5"/>
  <c r="J412" i="5"/>
  <c r="H412" i="5"/>
  <c r="G412" i="5"/>
  <c r="F412" i="5"/>
  <c r="I412" i="5" s="1"/>
  <c r="D412" i="5"/>
  <c r="C412" i="5"/>
  <c r="B412" i="5"/>
  <c r="E412" i="5" s="1"/>
  <c r="Q411" i="5"/>
  <c r="M411" i="5"/>
  <c r="I411" i="5"/>
  <c r="R411" i="5" s="1"/>
  <c r="E411" i="5"/>
  <c r="Q410" i="5"/>
  <c r="M410" i="5"/>
  <c r="I410" i="5"/>
  <c r="E410" i="5"/>
  <c r="R410" i="5" s="1"/>
  <c r="Q404" i="5"/>
  <c r="P404" i="5"/>
  <c r="O404" i="5"/>
  <c r="N404" i="5"/>
  <c r="L404" i="5"/>
  <c r="K404" i="5"/>
  <c r="J404" i="5"/>
  <c r="M404" i="5" s="1"/>
  <c r="I404" i="5"/>
  <c r="H404" i="5"/>
  <c r="G404" i="5"/>
  <c r="F404" i="5"/>
  <c r="D404" i="5"/>
  <c r="C404" i="5"/>
  <c r="B404" i="5"/>
  <c r="E404" i="5" s="1"/>
  <c r="P400" i="5"/>
  <c r="O400" i="5"/>
  <c r="N400" i="5"/>
  <c r="Q400" i="5" s="1"/>
  <c r="L400" i="5"/>
  <c r="K400" i="5"/>
  <c r="J400" i="5"/>
  <c r="M400" i="5" s="1"/>
  <c r="G400" i="5"/>
  <c r="F400" i="5"/>
  <c r="D400" i="5"/>
  <c r="C400" i="5"/>
  <c r="B400" i="5"/>
  <c r="E400" i="5" s="1"/>
  <c r="Q398" i="5"/>
  <c r="M398" i="5"/>
  <c r="J398" i="5"/>
  <c r="H398" i="5"/>
  <c r="H400" i="5" s="1"/>
  <c r="E398" i="5"/>
  <c r="P395" i="5"/>
  <c r="P414" i="5" s="1"/>
  <c r="P417" i="5" s="1"/>
  <c r="O395" i="5"/>
  <c r="O414" i="5" s="1"/>
  <c r="O417" i="5" s="1"/>
  <c r="N395" i="5"/>
  <c r="L395" i="5"/>
  <c r="K395" i="5"/>
  <c r="K414" i="5" s="1"/>
  <c r="J395" i="5"/>
  <c r="H395" i="5"/>
  <c r="G395" i="5"/>
  <c r="G414" i="5" s="1"/>
  <c r="G417" i="5" s="1"/>
  <c r="F395" i="5"/>
  <c r="F414" i="5" s="1"/>
  <c r="D395" i="5"/>
  <c r="C395" i="5"/>
  <c r="C414" i="5" s="1"/>
  <c r="C417" i="5" s="1"/>
  <c r="B395" i="5"/>
  <c r="Q392" i="5"/>
  <c r="M392" i="5"/>
  <c r="I392" i="5"/>
  <c r="E392" i="5"/>
  <c r="R392" i="5" s="1"/>
  <c r="Q391" i="5"/>
  <c r="M391" i="5"/>
  <c r="R391" i="5" s="1"/>
  <c r="I391" i="5"/>
  <c r="E391" i="5"/>
  <c r="R390" i="5"/>
  <c r="Q390" i="5"/>
  <c r="M390" i="5"/>
  <c r="I390" i="5"/>
  <c r="E390" i="5"/>
  <c r="R388" i="5"/>
  <c r="Q388" i="5"/>
  <c r="M388" i="5"/>
  <c r="I388" i="5"/>
  <c r="E388" i="5"/>
  <c r="Q387" i="5"/>
  <c r="M387" i="5"/>
  <c r="I387" i="5"/>
  <c r="R387" i="5" s="1"/>
  <c r="E387" i="5"/>
  <c r="O373" i="5"/>
  <c r="Q370" i="5"/>
  <c r="M370" i="5"/>
  <c r="I370" i="5"/>
  <c r="E370" i="5"/>
  <c r="R370" i="5" s="1"/>
  <c r="Q369" i="5"/>
  <c r="M369" i="5"/>
  <c r="I369" i="5"/>
  <c r="E369" i="5"/>
  <c r="Q368" i="5"/>
  <c r="M368" i="5"/>
  <c r="R368" i="5" s="1"/>
  <c r="I368" i="5"/>
  <c r="E368" i="5"/>
  <c r="P366" i="5"/>
  <c r="O366" i="5"/>
  <c r="N366" i="5"/>
  <c r="Q366" i="5" s="1"/>
  <c r="L366" i="5"/>
  <c r="K366" i="5"/>
  <c r="J366" i="5"/>
  <c r="H366" i="5"/>
  <c r="G366" i="5"/>
  <c r="F366" i="5"/>
  <c r="I366" i="5" s="1"/>
  <c r="D366" i="5"/>
  <c r="C366" i="5"/>
  <c r="B366" i="5"/>
  <c r="E366" i="5" s="1"/>
  <c r="P365" i="5"/>
  <c r="O365" i="5"/>
  <c r="N365" i="5"/>
  <c r="L365" i="5"/>
  <c r="K365" i="5"/>
  <c r="J365" i="5"/>
  <c r="M365" i="5" s="1"/>
  <c r="H365" i="5"/>
  <c r="G365" i="5"/>
  <c r="I365" i="5" s="1"/>
  <c r="F365" i="5"/>
  <c r="D365" i="5"/>
  <c r="C365" i="5"/>
  <c r="B365" i="5"/>
  <c r="Q364" i="5"/>
  <c r="M364" i="5"/>
  <c r="R364" i="5" s="1"/>
  <c r="I364" i="5"/>
  <c r="E364" i="5"/>
  <c r="R363" i="5"/>
  <c r="Q363" i="5"/>
  <c r="M363" i="5"/>
  <c r="I363" i="5"/>
  <c r="E363" i="5"/>
  <c r="Q362" i="5"/>
  <c r="M362" i="5"/>
  <c r="I362" i="5"/>
  <c r="R362" i="5" s="1"/>
  <c r="E362" i="5"/>
  <c r="Q361" i="5"/>
  <c r="M361" i="5"/>
  <c r="I361" i="5"/>
  <c r="R361" i="5" s="1"/>
  <c r="E361" i="5"/>
  <c r="Q360" i="5"/>
  <c r="M360" i="5"/>
  <c r="I360" i="5"/>
  <c r="E360" i="5"/>
  <c r="R359" i="5"/>
  <c r="Q359" i="5"/>
  <c r="M359" i="5"/>
  <c r="I359" i="5"/>
  <c r="E359" i="5"/>
  <c r="Q358" i="5"/>
  <c r="M358" i="5"/>
  <c r="I358" i="5"/>
  <c r="E358" i="5"/>
  <c r="R358" i="5" s="1"/>
  <c r="Q357" i="5"/>
  <c r="M357" i="5"/>
  <c r="I357" i="5"/>
  <c r="E357" i="5"/>
  <c r="R357" i="5" s="1"/>
  <c r="Q355" i="5"/>
  <c r="M355" i="5"/>
  <c r="I355" i="5"/>
  <c r="E355" i="5"/>
  <c r="Q354" i="5"/>
  <c r="M354" i="5"/>
  <c r="I354" i="5"/>
  <c r="E354" i="5"/>
  <c r="R354" i="5" s="1"/>
  <c r="R353" i="5"/>
  <c r="Q353" i="5"/>
  <c r="M353" i="5"/>
  <c r="I353" i="5"/>
  <c r="E353" i="5"/>
  <c r="Q352" i="5"/>
  <c r="M352" i="5"/>
  <c r="I352" i="5"/>
  <c r="E352" i="5"/>
  <c r="R352" i="5" s="1"/>
  <c r="Q351" i="5"/>
  <c r="M351" i="5"/>
  <c r="I351" i="5"/>
  <c r="E351" i="5"/>
  <c r="Q350" i="5"/>
  <c r="M350" i="5"/>
  <c r="I350" i="5"/>
  <c r="E350" i="5"/>
  <c r="R350" i="5" s="1"/>
  <c r="Q349" i="5"/>
  <c r="M349" i="5"/>
  <c r="I349" i="5"/>
  <c r="E349" i="5"/>
  <c r="Q347" i="5"/>
  <c r="M347" i="5"/>
  <c r="I347" i="5"/>
  <c r="E347" i="5"/>
  <c r="Q346" i="5"/>
  <c r="M346" i="5"/>
  <c r="I346" i="5"/>
  <c r="E346" i="5"/>
  <c r="Q344" i="5"/>
  <c r="M344" i="5"/>
  <c r="I344" i="5"/>
  <c r="E344" i="5"/>
  <c r="R344" i="5" s="1"/>
  <c r="P341" i="5"/>
  <c r="O341" i="5"/>
  <c r="N341" i="5"/>
  <c r="Q341" i="5" s="1"/>
  <c r="L341" i="5"/>
  <c r="K341" i="5"/>
  <c r="J341" i="5"/>
  <c r="H341" i="5"/>
  <c r="G341" i="5"/>
  <c r="F341" i="5"/>
  <c r="I341" i="5" s="1"/>
  <c r="D341" i="5"/>
  <c r="C341" i="5"/>
  <c r="B341" i="5"/>
  <c r="E341" i="5" s="1"/>
  <c r="Q340" i="5"/>
  <c r="M340" i="5"/>
  <c r="I340" i="5"/>
  <c r="E340" i="5"/>
  <c r="Q339" i="5"/>
  <c r="M339" i="5"/>
  <c r="I339" i="5"/>
  <c r="E339" i="5"/>
  <c r="R338" i="5"/>
  <c r="Q338" i="5"/>
  <c r="M338" i="5"/>
  <c r="I338" i="5"/>
  <c r="E338" i="5"/>
  <c r="Q337" i="5"/>
  <c r="M337" i="5"/>
  <c r="I337" i="5"/>
  <c r="R337" i="5" s="1"/>
  <c r="E337" i="5"/>
  <c r="Q336" i="5"/>
  <c r="M336" i="5"/>
  <c r="I336" i="5"/>
  <c r="E336" i="5"/>
  <c r="Q335" i="5"/>
  <c r="M335" i="5"/>
  <c r="I335" i="5"/>
  <c r="E335" i="5"/>
  <c r="R334" i="5"/>
  <c r="Q334" i="5"/>
  <c r="M334" i="5"/>
  <c r="I334" i="5"/>
  <c r="E334" i="5"/>
  <c r="Q333" i="5"/>
  <c r="M333" i="5"/>
  <c r="I333" i="5"/>
  <c r="E333" i="5"/>
  <c r="R333" i="5" s="1"/>
  <c r="Q332" i="5"/>
  <c r="M332" i="5"/>
  <c r="I332" i="5"/>
  <c r="E332" i="5"/>
  <c r="R332" i="5" s="1"/>
  <c r="R331" i="5"/>
  <c r="Q331" i="5"/>
  <c r="M331" i="5"/>
  <c r="I331" i="5"/>
  <c r="E331" i="5"/>
  <c r="Q330" i="5"/>
  <c r="M330" i="5"/>
  <c r="I330" i="5"/>
  <c r="E330" i="5"/>
  <c r="R330" i="5" s="1"/>
  <c r="R329" i="5"/>
  <c r="Q329" i="5"/>
  <c r="M329" i="5"/>
  <c r="I329" i="5"/>
  <c r="E329" i="5"/>
  <c r="Q328" i="5"/>
  <c r="M328" i="5"/>
  <c r="I328" i="5"/>
  <c r="R328" i="5" s="1"/>
  <c r="E328" i="5"/>
  <c r="Q327" i="5"/>
  <c r="M327" i="5"/>
  <c r="I327" i="5"/>
  <c r="E327" i="5"/>
  <c r="Q326" i="5"/>
  <c r="M326" i="5"/>
  <c r="I326" i="5"/>
  <c r="E326" i="5"/>
  <c r="Q325" i="5"/>
  <c r="M325" i="5"/>
  <c r="I325" i="5"/>
  <c r="E325" i="5"/>
  <c r="R325" i="5" s="1"/>
  <c r="Q324" i="5"/>
  <c r="M324" i="5"/>
  <c r="I324" i="5"/>
  <c r="E324" i="5"/>
  <c r="Q323" i="5"/>
  <c r="M323" i="5"/>
  <c r="I323" i="5"/>
  <c r="E323" i="5"/>
  <c r="R323" i="5" s="1"/>
  <c r="Q322" i="5"/>
  <c r="R322" i="5" s="1"/>
  <c r="M322" i="5"/>
  <c r="I322" i="5"/>
  <c r="E322" i="5"/>
  <c r="Q321" i="5"/>
  <c r="M321" i="5"/>
  <c r="I321" i="5"/>
  <c r="E321" i="5"/>
  <c r="R321" i="5" s="1"/>
  <c r="AD319" i="5"/>
  <c r="Q319" i="5"/>
  <c r="M319" i="5"/>
  <c r="I319" i="5"/>
  <c r="E319" i="5"/>
  <c r="Q318" i="5"/>
  <c r="R318" i="5" s="1"/>
  <c r="M318" i="5"/>
  <c r="I318" i="5"/>
  <c r="E318" i="5"/>
  <c r="AC316" i="5"/>
  <c r="AB316" i="5"/>
  <c r="O315" i="5"/>
  <c r="N315" i="5"/>
  <c r="L315" i="5"/>
  <c r="D315" i="5"/>
  <c r="C315" i="5"/>
  <c r="E315" i="5" s="1"/>
  <c r="B315" i="5"/>
  <c r="R313" i="5"/>
  <c r="Q313" i="5"/>
  <c r="M313" i="5"/>
  <c r="I313" i="5"/>
  <c r="E313" i="5"/>
  <c r="Q312" i="5"/>
  <c r="R312" i="5" s="1"/>
  <c r="M312" i="5"/>
  <c r="I312" i="5"/>
  <c r="E312" i="5"/>
  <c r="Q311" i="5"/>
  <c r="M311" i="5"/>
  <c r="I311" i="5"/>
  <c r="E311" i="5"/>
  <c r="R311" i="5" s="1"/>
  <c r="Q310" i="5"/>
  <c r="R310" i="5" s="1"/>
  <c r="M310" i="5"/>
  <c r="I310" i="5"/>
  <c r="E310" i="5"/>
  <c r="Q309" i="5"/>
  <c r="M309" i="5"/>
  <c r="J309" i="5"/>
  <c r="I309" i="5"/>
  <c r="R309" i="5" s="1"/>
  <c r="H309" i="5"/>
  <c r="G309" i="5"/>
  <c r="E309" i="5"/>
  <c r="Q308" i="5"/>
  <c r="M308" i="5"/>
  <c r="I308" i="5"/>
  <c r="E308" i="5"/>
  <c r="R308" i="5" s="1"/>
  <c r="P307" i="5"/>
  <c r="P710" i="5" s="1"/>
  <c r="K307" i="5"/>
  <c r="K710" i="5" s="1"/>
  <c r="K712" i="5" s="1"/>
  <c r="K742" i="5" s="1"/>
  <c r="J307" i="5"/>
  <c r="H307" i="5"/>
  <c r="G307" i="5"/>
  <c r="G315" i="5" s="1"/>
  <c r="F307" i="5"/>
  <c r="F710" i="5" s="1"/>
  <c r="D307" i="5"/>
  <c r="D710" i="5" s="1"/>
  <c r="Q306" i="5"/>
  <c r="R306" i="5" s="1"/>
  <c r="M306" i="5"/>
  <c r="I306" i="5"/>
  <c r="E306" i="5"/>
  <c r="Q305" i="5"/>
  <c r="M305" i="5"/>
  <c r="I305" i="5"/>
  <c r="E305" i="5"/>
  <c r="Q303" i="5"/>
  <c r="R303" i="5" s="1"/>
  <c r="M303" i="5"/>
  <c r="I303" i="5"/>
  <c r="E303" i="5"/>
  <c r="Q302" i="5"/>
  <c r="M302" i="5"/>
  <c r="I302" i="5"/>
  <c r="E302" i="5"/>
  <c r="R302" i="5" s="1"/>
  <c r="Q301" i="5"/>
  <c r="M301" i="5"/>
  <c r="I301" i="5"/>
  <c r="E301" i="5"/>
  <c r="R301" i="5" s="1"/>
  <c r="P298" i="5"/>
  <c r="O298" i="5"/>
  <c r="O367" i="5" s="1"/>
  <c r="O372" i="5" s="1"/>
  <c r="N298" i="5"/>
  <c r="N367" i="5" s="1"/>
  <c r="L298" i="5"/>
  <c r="K298" i="5"/>
  <c r="J298" i="5"/>
  <c r="H298" i="5"/>
  <c r="G298" i="5"/>
  <c r="F298" i="5"/>
  <c r="D298" i="5"/>
  <c r="C298" i="5"/>
  <c r="B298" i="5"/>
  <c r="Q296" i="5"/>
  <c r="R296" i="5" s="1"/>
  <c r="M296" i="5"/>
  <c r="I296" i="5"/>
  <c r="E296" i="5"/>
  <c r="Q295" i="5"/>
  <c r="M295" i="5"/>
  <c r="I295" i="5"/>
  <c r="E295" i="5"/>
  <c r="R295" i="5" s="1"/>
  <c r="Q294" i="5"/>
  <c r="M294" i="5"/>
  <c r="I294" i="5"/>
  <c r="E294" i="5"/>
  <c r="R294" i="5" s="1"/>
  <c r="Q293" i="5"/>
  <c r="M293" i="5"/>
  <c r="R293" i="5" s="1"/>
  <c r="I293" i="5"/>
  <c r="E293" i="5"/>
  <c r="Q291" i="5"/>
  <c r="M291" i="5"/>
  <c r="I291" i="5"/>
  <c r="E291" i="5"/>
  <c r="R290" i="5"/>
  <c r="Q290" i="5"/>
  <c r="M290" i="5"/>
  <c r="I290" i="5"/>
  <c r="E290" i="5"/>
  <c r="Q289" i="5"/>
  <c r="M289" i="5"/>
  <c r="I289" i="5"/>
  <c r="R289" i="5" s="1"/>
  <c r="E289" i="5"/>
  <c r="Q288" i="5"/>
  <c r="M288" i="5"/>
  <c r="I288" i="5"/>
  <c r="E288" i="5"/>
  <c r="Q287" i="5"/>
  <c r="R287" i="5" s="1"/>
  <c r="M287" i="5"/>
  <c r="I287" i="5"/>
  <c r="E287" i="5"/>
  <c r="Q286" i="5"/>
  <c r="M286" i="5"/>
  <c r="I286" i="5"/>
  <c r="E286" i="5"/>
  <c r="Q285" i="5"/>
  <c r="M285" i="5"/>
  <c r="I285" i="5"/>
  <c r="E285" i="5"/>
  <c r="R285" i="5" s="1"/>
  <c r="R284" i="5"/>
  <c r="Q284" i="5"/>
  <c r="M284" i="5"/>
  <c r="I284" i="5"/>
  <c r="E284" i="5"/>
  <c r="Q283" i="5"/>
  <c r="M283" i="5"/>
  <c r="I283" i="5"/>
  <c r="E283" i="5"/>
  <c r="R283" i="5" s="1"/>
  <c r="R282" i="5"/>
  <c r="Q282" i="5"/>
  <c r="M282" i="5"/>
  <c r="I282" i="5"/>
  <c r="E282" i="5"/>
  <c r="Q281" i="5"/>
  <c r="M281" i="5"/>
  <c r="I281" i="5"/>
  <c r="R281" i="5" s="1"/>
  <c r="E281" i="5"/>
  <c r="Q280" i="5"/>
  <c r="M280" i="5"/>
  <c r="I280" i="5"/>
  <c r="E280" i="5"/>
  <c r="R280" i="5" s="1"/>
  <c r="Q279" i="5"/>
  <c r="R279" i="5" s="1"/>
  <c r="M279" i="5"/>
  <c r="I279" i="5"/>
  <c r="E279" i="5"/>
  <c r="Q277" i="5"/>
  <c r="M277" i="5"/>
  <c r="I277" i="5"/>
  <c r="R277" i="5" s="1"/>
  <c r="E277" i="5"/>
  <c r="Q276" i="5"/>
  <c r="M276" i="5"/>
  <c r="I276" i="5"/>
  <c r="E276" i="5"/>
  <c r="Q275" i="5"/>
  <c r="R275" i="5" s="1"/>
  <c r="M275" i="5"/>
  <c r="I275" i="5"/>
  <c r="E275" i="5"/>
  <c r="Q274" i="5"/>
  <c r="M274" i="5"/>
  <c r="I274" i="5"/>
  <c r="E274" i="5"/>
  <c r="Q273" i="5"/>
  <c r="M273" i="5"/>
  <c r="I273" i="5"/>
  <c r="E273" i="5"/>
  <c r="R273" i="5" s="1"/>
  <c r="R272" i="5"/>
  <c r="Q272" i="5"/>
  <c r="M272" i="5"/>
  <c r="I272" i="5"/>
  <c r="E272" i="5"/>
  <c r="Q271" i="5"/>
  <c r="M271" i="5"/>
  <c r="I271" i="5"/>
  <c r="E271" i="5"/>
  <c r="R271" i="5" s="1"/>
  <c r="R270" i="5"/>
  <c r="Q270" i="5"/>
  <c r="M270" i="5"/>
  <c r="I270" i="5"/>
  <c r="E270" i="5"/>
  <c r="Q269" i="5"/>
  <c r="M269" i="5"/>
  <c r="I269" i="5"/>
  <c r="R269" i="5" s="1"/>
  <c r="E269" i="5"/>
  <c r="Q268" i="5"/>
  <c r="M268" i="5"/>
  <c r="I268" i="5"/>
  <c r="E268" i="5"/>
  <c r="R268" i="5" s="1"/>
  <c r="Q267" i="5"/>
  <c r="R267" i="5" s="1"/>
  <c r="M267" i="5"/>
  <c r="I267" i="5"/>
  <c r="E267" i="5"/>
  <c r="P260" i="5"/>
  <c r="N797" i="5" s="1"/>
  <c r="O260" i="5"/>
  <c r="N796" i="5" s="1"/>
  <c r="N260" i="5"/>
  <c r="N795" i="5" s="1"/>
  <c r="K260" i="5"/>
  <c r="N793" i="5" s="1"/>
  <c r="D260" i="5"/>
  <c r="N788" i="5" s="1"/>
  <c r="C260" i="5"/>
  <c r="N787" i="5" s="1"/>
  <c r="R259" i="5"/>
  <c r="P259" i="5"/>
  <c r="O259" i="5"/>
  <c r="N259" i="5"/>
  <c r="Q259" i="5" s="1"/>
  <c r="L259" i="5"/>
  <c r="L260" i="5" s="1"/>
  <c r="N794" i="5" s="1"/>
  <c r="K259" i="5"/>
  <c r="J259" i="5"/>
  <c r="J260" i="5" s="1"/>
  <c r="N792" i="5" s="1"/>
  <c r="H259" i="5"/>
  <c r="H260" i="5" s="1"/>
  <c r="N791" i="5" s="1"/>
  <c r="G259" i="5"/>
  <c r="G260" i="5" s="1"/>
  <c r="N790" i="5" s="1"/>
  <c r="F259" i="5"/>
  <c r="I259" i="5" s="1"/>
  <c r="D259" i="5"/>
  <c r="C259" i="5"/>
  <c r="B259" i="5"/>
  <c r="B260" i="5" s="1"/>
  <c r="N786" i="5" s="1"/>
  <c r="Q257" i="5"/>
  <c r="M257" i="5"/>
  <c r="I257" i="5"/>
  <c r="E257" i="5"/>
  <c r="R257" i="5" s="1"/>
  <c r="Q246" i="5"/>
  <c r="M246" i="5"/>
  <c r="I246" i="5"/>
  <c r="E246" i="5"/>
  <c r="R246" i="5" s="1"/>
  <c r="Q245" i="5"/>
  <c r="M245" i="5"/>
  <c r="I245" i="5"/>
  <c r="E245" i="5"/>
  <c r="R245" i="5" s="1"/>
  <c r="Q244" i="5"/>
  <c r="M244" i="5"/>
  <c r="R244" i="5" s="1"/>
  <c r="I244" i="5"/>
  <c r="E244" i="5"/>
  <c r="Q243" i="5"/>
  <c r="M243" i="5"/>
  <c r="I243" i="5"/>
  <c r="E243" i="5"/>
  <c r="R243" i="5" s="1"/>
  <c r="R242" i="5"/>
  <c r="Q242" i="5"/>
  <c r="M242" i="5"/>
  <c r="I242" i="5"/>
  <c r="E242" i="5"/>
  <c r="Q241" i="5"/>
  <c r="N241" i="5"/>
  <c r="M241" i="5"/>
  <c r="R241" i="5" s="1"/>
  <c r="L241" i="5"/>
  <c r="I241" i="5"/>
  <c r="E241" i="5"/>
  <c r="P239" i="5"/>
  <c r="O239" i="5"/>
  <c r="Q239" i="5" s="1"/>
  <c r="N239" i="5"/>
  <c r="L239" i="5"/>
  <c r="K239" i="5"/>
  <c r="J239" i="5"/>
  <c r="M239" i="5" s="1"/>
  <c r="I239" i="5"/>
  <c r="R239" i="5" s="1"/>
  <c r="H239" i="5"/>
  <c r="G239" i="5"/>
  <c r="F239" i="5"/>
  <c r="D239" i="5"/>
  <c r="C239" i="5"/>
  <c r="B239" i="5"/>
  <c r="E239" i="5" s="1"/>
  <c r="P238" i="5"/>
  <c r="Q238" i="5" s="1"/>
  <c r="R238" i="5" s="1"/>
  <c r="O238" i="5"/>
  <c r="N238" i="5"/>
  <c r="L238" i="5"/>
  <c r="K238" i="5"/>
  <c r="J238" i="5"/>
  <c r="M238" i="5" s="1"/>
  <c r="H238" i="5"/>
  <c r="I238" i="5" s="1"/>
  <c r="G238" i="5"/>
  <c r="F238" i="5"/>
  <c r="D238" i="5"/>
  <c r="C238" i="5"/>
  <c r="B238" i="5"/>
  <c r="E238" i="5" s="1"/>
  <c r="Q236" i="5"/>
  <c r="R236" i="5" s="1"/>
  <c r="M236" i="5"/>
  <c r="I236" i="5"/>
  <c r="E236" i="5"/>
  <c r="Q234" i="5"/>
  <c r="M234" i="5"/>
  <c r="I234" i="5"/>
  <c r="E234" i="5"/>
  <c r="Q233" i="5"/>
  <c r="M233" i="5"/>
  <c r="I233" i="5"/>
  <c r="E233" i="5"/>
  <c r="R233" i="5" s="1"/>
  <c r="R232" i="5"/>
  <c r="Q232" i="5"/>
  <c r="M232" i="5"/>
  <c r="I232" i="5"/>
  <c r="E232" i="5"/>
  <c r="Q231" i="5"/>
  <c r="M231" i="5"/>
  <c r="I231" i="5"/>
  <c r="E231" i="5"/>
  <c r="R231" i="5" s="1"/>
  <c r="R230" i="5"/>
  <c r="Q230" i="5"/>
  <c r="M230" i="5"/>
  <c r="I230" i="5"/>
  <c r="E230" i="5"/>
  <c r="Q229" i="5"/>
  <c r="R229" i="5" s="1"/>
  <c r="M229" i="5"/>
  <c r="I229" i="5"/>
  <c r="E229" i="5"/>
  <c r="Q228" i="5"/>
  <c r="M228" i="5"/>
  <c r="I228" i="5"/>
  <c r="E228" i="5"/>
  <c r="Q227" i="5"/>
  <c r="R227" i="5" s="1"/>
  <c r="M227" i="5"/>
  <c r="I227" i="5"/>
  <c r="E227" i="5"/>
  <c r="Q225" i="5"/>
  <c r="M225" i="5"/>
  <c r="I225" i="5"/>
  <c r="E225" i="5"/>
  <c r="R225" i="5" s="1"/>
  <c r="Q224" i="5"/>
  <c r="M224" i="5"/>
  <c r="I224" i="5"/>
  <c r="E224" i="5"/>
  <c r="R224" i="5" s="1"/>
  <c r="Q223" i="5"/>
  <c r="M223" i="5"/>
  <c r="R223" i="5" s="1"/>
  <c r="I223" i="5"/>
  <c r="E223" i="5"/>
  <c r="P220" i="5"/>
  <c r="O220" i="5"/>
  <c r="N220" i="5"/>
  <c r="G220" i="5"/>
  <c r="F220" i="5"/>
  <c r="E220" i="5"/>
  <c r="D220" i="5"/>
  <c r="C220" i="5"/>
  <c r="B220" i="5"/>
  <c r="Q219" i="5"/>
  <c r="M219" i="5"/>
  <c r="I219" i="5"/>
  <c r="E219" i="5"/>
  <c r="R219" i="5" s="1"/>
  <c r="Q218" i="5"/>
  <c r="M218" i="5"/>
  <c r="I218" i="5"/>
  <c r="E218" i="5"/>
  <c r="R218" i="5" s="1"/>
  <c r="Q217" i="5"/>
  <c r="M217" i="5"/>
  <c r="R217" i="5" s="1"/>
  <c r="I217" i="5"/>
  <c r="E217" i="5"/>
  <c r="Q216" i="5"/>
  <c r="M216" i="5"/>
  <c r="I216" i="5"/>
  <c r="E216" i="5"/>
  <c r="R216" i="5" s="1"/>
  <c r="R215" i="5"/>
  <c r="Q215" i="5"/>
  <c r="M215" i="5"/>
  <c r="I215" i="5"/>
  <c r="E215" i="5"/>
  <c r="Q214" i="5"/>
  <c r="M214" i="5"/>
  <c r="I214" i="5"/>
  <c r="R214" i="5" s="1"/>
  <c r="E214" i="5"/>
  <c r="Q213" i="5"/>
  <c r="M213" i="5"/>
  <c r="I213" i="5"/>
  <c r="E213" i="5"/>
  <c r="Q212" i="5"/>
  <c r="R212" i="5" s="1"/>
  <c r="M212" i="5"/>
  <c r="I212" i="5"/>
  <c r="E212" i="5"/>
  <c r="Q211" i="5"/>
  <c r="M211" i="5"/>
  <c r="I211" i="5"/>
  <c r="E211" i="5"/>
  <c r="Q210" i="5"/>
  <c r="L210" i="5"/>
  <c r="L715" i="5" s="1"/>
  <c r="K210" i="5"/>
  <c r="J210" i="5"/>
  <c r="H210" i="5"/>
  <c r="G210" i="5"/>
  <c r="G715" i="5" s="1"/>
  <c r="E210" i="5"/>
  <c r="Q209" i="5"/>
  <c r="M209" i="5"/>
  <c r="I209" i="5"/>
  <c r="E209" i="5"/>
  <c r="R208" i="5"/>
  <c r="Q208" i="5"/>
  <c r="M208" i="5"/>
  <c r="I208" i="5"/>
  <c r="E208" i="5"/>
  <c r="Q207" i="5"/>
  <c r="M207" i="5"/>
  <c r="I207" i="5"/>
  <c r="R207" i="5" s="1"/>
  <c r="E207" i="5"/>
  <c r="Q206" i="5"/>
  <c r="M206" i="5"/>
  <c r="I206" i="5"/>
  <c r="E206" i="5"/>
  <c r="R206" i="5" s="1"/>
  <c r="Q205" i="5"/>
  <c r="M205" i="5"/>
  <c r="I205" i="5"/>
  <c r="E205" i="5"/>
  <c r="Q204" i="5"/>
  <c r="M204" i="5"/>
  <c r="I204" i="5"/>
  <c r="E204" i="5"/>
  <c r="Q203" i="5"/>
  <c r="M203" i="5"/>
  <c r="I203" i="5"/>
  <c r="E203" i="5"/>
  <c r="R203" i="5" s="1"/>
  <c r="R202" i="5"/>
  <c r="Q202" i="5"/>
  <c r="M202" i="5"/>
  <c r="I202" i="5"/>
  <c r="E202" i="5"/>
  <c r="Q201" i="5"/>
  <c r="M201" i="5"/>
  <c r="I201" i="5"/>
  <c r="E201" i="5"/>
  <c r="R201" i="5" s="1"/>
  <c r="R200" i="5"/>
  <c r="Q200" i="5"/>
  <c r="M200" i="5"/>
  <c r="I200" i="5"/>
  <c r="E200" i="5"/>
  <c r="Q199" i="5"/>
  <c r="M199" i="5"/>
  <c r="I199" i="5"/>
  <c r="R199" i="5" s="1"/>
  <c r="E199" i="5"/>
  <c r="Q198" i="5"/>
  <c r="M198" i="5"/>
  <c r="I198" i="5"/>
  <c r="E198" i="5"/>
  <c r="R198" i="5" s="1"/>
  <c r="Q197" i="5"/>
  <c r="M197" i="5"/>
  <c r="R197" i="5" s="1"/>
  <c r="I197" i="5"/>
  <c r="E197" i="5"/>
  <c r="Q196" i="5"/>
  <c r="M196" i="5"/>
  <c r="I196" i="5"/>
  <c r="E196" i="5"/>
  <c r="R196" i="5" s="1"/>
  <c r="Q195" i="5"/>
  <c r="M195" i="5"/>
  <c r="I195" i="5"/>
  <c r="E195" i="5"/>
  <c r="R195" i="5" s="1"/>
  <c r="R194" i="5"/>
  <c r="Q194" i="5"/>
  <c r="M194" i="5"/>
  <c r="I194" i="5"/>
  <c r="E194" i="5"/>
  <c r="Q193" i="5"/>
  <c r="M193" i="5"/>
  <c r="I193" i="5"/>
  <c r="E193" i="5"/>
  <c r="R192" i="5"/>
  <c r="Q192" i="5"/>
  <c r="M192" i="5"/>
  <c r="I192" i="5"/>
  <c r="E192" i="5"/>
  <c r="R191" i="5"/>
  <c r="Q191" i="5"/>
  <c r="M191" i="5"/>
  <c r="I191" i="5"/>
  <c r="E191" i="5"/>
  <c r="Q190" i="5"/>
  <c r="M190" i="5"/>
  <c r="I190" i="5"/>
  <c r="E190" i="5"/>
  <c r="R190" i="5" s="1"/>
  <c r="Q189" i="5"/>
  <c r="M189" i="5"/>
  <c r="R189" i="5" s="1"/>
  <c r="I189" i="5"/>
  <c r="E189" i="5"/>
  <c r="Q188" i="5"/>
  <c r="M188" i="5"/>
  <c r="I188" i="5"/>
  <c r="E188" i="5"/>
  <c r="R188" i="5" s="1"/>
  <c r="Q187" i="5"/>
  <c r="M187" i="5"/>
  <c r="I187" i="5"/>
  <c r="E187" i="5"/>
  <c r="R187" i="5" s="1"/>
  <c r="P183" i="5"/>
  <c r="O183" i="5"/>
  <c r="Q183" i="5" s="1"/>
  <c r="N183" i="5"/>
  <c r="L183" i="5"/>
  <c r="K183" i="5"/>
  <c r="J183" i="5"/>
  <c r="M183" i="5" s="1"/>
  <c r="H183" i="5"/>
  <c r="G183" i="5"/>
  <c r="I183" i="5" s="1"/>
  <c r="F183" i="5"/>
  <c r="D183" i="5"/>
  <c r="C183" i="5"/>
  <c r="B183" i="5"/>
  <c r="Q181" i="5"/>
  <c r="M181" i="5"/>
  <c r="R181" i="5" s="1"/>
  <c r="I181" i="5"/>
  <c r="E181" i="5"/>
  <c r="O177" i="5"/>
  <c r="O240" i="5" s="1"/>
  <c r="O248" i="5" s="1"/>
  <c r="N177" i="5"/>
  <c r="N240" i="5" s="1"/>
  <c r="L177" i="5"/>
  <c r="K177" i="5"/>
  <c r="J177" i="5"/>
  <c r="M177" i="5" s="1"/>
  <c r="H177" i="5"/>
  <c r="G177" i="5"/>
  <c r="G240" i="5" s="1"/>
  <c r="G248" i="5" s="1"/>
  <c r="F177" i="5"/>
  <c r="I177" i="5" s="1"/>
  <c r="D177" i="5"/>
  <c r="D240" i="5" s="1"/>
  <c r="D248" i="5" s="1"/>
  <c r="D249" i="5" s="1"/>
  <c r="C177" i="5"/>
  <c r="B177" i="5"/>
  <c r="E177" i="5" s="1"/>
  <c r="Q175" i="5"/>
  <c r="M175" i="5"/>
  <c r="I175" i="5"/>
  <c r="R175" i="5" s="1"/>
  <c r="E175" i="5"/>
  <c r="Q174" i="5"/>
  <c r="M174" i="5"/>
  <c r="I174" i="5"/>
  <c r="E174" i="5"/>
  <c r="Q173" i="5"/>
  <c r="M173" i="5"/>
  <c r="I173" i="5"/>
  <c r="E173" i="5"/>
  <c r="Q171" i="5"/>
  <c r="M171" i="5"/>
  <c r="I171" i="5"/>
  <c r="E171" i="5"/>
  <c r="Q170" i="5"/>
  <c r="M170" i="5"/>
  <c r="I170" i="5"/>
  <c r="E170" i="5"/>
  <c r="R170" i="5" s="1"/>
  <c r="Q169" i="5"/>
  <c r="M169" i="5"/>
  <c r="R169" i="5" s="1"/>
  <c r="I169" i="5"/>
  <c r="E169" i="5"/>
  <c r="Q168" i="5"/>
  <c r="M168" i="5"/>
  <c r="I168" i="5"/>
  <c r="E168" i="5"/>
  <c r="R167" i="5"/>
  <c r="Q167" i="5"/>
  <c r="M167" i="5"/>
  <c r="I167" i="5"/>
  <c r="E167" i="5"/>
  <c r="Q166" i="5"/>
  <c r="R166" i="5" s="1"/>
  <c r="M166" i="5"/>
  <c r="I166" i="5"/>
  <c r="E166" i="5"/>
  <c r="Q165" i="5"/>
  <c r="M165" i="5"/>
  <c r="I165" i="5"/>
  <c r="E165" i="5"/>
  <c r="R165" i="5" s="1"/>
  <c r="Q164" i="5"/>
  <c r="M164" i="5"/>
  <c r="I164" i="5"/>
  <c r="E164" i="5"/>
  <c r="Q163" i="5"/>
  <c r="M163" i="5"/>
  <c r="I163" i="5"/>
  <c r="E163" i="5"/>
  <c r="R163" i="5" s="1"/>
  <c r="Q162" i="5"/>
  <c r="M162" i="5"/>
  <c r="I162" i="5"/>
  <c r="E162" i="5"/>
  <c r="R162" i="5" s="1"/>
  <c r="Q161" i="5"/>
  <c r="M161" i="5"/>
  <c r="R161" i="5" s="1"/>
  <c r="I161" i="5"/>
  <c r="E161" i="5"/>
  <c r="Q159" i="5"/>
  <c r="M159" i="5"/>
  <c r="I159" i="5"/>
  <c r="E159" i="5"/>
  <c r="Q158" i="5"/>
  <c r="M158" i="5"/>
  <c r="I158" i="5"/>
  <c r="E158" i="5"/>
  <c r="R158" i="5" s="1"/>
  <c r="Q157" i="5"/>
  <c r="M157" i="5"/>
  <c r="R157" i="5" s="1"/>
  <c r="I157" i="5"/>
  <c r="E157" i="5"/>
  <c r="Q156" i="5"/>
  <c r="M156" i="5"/>
  <c r="I156" i="5"/>
  <c r="E156" i="5"/>
  <c r="R155" i="5"/>
  <c r="Q155" i="5"/>
  <c r="M155" i="5"/>
  <c r="I155" i="5"/>
  <c r="E155" i="5"/>
  <c r="Q154" i="5"/>
  <c r="R154" i="5" s="1"/>
  <c r="M154" i="5"/>
  <c r="I154" i="5"/>
  <c r="E154" i="5"/>
  <c r="Q153" i="5"/>
  <c r="M153" i="5"/>
  <c r="I153" i="5"/>
  <c r="E153" i="5"/>
  <c r="R153" i="5" s="1"/>
  <c r="Q152" i="5"/>
  <c r="M152" i="5"/>
  <c r="I152" i="5"/>
  <c r="E152" i="5"/>
  <c r="Q151" i="5"/>
  <c r="M151" i="5"/>
  <c r="I151" i="5"/>
  <c r="E151" i="5"/>
  <c r="R151" i="5" s="1"/>
  <c r="Q150" i="5"/>
  <c r="M150" i="5"/>
  <c r="I150" i="5"/>
  <c r="E150" i="5"/>
  <c r="R150" i="5" s="1"/>
  <c r="Q149" i="5"/>
  <c r="M149" i="5"/>
  <c r="R149" i="5" s="1"/>
  <c r="I149" i="5"/>
  <c r="E149" i="5"/>
  <c r="Q148" i="5"/>
  <c r="M148" i="5"/>
  <c r="I148" i="5"/>
  <c r="E148" i="5"/>
  <c r="R147" i="5"/>
  <c r="Q147" i="5"/>
  <c r="M147" i="5"/>
  <c r="I147" i="5"/>
  <c r="E147" i="5"/>
  <c r="Q146" i="5"/>
  <c r="M146" i="5"/>
  <c r="I146" i="5"/>
  <c r="R146" i="5" s="1"/>
  <c r="E146" i="5"/>
  <c r="Q145" i="5"/>
  <c r="M145" i="5"/>
  <c r="I145" i="5"/>
  <c r="E145" i="5"/>
  <c r="R145" i="5" s="1"/>
  <c r="Q144" i="5"/>
  <c r="M144" i="5"/>
  <c r="I144" i="5"/>
  <c r="E144" i="5"/>
  <c r="P143" i="5"/>
  <c r="P701" i="5" s="1"/>
  <c r="P707" i="5" s="1"/>
  <c r="M143" i="5"/>
  <c r="I143" i="5"/>
  <c r="E143" i="5"/>
  <c r="Q142" i="5"/>
  <c r="M142" i="5"/>
  <c r="I142" i="5"/>
  <c r="E142" i="5"/>
  <c r="R142" i="5" s="1"/>
  <c r="Q141" i="5"/>
  <c r="M141" i="5"/>
  <c r="I141" i="5"/>
  <c r="E141" i="5"/>
  <c r="Q140" i="5"/>
  <c r="M140" i="5"/>
  <c r="I140" i="5"/>
  <c r="E140" i="5"/>
  <c r="R140" i="5" s="1"/>
  <c r="Q139" i="5"/>
  <c r="M139" i="5"/>
  <c r="I139" i="5"/>
  <c r="E139" i="5"/>
  <c r="R139" i="5" s="1"/>
  <c r="Q138" i="5"/>
  <c r="M138" i="5"/>
  <c r="R138" i="5" s="1"/>
  <c r="I138" i="5"/>
  <c r="E138" i="5"/>
  <c r="Q137" i="5"/>
  <c r="M137" i="5"/>
  <c r="I137" i="5"/>
  <c r="E137" i="5"/>
  <c r="O128" i="5"/>
  <c r="Q125" i="5"/>
  <c r="M125" i="5"/>
  <c r="I125" i="5"/>
  <c r="E125" i="5"/>
  <c r="L124" i="5"/>
  <c r="L127" i="5" s="1"/>
  <c r="P123" i="5"/>
  <c r="O123" i="5"/>
  <c r="N123" i="5"/>
  <c r="Q123" i="5" s="1"/>
  <c r="L123" i="5"/>
  <c r="K123" i="5"/>
  <c r="J123" i="5"/>
  <c r="M123" i="5" s="1"/>
  <c r="I123" i="5"/>
  <c r="H123" i="5"/>
  <c r="G123" i="5"/>
  <c r="F123" i="5"/>
  <c r="D123" i="5"/>
  <c r="C123" i="5"/>
  <c r="B123" i="5"/>
  <c r="E123" i="5" s="1"/>
  <c r="P122" i="5"/>
  <c r="O122" i="5"/>
  <c r="N122" i="5"/>
  <c r="Q122" i="5" s="1"/>
  <c r="M122" i="5"/>
  <c r="L122" i="5"/>
  <c r="K122" i="5"/>
  <c r="J122" i="5"/>
  <c r="H122" i="5"/>
  <c r="G122" i="5"/>
  <c r="F122" i="5"/>
  <c r="I122" i="5" s="1"/>
  <c r="E122" i="5"/>
  <c r="D122" i="5"/>
  <c r="C122" i="5"/>
  <c r="B122" i="5"/>
  <c r="Q120" i="5"/>
  <c r="M120" i="5"/>
  <c r="I120" i="5"/>
  <c r="E120" i="5"/>
  <c r="Q118" i="5"/>
  <c r="M118" i="5"/>
  <c r="I118" i="5"/>
  <c r="E118" i="5"/>
  <c r="Q117" i="5"/>
  <c r="M117" i="5"/>
  <c r="I117" i="5"/>
  <c r="E117" i="5"/>
  <c r="R117" i="5" s="1"/>
  <c r="Q115" i="5"/>
  <c r="M115" i="5"/>
  <c r="I115" i="5"/>
  <c r="E115" i="5"/>
  <c r="R115" i="5" s="1"/>
  <c r="Q114" i="5"/>
  <c r="M114" i="5"/>
  <c r="R114" i="5" s="1"/>
  <c r="I114" i="5"/>
  <c r="E114" i="5"/>
  <c r="Q113" i="5"/>
  <c r="M113" i="5"/>
  <c r="I113" i="5"/>
  <c r="E113" i="5"/>
  <c r="R113" i="5" s="1"/>
  <c r="R112" i="5"/>
  <c r="Q112" i="5"/>
  <c r="M112" i="5"/>
  <c r="I112" i="5"/>
  <c r="E112" i="5"/>
  <c r="Q111" i="5"/>
  <c r="M111" i="5"/>
  <c r="I111" i="5"/>
  <c r="R111" i="5" s="1"/>
  <c r="E111" i="5"/>
  <c r="Q110" i="5"/>
  <c r="M110" i="5"/>
  <c r="I110" i="5"/>
  <c r="E110" i="5"/>
  <c r="Q109" i="5"/>
  <c r="M109" i="5"/>
  <c r="I109" i="5"/>
  <c r="E109" i="5"/>
  <c r="R109" i="5" s="1"/>
  <c r="P106" i="5"/>
  <c r="Q106" i="5" s="1"/>
  <c r="O106" i="5"/>
  <c r="N106" i="5"/>
  <c r="M106" i="5"/>
  <c r="L106" i="5"/>
  <c r="K106" i="5"/>
  <c r="J106" i="5"/>
  <c r="H106" i="5"/>
  <c r="I106" i="5" s="1"/>
  <c r="G106" i="5"/>
  <c r="F106" i="5"/>
  <c r="E106" i="5"/>
  <c r="D106" i="5"/>
  <c r="C106" i="5"/>
  <c r="B106" i="5"/>
  <c r="Q105" i="5"/>
  <c r="R105" i="5" s="1"/>
  <c r="M105" i="5"/>
  <c r="I105" i="5"/>
  <c r="E105" i="5"/>
  <c r="Q104" i="5"/>
  <c r="M104" i="5"/>
  <c r="I104" i="5"/>
  <c r="E104" i="5"/>
  <c r="Q103" i="5"/>
  <c r="M103" i="5"/>
  <c r="I103" i="5"/>
  <c r="E103" i="5"/>
  <c r="Q102" i="5"/>
  <c r="M102" i="5"/>
  <c r="I102" i="5"/>
  <c r="E102" i="5"/>
  <c r="R102" i="5" s="1"/>
  <c r="Q101" i="5"/>
  <c r="M101" i="5"/>
  <c r="I101" i="5"/>
  <c r="E101" i="5"/>
  <c r="R101" i="5" s="1"/>
  <c r="Q100" i="5"/>
  <c r="M100" i="5"/>
  <c r="I100" i="5"/>
  <c r="R100" i="5" s="1"/>
  <c r="E100" i="5"/>
  <c r="Q99" i="5"/>
  <c r="M99" i="5"/>
  <c r="I99" i="5"/>
  <c r="R99" i="5" s="1"/>
  <c r="E99" i="5"/>
  <c r="P95" i="5"/>
  <c r="O95" i="5"/>
  <c r="N95" i="5"/>
  <c r="Q95" i="5" s="1"/>
  <c r="L95" i="5"/>
  <c r="K95" i="5"/>
  <c r="J95" i="5"/>
  <c r="M95" i="5" s="1"/>
  <c r="H95" i="5"/>
  <c r="G95" i="5"/>
  <c r="F95" i="5"/>
  <c r="I95" i="5" s="1"/>
  <c r="D95" i="5"/>
  <c r="C95" i="5"/>
  <c r="B95" i="5"/>
  <c r="E95" i="5" s="1"/>
  <c r="Q93" i="5"/>
  <c r="M93" i="5"/>
  <c r="I93" i="5"/>
  <c r="R93" i="5" s="1"/>
  <c r="E93" i="5"/>
  <c r="Q92" i="5"/>
  <c r="M92" i="5"/>
  <c r="I92" i="5"/>
  <c r="E92" i="5"/>
  <c r="R92" i="5" s="1"/>
  <c r="Q88" i="5"/>
  <c r="P88" i="5"/>
  <c r="O88" i="5"/>
  <c r="O124" i="5" s="1"/>
  <c r="O127" i="5" s="1"/>
  <c r="N88" i="5"/>
  <c r="L88" i="5"/>
  <c r="K88" i="5"/>
  <c r="K124" i="5" s="1"/>
  <c r="K127" i="5" s="1"/>
  <c r="J88" i="5"/>
  <c r="J124" i="5" s="1"/>
  <c r="I88" i="5"/>
  <c r="H88" i="5"/>
  <c r="G88" i="5"/>
  <c r="G124" i="5" s="1"/>
  <c r="G127" i="5" s="1"/>
  <c r="F88" i="5"/>
  <c r="D88" i="5"/>
  <c r="D124" i="5" s="1"/>
  <c r="D127" i="5" s="1"/>
  <c r="C88" i="5"/>
  <c r="C124" i="5" s="1"/>
  <c r="C127" i="5" s="1"/>
  <c r="B88" i="5"/>
  <c r="B124" i="5" s="1"/>
  <c r="R86" i="5"/>
  <c r="Q86" i="5"/>
  <c r="M86" i="5"/>
  <c r="I86" i="5"/>
  <c r="E86" i="5"/>
  <c r="Q85" i="5"/>
  <c r="M85" i="5"/>
  <c r="I85" i="5"/>
  <c r="R85" i="5" s="1"/>
  <c r="E85" i="5"/>
  <c r="Q83" i="5"/>
  <c r="M83" i="5"/>
  <c r="I83" i="5"/>
  <c r="E83" i="5"/>
  <c r="R83" i="5" s="1"/>
  <c r="Q82" i="5"/>
  <c r="R82" i="5" s="1"/>
  <c r="M82" i="5"/>
  <c r="I82" i="5"/>
  <c r="E82" i="5"/>
  <c r="Q80" i="5"/>
  <c r="M80" i="5"/>
  <c r="I80" i="5"/>
  <c r="E80" i="5"/>
  <c r="R80" i="5" s="1"/>
  <c r="Q79" i="5"/>
  <c r="M79" i="5"/>
  <c r="I79" i="5"/>
  <c r="E79" i="5"/>
  <c r="R79" i="5" s="1"/>
  <c r="Q78" i="5"/>
  <c r="R78" i="5" s="1"/>
  <c r="M78" i="5"/>
  <c r="I78" i="5"/>
  <c r="E78" i="5"/>
  <c r="Q77" i="5"/>
  <c r="M77" i="5"/>
  <c r="I77" i="5"/>
  <c r="E77" i="5"/>
  <c r="R77" i="5" s="1"/>
  <c r="Q76" i="5"/>
  <c r="M76" i="5"/>
  <c r="I76" i="5"/>
  <c r="E76" i="5"/>
  <c r="R76" i="5" s="1"/>
  <c r="Q75" i="5"/>
  <c r="M75" i="5"/>
  <c r="R75" i="5" s="1"/>
  <c r="I75" i="5"/>
  <c r="E75" i="5"/>
  <c r="Q74" i="5"/>
  <c r="M74" i="5"/>
  <c r="I74" i="5"/>
  <c r="E74" i="5"/>
  <c r="R74" i="5" s="1"/>
  <c r="R73" i="5"/>
  <c r="S79" i="5" s="1"/>
  <c r="Q73" i="5"/>
  <c r="M73" i="5"/>
  <c r="I73" i="5"/>
  <c r="E73" i="5"/>
  <c r="Q61" i="5"/>
  <c r="R61" i="5" s="1"/>
  <c r="M61" i="5"/>
  <c r="I61" i="5"/>
  <c r="E61" i="5"/>
  <c r="F60" i="5"/>
  <c r="F63" i="5" s="1"/>
  <c r="P59" i="5"/>
  <c r="O59" i="5"/>
  <c r="Q59" i="5" s="1"/>
  <c r="N59" i="5"/>
  <c r="L59" i="5"/>
  <c r="K59" i="5"/>
  <c r="J59" i="5"/>
  <c r="M59" i="5" s="1"/>
  <c r="H59" i="5"/>
  <c r="G59" i="5"/>
  <c r="I59" i="5" s="1"/>
  <c r="F59" i="5"/>
  <c r="D59" i="5"/>
  <c r="C59" i="5"/>
  <c r="B59" i="5"/>
  <c r="E59" i="5" s="1"/>
  <c r="P58" i="5"/>
  <c r="Q58" i="5" s="1"/>
  <c r="O58" i="5"/>
  <c r="N58" i="5"/>
  <c r="L58" i="5"/>
  <c r="K58" i="5"/>
  <c r="J58" i="5"/>
  <c r="M58" i="5" s="1"/>
  <c r="H58" i="5"/>
  <c r="I58" i="5" s="1"/>
  <c r="G58" i="5"/>
  <c r="F58" i="5"/>
  <c r="D58" i="5"/>
  <c r="C58" i="5"/>
  <c r="B58" i="5"/>
  <c r="E58" i="5" s="1"/>
  <c r="Q55" i="5"/>
  <c r="R55" i="5" s="1"/>
  <c r="M55" i="5"/>
  <c r="I55" i="5"/>
  <c r="E55" i="5"/>
  <c r="P51" i="5"/>
  <c r="O51" i="5"/>
  <c r="N51" i="5"/>
  <c r="N60" i="5" s="1"/>
  <c r="L51" i="5"/>
  <c r="K51" i="5"/>
  <c r="K60" i="5" s="1"/>
  <c r="K63" i="5" s="1"/>
  <c r="J51" i="5"/>
  <c r="M51" i="5" s="1"/>
  <c r="H51" i="5"/>
  <c r="G51" i="5"/>
  <c r="F51" i="5"/>
  <c r="I51" i="5" s="1"/>
  <c r="D51" i="5"/>
  <c r="C51" i="5"/>
  <c r="C60" i="5" s="1"/>
  <c r="C63" i="5" s="1"/>
  <c r="B51" i="5"/>
  <c r="E51" i="5" s="1"/>
  <c r="P47" i="5"/>
  <c r="O47" i="5"/>
  <c r="Q47" i="5" s="1"/>
  <c r="N47" i="5"/>
  <c r="L47" i="5"/>
  <c r="K47" i="5"/>
  <c r="J47" i="5"/>
  <c r="M47" i="5" s="1"/>
  <c r="H47" i="5"/>
  <c r="G47" i="5"/>
  <c r="I47" i="5" s="1"/>
  <c r="F47" i="5"/>
  <c r="D47" i="5"/>
  <c r="C47" i="5"/>
  <c r="B47" i="5"/>
  <c r="E47" i="5" s="1"/>
  <c r="Q44" i="5"/>
  <c r="M44" i="5"/>
  <c r="R44" i="5" s="1"/>
  <c r="I44" i="5"/>
  <c r="E44" i="5"/>
  <c r="P41" i="5"/>
  <c r="P60" i="5" s="1"/>
  <c r="P63" i="5" s="1"/>
  <c r="O41" i="5"/>
  <c r="N41" i="5"/>
  <c r="Q41" i="5" s="1"/>
  <c r="M41" i="5"/>
  <c r="L41" i="5"/>
  <c r="L60" i="5" s="1"/>
  <c r="L63" i="5" s="1"/>
  <c r="K41" i="5"/>
  <c r="J41" i="5"/>
  <c r="J60" i="5" s="1"/>
  <c r="H41" i="5"/>
  <c r="H60" i="5" s="1"/>
  <c r="H63" i="5" s="1"/>
  <c r="G41" i="5"/>
  <c r="F41" i="5"/>
  <c r="I41" i="5" s="1"/>
  <c r="E41" i="5"/>
  <c r="D41" i="5"/>
  <c r="D60" i="5" s="1"/>
  <c r="D63" i="5" s="1"/>
  <c r="C41" i="5"/>
  <c r="B41" i="5"/>
  <c r="B60" i="5" s="1"/>
  <c r="N29" i="5"/>
  <c r="K29" i="5"/>
  <c r="G29" i="5"/>
  <c r="C29" i="5"/>
  <c r="P28" i="5"/>
  <c r="P29" i="5" s="1"/>
  <c r="O28" i="5"/>
  <c r="O29" i="5" s="1"/>
  <c r="N28" i="5"/>
  <c r="L28" i="5"/>
  <c r="L29" i="5" s="1"/>
  <c r="K28" i="5"/>
  <c r="J28" i="5"/>
  <c r="M28" i="5" s="1"/>
  <c r="H28" i="5"/>
  <c r="G28" i="5"/>
  <c r="F28" i="5"/>
  <c r="F29" i="5" s="1"/>
  <c r="D28" i="5"/>
  <c r="D29" i="5" s="1"/>
  <c r="C28" i="5"/>
  <c r="B28" i="5"/>
  <c r="E28" i="5" s="1"/>
  <c r="Q26" i="5"/>
  <c r="M26" i="5"/>
  <c r="R26" i="5" s="1"/>
  <c r="I26" i="5"/>
  <c r="E26" i="5"/>
  <c r="Q21" i="5"/>
  <c r="M21" i="5"/>
  <c r="I21" i="5"/>
  <c r="E21" i="5"/>
  <c r="R21" i="5" s="1"/>
  <c r="P19" i="5"/>
  <c r="O19" i="5"/>
  <c r="N19" i="5"/>
  <c r="Q19" i="5" s="1"/>
  <c r="L19" i="5"/>
  <c r="K19" i="5"/>
  <c r="M19" i="5" s="1"/>
  <c r="J19" i="5"/>
  <c r="H19" i="5"/>
  <c r="G19" i="5"/>
  <c r="F19" i="5"/>
  <c r="I19" i="5" s="1"/>
  <c r="D19" i="5"/>
  <c r="C19" i="5"/>
  <c r="E19" i="5" s="1"/>
  <c r="B19" i="5"/>
  <c r="P18" i="5"/>
  <c r="O18" i="5"/>
  <c r="N18" i="5"/>
  <c r="Q18" i="5" s="1"/>
  <c r="L18" i="5"/>
  <c r="M18" i="5" s="1"/>
  <c r="K18" i="5"/>
  <c r="J18" i="5"/>
  <c r="H18" i="5"/>
  <c r="G18" i="5"/>
  <c r="F18" i="5"/>
  <c r="I18" i="5" s="1"/>
  <c r="D18" i="5"/>
  <c r="E18" i="5" s="1"/>
  <c r="C18" i="5"/>
  <c r="B18" i="5"/>
  <c r="P17" i="5"/>
  <c r="O17" i="5"/>
  <c r="N17" i="5"/>
  <c r="Q17" i="5" s="1"/>
  <c r="M17" i="5"/>
  <c r="L17" i="5"/>
  <c r="K17" i="5"/>
  <c r="J17" i="5"/>
  <c r="H17" i="5"/>
  <c r="G17" i="5"/>
  <c r="F17" i="5"/>
  <c r="I17" i="5" s="1"/>
  <c r="E17" i="5"/>
  <c r="D17" i="5"/>
  <c r="C17" i="5"/>
  <c r="B17" i="5"/>
  <c r="P16" i="5"/>
  <c r="O16" i="5"/>
  <c r="N16" i="5"/>
  <c r="Q16" i="5" s="1"/>
  <c r="L16" i="5"/>
  <c r="K16" i="5"/>
  <c r="J16" i="5"/>
  <c r="M16" i="5" s="1"/>
  <c r="H16" i="5"/>
  <c r="G16" i="5"/>
  <c r="F16" i="5"/>
  <c r="I16" i="5" s="1"/>
  <c r="D16" i="5"/>
  <c r="C16" i="5"/>
  <c r="B16" i="5"/>
  <c r="E16" i="5" s="1"/>
  <c r="P15" i="5"/>
  <c r="O15" i="5"/>
  <c r="Q15" i="5" s="1"/>
  <c r="N15" i="5"/>
  <c r="L15" i="5"/>
  <c r="K15" i="5"/>
  <c r="J15" i="5"/>
  <c r="M15" i="5" s="1"/>
  <c r="H15" i="5"/>
  <c r="G15" i="5"/>
  <c r="I15" i="5" s="1"/>
  <c r="F15" i="5"/>
  <c r="D15" i="5"/>
  <c r="C15" i="5"/>
  <c r="B15" i="5"/>
  <c r="E15" i="5" s="1"/>
  <c r="R1" i="5"/>
  <c r="O926" i="4"/>
  <c r="G888" i="4" s="1"/>
  <c r="K926" i="4"/>
  <c r="Q923" i="4"/>
  <c r="M923" i="4"/>
  <c r="Q922" i="4"/>
  <c r="M922" i="4"/>
  <c r="Q921" i="4"/>
  <c r="R923" i="4" s="1"/>
  <c r="M921" i="4"/>
  <c r="N923" i="4" s="1"/>
  <c r="Q920" i="4"/>
  <c r="M920" i="4"/>
  <c r="G920" i="4"/>
  <c r="I920" i="4" s="1"/>
  <c r="Q919" i="4"/>
  <c r="M919" i="4"/>
  <c r="G919" i="4"/>
  <c r="I919" i="4" s="1"/>
  <c r="Q918" i="4"/>
  <c r="M918" i="4"/>
  <c r="N920" i="4" s="1"/>
  <c r="G918" i="4"/>
  <c r="I918" i="4" s="1"/>
  <c r="Q917" i="4"/>
  <c r="M917" i="4"/>
  <c r="I917" i="4"/>
  <c r="G917" i="4"/>
  <c r="Q916" i="4"/>
  <c r="M916" i="4"/>
  <c r="G916" i="4"/>
  <c r="I916" i="4" s="1"/>
  <c r="Q915" i="4"/>
  <c r="R917" i="4" s="1"/>
  <c r="M915" i="4"/>
  <c r="N917" i="4" s="1"/>
  <c r="G915" i="4"/>
  <c r="Q914" i="4"/>
  <c r="M914" i="4"/>
  <c r="I914" i="4"/>
  <c r="G914" i="4"/>
  <c r="Q913" i="4"/>
  <c r="M913" i="4"/>
  <c r="G913" i="4"/>
  <c r="Q912" i="4"/>
  <c r="Q926" i="4" s="1"/>
  <c r="M912" i="4"/>
  <c r="M926" i="4" s="1"/>
  <c r="I912" i="4"/>
  <c r="G906" i="4"/>
  <c r="O905" i="4"/>
  <c r="K905" i="4"/>
  <c r="C905" i="4"/>
  <c r="I902" i="4"/>
  <c r="J899" i="4"/>
  <c r="Q898" i="4"/>
  <c r="H888" i="4"/>
  <c r="F888" i="4"/>
  <c r="J886" i="4"/>
  <c r="M886" i="4" s="1"/>
  <c r="G886" i="4"/>
  <c r="F886" i="4"/>
  <c r="H886" i="4" s="1"/>
  <c r="J885" i="4"/>
  <c r="M885" i="4" s="1"/>
  <c r="G885" i="4"/>
  <c r="F885" i="4"/>
  <c r="H885" i="4" s="1"/>
  <c r="M884" i="4"/>
  <c r="J884" i="4"/>
  <c r="G884" i="4"/>
  <c r="F884" i="4"/>
  <c r="H884" i="4" s="1"/>
  <c r="M883" i="4"/>
  <c r="J883" i="4"/>
  <c r="I883" i="4"/>
  <c r="G883" i="4"/>
  <c r="F883" i="4"/>
  <c r="M882" i="4"/>
  <c r="J882" i="4"/>
  <c r="I882" i="4"/>
  <c r="G882" i="4"/>
  <c r="F882" i="4"/>
  <c r="H882" i="4" s="1"/>
  <c r="J881" i="4"/>
  <c r="M881" i="4" s="1"/>
  <c r="H881" i="4"/>
  <c r="G881" i="4"/>
  <c r="F881" i="4"/>
  <c r="M880" i="4"/>
  <c r="J880" i="4"/>
  <c r="I880" i="4"/>
  <c r="G880" i="4"/>
  <c r="H880" i="4" s="1"/>
  <c r="F880" i="4"/>
  <c r="J879" i="4"/>
  <c r="M879" i="4" s="1"/>
  <c r="H879" i="4"/>
  <c r="G879" i="4"/>
  <c r="F879" i="4"/>
  <c r="M878" i="4"/>
  <c r="J878" i="4"/>
  <c r="G878" i="4"/>
  <c r="F878" i="4"/>
  <c r="H878" i="4" s="1"/>
  <c r="J877" i="4"/>
  <c r="M877" i="4" s="1"/>
  <c r="I877" i="4"/>
  <c r="G877" i="4"/>
  <c r="F877" i="4"/>
  <c r="H877" i="4" s="1"/>
  <c r="M876" i="4"/>
  <c r="J876" i="4"/>
  <c r="I876" i="4"/>
  <c r="G876" i="4"/>
  <c r="H876" i="4" s="1"/>
  <c r="F876" i="4"/>
  <c r="J875" i="4"/>
  <c r="M875" i="4" s="1"/>
  <c r="I875" i="4"/>
  <c r="G875" i="4"/>
  <c r="F875" i="4"/>
  <c r="H875" i="4" s="1"/>
  <c r="H868" i="4"/>
  <c r="I865" i="4"/>
  <c r="Q864" i="4"/>
  <c r="F859" i="4"/>
  <c r="P842" i="4"/>
  <c r="E842" i="4"/>
  <c r="Q839" i="4"/>
  <c r="F839" i="4"/>
  <c r="Q837" i="4"/>
  <c r="E814" i="4"/>
  <c r="F811" i="4"/>
  <c r="Q810" i="4"/>
  <c r="F807" i="4"/>
  <c r="G801" i="4"/>
  <c r="G797" i="4"/>
  <c r="E790" i="4"/>
  <c r="F787" i="4"/>
  <c r="Q786" i="4"/>
  <c r="C775" i="4"/>
  <c r="C774" i="4"/>
  <c r="C773" i="4"/>
  <c r="C772" i="4"/>
  <c r="B772" i="4"/>
  <c r="C771" i="4"/>
  <c r="B771" i="4"/>
  <c r="C770" i="4"/>
  <c r="B770" i="4"/>
  <c r="C769" i="4"/>
  <c r="B769" i="4"/>
  <c r="C768" i="4"/>
  <c r="B768" i="4"/>
  <c r="C767" i="4"/>
  <c r="B767" i="4"/>
  <c r="C766" i="4"/>
  <c r="B766" i="4"/>
  <c r="C765" i="4"/>
  <c r="B765" i="4"/>
  <c r="C764" i="4"/>
  <c r="B764" i="4"/>
  <c r="D756" i="4"/>
  <c r="Q755" i="4"/>
  <c r="L755" i="4"/>
  <c r="G750" i="4"/>
  <c r="F750" i="4"/>
  <c r="G749" i="4"/>
  <c r="F749" i="4"/>
  <c r="G748" i="4"/>
  <c r="G806" i="4" s="1"/>
  <c r="F748" i="4"/>
  <c r="B858" i="4" s="1"/>
  <c r="G747" i="4"/>
  <c r="G805" i="4" s="1"/>
  <c r="F747" i="4"/>
  <c r="G746" i="4"/>
  <c r="F746" i="4"/>
  <c r="G745" i="4"/>
  <c r="G803" i="4" s="1"/>
  <c r="F745" i="4"/>
  <c r="G744" i="4"/>
  <c r="G826" i="4" s="1"/>
  <c r="F744" i="4"/>
  <c r="D854" i="4" s="1"/>
  <c r="G743" i="4"/>
  <c r="F743" i="4"/>
  <c r="F825" i="4" s="1"/>
  <c r="G742" i="4"/>
  <c r="E878" i="4" s="1"/>
  <c r="I767" i="4" s="1"/>
  <c r="F742" i="4"/>
  <c r="G741" i="4"/>
  <c r="G799" i="4" s="1"/>
  <c r="F741" i="4"/>
  <c r="G740" i="4"/>
  <c r="G798" i="4" s="1"/>
  <c r="F740" i="4"/>
  <c r="G739" i="4"/>
  <c r="G752" i="4" s="1"/>
  <c r="F739" i="4"/>
  <c r="F752" i="4" s="1"/>
  <c r="E732" i="4"/>
  <c r="F729" i="4"/>
  <c r="Q728" i="4"/>
  <c r="A712" i="4"/>
  <c r="A710" i="4"/>
  <c r="Q706" i="4"/>
  <c r="F703" i="4"/>
  <c r="G702" i="4"/>
  <c r="P701" i="4"/>
  <c r="O701" i="4"/>
  <c r="N701" i="4"/>
  <c r="Q701" i="4" s="1"/>
  <c r="M701" i="4"/>
  <c r="L701" i="4"/>
  <c r="K701" i="4"/>
  <c r="J701" i="4"/>
  <c r="H701" i="4"/>
  <c r="G701" i="4"/>
  <c r="F701" i="4"/>
  <c r="E701" i="4"/>
  <c r="D701" i="4"/>
  <c r="C701" i="4"/>
  <c r="B701" i="4"/>
  <c r="Q700" i="4"/>
  <c r="P700" i="4"/>
  <c r="O700" i="4"/>
  <c r="O702" i="4" s="1"/>
  <c r="N700" i="4"/>
  <c r="L700" i="4"/>
  <c r="K700" i="4"/>
  <c r="J700" i="4"/>
  <c r="M700" i="4" s="1"/>
  <c r="I700" i="4"/>
  <c r="H700" i="4"/>
  <c r="G700" i="4"/>
  <c r="F700" i="4"/>
  <c r="D700" i="4"/>
  <c r="C700" i="4"/>
  <c r="B700" i="4"/>
  <c r="E700" i="4" s="1"/>
  <c r="P699" i="4"/>
  <c r="P702" i="4" s="1"/>
  <c r="O699" i="4"/>
  <c r="N699" i="4"/>
  <c r="N702" i="4" s="1"/>
  <c r="L699" i="4"/>
  <c r="L702" i="4" s="1"/>
  <c r="K699" i="4"/>
  <c r="K702" i="4" s="1"/>
  <c r="J699" i="4"/>
  <c r="H699" i="4"/>
  <c r="H702" i="4" s="1"/>
  <c r="G699" i="4"/>
  <c r="F699" i="4"/>
  <c r="F702" i="4" s="1"/>
  <c r="D699" i="4"/>
  <c r="D702" i="4" s="1"/>
  <c r="C699" i="4"/>
  <c r="C702" i="4" s="1"/>
  <c r="B699" i="4"/>
  <c r="Q698" i="4"/>
  <c r="P698" i="4"/>
  <c r="O698" i="4"/>
  <c r="N698" i="4"/>
  <c r="L698" i="4"/>
  <c r="K698" i="4"/>
  <c r="M698" i="4" s="1"/>
  <c r="J698" i="4"/>
  <c r="I698" i="4"/>
  <c r="H698" i="4"/>
  <c r="G698" i="4"/>
  <c r="F698" i="4"/>
  <c r="D698" i="4"/>
  <c r="C698" i="4"/>
  <c r="E698" i="4" s="1"/>
  <c r="B698" i="4"/>
  <c r="Q697" i="4"/>
  <c r="P697" i="4"/>
  <c r="O697" i="4"/>
  <c r="N697" i="4"/>
  <c r="L697" i="4"/>
  <c r="L703" i="4" s="1"/>
  <c r="L724" i="4" s="1"/>
  <c r="K697" i="4"/>
  <c r="J697" i="4"/>
  <c r="M697" i="4" s="1"/>
  <c r="I697" i="4"/>
  <c r="H697" i="4"/>
  <c r="G697" i="4"/>
  <c r="F697" i="4"/>
  <c r="D697" i="4"/>
  <c r="D703" i="4" s="1"/>
  <c r="D724" i="4" s="1"/>
  <c r="C697" i="4"/>
  <c r="B697" i="4"/>
  <c r="E697" i="4" s="1"/>
  <c r="R697" i="4" s="1"/>
  <c r="P696" i="4"/>
  <c r="P703" i="4" s="1"/>
  <c r="P724" i="4" s="1"/>
  <c r="O696" i="4"/>
  <c r="O703" i="4" s="1"/>
  <c r="O724" i="4" s="1"/>
  <c r="N696" i="4"/>
  <c r="Q696" i="4" s="1"/>
  <c r="L696" i="4"/>
  <c r="K696" i="4"/>
  <c r="J696" i="4"/>
  <c r="H696" i="4"/>
  <c r="H703" i="4" s="1"/>
  <c r="H724" i="4" s="1"/>
  <c r="G696" i="4"/>
  <c r="G703" i="4" s="1"/>
  <c r="G724" i="4" s="1"/>
  <c r="F696" i="4"/>
  <c r="I696" i="4" s="1"/>
  <c r="E696" i="4"/>
  <c r="D696" i="4"/>
  <c r="C696" i="4"/>
  <c r="B696" i="4"/>
  <c r="L694" i="4"/>
  <c r="L722" i="4" s="1"/>
  <c r="F694" i="4"/>
  <c r="D694" i="4"/>
  <c r="D722" i="4" s="1"/>
  <c r="P693" i="4"/>
  <c r="O693" i="4"/>
  <c r="Q693" i="4" s="1"/>
  <c r="N693" i="4"/>
  <c r="M693" i="4"/>
  <c r="L693" i="4"/>
  <c r="K693" i="4"/>
  <c r="J693" i="4"/>
  <c r="H693" i="4"/>
  <c r="G693" i="4"/>
  <c r="F693" i="4"/>
  <c r="E693" i="4"/>
  <c r="D693" i="4"/>
  <c r="C693" i="4"/>
  <c r="B693" i="4"/>
  <c r="P692" i="4"/>
  <c r="P694" i="4" s="1"/>
  <c r="P722" i="4" s="1"/>
  <c r="O692" i="4"/>
  <c r="O694" i="4" s="1"/>
  <c r="O722" i="4" s="1"/>
  <c r="N692" i="4"/>
  <c r="N694" i="4" s="1"/>
  <c r="M692" i="4"/>
  <c r="L692" i="4"/>
  <c r="K692" i="4"/>
  <c r="K694" i="4" s="1"/>
  <c r="K722" i="4" s="1"/>
  <c r="J692" i="4"/>
  <c r="J694" i="4" s="1"/>
  <c r="H692" i="4"/>
  <c r="H694" i="4" s="1"/>
  <c r="H722" i="4" s="1"/>
  <c r="G692" i="4"/>
  <c r="G694" i="4" s="1"/>
  <c r="G722" i="4" s="1"/>
  <c r="F692" i="4"/>
  <c r="E692" i="4"/>
  <c r="D692" i="4"/>
  <c r="C692" i="4"/>
  <c r="C694" i="4" s="1"/>
  <c r="C722" i="4" s="1"/>
  <c r="B692" i="4"/>
  <c r="B694" i="4" s="1"/>
  <c r="O690" i="4"/>
  <c r="O720" i="4" s="1"/>
  <c r="G690" i="4"/>
  <c r="G720" i="4" s="1"/>
  <c r="P689" i="4"/>
  <c r="O689" i="4"/>
  <c r="N689" i="4"/>
  <c r="Q689" i="4" s="1"/>
  <c r="L689" i="4"/>
  <c r="K689" i="4"/>
  <c r="J689" i="4"/>
  <c r="M689" i="4" s="1"/>
  <c r="H689" i="4"/>
  <c r="G689" i="4"/>
  <c r="F689" i="4"/>
  <c r="D689" i="4"/>
  <c r="C689" i="4"/>
  <c r="B689" i="4"/>
  <c r="E689" i="4" s="1"/>
  <c r="Q688" i="4"/>
  <c r="P688" i="4"/>
  <c r="O688" i="4"/>
  <c r="N688" i="4"/>
  <c r="L688" i="4"/>
  <c r="K688" i="4"/>
  <c r="M688" i="4" s="1"/>
  <c r="J688" i="4"/>
  <c r="I688" i="4"/>
  <c r="H688" i="4"/>
  <c r="G688" i="4"/>
  <c r="F688" i="4"/>
  <c r="D688" i="4"/>
  <c r="C688" i="4"/>
  <c r="B688" i="4"/>
  <c r="E688" i="4" s="1"/>
  <c r="P687" i="4"/>
  <c r="Q687" i="4" s="1"/>
  <c r="O687" i="4"/>
  <c r="N687" i="4"/>
  <c r="N690" i="4" s="1"/>
  <c r="L687" i="4"/>
  <c r="L690" i="4" s="1"/>
  <c r="L720" i="4" s="1"/>
  <c r="K687" i="4"/>
  <c r="K690" i="4" s="1"/>
  <c r="K720" i="4" s="1"/>
  <c r="J687" i="4"/>
  <c r="H687" i="4"/>
  <c r="I687" i="4" s="1"/>
  <c r="G687" i="4"/>
  <c r="F687" i="4"/>
  <c r="F690" i="4" s="1"/>
  <c r="F720" i="4" s="1"/>
  <c r="D687" i="4"/>
  <c r="D690" i="4" s="1"/>
  <c r="D720" i="4" s="1"/>
  <c r="C687" i="4"/>
  <c r="C690" i="4" s="1"/>
  <c r="C720" i="4" s="1"/>
  <c r="B687" i="4"/>
  <c r="C685" i="4"/>
  <c r="C718" i="4" s="1"/>
  <c r="P684" i="4"/>
  <c r="O684" i="4"/>
  <c r="N684" i="4"/>
  <c r="Q684" i="4" s="1"/>
  <c r="L684" i="4"/>
  <c r="K684" i="4"/>
  <c r="J684" i="4"/>
  <c r="H684" i="4"/>
  <c r="G684" i="4"/>
  <c r="F684" i="4"/>
  <c r="I684" i="4" s="1"/>
  <c r="D684" i="4"/>
  <c r="C684" i="4"/>
  <c r="B684" i="4"/>
  <c r="P683" i="4"/>
  <c r="O683" i="4"/>
  <c r="Q683" i="4" s="1"/>
  <c r="N683" i="4"/>
  <c r="M683" i="4"/>
  <c r="L683" i="4"/>
  <c r="K683" i="4"/>
  <c r="J683" i="4"/>
  <c r="H683" i="4"/>
  <c r="G683" i="4"/>
  <c r="I683" i="4" s="1"/>
  <c r="F683" i="4"/>
  <c r="E683" i="4"/>
  <c r="D683" i="4"/>
  <c r="C683" i="4"/>
  <c r="B683" i="4"/>
  <c r="P682" i="4"/>
  <c r="O682" i="4"/>
  <c r="N682" i="4"/>
  <c r="L682" i="4"/>
  <c r="K682" i="4"/>
  <c r="J682" i="4"/>
  <c r="M682" i="4" s="1"/>
  <c r="H682" i="4"/>
  <c r="G682" i="4"/>
  <c r="F682" i="4"/>
  <c r="I682" i="4" s="1"/>
  <c r="D682" i="4"/>
  <c r="C682" i="4"/>
  <c r="B682" i="4"/>
  <c r="E682" i="4" s="1"/>
  <c r="Q681" i="4"/>
  <c r="P681" i="4"/>
  <c r="O681" i="4"/>
  <c r="N681" i="4"/>
  <c r="L681" i="4"/>
  <c r="K681" i="4"/>
  <c r="J681" i="4"/>
  <c r="M681" i="4" s="1"/>
  <c r="H681" i="4"/>
  <c r="G681" i="4"/>
  <c r="I681" i="4" s="1"/>
  <c r="F681" i="4"/>
  <c r="D681" i="4"/>
  <c r="C681" i="4"/>
  <c r="B681" i="4"/>
  <c r="E681" i="4" s="1"/>
  <c r="P680" i="4"/>
  <c r="O680" i="4"/>
  <c r="N680" i="4"/>
  <c r="Q680" i="4" s="1"/>
  <c r="L680" i="4"/>
  <c r="K680" i="4"/>
  <c r="J680" i="4"/>
  <c r="M680" i="4" s="1"/>
  <c r="H680" i="4"/>
  <c r="G680" i="4"/>
  <c r="F680" i="4"/>
  <c r="D680" i="4"/>
  <c r="C680" i="4"/>
  <c r="B680" i="4"/>
  <c r="E680" i="4" s="1"/>
  <c r="Q679" i="4"/>
  <c r="P679" i="4"/>
  <c r="P685" i="4" s="1"/>
  <c r="P718" i="4" s="1"/>
  <c r="O679" i="4"/>
  <c r="O685" i="4" s="1"/>
  <c r="N679" i="4"/>
  <c r="L679" i="4"/>
  <c r="K679" i="4"/>
  <c r="M679" i="4" s="1"/>
  <c r="J679" i="4"/>
  <c r="H679" i="4"/>
  <c r="H685" i="4" s="1"/>
  <c r="G679" i="4"/>
  <c r="F679" i="4"/>
  <c r="F685" i="4" s="1"/>
  <c r="D679" i="4"/>
  <c r="C679" i="4"/>
  <c r="B679" i="4"/>
  <c r="B685" i="4" s="1"/>
  <c r="A672" i="4"/>
  <c r="A670" i="4"/>
  <c r="F664" i="4"/>
  <c r="Q660" i="4"/>
  <c r="M660" i="4"/>
  <c r="R660" i="4" s="1"/>
  <c r="I660" i="4"/>
  <c r="E660" i="4"/>
  <c r="N659" i="4"/>
  <c r="N662" i="4" s="1"/>
  <c r="N663" i="4" s="1"/>
  <c r="F659" i="4"/>
  <c r="F662" i="4" s="1"/>
  <c r="F663" i="4" s="1"/>
  <c r="P658" i="4"/>
  <c r="O658" i="4"/>
  <c r="O659" i="4" s="1"/>
  <c r="O662" i="4" s="1"/>
  <c r="N658" i="4"/>
  <c r="L658" i="4"/>
  <c r="K658" i="4"/>
  <c r="J658" i="4"/>
  <c r="M658" i="4" s="1"/>
  <c r="H658" i="4"/>
  <c r="G658" i="4"/>
  <c r="F658" i="4"/>
  <c r="D658" i="4"/>
  <c r="C658" i="4"/>
  <c r="B658" i="4"/>
  <c r="E658" i="4" s="1"/>
  <c r="P657" i="4"/>
  <c r="Q657" i="4" s="1"/>
  <c r="O657" i="4"/>
  <c r="N657" i="4"/>
  <c r="L657" i="4"/>
  <c r="K657" i="4"/>
  <c r="M657" i="4" s="1"/>
  <c r="J657" i="4"/>
  <c r="H657" i="4"/>
  <c r="G657" i="4"/>
  <c r="I657" i="4" s="1"/>
  <c r="F657" i="4"/>
  <c r="D657" i="4"/>
  <c r="C657" i="4"/>
  <c r="E657" i="4" s="1"/>
  <c r="B657" i="4"/>
  <c r="Q654" i="4"/>
  <c r="M654" i="4"/>
  <c r="R654" i="4" s="1"/>
  <c r="I654" i="4"/>
  <c r="E654" i="4"/>
  <c r="Q653" i="4"/>
  <c r="M653" i="4"/>
  <c r="I653" i="4"/>
  <c r="E653" i="4"/>
  <c r="Q651" i="4"/>
  <c r="M651" i="4"/>
  <c r="I651" i="4"/>
  <c r="E651" i="4"/>
  <c r="R651" i="4" s="1"/>
  <c r="P648" i="4"/>
  <c r="Q648" i="4" s="1"/>
  <c r="O648" i="4"/>
  <c r="N648" i="4"/>
  <c r="L648" i="4"/>
  <c r="K648" i="4"/>
  <c r="M648" i="4" s="1"/>
  <c r="J648" i="4"/>
  <c r="I648" i="4"/>
  <c r="H648" i="4"/>
  <c r="G648" i="4"/>
  <c r="F648" i="4"/>
  <c r="D648" i="4"/>
  <c r="C648" i="4"/>
  <c r="E648" i="4" s="1"/>
  <c r="B648" i="4"/>
  <c r="Q647" i="4"/>
  <c r="M647" i="4"/>
  <c r="I647" i="4"/>
  <c r="E647" i="4"/>
  <c r="Q646" i="4"/>
  <c r="M646" i="4"/>
  <c r="I646" i="4"/>
  <c r="E646" i="4"/>
  <c r="R644" i="4"/>
  <c r="Q644" i="4"/>
  <c r="M644" i="4"/>
  <c r="I644" i="4"/>
  <c r="E644" i="4"/>
  <c r="P641" i="4"/>
  <c r="Q641" i="4" s="1"/>
  <c r="O641" i="4"/>
  <c r="N641" i="4"/>
  <c r="L641" i="4"/>
  <c r="K641" i="4"/>
  <c r="J641" i="4"/>
  <c r="H641" i="4"/>
  <c r="G641" i="4"/>
  <c r="I641" i="4" s="1"/>
  <c r="F641" i="4"/>
  <c r="D641" i="4"/>
  <c r="C641" i="4"/>
  <c r="B641" i="4"/>
  <c r="E641" i="4" s="1"/>
  <c r="P637" i="4"/>
  <c r="O637" i="4"/>
  <c r="N637" i="4"/>
  <c r="L637" i="4"/>
  <c r="L659" i="4" s="1"/>
  <c r="L662" i="4" s="1"/>
  <c r="K637" i="4"/>
  <c r="J637" i="4"/>
  <c r="I637" i="4"/>
  <c r="H637" i="4"/>
  <c r="G637" i="4"/>
  <c r="F637" i="4"/>
  <c r="D637" i="4"/>
  <c r="D659" i="4" s="1"/>
  <c r="D662" i="4" s="1"/>
  <c r="D663" i="4" s="1"/>
  <c r="C637" i="4"/>
  <c r="C659" i="4" s="1"/>
  <c r="C662" i="4" s="1"/>
  <c r="B637" i="4"/>
  <c r="R635" i="4"/>
  <c r="Q635" i="4"/>
  <c r="M635" i="4"/>
  <c r="I635" i="4"/>
  <c r="E635" i="4"/>
  <c r="Q632" i="4"/>
  <c r="M632" i="4"/>
  <c r="I632" i="4"/>
  <c r="R632" i="4" s="1"/>
  <c r="E632" i="4"/>
  <c r="Q631" i="4"/>
  <c r="M631" i="4"/>
  <c r="I631" i="4"/>
  <c r="R631" i="4" s="1"/>
  <c r="E631" i="4"/>
  <c r="L623" i="4"/>
  <c r="Q619" i="4"/>
  <c r="M619" i="4"/>
  <c r="I619" i="4"/>
  <c r="E619" i="4"/>
  <c r="R619" i="4" s="1"/>
  <c r="Q618" i="4"/>
  <c r="M618" i="4"/>
  <c r="I618" i="4"/>
  <c r="E618" i="4"/>
  <c r="R618" i="4" s="1"/>
  <c r="N617" i="4"/>
  <c r="L617" i="4"/>
  <c r="L621" i="4" s="1"/>
  <c r="L622" i="4" s="1"/>
  <c r="P616" i="4"/>
  <c r="O616" i="4"/>
  <c r="N616" i="4"/>
  <c r="Q616" i="4" s="1"/>
  <c r="M616" i="4"/>
  <c r="L616" i="4"/>
  <c r="K616" i="4"/>
  <c r="J616" i="4"/>
  <c r="H616" i="4"/>
  <c r="G616" i="4"/>
  <c r="F616" i="4"/>
  <c r="I616" i="4" s="1"/>
  <c r="E616" i="4"/>
  <c r="D616" i="4"/>
  <c r="C616" i="4"/>
  <c r="B616" i="4"/>
  <c r="P615" i="4"/>
  <c r="O615" i="4"/>
  <c r="N615" i="4"/>
  <c r="L615" i="4"/>
  <c r="K615" i="4"/>
  <c r="J615" i="4"/>
  <c r="M615" i="4" s="1"/>
  <c r="H615" i="4"/>
  <c r="G615" i="4"/>
  <c r="F615" i="4"/>
  <c r="I615" i="4" s="1"/>
  <c r="D615" i="4"/>
  <c r="C615" i="4"/>
  <c r="B615" i="4"/>
  <c r="E615" i="4" s="1"/>
  <c r="P609" i="4"/>
  <c r="O609" i="4"/>
  <c r="Q609" i="4" s="1"/>
  <c r="N609" i="4"/>
  <c r="L609" i="4"/>
  <c r="K609" i="4"/>
  <c r="J609" i="4"/>
  <c r="M609" i="4" s="1"/>
  <c r="H609" i="4"/>
  <c r="G609" i="4"/>
  <c r="F609" i="4"/>
  <c r="D609" i="4"/>
  <c r="C609" i="4"/>
  <c r="B609" i="4"/>
  <c r="P605" i="4"/>
  <c r="O605" i="4"/>
  <c r="Q605" i="4" s="1"/>
  <c r="N605" i="4"/>
  <c r="L605" i="4"/>
  <c r="K605" i="4"/>
  <c r="J605" i="4"/>
  <c r="M605" i="4" s="1"/>
  <c r="I605" i="4"/>
  <c r="H605" i="4"/>
  <c r="G605" i="4"/>
  <c r="F605" i="4"/>
  <c r="D605" i="4"/>
  <c r="D617" i="4" s="1"/>
  <c r="D621" i="4" s="1"/>
  <c r="C605" i="4"/>
  <c r="B605" i="4"/>
  <c r="Q601" i="4"/>
  <c r="P601" i="4"/>
  <c r="P617" i="4" s="1"/>
  <c r="P621" i="4" s="1"/>
  <c r="O601" i="4"/>
  <c r="N601" i="4"/>
  <c r="L601" i="4"/>
  <c r="K601" i="4"/>
  <c r="K617" i="4" s="1"/>
  <c r="K621" i="4" s="1"/>
  <c r="J601" i="4"/>
  <c r="J617" i="4" s="1"/>
  <c r="J621" i="4" s="1"/>
  <c r="I601" i="4"/>
  <c r="H601" i="4"/>
  <c r="H617" i="4" s="1"/>
  <c r="H621" i="4" s="1"/>
  <c r="G601" i="4"/>
  <c r="F601" i="4"/>
  <c r="D601" i="4"/>
  <c r="C601" i="4"/>
  <c r="C617" i="4" s="1"/>
  <c r="C621" i="4" s="1"/>
  <c r="B601" i="4"/>
  <c r="Q597" i="4"/>
  <c r="M597" i="4"/>
  <c r="I597" i="4"/>
  <c r="E597" i="4"/>
  <c r="R597" i="4" s="1"/>
  <c r="N588" i="4"/>
  <c r="K588" i="4"/>
  <c r="G588" i="4"/>
  <c r="C588" i="4"/>
  <c r="P587" i="4"/>
  <c r="O587" i="4"/>
  <c r="O588" i="4" s="1"/>
  <c r="N587" i="4"/>
  <c r="L587" i="4"/>
  <c r="L588" i="4" s="1"/>
  <c r="K587" i="4"/>
  <c r="J587" i="4"/>
  <c r="I587" i="4"/>
  <c r="H587" i="4"/>
  <c r="H588" i="4" s="1"/>
  <c r="G587" i="4"/>
  <c r="F587" i="4"/>
  <c r="F588" i="4" s="1"/>
  <c r="D587" i="4"/>
  <c r="D588" i="4" s="1"/>
  <c r="C587" i="4"/>
  <c r="B587" i="4"/>
  <c r="Q585" i="4"/>
  <c r="M585" i="4"/>
  <c r="R585" i="4" s="1"/>
  <c r="I585" i="4"/>
  <c r="E585" i="4"/>
  <c r="R575" i="4"/>
  <c r="Q575" i="4"/>
  <c r="M575" i="4"/>
  <c r="I575" i="4"/>
  <c r="E575" i="4"/>
  <c r="O574" i="4"/>
  <c r="O577" i="4" s="1"/>
  <c r="D574" i="4"/>
  <c r="D577" i="4" s="1"/>
  <c r="P573" i="4"/>
  <c r="O573" i="4"/>
  <c r="N573" i="4"/>
  <c r="Q573" i="4" s="1"/>
  <c r="L573" i="4"/>
  <c r="K573" i="4"/>
  <c r="J573" i="4"/>
  <c r="M573" i="4" s="1"/>
  <c r="H573" i="4"/>
  <c r="G573" i="4"/>
  <c r="F573" i="4"/>
  <c r="E573" i="4"/>
  <c r="D573" i="4"/>
  <c r="C573" i="4"/>
  <c r="B573" i="4"/>
  <c r="Q572" i="4"/>
  <c r="P572" i="4"/>
  <c r="O572" i="4"/>
  <c r="N572" i="4"/>
  <c r="L572" i="4"/>
  <c r="K572" i="4"/>
  <c r="M572" i="4" s="1"/>
  <c r="J572" i="4"/>
  <c r="H572" i="4"/>
  <c r="G572" i="4"/>
  <c r="F572" i="4"/>
  <c r="I572" i="4" s="1"/>
  <c r="D572" i="4"/>
  <c r="C572" i="4"/>
  <c r="B572" i="4"/>
  <c r="Q569" i="4"/>
  <c r="M569" i="4"/>
  <c r="I569" i="4"/>
  <c r="E569" i="4"/>
  <c r="Q568" i="4"/>
  <c r="M568" i="4"/>
  <c r="I568" i="4"/>
  <c r="E568" i="4"/>
  <c r="Q567" i="4"/>
  <c r="M567" i="4"/>
  <c r="I567" i="4"/>
  <c r="E567" i="4"/>
  <c r="R567" i="4" s="1"/>
  <c r="Q566" i="4"/>
  <c r="M566" i="4"/>
  <c r="I566" i="4"/>
  <c r="E566" i="4"/>
  <c r="P562" i="4"/>
  <c r="O562" i="4"/>
  <c r="N562" i="4"/>
  <c r="L562" i="4"/>
  <c r="K562" i="4"/>
  <c r="J562" i="4"/>
  <c r="H562" i="4"/>
  <c r="G562" i="4"/>
  <c r="F562" i="4"/>
  <c r="D562" i="4"/>
  <c r="C562" i="4"/>
  <c r="E562" i="4" s="1"/>
  <c r="B562" i="4"/>
  <c r="Q560" i="4"/>
  <c r="M560" i="4"/>
  <c r="I560" i="4"/>
  <c r="E560" i="4"/>
  <c r="Q557" i="4"/>
  <c r="P557" i="4"/>
  <c r="O557" i="4"/>
  <c r="N557" i="4"/>
  <c r="L557" i="4"/>
  <c r="K557" i="4"/>
  <c r="J557" i="4"/>
  <c r="I557" i="4"/>
  <c r="H557" i="4"/>
  <c r="G557" i="4"/>
  <c r="F557" i="4"/>
  <c r="F574" i="4" s="1"/>
  <c r="F577" i="4" s="1"/>
  <c r="D557" i="4"/>
  <c r="C557" i="4"/>
  <c r="B557" i="4"/>
  <c r="E557" i="4" s="1"/>
  <c r="P553" i="4"/>
  <c r="P574" i="4" s="1"/>
  <c r="P577" i="4" s="1"/>
  <c r="O553" i="4"/>
  <c r="N553" i="4"/>
  <c r="Q553" i="4" s="1"/>
  <c r="L553" i="4"/>
  <c r="K553" i="4"/>
  <c r="J553" i="4"/>
  <c r="H553" i="4"/>
  <c r="G553" i="4"/>
  <c r="F553" i="4"/>
  <c r="E553" i="4"/>
  <c r="D553" i="4"/>
  <c r="C553" i="4"/>
  <c r="B553" i="4"/>
  <c r="Q549" i="4"/>
  <c r="M549" i="4"/>
  <c r="I549" i="4"/>
  <c r="E549" i="4"/>
  <c r="R549" i="4" s="1"/>
  <c r="R548" i="4"/>
  <c r="Q548" i="4"/>
  <c r="M548" i="4"/>
  <c r="I548" i="4"/>
  <c r="E548" i="4"/>
  <c r="Q536" i="4"/>
  <c r="M536" i="4"/>
  <c r="I536" i="4"/>
  <c r="R536" i="4" s="1"/>
  <c r="E536" i="4"/>
  <c r="G535" i="4"/>
  <c r="G538" i="4" s="1"/>
  <c r="P534" i="4"/>
  <c r="O534" i="4"/>
  <c r="N534" i="4"/>
  <c r="Q534" i="4" s="1"/>
  <c r="L534" i="4"/>
  <c r="K534" i="4"/>
  <c r="J534" i="4"/>
  <c r="M534" i="4" s="1"/>
  <c r="H534" i="4"/>
  <c r="G534" i="4"/>
  <c r="F534" i="4"/>
  <c r="D534" i="4"/>
  <c r="C534" i="4"/>
  <c r="B534" i="4"/>
  <c r="E534" i="4" s="1"/>
  <c r="P533" i="4"/>
  <c r="Q533" i="4" s="1"/>
  <c r="O533" i="4"/>
  <c r="N533" i="4"/>
  <c r="L533" i="4"/>
  <c r="K533" i="4"/>
  <c r="J533" i="4"/>
  <c r="I533" i="4"/>
  <c r="H533" i="4"/>
  <c r="G533" i="4"/>
  <c r="F533" i="4"/>
  <c r="D533" i="4"/>
  <c r="C533" i="4"/>
  <c r="B533" i="4"/>
  <c r="E533" i="4" s="1"/>
  <c r="Q530" i="4"/>
  <c r="M530" i="4"/>
  <c r="I530" i="4"/>
  <c r="E530" i="4"/>
  <c r="P526" i="4"/>
  <c r="O526" i="4"/>
  <c r="N526" i="4"/>
  <c r="Q526" i="4" s="1"/>
  <c r="M526" i="4"/>
  <c r="L526" i="4"/>
  <c r="K526" i="4"/>
  <c r="J526" i="4"/>
  <c r="H526" i="4"/>
  <c r="G526" i="4"/>
  <c r="F526" i="4"/>
  <c r="I526" i="4" s="1"/>
  <c r="E526" i="4"/>
  <c r="R526" i="4" s="1"/>
  <c r="D526" i="4"/>
  <c r="C526" i="4"/>
  <c r="B526" i="4"/>
  <c r="P522" i="4"/>
  <c r="O522" i="4"/>
  <c r="O535" i="4" s="1"/>
  <c r="O538" i="4" s="1"/>
  <c r="N522" i="4"/>
  <c r="M522" i="4"/>
  <c r="L522" i="4"/>
  <c r="K522" i="4"/>
  <c r="J522" i="4"/>
  <c r="H522" i="4"/>
  <c r="G522" i="4"/>
  <c r="F522" i="4"/>
  <c r="I522" i="4" s="1"/>
  <c r="D522" i="4"/>
  <c r="C522" i="4"/>
  <c r="B522" i="4"/>
  <c r="E522" i="4" s="1"/>
  <c r="P518" i="4"/>
  <c r="O518" i="4"/>
  <c r="N518" i="4"/>
  <c r="L518" i="4"/>
  <c r="L535" i="4" s="1"/>
  <c r="L538" i="4" s="1"/>
  <c r="L539" i="4" s="1"/>
  <c r="K518" i="4"/>
  <c r="K535" i="4" s="1"/>
  <c r="K538" i="4" s="1"/>
  <c r="J518" i="4"/>
  <c r="I518" i="4"/>
  <c r="H518" i="4"/>
  <c r="G518" i="4"/>
  <c r="F518" i="4"/>
  <c r="D518" i="4"/>
  <c r="D535" i="4" s="1"/>
  <c r="D538" i="4" s="1"/>
  <c r="C518" i="4"/>
  <c r="B518" i="4"/>
  <c r="Q514" i="4"/>
  <c r="R514" i="4" s="1"/>
  <c r="M514" i="4"/>
  <c r="I514" i="4"/>
  <c r="E514" i="4"/>
  <c r="R513" i="4"/>
  <c r="Q513" i="4"/>
  <c r="M513" i="4"/>
  <c r="I513" i="4"/>
  <c r="E513" i="4"/>
  <c r="N504" i="4"/>
  <c r="L504" i="4"/>
  <c r="J504" i="4"/>
  <c r="G504" i="4"/>
  <c r="C504" i="4"/>
  <c r="B504" i="4"/>
  <c r="P503" i="4"/>
  <c r="P504" i="4" s="1"/>
  <c r="O503" i="4"/>
  <c r="O504" i="4" s="1"/>
  <c r="N503" i="4"/>
  <c r="L503" i="4"/>
  <c r="K503" i="4"/>
  <c r="J503" i="4"/>
  <c r="I503" i="4"/>
  <c r="H503" i="4"/>
  <c r="H504" i="4" s="1"/>
  <c r="G503" i="4"/>
  <c r="F503" i="4"/>
  <c r="F504" i="4" s="1"/>
  <c r="D503" i="4"/>
  <c r="D504" i="4" s="1"/>
  <c r="C503" i="4"/>
  <c r="B503" i="4"/>
  <c r="E503" i="4" s="1"/>
  <c r="Q501" i="4"/>
  <c r="R501" i="4" s="1"/>
  <c r="M501" i="4"/>
  <c r="I501" i="4"/>
  <c r="E501" i="4"/>
  <c r="Q491" i="4"/>
  <c r="M491" i="4"/>
  <c r="I491" i="4"/>
  <c r="E491" i="4"/>
  <c r="P490" i="4"/>
  <c r="P493" i="4" s="1"/>
  <c r="D490" i="4"/>
  <c r="D493" i="4" s="1"/>
  <c r="P489" i="4"/>
  <c r="O489" i="4"/>
  <c r="N489" i="4"/>
  <c r="Q489" i="4" s="1"/>
  <c r="L489" i="4"/>
  <c r="K489" i="4"/>
  <c r="J489" i="4"/>
  <c r="M489" i="4" s="1"/>
  <c r="H489" i="4"/>
  <c r="G489" i="4"/>
  <c r="F489" i="4"/>
  <c r="I489" i="4" s="1"/>
  <c r="D489" i="4"/>
  <c r="C489" i="4"/>
  <c r="B489" i="4"/>
  <c r="E489" i="4" s="1"/>
  <c r="P488" i="4"/>
  <c r="O488" i="4"/>
  <c r="N488" i="4"/>
  <c r="Q488" i="4" s="1"/>
  <c r="L488" i="4"/>
  <c r="K488" i="4"/>
  <c r="J488" i="4"/>
  <c r="M488" i="4" s="1"/>
  <c r="H488" i="4"/>
  <c r="G488" i="4"/>
  <c r="F488" i="4"/>
  <c r="D488" i="4"/>
  <c r="C488" i="4"/>
  <c r="B488" i="4"/>
  <c r="Q487" i="4"/>
  <c r="M487" i="4"/>
  <c r="I487" i="4"/>
  <c r="E487" i="4"/>
  <c r="Q484" i="4"/>
  <c r="M484" i="4"/>
  <c r="I484" i="4"/>
  <c r="E484" i="4"/>
  <c r="R484" i="4" s="1"/>
  <c r="Q483" i="4"/>
  <c r="R483" i="4" s="1"/>
  <c r="M483" i="4"/>
  <c r="I483" i="4"/>
  <c r="E483" i="4"/>
  <c r="Q482" i="4"/>
  <c r="M482" i="4"/>
  <c r="I482" i="4"/>
  <c r="E482" i="4"/>
  <c r="R482" i="4" s="1"/>
  <c r="Q481" i="4"/>
  <c r="M481" i="4"/>
  <c r="I481" i="4"/>
  <c r="E481" i="4"/>
  <c r="R479" i="4"/>
  <c r="Q479" i="4"/>
  <c r="M479" i="4"/>
  <c r="I479" i="4"/>
  <c r="E479" i="4"/>
  <c r="Q478" i="4"/>
  <c r="M478" i="4"/>
  <c r="I478" i="4"/>
  <c r="R478" i="4" s="1"/>
  <c r="E478" i="4"/>
  <c r="P475" i="4"/>
  <c r="O475" i="4"/>
  <c r="N475" i="4"/>
  <c r="Q475" i="4" s="1"/>
  <c r="L475" i="4"/>
  <c r="K475" i="4"/>
  <c r="J475" i="4"/>
  <c r="M475" i="4" s="1"/>
  <c r="H475" i="4"/>
  <c r="G475" i="4"/>
  <c r="F475" i="4"/>
  <c r="D475" i="4"/>
  <c r="C475" i="4"/>
  <c r="B475" i="4"/>
  <c r="Q474" i="4"/>
  <c r="M474" i="4"/>
  <c r="I474" i="4"/>
  <c r="E474" i="4"/>
  <c r="P470" i="4"/>
  <c r="Q470" i="4" s="1"/>
  <c r="O470" i="4"/>
  <c r="N470" i="4"/>
  <c r="L470" i="4"/>
  <c r="K470" i="4"/>
  <c r="J470" i="4"/>
  <c r="M470" i="4" s="1"/>
  <c r="H470" i="4"/>
  <c r="I470" i="4" s="1"/>
  <c r="G470" i="4"/>
  <c r="F470" i="4"/>
  <c r="D470" i="4"/>
  <c r="C470" i="4"/>
  <c r="B470" i="4"/>
  <c r="E470" i="4" s="1"/>
  <c r="R470" i="4" s="1"/>
  <c r="Q468" i="4"/>
  <c r="M468" i="4"/>
  <c r="I468" i="4"/>
  <c r="E468" i="4"/>
  <c r="R468" i="4" s="1"/>
  <c r="Q467" i="4"/>
  <c r="M467" i="4"/>
  <c r="I467" i="4"/>
  <c r="E467" i="4"/>
  <c r="P464" i="4"/>
  <c r="O464" i="4"/>
  <c r="N464" i="4"/>
  <c r="L464" i="4"/>
  <c r="L490" i="4" s="1"/>
  <c r="L493" i="4" s="1"/>
  <c r="K464" i="4"/>
  <c r="J464" i="4"/>
  <c r="H464" i="4"/>
  <c r="H490" i="4" s="1"/>
  <c r="H493" i="4" s="1"/>
  <c r="G464" i="4"/>
  <c r="F464" i="4"/>
  <c r="E464" i="4"/>
  <c r="D464" i="4"/>
  <c r="C464" i="4"/>
  <c r="B464" i="4"/>
  <c r="B490" i="4" s="1"/>
  <c r="Q462" i="4"/>
  <c r="M462" i="4"/>
  <c r="I462" i="4"/>
  <c r="E462" i="4"/>
  <c r="R459" i="4"/>
  <c r="Q459" i="4"/>
  <c r="M459" i="4"/>
  <c r="I459" i="4"/>
  <c r="E459" i="4"/>
  <c r="Q458" i="4"/>
  <c r="M458" i="4"/>
  <c r="I458" i="4"/>
  <c r="R458" i="4" s="1"/>
  <c r="E458" i="4"/>
  <c r="Q457" i="4"/>
  <c r="M457" i="4"/>
  <c r="I457" i="4"/>
  <c r="E457" i="4"/>
  <c r="Q456" i="4"/>
  <c r="M456" i="4"/>
  <c r="R456" i="4" s="1"/>
  <c r="I456" i="4"/>
  <c r="E456" i="4"/>
  <c r="R455" i="4"/>
  <c r="Q455" i="4"/>
  <c r="M455" i="4"/>
  <c r="I455" i="4"/>
  <c r="E455" i="4"/>
  <c r="Q454" i="4"/>
  <c r="M454" i="4"/>
  <c r="I454" i="4"/>
  <c r="R454" i="4" s="1"/>
  <c r="E454" i="4"/>
  <c r="J444" i="4"/>
  <c r="Q442" i="4"/>
  <c r="M442" i="4"/>
  <c r="I442" i="4"/>
  <c r="E442" i="4"/>
  <c r="R442" i="4" s="1"/>
  <c r="J441" i="4"/>
  <c r="G441" i="4"/>
  <c r="G444" i="4" s="1"/>
  <c r="G445" i="4" s="1"/>
  <c r="B441" i="4"/>
  <c r="P440" i="4"/>
  <c r="O440" i="4"/>
  <c r="N440" i="4"/>
  <c r="L440" i="4"/>
  <c r="K440" i="4"/>
  <c r="J440" i="4"/>
  <c r="I440" i="4"/>
  <c r="H440" i="4"/>
  <c r="G440" i="4"/>
  <c r="F440" i="4"/>
  <c r="D440" i="4"/>
  <c r="C440" i="4"/>
  <c r="E440" i="4" s="1"/>
  <c r="B440" i="4"/>
  <c r="Q439" i="4"/>
  <c r="P439" i="4"/>
  <c r="O439" i="4"/>
  <c r="N439" i="4"/>
  <c r="L439" i="4"/>
  <c r="M439" i="4" s="1"/>
  <c r="K439" i="4"/>
  <c r="J439" i="4"/>
  <c r="I439" i="4"/>
  <c r="H439" i="4"/>
  <c r="G439" i="4"/>
  <c r="F439" i="4"/>
  <c r="D439" i="4"/>
  <c r="E439" i="4" s="1"/>
  <c r="R439" i="4" s="1"/>
  <c r="C439" i="4"/>
  <c r="B439" i="4"/>
  <c r="R438" i="4"/>
  <c r="Q438" i="4"/>
  <c r="M438" i="4"/>
  <c r="I438" i="4"/>
  <c r="E438" i="4"/>
  <c r="Q437" i="4"/>
  <c r="M437" i="4"/>
  <c r="I437" i="4"/>
  <c r="R437" i="4" s="1"/>
  <c r="E437" i="4"/>
  <c r="Q435" i="4"/>
  <c r="M435" i="4"/>
  <c r="I435" i="4"/>
  <c r="E435" i="4"/>
  <c r="P430" i="4"/>
  <c r="P441" i="4" s="1"/>
  <c r="P444" i="4" s="1"/>
  <c r="O430" i="4"/>
  <c r="N430" i="4"/>
  <c r="M430" i="4"/>
  <c r="L430" i="4"/>
  <c r="K430" i="4"/>
  <c r="J430" i="4"/>
  <c r="H430" i="4"/>
  <c r="H441" i="4" s="1"/>
  <c r="H444" i="4" s="1"/>
  <c r="G430" i="4"/>
  <c r="F430" i="4"/>
  <c r="E430" i="4"/>
  <c r="D430" i="4"/>
  <c r="C430" i="4"/>
  <c r="B430" i="4"/>
  <c r="P426" i="4"/>
  <c r="O426" i="4"/>
  <c r="N426" i="4"/>
  <c r="Q426" i="4" s="1"/>
  <c r="M426" i="4"/>
  <c r="L426" i="4"/>
  <c r="K426" i="4"/>
  <c r="K441" i="4" s="1"/>
  <c r="K444" i="4" s="1"/>
  <c r="J426" i="4"/>
  <c r="H426" i="4"/>
  <c r="G426" i="4"/>
  <c r="F426" i="4"/>
  <c r="I426" i="4" s="1"/>
  <c r="E426" i="4"/>
  <c r="R426" i="4" s="1"/>
  <c r="D426" i="4"/>
  <c r="C426" i="4"/>
  <c r="B426" i="4"/>
  <c r="Q423" i="4"/>
  <c r="M423" i="4"/>
  <c r="I423" i="4"/>
  <c r="R423" i="4" s="1"/>
  <c r="E423" i="4"/>
  <c r="Q422" i="4"/>
  <c r="M422" i="4"/>
  <c r="I422" i="4"/>
  <c r="E422" i="4"/>
  <c r="R422" i="4" s="1"/>
  <c r="P419" i="4"/>
  <c r="O419" i="4"/>
  <c r="N419" i="4"/>
  <c r="M419" i="4"/>
  <c r="L419" i="4"/>
  <c r="K419" i="4"/>
  <c r="J419" i="4"/>
  <c r="H419" i="4"/>
  <c r="G419" i="4"/>
  <c r="F419" i="4"/>
  <c r="E419" i="4"/>
  <c r="D419" i="4"/>
  <c r="C419" i="4"/>
  <c r="B419" i="4"/>
  <c r="Q415" i="4"/>
  <c r="M415" i="4"/>
  <c r="I415" i="4"/>
  <c r="E415" i="4"/>
  <c r="R415" i="4" s="1"/>
  <c r="Q414" i="4"/>
  <c r="M414" i="4"/>
  <c r="I414" i="4"/>
  <c r="R414" i="4" s="1"/>
  <c r="E414" i="4"/>
  <c r="Q413" i="4"/>
  <c r="M413" i="4"/>
  <c r="I413" i="4"/>
  <c r="E413" i="4"/>
  <c r="K404" i="4"/>
  <c r="R401" i="4"/>
  <c r="Q401" i="4"/>
  <c r="M401" i="4"/>
  <c r="I401" i="4"/>
  <c r="E401" i="4"/>
  <c r="L400" i="4"/>
  <c r="L403" i="4" s="1"/>
  <c r="P399" i="4"/>
  <c r="O399" i="4"/>
  <c r="N399" i="4"/>
  <c r="Q399" i="4" s="1"/>
  <c r="L399" i="4"/>
  <c r="M399" i="4" s="1"/>
  <c r="K399" i="4"/>
  <c r="J399" i="4"/>
  <c r="H399" i="4"/>
  <c r="H400" i="4" s="1"/>
  <c r="H403" i="4" s="1"/>
  <c r="G399" i="4"/>
  <c r="F399" i="4"/>
  <c r="I399" i="4" s="1"/>
  <c r="D399" i="4"/>
  <c r="E399" i="4" s="1"/>
  <c r="C399" i="4"/>
  <c r="B399" i="4"/>
  <c r="Q398" i="4"/>
  <c r="P398" i="4"/>
  <c r="O398" i="4"/>
  <c r="N398" i="4"/>
  <c r="M398" i="4"/>
  <c r="L398" i="4"/>
  <c r="K398" i="4"/>
  <c r="J398" i="4"/>
  <c r="I398" i="4"/>
  <c r="H398" i="4"/>
  <c r="G398" i="4"/>
  <c r="F398" i="4"/>
  <c r="E398" i="4"/>
  <c r="R398" i="4" s="1"/>
  <c r="D398" i="4"/>
  <c r="C398" i="4"/>
  <c r="B398" i="4"/>
  <c r="R397" i="4"/>
  <c r="Q397" i="4"/>
  <c r="M397" i="4"/>
  <c r="I397" i="4"/>
  <c r="E397" i="4"/>
  <c r="Q396" i="4"/>
  <c r="M396" i="4"/>
  <c r="I396" i="4"/>
  <c r="E396" i="4"/>
  <c r="R396" i="4" s="1"/>
  <c r="Q394" i="4"/>
  <c r="R394" i="4" s="1"/>
  <c r="M394" i="4"/>
  <c r="I394" i="4"/>
  <c r="E394" i="4"/>
  <c r="Q393" i="4"/>
  <c r="M393" i="4"/>
  <c r="I393" i="4"/>
  <c r="E393" i="4"/>
  <c r="R393" i="4" s="1"/>
  <c r="P388" i="4"/>
  <c r="O388" i="4"/>
  <c r="N388" i="4"/>
  <c r="L388" i="4"/>
  <c r="K388" i="4"/>
  <c r="J388" i="4"/>
  <c r="H388" i="4"/>
  <c r="G388" i="4"/>
  <c r="F388" i="4"/>
  <c r="I388" i="4" s="1"/>
  <c r="D388" i="4"/>
  <c r="D400" i="4" s="1"/>
  <c r="D403" i="4" s="1"/>
  <c r="C388" i="4"/>
  <c r="B388" i="4"/>
  <c r="P384" i="4"/>
  <c r="O384" i="4"/>
  <c r="O400" i="4" s="1"/>
  <c r="O403" i="4" s="1"/>
  <c r="N384" i="4"/>
  <c r="L384" i="4"/>
  <c r="K384" i="4"/>
  <c r="M384" i="4" s="1"/>
  <c r="J384" i="4"/>
  <c r="H384" i="4"/>
  <c r="G384" i="4"/>
  <c r="F384" i="4"/>
  <c r="E384" i="4"/>
  <c r="D384" i="4"/>
  <c r="C384" i="4"/>
  <c r="B384" i="4"/>
  <c r="Q381" i="4"/>
  <c r="M381" i="4"/>
  <c r="I381" i="4"/>
  <c r="E381" i="4"/>
  <c r="R381" i="4" s="1"/>
  <c r="P378" i="4"/>
  <c r="O378" i="4"/>
  <c r="N378" i="4"/>
  <c r="L378" i="4"/>
  <c r="K378" i="4"/>
  <c r="K400" i="4" s="1"/>
  <c r="K403" i="4" s="1"/>
  <c r="J378" i="4"/>
  <c r="J400" i="4" s="1"/>
  <c r="J403" i="4" s="1"/>
  <c r="H378" i="4"/>
  <c r="G378" i="4"/>
  <c r="F378" i="4"/>
  <c r="D378" i="4"/>
  <c r="C378" i="4"/>
  <c r="C400" i="4" s="1"/>
  <c r="C403" i="4" s="1"/>
  <c r="B378" i="4"/>
  <c r="B400" i="4" s="1"/>
  <c r="Q375" i="4"/>
  <c r="M375" i="4"/>
  <c r="I375" i="4"/>
  <c r="R375" i="4" s="1"/>
  <c r="E375" i="4"/>
  <c r="Q374" i="4"/>
  <c r="M374" i="4"/>
  <c r="I374" i="4"/>
  <c r="E374" i="4"/>
  <c r="Q372" i="4"/>
  <c r="M372" i="4"/>
  <c r="I372" i="4"/>
  <c r="E372" i="4"/>
  <c r="Q360" i="4"/>
  <c r="M360" i="4"/>
  <c r="I360" i="4"/>
  <c r="E360" i="4"/>
  <c r="R360" i="4" s="1"/>
  <c r="Q359" i="4"/>
  <c r="R359" i="4" s="1"/>
  <c r="M359" i="4"/>
  <c r="I359" i="4"/>
  <c r="E359" i="4"/>
  <c r="O358" i="4"/>
  <c r="O362" i="4" s="1"/>
  <c r="B358" i="4"/>
  <c r="P357" i="4"/>
  <c r="O357" i="4"/>
  <c r="N357" i="4"/>
  <c r="L357" i="4"/>
  <c r="K357" i="4"/>
  <c r="J357" i="4"/>
  <c r="H357" i="4"/>
  <c r="G357" i="4"/>
  <c r="F357" i="4"/>
  <c r="D357" i="4"/>
  <c r="C357" i="4"/>
  <c r="B357" i="4"/>
  <c r="E357" i="4" s="1"/>
  <c r="P356" i="4"/>
  <c r="O356" i="4"/>
  <c r="Q356" i="4" s="1"/>
  <c r="N356" i="4"/>
  <c r="L356" i="4"/>
  <c r="K356" i="4"/>
  <c r="J356" i="4"/>
  <c r="I356" i="4"/>
  <c r="H356" i="4"/>
  <c r="G356" i="4"/>
  <c r="F356" i="4"/>
  <c r="D356" i="4"/>
  <c r="C356" i="4"/>
  <c r="E356" i="4" s="1"/>
  <c r="B356" i="4"/>
  <c r="Q355" i="4"/>
  <c r="M355" i="4"/>
  <c r="R355" i="4" s="1"/>
  <c r="I355" i="4"/>
  <c r="E355" i="4"/>
  <c r="Q354" i="4"/>
  <c r="M354" i="4"/>
  <c r="I354" i="4"/>
  <c r="E354" i="4"/>
  <c r="R354" i="4" s="1"/>
  <c r="Q353" i="4"/>
  <c r="M353" i="4"/>
  <c r="I353" i="4"/>
  <c r="E353" i="4"/>
  <c r="R353" i="4" s="1"/>
  <c r="Q352" i="4"/>
  <c r="M352" i="4"/>
  <c r="I352" i="4"/>
  <c r="E352" i="4"/>
  <c r="Q351" i="4"/>
  <c r="M351" i="4"/>
  <c r="I351" i="4"/>
  <c r="E351" i="4"/>
  <c r="Q350" i="4"/>
  <c r="M350" i="4"/>
  <c r="I350" i="4"/>
  <c r="E350" i="4"/>
  <c r="R350" i="4" s="1"/>
  <c r="R349" i="4"/>
  <c r="Q349" i="4"/>
  <c r="M349" i="4"/>
  <c r="I349" i="4"/>
  <c r="E349" i="4"/>
  <c r="Q347" i="4"/>
  <c r="M347" i="4"/>
  <c r="I347" i="4"/>
  <c r="E347" i="4"/>
  <c r="Q346" i="4"/>
  <c r="R346" i="4" s="1"/>
  <c r="M346" i="4"/>
  <c r="I346" i="4"/>
  <c r="E346" i="4"/>
  <c r="Q345" i="4"/>
  <c r="M345" i="4"/>
  <c r="I345" i="4"/>
  <c r="E345" i="4"/>
  <c r="R345" i="4" s="1"/>
  <c r="Q344" i="4"/>
  <c r="M344" i="4"/>
  <c r="I344" i="4"/>
  <c r="E344" i="4"/>
  <c r="R344" i="4" s="1"/>
  <c r="Q343" i="4"/>
  <c r="M343" i="4"/>
  <c r="I343" i="4"/>
  <c r="E343" i="4"/>
  <c r="Q342" i="4"/>
  <c r="M342" i="4"/>
  <c r="I342" i="4"/>
  <c r="E342" i="4"/>
  <c r="R341" i="4"/>
  <c r="Q341" i="4"/>
  <c r="M341" i="4"/>
  <c r="I341" i="4"/>
  <c r="E341" i="4"/>
  <c r="Q340" i="4"/>
  <c r="M340" i="4"/>
  <c r="I340" i="4"/>
  <c r="E340" i="4"/>
  <c r="R340" i="4" s="1"/>
  <c r="Q339" i="4"/>
  <c r="M339" i="4"/>
  <c r="I339" i="4"/>
  <c r="R339" i="4" s="1"/>
  <c r="E339" i="4"/>
  <c r="Q338" i="4"/>
  <c r="M338" i="4"/>
  <c r="R338" i="4" s="1"/>
  <c r="I338" i="4"/>
  <c r="E338" i="4"/>
  <c r="Q337" i="4"/>
  <c r="M337" i="4"/>
  <c r="I337" i="4"/>
  <c r="E337" i="4"/>
  <c r="R337" i="4" s="1"/>
  <c r="R335" i="4"/>
  <c r="Q335" i="4"/>
  <c r="M335" i="4"/>
  <c r="I335" i="4"/>
  <c r="E335" i="4"/>
  <c r="Q334" i="4"/>
  <c r="M334" i="4"/>
  <c r="I334" i="4"/>
  <c r="E334" i="4"/>
  <c r="R334" i="4" s="1"/>
  <c r="Q332" i="4"/>
  <c r="M332" i="4"/>
  <c r="I332" i="4"/>
  <c r="E332" i="4"/>
  <c r="P329" i="4"/>
  <c r="O329" i="4"/>
  <c r="N329" i="4"/>
  <c r="Q329" i="4" s="1"/>
  <c r="M329" i="4"/>
  <c r="L329" i="4"/>
  <c r="K329" i="4"/>
  <c r="J329" i="4"/>
  <c r="H329" i="4"/>
  <c r="G329" i="4"/>
  <c r="F329" i="4"/>
  <c r="I329" i="4" s="1"/>
  <c r="E329" i="4"/>
  <c r="D329" i="4"/>
  <c r="C329" i="4"/>
  <c r="B329" i="4"/>
  <c r="Q328" i="4"/>
  <c r="M328" i="4"/>
  <c r="I328" i="4"/>
  <c r="E328" i="4"/>
  <c r="R328" i="4" s="1"/>
  <c r="Q327" i="4"/>
  <c r="M327" i="4"/>
  <c r="I327" i="4"/>
  <c r="E327" i="4"/>
  <c r="Q326" i="4"/>
  <c r="M326" i="4"/>
  <c r="I326" i="4"/>
  <c r="E326" i="4"/>
  <c r="Q325" i="4"/>
  <c r="M325" i="4"/>
  <c r="I325" i="4"/>
  <c r="E325" i="4"/>
  <c r="R325" i="4" s="1"/>
  <c r="R324" i="4"/>
  <c r="Q324" i="4"/>
  <c r="M324" i="4"/>
  <c r="I324" i="4"/>
  <c r="E324" i="4"/>
  <c r="Q323" i="4"/>
  <c r="M323" i="4"/>
  <c r="I323" i="4"/>
  <c r="E323" i="4"/>
  <c r="R323" i="4" s="1"/>
  <c r="Q322" i="4"/>
  <c r="R322" i="4" s="1"/>
  <c r="M322" i="4"/>
  <c r="I322" i="4"/>
  <c r="E322" i="4"/>
  <c r="Q321" i="4"/>
  <c r="M321" i="4"/>
  <c r="I321" i="4"/>
  <c r="E321" i="4"/>
  <c r="R321" i="4" s="1"/>
  <c r="Q320" i="4"/>
  <c r="M320" i="4"/>
  <c r="I320" i="4"/>
  <c r="E320" i="4"/>
  <c r="R320" i="4" s="1"/>
  <c r="Q319" i="4"/>
  <c r="M319" i="4"/>
  <c r="I319" i="4"/>
  <c r="E319" i="4"/>
  <c r="Q318" i="4"/>
  <c r="M318" i="4"/>
  <c r="I318" i="4"/>
  <c r="E318" i="4"/>
  <c r="R317" i="4"/>
  <c r="Q317" i="4"/>
  <c r="M317" i="4"/>
  <c r="I317" i="4"/>
  <c r="E317" i="4"/>
  <c r="Q316" i="4"/>
  <c r="M316" i="4"/>
  <c r="I316" i="4"/>
  <c r="E316" i="4"/>
  <c r="Q315" i="4"/>
  <c r="M315" i="4"/>
  <c r="I315" i="4"/>
  <c r="E315" i="4"/>
  <c r="R315" i="4" s="1"/>
  <c r="Q314" i="4"/>
  <c r="M314" i="4"/>
  <c r="R314" i="4" s="1"/>
  <c r="I314" i="4"/>
  <c r="E314" i="4"/>
  <c r="Q313" i="4"/>
  <c r="M313" i="4"/>
  <c r="I313" i="4"/>
  <c r="E313" i="4"/>
  <c r="R313" i="4" s="1"/>
  <c r="R311" i="4"/>
  <c r="Q311" i="4"/>
  <c r="M311" i="4"/>
  <c r="I311" i="4"/>
  <c r="E311" i="4"/>
  <c r="Q310" i="4"/>
  <c r="M310" i="4"/>
  <c r="I310" i="4"/>
  <c r="E310" i="4"/>
  <c r="P307" i="4"/>
  <c r="Q307" i="4" s="1"/>
  <c r="O307" i="4"/>
  <c r="N307" i="4"/>
  <c r="M307" i="4"/>
  <c r="L307" i="4"/>
  <c r="K307" i="4"/>
  <c r="J307" i="4"/>
  <c r="H307" i="4"/>
  <c r="I307" i="4" s="1"/>
  <c r="G307" i="4"/>
  <c r="F307" i="4"/>
  <c r="E307" i="4"/>
  <c r="D307" i="4"/>
  <c r="C307" i="4"/>
  <c r="B307" i="4"/>
  <c r="Q305" i="4"/>
  <c r="M305" i="4"/>
  <c r="I305" i="4"/>
  <c r="E305" i="4"/>
  <c r="R305" i="4" s="1"/>
  <c r="Q304" i="4"/>
  <c r="M304" i="4"/>
  <c r="I304" i="4"/>
  <c r="E304" i="4"/>
  <c r="R304" i="4" s="1"/>
  <c r="Q303" i="4"/>
  <c r="M303" i="4"/>
  <c r="I303" i="4"/>
  <c r="E303" i="4"/>
  <c r="Q302" i="4"/>
  <c r="M302" i="4"/>
  <c r="I302" i="4"/>
  <c r="E302" i="4"/>
  <c r="Q301" i="4"/>
  <c r="M301" i="4"/>
  <c r="I301" i="4"/>
  <c r="E301" i="4"/>
  <c r="R301" i="4" s="1"/>
  <c r="R300" i="4"/>
  <c r="Q300" i="4"/>
  <c r="M300" i="4"/>
  <c r="I300" i="4"/>
  <c r="E300" i="4"/>
  <c r="Q299" i="4"/>
  <c r="M299" i="4"/>
  <c r="I299" i="4"/>
  <c r="E299" i="4"/>
  <c r="R299" i="4" s="1"/>
  <c r="Q298" i="4"/>
  <c r="R298" i="4" s="1"/>
  <c r="M298" i="4"/>
  <c r="I298" i="4"/>
  <c r="E298" i="4"/>
  <c r="P294" i="4"/>
  <c r="P358" i="4" s="1"/>
  <c r="P362" i="4" s="1"/>
  <c r="O294" i="4"/>
  <c r="N294" i="4"/>
  <c r="N358" i="4" s="1"/>
  <c r="L294" i="4"/>
  <c r="K294" i="4"/>
  <c r="K358" i="4" s="1"/>
  <c r="K362" i="4" s="1"/>
  <c r="J294" i="4"/>
  <c r="J358" i="4" s="1"/>
  <c r="H294" i="4"/>
  <c r="H358" i="4" s="1"/>
  <c r="H362" i="4" s="1"/>
  <c r="G294" i="4"/>
  <c r="G358" i="4" s="1"/>
  <c r="G362" i="4" s="1"/>
  <c r="F294" i="4"/>
  <c r="F358" i="4" s="1"/>
  <c r="D294" i="4"/>
  <c r="C294" i="4"/>
  <c r="C358" i="4" s="1"/>
  <c r="C362" i="4" s="1"/>
  <c r="C363" i="4" s="1"/>
  <c r="B294" i="4"/>
  <c r="E294" i="4" s="1"/>
  <c r="Q292" i="4"/>
  <c r="M292" i="4"/>
  <c r="I292" i="4"/>
  <c r="R292" i="4" s="1"/>
  <c r="E292" i="4"/>
  <c r="Q291" i="4"/>
  <c r="M291" i="4"/>
  <c r="I291" i="4"/>
  <c r="E291" i="4"/>
  <c r="R290" i="4"/>
  <c r="Q290" i="4"/>
  <c r="M290" i="4"/>
  <c r="I290" i="4"/>
  <c r="E290" i="4"/>
  <c r="Q289" i="4"/>
  <c r="M289" i="4"/>
  <c r="I289" i="4"/>
  <c r="E289" i="4"/>
  <c r="R287" i="4"/>
  <c r="Q287" i="4"/>
  <c r="M287" i="4"/>
  <c r="I287" i="4"/>
  <c r="E287" i="4"/>
  <c r="Q286" i="4"/>
  <c r="M286" i="4"/>
  <c r="I286" i="4"/>
  <c r="E286" i="4"/>
  <c r="Q285" i="4"/>
  <c r="M285" i="4"/>
  <c r="I285" i="4"/>
  <c r="E285" i="4"/>
  <c r="R285" i="4" s="1"/>
  <c r="Q284" i="4"/>
  <c r="R284" i="4" s="1"/>
  <c r="M284" i="4"/>
  <c r="I284" i="4"/>
  <c r="E284" i="4"/>
  <c r="Q283" i="4"/>
  <c r="M283" i="4"/>
  <c r="I283" i="4"/>
  <c r="E283" i="4"/>
  <c r="R283" i="4" s="1"/>
  <c r="Q282" i="4"/>
  <c r="M282" i="4"/>
  <c r="I282" i="4"/>
  <c r="E282" i="4"/>
  <c r="R281" i="4"/>
  <c r="Q281" i="4"/>
  <c r="M281" i="4"/>
  <c r="I281" i="4"/>
  <c r="E281" i="4"/>
  <c r="R280" i="4"/>
  <c r="Q280" i="4"/>
  <c r="M280" i="4"/>
  <c r="I280" i="4"/>
  <c r="E280" i="4"/>
  <c r="Q279" i="4"/>
  <c r="M279" i="4"/>
  <c r="I279" i="4"/>
  <c r="R279" i="4" s="1"/>
  <c r="E279" i="4"/>
  <c r="Q278" i="4"/>
  <c r="M278" i="4"/>
  <c r="I278" i="4"/>
  <c r="E278" i="4"/>
  <c r="Q277" i="4"/>
  <c r="M277" i="4"/>
  <c r="I277" i="4"/>
  <c r="E277" i="4"/>
  <c r="Q276" i="4"/>
  <c r="M276" i="4"/>
  <c r="I276" i="4"/>
  <c r="E276" i="4"/>
  <c r="R276" i="4" s="1"/>
  <c r="Q275" i="4"/>
  <c r="M275" i="4"/>
  <c r="I275" i="4"/>
  <c r="E275" i="4"/>
  <c r="R275" i="4" s="1"/>
  <c r="Q274" i="4"/>
  <c r="M274" i="4"/>
  <c r="I274" i="4"/>
  <c r="E274" i="4"/>
  <c r="R273" i="4"/>
  <c r="Q273" i="4"/>
  <c r="M273" i="4"/>
  <c r="I273" i="4"/>
  <c r="E273" i="4"/>
  <c r="Q271" i="4"/>
  <c r="M271" i="4"/>
  <c r="I271" i="4"/>
  <c r="R271" i="4" s="1"/>
  <c r="E271" i="4"/>
  <c r="Q270" i="4"/>
  <c r="M270" i="4"/>
  <c r="I270" i="4"/>
  <c r="E270" i="4"/>
  <c r="R270" i="4" s="1"/>
  <c r="Q269" i="4"/>
  <c r="M269" i="4"/>
  <c r="I269" i="4"/>
  <c r="E269" i="4"/>
  <c r="Q268" i="4"/>
  <c r="M268" i="4"/>
  <c r="I268" i="4"/>
  <c r="E268" i="4"/>
  <c r="R268" i="4" s="1"/>
  <c r="Q267" i="4"/>
  <c r="M267" i="4"/>
  <c r="I267" i="4"/>
  <c r="E267" i="4"/>
  <c r="R267" i="4" s="1"/>
  <c r="Q266" i="4"/>
  <c r="M266" i="4"/>
  <c r="I266" i="4"/>
  <c r="E266" i="4"/>
  <c r="Q265" i="4"/>
  <c r="M265" i="4"/>
  <c r="I265" i="4"/>
  <c r="E265" i="4"/>
  <c r="Q264" i="4"/>
  <c r="M264" i="4"/>
  <c r="I264" i="4"/>
  <c r="E264" i="4"/>
  <c r="Q263" i="4"/>
  <c r="M263" i="4"/>
  <c r="I263" i="4"/>
  <c r="E263" i="4"/>
  <c r="R263" i="4" s="1"/>
  <c r="Q262" i="4"/>
  <c r="M262" i="4"/>
  <c r="I262" i="4"/>
  <c r="E262" i="4"/>
  <c r="R262" i="4" s="1"/>
  <c r="N255" i="4"/>
  <c r="N773" i="4" s="1"/>
  <c r="L255" i="4"/>
  <c r="N772" i="4" s="1"/>
  <c r="J255" i="4"/>
  <c r="N770" i="4" s="1"/>
  <c r="H255" i="4"/>
  <c r="N769" i="4" s="1"/>
  <c r="C255" i="4"/>
  <c r="N765" i="4" s="1"/>
  <c r="B255" i="4"/>
  <c r="N764" i="4" s="1"/>
  <c r="P254" i="4"/>
  <c r="P255" i="4" s="1"/>
  <c r="N775" i="4" s="1"/>
  <c r="O254" i="4"/>
  <c r="N254" i="4"/>
  <c r="M254" i="4"/>
  <c r="L254" i="4"/>
  <c r="K254" i="4"/>
  <c r="K255" i="4" s="1"/>
  <c r="N771" i="4" s="1"/>
  <c r="J254" i="4"/>
  <c r="H254" i="4"/>
  <c r="G254" i="4"/>
  <c r="F254" i="4"/>
  <c r="F255" i="4" s="1"/>
  <c r="N767" i="4" s="1"/>
  <c r="D254" i="4"/>
  <c r="E254" i="4" s="1"/>
  <c r="C254" i="4"/>
  <c r="B254" i="4"/>
  <c r="Q252" i="4"/>
  <c r="M252" i="4"/>
  <c r="I252" i="4"/>
  <c r="E252" i="4"/>
  <c r="R252" i="4" s="1"/>
  <c r="R254" i="4" s="1"/>
  <c r="Q241" i="4"/>
  <c r="M241" i="4"/>
  <c r="I241" i="4"/>
  <c r="E241" i="4"/>
  <c r="R241" i="4" s="1"/>
  <c r="Q240" i="4"/>
  <c r="M240" i="4"/>
  <c r="I240" i="4"/>
  <c r="E240" i="4"/>
  <c r="Q239" i="4"/>
  <c r="M239" i="4"/>
  <c r="I239" i="4"/>
  <c r="E239" i="4"/>
  <c r="R239" i="4" s="1"/>
  <c r="R238" i="4"/>
  <c r="Q238" i="4"/>
  <c r="M238" i="4"/>
  <c r="I238" i="4"/>
  <c r="E238" i="4"/>
  <c r="Q237" i="4"/>
  <c r="M237" i="4"/>
  <c r="I237" i="4"/>
  <c r="E237" i="4"/>
  <c r="Q236" i="4"/>
  <c r="M236" i="4"/>
  <c r="R236" i="4" s="1"/>
  <c r="I236" i="4"/>
  <c r="E236" i="4"/>
  <c r="O235" i="4"/>
  <c r="O243" i="4" s="1"/>
  <c r="F235" i="4"/>
  <c r="P234" i="4"/>
  <c r="O234" i="4"/>
  <c r="N234" i="4"/>
  <c r="L234" i="4"/>
  <c r="K234" i="4"/>
  <c r="J234" i="4"/>
  <c r="H234" i="4"/>
  <c r="G234" i="4"/>
  <c r="F234" i="4"/>
  <c r="D234" i="4"/>
  <c r="C234" i="4"/>
  <c r="B234" i="4"/>
  <c r="Q233" i="4"/>
  <c r="P233" i="4"/>
  <c r="O233" i="4"/>
  <c r="N233" i="4"/>
  <c r="L233" i="4"/>
  <c r="K233" i="4"/>
  <c r="M233" i="4" s="1"/>
  <c r="J233" i="4"/>
  <c r="H233" i="4"/>
  <c r="G233" i="4"/>
  <c r="I233" i="4" s="1"/>
  <c r="F233" i="4"/>
  <c r="D233" i="4"/>
  <c r="C233" i="4"/>
  <c r="E233" i="4" s="1"/>
  <c r="B233" i="4"/>
  <c r="Q230" i="4"/>
  <c r="M230" i="4"/>
  <c r="R230" i="4" s="1"/>
  <c r="I230" i="4"/>
  <c r="E230" i="4"/>
  <c r="Q229" i="4"/>
  <c r="M229" i="4"/>
  <c r="I229" i="4"/>
  <c r="E229" i="4"/>
  <c r="R229" i="4" s="1"/>
  <c r="R228" i="4"/>
  <c r="Q228" i="4"/>
  <c r="M228" i="4"/>
  <c r="I228" i="4"/>
  <c r="E228" i="4"/>
  <c r="Q227" i="4"/>
  <c r="M227" i="4"/>
  <c r="I227" i="4"/>
  <c r="E227" i="4"/>
  <c r="R227" i="4" s="1"/>
  <c r="Q226" i="4"/>
  <c r="M226" i="4"/>
  <c r="I226" i="4"/>
  <c r="E226" i="4"/>
  <c r="Q225" i="4"/>
  <c r="M225" i="4"/>
  <c r="I225" i="4"/>
  <c r="E225" i="4"/>
  <c r="R225" i="4" s="1"/>
  <c r="R223" i="4"/>
  <c r="Q223" i="4"/>
  <c r="M223" i="4"/>
  <c r="I223" i="4"/>
  <c r="E223" i="4"/>
  <c r="Q222" i="4"/>
  <c r="M222" i="4"/>
  <c r="I222" i="4"/>
  <c r="E222" i="4"/>
  <c r="Q221" i="4"/>
  <c r="M221" i="4"/>
  <c r="R221" i="4" s="1"/>
  <c r="I221" i="4"/>
  <c r="E221" i="4"/>
  <c r="R220" i="4"/>
  <c r="Q220" i="4"/>
  <c r="M220" i="4"/>
  <c r="I220" i="4"/>
  <c r="E220" i="4"/>
  <c r="Q219" i="4"/>
  <c r="M219" i="4"/>
  <c r="I219" i="4"/>
  <c r="E219" i="4"/>
  <c r="Q216" i="4"/>
  <c r="P216" i="4"/>
  <c r="O216" i="4"/>
  <c r="N216" i="4"/>
  <c r="L216" i="4"/>
  <c r="K216" i="4"/>
  <c r="J216" i="4"/>
  <c r="H216" i="4"/>
  <c r="I216" i="4" s="1"/>
  <c r="G216" i="4"/>
  <c r="F216" i="4"/>
  <c r="D216" i="4"/>
  <c r="C216" i="4"/>
  <c r="E216" i="4" s="1"/>
  <c r="B216" i="4"/>
  <c r="R215" i="4"/>
  <c r="Q215" i="4"/>
  <c r="M215" i="4"/>
  <c r="I215" i="4"/>
  <c r="E215" i="4"/>
  <c r="Q214" i="4"/>
  <c r="M214" i="4"/>
  <c r="I214" i="4"/>
  <c r="E214" i="4"/>
  <c r="R213" i="4"/>
  <c r="Q213" i="4"/>
  <c r="M213" i="4"/>
  <c r="I213" i="4"/>
  <c r="E213" i="4"/>
  <c r="Q212" i="4"/>
  <c r="M212" i="4"/>
  <c r="I212" i="4"/>
  <c r="E212" i="4"/>
  <c r="Q211" i="4"/>
  <c r="M211" i="4"/>
  <c r="I211" i="4"/>
  <c r="E211" i="4"/>
  <c r="R211" i="4" s="1"/>
  <c r="Q210" i="4"/>
  <c r="R210" i="4" s="1"/>
  <c r="M210" i="4"/>
  <c r="I210" i="4"/>
  <c r="E210" i="4"/>
  <c r="Q209" i="4"/>
  <c r="M209" i="4"/>
  <c r="I209" i="4"/>
  <c r="E209" i="4"/>
  <c r="R209" i="4" s="1"/>
  <c r="Q208" i="4"/>
  <c r="M208" i="4"/>
  <c r="I208" i="4"/>
  <c r="E208" i="4"/>
  <c r="Q207" i="4"/>
  <c r="R207" i="4" s="1"/>
  <c r="M207" i="4"/>
  <c r="I207" i="4"/>
  <c r="E207" i="4"/>
  <c r="R206" i="4"/>
  <c r="Q206" i="4"/>
  <c r="M206" i="4"/>
  <c r="I206" i="4"/>
  <c r="E206" i="4"/>
  <c r="Q205" i="4"/>
  <c r="M205" i="4"/>
  <c r="I205" i="4"/>
  <c r="R205" i="4" s="1"/>
  <c r="E205" i="4"/>
  <c r="Q204" i="4"/>
  <c r="M204" i="4"/>
  <c r="I204" i="4"/>
  <c r="R204" i="4" s="1"/>
  <c r="E204" i="4"/>
  <c r="Q203" i="4"/>
  <c r="M203" i="4"/>
  <c r="I203" i="4"/>
  <c r="E203" i="4"/>
  <c r="Q202" i="4"/>
  <c r="M202" i="4"/>
  <c r="I202" i="4"/>
  <c r="E202" i="4"/>
  <c r="R202" i="4" s="1"/>
  <c r="Q201" i="4"/>
  <c r="M201" i="4"/>
  <c r="I201" i="4"/>
  <c r="E201" i="4"/>
  <c r="R201" i="4" s="1"/>
  <c r="Q200" i="4"/>
  <c r="M200" i="4"/>
  <c r="I200" i="4"/>
  <c r="E200" i="4"/>
  <c r="R199" i="4"/>
  <c r="Q199" i="4"/>
  <c r="M199" i="4"/>
  <c r="I199" i="4"/>
  <c r="E199" i="4"/>
  <c r="Q198" i="4"/>
  <c r="M198" i="4"/>
  <c r="I198" i="4"/>
  <c r="E198" i="4"/>
  <c r="Q197" i="4"/>
  <c r="M197" i="4"/>
  <c r="I197" i="4"/>
  <c r="E197" i="4"/>
  <c r="R197" i="4" s="1"/>
  <c r="Q196" i="4"/>
  <c r="M196" i="4"/>
  <c r="I196" i="4"/>
  <c r="E196" i="4"/>
  <c r="Q195" i="4"/>
  <c r="M195" i="4"/>
  <c r="I195" i="4"/>
  <c r="E195" i="4"/>
  <c r="R195" i="4" s="1"/>
  <c r="Q194" i="4"/>
  <c r="M194" i="4"/>
  <c r="I194" i="4"/>
  <c r="E194" i="4"/>
  <c r="R194" i="4" s="1"/>
  <c r="Q193" i="4"/>
  <c r="M193" i="4"/>
  <c r="I193" i="4"/>
  <c r="E193" i="4"/>
  <c r="R193" i="4" s="1"/>
  <c r="Q192" i="4"/>
  <c r="M192" i="4"/>
  <c r="I192" i="4"/>
  <c r="E192" i="4"/>
  <c r="R192" i="4" s="1"/>
  <c r="Q191" i="4"/>
  <c r="M191" i="4"/>
  <c r="R191" i="4" s="1"/>
  <c r="I191" i="4"/>
  <c r="E191" i="4"/>
  <c r="Q190" i="4"/>
  <c r="M190" i="4"/>
  <c r="I190" i="4"/>
  <c r="E190" i="4"/>
  <c r="R190" i="4" s="1"/>
  <c r="Q189" i="4"/>
  <c r="M189" i="4"/>
  <c r="I189" i="4"/>
  <c r="E189" i="4"/>
  <c r="R189" i="4" s="1"/>
  <c r="Q188" i="4"/>
  <c r="M188" i="4"/>
  <c r="I188" i="4"/>
  <c r="R188" i="4" s="1"/>
  <c r="E188" i="4"/>
  <c r="Q187" i="4"/>
  <c r="M187" i="4"/>
  <c r="I187" i="4"/>
  <c r="E187" i="4"/>
  <c r="Q186" i="4"/>
  <c r="M186" i="4"/>
  <c r="I186" i="4"/>
  <c r="E186" i="4"/>
  <c r="R186" i="4" s="1"/>
  <c r="Q185" i="4"/>
  <c r="M185" i="4"/>
  <c r="I185" i="4"/>
  <c r="E185" i="4"/>
  <c r="R185" i="4" s="1"/>
  <c r="Q184" i="4"/>
  <c r="M184" i="4"/>
  <c r="I184" i="4"/>
  <c r="E184" i="4"/>
  <c r="P180" i="4"/>
  <c r="Q180" i="4" s="1"/>
  <c r="O180" i="4"/>
  <c r="N180" i="4"/>
  <c r="L180" i="4"/>
  <c r="M180" i="4" s="1"/>
  <c r="K180" i="4"/>
  <c r="J180" i="4"/>
  <c r="H180" i="4"/>
  <c r="I180" i="4" s="1"/>
  <c r="G180" i="4"/>
  <c r="F180" i="4"/>
  <c r="D180" i="4"/>
  <c r="E180" i="4" s="1"/>
  <c r="C180" i="4"/>
  <c r="B180" i="4"/>
  <c r="Q178" i="4"/>
  <c r="R178" i="4" s="1"/>
  <c r="M178" i="4"/>
  <c r="I178" i="4"/>
  <c r="E178" i="4"/>
  <c r="P174" i="4"/>
  <c r="O174" i="4"/>
  <c r="N174" i="4"/>
  <c r="Q174" i="4" s="1"/>
  <c r="L174" i="4"/>
  <c r="K174" i="4"/>
  <c r="J174" i="4"/>
  <c r="H174" i="4"/>
  <c r="G174" i="4"/>
  <c r="G235" i="4" s="1"/>
  <c r="G243" i="4" s="1"/>
  <c r="F174" i="4"/>
  <c r="D174" i="4"/>
  <c r="C174" i="4"/>
  <c r="C235" i="4" s="1"/>
  <c r="C243" i="4" s="1"/>
  <c r="B174" i="4"/>
  <c r="E174" i="4" s="1"/>
  <c r="Q172" i="4"/>
  <c r="M172" i="4"/>
  <c r="I172" i="4"/>
  <c r="E172" i="4"/>
  <c r="R172" i="4" s="1"/>
  <c r="Q171" i="4"/>
  <c r="M171" i="4"/>
  <c r="I171" i="4"/>
  <c r="E171" i="4"/>
  <c r="R171" i="4" s="1"/>
  <c r="Q170" i="4"/>
  <c r="R170" i="4" s="1"/>
  <c r="M170" i="4"/>
  <c r="I170" i="4"/>
  <c r="E170" i="4"/>
  <c r="Q168" i="4"/>
  <c r="M168" i="4"/>
  <c r="I168" i="4"/>
  <c r="E168" i="4"/>
  <c r="R168" i="4" s="1"/>
  <c r="Q167" i="4"/>
  <c r="M167" i="4"/>
  <c r="I167" i="4"/>
  <c r="E167" i="4"/>
  <c r="Q166" i="4"/>
  <c r="R166" i="4" s="1"/>
  <c r="M166" i="4"/>
  <c r="I166" i="4"/>
  <c r="E166" i="4"/>
  <c r="Q165" i="4"/>
  <c r="M165" i="4"/>
  <c r="I165" i="4"/>
  <c r="E165" i="4"/>
  <c r="R165" i="4" s="1"/>
  <c r="Q164" i="4"/>
  <c r="M164" i="4"/>
  <c r="I164" i="4"/>
  <c r="R164" i="4" s="1"/>
  <c r="E164" i="4"/>
  <c r="Q163" i="4"/>
  <c r="M163" i="4"/>
  <c r="I163" i="4"/>
  <c r="E163" i="4"/>
  <c r="Q162" i="4"/>
  <c r="M162" i="4"/>
  <c r="I162" i="4"/>
  <c r="E162" i="4"/>
  <c r="Q161" i="4"/>
  <c r="M161" i="4"/>
  <c r="I161" i="4"/>
  <c r="E161" i="4"/>
  <c r="R161" i="4" s="1"/>
  <c r="Q160" i="4"/>
  <c r="M160" i="4"/>
  <c r="I160" i="4"/>
  <c r="E160" i="4"/>
  <c r="R160" i="4" s="1"/>
  <c r="Q159" i="4"/>
  <c r="M159" i="4"/>
  <c r="I159" i="4"/>
  <c r="E159" i="4"/>
  <c r="R157" i="4"/>
  <c r="Q157" i="4"/>
  <c r="M157" i="4"/>
  <c r="I157" i="4"/>
  <c r="E157" i="4"/>
  <c r="Q156" i="4"/>
  <c r="M156" i="4"/>
  <c r="I156" i="4"/>
  <c r="R156" i="4" s="1"/>
  <c r="E156" i="4"/>
  <c r="Q155" i="4"/>
  <c r="M155" i="4"/>
  <c r="I155" i="4"/>
  <c r="E155" i="4"/>
  <c r="R155" i="4" s="1"/>
  <c r="Q154" i="4"/>
  <c r="M154" i="4"/>
  <c r="I154" i="4"/>
  <c r="E154" i="4"/>
  <c r="Q153" i="4"/>
  <c r="M153" i="4"/>
  <c r="I153" i="4"/>
  <c r="E153" i="4"/>
  <c r="Q152" i="4"/>
  <c r="M152" i="4"/>
  <c r="I152" i="4"/>
  <c r="E152" i="4"/>
  <c r="R151" i="4"/>
  <c r="Q151" i="4"/>
  <c r="M151" i="4"/>
  <c r="I151" i="4"/>
  <c r="E151" i="4"/>
  <c r="Q150" i="4"/>
  <c r="M150" i="4"/>
  <c r="I150" i="4"/>
  <c r="E150" i="4"/>
  <c r="R150" i="4" s="1"/>
  <c r="Q149" i="4"/>
  <c r="M149" i="4"/>
  <c r="I149" i="4"/>
  <c r="E149" i="4"/>
  <c r="Q148" i="4"/>
  <c r="M148" i="4"/>
  <c r="I148" i="4"/>
  <c r="E148" i="4"/>
  <c r="R148" i="4" s="1"/>
  <c r="Q147" i="4"/>
  <c r="M147" i="4"/>
  <c r="I147" i="4"/>
  <c r="E147" i="4"/>
  <c r="R147" i="4" s="1"/>
  <c r="Q146" i="4"/>
  <c r="M146" i="4"/>
  <c r="I146" i="4"/>
  <c r="E146" i="4"/>
  <c r="Q145" i="4"/>
  <c r="M145" i="4"/>
  <c r="I145" i="4"/>
  <c r="E145" i="4"/>
  <c r="Q144" i="4"/>
  <c r="M144" i="4"/>
  <c r="I144" i="4"/>
  <c r="E144" i="4"/>
  <c r="R144" i="4" s="1"/>
  <c r="Q143" i="4"/>
  <c r="M143" i="4"/>
  <c r="I143" i="4"/>
  <c r="E143" i="4"/>
  <c r="R143" i="4" s="1"/>
  <c r="Q142" i="4"/>
  <c r="M142" i="4"/>
  <c r="I142" i="4"/>
  <c r="E142" i="4"/>
  <c r="Q141" i="4"/>
  <c r="M141" i="4"/>
  <c r="I141" i="4"/>
  <c r="E141" i="4"/>
  <c r="R141" i="4" s="1"/>
  <c r="R140" i="4"/>
  <c r="Q140" i="4"/>
  <c r="M140" i="4"/>
  <c r="I140" i="4"/>
  <c r="E140" i="4"/>
  <c r="Q139" i="4"/>
  <c r="M139" i="4"/>
  <c r="I139" i="4"/>
  <c r="R139" i="4" s="1"/>
  <c r="E139" i="4"/>
  <c r="Q138" i="4"/>
  <c r="M138" i="4"/>
  <c r="I138" i="4"/>
  <c r="E138" i="4"/>
  <c r="Q137" i="4"/>
  <c r="M137" i="4"/>
  <c r="R137" i="4" s="1"/>
  <c r="I137" i="4"/>
  <c r="E137" i="4"/>
  <c r="Q136" i="4"/>
  <c r="M136" i="4"/>
  <c r="I136" i="4"/>
  <c r="E136" i="4"/>
  <c r="Q124" i="4"/>
  <c r="M124" i="4"/>
  <c r="I124" i="4"/>
  <c r="E124" i="4"/>
  <c r="K123" i="4"/>
  <c r="K126" i="4" s="1"/>
  <c r="G123" i="4"/>
  <c r="G126" i="4" s="1"/>
  <c r="P122" i="4"/>
  <c r="O122" i="4"/>
  <c r="N122" i="4"/>
  <c r="Q122" i="4" s="1"/>
  <c r="L122" i="4"/>
  <c r="K122" i="4"/>
  <c r="J122" i="4"/>
  <c r="H122" i="4"/>
  <c r="G122" i="4"/>
  <c r="F122" i="4"/>
  <c r="D122" i="4"/>
  <c r="C122" i="4"/>
  <c r="C123" i="4" s="1"/>
  <c r="C126" i="4" s="1"/>
  <c r="C127" i="4" s="1"/>
  <c r="B122" i="4"/>
  <c r="P121" i="4"/>
  <c r="O121" i="4"/>
  <c r="Q121" i="4" s="1"/>
  <c r="N121" i="4"/>
  <c r="L121" i="4"/>
  <c r="K121" i="4"/>
  <c r="M121" i="4" s="1"/>
  <c r="J121" i="4"/>
  <c r="H121" i="4"/>
  <c r="G121" i="4"/>
  <c r="I121" i="4" s="1"/>
  <c r="F121" i="4"/>
  <c r="D121" i="4"/>
  <c r="C121" i="4"/>
  <c r="B121" i="4"/>
  <c r="Q120" i="4"/>
  <c r="M120" i="4"/>
  <c r="I120" i="4"/>
  <c r="E120" i="4"/>
  <c r="R118" i="4"/>
  <c r="Q118" i="4"/>
  <c r="M118" i="4"/>
  <c r="I118" i="4"/>
  <c r="E118" i="4"/>
  <c r="Q116" i="4"/>
  <c r="M116" i="4"/>
  <c r="I116" i="4"/>
  <c r="R116" i="4" s="1"/>
  <c r="E116" i="4"/>
  <c r="Q115" i="4"/>
  <c r="M115" i="4"/>
  <c r="I115" i="4"/>
  <c r="E115" i="4"/>
  <c r="R115" i="4" s="1"/>
  <c r="Q113" i="4"/>
  <c r="M113" i="4"/>
  <c r="R113" i="4" s="1"/>
  <c r="I113" i="4"/>
  <c r="E113" i="4"/>
  <c r="Q112" i="4"/>
  <c r="M112" i="4"/>
  <c r="I112" i="4"/>
  <c r="E112" i="4"/>
  <c r="R112" i="4" s="1"/>
  <c r="Q111" i="4"/>
  <c r="M111" i="4"/>
  <c r="R111" i="4" s="1"/>
  <c r="I111" i="4"/>
  <c r="E111" i="4"/>
  <c r="Q110" i="4"/>
  <c r="M110" i="4"/>
  <c r="I110" i="4"/>
  <c r="E110" i="4"/>
  <c r="R109" i="4"/>
  <c r="Q109" i="4"/>
  <c r="M109" i="4"/>
  <c r="I109" i="4"/>
  <c r="E109" i="4"/>
  <c r="Q108" i="4"/>
  <c r="M108" i="4"/>
  <c r="I108" i="4"/>
  <c r="R108" i="4" s="1"/>
  <c r="E108" i="4"/>
  <c r="Q107" i="4"/>
  <c r="M107" i="4"/>
  <c r="I107" i="4"/>
  <c r="E107" i="4"/>
  <c r="R107" i="4" s="1"/>
  <c r="Q106" i="4"/>
  <c r="M106" i="4"/>
  <c r="I106" i="4"/>
  <c r="E106" i="4"/>
  <c r="P103" i="4"/>
  <c r="O103" i="4"/>
  <c r="N103" i="4"/>
  <c r="Q103" i="4" s="1"/>
  <c r="M103" i="4"/>
  <c r="L103" i="4"/>
  <c r="K103" i="4"/>
  <c r="J103" i="4"/>
  <c r="H103" i="4"/>
  <c r="G103" i="4"/>
  <c r="F103" i="4"/>
  <c r="F123" i="4" s="1"/>
  <c r="E103" i="4"/>
  <c r="D103" i="4"/>
  <c r="C103" i="4"/>
  <c r="B103" i="4"/>
  <c r="Q102" i="4"/>
  <c r="M102" i="4"/>
  <c r="I102" i="4"/>
  <c r="E102" i="4"/>
  <c r="R102" i="4" s="1"/>
  <c r="Q101" i="4"/>
  <c r="M101" i="4"/>
  <c r="I101" i="4"/>
  <c r="E101" i="4"/>
  <c r="R101" i="4" s="1"/>
  <c r="Q100" i="4"/>
  <c r="M100" i="4"/>
  <c r="I100" i="4"/>
  <c r="R100" i="4" s="1"/>
  <c r="E100" i="4"/>
  <c r="Q99" i="4"/>
  <c r="M99" i="4"/>
  <c r="I99" i="4"/>
  <c r="E99" i="4"/>
  <c r="Q95" i="4"/>
  <c r="P95" i="4"/>
  <c r="O95" i="4"/>
  <c r="N95" i="4"/>
  <c r="M95" i="4"/>
  <c r="L95" i="4"/>
  <c r="K95" i="4"/>
  <c r="J95" i="4"/>
  <c r="I95" i="4"/>
  <c r="H95" i="4"/>
  <c r="G95" i="4"/>
  <c r="F95" i="4"/>
  <c r="E95" i="4"/>
  <c r="R95" i="4" s="1"/>
  <c r="D95" i="4"/>
  <c r="C95" i="4"/>
  <c r="B95" i="4"/>
  <c r="R93" i="4"/>
  <c r="Q93" i="4"/>
  <c r="M93" i="4"/>
  <c r="I93" i="4"/>
  <c r="E93" i="4"/>
  <c r="Q92" i="4"/>
  <c r="M92" i="4"/>
  <c r="I92" i="4"/>
  <c r="E92" i="4"/>
  <c r="P88" i="4"/>
  <c r="O88" i="4"/>
  <c r="N88" i="4"/>
  <c r="L88" i="4"/>
  <c r="L123" i="4" s="1"/>
  <c r="L126" i="4" s="1"/>
  <c r="L127" i="4" s="1"/>
  <c r="K88" i="4"/>
  <c r="J88" i="4"/>
  <c r="H88" i="4"/>
  <c r="G88" i="4"/>
  <c r="F88" i="4"/>
  <c r="I88" i="4" s="1"/>
  <c r="D88" i="4"/>
  <c r="D123" i="4" s="1"/>
  <c r="D126" i="4" s="1"/>
  <c r="C88" i="4"/>
  <c r="B88" i="4"/>
  <c r="Q86" i="4"/>
  <c r="M86" i="4"/>
  <c r="I86" i="4"/>
  <c r="E86" i="4"/>
  <c r="R86" i="4" s="1"/>
  <c r="Q85" i="4"/>
  <c r="M85" i="4"/>
  <c r="R85" i="4" s="1"/>
  <c r="I85" i="4"/>
  <c r="E85" i="4"/>
  <c r="Q83" i="4"/>
  <c r="M83" i="4"/>
  <c r="I83" i="4"/>
  <c r="E83" i="4"/>
  <c r="R82" i="4"/>
  <c r="Q82" i="4"/>
  <c r="M82" i="4"/>
  <c r="I82" i="4"/>
  <c r="E82" i="4"/>
  <c r="Q81" i="4"/>
  <c r="M81" i="4"/>
  <c r="I81" i="4"/>
  <c r="R81" i="4" s="1"/>
  <c r="E81" i="4"/>
  <c r="Q79" i="4"/>
  <c r="M79" i="4"/>
  <c r="I79" i="4"/>
  <c r="E79" i="4"/>
  <c r="R79" i="4" s="1"/>
  <c r="Q78" i="4"/>
  <c r="M78" i="4"/>
  <c r="I78" i="4"/>
  <c r="E78" i="4"/>
  <c r="Q77" i="4"/>
  <c r="M77" i="4"/>
  <c r="I77" i="4"/>
  <c r="E77" i="4"/>
  <c r="R77" i="4" s="1"/>
  <c r="R76" i="4"/>
  <c r="Q76" i="4"/>
  <c r="M76" i="4"/>
  <c r="I76" i="4"/>
  <c r="E76" i="4"/>
  <c r="Q75" i="4"/>
  <c r="M75" i="4"/>
  <c r="I75" i="4"/>
  <c r="E75" i="4"/>
  <c r="R75" i="4" s="1"/>
  <c r="Q63" i="4"/>
  <c r="M63" i="4"/>
  <c r="I63" i="4"/>
  <c r="E63" i="4"/>
  <c r="R63" i="4" s="1"/>
  <c r="N62" i="4"/>
  <c r="K62" i="4"/>
  <c r="K65" i="4" s="1"/>
  <c r="K66" i="4" s="1"/>
  <c r="P61" i="4"/>
  <c r="Q61" i="4" s="1"/>
  <c r="O61" i="4"/>
  <c r="N61" i="4"/>
  <c r="L61" i="4"/>
  <c r="K61" i="4"/>
  <c r="J61" i="4"/>
  <c r="M61" i="4" s="1"/>
  <c r="H61" i="4"/>
  <c r="I61" i="4" s="1"/>
  <c r="G61" i="4"/>
  <c r="F61" i="4"/>
  <c r="D61" i="4"/>
  <c r="C61" i="4"/>
  <c r="B61" i="4"/>
  <c r="E61" i="4" s="1"/>
  <c r="Q60" i="4"/>
  <c r="P60" i="4"/>
  <c r="O60" i="4"/>
  <c r="N60" i="4"/>
  <c r="L60" i="4"/>
  <c r="K60" i="4"/>
  <c r="M60" i="4" s="1"/>
  <c r="J60" i="4"/>
  <c r="I60" i="4"/>
  <c r="H60" i="4"/>
  <c r="G60" i="4"/>
  <c r="F60" i="4"/>
  <c r="D60" i="4"/>
  <c r="C60" i="4"/>
  <c r="E60" i="4" s="1"/>
  <c r="B60" i="4"/>
  <c r="R57" i="4"/>
  <c r="Q57" i="4"/>
  <c r="M57" i="4"/>
  <c r="I57" i="4"/>
  <c r="E57" i="4"/>
  <c r="Q55" i="4"/>
  <c r="M55" i="4"/>
  <c r="I55" i="4"/>
  <c r="E55" i="4"/>
  <c r="R55" i="4" s="1"/>
  <c r="Q52" i="4"/>
  <c r="P52" i="4"/>
  <c r="O52" i="4"/>
  <c r="N52" i="4"/>
  <c r="L52" i="4"/>
  <c r="M52" i="4" s="1"/>
  <c r="K52" i="4"/>
  <c r="J52" i="4"/>
  <c r="I52" i="4"/>
  <c r="H52" i="4"/>
  <c r="G52" i="4"/>
  <c r="F52" i="4"/>
  <c r="D52" i="4"/>
  <c r="D62" i="4" s="1"/>
  <c r="D65" i="4" s="1"/>
  <c r="C52" i="4"/>
  <c r="B52" i="4"/>
  <c r="P48" i="4"/>
  <c r="O48" i="4"/>
  <c r="N48" i="4"/>
  <c r="Q48" i="4" s="1"/>
  <c r="M48" i="4"/>
  <c r="L48" i="4"/>
  <c r="K48" i="4"/>
  <c r="J48" i="4"/>
  <c r="H48" i="4"/>
  <c r="G48" i="4"/>
  <c r="F48" i="4"/>
  <c r="I48" i="4" s="1"/>
  <c r="E48" i="4"/>
  <c r="D48" i="4"/>
  <c r="C48" i="4"/>
  <c r="B48" i="4"/>
  <c r="P43" i="4"/>
  <c r="O43" i="4"/>
  <c r="O62" i="4" s="1"/>
  <c r="O65" i="4" s="1"/>
  <c r="N43" i="4"/>
  <c r="Q43" i="4" s="1"/>
  <c r="L43" i="4"/>
  <c r="L62" i="4" s="1"/>
  <c r="L65" i="4" s="1"/>
  <c r="K43" i="4"/>
  <c r="J43" i="4"/>
  <c r="M43" i="4" s="1"/>
  <c r="H43" i="4"/>
  <c r="H62" i="4" s="1"/>
  <c r="H65" i="4" s="1"/>
  <c r="G43" i="4"/>
  <c r="G62" i="4" s="1"/>
  <c r="G65" i="4" s="1"/>
  <c r="F43" i="4"/>
  <c r="D43" i="4"/>
  <c r="C43" i="4"/>
  <c r="C62" i="4" s="1"/>
  <c r="C65" i="4" s="1"/>
  <c r="B43" i="4"/>
  <c r="O31" i="4"/>
  <c r="N31" i="4"/>
  <c r="K31" i="4"/>
  <c r="H31" i="4"/>
  <c r="C31" i="4"/>
  <c r="Q30" i="4"/>
  <c r="P30" i="4"/>
  <c r="P31" i="4" s="1"/>
  <c r="O30" i="4"/>
  <c r="N30" i="4"/>
  <c r="L30" i="4"/>
  <c r="L31" i="4" s="1"/>
  <c r="K30" i="4"/>
  <c r="J30" i="4"/>
  <c r="J31" i="4" s="1"/>
  <c r="I30" i="4"/>
  <c r="H30" i="4"/>
  <c r="G30" i="4"/>
  <c r="G31" i="4" s="1"/>
  <c r="F30" i="4"/>
  <c r="F31" i="4" s="1"/>
  <c r="D30" i="4"/>
  <c r="D31" i="4" s="1"/>
  <c r="C30" i="4"/>
  <c r="B30" i="4"/>
  <c r="Q28" i="4"/>
  <c r="M28" i="4"/>
  <c r="I28" i="4"/>
  <c r="E28" i="4"/>
  <c r="R28" i="4" s="1"/>
  <c r="Q23" i="4"/>
  <c r="M23" i="4"/>
  <c r="R23" i="4" s="1"/>
  <c r="I23" i="4"/>
  <c r="E23" i="4"/>
  <c r="P21" i="4"/>
  <c r="O21" i="4"/>
  <c r="N21" i="4"/>
  <c r="Q21" i="4" s="1"/>
  <c r="M21" i="4"/>
  <c r="L21" i="4"/>
  <c r="K21" i="4"/>
  <c r="J21" i="4"/>
  <c r="H21" i="4"/>
  <c r="G21" i="4"/>
  <c r="F21" i="4"/>
  <c r="I21" i="4" s="1"/>
  <c r="E21" i="4"/>
  <c r="D21" i="4"/>
  <c r="C21" i="4"/>
  <c r="B21" i="4"/>
  <c r="P20" i="4"/>
  <c r="O20" i="4"/>
  <c r="Q20" i="4" s="1"/>
  <c r="N20" i="4"/>
  <c r="L20" i="4"/>
  <c r="K20" i="4"/>
  <c r="J20" i="4"/>
  <c r="M20" i="4" s="1"/>
  <c r="H20" i="4"/>
  <c r="G20" i="4"/>
  <c r="I20" i="4" s="1"/>
  <c r="F20" i="4"/>
  <c r="D20" i="4"/>
  <c r="C20" i="4"/>
  <c r="B20" i="4"/>
  <c r="E20" i="4" s="1"/>
  <c r="P19" i="4"/>
  <c r="O19" i="4"/>
  <c r="N19" i="4"/>
  <c r="L19" i="4"/>
  <c r="K19" i="4"/>
  <c r="J19" i="4"/>
  <c r="M19" i="4" s="1"/>
  <c r="H19" i="4"/>
  <c r="G19" i="4"/>
  <c r="F19" i="4"/>
  <c r="D19" i="4"/>
  <c r="C19" i="4"/>
  <c r="B19" i="4"/>
  <c r="P18" i="4"/>
  <c r="O18" i="4"/>
  <c r="Q18" i="4" s="1"/>
  <c r="N18" i="4"/>
  <c r="L18" i="4"/>
  <c r="K18" i="4"/>
  <c r="M18" i="4" s="1"/>
  <c r="J18" i="4"/>
  <c r="I18" i="4"/>
  <c r="H18" i="4"/>
  <c r="G18" i="4"/>
  <c r="F18" i="4"/>
  <c r="D18" i="4"/>
  <c r="C18" i="4"/>
  <c r="B18" i="4"/>
  <c r="Q17" i="4"/>
  <c r="P17" i="4"/>
  <c r="O17" i="4"/>
  <c r="N17" i="4"/>
  <c r="M17" i="4"/>
  <c r="L17" i="4"/>
  <c r="K17" i="4"/>
  <c r="J17" i="4"/>
  <c r="I17" i="4"/>
  <c r="H17" i="4"/>
  <c r="G17" i="4"/>
  <c r="F17" i="4"/>
  <c r="E17" i="4"/>
  <c r="R17" i="4" s="1"/>
  <c r="D17" i="4"/>
  <c r="C17" i="4"/>
  <c r="B17" i="4"/>
  <c r="P16" i="4"/>
  <c r="O16" i="4"/>
  <c r="N16" i="4"/>
  <c r="Q16" i="4" s="1"/>
  <c r="L16" i="4"/>
  <c r="K16" i="4"/>
  <c r="J16" i="4"/>
  <c r="M16" i="4" s="1"/>
  <c r="H16" i="4"/>
  <c r="G16" i="4"/>
  <c r="F16" i="4"/>
  <c r="I16" i="4" s="1"/>
  <c r="D16" i="4"/>
  <c r="C16" i="4"/>
  <c r="B16" i="4"/>
  <c r="E16" i="4" s="1"/>
  <c r="P15" i="4"/>
  <c r="O15" i="4"/>
  <c r="N15" i="4"/>
  <c r="Q15" i="4" s="1"/>
  <c r="L15" i="4"/>
  <c r="K15" i="4"/>
  <c r="J15" i="4"/>
  <c r="H15" i="4"/>
  <c r="G15" i="4"/>
  <c r="F15" i="4"/>
  <c r="I15" i="4" s="1"/>
  <c r="D15" i="4"/>
  <c r="C15" i="4"/>
  <c r="B15" i="4"/>
  <c r="R1" i="4"/>
  <c r="O928" i="3"/>
  <c r="K928" i="3"/>
  <c r="Q925" i="3"/>
  <c r="M925" i="3"/>
  <c r="Q924" i="3"/>
  <c r="M924" i="3"/>
  <c r="Q923" i="3"/>
  <c r="R925" i="3" s="1"/>
  <c r="M923" i="3"/>
  <c r="N925" i="3" s="1"/>
  <c r="Q922" i="3"/>
  <c r="R922" i="3" s="1"/>
  <c r="M922" i="3"/>
  <c r="Q921" i="3"/>
  <c r="M921" i="3"/>
  <c r="Q920" i="3"/>
  <c r="M920" i="3"/>
  <c r="N922" i="3" s="1"/>
  <c r="I920" i="3"/>
  <c r="G920" i="3"/>
  <c r="Q919" i="3"/>
  <c r="M919" i="3"/>
  <c r="G919" i="3"/>
  <c r="I919" i="3" s="1"/>
  <c r="Q918" i="3"/>
  <c r="M918" i="3"/>
  <c r="N919" i="3" s="1"/>
  <c r="I918" i="3"/>
  <c r="G918" i="3"/>
  <c r="Q917" i="3"/>
  <c r="M917" i="3"/>
  <c r="G917" i="3"/>
  <c r="I880" i="3" s="1"/>
  <c r="Q916" i="3"/>
  <c r="N916" i="3"/>
  <c r="M916" i="3"/>
  <c r="I916" i="3"/>
  <c r="G916" i="3"/>
  <c r="Q915" i="3"/>
  <c r="M915" i="3"/>
  <c r="G915" i="3"/>
  <c r="Q914" i="3"/>
  <c r="R916" i="3" s="1"/>
  <c r="M914" i="3"/>
  <c r="I914" i="3"/>
  <c r="G908" i="3"/>
  <c r="O907" i="3"/>
  <c r="K907" i="3"/>
  <c r="C907" i="3"/>
  <c r="I904" i="3"/>
  <c r="J901" i="3"/>
  <c r="Q900" i="3"/>
  <c r="H890" i="3"/>
  <c r="G890" i="3"/>
  <c r="F890" i="3"/>
  <c r="M888" i="3"/>
  <c r="J888" i="3"/>
  <c r="G888" i="3"/>
  <c r="F888" i="3"/>
  <c r="H888" i="3" s="1"/>
  <c r="M887" i="3"/>
  <c r="J887" i="3"/>
  <c r="G887" i="3"/>
  <c r="H887" i="3" s="1"/>
  <c r="F887" i="3"/>
  <c r="J886" i="3"/>
  <c r="M886" i="3" s="1"/>
  <c r="G886" i="3"/>
  <c r="F886" i="3"/>
  <c r="H886" i="3" s="1"/>
  <c r="J885" i="3"/>
  <c r="M885" i="3" s="1"/>
  <c r="H885" i="3"/>
  <c r="G885" i="3"/>
  <c r="F885" i="3"/>
  <c r="M884" i="3"/>
  <c r="J884" i="3"/>
  <c r="G884" i="3"/>
  <c r="H884" i="3" s="1"/>
  <c r="F884" i="3"/>
  <c r="M883" i="3"/>
  <c r="J883" i="3"/>
  <c r="I883" i="3"/>
  <c r="G883" i="3"/>
  <c r="F883" i="3"/>
  <c r="H883" i="3" s="1"/>
  <c r="J882" i="3"/>
  <c r="M882" i="3" s="1"/>
  <c r="I882" i="3"/>
  <c r="G882" i="3"/>
  <c r="F882" i="3"/>
  <c r="H882" i="3" s="1"/>
  <c r="J881" i="3"/>
  <c r="M881" i="3" s="1"/>
  <c r="I881" i="3"/>
  <c r="H881" i="3"/>
  <c r="G881" i="3"/>
  <c r="F881" i="3"/>
  <c r="M880" i="3"/>
  <c r="J880" i="3"/>
  <c r="G880" i="3"/>
  <c r="H880" i="3" s="1"/>
  <c r="F880" i="3"/>
  <c r="J879" i="3"/>
  <c r="M879" i="3" s="1"/>
  <c r="I879" i="3"/>
  <c r="H879" i="3"/>
  <c r="G879" i="3"/>
  <c r="F879" i="3"/>
  <c r="M878" i="3"/>
  <c r="J878" i="3"/>
  <c r="G878" i="3"/>
  <c r="F878" i="3"/>
  <c r="E878" i="3"/>
  <c r="I767" i="3" s="1"/>
  <c r="J877" i="3"/>
  <c r="I877" i="3"/>
  <c r="G877" i="3"/>
  <c r="F877" i="3"/>
  <c r="H877" i="3" s="1"/>
  <c r="H870" i="3"/>
  <c r="I867" i="3"/>
  <c r="Q866" i="3"/>
  <c r="P844" i="3"/>
  <c r="E844" i="3"/>
  <c r="Q841" i="3"/>
  <c r="F841" i="3"/>
  <c r="Q839" i="3"/>
  <c r="F827" i="3"/>
  <c r="E816" i="3"/>
  <c r="F813" i="3"/>
  <c r="Q812" i="3"/>
  <c r="E792" i="3"/>
  <c r="F789" i="3"/>
  <c r="Q788" i="3"/>
  <c r="C777" i="3"/>
  <c r="C776" i="3"/>
  <c r="C775" i="3"/>
  <c r="C774" i="3"/>
  <c r="C773" i="3"/>
  <c r="C772" i="3"/>
  <c r="C771" i="3"/>
  <c r="C770" i="3"/>
  <c r="C769" i="3"/>
  <c r="I768" i="3"/>
  <c r="C768" i="3"/>
  <c r="C767" i="3"/>
  <c r="C766" i="3"/>
  <c r="D758" i="3"/>
  <c r="Q757" i="3"/>
  <c r="L757" i="3"/>
  <c r="G752" i="3"/>
  <c r="F752" i="3"/>
  <c r="G751" i="3"/>
  <c r="F751" i="3"/>
  <c r="B861" i="3" s="1"/>
  <c r="G750" i="3"/>
  <c r="F750" i="3"/>
  <c r="G749" i="3"/>
  <c r="F749" i="3"/>
  <c r="G748" i="3"/>
  <c r="F748" i="3"/>
  <c r="G747" i="3"/>
  <c r="F747" i="3"/>
  <c r="G746" i="3"/>
  <c r="F746" i="3"/>
  <c r="G745" i="3"/>
  <c r="F745" i="3"/>
  <c r="G744" i="3"/>
  <c r="E880" i="3" s="1"/>
  <c r="I769" i="3" s="1"/>
  <c r="F744" i="3"/>
  <c r="G743" i="3"/>
  <c r="E879" i="3" s="1"/>
  <c r="F743" i="3"/>
  <c r="G742" i="3"/>
  <c r="G824" i="3" s="1"/>
  <c r="F742" i="3"/>
  <c r="G741" i="3"/>
  <c r="F741" i="3"/>
  <c r="E734" i="3"/>
  <c r="F731" i="3"/>
  <c r="Q730" i="3"/>
  <c r="A714" i="3"/>
  <c r="A712" i="3"/>
  <c r="Q708" i="3"/>
  <c r="L705" i="3"/>
  <c r="L726" i="3" s="1"/>
  <c r="D705" i="3"/>
  <c r="D726" i="3" s="1"/>
  <c r="L704" i="3"/>
  <c r="D704" i="3"/>
  <c r="P703" i="3"/>
  <c r="O703" i="3"/>
  <c r="N703" i="3"/>
  <c r="Q703" i="3" s="1"/>
  <c r="M703" i="3"/>
  <c r="L703" i="3"/>
  <c r="K703" i="3"/>
  <c r="J703" i="3"/>
  <c r="H703" i="3"/>
  <c r="G703" i="3"/>
  <c r="F703" i="3"/>
  <c r="I703" i="3" s="1"/>
  <c r="E703" i="3"/>
  <c r="D703" i="3"/>
  <c r="C703" i="3"/>
  <c r="B703" i="3"/>
  <c r="P702" i="3"/>
  <c r="O702" i="3"/>
  <c r="N702" i="3"/>
  <c r="Q702" i="3" s="1"/>
  <c r="L702" i="3"/>
  <c r="K702" i="3"/>
  <c r="J702" i="3"/>
  <c r="M702" i="3" s="1"/>
  <c r="H702" i="3"/>
  <c r="G702" i="3"/>
  <c r="F702" i="3"/>
  <c r="I702" i="3" s="1"/>
  <c r="D702" i="3"/>
  <c r="C702" i="3"/>
  <c r="B702" i="3"/>
  <c r="E702" i="3" s="1"/>
  <c r="R702" i="3" s="1"/>
  <c r="P701" i="3"/>
  <c r="P704" i="3" s="1"/>
  <c r="O701" i="3"/>
  <c r="N701" i="3"/>
  <c r="L701" i="3"/>
  <c r="K701" i="3"/>
  <c r="K704" i="3" s="1"/>
  <c r="J701" i="3"/>
  <c r="J704" i="3" s="1"/>
  <c r="M704" i="3" s="1"/>
  <c r="H701" i="3"/>
  <c r="H704" i="3" s="1"/>
  <c r="G701" i="3"/>
  <c r="G704" i="3" s="1"/>
  <c r="F701" i="3"/>
  <c r="D701" i="3"/>
  <c r="C701" i="3"/>
  <c r="C704" i="3" s="1"/>
  <c r="B701" i="3"/>
  <c r="B704" i="3" s="1"/>
  <c r="E704" i="3" s="1"/>
  <c r="Q700" i="3"/>
  <c r="P700" i="3"/>
  <c r="O700" i="3"/>
  <c r="N700" i="3"/>
  <c r="L700" i="3"/>
  <c r="M700" i="3" s="1"/>
  <c r="K700" i="3"/>
  <c r="J700" i="3"/>
  <c r="H700" i="3"/>
  <c r="I700" i="3" s="1"/>
  <c r="G700" i="3"/>
  <c r="F700" i="3"/>
  <c r="D700" i="3"/>
  <c r="C700" i="3"/>
  <c r="B700" i="3"/>
  <c r="E700" i="3" s="1"/>
  <c r="Q699" i="3"/>
  <c r="P699" i="3"/>
  <c r="O699" i="3"/>
  <c r="N699" i="3"/>
  <c r="L699" i="3"/>
  <c r="K699" i="3"/>
  <c r="J699" i="3"/>
  <c r="M699" i="3" s="1"/>
  <c r="I699" i="3"/>
  <c r="H699" i="3"/>
  <c r="G699" i="3"/>
  <c r="F699" i="3"/>
  <c r="D699" i="3"/>
  <c r="C699" i="3"/>
  <c r="B699" i="3"/>
  <c r="E699" i="3" s="1"/>
  <c r="R699" i="3" s="1"/>
  <c r="P698" i="3"/>
  <c r="O698" i="3"/>
  <c r="Q698" i="3" s="1"/>
  <c r="N698" i="3"/>
  <c r="L698" i="3"/>
  <c r="K698" i="3"/>
  <c r="K705" i="3" s="1"/>
  <c r="K726" i="3" s="1"/>
  <c r="J698" i="3"/>
  <c r="H698" i="3"/>
  <c r="G698" i="3"/>
  <c r="F698" i="3"/>
  <c r="I698" i="3" s="1"/>
  <c r="D698" i="3"/>
  <c r="C698" i="3"/>
  <c r="C705" i="3" s="1"/>
  <c r="C726" i="3" s="1"/>
  <c r="B698" i="3"/>
  <c r="L696" i="3"/>
  <c r="L724" i="3" s="1"/>
  <c r="K696" i="3"/>
  <c r="K724" i="3" s="1"/>
  <c r="C696" i="3"/>
  <c r="C724" i="3" s="1"/>
  <c r="P695" i="3"/>
  <c r="O695" i="3"/>
  <c r="N695" i="3"/>
  <c r="Q695" i="3" s="1"/>
  <c r="L695" i="3"/>
  <c r="M695" i="3" s="1"/>
  <c r="K695" i="3"/>
  <c r="J695" i="3"/>
  <c r="H695" i="3"/>
  <c r="G695" i="3"/>
  <c r="F695" i="3"/>
  <c r="I695" i="3" s="1"/>
  <c r="E695" i="3"/>
  <c r="D695" i="3"/>
  <c r="D696" i="3" s="1"/>
  <c r="D724" i="3" s="1"/>
  <c r="C695" i="3"/>
  <c r="B695" i="3"/>
  <c r="P694" i="3"/>
  <c r="P696" i="3" s="1"/>
  <c r="P724" i="3" s="1"/>
  <c r="O694" i="3"/>
  <c r="O696" i="3" s="1"/>
  <c r="O724" i="3" s="1"/>
  <c r="N694" i="3"/>
  <c r="M694" i="3"/>
  <c r="L694" i="3"/>
  <c r="K694" i="3"/>
  <c r="J694" i="3"/>
  <c r="J696" i="3" s="1"/>
  <c r="H694" i="3"/>
  <c r="H696" i="3" s="1"/>
  <c r="H724" i="3" s="1"/>
  <c r="G694" i="3"/>
  <c r="G696" i="3" s="1"/>
  <c r="G724" i="3" s="1"/>
  <c r="F694" i="3"/>
  <c r="E694" i="3"/>
  <c r="D694" i="3"/>
  <c r="C694" i="3"/>
  <c r="B694" i="3"/>
  <c r="B696" i="3" s="1"/>
  <c r="O692" i="3"/>
  <c r="O722" i="3" s="1"/>
  <c r="N692" i="3"/>
  <c r="F692" i="3"/>
  <c r="P691" i="3"/>
  <c r="O691" i="3"/>
  <c r="Q691" i="3" s="1"/>
  <c r="N691" i="3"/>
  <c r="L691" i="3"/>
  <c r="K691" i="3"/>
  <c r="J691" i="3"/>
  <c r="M691" i="3" s="1"/>
  <c r="H691" i="3"/>
  <c r="G691" i="3"/>
  <c r="I691" i="3" s="1"/>
  <c r="F691" i="3"/>
  <c r="D691" i="3"/>
  <c r="C691" i="3"/>
  <c r="B691" i="3"/>
  <c r="E691" i="3" s="1"/>
  <c r="Q690" i="3"/>
  <c r="P690" i="3"/>
  <c r="O690" i="3"/>
  <c r="N690" i="3"/>
  <c r="L690" i="3"/>
  <c r="K690" i="3"/>
  <c r="J690" i="3"/>
  <c r="M690" i="3" s="1"/>
  <c r="H690" i="3"/>
  <c r="I690" i="3" s="1"/>
  <c r="G690" i="3"/>
  <c r="F690" i="3"/>
  <c r="D690" i="3"/>
  <c r="C690" i="3"/>
  <c r="B690" i="3"/>
  <c r="E690" i="3" s="1"/>
  <c r="Q689" i="3"/>
  <c r="P689" i="3"/>
  <c r="O689" i="3"/>
  <c r="N689" i="3"/>
  <c r="L689" i="3"/>
  <c r="K689" i="3"/>
  <c r="J689" i="3"/>
  <c r="M689" i="3" s="1"/>
  <c r="I689" i="3"/>
  <c r="R689" i="3" s="1"/>
  <c r="H689" i="3"/>
  <c r="G689" i="3"/>
  <c r="F689" i="3"/>
  <c r="D689" i="3"/>
  <c r="C689" i="3"/>
  <c r="B689" i="3"/>
  <c r="E689" i="3" s="1"/>
  <c r="P688" i="3"/>
  <c r="O688" i="3"/>
  <c r="Q688" i="3" s="1"/>
  <c r="N688" i="3"/>
  <c r="L688" i="3"/>
  <c r="L692" i="3" s="1"/>
  <c r="L722" i="3" s="1"/>
  <c r="K688" i="3"/>
  <c r="K692" i="3" s="1"/>
  <c r="K722" i="3" s="1"/>
  <c r="J688" i="3"/>
  <c r="H688" i="3"/>
  <c r="G688" i="3"/>
  <c r="F688" i="3"/>
  <c r="I688" i="3" s="1"/>
  <c r="D688" i="3"/>
  <c r="D692" i="3" s="1"/>
  <c r="D722" i="3" s="1"/>
  <c r="C688" i="3"/>
  <c r="C692" i="3" s="1"/>
  <c r="C722" i="3" s="1"/>
  <c r="B688" i="3"/>
  <c r="K686" i="3"/>
  <c r="K720" i="3" s="1"/>
  <c r="C686" i="3"/>
  <c r="C720" i="3" s="1"/>
  <c r="P685" i="3"/>
  <c r="O685" i="3"/>
  <c r="N685" i="3"/>
  <c r="Q685" i="3" s="1"/>
  <c r="M685" i="3"/>
  <c r="L685" i="3"/>
  <c r="L686" i="3" s="1"/>
  <c r="K685" i="3"/>
  <c r="J685" i="3"/>
  <c r="H685" i="3"/>
  <c r="G685" i="3"/>
  <c r="F685" i="3"/>
  <c r="I685" i="3" s="1"/>
  <c r="D685" i="3"/>
  <c r="D686" i="3" s="1"/>
  <c r="C685" i="3"/>
  <c r="B685" i="3"/>
  <c r="P684" i="3"/>
  <c r="O684" i="3"/>
  <c r="N684" i="3"/>
  <c r="Q684" i="3" s="1"/>
  <c r="M684" i="3"/>
  <c r="L684" i="3"/>
  <c r="K684" i="3"/>
  <c r="J684" i="3"/>
  <c r="H684" i="3"/>
  <c r="G684" i="3"/>
  <c r="F684" i="3"/>
  <c r="I684" i="3" s="1"/>
  <c r="E684" i="3"/>
  <c r="R684" i="3" s="1"/>
  <c r="D684" i="3"/>
  <c r="C684" i="3"/>
  <c r="B684" i="3"/>
  <c r="P683" i="3"/>
  <c r="O683" i="3"/>
  <c r="N683" i="3"/>
  <c r="L683" i="3"/>
  <c r="K683" i="3"/>
  <c r="J683" i="3"/>
  <c r="M683" i="3" s="1"/>
  <c r="H683" i="3"/>
  <c r="G683" i="3"/>
  <c r="F683" i="3"/>
  <c r="D683" i="3"/>
  <c r="C683" i="3"/>
  <c r="B683" i="3"/>
  <c r="E683" i="3" s="1"/>
  <c r="P682" i="3"/>
  <c r="O682" i="3"/>
  <c r="N682" i="3"/>
  <c r="Q682" i="3" s="1"/>
  <c r="L682" i="3"/>
  <c r="K682" i="3"/>
  <c r="J682" i="3"/>
  <c r="M682" i="3" s="1"/>
  <c r="H682" i="3"/>
  <c r="G682" i="3"/>
  <c r="F682" i="3"/>
  <c r="I682" i="3" s="1"/>
  <c r="D682" i="3"/>
  <c r="C682" i="3"/>
  <c r="B682" i="3"/>
  <c r="E682" i="3" s="1"/>
  <c r="R682" i="3" s="1"/>
  <c r="P681" i="3"/>
  <c r="Q681" i="3" s="1"/>
  <c r="O681" i="3"/>
  <c r="N681" i="3"/>
  <c r="L681" i="3"/>
  <c r="K681" i="3"/>
  <c r="J681" i="3"/>
  <c r="M681" i="3" s="1"/>
  <c r="I681" i="3"/>
  <c r="H681" i="3"/>
  <c r="G681" i="3"/>
  <c r="F681" i="3"/>
  <c r="D681" i="3"/>
  <c r="C681" i="3"/>
  <c r="B681" i="3"/>
  <c r="E681" i="3" s="1"/>
  <c r="Q680" i="3"/>
  <c r="P680" i="3"/>
  <c r="O680" i="3"/>
  <c r="O686" i="3" s="1"/>
  <c r="N680" i="3"/>
  <c r="L680" i="3"/>
  <c r="K680" i="3"/>
  <c r="J680" i="3"/>
  <c r="I680" i="3"/>
  <c r="H680" i="3"/>
  <c r="H686" i="3" s="1"/>
  <c r="G680" i="3"/>
  <c r="F680" i="3"/>
  <c r="F686" i="3" s="1"/>
  <c r="F720" i="3" s="1"/>
  <c r="D680" i="3"/>
  <c r="C680" i="3"/>
  <c r="B680" i="3"/>
  <c r="A673" i="3"/>
  <c r="A671" i="3"/>
  <c r="Q667" i="3"/>
  <c r="Q660" i="3"/>
  <c r="M660" i="3"/>
  <c r="I660" i="3"/>
  <c r="E660" i="3"/>
  <c r="R660" i="3" s="1"/>
  <c r="Q658" i="3"/>
  <c r="P658" i="3"/>
  <c r="O658" i="3"/>
  <c r="N658" i="3"/>
  <c r="L658" i="3"/>
  <c r="K658" i="3"/>
  <c r="J658" i="3"/>
  <c r="M658" i="3" s="1"/>
  <c r="H658" i="3"/>
  <c r="I658" i="3" s="1"/>
  <c r="G658" i="3"/>
  <c r="F658" i="3"/>
  <c r="D658" i="3"/>
  <c r="C658" i="3"/>
  <c r="B658" i="3"/>
  <c r="E658" i="3" s="1"/>
  <c r="Q657" i="3"/>
  <c r="P657" i="3"/>
  <c r="O657" i="3"/>
  <c r="N657" i="3"/>
  <c r="L657" i="3"/>
  <c r="K657" i="3"/>
  <c r="J657" i="3"/>
  <c r="M657" i="3" s="1"/>
  <c r="I657" i="3"/>
  <c r="H657" i="3"/>
  <c r="G657" i="3"/>
  <c r="F657" i="3"/>
  <c r="D657" i="3"/>
  <c r="C657" i="3"/>
  <c r="B657" i="3"/>
  <c r="E657" i="3" s="1"/>
  <c r="R657" i="3" s="1"/>
  <c r="R654" i="3"/>
  <c r="Q654" i="3"/>
  <c r="M654" i="3"/>
  <c r="I654" i="3"/>
  <c r="E654" i="3"/>
  <c r="Q653" i="3"/>
  <c r="M653" i="3"/>
  <c r="I653" i="3"/>
  <c r="R653" i="3" s="1"/>
  <c r="E653" i="3"/>
  <c r="Q651" i="3"/>
  <c r="M651" i="3"/>
  <c r="I651" i="3"/>
  <c r="E651" i="3"/>
  <c r="R651" i="3" s="1"/>
  <c r="Q650" i="3"/>
  <c r="R650" i="3" s="1"/>
  <c r="M650" i="3"/>
  <c r="I650" i="3"/>
  <c r="E650" i="3"/>
  <c r="P647" i="3"/>
  <c r="O647" i="3"/>
  <c r="N647" i="3"/>
  <c r="L647" i="3"/>
  <c r="K647" i="3"/>
  <c r="J647" i="3"/>
  <c r="M647" i="3" s="1"/>
  <c r="H647" i="3"/>
  <c r="G647" i="3"/>
  <c r="F647" i="3"/>
  <c r="I647" i="3" s="1"/>
  <c r="D647" i="3"/>
  <c r="C647" i="3"/>
  <c r="B647" i="3"/>
  <c r="E647" i="3" s="1"/>
  <c r="Q646" i="3"/>
  <c r="M646" i="3"/>
  <c r="I646" i="3"/>
  <c r="E646" i="3"/>
  <c r="Q645" i="3"/>
  <c r="M645" i="3"/>
  <c r="I645" i="3"/>
  <c r="E645" i="3"/>
  <c r="R645" i="3" s="1"/>
  <c r="Q643" i="3"/>
  <c r="R643" i="3" s="1"/>
  <c r="M643" i="3"/>
  <c r="I643" i="3"/>
  <c r="E643" i="3"/>
  <c r="P640" i="3"/>
  <c r="O640" i="3"/>
  <c r="N640" i="3"/>
  <c r="Q640" i="3" s="1"/>
  <c r="L640" i="3"/>
  <c r="K640" i="3"/>
  <c r="J640" i="3"/>
  <c r="M640" i="3" s="1"/>
  <c r="H640" i="3"/>
  <c r="G640" i="3"/>
  <c r="F640" i="3"/>
  <c r="I640" i="3" s="1"/>
  <c r="D640" i="3"/>
  <c r="C640" i="3"/>
  <c r="B640" i="3"/>
  <c r="E640" i="3" s="1"/>
  <c r="R640" i="3" s="1"/>
  <c r="P636" i="3"/>
  <c r="P659" i="3" s="1"/>
  <c r="P662" i="3" s="1"/>
  <c r="O636" i="3"/>
  <c r="N636" i="3"/>
  <c r="L636" i="3"/>
  <c r="L659" i="3" s="1"/>
  <c r="L662" i="3" s="1"/>
  <c r="K636" i="3"/>
  <c r="K659" i="3" s="1"/>
  <c r="K662" i="3" s="1"/>
  <c r="K663" i="3" s="1"/>
  <c r="J636" i="3"/>
  <c r="M636" i="3" s="1"/>
  <c r="H636" i="3"/>
  <c r="H659" i="3" s="1"/>
  <c r="H662" i="3" s="1"/>
  <c r="G636" i="3"/>
  <c r="F636" i="3"/>
  <c r="F659" i="3" s="1"/>
  <c r="D636" i="3"/>
  <c r="D659" i="3" s="1"/>
  <c r="D662" i="3" s="1"/>
  <c r="C636" i="3"/>
  <c r="C659" i="3" s="1"/>
  <c r="C662" i="3" s="1"/>
  <c r="B636" i="3"/>
  <c r="E636" i="3" s="1"/>
  <c r="Q634" i="3"/>
  <c r="M634" i="3"/>
  <c r="I634" i="3"/>
  <c r="E634" i="3"/>
  <c r="Q631" i="3"/>
  <c r="M631" i="3"/>
  <c r="I631" i="3"/>
  <c r="E631" i="3"/>
  <c r="R631" i="3" s="1"/>
  <c r="R630" i="3"/>
  <c r="Q630" i="3"/>
  <c r="M630" i="3"/>
  <c r="I630" i="3"/>
  <c r="E630" i="3"/>
  <c r="C622" i="3"/>
  <c r="Q618" i="3"/>
  <c r="R618" i="3" s="1"/>
  <c r="M618" i="3"/>
  <c r="I618" i="3"/>
  <c r="E618" i="3"/>
  <c r="Q617" i="3"/>
  <c r="M617" i="3"/>
  <c r="I617" i="3"/>
  <c r="E617" i="3"/>
  <c r="R617" i="3" s="1"/>
  <c r="L616" i="3"/>
  <c r="L620" i="3" s="1"/>
  <c r="K616" i="3"/>
  <c r="K620" i="3" s="1"/>
  <c r="K621" i="3" s="1"/>
  <c r="C616" i="3"/>
  <c r="C620" i="3" s="1"/>
  <c r="C621" i="3" s="1"/>
  <c r="P615" i="3"/>
  <c r="O615" i="3"/>
  <c r="N615" i="3"/>
  <c r="Q615" i="3" s="1"/>
  <c r="M615" i="3"/>
  <c r="L615" i="3"/>
  <c r="K615" i="3"/>
  <c r="J615" i="3"/>
  <c r="H615" i="3"/>
  <c r="G615" i="3"/>
  <c r="F615" i="3"/>
  <c r="I615" i="3" s="1"/>
  <c r="D615" i="3"/>
  <c r="C615" i="3"/>
  <c r="B615" i="3"/>
  <c r="P614" i="3"/>
  <c r="O614" i="3"/>
  <c r="N614" i="3"/>
  <c r="Q614" i="3" s="1"/>
  <c r="M614" i="3"/>
  <c r="L614" i="3"/>
  <c r="K614" i="3"/>
  <c r="J614" i="3"/>
  <c r="H614" i="3"/>
  <c r="G614" i="3"/>
  <c r="F614" i="3"/>
  <c r="I614" i="3" s="1"/>
  <c r="E614" i="3"/>
  <c r="R614" i="3" s="1"/>
  <c r="D614" i="3"/>
  <c r="C614" i="3"/>
  <c r="B614" i="3"/>
  <c r="P608" i="3"/>
  <c r="O608" i="3"/>
  <c r="N608" i="3"/>
  <c r="L608" i="3"/>
  <c r="K608" i="3"/>
  <c r="J608" i="3"/>
  <c r="M608" i="3" s="1"/>
  <c r="H608" i="3"/>
  <c r="G608" i="3"/>
  <c r="F608" i="3"/>
  <c r="E608" i="3"/>
  <c r="D608" i="3"/>
  <c r="C608" i="3"/>
  <c r="B608" i="3"/>
  <c r="P604" i="3"/>
  <c r="O604" i="3"/>
  <c r="N604" i="3"/>
  <c r="Q604" i="3" s="1"/>
  <c r="L604" i="3"/>
  <c r="K604" i="3"/>
  <c r="J604" i="3"/>
  <c r="M604" i="3" s="1"/>
  <c r="H604" i="3"/>
  <c r="G604" i="3"/>
  <c r="F604" i="3"/>
  <c r="D604" i="3"/>
  <c r="C604" i="3"/>
  <c r="B604" i="3"/>
  <c r="E604" i="3" s="1"/>
  <c r="Q600" i="3"/>
  <c r="P600" i="3"/>
  <c r="O600" i="3"/>
  <c r="O616" i="3" s="1"/>
  <c r="O620" i="3" s="1"/>
  <c r="N600" i="3"/>
  <c r="N616" i="3" s="1"/>
  <c r="L600" i="3"/>
  <c r="K600" i="3"/>
  <c r="J600" i="3"/>
  <c r="J616" i="3" s="1"/>
  <c r="I600" i="3"/>
  <c r="H600" i="3"/>
  <c r="G600" i="3"/>
  <c r="F600" i="3"/>
  <c r="D600" i="3"/>
  <c r="C600" i="3"/>
  <c r="B600" i="3"/>
  <c r="B616" i="3" s="1"/>
  <c r="R596" i="3"/>
  <c r="Q596" i="3"/>
  <c r="M596" i="3"/>
  <c r="I596" i="3"/>
  <c r="E596" i="3"/>
  <c r="P586" i="3"/>
  <c r="O586" i="3"/>
  <c r="N586" i="3"/>
  <c r="N587" i="3" s="1"/>
  <c r="L586" i="3"/>
  <c r="L587" i="3" s="1"/>
  <c r="K586" i="3"/>
  <c r="K587" i="3" s="1"/>
  <c r="J586" i="3"/>
  <c r="M586" i="3" s="1"/>
  <c r="H586" i="3"/>
  <c r="G586" i="3"/>
  <c r="F586" i="3"/>
  <c r="F587" i="3" s="1"/>
  <c r="D586" i="3"/>
  <c r="D587" i="3" s="1"/>
  <c r="C586" i="3"/>
  <c r="C587" i="3" s="1"/>
  <c r="B586" i="3"/>
  <c r="E586" i="3" s="1"/>
  <c r="Q584" i="3"/>
  <c r="M584" i="3"/>
  <c r="I584" i="3"/>
  <c r="E584" i="3"/>
  <c r="Q574" i="3"/>
  <c r="M574" i="3"/>
  <c r="I574" i="3"/>
  <c r="E574" i="3"/>
  <c r="L573" i="3"/>
  <c r="L576" i="3" s="1"/>
  <c r="P572" i="3"/>
  <c r="O572" i="3"/>
  <c r="N572" i="3"/>
  <c r="Q572" i="3" s="1"/>
  <c r="M572" i="3"/>
  <c r="L572" i="3"/>
  <c r="K572" i="3"/>
  <c r="J572" i="3"/>
  <c r="H572" i="3"/>
  <c r="G572" i="3"/>
  <c r="F572" i="3"/>
  <c r="I572" i="3" s="1"/>
  <c r="E572" i="3"/>
  <c r="D572" i="3"/>
  <c r="C572" i="3"/>
  <c r="B572" i="3"/>
  <c r="P571" i="3"/>
  <c r="O571" i="3"/>
  <c r="N571" i="3"/>
  <c r="Q571" i="3" s="1"/>
  <c r="L571" i="3"/>
  <c r="K571" i="3"/>
  <c r="J571" i="3"/>
  <c r="M571" i="3" s="1"/>
  <c r="H571" i="3"/>
  <c r="G571" i="3"/>
  <c r="F571" i="3"/>
  <c r="D571" i="3"/>
  <c r="C571" i="3"/>
  <c r="B571" i="3"/>
  <c r="E571" i="3" s="1"/>
  <c r="Q568" i="3"/>
  <c r="M568" i="3"/>
  <c r="I568" i="3"/>
  <c r="E568" i="3"/>
  <c r="Q567" i="3"/>
  <c r="M567" i="3"/>
  <c r="I567" i="3"/>
  <c r="E567" i="3"/>
  <c r="R567" i="3" s="1"/>
  <c r="Q566" i="3"/>
  <c r="R566" i="3" s="1"/>
  <c r="M566" i="3"/>
  <c r="I566" i="3"/>
  <c r="E566" i="3"/>
  <c r="Q565" i="3"/>
  <c r="M565" i="3"/>
  <c r="I565" i="3"/>
  <c r="E565" i="3"/>
  <c r="P561" i="3"/>
  <c r="O561" i="3"/>
  <c r="N561" i="3"/>
  <c r="Q561" i="3" s="1"/>
  <c r="L561" i="3"/>
  <c r="K561" i="3"/>
  <c r="J561" i="3"/>
  <c r="M561" i="3" s="1"/>
  <c r="H561" i="3"/>
  <c r="G561" i="3"/>
  <c r="F561" i="3"/>
  <c r="I561" i="3" s="1"/>
  <c r="D561" i="3"/>
  <c r="D573" i="3" s="1"/>
  <c r="D576" i="3" s="1"/>
  <c r="C561" i="3"/>
  <c r="B561" i="3"/>
  <c r="Q559" i="3"/>
  <c r="M559" i="3"/>
  <c r="I559" i="3"/>
  <c r="E559" i="3"/>
  <c r="R559" i="3" s="1"/>
  <c r="Q556" i="3"/>
  <c r="P556" i="3"/>
  <c r="O556" i="3"/>
  <c r="N556" i="3"/>
  <c r="L556" i="3"/>
  <c r="K556" i="3"/>
  <c r="J556" i="3"/>
  <c r="M556" i="3" s="1"/>
  <c r="I556" i="3"/>
  <c r="R556" i="3" s="1"/>
  <c r="H556" i="3"/>
  <c r="G556" i="3"/>
  <c r="F556" i="3"/>
  <c r="D556" i="3"/>
  <c r="C556" i="3"/>
  <c r="B556" i="3"/>
  <c r="E556" i="3" s="1"/>
  <c r="P552" i="3"/>
  <c r="P573" i="3" s="1"/>
  <c r="P576" i="3" s="1"/>
  <c r="O552" i="3"/>
  <c r="O573" i="3" s="1"/>
  <c r="O576" i="3" s="1"/>
  <c r="N552" i="3"/>
  <c r="Q552" i="3" s="1"/>
  <c r="L552" i="3"/>
  <c r="K552" i="3"/>
  <c r="K573" i="3" s="1"/>
  <c r="K576" i="3" s="1"/>
  <c r="J552" i="3"/>
  <c r="H552" i="3"/>
  <c r="H573" i="3" s="1"/>
  <c r="H576" i="3" s="1"/>
  <c r="G552" i="3"/>
  <c r="G573" i="3" s="1"/>
  <c r="G576" i="3" s="1"/>
  <c r="F552" i="3"/>
  <c r="I552" i="3" s="1"/>
  <c r="D552" i="3"/>
  <c r="C552" i="3"/>
  <c r="C573" i="3" s="1"/>
  <c r="C576" i="3" s="1"/>
  <c r="B552" i="3"/>
  <c r="Q548" i="3"/>
  <c r="M548" i="3"/>
  <c r="I548" i="3"/>
  <c r="E548" i="3"/>
  <c r="R548" i="3" s="1"/>
  <c r="Q547" i="3"/>
  <c r="M547" i="3"/>
  <c r="I547" i="3"/>
  <c r="E547" i="3"/>
  <c r="G537" i="3"/>
  <c r="Q535" i="3"/>
  <c r="M535" i="3"/>
  <c r="I535" i="3"/>
  <c r="R535" i="3" s="1"/>
  <c r="E535" i="3"/>
  <c r="D534" i="3"/>
  <c r="D537" i="3" s="1"/>
  <c r="P533" i="3"/>
  <c r="O533" i="3"/>
  <c r="N533" i="3"/>
  <c r="Q533" i="3" s="1"/>
  <c r="M533" i="3"/>
  <c r="L533" i="3"/>
  <c r="K533" i="3"/>
  <c r="J533" i="3"/>
  <c r="H533" i="3"/>
  <c r="G533" i="3"/>
  <c r="F533" i="3"/>
  <c r="I533" i="3" s="1"/>
  <c r="E533" i="3"/>
  <c r="D533" i="3"/>
  <c r="C533" i="3"/>
  <c r="B533" i="3"/>
  <c r="P532" i="3"/>
  <c r="O532" i="3"/>
  <c r="N532" i="3"/>
  <c r="L532" i="3"/>
  <c r="K532" i="3"/>
  <c r="J532" i="3"/>
  <c r="M532" i="3" s="1"/>
  <c r="H532" i="3"/>
  <c r="G532" i="3"/>
  <c r="F532" i="3"/>
  <c r="I532" i="3" s="1"/>
  <c r="D532" i="3"/>
  <c r="C532" i="3"/>
  <c r="B532" i="3"/>
  <c r="E532" i="3" s="1"/>
  <c r="Q529" i="3"/>
  <c r="M529" i="3"/>
  <c r="I529" i="3"/>
  <c r="E529" i="3"/>
  <c r="P525" i="3"/>
  <c r="O525" i="3"/>
  <c r="N525" i="3"/>
  <c r="Q525" i="3" s="1"/>
  <c r="L525" i="3"/>
  <c r="M525" i="3" s="1"/>
  <c r="K525" i="3"/>
  <c r="J525" i="3"/>
  <c r="H525" i="3"/>
  <c r="G525" i="3"/>
  <c r="F525" i="3"/>
  <c r="I525" i="3" s="1"/>
  <c r="E525" i="3"/>
  <c r="D525" i="3"/>
  <c r="C525" i="3"/>
  <c r="B525" i="3"/>
  <c r="P521" i="3"/>
  <c r="O521" i="3"/>
  <c r="N521" i="3"/>
  <c r="Q521" i="3" s="1"/>
  <c r="M521" i="3"/>
  <c r="L521" i="3"/>
  <c r="K521" i="3"/>
  <c r="J521" i="3"/>
  <c r="H521" i="3"/>
  <c r="G521" i="3"/>
  <c r="F521" i="3"/>
  <c r="I521" i="3" s="1"/>
  <c r="E521" i="3"/>
  <c r="D521" i="3"/>
  <c r="C521" i="3"/>
  <c r="B521" i="3"/>
  <c r="P517" i="3"/>
  <c r="P534" i="3" s="1"/>
  <c r="P537" i="3" s="1"/>
  <c r="O517" i="3"/>
  <c r="O534" i="3" s="1"/>
  <c r="O537" i="3" s="1"/>
  <c r="N517" i="3"/>
  <c r="L517" i="3"/>
  <c r="K517" i="3"/>
  <c r="K534" i="3" s="1"/>
  <c r="K537" i="3" s="1"/>
  <c r="J517" i="3"/>
  <c r="M517" i="3" s="1"/>
  <c r="H517" i="3"/>
  <c r="H534" i="3" s="1"/>
  <c r="H537" i="3" s="1"/>
  <c r="G517" i="3"/>
  <c r="G534" i="3" s="1"/>
  <c r="F517" i="3"/>
  <c r="D517" i="3"/>
  <c r="C517" i="3"/>
  <c r="C534" i="3" s="1"/>
  <c r="C537" i="3" s="1"/>
  <c r="B517" i="3"/>
  <c r="E517" i="3" s="1"/>
  <c r="Q513" i="3"/>
  <c r="M513" i="3"/>
  <c r="I513" i="3"/>
  <c r="E513" i="3"/>
  <c r="Q512" i="3"/>
  <c r="M512" i="3"/>
  <c r="I512" i="3"/>
  <c r="E512" i="3"/>
  <c r="R512" i="3" s="1"/>
  <c r="L503" i="3"/>
  <c r="K503" i="3"/>
  <c r="P502" i="3"/>
  <c r="P503" i="3" s="1"/>
  <c r="O502" i="3"/>
  <c r="O503" i="3" s="1"/>
  <c r="N502" i="3"/>
  <c r="Q502" i="3" s="1"/>
  <c r="L502" i="3"/>
  <c r="K502" i="3"/>
  <c r="J502" i="3"/>
  <c r="H502" i="3"/>
  <c r="H503" i="3" s="1"/>
  <c r="G502" i="3"/>
  <c r="G503" i="3" s="1"/>
  <c r="F502" i="3"/>
  <c r="I502" i="3" s="1"/>
  <c r="D502" i="3"/>
  <c r="C502" i="3"/>
  <c r="B502" i="3"/>
  <c r="Q500" i="3"/>
  <c r="M500" i="3"/>
  <c r="I500" i="3"/>
  <c r="E500" i="3"/>
  <c r="R500" i="3" s="1"/>
  <c r="J492" i="3"/>
  <c r="R490" i="3"/>
  <c r="Q490" i="3"/>
  <c r="M490" i="3"/>
  <c r="I490" i="3"/>
  <c r="E490" i="3"/>
  <c r="P489" i="3"/>
  <c r="P492" i="3" s="1"/>
  <c r="O489" i="3"/>
  <c r="O492" i="3" s="1"/>
  <c r="G489" i="3"/>
  <c r="G492" i="3" s="1"/>
  <c r="P488" i="3"/>
  <c r="Q488" i="3" s="1"/>
  <c r="O488" i="3"/>
  <c r="N488" i="3"/>
  <c r="L488" i="3"/>
  <c r="M488" i="3" s="1"/>
  <c r="K488" i="3"/>
  <c r="J488" i="3"/>
  <c r="H488" i="3"/>
  <c r="H489" i="3" s="1"/>
  <c r="H492" i="3" s="1"/>
  <c r="G488" i="3"/>
  <c r="F488" i="3"/>
  <c r="D488" i="3"/>
  <c r="E488" i="3" s="1"/>
  <c r="C488" i="3"/>
  <c r="B488" i="3"/>
  <c r="Q487" i="3"/>
  <c r="P487" i="3"/>
  <c r="O487" i="3"/>
  <c r="N487" i="3"/>
  <c r="L487" i="3"/>
  <c r="K487" i="3"/>
  <c r="J487" i="3"/>
  <c r="M487" i="3" s="1"/>
  <c r="I487" i="3"/>
  <c r="H487" i="3"/>
  <c r="G487" i="3"/>
  <c r="F487" i="3"/>
  <c r="D487" i="3"/>
  <c r="C487" i="3"/>
  <c r="B487" i="3"/>
  <c r="E487" i="3" s="1"/>
  <c r="R485" i="3"/>
  <c r="Q485" i="3"/>
  <c r="M485" i="3"/>
  <c r="I485" i="3"/>
  <c r="E485" i="3"/>
  <c r="Q484" i="3"/>
  <c r="M484" i="3"/>
  <c r="I484" i="3"/>
  <c r="R484" i="3" s="1"/>
  <c r="E484" i="3"/>
  <c r="Q482" i="3"/>
  <c r="M482" i="3"/>
  <c r="I482" i="3"/>
  <c r="E482" i="3"/>
  <c r="R482" i="3" s="1"/>
  <c r="R481" i="3"/>
  <c r="Q481" i="3"/>
  <c r="M481" i="3"/>
  <c r="I481" i="3"/>
  <c r="E481" i="3"/>
  <c r="Q480" i="3"/>
  <c r="M480" i="3"/>
  <c r="I480" i="3"/>
  <c r="E480" i="3"/>
  <c r="Q479" i="3"/>
  <c r="M479" i="3"/>
  <c r="I479" i="3"/>
  <c r="E479" i="3"/>
  <c r="R479" i="3" s="1"/>
  <c r="Q477" i="3"/>
  <c r="M477" i="3"/>
  <c r="I477" i="3"/>
  <c r="R477" i="3" s="1"/>
  <c r="E477" i="3"/>
  <c r="Q476" i="3"/>
  <c r="M476" i="3"/>
  <c r="I476" i="3"/>
  <c r="E476" i="3"/>
  <c r="R476" i="3" s="1"/>
  <c r="R475" i="3"/>
  <c r="Q475" i="3"/>
  <c r="M475" i="3"/>
  <c r="I475" i="3"/>
  <c r="E475" i="3"/>
  <c r="Q474" i="3"/>
  <c r="M474" i="3"/>
  <c r="I474" i="3"/>
  <c r="E474" i="3"/>
  <c r="Q471" i="3"/>
  <c r="P471" i="3"/>
  <c r="O471" i="3"/>
  <c r="N471" i="3"/>
  <c r="L471" i="3"/>
  <c r="M471" i="3" s="1"/>
  <c r="K471" i="3"/>
  <c r="J471" i="3"/>
  <c r="I471" i="3"/>
  <c r="H471" i="3"/>
  <c r="G471" i="3"/>
  <c r="F471" i="3"/>
  <c r="D471" i="3"/>
  <c r="E471" i="3" s="1"/>
  <c r="C471" i="3"/>
  <c r="B471" i="3"/>
  <c r="P467" i="3"/>
  <c r="O467" i="3"/>
  <c r="N467" i="3"/>
  <c r="Q467" i="3" s="1"/>
  <c r="M467" i="3"/>
  <c r="L467" i="3"/>
  <c r="K467" i="3"/>
  <c r="J467" i="3"/>
  <c r="H467" i="3"/>
  <c r="G467" i="3"/>
  <c r="F467" i="3"/>
  <c r="I467" i="3" s="1"/>
  <c r="E467" i="3"/>
  <c r="D467" i="3"/>
  <c r="C467" i="3"/>
  <c r="B467" i="3"/>
  <c r="Q465" i="3"/>
  <c r="M465" i="3"/>
  <c r="I465" i="3"/>
  <c r="E465" i="3"/>
  <c r="R465" i="3" s="1"/>
  <c r="P462" i="3"/>
  <c r="O462" i="3"/>
  <c r="N462" i="3"/>
  <c r="N489" i="3" s="1"/>
  <c r="L462" i="3"/>
  <c r="L489" i="3" s="1"/>
  <c r="L492" i="3" s="1"/>
  <c r="L493" i="3" s="1"/>
  <c r="K462" i="3"/>
  <c r="K489" i="3" s="1"/>
  <c r="K492" i="3" s="1"/>
  <c r="K493" i="3" s="1"/>
  <c r="J462" i="3"/>
  <c r="J489" i="3" s="1"/>
  <c r="H462" i="3"/>
  <c r="G462" i="3"/>
  <c r="F462" i="3"/>
  <c r="D462" i="3"/>
  <c r="C462" i="3"/>
  <c r="C489" i="3" s="1"/>
  <c r="C492" i="3" s="1"/>
  <c r="B462" i="3"/>
  <c r="B489" i="3" s="1"/>
  <c r="Q460" i="3"/>
  <c r="M460" i="3"/>
  <c r="I460" i="3"/>
  <c r="E460" i="3"/>
  <c r="R460" i="3" s="1"/>
  <c r="R458" i="3"/>
  <c r="Q458" i="3"/>
  <c r="M458" i="3"/>
  <c r="I458" i="3"/>
  <c r="E458" i="3"/>
  <c r="Q456" i="3"/>
  <c r="M456" i="3"/>
  <c r="I456" i="3"/>
  <c r="E456" i="3"/>
  <c r="Q455" i="3"/>
  <c r="M455" i="3"/>
  <c r="I455" i="3"/>
  <c r="E455" i="3"/>
  <c r="R455" i="3" s="1"/>
  <c r="Q454" i="3"/>
  <c r="M454" i="3"/>
  <c r="I454" i="3"/>
  <c r="E454" i="3"/>
  <c r="Q453" i="3"/>
  <c r="M453" i="3"/>
  <c r="I453" i="3"/>
  <c r="E453" i="3"/>
  <c r="R453" i="3" s="1"/>
  <c r="R452" i="3"/>
  <c r="Q452" i="3"/>
  <c r="M452" i="3"/>
  <c r="I452" i="3"/>
  <c r="E452" i="3"/>
  <c r="Q451" i="3"/>
  <c r="M451" i="3"/>
  <c r="I451" i="3"/>
  <c r="E451" i="3"/>
  <c r="P442" i="3"/>
  <c r="Q439" i="3"/>
  <c r="M439" i="3"/>
  <c r="I439" i="3"/>
  <c r="E439" i="3"/>
  <c r="R439" i="3" s="1"/>
  <c r="D438" i="3"/>
  <c r="D441" i="3" s="1"/>
  <c r="C438" i="3"/>
  <c r="C441" i="3" s="1"/>
  <c r="P437" i="3"/>
  <c r="Q437" i="3" s="1"/>
  <c r="O437" i="3"/>
  <c r="N437" i="3"/>
  <c r="M437" i="3"/>
  <c r="L437" i="3"/>
  <c r="L438" i="3" s="1"/>
  <c r="L441" i="3" s="1"/>
  <c r="K437" i="3"/>
  <c r="J437" i="3"/>
  <c r="H437" i="3"/>
  <c r="I437" i="3" s="1"/>
  <c r="G437" i="3"/>
  <c r="F437" i="3"/>
  <c r="D437" i="3"/>
  <c r="E437" i="3" s="1"/>
  <c r="R437" i="3" s="1"/>
  <c r="C437" i="3"/>
  <c r="B437" i="3"/>
  <c r="P436" i="3"/>
  <c r="O436" i="3"/>
  <c r="N436" i="3"/>
  <c r="Q436" i="3" s="1"/>
  <c r="M436" i="3"/>
  <c r="L436" i="3"/>
  <c r="K436" i="3"/>
  <c r="J436" i="3"/>
  <c r="H436" i="3"/>
  <c r="G436" i="3"/>
  <c r="F436" i="3"/>
  <c r="I436" i="3" s="1"/>
  <c r="E436" i="3"/>
  <c r="D436" i="3"/>
  <c r="C436" i="3"/>
  <c r="B436" i="3"/>
  <c r="Q435" i="3"/>
  <c r="M435" i="3"/>
  <c r="I435" i="3"/>
  <c r="E435" i="3"/>
  <c r="R435" i="3" s="1"/>
  <c r="Q434" i="3"/>
  <c r="M434" i="3"/>
  <c r="I434" i="3"/>
  <c r="E434" i="3"/>
  <c r="R434" i="3" s="1"/>
  <c r="Q433" i="3"/>
  <c r="M433" i="3"/>
  <c r="I433" i="3"/>
  <c r="E433" i="3"/>
  <c r="R433" i="3" s="1"/>
  <c r="Q431" i="3"/>
  <c r="M431" i="3"/>
  <c r="I431" i="3"/>
  <c r="E431" i="3"/>
  <c r="R431" i="3" s="1"/>
  <c r="R430" i="3"/>
  <c r="Q430" i="3"/>
  <c r="M430" i="3"/>
  <c r="I430" i="3"/>
  <c r="E430" i="3"/>
  <c r="Q429" i="3"/>
  <c r="M429" i="3"/>
  <c r="I429" i="3"/>
  <c r="R429" i="3" s="1"/>
  <c r="E429" i="3"/>
  <c r="Q428" i="3"/>
  <c r="M428" i="3"/>
  <c r="R428" i="3" s="1"/>
  <c r="I428" i="3"/>
  <c r="E428" i="3"/>
  <c r="Q423" i="3"/>
  <c r="P423" i="3"/>
  <c r="O423" i="3"/>
  <c r="N423" i="3"/>
  <c r="L423" i="3"/>
  <c r="K423" i="3"/>
  <c r="J423" i="3"/>
  <c r="M423" i="3" s="1"/>
  <c r="I423" i="3"/>
  <c r="H423" i="3"/>
  <c r="G423" i="3"/>
  <c r="F423" i="3"/>
  <c r="D423" i="3"/>
  <c r="C423" i="3"/>
  <c r="B423" i="3"/>
  <c r="E423" i="3" s="1"/>
  <c r="R423" i="3" s="1"/>
  <c r="P419" i="3"/>
  <c r="O419" i="3"/>
  <c r="N419" i="3"/>
  <c r="Q419" i="3" s="1"/>
  <c r="L419" i="3"/>
  <c r="K419" i="3"/>
  <c r="K438" i="3" s="1"/>
  <c r="K441" i="3" s="1"/>
  <c r="J419" i="3"/>
  <c r="M419" i="3" s="1"/>
  <c r="H419" i="3"/>
  <c r="G419" i="3"/>
  <c r="F419" i="3"/>
  <c r="I419" i="3" s="1"/>
  <c r="D419" i="3"/>
  <c r="C419" i="3"/>
  <c r="B419" i="3"/>
  <c r="Q416" i="3"/>
  <c r="M416" i="3"/>
  <c r="I416" i="3"/>
  <c r="E416" i="3"/>
  <c r="R416" i="3" s="1"/>
  <c r="Q415" i="3"/>
  <c r="M415" i="3"/>
  <c r="I415" i="3"/>
  <c r="E415" i="3"/>
  <c r="P412" i="3"/>
  <c r="P438" i="3" s="1"/>
  <c r="P441" i="3" s="1"/>
  <c r="O412" i="3"/>
  <c r="O438" i="3" s="1"/>
  <c r="O441" i="3" s="1"/>
  <c r="N412" i="3"/>
  <c r="M412" i="3"/>
  <c r="L412" i="3"/>
  <c r="K412" i="3"/>
  <c r="J412" i="3"/>
  <c r="H412" i="3"/>
  <c r="H438" i="3" s="1"/>
  <c r="H441" i="3" s="1"/>
  <c r="H442" i="3" s="1"/>
  <c r="G412" i="3"/>
  <c r="G438" i="3" s="1"/>
  <c r="G441" i="3" s="1"/>
  <c r="F412" i="3"/>
  <c r="E412" i="3"/>
  <c r="D412" i="3"/>
  <c r="C412" i="3"/>
  <c r="B412" i="3"/>
  <c r="Q408" i="3"/>
  <c r="M408" i="3"/>
  <c r="I408" i="3"/>
  <c r="E408" i="3"/>
  <c r="R408" i="3" s="1"/>
  <c r="Q407" i="3"/>
  <c r="M407" i="3"/>
  <c r="I407" i="3"/>
  <c r="E407" i="3"/>
  <c r="R407" i="3" s="1"/>
  <c r="J397" i="3"/>
  <c r="R395" i="3"/>
  <c r="Q395" i="3"/>
  <c r="M395" i="3"/>
  <c r="I395" i="3"/>
  <c r="E395" i="3"/>
  <c r="O394" i="3"/>
  <c r="O397" i="3" s="1"/>
  <c r="G394" i="3"/>
  <c r="G397" i="3" s="1"/>
  <c r="Q393" i="3"/>
  <c r="P393" i="3"/>
  <c r="O393" i="3"/>
  <c r="N393" i="3"/>
  <c r="L393" i="3"/>
  <c r="M393" i="3" s="1"/>
  <c r="K393" i="3"/>
  <c r="J393" i="3"/>
  <c r="H393" i="3"/>
  <c r="H394" i="3" s="1"/>
  <c r="H397" i="3" s="1"/>
  <c r="G393" i="3"/>
  <c r="F393" i="3"/>
  <c r="D393" i="3"/>
  <c r="E393" i="3" s="1"/>
  <c r="C393" i="3"/>
  <c r="B393" i="3"/>
  <c r="Q392" i="3"/>
  <c r="P392" i="3"/>
  <c r="O392" i="3"/>
  <c r="N392" i="3"/>
  <c r="L392" i="3"/>
  <c r="K392" i="3"/>
  <c r="J392" i="3"/>
  <c r="M392" i="3" s="1"/>
  <c r="I392" i="3"/>
  <c r="H392" i="3"/>
  <c r="G392" i="3"/>
  <c r="F392" i="3"/>
  <c r="D392" i="3"/>
  <c r="C392" i="3"/>
  <c r="B392" i="3"/>
  <c r="E392" i="3" s="1"/>
  <c r="R392" i="3" s="1"/>
  <c r="R391" i="3"/>
  <c r="Q391" i="3"/>
  <c r="M391" i="3"/>
  <c r="I391" i="3"/>
  <c r="E391" i="3"/>
  <c r="Q390" i="3"/>
  <c r="M390" i="3"/>
  <c r="I390" i="3"/>
  <c r="E390" i="3"/>
  <c r="Q386" i="3"/>
  <c r="M386" i="3"/>
  <c r="I386" i="3"/>
  <c r="E386" i="3"/>
  <c r="R386" i="3" s="1"/>
  <c r="Q383" i="3"/>
  <c r="P383" i="3"/>
  <c r="O383" i="3"/>
  <c r="N383" i="3"/>
  <c r="L383" i="3"/>
  <c r="K383" i="3"/>
  <c r="J383" i="3"/>
  <c r="M383" i="3" s="1"/>
  <c r="I383" i="3"/>
  <c r="H383" i="3"/>
  <c r="G383" i="3"/>
  <c r="F383" i="3"/>
  <c r="D383" i="3"/>
  <c r="C383" i="3"/>
  <c r="B383" i="3"/>
  <c r="E383" i="3" s="1"/>
  <c r="R383" i="3" s="1"/>
  <c r="P379" i="3"/>
  <c r="O379" i="3"/>
  <c r="N379" i="3"/>
  <c r="Q379" i="3" s="1"/>
  <c r="L379" i="3"/>
  <c r="K379" i="3"/>
  <c r="J379" i="3"/>
  <c r="M379" i="3" s="1"/>
  <c r="H379" i="3"/>
  <c r="G379" i="3"/>
  <c r="F379" i="3"/>
  <c r="I379" i="3" s="1"/>
  <c r="D379" i="3"/>
  <c r="C379" i="3"/>
  <c r="B379" i="3"/>
  <c r="Q377" i="3"/>
  <c r="M377" i="3"/>
  <c r="I377" i="3"/>
  <c r="R377" i="3" s="1"/>
  <c r="E377" i="3"/>
  <c r="P374" i="3"/>
  <c r="Q374" i="3" s="1"/>
  <c r="O374" i="3"/>
  <c r="N374" i="3"/>
  <c r="N394" i="3" s="1"/>
  <c r="L374" i="3"/>
  <c r="L394" i="3" s="1"/>
  <c r="L397" i="3" s="1"/>
  <c r="L398" i="3" s="1"/>
  <c r="K374" i="3"/>
  <c r="K394" i="3" s="1"/>
  <c r="K397" i="3" s="1"/>
  <c r="K398" i="3" s="1"/>
  <c r="J374" i="3"/>
  <c r="J394" i="3" s="1"/>
  <c r="M394" i="3" s="1"/>
  <c r="I374" i="3"/>
  <c r="H374" i="3"/>
  <c r="G374" i="3"/>
  <c r="F374" i="3"/>
  <c r="F394" i="3" s="1"/>
  <c r="D374" i="3"/>
  <c r="D394" i="3" s="1"/>
  <c r="D397" i="3" s="1"/>
  <c r="D398" i="3" s="1"/>
  <c r="C374" i="3"/>
  <c r="B374" i="3"/>
  <c r="B394" i="3" s="1"/>
  <c r="R371" i="3"/>
  <c r="Q371" i="3"/>
  <c r="M371" i="3"/>
  <c r="I371" i="3"/>
  <c r="E371" i="3"/>
  <c r="Q370" i="3"/>
  <c r="M370" i="3"/>
  <c r="I370" i="3"/>
  <c r="E370" i="3"/>
  <c r="R370" i="3" s="1"/>
  <c r="Q368" i="3"/>
  <c r="M368" i="3"/>
  <c r="I368" i="3"/>
  <c r="R368" i="3" s="1"/>
  <c r="E368" i="3"/>
  <c r="Q367" i="3"/>
  <c r="M367" i="3"/>
  <c r="I367" i="3"/>
  <c r="E367" i="3"/>
  <c r="R367" i="3" s="1"/>
  <c r="O357" i="3"/>
  <c r="Q355" i="3"/>
  <c r="M355" i="3"/>
  <c r="I355" i="3"/>
  <c r="E355" i="3"/>
  <c r="Q354" i="3"/>
  <c r="M354" i="3"/>
  <c r="I354" i="3"/>
  <c r="E354" i="3"/>
  <c r="R354" i="3" s="1"/>
  <c r="Q353" i="3"/>
  <c r="R353" i="3" s="1"/>
  <c r="M353" i="3"/>
  <c r="I353" i="3"/>
  <c r="E353" i="3"/>
  <c r="O352" i="3"/>
  <c r="P351" i="3"/>
  <c r="O351" i="3"/>
  <c r="N351" i="3"/>
  <c r="L351" i="3"/>
  <c r="K351" i="3"/>
  <c r="J351" i="3"/>
  <c r="M351" i="3" s="1"/>
  <c r="H351" i="3"/>
  <c r="G351" i="3"/>
  <c r="F351" i="3"/>
  <c r="I351" i="3" s="1"/>
  <c r="D351" i="3"/>
  <c r="C351" i="3"/>
  <c r="B351" i="3"/>
  <c r="E351" i="3" s="1"/>
  <c r="Q350" i="3"/>
  <c r="P350" i="3"/>
  <c r="O350" i="3"/>
  <c r="N350" i="3"/>
  <c r="L350" i="3"/>
  <c r="K350" i="3"/>
  <c r="J350" i="3"/>
  <c r="M350" i="3" s="1"/>
  <c r="H350" i="3"/>
  <c r="I350" i="3" s="1"/>
  <c r="G350" i="3"/>
  <c r="F350" i="3"/>
  <c r="D350" i="3"/>
  <c r="E350" i="3" s="1"/>
  <c r="C350" i="3"/>
  <c r="B350" i="3"/>
  <c r="Q349" i="3"/>
  <c r="R349" i="3" s="1"/>
  <c r="M349" i="3"/>
  <c r="I349" i="3"/>
  <c r="E349" i="3"/>
  <c r="Q348" i="3"/>
  <c r="M348" i="3"/>
  <c r="I348" i="3"/>
  <c r="E348" i="3"/>
  <c r="Q347" i="3"/>
  <c r="M347" i="3"/>
  <c r="I347" i="3"/>
  <c r="E347" i="3"/>
  <c r="R347" i="3" s="1"/>
  <c r="Q346" i="3"/>
  <c r="M346" i="3"/>
  <c r="I346" i="3"/>
  <c r="E346" i="3"/>
  <c r="Q345" i="3"/>
  <c r="M345" i="3"/>
  <c r="I345" i="3"/>
  <c r="E345" i="3"/>
  <c r="R345" i="3" s="1"/>
  <c r="R344" i="3"/>
  <c r="Q344" i="3"/>
  <c r="M344" i="3"/>
  <c r="I344" i="3"/>
  <c r="E344" i="3"/>
  <c r="Q342" i="3"/>
  <c r="M342" i="3"/>
  <c r="I342" i="3"/>
  <c r="E342" i="3"/>
  <c r="R342" i="3" s="1"/>
  <c r="Q341" i="3"/>
  <c r="M341" i="3"/>
  <c r="I341" i="3"/>
  <c r="E341" i="3"/>
  <c r="R341" i="3" s="1"/>
  <c r="R340" i="3"/>
  <c r="Q340" i="3"/>
  <c r="M340" i="3"/>
  <c r="I340" i="3"/>
  <c r="E340" i="3"/>
  <c r="Q339" i="3"/>
  <c r="M339" i="3"/>
  <c r="I339" i="3"/>
  <c r="E339" i="3"/>
  <c r="Q338" i="3"/>
  <c r="M338" i="3"/>
  <c r="I338" i="3"/>
  <c r="E338" i="3"/>
  <c r="R338" i="3" s="1"/>
  <c r="Q336" i="3"/>
  <c r="M336" i="3"/>
  <c r="I336" i="3"/>
  <c r="E336" i="3"/>
  <c r="R336" i="3" s="1"/>
  <c r="Q335" i="3"/>
  <c r="M335" i="3"/>
  <c r="I335" i="3"/>
  <c r="E335" i="3"/>
  <c r="R335" i="3" s="1"/>
  <c r="R333" i="3"/>
  <c r="Q333" i="3"/>
  <c r="M333" i="3"/>
  <c r="I333" i="3"/>
  <c r="E333" i="3"/>
  <c r="P330" i="3"/>
  <c r="O330" i="3"/>
  <c r="N330" i="3"/>
  <c r="Q330" i="3" s="1"/>
  <c r="M330" i="3"/>
  <c r="L330" i="3"/>
  <c r="K330" i="3"/>
  <c r="J330" i="3"/>
  <c r="H330" i="3"/>
  <c r="G330" i="3"/>
  <c r="F330" i="3"/>
  <c r="I330" i="3" s="1"/>
  <c r="E330" i="3"/>
  <c r="R330" i="3" s="1"/>
  <c r="D330" i="3"/>
  <c r="C330" i="3"/>
  <c r="B330" i="3"/>
  <c r="Q329" i="3"/>
  <c r="M329" i="3"/>
  <c r="I329" i="3"/>
  <c r="E329" i="3"/>
  <c r="Q328" i="3"/>
  <c r="M328" i="3"/>
  <c r="I328" i="3"/>
  <c r="E328" i="3"/>
  <c r="R328" i="3" s="1"/>
  <c r="R327" i="3"/>
  <c r="Q327" i="3"/>
  <c r="M327" i="3"/>
  <c r="I327" i="3"/>
  <c r="E327" i="3"/>
  <c r="Q326" i="3"/>
  <c r="M326" i="3"/>
  <c r="I326" i="3"/>
  <c r="E326" i="3"/>
  <c r="R326" i="3" s="1"/>
  <c r="R325" i="3"/>
  <c r="Q325" i="3"/>
  <c r="M325" i="3"/>
  <c r="I325" i="3"/>
  <c r="E325" i="3"/>
  <c r="Q324" i="3"/>
  <c r="R324" i="3" s="1"/>
  <c r="M324" i="3"/>
  <c r="I324" i="3"/>
  <c r="E324" i="3"/>
  <c r="Q323" i="3"/>
  <c r="M323" i="3"/>
  <c r="I323" i="3"/>
  <c r="E323" i="3"/>
  <c r="Q322" i="3"/>
  <c r="M322" i="3"/>
  <c r="I322" i="3"/>
  <c r="E322" i="3"/>
  <c r="R322" i="3" s="1"/>
  <c r="Q321" i="3"/>
  <c r="M321" i="3"/>
  <c r="I321" i="3"/>
  <c r="E321" i="3"/>
  <c r="Q320" i="3"/>
  <c r="M320" i="3"/>
  <c r="I320" i="3"/>
  <c r="E320" i="3"/>
  <c r="R320" i="3" s="1"/>
  <c r="R319" i="3"/>
  <c r="Q319" i="3"/>
  <c r="M319" i="3"/>
  <c r="I319" i="3"/>
  <c r="E319" i="3"/>
  <c r="Q318" i="3"/>
  <c r="M318" i="3"/>
  <c r="I318" i="3"/>
  <c r="E318" i="3"/>
  <c r="R318" i="3" s="1"/>
  <c r="Q316" i="3"/>
  <c r="M316" i="3"/>
  <c r="I316" i="3"/>
  <c r="E316" i="3"/>
  <c r="R316" i="3" s="1"/>
  <c r="R315" i="3"/>
  <c r="Q315" i="3"/>
  <c r="M315" i="3"/>
  <c r="I315" i="3"/>
  <c r="E315" i="3"/>
  <c r="P312" i="3"/>
  <c r="O312" i="3"/>
  <c r="N312" i="3"/>
  <c r="L312" i="3"/>
  <c r="K312" i="3"/>
  <c r="J312" i="3"/>
  <c r="M312" i="3" s="1"/>
  <c r="H312" i="3"/>
  <c r="G312" i="3"/>
  <c r="G352" i="3" s="1"/>
  <c r="G357" i="3" s="1"/>
  <c r="F312" i="3"/>
  <c r="D312" i="3"/>
  <c r="C312" i="3"/>
  <c r="B312" i="3"/>
  <c r="E312" i="3" s="1"/>
  <c r="Q311" i="3"/>
  <c r="M311" i="3"/>
  <c r="I311" i="3"/>
  <c r="E311" i="3"/>
  <c r="Q308" i="3"/>
  <c r="M308" i="3"/>
  <c r="I308" i="3"/>
  <c r="E308" i="3"/>
  <c r="R308" i="3" s="1"/>
  <c r="R307" i="3"/>
  <c r="Q307" i="3"/>
  <c r="M307" i="3"/>
  <c r="I307" i="3"/>
  <c r="E307" i="3"/>
  <c r="Q306" i="3"/>
  <c r="M306" i="3"/>
  <c r="I306" i="3"/>
  <c r="E306" i="3"/>
  <c r="Q305" i="3"/>
  <c r="M305" i="3"/>
  <c r="I305" i="3"/>
  <c r="E305" i="3"/>
  <c r="R305" i="3" s="1"/>
  <c r="Q304" i="3"/>
  <c r="M304" i="3"/>
  <c r="I304" i="3"/>
  <c r="E304" i="3"/>
  <c r="Q303" i="3"/>
  <c r="M303" i="3"/>
  <c r="I303" i="3"/>
  <c r="E303" i="3"/>
  <c r="R303" i="3" s="1"/>
  <c r="R302" i="3"/>
  <c r="Q302" i="3"/>
  <c r="M302" i="3"/>
  <c r="I302" i="3"/>
  <c r="E302" i="3"/>
  <c r="Q301" i="3"/>
  <c r="M301" i="3"/>
  <c r="I301" i="3"/>
  <c r="E301" i="3"/>
  <c r="Q297" i="3"/>
  <c r="P297" i="3"/>
  <c r="P352" i="3" s="1"/>
  <c r="P357" i="3" s="1"/>
  <c r="O297" i="3"/>
  <c r="N297" i="3"/>
  <c r="M297" i="3"/>
  <c r="L297" i="3"/>
  <c r="L352" i="3" s="1"/>
  <c r="L357" i="3" s="1"/>
  <c r="K297" i="3"/>
  <c r="K352" i="3" s="1"/>
  <c r="K357" i="3" s="1"/>
  <c r="J297" i="3"/>
  <c r="J352" i="3" s="1"/>
  <c r="H297" i="3"/>
  <c r="H352" i="3" s="1"/>
  <c r="H357" i="3" s="1"/>
  <c r="G297" i="3"/>
  <c r="F297" i="3"/>
  <c r="I297" i="3" s="1"/>
  <c r="D297" i="3"/>
  <c r="D352" i="3" s="1"/>
  <c r="D357" i="3" s="1"/>
  <c r="C297" i="3"/>
  <c r="C352" i="3" s="1"/>
  <c r="C357" i="3" s="1"/>
  <c r="B297" i="3"/>
  <c r="B352" i="3" s="1"/>
  <c r="Q295" i="3"/>
  <c r="M295" i="3"/>
  <c r="I295" i="3"/>
  <c r="E295" i="3"/>
  <c r="R295" i="3" s="1"/>
  <c r="R294" i="3"/>
  <c r="Q294" i="3"/>
  <c r="M294" i="3"/>
  <c r="I294" i="3"/>
  <c r="E294" i="3"/>
  <c r="Q293" i="3"/>
  <c r="M293" i="3"/>
  <c r="I293" i="3"/>
  <c r="E293" i="3"/>
  <c r="Q291" i="3"/>
  <c r="M291" i="3"/>
  <c r="I291" i="3"/>
  <c r="E291" i="3"/>
  <c r="R291" i="3" s="1"/>
  <c r="Q290" i="3"/>
  <c r="R290" i="3" s="1"/>
  <c r="M290" i="3"/>
  <c r="I290" i="3"/>
  <c r="E290" i="3"/>
  <c r="Q289" i="3"/>
  <c r="M289" i="3"/>
  <c r="I289" i="3"/>
  <c r="E289" i="3"/>
  <c r="R289" i="3" s="1"/>
  <c r="Q288" i="3"/>
  <c r="M288" i="3"/>
  <c r="I288" i="3"/>
  <c r="E288" i="3"/>
  <c r="R288" i="3" s="1"/>
  <c r="Q287" i="3"/>
  <c r="M287" i="3"/>
  <c r="I287" i="3"/>
  <c r="E287" i="3"/>
  <c r="R287" i="3" s="1"/>
  <c r="Q286" i="3"/>
  <c r="M286" i="3"/>
  <c r="I286" i="3"/>
  <c r="E286" i="3"/>
  <c r="R286" i="3" s="1"/>
  <c r="Q285" i="3"/>
  <c r="M285" i="3"/>
  <c r="I285" i="3"/>
  <c r="R285" i="3" s="1"/>
  <c r="E285" i="3"/>
  <c r="Q284" i="3"/>
  <c r="M284" i="3"/>
  <c r="I284" i="3"/>
  <c r="E284" i="3"/>
  <c r="Q283" i="3"/>
  <c r="M283" i="3"/>
  <c r="I283" i="3"/>
  <c r="E283" i="3"/>
  <c r="R283" i="3" s="1"/>
  <c r="Q282" i="3"/>
  <c r="M282" i="3"/>
  <c r="I282" i="3"/>
  <c r="E282" i="3"/>
  <c r="R282" i="3" s="1"/>
  <c r="Q281" i="3"/>
  <c r="M281" i="3"/>
  <c r="I281" i="3"/>
  <c r="E281" i="3"/>
  <c r="Q280" i="3"/>
  <c r="M280" i="3"/>
  <c r="I280" i="3"/>
  <c r="E280" i="3"/>
  <c r="R280" i="3" s="1"/>
  <c r="R279" i="3"/>
  <c r="Q279" i="3"/>
  <c r="M279" i="3"/>
  <c r="I279" i="3"/>
  <c r="E279" i="3"/>
  <c r="Q278" i="3"/>
  <c r="M278" i="3"/>
  <c r="I278" i="3"/>
  <c r="R278" i="3" s="1"/>
  <c r="E278" i="3"/>
  <c r="Q277" i="3"/>
  <c r="M277" i="3"/>
  <c r="I277" i="3"/>
  <c r="R277" i="3" s="1"/>
  <c r="E277" i="3"/>
  <c r="R276" i="3"/>
  <c r="Q276" i="3"/>
  <c r="M276" i="3"/>
  <c r="I276" i="3"/>
  <c r="E276" i="3"/>
  <c r="Q275" i="3"/>
  <c r="M275" i="3"/>
  <c r="I275" i="3"/>
  <c r="E275" i="3"/>
  <c r="Q273" i="3"/>
  <c r="M273" i="3"/>
  <c r="I273" i="3"/>
  <c r="E273" i="3"/>
  <c r="R273" i="3" s="1"/>
  <c r="Q272" i="3"/>
  <c r="M272" i="3"/>
  <c r="I272" i="3"/>
  <c r="E272" i="3"/>
  <c r="Q271" i="3"/>
  <c r="M271" i="3"/>
  <c r="I271" i="3"/>
  <c r="E271" i="3"/>
  <c r="R271" i="3" s="1"/>
  <c r="R270" i="3"/>
  <c r="Q270" i="3"/>
  <c r="M270" i="3"/>
  <c r="I270" i="3"/>
  <c r="E270" i="3"/>
  <c r="Q269" i="3"/>
  <c r="M269" i="3"/>
  <c r="I269" i="3"/>
  <c r="E269" i="3"/>
  <c r="Q268" i="3"/>
  <c r="M268" i="3"/>
  <c r="I268" i="3"/>
  <c r="R268" i="3" s="1"/>
  <c r="E268" i="3"/>
  <c r="Q267" i="3"/>
  <c r="R267" i="3" s="1"/>
  <c r="M267" i="3"/>
  <c r="I267" i="3"/>
  <c r="E267" i="3"/>
  <c r="Q266" i="3"/>
  <c r="M266" i="3"/>
  <c r="I266" i="3"/>
  <c r="E266" i="3"/>
  <c r="R266" i="3" s="1"/>
  <c r="Q265" i="3"/>
  <c r="M265" i="3"/>
  <c r="I265" i="3"/>
  <c r="E265" i="3"/>
  <c r="R265" i="3" s="1"/>
  <c r="Q264" i="3"/>
  <c r="M264" i="3"/>
  <c r="I264" i="3"/>
  <c r="E264" i="3"/>
  <c r="R264" i="3" s="1"/>
  <c r="Q263" i="3"/>
  <c r="M263" i="3"/>
  <c r="I263" i="3"/>
  <c r="E263" i="3"/>
  <c r="R263" i="3" s="1"/>
  <c r="P256" i="3"/>
  <c r="N777" i="3" s="1"/>
  <c r="L256" i="3"/>
  <c r="N774" i="3" s="1"/>
  <c r="G256" i="3"/>
  <c r="N770" i="3" s="1"/>
  <c r="F256" i="3"/>
  <c r="N769" i="3" s="1"/>
  <c r="D256" i="3"/>
  <c r="N768" i="3" s="1"/>
  <c r="B256" i="3"/>
  <c r="N766" i="3" s="1"/>
  <c r="P255" i="3"/>
  <c r="O255" i="3"/>
  <c r="O256" i="3" s="1"/>
  <c r="N776" i="3" s="1"/>
  <c r="N255" i="3"/>
  <c r="L255" i="3"/>
  <c r="K255" i="3"/>
  <c r="K256" i="3" s="1"/>
  <c r="N773" i="3" s="1"/>
  <c r="J255" i="3"/>
  <c r="M255" i="3" s="1"/>
  <c r="H255" i="3"/>
  <c r="H256" i="3" s="1"/>
  <c r="N771" i="3" s="1"/>
  <c r="G255" i="3"/>
  <c r="F255" i="3"/>
  <c r="D255" i="3"/>
  <c r="C255" i="3"/>
  <c r="C256" i="3" s="1"/>
  <c r="N767" i="3" s="1"/>
  <c r="B255" i="3"/>
  <c r="E255" i="3" s="1"/>
  <c r="Q253" i="3"/>
  <c r="M253" i="3"/>
  <c r="I253" i="3"/>
  <c r="E253" i="3"/>
  <c r="R242" i="3"/>
  <c r="Q242" i="3"/>
  <c r="M242" i="3"/>
  <c r="I242" i="3"/>
  <c r="E242" i="3"/>
  <c r="Q241" i="3"/>
  <c r="M241" i="3"/>
  <c r="I241" i="3"/>
  <c r="E241" i="3"/>
  <c r="R241" i="3" s="1"/>
  <c r="Q240" i="3"/>
  <c r="M240" i="3"/>
  <c r="I240" i="3"/>
  <c r="E240" i="3"/>
  <c r="R240" i="3" s="1"/>
  <c r="R239" i="3"/>
  <c r="Q239" i="3"/>
  <c r="M239" i="3"/>
  <c r="I239" i="3"/>
  <c r="E239" i="3"/>
  <c r="Q238" i="3"/>
  <c r="M238" i="3"/>
  <c r="I238" i="3"/>
  <c r="E238" i="3"/>
  <c r="R238" i="3" s="1"/>
  <c r="Q237" i="3"/>
  <c r="M237" i="3"/>
  <c r="I237" i="3"/>
  <c r="E237" i="3"/>
  <c r="R237" i="3" s="1"/>
  <c r="H236" i="3"/>
  <c r="H244" i="3" s="1"/>
  <c r="Q235" i="3"/>
  <c r="P235" i="3"/>
  <c r="O235" i="3"/>
  <c r="N235" i="3"/>
  <c r="L235" i="3"/>
  <c r="K235" i="3"/>
  <c r="J235" i="3"/>
  <c r="M235" i="3" s="1"/>
  <c r="I235" i="3"/>
  <c r="H235" i="3"/>
  <c r="G235" i="3"/>
  <c r="F235" i="3"/>
  <c r="D235" i="3"/>
  <c r="C235" i="3"/>
  <c r="B235" i="3"/>
  <c r="E235" i="3" s="1"/>
  <c r="R235" i="3" s="1"/>
  <c r="P234" i="3"/>
  <c r="O234" i="3"/>
  <c r="N234" i="3"/>
  <c r="Q234" i="3" s="1"/>
  <c r="L234" i="3"/>
  <c r="K234" i="3"/>
  <c r="J234" i="3"/>
  <c r="H234" i="3"/>
  <c r="G234" i="3"/>
  <c r="F234" i="3"/>
  <c r="I234" i="3" s="1"/>
  <c r="D234" i="3"/>
  <c r="C234" i="3"/>
  <c r="B234" i="3"/>
  <c r="E234" i="3" s="1"/>
  <c r="Q232" i="3"/>
  <c r="M232" i="3"/>
  <c r="I232" i="3"/>
  <c r="E232" i="3"/>
  <c r="R232" i="3" s="1"/>
  <c r="Q231" i="3"/>
  <c r="M231" i="3"/>
  <c r="I231" i="3"/>
  <c r="E231" i="3"/>
  <c r="R231" i="3" s="1"/>
  <c r="Q229" i="3"/>
  <c r="M229" i="3"/>
  <c r="I229" i="3"/>
  <c r="E229" i="3"/>
  <c r="R229" i="3" s="1"/>
  <c r="R228" i="3"/>
  <c r="Q228" i="3"/>
  <c r="M228" i="3"/>
  <c r="I228" i="3"/>
  <c r="E228" i="3"/>
  <c r="Q227" i="3"/>
  <c r="M227" i="3"/>
  <c r="I227" i="3"/>
  <c r="E227" i="3"/>
  <c r="Q226" i="3"/>
  <c r="M226" i="3"/>
  <c r="I226" i="3"/>
  <c r="E226" i="3"/>
  <c r="R226" i="3" s="1"/>
  <c r="Q225" i="3"/>
  <c r="R225" i="3" s="1"/>
  <c r="M225" i="3"/>
  <c r="I225" i="3"/>
  <c r="E225" i="3"/>
  <c r="Q224" i="3"/>
  <c r="M224" i="3"/>
  <c r="I224" i="3"/>
  <c r="E224" i="3"/>
  <c r="Q222" i="3"/>
  <c r="M222" i="3"/>
  <c r="I222" i="3"/>
  <c r="E222" i="3"/>
  <c r="R222" i="3" s="1"/>
  <c r="Q221" i="3"/>
  <c r="M221" i="3"/>
  <c r="I221" i="3"/>
  <c r="E221" i="3"/>
  <c r="Q220" i="3"/>
  <c r="M220" i="3"/>
  <c r="I220" i="3"/>
  <c r="E220" i="3"/>
  <c r="R220" i="3" s="1"/>
  <c r="R219" i="3"/>
  <c r="Q219" i="3"/>
  <c r="M219" i="3"/>
  <c r="I219" i="3"/>
  <c r="E219" i="3"/>
  <c r="Q218" i="3"/>
  <c r="M218" i="3"/>
  <c r="I218" i="3"/>
  <c r="E218" i="3"/>
  <c r="R218" i="3" s="1"/>
  <c r="Q215" i="3"/>
  <c r="P215" i="3"/>
  <c r="O215" i="3"/>
  <c r="N215" i="3"/>
  <c r="M215" i="3"/>
  <c r="L215" i="3"/>
  <c r="K215" i="3"/>
  <c r="J215" i="3"/>
  <c r="I215" i="3"/>
  <c r="H215" i="3"/>
  <c r="G215" i="3"/>
  <c r="F215" i="3"/>
  <c r="E215" i="3"/>
  <c r="R215" i="3" s="1"/>
  <c r="D215" i="3"/>
  <c r="C215" i="3"/>
  <c r="B215" i="3"/>
  <c r="Q214" i="3"/>
  <c r="M214" i="3"/>
  <c r="I214" i="3"/>
  <c r="E214" i="3"/>
  <c r="R214" i="3" s="1"/>
  <c r="R213" i="3"/>
  <c r="Q213" i="3"/>
  <c r="M213" i="3"/>
  <c r="I213" i="3"/>
  <c r="E213" i="3"/>
  <c r="Q212" i="3"/>
  <c r="M212" i="3"/>
  <c r="I212" i="3"/>
  <c r="E212" i="3"/>
  <c r="R212" i="3" s="1"/>
  <c r="Q211" i="3"/>
  <c r="M211" i="3"/>
  <c r="I211" i="3"/>
  <c r="E211" i="3"/>
  <c r="R211" i="3" s="1"/>
  <c r="R210" i="3"/>
  <c r="Q210" i="3"/>
  <c r="M210" i="3"/>
  <c r="I210" i="3"/>
  <c r="E210" i="3"/>
  <c r="Q209" i="3"/>
  <c r="M209" i="3"/>
  <c r="I209" i="3"/>
  <c r="E209" i="3"/>
  <c r="Q208" i="3"/>
  <c r="M208" i="3"/>
  <c r="I208" i="3"/>
  <c r="E208" i="3"/>
  <c r="R208" i="3" s="1"/>
  <c r="Q207" i="3"/>
  <c r="M207" i="3"/>
  <c r="I207" i="3"/>
  <c r="E207" i="3"/>
  <c r="Q206" i="3"/>
  <c r="M206" i="3"/>
  <c r="I206" i="3"/>
  <c r="E206" i="3"/>
  <c r="R206" i="3" s="1"/>
  <c r="R205" i="3"/>
  <c r="Q205" i="3"/>
  <c r="M205" i="3"/>
  <c r="I205" i="3"/>
  <c r="E205" i="3"/>
  <c r="Q204" i="3"/>
  <c r="M204" i="3"/>
  <c r="I204" i="3"/>
  <c r="E204" i="3"/>
  <c r="Q203" i="3"/>
  <c r="M203" i="3"/>
  <c r="I203" i="3"/>
  <c r="E203" i="3"/>
  <c r="R203" i="3" s="1"/>
  <c r="Q202" i="3"/>
  <c r="R202" i="3" s="1"/>
  <c r="M202" i="3"/>
  <c r="I202" i="3"/>
  <c r="E202" i="3"/>
  <c r="Q201" i="3"/>
  <c r="M201" i="3"/>
  <c r="I201" i="3"/>
  <c r="E201" i="3"/>
  <c r="R201" i="3" s="1"/>
  <c r="Q200" i="3"/>
  <c r="M200" i="3"/>
  <c r="I200" i="3"/>
  <c r="E200" i="3"/>
  <c r="R200" i="3" s="1"/>
  <c r="Q199" i="3"/>
  <c r="M199" i="3"/>
  <c r="I199" i="3"/>
  <c r="E199" i="3"/>
  <c r="R199" i="3" s="1"/>
  <c r="Q198" i="3"/>
  <c r="M198" i="3"/>
  <c r="I198" i="3"/>
  <c r="E198" i="3"/>
  <c r="R198" i="3" s="1"/>
  <c r="R197" i="3"/>
  <c r="Q197" i="3"/>
  <c r="M197" i="3"/>
  <c r="I197" i="3"/>
  <c r="E197" i="3"/>
  <c r="Q196" i="3"/>
  <c r="M196" i="3"/>
  <c r="I196" i="3"/>
  <c r="E196" i="3"/>
  <c r="R196" i="3" s="1"/>
  <c r="Q195" i="3"/>
  <c r="M195" i="3"/>
  <c r="I195" i="3"/>
  <c r="E195" i="3"/>
  <c r="R195" i="3" s="1"/>
  <c r="R194" i="3"/>
  <c r="Q194" i="3"/>
  <c r="M194" i="3"/>
  <c r="I194" i="3"/>
  <c r="E194" i="3"/>
  <c r="Q193" i="3"/>
  <c r="M193" i="3"/>
  <c r="I193" i="3"/>
  <c r="E193" i="3"/>
  <c r="Q192" i="3"/>
  <c r="M192" i="3"/>
  <c r="I192" i="3"/>
  <c r="E192" i="3"/>
  <c r="R192" i="3" s="1"/>
  <c r="Q191" i="3"/>
  <c r="M191" i="3"/>
  <c r="I191" i="3"/>
  <c r="E191" i="3"/>
  <c r="Q190" i="3"/>
  <c r="M190" i="3"/>
  <c r="I190" i="3"/>
  <c r="E190" i="3"/>
  <c r="R190" i="3" s="1"/>
  <c r="R189" i="3"/>
  <c r="Q189" i="3"/>
  <c r="M189" i="3"/>
  <c r="I189" i="3"/>
  <c r="E189" i="3"/>
  <c r="Q188" i="3"/>
  <c r="M188" i="3"/>
  <c r="I188" i="3"/>
  <c r="E188" i="3"/>
  <c r="Q187" i="3"/>
  <c r="M187" i="3"/>
  <c r="I187" i="3"/>
  <c r="E187" i="3"/>
  <c r="R187" i="3" s="1"/>
  <c r="Q186" i="3"/>
  <c r="R186" i="3" s="1"/>
  <c r="M186" i="3"/>
  <c r="I186" i="3"/>
  <c r="E186" i="3"/>
  <c r="P182" i="3"/>
  <c r="O182" i="3"/>
  <c r="N182" i="3"/>
  <c r="L182" i="3"/>
  <c r="K182" i="3"/>
  <c r="J182" i="3"/>
  <c r="M182" i="3" s="1"/>
  <c r="H182" i="3"/>
  <c r="G182" i="3"/>
  <c r="F182" i="3"/>
  <c r="I182" i="3" s="1"/>
  <c r="D182" i="3"/>
  <c r="C182" i="3"/>
  <c r="B182" i="3"/>
  <c r="E182" i="3" s="1"/>
  <c r="P177" i="3"/>
  <c r="P236" i="3" s="1"/>
  <c r="P244" i="3" s="1"/>
  <c r="O177" i="3"/>
  <c r="O236" i="3" s="1"/>
  <c r="O244" i="3" s="1"/>
  <c r="N177" i="3"/>
  <c r="N236" i="3" s="1"/>
  <c r="N244" i="3" s="1"/>
  <c r="L177" i="3"/>
  <c r="L236" i="3" s="1"/>
  <c r="L244" i="3" s="1"/>
  <c r="L245" i="3" s="1"/>
  <c r="K177" i="3"/>
  <c r="K236" i="3" s="1"/>
  <c r="K244" i="3" s="1"/>
  <c r="J177" i="3"/>
  <c r="M177" i="3" s="1"/>
  <c r="H177" i="3"/>
  <c r="G177" i="3"/>
  <c r="F177" i="3"/>
  <c r="D177" i="3"/>
  <c r="D236" i="3" s="1"/>
  <c r="D244" i="3" s="1"/>
  <c r="D245" i="3" s="1"/>
  <c r="C177" i="3"/>
  <c r="C236" i="3" s="1"/>
  <c r="C244" i="3" s="1"/>
  <c r="B177" i="3"/>
  <c r="E177" i="3" s="1"/>
  <c r="Q175" i="3"/>
  <c r="M175" i="3"/>
  <c r="I175" i="3"/>
  <c r="E175" i="3"/>
  <c r="Q174" i="3"/>
  <c r="M174" i="3"/>
  <c r="I174" i="3"/>
  <c r="E174" i="3"/>
  <c r="R174" i="3" s="1"/>
  <c r="R173" i="3"/>
  <c r="Q173" i="3"/>
  <c r="M173" i="3"/>
  <c r="I173" i="3"/>
  <c r="E173" i="3"/>
  <c r="Q171" i="3"/>
  <c r="M171" i="3"/>
  <c r="I171" i="3"/>
  <c r="E171" i="3"/>
  <c r="R171" i="3" s="1"/>
  <c r="Q170" i="3"/>
  <c r="M170" i="3"/>
  <c r="I170" i="3"/>
  <c r="E170" i="3"/>
  <c r="R170" i="3" s="1"/>
  <c r="R169" i="3"/>
  <c r="Q169" i="3"/>
  <c r="M169" i="3"/>
  <c r="I169" i="3"/>
  <c r="E169" i="3"/>
  <c r="Q168" i="3"/>
  <c r="M168" i="3"/>
  <c r="I168" i="3"/>
  <c r="E168" i="3"/>
  <c r="Q167" i="3"/>
  <c r="M167" i="3"/>
  <c r="I167" i="3"/>
  <c r="R167" i="3" s="1"/>
  <c r="E167" i="3"/>
  <c r="Q166" i="3"/>
  <c r="M166" i="3"/>
  <c r="I166" i="3"/>
  <c r="E166" i="3"/>
  <c r="R166" i="3" s="1"/>
  <c r="Q165" i="3"/>
  <c r="M165" i="3"/>
  <c r="I165" i="3"/>
  <c r="E165" i="3"/>
  <c r="R165" i="3" s="1"/>
  <c r="R164" i="3"/>
  <c r="Q164" i="3"/>
  <c r="M164" i="3"/>
  <c r="I164" i="3"/>
  <c r="E164" i="3"/>
  <c r="Q163" i="3"/>
  <c r="M163" i="3"/>
  <c r="I163" i="3"/>
  <c r="E163" i="3"/>
  <c r="Q162" i="3"/>
  <c r="M162" i="3"/>
  <c r="I162" i="3"/>
  <c r="E162" i="3"/>
  <c r="R162" i="3" s="1"/>
  <c r="Q161" i="3"/>
  <c r="R161" i="3" s="1"/>
  <c r="M161" i="3"/>
  <c r="I161" i="3"/>
  <c r="E161" i="3"/>
  <c r="Q159" i="3"/>
  <c r="M159" i="3"/>
  <c r="I159" i="3"/>
  <c r="E159" i="3"/>
  <c r="R159" i="3" s="1"/>
  <c r="Q158" i="3"/>
  <c r="M158" i="3"/>
  <c r="I158" i="3"/>
  <c r="R158" i="3" s="1"/>
  <c r="E158" i="3"/>
  <c r="Q157" i="3"/>
  <c r="M157" i="3"/>
  <c r="I157" i="3"/>
  <c r="E157" i="3"/>
  <c r="R157" i="3" s="1"/>
  <c r="Q156" i="3"/>
  <c r="M156" i="3"/>
  <c r="I156" i="3"/>
  <c r="E156" i="3"/>
  <c r="R156" i="3" s="1"/>
  <c r="R155" i="3"/>
  <c r="Q155" i="3"/>
  <c r="M155" i="3"/>
  <c r="I155" i="3"/>
  <c r="E155" i="3"/>
  <c r="Q154" i="3"/>
  <c r="M154" i="3"/>
  <c r="I154" i="3"/>
  <c r="E154" i="3"/>
  <c r="R154" i="3" s="1"/>
  <c r="Q153" i="3"/>
  <c r="M153" i="3"/>
  <c r="I153" i="3"/>
  <c r="E153" i="3"/>
  <c r="R153" i="3" s="1"/>
  <c r="R152" i="3"/>
  <c r="Q152" i="3"/>
  <c r="M152" i="3"/>
  <c r="I152" i="3"/>
  <c r="E152" i="3"/>
  <c r="Q151" i="3"/>
  <c r="M151" i="3"/>
  <c r="I151" i="3"/>
  <c r="E151" i="3"/>
  <c r="Q150" i="3"/>
  <c r="M150" i="3"/>
  <c r="I150" i="3"/>
  <c r="E150" i="3"/>
  <c r="R150" i="3" s="1"/>
  <c r="Q149" i="3"/>
  <c r="M149" i="3"/>
  <c r="I149" i="3"/>
  <c r="E149" i="3"/>
  <c r="Q148" i="3"/>
  <c r="M148" i="3"/>
  <c r="I148" i="3"/>
  <c r="E148" i="3"/>
  <c r="R148" i="3" s="1"/>
  <c r="R147" i="3"/>
  <c r="Q147" i="3"/>
  <c r="M147" i="3"/>
  <c r="I147" i="3"/>
  <c r="E147" i="3"/>
  <c r="Q146" i="3"/>
  <c r="M146" i="3"/>
  <c r="I146" i="3"/>
  <c r="E146" i="3"/>
  <c r="Q145" i="3"/>
  <c r="M145" i="3"/>
  <c r="I145" i="3"/>
  <c r="E145" i="3"/>
  <c r="R145" i="3" s="1"/>
  <c r="Q144" i="3"/>
  <c r="R144" i="3" s="1"/>
  <c r="M144" i="3"/>
  <c r="I144" i="3"/>
  <c r="E144" i="3"/>
  <c r="Q143" i="3"/>
  <c r="M143" i="3"/>
  <c r="I143" i="3"/>
  <c r="E143" i="3"/>
  <c r="R143" i="3" s="1"/>
  <c r="Q142" i="3"/>
  <c r="M142" i="3"/>
  <c r="I142" i="3"/>
  <c r="R142" i="3" s="1"/>
  <c r="E142" i="3"/>
  <c r="Q141" i="3"/>
  <c r="M141" i="3"/>
  <c r="I141" i="3"/>
  <c r="E141" i="3"/>
  <c r="Q140" i="3"/>
  <c r="M140" i="3"/>
  <c r="I140" i="3"/>
  <c r="E140" i="3"/>
  <c r="R140" i="3" s="1"/>
  <c r="N131" i="3"/>
  <c r="K130" i="3"/>
  <c r="Q128" i="3"/>
  <c r="M128" i="3"/>
  <c r="I128" i="3"/>
  <c r="E128" i="3"/>
  <c r="R128" i="3" s="1"/>
  <c r="J127" i="3"/>
  <c r="B127" i="3"/>
  <c r="P126" i="3"/>
  <c r="O126" i="3"/>
  <c r="N126" i="3"/>
  <c r="Q126" i="3" s="1"/>
  <c r="L126" i="3"/>
  <c r="K126" i="3"/>
  <c r="J126" i="3"/>
  <c r="H126" i="3"/>
  <c r="G126" i="3"/>
  <c r="F126" i="3"/>
  <c r="I126" i="3" s="1"/>
  <c r="D126" i="3"/>
  <c r="C126" i="3"/>
  <c r="B126" i="3"/>
  <c r="E126" i="3" s="1"/>
  <c r="P125" i="3"/>
  <c r="O125" i="3"/>
  <c r="N125" i="3"/>
  <c r="Q125" i="3" s="1"/>
  <c r="L125" i="3"/>
  <c r="K125" i="3"/>
  <c r="J125" i="3"/>
  <c r="H125" i="3"/>
  <c r="G125" i="3"/>
  <c r="I125" i="3" s="1"/>
  <c r="F125" i="3"/>
  <c r="D125" i="3"/>
  <c r="C125" i="3"/>
  <c r="E125" i="3" s="1"/>
  <c r="B125" i="3"/>
  <c r="Q124" i="3"/>
  <c r="M124" i="3"/>
  <c r="I124" i="3"/>
  <c r="E124" i="3"/>
  <c r="R124" i="3" s="1"/>
  <c r="R122" i="3"/>
  <c r="Q122" i="3"/>
  <c r="M122" i="3"/>
  <c r="I122" i="3"/>
  <c r="E122" i="3"/>
  <c r="Q120" i="3"/>
  <c r="M120" i="3"/>
  <c r="I120" i="3"/>
  <c r="E120" i="3"/>
  <c r="Q119" i="3"/>
  <c r="M119" i="3"/>
  <c r="I119" i="3"/>
  <c r="E119" i="3"/>
  <c r="R119" i="3" s="1"/>
  <c r="Q117" i="3"/>
  <c r="M117" i="3"/>
  <c r="I117" i="3"/>
  <c r="E117" i="3"/>
  <c r="R117" i="3" s="1"/>
  <c r="Q116" i="3"/>
  <c r="M116" i="3"/>
  <c r="I116" i="3"/>
  <c r="E116" i="3"/>
  <c r="R116" i="3" s="1"/>
  <c r="R115" i="3"/>
  <c r="Q115" i="3"/>
  <c r="M115" i="3"/>
  <c r="I115" i="3"/>
  <c r="E115" i="3"/>
  <c r="Q114" i="3"/>
  <c r="M114" i="3"/>
  <c r="I114" i="3"/>
  <c r="E114" i="3"/>
  <c r="Q113" i="3"/>
  <c r="M113" i="3"/>
  <c r="I113" i="3"/>
  <c r="E113" i="3"/>
  <c r="R113" i="3" s="1"/>
  <c r="Q112" i="3"/>
  <c r="R112" i="3" s="1"/>
  <c r="M112" i="3"/>
  <c r="I112" i="3"/>
  <c r="E112" i="3"/>
  <c r="Q111" i="3"/>
  <c r="M111" i="3"/>
  <c r="I111" i="3"/>
  <c r="E111" i="3"/>
  <c r="R111" i="3" s="1"/>
  <c r="Q110" i="3"/>
  <c r="M110" i="3"/>
  <c r="I110" i="3"/>
  <c r="E110" i="3"/>
  <c r="R110" i="3" s="1"/>
  <c r="Q107" i="3"/>
  <c r="P107" i="3"/>
  <c r="O107" i="3"/>
  <c r="N107" i="3"/>
  <c r="L107" i="3"/>
  <c r="K107" i="3"/>
  <c r="J107" i="3"/>
  <c r="M107" i="3" s="1"/>
  <c r="H107" i="3"/>
  <c r="I107" i="3" s="1"/>
  <c r="G107" i="3"/>
  <c r="F107" i="3"/>
  <c r="D107" i="3"/>
  <c r="C107" i="3"/>
  <c r="B107" i="3"/>
  <c r="E107" i="3" s="1"/>
  <c r="Q106" i="3"/>
  <c r="R106" i="3" s="1"/>
  <c r="M106" i="3"/>
  <c r="I106" i="3"/>
  <c r="E106" i="3"/>
  <c r="Q105" i="3"/>
  <c r="M105" i="3"/>
  <c r="I105" i="3"/>
  <c r="E105" i="3"/>
  <c r="Q104" i="3"/>
  <c r="M104" i="3"/>
  <c r="I104" i="3"/>
  <c r="E104" i="3"/>
  <c r="R104" i="3" s="1"/>
  <c r="Q103" i="3"/>
  <c r="M103" i="3"/>
  <c r="I103" i="3"/>
  <c r="E103" i="3"/>
  <c r="Q102" i="3"/>
  <c r="M102" i="3"/>
  <c r="I102" i="3"/>
  <c r="E102" i="3"/>
  <c r="R102" i="3" s="1"/>
  <c r="R101" i="3"/>
  <c r="Q101" i="3"/>
  <c r="M101" i="3"/>
  <c r="I101" i="3"/>
  <c r="E101" i="3"/>
  <c r="Q100" i="3"/>
  <c r="M100" i="3"/>
  <c r="I100" i="3"/>
  <c r="E100" i="3"/>
  <c r="R100" i="3" s="1"/>
  <c r="P96" i="3"/>
  <c r="O96" i="3"/>
  <c r="N96" i="3"/>
  <c r="Q96" i="3" s="1"/>
  <c r="L96" i="3"/>
  <c r="M96" i="3" s="1"/>
  <c r="K96" i="3"/>
  <c r="J96" i="3"/>
  <c r="H96" i="3"/>
  <c r="G96" i="3"/>
  <c r="F96" i="3"/>
  <c r="I96" i="3" s="1"/>
  <c r="D96" i="3"/>
  <c r="E96" i="3" s="1"/>
  <c r="R96" i="3" s="1"/>
  <c r="C96" i="3"/>
  <c r="B96" i="3"/>
  <c r="Q94" i="3"/>
  <c r="M94" i="3"/>
  <c r="I94" i="3"/>
  <c r="E94" i="3"/>
  <c r="R94" i="3" s="1"/>
  <c r="R93" i="3"/>
  <c r="Q93" i="3"/>
  <c r="M93" i="3"/>
  <c r="I93" i="3"/>
  <c r="E93" i="3"/>
  <c r="P89" i="3"/>
  <c r="P127" i="3" s="1"/>
  <c r="P130" i="3" s="1"/>
  <c r="O89" i="3"/>
  <c r="O127" i="3" s="1"/>
  <c r="O130" i="3" s="1"/>
  <c r="O131" i="3" s="1"/>
  <c r="N89" i="3"/>
  <c r="N127" i="3" s="1"/>
  <c r="N130" i="3" s="1"/>
  <c r="L89" i="3"/>
  <c r="K89" i="3"/>
  <c r="K127" i="3" s="1"/>
  <c r="J89" i="3"/>
  <c r="M89" i="3" s="1"/>
  <c r="H89" i="3"/>
  <c r="G89" i="3"/>
  <c r="G127" i="3" s="1"/>
  <c r="G130" i="3" s="1"/>
  <c r="G131" i="3" s="1"/>
  <c r="F89" i="3"/>
  <c r="F127" i="3" s="1"/>
  <c r="F130" i="3" s="1"/>
  <c r="D89" i="3"/>
  <c r="D127" i="3" s="1"/>
  <c r="D130" i="3" s="1"/>
  <c r="C89" i="3"/>
  <c r="B89" i="3"/>
  <c r="E89" i="3" s="1"/>
  <c r="Q87" i="3"/>
  <c r="M87" i="3"/>
  <c r="I87" i="3"/>
  <c r="E87" i="3"/>
  <c r="Q86" i="3"/>
  <c r="M86" i="3"/>
  <c r="I86" i="3"/>
  <c r="E86" i="3"/>
  <c r="R86" i="3" s="1"/>
  <c r="R84" i="3"/>
  <c r="Q84" i="3"/>
  <c r="M84" i="3"/>
  <c r="I84" i="3"/>
  <c r="E84" i="3"/>
  <c r="Q83" i="3"/>
  <c r="M83" i="3"/>
  <c r="I83" i="3"/>
  <c r="E83" i="3"/>
  <c r="R83" i="3" s="1"/>
  <c r="Q82" i="3"/>
  <c r="M82" i="3"/>
  <c r="I82" i="3"/>
  <c r="R82" i="3" s="1"/>
  <c r="E82" i="3"/>
  <c r="R81" i="3"/>
  <c r="Q81" i="3"/>
  <c r="M81" i="3"/>
  <c r="I81" i="3"/>
  <c r="E81" i="3"/>
  <c r="Q79" i="3"/>
  <c r="M79" i="3"/>
  <c r="I79" i="3"/>
  <c r="E79" i="3"/>
  <c r="R79" i="3" s="1"/>
  <c r="Q78" i="3"/>
  <c r="M78" i="3"/>
  <c r="I78" i="3"/>
  <c r="E78" i="3"/>
  <c r="R78" i="3" s="1"/>
  <c r="Q77" i="3"/>
  <c r="M77" i="3"/>
  <c r="I77" i="3"/>
  <c r="E77" i="3"/>
  <c r="R77" i="3" s="1"/>
  <c r="Q76" i="3"/>
  <c r="M76" i="3"/>
  <c r="I76" i="3"/>
  <c r="E76" i="3"/>
  <c r="R76" i="3" s="1"/>
  <c r="R75" i="3"/>
  <c r="Q75" i="3"/>
  <c r="M75" i="3"/>
  <c r="I75" i="3"/>
  <c r="E75" i="3"/>
  <c r="Q74" i="3"/>
  <c r="M74" i="3"/>
  <c r="I74" i="3"/>
  <c r="E74" i="3"/>
  <c r="Q62" i="3"/>
  <c r="M62" i="3"/>
  <c r="I62" i="3"/>
  <c r="E62" i="3"/>
  <c r="R62" i="3" s="1"/>
  <c r="C61" i="3"/>
  <c r="C64" i="3" s="1"/>
  <c r="P60" i="3"/>
  <c r="O60" i="3"/>
  <c r="N60" i="3"/>
  <c r="Q60" i="3" s="1"/>
  <c r="L60" i="3"/>
  <c r="M60" i="3" s="1"/>
  <c r="K60" i="3"/>
  <c r="J60" i="3"/>
  <c r="H60" i="3"/>
  <c r="G60" i="3"/>
  <c r="F60" i="3"/>
  <c r="I60" i="3" s="1"/>
  <c r="D60" i="3"/>
  <c r="D61" i="3" s="1"/>
  <c r="D64" i="3" s="1"/>
  <c r="C60" i="3"/>
  <c r="B60" i="3"/>
  <c r="P59" i="3"/>
  <c r="O59" i="3"/>
  <c r="N59" i="3"/>
  <c r="Q59" i="3" s="1"/>
  <c r="M59" i="3"/>
  <c r="L59" i="3"/>
  <c r="K59" i="3"/>
  <c r="J59" i="3"/>
  <c r="H59" i="3"/>
  <c r="G59" i="3"/>
  <c r="F59" i="3"/>
  <c r="I59" i="3" s="1"/>
  <c r="E59" i="3"/>
  <c r="R59" i="3" s="1"/>
  <c r="D59" i="3"/>
  <c r="C59" i="3"/>
  <c r="B59" i="3"/>
  <c r="Q56" i="3"/>
  <c r="M56" i="3"/>
  <c r="I56" i="3"/>
  <c r="E56" i="3"/>
  <c r="R56" i="3" s="1"/>
  <c r="R54" i="3"/>
  <c r="Q54" i="3"/>
  <c r="M54" i="3"/>
  <c r="I54" i="3"/>
  <c r="E54" i="3"/>
  <c r="Q51" i="3"/>
  <c r="P51" i="3"/>
  <c r="O51" i="3"/>
  <c r="N51" i="3"/>
  <c r="L51" i="3"/>
  <c r="K51" i="3"/>
  <c r="J51" i="3"/>
  <c r="M51" i="3" s="1"/>
  <c r="I51" i="3"/>
  <c r="H51" i="3"/>
  <c r="G51" i="3"/>
  <c r="F51" i="3"/>
  <c r="D51" i="3"/>
  <c r="C51" i="3"/>
  <c r="B51" i="3"/>
  <c r="E51" i="3" s="1"/>
  <c r="Q47" i="3"/>
  <c r="P47" i="3"/>
  <c r="O47" i="3"/>
  <c r="N47" i="3"/>
  <c r="L47" i="3"/>
  <c r="K47" i="3"/>
  <c r="J47" i="3"/>
  <c r="M47" i="3" s="1"/>
  <c r="I47" i="3"/>
  <c r="R47" i="3" s="1"/>
  <c r="H47" i="3"/>
  <c r="G47" i="3"/>
  <c r="F47" i="3"/>
  <c r="D47" i="3"/>
  <c r="C47" i="3"/>
  <c r="B47" i="3"/>
  <c r="E47" i="3" s="1"/>
  <c r="P42" i="3"/>
  <c r="P61" i="3" s="1"/>
  <c r="P64" i="3" s="1"/>
  <c r="O42" i="3"/>
  <c r="O61" i="3" s="1"/>
  <c r="O64" i="3" s="1"/>
  <c r="N42" i="3"/>
  <c r="Q42" i="3" s="1"/>
  <c r="L42" i="3"/>
  <c r="K42" i="3"/>
  <c r="K61" i="3" s="1"/>
  <c r="K64" i="3" s="1"/>
  <c r="J42" i="3"/>
  <c r="H42" i="3"/>
  <c r="H61" i="3" s="1"/>
  <c r="H64" i="3" s="1"/>
  <c r="H65" i="3" s="1"/>
  <c r="G42" i="3"/>
  <c r="G61" i="3" s="1"/>
  <c r="G64" i="3" s="1"/>
  <c r="F42" i="3"/>
  <c r="I42" i="3" s="1"/>
  <c r="D42" i="3"/>
  <c r="C42" i="3"/>
  <c r="B42" i="3"/>
  <c r="O30" i="3"/>
  <c r="N30" i="3"/>
  <c r="C30" i="3"/>
  <c r="P29" i="3"/>
  <c r="P30" i="3" s="1"/>
  <c r="O29" i="3"/>
  <c r="N29" i="3"/>
  <c r="M29" i="3"/>
  <c r="L29" i="3"/>
  <c r="K29" i="3"/>
  <c r="K30" i="3" s="1"/>
  <c r="J29" i="3"/>
  <c r="J30" i="3" s="1"/>
  <c r="H29" i="3"/>
  <c r="I29" i="3" s="1"/>
  <c r="G29" i="3"/>
  <c r="G30" i="3" s="1"/>
  <c r="F29" i="3"/>
  <c r="D29" i="3"/>
  <c r="C29" i="3"/>
  <c r="B29" i="3"/>
  <c r="B30" i="3" s="1"/>
  <c r="Q27" i="3"/>
  <c r="M27" i="3"/>
  <c r="I27" i="3"/>
  <c r="E27" i="3"/>
  <c r="R27" i="3" s="1"/>
  <c r="R23" i="3"/>
  <c r="Q23" i="3"/>
  <c r="M23" i="3"/>
  <c r="I23" i="3"/>
  <c r="E23" i="3"/>
  <c r="P21" i="3"/>
  <c r="Q21" i="3" s="1"/>
  <c r="O21" i="3"/>
  <c r="N21" i="3"/>
  <c r="L21" i="3"/>
  <c r="M21" i="3" s="1"/>
  <c r="K21" i="3"/>
  <c r="J21" i="3"/>
  <c r="H21" i="3"/>
  <c r="I21" i="3" s="1"/>
  <c r="G21" i="3"/>
  <c r="F21" i="3"/>
  <c r="D21" i="3"/>
  <c r="E21" i="3" s="1"/>
  <c r="R21" i="3" s="1"/>
  <c r="C21" i="3"/>
  <c r="B21" i="3"/>
  <c r="Q20" i="3"/>
  <c r="P20" i="3"/>
  <c r="O20" i="3"/>
  <c r="N20" i="3"/>
  <c r="L20" i="3"/>
  <c r="K20" i="3"/>
  <c r="J20" i="3"/>
  <c r="M20" i="3" s="1"/>
  <c r="I20" i="3"/>
  <c r="H20" i="3"/>
  <c r="G20" i="3"/>
  <c r="F20" i="3"/>
  <c r="D20" i="3"/>
  <c r="C20" i="3"/>
  <c r="B20" i="3"/>
  <c r="E20" i="3" s="1"/>
  <c r="P19" i="3"/>
  <c r="O19" i="3"/>
  <c r="N19" i="3"/>
  <c r="Q19" i="3" s="1"/>
  <c r="L19" i="3"/>
  <c r="K19" i="3"/>
  <c r="J19" i="3"/>
  <c r="M19" i="3" s="1"/>
  <c r="H19" i="3"/>
  <c r="G19" i="3"/>
  <c r="F19" i="3"/>
  <c r="I19" i="3" s="1"/>
  <c r="D19" i="3"/>
  <c r="C19" i="3"/>
  <c r="B19" i="3"/>
  <c r="E19" i="3" s="1"/>
  <c r="R19" i="3" s="1"/>
  <c r="P18" i="3"/>
  <c r="O18" i="3"/>
  <c r="N18" i="3"/>
  <c r="Q18" i="3" s="1"/>
  <c r="L18" i="3"/>
  <c r="K18" i="3"/>
  <c r="M18" i="3" s="1"/>
  <c r="J18" i="3"/>
  <c r="H18" i="3"/>
  <c r="G18" i="3"/>
  <c r="F18" i="3"/>
  <c r="I18" i="3" s="1"/>
  <c r="D18" i="3"/>
  <c r="C18" i="3"/>
  <c r="E18" i="3" s="1"/>
  <c r="B18" i="3"/>
  <c r="P17" i="3"/>
  <c r="Q17" i="3" s="1"/>
  <c r="O17" i="3"/>
  <c r="N17" i="3"/>
  <c r="L17" i="3"/>
  <c r="M17" i="3" s="1"/>
  <c r="K17" i="3"/>
  <c r="J17" i="3"/>
  <c r="H17" i="3"/>
  <c r="I17" i="3" s="1"/>
  <c r="G17" i="3"/>
  <c r="F17" i="3"/>
  <c r="D17" i="3"/>
  <c r="E17" i="3" s="1"/>
  <c r="C17" i="3"/>
  <c r="B17" i="3"/>
  <c r="P16" i="3"/>
  <c r="O16" i="3"/>
  <c r="N16" i="3"/>
  <c r="Q16" i="3" s="1"/>
  <c r="M16" i="3"/>
  <c r="L16" i="3"/>
  <c r="K16" i="3"/>
  <c r="J16" i="3"/>
  <c r="H16" i="3"/>
  <c r="G16" i="3"/>
  <c r="F16" i="3"/>
  <c r="I16" i="3" s="1"/>
  <c r="E16" i="3"/>
  <c r="R16" i="3" s="1"/>
  <c r="D16" i="3"/>
  <c r="C16" i="3"/>
  <c r="B16" i="3"/>
  <c r="P15" i="3"/>
  <c r="O15" i="3"/>
  <c r="N15" i="3"/>
  <c r="Q15" i="3" s="1"/>
  <c r="L15" i="3"/>
  <c r="K15" i="3"/>
  <c r="J15" i="3"/>
  <c r="M15" i="3" s="1"/>
  <c r="H15" i="3"/>
  <c r="G15" i="3"/>
  <c r="F15" i="3"/>
  <c r="I15" i="3" s="1"/>
  <c r="D15" i="3"/>
  <c r="C15" i="3"/>
  <c r="B15" i="3"/>
  <c r="E15" i="3" s="1"/>
  <c r="R1" i="3"/>
  <c r="O945" i="2"/>
  <c r="K945" i="2"/>
  <c r="Q942" i="2"/>
  <c r="M942" i="2"/>
  <c r="Q941" i="2"/>
  <c r="M941" i="2"/>
  <c r="Q940" i="2"/>
  <c r="R942" i="2" s="1"/>
  <c r="M940" i="2"/>
  <c r="N942" i="2" s="1"/>
  <c r="Q939" i="2"/>
  <c r="M939" i="2"/>
  <c r="Q938" i="2"/>
  <c r="M938" i="2"/>
  <c r="G938" i="2"/>
  <c r="I938" i="2" s="1"/>
  <c r="Q937" i="2"/>
  <c r="R939" i="2" s="1"/>
  <c r="M937" i="2"/>
  <c r="N939" i="2" s="1"/>
  <c r="I937" i="2"/>
  <c r="G937" i="2"/>
  <c r="Q936" i="2"/>
  <c r="M936" i="2"/>
  <c r="G936" i="2"/>
  <c r="I936" i="2" s="1"/>
  <c r="Q935" i="2"/>
  <c r="M935" i="2"/>
  <c r="N936" i="2" s="1"/>
  <c r="I935" i="2"/>
  <c r="G935" i="2"/>
  <c r="Q934" i="2"/>
  <c r="R936" i="2" s="1"/>
  <c r="M934" i="2"/>
  <c r="G934" i="2"/>
  <c r="I934" i="2" s="1"/>
  <c r="Q933" i="2"/>
  <c r="N933" i="2"/>
  <c r="M933" i="2"/>
  <c r="I933" i="2"/>
  <c r="G933" i="2"/>
  <c r="I896" i="2" s="1"/>
  <c r="Q932" i="2"/>
  <c r="Q945" i="2" s="1"/>
  <c r="M932" i="2"/>
  <c r="G932" i="2"/>
  <c r="I895" i="2" s="1"/>
  <c r="Q931" i="2"/>
  <c r="R933" i="2" s="1"/>
  <c r="M931" i="2"/>
  <c r="M945" i="2" s="1"/>
  <c r="I931" i="2"/>
  <c r="G925" i="2"/>
  <c r="O924" i="2"/>
  <c r="K924" i="2"/>
  <c r="C924" i="2"/>
  <c r="I921" i="2"/>
  <c r="J918" i="2"/>
  <c r="Q917" i="2"/>
  <c r="H907" i="2"/>
  <c r="G907" i="2"/>
  <c r="F907" i="2"/>
  <c r="M905" i="2"/>
  <c r="J905" i="2"/>
  <c r="G905" i="2"/>
  <c r="F905" i="2"/>
  <c r="H905" i="2" s="1"/>
  <c r="M904" i="2"/>
  <c r="J904" i="2"/>
  <c r="G904" i="2"/>
  <c r="H904" i="2" s="1"/>
  <c r="F904" i="2"/>
  <c r="M903" i="2"/>
  <c r="J903" i="2"/>
  <c r="G903" i="2"/>
  <c r="F903" i="2"/>
  <c r="H903" i="2" s="1"/>
  <c r="M902" i="2"/>
  <c r="J902" i="2"/>
  <c r="H902" i="2"/>
  <c r="G902" i="2"/>
  <c r="F902" i="2"/>
  <c r="M901" i="2"/>
  <c r="J901" i="2"/>
  <c r="I901" i="2"/>
  <c r="G901" i="2"/>
  <c r="F901" i="2"/>
  <c r="J900" i="2"/>
  <c r="M900" i="2" s="1"/>
  <c r="I900" i="2"/>
  <c r="G900" i="2"/>
  <c r="F900" i="2"/>
  <c r="H900" i="2" s="1"/>
  <c r="M899" i="2"/>
  <c r="J899" i="2"/>
  <c r="I899" i="2"/>
  <c r="G899" i="2"/>
  <c r="F899" i="2"/>
  <c r="H899" i="2" s="1"/>
  <c r="M898" i="2"/>
  <c r="J898" i="2"/>
  <c r="I898" i="2"/>
  <c r="G898" i="2"/>
  <c r="F898" i="2"/>
  <c r="H898" i="2" s="1"/>
  <c r="M897" i="2"/>
  <c r="J897" i="2"/>
  <c r="I897" i="2"/>
  <c r="H897" i="2"/>
  <c r="G897" i="2"/>
  <c r="F897" i="2"/>
  <c r="M896" i="2"/>
  <c r="J896" i="2"/>
  <c r="H896" i="2"/>
  <c r="G896" i="2"/>
  <c r="F896" i="2"/>
  <c r="M895" i="2"/>
  <c r="J895" i="2"/>
  <c r="G895" i="2"/>
  <c r="F895" i="2"/>
  <c r="H895" i="2" s="1"/>
  <c r="J894" i="2"/>
  <c r="I894" i="2"/>
  <c r="G894" i="2"/>
  <c r="F894" i="2"/>
  <c r="H894" i="2" s="1"/>
  <c r="H887" i="2"/>
  <c r="I884" i="2"/>
  <c r="Q883" i="2"/>
  <c r="F879" i="2"/>
  <c r="E875" i="2"/>
  <c r="F874" i="2"/>
  <c r="D868" i="2"/>
  <c r="P861" i="2"/>
  <c r="E861" i="2"/>
  <c r="Q858" i="2"/>
  <c r="F858" i="2"/>
  <c r="Q856" i="2"/>
  <c r="F846" i="2"/>
  <c r="G841" i="2"/>
  <c r="F840" i="2"/>
  <c r="E833" i="2"/>
  <c r="F830" i="2"/>
  <c r="Q829" i="2"/>
  <c r="F824" i="2"/>
  <c r="F823" i="2"/>
  <c r="F822" i="2"/>
  <c r="G821" i="2"/>
  <c r="G820" i="2"/>
  <c r="G819" i="2"/>
  <c r="G818" i="2"/>
  <c r="G817" i="2"/>
  <c r="G816" i="2"/>
  <c r="E809" i="2"/>
  <c r="F806" i="2"/>
  <c r="Q805" i="2"/>
  <c r="C794" i="2"/>
  <c r="B794" i="2"/>
  <c r="C793" i="2"/>
  <c r="C792" i="2"/>
  <c r="B792" i="2"/>
  <c r="C791" i="2"/>
  <c r="C790" i="2"/>
  <c r="D789" i="2"/>
  <c r="C789" i="2"/>
  <c r="B789" i="2"/>
  <c r="M789" i="2" s="1"/>
  <c r="I788" i="2"/>
  <c r="C788" i="2"/>
  <c r="C787" i="2"/>
  <c r="C786" i="2"/>
  <c r="C785" i="2"/>
  <c r="B785" i="2"/>
  <c r="C784" i="2"/>
  <c r="C783" i="2"/>
  <c r="D775" i="2"/>
  <c r="Q774" i="2"/>
  <c r="L774" i="2"/>
  <c r="G769" i="2"/>
  <c r="F769" i="2"/>
  <c r="G768" i="2"/>
  <c r="F768" i="2"/>
  <c r="C878" i="2" s="1"/>
  <c r="G767" i="2"/>
  <c r="G825" i="2" s="1"/>
  <c r="F767" i="2"/>
  <c r="C877" i="2" s="1"/>
  <c r="G766" i="2"/>
  <c r="G824" i="2" s="1"/>
  <c r="F766" i="2"/>
  <c r="Q876" i="2" s="1"/>
  <c r="G765" i="2"/>
  <c r="F765" i="2"/>
  <c r="G764" i="2"/>
  <c r="F764" i="2"/>
  <c r="G763" i="2"/>
  <c r="E899" i="2" s="1"/>
  <c r="F763" i="2"/>
  <c r="G762" i="2"/>
  <c r="F762" i="2"/>
  <c r="G761" i="2"/>
  <c r="F761" i="2"/>
  <c r="G760" i="2"/>
  <c r="F760" i="2"/>
  <c r="G759" i="2"/>
  <c r="E895" i="2" s="1"/>
  <c r="I784" i="2" s="1"/>
  <c r="F759" i="2"/>
  <c r="G758" i="2"/>
  <c r="F758" i="2"/>
  <c r="B783" i="2" s="1"/>
  <c r="E751" i="2"/>
  <c r="F748" i="2"/>
  <c r="Q747" i="2"/>
  <c r="D743" i="2"/>
  <c r="F737" i="2"/>
  <c r="A731" i="2"/>
  <c r="A729" i="2"/>
  <c r="Q725" i="2"/>
  <c r="L722" i="2"/>
  <c r="L743" i="2" s="1"/>
  <c r="F722" i="2"/>
  <c r="D722" i="2"/>
  <c r="L721" i="2"/>
  <c r="G721" i="2"/>
  <c r="D721" i="2"/>
  <c r="P720" i="2"/>
  <c r="O720" i="2"/>
  <c r="N720" i="2"/>
  <c r="Q720" i="2" s="1"/>
  <c r="M720" i="2"/>
  <c r="L720" i="2"/>
  <c r="K720" i="2"/>
  <c r="J720" i="2"/>
  <c r="H720" i="2"/>
  <c r="G720" i="2"/>
  <c r="F720" i="2"/>
  <c r="I720" i="2" s="1"/>
  <c r="E720" i="2"/>
  <c r="D720" i="2"/>
  <c r="C720" i="2"/>
  <c r="B720" i="2"/>
  <c r="P719" i="2"/>
  <c r="O719" i="2"/>
  <c r="N719" i="2"/>
  <c r="Q719" i="2" s="1"/>
  <c r="L719" i="2"/>
  <c r="K719" i="2"/>
  <c r="J719" i="2"/>
  <c r="M719" i="2" s="1"/>
  <c r="H719" i="2"/>
  <c r="G719" i="2"/>
  <c r="F719" i="2"/>
  <c r="I719" i="2" s="1"/>
  <c r="D719" i="2"/>
  <c r="C719" i="2"/>
  <c r="B719" i="2"/>
  <c r="E719" i="2" s="1"/>
  <c r="P718" i="2"/>
  <c r="P721" i="2" s="1"/>
  <c r="O718" i="2"/>
  <c r="O722" i="2" s="1"/>
  <c r="O743" i="2" s="1"/>
  <c r="N718" i="2"/>
  <c r="N721" i="2" s="1"/>
  <c r="L718" i="2"/>
  <c r="K718" i="2"/>
  <c r="K721" i="2" s="1"/>
  <c r="J718" i="2"/>
  <c r="H718" i="2"/>
  <c r="H721" i="2" s="1"/>
  <c r="G718" i="2"/>
  <c r="G722" i="2" s="1"/>
  <c r="G743" i="2" s="1"/>
  <c r="F718" i="2"/>
  <c r="D718" i="2"/>
  <c r="C718" i="2"/>
  <c r="C721" i="2" s="1"/>
  <c r="B718" i="2"/>
  <c r="P717" i="2"/>
  <c r="Q717" i="2" s="1"/>
  <c r="O717" i="2"/>
  <c r="N717" i="2"/>
  <c r="L717" i="2"/>
  <c r="K717" i="2"/>
  <c r="M717" i="2" s="1"/>
  <c r="J717" i="2"/>
  <c r="I717" i="2"/>
  <c r="H717" i="2"/>
  <c r="G717" i="2"/>
  <c r="F717" i="2"/>
  <c r="D717" i="2"/>
  <c r="C717" i="2"/>
  <c r="B717" i="2"/>
  <c r="R716" i="2"/>
  <c r="Q716" i="2"/>
  <c r="P716" i="2"/>
  <c r="O716" i="2"/>
  <c r="N716" i="2"/>
  <c r="L716" i="2"/>
  <c r="K716" i="2"/>
  <c r="J716" i="2"/>
  <c r="M716" i="2" s="1"/>
  <c r="I716" i="2"/>
  <c r="H716" i="2"/>
  <c r="G716" i="2"/>
  <c r="F716" i="2"/>
  <c r="D716" i="2"/>
  <c r="C716" i="2"/>
  <c r="B716" i="2"/>
  <c r="E716" i="2" s="1"/>
  <c r="P715" i="2"/>
  <c r="O715" i="2"/>
  <c r="N715" i="2"/>
  <c r="L715" i="2"/>
  <c r="K715" i="2"/>
  <c r="K722" i="2" s="1"/>
  <c r="K743" i="2" s="1"/>
  <c r="J715" i="2"/>
  <c r="H715" i="2"/>
  <c r="G715" i="2"/>
  <c r="F715" i="2"/>
  <c r="I715" i="2" s="1"/>
  <c r="E715" i="2"/>
  <c r="D715" i="2"/>
  <c r="C715" i="2"/>
  <c r="C722" i="2" s="1"/>
  <c r="C743" i="2" s="1"/>
  <c r="B715" i="2"/>
  <c r="O713" i="2"/>
  <c r="O741" i="2" s="1"/>
  <c r="K713" i="2"/>
  <c r="K741" i="2" s="1"/>
  <c r="J713" i="2"/>
  <c r="J741" i="2" s="1"/>
  <c r="D713" i="2"/>
  <c r="D741" i="2" s="1"/>
  <c r="C713" i="2"/>
  <c r="C741" i="2" s="1"/>
  <c r="E741" i="2" s="1"/>
  <c r="B713" i="2"/>
  <c r="B741" i="2" s="1"/>
  <c r="P712" i="2"/>
  <c r="O712" i="2"/>
  <c r="N712" i="2"/>
  <c r="Q712" i="2" s="1"/>
  <c r="L712" i="2"/>
  <c r="M712" i="2" s="1"/>
  <c r="K712" i="2"/>
  <c r="J712" i="2"/>
  <c r="H712" i="2"/>
  <c r="G712" i="2"/>
  <c r="G713" i="2" s="1"/>
  <c r="G741" i="2" s="1"/>
  <c r="F712" i="2"/>
  <c r="I712" i="2" s="1"/>
  <c r="E712" i="2"/>
  <c r="D712" i="2"/>
  <c r="C712" i="2"/>
  <c r="B712" i="2"/>
  <c r="P711" i="2"/>
  <c r="P713" i="2" s="1"/>
  <c r="P741" i="2" s="1"/>
  <c r="O711" i="2"/>
  <c r="N711" i="2"/>
  <c r="M711" i="2"/>
  <c r="L711" i="2"/>
  <c r="K711" i="2"/>
  <c r="J711" i="2"/>
  <c r="H711" i="2"/>
  <c r="H713" i="2" s="1"/>
  <c r="H741" i="2" s="1"/>
  <c r="G711" i="2"/>
  <c r="F711" i="2"/>
  <c r="E711" i="2"/>
  <c r="D711" i="2"/>
  <c r="C711" i="2"/>
  <c r="B711" i="2"/>
  <c r="N709" i="2"/>
  <c r="P708" i="2"/>
  <c r="O708" i="2"/>
  <c r="O709" i="2" s="1"/>
  <c r="O739" i="2" s="1"/>
  <c r="N708" i="2"/>
  <c r="L708" i="2"/>
  <c r="K708" i="2"/>
  <c r="J708" i="2"/>
  <c r="H708" i="2"/>
  <c r="G708" i="2"/>
  <c r="G709" i="2" s="1"/>
  <c r="G739" i="2" s="1"/>
  <c r="F708" i="2"/>
  <c r="D708" i="2"/>
  <c r="C708" i="2"/>
  <c r="B708" i="2"/>
  <c r="Q707" i="2"/>
  <c r="P707" i="2"/>
  <c r="O707" i="2"/>
  <c r="N707" i="2"/>
  <c r="L707" i="2"/>
  <c r="K707" i="2"/>
  <c r="J707" i="2"/>
  <c r="H707" i="2"/>
  <c r="I707" i="2" s="1"/>
  <c r="G707" i="2"/>
  <c r="F707" i="2"/>
  <c r="D707" i="2"/>
  <c r="C707" i="2"/>
  <c r="B707" i="2"/>
  <c r="E707" i="2" s="1"/>
  <c r="Q706" i="2"/>
  <c r="P706" i="2"/>
  <c r="O706" i="2"/>
  <c r="N706" i="2"/>
  <c r="L706" i="2"/>
  <c r="K706" i="2"/>
  <c r="J706" i="2"/>
  <c r="M706" i="2" s="1"/>
  <c r="I706" i="2"/>
  <c r="H706" i="2"/>
  <c r="G706" i="2"/>
  <c r="F706" i="2"/>
  <c r="D706" i="2"/>
  <c r="C706" i="2"/>
  <c r="B706" i="2"/>
  <c r="E706" i="2" s="1"/>
  <c r="R706" i="2" s="1"/>
  <c r="P705" i="2"/>
  <c r="P709" i="2" s="1"/>
  <c r="P739" i="2" s="1"/>
  <c r="O705" i="2"/>
  <c r="N705" i="2"/>
  <c r="Q705" i="2" s="1"/>
  <c r="L705" i="2"/>
  <c r="L709" i="2" s="1"/>
  <c r="L739" i="2" s="1"/>
  <c r="K705" i="2"/>
  <c r="J705" i="2"/>
  <c r="H705" i="2"/>
  <c r="G705" i="2"/>
  <c r="F705" i="2"/>
  <c r="I705" i="2" s="1"/>
  <c r="E705" i="2"/>
  <c r="D705" i="2"/>
  <c r="D709" i="2" s="1"/>
  <c r="D739" i="2" s="1"/>
  <c r="C705" i="2"/>
  <c r="B705" i="2"/>
  <c r="O703" i="2"/>
  <c r="F703" i="2"/>
  <c r="C703" i="2"/>
  <c r="P702" i="2"/>
  <c r="O702" i="2"/>
  <c r="N702" i="2"/>
  <c r="L702" i="2"/>
  <c r="M702" i="2" s="1"/>
  <c r="K702" i="2"/>
  <c r="J702" i="2"/>
  <c r="H702" i="2"/>
  <c r="G702" i="2"/>
  <c r="F702" i="2"/>
  <c r="E702" i="2"/>
  <c r="D702" i="2"/>
  <c r="C702" i="2"/>
  <c r="B702" i="2"/>
  <c r="P701" i="2"/>
  <c r="Q701" i="2" s="1"/>
  <c r="O701" i="2"/>
  <c r="N701" i="2"/>
  <c r="M701" i="2"/>
  <c r="L701" i="2"/>
  <c r="K701" i="2"/>
  <c r="J701" i="2"/>
  <c r="H701" i="2"/>
  <c r="I701" i="2" s="1"/>
  <c r="G701" i="2"/>
  <c r="F701" i="2"/>
  <c r="E701" i="2"/>
  <c r="D701" i="2"/>
  <c r="C701" i="2"/>
  <c r="B701" i="2"/>
  <c r="Q700" i="2"/>
  <c r="P700" i="2"/>
  <c r="O700" i="2"/>
  <c r="N700" i="2"/>
  <c r="N703" i="2" s="1"/>
  <c r="L700" i="2"/>
  <c r="K700" i="2"/>
  <c r="J700" i="2"/>
  <c r="M700" i="2" s="1"/>
  <c r="H700" i="2"/>
  <c r="G700" i="2"/>
  <c r="I700" i="2" s="1"/>
  <c r="F700" i="2"/>
  <c r="D700" i="2"/>
  <c r="C700" i="2"/>
  <c r="B700" i="2"/>
  <c r="E700" i="2" s="1"/>
  <c r="P699" i="2"/>
  <c r="O699" i="2"/>
  <c r="N699" i="2"/>
  <c r="Q699" i="2" s="1"/>
  <c r="L699" i="2"/>
  <c r="K699" i="2"/>
  <c r="J699" i="2"/>
  <c r="H699" i="2"/>
  <c r="G699" i="2"/>
  <c r="F699" i="2"/>
  <c r="D699" i="2"/>
  <c r="C699" i="2"/>
  <c r="B699" i="2"/>
  <c r="Q698" i="2"/>
  <c r="P698" i="2"/>
  <c r="O698" i="2"/>
  <c r="N698" i="2"/>
  <c r="L698" i="2"/>
  <c r="K698" i="2"/>
  <c r="K703" i="2" s="1"/>
  <c r="J698" i="2"/>
  <c r="M698" i="2" s="1"/>
  <c r="H698" i="2"/>
  <c r="I698" i="2" s="1"/>
  <c r="G698" i="2"/>
  <c r="F698" i="2"/>
  <c r="D698" i="2"/>
  <c r="C698" i="2"/>
  <c r="B698" i="2"/>
  <c r="E698" i="2" s="1"/>
  <c r="R698" i="2" s="1"/>
  <c r="Q697" i="2"/>
  <c r="P697" i="2"/>
  <c r="O697" i="2"/>
  <c r="N697" i="2"/>
  <c r="L697" i="2"/>
  <c r="L703" i="2" s="1"/>
  <c r="K697" i="2"/>
  <c r="J697" i="2"/>
  <c r="I697" i="2"/>
  <c r="H697" i="2"/>
  <c r="G697" i="2"/>
  <c r="F697" i="2"/>
  <c r="D697" i="2"/>
  <c r="D703" i="2" s="1"/>
  <c r="C697" i="2"/>
  <c r="B697" i="2"/>
  <c r="A690" i="2"/>
  <c r="A688" i="2"/>
  <c r="Q684" i="2"/>
  <c r="Q677" i="2"/>
  <c r="M677" i="2"/>
  <c r="I677" i="2"/>
  <c r="E677" i="2"/>
  <c r="R677" i="2" s="1"/>
  <c r="N676" i="2"/>
  <c r="F676" i="2"/>
  <c r="Q675" i="2"/>
  <c r="P675" i="2"/>
  <c r="O675" i="2"/>
  <c r="N675" i="2"/>
  <c r="L675" i="2"/>
  <c r="K675" i="2"/>
  <c r="J675" i="2"/>
  <c r="M675" i="2" s="1"/>
  <c r="H675" i="2"/>
  <c r="G675" i="2"/>
  <c r="I675" i="2" s="1"/>
  <c r="F675" i="2"/>
  <c r="D675" i="2"/>
  <c r="C675" i="2"/>
  <c r="B675" i="2"/>
  <c r="E675" i="2" s="1"/>
  <c r="P674" i="2"/>
  <c r="O674" i="2"/>
  <c r="N674" i="2"/>
  <c r="L674" i="2"/>
  <c r="K674" i="2"/>
  <c r="J674" i="2"/>
  <c r="M674" i="2" s="1"/>
  <c r="H674" i="2"/>
  <c r="G674" i="2"/>
  <c r="F674" i="2"/>
  <c r="I674" i="2" s="1"/>
  <c r="D674" i="2"/>
  <c r="C674" i="2"/>
  <c r="B674" i="2"/>
  <c r="E674" i="2" s="1"/>
  <c r="Q671" i="2"/>
  <c r="M671" i="2"/>
  <c r="I671" i="2"/>
  <c r="E671" i="2"/>
  <c r="Q670" i="2"/>
  <c r="M670" i="2"/>
  <c r="I670" i="2"/>
  <c r="E670" i="2"/>
  <c r="Q668" i="2"/>
  <c r="M668" i="2"/>
  <c r="I668" i="2"/>
  <c r="E668" i="2"/>
  <c r="Q667" i="2"/>
  <c r="M667" i="2"/>
  <c r="I667" i="2"/>
  <c r="E667" i="2"/>
  <c r="R667" i="2" s="1"/>
  <c r="Q666" i="2"/>
  <c r="M666" i="2"/>
  <c r="I666" i="2"/>
  <c r="R666" i="2" s="1"/>
  <c r="E666" i="2"/>
  <c r="Q665" i="2"/>
  <c r="R665" i="2" s="1"/>
  <c r="M665" i="2"/>
  <c r="I665" i="2"/>
  <c r="E665" i="2"/>
  <c r="Q662" i="2"/>
  <c r="P662" i="2"/>
  <c r="O662" i="2"/>
  <c r="N662" i="2"/>
  <c r="L662" i="2"/>
  <c r="K662" i="2"/>
  <c r="J662" i="2"/>
  <c r="M662" i="2" s="1"/>
  <c r="I662" i="2"/>
  <c r="H662" i="2"/>
  <c r="G662" i="2"/>
  <c r="F662" i="2"/>
  <c r="D662" i="2"/>
  <c r="C662" i="2"/>
  <c r="B662" i="2"/>
  <c r="E662" i="2" s="1"/>
  <c r="R660" i="2"/>
  <c r="Q660" i="2"/>
  <c r="M660" i="2"/>
  <c r="I660" i="2"/>
  <c r="E660" i="2"/>
  <c r="P657" i="2"/>
  <c r="P676" i="2" s="1"/>
  <c r="P679" i="2" s="1"/>
  <c r="O657" i="2"/>
  <c r="N657" i="2"/>
  <c r="M657" i="2"/>
  <c r="L657" i="2"/>
  <c r="K657" i="2"/>
  <c r="J657" i="2"/>
  <c r="H657" i="2"/>
  <c r="G657" i="2"/>
  <c r="F657" i="2"/>
  <c r="D657" i="2"/>
  <c r="C657" i="2"/>
  <c r="E657" i="2" s="1"/>
  <c r="B657" i="2"/>
  <c r="P653" i="2"/>
  <c r="O653" i="2"/>
  <c r="O676" i="2" s="1"/>
  <c r="O679" i="2" s="1"/>
  <c r="N653" i="2"/>
  <c r="Q653" i="2" s="1"/>
  <c r="L653" i="2"/>
  <c r="K653" i="2"/>
  <c r="K676" i="2" s="1"/>
  <c r="K679" i="2" s="1"/>
  <c r="J653" i="2"/>
  <c r="H653" i="2"/>
  <c r="H676" i="2" s="1"/>
  <c r="H679" i="2" s="1"/>
  <c r="G653" i="2"/>
  <c r="F653" i="2"/>
  <c r="I653" i="2" s="1"/>
  <c r="D653" i="2"/>
  <c r="C653" i="2"/>
  <c r="B653" i="2"/>
  <c r="Q651" i="2"/>
  <c r="M651" i="2"/>
  <c r="I651" i="2"/>
  <c r="E651" i="2"/>
  <c r="R651" i="2" s="1"/>
  <c r="R648" i="2"/>
  <c r="Q648" i="2"/>
  <c r="M648" i="2"/>
  <c r="I648" i="2"/>
  <c r="E648" i="2"/>
  <c r="Q647" i="2"/>
  <c r="M647" i="2"/>
  <c r="I647" i="2"/>
  <c r="E647" i="2"/>
  <c r="R647" i="2" s="1"/>
  <c r="R635" i="2"/>
  <c r="Q635" i="2"/>
  <c r="M635" i="2"/>
  <c r="I635" i="2"/>
  <c r="E635" i="2"/>
  <c r="Q634" i="2"/>
  <c r="M634" i="2"/>
  <c r="I634" i="2"/>
  <c r="E634" i="2"/>
  <c r="R634" i="2" s="1"/>
  <c r="P633" i="2"/>
  <c r="P637" i="2" s="1"/>
  <c r="Q632" i="2"/>
  <c r="P632" i="2"/>
  <c r="O632" i="2"/>
  <c r="N632" i="2"/>
  <c r="M632" i="2"/>
  <c r="L632" i="2"/>
  <c r="K632" i="2"/>
  <c r="J632" i="2"/>
  <c r="J633" i="2" s="1"/>
  <c r="I632" i="2"/>
  <c r="H632" i="2"/>
  <c r="G632" i="2"/>
  <c r="F632" i="2"/>
  <c r="E632" i="2"/>
  <c r="D632" i="2"/>
  <c r="C632" i="2"/>
  <c r="B632" i="2"/>
  <c r="B633" i="2" s="1"/>
  <c r="R631" i="2"/>
  <c r="P631" i="2"/>
  <c r="O631" i="2"/>
  <c r="N631" i="2"/>
  <c r="Q631" i="2" s="1"/>
  <c r="L631" i="2"/>
  <c r="K631" i="2"/>
  <c r="J631" i="2"/>
  <c r="M631" i="2" s="1"/>
  <c r="H631" i="2"/>
  <c r="G631" i="2"/>
  <c r="F631" i="2"/>
  <c r="I631" i="2" s="1"/>
  <c r="D631" i="2"/>
  <c r="C631" i="2"/>
  <c r="B631" i="2"/>
  <c r="E631" i="2" s="1"/>
  <c r="P625" i="2"/>
  <c r="O625" i="2"/>
  <c r="N625" i="2"/>
  <c r="Q625" i="2" s="1"/>
  <c r="L625" i="2"/>
  <c r="L633" i="2" s="1"/>
  <c r="L637" i="2" s="1"/>
  <c r="K625" i="2"/>
  <c r="J625" i="2"/>
  <c r="H625" i="2"/>
  <c r="G625" i="2"/>
  <c r="F625" i="2"/>
  <c r="D625" i="2"/>
  <c r="C625" i="2"/>
  <c r="B625" i="2"/>
  <c r="P621" i="2"/>
  <c r="O621" i="2"/>
  <c r="N621" i="2"/>
  <c r="Q621" i="2" s="1"/>
  <c r="M621" i="2"/>
  <c r="L621" i="2"/>
  <c r="K621" i="2"/>
  <c r="J621" i="2"/>
  <c r="H621" i="2"/>
  <c r="H633" i="2" s="1"/>
  <c r="H637" i="2" s="1"/>
  <c r="G621" i="2"/>
  <c r="F621" i="2"/>
  <c r="I621" i="2" s="1"/>
  <c r="D621" i="2"/>
  <c r="C621" i="2"/>
  <c r="B621" i="2"/>
  <c r="P617" i="2"/>
  <c r="O617" i="2"/>
  <c r="N617" i="2"/>
  <c r="M617" i="2"/>
  <c r="L617" i="2"/>
  <c r="K617" i="2"/>
  <c r="J617" i="2"/>
  <c r="H617" i="2"/>
  <c r="G617" i="2"/>
  <c r="F617" i="2"/>
  <c r="E617" i="2"/>
  <c r="D617" i="2"/>
  <c r="C617" i="2"/>
  <c r="B617" i="2"/>
  <c r="Q613" i="2"/>
  <c r="M613" i="2"/>
  <c r="I613" i="2"/>
  <c r="R613" i="2" s="1"/>
  <c r="E613" i="2"/>
  <c r="O604" i="2"/>
  <c r="N604" i="2"/>
  <c r="C604" i="2"/>
  <c r="P603" i="2"/>
  <c r="P604" i="2" s="1"/>
  <c r="O603" i="2"/>
  <c r="N603" i="2"/>
  <c r="L603" i="2"/>
  <c r="K603" i="2"/>
  <c r="K604" i="2" s="1"/>
  <c r="J603" i="2"/>
  <c r="J604" i="2" s="1"/>
  <c r="H603" i="2"/>
  <c r="G603" i="2"/>
  <c r="G604" i="2" s="1"/>
  <c r="F603" i="2"/>
  <c r="D603" i="2"/>
  <c r="D604" i="2" s="1"/>
  <c r="C603" i="2"/>
  <c r="B603" i="2"/>
  <c r="B604" i="2" s="1"/>
  <c r="Q601" i="2"/>
  <c r="M601" i="2"/>
  <c r="I601" i="2"/>
  <c r="E601" i="2"/>
  <c r="R601" i="2" s="1"/>
  <c r="Q591" i="2"/>
  <c r="M591" i="2"/>
  <c r="I591" i="2"/>
  <c r="E591" i="2"/>
  <c r="P589" i="2"/>
  <c r="O589" i="2"/>
  <c r="N589" i="2"/>
  <c r="Q589" i="2" s="1"/>
  <c r="L589" i="2"/>
  <c r="K589" i="2"/>
  <c r="J589" i="2"/>
  <c r="H589" i="2"/>
  <c r="G589" i="2"/>
  <c r="F589" i="2"/>
  <c r="I589" i="2" s="1"/>
  <c r="D589" i="2"/>
  <c r="C589" i="2"/>
  <c r="B589" i="2"/>
  <c r="E589" i="2" s="1"/>
  <c r="P588" i="2"/>
  <c r="O588" i="2"/>
  <c r="N588" i="2"/>
  <c r="L588" i="2"/>
  <c r="K588" i="2"/>
  <c r="M588" i="2" s="1"/>
  <c r="J588" i="2"/>
  <c r="H588" i="2"/>
  <c r="G588" i="2"/>
  <c r="F588" i="2"/>
  <c r="I588" i="2" s="1"/>
  <c r="D588" i="2"/>
  <c r="C588" i="2"/>
  <c r="B588" i="2"/>
  <c r="Q585" i="2"/>
  <c r="M585" i="2"/>
  <c r="I585" i="2"/>
  <c r="E585" i="2"/>
  <c r="Q584" i="2"/>
  <c r="R584" i="2" s="1"/>
  <c r="M584" i="2"/>
  <c r="I584" i="2"/>
  <c r="E584" i="2"/>
  <c r="Q583" i="2"/>
  <c r="M583" i="2"/>
  <c r="I583" i="2"/>
  <c r="E583" i="2"/>
  <c r="Q582" i="2"/>
  <c r="M582" i="2"/>
  <c r="I582" i="2"/>
  <c r="E582" i="2"/>
  <c r="P578" i="2"/>
  <c r="Q578" i="2" s="1"/>
  <c r="O578" i="2"/>
  <c r="N578" i="2"/>
  <c r="L578" i="2"/>
  <c r="K578" i="2"/>
  <c r="J578" i="2"/>
  <c r="M578" i="2" s="1"/>
  <c r="I578" i="2"/>
  <c r="H578" i="2"/>
  <c r="G578" i="2"/>
  <c r="F578" i="2"/>
  <c r="D578" i="2"/>
  <c r="C578" i="2"/>
  <c r="B578" i="2"/>
  <c r="R576" i="2"/>
  <c r="Q576" i="2"/>
  <c r="M576" i="2"/>
  <c r="I576" i="2"/>
  <c r="E576" i="2"/>
  <c r="R573" i="2"/>
  <c r="P573" i="2"/>
  <c r="O573" i="2"/>
  <c r="N573" i="2"/>
  <c r="Q573" i="2" s="1"/>
  <c r="L573" i="2"/>
  <c r="K573" i="2"/>
  <c r="J573" i="2"/>
  <c r="M573" i="2" s="1"/>
  <c r="H573" i="2"/>
  <c r="I573" i="2" s="1"/>
  <c r="G573" i="2"/>
  <c r="F573" i="2"/>
  <c r="D573" i="2"/>
  <c r="C573" i="2"/>
  <c r="B573" i="2"/>
  <c r="E573" i="2" s="1"/>
  <c r="P569" i="2"/>
  <c r="O569" i="2"/>
  <c r="N569" i="2"/>
  <c r="L569" i="2"/>
  <c r="L590" i="2" s="1"/>
  <c r="L593" i="2" s="1"/>
  <c r="K569" i="2"/>
  <c r="J569" i="2"/>
  <c r="H569" i="2"/>
  <c r="G569" i="2"/>
  <c r="F569" i="2"/>
  <c r="D569" i="2"/>
  <c r="C569" i="2"/>
  <c r="C590" i="2" s="1"/>
  <c r="C593" i="2" s="1"/>
  <c r="B569" i="2"/>
  <c r="Q565" i="2"/>
  <c r="M565" i="2"/>
  <c r="I565" i="2"/>
  <c r="E565" i="2"/>
  <c r="Q564" i="2"/>
  <c r="M564" i="2"/>
  <c r="I564" i="2"/>
  <c r="E564" i="2"/>
  <c r="B554" i="2"/>
  <c r="Q552" i="2"/>
  <c r="M552" i="2"/>
  <c r="I552" i="2"/>
  <c r="E552" i="2"/>
  <c r="L551" i="2"/>
  <c r="L554" i="2" s="1"/>
  <c r="K551" i="2"/>
  <c r="K554" i="2" s="1"/>
  <c r="G551" i="2"/>
  <c r="G554" i="2" s="1"/>
  <c r="P550" i="2"/>
  <c r="Q550" i="2" s="1"/>
  <c r="O550" i="2"/>
  <c r="N550" i="2"/>
  <c r="M550" i="2"/>
  <c r="L550" i="2"/>
  <c r="K550" i="2"/>
  <c r="J550" i="2"/>
  <c r="H550" i="2"/>
  <c r="I550" i="2" s="1"/>
  <c r="G550" i="2"/>
  <c r="F550" i="2"/>
  <c r="E550" i="2"/>
  <c r="D550" i="2"/>
  <c r="C550" i="2"/>
  <c r="B550" i="2"/>
  <c r="Q549" i="2"/>
  <c r="P549" i="2"/>
  <c r="O549" i="2"/>
  <c r="N549" i="2"/>
  <c r="L549" i="2"/>
  <c r="K549" i="2"/>
  <c r="J549" i="2"/>
  <c r="M549" i="2" s="1"/>
  <c r="I549" i="2"/>
  <c r="R549" i="2" s="1"/>
  <c r="H549" i="2"/>
  <c r="G549" i="2"/>
  <c r="F549" i="2"/>
  <c r="D549" i="2"/>
  <c r="C549" i="2"/>
  <c r="B549" i="2"/>
  <c r="E549" i="2" s="1"/>
  <c r="R546" i="2"/>
  <c r="Q546" i="2"/>
  <c r="M546" i="2"/>
  <c r="I546" i="2"/>
  <c r="E546" i="2"/>
  <c r="P542" i="2"/>
  <c r="O542" i="2"/>
  <c r="N542" i="2"/>
  <c r="L542" i="2"/>
  <c r="K542" i="2"/>
  <c r="M542" i="2" s="1"/>
  <c r="J542" i="2"/>
  <c r="I542" i="2"/>
  <c r="H542" i="2"/>
  <c r="G542" i="2"/>
  <c r="F542" i="2"/>
  <c r="D542" i="2"/>
  <c r="D551" i="2" s="1"/>
  <c r="D554" i="2" s="1"/>
  <c r="C542" i="2"/>
  <c r="B542" i="2"/>
  <c r="Q538" i="2"/>
  <c r="P538" i="2"/>
  <c r="O538" i="2"/>
  <c r="N538" i="2"/>
  <c r="M538" i="2"/>
  <c r="L538" i="2"/>
  <c r="K538" i="2"/>
  <c r="J538" i="2"/>
  <c r="I538" i="2"/>
  <c r="H538" i="2"/>
  <c r="G538" i="2"/>
  <c r="F538" i="2"/>
  <c r="E538" i="2"/>
  <c r="R538" i="2" s="1"/>
  <c r="D538" i="2"/>
  <c r="C538" i="2"/>
  <c r="B538" i="2"/>
  <c r="P534" i="2"/>
  <c r="O534" i="2"/>
  <c r="N534" i="2"/>
  <c r="L534" i="2"/>
  <c r="K534" i="2"/>
  <c r="J534" i="2"/>
  <c r="J551" i="2" s="1"/>
  <c r="H534" i="2"/>
  <c r="G534" i="2"/>
  <c r="F534" i="2"/>
  <c r="D534" i="2"/>
  <c r="C534" i="2"/>
  <c r="C551" i="2" s="1"/>
  <c r="C554" i="2" s="1"/>
  <c r="C555" i="2" s="1"/>
  <c r="B534" i="2"/>
  <c r="B551" i="2" s="1"/>
  <c r="Q530" i="2"/>
  <c r="M530" i="2"/>
  <c r="I530" i="2"/>
  <c r="R530" i="2" s="1"/>
  <c r="E530" i="2"/>
  <c r="Q529" i="2"/>
  <c r="M529" i="2"/>
  <c r="I529" i="2"/>
  <c r="E529" i="2"/>
  <c r="P520" i="2"/>
  <c r="L520" i="2"/>
  <c r="K520" i="2"/>
  <c r="D520" i="2"/>
  <c r="P519" i="2"/>
  <c r="O519" i="2"/>
  <c r="O520" i="2" s="1"/>
  <c r="N519" i="2"/>
  <c r="Q519" i="2" s="1"/>
  <c r="L519" i="2"/>
  <c r="K519" i="2"/>
  <c r="J519" i="2"/>
  <c r="H519" i="2"/>
  <c r="H520" i="2" s="1"/>
  <c r="G519" i="2"/>
  <c r="G520" i="2" s="1"/>
  <c r="F519" i="2"/>
  <c r="F520" i="2" s="1"/>
  <c r="D519" i="2"/>
  <c r="C519" i="2"/>
  <c r="C520" i="2" s="1"/>
  <c r="B519" i="2"/>
  <c r="Q517" i="2"/>
  <c r="M517" i="2"/>
  <c r="I517" i="2"/>
  <c r="E517" i="2"/>
  <c r="R517" i="2" s="1"/>
  <c r="Q507" i="2"/>
  <c r="M507" i="2"/>
  <c r="I507" i="2"/>
  <c r="E507" i="2"/>
  <c r="K506" i="2"/>
  <c r="K509" i="2" s="1"/>
  <c r="B506" i="2"/>
  <c r="P505" i="2"/>
  <c r="O505" i="2"/>
  <c r="Q505" i="2" s="1"/>
  <c r="N505" i="2"/>
  <c r="M505" i="2"/>
  <c r="L505" i="2"/>
  <c r="K505" i="2"/>
  <c r="J505" i="2"/>
  <c r="H505" i="2"/>
  <c r="G505" i="2"/>
  <c r="F505" i="2"/>
  <c r="D505" i="2"/>
  <c r="E505" i="2" s="1"/>
  <c r="C505" i="2"/>
  <c r="B505" i="2"/>
  <c r="P504" i="2"/>
  <c r="O504" i="2"/>
  <c r="N504" i="2"/>
  <c r="Q504" i="2" s="1"/>
  <c r="L504" i="2"/>
  <c r="M504" i="2" s="1"/>
  <c r="K504" i="2"/>
  <c r="J504" i="2"/>
  <c r="H504" i="2"/>
  <c r="G504" i="2"/>
  <c r="F504" i="2"/>
  <c r="I504" i="2" s="1"/>
  <c r="D504" i="2"/>
  <c r="E504" i="2" s="1"/>
  <c r="C504" i="2"/>
  <c r="B504" i="2"/>
  <c r="Q502" i="2"/>
  <c r="M502" i="2"/>
  <c r="I502" i="2"/>
  <c r="E502" i="2"/>
  <c r="Q500" i="2"/>
  <c r="M500" i="2"/>
  <c r="I500" i="2"/>
  <c r="E500" i="2"/>
  <c r="R500" i="2" s="1"/>
  <c r="Q499" i="2"/>
  <c r="M499" i="2"/>
  <c r="I499" i="2"/>
  <c r="E499" i="2"/>
  <c r="Q498" i="2"/>
  <c r="M498" i="2"/>
  <c r="I498" i="2"/>
  <c r="E498" i="2"/>
  <c r="R498" i="2" s="1"/>
  <c r="Q497" i="2"/>
  <c r="M497" i="2"/>
  <c r="I497" i="2"/>
  <c r="E497" i="2"/>
  <c r="Q495" i="2"/>
  <c r="M495" i="2"/>
  <c r="I495" i="2"/>
  <c r="E495" i="2"/>
  <c r="R495" i="2" s="1"/>
  <c r="Q494" i="2"/>
  <c r="M494" i="2"/>
  <c r="I494" i="2"/>
  <c r="E494" i="2"/>
  <c r="Q493" i="2"/>
  <c r="R493" i="2" s="1"/>
  <c r="M493" i="2"/>
  <c r="I493" i="2"/>
  <c r="E493" i="2"/>
  <c r="P490" i="2"/>
  <c r="O490" i="2"/>
  <c r="N490" i="2"/>
  <c r="Q490" i="2" s="1"/>
  <c r="L490" i="2"/>
  <c r="K490" i="2"/>
  <c r="J490" i="2"/>
  <c r="M490" i="2" s="1"/>
  <c r="H490" i="2"/>
  <c r="G490" i="2"/>
  <c r="G506" i="2" s="1"/>
  <c r="G509" i="2" s="1"/>
  <c r="F490" i="2"/>
  <c r="D490" i="2"/>
  <c r="C490" i="2"/>
  <c r="B490" i="2"/>
  <c r="E490" i="2" s="1"/>
  <c r="P486" i="2"/>
  <c r="O486" i="2"/>
  <c r="O506" i="2" s="1"/>
  <c r="O509" i="2" s="1"/>
  <c r="N486" i="2"/>
  <c r="N506" i="2" s="1"/>
  <c r="L486" i="2"/>
  <c r="K486" i="2"/>
  <c r="J486" i="2"/>
  <c r="H486" i="2"/>
  <c r="G486" i="2"/>
  <c r="F486" i="2"/>
  <c r="D486" i="2"/>
  <c r="C486" i="2"/>
  <c r="C506" i="2" s="1"/>
  <c r="C509" i="2" s="1"/>
  <c r="B486" i="2"/>
  <c r="Q484" i="2"/>
  <c r="M484" i="2"/>
  <c r="I484" i="2"/>
  <c r="R484" i="2" s="1"/>
  <c r="E484" i="2"/>
  <c r="P481" i="2"/>
  <c r="O481" i="2"/>
  <c r="N481" i="2"/>
  <c r="M481" i="2"/>
  <c r="L481" i="2"/>
  <c r="L506" i="2" s="1"/>
  <c r="L509" i="2" s="1"/>
  <c r="L510" i="2" s="1"/>
  <c r="K481" i="2"/>
  <c r="J481" i="2"/>
  <c r="H481" i="2"/>
  <c r="G481" i="2"/>
  <c r="F481" i="2"/>
  <c r="D481" i="2"/>
  <c r="D506" i="2" s="1"/>
  <c r="D509" i="2" s="1"/>
  <c r="C481" i="2"/>
  <c r="B481" i="2"/>
  <c r="Q479" i="2"/>
  <c r="M479" i="2"/>
  <c r="I479" i="2"/>
  <c r="E479" i="2"/>
  <c r="R479" i="2" s="1"/>
  <c r="Q477" i="2"/>
  <c r="M477" i="2"/>
  <c r="I477" i="2"/>
  <c r="E477" i="2"/>
  <c r="R477" i="2" s="1"/>
  <c r="Q475" i="2"/>
  <c r="M475" i="2"/>
  <c r="I475" i="2"/>
  <c r="E475" i="2"/>
  <c r="Q474" i="2"/>
  <c r="M474" i="2"/>
  <c r="I474" i="2"/>
  <c r="E474" i="2"/>
  <c r="Q473" i="2"/>
  <c r="M473" i="2"/>
  <c r="I473" i="2"/>
  <c r="E473" i="2"/>
  <c r="R473" i="2" s="1"/>
  <c r="Q472" i="2"/>
  <c r="M472" i="2"/>
  <c r="I472" i="2"/>
  <c r="R472" i="2" s="1"/>
  <c r="E472" i="2"/>
  <c r="Q471" i="2"/>
  <c r="M471" i="2"/>
  <c r="I471" i="2"/>
  <c r="E471" i="2"/>
  <c r="Q459" i="2"/>
  <c r="M459" i="2"/>
  <c r="I459" i="2"/>
  <c r="E459" i="2"/>
  <c r="R459" i="2" s="1"/>
  <c r="O458" i="2"/>
  <c r="O461" i="2" s="1"/>
  <c r="D458" i="2"/>
  <c r="D461" i="2" s="1"/>
  <c r="D462" i="2" s="1"/>
  <c r="Q457" i="2"/>
  <c r="P457" i="2"/>
  <c r="O457" i="2"/>
  <c r="N457" i="2"/>
  <c r="M457" i="2"/>
  <c r="L457" i="2"/>
  <c r="K457" i="2"/>
  <c r="J457" i="2"/>
  <c r="I457" i="2"/>
  <c r="H457" i="2"/>
  <c r="G457" i="2"/>
  <c r="F457" i="2"/>
  <c r="E457" i="2"/>
  <c r="R457" i="2" s="1"/>
  <c r="D457" i="2"/>
  <c r="C457" i="2"/>
  <c r="B457" i="2"/>
  <c r="P456" i="2"/>
  <c r="O456" i="2"/>
  <c r="N456" i="2"/>
  <c r="Q456" i="2" s="1"/>
  <c r="L456" i="2"/>
  <c r="K456" i="2"/>
  <c r="J456" i="2"/>
  <c r="M456" i="2" s="1"/>
  <c r="H456" i="2"/>
  <c r="G456" i="2"/>
  <c r="F456" i="2"/>
  <c r="I456" i="2" s="1"/>
  <c r="D456" i="2"/>
  <c r="C456" i="2"/>
  <c r="B456" i="2"/>
  <c r="E456" i="2" s="1"/>
  <c r="Q455" i="2"/>
  <c r="M455" i="2"/>
  <c r="I455" i="2"/>
  <c r="E455" i="2"/>
  <c r="R455" i="2" s="1"/>
  <c r="Q454" i="2"/>
  <c r="M454" i="2"/>
  <c r="I454" i="2"/>
  <c r="E454" i="2"/>
  <c r="Q452" i="2"/>
  <c r="M452" i="2"/>
  <c r="I452" i="2"/>
  <c r="E452" i="2"/>
  <c r="R452" i="2" s="1"/>
  <c r="Q451" i="2"/>
  <c r="M451" i="2"/>
  <c r="I451" i="2"/>
  <c r="E451" i="2"/>
  <c r="Q450" i="2"/>
  <c r="M450" i="2"/>
  <c r="I450" i="2"/>
  <c r="E450" i="2"/>
  <c r="P445" i="2"/>
  <c r="O445" i="2"/>
  <c r="Q445" i="2" s="1"/>
  <c r="N445" i="2"/>
  <c r="L445" i="2"/>
  <c r="K445" i="2"/>
  <c r="J445" i="2"/>
  <c r="H445" i="2"/>
  <c r="G445" i="2"/>
  <c r="F445" i="2"/>
  <c r="D445" i="2"/>
  <c r="C445" i="2"/>
  <c r="E445" i="2" s="1"/>
  <c r="B445" i="2"/>
  <c r="P441" i="2"/>
  <c r="O441" i="2"/>
  <c r="N441" i="2"/>
  <c r="M441" i="2"/>
  <c r="L441" i="2"/>
  <c r="K441" i="2"/>
  <c r="J441" i="2"/>
  <c r="H441" i="2"/>
  <c r="G441" i="2"/>
  <c r="F441" i="2"/>
  <c r="I441" i="2" s="1"/>
  <c r="E441" i="2"/>
  <c r="D441" i="2"/>
  <c r="C441" i="2"/>
  <c r="B441" i="2"/>
  <c r="Q439" i="2"/>
  <c r="M439" i="2"/>
  <c r="I439" i="2"/>
  <c r="E439" i="2"/>
  <c r="Q438" i="2"/>
  <c r="M438" i="2"/>
  <c r="I438" i="2"/>
  <c r="E438" i="2"/>
  <c r="R438" i="2" s="1"/>
  <c r="Q435" i="2"/>
  <c r="P435" i="2"/>
  <c r="O435" i="2"/>
  <c r="N435" i="2"/>
  <c r="L435" i="2"/>
  <c r="L458" i="2" s="1"/>
  <c r="L461" i="2" s="1"/>
  <c r="K435" i="2"/>
  <c r="J435" i="2"/>
  <c r="H435" i="2"/>
  <c r="H458" i="2" s="1"/>
  <c r="H461" i="2" s="1"/>
  <c r="H462" i="2" s="1"/>
  <c r="G435" i="2"/>
  <c r="G458" i="2" s="1"/>
  <c r="G461" i="2" s="1"/>
  <c r="F435" i="2"/>
  <c r="D435" i="2"/>
  <c r="C435" i="2"/>
  <c r="B435" i="2"/>
  <c r="Q431" i="2"/>
  <c r="M431" i="2"/>
  <c r="R431" i="2" s="1"/>
  <c r="I431" i="2"/>
  <c r="E431" i="2"/>
  <c r="Q430" i="2"/>
  <c r="M430" i="2"/>
  <c r="I430" i="2"/>
  <c r="E430" i="2"/>
  <c r="Q418" i="2"/>
  <c r="M418" i="2"/>
  <c r="R418" i="2" s="1"/>
  <c r="I418" i="2"/>
  <c r="E418" i="2"/>
  <c r="G417" i="2"/>
  <c r="G420" i="2" s="1"/>
  <c r="C417" i="2"/>
  <c r="C420" i="2" s="1"/>
  <c r="C421" i="2" s="1"/>
  <c r="P416" i="2"/>
  <c r="O416" i="2"/>
  <c r="N416" i="2"/>
  <c r="Q416" i="2" s="1"/>
  <c r="L416" i="2"/>
  <c r="K416" i="2"/>
  <c r="J416" i="2"/>
  <c r="M416" i="2" s="1"/>
  <c r="H416" i="2"/>
  <c r="G416" i="2"/>
  <c r="F416" i="2"/>
  <c r="D416" i="2"/>
  <c r="C416" i="2"/>
  <c r="B416" i="2"/>
  <c r="P415" i="2"/>
  <c r="O415" i="2"/>
  <c r="Q415" i="2" s="1"/>
  <c r="N415" i="2"/>
  <c r="L415" i="2"/>
  <c r="K415" i="2"/>
  <c r="M415" i="2" s="1"/>
  <c r="J415" i="2"/>
  <c r="H415" i="2"/>
  <c r="G415" i="2"/>
  <c r="I415" i="2" s="1"/>
  <c r="F415" i="2"/>
  <c r="D415" i="2"/>
  <c r="C415" i="2"/>
  <c r="E415" i="2" s="1"/>
  <c r="B415" i="2"/>
  <c r="Q414" i="2"/>
  <c r="M414" i="2"/>
  <c r="I414" i="2"/>
  <c r="E414" i="2"/>
  <c r="R414" i="2" s="1"/>
  <c r="Q413" i="2"/>
  <c r="M413" i="2"/>
  <c r="I413" i="2"/>
  <c r="E413" i="2"/>
  <c r="R413" i="2" s="1"/>
  <c r="R409" i="2"/>
  <c r="Q409" i="2"/>
  <c r="M409" i="2"/>
  <c r="I409" i="2"/>
  <c r="E409" i="2"/>
  <c r="Q406" i="2"/>
  <c r="P406" i="2"/>
  <c r="O406" i="2"/>
  <c r="N406" i="2"/>
  <c r="M406" i="2"/>
  <c r="L406" i="2"/>
  <c r="K406" i="2"/>
  <c r="J406" i="2"/>
  <c r="I406" i="2"/>
  <c r="H406" i="2"/>
  <c r="G406" i="2"/>
  <c r="F406" i="2"/>
  <c r="E406" i="2"/>
  <c r="D406" i="2"/>
  <c r="C406" i="2"/>
  <c r="B406" i="2"/>
  <c r="P402" i="2"/>
  <c r="O402" i="2"/>
  <c r="N402" i="2"/>
  <c r="L402" i="2"/>
  <c r="K402" i="2"/>
  <c r="J402" i="2"/>
  <c r="M402" i="2" s="1"/>
  <c r="H402" i="2"/>
  <c r="G402" i="2"/>
  <c r="F402" i="2"/>
  <c r="I402" i="2" s="1"/>
  <c r="D402" i="2"/>
  <c r="C402" i="2"/>
  <c r="B402" i="2"/>
  <c r="E402" i="2" s="1"/>
  <c r="Q400" i="2"/>
  <c r="M400" i="2"/>
  <c r="I400" i="2"/>
  <c r="E400" i="2"/>
  <c r="P397" i="2"/>
  <c r="P417" i="2" s="1"/>
  <c r="P420" i="2" s="1"/>
  <c r="O397" i="2"/>
  <c r="O417" i="2" s="1"/>
  <c r="O420" i="2" s="1"/>
  <c r="N397" i="2"/>
  <c r="L397" i="2"/>
  <c r="K397" i="2"/>
  <c r="K417" i="2" s="1"/>
  <c r="K420" i="2" s="1"/>
  <c r="J397" i="2"/>
  <c r="H397" i="2"/>
  <c r="G397" i="2"/>
  <c r="F397" i="2"/>
  <c r="D397" i="2"/>
  <c r="D417" i="2" s="1"/>
  <c r="D420" i="2" s="1"/>
  <c r="C397" i="2"/>
  <c r="B397" i="2"/>
  <c r="Q394" i="2"/>
  <c r="M394" i="2"/>
  <c r="I394" i="2"/>
  <c r="E394" i="2"/>
  <c r="Q393" i="2"/>
  <c r="M393" i="2"/>
  <c r="I393" i="2"/>
  <c r="E393" i="2"/>
  <c r="R393" i="2" s="1"/>
  <c r="Q391" i="2"/>
  <c r="M391" i="2"/>
  <c r="I391" i="2"/>
  <c r="E391" i="2"/>
  <c r="Q390" i="2"/>
  <c r="M390" i="2"/>
  <c r="I390" i="2"/>
  <c r="E390" i="2"/>
  <c r="Q373" i="2"/>
  <c r="M373" i="2"/>
  <c r="I373" i="2"/>
  <c r="E373" i="2"/>
  <c r="Q372" i="2"/>
  <c r="M372" i="2"/>
  <c r="I372" i="2"/>
  <c r="E372" i="2"/>
  <c r="R372" i="2" s="1"/>
  <c r="Q371" i="2"/>
  <c r="M371" i="2"/>
  <c r="I371" i="2"/>
  <c r="E371" i="2"/>
  <c r="R371" i="2" s="1"/>
  <c r="C370" i="2"/>
  <c r="C375" i="2" s="1"/>
  <c r="P369" i="2"/>
  <c r="O369" i="2"/>
  <c r="N369" i="2"/>
  <c r="L369" i="2"/>
  <c r="K369" i="2"/>
  <c r="J369" i="2"/>
  <c r="M369" i="2" s="1"/>
  <c r="I369" i="2"/>
  <c r="H369" i="2"/>
  <c r="G369" i="2"/>
  <c r="F369" i="2"/>
  <c r="D369" i="2"/>
  <c r="C369" i="2"/>
  <c r="B369" i="2"/>
  <c r="Q368" i="2"/>
  <c r="P368" i="2"/>
  <c r="O368" i="2"/>
  <c r="N368" i="2"/>
  <c r="L368" i="2"/>
  <c r="K368" i="2"/>
  <c r="J368" i="2"/>
  <c r="M368" i="2" s="1"/>
  <c r="I368" i="2"/>
  <c r="H368" i="2"/>
  <c r="G368" i="2"/>
  <c r="F368" i="2"/>
  <c r="D368" i="2"/>
  <c r="C368" i="2"/>
  <c r="B368" i="2"/>
  <c r="E368" i="2" s="1"/>
  <c r="R367" i="2"/>
  <c r="Q367" i="2"/>
  <c r="M367" i="2"/>
  <c r="I367" i="2"/>
  <c r="E367" i="2"/>
  <c r="Q366" i="2"/>
  <c r="M366" i="2"/>
  <c r="I366" i="2"/>
  <c r="E366" i="2"/>
  <c r="Q365" i="2"/>
  <c r="M365" i="2"/>
  <c r="I365" i="2"/>
  <c r="E365" i="2"/>
  <c r="Q364" i="2"/>
  <c r="M364" i="2"/>
  <c r="R364" i="2" s="1"/>
  <c r="I364" i="2"/>
  <c r="E364" i="2"/>
  <c r="Q363" i="2"/>
  <c r="M363" i="2"/>
  <c r="I363" i="2"/>
  <c r="E363" i="2"/>
  <c r="R363" i="2" s="1"/>
  <c r="Q362" i="2"/>
  <c r="M362" i="2"/>
  <c r="I362" i="2"/>
  <c r="E362" i="2"/>
  <c r="R362" i="2" s="1"/>
  <c r="Q361" i="2"/>
  <c r="M361" i="2"/>
  <c r="I361" i="2"/>
  <c r="E361" i="2"/>
  <c r="R361" i="2" s="1"/>
  <c r="Q360" i="2"/>
  <c r="M360" i="2"/>
  <c r="I360" i="2"/>
  <c r="E360" i="2"/>
  <c r="Q359" i="2"/>
  <c r="R359" i="2" s="1"/>
  <c r="M359" i="2"/>
  <c r="I359" i="2"/>
  <c r="E359" i="2"/>
  <c r="R357" i="2"/>
  <c r="Q357" i="2"/>
  <c r="M357" i="2"/>
  <c r="I357" i="2"/>
  <c r="E357" i="2"/>
  <c r="Q356" i="2"/>
  <c r="M356" i="2"/>
  <c r="I356" i="2"/>
  <c r="E356" i="2"/>
  <c r="R355" i="2"/>
  <c r="Q355" i="2"/>
  <c r="M355" i="2"/>
  <c r="I355" i="2"/>
  <c r="E355" i="2"/>
  <c r="Q354" i="2"/>
  <c r="M354" i="2"/>
  <c r="I354" i="2"/>
  <c r="R354" i="2" s="1"/>
  <c r="E354" i="2"/>
  <c r="Q353" i="2"/>
  <c r="M353" i="2"/>
  <c r="I353" i="2"/>
  <c r="R353" i="2" s="1"/>
  <c r="E353" i="2"/>
  <c r="Q352" i="2"/>
  <c r="M352" i="2"/>
  <c r="I352" i="2"/>
  <c r="E352" i="2"/>
  <c r="Q351" i="2"/>
  <c r="M351" i="2"/>
  <c r="I351" i="2"/>
  <c r="E351" i="2"/>
  <c r="R349" i="2"/>
  <c r="Q349" i="2"/>
  <c r="M349" i="2"/>
  <c r="I349" i="2"/>
  <c r="E349" i="2"/>
  <c r="Q348" i="2"/>
  <c r="M348" i="2"/>
  <c r="I348" i="2"/>
  <c r="R348" i="2" s="1"/>
  <c r="E348" i="2"/>
  <c r="Q346" i="2"/>
  <c r="M346" i="2"/>
  <c r="I346" i="2"/>
  <c r="R346" i="2" s="1"/>
  <c r="E346" i="2"/>
  <c r="Q345" i="2"/>
  <c r="M345" i="2"/>
  <c r="R345" i="2" s="1"/>
  <c r="I345" i="2"/>
  <c r="E345" i="2"/>
  <c r="P342" i="2"/>
  <c r="O342" i="2"/>
  <c r="Q342" i="2" s="1"/>
  <c r="N342" i="2"/>
  <c r="M342" i="2"/>
  <c r="L342" i="2"/>
  <c r="K342" i="2"/>
  <c r="J342" i="2"/>
  <c r="H342" i="2"/>
  <c r="G342" i="2"/>
  <c r="I342" i="2" s="1"/>
  <c r="F342" i="2"/>
  <c r="E342" i="2"/>
  <c r="D342" i="2"/>
  <c r="C342" i="2"/>
  <c r="B342" i="2"/>
  <c r="Q341" i="2"/>
  <c r="M341" i="2"/>
  <c r="I341" i="2"/>
  <c r="E341" i="2"/>
  <c r="Q340" i="2"/>
  <c r="M340" i="2"/>
  <c r="I340" i="2"/>
  <c r="E340" i="2"/>
  <c r="Q339" i="2"/>
  <c r="R339" i="2" s="1"/>
  <c r="M339" i="2"/>
  <c r="I339" i="2"/>
  <c r="E339" i="2"/>
  <c r="Q338" i="2"/>
  <c r="M338" i="2"/>
  <c r="I338" i="2"/>
  <c r="E338" i="2"/>
  <c r="R338" i="2" s="1"/>
  <c r="Q337" i="2"/>
  <c r="M337" i="2"/>
  <c r="I337" i="2"/>
  <c r="E337" i="2"/>
  <c r="Q336" i="2"/>
  <c r="M336" i="2"/>
  <c r="I336" i="2"/>
  <c r="E336" i="2"/>
  <c r="Q335" i="2"/>
  <c r="M335" i="2"/>
  <c r="I335" i="2"/>
  <c r="E335" i="2"/>
  <c r="Q334" i="2"/>
  <c r="M334" i="2"/>
  <c r="I334" i="2"/>
  <c r="E334" i="2"/>
  <c r="R334" i="2" s="1"/>
  <c r="Q333" i="2"/>
  <c r="M333" i="2"/>
  <c r="I333" i="2"/>
  <c r="E333" i="2"/>
  <c r="R333" i="2" s="1"/>
  <c r="Q332" i="2"/>
  <c r="M332" i="2"/>
  <c r="I332" i="2"/>
  <c r="R332" i="2" s="1"/>
  <c r="E332" i="2"/>
  <c r="R331" i="2"/>
  <c r="Q331" i="2"/>
  <c r="M331" i="2"/>
  <c r="I331" i="2"/>
  <c r="E331" i="2"/>
  <c r="Q330" i="2"/>
  <c r="M330" i="2"/>
  <c r="I330" i="2"/>
  <c r="E330" i="2"/>
  <c r="R330" i="2" s="1"/>
  <c r="Q329" i="2"/>
  <c r="M329" i="2"/>
  <c r="I329" i="2"/>
  <c r="E329" i="2"/>
  <c r="R329" i="2" s="1"/>
  <c r="Q328" i="2"/>
  <c r="M328" i="2"/>
  <c r="I328" i="2"/>
  <c r="E328" i="2"/>
  <c r="Q327" i="2"/>
  <c r="M327" i="2"/>
  <c r="I327" i="2"/>
  <c r="E327" i="2"/>
  <c r="R327" i="2" s="1"/>
  <c r="Q325" i="2"/>
  <c r="R325" i="2" s="1"/>
  <c r="M325" i="2"/>
  <c r="I325" i="2"/>
  <c r="E325" i="2"/>
  <c r="Q324" i="2"/>
  <c r="M324" i="2"/>
  <c r="I324" i="2"/>
  <c r="E324" i="2"/>
  <c r="R324" i="2" s="1"/>
  <c r="P321" i="2"/>
  <c r="O321" i="2"/>
  <c r="O370" i="2" s="1"/>
  <c r="O375" i="2" s="1"/>
  <c r="N321" i="2"/>
  <c r="L321" i="2"/>
  <c r="K321" i="2"/>
  <c r="K370" i="2" s="1"/>
  <c r="K375" i="2" s="1"/>
  <c r="J321" i="2"/>
  <c r="M321" i="2" s="1"/>
  <c r="H321" i="2"/>
  <c r="G321" i="2"/>
  <c r="G370" i="2" s="1"/>
  <c r="G375" i="2" s="1"/>
  <c r="G376" i="2" s="1"/>
  <c r="F321" i="2"/>
  <c r="I321" i="2" s="1"/>
  <c r="E321" i="2"/>
  <c r="D321" i="2"/>
  <c r="C321" i="2"/>
  <c r="B321" i="2"/>
  <c r="B370" i="2" s="1"/>
  <c r="Q320" i="2"/>
  <c r="M320" i="2"/>
  <c r="I320" i="2"/>
  <c r="E320" i="2"/>
  <c r="Q317" i="2"/>
  <c r="M317" i="2"/>
  <c r="I317" i="2"/>
  <c r="E317" i="2"/>
  <c r="R317" i="2" s="1"/>
  <c r="Q316" i="2"/>
  <c r="M316" i="2"/>
  <c r="I316" i="2"/>
  <c r="E316" i="2"/>
  <c r="R315" i="2"/>
  <c r="Q315" i="2"/>
  <c r="M315" i="2"/>
  <c r="I315" i="2"/>
  <c r="E315" i="2"/>
  <c r="R314" i="2"/>
  <c r="Q314" i="2"/>
  <c r="M314" i="2"/>
  <c r="I314" i="2"/>
  <c r="E314" i="2"/>
  <c r="Q313" i="2"/>
  <c r="M313" i="2"/>
  <c r="I313" i="2"/>
  <c r="R313" i="2" s="1"/>
  <c r="E313" i="2"/>
  <c r="Q312" i="2"/>
  <c r="M312" i="2"/>
  <c r="I312" i="2"/>
  <c r="E312" i="2"/>
  <c r="Q311" i="2"/>
  <c r="M311" i="2"/>
  <c r="I311" i="2"/>
  <c r="E311" i="2"/>
  <c r="Q310" i="2"/>
  <c r="M310" i="2"/>
  <c r="I310" i="2"/>
  <c r="E310" i="2"/>
  <c r="Q306" i="2"/>
  <c r="P306" i="2"/>
  <c r="P370" i="2" s="1"/>
  <c r="P375" i="2" s="1"/>
  <c r="O306" i="2"/>
  <c r="N306" i="2"/>
  <c r="N370" i="2" s="1"/>
  <c r="M306" i="2"/>
  <c r="L306" i="2"/>
  <c r="L370" i="2" s="1"/>
  <c r="L375" i="2" s="1"/>
  <c r="L376" i="2" s="1"/>
  <c r="K306" i="2"/>
  <c r="J306" i="2"/>
  <c r="I306" i="2"/>
  <c r="H306" i="2"/>
  <c r="H370" i="2" s="1"/>
  <c r="H375" i="2" s="1"/>
  <c r="G306" i="2"/>
  <c r="F306" i="2"/>
  <c r="F370" i="2" s="1"/>
  <c r="E306" i="2"/>
  <c r="R306" i="2" s="1"/>
  <c r="D306" i="2"/>
  <c r="D370" i="2" s="1"/>
  <c r="D375" i="2" s="1"/>
  <c r="C306" i="2"/>
  <c r="B306" i="2"/>
  <c r="Q304" i="2"/>
  <c r="M304" i="2"/>
  <c r="I304" i="2"/>
  <c r="E304" i="2"/>
  <c r="R304" i="2" s="1"/>
  <c r="Q303" i="2"/>
  <c r="M303" i="2"/>
  <c r="I303" i="2"/>
  <c r="E303" i="2"/>
  <c r="R303" i="2" s="1"/>
  <c r="Q302" i="2"/>
  <c r="M302" i="2"/>
  <c r="I302" i="2"/>
  <c r="E302" i="2"/>
  <c r="R302" i="2" s="1"/>
  <c r="R300" i="2"/>
  <c r="Q300" i="2"/>
  <c r="M300" i="2"/>
  <c r="I300" i="2"/>
  <c r="E300" i="2"/>
  <c r="Q299" i="2"/>
  <c r="M299" i="2"/>
  <c r="I299" i="2"/>
  <c r="E299" i="2"/>
  <c r="Q298" i="2"/>
  <c r="M298" i="2"/>
  <c r="R298" i="2" s="1"/>
  <c r="I298" i="2"/>
  <c r="E298" i="2"/>
  <c r="R297" i="2"/>
  <c r="Q297" i="2"/>
  <c r="M297" i="2"/>
  <c r="I297" i="2"/>
  <c r="E297" i="2"/>
  <c r="Q296" i="2"/>
  <c r="M296" i="2"/>
  <c r="I296" i="2"/>
  <c r="R296" i="2" s="1"/>
  <c r="E296" i="2"/>
  <c r="Q295" i="2"/>
  <c r="M295" i="2"/>
  <c r="I295" i="2"/>
  <c r="R295" i="2" s="1"/>
  <c r="E295" i="2"/>
  <c r="Q294" i="2"/>
  <c r="M294" i="2"/>
  <c r="I294" i="2"/>
  <c r="E294" i="2"/>
  <c r="Q293" i="2"/>
  <c r="M293" i="2"/>
  <c r="I293" i="2"/>
  <c r="E293" i="2"/>
  <c r="Q292" i="2"/>
  <c r="M292" i="2"/>
  <c r="R292" i="2" s="1"/>
  <c r="I292" i="2"/>
  <c r="E292" i="2"/>
  <c r="Q291" i="2"/>
  <c r="M291" i="2"/>
  <c r="I291" i="2"/>
  <c r="R291" i="2" s="1"/>
  <c r="E291" i="2"/>
  <c r="R290" i="2"/>
  <c r="Q290" i="2"/>
  <c r="M290" i="2"/>
  <c r="I290" i="2"/>
  <c r="E290" i="2"/>
  <c r="Q289" i="2"/>
  <c r="M289" i="2"/>
  <c r="I289" i="2"/>
  <c r="E289" i="2"/>
  <c r="Q288" i="2"/>
  <c r="M288" i="2"/>
  <c r="I288" i="2"/>
  <c r="E288" i="2"/>
  <c r="Q287" i="2"/>
  <c r="R287" i="2" s="1"/>
  <c r="M287" i="2"/>
  <c r="I287" i="2"/>
  <c r="E287" i="2"/>
  <c r="Q286" i="2"/>
  <c r="M286" i="2"/>
  <c r="I286" i="2"/>
  <c r="E286" i="2"/>
  <c r="Q285" i="2"/>
  <c r="M285" i="2"/>
  <c r="I285" i="2"/>
  <c r="E285" i="2"/>
  <c r="Q283" i="2"/>
  <c r="M283" i="2"/>
  <c r="I283" i="2"/>
  <c r="E283" i="2"/>
  <c r="R283" i="2" s="1"/>
  <c r="Q282" i="2"/>
  <c r="M282" i="2"/>
  <c r="I282" i="2"/>
  <c r="E282" i="2"/>
  <c r="R281" i="2"/>
  <c r="Q281" i="2"/>
  <c r="M281" i="2"/>
  <c r="I281" i="2"/>
  <c r="E281" i="2"/>
  <c r="R280" i="2"/>
  <c r="Q280" i="2"/>
  <c r="M280" i="2"/>
  <c r="I280" i="2"/>
  <c r="E280" i="2"/>
  <c r="Q279" i="2"/>
  <c r="M279" i="2"/>
  <c r="I279" i="2"/>
  <c r="R279" i="2" s="1"/>
  <c r="E279" i="2"/>
  <c r="Q278" i="2"/>
  <c r="M278" i="2"/>
  <c r="I278" i="2"/>
  <c r="E278" i="2"/>
  <c r="Q277" i="2"/>
  <c r="M277" i="2"/>
  <c r="I277" i="2"/>
  <c r="E277" i="2"/>
  <c r="Q276" i="2"/>
  <c r="M276" i="2"/>
  <c r="I276" i="2"/>
  <c r="E276" i="2"/>
  <c r="Q275" i="2"/>
  <c r="M275" i="2"/>
  <c r="I275" i="2"/>
  <c r="E275" i="2"/>
  <c r="Q274" i="2"/>
  <c r="M274" i="2"/>
  <c r="I274" i="2"/>
  <c r="E274" i="2"/>
  <c r="R274" i="2" s="1"/>
  <c r="Q273" i="2"/>
  <c r="M273" i="2"/>
  <c r="I273" i="2"/>
  <c r="E273" i="2"/>
  <c r="R273" i="2" s="1"/>
  <c r="N266" i="2"/>
  <c r="N792" i="2" s="1"/>
  <c r="J266" i="2"/>
  <c r="N789" i="2" s="1"/>
  <c r="G266" i="2"/>
  <c r="N787" i="2" s="1"/>
  <c r="B266" i="2"/>
  <c r="N783" i="2" s="1"/>
  <c r="Q265" i="2"/>
  <c r="P265" i="2"/>
  <c r="P266" i="2" s="1"/>
  <c r="N794" i="2" s="1"/>
  <c r="O265" i="2"/>
  <c r="O266" i="2" s="1"/>
  <c r="N793" i="2" s="1"/>
  <c r="N265" i="2"/>
  <c r="L265" i="2"/>
  <c r="L266" i="2" s="1"/>
  <c r="N791" i="2" s="1"/>
  <c r="K265" i="2"/>
  <c r="J265" i="2"/>
  <c r="I265" i="2"/>
  <c r="H265" i="2"/>
  <c r="H266" i="2" s="1"/>
  <c r="N788" i="2" s="1"/>
  <c r="G265" i="2"/>
  <c r="F265" i="2"/>
  <c r="F266" i="2" s="1"/>
  <c r="N786" i="2" s="1"/>
  <c r="D265" i="2"/>
  <c r="D266" i="2" s="1"/>
  <c r="N785" i="2" s="1"/>
  <c r="C265" i="2"/>
  <c r="C266" i="2" s="1"/>
  <c r="N784" i="2" s="1"/>
  <c r="B265" i="2"/>
  <c r="Q263" i="2"/>
  <c r="M263" i="2"/>
  <c r="R263" i="2" s="1"/>
  <c r="R265" i="2" s="1"/>
  <c r="I263" i="2"/>
  <c r="E263" i="2"/>
  <c r="P255" i="2"/>
  <c r="G254" i="2"/>
  <c r="D254" i="2"/>
  <c r="Q252" i="2"/>
  <c r="M252" i="2"/>
  <c r="I252" i="2"/>
  <c r="E252" i="2"/>
  <c r="R252" i="2" s="1"/>
  <c r="Q251" i="2"/>
  <c r="R251" i="2" s="1"/>
  <c r="M251" i="2"/>
  <c r="I251" i="2"/>
  <c r="E251" i="2"/>
  <c r="Q250" i="2"/>
  <c r="M250" i="2"/>
  <c r="I250" i="2"/>
  <c r="E250" i="2"/>
  <c r="R250" i="2" s="1"/>
  <c r="Q249" i="2"/>
  <c r="M249" i="2"/>
  <c r="I249" i="2"/>
  <c r="E249" i="2"/>
  <c r="R249" i="2" s="1"/>
  <c r="Q248" i="2"/>
  <c r="M248" i="2"/>
  <c r="I248" i="2"/>
  <c r="E248" i="2"/>
  <c r="Q247" i="2"/>
  <c r="M247" i="2"/>
  <c r="I247" i="2"/>
  <c r="E247" i="2"/>
  <c r="N246" i="2"/>
  <c r="N254" i="2" s="1"/>
  <c r="B246" i="2"/>
  <c r="B254" i="2" s="1"/>
  <c r="P245" i="2"/>
  <c r="O245" i="2"/>
  <c r="N245" i="2"/>
  <c r="L245" i="2"/>
  <c r="K245" i="2"/>
  <c r="J245" i="2"/>
  <c r="H245" i="2"/>
  <c r="G245" i="2"/>
  <c r="F245" i="2"/>
  <c r="I245" i="2" s="1"/>
  <c r="D245" i="2"/>
  <c r="C245" i="2"/>
  <c r="B245" i="2"/>
  <c r="P244" i="2"/>
  <c r="O244" i="2"/>
  <c r="N244" i="2"/>
  <c r="L244" i="2"/>
  <c r="K244" i="2"/>
  <c r="M244" i="2" s="1"/>
  <c r="J244" i="2"/>
  <c r="H244" i="2"/>
  <c r="G244" i="2"/>
  <c r="I244" i="2" s="1"/>
  <c r="F244" i="2"/>
  <c r="E244" i="2"/>
  <c r="D244" i="2"/>
  <c r="C244" i="2"/>
  <c r="B244" i="2"/>
  <c r="Q242" i="2"/>
  <c r="M242" i="2"/>
  <c r="I242" i="2"/>
  <c r="E242" i="2"/>
  <c r="R242" i="2" s="1"/>
  <c r="R241" i="2"/>
  <c r="Q241" i="2"/>
  <c r="M241" i="2"/>
  <c r="I241" i="2"/>
  <c r="E241" i="2"/>
  <c r="Q240" i="2"/>
  <c r="M240" i="2"/>
  <c r="I240" i="2"/>
  <c r="R240" i="2" s="1"/>
  <c r="E240" i="2"/>
  <c r="Q238" i="2"/>
  <c r="M238" i="2"/>
  <c r="I238" i="2"/>
  <c r="E238" i="2"/>
  <c r="Q237" i="2"/>
  <c r="M237" i="2"/>
  <c r="R237" i="2" s="1"/>
  <c r="I237" i="2"/>
  <c r="E237" i="2"/>
  <c r="Q236" i="2"/>
  <c r="M236" i="2"/>
  <c r="I236" i="2"/>
  <c r="E236" i="2"/>
  <c r="R236" i="2" s="1"/>
  <c r="R235" i="2"/>
  <c r="Q235" i="2"/>
  <c r="M235" i="2"/>
  <c r="I235" i="2"/>
  <c r="E235" i="2"/>
  <c r="Q234" i="2"/>
  <c r="M234" i="2"/>
  <c r="I234" i="2"/>
  <c r="E234" i="2"/>
  <c r="R234" i="2" s="1"/>
  <c r="Q233" i="2"/>
  <c r="M233" i="2"/>
  <c r="I233" i="2"/>
  <c r="E233" i="2"/>
  <c r="Q232" i="2"/>
  <c r="R232" i="2" s="1"/>
  <c r="M232" i="2"/>
  <c r="I232" i="2"/>
  <c r="E232" i="2"/>
  <c r="Q231" i="2"/>
  <c r="M231" i="2"/>
  <c r="I231" i="2"/>
  <c r="E231" i="2"/>
  <c r="R231" i="2" s="1"/>
  <c r="Q229" i="2"/>
  <c r="M229" i="2"/>
  <c r="I229" i="2"/>
  <c r="E229" i="2"/>
  <c r="R228" i="2"/>
  <c r="Q228" i="2"/>
  <c r="M228" i="2"/>
  <c r="I228" i="2"/>
  <c r="E228" i="2"/>
  <c r="R227" i="2"/>
  <c r="Q227" i="2"/>
  <c r="M227" i="2"/>
  <c r="I227" i="2"/>
  <c r="E227" i="2"/>
  <c r="Q226" i="2"/>
  <c r="M226" i="2"/>
  <c r="I226" i="2"/>
  <c r="R226" i="2" s="1"/>
  <c r="E226" i="2"/>
  <c r="Q225" i="2"/>
  <c r="M225" i="2"/>
  <c r="I225" i="2"/>
  <c r="E225" i="2"/>
  <c r="Q224" i="2"/>
  <c r="M224" i="2"/>
  <c r="I224" i="2"/>
  <c r="E224" i="2"/>
  <c r="P221" i="2"/>
  <c r="O221" i="2"/>
  <c r="N221" i="2"/>
  <c r="Q221" i="2" s="1"/>
  <c r="L221" i="2"/>
  <c r="K221" i="2"/>
  <c r="J221" i="2"/>
  <c r="M221" i="2" s="1"/>
  <c r="H221" i="2"/>
  <c r="G221" i="2"/>
  <c r="F221" i="2"/>
  <c r="I221" i="2" s="1"/>
  <c r="D221" i="2"/>
  <c r="C221" i="2"/>
  <c r="B221" i="2"/>
  <c r="E221" i="2" s="1"/>
  <c r="Q220" i="2"/>
  <c r="M220" i="2"/>
  <c r="I220" i="2"/>
  <c r="E220" i="2"/>
  <c r="R220" i="2" s="1"/>
  <c r="Q219" i="2"/>
  <c r="M219" i="2"/>
  <c r="I219" i="2"/>
  <c r="E219" i="2"/>
  <c r="Q218" i="2"/>
  <c r="M218" i="2"/>
  <c r="I218" i="2"/>
  <c r="E218" i="2"/>
  <c r="R218" i="2" s="1"/>
  <c r="R217" i="2"/>
  <c r="Q217" i="2"/>
  <c r="M217" i="2"/>
  <c r="I217" i="2"/>
  <c r="E217" i="2"/>
  <c r="Q216" i="2"/>
  <c r="M216" i="2"/>
  <c r="I216" i="2"/>
  <c r="R216" i="2" s="1"/>
  <c r="E216" i="2"/>
  <c r="Q215" i="2"/>
  <c r="M215" i="2"/>
  <c r="I215" i="2"/>
  <c r="E215" i="2"/>
  <c r="Q214" i="2"/>
  <c r="M214" i="2"/>
  <c r="R214" i="2" s="1"/>
  <c r="I214" i="2"/>
  <c r="E214" i="2"/>
  <c r="Q213" i="2"/>
  <c r="M213" i="2"/>
  <c r="I213" i="2"/>
  <c r="E213" i="2"/>
  <c r="R213" i="2" s="1"/>
  <c r="R212" i="2"/>
  <c r="Q212" i="2"/>
  <c r="M212" i="2"/>
  <c r="I212" i="2"/>
  <c r="E212" i="2"/>
  <c r="Q211" i="2"/>
  <c r="M211" i="2"/>
  <c r="I211" i="2"/>
  <c r="E211" i="2"/>
  <c r="R211" i="2" s="1"/>
  <c r="Q210" i="2"/>
  <c r="M210" i="2"/>
  <c r="I210" i="2"/>
  <c r="E210" i="2"/>
  <c r="Q209" i="2"/>
  <c r="R209" i="2" s="1"/>
  <c r="M209" i="2"/>
  <c r="I209" i="2"/>
  <c r="E209" i="2"/>
  <c r="Q208" i="2"/>
  <c r="M208" i="2"/>
  <c r="I208" i="2"/>
  <c r="E208" i="2"/>
  <c r="R208" i="2" s="1"/>
  <c r="Q207" i="2"/>
  <c r="M207" i="2"/>
  <c r="I207" i="2"/>
  <c r="E207" i="2"/>
  <c r="R206" i="2"/>
  <c r="Q206" i="2"/>
  <c r="M206" i="2"/>
  <c r="I206" i="2"/>
  <c r="E206" i="2"/>
  <c r="R205" i="2"/>
  <c r="Q205" i="2"/>
  <c r="M205" i="2"/>
  <c r="I205" i="2"/>
  <c r="E205" i="2"/>
  <c r="Q204" i="2"/>
  <c r="M204" i="2"/>
  <c r="I204" i="2"/>
  <c r="R204" i="2" s="1"/>
  <c r="E204" i="2"/>
  <c r="Q203" i="2"/>
  <c r="M203" i="2"/>
  <c r="I203" i="2"/>
  <c r="E203" i="2"/>
  <c r="Q202" i="2"/>
  <c r="M202" i="2"/>
  <c r="I202" i="2"/>
  <c r="E202" i="2"/>
  <c r="Q201" i="2"/>
  <c r="M201" i="2"/>
  <c r="I201" i="2"/>
  <c r="E201" i="2"/>
  <c r="R201" i="2" s="1"/>
  <c r="Q200" i="2"/>
  <c r="M200" i="2"/>
  <c r="I200" i="2"/>
  <c r="E200" i="2"/>
  <c r="R200" i="2" s="1"/>
  <c r="Q199" i="2"/>
  <c r="M199" i="2"/>
  <c r="I199" i="2"/>
  <c r="E199" i="2"/>
  <c r="R198" i="2"/>
  <c r="Q198" i="2"/>
  <c r="M198" i="2"/>
  <c r="I198" i="2"/>
  <c r="E198" i="2"/>
  <c r="Q197" i="2"/>
  <c r="M197" i="2"/>
  <c r="I197" i="2"/>
  <c r="R197" i="2" s="1"/>
  <c r="E197" i="2"/>
  <c r="Q196" i="2"/>
  <c r="M196" i="2"/>
  <c r="I196" i="2"/>
  <c r="E196" i="2"/>
  <c r="R196" i="2" s="1"/>
  <c r="Q195" i="2"/>
  <c r="M195" i="2"/>
  <c r="I195" i="2"/>
  <c r="E195" i="2"/>
  <c r="Q194" i="2"/>
  <c r="M194" i="2"/>
  <c r="I194" i="2"/>
  <c r="E194" i="2"/>
  <c r="R194" i="2" s="1"/>
  <c r="Q193" i="2"/>
  <c r="M193" i="2"/>
  <c r="I193" i="2"/>
  <c r="E193" i="2"/>
  <c r="R193" i="2" s="1"/>
  <c r="Q192" i="2"/>
  <c r="M192" i="2"/>
  <c r="I192" i="2"/>
  <c r="E192" i="2"/>
  <c r="R192" i="2" s="1"/>
  <c r="Q191" i="2"/>
  <c r="M191" i="2"/>
  <c r="I191" i="2"/>
  <c r="E191" i="2"/>
  <c r="Q190" i="2"/>
  <c r="M190" i="2"/>
  <c r="R190" i="2" s="1"/>
  <c r="I190" i="2"/>
  <c r="E190" i="2"/>
  <c r="Q189" i="2"/>
  <c r="M189" i="2"/>
  <c r="I189" i="2"/>
  <c r="E189" i="2"/>
  <c r="R189" i="2" s="1"/>
  <c r="Q188" i="2"/>
  <c r="M188" i="2"/>
  <c r="I188" i="2"/>
  <c r="E188" i="2"/>
  <c r="R188" i="2" s="1"/>
  <c r="Q187" i="2"/>
  <c r="M187" i="2"/>
  <c r="I187" i="2"/>
  <c r="E187" i="2"/>
  <c r="Q183" i="2"/>
  <c r="P183" i="2"/>
  <c r="O183" i="2"/>
  <c r="N183" i="2"/>
  <c r="L183" i="2"/>
  <c r="K183" i="2"/>
  <c r="J183" i="2"/>
  <c r="J246" i="2" s="1"/>
  <c r="I183" i="2"/>
  <c r="H183" i="2"/>
  <c r="G183" i="2"/>
  <c r="F183" i="2"/>
  <c r="F246" i="2" s="1"/>
  <c r="D183" i="2"/>
  <c r="C183" i="2"/>
  <c r="B183" i="2"/>
  <c r="E183" i="2" s="1"/>
  <c r="R181" i="2"/>
  <c r="Q181" i="2"/>
  <c r="M181" i="2"/>
  <c r="I181" i="2"/>
  <c r="E181" i="2"/>
  <c r="Q180" i="2"/>
  <c r="M180" i="2"/>
  <c r="I180" i="2"/>
  <c r="R180" i="2" s="1"/>
  <c r="E180" i="2"/>
  <c r="Q176" i="2"/>
  <c r="P176" i="2"/>
  <c r="P246" i="2" s="1"/>
  <c r="P254" i="2" s="1"/>
  <c r="O176" i="2"/>
  <c r="N176" i="2"/>
  <c r="L176" i="2"/>
  <c r="L246" i="2" s="1"/>
  <c r="L254" i="2" s="1"/>
  <c r="K176" i="2"/>
  <c r="K246" i="2" s="1"/>
  <c r="K254" i="2" s="1"/>
  <c r="J176" i="2"/>
  <c r="I176" i="2"/>
  <c r="H176" i="2"/>
  <c r="H246" i="2" s="1"/>
  <c r="H254" i="2" s="1"/>
  <c r="G176" i="2"/>
  <c r="G246" i="2" s="1"/>
  <c r="F176" i="2"/>
  <c r="D176" i="2"/>
  <c r="D246" i="2" s="1"/>
  <c r="C176" i="2"/>
  <c r="E176" i="2" s="1"/>
  <c r="B176" i="2"/>
  <c r="Q174" i="2"/>
  <c r="M174" i="2"/>
  <c r="I174" i="2"/>
  <c r="E174" i="2"/>
  <c r="R174" i="2" s="1"/>
  <c r="Q173" i="2"/>
  <c r="M173" i="2"/>
  <c r="I173" i="2"/>
  <c r="E173" i="2"/>
  <c r="R173" i="2" s="1"/>
  <c r="Q172" i="2"/>
  <c r="M172" i="2"/>
  <c r="I172" i="2"/>
  <c r="E172" i="2"/>
  <c r="R172" i="2" s="1"/>
  <c r="Q170" i="2"/>
  <c r="M170" i="2"/>
  <c r="I170" i="2"/>
  <c r="E170" i="2"/>
  <c r="Q169" i="2"/>
  <c r="M169" i="2"/>
  <c r="R169" i="2" s="1"/>
  <c r="I169" i="2"/>
  <c r="E169" i="2"/>
  <c r="Q168" i="2"/>
  <c r="M168" i="2"/>
  <c r="I168" i="2"/>
  <c r="E168" i="2"/>
  <c r="R168" i="2" s="1"/>
  <c r="Q167" i="2"/>
  <c r="M167" i="2"/>
  <c r="I167" i="2"/>
  <c r="E167" i="2"/>
  <c r="R167" i="2" s="1"/>
  <c r="Q166" i="2"/>
  <c r="M166" i="2"/>
  <c r="I166" i="2"/>
  <c r="E166" i="2"/>
  <c r="R165" i="2"/>
  <c r="Q165" i="2"/>
  <c r="M165" i="2"/>
  <c r="I165" i="2"/>
  <c r="E165" i="2"/>
  <c r="Q164" i="2"/>
  <c r="M164" i="2"/>
  <c r="I164" i="2"/>
  <c r="R164" i="2" s="1"/>
  <c r="E164" i="2"/>
  <c r="Q163" i="2"/>
  <c r="M163" i="2"/>
  <c r="I163" i="2"/>
  <c r="E163" i="2"/>
  <c r="R163" i="2" s="1"/>
  <c r="Q162" i="2"/>
  <c r="M162" i="2"/>
  <c r="I162" i="2"/>
  <c r="E162" i="2"/>
  <c r="R161" i="2"/>
  <c r="Q161" i="2"/>
  <c r="M161" i="2"/>
  <c r="I161" i="2"/>
  <c r="E161" i="2"/>
  <c r="R160" i="2"/>
  <c r="Q160" i="2"/>
  <c r="M160" i="2"/>
  <c r="I160" i="2"/>
  <c r="E160" i="2"/>
  <c r="Q158" i="2"/>
  <c r="M158" i="2"/>
  <c r="I158" i="2"/>
  <c r="R158" i="2" s="1"/>
  <c r="E158" i="2"/>
  <c r="Q157" i="2"/>
  <c r="M157" i="2"/>
  <c r="I157" i="2"/>
  <c r="E157" i="2"/>
  <c r="Q156" i="2"/>
  <c r="M156" i="2"/>
  <c r="I156" i="2"/>
  <c r="E156" i="2"/>
  <c r="R156" i="2" s="1"/>
  <c r="Q155" i="2"/>
  <c r="M155" i="2"/>
  <c r="I155" i="2"/>
  <c r="R155" i="2" s="1"/>
  <c r="E155" i="2"/>
  <c r="R154" i="2"/>
  <c r="Q154" i="2"/>
  <c r="M154" i="2"/>
  <c r="I154" i="2"/>
  <c r="E154" i="2"/>
  <c r="Q153" i="2"/>
  <c r="M153" i="2"/>
  <c r="I153" i="2"/>
  <c r="E153" i="2"/>
  <c r="Q152" i="2"/>
  <c r="M152" i="2"/>
  <c r="I152" i="2"/>
  <c r="E152" i="2"/>
  <c r="R152" i="2" s="1"/>
  <c r="Q151" i="2"/>
  <c r="M151" i="2"/>
  <c r="I151" i="2"/>
  <c r="E151" i="2"/>
  <c r="R151" i="2" s="1"/>
  <c r="Q150" i="2"/>
  <c r="M150" i="2"/>
  <c r="I150" i="2"/>
  <c r="R150" i="2" s="1"/>
  <c r="E150" i="2"/>
  <c r="Q149" i="2"/>
  <c r="M149" i="2"/>
  <c r="I149" i="2"/>
  <c r="E149" i="2"/>
  <c r="Q148" i="2"/>
  <c r="M148" i="2"/>
  <c r="I148" i="2"/>
  <c r="E148" i="2"/>
  <c r="R148" i="2" s="1"/>
  <c r="Q147" i="2"/>
  <c r="M147" i="2"/>
  <c r="I147" i="2"/>
  <c r="E147" i="2"/>
  <c r="R147" i="2" s="1"/>
  <c r="Q146" i="2"/>
  <c r="M146" i="2"/>
  <c r="I146" i="2"/>
  <c r="E146" i="2"/>
  <c r="R146" i="2" s="1"/>
  <c r="Q145" i="2"/>
  <c r="M145" i="2"/>
  <c r="I145" i="2"/>
  <c r="E145" i="2"/>
  <c r="R145" i="2" s="1"/>
  <c r="Q144" i="2"/>
  <c r="M144" i="2"/>
  <c r="I144" i="2"/>
  <c r="E144" i="2"/>
  <c r="R144" i="2" s="1"/>
  <c r="Q143" i="2"/>
  <c r="M143" i="2"/>
  <c r="I143" i="2"/>
  <c r="E143" i="2"/>
  <c r="R143" i="2" s="1"/>
  <c r="Q142" i="2"/>
  <c r="M142" i="2"/>
  <c r="I142" i="2"/>
  <c r="E142" i="2"/>
  <c r="R142" i="2" s="1"/>
  <c r="Q141" i="2"/>
  <c r="M141" i="2"/>
  <c r="I141" i="2"/>
  <c r="E141" i="2"/>
  <c r="Q129" i="2"/>
  <c r="M129" i="2"/>
  <c r="I129" i="2"/>
  <c r="E129" i="2"/>
  <c r="R129" i="2" s="1"/>
  <c r="P127" i="2"/>
  <c r="O127" i="2"/>
  <c r="N127" i="2"/>
  <c r="Q127" i="2" s="1"/>
  <c r="L127" i="2"/>
  <c r="K127" i="2"/>
  <c r="J127" i="2"/>
  <c r="M127" i="2" s="1"/>
  <c r="H127" i="2"/>
  <c r="G127" i="2"/>
  <c r="F127" i="2"/>
  <c r="I127" i="2" s="1"/>
  <c r="D127" i="2"/>
  <c r="C127" i="2"/>
  <c r="B127" i="2"/>
  <c r="E127" i="2" s="1"/>
  <c r="P126" i="2"/>
  <c r="O126" i="2"/>
  <c r="N126" i="2"/>
  <c r="Q126" i="2" s="1"/>
  <c r="M126" i="2"/>
  <c r="L126" i="2"/>
  <c r="K126" i="2"/>
  <c r="J126" i="2"/>
  <c r="H126" i="2"/>
  <c r="G126" i="2"/>
  <c r="F126" i="2"/>
  <c r="I126" i="2" s="1"/>
  <c r="E126" i="2"/>
  <c r="R126" i="2" s="1"/>
  <c r="D126" i="2"/>
  <c r="C126" i="2"/>
  <c r="B126" i="2"/>
  <c r="Q125" i="2"/>
  <c r="M125" i="2"/>
  <c r="I125" i="2"/>
  <c r="E125" i="2"/>
  <c r="R125" i="2" s="1"/>
  <c r="Q123" i="2"/>
  <c r="M123" i="2"/>
  <c r="I123" i="2"/>
  <c r="E123" i="2"/>
  <c r="R123" i="2" s="1"/>
  <c r="Q121" i="2"/>
  <c r="M121" i="2"/>
  <c r="R121" i="2" s="1"/>
  <c r="I121" i="2"/>
  <c r="E121" i="2"/>
  <c r="Q120" i="2"/>
  <c r="M120" i="2"/>
  <c r="I120" i="2"/>
  <c r="E120" i="2"/>
  <c r="R120" i="2" s="1"/>
  <c r="R118" i="2"/>
  <c r="Q118" i="2"/>
  <c r="M118" i="2"/>
  <c r="I118" i="2"/>
  <c r="E118" i="2"/>
  <c r="Q117" i="2"/>
  <c r="M117" i="2"/>
  <c r="I117" i="2"/>
  <c r="R117" i="2" s="1"/>
  <c r="E117" i="2"/>
  <c r="Q116" i="2"/>
  <c r="M116" i="2"/>
  <c r="I116" i="2"/>
  <c r="E116" i="2"/>
  <c r="R116" i="2" s="1"/>
  <c r="Q115" i="2"/>
  <c r="M115" i="2"/>
  <c r="I115" i="2"/>
  <c r="R115" i="2" s="1"/>
  <c r="E115" i="2"/>
  <c r="Q114" i="2"/>
  <c r="M114" i="2"/>
  <c r="I114" i="2"/>
  <c r="E114" i="2"/>
  <c r="R114" i="2" s="1"/>
  <c r="Q113" i="2"/>
  <c r="M113" i="2"/>
  <c r="I113" i="2"/>
  <c r="E113" i="2"/>
  <c r="R113" i="2" s="1"/>
  <c r="Q112" i="2"/>
  <c r="M112" i="2"/>
  <c r="R112" i="2" s="1"/>
  <c r="I112" i="2"/>
  <c r="E112" i="2"/>
  <c r="Q111" i="2"/>
  <c r="M111" i="2"/>
  <c r="I111" i="2"/>
  <c r="E111" i="2"/>
  <c r="R111" i="2" s="1"/>
  <c r="P108" i="2"/>
  <c r="O108" i="2"/>
  <c r="N108" i="2"/>
  <c r="Q108" i="2" s="1"/>
  <c r="L108" i="2"/>
  <c r="K108" i="2"/>
  <c r="J108" i="2"/>
  <c r="M108" i="2" s="1"/>
  <c r="H108" i="2"/>
  <c r="G108" i="2"/>
  <c r="F108" i="2"/>
  <c r="I108" i="2" s="1"/>
  <c r="D108" i="2"/>
  <c r="C108" i="2"/>
  <c r="B108" i="2"/>
  <c r="E108" i="2" s="1"/>
  <c r="Q107" i="2"/>
  <c r="M107" i="2"/>
  <c r="I107" i="2"/>
  <c r="E107" i="2"/>
  <c r="R107" i="2" s="1"/>
  <c r="Q106" i="2"/>
  <c r="M106" i="2"/>
  <c r="R106" i="2" s="1"/>
  <c r="I106" i="2"/>
  <c r="E106" i="2"/>
  <c r="Q105" i="2"/>
  <c r="M105" i="2"/>
  <c r="I105" i="2"/>
  <c r="E105" i="2"/>
  <c r="R105" i="2" s="1"/>
  <c r="R104" i="2"/>
  <c r="Q104" i="2"/>
  <c r="M104" i="2"/>
  <c r="I104" i="2"/>
  <c r="E104" i="2"/>
  <c r="Q103" i="2"/>
  <c r="M103" i="2"/>
  <c r="I103" i="2"/>
  <c r="R103" i="2" s="1"/>
  <c r="E103" i="2"/>
  <c r="Q102" i="2"/>
  <c r="M102" i="2"/>
  <c r="I102" i="2"/>
  <c r="E102" i="2"/>
  <c r="R102" i="2" s="1"/>
  <c r="Q101" i="2"/>
  <c r="M101" i="2"/>
  <c r="I101" i="2"/>
  <c r="R101" i="2" s="1"/>
  <c r="E101" i="2"/>
  <c r="Q100" i="2"/>
  <c r="M100" i="2"/>
  <c r="I100" i="2"/>
  <c r="E100" i="2"/>
  <c r="R100" i="2" s="1"/>
  <c r="Q96" i="2"/>
  <c r="P96" i="2"/>
  <c r="O96" i="2"/>
  <c r="N96" i="2"/>
  <c r="L96" i="2"/>
  <c r="K96" i="2"/>
  <c r="M96" i="2" s="1"/>
  <c r="J96" i="2"/>
  <c r="I96" i="2"/>
  <c r="H96" i="2"/>
  <c r="G96" i="2"/>
  <c r="F96" i="2"/>
  <c r="D96" i="2"/>
  <c r="C96" i="2"/>
  <c r="C128" i="2" s="1"/>
  <c r="C131" i="2" s="1"/>
  <c r="B96" i="2"/>
  <c r="Q94" i="2"/>
  <c r="M94" i="2"/>
  <c r="I94" i="2"/>
  <c r="E94" i="2"/>
  <c r="R94" i="2" s="1"/>
  <c r="Q93" i="2"/>
  <c r="M93" i="2"/>
  <c r="I93" i="2"/>
  <c r="E93" i="2"/>
  <c r="R93" i="2" s="1"/>
  <c r="P89" i="2"/>
  <c r="P128" i="2" s="1"/>
  <c r="P131" i="2" s="1"/>
  <c r="O89" i="2"/>
  <c r="O128" i="2" s="1"/>
  <c r="O131" i="2" s="1"/>
  <c r="N89" i="2"/>
  <c r="N128" i="2" s="1"/>
  <c r="L89" i="2"/>
  <c r="L128" i="2" s="1"/>
  <c r="L131" i="2" s="1"/>
  <c r="K89" i="2"/>
  <c r="J89" i="2"/>
  <c r="J128" i="2" s="1"/>
  <c r="H89" i="2"/>
  <c r="H128" i="2" s="1"/>
  <c r="H131" i="2" s="1"/>
  <c r="G89" i="2"/>
  <c r="G128" i="2" s="1"/>
  <c r="G131" i="2" s="1"/>
  <c r="F89" i="2"/>
  <c r="F128" i="2" s="1"/>
  <c r="D89" i="2"/>
  <c r="D128" i="2" s="1"/>
  <c r="D131" i="2" s="1"/>
  <c r="C89" i="2"/>
  <c r="B89" i="2"/>
  <c r="B128" i="2" s="1"/>
  <c r="Q87" i="2"/>
  <c r="M87" i="2"/>
  <c r="I87" i="2"/>
  <c r="R87" i="2" s="1"/>
  <c r="E87" i="2"/>
  <c r="Q86" i="2"/>
  <c r="M86" i="2"/>
  <c r="I86" i="2"/>
  <c r="E86" i="2"/>
  <c r="R86" i="2" s="1"/>
  <c r="Q84" i="2"/>
  <c r="M84" i="2"/>
  <c r="I84" i="2"/>
  <c r="R84" i="2" s="1"/>
  <c r="E84" i="2"/>
  <c r="Q83" i="2"/>
  <c r="M83" i="2"/>
  <c r="I83" i="2"/>
  <c r="E83" i="2"/>
  <c r="R83" i="2" s="1"/>
  <c r="Q82" i="2"/>
  <c r="M82" i="2"/>
  <c r="I82" i="2"/>
  <c r="E82" i="2"/>
  <c r="R82" i="2" s="1"/>
  <c r="Q81" i="2"/>
  <c r="M81" i="2"/>
  <c r="R81" i="2" s="1"/>
  <c r="I81" i="2"/>
  <c r="E81" i="2"/>
  <c r="Q80" i="2"/>
  <c r="M80" i="2"/>
  <c r="I80" i="2"/>
  <c r="E80" i="2"/>
  <c r="R80" i="2" s="1"/>
  <c r="R78" i="2"/>
  <c r="Q78" i="2"/>
  <c r="M78" i="2"/>
  <c r="I78" i="2"/>
  <c r="E78" i="2"/>
  <c r="Q77" i="2"/>
  <c r="M77" i="2"/>
  <c r="I77" i="2"/>
  <c r="R77" i="2" s="1"/>
  <c r="E77" i="2"/>
  <c r="Q76" i="2"/>
  <c r="M76" i="2"/>
  <c r="I76" i="2"/>
  <c r="E76" i="2"/>
  <c r="R76" i="2" s="1"/>
  <c r="Q75" i="2"/>
  <c r="M75" i="2"/>
  <c r="I75" i="2"/>
  <c r="R75" i="2" s="1"/>
  <c r="E75" i="2"/>
  <c r="O65" i="2"/>
  <c r="O66" i="2" s="1"/>
  <c r="G65" i="2"/>
  <c r="Q63" i="2"/>
  <c r="M63" i="2"/>
  <c r="R63" i="2" s="1"/>
  <c r="I63" i="2"/>
  <c r="E63" i="2"/>
  <c r="O62" i="2"/>
  <c r="G62" i="2"/>
  <c r="P61" i="2"/>
  <c r="O61" i="2"/>
  <c r="N61" i="2"/>
  <c r="Q61" i="2" s="1"/>
  <c r="L61" i="2"/>
  <c r="K61" i="2"/>
  <c r="J61" i="2"/>
  <c r="M61" i="2" s="1"/>
  <c r="H61" i="2"/>
  <c r="G61" i="2"/>
  <c r="F61" i="2"/>
  <c r="I61" i="2" s="1"/>
  <c r="D61" i="2"/>
  <c r="C61" i="2"/>
  <c r="B61" i="2"/>
  <c r="E61" i="2" s="1"/>
  <c r="R61" i="2" s="1"/>
  <c r="P60" i="2"/>
  <c r="O60" i="2"/>
  <c r="Q60" i="2" s="1"/>
  <c r="N60" i="2"/>
  <c r="M60" i="2"/>
  <c r="L60" i="2"/>
  <c r="K60" i="2"/>
  <c r="J60" i="2"/>
  <c r="H60" i="2"/>
  <c r="G60" i="2"/>
  <c r="I60" i="2" s="1"/>
  <c r="F60" i="2"/>
  <c r="E60" i="2"/>
  <c r="D60" i="2"/>
  <c r="C60" i="2"/>
  <c r="B60" i="2"/>
  <c r="Q57" i="2"/>
  <c r="M57" i="2"/>
  <c r="I57" i="2"/>
  <c r="E57" i="2"/>
  <c r="R57" i="2" s="1"/>
  <c r="Q55" i="2"/>
  <c r="M55" i="2"/>
  <c r="I55" i="2"/>
  <c r="R55" i="2" s="1"/>
  <c r="E55" i="2"/>
  <c r="P52" i="2"/>
  <c r="O52" i="2"/>
  <c r="N52" i="2"/>
  <c r="Q52" i="2" s="1"/>
  <c r="L52" i="2"/>
  <c r="K52" i="2"/>
  <c r="J52" i="2"/>
  <c r="M52" i="2" s="1"/>
  <c r="H52" i="2"/>
  <c r="G52" i="2"/>
  <c r="F52" i="2"/>
  <c r="I52" i="2" s="1"/>
  <c r="D52" i="2"/>
  <c r="C52" i="2"/>
  <c r="B52" i="2"/>
  <c r="E52" i="2" s="1"/>
  <c r="R52" i="2" s="1"/>
  <c r="Q48" i="2"/>
  <c r="P48" i="2"/>
  <c r="P62" i="2" s="1"/>
  <c r="P65" i="2" s="1"/>
  <c r="O48" i="2"/>
  <c r="N48" i="2"/>
  <c r="L48" i="2"/>
  <c r="K48" i="2"/>
  <c r="K62" i="2" s="1"/>
  <c r="K65" i="2" s="1"/>
  <c r="J48" i="2"/>
  <c r="I48" i="2"/>
  <c r="H48" i="2"/>
  <c r="H62" i="2" s="1"/>
  <c r="H65" i="2" s="1"/>
  <c r="G48" i="2"/>
  <c r="F48" i="2"/>
  <c r="D48" i="2"/>
  <c r="C48" i="2"/>
  <c r="C62" i="2" s="1"/>
  <c r="C65" i="2" s="1"/>
  <c r="B48" i="2"/>
  <c r="P43" i="2"/>
  <c r="O43" i="2"/>
  <c r="N43" i="2"/>
  <c r="Q43" i="2" s="1"/>
  <c r="L43" i="2"/>
  <c r="L62" i="2" s="1"/>
  <c r="L65" i="2" s="1"/>
  <c r="K43" i="2"/>
  <c r="J43" i="2"/>
  <c r="J62" i="2" s="1"/>
  <c r="H43" i="2"/>
  <c r="G43" i="2"/>
  <c r="F43" i="2"/>
  <c r="I43" i="2" s="1"/>
  <c r="D43" i="2"/>
  <c r="D62" i="2" s="1"/>
  <c r="D65" i="2" s="1"/>
  <c r="C43" i="2"/>
  <c r="B43" i="2"/>
  <c r="B62" i="2" s="1"/>
  <c r="P31" i="2"/>
  <c r="J31" i="2"/>
  <c r="C31" i="2"/>
  <c r="B31" i="2"/>
  <c r="P30" i="2"/>
  <c r="O30" i="2"/>
  <c r="O31" i="2" s="1"/>
  <c r="N30" i="2"/>
  <c r="N31" i="2" s="1"/>
  <c r="L30" i="2"/>
  <c r="L31" i="2" s="1"/>
  <c r="K30" i="2"/>
  <c r="K31" i="2" s="1"/>
  <c r="J30" i="2"/>
  <c r="M30" i="2" s="1"/>
  <c r="H30" i="2"/>
  <c r="H31" i="2" s="1"/>
  <c r="G30" i="2"/>
  <c r="G31" i="2" s="1"/>
  <c r="F30" i="2"/>
  <c r="D30" i="2"/>
  <c r="C30" i="2"/>
  <c r="B30" i="2"/>
  <c r="E30" i="2" s="1"/>
  <c r="Q28" i="2"/>
  <c r="M28" i="2"/>
  <c r="I28" i="2"/>
  <c r="R28" i="2" s="1"/>
  <c r="E28" i="2"/>
  <c r="Q23" i="2"/>
  <c r="M23" i="2"/>
  <c r="I23" i="2"/>
  <c r="E23" i="2"/>
  <c r="R23" i="2" s="1"/>
  <c r="P21" i="2"/>
  <c r="O21" i="2"/>
  <c r="N21" i="2"/>
  <c r="Q21" i="2" s="1"/>
  <c r="L21" i="2"/>
  <c r="K21" i="2"/>
  <c r="J21" i="2"/>
  <c r="M21" i="2" s="1"/>
  <c r="H21" i="2"/>
  <c r="G21" i="2"/>
  <c r="F21" i="2"/>
  <c r="I21" i="2" s="1"/>
  <c r="D21" i="2"/>
  <c r="C21" i="2"/>
  <c r="B21" i="2"/>
  <c r="E21" i="2" s="1"/>
  <c r="R21" i="2" s="1"/>
  <c r="Q20" i="2"/>
  <c r="P20" i="2"/>
  <c r="O20" i="2"/>
  <c r="N20" i="2"/>
  <c r="L20" i="2"/>
  <c r="K20" i="2"/>
  <c r="M20" i="2" s="1"/>
  <c r="J20" i="2"/>
  <c r="I20" i="2"/>
  <c r="H20" i="2"/>
  <c r="G20" i="2"/>
  <c r="F20" i="2"/>
  <c r="D20" i="2"/>
  <c r="C20" i="2"/>
  <c r="E20" i="2" s="1"/>
  <c r="B20" i="2"/>
  <c r="P19" i="2"/>
  <c r="O19" i="2"/>
  <c r="N19" i="2"/>
  <c r="Q19" i="2" s="1"/>
  <c r="L19" i="2"/>
  <c r="K19" i="2"/>
  <c r="J19" i="2"/>
  <c r="M19" i="2" s="1"/>
  <c r="H19" i="2"/>
  <c r="G19" i="2"/>
  <c r="F19" i="2"/>
  <c r="I19" i="2" s="1"/>
  <c r="D19" i="2"/>
  <c r="C19" i="2"/>
  <c r="B19" i="2"/>
  <c r="E19" i="2" s="1"/>
  <c r="R19" i="2" s="1"/>
  <c r="P18" i="2"/>
  <c r="O18" i="2"/>
  <c r="N18" i="2"/>
  <c r="Q18" i="2" s="1"/>
  <c r="M18" i="2"/>
  <c r="L18" i="2"/>
  <c r="K18" i="2"/>
  <c r="J18" i="2"/>
  <c r="H18" i="2"/>
  <c r="G18" i="2"/>
  <c r="F18" i="2"/>
  <c r="I18" i="2" s="1"/>
  <c r="E18" i="2"/>
  <c r="D18" i="2"/>
  <c r="C18" i="2"/>
  <c r="B18" i="2"/>
  <c r="P17" i="2"/>
  <c r="O17" i="2"/>
  <c r="N17" i="2"/>
  <c r="Q17" i="2" s="1"/>
  <c r="L17" i="2"/>
  <c r="K17" i="2"/>
  <c r="J17" i="2"/>
  <c r="M17" i="2" s="1"/>
  <c r="H17" i="2"/>
  <c r="G17" i="2"/>
  <c r="F17" i="2"/>
  <c r="I17" i="2" s="1"/>
  <c r="D17" i="2"/>
  <c r="C17" i="2"/>
  <c r="B17" i="2"/>
  <c r="E17" i="2" s="1"/>
  <c r="P16" i="2"/>
  <c r="O16" i="2"/>
  <c r="Q16" i="2" s="1"/>
  <c r="N16" i="2"/>
  <c r="M16" i="2"/>
  <c r="L16" i="2"/>
  <c r="K16" i="2"/>
  <c r="J16" i="2"/>
  <c r="H16" i="2"/>
  <c r="G16" i="2"/>
  <c r="I16" i="2" s="1"/>
  <c r="F16" i="2"/>
  <c r="E16" i="2"/>
  <c r="D16" i="2"/>
  <c r="C16" i="2"/>
  <c r="B16" i="2"/>
  <c r="P15" i="2"/>
  <c r="O15" i="2"/>
  <c r="N15" i="2"/>
  <c r="Q15" i="2" s="1"/>
  <c r="L15" i="2"/>
  <c r="K15" i="2"/>
  <c r="J15" i="2"/>
  <c r="M15" i="2" s="1"/>
  <c r="H15" i="2"/>
  <c r="G15" i="2"/>
  <c r="F15" i="2"/>
  <c r="I15" i="2" s="1"/>
  <c r="D15" i="2"/>
  <c r="C15" i="2"/>
  <c r="B15" i="2"/>
  <c r="E15" i="2" s="1"/>
  <c r="R1" i="2"/>
  <c r="AO847" i="6" l="1"/>
  <c r="AF847" i="6"/>
  <c r="F909" i="6"/>
  <c r="AH909" i="6" s="1"/>
  <c r="AD843" i="6"/>
  <c r="AO843" i="6" s="1"/>
  <c r="AH878" i="6"/>
  <c r="AD878" i="6"/>
  <c r="AG882" i="6"/>
  <c r="AD882" i="6"/>
  <c r="AH882" i="6"/>
  <c r="AE886" i="6"/>
  <c r="AD851" i="6"/>
  <c r="M17" i="6"/>
  <c r="I57" i="6"/>
  <c r="R83" i="6"/>
  <c r="O125" i="6"/>
  <c r="O128" i="6" s="1"/>
  <c r="O129" i="6" s="1"/>
  <c r="R93" i="6"/>
  <c r="N125" i="6"/>
  <c r="R197" i="6"/>
  <c r="R205" i="6"/>
  <c r="R213" i="6"/>
  <c r="R223" i="6"/>
  <c r="R236" i="6"/>
  <c r="R237" i="6"/>
  <c r="R267" i="6"/>
  <c r="R271" i="6"/>
  <c r="M281" i="6"/>
  <c r="R311" i="6"/>
  <c r="R331" i="6"/>
  <c r="R359" i="6"/>
  <c r="AH361" i="6"/>
  <c r="R555" i="6"/>
  <c r="F769" i="6"/>
  <c r="AF853" i="6"/>
  <c r="I14" i="6"/>
  <c r="Q15" i="6"/>
  <c r="R15" i="6" s="1"/>
  <c r="Q16" i="6"/>
  <c r="E17" i="6"/>
  <c r="I18" i="6"/>
  <c r="D59" i="6"/>
  <c r="D62" i="6" s="1"/>
  <c r="H59" i="6"/>
  <c r="H62" i="6" s="1"/>
  <c r="E46" i="6"/>
  <c r="I50" i="6"/>
  <c r="R50" i="6" s="1"/>
  <c r="K59" i="6"/>
  <c r="K62" i="6" s="1"/>
  <c r="K63" i="6" s="1"/>
  <c r="E58" i="6"/>
  <c r="R60" i="6"/>
  <c r="R85" i="6"/>
  <c r="G125" i="6"/>
  <c r="G128" i="6" s="1"/>
  <c r="G129" i="6" s="1"/>
  <c r="M88" i="6"/>
  <c r="M95" i="6"/>
  <c r="R103" i="6"/>
  <c r="R105" i="6"/>
  <c r="E106" i="6"/>
  <c r="R143" i="6"/>
  <c r="R149" i="6"/>
  <c r="R157" i="6"/>
  <c r="R186" i="6"/>
  <c r="R187" i="6"/>
  <c r="R189" i="6"/>
  <c r="M207" i="6"/>
  <c r="R219" i="6"/>
  <c r="R220" i="6"/>
  <c r="R222" i="6"/>
  <c r="R240" i="6"/>
  <c r="R253" i="6"/>
  <c r="R255" i="6"/>
  <c r="R256" i="6"/>
  <c r="R257" i="6"/>
  <c r="R258" i="6"/>
  <c r="R266" i="6"/>
  <c r="R273" i="6"/>
  <c r="R274" i="6"/>
  <c r="R275" i="6"/>
  <c r="R276" i="6"/>
  <c r="I281" i="6"/>
  <c r="E282" i="6"/>
  <c r="R282" i="6" s="1"/>
  <c r="R285" i="6"/>
  <c r="R286" i="6"/>
  <c r="R287" i="6"/>
  <c r="R288" i="6"/>
  <c r="R289" i="6"/>
  <c r="R300" i="6"/>
  <c r="R302" i="6" s="1"/>
  <c r="I302" i="6"/>
  <c r="R310" i="6"/>
  <c r="R314" i="6"/>
  <c r="R315" i="6"/>
  <c r="R316" i="6"/>
  <c r="R317" i="6"/>
  <c r="R319" i="6"/>
  <c r="R322" i="6"/>
  <c r="R362" i="6"/>
  <c r="AH363" i="6"/>
  <c r="R364" i="6"/>
  <c r="E369" i="6"/>
  <c r="C805" i="6"/>
  <c r="C834" i="6" s="1"/>
  <c r="R380" i="6"/>
  <c r="R382" i="6"/>
  <c r="R391" i="6"/>
  <c r="R392" i="6"/>
  <c r="R393" i="6"/>
  <c r="R401" i="6"/>
  <c r="R423" i="6"/>
  <c r="Q742" i="6"/>
  <c r="N769" i="6"/>
  <c r="N772" i="6" s="1"/>
  <c r="R808" i="6"/>
  <c r="R812" i="6"/>
  <c r="R80" i="6"/>
  <c r="R101" i="6"/>
  <c r="E124" i="6"/>
  <c r="R169" i="6"/>
  <c r="R217" i="6"/>
  <c r="R235" i="6"/>
  <c r="R238" i="6"/>
  <c r="R251" i="6"/>
  <c r="R270" i="6"/>
  <c r="R277" i="6"/>
  <c r="M302" i="6"/>
  <c r="R320" i="6"/>
  <c r="R323" i="6"/>
  <c r="R344" i="6"/>
  <c r="R358" i="6"/>
  <c r="R360" i="6"/>
  <c r="R757" i="6"/>
  <c r="AH877" i="6"/>
  <c r="F864" i="6"/>
  <c r="AS879" i="6"/>
  <c r="AG879" i="6"/>
  <c r="AE877" i="6"/>
  <c r="E14" i="6"/>
  <c r="I15" i="6"/>
  <c r="M16" i="6"/>
  <c r="E18" i="6"/>
  <c r="R18" i="6" s="1"/>
  <c r="E41" i="6"/>
  <c r="J59" i="6"/>
  <c r="Q46" i="6"/>
  <c r="C59" i="6"/>
  <c r="C62" i="6" s="1"/>
  <c r="C63" i="6" s="1"/>
  <c r="Q58" i="6"/>
  <c r="R72" i="6"/>
  <c r="R74" i="6"/>
  <c r="E88" i="6"/>
  <c r="R88" i="6" s="1"/>
  <c r="L125" i="6"/>
  <c r="L128" i="6" s="1"/>
  <c r="F125" i="6"/>
  <c r="P125" i="6"/>
  <c r="P128" i="6" s="1"/>
  <c r="Q106" i="6"/>
  <c r="R106" i="6" s="1"/>
  <c r="R109" i="6"/>
  <c r="R111" i="6"/>
  <c r="R112" i="6"/>
  <c r="R113" i="6"/>
  <c r="R114" i="6"/>
  <c r="R116" i="6"/>
  <c r="R118" i="6"/>
  <c r="I123" i="6"/>
  <c r="I124" i="6"/>
  <c r="M124" i="6"/>
  <c r="G283" i="6"/>
  <c r="G291" i="6" s="1"/>
  <c r="R140" i="6"/>
  <c r="R142" i="6"/>
  <c r="R160" i="6"/>
  <c r="R166" i="6"/>
  <c r="R188" i="6"/>
  <c r="R226" i="6"/>
  <c r="R227" i="6"/>
  <c r="R228" i="6"/>
  <c r="R229" i="6"/>
  <c r="T271" i="6" s="1"/>
  <c r="R230" i="6"/>
  <c r="R241" i="6"/>
  <c r="R243" i="6"/>
  <c r="R244" i="6"/>
  <c r="R245" i="6"/>
  <c r="R246" i="6"/>
  <c r="L805" i="6"/>
  <c r="L834" i="6" s="1"/>
  <c r="R252" i="6"/>
  <c r="R329" i="6"/>
  <c r="R333" i="6"/>
  <c r="R334" i="6"/>
  <c r="R337" i="6"/>
  <c r="R338" i="6"/>
  <c r="R339" i="6"/>
  <c r="R340" i="6"/>
  <c r="R342" i="6"/>
  <c r="R352" i="6"/>
  <c r="P436" i="6"/>
  <c r="P441" i="6" s="1"/>
  <c r="AL361" i="6"/>
  <c r="Z362" i="6"/>
  <c r="AM362" i="6" s="1"/>
  <c r="AL362" i="6"/>
  <c r="Q369" i="6"/>
  <c r="R381" i="6"/>
  <c r="N584" i="6"/>
  <c r="Q584" i="6" s="1"/>
  <c r="Q557" i="6"/>
  <c r="R791" i="6"/>
  <c r="R795" i="6"/>
  <c r="R799" i="6"/>
  <c r="R388" i="6"/>
  <c r="R390" i="6"/>
  <c r="R461" i="6"/>
  <c r="E465" i="6"/>
  <c r="R465" i="6" s="1"/>
  <c r="R474" i="6"/>
  <c r="I475" i="6"/>
  <c r="R481" i="6"/>
  <c r="R482" i="6"/>
  <c r="I484" i="6"/>
  <c r="R542" i="6"/>
  <c r="R549" i="6"/>
  <c r="R551" i="6"/>
  <c r="R553" i="6"/>
  <c r="R607" i="6"/>
  <c r="M123" i="6"/>
  <c r="R126" i="6"/>
  <c r="R138" i="6"/>
  <c r="R147" i="6"/>
  <c r="R148" i="6"/>
  <c r="R150" i="6"/>
  <c r="O283" i="6"/>
  <c r="O291" i="6" s="1"/>
  <c r="R158" i="6"/>
  <c r="R168" i="6"/>
  <c r="P283" i="6"/>
  <c r="P291" i="6" s="1"/>
  <c r="R175" i="6"/>
  <c r="R192" i="6"/>
  <c r="I207" i="6"/>
  <c r="R207" i="6" s="1"/>
  <c r="R215" i="6"/>
  <c r="R221" i="6"/>
  <c r="R225" i="6"/>
  <c r="R231" i="6"/>
  <c r="M804" i="6"/>
  <c r="R248" i="6"/>
  <c r="R249" i="6"/>
  <c r="R250" i="6"/>
  <c r="R261" i="6"/>
  <c r="E263" i="6"/>
  <c r="E281" i="6"/>
  <c r="Q282" i="6"/>
  <c r="E302" i="6"/>
  <c r="R313" i="6"/>
  <c r="R325" i="6"/>
  <c r="R326" i="6"/>
  <c r="R327" i="6"/>
  <c r="R328" i="6"/>
  <c r="R330" i="6"/>
  <c r="R343" i="6"/>
  <c r="J436" i="6"/>
  <c r="Q354" i="6"/>
  <c r="AD362" i="6"/>
  <c r="Z361" i="6"/>
  <c r="R363" i="6"/>
  <c r="R366" i="6"/>
  <c r="M369" i="6"/>
  <c r="R399" i="6"/>
  <c r="R407" i="6"/>
  <c r="R416" i="6"/>
  <c r="R426" i="6"/>
  <c r="Q435" i="6"/>
  <c r="R438" i="6"/>
  <c r="R735" i="6"/>
  <c r="R736" i="6"/>
  <c r="R740" i="6"/>
  <c r="G769" i="6"/>
  <c r="G772" i="6" s="1"/>
  <c r="R745" i="6"/>
  <c r="E747" i="6"/>
  <c r="R750" i="6"/>
  <c r="M768" i="6"/>
  <c r="M793" i="6"/>
  <c r="E804" i="6"/>
  <c r="AO849" i="6"/>
  <c r="AF849" i="6"/>
  <c r="R376" i="6"/>
  <c r="R377" i="6"/>
  <c r="R378" i="6"/>
  <c r="R389" i="6"/>
  <c r="R395" i="6"/>
  <c r="R396" i="6"/>
  <c r="R397" i="6"/>
  <c r="R398" i="6"/>
  <c r="R400" i="6"/>
  <c r="R409" i="6"/>
  <c r="R417" i="6"/>
  <c r="R419" i="6"/>
  <c r="R420" i="6"/>
  <c r="R421" i="6"/>
  <c r="R422" i="6"/>
  <c r="R499" i="6"/>
  <c r="H529" i="6"/>
  <c r="H532" i="6" s="1"/>
  <c r="N529" i="6"/>
  <c r="R508" i="6"/>
  <c r="S508" i="6" s="1"/>
  <c r="E512" i="6"/>
  <c r="R516" i="6"/>
  <c r="E517" i="6"/>
  <c r="R522" i="6"/>
  <c r="R524" i="6"/>
  <c r="R525" i="6"/>
  <c r="I527" i="6"/>
  <c r="R527" i="6" s="1"/>
  <c r="M527" i="6"/>
  <c r="M528" i="6"/>
  <c r="R548" i="6"/>
  <c r="R550" i="6"/>
  <c r="B584" i="6"/>
  <c r="B587" i="6" s="1"/>
  <c r="M557" i="6"/>
  <c r="E583" i="6"/>
  <c r="R595" i="6"/>
  <c r="Q617" i="6"/>
  <c r="Q621" i="6"/>
  <c r="E628" i="6"/>
  <c r="Q629" i="6"/>
  <c r="R643" i="6"/>
  <c r="R644" i="6"/>
  <c r="R645" i="6"/>
  <c r="R646" i="6"/>
  <c r="R648" i="6"/>
  <c r="E656" i="6"/>
  <c r="R659" i="6"/>
  <c r="R661" i="6"/>
  <c r="R662" i="6"/>
  <c r="R663" i="6"/>
  <c r="R664" i="6"/>
  <c r="E665" i="6"/>
  <c r="R669" i="6"/>
  <c r="R670" i="6"/>
  <c r="R671" i="6"/>
  <c r="R672" i="6"/>
  <c r="I675" i="6"/>
  <c r="R675" i="6" s="1"/>
  <c r="E676" i="6"/>
  <c r="R678" i="6"/>
  <c r="R688" i="6"/>
  <c r="R700" i="6"/>
  <c r="F720" i="6"/>
  <c r="N720" i="6"/>
  <c r="I712" i="6"/>
  <c r="E718" i="6"/>
  <c r="M747" i="6"/>
  <c r="R764" i="6"/>
  <c r="Q767" i="6"/>
  <c r="E768" i="6"/>
  <c r="R768" i="6" s="1"/>
  <c r="M803" i="6"/>
  <c r="E809" i="6"/>
  <c r="M811" i="6"/>
  <c r="AH880" i="6"/>
  <c r="AD845" i="6"/>
  <c r="AO845" i="6" s="1"/>
  <c r="AE888" i="6"/>
  <c r="R403" i="6"/>
  <c r="R404" i="6"/>
  <c r="R405" i="6"/>
  <c r="R406" i="6"/>
  <c r="R414" i="6"/>
  <c r="R427" i="6"/>
  <c r="R428" i="6"/>
  <c r="R429" i="6"/>
  <c r="R430" i="6"/>
  <c r="R432" i="6"/>
  <c r="E434" i="6"/>
  <c r="I435" i="6"/>
  <c r="R439" i="6"/>
  <c r="R457" i="6"/>
  <c r="R458" i="6"/>
  <c r="F485" i="6"/>
  <c r="M465" i="6"/>
  <c r="Q475" i="6"/>
  <c r="M483" i="6"/>
  <c r="R483" i="6" s="1"/>
  <c r="Q484" i="6"/>
  <c r="D529" i="6"/>
  <c r="D532" i="6" s="1"/>
  <c r="J529" i="6"/>
  <c r="M529" i="6" s="1"/>
  <c r="O529" i="6"/>
  <c r="O532" i="6" s="1"/>
  <c r="Q512" i="6"/>
  <c r="C529" i="6"/>
  <c r="C532" i="6" s="1"/>
  <c r="Q517" i="6"/>
  <c r="R517" i="6" s="1"/>
  <c r="I528" i="6"/>
  <c r="R560" i="6"/>
  <c r="R561" i="6"/>
  <c r="E563" i="6"/>
  <c r="R563" i="6" s="1"/>
  <c r="E568" i="6"/>
  <c r="R572" i="6"/>
  <c r="R575" i="6"/>
  <c r="R576" i="6"/>
  <c r="Q582" i="6"/>
  <c r="Q583" i="6"/>
  <c r="R609" i="6"/>
  <c r="M617" i="6"/>
  <c r="M621" i="6"/>
  <c r="R621" i="6" s="1"/>
  <c r="M629" i="6"/>
  <c r="Q656" i="6"/>
  <c r="Q676" i="6"/>
  <c r="K720" i="6"/>
  <c r="K724" i="6" s="1"/>
  <c r="Q708" i="6"/>
  <c r="Q718" i="6"/>
  <c r="E793" i="6"/>
  <c r="Q794" i="6"/>
  <c r="H801" i="6"/>
  <c r="H832" i="6" s="1"/>
  <c r="I807" i="6"/>
  <c r="Q809" i="6"/>
  <c r="I811" i="6"/>
  <c r="I434" i="6"/>
  <c r="M435" i="6"/>
  <c r="R462" i="6"/>
  <c r="D485" i="6"/>
  <c r="D488" i="6" s="1"/>
  <c r="Q465" i="6"/>
  <c r="E475" i="6"/>
  <c r="H485" i="6"/>
  <c r="H488" i="6" s="1"/>
  <c r="H489" i="6" s="1"/>
  <c r="Q483" i="6"/>
  <c r="E484" i="6"/>
  <c r="R500" i="6"/>
  <c r="R501" i="6"/>
  <c r="B529" i="6"/>
  <c r="G529" i="6"/>
  <c r="G532" i="6" s="1"/>
  <c r="L529" i="6"/>
  <c r="L532" i="6" s="1"/>
  <c r="R509" i="6"/>
  <c r="I512" i="6"/>
  <c r="I517" i="6"/>
  <c r="K529" i="6"/>
  <c r="K532" i="6" s="1"/>
  <c r="E528" i="6"/>
  <c r="R528" i="6" s="1"/>
  <c r="E557" i="6"/>
  <c r="R557" i="6" s="1"/>
  <c r="H584" i="6"/>
  <c r="H587" i="6" s="1"/>
  <c r="L584" i="6"/>
  <c r="L587" i="6" s="1"/>
  <c r="I563" i="6"/>
  <c r="I568" i="6"/>
  <c r="E582" i="6"/>
  <c r="I583" i="6"/>
  <c r="P630" i="6"/>
  <c r="P633" i="6" s="1"/>
  <c r="P634" i="6" s="1"/>
  <c r="I617" i="6"/>
  <c r="R617" i="6" s="1"/>
  <c r="M628" i="6"/>
  <c r="I629" i="6"/>
  <c r="M656" i="6"/>
  <c r="R656" i="6" s="1"/>
  <c r="M665" i="6"/>
  <c r="Q675" i="6"/>
  <c r="M676" i="6"/>
  <c r="D720" i="6"/>
  <c r="D724" i="6" s="1"/>
  <c r="D726" i="6" s="1"/>
  <c r="D727" i="6" s="1"/>
  <c r="M708" i="6"/>
  <c r="Q712" i="6"/>
  <c r="M718" i="6"/>
  <c r="R721" i="6"/>
  <c r="R722" i="6"/>
  <c r="I742" i="6"/>
  <c r="K769" i="6"/>
  <c r="K772" i="6" s="1"/>
  <c r="P769" i="6"/>
  <c r="P772" i="6" s="1"/>
  <c r="P773" i="6" s="1"/>
  <c r="I747" i="6"/>
  <c r="M767" i="6"/>
  <c r="Q768" i="6"/>
  <c r="E792" i="6"/>
  <c r="I793" i="6"/>
  <c r="E794" i="6"/>
  <c r="L801" i="6"/>
  <c r="L832" i="6" s="1"/>
  <c r="E800" i="6"/>
  <c r="R800" i="6" s="1"/>
  <c r="O805" i="6"/>
  <c r="O834" i="6" s="1"/>
  <c r="H814" i="6"/>
  <c r="H836" i="6" s="1"/>
  <c r="Q807" i="6"/>
  <c r="I809" i="6"/>
  <c r="R809" i="6" s="1"/>
  <c r="AF848" i="6"/>
  <c r="AF852" i="6"/>
  <c r="AG883" i="6"/>
  <c r="AF927" i="13"/>
  <c r="AH914" i="13"/>
  <c r="AO923" i="13"/>
  <c r="R81" i="7"/>
  <c r="R152" i="7"/>
  <c r="M14" i="7"/>
  <c r="C59" i="7"/>
  <c r="C62" i="7" s="1"/>
  <c r="C63" i="7" s="1"/>
  <c r="E41" i="7"/>
  <c r="L59" i="7"/>
  <c r="L62" i="7" s="1"/>
  <c r="M58" i="7"/>
  <c r="R100" i="7"/>
  <c r="R102" i="7"/>
  <c r="R113" i="7"/>
  <c r="R167" i="7"/>
  <c r="R177" i="7"/>
  <c r="R213" i="7"/>
  <c r="R220" i="7"/>
  <c r="R237" i="7"/>
  <c r="R238" i="7"/>
  <c r="R268" i="7"/>
  <c r="R279" i="7"/>
  <c r="K127" i="7"/>
  <c r="K130" i="7" s="1"/>
  <c r="K131" i="7" s="1"/>
  <c r="M89" i="7"/>
  <c r="I17" i="7"/>
  <c r="M41" i="7"/>
  <c r="R123" i="7"/>
  <c r="R191" i="7"/>
  <c r="O796" i="7"/>
  <c r="O818" i="7" s="1"/>
  <c r="M15" i="7"/>
  <c r="M16" i="7"/>
  <c r="H59" i="7"/>
  <c r="H62" i="7" s="1"/>
  <c r="Q46" i="7"/>
  <c r="R54" i="7"/>
  <c r="I57" i="7"/>
  <c r="R57" i="7" s="1"/>
  <c r="L127" i="7"/>
  <c r="L130" i="7" s="1"/>
  <c r="C127" i="7"/>
  <c r="C130" i="7" s="1"/>
  <c r="Q108" i="7"/>
  <c r="R115" i="7"/>
  <c r="R117" i="7"/>
  <c r="R118" i="7"/>
  <c r="R120" i="7"/>
  <c r="R121" i="7"/>
  <c r="R149" i="7"/>
  <c r="R151" i="7"/>
  <c r="R164" i="7"/>
  <c r="R166" i="7"/>
  <c r="R172" i="7"/>
  <c r="R178" i="7"/>
  <c r="R179" i="7"/>
  <c r="R210" i="7"/>
  <c r="R228" i="7"/>
  <c r="R234" i="7"/>
  <c r="R236" i="7"/>
  <c r="R239" i="7"/>
  <c r="Q255" i="7"/>
  <c r="R263" i="7"/>
  <c r="R264" i="7"/>
  <c r="R309" i="7"/>
  <c r="L419" i="7"/>
  <c r="L424" i="7" s="1"/>
  <c r="I16" i="7"/>
  <c r="M17" i="7"/>
  <c r="J59" i="7"/>
  <c r="J62" i="7" s="1"/>
  <c r="R60" i="7"/>
  <c r="M96" i="7"/>
  <c r="R111" i="7"/>
  <c r="R112" i="7"/>
  <c r="R171" i="7"/>
  <c r="R175" i="7"/>
  <c r="R192" i="7"/>
  <c r="R196" i="7"/>
  <c r="Q205" i="7"/>
  <c r="R212" i="7"/>
  <c r="R215" i="7"/>
  <c r="R216" i="7"/>
  <c r="R218" i="7"/>
  <c r="R222" i="7"/>
  <c r="R242" i="7"/>
  <c r="R277" i="7"/>
  <c r="M294" i="7"/>
  <c r="R338" i="7"/>
  <c r="E355" i="7"/>
  <c r="R382" i="7"/>
  <c r="H419" i="7"/>
  <c r="H424" i="7" s="1"/>
  <c r="R399" i="7"/>
  <c r="R400" i="7"/>
  <c r="R403" i="7"/>
  <c r="R525" i="7"/>
  <c r="R526" i="7"/>
  <c r="R527" i="7"/>
  <c r="R528" i="7"/>
  <c r="M538" i="7"/>
  <c r="R554" i="7"/>
  <c r="I596" i="7"/>
  <c r="R716" i="7"/>
  <c r="I749" i="7"/>
  <c r="Q14" i="7"/>
  <c r="E16" i="7"/>
  <c r="R16" i="7" s="1"/>
  <c r="E17" i="7"/>
  <c r="R17" i="7" s="1"/>
  <c r="M18" i="7"/>
  <c r="R38" i="7"/>
  <c r="B59" i="7"/>
  <c r="B62" i="7" s="1"/>
  <c r="K59" i="7"/>
  <c r="K62" i="7" s="1"/>
  <c r="E50" i="7"/>
  <c r="G59" i="7"/>
  <c r="G62" i="7" s="1"/>
  <c r="Q58" i="7"/>
  <c r="R72" i="7"/>
  <c r="R74" i="7"/>
  <c r="R75" i="7"/>
  <c r="R76" i="7"/>
  <c r="R77" i="7"/>
  <c r="R93" i="7"/>
  <c r="E96" i="7"/>
  <c r="R103" i="7"/>
  <c r="R105" i="7"/>
  <c r="F127" i="7"/>
  <c r="F130" i="7" s="1"/>
  <c r="E125" i="7"/>
  <c r="R141" i="7"/>
  <c r="R144" i="7"/>
  <c r="R159" i="7"/>
  <c r="R170" i="7"/>
  <c r="R176" i="7"/>
  <c r="R180" i="7"/>
  <c r="R189" i="7"/>
  <c r="R230" i="7"/>
  <c r="R240" i="7"/>
  <c r="R250" i="7"/>
  <c r="R251" i="7"/>
  <c r="R254" i="7"/>
  <c r="R260" i="7"/>
  <c r="Q273" i="7"/>
  <c r="R280" i="7"/>
  <c r="I294" i="7"/>
  <c r="R310" i="7"/>
  <c r="R318" i="7"/>
  <c r="R322" i="7"/>
  <c r="R323" i="7"/>
  <c r="R324" i="7"/>
  <c r="R325" i="7"/>
  <c r="J419" i="7"/>
  <c r="J424" i="7" s="1"/>
  <c r="M394" i="7"/>
  <c r="R364" i="7"/>
  <c r="R376" i="7"/>
  <c r="R414" i="7"/>
  <c r="R418" i="7"/>
  <c r="R483" i="7"/>
  <c r="R484" i="7"/>
  <c r="B511" i="7"/>
  <c r="E488" i="7"/>
  <c r="M509" i="7"/>
  <c r="I544" i="7"/>
  <c r="Q565" i="7"/>
  <c r="R592" i="7"/>
  <c r="C751" i="7"/>
  <c r="C754" i="7" s="1"/>
  <c r="C756" i="7" s="1"/>
  <c r="Q834" i="7" s="1"/>
  <c r="Q891" i="7" s="1"/>
  <c r="AR926" i="7" s="1"/>
  <c r="E724" i="7"/>
  <c r="R745" i="7"/>
  <c r="R746" i="7"/>
  <c r="E794" i="7"/>
  <c r="R326" i="7"/>
  <c r="R330" i="7"/>
  <c r="R333" i="7"/>
  <c r="R337" i="7"/>
  <c r="D419" i="7"/>
  <c r="D424" i="7" s="1"/>
  <c r="R351" i="7"/>
  <c r="R352" i="7"/>
  <c r="R359" i="7"/>
  <c r="R370" i="7"/>
  <c r="R390" i="7"/>
  <c r="R405" i="7"/>
  <c r="R409" i="7"/>
  <c r="R411" i="7"/>
  <c r="I417" i="7"/>
  <c r="J511" i="7"/>
  <c r="E494" i="7"/>
  <c r="R494" i="7" s="1"/>
  <c r="L511" i="7"/>
  <c r="L514" i="7" s="1"/>
  <c r="K511" i="7"/>
  <c r="K514" i="7" s="1"/>
  <c r="I509" i="7"/>
  <c r="R531" i="7"/>
  <c r="D567" i="7"/>
  <c r="D570" i="7" s="1"/>
  <c r="H567" i="7"/>
  <c r="H570" i="7" s="1"/>
  <c r="R542" i="7"/>
  <c r="F567" i="7"/>
  <c r="F570" i="7" s="1"/>
  <c r="E566" i="7"/>
  <c r="N613" i="7"/>
  <c r="I600" i="7"/>
  <c r="E604" i="7"/>
  <c r="M611" i="7"/>
  <c r="Q612" i="7"/>
  <c r="E657" i="7"/>
  <c r="E658" i="7"/>
  <c r="M686" i="7"/>
  <c r="M694" i="7"/>
  <c r="Q724" i="7"/>
  <c r="R727" i="7"/>
  <c r="I739" i="7"/>
  <c r="R743" i="7"/>
  <c r="I750" i="7"/>
  <c r="M782" i="7"/>
  <c r="J796" i="7"/>
  <c r="E791" i="7"/>
  <c r="L796" i="7"/>
  <c r="L818" i="7" s="1"/>
  <c r="P795" i="7"/>
  <c r="Q794" i="7"/>
  <c r="AD868" i="7"/>
  <c r="AD833" i="7"/>
  <c r="AO833" i="7" s="1"/>
  <c r="R590" i="7"/>
  <c r="F613" i="7"/>
  <c r="M596" i="7"/>
  <c r="E611" i="7"/>
  <c r="R611" i="7" s="1"/>
  <c r="R626" i="7"/>
  <c r="R627" i="7"/>
  <c r="R628" i="7"/>
  <c r="R629" i="7"/>
  <c r="E638" i="7"/>
  <c r="R638" i="7" s="1"/>
  <c r="M724" i="7"/>
  <c r="O751" i="7"/>
  <c r="O754" i="7" s="1"/>
  <c r="M749" i="7"/>
  <c r="M773" i="7"/>
  <c r="R773" i="7" s="1"/>
  <c r="I782" i="7"/>
  <c r="K796" i="7"/>
  <c r="K818" i="7" s="1"/>
  <c r="M790" i="7"/>
  <c r="R246" i="7"/>
  <c r="R267" i="7"/>
  <c r="R270" i="7"/>
  <c r="E273" i="7"/>
  <c r="E294" i="7"/>
  <c r="R302" i="7"/>
  <c r="R315" i="7"/>
  <c r="R328" i="7"/>
  <c r="R339" i="7"/>
  <c r="B419" i="7"/>
  <c r="B424" i="7" s="1"/>
  <c r="K419" i="7"/>
  <c r="K424" i="7" s="1"/>
  <c r="Z348" i="7"/>
  <c r="R372" i="7"/>
  <c r="R373" i="7"/>
  <c r="R375" i="7"/>
  <c r="R378" i="7"/>
  <c r="R389" i="7"/>
  <c r="R392" i="7"/>
  <c r="E394" i="7"/>
  <c r="R406" i="7"/>
  <c r="R416" i="7"/>
  <c r="R421" i="7"/>
  <c r="F468" i="7"/>
  <c r="N468" i="7"/>
  <c r="N471" i="7" s="1"/>
  <c r="R465" i="7"/>
  <c r="G511" i="7"/>
  <c r="G514" i="7" s="1"/>
  <c r="C511" i="7"/>
  <c r="C514" i="7" s="1"/>
  <c r="Q499" i="7"/>
  <c r="Q509" i="7"/>
  <c r="M544" i="7"/>
  <c r="R549" i="7"/>
  <c r="N567" i="7"/>
  <c r="R563" i="7"/>
  <c r="E565" i="7"/>
  <c r="M566" i="7"/>
  <c r="R630" i="7"/>
  <c r="C659" i="7"/>
  <c r="C662" i="7" s="1"/>
  <c r="C663" i="7" s="1"/>
  <c r="Q634" i="7"/>
  <c r="R643" i="7"/>
  <c r="R644" i="7"/>
  <c r="R646" i="7"/>
  <c r="R651" i="7"/>
  <c r="R653" i="7"/>
  <c r="R670" i="7"/>
  <c r="E686" i="7"/>
  <c r="H702" i="7"/>
  <c r="H706" i="7" s="1"/>
  <c r="Q690" i="7"/>
  <c r="E694" i="7"/>
  <c r="Q694" i="7"/>
  <c r="R719" i="7"/>
  <c r="R722" i="7"/>
  <c r="I724" i="7"/>
  <c r="R735" i="7"/>
  <c r="R737" i="7"/>
  <c r="E739" i="7"/>
  <c r="I773" i="7"/>
  <c r="I775" i="7"/>
  <c r="E776" i="7"/>
  <c r="M781" i="7"/>
  <c r="H795" i="7"/>
  <c r="G846" i="7"/>
  <c r="AF825" i="7"/>
  <c r="AH865" i="7"/>
  <c r="AE862" i="7"/>
  <c r="AD860" i="7"/>
  <c r="AF862" i="7"/>
  <c r="R383" i="7"/>
  <c r="R415" i="7"/>
  <c r="M417" i="7"/>
  <c r="R440" i="7"/>
  <c r="R445" i="7"/>
  <c r="G468" i="7"/>
  <c r="G471" i="7" s="1"/>
  <c r="K468" i="7"/>
  <c r="K471" i="7" s="1"/>
  <c r="K472" i="7" s="1"/>
  <c r="R451" i="7"/>
  <c r="D468" i="7"/>
  <c r="D471" i="7" s="1"/>
  <c r="Q453" i="7"/>
  <c r="Q466" i="7"/>
  <c r="R498" i="7"/>
  <c r="R507" i="7"/>
  <c r="R529" i="7"/>
  <c r="R534" i="7"/>
  <c r="K567" i="7"/>
  <c r="K570" i="7" s="1"/>
  <c r="E550" i="7"/>
  <c r="R578" i="7"/>
  <c r="Q580" i="7"/>
  <c r="R580" i="7" s="1"/>
  <c r="R591" i="7"/>
  <c r="P613" i="7"/>
  <c r="P616" i="7" s="1"/>
  <c r="M604" i="7"/>
  <c r="O613" i="7"/>
  <c r="O616" i="7" s="1"/>
  <c r="O617" i="7" s="1"/>
  <c r="M612" i="7"/>
  <c r="F659" i="7"/>
  <c r="F662" i="7" s="1"/>
  <c r="P659" i="7"/>
  <c r="P662" i="7" s="1"/>
  <c r="Q638" i="7"/>
  <c r="Q647" i="7"/>
  <c r="M657" i="7"/>
  <c r="R682" i="7"/>
  <c r="G702" i="7"/>
  <c r="G706" i="7" s="1"/>
  <c r="G707" i="7" s="1"/>
  <c r="Q701" i="7"/>
  <c r="R703" i="7"/>
  <c r="R717" i="7"/>
  <c r="D751" i="7"/>
  <c r="D754" i="7" s="1"/>
  <c r="D756" i="7" s="1"/>
  <c r="D757" i="7" s="1"/>
  <c r="H751" i="7"/>
  <c r="H754" i="7" s="1"/>
  <c r="E729" i="7"/>
  <c r="G751" i="7"/>
  <c r="G754" i="7" s="1"/>
  <c r="R733" i="7"/>
  <c r="R738" i="7"/>
  <c r="M776" i="7"/>
  <c r="C783" i="7"/>
  <c r="C814" i="7" s="1"/>
  <c r="B796" i="7"/>
  <c r="B818" i="7" s="1"/>
  <c r="E818" i="7" s="1"/>
  <c r="E790" i="7"/>
  <c r="D796" i="7"/>
  <c r="D818" i="7" s="1"/>
  <c r="E795" i="7"/>
  <c r="E793" i="7"/>
  <c r="G796" i="7"/>
  <c r="G818" i="7" s="1"/>
  <c r="I794" i="7"/>
  <c r="AF827" i="7"/>
  <c r="AS862" i="7"/>
  <c r="H59" i="9"/>
  <c r="H62" i="9" s="1"/>
  <c r="E58" i="9"/>
  <c r="Q58" i="9"/>
  <c r="R58" i="9" s="1"/>
  <c r="R78" i="9"/>
  <c r="Q88" i="9"/>
  <c r="R109" i="9"/>
  <c r="R110" i="9"/>
  <c r="R112" i="9"/>
  <c r="R114" i="9"/>
  <c r="R116" i="9"/>
  <c r="R139" i="9"/>
  <c r="R141" i="9"/>
  <c r="R143" i="9"/>
  <c r="R144" i="9"/>
  <c r="R146" i="9"/>
  <c r="R156" i="9"/>
  <c r="R168" i="9"/>
  <c r="R196" i="9"/>
  <c r="R198" i="9"/>
  <c r="R221" i="9"/>
  <c r="R228" i="9"/>
  <c r="R243" i="9"/>
  <c r="R251" i="9"/>
  <c r="R293" i="9"/>
  <c r="R294" i="9"/>
  <c r="R295" i="9"/>
  <c r="R296" i="9"/>
  <c r="Q336" i="9"/>
  <c r="R342" i="9"/>
  <c r="R347" i="9"/>
  <c r="R359" i="9"/>
  <c r="AF841" i="9"/>
  <c r="AD806" i="9"/>
  <c r="F967" i="9"/>
  <c r="C940" i="9" s="1"/>
  <c r="I967" i="9"/>
  <c r="F970" i="9"/>
  <c r="C943" i="9" s="1"/>
  <c r="I970" i="9"/>
  <c r="R46" i="9"/>
  <c r="E17" i="9"/>
  <c r="R17" i="9" s="1"/>
  <c r="M18" i="9"/>
  <c r="Q18" i="9"/>
  <c r="J59" i="9"/>
  <c r="J62" i="9" s="1"/>
  <c r="R74" i="9"/>
  <c r="R76" i="9"/>
  <c r="R77" i="9"/>
  <c r="R79" i="9"/>
  <c r="D125" i="9"/>
  <c r="D128" i="9" s="1"/>
  <c r="N125" i="9"/>
  <c r="R92" i="9"/>
  <c r="R93" i="9"/>
  <c r="R99" i="9"/>
  <c r="Q106" i="9"/>
  <c r="R111" i="9"/>
  <c r="Q123" i="9"/>
  <c r="R149" i="9"/>
  <c r="R179" i="9"/>
  <c r="R188" i="9"/>
  <c r="H260" i="9"/>
  <c r="H268" i="9" s="1"/>
  <c r="H269" i="9" s="1"/>
  <c r="Q191" i="9"/>
  <c r="R202" i="9"/>
  <c r="R203" i="9"/>
  <c r="R224" i="9"/>
  <c r="R225" i="9"/>
  <c r="R226" i="9"/>
  <c r="R227" i="9"/>
  <c r="R229" i="9"/>
  <c r="R236" i="9"/>
  <c r="R254" i="9"/>
  <c r="R255" i="9"/>
  <c r="E258" i="9"/>
  <c r="R258" i="9" s="1"/>
  <c r="M258" i="9"/>
  <c r="R318" i="9"/>
  <c r="D395" i="9"/>
  <c r="D400" i="9" s="1"/>
  <c r="I323" i="9"/>
  <c r="R323" i="9" s="1"/>
  <c r="N395" i="9"/>
  <c r="N400" i="9" s="1"/>
  <c r="Q323" i="9"/>
  <c r="R328" i="9"/>
  <c r="R330" i="9"/>
  <c r="R332" i="9"/>
  <c r="R339" i="9"/>
  <c r="R340" i="9"/>
  <c r="R343" i="9"/>
  <c r="R366" i="9"/>
  <c r="R367" i="9"/>
  <c r="Q393" i="9"/>
  <c r="R416" i="9"/>
  <c r="R417" i="9"/>
  <c r="R420" i="9"/>
  <c r="B444" i="9"/>
  <c r="B447" i="9" s="1"/>
  <c r="Q434" i="9"/>
  <c r="R434" i="9" s="1"/>
  <c r="Q604" i="9"/>
  <c r="R701" i="9"/>
  <c r="R705" i="9"/>
  <c r="Q750" i="9"/>
  <c r="E757" i="9"/>
  <c r="I761" i="9"/>
  <c r="AF840" i="9"/>
  <c r="AS840" i="9"/>
  <c r="AD840" i="9"/>
  <c r="AG841" i="9"/>
  <c r="E323" i="9"/>
  <c r="B395" i="9"/>
  <c r="B400" i="9" s="1"/>
  <c r="J719" i="9"/>
  <c r="M693" i="9"/>
  <c r="AS843" i="9"/>
  <c r="AF843" i="9"/>
  <c r="AD808" i="9"/>
  <c r="AO808" i="9" s="1"/>
  <c r="AE843" i="9"/>
  <c r="AD843" i="9"/>
  <c r="J1016" i="9"/>
  <c r="Q14" i="9"/>
  <c r="M16" i="9"/>
  <c r="R16" i="9" s="1"/>
  <c r="R38" i="9"/>
  <c r="B59" i="9"/>
  <c r="B62" i="9" s="1"/>
  <c r="O59" i="9"/>
  <c r="O62" i="9" s="1"/>
  <c r="Q46" i="9"/>
  <c r="I50" i="9"/>
  <c r="K59" i="9"/>
  <c r="K62" i="9" s="1"/>
  <c r="Q57" i="9"/>
  <c r="M58" i="9"/>
  <c r="R80" i="9"/>
  <c r="R83" i="9"/>
  <c r="F125" i="9"/>
  <c r="F128" i="9" s="1"/>
  <c r="O125" i="9"/>
  <c r="O128" i="9" s="1"/>
  <c r="E95" i="9"/>
  <c r="R100" i="9"/>
  <c r="R101" i="9"/>
  <c r="M123" i="9"/>
  <c r="R154" i="9"/>
  <c r="R155" i="9"/>
  <c r="R157" i="9"/>
  <c r="R160" i="9"/>
  <c r="R180" i="9"/>
  <c r="R181" i="9"/>
  <c r="R183" i="9"/>
  <c r="R184" i="9"/>
  <c r="R185" i="9"/>
  <c r="R187" i="9"/>
  <c r="R212" i="9"/>
  <c r="R239" i="9"/>
  <c r="E240" i="9"/>
  <c r="R240" i="9" s="1"/>
  <c r="R253" i="9"/>
  <c r="Q258" i="9"/>
  <c r="Q259" i="9"/>
  <c r="R261" i="9"/>
  <c r="R265" i="9"/>
  <c r="R266" i="9"/>
  <c r="R277" i="9"/>
  <c r="R279" i="9" s="1"/>
  <c r="R287" i="9"/>
  <c r="R302" i="9"/>
  <c r="R309" i="9"/>
  <c r="F395" i="9"/>
  <c r="F400" i="9" s="1"/>
  <c r="M323" i="9"/>
  <c r="O395" i="9"/>
  <c r="O400" i="9" s="1"/>
  <c r="R350" i="9"/>
  <c r="R351" i="9"/>
  <c r="R368" i="9"/>
  <c r="E369" i="9"/>
  <c r="R369" i="9" s="1"/>
  <c r="Q369" i="9"/>
  <c r="R374" i="9"/>
  <c r="R382" i="9"/>
  <c r="M394" i="9"/>
  <c r="Q394" i="9"/>
  <c r="Q424" i="9"/>
  <c r="I429" i="9"/>
  <c r="R433" i="9"/>
  <c r="E434" i="9"/>
  <c r="R481" i="9"/>
  <c r="R515" i="9"/>
  <c r="R527" i="9"/>
  <c r="C539" i="9"/>
  <c r="I123" i="9"/>
  <c r="M124" i="9"/>
  <c r="R142" i="9"/>
  <c r="R152" i="9"/>
  <c r="R159" i="9"/>
  <c r="R171" i="9"/>
  <c r="R172" i="9"/>
  <c r="R173" i="9"/>
  <c r="R175" i="9"/>
  <c r="R177" i="9"/>
  <c r="D260" i="9"/>
  <c r="D268" i="9" s="1"/>
  <c r="D269" i="9" s="1"/>
  <c r="M198" i="9"/>
  <c r="R206" i="9"/>
  <c r="R208" i="9"/>
  <c r="R210" i="9"/>
  <c r="R213" i="9"/>
  <c r="R230" i="9"/>
  <c r="R232" i="9"/>
  <c r="R234" i="9"/>
  <c r="R237" i="9"/>
  <c r="M240" i="9"/>
  <c r="R246" i="9"/>
  <c r="R248" i="9"/>
  <c r="R249" i="9"/>
  <c r="R252" i="9"/>
  <c r="Q279" i="9"/>
  <c r="R299" i="9"/>
  <c r="R311" i="9"/>
  <c r="R313" i="9"/>
  <c r="R315" i="9"/>
  <c r="C395" i="9"/>
  <c r="C400" i="9" s="1"/>
  <c r="H395" i="9"/>
  <c r="H400" i="9" s="1"/>
  <c r="L395" i="9"/>
  <c r="L400" i="9" s="1"/>
  <c r="R346" i="9"/>
  <c r="R348" i="9"/>
  <c r="R349" i="9"/>
  <c r="R360" i="9"/>
  <c r="R362" i="9"/>
  <c r="R364" i="9"/>
  <c r="I369" i="9"/>
  <c r="M369" i="9"/>
  <c r="R385" i="9"/>
  <c r="R387" i="9"/>
  <c r="R389" i="9"/>
  <c r="R392" i="9"/>
  <c r="E394" i="9"/>
  <c r="I394" i="9"/>
  <c r="R394" i="9" s="1"/>
  <c r="D444" i="9"/>
  <c r="D447" i="9" s="1"/>
  <c r="J444" i="9"/>
  <c r="J447" i="9" s="1"/>
  <c r="I434" i="9"/>
  <c r="R459" i="9"/>
  <c r="Q474" i="9"/>
  <c r="E485" i="9"/>
  <c r="R500" i="9"/>
  <c r="R503" i="9"/>
  <c r="R506" i="9"/>
  <c r="E604" i="9"/>
  <c r="R604" i="9" s="1"/>
  <c r="E608" i="9"/>
  <c r="R613" i="9"/>
  <c r="Q642" i="9"/>
  <c r="N672" i="9"/>
  <c r="Q656" i="9"/>
  <c r="Q660" i="9"/>
  <c r="AG838" i="9"/>
  <c r="AD803" i="9"/>
  <c r="AO809" i="9"/>
  <c r="AF809" i="9"/>
  <c r="J888" i="9"/>
  <c r="I443" i="9"/>
  <c r="M443" i="9"/>
  <c r="R457" i="9"/>
  <c r="I463" i="9"/>
  <c r="R466" i="9"/>
  <c r="I474" i="9"/>
  <c r="M484" i="9"/>
  <c r="Q484" i="9"/>
  <c r="B539" i="9"/>
  <c r="B542" i="9" s="1"/>
  <c r="G539" i="9"/>
  <c r="G542" i="9" s="1"/>
  <c r="N539" i="9"/>
  <c r="R516" i="9"/>
  <c r="I518" i="9"/>
  <c r="R535" i="9"/>
  <c r="I537" i="9"/>
  <c r="R562" i="9"/>
  <c r="R563" i="9"/>
  <c r="R616" i="9"/>
  <c r="Q617" i="9"/>
  <c r="R623" i="9"/>
  <c r="Q628" i="9"/>
  <c r="D672" i="9"/>
  <c r="D676" i="9" s="1"/>
  <c r="D678" i="9" s="1"/>
  <c r="P805" i="9" s="1"/>
  <c r="M670" i="9"/>
  <c r="R674" i="9"/>
  <c r="R691" i="9"/>
  <c r="B719" i="9"/>
  <c r="B722" i="9" s="1"/>
  <c r="B724" i="9" s="1"/>
  <c r="K719" i="9"/>
  <c r="K722" i="9" s="1"/>
  <c r="K724" i="9" s="1"/>
  <c r="Q810" i="9" s="1"/>
  <c r="Q865" i="9" s="1"/>
  <c r="R945" i="9" s="1"/>
  <c r="O719" i="9"/>
  <c r="O722" i="9" s="1"/>
  <c r="E707" i="9"/>
  <c r="E717" i="9"/>
  <c r="I717" i="9"/>
  <c r="R720" i="9"/>
  <c r="K746" i="9"/>
  <c r="K780" i="9" s="1"/>
  <c r="M741" i="9"/>
  <c r="E743" i="9"/>
  <c r="I744" i="9"/>
  <c r="I753" i="9"/>
  <c r="E754" i="9"/>
  <c r="J764" i="9"/>
  <c r="J786" i="9" s="1"/>
  <c r="Q757" i="9"/>
  <c r="Q758" i="9"/>
  <c r="N763" i="9"/>
  <c r="AS846" i="9"/>
  <c r="AH849" i="9"/>
  <c r="O899" i="9"/>
  <c r="M1028" i="9"/>
  <c r="R440" i="9"/>
  <c r="E442" i="9"/>
  <c r="R458" i="9"/>
  <c r="G486" i="9"/>
  <c r="G489" i="9" s="1"/>
  <c r="L486" i="9"/>
  <c r="L489" i="9" s="1"/>
  <c r="L490" i="9" s="1"/>
  <c r="R467" i="9"/>
  <c r="I469" i="9"/>
  <c r="R473" i="9"/>
  <c r="M474" i="9"/>
  <c r="R474" i="9" s="1"/>
  <c r="I485" i="9"/>
  <c r="M485" i="9"/>
  <c r="R499" i="9"/>
  <c r="R502" i="9"/>
  <c r="H539" i="9"/>
  <c r="H542" i="9" s="1"/>
  <c r="M518" i="9"/>
  <c r="R540" i="9"/>
  <c r="J585" i="9"/>
  <c r="O585" i="9"/>
  <c r="O588" i="9" s="1"/>
  <c r="K585" i="9"/>
  <c r="K588" i="9" s="1"/>
  <c r="Q576" i="9"/>
  <c r="M583" i="9"/>
  <c r="R598" i="9"/>
  <c r="R600" i="9"/>
  <c r="N629" i="9"/>
  <c r="N632" i="9" s="1"/>
  <c r="Q632" i="9" s="1"/>
  <c r="Q608" i="9"/>
  <c r="R608" i="9" s="1"/>
  <c r="I628" i="9"/>
  <c r="I656" i="9"/>
  <c r="E664" i="9"/>
  <c r="C719" i="9"/>
  <c r="C722" i="9" s="1"/>
  <c r="C724" i="9" s="1"/>
  <c r="Q804" i="9" s="1"/>
  <c r="Q859" i="9" s="1"/>
  <c r="R939" i="9" s="1"/>
  <c r="Q698" i="9"/>
  <c r="R710" i="9"/>
  <c r="C746" i="9"/>
  <c r="C780" i="9" s="1"/>
  <c r="L746" i="9"/>
  <c r="L780" i="9" s="1"/>
  <c r="P746" i="9"/>
  <c r="M742" i="9"/>
  <c r="O746" i="9"/>
  <c r="E745" i="9"/>
  <c r="M749" i="9"/>
  <c r="I757" i="9"/>
  <c r="M758" i="9"/>
  <c r="L763" i="9"/>
  <c r="M761" i="9"/>
  <c r="M762" i="9"/>
  <c r="F764" i="9"/>
  <c r="I968" i="9"/>
  <c r="I971" i="9"/>
  <c r="I972" i="9"/>
  <c r="N1025" i="9"/>
  <c r="B585" i="9"/>
  <c r="Q572" i="9"/>
  <c r="C585" i="9"/>
  <c r="C588" i="9" s="1"/>
  <c r="R580" i="9"/>
  <c r="I583" i="9"/>
  <c r="Q584" i="9"/>
  <c r="R599" i="9"/>
  <c r="I617" i="9"/>
  <c r="K629" i="9"/>
  <c r="K632" i="9" s="1"/>
  <c r="K633" i="9" s="1"/>
  <c r="R628" i="9"/>
  <c r="R652" i="9"/>
  <c r="M660" i="9"/>
  <c r="E670" i="9"/>
  <c r="R670" i="9" s="1"/>
  <c r="F672" i="9"/>
  <c r="M671" i="9"/>
  <c r="O672" i="9"/>
  <c r="O676" i="9" s="1"/>
  <c r="O678" i="9" s="1"/>
  <c r="I698" i="9"/>
  <c r="R698" i="9" s="1"/>
  <c r="R704" i="9"/>
  <c r="G719" i="9"/>
  <c r="G722" i="9" s="1"/>
  <c r="M717" i="9"/>
  <c r="Q717" i="9"/>
  <c r="D746" i="9"/>
  <c r="E741" i="9"/>
  <c r="E742" i="9"/>
  <c r="M743" i="9"/>
  <c r="I749" i="9"/>
  <c r="M753" i="9"/>
  <c r="Q753" i="9"/>
  <c r="M754" i="9"/>
  <c r="I758" i="9"/>
  <c r="C763" i="9"/>
  <c r="E761" i="9"/>
  <c r="E974" i="9"/>
  <c r="B947" i="9" s="1"/>
  <c r="I975" i="9"/>
  <c r="N1019" i="9"/>
  <c r="R17" i="15"/>
  <c r="I14" i="15"/>
  <c r="Q16" i="15"/>
  <c r="I18" i="15"/>
  <c r="E41" i="15"/>
  <c r="D59" i="15"/>
  <c r="D62" i="15" s="1"/>
  <c r="R79" i="15"/>
  <c r="R100" i="15"/>
  <c r="R103" i="15"/>
  <c r="R105" i="15"/>
  <c r="E109" i="15"/>
  <c r="R116" i="15"/>
  <c r="R131" i="15"/>
  <c r="R146" i="15"/>
  <c r="R159" i="15"/>
  <c r="R166" i="15"/>
  <c r="R173" i="15"/>
  <c r="R182" i="15"/>
  <c r="C898" i="15"/>
  <c r="H898" i="15"/>
  <c r="R196" i="15"/>
  <c r="R241" i="15"/>
  <c r="R282" i="15"/>
  <c r="R284" i="15"/>
  <c r="R316" i="15"/>
  <c r="R321" i="15"/>
  <c r="R345" i="15"/>
  <c r="R347" i="15"/>
  <c r="R362" i="15"/>
  <c r="R367" i="15"/>
  <c r="R378" i="15"/>
  <c r="R384" i="15"/>
  <c r="R387" i="15"/>
  <c r="Z404" i="15"/>
  <c r="R408" i="15"/>
  <c r="R415" i="15"/>
  <c r="R453" i="15"/>
  <c r="R458" i="15"/>
  <c r="R461" i="15"/>
  <c r="R503" i="15"/>
  <c r="R508" i="15"/>
  <c r="R540" i="15"/>
  <c r="R831" i="15"/>
  <c r="M14" i="15"/>
  <c r="R14" i="15" s="1"/>
  <c r="Q15" i="15"/>
  <c r="P59" i="15"/>
  <c r="P62" i="15" s="1"/>
  <c r="I46" i="15"/>
  <c r="M50" i="15"/>
  <c r="E57" i="15"/>
  <c r="R73" i="15"/>
  <c r="O130" i="15"/>
  <c r="O133" i="15" s="1"/>
  <c r="M96" i="15"/>
  <c r="R108" i="15"/>
  <c r="R114" i="15"/>
  <c r="R117" i="15"/>
  <c r="R119" i="15"/>
  <c r="R127" i="15"/>
  <c r="Q128" i="15"/>
  <c r="Q129" i="15"/>
  <c r="R145" i="15"/>
  <c r="R147" i="15"/>
  <c r="R154" i="15"/>
  <c r="R157" i="15"/>
  <c r="R160" i="15"/>
  <c r="R162" i="15"/>
  <c r="R167" i="15"/>
  <c r="R174" i="15"/>
  <c r="R189" i="15"/>
  <c r="R194" i="15"/>
  <c r="R197" i="15"/>
  <c r="R201" i="15"/>
  <c r="R203" i="15"/>
  <c r="R208" i="15"/>
  <c r="Q222" i="15"/>
  <c r="R247" i="15"/>
  <c r="R259" i="15"/>
  <c r="R262" i="15"/>
  <c r="R267" i="15"/>
  <c r="R308" i="15"/>
  <c r="R312" i="15"/>
  <c r="Q334" i="15"/>
  <c r="R474" i="15"/>
  <c r="R477" i="15"/>
  <c r="Q14" i="15"/>
  <c r="I15" i="15"/>
  <c r="R15" i="15" s="1"/>
  <c r="I16" i="15"/>
  <c r="G59" i="15"/>
  <c r="G62" i="15" s="1"/>
  <c r="I50" i="15"/>
  <c r="I57" i="15"/>
  <c r="R72" i="15"/>
  <c r="R74" i="15"/>
  <c r="R76" i="15"/>
  <c r="R81" i="15"/>
  <c r="R86" i="15"/>
  <c r="I89" i="15"/>
  <c r="K130" i="15"/>
  <c r="K133" i="15" s="1"/>
  <c r="R94" i="15"/>
  <c r="R107" i="15"/>
  <c r="M109" i="15"/>
  <c r="R113" i="15"/>
  <c r="R124" i="15"/>
  <c r="E128" i="15"/>
  <c r="E129" i="15"/>
  <c r="R148" i="15"/>
  <c r="R153" i="15"/>
  <c r="R155" i="15"/>
  <c r="R168" i="15"/>
  <c r="R170" i="15"/>
  <c r="R433" i="15"/>
  <c r="R437" i="15"/>
  <c r="R200" i="15"/>
  <c r="R207" i="15"/>
  <c r="M222" i="15"/>
  <c r="R222" i="15" s="1"/>
  <c r="R227" i="15"/>
  <c r="R239" i="15"/>
  <c r="R248" i="15"/>
  <c r="R249" i="15"/>
  <c r="R251" i="15"/>
  <c r="R252" i="15"/>
  <c r="R253" i="15"/>
  <c r="R254" i="15"/>
  <c r="R258" i="15"/>
  <c r="R271" i="15"/>
  <c r="R272" i="15"/>
  <c r="R287" i="15"/>
  <c r="R293" i="15"/>
  <c r="R299" i="15"/>
  <c r="R301" i="15"/>
  <c r="R303" i="15"/>
  <c r="R304" i="15"/>
  <c r="R306" i="15"/>
  <c r="R319" i="15"/>
  <c r="R357" i="15"/>
  <c r="R360" i="15"/>
  <c r="R376" i="15"/>
  <c r="R390" i="15"/>
  <c r="R394" i="15"/>
  <c r="R395" i="15"/>
  <c r="R431" i="15"/>
  <c r="R438" i="15"/>
  <c r="R451" i="15"/>
  <c r="R467" i="15"/>
  <c r="R483" i="15"/>
  <c r="R501" i="15"/>
  <c r="M548" i="15"/>
  <c r="R562" i="15"/>
  <c r="Q563" i="15"/>
  <c r="R579" i="15"/>
  <c r="R580" i="15"/>
  <c r="R623" i="15"/>
  <c r="R624" i="15"/>
  <c r="R626" i="15"/>
  <c r="R627" i="15"/>
  <c r="R629" i="15"/>
  <c r="F676" i="15"/>
  <c r="K676" i="15"/>
  <c r="K679" i="15" s="1"/>
  <c r="P676" i="15"/>
  <c r="P679" i="15" s="1"/>
  <c r="P680" i="15" s="1"/>
  <c r="M646" i="15"/>
  <c r="R646" i="15" s="1"/>
  <c r="R650" i="15"/>
  <c r="R669" i="15"/>
  <c r="R672" i="15"/>
  <c r="M689" i="15"/>
  <c r="O722" i="15"/>
  <c r="O725" i="15" s="1"/>
  <c r="E713" i="15"/>
  <c r="R717" i="15"/>
  <c r="E801" i="15"/>
  <c r="R854" i="15"/>
  <c r="R256" i="15"/>
  <c r="R260" i="15"/>
  <c r="R268" i="15"/>
  <c r="R279" i="15"/>
  <c r="R289" i="15"/>
  <c r="E314" i="15"/>
  <c r="R314" i="15" s="1"/>
  <c r="R317" i="15"/>
  <c r="R318" i="15"/>
  <c r="R320" i="15"/>
  <c r="R343" i="15"/>
  <c r="R363" i="15"/>
  <c r="R364" i="15"/>
  <c r="R366" i="15"/>
  <c r="R380" i="15"/>
  <c r="R383" i="15"/>
  <c r="R406" i="15"/>
  <c r="R407" i="15"/>
  <c r="Q411" i="15"/>
  <c r="R416" i="15"/>
  <c r="R420" i="15"/>
  <c r="R447" i="15"/>
  <c r="R452" i="15"/>
  <c r="R454" i="15"/>
  <c r="R456" i="15"/>
  <c r="R457" i="15"/>
  <c r="R463" i="15"/>
  <c r="R468" i="15"/>
  <c r="R470" i="15"/>
  <c r="R472" i="15"/>
  <c r="R473" i="15"/>
  <c r="R479" i="15"/>
  <c r="R488" i="15"/>
  <c r="R502" i="15"/>
  <c r="R504" i="15"/>
  <c r="R506" i="15"/>
  <c r="I510" i="15"/>
  <c r="I555" i="15"/>
  <c r="I657" i="15"/>
  <c r="I772" i="15"/>
  <c r="R833" i="15"/>
  <c r="I846" i="15"/>
  <c r="M900" i="15"/>
  <c r="J903" i="15"/>
  <c r="R176" i="15"/>
  <c r="R177" i="15"/>
  <c r="R178" i="15"/>
  <c r="R184" i="15"/>
  <c r="P315" i="15"/>
  <c r="P323" i="15" s="1"/>
  <c r="R190" i="15"/>
  <c r="R209" i="15"/>
  <c r="R211" i="15"/>
  <c r="R212" i="15"/>
  <c r="R213" i="15"/>
  <c r="D315" i="15"/>
  <c r="D323" i="15" s="1"/>
  <c r="R220" i="15"/>
  <c r="R229" i="15"/>
  <c r="R242" i="15"/>
  <c r="R243" i="15"/>
  <c r="R245" i="15"/>
  <c r="R246" i="15"/>
  <c r="R257" i="15"/>
  <c r="R263" i="15"/>
  <c r="R264" i="15"/>
  <c r="R265" i="15"/>
  <c r="R266" i="15"/>
  <c r="R285" i="15"/>
  <c r="R286" i="15"/>
  <c r="R310" i="15"/>
  <c r="M313" i="15"/>
  <c r="R313" i="15" s="1"/>
  <c r="R328" i="15"/>
  <c r="M334" i="15"/>
  <c r="R344" i="15"/>
  <c r="R346" i="15"/>
  <c r="R352" i="15"/>
  <c r="R353" i="15"/>
  <c r="R371" i="15"/>
  <c r="R382" i="15"/>
  <c r="R385" i="15"/>
  <c r="R402" i="15"/>
  <c r="AL403" i="15"/>
  <c r="AH405" i="15"/>
  <c r="R409" i="15"/>
  <c r="I411" i="15"/>
  <c r="R411" i="15" s="1"/>
  <c r="R423" i="15"/>
  <c r="R425" i="15"/>
  <c r="R443" i="15"/>
  <c r="R459" i="15"/>
  <c r="R475" i="15"/>
  <c r="R491" i="15"/>
  <c r="R515" i="15"/>
  <c r="R534" i="15"/>
  <c r="R535" i="15"/>
  <c r="R536" i="15"/>
  <c r="R537" i="15"/>
  <c r="R539" i="15"/>
  <c r="F565" i="15"/>
  <c r="I543" i="15"/>
  <c r="K565" i="15"/>
  <c r="K568" i="15" s="1"/>
  <c r="P565" i="15"/>
  <c r="P568" i="15" s="1"/>
  <c r="R554" i="15"/>
  <c r="E555" i="15"/>
  <c r="R555" i="15" s="1"/>
  <c r="N610" i="15"/>
  <c r="I608" i="15"/>
  <c r="R656" i="15"/>
  <c r="E657" i="15"/>
  <c r="R657" i="15" s="1"/>
  <c r="I674" i="15"/>
  <c r="M675" i="15"/>
  <c r="M720" i="15"/>
  <c r="M721" i="15"/>
  <c r="R738" i="15"/>
  <c r="R740" i="15"/>
  <c r="J774" i="15"/>
  <c r="M744" i="15"/>
  <c r="E748" i="15"/>
  <c r="O774" i="15"/>
  <c r="O777" i="15" s="1"/>
  <c r="R768" i="15"/>
  <c r="R769" i="15"/>
  <c r="M772" i="15"/>
  <c r="R785" i="15"/>
  <c r="I801" i="15"/>
  <c r="K817" i="15"/>
  <c r="K821" i="15" s="1"/>
  <c r="P817" i="15"/>
  <c r="P821" i="15" s="1"/>
  <c r="P823" i="15" s="1"/>
  <c r="E809" i="15"/>
  <c r="I815" i="15"/>
  <c r="R815" i="15" s="1"/>
  <c r="M816" i="15"/>
  <c r="R834" i="15"/>
  <c r="E841" i="15"/>
  <c r="R844" i="15"/>
  <c r="I869" i="15"/>
  <c r="R869" i="15" s="1"/>
  <c r="R872" i="15"/>
  <c r="B916" i="15"/>
  <c r="E909" i="15"/>
  <c r="O903" i="15"/>
  <c r="O934" i="15" s="1"/>
  <c r="Q934" i="15" s="1"/>
  <c r="L916" i="15"/>
  <c r="L938" i="15" s="1"/>
  <c r="N916" i="15"/>
  <c r="R509" i="15"/>
  <c r="E511" i="15"/>
  <c r="R513" i="15"/>
  <c r="C565" i="15"/>
  <c r="C568" i="15" s="1"/>
  <c r="E568" i="15" s="1"/>
  <c r="H565" i="15"/>
  <c r="H568" i="15" s="1"/>
  <c r="L565" i="15"/>
  <c r="L568" i="15" s="1"/>
  <c r="Q543" i="15"/>
  <c r="Q564" i="15"/>
  <c r="R564" i="15" s="1"/>
  <c r="R566" i="15"/>
  <c r="R578" i="15"/>
  <c r="R582" i="15"/>
  <c r="B610" i="15"/>
  <c r="E610" i="15" s="1"/>
  <c r="L610" i="15"/>
  <c r="L613" i="15" s="1"/>
  <c r="E592" i="15"/>
  <c r="R596" i="15"/>
  <c r="E597" i="15"/>
  <c r="R597" i="15" s="1"/>
  <c r="Q608" i="15"/>
  <c r="R625" i="15"/>
  <c r="R628" i="15"/>
  <c r="R638" i="15"/>
  <c r="C676" i="15"/>
  <c r="C679" i="15" s="1"/>
  <c r="H676" i="15"/>
  <c r="H679" i="15" s="1"/>
  <c r="N676" i="15"/>
  <c r="R660" i="15"/>
  <c r="E675" i="15"/>
  <c r="P722" i="15"/>
  <c r="P725" i="15" s="1"/>
  <c r="E720" i="15"/>
  <c r="I720" i="15"/>
  <c r="R723" i="15"/>
  <c r="R737" i="15"/>
  <c r="P774" i="15"/>
  <c r="P777" i="15" s="1"/>
  <c r="E772" i="15"/>
  <c r="R772" i="15" s="1"/>
  <c r="E773" i="15"/>
  <c r="D817" i="15"/>
  <c r="D821" i="15" s="1"/>
  <c r="Q816" i="15"/>
  <c r="F871" i="15"/>
  <c r="F874" i="15" s="1"/>
  <c r="O871" i="15"/>
  <c r="O874" i="15" s="1"/>
  <c r="O876" i="15" s="1"/>
  <c r="R857" i="15"/>
  <c r="M870" i="15"/>
  <c r="Q893" i="15"/>
  <c r="M895" i="15"/>
  <c r="E896" i="15"/>
  <c r="I896" i="15"/>
  <c r="E897" i="15"/>
  <c r="P903" i="15"/>
  <c r="P934" i="15" s="1"/>
  <c r="Q909" i="15"/>
  <c r="Q910" i="15"/>
  <c r="I913" i="15"/>
  <c r="R913" i="15" s="1"/>
  <c r="F1014" i="15"/>
  <c r="Q510" i="15"/>
  <c r="Q511" i="15"/>
  <c r="D565" i="15"/>
  <c r="D568" i="15" s="1"/>
  <c r="D569" i="15" s="1"/>
  <c r="E548" i="15"/>
  <c r="M555" i="15"/>
  <c r="R561" i="15"/>
  <c r="E563" i="15"/>
  <c r="R563" i="15" s="1"/>
  <c r="I564" i="15"/>
  <c r="Q586" i="15"/>
  <c r="R590" i="15"/>
  <c r="R604" i="15"/>
  <c r="M608" i="15"/>
  <c r="M609" i="15"/>
  <c r="Q609" i="15"/>
  <c r="R633" i="15"/>
  <c r="D676" i="15"/>
  <c r="D679" i="15" s="1"/>
  <c r="M640" i="15"/>
  <c r="R651" i="15"/>
  <c r="R652" i="15"/>
  <c r="R654" i="15"/>
  <c r="M657" i="15"/>
  <c r="R661" i="15"/>
  <c r="R664" i="15"/>
  <c r="R666" i="15"/>
  <c r="R668" i="15"/>
  <c r="R671" i="15"/>
  <c r="M674" i="15"/>
  <c r="Q675" i="15"/>
  <c r="G722" i="15"/>
  <c r="G725" i="15" s="1"/>
  <c r="R700" i="15"/>
  <c r="C722" i="15"/>
  <c r="C725" i="15" s="1"/>
  <c r="I709" i="15"/>
  <c r="I713" i="15"/>
  <c r="M713" i="15"/>
  <c r="Q721" i="15"/>
  <c r="H774" i="15"/>
  <c r="H777" i="15" s="1"/>
  <c r="M748" i="15"/>
  <c r="R761" i="15"/>
  <c r="Q762" i="15"/>
  <c r="R767" i="15"/>
  <c r="Q772" i="15"/>
  <c r="R775" i="15"/>
  <c r="J817" i="15"/>
  <c r="J821" i="15" s="1"/>
  <c r="J822" i="15" s="1"/>
  <c r="M815" i="15"/>
  <c r="Q815" i="15"/>
  <c r="E816" i="15"/>
  <c r="R832" i="15"/>
  <c r="R835" i="15"/>
  <c r="R839" i="15"/>
  <c r="B871" i="15"/>
  <c r="P871" i="15"/>
  <c r="P874" i="15" s="1"/>
  <c r="P876" i="15" s="1"/>
  <c r="Q876" i="15" s="1"/>
  <c r="R850" i="15"/>
  <c r="R855" i="15"/>
  <c r="M869" i="15"/>
  <c r="E895" i="15"/>
  <c r="R895" i="15" s="1"/>
  <c r="Q901" i="15"/>
  <c r="K915" i="15"/>
  <c r="P915" i="15"/>
  <c r="M913" i="15"/>
  <c r="M914" i="15"/>
  <c r="R776" i="14"/>
  <c r="R99" i="14"/>
  <c r="E17" i="14"/>
  <c r="P59" i="14"/>
  <c r="P62" i="14" s="1"/>
  <c r="Q50" i="14"/>
  <c r="I58" i="14"/>
  <c r="R58" i="14" s="1"/>
  <c r="R113" i="14"/>
  <c r="R131" i="14"/>
  <c r="M133" i="14"/>
  <c r="Q134" i="14"/>
  <c r="R164" i="14"/>
  <c r="R178" i="14"/>
  <c r="R202" i="14"/>
  <c r="R213" i="14"/>
  <c r="R233" i="14"/>
  <c r="R252" i="14"/>
  <c r="R264" i="14"/>
  <c r="R270" i="14"/>
  <c r="R323" i="14"/>
  <c r="R352" i="14"/>
  <c r="R387" i="14"/>
  <c r="R389" i="14"/>
  <c r="R404" i="14"/>
  <c r="AH406" i="14"/>
  <c r="R412" i="14"/>
  <c r="R436" i="14"/>
  <c r="R442" i="14"/>
  <c r="R449" i="14"/>
  <c r="R481" i="14"/>
  <c r="R485" i="14"/>
  <c r="R487" i="14"/>
  <c r="I514" i="14"/>
  <c r="R518" i="14"/>
  <c r="R542" i="14"/>
  <c r="M551" i="14"/>
  <c r="M558" i="14"/>
  <c r="M567" i="14"/>
  <c r="R569" i="14"/>
  <c r="I595" i="14"/>
  <c r="R607" i="14"/>
  <c r="M611" i="14"/>
  <c r="I612" i="14"/>
  <c r="R637" i="14"/>
  <c r="M660" i="14"/>
  <c r="R666" i="14"/>
  <c r="Q678" i="14"/>
  <c r="E712" i="14"/>
  <c r="R712" i="14" s="1"/>
  <c r="R738" i="14"/>
  <c r="M751" i="14"/>
  <c r="R761" i="14"/>
  <c r="E765" i="14"/>
  <c r="Q765" i="14"/>
  <c r="R857" i="14"/>
  <c r="M894" i="14"/>
  <c r="M897" i="14"/>
  <c r="I902" i="14"/>
  <c r="M903" i="14"/>
  <c r="J904" i="14"/>
  <c r="E912" i="14"/>
  <c r="P916" i="14"/>
  <c r="R600" i="14"/>
  <c r="I15" i="14"/>
  <c r="Q17" i="14"/>
  <c r="D59" i="14"/>
  <c r="D62" i="14" s="1"/>
  <c r="R60" i="14"/>
  <c r="M92" i="14"/>
  <c r="R127" i="14"/>
  <c r="E133" i="14"/>
  <c r="R155" i="14"/>
  <c r="R165" i="14"/>
  <c r="R167" i="14"/>
  <c r="R172" i="14"/>
  <c r="R189" i="14"/>
  <c r="R191" i="14"/>
  <c r="R279" i="14"/>
  <c r="R363" i="14"/>
  <c r="P515" i="14"/>
  <c r="P520" i="14" s="1"/>
  <c r="P521" i="14" s="1"/>
  <c r="R512" i="14"/>
  <c r="R626" i="14"/>
  <c r="E644" i="14"/>
  <c r="R676" i="14"/>
  <c r="R754" i="14"/>
  <c r="B820" i="14"/>
  <c r="J820" i="14"/>
  <c r="J824" i="14" s="1"/>
  <c r="N820" i="14"/>
  <c r="Q820" i="14" s="1"/>
  <c r="E849" i="14"/>
  <c r="R864" i="14"/>
  <c r="E903" i="14"/>
  <c r="Q910" i="14"/>
  <c r="H59" i="14"/>
  <c r="H62" i="14" s="1"/>
  <c r="R73" i="14"/>
  <c r="R75" i="14"/>
  <c r="R79" i="14"/>
  <c r="R180" i="14"/>
  <c r="R209" i="14"/>
  <c r="R237" i="14"/>
  <c r="R248" i="14"/>
  <c r="R261" i="14"/>
  <c r="R308" i="14"/>
  <c r="L515" i="14"/>
  <c r="L520" i="14" s="1"/>
  <c r="L521" i="14" s="1"/>
  <c r="R358" i="14"/>
  <c r="R360" i="14"/>
  <c r="R377" i="14"/>
  <c r="R381" i="14"/>
  <c r="R384" i="14"/>
  <c r="R398" i="14"/>
  <c r="M414" i="14"/>
  <c r="R424" i="14"/>
  <c r="R426" i="14"/>
  <c r="R451" i="14"/>
  <c r="R466" i="14"/>
  <c r="R468" i="14"/>
  <c r="R470" i="14"/>
  <c r="R474" i="14"/>
  <c r="R505" i="14"/>
  <c r="R511" i="14"/>
  <c r="E558" i="14"/>
  <c r="R558" i="14" s="1"/>
  <c r="E567" i="14"/>
  <c r="O613" i="14"/>
  <c r="O616" i="14" s="1"/>
  <c r="R593" i="14"/>
  <c r="E611" i="14"/>
  <c r="P679" i="14"/>
  <c r="P682" i="14" s="1"/>
  <c r="E660" i="14"/>
  <c r="R660" i="14" s="1"/>
  <c r="M677" i="14"/>
  <c r="R690" i="14"/>
  <c r="R704" i="14"/>
  <c r="Q723" i="14"/>
  <c r="M724" i="14"/>
  <c r="R763" i="14"/>
  <c r="R770" i="14"/>
  <c r="Q808" i="14"/>
  <c r="M896" i="14"/>
  <c r="P917" i="14"/>
  <c r="P939" i="14" s="1"/>
  <c r="O916" i="14"/>
  <c r="M915" i="14"/>
  <c r="Q14" i="14"/>
  <c r="E16" i="14"/>
  <c r="R16" i="14" s="1"/>
  <c r="I17" i="14"/>
  <c r="M41" i="14"/>
  <c r="R81" i="14"/>
  <c r="R85" i="14"/>
  <c r="R89" i="14"/>
  <c r="E92" i="14"/>
  <c r="L135" i="14"/>
  <c r="L138" i="14" s="1"/>
  <c r="R97" i="14"/>
  <c r="R106" i="14"/>
  <c r="R124" i="14"/>
  <c r="R181" i="14"/>
  <c r="R183" i="14"/>
  <c r="R187" i="14"/>
  <c r="R193" i="14"/>
  <c r="R199" i="14"/>
  <c r="R201" i="14"/>
  <c r="R232" i="14"/>
  <c r="R239" i="14"/>
  <c r="R241" i="14"/>
  <c r="R243" i="14"/>
  <c r="R258" i="14"/>
  <c r="R269" i="14"/>
  <c r="R282" i="14"/>
  <c r="R298" i="14"/>
  <c r="R306" i="14"/>
  <c r="M318" i="14"/>
  <c r="R347" i="14"/>
  <c r="R349" i="14"/>
  <c r="R364" i="14"/>
  <c r="R366" i="14"/>
  <c r="R390" i="14"/>
  <c r="R392" i="14"/>
  <c r="R450" i="14"/>
  <c r="R476" i="14"/>
  <c r="R516" i="14"/>
  <c r="R539" i="14"/>
  <c r="R614" i="14"/>
  <c r="R631" i="14"/>
  <c r="R634" i="14"/>
  <c r="H679" i="14"/>
  <c r="H682" i="14" s="1"/>
  <c r="Q644" i="14"/>
  <c r="R654" i="14"/>
  <c r="Q660" i="14"/>
  <c r="R667" i="14"/>
  <c r="K725" i="14"/>
  <c r="K728" i="14" s="1"/>
  <c r="R726" i="14"/>
  <c r="H777" i="14"/>
  <c r="H780" i="14" s="1"/>
  <c r="R764" i="14"/>
  <c r="R769" i="14"/>
  <c r="R771" i="14"/>
  <c r="D820" i="14"/>
  <c r="D824" i="14" s="1"/>
  <c r="D826" i="14" s="1"/>
  <c r="Q860" i="14"/>
  <c r="L917" i="14"/>
  <c r="L939" i="14" s="1"/>
  <c r="AD946" i="14"/>
  <c r="AO946" i="14" s="1"/>
  <c r="AF948" i="14"/>
  <c r="R870" i="14"/>
  <c r="R104" i="14"/>
  <c r="R108" i="14"/>
  <c r="R126" i="14"/>
  <c r="R129" i="14"/>
  <c r="R162" i="14"/>
  <c r="R171" i="14"/>
  <c r="L320" i="14"/>
  <c r="L328" i="14" s="1"/>
  <c r="J899" i="14"/>
  <c r="J933" i="14" s="1"/>
  <c r="R210" i="14"/>
  <c r="R249" i="14"/>
  <c r="R251" i="14"/>
  <c r="R280" i="14"/>
  <c r="R295" i="14"/>
  <c r="R297" i="14"/>
  <c r="I319" i="14"/>
  <c r="D515" i="14"/>
  <c r="D520" i="14" s="1"/>
  <c r="D521" i="14" s="1"/>
  <c r="R362" i="14"/>
  <c r="R368" i="14"/>
  <c r="R374" i="14"/>
  <c r="R405" i="14"/>
  <c r="R411" i="14"/>
  <c r="E414" i="14"/>
  <c r="R418" i="14"/>
  <c r="R420" i="14"/>
  <c r="R458" i="14"/>
  <c r="R478" i="14"/>
  <c r="R484" i="14"/>
  <c r="R500" i="14"/>
  <c r="M914" i="14"/>
  <c r="Q513" i="14"/>
  <c r="R517" i="14"/>
  <c r="R536" i="14"/>
  <c r="R538" i="14"/>
  <c r="R540" i="14"/>
  <c r="R585" i="14"/>
  <c r="R605" i="14"/>
  <c r="J679" i="14"/>
  <c r="J682" i="14" s="1"/>
  <c r="R647" i="14"/>
  <c r="E650" i="14"/>
  <c r="R655" i="14"/>
  <c r="E677" i="14"/>
  <c r="R677" i="14" s="1"/>
  <c r="R703" i="14"/>
  <c r="E708" i="14"/>
  <c r="I723" i="14"/>
  <c r="R723" i="14" s="1"/>
  <c r="E724" i="14"/>
  <c r="R743" i="14"/>
  <c r="J777" i="14"/>
  <c r="Q775" i="14"/>
  <c r="R775" i="14" s="1"/>
  <c r="E804" i="14"/>
  <c r="R804" i="14" s="1"/>
  <c r="M804" i="14"/>
  <c r="I808" i="14"/>
  <c r="I849" i="14"/>
  <c r="E871" i="14"/>
  <c r="E896" i="14"/>
  <c r="Q911" i="14"/>
  <c r="K916" i="14"/>
  <c r="E915" i="14"/>
  <c r="AE982" i="14"/>
  <c r="R716" i="14"/>
  <c r="M18" i="14"/>
  <c r="E41" i="14"/>
  <c r="Q46" i="14"/>
  <c r="J59" i="14"/>
  <c r="M57" i="14"/>
  <c r="R76" i="14"/>
  <c r="D135" i="14"/>
  <c r="D138" i="14" s="1"/>
  <c r="R112" i="14"/>
  <c r="E114" i="14"/>
  <c r="R114" i="14" s="1"/>
  <c r="M134" i="14"/>
  <c r="R148" i="14"/>
  <c r="R166" i="14"/>
  <c r="R168" i="14"/>
  <c r="R179" i="14"/>
  <c r="R190" i="14"/>
  <c r="R208" i="14"/>
  <c r="R214" i="14"/>
  <c r="R236" i="14"/>
  <c r="R247" i="14"/>
  <c r="R253" i="14"/>
  <c r="R255" i="14"/>
  <c r="R265" i="14"/>
  <c r="R275" i="14"/>
  <c r="R277" i="14"/>
  <c r="R286" i="14"/>
  <c r="R307" i="14"/>
  <c r="R370" i="14"/>
  <c r="R388" i="14"/>
  <c r="Z406" i="14"/>
  <c r="AM406" i="14" s="1"/>
  <c r="Q414" i="14"/>
  <c r="R429" i="14"/>
  <c r="R462" i="14"/>
  <c r="R465" i="14"/>
  <c r="R486" i="14"/>
  <c r="R491" i="14"/>
  <c r="R497" i="14"/>
  <c r="R499" i="14"/>
  <c r="R501" i="14"/>
  <c r="E514" i="14"/>
  <c r="I551" i="14"/>
  <c r="I558" i="14"/>
  <c r="M566" i="14"/>
  <c r="I567" i="14"/>
  <c r="H613" i="14"/>
  <c r="H616" i="14" s="1"/>
  <c r="Q595" i="14"/>
  <c r="I611" i="14"/>
  <c r="R611" i="14" s="1"/>
  <c r="E612" i="14"/>
  <c r="R633" i="14"/>
  <c r="Q650" i="14"/>
  <c r="R669" i="14"/>
  <c r="M678" i="14"/>
  <c r="R678" i="14" s="1"/>
  <c r="R680" i="14"/>
  <c r="C725" i="14"/>
  <c r="C728" i="14" s="1"/>
  <c r="C729" i="14" s="1"/>
  <c r="Q724" i="14"/>
  <c r="R724" i="14" s="1"/>
  <c r="R740" i="14"/>
  <c r="K777" i="14"/>
  <c r="K780" i="14" s="1"/>
  <c r="I751" i="14"/>
  <c r="R760" i="14"/>
  <c r="R800" i="14"/>
  <c r="M812" i="14"/>
  <c r="R834" i="14"/>
  <c r="I894" i="14"/>
  <c r="R894" i="14" s="1"/>
  <c r="E898" i="14"/>
  <c r="Q902" i="14"/>
  <c r="E15" i="14"/>
  <c r="M17" i="14"/>
  <c r="E18" i="14"/>
  <c r="Q41" i="14"/>
  <c r="I46" i="14"/>
  <c r="R46" i="14" s="1"/>
  <c r="R149" i="14"/>
  <c r="R151" i="14"/>
  <c r="R170" i="14"/>
  <c r="R174" i="14"/>
  <c r="O899" i="14"/>
  <c r="R186" i="14"/>
  <c r="R217" i="14"/>
  <c r="R225" i="14"/>
  <c r="R288" i="14"/>
  <c r="R304" i="14"/>
  <c r="R311" i="14"/>
  <c r="R313" i="14"/>
  <c r="R325" i="14"/>
  <c r="R333" i="14"/>
  <c r="R353" i="14"/>
  <c r="R355" i="14"/>
  <c r="R359" i="14"/>
  <c r="R380" i="14"/>
  <c r="R407" i="14"/>
  <c r="AH407" i="14"/>
  <c r="R409" i="14"/>
  <c r="R454" i="14"/>
  <c r="R463" i="14"/>
  <c r="R471" i="14"/>
  <c r="R480" i="14"/>
  <c r="R506" i="14"/>
  <c r="R508" i="14"/>
  <c r="H568" i="14"/>
  <c r="H571" i="14" s="1"/>
  <c r="R555" i="14"/>
  <c r="R564" i="14"/>
  <c r="Q612" i="14"/>
  <c r="R628" i="14"/>
  <c r="R635" i="14"/>
  <c r="B679" i="14"/>
  <c r="B682" i="14" s="1"/>
  <c r="L679" i="14"/>
  <c r="L682" i="14" s="1"/>
  <c r="R668" i="14"/>
  <c r="R671" i="14"/>
  <c r="M712" i="14"/>
  <c r="D725" i="14"/>
  <c r="D728" i="14" s="1"/>
  <c r="L725" i="14"/>
  <c r="L728" i="14" s="1"/>
  <c r="M728" i="14" s="1"/>
  <c r="R720" i="14"/>
  <c r="R742" i="14"/>
  <c r="B777" i="14"/>
  <c r="M765" i="14"/>
  <c r="I775" i="14"/>
  <c r="G820" i="14"/>
  <c r="G824" i="14" s="1"/>
  <c r="E812" i="14"/>
  <c r="R836" i="14"/>
  <c r="G872" i="14"/>
  <c r="G875" i="14" s="1"/>
  <c r="G876" i="14" s="1"/>
  <c r="R866" i="14"/>
  <c r="M870" i="14"/>
  <c r="M895" i="14"/>
  <c r="Q898" i="14"/>
  <c r="B917" i="14"/>
  <c r="I911" i="14"/>
  <c r="AW950" i="8"/>
  <c r="O28" i="15"/>
  <c r="K28" i="11"/>
  <c r="G630" i="11"/>
  <c r="G921" i="11"/>
  <c r="H63" i="15"/>
  <c r="C28" i="13"/>
  <c r="F28" i="12"/>
  <c r="P28" i="12"/>
  <c r="H579" i="12"/>
  <c r="K319" i="11"/>
  <c r="AP883" i="11" s="1"/>
  <c r="N340" i="14"/>
  <c r="AP954" i="14" s="1"/>
  <c r="G28" i="13"/>
  <c r="F28" i="14"/>
  <c r="F693" i="14"/>
  <c r="H581" i="7"/>
  <c r="D617" i="7"/>
  <c r="L666" i="11"/>
  <c r="D28" i="12"/>
  <c r="O28" i="12"/>
  <c r="K132" i="12"/>
  <c r="P28" i="14"/>
  <c r="P28" i="15"/>
  <c r="K134" i="15"/>
  <c r="J335" i="15"/>
  <c r="L28" i="8"/>
  <c r="L562" i="11"/>
  <c r="O807" i="11"/>
  <c r="H28" i="14"/>
  <c r="F340" i="14"/>
  <c r="AP948" i="14" s="1"/>
  <c r="P340" i="14"/>
  <c r="AP956" i="14" s="1"/>
  <c r="H693" i="14"/>
  <c r="AW991" i="7"/>
  <c r="G28" i="12"/>
  <c r="H63" i="13"/>
  <c r="P132" i="13"/>
  <c r="F328" i="13"/>
  <c r="G340" i="14"/>
  <c r="AP949" i="14" s="1"/>
  <c r="H28" i="15"/>
  <c r="G28" i="11"/>
  <c r="P28" i="11"/>
  <c r="C319" i="11"/>
  <c r="AP877" i="11" s="1"/>
  <c r="B630" i="11"/>
  <c r="O653" i="12"/>
  <c r="G328" i="13"/>
  <c r="K28" i="14"/>
  <c r="L139" i="14"/>
  <c r="H340" i="14"/>
  <c r="AP950" i="14" s="1"/>
  <c r="J28" i="15"/>
  <c r="L28" i="15"/>
  <c r="H28" i="11"/>
  <c r="K666" i="11"/>
  <c r="L28" i="13"/>
  <c r="P762" i="13"/>
  <c r="C28" i="14"/>
  <c r="K63" i="14"/>
  <c r="G63" i="15"/>
  <c r="J28" i="9"/>
  <c r="J28" i="11"/>
  <c r="D714" i="11"/>
  <c r="K28" i="12"/>
  <c r="D28" i="13"/>
  <c r="G663" i="13"/>
  <c r="G960" i="13"/>
  <c r="G134" i="15"/>
  <c r="L28" i="11"/>
  <c r="B28" i="11"/>
  <c r="L319" i="11"/>
  <c r="AP884" i="11" s="1"/>
  <c r="L28" i="12"/>
  <c r="G325" i="12"/>
  <c r="AP906" i="12" s="1"/>
  <c r="P325" i="12"/>
  <c r="AP913" i="12" s="1"/>
  <c r="F28" i="13"/>
  <c r="N28" i="14"/>
  <c r="C63" i="14"/>
  <c r="G335" i="15"/>
  <c r="P335" i="15"/>
  <c r="R14" i="11"/>
  <c r="G63" i="11"/>
  <c r="D63" i="11"/>
  <c r="S82" i="11"/>
  <c r="B129" i="11"/>
  <c r="E126" i="11"/>
  <c r="K130" i="11"/>
  <c r="R125" i="11"/>
  <c r="H308" i="11"/>
  <c r="P666" i="11"/>
  <c r="O759" i="11"/>
  <c r="O758" i="11"/>
  <c r="H63" i="11"/>
  <c r="R57" i="11"/>
  <c r="C130" i="11"/>
  <c r="R124" i="11"/>
  <c r="R178" i="11"/>
  <c r="K308" i="11"/>
  <c r="H666" i="11"/>
  <c r="R801" i="11"/>
  <c r="J62" i="11"/>
  <c r="M59" i="11"/>
  <c r="L308" i="11"/>
  <c r="E619" i="11"/>
  <c r="B620" i="11"/>
  <c r="G759" i="11"/>
  <c r="G758" i="11"/>
  <c r="R15" i="11"/>
  <c r="K63" i="11"/>
  <c r="D130" i="11"/>
  <c r="I206" i="11"/>
  <c r="R298" i="11"/>
  <c r="B62" i="11"/>
  <c r="E59" i="11"/>
  <c r="O130" i="11"/>
  <c r="L130" i="11"/>
  <c r="B307" i="11"/>
  <c r="E299" i="11"/>
  <c r="Q889" i="11"/>
  <c r="G809" i="11"/>
  <c r="R17" i="11"/>
  <c r="C63" i="11"/>
  <c r="G130" i="11"/>
  <c r="P130" i="11"/>
  <c r="C308" i="11"/>
  <c r="L808" i="11"/>
  <c r="L807" i="11"/>
  <c r="O63" i="11"/>
  <c r="R50" i="11"/>
  <c r="H130" i="11"/>
  <c r="R96" i="11"/>
  <c r="N830" i="11"/>
  <c r="Q824" i="11"/>
  <c r="J864" i="11"/>
  <c r="D308" i="11"/>
  <c r="C808" i="11"/>
  <c r="C807" i="11"/>
  <c r="P63" i="11"/>
  <c r="L63" i="11"/>
  <c r="J129" i="11"/>
  <c r="M126" i="11"/>
  <c r="R107" i="11"/>
  <c r="O864" i="11"/>
  <c r="P620" i="11"/>
  <c r="D808" i="11"/>
  <c r="D807" i="11"/>
  <c r="M395" i="11"/>
  <c r="J837" i="11"/>
  <c r="L758" i="11"/>
  <c r="L759" i="11"/>
  <c r="N803" i="11"/>
  <c r="Q776" i="11"/>
  <c r="B830" i="11"/>
  <c r="N870" i="11"/>
  <c r="Q848" i="11"/>
  <c r="AO879" i="11"/>
  <c r="AF879" i="11"/>
  <c r="H303" i="6"/>
  <c r="AP847" i="6" s="1"/>
  <c r="J598" i="6"/>
  <c r="G28" i="7"/>
  <c r="L131" i="7"/>
  <c r="C131" i="7"/>
  <c r="N295" i="7"/>
  <c r="AP833" i="7" s="1"/>
  <c r="C28" i="9"/>
  <c r="J280" i="9"/>
  <c r="AP809" i="9" s="1"/>
  <c r="K999" i="11"/>
  <c r="I999" i="11"/>
  <c r="H999" i="11"/>
  <c r="N999" i="11"/>
  <c r="L999" i="11"/>
  <c r="K1007" i="11"/>
  <c r="I1007" i="11"/>
  <c r="H1007" i="11"/>
  <c r="N1007" i="11"/>
  <c r="L1007" i="11"/>
  <c r="C28" i="11"/>
  <c r="N28" i="11"/>
  <c r="E41" i="11"/>
  <c r="R41" i="11" s="1"/>
  <c r="M41" i="11"/>
  <c r="K864" i="11"/>
  <c r="J206" i="11"/>
  <c r="J278" i="11"/>
  <c r="M278" i="11" s="1"/>
  <c r="E318" i="11"/>
  <c r="R327" i="11"/>
  <c r="S355" i="11" s="1"/>
  <c r="C864" i="11"/>
  <c r="R355" i="11"/>
  <c r="R367" i="11"/>
  <c r="R388" i="11"/>
  <c r="H839" i="11"/>
  <c r="H868" i="11" s="1"/>
  <c r="R405" i="11"/>
  <c r="R437" i="11"/>
  <c r="M462" i="11"/>
  <c r="C514" i="11"/>
  <c r="C517" i="11" s="1"/>
  <c r="L514" i="11"/>
  <c r="L517" i="11" s="1"/>
  <c r="E512" i="11"/>
  <c r="R512" i="11" s="1"/>
  <c r="R528" i="11"/>
  <c r="C558" i="11"/>
  <c r="C561" i="11" s="1"/>
  <c r="E541" i="11"/>
  <c r="I557" i="11"/>
  <c r="F558" i="11"/>
  <c r="R575" i="11"/>
  <c r="R604" i="11"/>
  <c r="Q615" i="11"/>
  <c r="F630" i="11"/>
  <c r="P630" i="11"/>
  <c r="I649" i="11"/>
  <c r="Q649" i="11"/>
  <c r="H714" i="11"/>
  <c r="B710" i="11"/>
  <c r="Q723" i="11"/>
  <c r="N724" i="11"/>
  <c r="K753" i="11"/>
  <c r="K757" i="11" s="1"/>
  <c r="R741" i="11"/>
  <c r="O835" i="11"/>
  <c r="O866" i="11" s="1"/>
  <c r="Q832" i="11"/>
  <c r="C837" i="11"/>
  <c r="C839" i="11" s="1"/>
  <c r="C868" i="11" s="1"/>
  <c r="J838" i="11"/>
  <c r="M838" i="11" s="1"/>
  <c r="L848" i="11"/>
  <c r="L870" i="11" s="1"/>
  <c r="D847" i="11"/>
  <c r="E844" i="11"/>
  <c r="E846" i="11"/>
  <c r="B847" i="11"/>
  <c r="G919" i="11"/>
  <c r="J1002" i="11"/>
  <c r="I1031" i="11"/>
  <c r="Y1031" i="11" s="1"/>
  <c r="N1008" i="11"/>
  <c r="L1008" i="11"/>
  <c r="K1008" i="11"/>
  <c r="I1008" i="11"/>
  <c r="H1008" i="11"/>
  <c r="N518" i="11"/>
  <c r="Q517" i="11"/>
  <c r="B561" i="11"/>
  <c r="I723" i="11"/>
  <c r="R723" i="11" s="1"/>
  <c r="G925" i="11"/>
  <c r="L28" i="6"/>
  <c r="L598" i="6"/>
  <c r="J28" i="7"/>
  <c r="D28" i="7"/>
  <c r="K295" i="7"/>
  <c r="AP831" i="7" s="1"/>
  <c r="AW993" i="7"/>
  <c r="D285" i="8"/>
  <c r="AP803" i="8" s="1"/>
  <c r="D401" i="9"/>
  <c r="K1001" i="11"/>
  <c r="I1001" i="11"/>
  <c r="H1001" i="11"/>
  <c r="N1001" i="11"/>
  <c r="F918" i="11"/>
  <c r="L1001" i="11"/>
  <c r="F28" i="11"/>
  <c r="M180" i="11"/>
  <c r="R180" i="11" s="1"/>
  <c r="I247" i="11"/>
  <c r="R247" i="11" s="1"/>
  <c r="D319" i="11"/>
  <c r="AP878" i="11" s="1"/>
  <c r="O319" i="11"/>
  <c r="AP886" i="11" s="1"/>
  <c r="Q318" i="11"/>
  <c r="R334" i="11"/>
  <c r="R341" i="11"/>
  <c r="R350" i="11"/>
  <c r="R362" i="11"/>
  <c r="AH384" i="11"/>
  <c r="R386" i="11"/>
  <c r="R413" i="11"/>
  <c r="R450" i="11"/>
  <c r="E462" i="11"/>
  <c r="R462" i="11" s="1"/>
  <c r="B464" i="11"/>
  <c r="K470" i="11"/>
  <c r="F518" i="11"/>
  <c r="I517" i="11"/>
  <c r="O518" i="11"/>
  <c r="R510" i="11"/>
  <c r="R546" i="11"/>
  <c r="N558" i="11"/>
  <c r="R573" i="11"/>
  <c r="R585" i="11"/>
  <c r="I587" i="11"/>
  <c r="F616" i="11"/>
  <c r="M593" i="11"/>
  <c r="H620" i="11"/>
  <c r="H630" i="11"/>
  <c r="E645" i="11"/>
  <c r="B662" i="11"/>
  <c r="R679" i="11"/>
  <c r="G714" i="11"/>
  <c r="O714" i="11"/>
  <c r="G724" i="11"/>
  <c r="C758" i="11"/>
  <c r="C759" i="11"/>
  <c r="N753" i="11"/>
  <c r="Q737" i="11"/>
  <c r="M751" i="11"/>
  <c r="R789" i="11"/>
  <c r="M802" i="11"/>
  <c r="K803" i="11"/>
  <c r="K806" i="11" s="1"/>
  <c r="O808" i="11"/>
  <c r="D849" i="11"/>
  <c r="D864" i="11"/>
  <c r="D872" i="11" s="1"/>
  <c r="D13" i="11" s="1"/>
  <c r="R825" i="11"/>
  <c r="M829" i="11"/>
  <c r="G835" i="11"/>
  <c r="G866" i="11" s="1"/>
  <c r="I832" i="11"/>
  <c r="R833" i="11"/>
  <c r="K837" i="11"/>
  <c r="K839" i="11" s="1"/>
  <c r="K868" i="11" s="1"/>
  <c r="Q841" i="11"/>
  <c r="O848" i="11"/>
  <c r="O870" i="11" s="1"/>
  <c r="M845" i="11"/>
  <c r="H1004" i="11"/>
  <c r="D518" i="11"/>
  <c r="G562" i="11"/>
  <c r="Q587" i="11"/>
  <c r="N616" i="11"/>
  <c r="M645" i="11"/>
  <c r="J662" i="11"/>
  <c r="J806" i="11"/>
  <c r="M803" i="11"/>
  <c r="N28" i="6"/>
  <c r="B28" i="7"/>
  <c r="K28" i="7"/>
  <c r="L673" i="7"/>
  <c r="AW982" i="7"/>
  <c r="D28" i="8"/>
  <c r="N1002" i="11"/>
  <c r="L1002" i="11"/>
  <c r="K1002" i="11"/>
  <c r="I1002" i="11"/>
  <c r="H1002" i="11"/>
  <c r="F59" i="11"/>
  <c r="N59" i="11"/>
  <c r="F126" i="11"/>
  <c r="N126" i="11"/>
  <c r="P864" i="11"/>
  <c r="P872" i="11" s="1"/>
  <c r="P13" i="11" s="1"/>
  <c r="P849" i="11"/>
  <c r="E206" i="11"/>
  <c r="F319" i="11"/>
  <c r="AP879" i="11" s="1"/>
  <c r="P319" i="11"/>
  <c r="AP887" i="11" s="1"/>
  <c r="L470" i="11"/>
  <c r="E395" i="11"/>
  <c r="B837" i="11"/>
  <c r="G518" i="11"/>
  <c r="R499" i="11"/>
  <c r="D558" i="11"/>
  <c r="D561" i="11" s="1"/>
  <c r="O558" i="11"/>
  <c r="O561" i="11" s="1"/>
  <c r="R615" i="11"/>
  <c r="O620" i="11"/>
  <c r="M629" i="11"/>
  <c r="J630" i="11"/>
  <c r="C666" i="11"/>
  <c r="D666" i="11"/>
  <c r="O662" i="11"/>
  <c r="O665" i="11" s="1"/>
  <c r="J710" i="11"/>
  <c r="H724" i="11"/>
  <c r="D724" i="11"/>
  <c r="D759" i="11"/>
  <c r="D758" i="11"/>
  <c r="F803" i="11"/>
  <c r="I776" i="11"/>
  <c r="R776" i="11" s="1"/>
  <c r="P807" i="11"/>
  <c r="P808" i="11"/>
  <c r="F830" i="11"/>
  <c r="Q833" i="11"/>
  <c r="N835" i="11"/>
  <c r="L839" i="11"/>
  <c r="L868" i="11" s="1"/>
  <c r="F870" i="11"/>
  <c r="I870" i="11" s="1"/>
  <c r="I848" i="11"/>
  <c r="F920" i="11"/>
  <c r="AH944" i="11"/>
  <c r="AH979" i="11"/>
  <c r="H1024" i="11"/>
  <c r="X1024" i="11" s="1"/>
  <c r="G977" i="11"/>
  <c r="I1029" i="11"/>
  <c r="Y1029" i="11" s="1"/>
  <c r="G666" i="11"/>
  <c r="D28" i="6"/>
  <c r="O28" i="6"/>
  <c r="D598" i="6"/>
  <c r="O598" i="6"/>
  <c r="L28" i="7"/>
  <c r="N28" i="7"/>
  <c r="AW974" i="7"/>
  <c r="AW971" i="7"/>
  <c r="AW984" i="7"/>
  <c r="F28" i="8"/>
  <c r="P28" i="8"/>
  <c r="D28" i="9"/>
  <c r="D677" i="9"/>
  <c r="K1003" i="11"/>
  <c r="I1003" i="11"/>
  <c r="H1003" i="11"/>
  <c r="N1003" i="11"/>
  <c r="L1003" i="11"/>
  <c r="L824" i="11"/>
  <c r="L830" i="11" s="1"/>
  <c r="M830" i="11" s="1"/>
  <c r="Q177" i="11"/>
  <c r="R177" i="11" s="1"/>
  <c r="S186" i="11" s="1"/>
  <c r="N206" i="11"/>
  <c r="F278" i="11"/>
  <c r="R328" i="11"/>
  <c r="C470" i="11"/>
  <c r="N470" i="11"/>
  <c r="R421" i="11"/>
  <c r="J439" i="11"/>
  <c r="M439" i="11" s="1"/>
  <c r="R448" i="11"/>
  <c r="R459" i="11"/>
  <c r="J464" i="11"/>
  <c r="H518" i="11"/>
  <c r="P558" i="11"/>
  <c r="P561" i="11" s="1"/>
  <c r="R581" i="11"/>
  <c r="E593" i="11"/>
  <c r="R593" i="11" s="1"/>
  <c r="L620" i="11"/>
  <c r="N665" i="11"/>
  <c r="R649" i="11"/>
  <c r="R661" i="11"/>
  <c r="K710" i="11"/>
  <c r="K713" i="11" s="1"/>
  <c r="J724" i="11"/>
  <c r="F724" i="11"/>
  <c r="F753" i="11"/>
  <c r="I737" i="11"/>
  <c r="P760" i="11"/>
  <c r="P896" i="11"/>
  <c r="E751" i="11"/>
  <c r="R751" i="11" s="1"/>
  <c r="B753" i="11"/>
  <c r="G807" i="11"/>
  <c r="R781" i="11"/>
  <c r="E802" i="11"/>
  <c r="G824" i="11"/>
  <c r="G830" i="11" s="1"/>
  <c r="M827" i="11"/>
  <c r="E829" i="11"/>
  <c r="R829" i="11" s="1"/>
  <c r="R842" i="11"/>
  <c r="E845" i="11"/>
  <c r="R845" i="11" s="1"/>
  <c r="F915" i="11"/>
  <c r="AG912" i="11"/>
  <c r="AS912" i="11"/>
  <c r="AF912" i="11"/>
  <c r="AE912" i="11"/>
  <c r="AD912" i="11"/>
  <c r="F943" i="11"/>
  <c r="AH912" i="11"/>
  <c r="G916" i="11"/>
  <c r="G920" i="11"/>
  <c r="N1000" i="11"/>
  <c r="L1000" i="11"/>
  <c r="K1000" i="11"/>
  <c r="I1000" i="11"/>
  <c r="H1000" i="11"/>
  <c r="R391" i="11"/>
  <c r="O725" i="11"/>
  <c r="R834" i="11"/>
  <c r="F923" i="11"/>
  <c r="F951" i="11"/>
  <c r="AH920" i="11"/>
  <c r="AG920" i="11"/>
  <c r="AS920" i="11"/>
  <c r="AF920" i="11"/>
  <c r="AE920" i="11"/>
  <c r="AD920" i="11"/>
  <c r="AD885" i="11"/>
  <c r="G981" i="11"/>
  <c r="I1033" i="11"/>
  <c r="Y1033" i="11" s="1"/>
  <c r="O303" i="6"/>
  <c r="AP852" i="6" s="1"/>
  <c r="O28" i="7"/>
  <c r="AW986" i="7"/>
  <c r="H130" i="8"/>
  <c r="R1014" i="11"/>
  <c r="R1039" i="11"/>
  <c r="AS961" i="11"/>
  <c r="R905" i="11"/>
  <c r="R931" i="11"/>
  <c r="R852" i="11"/>
  <c r="AT867" i="11"/>
  <c r="R1084" i="11"/>
  <c r="R876" i="11"/>
  <c r="R960" i="11"/>
  <c r="AS926" i="11"/>
  <c r="N1004" i="11"/>
  <c r="L1004" i="11"/>
  <c r="K1004" i="11"/>
  <c r="I1004" i="11"/>
  <c r="K724" i="11"/>
  <c r="H864" i="11"/>
  <c r="H872" i="11" s="1"/>
  <c r="H13" i="11" s="1"/>
  <c r="H849" i="11"/>
  <c r="O206" i="11"/>
  <c r="O299" i="11" s="1"/>
  <c r="O307" i="11" s="1"/>
  <c r="G278" i="11"/>
  <c r="G299" i="11" s="1"/>
  <c r="G307" i="11" s="1"/>
  <c r="H319" i="11"/>
  <c r="AP881" i="11" s="1"/>
  <c r="R347" i="11"/>
  <c r="R359" i="11"/>
  <c r="R370" i="11"/>
  <c r="D470" i="11"/>
  <c r="O464" i="11"/>
  <c r="O469" i="11" s="1"/>
  <c r="R382" i="11"/>
  <c r="R400" i="11"/>
  <c r="R410" i="11"/>
  <c r="R432" i="11"/>
  <c r="R444" i="11"/>
  <c r="E463" i="11"/>
  <c r="R463" i="11" s="1"/>
  <c r="R504" i="11"/>
  <c r="I514" i="11"/>
  <c r="I535" i="11"/>
  <c r="R535" i="11" s="1"/>
  <c r="R554" i="11"/>
  <c r="R578" i="11"/>
  <c r="J616" i="11"/>
  <c r="E629" i="11"/>
  <c r="R629" i="11" s="1"/>
  <c r="F665" i="11"/>
  <c r="I662" i="11"/>
  <c r="N713" i="11"/>
  <c r="Q710" i="11"/>
  <c r="R688" i="11"/>
  <c r="R709" i="11"/>
  <c r="L714" i="11"/>
  <c r="B724" i="11"/>
  <c r="O724" i="11"/>
  <c r="H807" i="11"/>
  <c r="H809" i="11"/>
  <c r="I833" i="11"/>
  <c r="F835" i="11"/>
  <c r="AO877" i="11"/>
  <c r="AF877" i="11"/>
  <c r="I1025" i="11"/>
  <c r="Y1025" i="11" s="1"/>
  <c r="G973" i="11"/>
  <c r="F917" i="11"/>
  <c r="R587" i="11"/>
  <c r="G620" i="11"/>
  <c r="R737" i="11"/>
  <c r="Q947" i="11"/>
  <c r="Q919" i="11"/>
  <c r="G28" i="6"/>
  <c r="C28" i="6"/>
  <c r="F303" i="6"/>
  <c r="AP845" i="6" s="1"/>
  <c r="P303" i="6"/>
  <c r="AP853" i="6" s="1"/>
  <c r="G598" i="6"/>
  <c r="AW977" i="7"/>
  <c r="O63" i="8"/>
  <c r="D651" i="8"/>
  <c r="K997" i="11"/>
  <c r="I997" i="11"/>
  <c r="H997" i="11"/>
  <c r="N997" i="11"/>
  <c r="L997" i="11"/>
  <c r="K1005" i="11"/>
  <c r="I1005" i="11"/>
  <c r="H1005" i="11"/>
  <c r="N1005" i="11"/>
  <c r="L724" i="11"/>
  <c r="L1005" i="11"/>
  <c r="P206" i="11"/>
  <c r="P299" i="11" s="1"/>
  <c r="P307" i="11" s="1"/>
  <c r="I838" i="11"/>
  <c r="R838" i="11" s="1"/>
  <c r="M318" i="11"/>
  <c r="J319" i="11"/>
  <c r="AP882" i="11" s="1"/>
  <c r="R333" i="11"/>
  <c r="R342" i="11"/>
  <c r="F470" i="11"/>
  <c r="F839" i="11"/>
  <c r="M494" i="11"/>
  <c r="J514" i="11"/>
  <c r="P518" i="11"/>
  <c r="H558" i="11"/>
  <c r="H561" i="11" s="1"/>
  <c r="K558" i="11"/>
  <c r="K561" i="11" s="1"/>
  <c r="M541" i="11"/>
  <c r="R556" i="11"/>
  <c r="Q557" i="11"/>
  <c r="R557" i="11" s="1"/>
  <c r="E616" i="11"/>
  <c r="K616" i="11"/>
  <c r="K619" i="11" s="1"/>
  <c r="R590" i="11"/>
  <c r="D620" i="11"/>
  <c r="R607" i="11"/>
  <c r="C630" i="11"/>
  <c r="F713" i="11"/>
  <c r="I710" i="11"/>
  <c r="R693" i="11"/>
  <c r="C725" i="11"/>
  <c r="P724" i="11"/>
  <c r="H758" i="11"/>
  <c r="H759" i="11"/>
  <c r="J753" i="11"/>
  <c r="R795" i="11"/>
  <c r="E827" i="11"/>
  <c r="R827" i="11" s="1"/>
  <c r="J870" i="11"/>
  <c r="K847" i="11"/>
  <c r="M846" i="11"/>
  <c r="J847" i="11"/>
  <c r="AD924" i="11"/>
  <c r="G950" i="11"/>
  <c r="G922" i="11"/>
  <c r="AD1043" i="11"/>
  <c r="AD1038" i="11"/>
  <c r="AD1036" i="11"/>
  <c r="AD1034" i="11"/>
  <c r="AD1032" i="11"/>
  <c r="AD1030" i="11"/>
  <c r="AD1041" i="11"/>
  <c r="AD1039" i="11"/>
  <c r="AD1044" i="11"/>
  <c r="AD1037" i="11"/>
  <c r="AD1035" i="11"/>
  <c r="AD1033" i="11"/>
  <c r="AD1031" i="11"/>
  <c r="AD1029" i="11"/>
  <c r="AD1042" i="11"/>
  <c r="AD1040" i="11"/>
  <c r="C715" i="11"/>
  <c r="C667" i="11" s="1"/>
  <c r="D553" i="9"/>
  <c r="N998" i="11"/>
  <c r="L998" i="11"/>
  <c r="K998" i="11"/>
  <c r="I998" i="11"/>
  <c r="H998" i="11"/>
  <c r="N1006" i="11"/>
  <c r="L1006" i="11"/>
  <c r="K1006" i="11"/>
  <c r="I1006" i="11"/>
  <c r="H1006" i="11"/>
  <c r="N630" i="11"/>
  <c r="M824" i="11"/>
  <c r="I245" i="11"/>
  <c r="R245" i="11" s="1"/>
  <c r="R305" i="11"/>
  <c r="G319" i="11"/>
  <c r="AP880" i="11" s="1"/>
  <c r="G470" i="11"/>
  <c r="R454" i="11"/>
  <c r="E494" i="11"/>
  <c r="B514" i="11"/>
  <c r="K514" i="11"/>
  <c r="K517" i="11" s="1"/>
  <c r="Q514" i="11"/>
  <c r="J561" i="11"/>
  <c r="M558" i="11"/>
  <c r="C620" i="11"/>
  <c r="D630" i="11"/>
  <c r="O630" i="11"/>
  <c r="P714" i="11"/>
  <c r="R703" i="11"/>
  <c r="R708" i="11"/>
  <c r="C714" i="11"/>
  <c r="P758" i="11"/>
  <c r="B803" i="11"/>
  <c r="R811" i="11"/>
  <c r="R832" i="11"/>
  <c r="L847" i="11"/>
  <c r="M844" i="11"/>
  <c r="I377" i="11"/>
  <c r="R377" i="11" s="1"/>
  <c r="Q377" i="11"/>
  <c r="AC383" i="11"/>
  <c r="AD383" i="11" s="1"/>
  <c r="AM383" i="11" s="1"/>
  <c r="I395" i="11"/>
  <c r="H439" i="11"/>
  <c r="I439" i="11" s="1"/>
  <c r="P439" i="11"/>
  <c r="Q439" i="11" s="1"/>
  <c r="I629" i="11"/>
  <c r="Q629" i="11"/>
  <c r="C724" i="11"/>
  <c r="G725" i="11"/>
  <c r="C835" i="11"/>
  <c r="K835" i="11"/>
  <c r="AF880" i="11"/>
  <c r="AF882" i="11"/>
  <c r="AF884" i="11"/>
  <c r="AF886" i="11"/>
  <c r="AE911" i="11"/>
  <c r="AE924" i="11" s="1"/>
  <c r="AF914" i="11"/>
  <c r="AS914" i="11"/>
  <c r="G915" i="11"/>
  <c r="AD916" i="11"/>
  <c r="AG917" i="11"/>
  <c r="AF919" i="11"/>
  <c r="AJ919" i="11" s="1"/>
  <c r="AS919" i="11"/>
  <c r="F925" i="11"/>
  <c r="R16" i="12"/>
  <c r="E59" i="12"/>
  <c r="B62" i="12"/>
  <c r="M59" i="12"/>
  <c r="J62" i="12"/>
  <c r="R46" i="12"/>
  <c r="G63" i="12"/>
  <c r="M128" i="12"/>
  <c r="J131" i="12"/>
  <c r="I1023" i="11"/>
  <c r="Y1023" i="11" s="1"/>
  <c r="G1006" i="11"/>
  <c r="F924" i="11"/>
  <c r="AH921" i="11"/>
  <c r="AS921" i="11"/>
  <c r="AF921" i="11"/>
  <c r="AG911" i="11"/>
  <c r="AE913" i="11"/>
  <c r="AJ913" i="11" s="1"/>
  <c r="F914" i="11"/>
  <c r="AH914" i="11"/>
  <c r="AF916" i="11"/>
  <c r="AS916" i="11"/>
  <c r="G917" i="11"/>
  <c r="AD918" i="11"/>
  <c r="F919" i="11"/>
  <c r="AH919" i="11"/>
  <c r="F922" i="11"/>
  <c r="F942" i="11"/>
  <c r="J997" i="11"/>
  <c r="J999" i="11"/>
  <c r="J1005" i="11"/>
  <c r="J1007" i="11"/>
  <c r="D63" i="12"/>
  <c r="L63" i="12"/>
  <c r="S82" i="12"/>
  <c r="L132" i="12"/>
  <c r="K643" i="12"/>
  <c r="I841" i="11"/>
  <c r="R841" i="11" s="1"/>
  <c r="B848" i="11"/>
  <c r="H1025" i="11"/>
  <c r="X1025" i="11" s="1"/>
  <c r="G952" i="11"/>
  <c r="F953" i="11"/>
  <c r="AD922" i="11"/>
  <c r="AJ922" i="11" s="1"/>
  <c r="AH911" i="11"/>
  <c r="AF913" i="11"/>
  <c r="AS913" i="11"/>
  <c r="AS924" i="11" s="1"/>
  <c r="G914" i="11"/>
  <c r="AD915" i="11"/>
  <c r="AG916" i="11"/>
  <c r="AE918" i="11"/>
  <c r="F921" i="11"/>
  <c r="AE922" i="11"/>
  <c r="G924" i="11"/>
  <c r="F946" i="11"/>
  <c r="J1003" i="11"/>
  <c r="K63" i="12"/>
  <c r="G314" i="12"/>
  <c r="AA384" i="11"/>
  <c r="K848" i="11"/>
  <c r="K870" i="11" s="1"/>
  <c r="AF881" i="11"/>
  <c r="AF883" i="11"/>
  <c r="F898" i="11"/>
  <c r="AG913" i="11"/>
  <c r="AE915" i="11"/>
  <c r="F916" i="11"/>
  <c r="AF918" i="11"/>
  <c r="AS918" i="11"/>
  <c r="AF922" i="11"/>
  <c r="AH945" i="11"/>
  <c r="F948" i="11"/>
  <c r="AH980" i="11"/>
  <c r="I1112" i="11"/>
  <c r="R18" i="12"/>
  <c r="D132" i="12"/>
  <c r="O132" i="12"/>
  <c r="AB384" i="11"/>
  <c r="G837" i="11"/>
  <c r="G839" i="11" s="1"/>
  <c r="G868" i="11" s="1"/>
  <c r="O837" i="11"/>
  <c r="AD878" i="11"/>
  <c r="AD889" i="11" s="1"/>
  <c r="AF887" i="11"/>
  <c r="G946" i="11"/>
  <c r="F947" i="11"/>
  <c r="AF915" i="11"/>
  <c r="AF924" i="11" s="1"/>
  <c r="AS915" i="11"/>
  <c r="AD917" i="11"/>
  <c r="AG922" i="11"/>
  <c r="J1000" i="11"/>
  <c r="J1004" i="11"/>
  <c r="J983" i="11"/>
  <c r="R14" i="12"/>
  <c r="C63" i="12"/>
  <c r="N62" i="12"/>
  <c r="Q59" i="12"/>
  <c r="R58" i="12"/>
  <c r="I128" i="12"/>
  <c r="F131" i="12"/>
  <c r="P132" i="12"/>
  <c r="R339" i="12"/>
  <c r="B484" i="12"/>
  <c r="G942" i="11"/>
  <c r="G947" i="11"/>
  <c r="AE917" i="11"/>
  <c r="F950" i="11"/>
  <c r="G971" i="11"/>
  <c r="J1006" i="11"/>
  <c r="H63" i="12"/>
  <c r="P63" i="12"/>
  <c r="O63" i="12"/>
  <c r="G132" i="12"/>
  <c r="E131" i="12"/>
  <c r="B132" i="12"/>
  <c r="G944" i="11"/>
  <c r="G948" i="11"/>
  <c r="F949" i="11"/>
  <c r="AE914" i="11"/>
  <c r="AJ914" i="11" s="1"/>
  <c r="AF917" i="11"/>
  <c r="AS917" i="11"/>
  <c r="G918" i="11"/>
  <c r="AE921" i="11"/>
  <c r="G923" i="11"/>
  <c r="F952" i="11"/>
  <c r="J998" i="11"/>
  <c r="J1001" i="11"/>
  <c r="J1008" i="11"/>
  <c r="F62" i="12"/>
  <c r="I59" i="12"/>
  <c r="H132" i="12"/>
  <c r="H1028" i="12"/>
  <c r="N1028" i="12"/>
  <c r="K1028" i="12"/>
  <c r="L1028" i="12"/>
  <c r="I1028" i="12"/>
  <c r="H28" i="12"/>
  <c r="Q128" i="12"/>
  <c r="O890" i="12"/>
  <c r="H314" i="12"/>
  <c r="J534" i="12"/>
  <c r="J578" i="12"/>
  <c r="M575" i="12"/>
  <c r="P579" i="12"/>
  <c r="O643" i="12"/>
  <c r="D653" i="12"/>
  <c r="Q1112" i="11"/>
  <c r="L1029" i="12"/>
  <c r="K1029" i="12"/>
  <c r="N1029" i="12"/>
  <c r="I1029" i="12"/>
  <c r="H1029" i="12"/>
  <c r="J750" i="12"/>
  <c r="I27" i="12"/>
  <c r="R27" i="12" s="1"/>
  <c r="Q27" i="12"/>
  <c r="J28" i="12"/>
  <c r="I89" i="12"/>
  <c r="R89" i="12" s="1"/>
  <c r="Q89" i="12"/>
  <c r="P209" i="12"/>
  <c r="R190" i="12"/>
  <c r="R193" i="12"/>
  <c r="H325" i="12"/>
  <c r="AP907" i="12" s="1"/>
  <c r="P382" i="12"/>
  <c r="P478" i="12" s="1"/>
  <c r="P483" i="12" s="1"/>
  <c r="E533" i="12"/>
  <c r="B534" i="12"/>
  <c r="K530" i="12"/>
  <c r="K533" i="12" s="1"/>
  <c r="M533" i="12" s="1"/>
  <c r="K859" i="12"/>
  <c r="M859" i="12" s="1"/>
  <c r="K514" i="12"/>
  <c r="M514" i="12" s="1"/>
  <c r="M512" i="12"/>
  <c r="M530" i="12"/>
  <c r="K579" i="12"/>
  <c r="F578" i="12"/>
  <c r="Q642" i="12"/>
  <c r="N643" i="12"/>
  <c r="G643" i="12"/>
  <c r="R635" i="12"/>
  <c r="P685" i="12"/>
  <c r="P688" i="12" s="1"/>
  <c r="K835" i="12"/>
  <c r="Q918" i="12"/>
  <c r="F1050" i="11"/>
  <c r="B1023" i="11" s="1"/>
  <c r="F1051" i="11"/>
  <c r="B1024" i="11" s="1"/>
  <c r="G1052" i="11"/>
  <c r="C1025" i="11" s="1"/>
  <c r="R1110" i="12"/>
  <c r="R1040" i="12"/>
  <c r="R1065" i="12"/>
  <c r="R986" i="12"/>
  <c r="R902" i="12"/>
  <c r="AT925" i="12"/>
  <c r="R837" i="12"/>
  <c r="AS987" i="12"/>
  <c r="R957" i="12"/>
  <c r="R931" i="12"/>
  <c r="AT893" i="12"/>
  <c r="AS952" i="12"/>
  <c r="R878" i="12"/>
  <c r="H1030" i="12"/>
  <c r="N1030" i="12"/>
  <c r="K1030" i="12"/>
  <c r="L1030" i="12"/>
  <c r="I1030" i="12"/>
  <c r="G947" i="12"/>
  <c r="K653" i="12"/>
  <c r="K784" i="12"/>
  <c r="I50" i="12"/>
  <c r="R50" i="12" s="1"/>
  <c r="Q50" i="12"/>
  <c r="E128" i="12"/>
  <c r="C132" i="12"/>
  <c r="R144" i="12"/>
  <c r="Q152" i="12"/>
  <c r="R156" i="12"/>
  <c r="R165" i="12"/>
  <c r="R233" i="12"/>
  <c r="R255" i="12"/>
  <c r="J325" i="12"/>
  <c r="AP908" i="12" s="1"/>
  <c r="N483" i="12"/>
  <c r="R341" i="12"/>
  <c r="I354" i="12"/>
  <c r="H382" i="12"/>
  <c r="R378" i="12"/>
  <c r="AL388" i="12"/>
  <c r="AH390" i="12"/>
  <c r="M451" i="12"/>
  <c r="E476" i="12"/>
  <c r="R476" i="12" s="1"/>
  <c r="C534" i="12"/>
  <c r="L534" i="12"/>
  <c r="R527" i="12"/>
  <c r="R531" i="12"/>
  <c r="B578" i="12"/>
  <c r="E575" i="12"/>
  <c r="L579" i="12"/>
  <c r="I573" i="12"/>
  <c r="N578" i="12"/>
  <c r="D643" i="12"/>
  <c r="R615" i="12"/>
  <c r="R637" i="12"/>
  <c r="G653" i="12"/>
  <c r="L689" i="12"/>
  <c r="J688" i="12"/>
  <c r="Q684" i="12"/>
  <c r="R684" i="12" s="1"/>
  <c r="J1100" i="11"/>
  <c r="L1023" i="12"/>
  <c r="K1023" i="12"/>
  <c r="N1023" i="12"/>
  <c r="I1023" i="12"/>
  <c r="H1023" i="12"/>
  <c r="B750" i="12"/>
  <c r="B325" i="12"/>
  <c r="AP902" i="12" s="1"/>
  <c r="L1031" i="12"/>
  <c r="K1031" i="12"/>
  <c r="L750" i="12"/>
  <c r="N1031" i="12"/>
  <c r="I1031" i="12"/>
  <c r="H1031" i="12"/>
  <c r="L325" i="12"/>
  <c r="AP910" i="12" s="1"/>
  <c r="B28" i="12"/>
  <c r="E126" i="12"/>
  <c r="R129" i="12"/>
  <c r="R148" i="12"/>
  <c r="R158" i="12"/>
  <c r="R201" i="12"/>
  <c r="R250" i="12"/>
  <c r="R274" i="12"/>
  <c r="R332" i="12"/>
  <c r="R366" i="12"/>
  <c r="D478" i="12"/>
  <c r="D483" i="12" s="1"/>
  <c r="R404" i="12"/>
  <c r="R406" i="12"/>
  <c r="R426" i="12"/>
  <c r="R454" i="12"/>
  <c r="D534" i="12"/>
  <c r="C579" i="12"/>
  <c r="R572" i="12"/>
  <c r="R576" i="12"/>
  <c r="R593" i="12"/>
  <c r="R595" i="12"/>
  <c r="I642" i="12"/>
  <c r="F643" i="12"/>
  <c r="P643" i="12"/>
  <c r="H653" i="12"/>
  <c r="H685" i="12"/>
  <c r="H688" i="12" s="1"/>
  <c r="E707" i="12"/>
  <c r="C736" i="12"/>
  <c r="H1024" i="12"/>
  <c r="N1024" i="12"/>
  <c r="K1024" i="12"/>
  <c r="I1024" i="12"/>
  <c r="G941" i="12"/>
  <c r="L1024" i="12"/>
  <c r="H1032" i="12"/>
  <c r="N1032" i="12"/>
  <c r="K1032" i="12"/>
  <c r="N750" i="12"/>
  <c r="L1032" i="12"/>
  <c r="J1032" i="12"/>
  <c r="I1032" i="12"/>
  <c r="G949" i="12"/>
  <c r="C28" i="12"/>
  <c r="N28" i="12"/>
  <c r="R160" i="12"/>
  <c r="R280" i="12"/>
  <c r="R372" i="12"/>
  <c r="K852" i="12"/>
  <c r="M852" i="12" s="1"/>
  <c r="K382" i="12"/>
  <c r="K478" i="12" s="1"/>
  <c r="K483" i="12" s="1"/>
  <c r="M378" i="12"/>
  <c r="AC389" i="12"/>
  <c r="AC390" i="12"/>
  <c r="R462" i="12"/>
  <c r="Q530" i="12"/>
  <c r="N533" i="12"/>
  <c r="R529" i="12"/>
  <c r="D579" i="12"/>
  <c r="O575" i="12"/>
  <c r="O578" i="12" s="1"/>
  <c r="R603" i="12"/>
  <c r="J653" i="12"/>
  <c r="B688" i="12"/>
  <c r="E685" i="12"/>
  <c r="O685" i="12"/>
  <c r="O688" i="12" s="1"/>
  <c r="Q668" i="12"/>
  <c r="L1025" i="12"/>
  <c r="K1025" i="12"/>
  <c r="N1025" i="12"/>
  <c r="I1025" i="12"/>
  <c r="H1025" i="12"/>
  <c r="F942" i="12"/>
  <c r="D750" i="12"/>
  <c r="D325" i="12"/>
  <c r="AP904" i="12" s="1"/>
  <c r="L1033" i="12"/>
  <c r="K1033" i="12"/>
  <c r="I1033" i="12"/>
  <c r="H1033" i="12"/>
  <c r="G950" i="12"/>
  <c r="N1033" i="12"/>
  <c r="M89" i="12"/>
  <c r="R150" i="12"/>
  <c r="R152" i="12"/>
  <c r="B856" i="12"/>
  <c r="I183" i="12"/>
  <c r="R183" i="12" s="1"/>
  <c r="R189" i="12"/>
  <c r="J864" i="12"/>
  <c r="M864" i="12" s="1"/>
  <c r="M223" i="12"/>
  <c r="R223" i="12" s="1"/>
  <c r="J284" i="12"/>
  <c r="M284" i="12" s="1"/>
  <c r="R230" i="12"/>
  <c r="R298" i="12"/>
  <c r="M304" i="12"/>
  <c r="M332" i="12"/>
  <c r="J382" i="12"/>
  <c r="R356" i="12"/>
  <c r="R360" i="12"/>
  <c r="R374" i="12"/>
  <c r="G478" i="12"/>
  <c r="G483" i="12" s="1"/>
  <c r="R394" i="12"/>
  <c r="R417" i="12"/>
  <c r="R428" i="12"/>
  <c r="R471" i="12"/>
  <c r="R473" i="12"/>
  <c r="R503" i="12"/>
  <c r="F530" i="12"/>
  <c r="R543" i="12"/>
  <c r="R545" i="12"/>
  <c r="H643" i="12"/>
  <c r="C639" i="12"/>
  <c r="C642" i="12" s="1"/>
  <c r="R631" i="12"/>
  <c r="Q639" i="12"/>
  <c r="L643" i="12"/>
  <c r="C689" i="12"/>
  <c r="D689" i="12"/>
  <c r="B779" i="12"/>
  <c r="E763" i="12"/>
  <c r="L784" i="12"/>
  <c r="L785" i="12"/>
  <c r="H1026" i="12"/>
  <c r="N1026" i="12"/>
  <c r="K1026" i="12"/>
  <c r="L1026" i="12"/>
  <c r="J1026" i="12"/>
  <c r="I1026" i="12"/>
  <c r="H1034" i="12"/>
  <c r="N1034" i="12"/>
  <c r="K1034" i="12"/>
  <c r="I1034" i="12"/>
  <c r="L1034" i="12"/>
  <c r="J1034" i="12"/>
  <c r="P653" i="12"/>
  <c r="I126" i="12"/>
  <c r="N131" i="12"/>
  <c r="F209" i="12"/>
  <c r="R166" i="12"/>
  <c r="R168" i="12"/>
  <c r="O209" i="12"/>
  <c r="O305" i="12" s="1"/>
  <c r="O313" i="12" s="1"/>
  <c r="R249" i="12"/>
  <c r="R269" i="12"/>
  <c r="N325" i="12"/>
  <c r="AP911" i="12" s="1"/>
  <c r="R344" i="12"/>
  <c r="Q354" i="12"/>
  <c r="AC388" i="12"/>
  <c r="R419" i="12"/>
  <c r="R434" i="12"/>
  <c r="R436" i="12"/>
  <c r="P534" i="12"/>
  <c r="G575" i="12"/>
  <c r="G578" i="12" s="1"/>
  <c r="R554" i="12"/>
  <c r="S554" i="12" s="1"/>
  <c r="R557" i="12"/>
  <c r="R574" i="12"/>
  <c r="R618" i="12"/>
  <c r="L653" i="12"/>
  <c r="R672" i="12"/>
  <c r="L740" i="12"/>
  <c r="L1027" i="12"/>
  <c r="K1027" i="12"/>
  <c r="I1027" i="12"/>
  <c r="H1027" i="12"/>
  <c r="N1027" i="12"/>
  <c r="G750" i="12"/>
  <c r="G850" i="12"/>
  <c r="G856" i="12" s="1"/>
  <c r="D850" i="12"/>
  <c r="D856" i="12" s="1"/>
  <c r="D209" i="12"/>
  <c r="R288" i="12"/>
  <c r="F325" i="12"/>
  <c r="AP905" i="12" s="1"/>
  <c r="O325" i="12"/>
  <c r="AP912" i="12" s="1"/>
  <c r="L484" i="12"/>
  <c r="R346" i="12"/>
  <c r="Q382" i="12"/>
  <c r="R444" i="12"/>
  <c r="E451" i="12"/>
  <c r="H534" i="12"/>
  <c r="R512" i="12"/>
  <c r="R514" i="12"/>
  <c r="R573" i="12"/>
  <c r="F685" i="12"/>
  <c r="I668" i="12"/>
  <c r="G689" i="12"/>
  <c r="H740" i="12"/>
  <c r="I157" i="12"/>
  <c r="R157" i="12" s="1"/>
  <c r="E180" i="12"/>
  <c r="Q180" i="12"/>
  <c r="N209" i="12"/>
  <c r="P284" i="12"/>
  <c r="Q339" i="12"/>
  <c r="AB388" i="12"/>
  <c r="AD388" i="12" s="1"/>
  <c r="AM388" i="12" s="1"/>
  <c r="I400" i="12"/>
  <c r="I425" i="12"/>
  <c r="R425" i="12" s="1"/>
  <c r="C451" i="12"/>
  <c r="C478" i="12" s="1"/>
  <c r="B653" i="12"/>
  <c r="M662" i="12"/>
  <c r="R662" i="12" s="1"/>
  <c r="N685" i="12"/>
  <c r="M707" i="12"/>
  <c r="K736" i="12"/>
  <c r="K739" i="12" s="1"/>
  <c r="D740" i="12"/>
  <c r="M711" i="12"/>
  <c r="R767" i="12"/>
  <c r="Q816" i="12"/>
  <c r="N817" i="12"/>
  <c r="B284" i="12"/>
  <c r="K325" i="12"/>
  <c r="AP909" i="12" s="1"/>
  <c r="M379" i="12"/>
  <c r="R379" i="12" s="1"/>
  <c r="AD387" i="12"/>
  <c r="AM387" i="12" s="1"/>
  <c r="C865" i="12"/>
  <c r="C894" i="12" s="1"/>
  <c r="E551" i="12"/>
  <c r="R551" i="12" s="1"/>
  <c r="M551" i="12"/>
  <c r="I605" i="12"/>
  <c r="R605" i="12" s="1"/>
  <c r="Q605" i="12"/>
  <c r="B639" i="12"/>
  <c r="J639" i="12"/>
  <c r="E652" i="12"/>
  <c r="M652" i="12"/>
  <c r="N736" i="12"/>
  <c r="O736" i="12"/>
  <c r="O739" i="12" s="1"/>
  <c r="Q711" i="12"/>
  <c r="R716" i="12"/>
  <c r="R718" i="12"/>
  <c r="E802" i="12"/>
  <c r="B829" i="12"/>
  <c r="L833" i="12"/>
  <c r="L834" i="12"/>
  <c r="C284" i="12"/>
  <c r="K284" i="12"/>
  <c r="AA390" i="12"/>
  <c r="AD390" i="12" s="1"/>
  <c r="AM390" i="12" s="1"/>
  <c r="D865" i="12"/>
  <c r="D894" i="12" s="1"/>
  <c r="F451" i="12"/>
  <c r="G530" i="12"/>
  <c r="G533" i="12" s="1"/>
  <c r="O530" i="12"/>
  <c r="O533" i="12" s="1"/>
  <c r="F653" i="12"/>
  <c r="F739" i="12"/>
  <c r="G736" i="12"/>
  <c r="G739" i="12" s="1"/>
  <c r="I711" i="12"/>
  <c r="R711" i="12" s="1"/>
  <c r="B740" i="12"/>
  <c r="J850" i="12"/>
  <c r="H850" i="12"/>
  <c r="H856" i="12" s="1"/>
  <c r="B209" i="12"/>
  <c r="J209" i="12"/>
  <c r="E864" i="12"/>
  <c r="R864" i="12" s="1"/>
  <c r="D284" i="12"/>
  <c r="L284" i="12"/>
  <c r="L305" i="12" s="1"/>
  <c r="L313" i="12" s="1"/>
  <c r="C325" i="12"/>
  <c r="AP903" i="12" s="1"/>
  <c r="AB390" i="12"/>
  <c r="E400" i="12"/>
  <c r="R400" i="12" s="1"/>
  <c r="M411" i="12"/>
  <c r="R411" i="12" s="1"/>
  <c r="G451" i="12"/>
  <c r="O451" i="12"/>
  <c r="Q451" i="12" s="1"/>
  <c r="E683" i="12"/>
  <c r="R683" i="12" s="1"/>
  <c r="P707" i="12"/>
  <c r="F779" i="12"/>
  <c r="I763" i="12"/>
  <c r="P784" i="12"/>
  <c r="P785" i="12"/>
  <c r="H785" i="12"/>
  <c r="H784" i="12"/>
  <c r="H1051" i="12"/>
  <c r="X1051" i="12" s="1"/>
  <c r="K850" i="12"/>
  <c r="K856" i="12" s="1"/>
  <c r="N856" i="12"/>
  <c r="C209" i="12"/>
  <c r="C305" i="12" s="1"/>
  <c r="C313" i="12" s="1"/>
  <c r="K209" i="12"/>
  <c r="K305" i="12" s="1"/>
  <c r="K313" i="12" s="1"/>
  <c r="P304" i="12"/>
  <c r="Q304" i="12" s="1"/>
  <c r="R304" i="12" s="1"/>
  <c r="AA389" i="12"/>
  <c r="AD389" i="12" s="1"/>
  <c r="AM389" i="12" s="1"/>
  <c r="I863" i="12"/>
  <c r="F865" i="12"/>
  <c r="Q413" i="12"/>
  <c r="R413" i="12" s="1"/>
  <c r="H451" i="12"/>
  <c r="I611" i="12"/>
  <c r="R611" i="12" s="1"/>
  <c r="Q611" i="12"/>
  <c r="M668" i="12"/>
  <c r="I676" i="12"/>
  <c r="R676" i="12" s="1"/>
  <c r="J740" i="12"/>
  <c r="M739" i="12"/>
  <c r="M724" i="12"/>
  <c r="M736" i="12"/>
  <c r="P833" i="12"/>
  <c r="P834" i="12"/>
  <c r="H833" i="12"/>
  <c r="L850" i="12"/>
  <c r="L856" i="12" s="1"/>
  <c r="P850" i="12"/>
  <c r="P856" i="12" s="1"/>
  <c r="F850" i="12"/>
  <c r="C890" i="12"/>
  <c r="C898" i="12" s="1"/>
  <c r="C13" i="12" s="1"/>
  <c r="C875" i="12"/>
  <c r="F284" i="12"/>
  <c r="I284" i="12" s="1"/>
  <c r="N284" i="12"/>
  <c r="Q284" i="12" s="1"/>
  <c r="Q291" i="12"/>
  <c r="R291" i="12" s="1"/>
  <c r="G865" i="12"/>
  <c r="G894" i="12" s="1"/>
  <c r="E668" i="12"/>
  <c r="K668" i="12"/>
  <c r="K685" i="12" s="1"/>
  <c r="K688" i="12" s="1"/>
  <c r="I707" i="12"/>
  <c r="R717" i="12"/>
  <c r="R719" i="12"/>
  <c r="E724" i="12"/>
  <c r="M734" i="12"/>
  <c r="R734" i="12" s="1"/>
  <c r="R735" i="12"/>
  <c r="F750" i="12"/>
  <c r="K786" i="12"/>
  <c r="P918" i="12"/>
  <c r="R700" i="12"/>
  <c r="R737" i="12"/>
  <c r="H835" i="12"/>
  <c r="Q916" i="12"/>
  <c r="G779" i="12"/>
  <c r="G783" i="12" s="1"/>
  <c r="C784" i="12"/>
  <c r="C833" i="12"/>
  <c r="Q802" i="12"/>
  <c r="E807" i="12"/>
  <c r="R807" i="12" s="1"/>
  <c r="I827" i="12"/>
  <c r="R827" i="12" s="1"/>
  <c r="K833" i="12"/>
  <c r="B861" i="12"/>
  <c r="E858" i="12"/>
  <c r="R858" i="12" s="1"/>
  <c r="L861" i="12"/>
  <c r="L892" i="12" s="1"/>
  <c r="G874" i="12"/>
  <c r="G896" i="12" s="1"/>
  <c r="Q870" i="12"/>
  <c r="R872" i="12"/>
  <c r="AH1004" i="12"/>
  <c r="AH969" i="12"/>
  <c r="H1049" i="12"/>
  <c r="AH974" i="12"/>
  <c r="H1054" i="12"/>
  <c r="X1054" i="12" s="1"/>
  <c r="AH1009" i="12"/>
  <c r="J1033" i="12"/>
  <c r="C132" i="13"/>
  <c r="P699" i="13"/>
  <c r="C750" i="12"/>
  <c r="C751" i="12"/>
  <c r="K750" i="12"/>
  <c r="K751" i="12"/>
  <c r="D833" i="12"/>
  <c r="D834" i="12"/>
  <c r="O829" i="12"/>
  <c r="O832" i="12" s="1"/>
  <c r="C835" i="12"/>
  <c r="R851" i="12"/>
  <c r="R855" i="12"/>
  <c r="I870" i="12"/>
  <c r="K874" i="12"/>
  <c r="K896" i="12" s="1"/>
  <c r="AO908" i="12"/>
  <c r="AF908" i="12"/>
  <c r="I1049" i="12"/>
  <c r="Y1049" i="12" s="1"/>
  <c r="G997" i="12"/>
  <c r="I1054" i="12"/>
  <c r="Y1054" i="12" s="1"/>
  <c r="G1002" i="12"/>
  <c r="G979" i="12"/>
  <c r="G951" i="12"/>
  <c r="R17" i="13"/>
  <c r="J779" i="12"/>
  <c r="M763" i="12"/>
  <c r="Q771" i="12"/>
  <c r="R771" i="12" s="1"/>
  <c r="I802" i="12"/>
  <c r="R814" i="12"/>
  <c r="R816" i="12"/>
  <c r="R824" i="12"/>
  <c r="F832" i="12"/>
  <c r="I829" i="12"/>
  <c r="I852" i="12"/>
  <c r="R852" i="12" s="1"/>
  <c r="Q861" i="12"/>
  <c r="O865" i="12"/>
  <c r="O894" i="12" s="1"/>
  <c r="J874" i="12"/>
  <c r="M867" i="12"/>
  <c r="R868" i="12"/>
  <c r="Q871" i="12"/>
  <c r="R871" i="12" s="1"/>
  <c r="AO906" i="12"/>
  <c r="AF906" i="12"/>
  <c r="AF910" i="12"/>
  <c r="AO910" i="12"/>
  <c r="G943" i="12"/>
  <c r="G971" i="12"/>
  <c r="J1027" i="12"/>
  <c r="G63" i="13"/>
  <c r="E749" i="12"/>
  <c r="M749" i="12"/>
  <c r="G829" i="12"/>
  <c r="G832" i="12" s="1"/>
  <c r="E863" i="12"/>
  <c r="R863" i="12" s="1"/>
  <c r="P865" i="12"/>
  <c r="P894" i="12" s="1"/>
  <c r="N865" i="12"/>
  <c r="E873" i="12"/>
  <c r="G998" i="12"/>
  <c r="I1050" i="12"/>
  <c r="Y1050" i="12" s="1"/>
  <c r="G948" i="12"/>
  <c r="F950" i="12"/>
  <c r="B874" i="12"/>
  <c r="E867" i="12"/>
  <c r="R867" i="12" s="1"/>
  <c r="F873" i="12"/>
  <c r="I873" i="12" s="1"/>
  <c r="Q912" i="12"/>
  <c r="G945" i="12"/>
  <c r="I1058" i="12"/>
  <c r="Y1058" i="12" s="1"/>
  <c r="G1006" i="12"/>
  <c r="J1024" i="12"/>
  <c r="J1028" i="12"/>
  <c r="G1138" i="12"/>
  <c r="I1125" i="12"/>
  <c r="H132" i="13"/>
  <c r="N779" i="12"/>
  <c r="Q763" i="12"/>
  <c r="C785" i="12"/>
  <c r="M802" i="12"/>
  <c r="R810" i="12"/>
  <c r="R823" i="12"/>
  <c r="R828" i="12"/>
  <c r="R853" i="12"/>
  <c r="I854" i="12"/>
  <c r="R854" i="12" s="1"/>
  <c r="H861" i="12"/>
  <c r="H892" i="12" s="1"/>
  <c r="I892" i="12" s="1"/>
  <c r="I860" i="12"/>
  <c r="R860" i="12" s="1"/>
  <c r="AD941" i="12"/>
  <c r="AH941" i="12"/>
  <c r="F972" i="12"/>
  <c r="F944" i="12"/>
  <c r="AG941" i="12"/>
  <c r="AS941" i="12"/>
  <c r="AF941" i="12"/>
  <c r="F947" i="12"/>
  <c r="K63" i="13"/>
  <c r="H750" i="12"/>
  <c r="P750" i="12"/>
  <c r="D784" i="12"/>
  <c r="D785" i="12"/>
  <c r="O784" i="12"/>
  <c r="O785" i="12"/>
  <c r="J861" i="12"/>
  <c r="M858" i="12"/>
  <c r="R859" i="12"/>
  <c r="N873" i="12"/>
  <c r="Q873" i="12" s="1"/>
  <c r="AO912" i="12"/>
  <c r="AF912" i="12"/>
  <c r="G1000" i="12"/>
  <c r="I1052" i="12"/>
  <c r="Y1052" i="12" s="1"/>
  <c r="I1055" i="12"/>
  <c r="Y1055" i="12" s="1"/>
  <c r="G1003" i="12"/>
  <c r="F949" i="12"/>
  <c r="AH1006" i="12"/>
  <c r="AH971" i="12"/>
  <c r="K861" i="12"/>
  <c r="K892" i="12" s="1"/>
  <c r="K865" i="12"/>
  <c r="K894" i="12" s="1"/>
  <c r="P874" i="12"/>
  <c r="P896" i="12" s="1"/>
  <c r="G940" i="12"/>
  <c r="G968" i="12"/>
  <c r="G924" i="12"/>
  <c r="H1055" i="12"/>
  <c r="X1055" i="12" s="1"/>
  <c r="AH1010" i="12"/>
  <c r="AH975" i="12"/>
  <c r="J1030" i="12"/>
  <c r="C63" i="13"/>
  <c r="J63" i="13"/>
  <c r="K862" i="13"/>
  <c r="K868" i="13" s="1"/>
  <c r="K212" i="13"/>
  <c r="K308" i="13" s="1"/>
  <c r="K316" i="13" s="1"/>
  <c r="M156" i="13"/>
  <c r="R156" i="13" s="1"/>
  <c r="H491" i="13"/>
  <c r="C586" i="13"/>
  <c r="H699" i="13"/>
  <c r="F844" i="13"/>
  <c r="H845" i="13"/>
  <c r="H846" i="13"/>
  <c r="AF913" i="12"/>
  <c r="AE938" i="12"/>
  <c r="AE950" i="12" s="1"/>
  <c r="AH939" i="12"/>
  <c r="G942" i="12"/>
  <c r="AD943" i="12"/>
  <c r="AG944" i="12"/>
  <c r="AF946" i="12"/>
  <c r="AS946" i="12"/>
  <c r="AF948" i="12"/>
  <c r="AJ948" i="12" s="1"/>
  <c r="AS948" i="12"/>
  <c r="F977" i="12"/>
  <c r="F979" i="12"/>
  <c r="I17" i="13"/>
  <c r="F62" i="13"/>
  <c r="I59" i="13"/>
  <c r="N62" i="13"/>
  <c r="Q59" i="13"/>
  <c r="P59" i="13"/>
  <c r="P62" i="13" s="1"/>
  <c r="M62" i="13"/>
  <c r="R93" i="13"/>
  <c r="J128" i="13"/>
  <c r="R106" i="13"/>
  <c r="I127" i="13"/>
  <c r="R152" i="13"/>
  <c r="R162" i="13"/>
  <c r="M748" i="13"/>
  <c r="J751" i="13"/>
  <c r="J762" i="13"/>
  <c r="R779" i="13"/>
  <c r="D797" i="13"/>
  <c r="D796" i="13"/>
  <c r="R880" i="13"/>
  <c r="F936" i="13"/>
  <c r="AF938" i="12"/>
  <c r="AS938" i="12"/>
  <c r="AD940" i="12"/>
  <c r="AE943" i="12"/>
  <c r="AH944" i="12"/>
  <c r="AD945" i="12"/>
  <c r="AG946" i="12"/>
  <c r="AG948" i="12"/>
  <c r="F968" i="12"/>
  <c r="F976" i="12"/>
  <c r="F978" i="12"/>
  <c r="J1029" i="12"/>
  <c r="AD1053" i="12"/>
  <c r="AD1051" i="12"/>
  <c r="AD1049" i="12"/>
  <c r="AD1071" i="12"/>
  <c r="AD1052" i="12"/>
  <c r="AD1050" i="12"/>
  <c r="AD1048" i="12"/>
  <c r="F1082" i="12"/>
  <c r="B1055" i="12" s="1"/>
  <c r="L1082" i="12"/>
  <c r="F1083" i="12"/>
  <c r="B1056" i="12" s="1"/>
  <c r="L1083" i="12"/>
  <c r="F1084" i="12"/>
  <c r="B1057" i="12" s="1"/>
  <c r="L1084" i="12"/>
  <c r="R1132" i="12"/>
  <c r="K1037" i="13"/>
  <c r="I1037" i="13"/>
  <c r="N1037" i="13"/>
  <c r="L1037" i="13"/>
  <c r="H1037" i="13"/>
  <c r="K1045" i="13"/>
  <c r="I1045" i="13"/>
  <c r="N1045" i="13"/>
  <c r="L1045" i="13"/>
  <c r="H1045" i="13"/>
  <c r="G962" i="13"/>
  <c r="O28" i="13"/>
  <c r="R114" i="13"/>
  <c r="R143" i="13"/>
  <c r="F212" i="13"/>
  <c r="F862" i="13"/>
  <c r="R155" i="13"/>
  <c r="O212" i="13"/>
  <c r="O308" i="13" s="1"/>
  <c r="O316" i="13" s="1"/>
  <c r="O862" i="13"/>
  <c r="O868" i="13" s="1"/>
  <c r="P317" i="13"/>
  <c r="I875" i="13"/>
  <c r="F877" i="13"/>
  <c r="R615" i="13"/>
  <c r="N649" i="13"/>
  <c r="Q615" i="13"/>
  <c r="B904" i="13"/>
  <c r="E904" i="13" s="1"/>
  <c r="E873" i="13"/>
  <c r="F874" i="12"/>
  <c r="N874" i="12"/>
  <c r="AD937" i="12"/>
  <c r="AG938" i="12"/>
  <c r="AE940" i="12"/>
  <c r="F941" i="12"/>
  <c r="AF943" i="12"/>
  <c r="AS943" i="12"/>
  <c r="G944" i="12"/>
  <c r="AE945" i="12"/>
  <c r="F946" i="12"/>
  <c r="AH946" i="12"/>
  <c r="AD947" i="12"/>
  <c r="F948" i="12"/>
  <c r="AH948" i="12"/>
  <c r="F951" i="12"/>
  <c r="G976" i="12"/>
  <c r="J1126" i="12"/>
  <c r="F1129" i="12"/>
  <c r="I1138" i="12"/>
  <c r="Q16" i="13"/>
  <c r="R16" i="13" s="1"/>
  <c r="E27" i="13"/>
  <c r="R75" i="13"/>
  <c r="M89" i="13"/>
  <c r="B128" i="13"/>
  <c r="R101" i="13"/>
  <c r="R112" i="13"/>
  <c r="R126" i="13"/>
  <c r="F128" i="13"/>
  <c r="R147" i="13"/>
  <c r="J485" i="13"/>
  <c r="M386" i="13"/>
  <c r="P491" i="13"/>
  <c r="P956" i="13"/>
  <c r="P984" i="13"/>
  <c r="AH938" i="12"/>
  <c r="AH950" i="12" s="1"/>
  <c r="AG943" i="12"/>
  <c r="AF945" i="12"/>
  <c r="AS945" i="12"/>
  <c r="G946" i="12"/>
  <c r="F973" i="12"/>
  <c r="J1023" i="12"/>
  <c r="L1076" i="12"/>
  <c r="G1076" i="12"/>
  <c r="C1049" i="12" s="1"/>
  <c r="L1077" i="12"/>
  <c r="G1077" i="12"/>
  <c r="C1050" i="12" s="1"/>
  <c r="M15" i="13"/>
  <c r="R15" i="13" s="1"/>
  <c r="E50" i="13"/>
  <c r="E89" i="13"/>
  <c r="R89" i="13" s="1"/>
  <c r="Q126" i="13"/>
  <c r="K132" i="13"/>
  <c r="R175" i="13"/>
  <c r="D541" i="13"/>
  <c r="O541" i="13"/>
  <c r="E521" i="13"/>
  <c r="B537" i="13"/>
  <c r="K796" i="13"/>
  <c r="K797" i="13"/>
  <c r="J817" i="12"/>
  <c r="M817" i="12" s="1"/>
  <c r="AF937" i="12"/>
  <c r="AS937" i="12"/>
  <c r="F943" i="12"/>
  <c r="AG945" i="12"/>
  <c r="G973" i="12"/>
  <c r="M59" i="13"/>
  <c r="O63" i="13"/>
  <c r="S82" i="13"/>
  <c r="D128" i="13"/>
  <c r="D131" i="13" s="1"/>
  <c r="N131" i="13"/>
  <c r="R253" i="13"/>
  <c r="R303" i="13"/>
  <c r="R306" i="13"/>
  <c r="I582" i="13"/>
  <c r="F585" i="13"/>
  <c r="O586" i="13"/>
  <c r="J663" i="13"/>
  <c r="M662" i="13"/>
  <c r="D699" i="13"/>
  <c r="Q686" i="13"/>
  <c r="R686" i="13" s="1"/>
  <c r="N695" i="13"/>
  <c r="L796" i="13"/>
  <c r="L797" i="13"/>
  <c r="E841" i="13"/>
  <c r="B844" i="13"/>
  <c r="L846" i="13"/>
  <c r="L845" i="13"/>
  <c r="R819" i="13"/>
  <c r="O885" i="13"/>
  <c r="Q885" i="13" s="1"/>
  <c r="F986" i="13"/>
  <c r="F958" i="13"/>
  <c r="AS955" i="13"/>
  <c r="AF955" i="13"/>
  <c r="AD955" i="13"/>
  <c r="AH955" i="13"/>
  <c r="AG955" i="13"/>
  <c r="AE955" i="13"/>
  <c r="B865" i="12"/>
  <c r="J865" i="12"/>
  <c r="E870" i="12"/>
  <c r="M870" i="12"/>
  <c r="AD911" i="12"/>
  <c r="G977" i="12"/>
  <c r="AG937" i="12"/>
  <c r="AE939" i="12"/>
  <c r="F940" i="12"/>
  <c r="AF942" i="12"/>
  <c r="AJ942" i="12" s="1"/>
  <c r="AS942" i="12"/>
  <c r="AD944" i="12"/>
  <c r="F945" i="12"/>
  <c r="AG947" i="12"/>
  <c r="F970" i="12"/>
  <c r="J1025" i="12"/>
  <c r="G1075" i="12"/>
  <c r="C1048" i="12" s="1"/>
  <c r="L1075" i="12"/>
  <c r="K1041" i="13"/>
  <c r="I1041" i="13"/>
  <c r="N1041" i="13"/>
  <c r="L1041" i="13"/>
  <c r="H1041" i="13"/>
  <c r="J328" i="13"/>
  <c r="P28" i="13"/>
  <c r="B62" i="13"/>
  <c r="O128" i="13"/>
  <c r="O131" i="13" s="1"/>
  <c r="R111" i="13"/>
  <c r="E127" i="13"/>
  <c r="J862" i="13"/>
  <c r="M174" i="13"/>
  <c r="J212" i="13"/>
  <c r="J540" i="13"/>
  <c r="M537" i="13"/>
  <c r="D586" i="13"/>
  <c r="F751" i="13"/>
  <c r="I748" i="13"/>
  <c r="N908" i="13"/>
  <c r="I858" i="12"/>
  <c r="Q858" i="12"/>
  <c r="AF903" i="12"/>
  <c r="AF905" i="12"/>
  <c r="AF939" i="12"/>
  <c r="AJ939" i="12" s="1"/>
  <c r="AE944" i="12"/>
  <c r="AD946" i="12"/>
  <c r="AH947" i="12"/>
  <c r="J1031" i="12"/>
  <c r="R1122" i="13"/>
  <c r="R1052" i="13"/>
  <c r="R943" i="13"/>
  <c r="R998" i="13"/>
  <c r="AS964" i="13"/>
  <c r="AT937" i="13"/>
  <c r="AT905" i="13"/>
  <c r="AS999" i="13"/>
  <c r="R914" i="13"/>
  <c r="R1077" i="13"/>
  <c r="R969" i="13"/>
  <c r="R849" i="13"/>
  <c r="R890" i="13"/>
  <c r="N1042" i="13"/>
  <c r="I1042" i="13"/>
  <c r="H1042" i="13"/>
  <c r="L1042" i="13"/>
  <c r="K328" i="13"/>
  <c r="K1042" i="13"/>
  <c r="K845" i="13"/>
  <c r="Q17" i="13"/>
  <c r="Q27" i="13"/>
  <c r="D59" i="13"/>
  <c r="D62" i="13" s="1"/>
  <c r="L63" i="13"/>
  <c r="E46" i="13"/>
  <c r="R46" i="13" s="1"/>
  <c r="I50" i="13"/>
  <c r="E58" i="13"/>
  <c r="R58" i="13" s="1"/>
  <c r="R78" i="13"/>
  <c r="R80" i="13"/>
  <c r="G128" i="13"/>
  <c r="G131" i="13" s="1"/>
  <c r="I107" i="13"/>
  <c r="R107" i="13" s="1"/>
  <c r="Q127" i="13"/>
  <c r="R144" i="13"/>
  <c r="S194" i="13" s="1"/>
  <c r="H541" i="13"/>
  <c r="E649" i="13"/>
  <c r="B652" i="13"/>
  <c r="K653" i="13"/>
  <c r="R722" i="13"/>
  <c r="P752" i="13"/>
  <c r="O798" i="13"/>
  <c r="P933" i="13"/>
  <c r="G952" i="13"/>
  <c r="G980" i="13"/>
  <c r="G936" i="13"/>
  <c r="E1138" i="12"/>
  <c r="K1035" i="13"/>
  <c r="I1035" i="13"/>
  <c r="N1035" i="13"/>
  <c r="H1035" i="13"/>
  <c r="K1043" i="13"/>
  <c r="I1043" i="13"/>
  <c r="N1043" i="13"/>
  <c r="H1043" i="13"/>
  <c r="L1043" i="13"/>
  <c r="K28" i="13"/>
  <c r="L96" i="13"/>
  <c r="L128" i="13" s="1"/>
  <c r="L131" i="13" s="1"/>
  <c r="G212" i="13"/>
  <c r="G308" i="13" s="1"/>
  <c r="G316" i="13" s="1"/>
  <c r="G862" i="13"/>
  <c r="G868" i="13" s="1"/>
  <c r="R177" i="13"/>
  <c r="R184" i="13"/>
  <c r="R186" i="13"/>
  <c r="R203" i="13"/>
  <c r="B308" i="13"/>
  <c r="B287" i="13"/>
  <c r="E287" i="13" s="1"/>
  <c r="R287" i="13" s="1"/>
  <c r="B876" i="13"/>
  <c r="E226" i="13"/>
  <c r="R226" i="13" s="1"/>
  <c r="R267" i="13"/>
  <c r="R278" i="13"/>
  <c r="R310" i="13"/>
  <c r="R325" i="13"/>
  <c r="R327" i="13" s="1"/>
  <c r="B485" i="13"/>
  <c r="R352" i="13"/>
  <c r="I357" i="13"/>
  <c r="R357" i="13" s="1"/>
  <c r="Z392" i="13"/>
  <c r="R393" i="13"/>
  <c r="R424" i="13"/>
  <c r="R426" i="13"/>
  <c r="R437" i="13"/>
  <c r="R448" i="13"/>
  <c r="R457" i="13"/>
  <c r="R508" i="13"/>
  <c r="P541" i="13"/>
  <c r="R526" i="13"/>
  <c r="M535" i="13"/>
  <c r="R535" i="13" s="1"/>
  <c r="G586" i="13"/>
  <c r="P586" i="13"/>
  <c r="R568" i="13"/>
  <c r="C653" i="13"/>
  <c r="L653" i="13"/>
  <c r="G653" i="13"/>
  <c r="H663" i="13"/>
  <c r="I678" i="13"/>
  <c r="F695" i="13"/>
  <c r="G748" i="13"/>
  <c r="G751" i="13" s="1"/>
  <c r="G762" i="13"/>
  <c r="B762" i="13"/>
  <c r="C846" i="13"/>
  <c r="C845" i="13"/>
  <c r="N844" i="13"/>
  <c r="N873" i="13"/>
  <c r="M880" i="13"/>
  <c r="P885" i="13"/>
  <c r="H1065" i="13"/>
  <c r="X1065" i="13" s="1"/>
  <c r="AH985" i="13"/>
  <c r="AH1020" i="13"/>
  <c r="L1035" i="13"/>
  <c r="H63" i="14"/>
  <c r="N1036" i="13"/>
  <c r="I1036" i="13"/>
  <c r="K1036" i="13"/>
  <c r="H1036" i="13"/>
  <c r="C328" i="13"/>
  <c r="L1036" i="13"/>
  <c r="N1044" i="13"/>
  <c r="I1044" i="13"/>
  <c r="K1044" i="13"/>
  <c r="H1044" i="13"/>
  <c r="E96" i="13"/>
  <c r="H212" i="13"/>
  <c r="H308" i="13" s="1"/>
  <c r="H316" i="13" s="1"/>
  <c r="H862" i="13"/>
  <c r="H868" i="13" s="1"/>
  <c r="N212" i="13"/>
  <c r="N862" i="13"/>
  <c r="R161" i="13"/>
  <c r="R166" i="13"/>
  <c r="R179" i="13"/>
  <c r="R205" i="13"/>
  <c r="H328" i="13"/>
  <c r="R354" i="13"/>
  <c r="R375" i="13"/>
  <c r="R397" i="13"/>
  <c r="R450" i="13"/>
  <c r="R469" i="13"/>
  <c r="G541" i="13"/>
  <c r="L541" i="13"/>
  <c r="H586" i="13"/>
  <c r="R580" i="13"/>
  <c r="R603" i="13"/>
  <c r="D653" i="13"/>
  <c r="R630" i="13"/>
  <c r="R634" i="13"/>
  <c r="O653" i="13"/>
  <c r="K695" i="13"/>
  <c r="K698" i="13" s="1"/>
  <c r="M678" i="13"/>
  <c r="G699" i="13"/>
  <c r="Q682" i="13"/>
  <c r="R682" i="13" s="1"/>
  <c r="R693" i="13"/>
  <c r="R732" i="13"/>
  <c r="H752" i="13"/>
  <c r="H762" i="13"/>
  <c r="L762" i="13"/>
  <c r="J795" i="13"/>
  <c r="M791" i="13"/>
  <c r="D846" i="13"/>
  <c r="D845" i="13"/>
  <c r="O841" i="13"/>
  <c r="O844" i="13" s="1"/>
  <c r="Q829" i="13"/>
  <c r="I866" i="13"/>
  <c r="R866" i="13" s="1"/>
  <c r="Q876" i="13"/>
  <c r="H885" i="13"/>
  <c r="Q884" i="13"/>
  <c r="R884" i="13" s="1"/>
  <c r="J1036" i="13"/>
  <c r="N1038" i="13"/>
  <c r="I1038" i="13"/>
  <c r="L1038" i="13"/>
  <c r="K1038" i="13"/>
  <c r="H1038" i="13"/>
  <c r="N1046" i="13"/>
  <c r="I1046" i="13"/>
  <c r="L1046" i="13"/>
  <c r="K1046" i="13"/>
  <c r="H1046" i="13"/>
  <c r="P328" i="13"/>
  <c r="P663" i="13"/>
  <c r="Q156" i="13"/>
  <c r="B868" i="13"/>
  <c r="E862" i="13"/>
  <c r="R200" i="13"/>
  <c r="R245" i="13"/>
  <c r="R416" i="13"/>
  <c r="R445" i="13"/>
  <c r="M871" i="13"/>
  <c r="J585" i="13"/>
  <c r="M582" i="13"/>
  <c r="K586" i="13"/>
  <c r="F649" i="13"/>
  <c r="I615" i="13"/>
  <c r="E662" i="13"/>
  <c r="R662" i="13" s="1"/>
  <c r="B663" i="13"/>
  <c r="M695" i="13"/>
  <c r="J698" i="13"/>
  <c r="K752" i="13"/>
  <c r="K762" i="13"/>
  <c r="K763" i="13"/>
  <c r="B795" i="13"/>
  <c r="R789" i="13"/>
  <c r="G841" i="13"/>
  <c r="G844" i="13" s="1"/>
  <c r="P845" i="13"/>
  <c r="P846" i="13"/>
  <c r="D862" i="13"/>
  <c r="D868" i="13" s="1"/>
  <c r="H886" i="13"/>
  <c r="H908" i="13" s="1"/>
  <c r="M885" i="13"/>
  <c r="Q883" i="13"/>
  <c r="J1038" i="13"/>
  <c r="L1044" i="13"/>
  <c r="K1039" i="13"/>
  <c r="I1039" i="13"/>
  <c r="N1039" i="13"/>
  <c r="L1039" i="13"/>
  <c r="H1039" i="13"/>
  <c r="Q94" i="13"/>
  <c r="R94" i="13" s="1"/>
  <c r="L212" i="13"/>
  <c r="L308" i="13" s="1"/>
  <c r="L316" i="13" s="1"/>
  <c r="C868" i="13"/>
  <c r="R188" i="13"/>
  <c r="R189" i="13"/>
  <c r="R247" i="13"/>
  <c r="R296" i="13"/>
  <c r="B328" i="13"/>
  <c r="R342" i="13"/>
  <c r="I343" i="13"/>
  <c r="R343" i="13" s="1"/>
  <c r="F386" i="13"/>
  <c r="R349" i="13"/>
  <c r="B877" i="13"/>
  <c r="L875" i="13"/>
  <c r="M875" i="13" s="1"/>
  <c r="L458" i="13"/>
  <c r="L485" i="13" s="1"/>
  <c r="L490" i="13" s="1"/>
  <c r="R413" i="13"/>
  <c r="R484" i="13"/>
  <c r="R512" i="13"/>
  <c r="K541" i="13"/>
  <c r="M521" i="13"/>
  <c r="R527" i="13"/>
  <c r="B585" i="13"/>
  <c r="E582" i="13"/>
  <c r="R582" i="13" s="1"/>
  <c r="R569" i="13"/>
  <c r="M581" i="13"/>
  <c r="R598" i="13"/>
  <c r="P649" i="13"/>
  <c r="P652" i="13" s="1"/>
  <c r="L663" i="13"/>
  <c r="L699" i="13"/>
  <c r="R713" i="13"/>
  <c r="B748" i="13"/>
  <c r="L752" i="13"/>
  <c r="R727" i="13"/>
  <c r="Q736" i="13"/>
  <c r="R747" i="13"/>
  <c r="L763" i="13"/>
  <c r="C791" i="13"/>
  <c r="C795" i="13" s="1"/>
  <c r="N795" i="13"/>
  <c r="I790" i="13"/>
  <c r="R790" i="13" s="1"/>
  <c r="G796" i="13"/>
  <c r="E829" i="13"/>
  <c r="L862" i="13"/>
  <c r="L868" i="13" s="1"/>
  <c r="M863" i="13"/>
  <c r="I867" i="13"/>
  <c r="R867" i="13" s="1"/>
  <c r="H877" i="13"/>
  <c r="H906" i="13" s="1"/>
  <c r="J886" i="13"/>
  <c r="E885" i="13"/>
  <c r="I885" i="13"/>
  <c r="G957" i="13"/>
  <c r="G985" i="13"/>
  <c r="G961" i="13"/>
  <c r="N1040" i="13"/>
  <c r="I1040" i="13"/>
  <c r="L1040" i="13"/>
  <c r="K1040" i="13"/>
  <c r="H1040" i="13"/>
  <c r="D308" i="13"/>
  <c r="D316" i="13" s="1"/>
  <c r="R172" i="13"/>
  <c r="M188" i="13"/>
  <c r="R197" i="13"/>
  <c r="R228" i="13"/>
  <c r="R244" i="13"/>
  <c r="R261" i="13"/>
  <c r="R270" i="13"/>
  <c r="M306" i="13"/>
  <c r="N328" i="13"/>
  <c r="N485" i="13"/>
  <c r="Q386" i="13"/>
  <c r="G386" i="13"/>
  <c r="AD394" i="13"/>
  <c r="AM394" i="13" s="1"/>
  <c r="C877" i="13"/>
  <c r="C906" i="13" s="1"/>
  <c r="R411" i="13"/>
  <c r="R429" i="13"/>
  <c r="L586" i="13"/>
  <c r="R581" i="13"/>
  <c r="H649" i="13"/>
  <c r="H652" i="13" s="1"/>
  <c r="Q648" i="13"/>
  <c r="R648" i="13" s="1"/>
  <c r="D663" i="13"/>
  <c r="N663" i="13"/>
  <c r="E695" i="13"/>
  <c r="B698" i="13"/>
  <c r="Q678" i="13"/>
  <c r="R694" i="13"/>
  <c r="C752" i="13"/>
  <c r="N751" i="13"/>
  <c r="C762" i="13"/>
  <c r="O796" i="13"/>
  <c r="G798" i="13"/>
  <c r="J841" i="13"/>
  <c r="R835" i="13"/>
  <c r="R840" i="13"/>
  <c r="P887" i="13"/>
  <c r="P902" i="13"/>
  <c r="P910" i="13" s="1"/>
  <c r="P13" i="13" s="1"/>
  <c r="J873" i="13"/>
  <c r="N906" i="13"/>
  <c r="K886" i="13"/>
  <c r="K908" i="13" s="1"/>
  <c r="I883" i="13"/>
  <c r="R883" i="13" s="1"/>
  <c r="J1040" i="13"/>
  <c r="R174" i="13"/>
  <c r="T295" i="13" s="1"/>
  <c r="R258" i="13"/>
  <c r="R292" i="13"/>
  <c r="R313" i="13"/>
  <c r="D328" i="13"/>
  <c r="O328" i="13"/>
  <c r="O491" i="13"/>
  <c r="R337" i="13"/>
  <c r="R378" i="13"/>
  <c r="D875" i="13"/>
  <c r="D458" i="13"/>
  <c r="D485" i="13" s="1"/>
  <c r="D490" i="13" s="1"/>
  <c r="R419" i="13"/>
  <c r="R442" i="13"/>
  <c r="R453" i="13"/>
  <c r="R473" i="13"/>
  <c r="Q582" i="13"/>
  <c r="N585" i="13"/>
  <c r="R606" i="13"/>
  <c r="M649" i="13"/>
  <c r="J652" i="13"/>
  <c r="F663" i="13"/>
  <c r="O663" i="13"/>
  <c r="C699" i="13"/>
  <c r="O695" i="13"/>
  <c r="O698" i="13" s="1"/>
  <c r="D753" i="13"/>
  <c r="D752" i="13"/>
  <c r="O748" i="13"/>
  <c r="O751" i="13" s="1"/>
  <c r="I736" i="13"/>
  <c r="R736" i="13" s="1"/>
  <c r="D763" i="13"/>
  <c r="O762" i="13"/>
  <c r="F795" i="13"/>
  <c r="I791" i="13"/>
  <c r="K847" i="13"/>
  <c r="Q930" i="13"/>
  <c r="I829" i="13"/>
  <c r="E863" i="13"/>
  <c r="R863" i="13" s="1"/>
  <c r="K873" i="13"/>
  <c r="K904" i="13" s="1"/>
  <c r="O877" i="13"/>
  <c r="O906" i="13" s="1"/>
  <c r="B886" i="13"/>
  <c r="AS951" i="13"/>
  <c r="AF951" i="13"/>
  <c r="F982" i="13"/>
  <c r="AE951" i="13"/>
  <c r="AH951" i="13"/>
  <c r="AG951" i="13"/>
  <c r="AD951" i="13"/>
  <c r="AJ951" i="13" s="1"/>
  <c r="F954" i="13"/>
  <c r="H1069" i="13"/>
  <c r="X1069" i="13" s="1"/>
  <c r="AH1024" i="13"/>
  <c r="AH989" i="13"/>
  <c r="F956" i="13"/>
  <c r="C212" i="13"/>
  <c r="C308" i="13" s="1"/>
  <c r="C316" i="13" s="1"/>
  <c r="AB393" i="13"/>
  <c r="AD393" i="13" s="1"/>
  <c r="AM393" i="13" s="1"/>
  <c r="E404" i="13"/>
  <c r="R404" i="13" s="1"/>
  <c r="M404" i="13"/>
  <c r="C458" i="13"/>
  <c r="C485" i="13" s="1"/>
  <c r="C490" i="13" s="1"/>
  <c r="K458" i="13"/>
  <c r="M458" i="13" s="1"/>
  <c r="N762" i="13"/>
  <c r="E775" i="13"/>
  <c r="R775" i="13" s="1"/>
  <c r="M775" i="13"/>
  <c r="H791" i="13"/>
  <c r="H795" i="13" s="1"/>
  <c r="P791" i="13"/>
  <c r="P795" i="13" s="1"/>
  <c r="E814" i="13"/>
  <c r="M814" i="13"/>
  <c r="E870" i="13"/>
  <c r="R870" i="13" s="1"/>
  <c r="M870" i="13"/>
  <c r="Q875" i="13"/>
  <c r="E879" i="13"/>
  <c r="R879" i="13" s="1"/>
  <c r="M879" i="13"/>
  <c r="F886" i="13"/>
  <c r="G982" i="13"/>
  <c r="G954" i="13"/>
  <c r="I1066" i="13"/>
  <c r="Y1066" i="13" s="1"/>
  <c r="F959" i="13"/>
  <c r="AE956" i="13"/>
  <c r="AD956" i="13"/>
  <c r="AG956" i="13"/>
  <c r="AE949" i="13"/>
  <c r="AS952" i="13"/>
  <c r="AD954" i="13"/>
  <c r="F987" i="13"/>
  <c r="I1071" i="13"/>
  <c r="Y1071" i="13" s="1"/>
  <c r="K139" i="14"/>
  <c r="I327" i="13"/>
  <c r="Q327" i="13"/>
  <c r="AA392" i="13"/>
  <c r="AD392" i="13" s="1"/>
  <c r="AC393" i="13"/>
  <c r="I519" i="13"/>
  <c r="R519" i="13" s="1"/>
  <c r="S561" i="13" s="1"/>
  <c r="C663" i="13"/>
  <c r="E718" i="13"/>
  <c r="M718" i="13"/>
  <c r="E761" i="13"/>
  <c r="R761" i="13" s="1"/>
  <c r="M761" i="13"/>
  <c r="D762" i="13"/>
  <c r="O886" i="13"/>
  <c r="O908" i="13" s="1"/>
  <c r="G987" i="13"/>
  <c r="AH957" i="13"/>
  <c r="AG957" i="13"/>
  <c r="F960" i="13"/>
  <c r="AE957" i="13"/>
  <c r="F988" i="13"/>
  <c r="AD957" i="13"/>
  <c r="AF949" i="13"/>
  <c r="AE954" i="13"/>
  <c r="F955" i="13"/>
  <c r="G959" i="13"/>
  <c r="G1014" i="13"/>
  <c r="AB392" i="13"/>
  <c r="F762" i="13"/>
  <c r="J876" i="13"/>
  <c r="J877" i="13" s="1"/>
  <c r="F953" i="13"/>
  <c r="AG950" i="13"/>
  <c r="AE950" i="13"/>
  <c r="G988" i="13"/>
  <c r="F961" i="13"/>
  <c r="AD958" i="13"/>
  <c r="AH958" i="13"/>
  <c r="AG958" i="13"/>
  <c r="AS958" i="13"/>
  <c r="AF958" i="13"/>
  <c r="F962" i="13"/>
  <c r="AE953" i="13"/>
  <c r="G958" i="13"/>
  <c r="G963" i="13"/>
  <c r="H1071" i="13"/>
  <c r="X1071" i="13" s="1"/>
  <c r="AH1026" i="13"/>
  <c r="AH991" i="13"/>
  <c r="L328" i="13"/>
  <c r="M335" i="13"/>
  <c r="R335" i="13" s="1"/>
  <c r="I383" i="13"/>
  <c r="R383" i="13" s="1"/>
  <c r="F458" i="13"/>
  <c r="F537" i="13"/>
  <c r="N537" i="13"/>
  <c r="E558" i="13"/>
  <c r="R558" i="13" s="1"/>
  <c r="M558" i="13"/>
  <c r="C876" i="13"/>
  <c r="K876" i="13"/>
  <c r="K877" i="13" s="1"/>
  <c r="K906" i="13" s="1"/>
  <c r="E882" i="13"/>
  <c r="M882" i="13"/>
  <c r="G981" i="13"/>
  <c r="I1069" i="13"/>
  <c r="Y1069" i="13" s="1"/>
  <c r="G1017" i="13"/>
  <c r="G1044" i="13" s="1"/>
  <c r="G990" i="13"/>
  <c r="AS950" i="13"/>
  <c r="AE960" i="13"/>
  <c r="AJ960" i="13" s="1"/>
  <c r="AD391" i="13"/>
  <c r="AM391" i="13" s="1"/>
  <c r="I404" i="13"/>
  <c r="G458" i="13"/>
  <c r="E678" i="13"/>
  <c r="I870" i="13"/>
  <c r="Q870" i="13"/>
  <c r="H871" i="13"/>
  <c r="H873" i="13" s="1"/>
  <c r="D876" i="13"/>
  <c r="L876" i="13"/>
  <c r="AH952" i="13"/>
  <c r="AE952" i="13"/>
  <c r="AJ952" i="13" s="1"/>
  <c r="AF952" i="13"/>
  <c r="G953" i="13"/>
  <c r="AF956" i="13"/>
  <c r="L63" i="14"/>
  <c r="C893" i="14"/>
  <c r="C899" i="14" s="1"/>
  <c r="C220" i="14"/>
  <c r="E192" i="14"/>
  <c r="R192" i="14" s="1"/>
  <c r="E327" i="13"/>
  <c r="I718" i="13"/>
  <c r="Q718" i="13"/>
  <c r="G955" i="13"/>
  <c r="G983" i="13"/>
  <c r="AD953" i="13"/>
  <c r="AH953" i="13"/>
  <c r="F984" i="13"/>
  <c r="AS953" i="13"/>
  <c r="AS962" i="13" s="1"/>
  <c r="AF953" i="13"/>
  <c r="AG952" i="13"/>
  <c r="AH956" i="13"/>
  <c r="AE958" i="13"/>
  <c r="F981" i="13"/>
  <c r="G521" i="14"/>
  <c r="M400" i="14"/>
  <c r="I783" i="13"/>
  <c r="R783" i="13" s="1"/>
  <c r="Q783" i="13"/>
  <c r="AH949" i="13"/>
  <c r="F952" i="13"/>
  <c r="AG949" i="13"/>
  <c r="AD949" i="13"/>
  <c r="F980" i="13"/>
  <c r="G984" i="13"/>
  <c r="G956" i="13"/>
  <c r="AG954" i="13"/>
  <c r="F957" i="13"/>
  <c r="AS954" i="13"/>
  <c r="AF954" i="13"/>
  <c r="G1046" i="13"/>
  <c r="AD950" i="13"/>
  <c r="AF957" i="13"/>
  <c r="F983" i="13"/>
  <c r="J1045" i="13"/>
  <c r="AF960" i="13"/>
  <c r="AS960" i="13"/>
  <c r="J1041" i="13"/>
  <c r="F1087" i="13"/>
  <c r="B1060" i="13" s="1"/>
  <c r="L1087" i="13"/>
  <c r="P63" i="14"/>
  <c r="G139" i="14"/>
  <c r="R182" i="14"/>
  <c r="R348" i="14"/>
  <c r="AG960" i="13"/>
  <c r="J1037" i="13"/>
  <c r="J1044" i="13"/>
  <c r="D63" i="14"/>
  <c r="F59" i="14"/>
  <c r="C139" i="14"/>
  <c r="AD959" i="13"/>
  <c r="AH960" i="13"/>
  <c r="F963" i="13"/>
  <c r="P693" i="14"/>
  <c r="Q692" i="14"/>
  <c r="AF959" i="13"/>
  <c r="AS959" i="13"/>
  <c r="J1043" i="13"/>
  <c r="L1098" i="13"/>
  <c r="F1098" i="13"/>
  <c r="B1071" i="13" s="1"/>
  <c r="E1150" i="13"/>
  <c r="R90" i="14"/>
  <c r="R203" i="14"/>
  <c r="AG959" i="13"/>
  <c r="F990" i="13"/>
  <c r="J1035" i="13"/>
  <c r="J1039" i="13"/>
  <c r="Q27" i="14"/>
  <c r="O28" i="14"/>
  <c r="J62" i="14"/>
  <c r="M59" i="14"/>
  <c r="R318" i="14"/>
  <c r="AH959" i="13"/>
  <c r="J1042" i="13"/>
  <c r="J1046" i="13"/>
  <c r="G683" i="14"/>
  <c r="H729" i="14"/>
  <c r="I14" i="14"/>
  <c r="R14" i="14" s="1"/>
  <c r="M15" i="14"/>
  <c r="R54" i="14"/>
  <c r="R87" i="14"/>
  <c r="H135" i="14"/>
  <c r="H138" i="14" s="1"/>
  <c r="R96" i="14"/>
  <c r="R150" i="14"/>
  <c r="R154" i="14"/>
  <c r="D893" i="14"/>
  <c r="D899" i="14" s="1"/>
  <c r="D220" i="14"/>
  <c r="D320" i="14" s="1"/>
  <c r="D328" i="14" s="1"/>
  <c r="E184" i="14"/>
  <c r="R206" i="14"/>
  <c r="E227" i="14"/>
  <c r="R227" i="14" s="1"/>
  <c r="P907" i="14"/>
  <c r="P908" i="14" s="1"/>
  <c r="P937" i="14" s="1"/>
  <c r="P299" i="14"/>
  <c r="R290" i="14"/>
  <c r="R292" i="14"/>
  <c r="R302" i="14"/>
  <c r="R312" i="14"/>
  <c r="Q319" i="14"/>
  <c r="R319" i="14" s="1"/>
  <c r="R350" i="14"/>
  <c r="R378" i="14"/>
  <c r="R383" i="14"/>
  <c r="R385" i="14"/>
  <c r="R438" i="14"/>
  <c r="R443" i="14"/>
  <c r="B616" i="14"/>
  <c r="L613" i="14"/>
  <c r="L616" i="14" s="1"/>
  <c r="M589" i="14"/>
  <c r="D683" i="14"/>
  <c r="G1088" i="13"/>
  <c r="C1061" i="13" s="1"/>
  <c r="F1090" i="13"/>
  <c r="B1063" i="13" s="1"/>
  <c r="Q1150" i="13"/>
  <c r="N59" i="14"/>
  <c r="R77" i="14"/>
  <c r="R111" i="14"/>
  <c r="R120" i="14"/>
  <c r="O139" i="14"/>
  <c r="R158" i="14"/>
  <c r="R160" i="14"/>
  <c r="R173" i="14"/>
  <c r="F893" i="14"/>
  <c r="F220" i="14"/>
  <c r="I184" i="14"/>
  <c r="R195" i="14"/>
  <c r="R212" i="14"/>
  <c r="R235" i="14"/>
  <c r="R250" i="14"/>
  <c r="R268" i="14"/>
  <c r="R315" i="14"/>
  <c r="M339" i="14"/>
  <c r="J340" i="14"/>
  <c r="AP951" i="14" s="1"/>
  <c r="M356" i="14"/>
  <c r="R365" i="14"/>
  <c r="Q371" i="14"/>
  <c r="E375" i="14"/>
  <c r="R375" i="14" s="1"/>
  <c r="I414" i="14"/>
  <c r="R427" i="14"/>
  <c r="C571" i="14"/>
  <c r="L572" i="14"/>
  <c r="O683" i="14"/>
  <c r="I27" i="14"/>
  <c r="R27" i="14" s="1"/>
  <c r="K220" i="14"/>
  <c r="R276" i="14"/>
  <c r="R296" i="14"/>
  <c r="E339" i="14"/>
  <c r="B340" i="14"/>
  <c r="AP945" i="14" s="1"/>
  <c r="L340" i="14"/>
  <c r="AP953" i="14" s="1"/>
  <c r="R419" i="14"/>
  <c r="R421" i="14"/>
  <c r="B907" i="14"/>
  <c r="B908" i="14" s="1"/>
  <c r="B488" i="14"/>
  <c r="E435" i="14"/>
  <c r="R435" i="14" s="1"/>
  <c r="O572" i="14"/>
  <c r="F780" i="14"/>
  <c r="P781" i="14"/>
  <c r="K876" i="14"/>
  <c r="K877" i="14"/>
  <c r="AD1066" i="13"/>
  <c r="I1066" i="14"/>
  <c r="H1066" i="14"/>
  <c r="L1066" i="14"/>
  <c r="K1066" i="14"/>
  <c r="N1066" i="14"/>
  <c r="B28" i="14"/>
  <c r="I1074" i="14"/>
  <c r="H1074" i="14"/>
  <c r="L1074" i="14"/>
  <c r="K1074" i="14"/>
  <c r="N1074" i="14"/>
  <c r="L28" i="14"/>
  <c r="R18" i="14"/>
  <c r="O59" i="14"/>
  <c r="O62" i="14" s="1"/>
  <c r="B62" i="14"/>
  <c r="E59" i="14"/>
  <c r="N135" i="14"/>
  <c r="Q92" i="14"/>
  <c r="R133" i="14"/>
  <c r="L329" i="14"/>
  <c r="P320" i="14"/>
  <c r="P328" i="14" s="1"/>
  <c r="R245" i="14"/>
  <c r="R278" i="14"/>
  <c r="C400" i="14"/>
  <c r="N400" i="14"/>
  <c r="Q356" i="14"/>
  <c r="R372" i="14"/>
  <c r="R379" i="14"/>
  <c r="AD1083" i="13"/>
  <c r="F1144" i="13"/>
  <c r="G28" i="14"/>
  <c r="I41" i="14"/>
  <c r="R41" i="14" s="1"/>
  <c r="Q57" i="14"/>
  <c r="R74" i="14"/>
  <c r="D139" i="14"/>
  <c r="R117" i="14"/>
  <c r="I134" i="14"/>
  <c r="R134" i="14" s="1"/>
  <c r="R157" i="14"/>
  <c r="R176" i="14"/>
  <c r="N893" i="14"/>
  <c r="N220" i="14"/>
  <c r="R194" i="14"/>
  <c r="R196" i="14"/>
  <c r="R211" i="14"/>
  <c r="R267" i="14"/>
  <c r="R322" i="14"/>
  <c r="D340" i="14"/>
  <c r="AP947" i="14" s="1"/>
  <c r="O340" i="14"/>
  <c r="AP955" i="14" s="1"/>
  <c r="O521" i="14"/>
  <c r="H400" i="14"/>
  <c r="H515" i="14" s="1"/>
  <c r="H520" i="14" s="1"/>
  <c r="I371" i="14"/>
  <c r="R371" i="14" s="1"/>
  <c r="R408" i="14"/>
  <c r="R430" i="14"/>
  <c r="O617" i="14"/>
  <c r="C825" i="14"/>
  <c r="C826" i="14"/>
  <c r="K825" i="14"/>
  <c r="K826" i="14"/>
  <c r="AD1061" i="13"/>
  <c r="I1068" i="14"/>
  <c r="H1068" i="14"/>
  <c r="L1068" i="14"/>
  <c r="K1068" i="14"/>
  <c r="N1068" i="14"/>
  <c r="D825" i="14"/>
  <c r="I1076" i="14"/>
  <c r="H1076" i="14"/>
  <c r="L1076" i="14"/>
  <c r="K1076" i="14"/>
  <c r="N1076" i="14"/>
  <c r="J1076" i="14"/>
  <c r="O825" i="14"/>
  <c r="R38" i="14"/>
  <c r="G59" i="14"/>
  <c r="G62" i="14" s="1"/>
  <c r="F135" i="14"/>
  <c r="I92" i="14"/>
  <c r="P139" i="14"/>
  <c r="N907" i="14"/>
  <c r="Q234" i="14"/>
  <c r="R262" i="14"/>
  <c r="R284" i="14"/>
  <c r="I356" i="14"/>
  <c r="F400" i="14"/>
  <c r="AM405" i="14"/>
  <c r="L1067" i="14"/>
  <c r="I1067" i="14"/>
  <c r="H1067" i="14"/>
  <c r="N1067" i="14"/>
  <c r="K1067" i="14"/>
  <c r="C693" i="14"/>
  <c r="F984" i="14"/>
  <c r="C791" i="14"/>
  <c r="L1075" i="14"/>
  <c r="I1075" i="14"/>
  <c r="H1075" i="14"/>
  <c r="J1075" i="14"/>
  <c r="N1075" i="14"/>
  <c r="K1075" i="14"/>
  <c r="N791" i="14"/>
  <c r="N693" i="14"/>
  <c r="E50" i="14"/>
  <c r="R50" i="14" s="1"/>
  <c r="M50" i="14"/>
  <c r="O933" i="14"/>
  <c r="I339" i="14"/>
  <c r="Q339" i="14"/>
  <c r="AA408" i="14"/>
  <c r="AD408" i="14" s="1"/>
  <c r="AM408" i="14" s="1"/>
  <c r="C488" i="14"/>
  <c r="R459" i="14"/>
  <c r="Q514" i="14"/>
  <c r="I566" i="14"/>
  <c r="C617" i="14"/>
  <c r="N679" i="14"/>
  <c r="R648" i="14"/>
  <c r="R656" i="14"/>
  <c r="G693" i="14"/>
  <c r="J729" i="14"/>
  <c r="G777" i="14"/>
  <c r="G780" i="14" s="1"/>
  <c r="I747" i="14"/>
  <c r="R751" i="14"/>
  <c r="I790" i="14"/>
  <c r="F791" i="14"/>
  <c r="P791" i="14"/>
  <c r="Q962" i="14"/>
  <c r="L878" i="14"/>
  <c r="J916" i="14"/>
  <c r="M913" i="14"/>
  <c r="R567" i="14"/>
  <c r="D613" i="14"/>
  <c r="D616" i="14" s="1"/>
  <c r="E589" i="14"/>
  <c r="R589" i="14" s="1"/>
  <c r="I692" i="14"/>
  <c r="K729" i="14"/>
  <c r="H781" i="14"/>
  <c r="C877" i="14"/>
  <c r="C876" i="14"/>
  <c r="L1069" i="14"/>
  <c r="I1069" i="14"/>
  <c r="H1069" i="14"/>
  <c r="N1069" i="14"/>
  <c r="K1069" i="14"/>
  <c r="L1077" i="14"/>
  <c r="I1077" i="14"/>
  <c r="H1077" i="14"/>
  <c r="N1077" i="14"/>
  <c r="F994" i="14"/>
  <c r="K1077" i="14"/>
  <c r="J1077" i="14"/>
  <c r="B135" i="14"/>
  <c r="J135" i="14"/>
  <c r="G933" i="14"/>
  <c r="B220" i="14"/>
  <c r="J220" i="14"/>
  <c r="G299" i="14"/>
  <c r="O299" i="14"/>
  <c r="O320" i="14" s="1"/>
  <c r="O328" i="14" s="1"/>
  <c r="AA407" i="14"/>
  <c r="AC408" i="14"/>
  <c r="R440" i="14"/>
  <c r="R444" i="14"/>
  <c r="R448" i="14"/>
  <c r="R456" i="14"/>
  <c r="R482" i="14"/>
  <c r="R493" i="14"/>
  <c r="P572" i="14"/>
  <c r="R565" i="14"/>
  <c r="R583" i="14"/>
  <c r="P617" i="14"/>
  <c r="H683" i="14"/>
  <c r="P683" i="14"/>
  <c r="R672" i="14"/>
  <c r="J780" i="14"/>
  <c r="M777" i="14"/>
  <c r="P965" i="14"/>
  <c r="P827" i="14"/>
  <c r="G908" i="14"/>
  <c r="G937" i="14" s="1"/>
  <c r="I906" i="14"/>
  <c r="J917" i="14"/>
  <c r="I1070" i="14"/>
  <c r="H1070" i="14"/>
  <c r="L1070" i="14"/>
  <c r="K1070" i="14"/>
  <c r="N1070" i="14"/>
  <c r="C907" i="14"/>
  <c r="C908" i="14" s="1"/>
  <c r="C937" i="14" s="1"/>
  <c r="H299" i="14"/>
  <c r="H320" i="14" s="1"/>
  <c r="H328" i="14" s="1"/>
  <c r="C340" i="14"/>
  <c r="AP946" i="14" s="1"/>
  <c r="AB407" i="14"/>
  <c r="F488" i="14"/>
  <c r="I488" i="14" s="1"/>
  <c r="F907" i="14"/>
  <c r="I907" i="14" s="1"/>
  <c r="Q437" i="14"/>
  <c r="R437" i="14" s="1"/>
  <c r="N488" i="14"/>
  <c r="Q488" i="14" s="1"/>
  <c r="H572" i="14"/>
  <c r="G613" i="14"/>
  <c r="G616" i="14" s="1"/>
  <c r="F679" i="14"/>
  <c r="I644" i="14"/>
  <c r="E679" i="14"/>
  <c r="N725" i="14"/>
  <c r="K781" i="14"/>
  <c r="L1071" i="14"/>
  <c r="I1071" i="14"/>
  <c r="H1071" i="14"/>
  <c r="N1071" i="14"/>
  <c r="K1071" i="14"/>
  <c r="K893" i="14"/>
  <c r="K899" i="14" s="1"/>
  <c r="H893" i="14"/>
  <c r="H899" i="14" s="1"/>
  <c r="P893" i="14"/>
  <c r="P899" i="14" s="1"/>
  <c r="K907" i="14"/>
  <c r="M907" i="14" s="1"/>
  <c r="D907" i="14"/>
  <c r="D908" i="14" s="1"/>
  <c r="D937" i="14" s="1"/>
  <c r="AC407" i="14"/>
  <c r="H617" i="14"/>
  <c r="R612" i="14"/>
  <c r="R640" i="14"/>
  <c r="M682" i="14"/>
  <c r="J683" i="14"/>
  <c r="R650" i="14"/>
  <c r="M679" i="14"/>
  <c r="L693" i="14"/>
  <c r="O725" i="14"/>
  <c r="O728" i="14" s="1"/>
  <c r="Q708" i="14"/>
  <c r="D729" i="14"/>
  <c r="L729" i="14"/>
  <c r="B780" i="14"/>
  <c r="E777" i="14"/>
  <c r="R757" i="14"/>
  <c r="F939" i="14"/>
  <c r="I1072" i="14"/>
  <c r="H1072" i="14"/>
  <c r="L1072" i="14"/>
  <c r="K1072" i="14"/>
  <c r="N1072" i="14"/>
  <c r="J693" i="14"/>
  <c r="L893" i="14"/>
  <c r="L899" i="14" s="1"/>
  <c r="R445" i="14"/>
  <c r="R469" i="14"/>
  <c r="R509" i="14"/>
  <c r="M571" i="14"/>
  <c r="J572" i="14"/>
  <c r="G572" i="14"/>
  <c r="J617" i="14"/>
  <c r="E682" i="14"/>
  <c r="B683" i="14"/>
  <c r="K683" i="14"/>
  <c r="F725" i="14"/>
  <c r="P729" i="14"/>
  <c r="C781" i="14"/>
  <c r="N777" i="14"/>
  <c r="D781" i="14"/>
  <c r="C904" i="14"/>
  <c r="C935" i="14" s="1"/>
  <c r="E901" i="14"/>
  <c r="R1153" i="14"/>
  <c r="R1108" i="14"/>
  <c r="R1083" i="14"/>
  <c r="AS1030" i="14"/>
  <c r="R1000" i="14"/>
  <c r="R1029" i="14"/>
  <c r="AS995" i="14"/>
  <c r="R921" i="14"/>
  <c r="R945" i="14"/>
  <c r="R880" i="14"/>
  <c r="AT968" i="14"/>
  <c r="AT936" i="14"/>
  <c r="L1073" i="14"/>
  <c r="I1073" i="14"/>
  <c r="H1073" i="14"/>
  <c r="K1073" i="14"/>
  <c r="J1073" i="14"/>
  <c r="N1073" i="14"/>
  <c r="K791" i="14"/>
  <c r="K693" i="14"/>
  <c r="B899" i="14"/>
  <c r="M184" i="14"/>
  <c r="M899" i="14"/>
  <c r="M234" i="14"/>
  <c r="R234" i="14" s="1"/>
  <c r="C299" i="14"/>
  <c r="E299" i="14" s="1"/>
  <c r="K299" i="14"/>
  <c r="M299" i="14" s="1"/>
  <c r="K488" i="14"/>
  <c r="M488" i="14" s="1"/>
  <c r="M439" i="14"/>
  <c r="R439" i="14" s="1"/>
  <c r="R441" i="14"/>
  <c r="B572" i="14"/>
  <c r="K572" i="14"/>
  <c r="Q566" i="14"/>
  <c r="M568" i="14"/>
  <c r="C683" i="14"/>
  <c r="L683" i="14"/>
  <c r="D693" i="14"/>
  <c r="O693" i="14"/>
  <c r="G725" i="14"/>
  <c r="G728" i="14" s="1"/>
  <c r="I708" i="14"/>
  <c r="R708" i="14" s="1"/>
  <c r="O777" i="14"/>
  <c r="O780" i="14" s="1"/>
  <c r="Q747" i="14"/>
  <c r="L781" i="14"/>
  <c r="F568" i="14"/>
  <c r="N568" i="14"/>
  <c r="F613" i="14"/>
  <c r="N613" i="14"/>
  <c r="G791" i="14"/>
  <c r="B824" i="14"/>
  <c r="E820" i="14"/>
  <c r="F824" i="14"/>
  <c r="I820" i="14"/>
  <c r="E860" i="14"/>
  <c r="L876" i="14"/>
  <c r="D904" i="14"/>
  <c r="D935" i="14" s="1"/>
  <c r="J935" i="14"/>
  <c r="H908" i="14"/>
  <c r="H937" i="14" s="1"/>
  <c r="E917" i="14"/>
  <c r="B939" i="14"/>
  <c r="E939" i="14" s="1"/>
  <c r="K917" i="14"/>
  <c r="K939" i="14" s="1"/>
  <c r="G916" i="14"/>
  <c r="AH987" i="14"/>
  <c r="AG987" i="14"/>
  <c r="F1018" i="14"/>
  <c r="AS987" i="14"/>
  <c r="AF987" i="14"/>
  <c r="F990" i="14"/>
  <c r="AE987" i="14"/>
  <c r="AD987" i="14"/>
  <c r="AJ987" i="14" s="1"/>
  <c r="AD952" i="14"/>
  <c r="J1069" i="14"/>
  <c r="J513" i="14"/>
  <c r="M513" i="14" s="1"/>
  <c r="R513" i="14" s="1"/>
  <c r="D551" i="14"/>
  <c r="D568" i="14" s="1"/>
  <c r="M592" i="14"/>
  <c r="R592" i="14" s="1"/>
  <c r="R788" i="14"/>
  <c r="H825" i="14"/>
  <c r="N872" i="14"/>
  <c r="Q844" i="14"/>
  <c r="Q849" i="14"/>
  <c r="R849" i="14" s="1"/>
  <c r="I860" i="14"/>
  <c r="D878" i="14"/>
  <c r="Q956" i="14"/>
  <c r="R897" i="14"/>
  <c r="I898" i="14"/>
  <c r="R898" i="14" s="1"/>
  <c r="N935" i="14"/>
  <c r="Q935" i="14" s="1"/>
  <c r="Q904" i="14"/>
  <c r="R903" i="14"/>
  <c r="B916" i="14"/>
  <c r="E916" i="14" s="1"/>
  <c r="E913" i="14"/>
  <c r="J514" i="14"/>
  <c r="M514" i="14" s="1"/>
  <c r="R514" i="14" s="1"/>
  <c r="E549" i="14"/>
  <c r="R549" i="14" s="1"/>
  <c r="B693" i="14"/>
  <c r="J791" i="14"/>
  <c r="M790" i="14"/>
  <c r="H791" i="14"/>
  <c r="D827" i="14"/>
  <c r="P956" i="14"/>
  <c r="L820" i="14"/>
  <c r="L824" i="14" s="1"/>
  <c r="D876" i="14"/>
  <c r="F935" i="14"/>
  <c r="I935" i="14" s="1"/>
  <c r="I904" i="14"/>
  <c r="M902" i="14"/>
  <c r="M910" i="14"/>
  <c r="R910" i="14" s="1"/>
  <c r="Q916" i="14"/>
  <c r="Q914" i="14"/>
  <c r="R914" i="14" s="1"/>
  <c r="AF947" i="14"/>
  <c r="AF953" i="14"/>
  <c r="F989" i="14"/>
  <c r="F1020" i="14"/>
  <c r="AG989" i="14"/>
  <c r="AS989" i="14"/>
  <c r="AF989" i="14"/>
  <c r="AE989" i="14"/>
  <c r="F992" i="14"/>
  <c r="AD989" i="14"/>
  <c r="AD954" i="14"/>
  <c r="AH989" i="14"/>
  <c r="E546" i="14"/>
  <c r="M546" i="14"/>
  <c r="K595" i="14"/>
  <c r="M595" i="14" s="1"/>
  <c r="R819" i="14"/>
  <c r="P825" i="14"/>
  <c r="F872" i="14"/>
  <c r="I844" i="14"/>
  <c r="R844" i="14" s="1"/>
  <c r="P872" i="14"/>
  <c r="P875" i="14" s="1"/>
  <c r="R859" i="14"/>
  <c r="O876" i="14"/>
  <c r="O877" i="14"/>
  <c r="L908" i="14"/>
  <c r="L937" i="14" s="1"/>
  <c r="F1016" i="14"/>
  <c r="AD985" i="14"/>
  <c r="AH985" i="14"/>
  <c r="AG985" i="14"/>
  <c r="AF985" i="14"/>
  <c r="AD950" i="14"/>
  <c r="F988" i="14"/>
  <c r="AS985" i="14"/>
  <c r="G989" i="14"/>
  <c r="G1017" i="14"/>
  <c r="E692" i="14"/>
  <c r="M692" i="14"/>
  <c r="B725" i="14"/>
  <c r="B791" i="14"/>
  <c r="E790" i="14"/>
  <c r="L791" i="14"/>
  <c r="Q818" i="14"/>
  <c r="R821" i="14"/>
  <c r="R838" i="14"/>
  <c r="R842" i="14"/>
  <c r="R847" i="14"/>
  <c r="Q896" i="14"/>
  <c r="E902" i="14"/>
  <c r="N908" i="14"/>
  <c r="M911" i="14"/>
  <c r="R911" i="14" s="1"/>
  <c r="R912" i="14"/>
  <c r="F916" i="14"/>
  <c r="Q915" i="14"/>
  <c r="G985" i="14"/>
  <c r="G1013" i="14"/>
  <c r="G1015" i="14"/>
  <c r="G987" i="14"/>
  <c r="G1044" i="14"/>
  <c r="I1096" i="14"/>
  <c r="Y1096" i="14" s="1"/>
  <c r="G1012" i="14"/>
  <c r="M507" i="14"/>
  <c r="R507" i="14" s="1"/>
  <c r="M708" i="14"/>
  <c r="E747" i="14"/>
  <c r="M747" i="14"/>
  <c r="G826" i="14"/>
  <c r="G825" i="14"/>
  <c r="P964" i="14"/>
  <c r="O827" i="14"/>
  <c r="H826" i="14"/>
  <c r="H872" i="14"/>
  <c r="H875" i="14" s="1"/>
  <c r="R852" i="14"/>
  <c r="R863" i="14"/>
  <c r="Q871" i="14"/>
  <c r="R871" i="14" s="1"/>
  <c r="E895" i="14"/>
  <c r="R895" i="14" s="1"/>
  <c r="F991" i="14"/>
  <c r="AE985" i="14"/>
  <c r="J1067" i="14"/>
  <c r="D792" i="14"/>
  <c r="D791" i="14"/>
  <c r="O791" i="14"/>
  <c r="M808" i="14"/>
  <c r="R808" i="14" s="1"/>
  <c r="R812" i="14"/>
  <c r="I818" i="14"/>
  <c r="I896" i="14"/>
  <c r="R896" i="14" s="1"/>
  <c r="K904" i="14"/>
  <c r="K935" i="14" s="1"/>
  <c r="B935" i="14"/>
  <c r="E935" i="14" s="1"/>
  <c r="F908" i="14"/>
  <c r="I915" i="14"/>
  <c r="R915" i="14" s="1"/>
  <c r="N939" i="14"/>
  <c r="AE980" i="14"/>
  <c r="F1011" i="14"/>
  <c r="F967" i="14"/>
  <c r="AH980" i="14"/>
  <c r="AS980" i="14"/>
  <c r="AG980" i="14"/>
  <c r="AD945" i="14"/>
  <c r="F983" i="14"/>
  <c r="AF980" i="14"/>
  <c r="G991" i="14"/>
  <c r="G1019" i="14"/>
  <c r="AH991" i="14"/>
  <c r="AE956" i="14"/>
  <c r="AF956" i="14" s="1"/>
  <c r="B872" i="14"/>
  <c r="J906" i="14"/>
  <c r="G917" i="14"/>
  <c r="G939" i="14" s="1"/>
  <c r="O917" i="14"/>
  <c r="O939" i="14" s="1"/>
  <c r="AF949" i="14"/>
  <c r="AF951" i="14"/>
  <c r="AF955" i="14"/>
  <c r="G1018" i="14"/>
  <c r="G990" i="14"/>
  <c r="G992" i="14"/>
  <c r="AG983" i="14"/>
  <c r="AF986" i="14"/>
  <c r="F1013" i="14"/>
  <c r="J1072" i="14"/>
  <c r="G28" i="15"/>
  <c r="J860" i="14"/>
  <c r="M860" i="14" s="1"/>
  <c r="F1012" i="14"/>
  <c r="AH981" i="14"/>
  <c r="AS981" i="14"/>
  <c r="AF981" i="14"/>
  <c r="AE981" i="14"/>
  <c r="AD981" i="14"/>
  <c r="AE990" i="14"/>
  <c r="F993" i="14"/>
  <c r="AH990" i="14"/>
  <c r="AH986" i="14"/>
  <c r="J1074" i="14"/>
  <c r="G984" i="14"/>
  <c r="G993" i="14"/>
  <c r="AD990" i="14"/>
  <c r="F1017" i="14"/>
  <c r="I901" i="14"/>
  <c r="Q901" i="14"/>
  <c r="E906" i="14"/>
  <c r="AS983" i="14"/>
  <c r="AF983" i="14"/>
  <c r="AD983" i="14"/>
  <c r="F1014" i="14"/>
  <c r="G994" i="14"/>
  <c r="F986" i="14"/>
  <c r="AS986" i="14"/>
  <c r="AF990" i="14"/>
  <c r="G1020" i="14"/>
  <c r="J1070" i="14"/>
  <c r="Q790" i="14"/>
  <c r="G1014" i="14"/>
  <c r="F1015" i="14"/>
  <c r="F987" i="14"/>
  <c r="AG984" i="14"/>
  <c r="AS984" i="14"/>
  <c r="AF984" i="14"/>
  <c r="AE984" i="14"/>
  <c r="AD984" i="14"/>
  <c r="AS988" i="14"/>
  <c r="AF988" i="14"/>
  <c r="F1019" i="14"/>
  <c r="AD988" i="14"/>
  <c r="G986" i="14"/>
  <c r="AG990" i="14"/>
  <c r="F1021" i="14"/>
  <c r="J1066" i="14"/>
  <c r="J1068" i="14"/>
  <c r="I913" i="14"/>
  <c r="Q913" i="14"/>
  <c r="G1011" i="14"/>
  <c r="G967" i="14"/>
  <c r="G983" i="14"/>
  <c r="AH982" i="14"/>
  <c r="F985" i="14"/>
  <c r="AG982" i="14"/>
  <c r="AS982" i="14"/>
  <c r="AF982" i="14"/>
  <c r="AJ982" i="14" s="1"/>
  <c r="G988" i="14"/>
  <c r="AG986" i="14"/>
  <c r="AE986" i="14"/>
  <c r="AD986" i="14"/>
  <c r="AG988" i="14"/>
  <c r="AS990" i="14"/>
  <c r="J1071" i="14"/>
  <c r="AD991" i="14"/>
  <c r="AJ991" i="14" s="1"/>
  <c r="G1021" i="14"/>
  <c r="G1129" i="14"/>
  <c r="C1102" i="14" s="1"/>
  <c r="L1129" i="14"/>
  <c r="AE991" i="14"/>
  <c r="F1022" i="14"/>
  <c r="AF991" i="14"/>
  <c r="AS991" i="14"/>
  <c r="G1022" i="14"/>
  <c r="F1123" i="14"/>
  <c r="B1096" i="14" s="1"/>
  <c r="L1123" i="14"/>
  <c r="AD1092" i="14"/>
  <c r="AD1094" i="14"/>
  <c r="F1122" i="14"/>
  <c r="B1095" i="14" s="1"/>
  <c r="L1122" i="14"/>
  <c r="F1128" i="14"/>
  <c r="B1101" i="14" s="1"/>
  <c r="L1128" i="14"/>
  <c r="Q109" i="15"/>
  <c r="R109" i="15" s="1"/>
  <c r="N130" i="15"/>
  <c r="AD1108" i="14"/>
  <c r="AD1113" i="14"/>
  <c r="AD1096" i="14"/>
  <c r="AD1104" i="14"/>
  <c r="AD1111" i="14"/>
  <c r="AD1114" i="14"/>
  <c r="P134" i="15"/>
  <c r="AD1110" i="14"/>
  <c r="K28" i="15"/>
  <c r="M27" i="15"/>
  <c r="L134" i="15"/>
  <c r="B133" i="15"/>
  <c r="AD1098" i="14"/>
  <c r="AD1100" i="14"/>
  <c r="AD1102" i="14"/>
  <c r="AD1105" i="14"/>
  <c r="AD1107" i="14"/>
  <c r="AD1109" i="14"/>
  <c r="C1181" i="14"/>
  <c r="C130" i="15"/>
  <c r="C133" i="15" s="1"/>
  <c r="E89" i="15"/>
  <c r="I96" i="15"/>
  <c r="H130" i="15"/>
  <c r="H133" i="15" s="1"/>
  <c r="P324" i="15"/>
  <c r="AD1106" i="14"/>
  <c r="F983" i="15"/>
  <c r="C690" i="15"/>
  <c r="F991" i="15"/>
  <c r="N28" i="15"/>
  <c r="Q50" i="15"/>
  <c r="N59" i="15"/>
  <c r="O134" i="15"/>
  <c r="R231" i="15"/>
  <c r="R235" i="15"/>
  <c r="D518" i="15"/>
  <c r="L1118" i="14"/>
  <c r="F1118" i="14"/>
  <c r="B1091" i="14" s="1"/>
  <c r="I41" i="15"/>
  <c r="F59" i="15"/>
  <c r="P63" i="15"/>
  <c r="D63" i="15"/>
  <c r="R77" i="15"/>
  <c r="F1124" i="14"/>
  <c r="B1097" i="14" s="1"/>
  <c r="L1124" i="14"/>
  <c r="J892" i="15"/>
  <c r="M187" i="15"/>
  <c r="J215" i="15"/>
  <c r="M16" i="15"/>
  <c r="R16" i="15" s="1"/>
  <c r="R38" i="15"/>
  <c r="K59" i="15"/>
  <c r="K62" i="15" s="1"/>
  <c r="Q57" i="15"/>
  <c r="R60" i="15"/>
  <c r="D130" i="15"/>
  <c r="D133" i="15" s="1"/>
  <c r="M89" i="15"/>
  <c r="R118" i="15"/>
  <c r="R144" i="15"/>
  <c r="R179" i="15"/>
  <c r="R186" i="15"/>
  <c r="C59" i="15"/>
  <c r="C62" i="15" s="1"/>
  <c r="B59" i="15"/>
  <c r="Q89" i="15"/>
  <c r="R121" i="15"/>
  <c r="H932" i="15"/>
  <c r="R219" i="15"/>
  <c r="AA404" i="15"/>
  <c r="AD404" i="15" s="1"/>
  <c r="AA405" i="15"/>
  <c r="AD405" i="15" s="1"/>
  <c r="AM405" i="15" s="1"/>
  <c r="AD402" i="15"/>
  <c r="AM402" i="15" s="1"/>
  <c r="AA403" i="15"/>
  <c r="R441" i="15"/>
  <c r="E1181" i="14"/>
  <c r="R1175" i="14"/>
  <c r="N1178" i="14"/>
  <c r="C28" i="15"/>
  <c r="E46" i="15"/>
  <c r="R46" i="15" s="1"/>
  <c r="Q46" i="15"/>
  <c r="R54" i="15"/>
  <c r="R104" i="15"/>
  <c r="M129" i="15"/>
  <c r="R129" i="15" s="1"/>
  <c r="F130" i="15"/>
  <c r="R152" i="15"/>
  <c r="R161" i="15"/>
  <c r="R163" i="15"/>
  <c r="R188" i="15"/>
  <c r="O569" i="15"/>
  <c r="I1181" i="14"/>
  <c r="J59" i="15"/>
  <c r="R106" i="15"/>
  <c r="O215" i="15"/>
  <c r="B892" i="15"/>
  <c r="E187" i="15"/>
  <c r="B215" i="15"/>
  <c r="L215" i="15"/>
  <c r="M191" i="15"/>
  <c r="R191" i="15" s="1"/>
  <c r="F315" i="15"/>
  <c r="R226" i="15"/>
  <c r="R228" i="15"/>
  <c r="K906" i="15"/>
  <c r="K295" i="15"/>
  <c r="M1181" i="14"/>
  <c r="N1169" i="14"/>
  <c r="R973" i="15"/>
  <c r="R944" i="15"/>
  <c r="R999" i="15"/>
  <c r="R920" i="15"/>
  <c r="R879" i="15"/>
  <c r="F989" i="15"/>
  <c r="K690" i="15"/>
  <c r="K788" i="15"/>
  <c r="M18" i="15"/>
  <c r="R18" i="15" s="1"/>
  <c r="E27" i="15"/>
  <c r="Q27" i="15"/>
  <c r="Q41" i="15"/>
  <c r="L59" i="15"/>
  <c r="L62" i="15" s="1"/>
  <c r="R82" i="15"/>
  <c r="E96" i="15"/>
  <c r="M128" i="15"/>
  <c r="R128" i="15" s="1"/>
  <c r="J130" i="15"/>
  <c r="R169" i="15"/>
  <c r="R171" i="15"/>
  <c r="Q187" i="15"/>
  <c r="R202" i="15"/>
  <c r="R204" i="15"/>
  <c r="H215" i="15"/>
  <c r="Q1181" i="14"/>
  <c r="I27" i="15"/>
  <c r="O59" i="15"/>
  <c r="O62" i="15" s="1"/>
  <c r="Q58" i="15"/>
  <c r="R58" i="15" s="1"/>
  <c r="R75" i="15"/>
  <c r="S82" i="15" s="1"/>
  <c r="R112" i="15"/>
  <c r="R180" i="15"/>
  <c r="F984" i="15"/>
  <c r="D788" i="15"/>
  <c r="F992" i="15"/>
  <c r="O788" i="15"/>
  <c r="O690" i="15"/>
  <c r="F28" i="15"/>
  <c r="L892" i="15"/>
  <c r="L898" i="15" s="1"/>
  <c r="I187" i="15"/>
  <c r="G215" i="15"/>
  <c r="G315" i="15" s="1"/>
  <c r="G323" i="15" s="1"/>
  <c r="L906" i="15"/>
  <c r="L907" i="15" s="1"/>
  <c r="L936" i="15" s="1"/>
  <c r="L295" i="15"/>
  <c r="R237" i="15"/>
  <c r="R275" i="15"/>
  <c r="R288" i="15"/>
  <c r="H335" i="15"/>
  <c r="P397" i="15"/>
  <c r="R368" i="15"/>
  <c r="R439" i="15"/>
  <c r="R493" i="15"/>
  <c r="R505" i="15"/>
  <c r="R1169" i="14"/>
  <c r="N892" i="15"/>
  <c r="C932" i="15"/>
  <c r="K932" i="15"/>
  <c r="H295" i="15"/>
  <c r="I295" i="15" s="1"/>
  <c r="H512" i="15"/>
  <c r="H517" i="15" s="1"/>
  <c r="R361" i="15"/>
  <c r="O905" i="15"/>
  <c r="O485" i="15"/>
  <c r="O512" i="15" s="1"/>
  <c r="O517" i="15" s="1"/>
  <c r="R426" i="15"/>
  <c r="M510" i="15"/>
  <c r="O892" i="15"/>
  <c r="O898" i="15" s="1"/>
  <c r="D892" i="15"/>
  <c r="D898" i="15" s="1"/>
  <c r="O906" i="15"/>
  <c r="O295" i="15"/>
  <c r="B906" i="15"/>
  <c r="E238" i="15"/>
  <c r="R238" i="15" s="1"/>
  <c r="B295" i="15"/>
  <c r="R261" i="15"/>
  <c r="R283" i="15"/>
  <c r="R294" i="15"/>
  <c r="K335" i="15"/>
  <c r="R389" i="15"/>
  <c r="AL404" i="15"/>
  <c r="R436" i="15"/>
  <c r="R444" i="15"/>
  <c r="R455" i="15"/>
  <c r="R465" i="15"/>
  <c r="R476" i="15"/>
  <c r="R514" i="15"/>
  <c r="K680" i="15"/>
  <c r="C215" i="15"/>
  <c r="K315" i="15"/>
  <c r="K323" i="15" s="1"/>
  <c r="P906" i="15"/>
  <c r="R236" i="15"/>
  <c r="R240" i="15"/>
  <c r="R269" i="15"/>
  <c r="C335" i="15"/>
  <c r="L335" i="15"/>
  <c r="K397" i="15"/>
  <c r="M342" i="15"/>
  <c r="R342" i="15" s="1"/>
  <c r="R349" i="15"/>
  <c r="J397" i="15"/>
  <c r="M351" i="15"/>
  <c r="R370" i="15"/>
  <c r="R377" i="15"/>
  <c r="R386" i="15"/>
  <c r="R403" i="15"/>
  <c r="R414" i="15"/>
  <c r="F905" i="15"/>
  <c r="F485" i="15"/>
  <c r="I417" i="15"/>
  <c r="R424" i="15"/>
  <c r="R498" i="15"/>
  <c r="E510" i="15"/>
  <c r="R510" i="15" s="1"/>
  <c r="B613" i="15"/>
  <c r="L614" i="15"/>
  <c r="N613" i="15"/>
  <c r="P824" i="15"/>
  <c r="P964" i="15"/>
  <c r="P892" i="15"/>
  <c r="P898" i="15" s="1"/>
  <c r="I892" i="15"/>
  <c r="F898" i="15"/>
  <c r="D324" i="15"/>
  <c r="R233" i="15"/>
  <c r="R278" i="15"/>
  <c r="D335" i="15"/>
  <c r="N335" i="15"/>
  <c r="L512" i="15"/>
  <c r="L517" i="15" s="1"/>
  <c r="B397" i="15"/>
  <c r="E351" i="15"/>
  <c r="R374" i="15"/>
  <c r="R421" i="15"/>
  <c r="R484" i="15"/>
  <c r="M511" i="15"/>
  <c r="R511" i="15" s="1"/>
  <c r="J568" i="15"/>
  <c r="M565" i="15"/>
  <c r="Q156" i="15"/>
  <c r="R156" i="15" s="1"/>
  <c r="G932" i="15"/>
  <c r="J906" i="15"/>
  <c r="J907" i="15" s="1"/>
  <c r="J295" i="15"/>
  <c r="M295" i="15" s="1"/>
  <c r="R291" i="15"/>
  <c r="F335" i="15"/>
  <c r="O335" i="15"/>
  <c r="R401" i="15"/>
  <c r="R404" i="15"/>
  <c r="R432" i="15"/>
  <c r="R496" i="15"/>
  <c r="R507" i="15"/>
  <c r="D680" i="15"/>
  <c r="C726" i="15"/>
  <c r="C788" i="15"/>
  <c r="N907" i="15"/>
  <c r="C485" i="15"/>
  <c r="E485" i="15" s="1"/>
  <c r="K485" i="15"/>
  <c r="I563" i="15"/>
  <c r="K614" i="15"/>
  <c r="R608" i="15"/>
  <c r="F613" i="15"/>
  <c r="C680" i="15"/>
  <c r="N679" i="15"/>
  <c r="Q676" i="15"/>
  <c r="R675" i="15"/>
  <c r="N690" i="15"/>
  <c r="Q689" i="15"/>
  <c r="P726" i="15"/>
  <c r="O778" i="15"/>
  <c r="AB403" i="15"/>
  <c r="G907" i="15"/>
  <c r="G936" i="15" s="1"/>
  <c r="P907" i="15"/>
  <c r="P936" i="15" s="1"/>
  <c r="B569" i="15"/>
  <c r="K569" i="15"/>
  <c r="C614" i="15"/>
  <c r="F679" i="15"/>
  <c r="I676" i="15"/>
  <c r="R674" i="15"/>
  <c r="P690" i="15"/>
  <c r="H726" i="15"/>
  <c r="B777" i="15"/>
  <c r="G774" i="15"/>
  <c r="G777" i="15" s="1"/>
  <c r="I748" i="15"/>
  <c r="B335" i="15"/>
  <c r="I397" i="15"/>
  <c r="AC403" i="15"/>
  <c r="Q417" i="15"/>
  <c r="N485" i="15"/>
  <c r="C569" i="15"/>
  <c r="L569" i="15"/>
  <c r="D614" i="15"/>
  <c r="O614" i="15"/>
  <c r="H690" i="15"/>
  <c r="Q774" i="15"/>
  <c r="N777" i="15"/>
  <c r="C295" i="15"/>
  <c r="M905" i="15"/>
  <c r="G485" i="15"/>
  <c r="G512" i="15" s="1"/>
  <c r="G517" i="15" s="1"/>
  <c r="N568" i="15"/>
  <c r="Q565" i="15"/>
  <c r="P610" i="15"/>
  <c r="P613" i="15" s="1"/>
  <c r="R609" i="15"/>
  <c r="H680" i="15"/>
  <c r="G680" i="15"/>
  <c r="M705" i="15"/>
  <c r="K722" i="15"/>
  <c r="K725" i="15" s="1"/>
  <c r="K907" i="15"/>
  <c r="K936" i="15" s="1"/>
  <c r="I906" i="15"/>
  <c r="P485" i="15"/>
  <c r="R533" i="15"/>
  <c r="F568" i="15"/>
  <c r="G610" i="15"/>
  <c r="G613" i="15" s="1"/>
  <c r="R589" i="15"/>
  <c r="R607" i="15"/>
  <c r="O680" i="15"/>
  <c r="C907" i="15"/>
  <c r="C936" i="15" s="1"/>
  <c r="P569" i="15"/>
  <c r="H610" i="15"/>
  <c r="H613" i="15" s="1"/>
  <c r="Q592" i="15"/>
  <c r="R592" i="15" s="1"/>
  <c r="R653" i="15"/>
  <c r="P957" i="15"/>
  <c r="G824" i="15"/>
  <c r="N295" i="15"/>
  <c r="Q295" i="15" s="1"/>
  <c r="M417" i="15"/>
  <c r="D906" i="15"/>
  <c r="D907" i="15" s="1"/>
  <c r="D936" i="15" s="1"/>
  <c r="J485" i="15"/>
  <c r="H569" i="15"/>
  <c r="E565" i="15"/>
  <c r="J610" i="15"/>
  <c r="L680" i="15"/>
  <c r="D690" i="15"/>
  <c r="D722" i="15"/>
  <c r="D725" i="15" s="1"/>
  <c r="E705" i="15"/>
  <c r="O726" i="15"/>
  <c r="J777" i="15"/>
  <c r="M774" i="15"/>
  <c r="E586" i="15"/>
  <c r="M586" i="15"/>
  <c r="I640" i="15"/>
  <c r="R640" i="15" s="1"/>
  <c r="Q640" i="15"/>
  <c r="R687" i="15"/>
  <c r="I689" i="15"/>
  <c r="R689" i="15" s="1"/>
  <c r="F705" i="15"/>
  <c r="I699" i="15"/>
  <c r="Q709" i="15"/>
  <c r="I774" i="15"/>
  <c r="F777" i="15"/>
  <c r="R759" i="15"/>
  <c r="I773" i="15"/>
  <c r="R846" i="15"/>
  <c r="D903" i="15"/>
  <c r="D934" i="15" s="1"/>
  <c r="E900" i="15"/>
  <c r="G690" i="15"/>
  <c r="G726" i="15"/>
  <c r="P778" i="15"/>
  <c r="N788" i="15"/>
  <c r="R816" i="15"/>
  <c r="Q963" i="15"/>
  <c r="O877" i="15"/>
  <c r="O875" i="15"/>
  <c r="J915" i="15"/>
  <c r="M915" i="15" s="1"/>
  <c r="M912" i="15"/>
  <c r="G982" i="15"/>
  <c r="B676" i="15"/>
  <c r="J676" i="15"/>
  <c r="E735" i="15"/>
  <c r="R735" i="15" s="1"/>
  <c r="C744" i="15"/>
  <c r="H778" i="15"/>
  <c r="R801" i="15"/>
  <c r="P822" i="15"/>
  <c r="P875" i="15"/>
  <c r="G903" i="15"/>
  <c r="G934" i="15" s="1"/>
  <c r="B938" i="15"/>
  <c r="E543" i="15"/>
  <c r="M543" i="15"/>
  <c r="I546" i="15"/>
  <c r="R546" i="15" s="1"/>
  <c r="J690" i="15"/>
  <c r="J722" i="15"/>
  <c r="D774" i="15"/>
  <c r="D777" i="15" s="1"/>
  <c r="P788" i="15"/>
  <c r="D823" i="15"/>
  <c r="D822" i="15"/>
  <c r="N817" i="15"/>
  <c r="I805" i="15"/>
  <c r="R805" i="15" s="1"/>
  <c r="G548" i="15"/>
  <c r="I548" i="15" s="1"/>
  <c r="R548" i="15" s="1"/>
  <c r="B690" i="15"/>
  <c r="F690" i="15"/>
  <c r="E721" i="15"/>
  <c r="K778" i="15"/>
  <c r="R756" i="15"/>
  <c r="R758" i="15"/>
  <c r="R766" i="15"/>
  <c r="F817" i="15"/>
  <c r="O817" i="15"/>
  <c r="O821" i="15" s="1"/>
  <c r="H859" i="15"/>
  <c r="H871" i="15" s="1"/>
  <c r="I858" i="15"/>
  <c r="G983" i="15"/>
  <c r="L690" i="15"/>
  <c r="B722" i="15"/>
  <c r="L722" i="15"/>
  <c r="L725" i="15" s="1"/>
  <c r="R701" i="15"/>
  <c r="M709" i="15"/>
  <c r="R709" i="15" s="1"/>
  <c r="R713" i="15"/>
  <c r="L774" i="15"/>
  <c r="L777" i="15" s="1"/>
  <c r="R748" i="15"/>
  <c r="M762" i="15"/>
  <c r="J788" i="15"/>
  <c r="H823" i="15"/>
  <c r="H822" i="15"/>
  <c r="C817" i="15"/>
  <c r="C821" i="15" s="1"/>
  <c r="D859" i="15"/>
  <c r="D871" i="15" s="1"/>
  <c r="D874" i="15" s="1"/>
  <c r="E849" i="15"/>
  <c r="R849" i="15" s="1"/>
  <c r="J934" i="15"/>
  <c r="N705" i="15"/>
  <c r="Q699" i="15"/>
  <c r="R739" i="15"/>
  <c r="E762" i="15"/>
  <c r="Q773" i="15"/>
  <c r="B788" i="15"/>
  <c r="G822" i="15"/>
  <c r="B874" i="15"/>
  <c r="M841" i="15"/>
  <c r="M858" i="15"/>
  <c r="K859" i="15"/>
  <c r="K871" i="15" s="1"/>
  <c r="K874" i="15" s="1"/>
  <c r="E905" i="15"/>
  <c r="Q914" i="15"/>
  <c r="O915" i="15"/>
  <c r="F788" i="15"/>
  <c r="I809" i="15"/>
  <c r="G871" i="15"/>
  <c r="G874" i="15" s="1"/>
  <c r="R896" i="15"/>
  <c r="I897" i="15"/>
  <c r="M901" i="15"/>
  <c r="Q903" i="15"/>
  <c r="C916" i="15"/>
  <c r="C938" i="15" s="1"/>
  <c r="B915" i="15"/>
  <c r="E915" i="15" s="1"/>
  <c r="E912" i="15"/>
  <c r="R912" i="15" s="1"/>
  <c r="N938" i="15"/>
  <c r="E699" i="15"/>
  <c r="M699" i="15"/>
  <c r="G788" i="15"/>
  <c r="Q841" i="15"/>
  <c r="R856" i="15"/>
  <c r="I859" i="15"/>
  <c r="E894" i="15"/>
  <c r="R894" i="15" s="1"/>
  <c r="I934" i="15"/>
  <c r="D916" i="15"/>
  <c r="D938" i="15" s="1"/>
  <c r="M909" i="15"/>
  <c r="E911" i="15"/>
  <c r="R911" i="15" s="1"/>
  <c r="I914" i="15"/>
  <c r="R914" i="15" s="1"/>
  <c r="F1015" i="15"/>
  <c r="F987" i="15"/>
  <c r="G993" i="15"/>
  <c r="I744" i="15"/>
  <c r="Q744" i="15"/>
  <c r="I787" i="15"/>
  <c r="Q787" i="15"/>
  <c r="B817" i="15"/>
  <c r="M809" i="15"/>
  <c r="L817" i="15"/>
  <c r="L821" i="15" s="1"/>
  <c r="R836" i="15"/>
  <c r="J871" i="15"/>
  <c r="E858" i="15"/>
  <c r="C859" i="15"/>
  <c r="C871" i="15" s="1"/>
  <c r="C874" i="15" s="1"/>
  <c r="R865" i="15"/>
  <c r="E870" i="15"/>
  <c r="R870" i="15" s="1"/>
  <c r="M893" i="15"/>
  <c r="E901" i="15"/>
  <c r="H907" i="15"/>
  <c r="H936" i="15" s="1"/>
  <c r="O916" i="15"/>
  <c r="O938" i="15" s="1"/>
  <c r="Q915" i="15"/>
  <c r="Q962" i="15"/>
  <c r="N877" i="15"/>
  <c r="L871" i="15"/>
  <c r="L874" i="15" s="1"/>
  <c r="R853" i="15"/>
  <c r="Q859" i="15"/>
  <c r="E893" i="15"/>
  <c r="H916" i="15"/>
  <c r="H938" i="15" s="1"/>
  <c r="E910" i="15"/>
  <c r="R910" i="15" s="1"/>
  <c r="H915" i="15"/>
  <c r="I915" i="15" s="1"/>
  <c r="Q809" i="15"/>
  <c r="N875" i="15"/>
  <c r="R863" i="15"/>
  <c r="Q897" i="15"/>
  <c r="C903" i="15"/>
  <c r="C934" i="15" s="1"/>
  <c r="L903" i="15"/>
  <c r="L934" i="15" s="1"/>
  <c r="I901" i="15"/>
  <c r="E902" i="15"/>
  <c r="R902" i="15" s="1"/>
  <c r="I903" i="15"/>
  <c r="J916" i="15"/>
  <c r="F938" i="15"/>
  <c r="I938" i="15" s="1"/>
  <c r="I916" i="15"/>
  <c r="F1010" i="15"/>
  <c r="F966" i="15"/>
  <c r="F982" i="15"/>
  <c r="G992" i="15"/>
  <c r="G1014" i="15"/>
  <c r="G986" i="15"/>
  <c r="G991" i="15"/>
  <c r="I900" i="15"/>
  <c r="Q900" i="15"/>
  <c r="G985" i="15"/>
  <c r="G990" i="15"/>
  <c r="G984" i="15"/>
  <c r="F990" i="15"/>
  <c r="G1017" i="15"/>
  <c r="G989" i="15"/>
  <c r="G966" i="15"/>
  <c r="G1011" i="15"/>
  <c r="G1019" i="15"/>
  <c r="G1012" i="15"/>
  <c r="G1020" i="15"/>
  <c r="G987" i="15"/>
  <c r="G988" i="15"/>
  <c r="B62" i="6"/>
  <c r="P588" i="6"/>
  <c r="L63" i="6"/>
  <c r="N128" i="6"/>
  <c r="G292" i="6"/>
  <c r="R181" i="6"/>
  <c r="L442" i="6"/>
  <c r="D489" i="6"/>
  <c r="B532" i="6"/>
  <c r="E529" i="6"/>
  <c r="L533" i="6"/>
  <c r="H588" i="6"/>
  <c r="R582" i="6"/>
  <c r="D63" i="6"/>
  <c r="R58" i="6"/>
  <c r="R124" i="6"/>
  <c r="J489" i="6"/>
  <c r="Q529" i="6"/>
  <c r="N532" i="6"/>
  <c r="R568" i="6"/>
  <c r="G588" i="6"/>
  <c r="B489" i="6"/>
  <c r="R17" i="6"/>
  <c r="S81" i="6"/>
  <c r="L129" i="6"/>
  <c r="F128" i="6"/>
  <c r="P129" i="6"/>
  <c r="O292" i="6"/>
  <c r="R156" i="6"/>
  <c r="R176" i="6"/>
  <c r="R281" i="6"/>
  <c r="Q803" i="6"/>
  <c r="N805" i="6"/>
  <c r="R435" i="6"/>
  <c r="D533" i="6"/>
  <c r="O533" i="6"/>
  <c r="J587" i="6"/>
  <c r="O588" i="6"/>
  <c r="P856" i="6"/>
  <c r="H727" i="6"/>
  <c r="R14" i="6"/>
  <c r="O63" i="6"/>
  <c r="D129" i="6"/>
  <c r="B283" i="6"/>
  <c r="D442" i="6"/>
  <c r="P442" i="6"/>
  <c r="I529" i="6"/>
  <c r="F532" i="6"/>
  <c r="P533" i="6"/>
  <c r="P890" i="6"/>
  <c r="P918" i="6"/>
  <c r="G63" i="6"/>
  <c r="P63" i="6"/>
  <c r="H129" i="6"/>
  <c r="R123" i="6"/>
  <c r="D830" i="6"/>
  <c r="D838" i="6" s="1"/>
  <c r="D13" i="6" s="1"/>
  <c r="D815" i="6"/>
  <c r="R369" i="6"/>
  <c r="R475" i="6"/>
  <c r="R484" i="6"/>
  <c r="G533" i="6"/>
  <c r="K533" i="6"/>
  <c r="L588" i="6"/>
  <c r="R16" i="6"/>
  <c r="H63" i="6"/>
  <c r="R46" i="6"/>
  <c r="I354" i="6"/>
  <c r="R434" i="6"/>
  <c r="H533" i="6"/>
  <c r="R512" i="6"/>
  <c r="D588" i="6"/>
  <c r="N587" i="6"/>
  <c r="R583" i="6"/>
  <c r="K442" i="6"/>
  <c r="Q972" i="6"/>
  <c r="R972" i="6" s="1"/>
  <c r="J62" i="6"/>
  <c r="R57" i="6"/>
  <c r="P292" i="6"/>
  <c r="M436" i="6"/>
  <c r="J441" i="6"/>
  <c r="L489" i="6"/>
  <c r="P489" i="6"/>
  <c r="J532" i="6"/>
  <c r="C533" i="6"/>
  <c r="I584" i="6"/>
  <c r="F587" i="6"/>
  <c r="H774" i="6"/>
  <c r="H773" i="6"/>
  <c r="N967" i="6"/>
  <c r="L967" i="6"/>
  <c r="I967" i="6"/>
  <c r="M967" i="6"/>
  <c r="K967" i="6"/>
  <c r="H967" i="6"/>
  <c r="F28" i="6"/>
  <c r="B125" i="6"/>
  <c r="J125" i="6"/>
  <c r="H830" i="6"/>
  <c r="K830" i="6"/>
  <c r="G303" i="6"/>
  <c r="AP846" i="6" s="1"/>
  <c r="F411" i="6"/>
  <c r="N411" i="6"/>
  <c r="Q411" i="6" s="1"/>
  <c r="C584" i="6"/>
  <c r="C587" i="6" s="1"/>
  <c r="K584" i="6"/>
  <c r="K587" i="6" s="1"/>
  <c r="F598" i="6"/>
  <c r="P598" i="6"/>
  <c r="F630" i="6"/>
  <c r="K677" i="6"/>
  <c r="K680" i="6" s="1"/>
  <c r="M652" i="6"/>
  <c r="P691" i="6"/>
  <c r="P725" i="6"/>
  <c r="R734" i="6"/>
  <c r="F813" i="6"/>
  <c r="I813" i="6" s="1"/>
  <c r="G885" i="6"/>
  <c r="I998" i="6"/>
  <c r="G946" i="6"/>
  <c r="H999" i="6"/>
  <c r="AH954" i="6"/>
  <c r="AH919" i="6"/>
  <c r="H968" i="6"/>
  <c r="N968" i="6"/>
  <c r="M968" i="6"/>
  <c r="L968" i="6"/>
  <c r="K968" i="6"/>
  <c r="I968" i="6"/>
  <c r="F59" i="6"/>
  <c r="N59" i="6"/>
  <c r="I95" i="6"/>
  <c r="Q95" i="6"/>
  <c r="C125" i="6"/>
  <c r="C128" i="6" s="1"/>
  <c r="K125" i="6"/>
  <c r="K128" i="6" s="1"/>
  <c r="I139" i="6"/>
  <c r="C830" i="6"/>
  <c r="C838" i="6" s="1"/>
  <c r="C13" i="6" s="1"/>
  <c r="C815" i="6"/>
  <c r="F200" i="6"/>
  <c r="N200" i="6"/>
  <c r="J263" i="6"/>
  <c r="I321" i="6"/>
  <c r="R321" i="6" s="1"/>
  <c r="AA361" i="6"/>
  <c r="E803" i="6"/>
  <c r="B805" i="6"/>
  <c r="M394" i="6"/>
  <c r="G436" i="6"/>
  <c r="G441" i="6" s="1"/>
  <c r="O436" i="6"/>
  <c r="O441" i="6" s="1"/>
  <c r="C485" i="6"/>
  <c r="C488" i="6" s="1"/>
  <c r="K485" i="6"/>
  <c r="K488" i="6" s="1"/>
  <c r="M488" i="6" s="1"/>
  <c r="G630" i="6"/>
  <c r="G633" i="6" s="1"/>
  <c r="I613" i="6"/>
  <c r="C634" i="6"/>
  <c r="R647" i="6"/>
  <c r="B680" i="6"/>
  <c r="G691" i="6"/>
  <c r="G773" i="6"/>
  <c r="G774" i="6"/>
  <c r="I803" i="6"/>
  <c r="F805" i="6"/>
  <c r="G813" i="6"/>
  <c r="I810" i="6"/>
  <c r="AD881" i="6"/>
  <c r="AH881" i="6"/>
  <c r="F912" i="6"/>
  <c r="F884" i="6"/>
  <c r="AG881" i="6"/>
  <c r="AD846" i="6"/>
  <c r="AS881" i="6"/>
  <c r="AF881" i="6"/>
  <c r="F887" i="6"/>
  <c r="N969" i="6"/>
  <c r="L969" i="6"/>
  <c r="I969" i="6"/>
  <c r="K969" i="6"/>
  <c r="H969" i="6"/>
  <c r="G886" i="6"/>
  <c r="H28" i="6"/>
  <c r="I41" i="6"/>
  <c r="R41" i="6" s="1"/>
  <c r="Q41" i="6"/>
  <c r="E173" i="6"/>
  <c r="M173" i="6"/>
  <c r="K263" i="6"/>
  <c r="Q302" i="6"/>
  <c r="J303" i="6"/>
  <c r="AP848" i="6" s="1"/>
  <c r="E354" i="6"/>
  <c r="M354" i="6"/>
  <c r="Q373" i="6"/>
  <c r="H411" i="6"/>
  <c r="H436" i="6" s="1"/>
  <c r="H441" i="6" s="1"/>
  <c r="F488" i="6"/>
  <c r="N488" i="6"/>
  <c r="H598" i="6"/>
  <c r="H634" i="6"/>
  <c r="C677" i="6"/>
  <c r="C680" i="6" s="1"/>
  <c r="E652" i="6"/>
  <c r="Q680" i="6"/>
  <c r="N681" i="6"/>
  <c r="H691" i="6"/>
  <c r="N691" i="6"/>
  <c r="B724" i="6"/>
  <c r="J724" i="6"/>
  <c r="M720" i="6"/>
  <c r="E708" i="6"/>
  <c r="R708" i="6" s="1"/>
  <c r="L725" i="6"/>
  <c r="L726" i="6"/>
  <c r="R719" i="6"/>
  <c r="J801" i="6"/>
  <c r="M798" i="6"/>
  <c r="Q800" i="6"/>
  <c r="J814" i="6"/>
  <c r="M807" i="6"/>
  <c r="Q811" i="6"/>
  <c r="R811" i="6" s="1"/>
  <c r="N813" i="6"/>
  <c r="I992" i="6"/>
  <c r="G940" i="6"/>
  <c r="I995" i="6"/>
  <c r="G943" i="6"/>
  <c r="F889" i="6"/>
  <c r="J969" i="6"/>
  <c r="M969" i="6"/>
  <c r="I41" i="7"/>
  <c r="F59" i="7"/>
  <c r="P425" i="7"/>
  <c r="R1050" i="6"/>
  <c r="R1005" i="6"/>
  <c r="AS927" i="6"/>
  <c r="R842" i="6"/>
  <c r="AT865" i="6"/>
  <c r="R777" i="6"/>
  <c r="R897" i="6"/>
  <c r="R980" i="6"/>
  <c r="R871" i="6"/>
  <c r="R818" i="6"/>
  <c r="AT833" i="6"/>
  <c r="H970" i="6"/>
  <c r="N970" i="6"/>
  <c r="M970" i="6"/>
  <c r="K691" i="6"/>
  <c r="L970" i="6"/>
  <c r="K970" i="6"/>
  <c r="I27" i="6"/>
  <c r="R27" i="6" s="1"/>
  <c r="Q27" i="6"/>
  <c r="J28" i="6"/>
  <c r="M139" i="6"/>
  <c r="H200" i="6"/>
  <c r="M247" i="6"/>
  <c r="L263" i="6"/>
  <c r="K303" i="6"/>
  <c r="AP849" i="6" s="1"/>
  <c r="AC361" i="6"/>
  <c r="E485" i="6"/>
  <c r="I505" i="6"/>
  <c r="Q505" i="6"/>
  <c r="I597" i="6"/>
  <c r="Q597" i="6"/>
  <c r="R608" i="6"/>
  <c r="J630" i="6"/>
  <c r="R628" i="6"/>
  <c r="D681" i="6"/>
  <c r="O681" i="6"/>
  <c r="I677" i="6"/>
  <c r="J691" i="6"/>
  <c r="C725" i="6"/>
  <c r="C726" i="6"/>
  <c r="K725" i="6"/>
  <c r="K726" i="6"/>
  <c r="J769" i="6"/>
  <c r="M742" i="6"/>
  <c r="R767" i="6"/>
  <c r="F772" i="6"/>
  <c r="I769" i="6"/>
  <c r="B790" i="6"/>
  <c r="R793" i="6"/>
  <c r="K805" i="6"/>
  <c r="K834" i="6" s="1"/>
  <c r="R804" i="6"/>
  <c r="I997" i="6"/>
  <c r="G945" i="6"/>
  <c r="G972" i="6" s="1"/>
  <c r="J971" i="6"/>
  <c r="H973" i="6"/>
  <c r="G1016" i="6"/>
  <c r="C989" i="6" s="1"/>
  <c r="L1016" i="6"/>
  <c r="N1066" i="6"/>
  <c r="M1078" i="6"/>
  <c r="L63" i="7"/>
  <c r="R96" i="7"/>
  <c r="B570" i="7"/>
  <c r="O571" i="7"/>
  <c r="O755" i="7"/>
  <c r="O756" i="7"/>
  <c r="N963" i="6"/>
  <c r="L963" i="6"/>
  <c r="I963" i="6"/>
  <c r="H963" i="6"/>
  <c r="O968" i="6"/>
  <c r="O967" i="6"/>
  <c r="O964" i="6"/>
  <c r="O963" i="6"/>
  <c r="O969" i="6"/>
  <c r="M963" i="6"/>
  <c r="N971" i="6"/>
  <c r="L971" i="6"/>
  <c r="I971" i="6"/>
  <c r="M971" i="6"/>
  <c r="K971" i="6"/>
  <c r="H971" i="6"/>
  <c r="L790" i="6"/>
  <c r="L796" i="6" s="1"/>
  <c r="B303" i="6"/>
  <c r="AP842" i="6" s="1"/>
  <c r="L303" i="6"/>
  <c r="AP850" i="6" s="1"/>
  <c r="I804" i="6"/>
  <c r="B411" i="6"/>
  <c r="K598" i="6"/>
  <c r="B633" i="6"/>
  <c r="E630" i="6"/>
  <c r="K630" i="6"/>
  <c r="K633" i="6" s="1"/>
  <c r="M613" i="6"/>
  <c r="L634" i="6"/>
  <c r="I680" i="6"/>
  <c r="F681" i="6"/>
  <c r="P681" i="6"/>
  <c r="Q677" i="6"/>
  <c r="L681" i="6"/>
  <c r="K773" i="6"/>
  <c r="C775" i="6"/>
  <c r="J790" i="6"/>
  <c r="B801" i="6"/>
  <c r="E798" i="6"/>
  <c r="B814" i="6"/>
  <c r="E807" i="6"/>
  <c r="R807" i="6" s="1"/>
  <c r="H989" i="6"/>
  <c r="H994" i="6"/>
  <c r="AH914" i="6"/>
  <c r="AH949" i="6"/>
  <c r="AS892" i="6"/>
  <c r="I970" i="6"/>
  <c r="F1025" i="6"/>
  <c r="B998" i="6" s="1"/>
  <c r="L1025" i="6"/>
  <c r="H964" i="6"/>
  <c r="N964" i="6"/>
  <c r="M964" i="6"/>
  <c r="G881" i="6"/>
  <c r="L964" i="6"/>
  <c r="K964" i="6"/>
  <c r="I964" i="6"/>
  <c r="H972" i="6"/>
  <c r="N972" i="6"/>
  <c r="M972" i="6"/>
  <c r="L972" i="6"/>
  <c r="K972" i="6"/>
  <c r="I972" i="6"/>
  <c r="B28" i="6"/>
  <c r="M152" i="6"/>
  <c r="R152" i="6" s="1"/>
  <c r="P790" i="6"/>
  <c r="P796" i="6" s="1"/>
  <c r="C303" i="6"/>
  <c r="AP843" i="6" s="1"/>
  <c r="N303" i="6"/>
  <c r="AP851" i="6" s="1"/>
  <c r="AA363" i="6"/>
  <c r="AD363" i="6" s="1"/>
  <c r="C411" i="6"/>
  <c r="C436" i="6" s="1"/>
  <c r="C441" i="6" s="1"/>
  <c r="G485" i="6"/>
  <c r="G488" i="6" s="1"/>
  <c r="O485" i="6"/>
  <c r="O488" i="6" s="1"/>
  <c r="B598" i="6"/>
  <c r="G681" i="6"/>
  <c r="B691" i="6"/>
  <c r="L691" i="6"/>
  <c r="R737" i="6"/>
  <c r="B769" i="6"/>
  <c r="E742" i="6"/>
  <c r="R742" i="6" s="1"/>
  <c r="L769" i="6"/>
  <c r="L772" i="6" s="1"/>
  <c r="K774" i="6"/>
  <c r="N832" i="6"/>
  <c r="I989" i="6"/>
  <c r="G937" i="6"/>
  <c r="I994" i="6"/>
  <c r="G942" i="6"/>
  <c r="G891" i="6"/>
  <c r="G919" i="6"/>
  <c r="G887" i="6"/>
  <c r="AH944" i="6"/>
  <c r="K963" i="6"/>
  <c r="N965" i="6"/>
  <c r="L965" i="6"/>
  <c r="I965" i="6"/>
  <c r="M965" i="6"/>
  <c r="K965" i="6"/>
  <c r="H965" i="6"/>
  <c r="N973" i="6"/>
  <c r="L973" i="6"/>
  <c r="I973" i="6"/>
  <c r="M973" i="6"/>
  <c r="K973" i="6"/>
  <c r="O691" i="6"/>
  <c r="F796" i="6"/>
  <c r="N796" i="6"/>
  <c r="C200" i="6"/>
  <c r="C283" i="6" s="1"/>
  <c r="C291" i="6" s="1"/>
  <c r="K200" i="6"/>
  <c r="D303" i="6"/>
  <c r="AP844" i="6" s="1"/>
  <c r="H805" i="6"/>
  <c r="H834" i="6" s="1"/>
  <c r="C598" i="6"/>
  <c r="N598" i="6"/>
  <c r="D634" i="6"/>
  <c r="N630" i="6"/>
  <c r="H681" i="6"/>
  <c r="R665" i="6"/>
  <c r="F724" i="6"/>
  <c r="I720" i="6"/>
  <c r="N724" i="6"/>
  <c r="Q720" i="6"/>
  <c r="P726" i="6"/>
  <c r="C773" i="6"/>
  <c r="R747" i="6"/>
  <c r="I767" i="6"/>
  <c r="R770" i="6"/>
  <c r="R792" i="6"/>
  <c r="R794" i="6"/>
  <c r="G880" i="6"/>
  <c r="G938" i="6"/>
  <c r="I990" i="6"/>
  <c r="G883" i="6"/>
  <c r="G911" i="6"/>
  <c r="G890" i="6"/>
  <c r="H991" i="6"/>
  <c r="AH946" i="6"/>
  <c r="AH911" i="6"/>
  <c r="J965" i="6"/>
  <c r="AE833" i="7"/>
  <c r="AF833" i="7" s="1"/>
  <c r="F899" i="7"/>
  <c r="H966" i="6"/>
  <c r="N966" i="6"/>
  <c r="M966" i="6"/>
  <c r="K966" i="6"/>
  <c r="I966" i="6"/>
  <c r="H974" i="6"/>
  <c r="N974" i="6"/>
  <c r="M974" i="6"/>
  <c r="L974" i="6"/>
  <c r="K974" i="6"/>
  <c r="I974" i="6"/>
  <c r="G790" i="6"/>
  <c r="G796" i="6" s="1"/>
  <c r="O790" i="6"/>
  <c r="O796" i="6" s="1"/>
  <c r="D200" i="6"/>
  <c r="D283" i="6" s="1"/>
  <c r="D291" i="6" s="1"/>
  <c r="L200" i="6"/>
  <c r="I247" i="6"/>
  <c r="H263" i="6"/>
  <c r="I263" i="6" s="1"/>
  <c r="I373" i="6"/>
  <c r="R373" i="6" s="1"/>
  <c r="I394" i="6"/>
  <c r="R394" i="6" s="1"/>
  <c r="E505" i="6"/>
  <c r="M505" i="6"/>
  <c r="E597" i="6"/>
  <c r="M597" i="6"/>
  <c r="E613" i="6"/>
  <c r="O630" i="6"/>
  <c r="O633" i="6" s="1"/>
  <c r="Q613" i="6"/>
  <c r="J677" i="6"/>
  <c r="Q665" i="6"/>
  <c r="D691" i="6"/>
  <c r="G726" i="6"/>
  <c r="G725" i="6"/>
  <c r="O727" i="6"/>
  <c r="R712" i="6"/>
  <c r="H725" i="6"/>
  <c r="D769" i="6"/>
  <c r="D772" i="6" s="1"/>
  <c r="O769" i="6"/>
  <c r="O772" i="6" s="1"/>
  <c r="R754" i="6"/>
  <c r="Q792" i="6"/>
  <c r="F832" i="6"/>
  <c r="I832" i="6" s="1"/>
  <c r="I801" i="6"/>
  <c r="P801" i="6"/>
  <c r="P832" i="6" s="1"/>
  <c r="P814" i="6"/>
  <c r="P836" i="6" s="1"/>
  <c r="O813" i="6"/>
  <c r="Q810" i="6"/>
  <c r="AO842" i="6"/>
  <c r="AF842" i="6"/>
  <c r="Q852" i="6"/>
  <c r="G888" i="6"/>
  <c r="F890" i="6"/>
  <c r="H995" i="6"/>
  <c r="AH950" i="6"/>
  <c r="AH915" i="6"/>
  <c r="O970" i="6"/>
  <c r="G897" i="7"/>
  <c r="G869" i="7"/>
  <c r="E690" i="6"/>
  <c r="M690" i="6"/>
  <c r="H692" i="6"/>
  <c r="H682" i="6" s="1"/>
  <c r="H635" i="6" s="1"/>
  <c r="G864" i="6"/>
  <c r="AE878" i="6"/>
  <c r="AH879" i="6"/>
  <c r="G882" i="6"/>
  <c r="AD883" i="6"/>
  <c r="AG884" i="6"/>
  <c r="AF886" i="6"/>
  <c r="AS886" i="6"/>
  <c r="AF888" i="6"/>
  <c r="AS888" i="6"/>
  <c r="AW1003" i="6"/>
  <c r="AW1001" i="6"/>
  <c r="AW999" i="6"/>
  <c r="AW988" i="6"/>
  <c r="AW1012" i="6" s="1"/>
  <c r="AW995" i="6"/>
  <c r="O966" i="6"/>
  <c r="AW992" i="6"/>
  <c r="AW998" i="6"/>
  <c r="R15" i="7"/>
  <c r="F275" i="7"/>
  <c r="L472" i="7"/>
  <c r="D571" i="7"/>
  <c r="F663" i="7"/>
  <c r="P663" i="7"/>
  <c r="H708" i="7"/>
  <c r="H707" i="7"/>
  <c r="F691" i="6"/>
  <c r="AD850" i="6"/>
  <c r="AF878" i="6"/>
  <c r="AS878" i="6"/>
  <c r="AD880" i="6"/>
  <c r="AE883" i="6"/>
  <c r="AH884" i="6"/>
  <c r="AD885" i="6"/>
  <c r="AG886" i="6"/>
  <c r="AG888" i="6"/>
  <c r="F908" i="6"/>
  <c r="F916" i="6"/>
  <c r="Q938" i="6"/>
  <c r="J966" i="6"/>
  <c r="J970" i="6"/>
  <c r="R944" i="6"/>
  <c r="AD991" i="6"/>
  <c r="H63" i="7"/>
  <c r="B127" i="7"/>
  <c r="R104" i="7"/>
  <c r="R106" i="7"/>
  <c r="R125" i="7"/>
  <c r="Q126" i="7"/>
  <c r="H425" i="7"/>
  <c r="O472" i="7"/>
  <c r="G617" i="7"/>
  <c r="G755" i="7"/>
  <c r="G756" i="7"/>
  <c r="Q835" i="7"/>
  <c r="Q789" i="7"/>
  <c r="N796" i="7"/>
  <c r="G498" i="8"/>
  <c r="F814" i="6"/>
  <c r="N814" i="6"/>
  <c r="AF844" i="6"/>
  <c r="AD877" i="6"/>
  <c r="AG878" i="6"/>
  <c r="AE880" i="6"/>
  <c r="F881" i="6"/>
  <c r="AF883" i="6"/>
  <c r="AS883" i="6"/>
  <c r="G884" i="6"/>
  <c r="AE885" i="6"/>
  <c r="F886" i="6"/>
  <c r="AH886" i="6"/>
  <c r="AD887" i="6"/>
  <c r="F888" i="6"/>
  <c r="AH888" i="6"/>
  <c r="F891" i="6"/>
  <c r="G908" i="6"/>
  <c r="G916" i="6"/>
  <c r="J963" i="6"/>
  <c r="R938" i="6"/>
  <c r="J974" i="6"/>
  <c r="O973" i="6"/>
  <c r="R18" i="7"/>
  <c r="O63" i="7"/>
  <c r="R58" i="7"/>
  <c r="I126" i="7"/>
  <c r="R126" i="7" s="1"/>
  <c r="R154" i="7"/>
  <c r="R187" i="7"/>
  <c r="G472" i="7"/>
  <c r="D472" i="7"/>
  <c r="L571" i="7"/>
  <c r="M567" i="7"/>
  <c r="J570" i="7"/>
  <c r="E672" i="7"/>
  <c r="B673" i="7"/>
  <c r="AH860" i="7"/>
  <c r="AF885" i="6"/>
  <c r="AS885" i="6"/>
  <c r="AE887" i="6"/>
  <c r="F913" i="6"/>
  <c r="F917" i="6"/>
  <c r="J967" i="6"/>
  <c r="J973" i="6"/>
  <c r="E59" i="7"/>
  <c r="K63" i="7"/>
  <c r="G63" i="7"/>
  <c r="D131" i="7"/>
  <c r="E751" i="7"/>
  <c r="B754" i="7"/>
  <c r="I690" i="6"/>
  <c r="Q690" i="6"/>
  <c r="AF877" i="6"/>
  <c r="AS877" i="6"/>
  <c r="AD879" i="6"/>
  <c r="AG880" i="6"/>
  <c r="AE882" i="6"/>
  <c r="F883" i="6"/>
  <c r="AH883" i="6"/>
  <c r="AG885" i="6"/>
  <c r="AF887" i="6"/>
  <c r="AS887" i="6"/>
  <c r="G913" i="6"/>
  <c r="Q949" i="6"/>
  <c r="P949" i="6" s="1"/>
  <c r="Q947" i="6"/>
  <c r="R947" i="6" s="1"/>
  <c r="O974" i="6"/>
  <c r="AW989" i="6"/>
  <c r="R14" i="7"/>
  <c r="R27" i="7"/>
  <c r="R46" i="7"/>
  <c r="N130" i="7"/>
  <c r="C472" i="7"/>
  <c r="R790" i="7"/>
  <c r="I652" i="6"/>
  <c r="Q652" i="6"/>
  <c r="J805" i="6"/>
  <c r="E810" i="6"/>
  <c r="M810" i="6"/>
  <c r="B813" i="6"/>
  <c r="E813" i="6" s="1"/>
  <c r="J813" i="6"/>
  <c r="M813" i="6" s="1"/>
  <c r="AG877" i="6"/>
  <c r="AE879" i="6"/>
  <c r="F880" i="6"/>
  <c r="AF882" i="6"/>
  <c r="AS882" i="6"/>
  <c r="AD884" i="6"/>
  <c r="F885" i="6"/>
  <c r="AG887" i="6"/>
  <c r="F910" i="6"/>
  <c r="F918" i="6"/>
  <c r="J964" i="6"/>
  <c r="J968" i="6"/>
  <c r="J972" i="6"/>
  <c r="Q946" i="6"/>
  <c r="R946" i="6" s="1"/>
  <c r="O971" i="6"/>
  <c r="AW1010" i="6"/>
  <c r="AD992" i="6"/>
  <c r="AD1010" i="6"/>
  <c r="AD988" i="6"/>
  <c r="AD1011" i="6"/>
  <c r="AD989" i="6"/>
  <c r="F1019" i="6"/>
  <c r="B992" i="6" s="1"/>
  <c r="L1019" i="6"/>
  <c r="K948" i="7"/>
  <c r="I948" i="7"/>
  <c r="H948" i="7"/>
  <c r="N948" i="7"/>
  <c r="L948" i="7"/>
  <c r="F865" i="7"/>
  <c r="K956" i="7"/>
  <c r="I956" i="7"/>
  <c r="H956" i="7"/>
  <c r="N956" i="7"/>
  <c r="L956" i="7"/>
  <c r="P673" i="7"/>
  <c r="P472" i="7"/>
  <c r="D63" i="7"/>
  <c r="R101" i="7"/>
  <c r="F131" i="7"/>
  <c r="E424" i="7"/>
  <c r="K425" i="7"/>
  <c r="Q471" i="7"/>
  <c r="N472" i="7"/>
  <c r="I798" i="6"/>
  <c r="Q798" i="6"/>
  <c r="AF843" i="6"/>
  <c r="AF845" i="6"/>
  <c r="AF879" i="6"/>
  <c r="AE884" i="6"/>
  <c r="AD886" i="6"/>
  <c r="AJ886" i="6" s="1"/>
  <c r="AH887" i="6"/>
  <c r="O965" i="6"/>
  <c r="N1075" i="6"/>
  <c r="P28" i="7"/>
  <c r="Q41" i="7"/>
  <c r="R41" i="7" s="1"/>
  <c r="N59" i="7"/>
  <c r="M50" i="7"/>
  <c r="R50" i="7" s="1"/>
  <c r="P63" i="7"/>
  <c r="R80" i="7"/>
  <c r="S81" i="7" s="1"/>
  <c r="C425" i="7"/>
  <c r="L515" i="7"/>
  <c r="K515" i="7"/>
  <c r="O663" i="7"/>
  <c r="Q785" i="7"/>
  <c r="N787" i="7"/>
  <c r="AW991" i="6"/>
  <c r="AW993" i="6"/>
  <c r="AW997" i="6"/>
  <c r="AW1005" i="6"/>
  <c r="G1017" i="6"/>
  <c r="C990" i="6" s="1"/>
  <c r="L1022" i="6"/>
  <c r="G1023" i="6"/>
  <c r="C996" i="6" s="1"/>
  <c r="I949" i="7"/>
  <c r="H949" i="7"/>
  <c r="N949" i="7"/>
  <c r="L949" i="7"/>
  <c r="F28" i="7"/>
  <c r="G772" i="7"/>
  <c r="G778" i="7" s="1"/>
  <c r="G198" i="7"/>
  <c r="G275" i="7" s="1"/>
  <c r="G283" i="7" s="1"/>
  <c r="R146" i="7"/>
  <c r="R153" i="7"/>
  <c r="R161" i="7"/>
  <c r="R168" i="7"/>
  <c r="R243" i="7"/>
  <c r="R245" i="7"/>
  <c r="L295" i="7"/>
  <c r="AP832" i="7" s="1"/>
  <c r="R305" i="7"/>
  <c r="R307" i="7"/>
  <c r="R332" i="7"/>
  <c r="L425" i="7"/>
  <c r="R361" i="7"/>
  <c r="R363" i="7"/>
  <c r="R368" i="7"/>
  <c r="R371" i="7"/>
  <c r="R393" i="7"/>
  <c r="I394" i="7"/>
  <c r="R397" i="7"/>
  <c r="Q417" i="7"/>
  <c r="R417" i="7" s="1"/>
  <c r="R422" i="7"/>
  <c r="D425" i="7"/>
  <c r="E453" i="7"/>
  <c r="R464" i="7"/>
  <c r="E466" i="7"/>
  <c r="E499" i="7"/>
  <c r="R506" i="7"/>
  <c r="R509" i="7"/>
  <c r="Q510" i="7"/>
  <c r="K571" i="7"/>
  <c r="N570" i="7"/>
  <c r="J581" i="7"/>
  <c r="E596" i="7"/>
  <c r="R596" i="7" s="1"/>
  <c r="K613" i="7"/>
  <c r="K616" i="7" s="1"/>
  <c r="Q600" i="7"/>
  <c r="R600" i="7" s="1"/>
  <c r="J613" i="7"/>
  <c r="H659" i="7"/>
  <c r="H662" i="7" s="1"/>
  <c r="I662" i="7" s="1"/>
  <c r="R641" i="7"/>
  <c r="E701" i="7"/>
  <c r="R718" i="7"/>
  <c r="P751" i="7"/>
  <c r="P754" i="7" s="1"/>
  <c r="F751" i="7"/>
  <c r="N739" i="7"/>
  <c r="Q739" i="7" s="1"/>
  <c r="E774" i="7"/>
  <c r="R774" i="7" s="1"/>
  <c r="Q775" i="7"/>
  <c r="E785" i="7"/>
  <c r="B787" i="7"/>
  <c r="I793" i="7"/>
  <c r="F890" i="7"/>
  <c r="F846" i="7"/>
  <c r="AD824" i="7"/>
  <c r="AH859" i="7"/>
  <c r="F862" i="7"/>
  <c r="AG859" i="7"/>
  <c r="AS859" i="7"/>
  <c r="AF859" i="7"/>
  <c r="AD859" i="7"/>
  <c r="F895" i="7"/>
  <c r="AE864" i="7"/>
  <c r="AS864" i="7"/>
  <c r="AD864" i="7"/>
  <c r="AD829" i="7"/>
  <c r="AH864" i="7"/>
  <c r="F867" i="7"/>
  <c r="AG864" i="7"/>
  <c r="G926" i="7"/>
  <c r="G953" i="7" s="1"/>
  <c r="I978" i="7"/>
  <c r="AW990" i="6"/>
  <c r="AW994" i="6"/>
  <c r="AW996" i="6"/>
  <c r="AW1007" i="6"/>
  <c r="G1020" i="6"/>
  <c r="C993" i="6" s="1"/>
  <c r="I950" i="7"/>
  <c r="H950" i="7"/>
  <c r="O950" i="7"/>
  <c r="N950" i="7"/>
  <c r="M950" i="7"/>
  <c r="L950" i="7"/>
  <c r="K950" i="7"/>
  <c r="G127" i="7"/>
  <c r="G130" i="7" s="1"/>
  <c r="O127" i="7"/>
  <c r="O130" i="7" s="1"/>
  <c r="H772" i="7"/>
  <c r="H778" i="7" s="1"/>
  <c r="H198" i="7"/>
  <c r="H275" i="7" s="1"/>
  <c r="H283" i="7" s="1"/>
  <c r="O772" i="7"/>
  <c r="O778" i="7" s="1"/>
  <c r="Q157" i="7"/>
  <c r="R157" i="7" s="1"/>
  <c r="O198" i="7"/>
  <c r="R181" i="7"/>
  <c r="R194" i="7"/>
  <c r="R203" i="7"/>
  <c r="R209" i="7"/>
  <c r="R211" i="7"/>
  <c r="R226" i="7"/>
  <c r="R247" i="7"/>
  <c r="I255" i="7"/>
  <c r="R265" i="7"/>
  <c r="D295" i="7"/>
  <c r="AP826" i="7" s="1"/>
  <c r="E341" i="7"/>
  <c r="M341" i="7"/>
  <c r="R391" i="7"/>
  <c r="R410" i="7"/>
  <c r="R412" i="7"/>
  <c r="R420" i="7"/>
  <c r="Q488" i="7"/>
  <c r="R488" i="7" s="1"/>
  <c r="C515" i="7"/>
  <c r="I510" i="7"/>
  <c r="R510" i="7" s="1"/>
  <c r="C567" i="7"/>
  <c r="C570" i="7" s="1"/>
  <c r="E544" i="7"/>
  <c r="R544" i="7" s="1"/>
  <c r="R559" i="7"/>
  <c r="B581" i="7"/>
  <c r="C613" i="7"/>
  <c r="C616" i="7" s="1"/>
  <c r="I634" i="7"/>
  <c r="M647" i="7"/>
  <c r="R657" i="7"/>
  <c r="Q658" i="7"/>
  <c r="D673" i="7"/>
  <c r="O673" i="7"/>
  <c r="I690" i="7"/>
  <c r="H755" i="7"/>
  <c r="H756" i="7"/>
  <c r="R736" i="7"/>
  <c r="J751" i="7"/>
  <c r="J783" i="7"/>
  <c r="I789" i="7"/>
  <c r="F796" i="7"/>
  <c r="P796" i="7"/>
  <c r="P818" i="7" s="1"/>
  <c r="G862" i="7"/>
  <c r="G923" i="7"/>
  <c r="I975" i="7"/>
  <c r="M945" i="7"/>
  <c r="K130" i="8"/>
  <c r="O685" i="8"/>
  <c r="O686" i="8"/>
  <c r="AW1000" i="6"/>
  <c r="AW1002" i="6"/>
  <c r="AW1004" i="6"/>
  <c r="AW1009" i="6"/>
  <c r="AW1011" i="6"/>
  <c r="G1015" i="6"/>
  <c r="C988" i="6" s="1"/>
  <c r="F1018" i="6"/>
  <c r="B991" i="6" s="1"/>
  <c r="F1024" i="6"/>
  <c r="B997" i="6" s="1"/>
  <c r="H951" i="7"/>
  <c r="N951" i="7"/>
  <c r="M951" i="7"/>
  <c r="L951" i="7"/>
  <c r="K951" i="7"/>
  <c r="I951" i="7"/>
  <c r="H28" i="7"/>
  <c r="H127" i="7"/>
  <c r="H130" i="7" s="1"/>
  <c r="P127" i="7"/>
  <c r="P130" i="7" s="1"/>
  <c r="J778" i="7"/>
  <c r="L198" i="7"/>
  <c r="L275" i="7" s="1"/>
  <c r="L283" i="7" s="1"/>
  <c r="B778" i="7"/>
  <c r="N275" i="7"/>
  <c r="F295" i="7"/>
  <c r="AP827" i="7" s="1"/>
  <c r="O295" i="7"/>
  <c r="AP834" i="7" s="1"/>
  <c r="F419" i="7"/>
  <c r="R367" i="7"/>
  <c r="B468" i="7"/>
  <c r="J468" i="7"/>
  <c r="Q468" i="7"/>
  <c r="I488" i="7"/>
  <c r="M565" i="7"/>
  <c r="R565" i="7" s="1"/>
  <c r="L581" i="7"/>
  <c r="N616" i="7"/>
  <c r="L617" i="7"/>
  <c r="J662" i="7"/>
  <c r="I658" i="7"/>
  <c r="F673" i="7"/>
  <c r="L702" i="7"/>
  <c r="L706" i="7" s="1"/>
  <c r="P707" i="7"/>
  <c r="P708" i="7"/>
  <c r="C772" i="7"/>
  <c r="C778" i="7" s="1"/>
  <c r="R777" i="7"/>
  <c r="P812" i="7"/>
  <c r="P820" i="7" s="1"/>
  <c r="P13" i="7" s="1"/>
  <c r="M791" i="7"/>
  <c r="R791" i="7" s="1"/>
  <c r="G894" i="7"/>
  <c r="G866" i="7"/>
  <c r="O952" i="7"/>
  <c r="G999" i="7"/>
  <c r="C972" i="7" s="1"/>
  <c r="L999" i="7"/>
  <c r="AS909" i="7"/>
  <c r="R1032" i="7"/>
  <c r="R987" i="7"/>
  <c r="R908" i="7"/>
  <c r="AS874" i="7"/>
  <c r="R824" i="7"/>
  <c r="R879" i="7"/>
  <c r="AT847" i="7"/>
  <c r="R759" i="7"/>
  <c r="R853" i="7"/>
  <c r="R962" i="7"/>
  <c r="R800" i="7"/>
  <c r="N952" i="7"/>
  <c r="M952" i="7"/>
  <c r="L952" i="7"/>
  <c r="K952" i="7"/>
  <c r="I952" i="7"/>
  <c r="H952" i="7"/>
  <c r="I89" i="7"/>
  <c r="Q89" i="7"/>
  <c r="E108" i="7"/>
  <c r="R108" i="7" s="1"/>
  <c r="K198" i="7"/>
  <c r="K275" i="7" s="1"/>
  <c r="K283" i="7" s="1"/>
  <c r="M140" i="7"/>
  <c r="R143" i="7"/>
  <c r="R158" i="7"/>
  <c r="C275" i="7"/>
  <c r="C283" i="7" s="1"/>
  <c r="M205" i="7"/>
  <c r="R217" i="7"/>
  <c r="R219" i="7"/>
  <c r="R235" i="7"/>
  <c r="R274" i="7"/>
  <c r="P284" i="7"/>
  <c r="G295" i="7"/>
  <c r="AP828" i="7" s="1"/>
  <c r="P295" i="7"/>
  <c r="AP835" i="7" s="1"/>
  <c r="R311" i="7"/>
  <c r="R321" i="7"/>
  <c r="G425" i="7"/>
  <c r="AH348" i="7"/>
  <c r="R374" i="7"/>
  <c r="R402" i="7"/>
  <c r="R444" i="7"/>
  <c r="R458" i="7"/>
  <c r="R469" i="7"/>
  <c r="R482" i="7"/>
  <c r="P511" i="7"/>
  <c r="P514" i="7" s="1"/>
  <c r="D515" i="7"/>
  <c r="R524" i="7"/>
  <c r="Q566" i="7"/>
  <c r="F616" i="7"/>
  <c r="Q604" i="7"/>
  <c r="B662" i="7"/>
  <c r="K659" i="7"/>
  <c r="K662" i="7" s="1"/>
  <c r="R645" i="7"/>
  <c r="E647" i="7"/>
  <c r="R647" i="7" s="1"/>
  <c r="R652" i="7"/>
  <c r="C702" i="7"/>
  <c r="C706" i="7" s="1"/>
  <c r="R704" i="7"/>
  <c r="K751" i="7"/>
  <c r="K754" i="7" s="1"/>
  <c r="R742" i="7"/>
  <c r="F778" i="7"/>
  <c r="Q776" i="7"/>
  <c r="B783" i="7"/>
  <c r="L783" i="7"/>
  <c r="L814" i="7" s="1"/>
  <c r="I785" i="7"/>
  <c r="H796" i="7"/>
  <c r="H818" i="7" s="1"/>
  <c r="O795" i="7"/>
  <c r="F891" i="7"/>
  <c r="O597" i="8"/>
  <c r="J1066" i="6"/>
  <c r="N945" i="7"/>
  <c r="L945" i="7"/>
  <c r="K945" i="7"/>
  <c r="I945" i="7"/>
  <c r="H945" i="7"/>
  <c r="N953" i="7"/>
  <c r="M953" i="7"/>
  <c r="L953" i="7"/>
  <c r="K953" i="7"/>
  <c r="J953" i="7"/>
  <c r="I953" i="7"/>
  <c r="H953" i="7"/>
  <c r="O953" i="7"/>
  <c r="J127" i="7"/>
  <c r="R128" i="7"/>
  <c r="R145" i="7"/>
  <c r="R160" i="7"/>
  <c r="R169" i="7"/>
  <c r="R190" i="7"/>
  <c r="R244" i="7"/>
  <c r="H295" i="7"/>
  <c r="AP829" i="7" s="1"/>
  <c r="R306" i="7"/>
  <c r="R331" i="7"/>
  <c r="R350" i="7"/>
  <c r="R362" i="7"/>
  <c r="E419" i="7"/>
  <c r="H515" i="7"/>
  <c r="R504" i="7"/>
  <c r="G515" i="7"/>
  <c r="R536" i="7"/>
  <c r="I538" i="7"/>
  <c r="R538" i="7" s="1"/>
  <c r="P617" i="7"/>
  <c r="D663" i="7"/>
  <c r="H674" i="7"/>
  <c r="G673" i="7"/>
  <c r="D707" i="7"/>
  <c r="D708" i="7"/>
  <c r="O707" i="7"/>
  <c r="O708" i="7"/>
  <c r="J702" i="7"/>
  <c r="M690" i="7"/>
  <c r="R694" i="7"/>
  <c r="F706" i="7"/>
  <c r="AR891" i="7"/>
  <c r="C757" i="7"/>
  <c r="K772" i="7"/>
  <c r="K778" i="7" s="1"/>
  <c r="Q780" i="7"/>
  <c r="M796" i="7"/>
  <c r="I795" i="7"/>
  <c r="F898" i="7"/>
  <c r="AG867" i="7"/>
  <c r="F870" i="7"/>
  <c r="AE867" i="7"/>
  <c r="AD867" i="7"/>
  <c r="AS867" i="7"/>
  <c r="AH867" i="7"/>
  <c r="AD832" i="7"/>
  <c r="AF867" i="7"/>
  <c r="O949" i="7"/>
  <c r="J956" i="7"/>
  <c r="K949" i="7"/>
  <c r="AW1006" i="6"/>
  <c r="AW1008" i="6"/>
  <c r="M946" i="7"/>
  <c r="L946" i="7"/>
  <c r="K946" i="7"/>
  <c r="I946" i="7"/>
  <c r="H946" i="7"/>
  <c r="C673" i="7"/>
  <c r="N946" i="7"/>
  <c r="L954" i="7"/>
  <c r="K954" i="7"/>
  <c r="I954" i="7"/>
  <c r="H954" i="7"/>
  <c r="N673" i="7"/>
  <c r="F871" i="7"/>
  <c r="N581" i="7"/>
  <c r="D198" i="7"/>
  <c r="D275" i="7" s="1"/>
  <c r="D283" i="7" s="1"/>
  <c r="R147" i="7"/>
  <c r="R162" i="7"/>
  <c r="R195" i="7"/>
  <c r="R202" i="7"/>
  <c r="E205" i="7"/>
  <c r="R205" i="7" s="1"/>
  <c r="R223" i="7"/>
  <c r="R227" i="7"/>
  <c r="R232" i="7"/>
  <c r="R241" i="7"/>
  <c r="R248" i="7"/>
  <c r="E255" i="7"/>
  <c r="R255" i="7" s="1"/>
  <c r="R261" i="7"/>
  <c r="R266" i="7"/>
  <c r="R276" i="7"/>
  <c r="C295" i="7"/>
  <c r="AP825" i="7" s="1"/>
  <c r="R304" i="7"/>
  <c r="R329" i="7"/>
  <c r="R345" i="7"/>
  <c r="AB350" i="7"/>
  <c r="AD350" i="7" s="1"/>
  <c r="AM350" i="7" s="1"/>
  <c r="AD347" i="7"/>
  <c r="AM347" i="7" s="1"/>
  <c r="AB349" i="7"/>
  <c r="AD349" i="7" s="1"/>
  <c r="AM349" i="7" s="1"/>
  <c r="N781" i="7"/>
  <c r="Q781" i="7" s="1"/>
  <c r="R781" i="7" s="1"/>
  <c r="Q353" i="7"/>
  <c r="R353" i="7" s="1"/>
  <c r="N394" i="7"/>
  <c r="Q394" i="7" s="1"/>
  <c r="E448" i="7"/>
  <c r="M448" i="7"/>
  <c r="J514" i="7"/>
  <c r="M511" i="7"/>
  <c r="R491" i="7"/>
  <c r="S491" i="7" s="1"/>
  <c r="M494" i="7"/>
  <c r="R532" i="7"/>
  <c r="P567" i="7"/>
  <c r="P570" i="7" s="1"/>
  <c r="R561" i="7"/>
  <c r="I566" i="7"/>
  <c r="R566" i="7" s="1"/>
  <c r="F581" i="7"/>
  <c r="H613" i="7"/>
  <c r="H616" i="7" s="1"/>
  <c r="I604" i="7"/>
  <c r="N659" i="7"/>
  <c r="I638" i="7"/>
  <c r="G663" i="7"/>
  <c r="M672" i="7"/>
  <c r="J673" i="7"/>
  <c r="K673" i="7"/>
  <c r="I700" i="7"/>
  <c r="R700" i="7" s="1"/>
  <c r="K702" i="7"/>
  <c r="K706" i="7" s="1"/>
  <c r="E749" i="7"/>
  <c r="R749" i="7" s="1"/>
  <c r="Q750" i="7"/>
  <c r="R750" i="7" s="1"/>
  <c r="N772" i="7"/>
  <c r="I776" i="7"/>
  <c r="D783" i="7"/>
  <c r="D814" i="7" s="1"/>
  <c r="E782" i="7"/>
  <c r="G795" i="7"/>
  <c r="R794" i="7"/>
  <c r="AT815" i="7"/>
  <c r="J818" i="7"/>
  <c r="M818" i="7" s="1"/>
  <c r="AO826" i="7"/>
  <c r="AF826" i="7"/>
  <c r="AG861" i="7"/>
  <c r="AG860" i="7"/>
  <c r="J950" i="7"/>
  <c r="J954" i="7"/>
  <c r="K63" i="8"/>
  <c r="L947" i="7"/>
  <c r="K947" i="7"/>
  <c r="I947" i="7"/>
  <c r="H947" i="7"/>
  <c r="N947" i="7"/>
  <c r="M947" i="7"/>
  <c r="L955" i="7"/>
  <c r="K955" i="7"/>
  <c r="J955" i="7"/>
  <c r="I955" i="7"/>
  <c r="H955" i="7"/>
  <c r="N955" i="7"/>
  <c r="M955" i="7"/>
  <c r="R140" i="7"/>
  <c r="D787" i="7"/>
  <c r="D816" i="7" s="1"/>
  <c r="E786" i="7"/>
  <c r="I273" i="7"/>
  <c r="R273" i="7" s="1"/>
  <c r="R278" i="7"/>
  <c r="J295" i="7"/>
  <c r="AP830" i="7" s="1"/>
  <c r="N419" i="7"/>
  <c r="R317" i="7"/>
  <c r="B425" i="7"/>
  <c r="J425" i="7"/>
  <c r="R387" i="7"/>
  <c r="M419" i="7"/>
  <c r="M424" i="7"/>
  <c r="M453" i="7"/>
  <c r="M466" i="7"/>
  <c r="H472" i="7"/>
  <c r="B514" i="7"/>
  <c r="E511" i="7"/>
  <c r="M499" i="7"/>
  <c r="O515" i="7"/>
  <c r="H571" i="7"/>
  <c r="R556" i="7"/>
  <c r="G571" i="7"/>
  <c r="P581" i="7"/>
  <c r="I612" i="7"/>
  <c r="R612" i="7" s="1"/>
  <c r="E613" i="7"/>
  <c r="B616" i="7"/>
  <c r="I659" i="7"/>
  <c r="L663" i="7"/>
  <c r="B702" i="7"/>
  <c r="E690" i="7"/>
  <c r="R690" i="7" s="1"/>
  <c r="M701" i="7"/>
  <c r="N706" i="7"/>
  <c r="Q702" i="7"/>
  <c r="R724" i="7"/>
  <c r="N751" i="7"/>
  <c r="L739" i="7"/>
  <c r="L751" i="7" s="1"/>
  <c r="L754" i="7" s="1"/>
  <c r="L785" i="7"/>
  <c r="L787" i="7" s="1"/>
  <c r="L816" i="7" s="1"/>
  <c r="F783" i="7"/>
  <c r="I780" i="7"/>
  <c r="Q793" i="7"/>
  <c r="F869" i="7"/>
  <c r="G863" i="7"/>
  <c r="G1005" i="7"/>
  <c r="C978" i="7" s="1"/>
  <c r="L1005" i="7"/>
  <c r="I27" i="8"/>
  <c r="R27" i="8" s="1"/>
  <c r="G28" i="8"/>
  <c r="C130" i="8"/>
  <c r="L409" i="8"/>
  <c r="E174" i="7"/>
  <c r="R174" i="7" s="1"/>
  <c r="O355" i="7"/>
  <c r="Q355" i="7" s="1"/>
  <c r="R355" i="7" s="1"/>
  <c r="H673" i="7"/>
  <c r="I686" i="7"/>
  <c r="Q686" i="7"/>
  <c r="M732" i="7"/>
  <c r="D772" i="7"/>
  <c r="D778" i="7" s="1"/>
  <c r="L772" i="7"/>
  <c r="L778" i="7" s="1"/>
  <c r="O786" i="7"/>
  <c r="O787" i="7" s="1"/>
  <c r="O816" i="7" s="1"/>
  <c r="F787" i="7"/>
  <c r="I792" i="7"/>
  <c r="Q792" i="7"/>
  <c r="N795" i="7"/>
  <c r="Q795" i="7" s="1"/>
  <c r="AD828" i="7"/>
  <c r="F892" i="7"/>
  <c r="F868" i="7"/>
  <c r="AS865" i="7"/>
  <c r="AF865" i="7"/>
  <c r="AE865" i="7"/>
  <c r="AF860" i="7"/>
  <c r="AS860" i="7"/>
  <c r="AD862" i="7"/>
  <c r="AJ862" i="7" s="1"/>
  <c r="AD863" i="7"/>
  <c r="AS863" i="7"/>
  <c r="AD866" i="7"/>
  <c r="G890" i="7"/>
  <c r="J947" i="7"/>
  <c r="M954" i="7"/>
  <c r="G597" i="8"/>
  <c r="B295" i="7"/>
  <c r="AP824" i="7" s="1"/>
  <c r="AA348" i="7"/>
  <c r="AD348" i="7" s="1"/>
  <c r="AM348" i="7" s="1"/>
  <c r="F511" i="7"/>
  <c r="N511" i="7"/>
  <c r="I550" i="7"/>
  <c r="R550" i="7" s="1"/>
  <c r="Q550" i="7"/>
  <c r="C581" i="7"/>
  <c r="I672" i="7"/>
  <c r="Q672" i="7"/>
  <c r="I729" i="7"/>
  <c r="Q729" i="7"/>
  <c r="E780" i="7"/>
  <c r="R780" i="7" s="1"/>
  <c r="M780" i="7"/>
  <c r="H786" i="7"/>
  <c r="H787" i="7" s="1"/>
  <c r="H816" i="7" s="1"/>
  <c r="E789" i="7"/>
  <c r="M789" i="7"/>
  <c r="G947" i="7"/>
  <c r="I976" i="7"/>
  <c r="G924" i="7"/>
  <c r="F897" i="7"/>
  <c r="AH866" i="7"/>
  <c r="AG866" i="7"/>
  <c r="AE866" i="7"/>
  <c r="G867" i="7"/>
  <c r="F896" i="7"/>
  <c r="J945" i="7"/>
  <c r="I972" i="7"/>
  <c r="K928" i="8"/>
  <c r="I928" i="8"/>
  <c r="H928" i="8"/>
  <c r="L928" i="8"/>
  <c r="N928" i="8"/>
  <c r="M928" i="8"/>
  <c r="J651" i="8"/>
  <c r="J28" i="8"/>
  <c r="C63" i="8"/>
  <c r="B129" i="8"/>
  <c r="E126" i="8"/>
  <c r="O498" i="8"/>
  <c r="K641" i="8"/>
  <c r="B198" i="7"/>
  <c r="J198" i="7"/>
  <c r="Q732" i="7"/>
  <c r="K785" i="7"/>
  <c r="K787" i="7" s="1"/>
  <c r="K816" i="7" s="1"/>
  <c r="J786" i="7"/>
  <c r="M786" i="7" s="1"/>
  <c r="F863" i="7"/>
  <c r="AH868" i="7"/>
  <c r="AG868" i="7"/>
  <c r="AS868" i="7"/>
  <c r="AF868" i="7"/>
  <c r="AD861" i="7"/>
  <c r="G865" i="7"/>
  <c r="AE868" i="7"/>
  <c r="J948" i="7"/>
  <c r="J951" i="7"/>
  <c r="O956" i="7"/>
  <c r="R17" i="8"/>
  <c r="I192" i="8"/>
  <c r="F265" i="8"/>
  <c r="P274" i="8"/>
  <c r="O456" i="8"/>
  <c r="O551" i="8"/>
  <c r="O341" i="7"/>
  <c r="G581" i="7"/>
  <c r="E792" i="7"/>
  <c r="R792" i="7" s="1"/>
  <c r="M792" i="7"/>
  <c r="G891" i="7"/>
  <c r="G899" i="7"/>
  <c r="G871" i="7"/>
  <c r="AG869" i="7"/>
  <c r="AS869" i="7"/>
  <c r="AF869" i="7"/>
  <c r="AD869" i="7"/>
  <c r="F900" i="7"/>
  <c r="AE861" i="7"/>
  <c r="AD865" i="7"/>
  <c r="G873" i="7"/>
  <c r="O948" i="7"/>
  <c r="O951" i="7"/>
  <c r="G456" i="8"/>
  <c r="K551" i="8"/>
  <c r="P547" i="8"/>
  <c r="P550" i="8" s="1"/>
  <c r="Q526" i="8"/>
  <c r="Q764" i="8"/>
  <c r="N793" i="8"/>
  <c r="Q793" i="8" s="1"/>
  <c r="F893" i="7"/>
  <c r="G900" i="7"/>
  <c r="G872" i="7"/>
  <c r="F873" i="7"/>
  <c r="AH870" i="7"/>
  <c r="AG870" i="7"/>
  <c r="F901" i="7"/>
  <c r="AS870" i="7"/>
  <c r="AF870" i="7"/>
  <c r="AE870" i="7"/>
  <c r="AF861" i="7"/>
  <c r="AS861" i="7"/>
  <c r="F864" i="7"/>
  <c r="AG865" i="7"/>
  <c r="AE869" i="7"/>
  <c r="AD870" i="7"/>
  <c r="F872" i="7"/>
  <c r="J946" i="7"/>
  <c r="O28" i="8"/>
  <c r="Q27" i="8"/>
  <c r="D59" i="8"/>
  <c r="D62" i="8" s="1"/>
  <c r="E41" i="8"/>
  <c r="R50" i="8"/>
  <c r="L494" i="8"/>
  <c r="L497" i="8" s="1"/>
  <c r="M482" i="8"/>
  <c r="J561" i="8"/>
  <c r="M560" i="8"/>
  <c r="E634" i="7"/>
  <c r="M634" i="7"/>
  <c r="I973" i="7"/>
  <c r="G921" i="7"/>
  <c r="AH863" i="7"/>
  <c r="F894" i="7"/>
  <c r="F866" i="7"/>
  <c r="AG863" i="7"/>
  <c r="I981" i="7"/>
  <c r="G929" i="7"/>
  <c r="G864" i="7"/>
  <c r="AS866" i="7"/>
  <c r="G868" i="7"/>
  <c r="AH869" i="7"/>
  <c r="O946" i="7"/>
  <c r="J949" i="7"/>
  <c r="J952" i="7"/>
  <c r="O955" i="7"/>
  <c r="R18" i="8"/>
  <c r="L130" i="8"/>
  <c r="J455" i="8"/>
  <c r="M452" i="8"/>
  <c r="H452" i="8"/>
  <c r="H455" i="8" s="1"/>
  <c r="I437" i="8"/>
  <c r="C498" i="8"/>
  <c r="M948" i="7"/>
  <c r="M956" i="7"/>
  <c r="AW970" i="7"/>
  <c r="AW994" i="7" s="1"/>
  <c r="R1009" i="8"/>
  <c r="R964" i="8"/>
  <c r="R939" i="8"/>
  <c r="R885" i="8"/>
  <c r="R856" i="8"/>
  <c r="R830" i="8"/>
  <c r="AT792" i="8"/>
  <c r="AS851" i="8"/>
  <c r="R801" i="8"/>
  <c r="AT824" i="8"/>
  <c r="AS886" i="8"/>
  <c r="R777" i="8"/>
  <c r="R736" i="8"/>
  <c r="J929" i="8"/>
  <c r="I929" i="8"/>
  <c r="H929" i="8"/>
  <c r="N929" i="8"/>
  <c r="K929" i="8"/>
  <c r="M929" i="8"/>
  <c r="L929" i="8"/>
  <c r="K651" i="8"/>
  <c r="H28" i="8"/>
  <c r="B59" i="8"/>
  <c r="G63" i="8"/>
  <c r="Q89" i="8"/>
  <c r="R89" i="8" s="1"/>
  <c r="N126" i="8"/>
  <c r="N755" i="8"/>
  <c r="Q749" i="8"/>
  <c r="G274" i="8"/>
  <c r="D274" i="8"/>
  <c r="C409" i="8"/>
  <c r="R346" i="8"/>
  <c r="M401" i="8"/>
  <c r="E455" i="8"/>
  <c r="B456" i="8"/>
  <c r="K456" i="8"/>
  <c r="R451" i="8"/>
  <c r="R453" i="8"/>
  <c r="B547" i="8"/>
  <c r="L551" i="8"/>
  <c r="R535" i="8"/>
  <c r="E560" i="8"/>
  <c r="B561" i="8"/>
  <c r="L641" i="8"/>
  <c r="G641" i="8"/>
  <c r="R625" i="8"/>
  <c r="Q636" i="8"/>
  <c r="R636" i="8" s="1"/>
  <c r="F651" i="8"/>
  <c r="O651" i="8"/>
  <c r="G685" i="8"/>
  <c r="G686" i="8"/>
  <c r="I678" i="8"/>
  <c r="P789" i="8"/>
  <c r="P797" i="8" s="1"/>
  <c r="P13" i="8" s="1"/>
  <c r="P774" i="8"/>
  <c r="O947" i="7"/>
  <c r="M949" i="7"/>
  <c r="AD992" i="7"/>
  <c r="L1008" i="7"/>
  <c r="I1047" i="7"/>
  <c r="J1048" i="7" s="1"/>
  <c r="I922" i="8"/>
  <c r="H922" i="8"/>
  <c r="N922" i="8"/>
  <c r="M922" i="8"/>
  <c r="K922" i="8"/>
  <c r="F839" i="8"/>
  <c r="L922" i="8"/>
  <c r="I930" i="8"/>
  <c r="H930" i="8"/>
  <c r="N930" i="8"/>
  <c r="M930" i="8"/>
  <c r="L930" i="8"/>
  <c r="K930" i="8"/>
  <c r="L561" i="8"/>
  <c r="I41" i="8"/>
  <c r="F59" i="8"/>
  <c r="J129" i="8"/>
  <c r="M126" i="8"/>
  <c r="O751" i="8"/>
  <c r="O192" i="8"/>
  <c r="O265" i="8" s="1"/>
  <c r="O273" i="8" s="1"/>
  <c r="H274" i="8"/>
  <c r="L274" i="8"/>
  <c r="G285" i="8"/>
  <c r="AP805" i="8" s="1"/>
  <c r="B285" i="8"/>
  <c r="AP801" i="8" s="1"/>
  <c r="D409" i="8"/>
  <c r="O409" i="8"/>
  <c r="C456" i="8"/>
  <c r="Q471" i="8"/>
  <c r="R471" i="8" s="1"/>
  <c r="N494" i="8"/>
  <c r="D494" i="8"/>
  <c r="D497" i="8" s="1"/>
  <c r="E482" i="8"/>
  <c r="R482" i="8" s="1"/>
  <c r="P498" i="8"/>
  <c r="C551" i="8"/>
  <c r="N550" i="8"/>
  <c r="Q547" i="8"/>
  <c r="H547" i="8"/>
  <c r="H550" i="8" s="1"/>
  <c r="I526" i="8"/>
  <c r="R576" i="8"/>
  <c r="K597" i="8"/>
  <c r="C641" i="8"/>
  <c r="G651" i="8"/>
  <c r="P651" i="8"/>
  <c r="F760" i="8"/>
  <c r="I757" i="8"/>
  <c r="AD974" i="7"/>
  <c r="AW988" i="7"/>
  <c r="AW990" i="7"/>
  <c r="G998" i="7"/>
  <c r="C971" i="7" s="1"/>
  <c r="H923" i="8"/>
  <c r="O923" i="8"/>
  <c r="N923" i="8"/>
  <c r="M923" i="8"/>
  <c r="L923" i="8"/>
  <c r="I923" i="8"/>
  <c r="J923" i="8"/>
  <c r="K923" i="8"/>
  <c r="C651" i="8"/>
  <c r="H931" i="8"/>
  <c r="O931" i="8"/>
  <c r="N931" i="8"/>
  <c r="M931" i="8"/>
  <c r="L931" i="8"/>
  <c r="I931" i="8"/>
  <c r="K931" i="8"/>
  <c r="N651" i="8"/>
  <c r="N561" i="8"/>
  <c r="N285" i="8"/>
  <c r="AP810" i="8" s="1"/>
  <c r="K28" i="8"/>
  <c r="P63" i="8"/>
  <c r="R72" i="8"/>
  <c r="R84" i="8"/>
  <c r="I89" i="8"/>
  <c r="F126" i="8"/>
  <c r="P126" i="8"/>
  <c r="P129" i="8" s="1"/>
  <c r="R166" i="8"/>
  <c r="R186" i="8"/>
  <c r="Q188" i="8"/>
  <c r="J265" i="8"/>
  <c r="H285" i="8"/>
  <c r="AP806" i="8" s="1"/>
  <c r="L285" i="8"/>
  <c r="AP809" i="8" s="1"/>
  <c r="P409" i="8"/>
  <c r="R363" i="8"/>
  <c r="E401" i="8"/>
  <c r="R401" i="8" s="1"/>
  <c r="Q450" i="8"/>
  <c r="R450" i="8" s="1"/>
  <c r="I471" i="8"/>
  <c r="F494" i="8"/>
  <c r="D551" i="8"/>
  <c r="R546" i="8"/>
  <c r="C597" i="8"/>
  <c r="L597" i="8"/>
  <c r="P593" i="8"/>
  <c r="P596" i="8" s="1"/>
  <c r="Q580" i="8"/>
  <c r="R592" i="8"/>
  <c r="D641" i="8"/>
  <c r="R622" i="8"/>
  <c r="I636" i="8"/>
  <c r="H651" i="8"/>
  <c r="R681" i="8"/>
  <c r="J731" i="8"/>
  <c r="AO807" i="8"/>
  <c r="AF807" i="8"/>
  <c r="O927" i="7"/>
  <c r="O954" i="7" s="1"/>
  <c r="M931" i="7"/>
  <c r="O931" i="7" s="1"/>
  <c r="AD973" i="7"/>
  <c r="AD975" i="7"/>
  <c r="AW981" i="7"/>
  <c r="AW983" i="7"/>
  <c r="AW985" i="7"/>
  <c r="AW992" i="7"/>
  <c r="L1002" i="7"/>
  <c r="N1048" i="7"/>
  <c r="N924" i="8"/>
  <c r="M924" i="8"/>
  <c r="L924" i="8"/>
  <c r="K924" i="8"/>
  <c r="H924" i="8"/>
  <c r="I924" i="8"/>
  <c r="D561" i="8"/>
  <c r="N932" i="8"/>
  <c r="M932" i="8"/>
  <c r="L932" i="8"/>
  <c r="K932" i="8"/>
  <c r="H932" i="8"/>
  <c r="J932" i="8"/>
  <c r="I932" i="8"/>
  <c r="O561" i="8"/>
  <c r="O285" i="8"/>
  <c r="AP811" i="8" s="1"/>
  <c r="B28" i="8"/>
  <c r="H63" i="8"/>
  <c r="E46" i="8"/>
  <c r="R46" i="8" s="1"/>
  <c r="E58" i="8"/>
  <c r="R58" i="8" s="1"/>
  <c r="R74" i="8"/>
  <c r="R87" i="8"/>
  <c r="G130" i="8"/>
  <c r="R93" i="8"/>
  <c r="M96" i="8"/>
  <c r="R107" i="8"/>
  <c r="R115" i="8"/>
  <c r="E125" i="8"/>
  <c r="R125" i="8" s="1"/>
  <c r="R164" i="8"/>
  <c r="R184" i="8"/>
  <c r="K265" i="8"/>
  <c r="K273" i="8" s="1"/>
  <c r="R206" i="8"/>
  <c r="R217" i="8"/>
  <c r="B763" i="8"/>
  <c r="E763" i="8" s="1"/>
  <c r="R763" i="8" s="1"/>
  <c r="B245" i="8"/>
  <c r="E245" i="8" s="1"/>
  <c r="R245" i="8" s="1"/>
  <c r="E219" i="8"/>
  <c r="R224" i="8"/>
  <c r="R266" i="8"/>
  <c r="J285" i="8"/>
  <c r="AP807" i="8" s="1"/>
  <c r="R314" i="8"/>
  <c r="G409" i="8"/>
  <c r="M342" i="8"/>
  <c r="J403" i="8"/>
  <c r="R371" i="8"/>
  <c r="Q432" i="8"/>
  <c r="N452" i="8"/>
  <c r="D456" i="8"/>
  <c r="R493" i="8"/>
  <c r="R495" i="8"/>
  <c r="F550" i="8"/>
  <c r="I547" i="8"/>
  <c r="F561" i="8"/>
  <c r="D597" i="8"/>
  <c r="P637" i="8"/>
  <c r="P640" i="8" s="1"/>
  <c r="Q612" i="8"/>
  <c r="R635" i="8"/>
  <c r="F640" i="8"/>
  <c r="J680" i="8"/>
  <c r="M664" i="8"/>
  <c r="R668" i="8"/>
  <c r="L732" i="8"/>
  <c r="L733" i="8"/>
  <c r="AW980" i="7"/>
  <c r="N925" i="8"/>
  <c r="M925" i="8"/>
  <c r="L925" i="8"/>
  <c r="K925" i="8"/>
  <c r="H925" i="8"/>
  <c r="I925" i="8"/>
  <c r="G842" i="8"/>
  <c r="N933" i="8"/>
  <c r="M933" i="8"/>
  <c r="L933" i="8"/>
  <c r="K933" i="8"/>
  <c r="I933" i="8"/>
  <c r="H933" i="8"/>
  <c r="P285" i="8"/>
  <c r="AP812" i="8" s="1"/>
  <c r="J63" i="8"/>
  <c r="R96" i="8"/>
  <c r="C274" i="8"/>
  <c r="K285" i="8"/>
  <c r="AP808" i="8" s="1"/>
  <c r="H409" i="8"/>
  <c r="E342" i="8"/>
  <c r="B403" i="8"/>
  <c r="I432" i="8"/>
  <c r="R432" i="8" s="1"/>
  <c r="F452" i="8"/>
  <c r="R492" i="8"/>
  <c r="R526" i="8"/>
  <c r="G561" i="8"/>
  <c r="P561" i="8"/>
  <c r="H593" i="8"/>
  <c r="H596" i="8" s="1"/>
  <c r="I580" i="8"/>
  <c r="R580" i="8" s="1"/>
  <c r="N596" i="8"/>
  <c r="R616" i="8"/>
  <c r="N640" i="8"/>
  <c r="B680" i="8"/>
  <c r="E664" i="8"/>
  <c r="R664" i="8" s="1"/>
  <c r="P817" i="8"/>
  <c r="K687" i="8"/>
  <c r="L686" i="8"/>
  <c r="L685" i="8"/>
  <c r="P680" i="8"/>
  <c r="P684" i="8" s="1"/>
  <c r="Q672" i="8"/>
  <c r="R679" i="8"/>
  <c r="Q679" i="8"/>
  <c r="N680" i="8"/>
  <c r="K685" i="8"/>
  <c r="D733" i="8"/>
  <c r="D732" i="8"/>
  <c r="B789" i="8"/>
  <c r="AW973" i="7"/>
  <c r="AW975" i="7"/>
  <c r="AW979" i="7"/>
  <c r="AW987" i="7"/>
  <c r="AD993" i="7"/>
  <c r="M926" i="8"/>
  <c r="L926" i="8"/>
  <c r="K926" i="8"/>
  <c r="I926" i="8"/>
  <c r="N926" i="8"/>
  <c r="O926" i="8"/>
  <c r="H926" i="8"/>
  <c r="F843" i="8"/>
  <c r="R80" i="8"/>
  <c r="M89" i="8"/>
  <c r="D130" i="8"/>
  <c r="R150" i="8"/>
  <c r="R172" i="8"/>
  <c r="R264" i="8"/>
  <c r="P452" i="8"/>
  <c r="P455" i="8" s="1"/>
  <c r="Q437" i="8"/>
  <c r="R437" i="8" s="1"/>
  <c r="L456" i="8"/>
  <c r="J494" i="8"/>
  <c r="H561" i="8"/>
  <c r="H637" i="8"/>
  <c r="H640" i="8" s="1"/>
  <c r="I612" i="8"/>
  <c r="R612" i="8" s="1"/>
  <c r="C686" i="8"/>
  <c r="C685" i="8"/>
  <c r="D686" i="8"/>
  <c r="D685" i="8"/>
  <c r="R678" i="8"/>
  <c r="I679" i="8"/>
  <c r="F680" i="8"/>
  <c r="F728" i="8"/>
  <c r="I701" i="8"/>
  <c r="P733" i="8"/>
  <c r="P732" i="8"/>
  <c r="AW972" i="7"/>
  <c r="AW976" i="7"/>
  <c r="AW978" i="7"/>
  <c r="L927" i="8"/>
  <c r="K927" i="8"/>
  <c r="I927" i="8"/>
  <c r="H927" i="8"/>
  <c r="M927" i="8"/>
  <c r="O927" i="8"/>
  <c r="N927" i="8"/>
  <c r="F844" i="8"/>
  <c r="L59" i="8"/>
  <c r="L62" i="8" s="1"/>
  <c r="M59" i="8"/>
  <c r="R78" i="8"/>
  <c r="R101" i="8"/>
  <c r="R139" i="8"/>
  <c r="R161" i="8"/>
  <c r="R181" i="8"/>
  <c r="R188" i="8"/>
  <c r="Q192" i="8"/>
  <c r="R192" i="8" s="1"/>
  <c r="N265" i="8"/>
  <c r="R212" i="8"/>
  <c r="C285" i="8"/>
  <c r="AP802" i="8" s="1"/>
  <c r="R302" i="8"/>
  <c r="S307" i="8" s="1"/>
  <c r="K409" i="8"/>
  <c r="R387" i="8"/>
  <c r="R449" i="8"/>
  <c r="B494" i="8"/>
  <c r="K498" i="8"/>
  <c r="J547" i="8"/>
  <c r="G551" i="8"/>
  <c r="F596" i="8"/>
  <c r="I593" i="8"/>
  <c r="O637" i="8"/>
  <c r="O640" i="8" s="1"/>
  <c r="L651" i="8"/>
  <c r="H680" i="8"/>
  <c r="H684" i="8" s="1"/>
  <c r="I672" i="8"/>
  <c r="R672" i="8" s="1"/>
  <c r="Q678" i="8"/>
  <c r="L789" i="8"/>
  <c r="E760" i="8"/>
  <c r="H498" i="8"/>
  <c r="G732" i="8"/>
  <c r="Q820" i="8"/>
  <c r="O734" i="8"/>
  <c r="C789" i="8"/>
  <c r="H789" i="8"/>
  <c r="H797" i="8" s="1"/>
  <c r="H13" i="8" s="1"/>
  <c r="H774" i="8"/>
  <c r="D764" i="8"/>
  <c r="D793" i="8" s="1"/>
  <c r="M764" i="8"/>
  <c r="J793" i="8"/>
  <c r="M793" i="8" s="1"/>
  <c r="H129" i="9"/>
  <c r="M284" i="8"/>
  <c r="E520" i="8"/>
  <c r="M520" i="8"/>
  <c r="C561" i="8"/>
  <c r="I584" i="8"/>
  <c r="R584" i="8" s="1"/>
  <c r="Q584" i="8"/>
  <c r="B651" i="8"/>
  <c r="H732" i="8"/>
  <c r="H733" i="8"/>
  <c r="R712" i="8"/>
  <c r="R714" i="8"/>
  <c r="M716" i="8"/>
  <c r="R726" i="8"/>
  <c r="D755" i="8"/>
  <c r="E755" i="8" s="1"/>
  <c r="O755" i="8"/>
  <c r="E751" i="8"/>
  <c r="R751" i="8" s="1"/>
  <c r="E754" i="8"/>
  <c r="R754" i="8" s="1"/>
  <c r="J755" i="8"/>
  <c r="E772" i="8"/>
  <c r="F285" i="8"/>
  <c r="AP804" i="8" s="1"/>
  <c r="B593" i="8"/>
  <c r="J593" i="8"/>
  <c r="R716" i="8"/>
  <c r="F755" i="8"/>
  <c r="I749" i="8"/>
  <c r="R749" i="8" s="1"/>
  <c r="Q751" i="8"/>
  <c r="R770" i="8"/>
  <c r="G841" i="8"/>
  <c r="N59" i="8"/>
  <c r="B637" i="8"/>
  <c r="J637" i="8"/>
  <c r="E650" i="8"/>
  <c r="M650" i="8"/>
  <c r="K728" i="8"/>
  <c r="K731" i="8" s="1"/>
  <c r="G755" i="8"/>
  <c r="R758" i="8"/>
  <c r="Q758" i="8"/>
  <c r="AG842" i="8"/>
  <c r="F845" i="8"/>
  <c r="AS842" i="8"/>
  <c r="AF842" i="8"/>
  <c r="F873" i="8"/>
  <c r="AD842" i="8"/>
  <c r="AH842" i="8"/>
  <c r="AE842" i="8"/>
  <c r="F877" i="8"/>
  <c r="AE846" i="8"/>
  <c r="AD846" i="8"/>
  <c r="F849" i="8"/>
  <c r="AH846" i="8"/>
  <c r="AS846" i="8"/>
  <c r="AF846" i="8"/>
  <c r="AG846" i="8"/>
  <c r="AD811" i="8"/>
  <c r="F403" i="8"/>
  <c r="N403" i="8"/>
  <c r="E701" i="8"/>
  <c r="R701" i="8" s="1"/>
  <c r="R720" i="8"/>
  <c r="E753" i="8"/>
  <c r="R753" i="8" s="1"/>
  <c r="L760" i="8"/>
  <c r="L791" i="8" s="1"/>
  <c r="M791" i="8" s="1"/>
  <c r="M759" i="8"/>
  <c r="M762" i="8"/>
  <c r="N773" i="8"/>
  <c r="Q766" i="8"/>
  <c r="AO805" i="8"/>
  <c r="AF805" i="8"/>
  <c r="I219" i="8"/>
  <c r="I520" i="8"/>
  <c r="Q520" i="8"/>
  <c r="C728" i="8"/>
  <c r="C731" i="8" s="1"/>
  <c r="N728" i="8"/>
  <c r="Q701" i="8"/>
  <c r="Q706" i="8"/>
  <c r="R706" i="8" s="1"/>
  <c r="R710" i="8"/>
  <c r="R723" i="8"/>
  <c r="B728" i="8"/>
  <c r="N760" i="8"/>
  <c r="Q757" i="8"/>
  <c r="R757" i="8" s="1"/>
  <c r="K764" i="8"/>
  <c r="K793" i="8" s="1"/>
  <c r="G843" i="8"/>
  <c r="O732" i="8"/>
  <c r="G733" i="8"/>
  <c r="Q750" i="8"/>
  <c r="R750" i="8" s="1"/>
  <c r="D760" i="8"/>
  <c r="D791" i="8" s="1"/>
  <c r="E791" i="8" s="1"/>
  <c r="E759" i="8"/>
  <c r="R759" i="8" s="1"/>
  <c r="E762" i="8"/>
  <c r="B764" i="8"/>
  <c r="F773" i="8"/>
  <c r="I766" i="8"/>
  <c r="E768" i="8"/>
  <c r="R768" i="8" s="1"/>
  <c r="J924" i="8"/>
  <c r="G773" i="8"/>
  <c r="G795" i="8" s="1"/>
  <c r="O773" i="8"/>
  <c r="O795" i="8" s="1"/>
  <c r="L772" i="8"/>
  <c r="AF810" i="8"/>
  <c r="AO810" i="8"/>
  <c r="H955" i="8"/>
  <c r="AH910" i="8"/>
  <c r="AH875" i="8"/>
  <c r="J926" i="8"/>
  <c r="K755" i="8"/>
  <c r="F772" i="8"/>
  <c r="I772" i="8" s="1"/>
  <c r="AO808" i="8"/>
  <c r="AF808" i="8"/>
  <c r="G872" i="8"/>
  <c r="G844" i="8"/>
  <c r="H947" i="8"/>
  <c r="AH902" i="8"/>
  <c r="AH867" i="8"/>
  <c r="M772" i="8"/>
  <c r="AO806" i="8"/>
  <c r="AF806" i="8"/>
  <c r="H956" i="8"/>
  <c r="AH911" i="8"/>
  <c r="AH876" i="8"/>
  <c r="J931" i="8"/>
  <c r="C773" i="8"/>
  <c r="C774" i="8" s="1"/>
  <c r="K773" i="8"/>
  <c r="P772" i="8"/>
  <c r="Q772" i="8" s="1"/>
  <c r="G867" i="8"/>
  <c r="G823" i="8"/>
  <c r="G839" i="8"/>
  <c r="G876" i="8"/>
  <c r="G848" i="8"/>
  <c r="I954" i="8"/>
  <c r="G902" i="8"/>
  <c r="F764" i="8"/>
  <c r="D773" i="8"/>
  <c r="D795" i="8" s="1"/>
  <c r="L773" i="8"/>
  <c r="L795" i="8" s="1"/>
  <c r="Q769" i="8"/>
  <c r="R769" i="8" s="1"/>
  <c r="E771" i="8"/>
  <c r="R771" i="8" s="1"/>
  <c r="G847" i="8"/>
  <c r="J928" i="8"/>
  <c r="Q762" i="8"/>
  <c r="E766" i="8"/>
  <c r="R766" i="8" s="1"/>
  <c r="M766" i="8"/>
  <c r="AF809" i="8"/>
  <c r="AO809" i="8"/>
  <c r="G868" i="8"/>
  <c r="G840" i="8"/>
  <c r="F869" i="8"/>
  <c r="AH838" i="8"/>
  <c r="AD803" i="8"/>
  <c r="AD814" i="8" s="1"/>
  <c r="F841" i="8"/>
  <c r="AG838" i="8"/>
  <c r="AS838" i="8"/>
  <c r="AF838" i="8"/>
  <c r="AD838" i="8"/>
  <c r="G846" i="8"/>
  <c r="O922" i="8"/>
  <c r="AD804" i="8"/>
  <c r="AF836" i="8"/>
  <c r="AS836" i="8"/>
  <c r="AG839" i="8"/>
  <c r="AE841" i="8"/>
  <c r="AJ841" i="8" s="1"/>
  <c r="F842" i="8"/>
  <c r="AG844" i="8"/>
  <c r="J922" i="8"/>
  <c r="J927" i="8"/>
  <c r="O932" i="8"/>
  <c r="AH870" i="8"/>
  <c r="H950" i="8"/>
  <c r="G877" i="8"/>
  <c r="H958" i="8"/>
  <c r="AH878" i="8"/>
  <c r="AH913" i="8"/>
  <c r="AH836" i="8"/>
  <c r="AG841" i="8"/>
  <c r="AE843" i="8"/>
  <c r="AJ843" i="8" s="1"/>
  <c r="AD845" i="8"/>
  <c r="F846" i="8"/>
  <c r="AD847" i="8"/>
  <c r="F848" i="8"/>
  <c r="J930" i="8"/>
  <c r="R195" i="9"/>
  <c r="P490" i="9"/>
  <c r="G870" i="8"/>
  <c r="F871" i="8"/>
  <c r="G878" i="8"/>
  <c r="F823" i="8"/>
  <c r="AD837" i="8"/>
  <c r="AE840" i="8"/>
  <c r="AJ840" i="8" s="1"/>
  <c r="AH841" i="8"/>
  <c r="AF843" i="8"/>
  <c r="AS843" i="8"/>
  <c r="AE845" i="8"/>
  <c r="AE847" i="8"/>
  <c r="G849" i="8"/>
  <c r="G871" i="8"/>
  <c r="F872" i="8"/>
  <c r="J925" i="8"/>
  <c r="O930" i="8"/>
  <c r="AF812" i="8"/>
  <c r="AE837" i="8"/>
  <c r="AE849" i="8" s="1"/>
  <c r="AF840" i="8"/>
  <c r="AS840" i="8"/>
  <c r="AF845" i="8"/>
  <c r="AS845" i="8"/>
  <c r="AF847" i="8"/>
  <c r="AS847" i="8"/>
  <c r="O925" i="8"/>
  <c r="O929" i="8"/>
  <c r="AH905" i="8"/>
  <c r="Q1037" i="8"/>
  <c r="R1025" i="8"/>
  <c r="G869" i="8"/>
  <c r="G873" i="8"/>
  <c r="F874" i="8"/>
  <c r="AD836" i="8"/>
  <c r="AG837" i="8"/>
  <c r="AG849" i="8" s="1"/>
  <c r="AE839" i="8"/>
  <c r="AJ839" i="8" s="1"/>
  <c r="F840" i="8"/>
  <c r="AH840" i="8"/>
  <c r="AE844" i="8"/>
  <c r="AH845" i="8"/>
  <c r="F847" i="8"/>
  <c r="AH847" i="8"/>
  <c r="F850" i="8"/>
  <c r="F868" i="8"/>
  <c r="G875" i="8"/>
  <c r="O924" i="8"/>
  <c r="AW947" i="8"/>
  <c r="AW971" i="8" s="1"/>
  <c r="O928" i="8"/>
  <c r="J933" i="8"/>
  <c r="R1031" i="8"/>
  <c r="AF839" i="8"/>
  <c r="AS839" i="8"/>
  <c r="AF844" i="8"/>
  <c r="AJ844" i="8" s="1"/>
  <c r="G845" i="8"/>
  <c r="G850" i="8"/>
  <c r="O933" i="8"/>
  <c r="AW966" i="8"/>
  <c r="AW955" i="8"/>
  <c r="AW953" i="8"/>
  <c r="AW949" i="8"/>
  <c r="AW957" i="8"/>
  <c r="AW969" i="8"/>
  <c r="AW962" i="8"/>
  <c r="AW960" i="8"/>
  <c r="AW958" i="8"/>
  <c r="AW967" i="8"/>
  <c r="AW965" i="8"/>
  <c r="AW970" i="8"/>
  <c r="AW968" i="8"/>
  <c r="AW963" i="8"/>
  <c r="AW961" i="8"/>
  <c r="AW959" i="8"/>
  <c r="AW954" i="8"/>
  <c r="AD966" i="8"/>
  <c r="AD964" i="8"/>
  <c r="AD956" i="8"/>
  <c r="AD957" i="8"/>
  <c r="AD952" i="8"/>
  <c r="AD958" i="8"/>
  <c r="L978" i="8"/>
  <c r="G978" i="8"/>
  <c r="C951" i="8" s="1"/>
  <c r="I1037" i="8"/>
  <c r="L913" i="9"/>
  <c r="K913" i="9"/>
  <c r="N913" i="9"/>
  <c r="M913" i="9"/>
  <c r="H913" i="9"/>
  <c r="B553" i="9"/>
  <c r="L921" i="9"/>
  <c r="K921" i="9"/>
  <c r="O921" i="9"/>
  <c r="N921" i="9"/>
  <c r="M921" i="9"/>
  <c r="L553" i="9"/>
  <c r="L643" i="9"/>
  <c r="E14" i="9"/>
  <c r="C269" i="9"/>
  <c r="P269" i="9"/>
  <c r="J268" i="9"/>
  <c r="AD948" i="8"/>
  <c r="E15" i="9"/>
  <c r="R15" i="9" s="1"/>
  <c r="I18" i="9"/>
  <c r="C63" i="9"/>
  <c r="R124" i="9"/>
  <c r="G490" i="9"/>
  <c r="AD947" i="8"/>
  <c r="AW952" i="8"/>
  <c r="AD954" i="8"/>
  <c r="AD955" i="8"/>
  <c r="AW964" i="8"/>
  <c r="N917" i="9"/>
  <c r="M917" i="9"/>
  <c r="L917" i="9"/>
  <c r="K917" i="9"/>
  <c r="D63" i="9"/>
  <c r="H490" i="9"/>
  <c r="AW948" i="8"/>
  <c r="AW956" i="8"/>
  <c r="AD963" i="8"/>
  <c r="AD967" i="8"/>
  <c r="AD970" i="8"/>
  <c r="I95" i="9"/>
  <c r="AD950" i="8"/>
  <c r="AD965" i="8"/>
  <c r="AD968" i="8"/>
  <c r="L974" i="8"/>
  <c r="G974" i="8"/>
  <c r="C947" i="8" s="1"/>
  <c r="G979" i="8"/>
  <c r="C952" i="8" s="1"/>
  <c r="L979" i="8"/>
  <c r="L984" i="8"/>
  <c r="G984" i="8"/>
  <c r="C957" i="8" s="1"/>
  <c r="M14" i="9"/>
  <c r="D129" i="9"/>
  <c r="N128" i="9"/>
  <c r="Q125" i="9"/>
  <c r="S466" i="9"/>
  <c r="AD951" i="8"/>
  <c r="L983" i="8"/>
  <c r="F983" i="8"/>
  <c r="B956" i="8" s="1"/>
  <c r="R1000" i="9"/>
  <c r="AT826" i="9"/>
  <c r="R955" i="9"/>
  <c r="R930" i="9"/>
  <c r="R847" i="9"/>
  <c r="R876" i="9"/>
  <c r="R821" i="9"/>
  <c r="AT794" i="9"/>
  <c r="R727" i="9"/>
  <c r="R792" i="9"/>
  <c r="R768" i="9"/>
  <c r="M920" i="9"/>
  <c r="L920" i="9"/>
  <c r="K920" i="9"/>
  <c r="N920" i="9"/>
  <c r="K280" i="9"/>
  <c r="AP810" i="9" s="1"/>
  <c r="K401" i="9"/>
  <c r="R18" i="9"/>
  <c r="K63" i="9"/>
  <c r="F129" i="9"/>
  <c r="O129" i="9"/>
  <c r="O269" i="9"/>
  <c r="N919" i="9"/>
  <c r="M919" i="9"/>
  <c r="L919" i="9"/>
  <c r="K919" i="9"/>
  <c r="O919" i="9"/>
  <c r="H28" i="9"/>
  <c r="P28" i="9"/>
  <c r="E59" i="9"/>
  <c r="R57" i="9"/>
  <c r="C125" i="9"/>
  <c r="C128" i="9" s="1"/>
  <c r="Q95" i="9"/>
  <c r="M106" i="9"/>
  <c r="R106" i="9" s="1"/>
  <c r="R115" i="9"/>
  <c r="L129" i="9"/>
  <c r="R147" i="9"/>
  <c r="R176" i="9"/>
  <c r="R178" i="9"/>
  <c r="R262" i="9"/>
  <c r="H280" i="9"/>
  <c r="AP808" i="9" s="1"/>
  <c r="R288" i="9"/>
  <c r="R314" i="9"/>
  <c r="R316" i="9"/>
  <c r="C401" i="9"/>
  <c r="L401" i="9"/>
  <c r="R336" i="9"/>
  <c r="R344" i="9"/>
  <c r="R355" i="9"/>
  <c r="R365" i="9"/>
  <c r="R421" i="9"/>
  <c r="H444" i="9"/>
  <c r="H447" i="9" s="1"/>
  <c r="Q443" i="9"/>
  <c r="R443" i="9" s="1"/>
  <c r="D490" i="9"/>
  <c r="O486" i="9"/>
  <c r="O489" i="9" s="1"/>
  <c r="Q485" i="9"/>
  <c r="R485" i="9" s="1"/>
  <c r="R504" i="9"/>
  <c r="I542" i="9"/>
  <c r="F543" i="9"/>
  <c r="R526" i="9"/>
  <c r="R564" i="9"/>
  <c r="I568" i="9"/>
  <c r="F585" i="9"/>
  <c r="O755" i="9"/>
  <c r="O784" i="9" s="1"/>
  <c r="N401" i="9"/>
  <c r="J486" i="9"/>
  <c r="M469" i="9"/>
  <c r="G589" i="9"/>
  <c r="O764" i="9"/>
  <c r="O786" i="9" s="1"/>
  <c r="O763" i="9"/>
  <c r="Q761" i="9"/>
  <c r="R761" i="9" s="1"/>
  <c r="K260" i="9"/>
  <c r="K268" i="9" s="1"/>
  <c r="B280" i="9"/>
  <c r="AP803" i="9" s="1"/>
  <c r="F401" i="9"/>
  <c r="O401" i="9"/>
  <c r="K448" i="9"/>
  <c r="H543" i="9"/>
  <c r="R538" i="9"/>
  <c r="O553" i="9"/>
  <c r="K914" i="9"/>
  <c r="N914" i="9"/>
  <c r="M914" i="9"/>
  <c r="L914" i="9"/>
  <c r="C643" i="9"/>
  <c r="K922" i="9"/>
  <c r="O922" i="9"/>
  <c r="N922" i="9"/>
  <c r="M922" i="9"/>
  <c r="L922" i="9"/>
  <c r="N643" i="9"/>
  <c r="K28" i="9"/>
  <c r="Q41" i="9"/>
  <c r="N59" i="9"/>
  <c r="M50" i="9"/>
  <c r="G125" i="9"/>
  <c r="P129" i="9"/>
  <c r="R250" i="9"/>
  <c r="L280" i="9"/>
  <c r="AP811" i="9" s="1"/>
  <c r="G401" i="9"/>
  <c r="P401" i="9"/>
  <c r="R393" i="9"/>
  <c r="L448" i="9"/>
  <c r="M447" i="9"/>
  <c r="J448" i="9"/>
  <c r="E444" i="9"/>
  <c r="B486" i="9"/>
  <c r="E469" i="9"/>
  <c r="R479" i="9"/>
  <c r="M523" i="9"/>
  <c r="K539" i="9"/>
  <c r="K542" i="9" s="1"/>
  <c r="I552" i="9"/>
  <c r="F553" i="9"/>
  <c r="P553" i="9"/>
  <c r="P633" i="9"/>
  <c r="G633" i="9"/>
  <c r="D633" i="9"/>
  <c r="O723" i="9"/>
  <c r="O724" i="9"/>
  <c r="O780" i="9"/>
  <c r="O788" i="9" s="1"/>
  <c r="O13" i="9" s="1"/>
  <c r="G780" i="9"/>
  <c r="I919" i="9"/>
  <c r="N915" i="9"/>
  <c r="M915" i="9"/>
  <c r="L915" i="9"/>
  <c r="K915" i="9"/>
  <c r="N923" i="9"/>
  <c r="K923" i="9"/>
  <c r="G842" i="9"/>
  <c r="O677" i="9"/>
  <c r="O633" i="9"/>
  <c r="M923" i="9"/>
  <c r="L28" i="9"/>
  <c r="N28" i="9"/>
  <c r="I41" i="9"/>
  <c r="R41" i="9" s="1"/>
  <c r="F59" i="9"/>
  <c r="L59" i="9"/>
  <c r="L62" i="9" s="1"/>
  <c r="R259" i="9"/>
  <c r="M279" i="9"/>
  <c r="H401" i="9"/>
  <c r="I395" i="9"/>
  <c r="C448" i="9"/>
  <c r="E447" i="9"/>
  <c r="B448" i="9"/>
  <c r="F444" i="9"/>
  <c r="F486" i="9"/>
  <c r="J512" i="9"/>
  <c r="M501" i="9"/>
  <c r="R501" i="9" s="1"/>
  <c r="L539" i="9"/>
  <c r="L542" i="9" s="1"/>
  <c r="R518" i="9"/>
  <c r="E642" i="9"/>
  <c r="B643" i="9"/>
  <c r="K643" i="9"/>
  <c r="N916" i="9"/>
  <c r="M916" i="9"/>
  <c r="L916" i="9"/>
  <c r="K916" i="9"/>
  <c r="N924" i="9"/>
  <c r="M924" i="9"/>
  <c r="L924" i="9"/>
  <c r="K924" i="9"/>
  <c r="P280" i="9"/>
  <c r="AP814" i="9" s="1"/>
  <c r="E27" i="9"/>
  <c r="M27" i="9"/>
  <c r="O28" i="9"/>
  <c r="G63" i="9"/>
  <c r="E50" i="9"/>
  <c r="R50" i="9" s="1"/>
  <c r="R60" i="9"/>
  <c r="R75" i="9"/>
  <c r="R119" i="9"/>
  <c r="E123" i="9"/>
  <c r="R123" i="9" s="1"/>
  <c r="R161" i="9"/>
  <c r="L260" i="9"/>
  <c r="L268" i="9" s="1"/>
  <c r="R214" i="9"/>
  <c r="R233" i="9"/>
  <c r="R235" i="9"/>
  <c r="R263" i="9"/>
  <c r="R306" i="9"/>
  <c r="R308" i="9"/>
  <c r="R379" i="9"/>
  <c r="R390" i="9"/>
  <c r="J395" i="9"/>
  <c r="R397" i="9"/>
  <c r="D448" i="9"/>
  <c r="O444" i="9"/>
  <c r="O447" i="9" s="1"/>
  <c r="Q442" i="9"/>
  <c r="M444" i="9"/>
  <c r="K486" i="9"/>
  <c r="K489" i="9" s="1"/>
  <c r="B543" i="9"/>
  <c r="N542" i="9"/>
  <c r="I576" i="9"/>
  <c r="H585" i="9"/>
  <c r="H588" i="9" s="1"/>
  <c r="P585" i="9"/>
  <c r="P588" i="9" s="1"/>
  <c r="M617" i="9"/>
  <c r="J629" i="9"/>
  <c r="O679" i="9"/>
  <c r="J740" i="9"/>
  <c r="F28" i="9"/>
  <c r="H63" i="9"/>
  <c r="R85" i="9"/>
  <c r="M88" i="9"/>
  <c r="J125" i="9"/>
  <c r="I400" i="9"/>
  <c r="P444" i="9"/>
  <c r="P447" i="9" s="1"/>
  <c r="N444" i="9"/>
  <c r="N486" i="9"/>
  <c r="O539" i="9"/>
  <c r="O542" i="9" s="1"/>
  <c r="Q512" i="9"/>
  <c r="C542" i="9"/>
  <c r="G543" i="9"/>
  <c r="L629" i="9"/>
  <c r="L632" i="9" s="1"/>
  <c r="M608" i="9"/>
  <c r="F838" i="9"/>
  <c r="N918" i="9"/>
  <c r="M918" i="9"/>
  <c r="L918" i="9"/>
  <c r="K918" i="9"/>
  <c r="H918" i="9"/>
  <c r="G837" i="9"/>
  <c r="F837" i="9"/>
  <c r="G28" i="9"/>
  <c r="O63" i="9"/>
  <c r="R72" i="9"/>
  <c r="S80" i="9" s="1"/>
  <c r="E88" i="9"/>
  <c r="B125" i="9"/>
  <c r="K125" i="9"/>
  <c r="K128" i="9" s="1"/>
  <c r="R95" i="9"/>
  <c r="R158" i="9"/>
  <c r="R169" i="9"/>
  <c r="E191" i="9"/>
  <c r="R209" i="9"/>
  <c r="R211" i="9"/>
  <c r="R222" i="9"/>
  <c r="R244" i="9"/>
  <c r="B260" i="9"/>
  <c r="G280" i="9"/>
  <c r="AP807" i="9" s="1"/>
  <c r="R291" i="9"/>
  <c r="R320" i="9"/>
  <c r="R331" i="9"/>
  <c r="R333" i="9"/>
  <c r="R375" i="9"/>
  <c r="R388" i="9"/>
  <c r="G444" i="9"/>
  <c r="G447" i="9" s="1"/>
  <c r="I442" i="9"/>
  <c r="C486" i="9"/>
  <c r="C489" i="9" s="1"/>
  <c r="Q463" i="9"/>
  <c r="R483" i="9"/>
  <c r="I484" i="9"/>
  <c r="R487" i="9"/>
  <c r="D539" i="9"/>
  <c r="D542" i="9" s="1"/>
  <c r="P543" i="9"/>
  <c r="O589" i="9"/>
  <c r="G946" i="9"/>
  <c r="L923" i="9"/>
  <c r="B28" i="9"/>
  <c r="E424" i="9"/>
  <c r="M424" i="9"/>
  <c r="E463" i="9"/>
  <c r="M463" i="9"/>
  <c r="R529" i="9"/>
  <c r="E552" i="9"/>
  <c r="C553" i="9"/>
  <c r="N553" i="9"/>
  <c r="Q552" i="9"/>
  <c r="Q568" i="9"/>
  <c r="N585" i="9"/>
  <c r="Q583" i="9"/>
  <c r="R583" i="9" s="1"/>
  <c r="C633" i="9"/>
  <c r="M642" i="9"/>
  <c r="J643" i="9"/>
  <c r="R687" i="9"/>
  <c r="I693" i="9"/>
  <c r="F719" i="9"/>
  <c r="Q839" i="9"/>
  <c r="D780" i="9"/>
  <c r="G755" i="9"/>
  <c r="G784" i="9" s="1"/>
  <c r="F280" i="9"/>
  <c r="AP806" i="9" s="1"/>
  <c r="I539" i="9"/>
  <c r="R550" i="9"/>
  <c r="J672" i="9"/>
  <c r="M656" i="9"/>
  <c r="R660" i="9"/>
  <c r="J722" i="9"/>
  <c r="P723" i="9"/>
  <c r="P724" i="9"/>
  <c r="R744" i="9"/>
  <c r="K751" i="9"/>
  <c r="K782" i="9" s="1"/>
  <c r="M748" i="9"/>
  <c r="I751" i="9"/>
  <c r="I764" i="9"/>
  <c r="F786" i="9"/>
  <c r="AE803" i="9"/>
  <c r="G858" i="9"/>
  <c r="AH845" i="9"/>
  <c r="AG845" i="9"/>
  <c r="AS845" i="9"/>
  <c r="AF845" i="9"/>
  <c r="AE845" i="9"/>
  <c r="F839" i="9"/>
  <c r="AD810" i="9"/>
  <c r="F865" i="9"/>
  <c r="G945" i="9" s="1"/>
  <c r="AD845" i="9"/>
  <c r="AH838" i="9"/>
  <c r="F191" i="9"/>
  <c r="D589" i="9"/>
  <c r="E617" i="9"/>
  <c r="B629" i="9"/>
  <c r="F643" i="9"/>
  <c r="O643" i="9"/>
  <c r="B672" i="9"/>
  <c r="K672" i="9"/>
  <c r="K676" i="9" s="1"/>
  <c r="N676" i="9"/>
  <c r="P780" i="9"/>
  <c r="J782" i="9"/>
  <c r="Q754" i="9"/>
  <c r="N755" i="9"/>
  <c r="AH842" i="9"/>
  <c r="AG842" i="9"/>
  <c r="F862" i="9"/>
  <c r="G942" i="9" s="1"/>
  <c r="AS842" i="9"/>
  <c r="AF842" i="9"/>
  <c r="AE842" i="9"/>
  <c r="AD842" i="9"/>
  <c r="F836" i="9"/>
  <c r="AD807" i="9"/>
  <c r="G893" i="9"/>
  <c r="G839" i="9"/>
  <c r="G865" i="9"/>
  <c r="H945" i="9" s="1"/>
  <c r="I740" i="9"/>
  <c r="F746" i="9"/>
  <c r="G191" i="9"/>
  <c r="G260" i="9" s="1"/>
  <c r="G268" i="9" s="1"/>
  <c r="N260" i="9"/>
  <c r="R505" i="9"/>
  <c r="J553" i="9"/>
  <c r="G553" i="9"/>
  <c r="C589" i="9"/>
  <c r="F629" i="9"/>
  <c r="Q629" i="9"/>
  <c r="R622" i="9"/>
  <c r="R627" i="9"/>
  <c r="L678" i="9"/>
  <c r="L677" i="9"/>
  <c r="Q664" i="9"/>
  <c r="P672" i="9"/>
  <c r="P676" i="9" s="1"/>
  <c r="Q671" i="9"/>
  <c r="R671" i="9" s="1"/>
  <c r="N719" i="9"/>
  <c r="Q741" i="9"/>
  <c r="R741" i="9" s="1"/>
  <c r="Q751" i="9"/>
  <c r="R757" i="9"/>
  <c r="G888" i="9"/>
  <c r="G860" i="9"/>
  <c r="H940" i="9" s="1"/>
  <c r="G834" i="9"/>
  <c r="AF813" i="9"/>
  <c r="AO813" i="9"/>
  <c r="F965" i="9"/>
  <c r="C938" i="9" s="1"/>
  <c r="I965" i="9"/>
  <c r="E429" i="9"/>
  <c r="R429" i="9" s="1"/>
  <c r="M429" i="9"/>
  <c r="I512" i="9"/>
  <c r="I523" i="9"/>
  <c r="R523" i="9" s="1"/>
  <c r="Q537" i="9"/>
  <c r="R537" i="9" s="1"/>
  <c r="M552" i="9"/>
  <c r="K553" i="9"/>
  <c r="H553" i="9"/>
  <c r="M576" i="9"/>
  <c r="R576" i="9" s="1"/>
  <c r="F676" i="9"/>
  <c r="I672" i="9"/>
  <c r="P813" i="9"/>
  <c r="O644" i="9"/>
  <c r="O634" i="9" s="1"/>
  <c r="P837" i="9"/>
  <c r="P863" i="9"/>
  <c r="Q943" i="9" s="1"/>
  <c r="G724" i="9"/>
  <c r="G723" i="9"/>
  <c r="Q803" i="9"/>
  <c r="B725" i="9"/>
  <c r="J920" i="9"/>
  <c r="L123" i="10"/>
  <c r="L126" i="10" s="1"/>
  <c r="M87" i="10"/>
  <c r="I151" i="9"/>
  <c r="R151" i="9" s="1"/>
  <c r="R522" i="9"/>
  <c r="R536" i="9"/>
  <c r="M568" i="9"/>
  <c r="R568" i="9" s="1"/>
  <c r="R572" i="9"/>
  <c r="R584" i="9"/>
  <c r="L589" i="9"/>
  <c r="K589" i="9"/>
  <c r="H633" i="9"/>
  <c r="R611" i="9"/>
  <c r="N633" i="9"/>
  <c r="E656" i="9"/>
  <c r="R656" i="9" s="1"/>
  <c r="R693" i="9"/>
  <c r="Q833" i="9"/>
  <c r="I782" i="9"/>
  <c r="H763" i="9"/>
  <c r="I760" i="9"/>
  <c r="Q782" i="9"/>
  <c r="P860" i="9"/>
  <c r="Q940" i="9" s="1"/>
  <c r="P834" i="9"/>
  <c r="G866" i="9"/>
  <c r="H946" i="9" s="1"/>
  <c r="AE811" i="9"/>
  <c r="AF811" i="9" s="1"/>
  <c r="AH846" i="9"/>
  <c r="C64" i="10"/>
  <c r="M664" i="9"/>
  <c r="R664" i="9" s="1"/>
  <c r="H677" i="9"/>
  <c r="P862" i="9"/>
  <c r="Q942" i="9" s="1"/>
  <c r="P836" i="9"/>
  <c r="G679" i="9"/>
  <c r="D719" i="9"/>
  <c r="R713" i="9"/>
  <c r="B746" i="9"/>
  <c r="E740" i="9"/>
  <c r="E750" i="9"/>
  <c r="M759" i="9"/>
  <c r="R759" i="9" s="1"/>
  <c r="B763" i="9"/>
  <c r="E763" i="9" s="1"/>
  <c r="E760" i="9"/>
  <c r="I762" i="9"/>
  <c r="R762" i="9" s="1"/>
  <c r="H917" i="9"/>
  <c r="J890" i="9"/>
  <c r="J917" i="9" s="1"/>
  <c r="H919" i="9"/>
  <c r="J892" i="9"/>
  <c r="J919" i="9" s="1"/>
  <c r="I15" i="10"/>
  <c r="C672" i="9"/>
  <c r="C676" i="9" s="1"/>
  <c r="I718" i="9"/>
  <c r="R718" i="9" s="1"/>
  <c r="H746" i="9"/>
  <c r="Q743" i="9"/>
  <c r="N746" i="9"/>
  <c r="E749" i="9"/>
  <c r="R749" i="9" s="1"/>
  <c r="H755" i="9"/>
  <c r="H784" i="9" s="1"/>
  <c r="P764" i="9"/>
  <c r="P786" i="9" s="1"/>
  <c r="G764" i="9"/>
  <c r="G786" i="9" s="1"/>
  <c r="G763" i="9"/>
  <c r="I763" i="9" s="1"/>
  <c r="G890" i="9"/>
  <c r="G862" i="9"/>
  <c r="H942" i="9" s="1"/>
  <c r="AS847" i="9"/>
  <c r="AF847" i="9"/>
  <c r="AE847" i="9"/>
  <c r="AD847" i="9"/>
  <c r="AH847" i="9"/>
  <c r="AG847" i="9"/>
  <c r="AD812" i="9"/>
  <c r="F841" i="9"/>
  <c r="G836" i="9"/>
  <c r="B126" i="10"/>
  <c r="D643" i="9"/>
  <c r="R686" i="9"/>
  <c r="R706" i="9"/>
  <c r="I707" i="9"/>
  <c r="R707" i="9" s="1"/>
  <c r="R742" i="9"/>
  <c r="Q745" i="9"/>
  <c r="H764" i="9"/>
  <c r="H786" i="9" s="1"/>
  <c r="E758" i="9"/>
  <c r="R758" i="9" s="1"/>
  <c r="P763" i="9"/>
  <c r="Q764" i="9"/>
  <c r="N786" i="9"/>
  <c r="Q786" i="9" s="1"/>
  <c r="AG839" i="9"/>
  <c r="AS839" i="9"/>
  <c r="AF839" i="9"/>
  <c r="F833" i="9"/>
  <c r="AE839" i="9"/>
  <c r="AD839" i="9"/>
  <c r="AD804" i="9"/>
  <c r="F859" i="9"/>
  <c r="G939" i="9" s="1"/>
  <c r="AH839" i="9"/>
  <c r="AO806" i="9"/>
  <c r="AF806" i="9"/>
  <c r="G867" i="9"/>
  <c r="H947" i="9" s="1"/>
  <c r="G841" i="9"/>
  <c r="G895" i="9"/>
  <c r="G922" i="9" s="1"/>
  <c r="F867" i="9"/>
  <c r="G947" i="9" s="1"/>
  <c r="I918" i="9"/>
  <c r="L64" i="10"/>
  <c r="Q59" i="10"/>
  <c r="E512" i="9"/>
  <c r="G643" i="9"/>
  <c r="P643" i="9"/>
  <c r="D679" i="9"/>
  <c r="B723" i="9"/>
  <c r="R702" i="9"/>
  <c r="I745" i="9"/>
  <c r="C751" i="9"/>
  <c r="C782" i="9" s="1"/>
  <c r="L751" i="9"/>
  <c r="M751" i="9" s="1"/>
  <c r="R753" i="9"/>
  <c r="B764" i="9"/>
  <c r="K764" i="9"/>
  <c r="K786" i="9" s="1"/>
  <c r="K788" i="9" s="1"/>
  <c r="K13" i="9" s="1"/>
  <c r="Q762" i="9"/>
  <c r="AO803" i="9"/>
  <c r="AF803" i="9"/>
  <c r="AO811" i="9"/>
  <c r="F842" i="9"/>
  <c r="AH848" i="9"/>
  <c r="AG848" i="9"/>
  <c r="AS848" i="9"/>
  <c r="AF848" i="9"/>
  <c r="F868" i="9"/>
  <c r="G948" i="9" s="1"/>
  <c r="AE848" i="9"/>
  <c r="AD848" i="9"/>
  <c r="O920" i="9"/>
  <c r="G924" i="9"/>
  <c r="AK814" i="9"/>
  <c r="N29" i="10"/>
  <c r="Q28" i="10"/>
  <c r="H643" i="9"/>
  <c r="G677" i="9"/>
  <c r="L719" i="9"/>
  <c r="L722" i="9" s="1"/>
  <c r="H719" i="9"/>
  <c r="H722" i="9" s="1"/>
  <c r="D751" i="9"/>
  <c r="D782" i="9" s="1"/>
  <c r="M750" i="9"/>
  <c r="B751" i="9"/>
  <c r="I754" i="9"/>
  <c r="C764" i="9"/>
  <c r="C786" i="9" s="1"/>
  <c r="J763" i="9"/>
  <c r="M760" i="9"/>
  <c r="G889" i="9"/>
  <c r="O913" i="9"/>
  <c r="F29" i="10"/>
  <c r="I28" i="10"/>
  <c r="O29" i="10"/>
  <c r="O914" i="9"/>
  <c r="G919" i="9"/>
  <c r="I920" i="9"/>
  <c r="I976" i="9"/>
  <c r="F976" i="9"/>
  <c r="C949" i="9" s="1"/>
  <c r="F60" i="10"/>
  <c r="I47" i="10"/>
  <c r="R217" i="10"/>
  <c r="G833" i="9"/>
  <c r="G859" i="9"/>
  <c r="H939" i="9" s="1"/>
  <c r="F864" i="9"/>
  <c r="G944" i="9" s="1"/>
  <c r="AS844" i="9"/>
  <c r="AF844" i="9"/>
  <c r="AE844" i="9"/>
  <c r="AD844" i="9"/>
  <c r="G896" i="9"/>
  <c r="G868" i="9"/>
  <c r="H948" i="9" s="1"/>
  <c r="AE849" i="9"/>
  <c r="AD849" i="9"/>
  <c r="AD814" i="9"/>
  <c r="F869" i="9"/>
  <c r="G949" i="9" s="1"/>
  <c r="F843" i="9"/>
  <c r="I917" i="9"/>
  <c r="J918" i="9"/>
  <c r="G29" i="10"/>
  <c r="C127" i="10"/>
  <c r="G712" i="10"/>
  <c r="G718" i="10" s="1"/>
  <c r="G176" i="10"/>
  <c r="G240" i="10" s="1"/>
  <c r="G248" i="10" s="1"/>
  <c r="H249" i="10"/>
  <c r="L423" i="10"/>
  <c r="AD805" i="9"/>
  <c r="AE841" i="9"/>
  <c r="AD841" i="9"/>
  <c r="F861" i="9"/>
  <c r="G941" i="9" s="1"/>
  <c r="G838" i="9"/>
  <c r="G869" i="9"/>
  <c r="H949" i="9" s="1"/>
  <c r="G843" i="9"/>
  <c r="AE840" i="9"/>
  <c r="AH841" i="9"/>
  <c r="O918" i="9"/>
  <c r="Q1028" i="9"/>
  <c r="R18" i="10"/>
  <c r="P60" i="10"/>
  <c r="P63" i="10" s="1"/>
  <c r="R58" i="10"/>
  <c r="H64" i="10"/>
  <c r="R75" i="10"/>
  <c r="I142" i="10"/>
  <c r="J240" i="10"/>
  <c r="B755" i="9"/>
  <c r="J755" i="9"/>
  <c r="AD838" i="9"/>
  <c r="F832" i="9"/>
  <c r="F816" i="9"/>
  <c r="G861" i="9"/>
  <c r="H941" i="9" s="1"/>
  <c r="AF808" i="9"/>
  <c r="AE846" i="9"/>
  <c r="AD846" i="9"/>
  <c r="F840" i="9"/>
  <c r="G864" i="9"/>
  <c r="H944" i="9" s="1"/>
  <c r="G887" i="9"/>
  <c r="H922" i="9"/>
  <c r="J895" i="9"/>
  <c r="J922" i="9" s="1"/>
  <c r="J923" i="9"/>
  <c r="I966" i="9"/>
  <c r="E966" i="9"/>
  <c r="B939" i="9" s="1"/>
  <c r="G60" i="10"/>
  <c r="G63" i="10" s="1"/>
  <c r="I51" i="10"/>
  <c r="R168" i="10"/>
  <c r="I748" i="9"/>
  <c r="Q748" i="9"/>
  <c r="G832" i="9"/>
  <c r="G816" i="9"/>
  <c r="G886" i="9"/>
  <c r="F863" i="9"/>
  <c r="G943" i="9" s="1"/>
  <c r="AH843" i="9"/>
  <c r="AG843" i="9"/>
  <c r="G840" i="9"/>
  <c r="G894" i="9"/>
  <c r="G921" i="9" s="1"/>
  <c r="F835" i="9"/>
  <c r="AE838" i="9"/>
  <c r="AS841" i="9"/>
  <c r="AG844" i="9"/>
  <c r="H914" i="9"/>
  <c r="J887" i="9"/>
  <c r="J914" i="9" s="1"/>
  <c r="J915" i="9"/>
  <c r="H921" i="9"/>
  <c r="I922" i="9"/>
  <c r="O923" i="9"/>
  <c r="N60" i="10"/>
  <c r="S79" i="10"/>
  <c r="F834" i="9"/>
  <c r="AH840" i="9"/>
  <c r="AG840" i="9"/>
  <c r="F860" i="9"/>
  <c r="G940" i="9" s="1"/>
  <c r="G863" i="9"/>
  <c r="H943" i="9" s="1"/>
  <c r="G891" i="9"/>
  <c r="AK809" i="9"/>
  <c r="G835" i="9"/>
  <c r="AF838" i="9"/>
  <c r="AH844" i="9"/>
  <c r="AF846" i="9"/>
  <c r="AF849" i="9"/>
  <c r="F858" i="9"/>
  <c r="J913" i="9"/>
  <c r="I914" i="9"/>
  <c r="O915" i="9"/>
  <c r="H920" i="9"/>
  <c r="Q15" i="10"/>
  <c r="R91" i="10"/>
  <c r="E94" i="10"/>
  <c r="K127" i="10"/>
  <c r="R158" i="10"/>
  <c r="R28" i="10"/>
  <c r="E42" i="10"/>
  <c r="R42" i="10" s="1"/>
  <c r="B60" i="10"/>
  <c r="Q51" i="10"/>
  <c r="R51" i="10" s="1"/>
  <c r="R81" i="10"/>
  <c r="M94" i="10"/>
  <c r="R98" i="10"/>
  <c r="R142" i="10"/>
  <c r="R156" i="10"/>
  <c r="R174" i="10"/>
  <c r="I182" i="10"/>
  <c r="R193" i="10"/>
  <c r="J726" i="10"/>
  <c r="M726" i="10" s="1"/>
  <c r="J219" i="10"/>
  <c r="M219" i="10" s="1"/>
  <c r="R219" i="10" s="1"/>
  <c r="M209" i="10"/>
  <c r="R230" i="10"/>
  <c r="Q372" i="10"/>
  <c r="N377" i="10"/>
  <c r="H916" i="9"/>
  <c r="O917" i="9"/>
  <c r="H924" i="9"/>
  <c r="P29" i="10"/>
  <c r="O60" i="10"/>
  <c r="O63" i="10" s="1"/>
  <c r="B712" i="10"/>
  <c r="B176" i="10"/>
  <c r="R241" i="10"/>
  <c r="C249" i="10"/>
  <c r="H378" i="10"/>
  <c r="D423" i="10"/>
  <c r="I916" i="9"/>
  <c r="I924" i="9"/>
  <c r="R871" i="10"/>
  <c r="R898" i="10"/>
  <c r="R961" i="10"/>
  <c r="R844" i="10"/>
  <c r="R820" i="10"/>
  <c r="R762" i="10"/>
  <c r="R789" i="10"/>
  <c r="R740" i="10"/>
  <c r="R699" i="10"/>
  <c r="D123" i="10"/>
  <c r="D126" i="10" s="1"/>
  <c r="N123" i="10"/>
  <c r="Q87" i="10"/>
  <c r="E155" i="10"/>
  <c r="R155" i="10" s="1"/>
  <c r="K249" i="10"/>
  <c r="I913" i="9"/>
  <c r="J889" i="9"/>
  <c r="J916" i="9" s="1"/>
  <c r="I921" i="9"/>
  <c r="J897" i="9"/>
  <c r="J924" i="9" s="1"/>
  <c r="F971" i="9"/>
  <c r="C944" i="9" s="1"/>
  <c r="I973" i="9"/>
  <c r="R1019" i="9"/>
  <c r="Q16" i="10"/>
  <c r="R85" i="10"/>
  <c r="E87" i="10"/>
  <c r="O123" i="10"/>
  <c r="O126" i="10" s="1"/>
  <c r="R116" i="10"/>
  <c r="R150" i="10"/>
  <c r="R160" i="10"/>
  <c r="R182" i="10"/>
  <c r="D249" i="10"/>
  <c r="K464" i="10"/>
  <c r="H915" i="9"/>
  <c r="O916" i="9"/>
  <c r="J894" i="9"/>
  <c r="J921" i="9" s="1"/>
  <c r="H923" i="9"/>
  <c r="O924" i="9"/>
  <c r="R15" i="10"/>
  <c r="I42" i="10"/>
  <c r="H714" i="10"/>
  <c r="I714" i="10" s="1"/>
  <c r="H87" i="10"/>
  <c r="H123" i="10" s="1"/>
  <c r="H126" i="10" s="1"/>
  <c r="F123" i="10"/>
  <c r="I87" i="10"/>
  <c r="R101" i="10"/>
  <c r="R110" i="10"/>
  <c r="J123" i="10"/>
  <c r="R145" i="10"/>
  <c r="S158" i="10" s="1"/>
  <c r="R162" i="10"/>
  <c r="Q176" i="10"/>
  <c r="N240" i="10"/>
  <c r="R198" i="10"/>
  <c r="R209" i="10"/>
  <c r="L249" i="10"/>
  <c r="L378" i="10"/>
  <c r="P423" i="10"/>
  <c r="I915" i="9"/>
  <c r="I923" i="9"/>
  <c r="J899" i="9"/>
  <c r="I16" i="10"/>
  <c r="R16" i="10" s="1"/>
  <c r="M42" i="10"/>
  <c r="J60" i="10"/>
  <c r="R47" i="10"/>
  <c r="R59" i="10"/>
  <c r="R112" i="10"/>
  <c r="R147" i="10"/>
  <c r="I176" i="10"/>
  <c r="F240" i="10"/>
  <c r="O249" i="10"/>
  <c r="Q182" i="10"/>
  <c r="R196" i="10"/>
  <c r="R232" i="10"/>
  <c r="R242" i="10"/>
  <c r="C464" i="10"/>
  <c r="N460" i="10"/>
  <c r="Q438" i="10"/>
  <c r="J260" i="10"/>
  <c r="N804" i="10" s="1"/>
  <c r="M259" i="10"/>
  <c r="R271" i="10"/>
  <c r="R311" i="10"/>
  <c r="R322" i="10"/>
  <c r="I370" i="10"/>
  <c r="G423" i="10"/>
  <c r="N422" i="10"/>
  <c r="E438" i="10"/>
  <c r="L460" i="10"/>
  <c r="L463" i="10" s="1"/>
  <c r="S441" i="10"/>
  <c r="R456" i="10"/>
  <c r="R461" i="10"/>
  <c r="C517" i="10"/>
  <c r="G517" i="10"/>
  <c r="L562" i="10"/>
  <c r="J378" i="10"/>
  <c r="F726" i="10"/>
  <c r="F346" i="10"/>
  <c r="I335" i="10"/>
  <c r="R335" i="10" s="1"/>
  <c r="D464" i="10"/>
  <c r="O464" i="10"/>
  <c r="G695" i="10"/>
  <c r="G696" i="10"/>
  <c r="P691" i="10"/>
  <c r="P694" i="10" s="1"/>
  <c r="Q670" i="10"/>
  <c r="H696" i="10"/>
  <c r="H695" i="10"/>
  <c r="B372" i="10"/>
  <c r="K372" i="10"/>
  <c r="K377" i="10" s="1"/>
  <c r="J422" i="10"/>
  <c r="M419" i="10"/>
  <c r="F972" i="9"/>
  <c r="C945" i="9" s="1"/>
  <c r="N260" i="10"/>
  <c r="N807" i="10" s="1"/>
  <c r="C372" i="10"/>
  <c r="C377" i="10" s="1"/>
  <c r="R371" i="10"/>
  <c r="B422" i="10"/>
  <c r="E419" i="10"/>
  <c r="R409" i="10"/>
  <c r="G464" i="10"/>
  <c r="D562" i="10"/>
  <c r="C605" i="10"/>
  <c r="N1016" i="9"/>
  <c r="I259" i="10"/>
  <c r="F260" i="10"/>
  <c r="N801" i="10" s="1"/>
  <c r="R274" i="10"/>
  <c r="R373" i="10"/>
  <c r="I419" i="10"/>
  <c r="B460" i="10"/>
  <c r="E444" i="10"/>
  <c r="R444" i="10" s="1"/>
  <c r="H464" i="10"/>
  <c r="J513" i="10"/>
  <c r="M486" i="10"/>
  <c r="R589" i="10"/>
  <c r="H644" i="10"/>
  <c r="H648" i="10" s="1"/>
  <c r="I643" i="10"/>
  <c r="R643" i="10" s="1"/>
  <c r="G649" i="10"/>
  <c r="G650" i="10"/>
  <c r="R257" i="10"/>
  <c r="R259" i="10" s="1"/>
  <c r="R284" i="10"/>
  <c r="Q300" i="10"/>
  <c r="R325" i="10"/>
  <c r="R327" i="10"/>
  <c r="R336" i="10"/>
  <c r="R338" i="10"/>
  <c r="R360" i="10"/>
  <c r="Q370" i="10"/>
  <c r="R370" i="10" s="1"/>
  <c r="R375" i="10"/>
  <c r="F422" i="10"/>
  <c r="M460" i="10"/>
  <c r="R492" i="10"/>
  <c r="L517" i="10"/>
  <c r="B260" i="10"/>
  <c r="N798" i="10" s="1"/>
  <c r="R269" i="10"/>
  <c r="S278" i="10" s="1"/>
  <c r="R286" i="10"/>
  <c r="R298" i="10"/>
  <c r="I300" i="10"/>
  <c r="R300" i="10" s="1"/>
  <c r="R309" i="10"/>
  <c r="R313" i="10"/>
  <c r="M346" i="10"/>
  <c r="R363" i="10"/>
  <c r="R392" i="10"/>
  <c r="O419" i="10"/>
  <c r="O422" i="10" s="1"/>
  <c r="E405" i="10"/>
  <c r="R405" i="10" s="1"/>
  <c r="R416" i="10"/>
  <c r="O517" i="10"/>
  <c r="G562" i="10"/>
  <c r="B516" i="10"/>
  <c r="E513" i="10"/>
  <c r="I512" i="10"/>
  <c r="N517" i="10"/>
  <c r="F752" i="10"/>
  <c r="R545" i="10"/>
  <c r="B562" i="10"/>
  <c r="R559" i="10"/>
  <c r="E577" i="10"/>
  <c r="L605" i="10"/>
  <c r="P601" i="10"/>
  <c r="P604" i="10" s="1"/>
  <c r="Q581" i="10"/>
  <c r="R581" i="10" s="1"/>
  <c r="P783" i="10"/>
  <c r="O651" i="10"/>
  <c r="D723" i="10"/>
  <c r="D754" i="10" s="1"/>
  <c r="E720" i="10"/>
  <c r="F889" i="10"/>
  <c r="F861" i="10"/>
  <c r="Q889" i="10"/>
  <c r="D889" i="10"/>
  <c r="E889" i="10"/>
  <c r="C889" i="10"/>
  <c r="F837" i="10"/>
  <c r="B889" i="10"/>
  <c r="H889" i="10" s="1"/>
  <c r="B804" i="10"/>
  <c r="F460" i="10"/>
  <c r="J463" i="10"/>
  <c r="Q492" i="10"/>
  <c r="O527" i="10"/>
  <c r="H712" i="10"/>
  <c r="H541" i="10"/>
  <c r="H558" i="10" s="1"/>
  <c r="H561" i="10" s="1"/>
  <c r="I536" i="10"/>
  <c r="Q541" i="10"/>
  <c r="N558" i="10"/>
  <c r="D605" i="10"/>
  <c r="R599" i="10"/>
  <c r="E400" i="10"/>
  <c r="R400" i="10" s="1"/>
  <c r="M400" i="10"/>
  <c r="E486" i="10"/>
  <c r="J712" i="10"/>
  <c r="J541" i="10"/>
  <c r="M536" i="10"/>
  <c r="J648" i="10"/>
  <c r="C695" i="10"/>
  <c r="C696" i="10"/>
  <c r="L695" i="10"/>
  <c r="L696" i="10"/>
  <c r="R473" i="10"/>
  <c r="R475" i="10"/>
  <c r="R480" i="10"/>
  <c r="R484" i="10"/>
  <c r="I486" i="10"/>
  <c r="Q526" i="10"/>
  <c r="K541" i="10"/>
  <c r="K558" i="10" s="1"/>
  <c r="K561" i="10" s="1"/>
  <c r="K712" i="10"/>
  <c r="K718" i="10" s="1"/>
  <c r="O752" i="10"/>
  <c r="O760" i="10" s="1"/>
  <c r="O14" i="10" s="1"/>
  <c r="O737" i="10"/>
  <c r="I438" i="10"/>
  <c r="M448" i="10"/>
  <c r="P513" i="10"/>
  <c r="P516" i="10" s="1"/>
  <c r="Q516" i="10" s="1"/>
  <c r="R505" i="10"/>
  <c r="R509" i="10"/>
  <c r="F516" i="10"/>
  <c r="I526" i="10"/>
  <c r="L752" i="10"/>
  <c r="P562" i="10"/>
  <c r="I577" i="10"/>
  <c r="L644" i="10"/>
  <c r="L648" i="10" s="1"/>
  <c r="M628" i="10"/>
  <c r="D649" i="10"/>
  <c r="Q665" i="10"/>
  <c r="N691" i="10"/>
  <c r="M438" i="10"/>
  <c r="E448" i="10"/>
  <c r="H513" i="10"/>
  <c r="H516" i="10" s="1"/>
  <c r="Q513" i="10"/>
  <c r="C558" i="10"/>
  <c r="C561" i="10" s="1"/>
  <c r="E561" i="10" s="1"/>
  <c r="J601" i="10"/>
  <c r="R586" i="10"/>
  <c r="C644" i="10"/>
  <c r="C648" i="10" s="1"/>
  <c r="O695" i="10"/>
  <c r="O696" i="10"/>
  <c r="O616" i="10" s="1"/>
  <c r="R689" i="10"/>
  <c r="B754" i="10"/>
  <c r="E754" i="10" s="1"/>
  <c r="R489" i="10"/>
  <c r="R511" i="10"/>
  <c r="R512" i="10"/>
  <c r="Q512" i="10"/>
  <c r="E526" i="10"/>
  <c r="R526" i="10" s="1"/>
  <c r="B527" i="10"/>
  <c r="G527" i="10"/>
  <c r="I541" i="10"/>
  <c r="F558" i="10"/>
  <c r="Q556" i="10"/>
  <c r="R556" i="10" s="1"/>
  <c r="K601" i="10"/>
  <c r="K604" i="10" s="1"/>
  <c r="H601" i="10"/>
  <c r="H604" i="10" s="1"/>
  <c r="C615" i="10"/>
  <c r="M614" i="10"/>
  <c r="R614" i="10" s="1"/>
  <c r="D651" i="10"/>
  <c r="P775" i="10"/>
  <c r="P649" i="10"/>
  <c r="P650" i="10"/>
  <c r="B696" i="10"/>
  <c r="E694" i="10"/>
  <c r="B695" i="10"/>
  <c r="H527" i="10"/>
  <c r="M600" i="10"/>
  <c r="R600" i="10" s="1"/>
  <c r="B601" i="10"/>
  <c r="B644" i="10"/>
  <c r="K644" i="10"/>
  <c r="K648" i="10" s="1"/>
  <c r="I717" i="10"/>
  <c r="R717" i="10" s="1"/>
  <c r="R730" i="10"/>
  <c r="L735" i="10"/>
  <c r="M732" i="10"/>
  <c r="R734" i="10"/>
  <c r="R690" i="10"/>
  <c r="J696" i="10"/>
  <c r="M694" i="10"/>
  <c r="C718" i="10"/>
  <c r="R716" i="10"/>
  <c r="I754" i="10"/>
  <c r="M721" i="10"/>
  <c r="Q725" i="10"/>
  <c r="N727" i="10"/>
  <c r="I665" i="10"/>
  <c r="R665" i="10" s="1"/>
  <c r="F691" i="10"/>
  <c r="R679" i="10"/>
  <c r="D752" i="10"/>
  <c r="M729" i="10"/>
  <c r="J736" i="10"/>
  <c r="D735" i="10"/>
  <c r="E732" i="10"/>
  <c r="M577" i="10"/>
  <c r="E628" i="10"/>
  <c r="R628" i="10" s="1"/>
  <c r="N644" i="10"/>
  <c r="Q628" i="10"/>
  <c r="E642" i="10"/>
  <c r="R642" i="10" s="1"/>
  <c r="R678" i="10"/>
  <c r="I679" i="10"/>
  <c r="N718" i="10"/>
  <c r="E721" i="10"/>
  <c r="R721" i="10" s="1"/>
  <c r="K736" i="10"/>
  <c r="K758" i="10" s="1"/>
  <c r="F601" i="10"/>
  <c r="N601" i="10"/>
  <c r="F644" i="10"/>
  <c r="I628" i="10"/>
  <c r="R670" i="10"/>
  <c r="E735" i="10"/>
  <c r="I712" i="10"/>
  <c r="O601" i="10"/>
  <c r="O604" i="10" s="1"/>
  <c r="R658" i="10"/>
  <c r="N714" i="10"/>
  <c r="Q714" i="10" s="1"/>
  <c r="Q663" i="10"/>
  <c r="R663" i="10" s="1"/>
  <c r="M691" i="10"/>
  <c r="K695" i="10"/>
  <c r="R715" i="10"/>
  <c r="C736" i="10"/>
  <c r="C758" i="10" s="1"/>
  <c r="Q536" i="10"/>
  <c r="K615" i="10"/>
  <c r="D615" i="10"/>
  <c r="E636" i="10"/>
  <c r="R636" i="10" s="1"/>
  <c r="E691" i="10"/>
  <c r="Q780" i="10"/>
  <c r="K697" i="10"/>
  <c r="R674" i="10"/>
  <c r="R685" i="10"/>
  <c r="D696" i="10"/>
  <c r="P718" i="10"/>
  <c r="M713" i="10"/>
  <c r="R713" i="10" s="1"/>
  <c r="Q717" i="10"/>
  <c r="C723" i="10"/>
  <c r="C754" i="10" s="1"/>
  <c r="E722" i="10"/>
  <c r="R722" i="10" s="1"/>
  <c r="J727" i="10"/>
  <c r="M735" i="10"/>
  <c r="E725" i="10"/>
  <c r="Q733" i="10"/>
  <c r="N735" i="10"/>
  <c r="Q735" i="10" s="1"/>
  <c r="I805" i="10"/>
  <c r="G942" i="10"/>
  <c r="I733" i="10"/>
  <c r="F735" i="10"/>
  <c r="I735" i="10" s="1"/>
  <c r="G865" i="10"/>
  <c r="G918" i="10"/>
  <c r="G841" i="10"/>
  <c r="N723" i="10"/>
  <c r="E729" i="10"/>
  <c r="R729" i="10" s="1"/>
  <c r="B736" i="10"/>
  <c r="L736" i="10"/>
  <c r="L758" i="10" s="1"/>
  <c r="G615" i="10"/>
  <c r="G727" i="10"/>
  <c r="G756" i="10" s="1"/>
  <c r="N736" i="10"/>
  <c r="Q729" i="10"/>
  <c r="C887" i="10"/>
  <c r="B887" i="10"/>
  <c r="H887" i="10" s="1"/>
  <c r="F887" i="10"/>
  <c r="D887" i="10"/>
  <c r="F859" i="10"/>
  <c r="Q887" i="10"/>
  <c r="E887" i="10"/>
  <c r="F835" i="10"/>
  <c r="B802" i="10"/>
  <c r="D736" i="10"/>
  <c r="D758" i="10" s="1"/>
  <c r="M733" i="10"/>
  <c r="F886" i="10"/>
  <c r="E886" i="10"/>
  <c r="C886" i="10"/>
  <c r="B801" i="10"/>
  <c r="Q886" i="10"/>
  <c r="B886" i="10"/>
  <c r="H886" i="10" s="1"/>
  <c r="F834" i="10"/>
  <c r="F858" i="10"/>
  <c r="G913" i="10"/>
  <c r="G860" i="10"/>
  <c r="G836" i="10"/>
  <c r="Q720" i="10"/>
  <c r="M725" i="10"/>
  <c r="B727" i="10"/>
  <c r="F736" i="10"/>
  <c r="I729" i="10"/>
  <c r="I732" i="10"/>
  <c r="Q732" i="10"/>
  <c r="G911" i="10"/>
  <c r="G858" i="10"/>
  <c r="G834" i="10"/>
  <c r="F866" i="10"/>
  <c r="F894" i="10"/>
  <c r="E894" i="10"/>
  <c r="C894" i="10"/>
  <c r="Q894" i="10"/>
  <c r="D894" i="10"/>
  <c r="B894" i="10"/>
  <c r="H894" i="10" s="1"/>
  <c r="F842" i="10"/>
  <c r="B809" i="10"/>
  <c r="J723" i="10"/>
  <c r="E733" i="10"/>
  <c r="G786" i="10"/>
  <c r="G910" i="10"/>
  <c r="G857" i="10"/>
  <c r="G833" i="10"/>
  <c r="G866" i="10"/>
  <c r="G919" i="10"/>
  <c r="G842" i="10"/>
  <c r="F786" i="10"/>
  <c r="D798" i="10"/>
  <c r="G912" i="10"/>
  <c r="G859" i="10"/>
  <c r="G835" i="10"/>
  <c r="F888" i="10"/>
  <c r="E888" i="10"/>
  <c r="Q888" i="10"/>
  <c r="D888" i="10"/>
  <c r="C888" i="10"/>
  <c r="B803" i="10"/>
  <c r="F860" i="10"/>
  <c r="B888" i="10"/>
  <c r="H888" i="10" s="1"/>
  <c r="B808" i="10"/>
  <c r="F857" i="10"/>
  <c r="D892" i="10"/>
  <c r="J916" i="10"/>
  <c r="J943" i="10" s="1"/>
  <c r="G909" i="10"/>
  <c r="G914" i="10"/>
  <c r="G861" i="10"/>
  <c r="G837" i="10"/>
  <c r="Q890" i="10"/>
  <c r="D890" i="10"/>
  <c r="C890" i="10"/>
  <c r="F862" i="10"/>
  <c r="B890" i="10"/>
  <c r="F890" i="10"/>
  <c r="B805" i="10"/>
  <c r="E890" i="10"/>
  <c r="E883" i="10"/>
  <c r="Q883" i="10"/>
  <c r="Q896" i="10" s="1"/>
  <c r="D883" i="10"/>
  <c r="C883" i="10"/>
  <c r="B883" i="10"/>
  <c r="F883" i="10"/>
  <c r="F855" i="10"/>
  <c r="G862" i="10"/>
  <c r="G838" i="10"/>
  <c r="F891" i="10"/>
  <c r="E891" i="10"/>
  <c r="Q891" i="10"/>
  <c r="D891" i="10"/>
  <c r="B891" i="10"/>
  <c r="F863" i="10"/>
  <c r="B806" i="10"/>
  <c r="F833" i="10"/>
  <c r="G908" i="10"/>
  <c r="G855" i="10"/>
  <c r="G831" i="10"/>
  <c r="F884" i="10"/>
  <c r="Q884" i="10"/>
  <c r="D884" i="10"/>
  <c r="H884" i="10" s="1"/>
  <c r="F856" i="10"/>
  <c r="B799" i="10"/>
  <c r="E884" i="10"/>
  <c r="G916" i="10"/>
  <c r="G943" i="10" s="1"/>
  <c r="G839" i="10"/>
  <c r="B892" i="10"/>
  <c r="E892" i="10"/>
  <c r="F864" i="10"/>
  <c r="C892" i="10"/>
  <c r="B807" i="10"/>
  <c r="E885" i="10"/>
  <c r="Q885" i="10"/>
  <c r="D885" i="10"/>
  <c r="C885" i="10"/>
  <c r="B885" i="10"/>
  <c r="F885" i="10"/>
  <c r="G864" i="10"/>
  <c r="G917" i="10"/>
  <c r="G944" i="10" s="1"/>
  <c r="G840" i="10"/>
  <c r="E893" i="10"/>
  <c r="Q893" i="10"/>
  <c r="D893" i="10"/>
  <c r="C893" i="10"/>
  <c r="B893" i="10"/>
  <c r="H893" i="10" s="1"/>
  <c r="F865" i="10"/>
  <c r="F893" i="10"/>
  <c r="F832" i="10"/>
  <c r="F836" i="10"/>
  <c r="F840" i="10"/>
  <c r="H937" i="10"/>
  <c r="J910" i="10"/>
  <c r="J937" i="10" s="1"/>
  <c r="H940" i="10"/>
  <c r="J913" i="10"/>
  <c r="J940" i="10" s="1"/>
  <c r="R980" i="10"/>
  <c r="J915" i="10"/>
  <c r="J942" i="10" s="1"/>
  <c r="N977" i="10"/>
  <c r="J909" i="10"/>
  <c r="J936" i="10" s="1"/>
  <c r="J917" i="10"/>
  <c r="J944" i="10" s="1"/>
  <c r="E60" i="5"/>
  <c r="B63" i="5"/>
  <c r="L64" i="5"/>
  <c r="M60" i="5"/>
  <c r="J63" i="5"/>
  <c r="C64" i="5"/>
  <c r="N63" i="5"/>
  <c r="D128" i="5"/>
  <c r="H240" i="5"/>
  <c r="H248" i="5" s="1"/>
  <c r="R15" i="5"/>
  <c r="R47" i="5"/>
  <c r="R41" i="5"/>
  <c r="R95" i="5"/>
  <c r="N248" i="5"/>
  <c r="O249" i="5"/>
  <c r="R59" i="5"/>
  <c r="R17" i="5"/>
  <c r="R19" i="5"/>
  <c r="P64" i="5"/>
  <c r="K64" i="5"/>
  <c r="K128" i="5"/>
  <c r="R123" i="5"/>
  <c r="R18" i="5"/>
  <c r="D64" i="5"/>
  <c r="R16" i="5"/>
  <c r="H64" i="5"/>
  <c r="R58" i="5"/>
  <c r="F64" i="5"/>
  <c r="I63" i="5"/>
  <c r="C128" i="5"/>
  <c r="G249" i="5"/>
  <c r="P740" i="5"/>
  <c r="P726" i="5"/>
  <c r="D507" i="5"/>
  <c r="D510" i="5" s="1"/>
  <c r="E487" i="5"/>
  <c r="R487" i="5" s="1"/>
  <c r="R832" i="5"/>
  <c r="R886" i="5"/>
  <c r="R859" i="5"/>
  <c r="R920" i="5"/>
  <c r="R750" i="5"/>
  <c r="R808" i="5"/>
  <c r="R777" i="5"/>
  <c r="R728" i="5"/>
  <c r="R688" i="5"/>
  <c r="H29" i="5"/>
  <c r="G60" i="5"/>
  <c r="G63" i="5" s="1"/>
  <c r="O60" i="5"/>
  <c r="O63" i="5" s="1"/>
  <c r="B127" i="5"/>
  <c r="E124" i="5"/>
  <c r="J127" i="5"/>
  <c r="M124" i="5"/>
  <c r="R122" i="5"/>
  <c r="Q143" i="5"/>
  <c r="P177" i="5"/>
  <c r="F240" i="5"/>
  <c r="B367" i="5"/>
  <c r="E298" i="5"/>
  <c r="R298" i="5" s="1"/>
  <c r="AD316" i="5"/>
  <c r="O418" i="5"/>
  <c r="I28" i="5"/>
  <c r="R28" i="5" s="1"/>
  <c r="Q28" i="5"/>
  <c r="J29" i="5"/>
  <c r="R104" i="5"/>
  <c r="R120" i="5"/>
  <c r="R125" i="5"/>
  <c r="R173" i="5"/>
  <c r="H715" i="5"/>
  <c r="H716" i="5" s="1"/>
  <c r="H744" i="5" s="1"/>
  <c r="I210" i="5"/>
  <c r="R210" i="5" s="1"/>
  <c r="R228" i="5"/>
  <c r="S277" i="5"/>
  <c r="C367" i="5"/>
  <c r="C372" i="5" s="1"/>
  <c r="R305" i="5"/>
  <c r="R355" i="5"/>
  <c r="P418" i="5"/>
  <c r="R453" i="5"/>
  <c r="E455" i="5"/>
  <c r="B458" i="5"/>
  <c r="E570" i="5"/>
  <c r="C593" i="5"/>
  <c r="C596" i="5" s="1"/>
  <c r="N596" i="5"/>
  <c r="Q51" i="5"/>
  <c r="R51" i="5" s="1"/>
  <c r="H459" i="5"/>
  <c r="B29" i="5"/>
  <c r="E88" i="5"/>
  <c r="M88" i="5"/>
  <c r="R137" i="5"/>
  <c r="R144" i="5"/>
  <c r="R148" i="5"/>
  <c r="R159" i="5"/>
  <c r="R171" i="5"/>
  <c r="R174" i="5"/>
  <c r="R205" i="5"/>
  <c r="R209" i="5"/>
  <c r="K715" i="5"/>
  <c r="K220" i="5"/>
  <c r="H220" i="5"/>
  <c r="M259" i="5"/>
  <c r="R291" i="5"/>
  <c r="Q298" i="5"/>
  <c r="R439" i="5"/>
  <c r="M455" i="5"/>
  <c r="J458" i="5"/>
  <c r="I220" i="5"/>
  <c r="K315" i="5"/>
  <c r="K367" i="5" s="1"/>
  <c r="K372" i="5" s="1"/>
  <c r="D459" i="5"/>
  <c r="F124" i="5"/>
  <c r="N124" i="5"/>
  <c r="K240" i="5"/>
  <c r="K248" i="5" s="1"/>
  <c r="R234" i="5"/>
  <c r="E259" i="5"/>
  <c r="C459" i="5"/>
  <c r="O459" i="5"/>
  <c r="H701" i="5"/>
  <c r="H707" i="5" s="1"/>
  <c r="H535" i="5"/>
  <c r="H552" i="5" s="1"/>
  <c r="H555" i="5" s="1"/>
  <c r="K684" i="5"/>
  <c r="K685" i="5"/>
  <c r="I60" i="5"/>
  <c r="K459" i="5"/>
  <c r="G128" i="5"/>
  <c r="R103" i="5"/>
  <c r="R106" i="5"/>
  <c r="R118" i="5"/>
  <c r="R143" i="5"/>
  <c r="C240" i="5"/>
  <c r="C248" i="5" s="1"/>
  <c r="R193" i="5"/>
  <c r="R204" i="5"/>
  <c r="R274" i="5"/>
  <c r="R276" i="5"/>
  <c r="R286" i="5"/>
  <c r="R288" i="5"/>
  <c r="I298" i="5"/>
  <c r="H315" i="5"/>
  <c r="H367" i="5" s="1"/>
  <c r="H372" i="5" s="1"/>
  <c r="I307" i="5"/>
  <c r="R319" i="5"/>
  <c r="H642" i="5"/>
  <c r="H641" i="5"/>
  <c r="M723" i="5"/>
  <c r="J724" i="5"/>
  <c r="M724" i="5" s="1"/>
  <c r="C418" i="5"/>
  <c r="J220" i="5"/>
  <c r="J240" i="5" s="1"/>
  <c r="M210" i="5"/>
  <c r="I417" i="5"/>
  <c r="F418" i="5"/>
  <c r="J715" i="5"/>
  <c r="M715" i="5" s="1"/>
  <c r="H124" i="5"/>
  <c r="H127" i="5" s="1"/>
  <c r="P124" i="5"/>
  <c r="P127" i="5" s="1"/>
  <c r="R110" i="5"/>
  <c r="L128" i="5"/>
  <c r="R141" i="5"/>
  <c r="R152" i="5"/>
  <c r="R156" i="5"/>
  <c r="R164" i="5"/>
  <c r="R168" i="5"/>
  <c r="E183" i="5"/>
  <c r="R183" i="5" s="1"/>
  <c r="R211" i="5"/>
  <c r="R213" i="5"/>
  <c r="Q220" i="5"/>
  <c r="M298" i="5"/>
  <c r="M307" i="5"/>
  <c r="J315" i="5"/>
  <c r="R326" i="5"/>
  <c r="R341" i="5"/>
  <c r="J367" i="5"/>
  <c r="E395" i="5"/>
  <c r="B414" i="5"/>
  <c r="M412" i="5"/>
  <c r="R335" i="5"/>
  <c r="M341" i="5"/>
  <c r="R347" i="5"/>
  <c r="R360" i="5"/>
  <c r="Q365" i="5"/>
  <c r="M366" i="5"/>
  <c r="R366" i="5" s="1"/>
  <c r="R369" i="5"/>
  <c r="N414" i="5"/>
  <c r="K418" i="5"/>
  <c r="K511" i="5"/>
  <c r="O511" i="5"/>
  <c r="G521" i="5"/>
  <c r="Q543" i="5"/>
  <c r="N552" i="5"/>
  <c r="B240" i="5"/>
  <c r="F260" i="5"/>
  <c r="N789" i="5" s="1"/>
  <c r="D367" i="5"/>
  <c r="D372" i="5" s="1"/>
  <c r="L367" i="5"/>
  <c r="L372" i="5" s="1"/>
  <c r="E710" i="5"/>
  <c r="D712" i="5"/>
  <c r="D742" i="5" s="1"/>
  <c r="G418" i="5"/>
  <c r="R412" i="5"/>
  <c r="P597" i="5"/>
  <c r="E307" i="5"/>
  <c r="F315" i="5"/>
  <c r="R327" i="5"/>
  <c r="R339" i="5"/>
  <c r="R349" i="5"/>
  <c r="H414" i="5"/>
  <c r="H417" i="5" s="1"/>
  <c r="R398" i="5"/>
  <c r="I400" i="5"/>
  <c r="R400" i="5" s="1"/>
  <c r="L418" i="5"/>
  <c r="N455" i="5"/>
  <c r="R454" i="5"/>
  <c r="B640" i="5"/>
  <c r="E636" i="5"/>
  <c r="D685" i="5"/>
  <c r="D684" i="5"/>
  <c r="O684" i="5"/>
  <c r="O685" i="5"/>
  <c r="N372" i="5"/>
  <c r="Q307" i="5"/>
  <c r="R336" i="5"/>
  <c r="R351" i="5"/>
  <c r="M395" i="5"/>
  <c r="J414" i="5"/>
  <c r="R404" i="5"/>
  <c r="F455" i="5"/>
  <c r="R443" i="5"/>
  <c r="R479" i="5"/>
  <c r="G507" i="5"/>
  <c r="G510" i="5" s="1"/>
  <c r="R484" i="5"/>
  <c r="L511" i="5"/>
  <c r="Q539" i="5"/>
  <c r="O552" i="5"/>
  <c r="O555" i="5" s="1"/>
  <c r="R581" i="5"/>
  <c r="I715" i="5"/>
  <c r="R715" i="5" s="1"/>
  <c r="L220" i="5"/>
  <c r="L240" i="5" s="1"/>
  <c r="L248" i="5" s="1"/>
  <c r="G367" i="5"/>
  <c r="G372" i="5" s="1"/>
  <c r="G710" i="5"/>
  <c r="I710" i="5" s="1"/>
  <c r="P315" i="5"/>
  <c r="Q315" i="5" s="1"/>
  <c r="R324" i="5"/>
  <c r="R340" i="5"/>
  <c r="R346" i="5"/>
  <c r="E365" i="5"/>
  <c r="R365" i="5" s="1"/>
  <c r="D418" i="5"/>
  <c r="P459" i="5"/>
  <c r="R475" i="5"/>
  <c r="R505" i="5"/>
  <c r="R531" i="5"/>
  <c r="J596" i="5"/>
  <c r="H507" i="5"/>
  <c r="H510" i="5" s="1"/>
  <c r="R506" i="5"/>
  <c r="O521" i="5"/>
  <c r="F707" i="5"/>
  <c r="J555" i="5"/>
  <c r="I574" i="5"/>
  <c r="R574" i="5" s="1"/>
  <c r="Q581" i="5"/>
  <c r="E679" i="5"/>
  <c r="R679" i="5" s="1"/>
  <c r="B680" i="5"/>
  <c r="B740" i="5"/>
  <c r="E712" i="5"/>
  <c r="B742" i="5"/>
  <c r="E742" i="5" s="1"/>
  <c r="I746" i="5"/>
  <c r="I395" i="5"/>
  <c r="Q395" i="5"/>
  <c r="J510" i="5"/>
  <c r="M507" i="5"/>
  <c r="E543" i="5"/>
  <c r="R543" i="5" s="1"/>
  <c r="B593" i="5"/>
  <c r="L597" i="5"/>
  <c r="K641" i="5"/>
  <c r="K642" i="5"/>
  <c r="B507" i="5"/>
  <c r="B555" i="5"/>
  <c r="O593" i="5"/>
  <c r="O596" i="5" s="1"/>
  <c r="C641" i="5"/>
  <c r="C642" i="5"/>
  <c r="N640" i="5"/>
  <c r="Q636" i="5"/>
  <c r="J640" i="5"/>
  <c r="F712" i="5"/>
  <c r="I709" i="5"/>
  <c r="P712" i="5"/>
  <c r="P742" i="5" s="1"/>
  <c r="H710" i="5"/>
  <c r="C511" i="5"/>
  <c r="Q481" i="5"/>
  <c r="N507" i="5"/>
  <c r="R485" i="5"/>
  <c r="M520" i="5"/>
  <c r="J521" i="5"/>
  <c r="K701" i="5"/>
  <c r="K707" i="5" s="1"/>
  <c r="K535" i="5"/>
  <c r="M530" i="5"/>
  <c r="R530" i="5" s="1"/>
  <c r="P552" i="5"/>
  <c r="P555" i="5" s="1"/>
  <c r="Q535" i="5"/>
  <c r="R550" i="5"/>
  <c r="F596" i="5"/>
  <c r="I593" i="5"/>
  <c r="K593" i="5"/>
  <c r="K596" i="5" s="1"/>
  <c r="K607" i="5"/>
  <c r="K608" i="5"/>
  <c r="M606" i="5"/>
  <c r="D641" i="5"/>
  <c r="D642" i="5"/>
  <c r="I398" i="5"/>
  <c r="Q492" i="5"/>
  <c r="R492" i="5" s="1"/>
  <c r="D552" i="5"/>
  <c r="D555" i="5" s="1"/>
  <c r="E539" i="5"/>
  <c r="R539" i="5" s="1"/>
  <c r="R547" i="5"/>
  <c r="M551" i="5"/>
  <c r="R551" i="5" s="1"/>
  <c r="R566" i="5"/>
  <c r="G593" i="5"/>
  <c r="G596" i="5" s="1"/>
  <c r="R587" i="5"/>
  <c r="P641" i="5"/>
  <c r="P642" i="5"/>
  <c r="L685" i="5"/>
  <c r="L684" i="5"/>
  <c r="J710" i="5"/>
  <c r="M710" i="5" s="1"/>
  <c r="I433" i="5"/>
  <c r="R433" i="5" s="1"/>
  <c r="Q433" i="5"/>
  <c r="I481" i="5"/>
  <c r="F507" i="5"/>
  <c r="P507" i="5"/>
  <c r="P510" i="5" s="1"/>
  <c r="R491" i="5"/>
  <c r="I492" i="5"/>
  <c r="R501" i="5"/>
  <c r="E520" i="5"/>
  <c r="R520" i="5" s="1"/>
  <c r="B521" i="5"/>
  <c r="Q574" i="5"/>
  <c r="R592" i="5"/>
  <c r="C608" i="5"/>
  <c r="E606" i="5"/>
  <c r="C607" i="5"/>
  <c r="Q606" i="5"/>
  <c r="N607" i="5"/>
  <c r="G636" i="5"/>
  <c r="G640" i="5" s="1"/>
  <c r="C686" i="5"/>
  <c r="Q762" i="5"/>
  <c r="N746" i="5"/>
  <c r="Q746" i="5" s="1"/>
  <c r="H521" i="5"/>
  <c r="I530" i="5"/>
  <c r="F535" i="5"/>
  <c r="I570" i="5"/>
  <c r="Q570" i="5"/>
  <c r="E620" i="5"/>
  <c r="O636" i="5"/>
  <c r="O640" i="5" s="1"/>
  <c r="R656" i="5"/>
  <c r="C707" i="5"/>
  <c r="N712" i="5"/>
  <c r="Q709" i="5"/>
  <c r="C724" i="5"/>
  <c r="E481" i="5"/>
  <c r="M481" i="5"/>
  <c r="I520" i="5"/>
  <c r="J707" i="5"/>
  <c r="G535" i="5"/>
  <c r="G552" i="5" s="1"/>
  <c r="G555" i="5" s="1"/>
  <c r="F636" i="5"/>
  <c r="R634" i="5"/>
  <c r="R638" i="5"/>
  <c r="N680" i="5"/>
  <c r="Q656" i="5"/>
  <c r="R661" i="5"/>
  <c r="M678" i="5"/>
  <c r="D707" i="5"/>
  <c r="E704" i="5"/>
  <c r="R704" i="5" s="1"/>
  <c r="Q710" i="5"/>
  <c r="G716" i="5"/>
  <c r="G744" i="5" s="1"/>
  <c r="D724" i="5"/>
  <c r="M721" i="5"/>
  <c r="E723" i="5"/>
  <c r="R723" i="5" s="1"/>
  <c r="L740" i="5"/>
  <c r="R628" i="5"/>
  <c r="F680" i="5"/>
  <c r="I656" i="5"/>
  <c r="P680" i="5"/>
  <c r="P683" i="5" s="1"/>
  <c r="R666" i="5"/>
  <c r="E678" i="5"/>
  <c r="M703" i="5"/>
  <c r="G712" i="5"/>
  <c r="M714" i="5"/>
  <c r="J716" i="5"/>
  <c r="D725" i="5"/>
  <c r="D746" i="5" s="1"/>
  <c r="O725" i="5"/>
  <c r="O746" i="5" s="1"/>
  <c r="Q718" i="5"/>
  <c r="R718" i="5" s="1"/>
  <c r="M722" i="5"/>
  <c r="R635" i="5"/>
  <c r="R668" i="5"/>
  <c r="H712" i="5"/>
  <c r="H742" i="5" s="1"/>
  <c r="L712" i="5"/>
  <c r="L742" i="5" s="1"/>
  <c r="K716" i="5"/>
  <c r="K744" i="5" s="1"/>
  <c r="I725" i="5"/>
  <c r="H684" i="5"/>
  <c r="H685" i="5"/>
  <c r="N707" i="5"/>
  <c r="Q701" i="5"/>
  <c r="E703" i="5"/>
  <c r="R703" i="5" s="1"/>
  <c r="R706" i="5"/>
  <c r="O748" i="5"/>
  <c r="O14" i="5" s="1"/>
  <c r="J712" i="5"/>
  <c r="E714" i="5"/>
  <c r="B716" i="5"/>
  <c r="L716" i="5"/>
  <c r="L744" i="5" s="1"/>
  <c r="E722" i="5"/>
  <c r="R722" i="5" s="1"/>
  <c r="L535" i="5"/>
  <c r="L552" i="5" s="1"/>
  <c r="L555" i="5" s="1"/>
  <c r="L636" i="5"/>
  <c r="L640" i="5" s="1"/>
  <c r="I624" i="5"/>
  <c r="R624" i="5" s="1"/>
  <c r="R672" i="5"/>
  <c r="J680" i="5"/>
  <c r="G685" i="5"/>
  <c r="Q719" i="5"/>
  <c r="R719" i="5" s="1"/>
  <c r="B724" i="5"/>
  <c r="E724" i="5" s="1"/>
  <c r="R724" i="5" s="1"/>
  <c r="I620" i="5"/>
  <c r="Q620" i="5"/>
  <c r="I718" i="5"/>
  <c r="B725" i="5"/>
  <c r="J725" i="5"/>
  <c r="M797" i="5"/>
  <c r="D797" i="5"/>
  <c r="D795" i="5"/>
  <c r="M795" i="5"/>
  <c r="I721" i="5"/>
  <c r="R721" i="5" s="1"/>
  <c r="Q721" i="5"/>
  <c r="F716" i="5"/>
  <c r="N716" i="5"/>
  <c r="E709" i="5"/>
  <c r="B787" i="5"/>
  <c r="B789" i="5"/>
  <c r="B791" i="5"/>
  <c r="B793" i="5"/>
  <c r="F844" i="5"/>
  <c r="F853" i="5"/>
  <c r="C875" i="5"/>
  <c r="H875" i="5" s="1"/>
  <c r="E903" i="5"/>
  <c r="I792" i="5" s="1"/>
  <c r="E907" i="5"/>
  <c r="I796" i="5" s="1"/>
  <c r="F827" i="5"/>
  <c r="G844" i="5"/>
  <c r="G853" i="5"/>
  <c r="B873" i="5"/>
  <c r="F878" i="5"/>
  <c r="B881" i="5"/>
  <c r="E902" i="5"/>
  <c r="I791" i="5" s="1"/>
  <c r="B796" i="5"/>
  <c r="F819" i="5"/>
  <c r="F821" i="5"/>
  <c r="F824" i="5"/>
  <c r="F848" i="5"/>
  <c r="M948" i="5"/>
  <c r="G824" i="5"/>
  <c r="G825" i="5"/>
  <c r="M897" i="5"/>
  <c r="M910" i="5" s="1"/>
  <c r="J910" i="5"/>
  <c r="Q948" i="5"/>
  <c r="F843" i="5"/>
  <c r="F871" i="5"/>
  <c r="E871" i="5"/>
  <c r="Q871" i="5"/>
  <c r="D871" i="5"/>
  <c r="H871" i="5" s="1"/>
  <c r="E872" i="5"/>
  <c r="Q872" i="5"/>
  <c r="D872" i="5"/>
  <c r="C872" i="5"/>
  <c r="B872" i="5"/>
  <c r="H872" i="5" s="1"/>
  <c r="F873" i="5"/>
  <c r="E873" i="5"/>
  <c r="Q873" i="5"/>
  <c r="D873" i="5"/>
  <c r="F845" i="5"/>
  <c r="E874" i="5"/>
  <c r="Q874" i="5"/>
  <c r="D874" i="5"/>
  <c r="C874" i="5"/>
  <c r="B874" i="5"/>
  <c r="H874" i="5" s="1"/>
  <c r="F846" i="5"/>
  <c r="F847" i="5"/>
  <c r="F875" i="5"/>
  <c r="E875" i="5"/>
  <c r="Q875" i="5"/>
  <c r="D875" i="5"/>
  <c r="E876" i="5"/>
  <c r="Q876" i="5"/>
  <c r="D876" i="5"/>
  <c r="C876" i="5"/>
  <c r="B876" i="5"/>
  <c r="F877" i="5"/>
  <c r="E877" i="5"/>
  <c r="Q877" i="5"/>
  <c r="D877" i="5"/>
  <c r="F849" i="5"/>
  <c r="E878" i="5"/>
  <c r="Q878" i="5"/>
  <c r="D878" i="5"/>
  <c r="C878" i="5"/>
  <c r="B878" i="5"/>
  <c r="F850" i="5"/>
  <c r="F851" i="5"/>
  <c r="F879" i="5"/>
  <c r="E879" i="5"/>
  <c r="Q879" i="5"/>
  <c r="D879" i="5"/>
  <c r="E880" i="5"/>
  <c r="F852" i="5"/>
  <c r="Q880" i="5"/>
  <c r="D880" i="5"/>
  <c r="C880" i="5"/>
  <c r="B880" i="5"/>
  <c r="H880" i="5" s="1"/>
  <c r="F828" i="5"/>
  <c r="F881" i="5"/>
  <c r="E881" i="5"/>
  <c r="Q881" i="5"/>
  <c r="D881" i="5"/>
  <c r="F829" i="5"/>
  <c r="E882" i="5"/>
  <c r="Q882" i="5"/>
  <c r="D882" i="5"/>
  <c r="C882" i="5"/>
  <c r="B882" i="5"/>
  <c r="F854" i="5"/>
  <c r="F830" i="5"/>
  <c r="F774" i="5"/>
  <c r="B786" i="5"/>
  <c r="B788" i="5"/>
  <c r="B790" i="5"/>
  <c r="B792" i="5"/>
  <c r="B794" i="5"/>
  <c r="C871" i="5"/>
  <c r="C879" i="5"/>
  <c r="H879" i="5" s="1"/>
  <c r="I898" i="5"/>
  <c r="G843" i="5"/>
  <c r="G856" i="5" s="1"/>
  <c r="E897" i="5"/>
  <c r="E899" i="5"/>
  <c r="I788" i="5" s="1"/>
  <c r="G845" i="5"/>
  <c r="E900" i="5"/>
  <c r="I789" i="5" s="1"/>
  <c r="G846" i="5"/>
  <c r="G847" i="5"/>
  <c r="E901" i="5"/>
  <c r="I790" i="5" s="1"/>
  <c r="E904" i="5"/>
  <c r="I793" i="5" s="1"/>
  <c r="G850" i="5"/>
  <c r="E908" i="5"/>
  <c r="I797" i="5" s="1"/>
  <c r="G854" i="5"/>
  <c r="G830" i="5"/>
  <c r="G774" i="5"/>
  <c r="F874" i="5"/>
  <c r="B877" i="5"/>
  <c r="H877" i="5" s="1"/>
  <c r="F882" i="5"/>
  <c r="H899" i="5"/>
  <c r="I935" i="5"/>
  <c r="J936" i="5" s="1"/>
  <c r="N936" i="5"/>
  <c r="R936" i="5"/>
  <c r="H66" i="4"/>
  <c r="D66" i="4"/>
  <c r="F126" i="4"/>
  <c r="R16" i="4"/>
  <c r="R48" i="4"/>
  <c r="R61" i="4"/>
  <c r="L66" i="4"/>
  <c r="G127" i="4"/>
  <c r="C66" i="4"/>
  <c r="K127" i="4"/>
  <c r="G363" i="4"/>
  <c r="O66" i="4"/>
  <c r="R60" i="4"/>
  <c r="D127" i="4"/>
  <c r="R20" i="4"/>
  <c r="O404" i="4"/>
  <c r="O539" i="4"/>
  <c r="E587" i="4"/>
  <c r="B588" i="4"/>
  <c r="E15" i="4"/>
  <c r="E18" i="4"/>
  <c r="R18" i="4" s="1"/>
  <c r="I19" i="4"/>
  <c r="R83" i="4"/>
  <c r="O123" i="4"/>
  <c r="O126" i="4" s="1"/>
  <c r="R110" i="4"/>
  <c r="R120" i="4"/>
  <c r="E122" i="4"/>
  <c r="R152" i="4"/>
  <c r="F362" i="4"/>
  <c r="I358" i="4"/>
  <c r="P363" i="4"/>
  <c r="P400" i="4"/>
  <c r="P403" i="4" s="1"/>
  <c r="R399" i="4"/>
  <c r="O441" i="4"/>
  <c r="O444" i="4" s="1"/>
  <c r="Q440" i="4"/>
  <c r="R467" i="4"/>
  <c r="P747" i="4"/>
  <c r="L624" i="4"/>
  <c r="E43" i="4"/>
  <c r="B62" i="4"/>
  <c r="R103" i="4"/>
  <c r="R180" i="4"/>
  <c r="B362" i="4"/>
  <c r="I384" i="4"/>
  <c r="G400" i="4"/>
  <c r="G403" i="4" s="1"/>
  <c r="P445" i="4"/>
  <c r="J445" i="4"/>
  <c r="H494" i="4"/>
  <c r="K504" i="4"/>
  <c r="D539" i="4"/>
  <c r="Q518" i="4"/>
  <c r="N535" i="4"/>
  <c r="B31" i="4"/>
  <c r="E30" i="4"/>
  <c r="R30" i="4" s="1"/>
  <c r="M30" i="4"/>
  <c r="E52" i="4"/>
  <c r="R52" i="4" s="1"/>
  <c r="G244" i="4"/>
  <c r="H363" i="4"/>
  <c r="O363" i="4"/>
  <c r="J404" i="4"/>
  <c r="M403" i="4"/>
  <c r="L404" i="4"/>
  <c r="H445" i="4"/>
  <c r="D494" i="4"/>
  <c r="J123" i="4"/>
  <c r="M88" i="4"/>
  <c r="R92" i="4"/>
  <c r="R145" i="4"/>
  <c r="J362" i="4"/>
  <c r="D404" i="4"/>
  <c r="H404" i="4"/>
  <c r="N441" i="4"/>
  <c r="B493" i="4"/>
  <c r="K490" i="4"/>
  <c r="K493" i="4" s="1"/>
  <c r="M464" i="4"/>
  <c r="P494" i="4"/>
  <c r="L574" i="4"/>
  <c r="L577" i="4" s="1"/>
  <c r="M562" i="4"/>
  <c r="O578" i="4"/>
  <c r="F62" i="4"/>
  <c r="I43" i="4"/>
  <c r="P62" i="4"/>
  <c r="P65" i="4" s="1"/>
  <c r="R99" i="4"/>
  <c r="R136" i="4"/>
  <c r="R138" i="4"/>
  <c r="R153" i="4"/>
  <c r="M174" i="4"/>
  <c r="J235" i="4"/>
  <c r="R198" i="4"/>
  <c r="R219" i="4"/>
  <c r="F243" i="4"/>
  <c r="Q254" i="4"/>
  <c r="O255" i="4"/>
  <c r="N774" i="4" s="1"/>
  <c r="R266" i="4"/>
  <c r="R289" i="4"/>
  <c r="K363" i="4"/>
  <c r="E400" i="4"/>
  <c r="F441" i="4"/>
  <c r="L494" i="4"/>
  <c r="I475" i="4"/>
  <c r="F490" i="4"/>
  <c r="G539" i="4"/>
  <c r="F578" i="4"/>
  <c r="R615" i="4"/>
  <c r="E19" i="4"/>
  <c r="G66" i="4"/>
  <c r="J62" i="4"/>
  <c r="E88" i="4"/>
  <c r="I103" i="4"/>
  <c r="E121" i="4"/>
  <c r="R121" i="4" s="1"/>
  <c r="B123" i="4"/>
  <c r="R124" i="4"/>
  <c r="R149" i="4"/>
  <c r="O244" i="4"/>
  <c r="R316" i="4"/>
  <c r="R357" i="4"/>
  <c r="C404" i="4"/>
  <c r="K623" i="4"/>
  <c r="K622" i="4"/>
  <c r="D622" i="4"/>
  <c r="D623" i="4"/>
  <c r="Q62" i="4"/>
  <c r="N65" i="4"/>
  <c r="C244" i="4"/>
  <c r="M15" i="4"/>
  <c r="Q19" i="4"/>
  <c r="R21" i="4"/>
  <c r="Q88" i="4"/>
  <c r="N123" i="4"/>
  <c r="R214" i="4"/>
  <c r="R264" i="4"/>
  <c r="N362" i="4"/>
  <c r="Q358" i="4"/>
  <c r="R329" i="4"/>
  <c r="K445" i="4"/>
  <c r="R489" i="4"/>
  <c r="I122" i="4"/>
  <c r="R163" i="4"/>
  <c r="K235" i="4"/>
  <c r="K243" i="4" s="1"/>
  <c r="M216" i="4"/>
  <c r="E234" i="4"/>
  <c r="I254" i="4"/>
  <c r="R278" i="4"/>
  <c r="R291" i="4"/>
  <c r="I294" i="4"/>
  <c r="Q294" i="4"/>
  <c r="R310" i="4"/>
  <c r="R318" i="4"/>
  <c r="R342" i="4"/>
  <c r="R347" i="4"/>
  <c r="M357" i="4"/>
  <c r="R372" i="4"/>
  <c r="E378" i="4"/>
  <c r="M378" i="4"/>
  <c r="E388" i="4"/>
  <c r="M400" i="4"/>
  <c r="B403" i="4"/>
  <c r="C490" i="4"/>
  <c r="C493" i="4" s="1"/>
  <c r="R474" i="4"/>
  <c r="F535" i="4"/>
  <c r="Q562" i="4"/>
  <c r="R569" i="4"/>
  <c r="E601" i="4"/>
  <c r="R601" i="4" s="1"/>
  <c r="M601" i="4"/>
  <c r="Q615" i="4"/>
  <c r="L235" i="4"/>
  <c r="L243" i="4" s="1"/>
  <c r="R216" i="4"/>
  <c r="Q234" i="4"/>
  <c r="R265" i="4"/>
  <c r="R303" i="4"/>
  <c r="R327" i="4"/>
  <c r="R352" i="4"/>
  <c r="F400" i="4"/>
  <c r="N400" i="4"/>
  <c r="Q388" i="4"/>
  <c r="I419" i="4"/>
  <c r="Q419" i="4"/>
  <c r="E488" i="4"/>
  <c r="R491" i="4"/>
  <c r="C663" i="4"/>
  <c r="C664" i="4"/>
  <c r="L663" i="4"/>
  <c r="L664" i="4"/>
  <c r="R187" i="4"/>
  <c r="R307" i="4"/>
  <c r="B444" i="4"/>
  <c r="P578" i="4"/>
  <c r="N621" i="4"/>
  <c r="G685" i="4"/>
  <c r="I679" i="4"/>
  <c r="R810" i="4"/>
  <c r="R898" i="4"/>
  <c r="R837" i="4"/>
  <c r="R864" i="4"/>
  <c r="R755" i="4"/>
  <c r="R786" i="4"/>
  <c r="R706" i="4"/>
  <c r="R728" i="4"/>
  <c r="H123" i="4"/>
  <c r="H126" i="4" s="1"/>
  <c r="P123" i="4"/>
  <c r="P126" i="4" s="1"/>
  <c r="M122" i="4"/>
  <c r="R154" i="4"/>
  <c r="R167" i="4"/>
  <c r="D235" i="4"/>
  <c r="D243" i="4" s="1"/>
  <c r="R208" i="4"/>
  <c r="R226" i="4"/>
  <c r="R233" i="4"/>
  <c r="I234" i="4"/>
  <c r="R240" i="4"/>
  <c r="D255" i="4"/>
  <c r="N766" i="4" s="1"/>
  <c r="R269" i="4"/>
  <c r="R282" i="4"/>
  <c r="D358" i="4"/>
  <c r="D362" i="4" s="1"/>
  <c r="L358" i="4"/>
  <c r="L362" i="4" s="1"/>
  <c r="R332" i="4"/>
  <c r="Q357" i="4"/>
  <c r="I430" i="4"/>
  <c r="R430" i="4" s="1"/>
  <c r="Q430" i="4"/>
  <c r="C441" i="4"/>
  <c r="C444" i="4" s="1"/>
  <c r="R462" i="4"/>
  <c r="Q464" i="4"/>
  <c r="O490" i="4"/>
  <c r="O493" i="4" s="1"/>
  <c r="R481" i="4"/>
  <c r="G574" i="4"/>
  <c r="G577" i="4" s="1"/>
  <c r="P588" i="4"/>
  <c r="Q587" i="4"/>
  <c r="H622" i="4"/>
  <c r="H623" i="4"/>
  <c r="P622" i="4"/>
  <c r="P623" i="4"/>
  <c r="R78" i="4"/>
  <c r="R106" i="4"/>
  <c r="R142" i="4"/>
  <c r="R162" i="4"/>
  <c r="I174" i="4"/>
  <c r="R174" i="4" s="1"/>
  <c r="P235" i="4"/>
  <c r="P243" i="4" s="1"/>
  <c r="R184" i="4"/>
  <c r="R196" i="4"/>
  <c r="R203" i="4"/>
  <c r="N235" i="4"/>
  <c r="G255" i="4"/>
  <c r="N768" i="4" s="1"/>
  <c r="R277" i="4"/>
  <c r="M294" i="4"/>
  <c r="R294" i="4" s="1"/>
  <c r="R319" i="4"/>
  <c r="R343" i="4"/>
  <c r="M356" i="4"/>
  <c r="R374" i="4"/>
  <c r="I378" i="4"/>
  <c r="Q378" i="4"/>
  <c r="D441" i="4"/>
  <c r="D444" i="4" s="1"/>
  <c r="L441" i="4"/>
  <c r="L444" i="4" s="1"/>
  <c r="M444" i="4" s="1"/>
  <c r="M440" i="4"/>
  <c r="R440" i="4" s="1"/>
  <c r="I464" i="4"/>
  <c r="R464" i="4" s="1"/>
  <c r="G490" i="4"/>
  <c r="G493" i="4" s="1"/>
  <c r="E475" i="4"/>
  <c r="R475" i="4" s="1"/>
  <c r="I488" i="4"/>
  <c r="Q503" i="4"/>
  <c r="M518" i="4"/>
  <c r="R647" i="4"/>
  <c r="R222" i="4"/>
  <c r="B235" i="4"/>
  <c r="R237" i="4"/>
  <c r="R302" i="4"/>
  <c r="R326" i="4"/>
  <c r="R351" i="4"/>
  <c r="R356" i="4"/>
  <c r="I357" i="4"/>
  <c r="R413" i="4"/>
  <c r="R419" i="4"/>
  <c r="R435" i="4"/>
  <c r="R487" i="4"/>
  <c r="E518" i="4"/>
  <c r="R518" i="4" s="1"/>
  <c r="K539" i="4"/>
  <c r="J574" i="4"/>
  <c r="M553" i="4"/>
  <c r="N574" i="4"/>
  <c r="D578" i="4"/>
  <c r="J623" i="4"/>
  <c r="M621" i="4"/>
  <c r="E605" i="4"/>
  <c r="R605" i="4" s="1"/>
  <c r="J622" i="4"/>
  <c r="O663" i="4"/>
  <c r="O664" i="4"/>
  <c r="R146" i="4"/>
  <c r="R159" i="4"/>
  <c r="H235" i="4"/>
  <c r="H243" i="4" s="1"/>
  <c r="R200" i="4"/>
  <c r="R212" i="4"/>
  <c r="M234" i="4"/>
  <c r="R274" i="4"/>
  <c r="R286" i="4"/>
  <c r="Q384" i="4"/>
  <c r="R384" i="4" s="1"/>
  <c r="M388" i="4"/>
  <c r="R457" i="4"/>
  <c r="J490" i="4"/>
  <c r="N490" i="4"/>
  <c r="M503" i="4"/>
  <c r="R503" i="4" s="1"/>
  <c r="R530" i="4"/>
  <c r="C623" i="4"/>
  <c r="C622" i="4"/>
  <c r="I609" i="4"/>
  <c r="F617" i="4"/>
  <c r="C535" i="4"/>
  <c r="C538" i="4" s="1"/>
  <c r="Q522" i="4"/>
  <c r="R522" i="4" s="1"/>
  <c r="M533" i="4"/>
  <c r="R533" i="4" s="1"/>
  <c r="H574" i="4"/>
  <c r="H577" i="4" s="1"/>
  <c r="M557" i="4"/>
  <c r="R557" i="4" s="1"/>
  <c r="R560" i="4"/>
  <c r="I562" i="4"/>
  <c r="R562" i="4" s="1"/>
  <c r="M587" i="4"/>
  <c r="R646" i="4"/>
  <c r="I662" i="4"/>
  <c r="H718" i="4"/>
  <c r="N664" i="4"/>
  <c r="N720" i="4"/>
  <c r="B574" i="4"/>
  <c r="K574" i="4"/>
  <c r="K577" i="4" s="1"/>
  <c r="R566" i="4"/>
  <c r="P659" i="4"/>
  <c r="R648" i="4"/>
  <c r="G659" i="4"/>
  <c r="G662" i="4" s="1"/>
  <c r="P535" i="4"/>
  <c r="P538" i="4" s="1"/>
  <c r="I534" i="4"/>
  <c r="R534" i="4" s="1"/>
  <c r="C574" i="4"/>
  <c r="C577" i="4" s="1"/>
  <c r="R568" i="4"/>
  <c r="J588" i="4"/>
  <c r="G617" i="4"/>
  <c r="G621" i="4" s="1"/>
  <c r="O617" i="4"/>
  <c r="O621" i="4" s="1"/>
  <c r="H659" i="4"/>
  <c r="H662" i="4" s="1"/>
  <c r="Q637" i="4"/>
  <c r="I659" i="4"/>
  <c r="H535" i="4"/>
  <c r="H538" i="4" s="1"/>
  <c r="E572" i="4"/>
  <c r="R572" i="4" s="1"/>
  <c r="R616" i="4"/>
  <c r="M641" i="4"/>
  <c r="R641" i="4" s="1"/>
  <c r="R653" i="4"/>
  <c r="Q658" i="4"/>
  <c r="D664" i="4"/>
  <c r="Q694" i="4"/>
  <c r="N722" i="4"/>
  <c r="Q722" i="4" s="1"/>
  <c r="R698" i="4"/>
  <c r="I702" i="4"/>
  <c r="J659" i="4"/>
  <c r="M637" i="4"/>
  <c r="Q742" i="4"/>
  <c r="F665" i="4"/>
  <c r="O704" i="4"/>
  <c r="O718" i="4"/>
  <c r="O726" i="4" s="1"/>
  <c r="O14" i="4" s="1"/>
  <c r="I553" i="4"/>
  <c r="R553" i="4" s="1"/>
  <c r="I573" i="4"/>
  <c r="R573" i="4" s="1"/>
  <c r="B617" i="4"/>
  <c r="E609" i="4"/>
  <c r="R609" i="4" s="1"/>
  <c r="M617" i="4"/>
  <c r="B659" i="4"/>
  <c r="E637" i="4"/>
  <c r="K659" i="4"/>
  <c r="K662" i="4" s="1"/>
  <c r="R657" i="4"/>
  <c r="I658" i="4"/>
  <c r="I685" i="4"/>
  <c r="F704" i="4"/>
  <c r="F718" i="4"/>
  <c r="I694" i="4"/>
  <c r="F722" i="4"/>
  <c r="I722" i="4" s="1"/>
  <c r="M767" i="4"/>
  <c r="D767" i="4"/>
  <c r="M771" i="4"/>
  <c r="D771" i="4"/>
  <c r="J722" i="4"/>
  <c r="M722" i="4" s="1"/>
  <c r="M694" i="4"/>
  <c r="J703" i="4"/>
  <c r="J685" i="4"/>
  <c r="C726" i="4"/>
  <c r="C14" i="4" s="1"/>
  <c r="B722" i="4"/>
  <c r="E722" i="4" s="1"/>
  <c r="R722" i="4" s="1"/>
  <c r="E694" i="4"/>
  <c r="B703" i="4"/>
  <c r="K703" i="4"/>
  <c r="K724" i="4" s="1"/>
  <c r="R700" i="4"/>
  <c r="M764" i="4"/>
  <c r="D764" i="4"/>
  <c r="M768" i="4"/>
  <c r="D768" i="4"/>
  <c r="D772" i="4"/>
  <c r="M772" i="4"/>
  <c r="B535" i="4"/>
  <c r="J535" i="4"/>
  <c r="B718" i="4"/>
  <c r="R683" i="4"/>
  <c r="R688" i="4"/>
  <c r="R693" i="4"/>
  <c r="C703" i="4"/>
  <c r="C724" i="4" s="1"/>
  <c r="J702" i="4"/>
  <c r="M702" i="4" s="1"/>
  <c r="M699" i="4"/>
  <c r="R701" i="4"/>
  <c r="F724" i="4"/>
  <c r="I724" i="4" s="1"/>
  <c r="I703" i="4"/>
  <c r="L685" i="4"/>
  <c r="I680" i="4"/>
  <c r="R680" i="4" s="1"/>
  <c r="M684" i="4"/>
  <c r="K685" i="4"/>
  <c r="J690" i="4"/>
  <c r="M687" i="4"/>
  <c r="I689" i="4"/>
  <c r="R689" i="4" s="1"/>
  <c r="I693" i="4"/>
  <c r="M696" i="4"/>
  <c r="R696" i="4" s="1"/>
  <c r="I701" i="4"/>
  <c r="M765" i="4"/>
  <c r="D765" i="4"/>
  <c r="M769" i="4"/>
  <c r="D769" i="4"/>
  <c r="D685" i="4"/>
  <c r="N685" i="4"/>
  <c r="Q682" i="4"/>
  <c r="R682" i="4" s="1"/>
  <c r="Q692" i="4"/>
  <c r="B702" i="4"/>
  <c r="E702" i="4" s="1"/>
  <c r="R702" i="4" s="1"/>
  <c r="E699" i="4"/>
  <c r="N703" i="4"/>
  <c r="R681" i="4"/>
  <c r="E684" i="4"/>
  <c r="R684" i="4" s="1"/>
  <c r="B690" i="4"/>
  <c r="B704" i="4" s="1"/>
  <c r="E687" i="4"/>
  <c r="I692" i="4"/>
  <c r="R692" i="4" s="1"/>
  <c r="Q702" i="4"/>
  <c r="C704" i="4"/>
  <c r="M766" i="4"/>
  <c r="D766" i="4"/>
  <c r="M770" i="4"/>
  <c r="D770" i="4"/>
  <c r="H690" i="4"/>
  <c r="P690" i="4"/>
  <c r="P720" i="4" s="1"/>
  <c r="P726" i="4" s="1"/>
  <c r="P14" i="4" s="1"/>
  <c r="I699" i="4"/>
  <c r="Q699" i="4"/>
  <c r="E859" i="4"/>
  <c r="Q859" i="4"/>
  <c r="D859" i="4"/>
  <c r="C859" i="4"/>
  <c r="B859" i="4"/>
  <c r="F831" i="4"/>
  <c r="B774" i="4"/>
  <c r="F821" i="4"/>
  <c r="F850" i="4"/>
  <c r="E850" i="4"/>
  <c r="Q850" i="4"/>
  <c r="D850" i="4"/>
  <c r="C850" i="4"/>
  <c r="F822" i="4"/>
  <c r="B850" i="4"/>
  <c r="F798" i="4"/>
  <c r="E852" i="4"/>
  <c r="Q852" i="4"/>
  <c r="D852" i="4"/>
  <c r="C852" i="4"/>
  <c r="F824" i="4"/>
  <c r="B852" i="4"/>
  <c r="H852" i="4" s="1"/>
  <c r="F852" i="4"/>
  <c r="F800" i="4"/>
  <c r="C854" i="4"/>
  <c r="F826" i="4"/>
  <c r="B854" i="4"/>
  <c r="F854" i="4"/>
  <c r="E854" i="4"/>
  <c r="F802" i="4"/>
  <c r="Q854" i="4"/>
  <c r="B856" i="4"/>
  <c r="F856" i="4"/>
  <c r="E856" i="4"/>
  <c r="Q856" i="4"/>
  <c r="D856" i="4"/>
  <c r="F828" i="4"/>
  <c r="F804" i="4"/>
  <c r="G807" i="4"/>
  <c r="G831" i="4"/>
  <c r="E885" i="4"/>
  <c r="I774" i="4" s="1"/>
  <c r="G802" i="4"/>
  <c r="F806" i="4"/>
  <c r="E876" i="4"/>
  <c r="I765" i="4" s="1"/>
  <c r="G822" i="4"/>
  <c r="E882" i="4"/>
  <c r="I771" i="4" s="1"/>
  <c r="G828" i="4"/>
  <c r="F860" i="4"/>
  <c r="E860" i="4"/>
  <c r="F832" i="4"/>
  <c r="Q860" i="4"/>
  <c r="D860" i="4"/>
  <c r="C860" i="4"/>
  <c r="F808" i="4"/>
  <c r="B860" i="4"/>
  <c r="B775" i="4"/>
  <c r="C856" i="4"/>
  <c r="E679" i="4"/>
  <c r="R679" i="4" s="1"/>
  <c r="E886" i="4"/>
  <c r="I775" i="4" s="1"/>
  <c r="G808" i="4"/>
  <c r="G832" i="4"/>
  <c r="E849" i="4"/>
  <c r="E880" i="4"/>
  <c r="I769" i="4" s="1"/>
  <c r="I913" i="4"/>
  <c r="E857" i="4"/>
  <c r="Q857" i="4"/>
  <c r="D857" i="4"/>
  <c r="C857" i="4"/>
  <c r="B857" i="4"/>
  <c r="F829" i="4"/>
  <c r="F857" i="4"/>
  <c r="F805" i="4"/>
  <c r="G824" i="4"/>
  <c r="J920" i="4"/>
  <c r="Q849" i="4"/>
  <c r="D849" i="4"/>
  <c r="D862" i="4" s="1"/>
  <c r="C849" i="4"/>
  <c r="B849" i="4"/>
  <c r="F849" i="4"/>
  <c r="F797" i="4"/>
  <c r="B851" i="4"/>
  <c r="F823" i="4"/>
  <c r="F851" i="4"/>
  <c r="E851" i="4"/>
  <c r="Q851" i="4"/>
  <c r="D851" i="4"/>
  <c r="F799" i="4"/>
  <c r="F853" i="4"/>
  <c r="E853" i="4"/>
  <c r="Q853" i="4"/>
  <c r="D853" i="4"/>
  <c r="C853" i="4"/>
  <c r="B853" i="4"/>
  <c r="F801" i="4"/>
  <c r="F855" i="4"/>
  <c r="E855" i="4"/>
  <c r="Q855" i="4"/>
  <c r="D855" i="4"/>
  <c r="C855" i="4"/>
  <c r="B855" i="4"/>
  <c r="H855" i="4" s="1"/>
  <c r="F827" i="4"/>
  <c r="F803" i="4"/>
  <c r="G800" i="4"/>
  <c r="G804" i="4"/>
  <c r="C851" i="4"/>
  <c r="E875" i="4"/>
  <c r="G821" i="4"/>
  <c r="G823" i="4"/>
  <c r="E877" i="4"/>
  <c r="I766" i="4" s="1"/>
  <c r="G825" i="4"/>
  <c r="E879" i="4"/>
  <c r="I768" i="4" s="1"/>
  <c r="E881" i="4"/>
  <c r="I770" i="4" s="1"/>
  <c r="G827" i="4"/>
  <c r="F858" i="4"/>
  <c r="E858" i="4"/>
  <c r="Q858" i="4"/>
  <c r="D858" i="4"/>
  <c r="F830" i="4"/>
  <c r="C858" i="4"/>
  <c r="H858" i="4" s="1"/>
  <c r="B773" i="4"/>
  <c r="B777" i="4" s="1"/>
  <c r="M888" i="4"/>
  <c r="H883" i="4"/>
  <c r="I878" i="4"/>
  <c r="I915" i="4"/>
  <c r="J917" i="4" s="1"/>
  <c r="R920" i="4"/>
  <c r="I881" i="4"/>
  <c r="J914" i="4"/>
  <c r="J888" i="4"/>
  <c r="N914" i="4"/>
  <c r="R914" i="4"/>
  <c r="I879" i="4"/>
  <c r="D65" i="3"/>
  <c r="P245" i="3"/>
  <c r="Q244" i="3"/>
  <c r="R471" i="3"/>
  <c r="R17" i="3"/>
  <c r="R20" i="3"/>
  <c r="D131" i="3"/>
  <c r="R18" i="3"/>
  <c r="R15" i="3"/>
  <c r="K65" i="3"/>
  <c r="L61" i="3"/>
  <c r="L64" i="3" s="1"/>
  <c r="H245" i="3"/>
  <c r="D442" i="3"/>
  <c r="H493" i="3"/>
  <c r="O493" i="3"/>
  <c r="M492" i="3"/>
  <c r="J493" i="3"/>
  <c r="P493" i="3"/>
  <c r="R812" i="3"/>
  <c r="R839" i="3"/>
  <c r="R866" i="3"/>
  <c r="R900" i="3"/>
  <c r="R757" i="3"/>
  <c r="R667" i="3"/>
  <c r="R730" i="3"/>
  <c r="R708" i="3"/>
  <c r="R788" i="3"/>
  <c r="G65" i="3"/>
  <c r="R51" i="3"/>
  <c r="E60" i="3"/>
  <c r="R60" i="3" s="1"/>
  <c r="R87" i="3"/>
  <c r="M126" i="3"/>
  <c r="R126" i="3" s="1"/>
  <c r="R146" i="3"/>
  <c r="C245" i="3"/>
  <c r="N245" i="3"/>
  <c r="R188" i="3"/>
  <c r="R221" i="3"/>
  <c r="R224" i="3"/>
  <c r="M234" i="3"/>
  <c r="R234" i="3" s="1"/>
  <c r="R339" i="3"/>
  <c r="Q412" i="3"/>
  <c r="N438" i="3"/>
  <c r="L442" i="3"/>
  <c r="O577" i="3"/>
  <c r="O65" i="3"/>
  <c r="R74" i="3"/>
  <c r="H127" i="3"/>
  <c r="H130" i="3" s="1"/>
  <c r="R120" i="3"/>
  <c r="J130" i="3"/>
  <c r="R168" i="3"/>
  <c r="O245" i="3"/>
  <c r="R207" i="3"/>
  <c r="R209" i="3"/>
  <c r="Q236" i="3"/>
  <c r="R272" i="3"/>
  <c r="R275" i="3"/>
  <c r="P358" i="3"/>
  <c r="R312" i="3"/>
  <c r="F397" i="3"/>
  <c r="I394" i="3"/>
  <c r="H398" i="3"/>
  <c r="M397" i="3"/>
  <c r="J398" i="3"/>
  <c r="I412" i="3"/>
  <c r="R412" i="3" s="1"/>
  <c r="F438" i="3"/>
  <c r="O442" i="3"/>
  <c r="L621" i="3"/>
  <c r="L622" i="3"/>
  <c r="I130" i="3"/>
  <c r="F131" i="3"/>
  <c r="B130" i="3"/>
  <c r="D577" i="3"/>
  <c r="J61" i="3"/>
  <c r="M42" i="3"/>
  <c r="P65" i="3"/>
  <c r="Q127" i="3"/>
  <c r="K131" i="3"/>
  <c r="F236" i="3"/>
  <c r="K245" i="3"/>
  <c r="N256" i="3"/>
  <c r="N775" i="3" s="1"/>
  <c r="Q255" i="3"/>
  <c r="H358" i="3"/>
  <c r="Q312" i="3"/>
  <c r="N352" i="3"/>
  <c r="O358" i="3"/>
  <c r="K442" i="3"/>
  <c r="B492" i="3"/>
  <c r="P131" i="3"/>
  <c r="D30" i="3"/>
  <c r="C65" i="3"/>
  <c r="R141" i="3"/>
  <c r="R175" i="3"/>
  <c r="G236" i="3"/>
  <c r="G244" i="3" s="1"/>
  <c r="R182" i="3"/>
  <c r="R281" i="3"/>
  <c r="P394" i="3"/>
  <c r="P397" i="3" s="1"/>
  <c r="C493" i="3"/>
  <c r="N492" i="3"/>
  <c r="Q489" i="3"/>
  <c r="R487" i="3"/>
  <c r="E29" i="3"/>
  <c r="B61" i="3"/>
  <c r="E42" i="3"/>
  <c r="R42" i="3" s="1"/>
  <c r="L127" i="3"/>
  <c r="L130" i="3" s="1"/>
  <c r="R103" i="3"/>
  <c r="R105" i="3"/>
  <c r="R114" i="3"/>
  <c r="R163" i="3"/>
  <c r="Q182" i="3"/>
  <c r="R204" i="3"/>
  <c r="I255" i="3"/>
  <c r="L30" i="3"/>
  <c r="C127" i="3"/>
  <c r="C130" i="3" s="1"/>
  <c r="Q130" i="3"/>
  <c r="R107" i="3"/>
  <c r="M125" i="3"/>
  <c r="R125" i="3" s="1"/>
  <c r="R149" i="3"/>
  <c r="R151" i="3"/>
  <c r="R191" i="3"/>
  <c r="R193" i="3"/>
  <c r="R227" i="3"/>
  <c r="R253" i="3"/>
  <c r="R255" i="3" s="1"/>
  <c r="R269" i="3"/>
  <c r="G358" i="3"/>
  <c r="C442" i="3"/>
  <c r="B503" i="3"/>
  <c r="E502" i="3"/>
  <c r="F30" i="3"/>
  <c r="I89" i="3"/>
  <c r="R89" i="3" s="1"/>
  <c r="Q89" i="3"/>
  <c r="I177" i="3"/>
  <c r="R177" i="3" s="1"/>
  <c r="Q177" i="3"/>
  <c r="B236" i="3"/>
  <c r="J236" i="3"/>
  <c r="M352" i="3"/>
  <c r="J357" i="3"/>
  <c r="R301" i="3"/>
  <c r="R321" i="3"/>
  <c r="R323" i="3"/>
  <c r="R346" i="3"/>
  <c r="R348" i="3"/>
  <c r="Q351" i="3"/>
  <c r="R351" i="3" s="1"/>
  <c r="R355" i="3"/>
  <c r="G442" i="3"/>
  <c r="D489" i="3"/>
  <c r="D492" i="3" s="1"/>
  <c r="O538" i="3"/>
  <c r="P577" i="3"/>
  <c r="F61" i="3"/>
  <c r="N61" i="3"/>
  <c r="J256" i="3"/>
  <c r="N772" i="3" s="1"/>
  <c r="E352" i="3"/>
  <c r="B357" i="3"/>
  <c r="K358" i="3"/>
  <c r="I312" i="3"/>
  <c r="R415" i="3"/>
  <c r="E419" i="3"/>
  <c r="R419" i="3" s="1"/>
  <c r="R454" i="3"/>
  <c r="R456" i="3"/>
  <c r="F489" i="3"/>
  <c r="R467" i="3"/>
  <c r="R480" i="3"/>
  <c r="G577" i="3"/>
  <c r="I608" i="3"/>
  <c r="P742" i="3"/>
  <c r="C623" i="3"/>
  <c r="H30" i="3"/>
  <c r="R284" i="3"/>
  <c r="C358" i="3"/>
  <c r="L358" i="3"/>
  <c r="R311" i="3"/>
  <c r="J438" i="3"/>
  <c r="G538" i="3"/>
  <c r="O587" i="3"/>
  <c r="Q586" i="3"/>
  <c r="J620" i="3"/>
  <c r="M616" i="3"/>
  <c r="D616" i="3"/>
  <c r="D620" i="3" s="1"/>
  <c r="E615" i="3"/>
  <c r="R615" i="3" s="1"/>
  <c r="D663" i="3"/>
  <c r="D664" i="3"/>
  <c r="Q29" i="3"/>
  <c r="D358" i="3"/>
  <c r="R329" i="3"/>
  <c r="R350" i="3"/>
  <c r="F352" i="3"/>
  <c r="I393" i="3"/>
  <c r="R393" i="3" s="1"/>
  <c r="G398" i="3"/>
  <c r="B438" i="3"/>
  <c r="D538" i="3"/>
  <c r="F662" i="3"/>
  <c r="P664" i="3"/>
  <c r="P663" i="3"/>
  <c r="R293" i="3"/>
  <c r="E297" i="3"/>
  <c r="R297" i="3" s="1"/>
  <c r="C394" i="3"/>
  <c r="C397" i="3" s="1"/>
  <c r="B397" i="3"/>
  <c r="M489" i="3"/>
  <c r="I488" i="3"/>
  <c r="R488" i="3" s="1"/>
  <c r="G493" i="3"/>
  <c r="J503" i="3"/>
  <c r="M502" i="3"/>
  <c r="I636" i="3"/>
  <c r="G659" i="3"/>
  <c r="G662" i="3" s="1"/>
  <c r="R304" i="3"/>
  <c r="R306" i="3"/>
  <c r="N397" i="3"/>
  <c r="E379" i="3"/>
  <c r="R379" i="3" s="1"/>
  <c r="R390" i="3"/>
  <c r="O398" i="3"/>
  <c r="R436" i="3"/>
  <c r="R451" i="3"/>
  <c r="R474" i="3"/>
  <c r="K538" i="3"/>
  <c r="R521" i="3"/>
  <c r="H664" i="3"/>
  <c r="H663" i="3"/>
  <c r="E462" i="3"/>
  <c r="M462" i="3"/>
  <c r="C503" i="3"/>
  <c r="L534" i="3"/>
  <c r="L537" i="3" s="1"/>
  <c r="R565" i="3"/>
  <c r="R572" i="3"/>
  <c r="R574" i="3"/>
  <c r="P587" i="3"/>
  <c r="B620" i="3"/>
  <c r="K622" i="3"/>
  <c r="R647" i="3"/>
  <c r="B692" i="3"/>
  <c r="E688" i="3"/>
  <c r="C538" i="3"/>
  <c r="Q517" i="3"/>
  <c r="N534" i="3"/>
  <c r="R529" i="3"/>
  <c r="H577" i="3"/>
  <c r="R571" i="3"/>
  <c r="R584" i="3"/>
  <c r="I586" i="3"/>
  <c r="G587" i="3"/>
  <c r="I604" i="3"/>
  <c r="R604" i="3" s="1"/>
  <c r="R634" i="3"/>
  <c r="Q647" i="3"/>
  <c r="L720" i="3"/>
  <c r="L728" i="3" s="1"/>
  <c r="L14" i="3" s="1"/>
  <c r="L706" i="3"/>
  <c r="J573" i="3"/>
  <c r="M552" i="3"/>
  <c r="H587" i="3"/>
  <c r="N620" i="3"/>
  <c r="K664" i="3"/>
  <c r="D720" i="3"/>
  <c r="D728" i="3" s="1"/>
  <c r="D14" i="3" s="1"/>
  <c r="D706" i="3"/>
  <c r="J705" i="3"/>
  <c r="M698" i="3"/>
  <c r="E374" i="3"/>
  <c r="M374" i="3"/>
  <c r="I517" i="3"/>
  <c r="R517" i="3" s="1"/>
  <c r="F534" i="3"/>
  <c r="R533" i="3"/>
  <c r="K577" i="3"/>
  <c r="F616" i="3"/>
  <c r="O621" i="3"/>
  <c r="O622" i="3"/>
  <c r="L663" i="3"/>
  <c r="L664" i="3"/>
  <c r="H720" i="3"/>
  <c r="E685" i="3"/>
  <c r="R685" i="3" s="1"/>
  <c r="I462" i="3"/>
  <c r="Q462" i="3"/>
  <c r="P538" i="3"/>
  <c r="R547" i="3"/>
  <c r="B573" i="3"/>
  <c r="E552" i="3"/>
  <c r="E561" i="3"/>
  <c r="R561" i="3" s="1"/>
  <c r="I571" i="3"/>
  <c r="G616" i="3"/>
  <c r="G620" i="3" s="1"/>
  <c r="P616" i="3"/>
  <c r="P620" i="3" s="1"/>
  <c r="Q608" i="3"/>
  <c r="C664" i="3"/>
  <c r="C588" i="3" s="1"/>
  <c r="C663" i="3"/>
  <c r="N659" i="3"/>
  <c r="Q692" i="3"/>
  <c r="N722" i="3"/>
  <c r="R513" i="3"/>
  <c r="H538" i="3"/>
  <c r="R525" i="3"/>
  <c r="Q532" i="3"/>
  <c r="R532" i="3" s="1"/>
  <c r="C577" i="3"/>
  <c r="R568" i="3"/>
  <c r="L577" i="3"/>
  <c r="R586" i="3"/>
  <c r="H616" i="3"/>
  <c r="H620" i="3" s="1"/>
  <c r="R608" i="3"/>
  <c r="O659" i="3"/>
  <c r="O662" i="3" s="1"/>
  <c r="Q636" i="3"/>
  <c r="R636" i="3" s="1"/>
  <c r="R646" i="3"/>
  <c r="R658" i="3"/>
  <c r="J724" i="3"/>
  <c r="M724" i="3" s="1"/>
  <c r="M696" i="3"/>
  <c r="N503" i="3"/>
  <c r="F573" i="3"/>
  <c r="N573" i="3"/>
  <c r="J587" i="3"/>
  <c r="L588" i="3"/>
  <c r="J659" i="3"/>
  <c r="J686" i="3"/>
  <c r="M680" i="3"/>
  <c r="R681" i="3"/>
  <c r="R691" i="3"/>
  <c r="B724" i="3"/>
  <c r="E724" i="3" s="1"/>
  <c r="E696" i="3"/>
  <c r="B705" i="3"/>
  <c r="E698" i="3"/>
  <c r="R698" i="3" s="1"/>
  <c r="D503" i="3"/>
  <c r="B659" i="3"/>
  <c r="B686" i="3"/>
  <c r="E680" i="3"/>
  <c r="R680" i="3" s="1"/>
  <c r="P692" i="3"/>
  <c r="P722" i="3" s="1"/>
  <c r="R695" i="3"/>
  <c r="N705" i="3"/>
  <c r="C706" i="3"/>
  <c r="F503" i="3"/>
  <c r="B587" i="3"/>
  <c r="C728" i="3"/>
  <c r="C14" i="3" s="1"/>
  <c r="R690" i="3"/>
  <c r="E600" i="3"/>
  <c r="R600" i="3" s="1"/>
  <c r="M600" i="3"/>
  <c r="N686" i="3"/>
  <c r="Q683" i="3"/>
  <c r="H692" i="3"/>
  <c r="H722" i="3" s="1"/>
  <c r="R694" i="3"/>
  <c r="Q694" i="3"/>
  <c r="N696" i="3"/>
  <c r="P705" i="3"/>
  <c r="P726" i="3" s="1"/>
  <c r="N704" i="3"/>
  <c r="K706" i="3"/>
  <c r="E862" i="3"/>
  <c r="F834" i="3"/>
  <c r="Q862" i="3"/>
  <c r="D862" i="3"/>
  <c r="C862" i="3"/>
  <c r="F810" i="3"/>
  <c r="B777" i="3"/>
  <c r="F862" i="3"/>
  <c r="B862" i="3"/>
  <c r="H862" i="3" s="1"/>
  <c r="B534" i="3"/>
  <c r="J534" i="3"/>
  <c r="O706" i="3"/>
  <c r="O720" i="3"/>
  <c r="K728" i="3"/>
  <c r="K14" i="3" s="1"/>
  <c r="J692" i="3"/>
  <c r="M688" i="3"/>
  <c r="I692" i="3"/>
  <c r="F722" i="3"/>
  <c r="I694" i="3"/>
  <c r="F696" i="3"/>
  <c r="F706" i="3" s="1"/>
  <c r="G705" i="3"/>
  <c r="G726" i="3" s="1"/>
  <c r="R700" i="3"/>
  <c r="O704" i="3"/>
  <c r="Q701" i="3"/>
  <c r="E858" i="3"/>
  <c r="Q858" i="3"/>
  <c r="D858" i="3"/>
  <c r="C858" i="3"/>
  <c r="F830" i="3"/>
  <c r="F806" i="3"/>
  <c r="B773" i="3"/>
  <c r="F858" i="3"/>
  <c r="B858" i="3"/>
  <c r="G686" i="3"/>
  <c r="P686" i="3"/>
  <c r="I683" i="3"/>
  <c r="R683" i="3" s="1"/>
  <c r="G692" i="3"/>
  <c r="G722" i="3" s="1"/>
  <c r="H705" i="3"/>
  <c r="H726" i="3" s="1"/>
  <c r="F704" i="3"/>
  <c r="I704" i="3" s="1"/>
  <c r="R703" i="3"/>
  <c r="I701" i="3"/>
  <c r="F851" i="3"/>
  <c r="F823" i="3"/>
  <c r="E851" i="3"/>
  <c r="E864" i="3" s="1"/>
  <c r="C851" i="3"/>
  <c r="F799" i="3"/>
  <c r="D851" i="3"/>
  <c r="B851" i="3"/>
  <c r="B852" i="3"/>
  <c r="H852" i="3" s="1"/>
  <c r="F824" i="3"/>
  <c r="F852" i="3"/>
  <c r="F800" i="3"/>
  <c r="Q852" i="3"/>
  <c r="B767" i="3"/>
  <c r="E852" i="3"/>
  <c r="D852" i="3"/>
  <c r="E853" i="3"/>
  <c r="Q853" i="3"/>
  <c r="D853" i="3"/>
  <c r="C853" i="3"/>
  <c r="F825" i="3"/>
  <c r="F801" i="3"/>
  <c r="F854" i="3"/>
  <c r="Q854" i="3"/>
  <c r="D854" i="3"/>
  <c r="C854" i="3"/>
  <c r="F802" i="3"/>
  <c r="B854" i="3"/>
  <c r="H854" i="3" s="1"/>
  <c r="B769" i="3"/>
  <c r="C855" i="3"/>
  <c r="B855" i="3"/>
  <c r="F855" i="3"/>
  <c r="F803" i="3"/>
  <c r="E855" i="3"/>
  <c r="D855" i="3"/>
  <c r="F856" i="3"/>
  <c r="E856" i="3"/>
  <c r="Q856" i="3"/>
  <c r="D856" i="3"/>
  <c r="B856" i="3"/>
  <c r="F828" i="3"/>
  <c r="F804" i="3"/>
  <c r="B771" i="3"/>
  <c r="C856" i="3"/>
  <c r="B857" i="3"/>
  <c r="F857" i="3"/>
  <c r="F805" i="3"/>
  <c r="Q857" i="3"/>
  <c r="E857" i="3"/>
  <c r="D857" i="3"/>
  <c r="F829" i="3"/>
  <c r="Q855" i="3"/>
  <c r="F705" i="3"/>
  <c r="G823" i="3"/>
  <c r="E877" i="3"/>
  <c r="G754" i="3"/>
  <c r="E881" i="3"/>
  <c r="I770" i="3" s="1"/>
  <c r="G827" i="3"/>
  <c r="E882" i="3"/>
  <c r="I771" i="3" s="1"/>
  <c r="G828" i="3"/>
  <c r="G829" i="3"/>
  <c r="E883" i="3"/>
  <c r="I772" i="3" s="1"/>
  <c r="G799" i="3"/>
  <c r="G801" i="3"/>
  <c r="G803" i="3"/>
  <c r="G805" i="3"/>
  <c r="Q851" i="3"/>
  <c r="I878" i="3"/>
  <c r="I915" i="3"/>
  <c r="J916" i="3" s="1"/>
  <c r="O705" i="3"/>
  <c r="O726" i="3" s="1"/>
  <c r="F831" i="3"/>
  <c r="E859" i="3"/>
  <c r="D859" i="3"/>
  <c r="C859" i="3"/>
  <c r="B859" i="3"/>
  <c r="Q859" i="3"/>
  <c r="F807" i="3"/>
  <c r="G825" i="3"/>
  <c r="C852" i="3"/>
  <c r="C857" i="3"/>
  <c r="B853" i="3"/>
  <c r="E701" i="3"/>
  <c r="M701" i="3"/>
  <c r="E860" i="3"/>
  <c r="Q860" i="3"/>
  <c r="D860" i="3"/>
  <c r="F832" i="3"/>
  <c r="C860" i="3"/>
  <c r="F808" i="3"/>
  <c r="F860" i="3"/>
  <c r="B860" i="3"/>
  <c r="H860" i="3" s="1"/>
  <c r="B775" i="3"/>
  <c r="F826" i="3"/>
  <c r="F853" i="3"/>
  <c r="F833" i="3"/>
  <c r="E861" i="3"/>
  <c r="Q861" i="3"/>
  <c r="B776" i="3"/>
  <c r="F861" i="3"/>
  <c r="D861" i="3"/>
  <c r="C861" i="3"/>
  <c r="H861" i="3" s="1"/>
  <c r="F809" i="3"/>
  <c r="F754" i="3"/>
  <c r="B766" i="3"/>
  <c r="B768" i="3"/>
  <c r="B770" i="3"/>
  <c r="B772" i="3"/>
  <c r="B774" i="3"/>
  <c r="G800" i="3"/>
  <c r="G802" i="3"/>
  <c r="G804" i="3"/>
  <c r="G826" i="3"/>
  <c r="E854" i="3"/>
  <c r="F859" i="3"/>
  <c r="E884" i="3"/>
  <c r="I773" i="3" s="1"/>
  <c r="G830" i="3"/>
  <c r="E885" i="3"/>
  <c r="G807" i="3"/>
  <c r="E886" i="3"/>
  <c r="G808" i="3"/>
  <c r="G833" i="3"/>
  <c r="G809" i="3"/>
  <c r="E888" i="3"/>
  <c r="I777" i="3" s="1"/>
  <c r="G810" i="3"/>
  <c r="H878" i="3"/>
  <c r="G834" i="3"/>
  <c r="E887" i="3"/>
  <c r="I776" i="3" s="1"/>
  <c r="Q928" i="3"/>
  <c r="I917" i="3"/>
  <c r="J919" i="3" s="1"/>
  <c r="J890" i="3"/>
  <c r="M877" i="3"/>
  <c r="M890" i="3" s="1"/>
  <c r="R919" i="3"/>
  <c r="G806" i="3"/>
  <c r="M928" i="3"/>
  <c r="K66" i="2"/>
  <c r="H376" i="2"/>
  <c r="P376" i="2"/>
  <c r="E370" i="2"/>
  <c r="B375" i="2"/>
  <c r="K376" i="2"/>
  <c r="R16" i="2"/>
  <c r="C66" i="2"/>
  <c r="B131" i="2"/>
  <c r="E128" i="2"/>
  <c r="L132" i="2"/>
  <c r="J254" i="2"/>
  <c r="M246" i="2"/>
  <c r="R15" i="2"/>
  <c r="J65" i="2"/>
  <c r="M62" i="2"/>
  <c r="Q128" i="2"/>
  <c r="N131" i="2"/>
  <c r="R183" i="2"/>
  <c r="B255" i="2"/>
  <c r="R18" i="2"/>
  <c r="R20" i="2"/>
  <c r="D132" i="2"/>
  <c r="O132" i="2"/>
  <c r="K255" i="2"/>
  <c r="Q254" i="2"/>
  <c r="N255" i="2"/>
  <c r="O376" i="2"/>
  <c r="K421" i="2"/>
  <c r="R17" i="2"/>
  <c r="B65" i="2"/>
  <c r="E62" i="2"/>
  <c r="L66" i="2"/>
  <c r="P66" i="2"/>
  <c r="I128" i="2"/>
  <c r="F131" i="2"/>
  <c r="P132" i="2"/>
  <c r="R108" i="2"/>
  <c r="L255" i="2"/>
  <c r="R368" i="2"/>
  <c r="H66" i="2"/>
  <c r="R60" i="2"/>
  <c r="G132" i="2"/>
  <c r="I246" i="2"/>
  <c r="F254" i="2"/>
  <c r="R221" i="2"/>
  <c r="D66" i="2"/>
  <c r="H132" i="2"/>
  <c r="C132" i="2"/>
  <c r="O421" i="2"/>
  <c r="J131" i="2"/>
  <c r="R127" i="2"/>
  <c r="C376" i="2"/>
  <c r="D31" i="2"/>
  <c r="E89" i="2"/>
  <c r="M89" i="2"/>
  <c r="R141" i="2"/>
  <c r="R202" i="2"/>
  <c r="R224" i="2"/>
  <c r="R248" i="2"/>
  <c r="R275" i="2"/>
  <c r="R282" i="2"/>
  <c r="R285" i="2"/>
  <c r="I370" i="2"/>
  <c r="F375" i="2"/>
  <c r="Q370" i="2"/>
  <c r="N375" i="2"/>
  <c r="R316" i="2"/>
  <c r="R320" i="2"/>
  <c r="M397" i="2"/>
  <c r="J417" i="2"/>
  <c r="E416" i="2"/>
  <c r="B417" i="2"/>
  <c r="K128" i="2"/>
  <c r="K131" i="2" s="1"/>
  <c r="E43" i="2"/>
  <c r="R43" i="2" s="1"/>
  <c r="M43" i="2"/>
  <c r="F62" i="2"/>
  <c r="N62" i="2"/>
  <c r="R153" i="2"/>
  <c r="R166" i="2"/>
  <c r="R187" i="2"/>
  <c r="R199" i="2"/>
  <c r="Q244" i="2"/>
  <c r="R244" i="2" s="1"/>
  <c r="M245" i="2"/>
  <c r="C246" i="2"/>
  <c r="C254" i="2" s="1"/>
  <c r="E254" i="2" s="1"/>
  <c r="Q246" i="2"/>
  <c r="E265" i="2"/>
  <c r="R289" i="2"/>
  <c r="R366" i="2"/>
  <c r="O510" i="2"/>
  <c r="R504" i="2"/>
  <c r="K680" i="2"/>
  <c r="K681" i="2"/>
  <c r="C510" i="2"/>
  <c r="B509" i="2"/>
  <c r="E506" i="2"/>
  <c r="E48" i="2"/>
  <c r="R48" i="2" s="1"/>
  <c r="M48" i="2"/>
  <c r="E96" i="2"/>
  <c r="R96" i="2" s="1"/>
  <c r="M176" i="2"/>
  <c r="R176" i="2" s="1"/>
  <c r="J370" i="2"/>
  <c r="L462" i="2"/>
  <c r="O462" i="2"/>
  <c r="R917" i="2"/>
  <c r="R829" i="2"/>
  <c r="R856" i="2"/>
  <c r="R883" i="2"/>
  <c r="R774" i="2"/>
  <c r="R747" i="2"/>
  <c r="R684" i="2"/>
  <c r="R725" i="2"/>
  <c r="R805" i="2"/>
  <c r="I30" i="2"/>
  <c r="R30" i="2" s="1"/>
  <c r="Q30" i="2"/>
  <c r="I89" i="2"/>
  <c r="Q89" i="2"/>
  <c r="R157" i="2"/>
  <c r="R203" i="2"/>
  <c r="R215" i="2"/>
  <c r="R225" i="2"/>
  <c r="R238" i="2"/>
  <c r="E245" i="2"/>
  <c r="R247" i="2"/>
  <c r="R278" i="2"/>
  <c r="R286" i="2"/>
  <c r="R312" i="2"/>
  <c r="D421" i="2"/>
  <c r="F31" i="2"/>
  <c r="G66" i="2"/>
  <c r="M265" i="2"/>
  <c r="K266" i="2"/>
  <c r="N790" i="2" s="1"/>
  <c r="D510" i="2"/>
  <c r="R170" i="2"/>
  <c r="O246" i="2"/>
  <c r="O254" i="2" s="1"/>
  <c r="M183" i="2"/>
  <c r="R191" i="2"/>
  <c r="R210" i="2"/>
  <c r="R233" i="2"/>
  <c r="Q245" i="2"/>
  <c r="G255" i="2"/>
  <c r="R288" i="2"/>
  <c r="R337" i="2"/>
  <c r="I397" i="2"/>
  <c r="F417" i="2"/>
  <c r="P421" i="2"/>
  <c r="M445" i="2"/>
  <c r="K458" i="2"/>
  <c r="K461" i="2" s="1"/>
  <c r="R502" i="2"/>
  <c r="M589" i="2"/>
  <c r="J590" i="2"/>
  <c r="R149" i="2"/>
  <c r="H255" i="2"/>
  <c r="R219" i="2"/>
  <c r="R299" i="2"/>
  <c r="D376" i="2"/>
  <c r="Q321" i="2"/>
  <c r="R342" i="2"/>
  <c r="R365" i="2"/>
  <c r="Q369" i="2"/>
  <c r="R400" i="2"/>
  <c r="G421" i="2"/>
  <c r="R456" i="2"/>
  <c r="E554" i="2"/>
  <c r="B555" i="2"/>
  <c r="D255" i="2"/>
  <c r="Q506" i="2"/>
  <c r="N509" i="2"/>
  <c r="L555" i="2"/>
  <c r="R162" i="2"/>
  <c r="R195" i="2"/>
  <c r="R207" i="2"/>
  <c r="R229" i="2"/>
  <c r="R321" i="2"/>
  <c r="R341" i="2"/>
  <c r="R360" i="2"/>
  <c r="R373" i="2"/>
  <c r="G462" i="2"/>
  <c r="G555" i="2"/>
  <c r="R277" i="2"/>
  <c r="R293" i="2"/>
  <c r="R311" i="2"/>
  <c r="R336" i="2"/>
  <c r="R351" i="2"/>
  <c r="R356" i="2"/>
  <c r="P458" i="2"/>
  <c r="P461" i="2" s="1"/>
  <c r="R451" i="2"/>
  <c r="R454" i="2"/>
  <c r="P506" i="2"/>
  <c r="P509" i="2" s="1"/>
  <c r="Q481" i="2"/>
  <c r="J520" i="2"/>
  <c r="M519" i="2"/>
  <c r="D555" i="2"/>
  <c r="H551" i="2"/>
  <c r="H554" i="2" s="1"/>
  <c r="R583" i="2"/>
  <c r="H506" i="2"/>
  <c r="H509" i="2" s="1"/>
  <c r="I481" i="2"/>
  <c r="K510" i="2"/>
  <c r="Q542" i="2"/>
  <c r="O551" i="2"/>
  <c r="O554" i="2" s="1"/>
  <c r="K555" i="2"/>
  <c r="L594" i="2"/>
  <c r="L737" i="2"/>
  <c r="O723" i="2"/>
  <c r="O737" i="2"/>
  <c r="O745" i="2" s="1"/>
  <c r="O14" i="2" s="1"/>
  <c r="M705" i="2"/>
  <c r="J709" i="2"/>
  <c r="I435" i="2"/>
  <c r="R474" i="2"/>
  <c r="B520" i="2"/>
  <c r="E519" i="2"/>
  <c r="R550" i="2"/>
  <c r="C594" i="2"/>
  <c r="E621" i="2"/>
  <c r="R621" i="2" s="1"/>
  <c r="D633" i="2"/>
  <c r="D637" i="2" s="1"/>
  <c r="R328" i="2"/>
  <c r="E369" i="2"/>
  <c r="R369" i="2" s="1"/>
  <c r="E397" i="2"/>
  <c r="R397" i="2" s="1"/>
  <c r="L417" i="2"/>
  <c r="L420" i="2" s="1"/>
  <c r="R406" i="2"/>
  <c r="M486" i="2"/>
  <c r="J506" i="2"/>
  <c r="R497" i="2"/>
  <c r="R499" i="2"/>
  <c r="N551" i="2"/>
  <c r="Q534" i="2"/>
  <c r="R276" i="2"/>
  <c r="R294" i="2"/>
  <c r="R310" i="2"/>
  <c r="R335" i="2"/>
  <c r="R340" i="2"/>
  <c r="R352" i="2"/>
  <c r="Q402" i="2"/>
  <c r="R402" i="2" s="1"/>
  <c r="N417" i="2"/>
  <c r="R430" i="2"/>
  <c r="B458" i="2"/>
  <c r="M435" i="2"/>
  <c r="I445" i="2"/>
  <c r="R445" i="2" s="1"/>
  <c r="R450" i="2"/>
  <c r="F506" i="2"/>
  <c r="I490" i="2"/>
  <c r="R490" i="2" s="1"/>
  <c r="R507" i="2"/>
  <c r="P551" i="2"/>
  <c r="P554" i="2" s="1"/>
  <c r="P590" i="2"/>
  <c r="P593" i="2" s="1"/>
  <c r="Q569" i="2"/>
  <c r="E435" i="2"/>
  <c r="C458" i="2"/>
  <c r="C461" i="2" s="1"/>
  <c r="Q441" i="2"/>
  <c r="G510" i="2"/>
  <c r="F551" i="2"/>
  <c r="I534" i="2"/>
  <c r="G590" i="2"/>
  <c r="G593" i="2" s="1"/>
  <c r="I569" i="2"/>
  <c r="L604" i="2"/>
  <c r="M603" i="2"/>
  <c r="N679" i="2"/>
  <c r="Q676" i="2"/>
  <c r="R415" i="2"/>
  <c r="R439" i="2"/>
  <c r="R475" i="2"/>
  <c r="E481" i="2"/>
  <c r="R481" i="2" s="1"/>
  <c r="Q486" i="2"/>
  <c r="Q397" i="2"/>
  <c r="J458" i="2"/>
  <c r="E486" i="2"/>
  <c r="I505" i="2"/>
  <c r="R505" i="2" s="1"/>
  <c r="I519" i="2"/>
  <c r="E534" i="2"/>
  <c r="M534" i="2"/>
  <c r="E542" i="2"/>
  <c r="R542" i="2" s="1"/>
  <c r="R632" i="2"/>
  <c r="H681" i="2"/>
  <c r="H680" i="2"/>
  <c r="N713" i="2"/>
  <c r="Q711" i="2"/>
  <c r="R394" i="2"/>
  <c r="N458" i="2"/>
  <c r="I486" i="2"/>
  <c r="R494" i="2"/>
  <c r="H590" i="2"/>
  <c r="H593" i="2" s="1"/>
  <c r="R585" i="2"/>
  <c r="R589" i="2"/>
  <c r="P680" i="2"/>
  <c r="P681" i="2"/>
  <c r="R705" i="2"/>
  <c r="F713" i="2"/>
  <c r="I711" i="2"/>
  <c r="H417" i="2"/>
  <c r="H420" i="2" s="1"/>
  <c r="I416" i="2"/>
  <c r="F458" i="2"/>
  <c r="R441" i="2"/>
  <c r="R471" i="2"/>
  <c r="R529" i="2"/>
  <c r="R565" i="2"/>
  <c r="N633" i="2"/>
  <c r="Q617" i="2"/>
  <c r="H638" i="2"/>
  <c r="H639" i="2"/>
  <c r="H605" i="2" s="1"/>
  <c r="L638" i="2"/>
  <c r="L639" i="2"/>
  <c r="N520" i="2"/>
  <c r="E551" i="2"/>
  <c r="J554" i="2"/>
  <c r="M551" i="2"/>
  <c r="R582" i="2"/>
  <c r="F633" i="2"/>
  <c r="I617" i="2"/>
  <c r="R617" i="2" s="1"/>
  <c r="J703" i="2"/>
  <c r="M697" i="2"/>
  <c r="B709" i="2"/>
  <c r="C872" i="2"/>
  <c r="B872" i="2"/>
  <c r="H872" i="2" s="1"/>
  <c r="F844" i="2"/>
  <c r="F872" i="2"/>
  <c r="E872" i="2"/>
  <c r="F820" i="2"/>
  <c r="B787" i="2"/>
  <c r="Q872" i="2"/>
  <c r="D872" i="2"/>
  <c r="R552" i="2"/>
  <c r="E569" i="2"/>
  <c r="R569" i="2" s="1"/>
  <c r="B590" i="2"/>
  <c r="K590" i="2"/>
  <c r="K593" i="2" s="1"/>
  <c r="H604" i="2"/>
  <c r="P639" i="2"/>
  <c r="P638" i="2"/>
  <c r="N737" i="2"/>
  <c r="N739" i="2"/>
  <c r="Q739" i="2" s="1"/>
  <c r="Q709" i="2"/>
  <c r="J722" i="2"/>
  <c r="M715" i="2"/>
  <c r="R715" i="2" s="1"/>
  <c r="R564" i="2"/>
  <c r="M569" i="2"/>
  <c r="G633" i="2"/>
  <c r="G637" i="2" s="1"/>
  <c r="O633" i="2"/>
  <c r="O637" i="2" s="1"/>
  <c r="K633" i="2"/>
  <c r="K637" i="2" s="1"/>
  <c r="M625" i="2"/>
  <c r="R662" i="2"/>
  <c r="F679" i="2"/>
  <c r="D737" i="2"/>
  <c r="D745" i="2" s="1"/>
  <c r="D14" i="2" s="1"/>
  <c r="D723" i="2"/>
  <c r="G703" i="2"/>
  <c r="Q715" i="2"/>
  <c r="N722" i="2"/>
  <c r="B869" i="2"/>
  <c r="F869" i="2"/>
  <c r="F841" i="2"/>
  <c r="F853" i="2" s="1"/>
  <c r="E869" i="2"/>
  <c r="Q869" i="2"/>
  <c r="D869" i="2"/>
  <c r="C869" i="2"/>
  <c r="F817" i="2"/>
  <c r="B784" i="2"/>
  <c r="F771" i="2"/>
  <c r="F743" i="2"/>
  <c r="C633" i="2"/>
  <c r="C637" i="2" s="1"/>
  <c r="E625" i="2"/>
  <c r="B637" i="2"/>
  <c r="E633" i="2"/>
  <c r="J637" i="2"/>
  <c r="L676" i="2"/>
  <c r="L679" i="2" s="1"/>
  <c r="M653" i="2"/>
  <c r="K709" i="2"/>
  <c r="K739" i="2" s="1"/>
  <c r="D590" i="2"/>
  <c r="D593" i="2" s="1"/>
  <c r="N590" i="2"/>
  <c r="E578" i="2"/>
  <c r="R578" i="2" s="1"/>
  <c r="R591" i="2"/>
  <c r="C676" i="2"/>
  <c r="C679" i="2" s="1"/>
  <c r="R668" i="2"/>
  <c r="R675" i="2"/>
  <c r="M741" i="2"/>
  <c r="R719" i="2"/>
  <c r="F590" i="2"/>
  <c r="O590" i="2"/>
  <c r="O593" i="2" s="1"/>
  <c r="E588" i="2"/>
  <c r="R588" i="2" s="1"/>
  <c r="Q588" i="2"/>
  <c r="E603" i="2"/>
  <c r="I625" i="2"/>
  <c r="D676" i="2"/>
  <c r="D679" i="2" s="1"/>
  <c r="E653" i="2"/>
  <c r="R653" i="2" s="1"/>
  <c r="O680" i="2"/>
  <c r="O681" i="2"/>
  <c r="K737" i="2"/>
  <c r="K723" i="2"/>
  <c r="M707" i="2"/>
  <c r="R707" i="2" s="1"/>
  <c r="Q708" i="2"/>
  <c r="J721" i="2"/>
  <c r="M721" i="2" s="1"/>
  <c r="M718" i="2"/>
  <c r="G676" i="2"/>
  <c r="G679" i="2" s="1"/>
  <c r="B703" i="2"/>
  <c r="E697" i="2"/>
  <c r="R697" i="2" s="1"/>
  <c r="R700" i="2"/>
  <c r="C737" i="2"/>
  <c r="R711" i="2"/>
  <c r="R712" i="2"/>
  <c r="F604" i="2"/>
  <c r="Q657" i="2"/>
  <c r="R671" i="2"/>
  <c r="I699" i="2"/>
  <c r="C709" i="2"/>
  <c r="C739" i="2" s="1"/>
  <c r="I708" i="2"/>
  <c r="L713" i="2"/>
  <c r="L741" i="2" s="1"/>
  <c r="P722" i="2"/>
  <c r="P743" i="2" s="1"/>
  <c r="R720" i="2"/>
  <c r="I657" i="2"/>
  <c r="R657" i="2" s="1"/>
  <c r="H722" i="2"/>
  <c r="H743" i="2" s="1"/>
  <c r="B721" i="2"/>
  <c r="E721" i="2" s="1"/>
  <c r="E718" i="2"/>
  <c r="H901" i="2"/>
  <c r="D783" i="2"/>
  <c r="F873" i="2"/>
  <c r="F845" i="2"/>
  <c r="E873" i="2"/>
  <c r="Q873" i="2"/>
  <c r="D873" i="2"/>
  <c r="B873" i="2"/>
  <c r="F821" i="2"/>
  <c r="B788" i="2"/>
  <c r="C873" i="2"/>
  <c r="I603" i="2"/>
  <c r="Q603" i="2"/>
  <c r="M699" i="2"/>
  <c r="M708" i="2"/>
  <c r="F709" i="2"/>
  <c r="B722" i="2"/>
  <c r="O721" i="2"/>
  <c r="Q721" i="2" s="1"/>
  <c r="M783" i="2"/>
  <c r="D792" i="2"/>
  <c r="M792" i="2"/>
  <c r="M894" i="2"/>
  <c r="M907" i="2" s="1"/>
  <c r="J907" i="2"/>
  <c r="R670" i="2"/>
  <c r="H703" i="2"/>
  <c r="P703" i="2"/>
  <c r="R701" i="2"/>
  <c r="Q702" i="2"/>
  <c r="E717" i="2"/>
  <c r="R717" i="2" s="1"/>
  <c r="F721" i="2"/>
  <c r="I721" i="2" s="1"/>
  <c r="E870" i="2"/>
  <c r="Q870" i="2"/>
  <c r="D870" i="2"/>
  <c r="D881" i="2" s="1"/>
  <c r="C870" i="2"/>
  <c r="F818" i="2"/>
  <c r="B870" i="2"/>
  <c r="F842" i="2"/>
  <c r="B676" i="2"/>
  <c r="J676" i="2"/>
  <c r="Q674" i="2"/>
  <c r="R674" i="2" s="1"/>
  <c r="E699" i="2"/>
  <c r="R699" i="2" s="1"/>
  <c r="I702" i="2"/>
  <c r="R702" i="2" s="1"/>
  <c r="H709" i="2"/>
  <c r="H739" i="2" s="1"/>
  <c r="E708" i="2"/>
  <c r="R708" i="2" s="1"/>
  <c r="F870" i="2"/>
  <c r="M785" i="2"/>
  <c r="D785" i="2"/>
  <c r="E713" i="2"/>
  <c r="M713" i="2"/>
  <c r="I718" i="2"/>
  <c r="Q718" i="2"/>
  <c r="F871" i="2"/>
  <c r="F843" i="2"/>
  <c r="Q871" i="2"/>
  <c r="D871" i="2"/>
  <c r="C871" i="2"/>
  <c r="B871" i="2"/>
  <c r="H871" i="2" s="1"/>
  <c r="F819" i="2"/>
  <c r="E871" i="2"/>
  <c r="B786" i="2"/>
  <c r="B796" i="2" s="1"/>
  <c r="F827" i="2"/>
  <c r="E879" i="2"/>
  <c r="F851" i="2"/>
  <c r="Q879" i="2"/>
  <c r="D879" i="2"/>
  <c r="C879" i="2"/>
  <c r="B879" i="2"/>
  <c r="E874" i="2"/>
  <c r="Q874" i="2"/>
  <c r="D874" i="2"/>
  <c r="C874" i="2"/>
  <c r="B874" i="2"/>
  <c r="H874" i="2" s="1"/>
  <c r="B791" i="2"/>
  <c r="Q875" i="2"/>
  <c r="D875" i="2"/>
  <c r="C875" i="2"/>
  <c r="B875" i="2"/>
  <c r="F875" i="2"/>
  <c r="F847" i="2"/>
  <c r="B790" i="2"/>
  <c r="F868" i="2"/>
  <c r="E868" i="2"/>
  <c r="C868" i="2"/>
  <c r="B868" i="2"/>
  <c r="F816" i="2"/>
  <c r="Q868" i="2"/>
  <c r="F876" i="2"/>
  <c r="E876" i="2"/>
  <c r="C876" i="2"/>
  <c r="B876" i="2"/>
  <c r="F848" i="2"/>
  <c r="D876" i="2"/>
  <c r="B877" i="2"/>
  <c r="F877" i="2"/>
  <c r="E877" i="2"/>
  <c r="F849" i="2"/>
  <c r="Q877" i="2"/>
  <c r="D877" i="2"/>
  <c r="F825" i="2"/>
  <c r="M794" i="2"/>
  <c r="D794" i="2"/>
  <c r="F878" i="2"/>
  <c r="E878" i="2"/>
  <c r="F826" i="2"/>
  <c r="Q878" i="2"/>
  <c r="D878" i="2"/>
  <c r="B878" i="2"/>
  <c r="F850" i="2"/>
  <c r="B793" i="2"/>
  <c r="E894" i="2"/>
  <c r="G840" i="2"/>
  <c r="G842" i="2"/>
  <c r="E896" i="2"/>
  <c r="I785" i="2" s="1"/>
  <c r="E897" i="2"/>
  <c r="I786" i="2" s="1"/>
  <c r="G843" i="2"/>
  <c r="G844" i="2"/>
  <c r="E898" i="2"/>
  <c r="I787" i="2" s="1"/>
  <c r="G822" i="2"/>
  <c r="E900" i="2"/>
  <c r="I789" i="2" s="1"/>
  <c r="G846" i="2"/>
  <c r="G823" i="2"/>
  <c r="E901" i="2"/>
  <c r="I790" i="2" s="1"/>
  <c r="G847" i="2"/>
  <c r="G826" i="2"/>
  <c r="G850" i="2"/>
  <c r="E904" i="2"/>
  <c r="I793" i="2" s="1"/>
  <c r="E905" i="2"/>
  <c r="I794" i="2" s="1"/>
  <c r="G827" i="2"/>
  <c r="G771" i="2"/>
  <c r="G845" i="2"/>
  <c r="G851" i="2"/>
  <c r="J936" i="2"/>
  <c r="I932" i="2"/>
  <c r="J933" i="2" s="1"/>
  <c r="M975" i="8"/>
  <c r="M1128" i="14"/>
  <c r="M1078" i="12"/>
  <c r="M1098" i="13"/>
  <c r="M1025" i="6"/>
  <c r="M1001" i="7"/>
  <c r="M1118" i="14"/>
  <c r="M1016" i="6"/>
  <c r="M982" i="8"/>
  <c r="M1086" i="12"/>
  <c r="M1088" i="13"/>
  <c r="M1002" i="7"/>
  <c r="M1050" i="11"/>
  <c r="M1021" i="6"/>
  <c r="M1020" i="6"/>
  <c r="J970" i="9"/>
  <c r="M1120" i="14"/>
  <c r="J971" i="9"/>
  <c r="J965" i="9"/>
  <c r="M1125" i="14"/>
  <c r="M1077" i="12"/>
  <c r="M1017" i="6"/>
  <c r="M1097" i="13"/>
  <c r="M1076" i="12"/>
  <c r="J968" i="9"/>
  <c r="M981" i="8"/>
  <c r="M1058" i="11"/>
  <c r="J972" i="9"/>
  <c r="M1089" i="13"/>
  <c r="M1080" i="12"/>
  <c r="M1084" i="12"/>
  <c r="M1004" i="7"/>
  <c r="M974" i="8"/>
  <c r="M999" i="7"/>
  <c r="M1057" i="11"/>
  <c r="M976" i="8"/>
  <c r="M1126" i="14"/>
  <c r="M1094" i="13"/>
  <c r="M978" i="8"/>
  <c r="M1054" i="11"/>
  <c r="M1087" i="13"/>
  <c r="M1093" i="13"/>
  <c r="J975" i="9"/>
  <c r="M1015" i="6"/>
  <c r="M1060" i="11"/>
  <c r="M1096" i="13"/>
  <c r="J969" i="9"/>
  <c r="M1129" i="14"/>
  <c r="M1085" i="12"/>
  <c r="M977" i="8"/>
  <c r="M1082" i="12"/>
  <c r="M1091" i="13"/>
  <c r="M1083" i="12"/>
  <c r="M1124" i="14"/>
  <c r="M1122" i="14"/>
  <c r="M1022" i="6"/>
  <c r="J976" i="9"/>
  <c r="M1053" i="11"/>
  <c r="M1000" i="7"/>
  <c r="M1081" i="12"/>
  <c r="M1123" i="14"/>
  <c r="M983" i="8"/>
  <c r="M1092" i="13"/>
  <c r="J974" i="9"/>
  <c r="M985" i="8"/>
  <c r="M1023" i="6"/>
  <c r="J973" i="9"/>
  <c r="M1121" i="14"/>
  <c r="M984" i="8"/>
  <c r="J966" i="9"/>
  <c r="M1095" i="13"/>
  <c r="M997" i="7"/>
  <c r="M1007" i="7"/>
  <c r="M1051" i="11"/>
  <c r="M1079" i="12"/>
  <c r="M1006" i="7"/>
  <c r="M1024" i="6"/>
  <c r="M1052" i="11"/>
  <c r="J967" i="9"/>
  <c r="M1059" i="11"/>
  <c r="M1119" i="14"/>
  <c r="M1005" i="7"/>
  <c r="M979" i="8"/>
  <c r="M1056" i="11"/>
  <c r="M1008" i="7"/>
  <c r="M1018" i="6"/>
  <c r="M1090" i="13"/>
  <c r="M1075" i="12"/>
  <c r="M1026" i="6"/>
  <c r="M1003" i="7"/>
  <c r="M1055" i="11"/>
  <c r="M980" i="8"/>
  <c r="M1019" i="6"/>
  <c r="M998" i="7"/>
  <c r="M1127" i="14"/>
  <c r="M1049" i="11"/>
  <c r="AJ884" i="6" l="1"/>
  <c r="AJ888" i="6"/>
  <c r="AM363" i="6"/>
  <c r="P853" i="6"/>
  <c r="R803" i="6"/>
  <c r="R139" i="6"/>
  <c r="R95" i="6"/>
  <c r="I411" i="6"/>
  <c r="I125" i="6"/>
  <c r="E59" i="6"/>
  <c r="R718" i="6"/>
  <c r="AJ882" i="6"/>
  <c r="AH890" i="6"/>
  <c r="E411" i="6"/>
  <c r="R411" i="6" s="1"/>
  <c r="E720" i="6"/>
  <c r="R720" i="6" s="1"/>
  <c r="AD361" i="6"/>
  <c r="AM361" i="6" s="1"/>
  <c r="P774" i="6"/>
  <c r="P692" i="6" s="1"/>
  <c r="Q125" i="6"/>
  <c r="R629" i="6"/>
  <c r="AO851" i="6"/>
  <c r="AF851" i="6"/>
  <c r="AJ878" i="6"/>
  <c r="R247" i="6"/>
  <c r="M200" i="6"/>
  <c r="D725" i="6"/>
  <c r="AD855" i="6"/>
  <c r="S334" i="6"/>
  <c r="M59" i="6"/>
  <c r="N436" i="6"/>
  <c r="R676" i="6"/>
  <c r="AJ914" i="13"/>
  <c r="AH927" i="13"/>
  <c r="AE872" i="7"/>
  <c r="R686" i="7"/>
  <c r="R604" i="7"/>
  <c r="M739" i="7"/>
  <c r="R739" i="7" s="1"/>
  <c r="S971" i="7"/>
  <c r="R89" i="7"/>
  <c r="R658" i="7"/>
  <c r="Q613" i="7"/>
  <c r="I567" i="7"/>
  <c r="D755" i="7"/>
  <c r="AJ869" i="7"/>
  <c r="AJ868" i="7"/>
  <c r="D674" i="7"/>
  <c r="D664" i="7" s="1"/>
  <c r="E796" i="7"/>
  <c r="G708" i="7"/>
  <c r="AJ860" i="7"/>
  <c r="R782" i="7"/>
  <c r="C755" i="7"/>
  <c r="S318" i="7"/>
  <c r="N783" i="7"/>
  <c r="N814" i="7" s="1"/>
  <c r="Q814" i="7" s="1"/>
  <c r="I702" i="7"/>
  <c r="I772" i="7"/>
  <c r="I613" i="7"/>
  <c r="M659" i="7"/>
  <c r="Q863" i="7"/>
  <c r="R394" i="7"/>
  <c r="M59" i="7"/>
  <c r="F471" i="7"/>
  <c r="I468" i="7"/>
  <c r="E772" i="7"/>
  <c r="R732" i="7"/>
  <c r="R795" i="7"/>
  <c r="O674" i="7"/>
  <c r="E659" i="7"/>
  <c r="M772" i="7"/>
  <c r="I130" i="7"/>
  <c r="R775" i="7"/>
  <c r="E585" i="9"/>
  <c r="B588" i="9"/>
  <c r="R748" i="9"/>
  <c r="AJ846" i="9"/>
  <c r="M763" i="9"/>
  <c r="C723" i="9"/>
  <c r="K723" i="9"/>
  <c r="E539" i="9"/>
  <c r="O765" i="9"/>
  <c r="E395" i="9"/>
  <c r="Q763" i="9"/>
  <c r="S173" i="9"/>
  <c r="R717" i="9"/>
  <c r="M585" i="9"/>
  <c r="J588" i="9"/>
  <c r="AJ840" i="9"/>
  <c r="AJ843" i="9"/>
  <c r="AJ848" i="9"/>
  <c r="C788" i="9"/>
  <c r="C13" i="9" s="1"/>
  <c r="AD816" i="9"/>
  <c r="I784" i="9"/>
  <c r="M59" i="9"/>
  <c r="E542" i="9"/>
  <c r="Q395" i="9"/>
  <c r="C725" i="9"/>
  <c r="AF851" i="9"/>
  <c r="AJ849" i="9"/>
  <c r="R754" i="9"/>
  <c r="R745" i="9"/>
  <c r="AS851" i="9"/>
  <c r="R743" i="9"/>
  <c r="AJ842" i="9"/>
  <c r="P765" i="9"/>
  <c r="R484" i="9"/>
  <c r="R442" i="9"/>
  <c r="R88" i="9"/>
  <c r="R469" i="9"/>
  <c r="K725" i="9"/>
  <c r="Q400" i="9"/>
  <c r="G1023" i="15"/>
  <c r="F1023" i="15"/>
  <c r="E934" i="15"/>
  <c r="Q874" i="15"/>
  <c r="R809" i="15"/>
  <c r="R841" i="15"/>
  <c r="J823" i="15"/>
  <c r="J824" i="15" s="1"/>
  <c r="R721" i="15"/>
  <c r="R773" i="15"/>
  <c r="Q485" i="15"/>
  <c r="R417" i="15"/>
  <c r="E906" i="15"/>
  <c r="O907" i="15"/>
  <c r="O936" i="15" s="1"/>
  <c r="P512" i="15"/>
  <c r="P517" i="15" s="1"/>
  <c r="R41" i="15"/>
  <c r="AM404" i="15"/>
  <c r="R50" i="15"/>
  <c r="R720" i="15"/>
  <c r="R897" i="15"/>
  <c r="M859" i="15"/>
  <c r="M821" i="15"/>
  <c r="R787" i="15"/>
  <c r="R909" i="15"/>
  <c r="R762" i="15"/>
  <c r="Q871" i="15"/>
  <c r="M485" i="15"/>
  <c r="C940" i="15"/>
  <c r="C13" i="15" s="1"/>
  <c r="R893" i="15"/>
  <c r="R858" i="15"/>
  <c r="R699" i="15"/>
  <c r="R543" i="15"/>
  <c r="I610" i="15"/>
  <c r="Q906" i="15"/>
  <c r="R57" i="15"/>
  <c r="AJ985" i="14"/>
  <c r="I299" i="14"/>
  <c r="R92" i="14"/>
  <c r="M725" i="14"/>
  <c r="AJ981" i="14"/>
  <c r="R902" i="14"/>
  <c r="R595" i="14"/>
  <c r="N824" i="14"/>
  <c r="R57" i="14"/>
  <c r="E488" i="14"/>
  <c r="R356" i="14"/>
  <c r="S380" i="14" s="1"/>
  <c r="S85" i="14"/>
  <c r="S592" i="14"/>
  <c r="R184" i="14"/>
  <c r="S202" i="14" s="1"/>
  <c r="AF946" i="14"/>
  <c r="R765" i="14"/>
  <c r="K908" i="14"/>
  <c r="K937" i="14" s="1"/>
  <c r="E893" i="14"/>
  <c r="G877" i="14"/>
  <c r="M916" i="14"/>
  <c r="R566" i="14"/>
  <c r="R414" i="14"/>
  <c r="R15" i="14"/>
  <c r="R17" i="14"/>
  <c r="AE993" i="14"/>
  <c r="R644" i="14"/>
  <c r="Q907" i="14"/>
  <c r="Q917" i="14"/>
  <c r="R692" i="14"/>
  <c r="K613" i="14"/>
  <c r="K616" i="14" s="1"/>
  <c r="B1120" i="14"/>
  <c r="Q1120" i="14" s="1"/>
  <c r="B1093" i="13"/>
  <c r="Q1093" i="13" s="1"/>
  <c r="B1075" i="12"/>
  <c r="Q1075" i="12" s="1"/>
  <c r="B1085" i="12"/>
  <c r="Q1085" i="12" s="1"/>
  <c r="B1057" i="11"/>
  <c r="Q1057" i="11" s="1"/>
  <c r="B1055" i="11"/>
  <c r="Q1055" i="11" s="1"/>
  <c r="B1129" i="14"/>
  <c r="Q1129" i="14" s="1"/>
  <c r="B1078" i="12"/>
  <c r="Q1078" i="12" s="1"/>
  <c r="B1056" i="11"/>
  <c r="Q1056" i="11" s="1"/>
  <c r="B1054" i="11"/>
  <c r="Q1054" i="11" s="1"/>
  <c r="B1050" i="11"/>
  <c r="Q1050" i="11" s="1"/>
  <c r="B1051" i="11"/>
  <c r="Q1051" i="11" s="1"/>
  <c r="B1124" i="14"/>
  <c r="Q1124" i="14" s="1"/>
  <c r="B1118" i="14"/>
  <c r="Q1118" i="14" s="1"/>
  <c r="B1096" i="13"/>
  <c r="Q1096" i="13" s="1"/>
  <c r="B1076" i="12"/>
  <c r="Q1076" i="12" s="1"/>
  <c r="B1083" i="12"/>
  <c r="Q1083" i="12" s="1"/>
  <c r="B1053" i="11"/>
  <c r="Q1053" i="11" s="1"/>
  <c r="B1123" i="14"/>
  <c r="Q1123" i="14" s="1"/>
  <c r="B1125" i="14"/>
  <c r="Q1125" i="14" s="1"/>
  <c r="B1095" i="13"/>
  <c r="Q1095" i="13" s="1"/>
  <c r="B1087" i="13"/>
  <c r="Q1087" i="13" s="1"/>
  <c r="B1077" i="12"/>
  <c r="Q1077" i="12" s="1"/>
  <c r="B1080" i="12"/>
  <c r="Q1080" i="12" s="1"/>
  <c r="B1049" i="11"/>
  <c r="Q1049" i="11" s="1"/>
  <c r="B1122" i="14"/>
  <c r="Q1122" i="14" s="1"/>
  <c r="B1126" i="14"/>
  <c r="Q1126" i="14" s="1"/>
  <c r="B1094" i="13"/>
  <c r="Q1094" i="13" s="1"/>
  <c r="B1097" i="13"/>
  <c r="Q1097" i="13" s="1"/>
  <c r="B1090" i="13"/>
  <c r="Q1090" i="13" s="1"/>
  <c r="B1086" i="12"/>
  <c r="Q1086" i="12" s="1"/>
  <c r="B1079" i="12"/>
  <c r="Q1079" i="12" s="1"/>
  <c r="B1128" i="14"/>
  <c r="Q1128" i="14" s="1"/>
  <c r="B1127" i="14"/>
  <c r="Q1127" i="14" s="1"/>
  <c r="B1092" i="13"/>
  <c r="Q1092" i="13" s="1"/>
  <c r="B1091" i="13"/>
  <c r="Q1091" i="13" s="1"/>
  <c r="B1088" i="13"/>
  <c r="Q1088" i="13" s="1"/>
  <c r="B1081" i="12"/>
  <c r="Q1081" i="12" s="1"/>
  <c r="B1060" i="11"/>
  <c r="Q1060" i="11" s="1"/>
  <c r="B1121" i="14"/>
  <c r="Q1121" i="14" s="1"/>
  <c r="B1089" i="13"/>
  <c r="Q1089" i="13" s="1"/>
  <c r="B1082" i="12"/>
  <c r="Q1082" i="12" s="1"/>
  <c r="B1119" i="14"/>
  <c r="Q1119" i="14" s="1"/>
  <c r="B1098" i="13"/>
  <c r="Q1098" i="13" s="1"/>
  <c r="B1058" i="11"/>
  <c r="Q1058" i="11" s="1"/>
  <c r="B1084" i="12"/>
  <c r="Q1084" i="12" s="1"/>
  <c r="B1059" i="11"/>
  <c r="Q1059" i="11" s="1"/>
  <c r="B1052" i="11"/>
  <c r="Q1052" i="11" s="1"/>
  <c r="H874" i="15"/>
  <c r="I871" i="15"/>
  <c r="O329" i="14"/>
  <c r="K876" i="15"/>
  <c r="K875" i="15"/>
  <c r="H329" i="14"/>
  <c r="L491" i="13"/>
  <c r="O518" i="15"/>
  <c r="C483" i="12"/>
  <c r="E478" i="12"/>
  <c r="G308" i="11"/>
  <c r="D491" i="13"/>
  <c r="R439" i="11"/>
  <c r="G518" i="15"/>
  <c r="S197" i="15"/>
  <c r="S366" i="13"/>
  <c r="B937" i="14"/>
  <c r="E937" i="14" s="1"/>
  <c r="E908" i="14"/>
  <c r="H904" i="13"/>
  <c r="I904" i="13" s="1"/>
  <c r="I873" i="13"/>
  <c r="C491" i="13"/>
  <c r="M886" i="11"/>
  <c r="C668" i="11"/>
  <c r="C631" i="11"/>
  <c r="D876" i="15"/>
  <c r="D875" i="15"/>
  <c r="D571" i="14"/>
  <c r="E568" i="14"/>
  <c r="J906" i="13"/>
  <c r="L132" i="13"/>
  <c r="L314" i="12"/>
  <c r="E817" i="15"/>
  <c r="B821" i="15"/>
  <c r="G875" i="15"/>
  <c r="G876" i="15"/>
  <c r="M903" i="15"/>
  <c r="Q964" i="15"/>
  <c r="P877" i="15"/>
  <c r="I705" i="15"/>
  <c r="R705" i="15" s="1"/>
  <c r="F722" i="15"/>
  <c r="M817" i="15"/>
  <c r="G778" i="15"/>
  <c r="Q397" i="15"/>
  <c r="G940" i="15"/>
  <c r="G13" i="15" s="1"/>
  <c r="R351" i="15"/>
  <c r="S377" i="15" s="1"/>
  <c r="N614" i="15"/>
  <c r="Q613" i="15"/>
  <c r="H315" i="15"/>
  <c r="H323" i="15" s="1"/>
  <c r="R96" i="15"/>
  <c r="L315" i="15"/>
  <c r="L323" i="15" s="1"/>
  <c r="B62" i="15"/>
  <c r="E59" i="15"/>
  <c r="D134" i="15"/>
  <c r="N315" i="15"/>
  <c r="E130" i="15"/>
  <c r="AJ984" i="14"/>
  <c r="H1097" i="14"/>
  <c r="X1097" i="14" s="1"/>
  <c r="AH1052" i="14"/>
  <c r="AH1017" i="14"/>
  <c r="H1092" i="14"/>
  <c r="AH1047" i="14"/>
  <c r="AH1012" i="14"/>
  <c r="AH1048" i="14"/>
  <c r="H1093" i="14"/>
  <c r="X1093" i="14" s="1"/>
  <c r="AH1013" i="14"/>
  <c r="I1099" i="14"/>
  <c r="Y1099" i="14" s="1"/>
  <c r="G1047" i="14"/>
  <c r="G1074" i="14" s="1"/>
  <c r="AH993" i="14"/>
  <c r="F937" i="14"/>
  <c r="I937" i="14" s="1"/>
  <c r="I908" i="14"/>
  <c r="AH1134" i="14"/>
  <c r="AH1135" i="14"/>
  <c r="B728" i="14"/>
  <c r="E725" i="14"/>
  <c r="AH1053" i="14"/>
  <c r="H1098" i="14"/>
  <c r="X1098" i="14" s="1"/>
  <c r="AH1018" i="14"/>
  <c r="M904" i="14"/>
  <c r="M820" i="14"/>
  <c r="F616" i="14"/>
  <c r="I613" i="14"/>
  <c r="B918" i="14"/>
  <c r="B933" i="14"/>
  <c r="E899" i="14"/>
  <c r="G878" i="14"/>
  <c r="Q958" i="14"/>
  <c r="L918" i="14"/>
  <c r="L933" i="14"/>
  <c r="L941" i="14" s="1"/>
  <c r="L13" i="14" s="1"/>
  <c r="I917" i="14"/>
  <c r="Q955" i="14"/>
  <c r="C878" i="14"/>
  <c r="Q991" i="14"/>
  <c r="Q1019" i="14"/>
  <c r="G781" i="14"/>
  <c r="F138" i="14"/>
  <c r="I135" i="14"/>
  <c r="N899" i="14"/>
  <c r="Q893" i="14"/>
  <c r="P329" i="14"/>
  <c r="K878" i="14"/>
  <c r="Q961" i="14"/>
  <c r="K320" i="14"/>
  <c r="K328" i="14" s="1"/>
  <c r="E613" i="14"/>
  <c r="AJ950" i="13"/>
  <c r="AH1015" i="13"/>
  <c r="AH980" i="13"/>
  <c r="F993" i="13"/>
  <c r="H1060" i="13"/>
  <c r="X1060" i="13" s="1"/>
  <c r="J515" i="14"/>
  <c r="I1070" i="13"/>
  <c r="Y1070" i="13" s="1"/>
  <c r="G1018" i="13"/>
  <c r="AH1121" i="13"/>
  <c r="AH1122" i="13"/>
  <c r="AJ956" i="13"/>
  <c r="AG1116" i="13"/>
  <c r="AG1115" i="13"/>
  <c r="D317" i="13"/>
  <c r="I1065" i="13"/>
  <c r="Y1065" i="13" s="1"/>
  <c r="G1013" i="13"/>
  <c r="L764" i="13"/>
  <c r="O931" i="13"/>
  <c r="B796" i="13"/>
  <c r="B797" i="13"/>
  <c r="E795" i="13"/>
  <c r="K485" i="13"/>
  <c r="K490" i="13" s="1"/>
  <c r="J796" i="13"/>
  <c r="J797" i="13"/>
  <c r="M795" i="13"/>
  <c r="H317" i="13"/>
  <c r="Q873" i="13"/>
  <c r="N904" i="13"/>
  <c r="Q904" i="13" s="1"/>
  <c r="F698" i="13"/>
  <c r="I695" i="13"/>
  <c r="R695" i="13" s="1"/>
  <c r="AM392" i="13"/>
  <c r="Q886" i="13"/>
  <c r="O132" i="13"/>
  <c r="B846" i="13"/>
  <c r="E844" i="13"/>
  <c r="B845" i="13"/>
  <c r="R521" i="13"/>
  <c r="R27" i="13"/>
  <c r="H1056" i="12"/>
  <c r="X1056" i="12" s="1"/>
  <c r="AH976" i="12"/>
  <c r="AH1011" i="12"/>
  <c r="J752" i="13"/>
  <c r="M751" i="13"/>
  <c r="AJ943" i="12"/>
  <c r="H847" i="13"/>
  <c r="Q928" i="13"/>
  <c r="G996" i="12"/>
  <c r="G981" i="12"/>
  <c r="I1048" i="12"/>
  <c r="Y1048" i="12" s="1"/>
  <c r="Q969" i="12"/>
  <c r="Q941" i="12"/>
  <c r="R873" i="12"/>
  <c r="I1059" i="12"/>
  <c r="Y1059" i="12" s="1"/>
  <c r="G1007" i="12"/>
  <c r="AG1095" i="12"/>
  <c r="AG1094" i="12"/>
  <c r="L890" i="12"/>
  <c r="L898" i="12" s="1"/>
  <c r="L13" i="12" s="1"/>
  <c r="L875" i="12"/>
  <c r="AG1085" i="12"/>
  <c r="AG1086" i="12"/>
  <c r="P736" i="12"/>
  <c r="P739" i="12" s="1"/>
  <c r="Q707" i="12"/>
  <c r="G534" i="12"/>
  <c r="E829" i="12"/>
  <c r="B832" i="12"/>
  <c r="G875" i="12"/>
  <c r="G890" i="12"/>
  <c r="G898" i="12" s="1"/>
  <c r="G13" i="12" s="1"/>
  <c r="G579" i="12"/>
  <c r="F305" i="12"/>
  <c r="I209" i="12"/>
  <c r="E850" i="12"/>
  <c r="O689" i="12"/>
  <c r="D484" i="12"/>
  <c r="T292" i="12"/>
  <c r="R128" i="12"/>
  <c r="P689" i="12"/>
  <c r="F579" i="12"/>
  <c r="I578" i="12"/>
  <c r="G972" i="11"/>
  <c r="I1024" i="11"/>
  <c r="Y1024" i="11" s="1"/>
  <c r="O839" i="11"/>
  <c r="Q837" i="11"/>
  <c r="H1033" i="11"/>
  <c r="X1033" i="11" s="1"/>
  <c r="AH988" i="11"/>
  <c r="AH953" i="11"/>
  <c r="AG924" i="11"/>
  <c r="K866" i="11"/>
  <c r="M866" i="11" s="1"/>
  <c r="M835" i="11"/>
  <c r="K518" i="11"/>
  <c r="M848" i="11"/>
  <c r="C726" i="11"/>
  <c r="O886" i="11"/>
  <c r="H562" i="11"/>
  <c r="P464" i="11"/>
  <c r="P469" i="11" s="1"/>
  <c r="P308" i="11"/>
  <c r="AR982" i="11"/>
  <c r="AR947" i="11"/>
  <c r="S1027" i="11"/>
  <c r="AH1060" i="11"/>
  <c r="AH1059" i="11"/>
  <c r="O726" i="11"/>
  <c r="O895" i="11"/>
  <c r="AG1057" i="11"/>
  <c r="AG1056" i="11"/>
  <c r="N866" i="11"/>
  <c r="Q866" i="11" s="1"/>
  <c r="Q835" i="11"/>
  <c r="R395" i="11"/>
  <c r="I126" i="11"/>
  <c r="F129" i="11"/>
  <c r="Q753" i="11"/>
  <c r="N757" i="11"/>
  <c r="E662" i="11"/>
  <c r="B665" i="11"/>
  <c r="E558" i="11"/>
  <c r="R844" i="11"/>
  <c r="F561" i="11"/>
  <c r="I558" i="11"/>
  <c r="N806" i="11"/>
  <c r="Q803" i="11"/>
  <c r="J130" i="11"/>
  <c r="M129" i="11"/>
  <c r="C809" i="11"/>
  <c r="Q886" i="11"/>
  <c r="N864" i="11"/>
  <c r="N849" i="11"/>
  <c r="Q830" i="11"/>
  <c r="L809" i="11"/>
  <c r="Q893" i="11"/>
  <c r="B308" i="11"/>
  <c r="E307" i="11"/>
  <c r="O715" i="11"/>
  <c r="B130" i="11"/>
  <c r="E129" i="11"/>
  <c r="Q991" i="15"/>
  <c r="Q1019" i="15"/>
  <c r="R915" i="15"/>
  <c r="M934" i="15"/>
  <c r="R934" i="15" s="1"/>
  <c r="P958" i="15"/>
  <c r="H824" i="15"/>
  <c r="O823" i="15"/>
  <c r="O822" i="15"/>
  <c r="P955" i="15"/>
  <c r="D824" i="15"/>
  <c r="C774" i="15"/>
  <c r="E744" i="15"/>
  <c r="R744" i="15" s="1"/>
  <c r="D789" i="15"/>
  <c r="K822" i="15"/>
  <c r="K823" i="15"/>
  <c r="N936" i="15"/>
  <c r="Q936" i="15" s="1"/>
  <c r="Q907" i="15"/>
  <c r="N512" i="15"/>
  <c r="E397" i="15"/>
  <c r="B512" i="15"/>
  <c r="F932" i="15"/>
  <c r="I898" i="15"/>
  <c r="E295" i="15"/>
  <c r="R295" i="15" s="1"/>
  <c r="K940" i="15"/>
  <c r="K13" i="15" s="1"/>
  <c r="B315" i="15"/>
  <c r="E215" i="15"/>
  <c r="F133" i="15"/>
  <c r="I130" i="15"/>
  <c r="J315" i="15"/>
  <c r="M215" i="15"/>
  <c r="H1101" i="14"/>
  <c r="X1101" i="14" s="1"/>
  <c r="AH1056" i="14"/>
  <c r="AH1021" i="14"/>
  <c r="H1094" i="14"/>
  <c r="X1094" i="14" s="1"/>
  <c r="AH1014" i="14"/>
  <c r="AH1049" i="14"/>
  <c r="AJ990" i="14"/>
  <c r="E904" i="14"/>
  <c r="P958" i="14"/>
  <c r="G827" i="14"/>
  <c r="G792" i="14"/>
  <c r="G782" i="14" s="1"/>
  <c r="G1071" i="14"/>
  <c r="AK950" i="14"/>
  <c r="M935" i="14"/>
  <c r="R935" i="14" s="1"/>
  <c r="J825" i="14"/>
  <c r="J826" i="14"/>
  <c r="M824" i="14"/>
  <c r="N571" i="14"/>
  <c r="Q568" i="14"/>
  <c r="O781" i="14"/>
  <c r="F728" i="14"/>
  <c r="I725" i="14"/>
  <c r="I939" i="14"/>
  <c r="N728" i="14"/>
  <c r="Q725" i="14"/>
  <c r="M917" i="14"/>
  <c r="J939" i="14"/>
  <c r="M939" i="14" s="1"/>
  <c r="M220" i="14"/>
  <c r="J320" i="14"/>
  <c r="D617" i="14"/>
  <c r="G63" i="14"/>
  <c r="E62" i="14"/>
  <c r="B63" i="14"/>
  <c r="C572" i="14"/>
  <c r="F320" i="14"/>
  <c r="I220" i="14"/>
  <c r="AD1081" i="13"/>
  <c r="AD1076" i="13"/>
  <c r="AD1074" i="13"/>
  <c r="AD1072" i="13"/>
  <c r="AD1070" i="13"/>
  <c r="AD1068" i="13"/>
  <c r="AD1079" i="13"/>
  <c r="AD1077" i="13"/>
  <c r="AD1082" i="13"/>
  <c r="AD1075" i="13"/>
  <c r="AD1073" i="13"/>
  <c r="AD1071" i="13"/>
  <c r="AD1069" i="13"/>
  <c r="AD1067" i="13"/>
  <c r="AD1080" i="13"/>
  <c r="AD1078" i="13"/>
  <c r="E616" i="14"/>
  <c r="B617" i="14"/>
  <c r="H139" i="14"/>
  <c r="AD962" i="13"/>
  <c r="AJ949" i="13"/>
  <c r="I1068" i="13"/>
  <c r="Y1068" i="13" s="1"/>
  <c r="G1016" i="13"/>
  <c r="G1043" i="13" s="1"/>
  <c r="G1041" i="13"/>
  <c r="O752" i="13"/>
  <c r="M652" i="13"/>
  <c r="J653" i="13"/>
  <c r="Q748" i="13"/>
  <c r="L902" i="13"/>
  <c r="K764" i="13"/>
  <c r="O930" i="13"/>
  <c r="M96" i="13"/>
  <c r="Q841" i="13"/>
  <c r="E876" i="13"/>
  <c r="G887" i="13"/>
  <c r="G902" i="13"/>
  <c r="G910" i="13" s="1"/>
  <c r="G13" i="13" s="1"/>
  <c r="AJ946" i="12"/>
  <c r="Q908" i="13"/>
  <c r="M212" i="13"/>
  <c r="J308" i="13"/>
  <c r="B63" i="13"/>
  <c r="E62" i="13"/>
  <c r="H1050" i="12"/>
  <c r="X1050" i="12" s="1"/>
  <c r="AH970" i="12"/>
  <c r="AH1005" i="12"/>
  <c r="AG950" i="12"/>
  <c r="D132" i="13"/>
  <c r="AS950" i="12"/>
  <c r="AD1069" i="12"/>
  <c r="AD1064" i="12"/>
  <c r="AD1062" i="12"/>
  <c r="AD1060" i="12"/>
  <c r="AD1058" i="12"/>
  <c r="AD1056" i="12"/>
  <c r="AD1065" i="12"/>
  <c r="AD1067" i="12"/>
  <c r="AD1066" i="12"/>
  <c r="AD1063" i="12"/>
  <c r="AD1057" i="12"/>
  <c r="AD1070" i="12"/>
  <c r="AD1068" i="12"/>
  <c r="AD1055" i="12"/>
  <c r="AD1059" i="12"/>
  <c r="AD1061" i="12"/>
  <c r="R1064" i="13"/>
  <c r="AQ1019" i="13"/>
  <c r="AQ984" i="13"/>
  <c r="I128" i="13"/>
  <c r="F131" i="13"/>
  <c r="AJ947" i="12"/>
  <c r="O887" i="13"/>
  <c r="O902" i="13"/>
  <c r="O910" i="13" s="1"/>
  <c r="O13" i="13" s="1"/>
  <c r="H1048" i="12"/>
  <c r="X1048" i="12" s="1"/>
  <c r="F981" i="12"/>
  <c r="AH1003" i="12"/>
  <c r="AH1016" i="12" s="1"/>
  <c r="AH968" i="12"/>
  <c r="P63" i="13"/>
  <c r="H1059" i="12"/>
  <c r="X1059" i="12" s="1"/>
  <c r="AH979" i="12"/>
  <c r="AH1014" i="12"/>
  <c r="G1030" i="12"/>
  <c r="AK909" i="12"/>
  <c r="P912" i="12"/>
  <c r="C786" i="12"/>
  <c r="N894" i="12"/>
  <c r="Q894" i="12" s="1"/>
  <c r="Q865" i="12"/>
  <c r="G1029" i="12"/>
  <c r="AK908" i="12"/>
  <c r="O918" i="12"/>
  <c r="K752" i="12"/>
  <c r="I861" i="12"/>
  <c r="R724" i="12"/>
  <c r="I451" i="12"/>
  <c r="R802" i="12"/>
  <c r="R652" i="12"/>
  <c r="Q131" i="12"/>
  <c r="N132" i="12"/>
  <c r="B890" i="12"/>
  <c r="E856" i="12"/>
  <c r="B875" i="12"/>
  <c r="N534" i="12"/>
  <c r="Q533" i="12"/>
  <c r="K484" i="12"/>
  <c r="O478" i="12"/>
  <c r="AJ921" i="11"/>
  <c r="AJ917" i="11"/>
  <c r="I1032" i="11"/>
  <c r="Y1032" i="11" s="1"/>
  <c r="G980" i="11"/>
  <c r="AJ918" i="11"/>
  <c r="C866" i="11"/>
  <c r="E866" i="11" s="1"/>
  <c r="E835" i="11"/>
  <c r="E514" i="11"/>
  <c r="B517" i="11"/>
  <c r="I1030" i="11"/>
  <c r="Y1030" i="11" s="1"/>
  <c r="G978" i="11"/>
  <c r="G1005" i="11" s="1"/>
  <c r="K620" i="11"/>
  <c r="F666" i="11"/>
  <c r="I665" i="11"/>
  <c r="G864" i="11"/>
  <c r="G872" i="11" s="1"/>
  <c r="G13" i="11" s="1"/>
  <c r="G849" i="11"/>
  <c r="Q662" i="11"/>
  <c r="D760" i="11"/>
  <c r="D725" i="11"/>
  <c r="P887" i="11"/>
  <c r="O562" i="11"/>
  <c r="Q59" i="11"/>
  <c r="R59" i="11" s="1"/>
  <c r="N62" i="11"/>
  <c r="C760" i="11"/>
  <c r="P886" i="11"/>
  <c r="R645" i="11"/>
  <c r="E561" i="11"/>
  <c r="B562" i="11"/>
  <c r="C849" i="11"/>
  <c r="L725" i="11"/>
  <c r="L760" i="11"/>
  <c r="P893" i="11"/>
  <c r="C876" i="15"/>
  <c r="C875" i="15"/>
  <c r="L726" i="15"/>
  <c r="F821" i="15"/>
  <c r="I817" i="15"/>
  <c r="Q992" i="15"/>
  <c r="Q1020" i="15"/>
  <c r="F569" i="15"/>
  <c r="B778" i="15"/>
  <c r="Q905" i="15"/>
  <c r="L518" i="15"/>
  <c r="I485" i="15"/>
  <c r="R485" i="15" s="1"/>
  <c r="K917" i="15"/>
  <c r="L63" i="15"/>
  <c r="R187" i="15"/>
  <c r="U187" i="15" s="1"/>
  <c r="C63" i="15"/>
  <c r="H134" i="15"/>
  <c r="I1101" i="14"/>
  <c r="Y1101" i="14" s="1"/>
  <c r="G1049" i="14"/>
  <c r="I1091" i="14"/>
  <c r="Y1091" i="14" s="1"/>
  <c r="G1024" i="14"/>
  <c r="G1039" i="14"/>
  <c r="AJ983" i="14"/>
  <c r="AJ980" i="14"/>
  <c r="AD993" i="14"/>
  <c r="AH1046" i="14"/>
  <c r="H1091" i="14"/>
  <c r="X1091" i="14" s="1"/>
  <c r="AH1011" i="14"/>
  <c r="F1024" i="14"/>
  <c r="N937" i="14"/>
  <c r="Q937" i="14" s="1"/>
  <c r="Q908" i="14"/>
  <c r="Q964" i="14"/>
  <c r="O878" i="14"/>
  <c r="O792" i="14"/>
  <c r="N825" i="14"/>
  <c r="Q824" i="14"/>
  <c r="N826" i="14"/>
  <c r="N875" i="14"/>
  <c r="Q872" i="14"/>
  <c r="AO952" i="14"/>
  <c r="AF952" i="14"/>
  <c r="R820" i="14"/>
  <c r="F571" i="14"/>
  <c r="I568" i="14"/>
  <c r="O729" i="14"/>
  <c r="E220" i="14"/>
  <c r="B320" i="14"/>
  <c r="T307" i="14"/>
  <c r="O63" i="14"/>
  <c r="R488" i="14"/>
  <c r="F899" i="14"/>
  <c r="I893" i="14"/>
  <c r="AH1025" i="13"/>
  <c r="AH990" i="13"/>
  <c r="H1070" i="13"/>
  <c r="X1070" i="13" s="1"/>
  <c r="I59" i="14"/>
  <c r="R59" i="14" s="1"/>
  <c r="F62" i="14"/>
  <c r="AG962" i="13"/>
  <c r="AH1115" i="13"/>
  <c r="AH1116" i="13"/>
  <c r="Q987" i="13"/>
  <c r="Q959" i="13"/>
  <c r="Q751" i="13"/>
  <c r="N752" i="13"/>
  <c r="R829" i="13"/>
  <c r="F485" i="13"/>
  <c r="I386" i="13"/>
  <c r="R386" i="13" s="1"/>
  <c r="D902" i="13"/>
  <c r="J586" i="13"/>
  <c r="M585" i="13"/>
  <c r="E458" i="13"/>
  <c r="R96" i="13"/>
  <c r="Q844" i="13"/>
  <c r="N845" i="13"/>
  <c r="N846" i="13"/>
  <c r="G317" i="13"/>
  <c r="I1060" i="13"/>
  <c r="Y1060" i="13" s="1"/>
  <c r="G1008" i="13"/>
  <c r="G993" i="13"/>
  <c r="I1057" i="12"/>
  <c r="Y1057" i="12" s="1"/>
  <c r="G1005" i="12"/>
  <c r="G1032" i="12" s="1"/>
  <c r="H1066" i="13"/>
  <c r="X1066" i="13" s="1"/>
  <c r="AH1021" i="13"/>
  <c r="AH986" i="13"/>
  <c r="P931" i="13"/>
  <c r="L798" i="13"/>
  <c r="AF950" i="12"/>
  <c r="H1053" i="12"/>
  <c r="X1053" i="12" s="1"/>
  <c r="AH1008" i="12"/>
  <c r="AH973" i="12"/>
  <c r="N652" i="13"/>
  <c r="Q649" i="13"/>
  <c r="O317" i="13"/>
  <c r="H1057" i="12"/>
  <c r="X1057" i="12" s="1"/>
  <c r="AH977" i="12"/>
  <c r="AH1012" i="12"/>
  <c r="I841" i="13"/>
  <c r="R841" i="13" s="1"/>
  <c r="AH1098" i="12"/>
  <c r="AH1097" i="12"/>
  <c r="J783" i="12"/>
  <c r="M779" i="12"/>
  <c r="AH1095" i="12"/>
  <c r="AH1094" i="12"/>
  <c r="AH1065" i="12"/>
  <c r="AH1052" i="12"/>
  <c r="AH1050" i="12"/>
  <c r="AH1048" i="12"/>
  <c r="AH1070" i="12"/>
  <c r="AH1063" i="12"/>
  <c r="AH1061" i="12"/>
  <c r="AH1059" i="12"/>
  <c r="AH1057" i="12"/>
  <c r="AH1055" i="12"/>
  <c r="AH1051" i="12"/>
  <c r="AH1049" i="12"/>
  <c r="AH1071" i="12"/>
  <c r="AH1054" i="12"/>
  <c r="X1049" i="12"/>
  <c r="AH1060" i="12"/>
  <c r="AH1058" i="12"/>
  <c r="AH1066" i="12"/>
  <c r="AH1062" i="12"/>
  <c r="AH1053" i="12"/>
  <c r="AH1069" i="12"/>
  <c r="AH1064" i="12"/>
  <c r="AH1068" i="12"/>
  <c r="AH1067" i="12"/>
  <c r="AH1056" i="12"/>
  <c r="P835" i="12"/>
  <c r="Q922" i="12"/>
  <c r="M639" i="12"/>
  <c r="J642" i="12"/>
  <c r="N305" i="12"/>
  <c r="Q209" i="12"/>
  <c r="P919" i="12"/>
  <c r="L786" i="12"/>
  <c r="L751" i="12"/>
  <c r="G484" i="12"/>
  <c r="E688" i="12"/>
  <c r="B689" i="12"/>
  <c r="R126" i="12"/>
  <c r="P484" i="12"/>
  <c r="N63" i="12"/>
  <c r="Q62" i="12"/>
  <c r="AJ915" i="11"/>
  <c r="AG1059" i="11"/>
  <c r="AG1060" i="11"/>
  <c r="O889" i="11"/>
  <c r="G726" i="11"/>
  <c r="G715" i="11"/>
  <c r="B806" i="11"/>
  <c r="E803" i="11"/>
  <c r="R494" i="11"/>
  <c r="AJ911" i="11"/>
  <c r="R802" i="11"/>
  <c r="I753" i="11"/>
  <c r="F757" i="11"/>
  <c r="N666" i="11"/>
  <c r="Q665" i="11"/>
  <c r="M464" i="11"/>
  <c r="J469" i="11"/>
  <c r="I824" i="11"/>
  <c r="R824" i="11" s="1"/>
  <c r="D562" i="11"/>
  <c r="I59" i="11"/>
  <c r="F62" i="11"/>
  <c r="O809" i="11"/>
  <c r="Q895" i="11"/>
  <c r="K758" i="11"/>
  <c r="K759" i="11"/>
  <c r="R541" i="11"/>
  <c r="B876" i="15"/>
  <c r="E874" i="15"/>
  <c r="B875" i="15"/>
  <c r="E722" i="15"/>
  <c r="B725" i="15"/>
  <c r="M676" i="15"/>
  <c r="J679" i="15"/>
  <c r="M777" i="15"/>
  <c r="J778" i="15"/>
  <c r="J936" i="15"/>
  <c r="M936" i="15" s="1"/>
  <c r="M907" i="15"/>
  <c r="F680" i="15"/>
  <c r="I679" i="15"/>
  <c r="F614" i="15"/>
  <c r="I613" i="15"/>
  <c r="M568" i="15"/>
  <c r="J569" i="15"/>
  <c r="P932" i="15"/>
  <c r="P940" i="15" s="1"/>
  <c r="P13" i="15" s="1"/>
  <c r="P917" i="15"/>
  <c r="E613" i="15"/>
  <c r="B614" i="15"/>
  <c r="I905" i="15"/>
  <c r="F907" i="15"/>
  <c r="M397" i="15"/>
  <c r="J512" i="15"/>
  <c r="P518" i="15"/>
  <c r="G324" i="15"/>
  <c r="O63" i="15"/>
  <c r="B898" i="15"/>
  <c r="E892" i="15"/>
  <c r="J898" i="15"/>
  <c r="M892" i="15"/>
  <c r="I59" i="15"/>
  <c r="F62" i="15"/>
  <c r="N133" i="15"/>
  <c r="Q130" i="15"/>
  <c r="M906" i="14"/>
  <c r="J908" i="14"/>
  <c r="AF993" i="14"/>
  <c r="O956" i="14"/>
  <c r="D793" i="14"/>
  <c r="I1095" i="14"/>
  <c r="Y1095" i="14" s="1"/>
  <c r="G1043" i="14"/>
  <c r="I1097" i="14"/>
  <c r="Y1097" i="14" s="1"/>
  <c r="G1045" i="14"/>
  <c r="L826" i="14"/>
  <c r="L825" i="14"/>
  <c r="B826" i="14"/>
  <c r="E824" i="14"/>
  <c r="B825" i="14"/>
  <c r="M613" i="14"/>
  <c r="D782" i="14"/>
  <c r="G918" i="14"/>
  <c r="K792" i="14"/>
  <c r="K827" i="14"/>
  <c r="P961" i="14"/>
  <c r="Q400" i="14"/>
  <c r="N515" i="14"/>
  <c r="E907" i="14"/>
  <c r="R907" i="14" s="1"/>
  <c r="H1064" i="13"/>
  <c r="X1064" i="13" s="1"/>
  <c r="AH984" i="13"/>
  <c r="AH1019" i="13"/>
  <c r="I1061" i="13"/>
  <c r="Y1061" i="13" s="1"/>
  <c r="G1009" i="13"/>
  <c r="Q537" i="13"/>
  <c r="N540" i="13"/>
  <c r="H1067" i="13"/>
  <c r="X1067" i="13" s="1"/>
  <c r="AH1022" i="13"/>
  <c r="AH987" i="13"/>
  <c r="AH1107" i="13"/>
  <c r="AH1106" i="13"/>
  <c r="B908" i="13"/>
  <c r="E908" i="13" s="1"/>
  <c r="R908" i="13" s="1"/>
  <c r="E886" i="13"/>
  <c r="D754" i="13"/>
  <c r="N925" i="13"/>
  <c r="R885" i="13"/>
  <c r="B586" i="13"/>
  <c r="E585" i="13"/>
  <c r="C887" i="13"/>
  <c r="C902" i="13"/>
  <c r="C910" i="13" s="1"/>
  <c r="C13" i="13" s="1"/>
  <c r="Q934" i="13"/>
  <c r="P847" i="13"/>
  <c r="E485" i="13"/>
  <c r="B490" i="13"/>
  <c r="E308" i="13"/>
  <c r="B316" i="13"/>
  <c r="E652" i="13"/>
  <c r="B653" i="13"/>
  <c r="G132" i="13"/>
  <c r="I751" i="13"/>
  <c r="F752" i="13"/>
  <c r="J868" i="13"/>
  <c r="M862" i="13"/>
  <c r="AO911" i="12"/>
  <c r="AF911" i="12"/>
  <c r="AD950" i="12"/>
  <c r="AJ937" i="12"/>
  <c r="Q62" i="13"/>
  <c r="N63" i="13"/>
  <c r="I844" i="13"/>
  <c r="F845" i="13"/>
  <c r="F846" i="13"/>
  <c r="AH1089" i="12"/>
  <c r="AH1088" i="12"/>
  <c r="J892" i="12"/>
  <c r="M892" i="12" s="1"/>
  <c r="M861" i="12"/>
  <c r="H1052" i="12"/>
  <c r="X1052" i="12" s="1"/>
  <c r="AH1007" i="12"/>
  <c r="AH972" i="12"/>
  <c r="N783" i="12"/>
  <c r="Q779" i="12"/>
  <c r="B896" i="12"/>
  <c r="E896" i="12" s="1"/>
  <c r="E874" i="12"/>
  <c r="F833" i="12"/>
  <c r="F834" i="12"/>
  <c r="I832" i="12"/>
  <c r="G1024" i="12"/>
  <c r="AK903" i="12"/>
  <c r="O912" i="12"/>
  <c r="C752" i="12"/>
  <c r="G784" i="12"/>
  <c r="G785" i="12"/>
  <c r="K314" i="12"/>
  <c r="H786" i="12"/>
  <c r="P916" i="12"/>
  <c r="H751" i="12"/>
  <c r="G740" i="12"/>
  <c r="E639" i="12"/>
  <c r="R639" i="12" s="1"/>
  <c r="B642" i="12"/>
  <c r="I685" i="12"/>
  <c r="R685" i="12" s="1"/>
  <c r="F688" i="12"/>
  <c r="R451" i="12"/>
  <c r="I530" i="12"/>
  <c r="R530" i="12" s="1"/>
  <c r="F533" i="12"/>
  <c r="C739" i="12"/>
  <c r="E736" i="12"/>
  <c r="E578" i="12"/>
  <c r="B579" i="12"/>
  <c r="H478" i="12"/>
  <c r="H483" i="12" s="1"/>
  <c r="I382" i="12"/>
  <c r="M578" i="12"/>
  <c r="J579" i="12"/>
  <c r="G998" i="11"/>
  <c r="AK877" i="11"/>
  <c r="E848" i="11"/>
  <c r="R848" i="11" s="1"/>
  <c r="B870" i="11"/>
  <c r="E870" i="11" s="1"/>
  <c r="C716" i="11"/>
  <c r="N886" i="11"/>
  <c r="I713" i="11"/>
  <c r="F714" i="11"/>
  <c r="M514" i="11"/>
  <c r="J517" i="11"/>
  <c r="F866" i="11"/>
  <c r="I866" i="11" s="1"/>
  <c r="I835" i="11"/>
  <c r="O308" i="11"/>
  <c r="F864" i="11"/>
  <c r="F849" i="11"/>
  <c r="I849" i="11" s="1"/>
  <c r="I830" i="11"/>
  <c r="K807" i="11"/>
  <c r="K808" i="11"/>
  <c r="N561" i="11"/>
  <c r="Q558" i="11"/>
  <c r="AH1077" i="11"/>
  <c r="AH1078" i="11"/>
  <c r="C562" i="11"/>
  <c r="M837" i="11"/>
  <c r="J839" i="11"/>
  <c r="L876" i="15"/>
  <c r="L875" i="15"/>
  <c r="M871" i="15"/>
  <c r="J874" i="15"/>
  <c r="E871" i="15"/>
  <c r="D778" i="15"/>
  <c r="D779" i="15"/>
  <c r="D727" i="15" s="1"/>
  <c r="E916" i="15"/>
  <c r="E676" i="15"/>
  <c r="R676" i="15" s="1"/>
  <c r="B679" i="15"/>
  <c r="I874" i="15"/>
  <c r="F875" i="15"/>
  <c r="F876" i="15"/>
  <c r="F778" i="15"/>
  <c r="I777" i="15"/>
  <c r="M610" i="15"/>
  <c r="R610" i="15" s="1"/>
  <c r="J613" i="15"/>
  <c r="H614" i="15"/>
  <c r="P789" i="15"/>
  <c r="F512" i="15"/>
  <c r="C917" i="15"/>
  <c r="O315" i="15"/>
  <c r="O323" i="15" s="1"/>
  <c r="H940" i="15"/>
  <c r="H13" i="15" s="1"/>
  <c r="K63" i="15"/>
  <c r="R89" i="15"/>
  <c r="AD1115" i="14"/>
  <c r="AJ988" i="14"/>
  <c r="I1100" i="14"/>
  <c r="Y1100" i="14" s="1"/>
  <c r="G1048" i="14"/>
  <c r="G1075" i="14" s="1"/>
  <c r="J872" i="14"/>
  <c r="H876" i="14"/>
  <c r="H877" i="14"/>
  <c r="H792" i="14" s="1"/>
  <c r="R747" i="14"/>
  <c r="I1093" i="14"/>
  <c r="Y1093" i="14" s="1"/>
  <c r="G1041" i="14"/>
  <c r="H1096" i="14"/>
  <c r="X1096" i="14" s="1"/>
  <c r="AH1051" i="14"/>
  <c r="AH1016" i="14"/>
  <c r="R546" i="14"/>
  <c r="P985" i="14"/>
  <c r="P1013" i="14"/>
  <c r="R860" i="14"/>
  <c r="G729" i="14"/>
  <c r="N780" i="14"/>
  <c r="Q777" i="14"/>
  <c r="E780" i="14"/>
  <c r="B781" i="14"/>
  <c r="G941" i="14"/>
  <c r="G13" i="14" s="1"/>
  <c r="E551" i="14"/>
  <c r="R551" i="14" s="1"/>
  <c r="H521" i="14"/>
  <c r="C515" i="14"/>
  <c r="C520" i="14" s="1"/>
  <c r="F781" i="14"/>
  <c r="I780" i="14"/>
  <c r="Q59" i="14"/>
  <c r="N62" i="14"/>
  <c r="E400" i="14"/>
  <c r="D329" i="14"/>
  <c r="M62" i="14"/>
  <c r="J63" i="14"/>
  <c r="AH962" i="13"/>
  <c r="G320" i="14"/>
  <c r="G328" i="14" s="1"/>
  <c r="I537" i="13"/>
  <c r="F540" i="13"/>
  <c r="G1015" i="13"/>
  <c r="I1067" i="13"/>
  <c r="Y1067" i="13" s="1"/>
  <c r="R718" i="13"/>
  <c r="AJ954" i="13"/>
  <c r="C317" i="13"/>
  <c r="O699" i="13"/>
  <c r="N586" i="13"/>
  <c r="Q585" i="13"/>
  <c r="M841" i="13"/>
  <c r="J844" i="13"/>
  <c r="H653" i="13"/>
  <c r="G485" i="13"/>
  <c r="G490" i="13" s="1"/>
  <c r="J908" i="13"/>
  <c r="M908" i="13" s="1"/>
  <c r="M886" i="13"/>
  <c r="L317" i="13"/>
  <c r="E868" i="13"/>
  <c r="B887" i="13"/>
  <c r="B902" i="13"/>
  <c r="O845" i="13"/>
  <c r="O846" i="13"/>
  <c r="K699" i="13"/>
  <c r="K700" i="13"/>
  <c r="AG1104" i="13"/>
  <c r="AG1103" i="13"/>
  <c r="C847" i="13"/>
  <c r="Q924" i="13"/>
  <c r="E212" i="13"/>
  <c r="P962" i="13"/>
  <c r="P990" i="13"/>
  <c r="R649" i="13"/>
  <c r="D63" i="13"/>
  <c r="AJ944" i="12"/>
  <c r="N698" i="13"/>
  <c r="Q695" i="13"/>
  <c r="R50" i="13"/>
  <c r="Q874" i="12"/>
  <c r="N896" i="12"/>
  <c r="Q896" i="12" s="1"/>
  <c r="F906" i="13"/>
  <c r="I906" i="13" s="1"/>
  <c r="I877" i="13"/>
  <c r="I862" i="13"/>
  <c r="R862" i="13" s="1"/>
  <c r="F868" i="13"/>
  <c r="AJ945" i="12"/>
  <c r="K317" i="13"/>
  <c r="G1027" i="12"/>
  <c r="AK906" i="12"/>
  <c r="P921" i="12"/>
  <c r="O786" i="12"/>
  <c r="G833" i="12"/>
  <c r="G834" i="12"/>
  <c r="G999" i="12"/>
  <c r="I1051" i="12"/>
  <c r="Y1051" i="12" s="1"/>
  <c r="AH1079" i="12"/>
  <c r="AH1080" i="12"/>
  <c r="B892" i="12"/>
  <c r="E892" i="12" s="1"/>
  <c r="R892" i="12" s="1"/>
  <c r="E861" i="12"/>
  <c r="R861" i="12" s="1"/>
  <c r="Q973" i="12"/>
  <c r="Q945" i="12"/>
  <c r="P975" i="12"/>
  <c r="P947" i="12"/>
  <c r="C314" i="12"/>
  <c r="P786" i="12"/>
  <c r="P922" i="12"/>
  <c r="P751" i="12"/>
  <c r="M209" i="12"/>
  <c r="J305" i="12"/>
  <c r="I736" i="12"/>
  <c r="R180" i="12"/>
  <c r="S189" i="12" s="1"/>
  <c r="R763" i="12"/>
  <c r="R707" i="12"/>
  <c r="R354" i="12"/>
  <c r="S361" i="12" s="1"/>
  <c r="AD1025" i="11"/>
  <c r="AD1023" i="11"/>
  <c r="AD1045" i="11"/>
  <c r="AD1028" i="11"/>
  <c r="AD1026" i="11"/>
  <c r="AD1024" i="11"/>
  <c r="AD1022" i="11"/>
  <c r="AD1027" i="11"/>
  <c r="F63" i="12"/>
  <c r="I62" i="12"/>
  <c r="H1030" i="11"/>
  <c r="X1030" i="11" s="1"/>
  <c r="AH985" i="11"/>
  <c r="AH950" i="11"/>
  <c r="H1027" i="11"/>
  <c r="X1027" i="11" s="1"/>
  <c r="AH982" i="11"/>
  <c r="AH947" i="11"/>
  <c r="AH981" i="11"/>
  <c r="AH946" i="11"/>
  <c r="H1026" i="11"/>
  <c r="X1026" i="11" s="1"/>
  <c r="M62" i="12"/>
  <c r="J63" i="12"/>
  <c r="M847" i="11"/>
  <c r="J757" i="11"/>
  <c r="M753" i="11"/>
  <c r="O470" i="11"/>
  <c r="AH1083" i="11"/>
  <c r="AH1084" i="11"/>
  <c r="I278" i="11"/>
  <c r="R278" i="11" s="1"/>
  <c r="F299" i="11"/>
  <c r="Q896" i="11"/>
  <c r="P809" i="11"/>
  <c r="P725" i="11"/>
  <c r="J807" i="11"/>
  <c r="J808" i="11"/>
  <c r="M806" i="11"/>
  <c r="E464" i="11"/>
  <c r="B469" i="11"/>
  <c r="O849" i="11"/>
  <c r="Q946" i="11"/>
  <c r="Q918" i="11"/>
  <c r="G760" i="11"/>
  <c r="P889" i="11"/>
  <c r="R905" i="15"/>
  <c r="Q705" i="15"/>
  <c r="N722" i="15"/>
  <c r="P959" i="15"/>
  <c r="M722" i="15"/>
  <c r="J725" i="15"/>
  <c r="E938" i="15"/>
  <c r="R900" i="15"/>
  <c r="P614" i="15"/>
  <c r="P993" i="15"/>
  <c r="P1021" i="15"/>
  <c r="K324" i="15"/>
  <c r="Q892" i="15"/>
  <c r="N898" i="15"/>
  <c r="L932" i="15"/>
  <c r="L940" i="15" s="1"/>
  <c r="L13" i="15" s="1"/>
  <c r="L917" i="15"/>
  <c r="R27" i="15"/>
  <c r="I215" i="15"/>
  <c r="H917" i="15"/>
  <c r="C134" i="15"/>
  <c r="I1102" i="14"/>
  <c r="Y1102" i="14" s="1"/>
  <c r="G1050" i="14"/>
  <c r="AH1057" i="14"/>
  <c r="H1102" i="14"/>
  <c r="X1102" i="14" s="1"/>
  <c r="AH1022" i="14"/>
  <c r="H1099" i="14"/>
  <c r="X1099" i="14" s="1"/>
  <c r="AH1054" i="14"/>
  <c r="AH1019" i="14"/>
  <c r="R906" i="14"/>
  <c r="I1098" i="14"/>
  <c r="Y1098" i="14" s="1"/>
  <c r="G1046" i="14"/>
  <c r="B875" i="14"/>
  <c r="E872" i="14"/>
  <c r="AO945" i="14"/>
  <c r="AF945" i="14"/>
  <c r="AD958" i="14"/>
  <c r="Q939" i="14"/>
  <c r="R939" i="14" s="1"/>
  <c r="H827" i="14"/>
  <c r="P959" i="14"/>
  <c r="R790" i="14"/>
  <c r="P876" i="14"/>
  <c r="P877" i="14"/>
  <c r="AH1055" i="14"/>
  <c r="H1100" i="14"/>
  <c r="X1100" i="14" s="1"/>
  <c r="AH1020" i="14"/>
  <c r="Q1013" i="14"/>
  <c r="Q985" i="14"/>
  <c r="P918" i="14"/>
  <c r="P933" i="14"/>
  <c r="P941" i="14" s="1"/>
  <c r="P13" i="14" s="1"/>
  <c r="P1022" i="14"/>
  <c r="P994" i="14"/>
  <c r="M135" i="14"/>
  <c r="J138" i="14"/>
  <c r="O918" i="14"/>
  <c r="P955" i="14"/>
  <c r="C827" i="14"/>
  <c r="C792" i="14"/>
  <c r="I777" i="14"/>
  <c r="R777" i="14" s="1"/>
  <c r="B515" i="14"/>
  <c r="D918" i="14"/>
  <c r="D933" i="14"/>
  <c r="D941" i="14" s="1"/>
  <c r="D13" i="14" s="1"/>
  <c r="Q299" i="14"/>
  <c r="R299" i="14" s="1"/>
  <c r="K515" i="14"/>
  <c r="K520" i="14" s="1"/>
  <c r="H1061" i="13"/>
  <c r="AH981" i="13"/>
  <c r="AH1016" i="13"/>
  <c r="AJ953" i="13"/>
  <c r="R882" i="13"/>
  <c r="I458" i="13"/>
  <c r="M876" i="13"/>
  <c r="AF962" i="13"/>
  <c r="I1062" i="13"/>
  <c r="Y1062" i="13" s="1"/>
  <c r="G1010" i="13"/>
  <c r="R814" i="13"/>
  <c r="I871" i="13"/>
  <c r="R871" i="13" s="1"/>
  <c r="F797" i="13"/>
  <c r="I795" i="13"/>
  <c r="F796" i="13"/>
  <c r="D877" i="13"/>
  <c r="D906" i="13" s="1"/>
  <c r="Q877" i="13"/>
  <c r="Q791" i="13"/>
  <c r="P653" i="13"/>
  <c r="L877" i="13"/>
  <c r="L906" i="13" s="1"/>
  <c r="G845" i="13"/>
  <c r="G846" i="13"/>
  <c r="K753" i="13"/>
  <c r="Q862" i="13"/>
  <c r="N868" i="13"/>
  <c r="R870" i="12"/>
  <c r="E59" i="13"/>
  <c r="R59" i="13" s="1"/>
  <c r="P930" i="13"/>
  <c r="K798" i="13"/>
  <c r="B131" i="13"/>
  <c r="E128" i="13"/>
  <c r="I1056" i="12"/>
  <c r="Y1056" i="12" s="1"/>
  <c r="G1004" i="12"/>
  <c r="G1031" i="12" s="1"/>
  <c r="I874" i="12"/>
  <c r="F896" i="12"/>
  <c r="I896" i="12" s="1"/>
  <c r="I212" i="13"/>
  <c r="F308" i="13"/>
  <c r="D798" i="13"/>
  <c r="P925" i="13"/>
  <c r="I62" i="13"/>
  <c r="F63" i="13"/>
  <c r="K887" i="13"/>
  <c r="K902" i="13"/>
  <c r="K910" i="13" s="1"/>
  <c r="K13" i="13" s="1"/>
  <c r="AJ941" i="12"/>
  <c r="G1033" i="12"/>
  <c r="AK912" i="12"/>
  <c r="J896" i="12"/>
  <c r="M896" i="12" s="1"/>
  <c r="M874" i="12"/>
  <c r="O833" i="12"/>
  <c r="O834" i="12"/>
  <c r="AJ938" i="12"/>
  <c r="K689" i="12"/>
  <c r="I850" i="12"/>
  <c r="F856" i="12"/>
  <c r="Q856" i="12"/>
  <c r="N875" i="12"/>
  <c r="N890" i="12"/>
  <c r="E209" i="12"/>
  <c r="R209" i="12" s="1"/>
  <c r="B305" i="12"/>
  <c r="I739" i="12"/>
  <c r="F740" i="12"/>
  <c r="O740" i="12"/>
  <c r="E284" i="12"/>
  <c r="R284" i="12" s="1"/>
  <c r="K741" i="12"/>
  <c r="K690" i="12" s="1"/>
  <c r="K740" i="12"/>
  <c r="O314" i="12"/>
  <c r="B783" i="12"/>
  <c r="E779" i="12"/>
  <c r="O579" i="12"/>
  <c r="H689" i="12"/>
  <c r="M685" i="12"/>
  <c r="Q575" i="12"/>
  <c r="Q975" i="12"/>
  <c r="Q947" i="12"/>
  <c r="O898" i="12"/>
  <c r="O13" i="12" s="1"/>
  <c r="G974" i="11"/>
  <c r="I1026" i="11"/>
  <c r="Y1026" i="11" s="1"/>
  <c r="AD384" i="11"/>
  <c r="AM384" i="11" s="1"/>
  <c r="AH977" i="11"/>
  <c r="AH942" i="11"/>
  <c r="AH955" i="11" s="1"/>
  <c r="H1022" i="11"/>
  <c r="X1022" i="11" s="1"/>
  <c r="F955" i="11"/>
  <c r="M561" i="11"/>
  <c r="J562" i="11"/>
  <c r="P890" i="11"/>
  <c r="H760" i="11"/>
  <c r="H725" i="11"/>
  <c r="F868" i="11"/>
  <c r="I868" i="11" s="1"/>
  <c r="I839" i="11"/>
  <c r="M616" i="11"/>
  <c r="J619" i="11"/>
  <c r="Q464" i="11"/>
  <c r="G1008" i="11"/>
  <c r="AK887" i="11"/>
  <c r="H1031" i="11"/>
  <c r="X1031" i="11" s="1"/>
  <c r="AH951" i="11"/>
  <c r="AH986" i="11"/>
  <c r="AH978" i="11"/>
  <c r="H1023" i="11"/>
  <c r="AH943" i="11"/>
  <c r="B757" i="11"/>
  <c r="E753" i="11"/>
  <c r="Q206" i="11"/>
  <c r="N299" i="11"/>
  <c r="J713" i="11"/>
  <c r="M710" i="11"/>
  <c r="M662" i="11"/>
  <c r="J665" i="11"/>
  <c r="H464" i="11"/>
  <c r="J299" i="11"/>
  <c r="M206" i="11"/>
  <c r="R206" i="11" s="1"/>
  <c r="Q870" i="11"/>
  <c r="R901" i="15"/>
  <c r="L822" i="15"/>
  <c r="L823" i="15"/>
  <c r="Q916" i="15"/>
  <c r="L778" i="15"/>
  <c r="P1014" i="15"/>
  <c r="P986" i="15"/>
  <c r="S589" i="15"/>
  <c r="M906" i="15"/>
  <c r="K512" i="15"/>
  <c r="K517" i="15" s="1"/>
  <c r="C315" i="15"/>
  <c r="C323" i="15" s="1"/>
  <c r="D932" i="15"/>
  <c r="D940" i="15" s="1"/>
  <c r="D13" i="15" s="1"/>
  <c r="D917" i="15"/>
  <c r="H518" i="15"/>
  <c r="M130" i="15"/>
  <c r="J133" i="15"/>
  <c r="F323" i="15"/>
  <c r="Q59" i="15"/>
  <c r="N62" i="15"/>
  <c r="AH1050" i="14"/>
  <c r="H1095" i="14"/>
  <c r="X1095" i="14" s="1"/>
  <c r="AH1015" i="14"/>
  <c r="AG993" i="14"/>
  <c r="R818" i="14"/>
  <c r="AF954" i="14"/>
  <c r="AO954" i="14"/>
  <c r="R913" i="14"/>
  <c r="R917" i="14"/>
  <c r="R901" i="14"/>
  <c r="H918" i="14"/>
  <c r="H933" i="14"/>
  <c r="H941" i="14" s="1"/>
  <c r="H13" i="14" s="1"/>
  <c r="M893" i="14"/>
  <c r="F682" i="14"/>
  <c r="I679" i="14"/>
  <c r="AD407" i="14"/>
  <c r="AM407" i="14" s="1"/>
  <c r="E135" i="14"/>
  <c r="B138" i="14"/>
  <c r="O941" i="14"/>
  <c r="O13" i="14" s="1"/>
  <c r="N138" i="14"/>
  <c r="Q135" i="14"/>
  <c r="AJ959" i="13"/>
  <c r="H1063" i="13"/>
  <c r="X1063" i="13" s="1"/>
  <c r="AH1018" i="13"/>
  <c r="AH983" i="13"/>
  <c r="I1063" i="13"/>
  <c r="Y1063" i="13" s="1"/>
  <c r="G1011" i="13"/>
  <c r="C320" i="14"/>
  <c r="C328" i="14" s="1"/>
  <c r="R678" i="13"/>
  <c r="AG1122" i="13"/>
  <c r="AG1121" i="13"/>
  <c r="AJ957" i="13"/>
  <c r="AE962" i="13"/>
  <c r="F908" i="13"/>
  <c r="I908" i="13" s="1"/>
  <c r="I886" i="13"/>
  <c r="P796" i="13"/>
  <c r="P797" i="13"/>
  <c r="Q906" i="13"/>
  <c r="N490" i="13"/>
  <c r="Q485" i="13"/>
  <c r="N797" i="13"/>
  <c r="Q795" i="13"/>
  <c r="N796" i="13"/>
  <c r="L753" i="13"/>
  <c r="E877" i="13"/>
  <c r="B906" i="13"/>
  <c r="E906" i="13" s="1"/>
  <c r="M698" i="13"/>
  <c r="J699" i="13"/>
  <c r="F652" i="13"/>
  <c r="I649" i="13"/>
  <c r="Q925" i="13"/>
  <c r="D847" i="13"/>
  <c r="Q212" i="13"/>
  <c r="N308" i="13"/>
  <c r="J541" i="13"/>
  <c r="M540" i="13"/>
  <c r="R127" i="13"/>
  <c r="M865" i="12"/>
  <c r="J894" i="12"/>
  <c r="M894" i="12" s="1"/>
  <c r="AJ955" i="13"/>
  <c r="I585" i="13"/>
  <c r="F586" i="13"/>
  <c r="N132" i="13"/>
  <c r="Q131" i="13"/>
  <c r="I1053" i="12"/>
  <c r="Y1053" i="12" s="1"/>
  <c r="G1001" i="12"/>
  <c r="J131" i="13"/>
  <c r="M128" i="13"/>
  <c r="AG1098" i="12"/>
  <c r="AG1097" i="12"/>
  <c r="P913" i="12"/>
  <c r="D751" i="12"/>
  <c r="D786" i="12"/>
  <c r="AD915" i="12"/>
  <c r="AH1107" i="12"/>
  <c r="AH1106" i="12"/>
  <c r="AH1082" i="12"/>
  <c r="AH1083" i="12"/>
  <c r="R749" i="12"/>
  <c r="Q913" i="12"/>
  <c r="D835" i="12"/>
  <c r="R668" i="12"/>
  <c r="P875" i="12"/>
  <c r="P890" i="12"/>
  <c r="P898" i="12" s="1"/>
  <c r="P13" i="12" s="1"/>
  <c r="Q850" i="12"/>
  <c r="H875" i="12"/>
  <c r="H890" i="12"/>
  <c r="H898" i="12" s="1"/>
  <c r="H13" i="12" s="1"/>
  <c r="Q919" i="12"/>
  <c r="L835" i="12"/>
  <c r="N739" i="12"/>
  <c r="D305" i="12"/>
  <c r="D313" i="12" s="1"/>
  <c r="C643" i="12"/>
  <c r="M382" i="12"/>
  <c r="J478" i="12"/>
  <c r="M688" i="12"/>
  <c r="J689" i="12"/>
  <c r="N579" i="12"/>
  <c r="Q578" i="12"/>
  <c r="O875" i="12"/>
  <c r="H1029" i="11"/>
  <c r="X1029" i="11" s="1"/>
  <c r="AH984" i="11"/>
  <c r="AH949" i="11"/>
  <c r="I1027" i="11"/>
  <c r="Y1027" i="11" s="1"/>
  <c r="G975" i="11"/>
  <c r="I131" i="12"/>
  <c r="R131" i="12" s="1"/>
  <c r="F132" i="12"/>
  <c r="AH924" i="11"/>
  <c r="AH1054" i="11"/>
  <c r="AH1053" i="11"/>
  <c r="E62" i="12"/>
  <c r="R62" i="12" s="1"/>
  <c r="B63" i="12"/>
  <c r="I837" i="11"/>
  <c r="AF885" i="11"/>
  <c r="AO885" i="11"/>
  <c r="AJ912" i="11"/>
  <c r="K714" i="11"/>
  <c r="AH1071" i="11"/>
  <c r="AH1072" i="11"/>
  <c r="F619" i="11"/>
  <c r="I616" i="11"/>
  <c r="R616" i="11" s="1"/>
  <c r="E847" i="11"/>
  <c r="R847" i="11" s="1"/>
  <c r="L518" i="11"/>
  <c r="K872" i="11"/>
  <c r="K13" i="11" s="1"/>
  <c r="E830" i="11"/>
  <c r="R830" i="11" s="1"/>
  <c r="T830" i="11" s="1"/>
  <c r="B864" i="11"/>
  <c r="D809" i="11"/>
  <c r="Q887" i="11"/>
  <c r="B63" i="11"/>
  <c r="E62" i="11"/>
  <c r="J63" i="11"/>
  <c r="M62" i="11"/>
  <c r="O760" i="11"/>
  <c r="P895" i="11"/>
  <c r="B907" i="15"/>
  <c r="J938" i="15"/>
  <c r="M938" i="15" s="1"/>
  <c r="M916" i="15"/>
  <c r="E903" i="15"/>
  <c r="Q938" i="15"/>
  <c r="E859" i="15"/>
  <c r="C823" i="15"/>
  <c r="C822" i="15"/>
  <c r="N821" i="15"/>
  <c r="Q817" i="15"/>
  <c r="R586" i="15"/>
  <c r="D726" i="15"/>
  <c r="G565" i="15"/>
  <c r="G614" i="15"/>
  <c r="K726" i="15"/>
  <c r="N569" i="15"/>
  <c r="Q568" i="15"/>
  <c r="N778" i="15"/>
  <c r="Q777" i="15"/>
  <c r="N680" i="15"/>
  <c r="Q679" i="15"/>
  <c r="C512" i="15"/>
  <c r="C517" i="15" s="1"/>
  <c r="G917" i="15"/>
  <c r="Q610" i="15"/>
  <c r="O932" i="15"/>
  <c r="O940" i="15" s="1"/>
  <c r="O13" i="15" s="1"/>
  <c r="O917" i="15"/>
  <c r="J62" i="15"/>
  <c r="M59" i="15"/>
  <c r="T302" i="15"/>
  <c r="AD403" i="15"/>
  <c r="AM403" i="15" s="1"/>
  <c r="Q215" i="15"/>
  <c r="E133" i="15"/>
  <c r="B134" i="15"/>
  <c r="AJ986" i="14"/>
  <c r="I1094" i="14"/>
  <c r="Y1094" i="14" s="1"/>
  <c r="G1042" i="14"/>
  <c r="AS993" i="14"/>
  <c r="P993" i="14"/>
  <c r="P1021" i="14"/>
  <c r="I1092" i="14"/>
  <c r="Y1092" i="14" s="1"/>
  <c r="G1040" i="14"/>
  <c r="I916" i="14"/>
  <c r="AO950" i="14"/>
  <c r="AF950" i="14"/>
  <c r="F875" i="14"/>
  <c r="I872" i="14"/>
  <c r="AJ989" i="14"/>
  <c r="R916" i="14"/>
  <c r="I824" i="14"/>
  <c r="F825" i="14"/>
  <c r="F826" i="14"/>
  <c r="N616" i="14"/>
  <c r="Q613" i="14"/>
  <c r="R893" i="14"/>
  <c r="K933" i="14"/>
  <c r="K941" i="14" s="1"/>
  <c r="K13" i="14" s="1"/>
  <c r="K918" i="14"/>
  <c r="G617" i="14"/>
  <c r="M780" i="14"/>
  <c r="J781" i="14"/>
  <c r="N682" i="14"/>
  <c r="Q679" i="14"/>
  <c r="I400" i="14"/>
  <c r="F515" i="14"/>
  <c r="N320" i="14"/>
  <c r="Q220" i="14"/>
  <c r="L617" i="14"/>
  <c r="I1064" i="13"/>
  <c r="Y1064" i="13" s="1"/>
  <c r="G1012" i="13"/>
  <c r="C933" i="14"/>
  <c r="C941" i="14" s="1"/>
  <c r="C13" i="14" s="1"/>
  <c r="C918" i="14"/>
  <c r="AJ958" i="13"/>
  <c r="AH1023" i="13"/>
  <c r="H1068" i="13"/>
  <c r="X1068" i="13" s="1"/>
  <c r="AH988" i="13"/>
  <c r="H796" i="13"/>
  <c r="H797" i="13"/>
  <c r="AH1017" i="13"/>
  <c r="AH982" i="13"/>
  <c r="H1062" i="13"/>
  <c r="X1062" i="13" s="1"/>
  <c r="D764" i="13"/>
  <c r="O925" i="13"/>
  <c r="J904" i="13"/>
  <c r="M904" i="13" s="1"/>
  <c r="M873" i="13"/>
  <c r="R873" i="13" s="1"/>
  <c r="E698" i="13"/>
  <c r="B699" i="13"/>
  <c r="C797" i="13"/>
  <c r="C796" i="13"/>
  <c r="E748" i="13"/>
  <c r="R748" i="13" s="1"/>
  <c r="B751" i="13"/>
  <c r="E875" i="13"/>
  <c r="R875" i="13" s="1"/>
  <c r="E791" i="13"/>
  <c r="R791" i="13" s="1"/>
  <c r="H887" i="13"/>
  <c r="H902" i="13"/>
  <c r="H910" i="13" s="1"/>
  <c r="H13" i="13" s="1"/>
  <c r="G752" i="13"/>
  <c r="E865" i="12"/>
  <c r="B894" i="12"/>
  <c r="E894" i="12" s="1"/>
  <c r="L847" i="13"/>
  <c r="Q931" i="13"/>
  <c r="D700" i="13"/>
  <c r="Q128" i="13"/>
  <c r="B540" i="13"/>
  <c r="E537" i="13"/>
  <c r="R537" i="13" s="1"/>
  <c r="M485" i="13"/>
  <c r="J490" i="13"/>
  <c r="R904" i="13"/>
  <c r="H1058" i="12"/>
  <c r="X1058" i="12" s="1"/>
  <c r="AH978" i="12"/>
  <c r="AH1013" i="12"/>
  <c r="AJ940" i="12"/>
  <c r="J829" i="12"/>
  <c r="G1025" i="12"/>
  <c r="AK904" i="12"/>
  <c r="F894" i="12"/>
  <c r="I894" i="12" s="1"/>
  <c r="I865" i="12"/>
  <c r="K890" i="12"/>
  <c r="K898" i="12" s="1"/>
  <c r="K13" i="12" s="1"/>
  <c r="K875" i="12"/>
  <c r="F783" i="12"/>
  <c r="I779" i="12"/>
  <c r="J856" i="12"/>
  <c r="M850" i="12"/>
  <c r="O534" i="12"/>
  <c r="Q817" i="12"/>
  <c r="R817" i="12" s="1"/>
  <c r="N829" i="12"/>
  <c r="N688" i="12"/>
  <c r="Q685" i="12"/>
  <c r="D890" i="12"/>
  <c r="D898" i="12" s="1"/>
  <c r="D13" i="12" s="1"/>
  <c r="D875" i="12"/>
  <c r="F478" i="12"/>
  <c r="N484" i="12"/>
  <c r="I575" i="12"/>
  <c r="R575" i="12" s="1"/>
  <c r="K534" i="12"/>
  <c r="P305" i="12"/>
  <c r="P313" i="12" s="1"/>
  <c r="AH952" i="11"/>
  <c r="H1032" i="11"/>
  <c r="X1032" i="11" s="1"/>
  <c r="AH987" i="11"/>
  <c r="I1028" i="11"/>
  <c r="Y1028" i="11" s="1"/>
  <c r="G976" i="11"/>
  <c r="G970" i="11"/>
  <c r="I1022" i="11"/>
  <c r="Y1022" i="11" s="1"/>
  <c r="G955" i="11"/>
  <c r="AO878" i="11"/>
  <c r="AF878" i="11"/>
  <c r="AH948" i="11"/>
  <c r="H1028" i="11"/>
  <c r="X1028" i="11" s="1"/>
  <c r="AH983" i="11"/>
  <c r="M131" i="12"/>
  <c r="J132" i="12"/>
  <c r="R59" i="12"/>
  <c r="AJ916" i="11"/>
  <c r="M870" i="11"/>
  <c r="K562" i="11"/>
  <c r="G1000" i="11"/>
  <c r="AK879" i="11"/>
  <c r="Q713" i="11"/>
  <c r="N714" i="11"/>
  <c r="AJ920" i="11"/>
  <c r="P925" i="11"/>
  <c r="P953" i="11"/>
  <c r="P562" i="11"/>
  <c r="L849" i="11"/>
  <c r="L864" i="11"/>
  <c r="L872" i="11" s="1"/>
  <c r="L13" i="11" s="1"/>
  <c r="G1004" i="11"/>
  <c r="AK883" i="11"/>
  <c r="F806" i="11"/>
  <c r="I803" i="11"/>
  <c r="O666" i="11"/>
  <c r="O667" i="11"/>
  <c r="E837" i="11"/>
  <c r="R837" i="11" s="1"/>
  <c r="B839" i="11"/>
  <c r="N129" i="11"/>
  <c r="Q126" i="11"/>
  <c r="R126" i="11" s="1"/>
  <c r="N619" i="11"/>
  <c r="Q616" i="11"/>
  <c r="R846" i="11"/>
  <c r="B713" i="11"/>
  <c r="E710" i="11"/>
  <c r="R710" i="11" s="1"/>
  <c r="C518" i="11"/>
  <c r="K849" i="11"/>
  <c r="B975" i="9"/>
  <c r="N975" i="9" s="1"/>
  <c r="B985" i="8"/>
  <c r="Q985" i="8" s="1"/>
  <c r="B1016" i="6"/>
  <c r="Q1016" i="6" s="1"/>
  <c r="B1015" i="6"/>
  <c r="Q1015" i="6" s="1"/>
  <c r="B1020" i="6"/>
  <c r="Q1020" i="6" s="1"/>
  <c r="B969" i="9"/>
  <c r="N969" i="9" s="1"/>
  <c r="B967" i="9"/>
  <c r="N967" i="9" s="1"/>
  <c r="B1004" i="7"/>
  <c r="Q1004" i="7" s="1"/>
  <c r="B1022" i="6"/>
  <c r="Q1022" i="6" s="1"/>
  <c r="B984" i="8"/>
  <c r="Q984" i="8" s="1"/>
  <c r="B972" i="9"/>
  <c r="N972" i="9" s="1"/>
  <c r="B1019" i="6"/>
  <c r="Q1019" i="6" s="1"/>
  <c r="B974" i="9"/>
  <c r="N974" i="9" s="1"/>
  <c r="B978" i="8"/>
  <c r="Q978" i="8" s="1"/>
  <c r="B998" i="7"/>
  <c r="Q998" i="7" s="1"/>
  <c r="B1001" i="7"/>
  <c r="Q1001" i="7" s="1"/>
  <c r="B1025" i="6"/>
  <c r="Q1025" i="6" s="1"/>
  <c r="B976" i="9"/>
  <c r="N976" i="9" s="1"/>
  <c r="B975" i="8"/>
  <c r="Q975" i="8" s="1"/>
  <c r="B983" i="8"/>
  <c r="Q983" i="8" s="1"/>
  <c r="B981" i="8"/>
  <c r="Q981" i="8" s="1"/>
  <c r="B965" i="9"/>
  <c r="N965" i="9" s="1"/>
  <c r="B1017" i="6"/>
  <c r="Q1017" i="6" s="1"/>
  <c r="B970" i="9"/>
  <c r="N970" i="9" s="1"/>
  <c r="B979" i="8"/>
  <c r="Q979" i="8" s="1"/>
  <c r="B973" i="9"/>
  <c r="N973" i="9" s="1"/>
  <c r="B1006" i="7"/>
  <c r="Q1006" i="7" s="1"/>
  <c r="B997" i="7"/>
  <c r="Q997" i="7" s="1"/>
  <c r="B1005" i="7"/>
  <c r="Q1005" i="7" s="1"/>
  <c r="B1007" i="7"/>
  <c r="Q1007" i="7" s="1"/>
  <c r="B1021" i="6"/>
  <c r="Q1021" i="6" s="1"/>
  <c r="B968" i="9"/>
  <c r="N968" i="9" s="1"/>
  <c r="B977" i="8"/>
  <c r="Q977" i="8" s="1"/>
  <c r="B966" i="9"/>
  <c r="N966" i="9" s="1"/>
  <c r="B1002" i="7"/>
  <c r="Q1002" i="7" s="1"/>
  <c r="B982" i="8"/>
  <c r="Q982" i="8" s="1"/>
  <c r="B1003" i="7"/>
  <c r="Q1003" i="7" s="1"/>
  <c r="B1023" i="6"/>
  <c r="Q1023" i="6" s="1"/>
  <c r="B1024" i="6"/>
  <c r="Q1024" i="6" s="1"/>
  <c r="B1018" i="6"/>
  <c r="Q1018" i="6" s="1"/>
  <c r="B971" i="9"/>
  <c r="N971" i="9" s="1"/>
  <c r="B974" i="8"/>
  <c r="Q974" i="8" s="1"/>
  <c r="B1000" i="7"/>
  <c r="Q1000" i="7" s="1"/>
  <c r="B976" i="8"/>
  <c r="Q976" i="8" s="1"/>
  <c r="B1008" i="7"/>
  <c r="Q1008" i="7" s="1"/>
  <c r="B999" i="7"/>
  <c r="Q999" i="7" s="1"/>
  <c r="B980" i="8"/>
  <c r="Q980" i="8" s="1"/>
  <c r="B1026" i="6"/>
  <c r="Q1026" i="6" s="1"/>
  <c r="O843" i="7"/>
  <c r="O675" i="7"/>
  <c r="O664" i="7"/>
  <c r="C442" i="6"/>
  <c r="H442" i="6"/>
  <c r="R755" i="8"/>
  <c r="T755" i="8" s="1"/>
  <c r="O617" i="10"/>
  <c r="O783" i="10"/>
  <c r="D665" i="7"/>
  <c r="N835" i="7"/>
  <c r="D618" i="7"/>
  <c r="R263" i="6"/>
  <c r="H636" i="6"/>
  <c r="M856" i="6"/>
  <c r="H599" i="6"/>
  <c r="H892" i="10"/>
  <c r="B896" i="10"/>
  <c r="H883" i="10"/>
  <c r="H890" i="10"/>
  <c r="G936" i="10"/>
  <c r="I799" i="10"/>
  <c r="M803" i="10"/>
  <c r="D803" i="10"/>
  <c r="I802" i="10"/>
  <c r="G939" i="10"/>
  <c r="G937" i="10"/>
  <c r="I800" i="10"/>
  <c r="R725" i="10"/>
  <c r="Q775" i="10"/>
  <c r="D697" i="10"/>
  <c r="F694" i="10"/>
  <c r="I691" i="10"/>
  <c r="K649" i="10"/>
  <c r="K650" i="10"/>
  <c r="Q773" i="10"/>
  <c r="B697" i="10"/>
  <c r="E696" i="10"/>
  <c r="L737" i="10"/>
  <c r="M644" i="10"/>
  <c r="E422" i="10"/>
  <c r="B423" i="10"/>
  <c r="P695" i="10"/>
  <c r="P696" i="10"/>
  <c r="R438" i="10"/>
  <c r="M123" i="10"/>
  <c r="J126" i="10"/>
  <c r="O127" i="10"/>
  <c r="N126" i="10"/>
  <c r="Q123" i="10"/>
  <c r="B240" i="10"/>
  <c r="E176" i="10"/>
  <c r="R176" i="10" s="1"/>
  <c r="F871" i="9"/>
  <c r="G938" i="9"/>
  <c r="AE851" i="9"/>
  <c r="G914" i="9"/>
  <c r="AK804" i="9"/>
  <c r="R750" i="9"/>
  <c r="Q755" i="9"/>
  <c r="N784" i="9"/>
  <c r="Q784" i="9" s="1"/>
  <c r="R617" i="9"/>
  <c r="D765" i="9"/>
  <c r="Q539" i="9"/>
  <c r="R27" i="9"/>
  <c r="K269" i="9"/>
  <c r="J489" i="9"/>
  <c r="M486" i="9"/>
  <c r="N129" i="9"/>
  <c r="Q128" i="9"/>
  <c r="I949" i="8"/>
  <c r="G897" i="8"/>
  <c r="I951" i="8"/>
  <c r="G899" i="8"/>
  <c r="AJ837" i="8"/>
  <c r="H949" i="8"/>
  <c r="AH869" i="8"/>
  <c r="AH904" i="8"/>
  <c r="N795" i="8"/>
  <c r="Q795" i="8" s="1"/>
  <c r="Q773" i="8"/>
  <c r="F408" i="8"/>
  <c r="I403" i="8"/>
  <c r="AJ846" i="8"/>
  <c r="K732" i="8"/>
  <c r="K733" i="8"/>
  <c r="C797" i="8"/>
  <c r="C13" i="8" s="1"/>
  <c r="L797" i="8"/>
  <c r="L13" i="8" s="1"/>
  <c r="F597" i="8"/>
  <c r="I596" i="8"/>
  <c r="F641" i="8"/>
  <c r="I640" i="8"/>
  <c r="B265" i="8"/>
  <c r="I760" i="8"/>
  <c r="F791" i="8"/>
  <c r="I791" i="8" s="1"/>
  <c r="R791" i="8" s="1"/>
  <c r="H974" i="7"/>
  <c r="AH929" i="7"/>
  <c r="AH894" i="7"/>
  <c r="AH936" i="7"/>
  <c r="H981" i="7"/>
  <c r="AH901" i="7"/>
  <c r="AJ865" i="7"/>
  <c r="I979" i="7"/>
  <c r="G927" i="7"/>
  <c r="G954" i="7" s="1"/>
  <c r="R789" i="7"/>
  <c r="I511" i="7"/>
  <c r="F514" i="7"/>
  <c r="AJ866" i="7"/>
  <c r="J787" i="7"/>
  <c r="P571" i="7"/>
  <c r="D284" i="7"/>
  <c r="K812" i="7"/>
  <c r="K820" i="7" s="1"/>
  <c r="K13" i="7" s="1"/>
  <c r="K797" i="7"/>
  <c r="D709" i="7"/>
  <c r="P835" i="7"/>
  <c r="K284" i="7"/>
  <c r="I974" i="7"/>
  <c r="G922" i="7"/>
  <c r="M662" i="7"/>
  <c r="J663" i="7"/>
  <c r="P131" i="7"/>
  <c r="F818" i="7"/>
  <c r="I818" i="7" s="1"/>
  <c r="I796" i="7"/>
  <c r="R796" i="7" s="1"/>
  <c r="AD872" i="7"/>
  <c r="AJ859" i="7"/>
  <c r="AH925" i="7"/>
  <c r="F903" i="7"/>
  <c r="H970" i="7"/>
  <c r="AH890" i="7"/>
  <c r="P755" i="7"/>
  <c r="P756" i="7"/>
  <c r="K617" i="7"/>
  <c r="G284" i="7"/>
  <c r="H990" i="6"/>
  <c r="AH910" i="6"/>
  <c r="AH945" i="6"/>
  <c r="AG890" i="6"/>
  <c r="I814" i="6"/>
  <c r="F836" i="6"/>
  <c r="I836" i="6" s="1"/>
  <c r="AJ880" i="6"/>
  <c r="Q970" i="6"/>
  <c r="R970" i="6" s="1"/>
  <c r="R613" i="6"/>
  <c r="F726" i="6"/>
  <c r="I724" i="6"/>
  <c r="F725" i="6"/>
  <c r="Q790" i="6"/>
  <c r="Q769" i="6"/>
  <c r="Q969" i="6"/>
  <c r="R969" i="6" s="1"/>
  <c r="E567" i="7"/>
  <c r="P858" i="6"/>
  <c r="K692" i="6"/>
  <c r="K727" i="6"/>
  <c r="H283" i="6"/>
  <c r="H291" i="6" s="1"/>
  <c r="R354" i="6"/>
  <c r="E677" i="6"/>
  <c r="C489" i="6"/>
  <c r="M263" i="6"/>
  <c r="K815" i="6"/>
  <c r="I587" i="6"/>
  <c r="F588" i="6"/>
  <c r="M584" i="6"/>
  <c r="N834" i="6"/>
  <c r="Q834" i="6" s="1"/>
  <c r="Q805" i="6"/>
  <c r="E488" i="6"/>
  <c r="N533" i="6"/>
  <c r="Q532" i="6"/>
  <c r="Q128" i="6"/>
  <c r="N129" i="6"/>
  <c r="C896" i="10"/>
  <c r="I803" i="10"/>
  <c r="G940" i="10"/>
  <c r="R732" i="10"/>
  <c r="Q779" i="10"/>
  <c r="J697" i="10"/>
  <c r="M696" i="10"/>
  <c r="B648" i="10"/>
  <c r="E644" i="10"/>
  <c r="P784" i="10"/>
  <c r="P651" i="10"/>
  <c r="P616" i="10"/>
  <c r="Q783" i="10"/>
  <c r="O697" i="10"/>
  <c r="J649" i="10"/>
  <c r="J650" i="10"/>
  <c r="M648" i="10"/>
  <c r="Q558" i="10"/>
  <c r="N561" i="10"/>
  <c r="M422" i="10"/>
  <c r="J423" i="10"/>
  <c r="Q777" i="10"/>
  <c r="G697" i="10"/>
  <c r="I346" i="10"/>
  <c r="R346" i="10" s="1"/>
  <c r="F372" i="10"/>
  <c r="N423" i="10"/>
  <c r="Q422" i="10"/>
  <c r="R87" i="10"/>
  <c r="D127" i="10"/>
  <c r="B718" i="10"/>
  <c r="E712" i="10"/>
  <c r="AJ838" i="9"/>
  <c r="AD851" i="9"/>
  <c r="F63" i="10"/>
  <c r="I60" i="10"/>
  <c r="G916" i="9"/>
  <c r="AK806" i="9"/>
  <c r="AJ847" i="9"/>
  <c r="C678" i="9"/>
  <c r="C677" i="9"/>
  <c r="C765" i="9"/>
  <c r="G915" i="9"/>
  <c r="AK805" i="9"/>
  <c r="Q672" i="9"/>
  <c r="AH851" i="9"/>
  <c r="D788" i="9"/>
  <c r="D13" i="9" s="1"/>
  <c r="G448" i="9"/>
  <c r="J63" i="9"/>
  <c r="M62" i="9"/>
  <c r="L633" i="9"/>
  <c r="L63" i="9"/>
  <c r="G788" i="9"/>
  <c r="G13" i="9" s="1"/>
  <c r="B489" i="9"/>
  <c r="E486" i="9"/>
  <c r="I585" i="9"/>
  <c r="F588" i="9"/>
  <c r="B63" i="9"/>
  <c r="E62" i="9"/>
  <c r="M260" i="9"/>
  <c r="AJ838" i="8"/>
  <c r="I764" i="8"/>
  <c r="F793" i="8"/>
  <c r="I793" i="8" s="1"/>
  <c r="I947" i="8"/>
  <c r="G895" i="8"/>
  <c r="G880" i="8"/>
  <c r="B731" i="8"/>
  <c r="E728" i="8"/>
  <c r="R772" i="8"/>
  <c r="L63" i="8"/>
  <c r="J497" i="8"/>
  <c r="M494" i="8"/>
  <c r="N684" i="8"/>
  <c r="Q680" i="8"/>
  <c r="Q593" i="8"/>
  <c r="F551" i="8"/>
  <c r="I550" i="8"/>
  <c r="D498" i="8"/>
  <c r="O274" i="8"/>
  <c r="B62" i="8"/>
  <c r="E59" i="8"/>
  <c r="H456" i="8"/>
  <c r="I971" i="7"/>
  <c r="G919" i="7"/>
  <c r="J275" i="7"/>
  <c r="M198" i="7"/>
  <c r="B130" i="8"/>
  <c r="E129" i="8"/>
  <c r="L812" i="7"/>
  <c r="L820" i="7" s="1"/>
  <c r="L13" i="7" s="1"/>
  <c r="L797" i="7"/>
  <c r="M785" i="7"/>
  <c r="R785" i="7" s="1"/>
  <c r="N707" i="7"/>
  <c r="Q706" i="7"/>
  <c r="N708" i="7"/>
  <c r="F707" i="7"/>
  <c r="I706" i="7"/>
  <c r="F708" i="7"/>
  <c r="K756" i="7"/>
  <c r="K755" i="7"/>
  <c r="K663" i="7"/>
  <c r="P709" i="7"/>
  <c r="P844" i="7"/>
  <c r="F571" i="7"/>
  <c r="I570" i="7"/>
  <c r="H131" i="7"/>
  <c r="C617" i="7"/>
  <c r="O797" i="7"/>
  <c r="O812" i="7"/>
  <c r="O820" i="7" s="1"/>
  <c r="O13" i="7" s="1"/>
  <c r="AF872" i="7"/>
  <c r="R793" i="7"/>
  <c r="G797" i="7"/>
  <c r="G812" i="7"/>
  <c r="G820" i="7" s="1"/>
  <c r="G13" i="7" s="1"/>
  <c r="Q965" i="6"/>
  <c r="R965" i="6" s="1"/>
  <c r="Q971" i="6"/>
  <c r="R971" i="6" s="1"/>
  <c r="Q974" i="6"/>
  <c r="R974" i="6" s="1"/>
  <c r="I786" i="7"/>
  <c r="H996" i="6"/>
  <c r="AH951" i="6"/>
  <c r="AH916" i="6"/>
  <c r="Q966" i="6"/>
  <c r="R966" i="6" s="1"/>
  <c r="G727" i="6"/>
  <c r="P855" i="6"/>
  <c r="G692" i="6"/>
  <c r="L283" i="6"/>
  <c r="L291" i="6" s="1"/>
  <c r="G939" i="6"/>
  <c r="I991" i="6"/>
  <c r="I796" i="6"/>
  <c r="F815" i="6"/>
  <c r="F830" i="6"/>
  <c r="AK843" i="6"/>
  <c r="G964" i="6"/>
  <c r="E769" i="6"/>
  <c r="B772" i="6"/>
  <c r="P815" i="6"/>
  <c r="P830" i="6"/>
  <c r="P838" i="6" s="1"/>
  <c r="P13" i="6" s="1"/>
  <c r="N773" i="6"/>
  <c r="N774" i="6"/>
  <c r="Q772" i="6"/>
  <c r="Q963" i="6"/>
  <c r="R963" i="6" s="1"/>
  <c r="B796" i="6"/>
  <c r="E790" i="6"/>
  <c r="J832" i="6"/>
  <c r="M832" i="6" s="1"/>
  <c r="M801" i="6"/>
  <c r="B725" i="6"/>
  <c r="B726" i="6"/>
  <c r="E724" i="6"/>
  <c r="F834" i="6"/>
  <c r="I834" i="6" s="1"/>
  <c r="I805" i="6"/>
  <c r="E680" i="6"/>
  <c r="B681" i="6"/>
  <c r="O442" i="6"/>
  <c r="N283" i="6"/>
  <c r="Q200" i="6"/>
  <c r="G973" i="6"/>
  <c r="AK852" i="6"/>
  <c r="K838" i="6"/>
  <c r="K13" i="6" s="1"/>
  <c r="F436" i="6"/>
  <c r="J588" i="6"/>
  <c r="M587" i="6"/>
  <c r="J283" i="6"/>
  <c r="G868" i="10"/>
  <c r="D896" i="10"/>
  <c r="R733" i="10"/>
  <c r="J756" i="10"/>
  <c r="M756" i="10" s="1"/>
  <c r="M727" i="10"/>
  <c r="I644" i="10"/>
  <c r="F648" i="10"/>
  <c r="N756" i="10"/>
  <c r="Q756" i="10" s="1"/>
  <c r="Q727" i="10"/>
  <c r="D616" i="10"/>
  <c r="H605" i="10"/>
  <c r="I516" i="10"/>
  <c r="F517" i="10"/>
  <c r="P865" i="10"/>
  <c r="P841" i="10"/>
  <c r="J516" i="10"/>
  <c r="M513" i="10"/>
  <c r="C378" i="10"/>
  <c r="M372" i="10"/>
  <c r="I726" i="10"/>
  <c r="R726" i="10" s="1"/>
  <c r="F727" i="10"/>
  <c r="Q419" i="10"/>
  <c r="O64" i="10"/>
  <c r="J784" i="9"/>
  <c r="M784" i="9" s="1"/>
  <c r="M755" i="9"/>
  <c r="P64" i="10"/>
  <c r="AO814" i="9"/>
  <c r="AF814" i="9"/>
  <c r="H724" i="9"/>
  <c r="H723" i="9"/>
  <c r="B127" i="10"/>
  <c r="E126" i="10"/>
  <c r="O813" i="9"/>
  <c r="O645" i="9"/>
  <c r="P811" i="9"/>
  <c r="L679" i="9"/>
  <c r="Q676" i="9"/>
  <c r="N677" i="9"/>
  <c r="N678" i="9"/>
  <c r="AJ845" i="9"/>
  <c r="M672" i="9"/>
  <c r="J676" i="9"/>
  <c r="R552" i="9"/>
  <c r="D543" i="9"/>
  <c r="B268" i="9"/>
  <c r="E260" i="9"/>
  <c r="Q444" i="9"/>
  <c r="N447" i="9"/>
  <c r="J632" i="9"/>
  <c r="M629" i="9"/>
  <c r="E400" i="9"/>
  <c r="B401" i="9"/>
  <c r="L543" i="9"/>
  <c r="G765" i="9"/>
  <c r="S300" i="9"/>
  <c r="M268" i="9"/>
  <c r="J269" i="9"/>
  <c r="I955" i="8"/>
  <c r="G903" i="8"/>
  <c r="G930" i="8" s="1"/>
  <c r="I958" i="8"/>
  <c r="G906" i="8"/>
  <c r="AH849" i="8"/>
  <c r="I948" i="8"/>
  <c r="G896" i="8"/>
  <c r="G929" i="8"/>
  <c r="AK808" i="8"/>
  <c r="Q814" i="8"/>
  <c r="G734" i="8"/>
  <c r="AO811" i="8"/>
  <c r="AF811" i="8"/>
  <c r="AH877" i="8"/>
  <c r="AH912" i="8"/>
  <c r="H957" i="8"/>
  <c r="J774" i="8"/>
  <c r="J789" i="8"/>
  <c r="M755" i="8"/>
  <c r="P812" i="8"/>
  <c r="D652" i="8"/>
  <c r="D687" i="8"/>
  <c r="M760" i="8"/>
  <c r="P846" i="8"/>
  <c r="P874" i="8"/>
  <c r="N597" i="8"/>
  <c r="Q596" i="8"/>
  <c r="F455" i="8"/>
  <c r="I452" i="8"/>
  <c r="Q818" i="8"/>
  <c r="L734" i="8"/>
  <c r="M403" i="8"/>
  <c r="J408" i="8"/>
  <c r="R219" i="8"/>
  <c r="P130" i="8"/>
  <c r="H551" i="8"/>
  <c r="N497" i="8"/>
  <c r="Q494" i="8"/>
  <c r="P814" i="8"/>
  <c r="G652" i="8"/>
  <c r="G687" i="8"/>
  <c r="G948" i="7"/>
  <c r="AK827" i="7"/>
  <c r="L498" i="8"/>
  <c r="AH935" i="7"/>
  <c r="H980" i="7"/>
  <c r="AH900" i="7"/>
  <c r="B275" i="7"/>
  <c r="E198" i="7"/>
  <c r="M62" i="8"/>
  <c r="AJ863" i="7"/>
  <c r="H972" i="7"/>
  <c r="AH927" i="7"/>
  <c r="AH892" i="7"/>
  <c r="D812" i="7"/>
  <c r="D820" i="7" s="1"/>
  <c r="D13" i="7" s="1"/>
  <c r="D797" i="7"/>
  <c r="E616" i="7"/>
  <c r="B617" i="7"/>
  <c r="K707" i="7"/>
  <c r="K708" i="7"/>
  <c r="Q659" i="7"/>
  <c r="N662" i="7"/>
  <c r="N283" i="7"/>
  <c r="P820" i="8"/>
  <c r="O652" i="8"/>
  <c r="O687" i="8"/>
  <c r="J814" i="7"/>
  <c r="M814" i="7" s="1"/>
  <c r="M783" i="7"/>
  <c r="H284" i="7"/>
  <c r="AS872" i="7"/>
  <c r="B816" i="7"/>
  <c r="E816" i="7" s="1"/>
  <c r="E787" i="7"/>
  <c r="R701" i="7"/>
  <c r="Q786" i="7"/>
  <c r="R786" i="7" s="1"/>
  <c r="Q973" i="6"/>
  <c r="R973" i="6" s="1"/>
  <c r="Q892" i="7"/>
  <c r="Q864" i="7"/>
  <c r="H988" i="6"/>
  <c r="AH943" i="6"/>
  <c r="AH956" i="6" s="1"/>
  <c r="AH908" i="6"/>
  <c r="F921" i="6"/>
  <c r="I198" i="7"/>
  <c r="O856" i="6"/>
  <c r="H693" i="6"/>
  <c r="R597" i="6"/>
  <c r="D292" i="6"/>
  <c r="H979" i="7"/>
  <c r="AH934" i="7"/>
  <c r="AH899" i="7"/>
  <c r="I790" i="6"/>
  <c r="Q964" i="6"/>
  <c r="R964" i="6" s="1"/>
  <c r="P852" i="6"/>
  <c r="C727" i="6"/>
  <c r="C692" i="6"/>
  <c r="M485" i="6"/>
  <c r="AE890" i="6"/>
  <c r="AH947" i="6"/>
  <c r="H992" i="6"/>
  <c r="AH912" i="6"/>
  <c r="G442" i="6"/>
  <c r="F283" i="6"/>
  <c r="I200" i="6"/>
  <c r="N62" i="6"/>
  <c r="Q59" i="6"/>
  <c r="K681" i="6"/>
  <c r="K682" i="6"/>
  <c r="H838" i="6"/>
  <c r="H13" i="6" s="1"/>
  <c r="E584" i="6"/>
  <c r="R584" i="6" s="1"/>
  <c r="R529" i="6"/>
  <c r="G935" i="10"/>
  <c r="G921" i="10"/>
  <c r="I798" i="10"/>
  <c r="J754" i="10"/>
  <c r="M754" i="10" s="1"/>
  <c r="M723" i="10"/>
  <c r="F758" i="10"/>
  <c r="I758" i="10" s="1"/>
  <c r="I736" i="10"/>
  <c r="E736" i="10"/>
  <c r="B758" i="10"/>
  <c r="E758" i="10" s="1"/>
  <c r="N604" i="10"/>
  <c r="Q601" i="10"/>
  <c r="M736" i="10"/>
  <c r="J758" i="10"/>
  <c r="M758" i="10" s="1"/>
  <c r="E601" i="10"/>
  <c r="B604" i="10"/>
  <c r="P857" i="10"/>
  <c r="P833" i="10"/>
  <c r="K605" i="10"/>
  <c r="C650" i="10"/>
  <c r="C649" i="10"/>
  <c r="H517" i="10"/>
  <c r="K737" i="10"/>
  <c r="K752" i="10"/>
  <c r="K760" i="10" s="1"/>
  <c r="K14" i="10" s="1"/>
  <c r="M541" i="10"/>
  <c r="R541" i="10" s="1"/>
  <c r="J558" i="10"/>
  <c r="R536" i="10"/>
  <c r="J464" i="10"/>
  <c r="M463" i="10"/>
  <c r="K378" i="10"/>
  <c r="J63" i="10"/>
  <c r="M60" i="10"/>
  <c r="Q240" i="10"/>
  <c r="N248" i="10"/>
  <c r="Q377" i="10"/>
  <c r="N378" i="10"/>
  <c r="B784" i="9"/>
  <c r="E784" i="9" s="1"/>
  <c r="R784" i="9" s="1"/>
  <c r="E755" i="9"/>
  <c r="L723" i="9"/>
  <c r="L724" i="9"/>
  <c r="L644" i="9" s="1"/>
  <c r="E123" i="10"/>
  <c r="K765" i="9"/>
  <c r="B765" i="9"/>
  <c r="B780" i="9"/>
  <c r="E746" i="9"/>
  <c r="Q858" i="9"/>
  <c r="Q832" i="9"/>
  <c r="P868" i="9"/>
  <c r="Q948" i="9" s="1"/>
  <c r="P842" i="9"/>
  <c r="O635" i="9"/>
  <c r="N813" i="9"/>
  <c r="K678" i="9"/>
  <c r="K677" i="9"/>
  <c r="G871" i="9"/>
  <c r="H938" i="9"/>
  <c r="K129" i="9"/>
  <c r="P448" i="9"/>
  <c r="I59" i="9"/>
  <c r="F62" i="9"/>
  <c r="G128" i="9"/>
  <c r="I125" i="9"/>
  <c r="O490" i="9"/>
  <c r="AD971" i="8"/>
  <c r="H948" i="8"/>
  <c r="AH868" i="8"/>
  <c r="AH880" i="8" s="1"/>
  <c r="AH903" i="8"/>
  <c r="AH915" i="8" s="1"/>
  <c r="H951" i="8"/>
  <c r="AH906" i="8"/>
  <c r="AH871" i="8"/>
  <c r="F880" i="8"/>
  <c r="K774" i="8"/>
  <c r="K789" i="8"/>
  <c r="F795" i="8"/>
  <c r="I795" i="8" s="1"/>
  <c r="I773" i="8"/>
  <c r="Q815" i="8"/>
  <c r="H734" i="8"/>
  <c r="Q877" i="8"/>
  <c r="Q849" i="8"/>
  <c r="M547" i="8"/>
  <c r="J550" i="8"/>
  <c r="P734" i="8"/>
  <c r="Q821" i="8"/>
  <c r="P641" i="8"/>
  <c r="I126" i="8"/>
  <c r="R126" i="8" s="1"/>
  <c r="F129" i="8"/>
  <c r="E547" i="8"/>
  <c r="R547" i="8" s="1"/>
  <c r="B550" i="8"/>
  <c r="N774" i="8"/>
  <c r="N789" i="8"/>
  <c r="Q755" i="8"/>
  <c r="M455" i="8"/>
  <c r="J456" i="8"/>
  <c r="H977" i="7"/>
  <c r="AH897" i="7"/>
  <c r="AH932" i="7"/>
  <c r="AO828" i="7"/>
  <c r="AF828" i="7"/>
  <c r="F814" i="7"/>
  <c r="I814" i="7" s="1"/>
  <c r="I783" i="7"/>
  <c r="S180" i="7"/>
  <c r="H978" i="7"/>
  <c r="AH933" i="7"/>
  <c r="AH898" i="7"/>
  <c r="H675" i="7"/>
  <c r="O838" i="7"/>
  <c r="B814" i="7"/>
  <c r="E814" i="7" s="1"/>
  <c r="E783" i="7"/>
  <c r="C707" i="7"/>
  <c r="C708" i="7"/>
  <c r="E662" i="7"/>
  <c r="B663" i="7"/>
  <c r="AD991" i="7"/>
  <c r="AD986" i="7"/>
  <c r="AD984" i="7"/>
  <c r="AD982" i="7"/>
  <c r="AD977" i="7"/>
  <c r="AD989" i="7"/>
  <c r="AD978" i="7"/>
  <c r="AD976" i="7"/>
  <c r="AD987" i="7"/>
  <c r="AD979" i="7"/>
  <c r="AD980" i="7"/>
  <c r="AD985" i="7"/>
  <c r="AD983" i="7"/>
  <c r="AD981" i="7"/>
  <c r="AD990" i="7"/>
  <c r="AD988" i="7"/>
  <c r="L708" i="7"/>
  <c r="L707" i="7"/>
  <c r="N617" i="7"/>
  <c r="Q616" i="7"/>
  <c r="H797" i="7"/>
  <c r="H812" i="7"/>
  <c r="H820" i="7" s="1"/>
  <c r="H13" i="7" s="1"/>
  <c r="AO829" i="7"/>
  <c r="AF829" i="7"/>
  <c r="AG872" i="7"/>
  <c r="AD1005" i="6"/>
  <c r="AD997" i="6"/>
  <c r="AD998" i="6"/>
  <c r="AD1003" i="6"/>
  <c r="AD1001" i="6"/>
  <c r="AD999" i="6"/>
  <c r="AD1008" i="6"/>
  <c r="AD1006" i="6"/>
  <c r="AD1009" i="6"/>
  <c r="AD1004" i="6"/>
  <c r="AD1002" i="6"/>
  <c r="AD1000" i="6"/>
  <c r="AD995" i="6"/>
  <c r="AD994" i="6"/>
  <c r="AD1007" i="6"/>
  <c r="AD996" i="6"/>
  <c r="N816" i="7"/>
  <c r="Q816" i="7" s="1"/>
  <c r="Q787" i="7"/>
  <c r="Q59" i="7"/>
  <c r="N62" i="7"/>
  <c r="B756" i="7"/>
  <c r="E754" i="7"/>
  <c r="B755" i="7"/>
  <c r="AJ887" i="6"/>
  <c r="Q837" i="7"/>
  <c r="G757" i="7"/>
  <c r="AF850" i="6"/>
  <c r="AO850" i="6"/>
  <c r="I275" i="7"/>
  <c r="F283" i="7"/>
  <c r="O773" i="6"/>
  <c r="O774" i="6"/>
  <c r="O815" i="6"/>
  <c r="O830" i="6"/>
  <c r="O838" i="6" s="1"/>
  <c r="O13" i="6" s="1"/>
  <c r="O489" i="6"/>
  <c r="B836" i="6"/>
  <c r="E836" i="6" s="1"/>
  <c r="E814" i="6"/>
  <c r="P882" i="6"/>
  <c r="P910" i="6"/>
  <c r="Q967" i="6"/>
  <c r="R967" i="6" s="1"/>
  <c r="O757" i="7"/>
  <c r="Q843" i="7"/>
  <c r="F773" i="6"/>
  <c r="F774" i="6"/>
  <c r="I772" i="6"/>
  <c r="Q813" i="6"/>
  <c r="R813" i="6" s="1"/>
  <c r="P859" i="6"/>
  <c r="L727" i="6"/>
  <c r="Q488" i="6"/>
  <c r="N489" i="6"/>
  <c r="F62" i="6"/>
  <c r="I59" i="6"/>
  <c r="K588" i="6"/>
  <c r="H815" i="6"/>
  <c r="N588" i="6"/>
  <c r="Q587" i="6"/>
  <c r="B588" i="6"/>
  <c r="E587" i="6"/>
  <c r="B533" i="6"/>
  <c r="E532" i="6"/>
  <c r="M807" i="10"/>
  <c r="D807" i="10"/>
  <c r="M799" i="10"/>
  <c r="D799" i="10"/>
  <c r="B811" i="10"/>
  <c r="E896" i="10"/>
  <c r="G946" i="10"/>
  <c r="I809" i="10"/>
  <c r="M809" i="10"/>
  <c r="D809" i="10"/>
  <c r="B756" i="10"/>
  <c r="E756" i="10" s="1"/>
  <c r="E727" i="10"/>
  <c r="D802" i="10"/>
  <c r="M802" i="10"/>
  <c r="Q862" i="10"/>
  <c r="Q838" i="10"/>
  <c r="O605" i="10"/>
  <c r="O606" i="10"/>
  <c r="F604" i="10"/>
  <c r="I601" i="10"/>
  <c r="R448" i="10"/>
  <c r="L649" i="10"/>
  <c r="L650" i="10"/>
  <c r="K562" i="10"/>
  <c r="L697" i="10"/>
  <c r="Q781" i="10"/>
  <c r="J718" i="10"/>
  <c r="M712" i="10"/>
  <c r="H562" i="10"/>
  <c r="I460" i="10"/>
  <c r="F463" i="10"/>
  <c r="P605" i="10"/>
  <c r="P606" i="10"/>
  <c r="E516" i="10"/>
  <c r="B517" i="10"/>
  <c r="P777" i="10"/>
  <c r="G616" i="10"/>
  <c r="G651" i="10"/>
  <c r="B377" i="10"/>
  <c r="E372" i="10"/>
  <c r="Q460" i="10"/>
  <c r="N463" i="10"/>
  <c r="F126" i="10"/>
  <c r="I123" i="10"/>
  <c r="J248" i="10"/>
  <c r="M240" i="10"/>
  <c r="B786" i="9"/>
  <c r="E786" i="9" s="1"/>
  <c r="E764" i="9"/>
  <c r="Q746" i="9"/>
  <c r="N765" i="9"/>
  <c r="Q765" i="9" s="1"/>
  <c r="N780" i="9"/>
  <c r="G920" i="9"/>
  <c r="AK810" i="9"/>
  <c r="B676" i="9"/>
  <c r="E672" i="9"/>
  <c r="AO810" i="9"/>
  <c r="AF810" i="9"/>
  <c r="Q814" i="9"/>
  <c r="P725" i="9"/>
  <c r="F722" i="9"/>
  <c r="I719" i="9"/>
  <c r="E125" i="9"/>
  <c r="B128" i="9"/>
  <c r="C543" i="9"/>
  <c r="P589" i="9"/>
  <c r="K490" i="9"/>
  <c r="M395" i="9"/>
  <c r="R395" i="9" s="1"/>
  <c r="J400" i="9"/>
  <c r="J539" i="9"/>
  <c r="M512" i="9"/>
  <c r="R512" i="9" s="1"/>
  <c r="K543" i="9"/>
  <c r="I950" i="8"/>
  <c r="G898" i="8"/>
  <c r="AS849" i="8"/>
  <c r="K795" i="8"/>
  <c r="M795" i="8" s="1"/>
  <c r="M773" i="8"/>
  <c r="B793" i="8"/>
  <c r="E793" i="8" s="1"/>
  <c r="R793" i="8" s="1"/>
  <c r="E764" i="8"/>
  <c r="R764" i="8" s="1"/>
  <c r="R650" i="8"/>
  <c r="F774" i="8"/>
  <c r="F789" i="8"/>
  <c r="I755" i="8"/>
  <c r="R520" i="8"/>
  <c r="H685" i="8"/>
  <c r="H686" i="8"/>
  <c r="P811" i="8"/>
  <c r="C687" i="8"/>
  <c r="E789" i="8"/>
  <c r="B797" i="8"/>
  <c r="B13" i="8" s="1"/>
  <c r="B684" i="8"/>
  <c r="E680" i="8"/>
  <c r="H597" i="8"/>
  <c r="E403" i="8"/>
  <c r="B408" i="8"/>
  <c r="M728" i="8"/>
  <c r="F497" i="8"/>
  <c r="I494" i="8"/>
  <c r="N551" i="8"/>
  <c r="Q550" i="8"/>
  <c r="G956" i="7"/>
  <c r="AK835" i="7"/>
  <c r="R41" i="8"/>
  <c r="P551" i="8"/>
  <c r="G951" i="7"/>
  <c r="AK830" i="7"/>
  <c r="B706" i="7"/>
  <c r="E702" i="7"/>
  <c r="N424" i="7"/>
  <c r="H617" i="7"/>
  <c r="AO832" i="7"/>
  <c r="AF832" i="7"/>
  <c r="L755" i="7"/>
  <c r="L756" i="7"/>
  <c r="C284" i="7"/>
  <c r="J471" i="7"/>
  <c r="M468" i="7"/>
  <c r="B797" i="7"/>
  <c r="B812" i="7"/>
  <c r="E778" i="7"/>
  <c r="M751" i="7"/>
  <c r="J754" i="7"/>
  <c r="O131" i="7"/>
  <c r="AJ864" i="7"/>
  <c r="Q567" i="7"/>
  <c r="R499" i="7"/>
  <c r="R810" i="6"/>
  <c r="I993" i="6"/>
  <c r="G941" i="6"/>
  <c r="AJ879" i="6"/>
  <c r="E62" i="7"/>
  <c r="B63" i="7"/>
  <c r="H997" i="6"/>
  <c r="AH917" i="6"/>
  <c r="AH952" i="6"/>
  <c r="R672" i="7"/>
  <c r="B130" i="7"/>
  <c r="E127" i="7"/>
  <c r="R127" i="7" s="1"/>
  <c r="AJ883" i="6"/>
  <c r="R690" i="6"/>
  <c r="D773" i="6"/>
  <c r="D774" i="6"/>
  <c r="R505" i="6"/>
  <c r="G815" i="6"/>
  <c r="G830" i="6"/>
  <c r="G838" i="6" s="1"/>
  <c r="G13" i="6" s="1"/>
  <c r="G965" i="6"/>
  <c r="AK844" i="6"/>
  <c r="P727" i="6"/>
  <c r="P862" i="6"/>
  <c r="H683" i="6"/>
  <c r="N856" i="6"/>
  <c r="Q801" i="6"/>
  <c r="G489" i="6"/>
  <c r="R798" i="6"/>
  <c r="Q968" i="6"/>
  <c r="R968" i="6" s="1"/>
  <c r="J633" i="6"/>
  <c r="M630" i="6"/>
  <c r="I59" i="7"/>
  <c r="R59" i="7" s="1"/>
  <c r="F62" i="7"/>
  <c r="G970" i="6"/>
  <c r="AK849" i="6"/>
  <c r="I488" i="6"/>
  <c r="F489" i="6"/>
  <c r="AJ881" i="6"/>
  <c r="G775" i="6"/>
  <c r="Q855" i="6"/>
  <c r="B834" i="6"/>
  <c r="E834" i="6" s="1"/>
  <c r="R834" i="6" s="1"/>
  <c r="E805" i="6"/>
  <c r="C588" i="6"/>
  <c r="J128" i="6"/>
  <c r="M125" i="6"/>
  <c r="M441" i="6"/>
  <c r="J442" i="6"/>
  <c r="M62" i="6"/>
  <c r="J63" i="6"/>
  <c r="I485" i="6"/>
  <c r="M806" i="10"/>
  <c r="D806" i="10"/>
  <c r="D808" i="10"/>
  <c r="M808" i="10"/>
  <c r="N754" i="10"/>
  <c r="Q754" i="10" s="1"/>
  <c r="Q723" i="10"/>
  <c r="Q644" i="10"/>
  <c r="N648" i="10"/>
  <c r="D760" i="10"/>
  <c r="D14" i="10" s="1"/>
  <c r="I558" i="10"/>
  <c r="F561" i="10"/>
  <c r="M601" i="10"/>
  <c r="J604" i="10"/>
  <c r="P517" i="10"/>
  <c r="H718" i="10"/>
  <c r="M804" i="10"/>
  <c r="D804" i="10"/>
  <c r="I422" i="10"/>
  <c r="F423" i="10"/>
  <c r="I240" i="10"/>
  <c r="F248" i="10"/>
  <c r="H127" i="10"/>
  <c r="E60" i="10"/>
  <c r="B63" i="10"/>
  <c r="R94" i="10"/>
  <c r="AJ841" i="9"/>
  <c r="R760" i="9"/>
  <c r="D722" i="9"/>
  <c r="E719" i="9"/>
  <c r="R719" i="9" s="1"/>
  <c r="I755" i="9"/>
  <c r="I676" i="9"/>
  <c r="F677" i="9"/>
  <c r="F678" i="9"/>
  <c r="N722" i="9"/>
  <c r="Q719" i="9"/>
  <c r="N268" i="9"/>
  <c r="Q260" i="9"/>
  <c r="AO807" i="9"/>
  <c r="AF807" i="9"/>
  <c r="P788" i="9"/>
  <c r="P13" i="9" s="1"/>
  <c r="I786" i="9"/>
  <c r="Q585" i="9"/>
  <c r="N588" i="9"/>
  <c r="R463" i="9"/>
  <c r="H589" i="9"/>
  <c r="L269" i="9"/>
  <c r="R642" i="9"/>
  <c r="I486" i="9"/>
  <c r="F489" i="9"/>
  <c r="Q813" i="9"/>
  <c r="O725" i="9"/>
  <c r="Q59" i="9"/>
  <c r="N62" i="9"/>
  <c r="AD849" i="8"/>
  <c r="AJ836" i="8"/>
  <c r="AJ847" i="8"/>
  <c r="AF849" i="8"/>
  <c r="C795" i="8"/>
  <c r="E795" i="8" s="1"/>
  <c r="R795" i="8" s="1"/>
  <c r="E773" i="8"/>
  <c r="R762" i="8"/>
  <c r="T765" i="8" s="1"/>
  <c r="AJ842" i="8"/>
  <c r="M637" i="8"/>
  <c r="J640" i="8"/>
  <c r="O774" i="8"/>
  <c r="O789" i="8"/>
  <c r="O797" i="8" s="1"/>
  <c r="O13" i="8" s="1"/>
  <c r="S174" i="8"/>
  <c r="I728" i="8"/>
  <c r="F731" i="8"/>
  <c r="P456" i="8"/>
  <c r="B774" i="8"/>
  <c r="P685" i="8"/>
  <c r="P686" i="8"/>
  <c r="R342" i="8"/>
  <c r="J732" i="8"/>
  <c r="J733" i="8"/>
  <c r="M731" i="8"/>
  <c r="J130" i="8"/>
  <c r="M129" i="8"/>
  <c r="Q126" i="8"/>
  <c r="N129" i="8"/>
  <c r="R634" i="7"/>
  <c r="D63" i="8"/>
  <c r="I980" i="7"/>
  <c r="G928" i="7"/>
  <c r="O419" i="7"/>
  <c r="O424" i="7" s="1"/>
  <c r="I265" i="8"/>
  <c r="F273" i="8"/>
  <c r="R729" i="7"/>
  <c r="G709" i="7"/>
  <c r="P837" i="7"/>
  <c r="Q341" i="7"/>
  <c r="R341" i="7" s="1"/>
  <c r="R776" i="7"/>
  <c r="M514" i="7"/>
  <c r="J515" i="7"/>
  <c r="J706" i="7"/>
  <c r="M702" i="7"/>
  <c r="AH891" i="7"/>
  <c r="AH926" i="7"/>
  <c r="H971" i="7"/>
  <c r="I778" i="7"/>
  <c r="F797" i="7"/>
  <c r="F812" i="7"/>
  <c r="G674" i="7"/>
  <c r="P797" i="7"/>
  <c r="B471" i="7"/>
  <c r="E468" i="7"/>
  <c r="R468" i="7" s="1"/>
  <c r="L284" i="7"/>
  <c r="G950" i="7"/>
  <c r="AK829" i="7"/>
  <c r="G131" i="7"/>
  <c r="AH872" i="7"/>
  <c r="H664" i="7"/>
  <c r="H618" i="7" s="1"/>
  <c r="H663" i="7"/>
  <c r="N571" i="7"/>
  <c r="Q570" i="7"/>
  <c r="R466" i="7"/>
  <c r="J834" i="6"/>
  <c r="M834" i="6" s="1"/>
  <c r="M805" i="6"/>
  <c r="I127" i="7"/>
  <c r="AS890" i="6"/>
  <c r="AH948" i="6"/>
  <c r="H993" i="6"/>
  <c r="AH913" i="6"/>
  <c r="AD890" i="6"/>
  <c r="AJ877" i="6"/>
  <c r="AJ885" i="6"/>
  <c r="J680" i="6"/>
  <c r="M677" i="6"/>
  <c r="K283" i="6"/>
  <c r="K291" i="6" s="1"/>
  <c r="I999" i="6"/>
  <c r="G947" i="6"/>
  <c r="Q832" i="6"/>
  <c r="B832" i="6"/>
  <c r="E832" i="6" s="1"/>
  <c r="E801" i="6"/>
  <c r="K634" i="6"/>
  <c r="K635" i="6"/>
  <c r="R173" i="6"/>
  <c r="S182" i="6" s="1"/>
  <c r="F633" i="6"/>
  <c r="I630" i="6"/>
  <c r="B128" i="6"/>
  <c r="E125" i="6"/>
  <c r="J533" i="6"/>
  <c r="M532" i="6"/>
  <c r="E200" i="6"/>
  <c r="R200" i="6" s="1"/>
  <c r="P913" i="6"/>
  <c r="P885" i="6"/>
  <c r="I128" i="6"/>
  <c r="F129" i="6"/>
  <c r="F868" i="10"/>
  <c r="M805" i="10"/>
  <c r="D805" i="10"/>
  <c r="D801" i="10"/>
  <c r="M801" i="10"/>
  <c r="N758" i="10"/>
  <c r="Q758" i="10" s="1"/>
  <c r="Q736" i="10"/>
  <c r="D737" i="10"/>
  <c r="R754" i="10"/>
  <c r="Q774" i="10"/>
  <c r="C697" i="10"/>
  <c r="I513" i="10"/>
  <c r="R513" i="10" s="1"/>
  <c r="R720" i="10"/>
  <c r="O423" i="10"/>
  <c r="E460" i="10"/>
  <c r="B463" i="10"/>
  <c r="Q778" i="10"/>
  <c r="H697" i="10"/>
  <c r="R714" i="10"/>
  <c r="G64" i="10"/>
  <c r="G249" i="10"/>
  <c r="G923" i="9"/>
  <c r="AK813" i="9"/>
  <c r="L782" i="9"/>
  <c r="L788" i="9" s="1"/>
  <c r="L13" i="9" s="1"/>
  <c r="L765" i="9"/>
  <c r="AG851" i="9"/>
  <c r="AO804" i="9"/>
  <c r="AF804" i="9"/>
  <c r="AO812" i="9"/>
  <c r="AF812" i="9"/>
  <c r="G917" i="9"/>
  <c r="AK807" i="9"/>
  <c r="R763" i="9"/>
  <c r="L127" i="10"/>
  <c r="G725" i="9"/>
  <c r="Q807" i="9"/>
  <c r="G644" i="9"/>
  <c r="G269" i="9"/>
  <c r="M719" i="9"/>
  <c r="O590" i="9"/>
  <c r="O543" i="9"/>
  <c r="M764" i="9"/>
  <c r="C129" i="9"/>
  <c r="H954" i="8"/>
  <c r="AH909" i="8"/>
  <c r="AH874" i="8"/>
  <c r="G905" i="8"/>
  <c r="I957" i="8"/>
  <c r="AO804" i="8"/>
  <c r="AF804" i="8"/>
  <c r="AO803" i="8"/>
  <c r="AF803" i="8"/>
  <c r="I956" i="8"/>
  <c r="G904" i="8"/>
  <c r="G931" i="8" s="1"/>
  <c r="Q728" i="8"/>
  <c r="N731" i="8"/>
  <c r="AH908" i="8"/>
  <c r="AH873" i="8"/>
  <c r="H953" i="8"/>
  <c r="E637" i="8"/>
  <c r="B640" i="8"/>
  <c r="M593" i="8"/>
  <c r="J596" i="8"/>
  <c r="D789" i="8"/>
  <c r="D797" i="8" s="1"/>
  <c r="D13" i="8" s="1"/>
  <c r="D774" i="8"/>
  <c r="O641" i="8"/>
  <c r="O642" i="8"/>
  <c r="B497" i="8"/>
  <c r="E494" i="8"/>
  <c r="R494" i="8" s="1"/>
  <c r="F684" i="8"/>
  <c r="I680" i="8"/>
  <c r="Q637" i="8"/>
  <c r="J684" i="8"/>
  <c r="M680" i="8"/>
  <c r="N455" i="8"/>
  <c r="Q452" i="8"/>
  <c r="P597" i="8"/>
  <c r="J273" i="8"/>
  <c r="M265" i="8"/>
  <c r="S81" i="8"/>
  <c r="F62" i="8"/>
  <c r="I59" i="8"/>
  <c r="H973" i="7"/>
  <c r="AH893" i="7"/>
  <c r="AH928" i="7"/>
  <c r="H976" i="7"/>
  <c r="AH931" i="7"/>
  <c r="AH896" i="7"/>
  <c r="N754" i="7"/>
  <c r="Q751" i="7"/>
  <c r="Q772" i="7"/>
  <c r="R772" i="7" s="1"/>
  <c r="N778" i="7"/>
  <c r="P843" i="7"/>
  <c r="O709" i="7"/>
  <c r="P515" i="7"/>
  <c r="H757" i="7"/>
  <c r="Q838" i="7"/>
  <c r="AD837" i="7"/>
  <c r="AO824" i="7"/>
  <c r="AF824" i="7"/>
  <c r="M613" i="7"/>
  <c r="J616" i="7"/>
  <c r="R949" i="6"/>
  <c r="Q127" i="7"/>
  <c r="AF890" i="6"/>
  <c r="M570" i="7"/>
  <c r="J571" i="7"/>
  <c r="M62" i="7"/>
  <c r="J63" i="7"/>
  <c r="G944" i="6"/>
  <c r="G971" i="6" s="1"/>
  <c r="I996" i="6"/>
  <c r="G925" i="7"/>
  <c r="I977" i="7"/>
  <c r="N725" i="6"/>
  <c r="N726" i="6"/>
  <c r="Q724" i="6"/>
  <c r="N633" i="6"/>
  <c r="Q630" i="6"/>
  <c r="C292" i="6"/>
  <c r="K775" i="6"/>
  <c r="Q858" i="6"/>
  <c r="J796" i="6"/>
  <c r="M790" i="6"/>
  <c r="R630" i="6"/>
  <c r="M769" i="6"/>
  <c r="J772" i="6"/>
  <c r="AK846" i="6"/>
  <c r="G967" i="6"/>
  <c r="J836" i="6"/>
  <c r="M836" i="6" s="1"/>
  <c r="M814" i="6"/>
  <c r="R652" i="6"/>
  <c r="G634" i="6"/>
  <c r="K129" i="6"/>
  <c r="P775" i="6"/>
  <c r="Q862" i="6"/>
  <c r="I532" i="6"/>
  <c r="F533" i="6"/>
  <c r="E283" i="6"/>
  <c r="B291" i="6"/>
  <c r="Q485" i="6"/>
  <c r="Q436" i="6"/>
  <c r="N441" i="6"/>
  <c r="R59" i="6"/>
  <c r="H885" i="10"/>
  <c r="H891" i="10"/>
  <c r="F896" i="10"/>
  <c r="G941" i="10"/>
  <c r="I804" i="10"/>
  <c r="G938" i="10"/>
  <c r="I801" i="10"/>
  <c r="G945" i="10"/>
  <c r="I808" i="10"/>
  <c r="P752" i="10"/>
  <c r="P760" i="10" s="1"/>
  <c r="P14" i="10" s="1"/>
  <c r="P737" i="10"/>
  <c r="R735" i="10"/>
  <c r="N752" i="10"/>
  <c r="Q718" i="10"/>
  <c r="N737" i="10"/>
  <c r="Q737" i="10" s="1"/>
  <c r="C737" i="10"/>
  <c r="C752" i="10"/>
  <c r="C760" i="10" s="1"/>
  <c r="C14" i="10" s="1"/>
  <c r="E723" i="10"/>
  <c r="R723" i="10" s="1"/>
  <c r="C562" i="10"/>
  <c r="N694" i="10"/>
  <c r="Q691" i="10"/>
  <c r="R691" i="10" s="1"/>
  <c r="L760" i="10"/>
  <c r="L14" i="10" s="1"/>
  <c r="R486" i="10"/>
  <c r="E558" i="10"/>
  <c r="R577" i="10"/>
  <c r="M377" i="10"/>
  <c r="H649" i="10"/>
  <c r="H650" i="10"/>
  <c r="R419" i="10"/>
  <c r="L464" i="10"/>
  <c r="G918" i="9"/>
  <c r="AK808" i="9"/>
  <c r="N63" i="10"/>
  <c r="Q60" i="10"/>
  <c r="G899" i="9"/>
  <c r="AK803" i="9"/>
  <c r="G913" i="9"/>
  <c r="AO805" i="9"/>
  <c r="AF805" i="9"/>
  <c r="G752" i="10"/>
  <c r="G760" i="10" s="1"/>
  <c r="G14" i="10" s="1"/>
  <c r="G737" i="10"/>
  <c r="AJ844" i="9"/>
  <c r="B782" i="9"/>
  <c r="E782" i="9" s="1"/>
  <c r="E751" i="9"/>
  <c r="R751" i="9" s="1"/>
  <c r="AJ839" i="9"/>
  <c r="H765" i="9"/>
  <c r="H780" i="9"/>
  <c r="H788" i="9" s="1"/>
  <c r="H13" i="9" s="1"/>
  <c r="P677" i="9"/>
  <c r="P678" i="9"/>
  <c r="I629" i="9"/>
  <c r="F632" i="9"/>
  <c r="I746" i="9"/>
  <c r="F765" i="9"/>
  <c r="F780" i="9"/>
  <c r="B632" i="9"/>
  <c r="E629" i="9"/>
  <c r="I191" i="9"/>
  <c r="R191" i="9" s="1"/>
  <c r="F260" i="9"/>
  <c r="M722" i="9"/>
  <c r="J724" i="9"/>
  <c r="J723" i="9"/>
  <c r="R424" i="9"/>
  <c r="C490" i="9"/>
  <c r="Q486" i="9"/>
  <c r="N489" i="9"/>
  <c r="M125" i="9"/>
  <c r="J128" i="9"/>
  <c r="J746" i="9"/>
  <c r="M740" i="9"/>
  <c r="R740" i="9" s="1"/>
  <c r="T756" i="9" s="1"/>
  <c r="N543" i="9"/>
  <c r="Q542" i="9"/>
  <c r="O448" i="9"/>
  <c r="I444" i="9"/>
  <c r="R444" i="9" s="1"/>
  <c r="F447" i="9"/>
  <c r="M786" i="9"/>
  <c r="H448" i="9"/>
  <c r="R14" i="9"/>
  <c r="I953" i="8"/>
  <c r="G901" i="8"/>
  <c r="H952" i="8"/>
  <c r="AH872" i="8"/>
  <c r="AH907" i="8"/>
  <c r="AJ845" i="8"/>
  <c r="I952" i="8"/>
  <c r="G900" i="8"/>
  <c r="Q760" i="8"/>
  <c r="R760" i="8" s="1"/>
  <c r="N791" i="8"/>
  <c r="Q791" i="8" s="1"/>
  <c r="C733" i="8"/>
  <c r="C652" i="8" s="1"/>
  <c r="C732" i="8"/>
  <c r="N408" i="8"/>
  <c r="Q403" i="8"/>
  <c r="G774" i="8"/>
  <c r="G789" i="8"/>
  <c r="G797" i="8" s="1"/>
  <c r="G13" i="8" s="1"/>
  <c r="N62" i="8"/>
  <c r="Q59" i="8"/>
  <c r="E593" i="8"/>
  <c r="B596" i="8"/>
  <c r="L774" i="8"/>
  <c r="Q265" i="8"/>
  <c r="N273" i="8"/>
  <c r="H641" i="8"/>
  <c r="Q812" i="8"/>
  <c r="D734" i="8"/>
  <c r="P818" i="8"/>
  <c r="L687" i="8"/>
  <c r="L652" i="8"/>
  <c r="N641" i="8"/>
  <c r="Q640" i="8"/>
  <c r="I637" i="8"/>
  <c r="K274" i="8"/>
  <c r="R560" i="8"/>
  <c r="AJ870" i="7"/>
  <c r="AJ861" i="7"/>
  <c r="I1060" i="7"/>
  <c r="O835" i="7"/>
  <c r="D675" i="7"/>
  <c r="Q511" i="7"/>
  <c r="R511" i="7" s="1"/>
  <c r="N514" i="7"/>
  <c r="G918" i="7"/>
  <c r="G903" i="7"/>
  <c r="I970" i="7"/>
  <c r="F816" i="7"/>
  <c r="I816" i="7" s="1"/>
  <c r="I787" i="7"/>
  <c r="E514" i="7"/>
  <c r="B515" i="7"/>
  <c r="R448" i="7"/>
  <c r="AJ867" i="7"/>
  <c r="J130" i="7"/>
  <c r="M127" i="7"/>
  <c r="F617" i="7"/>
  <c r="I616" i="7"/>
  <c r="C812" i="7"/>
  <c r="C820" i="7" s="1"/>
  <c r="C13" i="7" s="1"/>
  <c r="C797" i="7"/>
  <c r="I419" i="7"/>
  <c r="F424" i="7"/>
  <c r="J797" i="7"/>
  <c r="J812" i="7"/>
  <c r="M778" i="7"/>
  <c r="C571" i="7"/>
  <c r="O275" i="7"/>
  <c r="O283" i="7" s="1"/>
  <c r="Q198" i="7"/>
  <c r="H975" i="7"/>
  <c r="AH930" i="7"/>
  <c r="AH895" i="7"/>
  <c r="F754" i="7"/>
  <c r="I751" i="7"/>
  <c r="R453" i="7"/>
  <c r="AH918" i="6"/>
  <c r="H998" i="6"/>
  <c r="AH953" i="6"/>
  <c r="N131" i="7"/>
  <c r="Q130" i="7"/>
  <c r="I988" i="6"/>
  <c r="G936" i="6"/>
  <c r="G921" i="6"/>
  <c r="Q814" i="6"/>
  <c r="N836" i="6"/>
  <c r="Q836" i="6" s="1"/>
  <c r="N818" i="7"/>
  <c r="Q818" i="7" s="1"/>
  <c r="Q796" i="7"/>
  <c r="H709" i="7"/>
  <c r="P838" i="7"/>
  <c r="Q909" i="6"/>
  <c r="Q881" i="6"/>
  <c r="O634" i="6"/>
  <c r="Q796" i="6"/>
  <c r="N815" i="6"/>
  <c r="Q815" i="6" s="1"/>
  <c r="N830" i="6"/>
  <c r="G969" i="6"/>
  <c r="AK848" i="6"/>
  <c r="L773" i="6"/>
  <c r="L774" i="6"/>
  <c r="E633" i="6"/>
  <c r="B634" i="6"/>
  <c r="L830" i="6"/>
  <c r="L838" i="6" s="1"/>
  <c r="L13" i="6" s="1"/>
  <c r="L815" i="6"/>
  <c r="E570" i="7"/>
  <c r="R570" i="7" s="1"/>
  <c r="B571" i="7"/>
  <c r="J725" i="6"/>
  <c r="J726" i="6"/>
  <c r="M724" i="6"/>
  <c r="C682" i="6"/>
  <c r="C681" i="6"/>
  <c r="AO846" i="6"/>
  <c r="AF846" i="6"/>
  <c r="K489" i="6"/>
  <c r="C129" i="6"/>
  <c r="H775" i="6"/>
  <c r="Q856" i="6"/>
  <c r="AQ953" i="6"/>
  <c r="R998" i="6"/>
  <c r="AQ918" i="6"/>
  <c r="B436" i="6"/>
  <c r="E62" i="6"/>
  <c r="B63" i="6"/>
  <c r="L249" i="5"/>
  <c r="K373" i="5"/>
  <c r="M240" i="5"/>
  <c r="J248" i="5"/>
  <c r="H373" i="5"/>
  <c r="O762" i="5"/>
  <c r="C609" i="5"/>
  <c r="M636" i="5"/>
  <c r="B417" i="5"/>
  <c r="E414" i="5"/>
  <c r="C373" i="5"/>
  <c r="M63" i="5"/>
  <c r="J64" i="5"/>
  <c r="B799" i="5"/>
  <c r="M786" i="5"/>
  <c r="D786" i="5"/>
  <c r="Q884" i="5"/>
  <c r="L556" i="5"/>
  <c r="P684" i="5"/>
  <c r="P685" i="5"/>
  <c r="M707" i="5"/>
  <c r="J726" i="5"/>
  <c r="M726" i="5" s="1"/>
  <c r="J740" i="5"/>
  <c r="Q712" i="5"/>
  <c r="N742" i="5"/>
  <c r="Q742" i="5" s="1"/>
  <c r="Q844" i="5"/>
  <c r="Q820" i="5"/>
  <c r="P511" i="5"/>
  <c r="P772" i="5"/>
  <c r="P643" i="5"/>
  <c r="D556" i="5"/>
  <c r="K552" i="5"/>
  <c r="M535" i="5"/>
  <c r="M640" i="5"/>
  <c r="J641" i="5"/>
  <c r="J642" i="5"/>
  <c r="E552" i="5"/>
  <c r="E593" i="5"/>
  <c r="B596" i="5"/>
  <c r="P608" i="5"/>
  <c r="K249" i="5"/>
  <c r="J128" i="5"/>
  <c r="M127" i="5"/>
  <c r="D511" i="5"/>
  <c r="H249" i="5"/>
  <c r="E884" i="5"/>
  <c r="H881" i="5"/>
  <c r="R709" i="5"/>
  <c r="C726" i="5"/>
  <c r="C740" i="5"/>
  <c r="C748" i="5" s="1"/>
  <c r="C14" i="5" s="1"/>
  <c r="I535" i="5"/>
  <c r="R535" i="5" s="1"/>
  <c r="F552" i="5"/>
  <c r="I507" i="5"/>
  <c r="F510" i="5"/>
  <c r="K598" i="5"/>
  <c r="K597" i="5"/>
  <c r="K726" i="5"/>
  <c r="K740" i="5"/>
  <c r="K748" i="5" s="1"/>
  <c r="K14" i="5" s="1"/>
  <c r="B556" i="5"/>
  <c r="E555" i="5"/>
  <c r="R742" i="5"/>
  <c r="G511" i="5"/>
  <c r="D686" i="5"/>
  <c r="Q763" i="5"/>
  <c r="H418" i="5"/>
  <c r="J372" i="5"/>
  <c r="M367" i="5"/>
  <c r="H643" i="5"/>
  <c r="P766" i="5"/>
  <c r="H740" i="5"/>
  <c r="H748" i="5" s="1"/>
  <c r="H14" i="5" s="1"/>
  <c r="H726" i="5"/>
  <c r="M458" i="5"/>
  <c r="J459" i="5"/>
  <c r="B372" i="5"/>
  <c r="E367" i="5"/>
  <c r="I414" i="5"/>
  <c r="R395" i="5"/>
  <c r="N744" i="5"/>
  <c r="Q744" i="5" s="1"/>
  <c r="Q716" i="5"/>
  <c r="N683" i="5"/>
  <c r="Q680" i="5"/>
  <c r="N641" i="5"/>
  <c r="N642" i="5"/>
  <c r="Q640" i="5"/>
  <c r="H511" i="5"/>
  <c r="C884" i="5"/>
  <c r="H878" i="5"/>
  <c r="F856" i="5"/>
  <c r="H873" i="5"/>
  <c r="H884" i="5" s="1"/>
  <c r="F744" i="5"/>
  <c r="I744" i="5" s="1"/>
  <c r="I716" i="5"/>
  <c r="Q765" i="5"/>
  <c r="G686" i="5"/>
  <c r="N726" i="5"/>
  <c r="N740" i="5"/>
  <c r="Q707" i="5"/>
  <c r="M701" i="5"/>
  <c r="O641" i="5"/>
  <c r="O642" i="5"/>
  <c r="G597" i="5"/>
  <c r="I596" i="5"/>
  <c r="F597" i="5"/>
  <c r="P762" i="5"/>
  <c r="C643" i="5"/>
  <c r="B510" i="5"/>
  <c r="E507" i="5"/>
  <c r="J597" i="5"/>
  <c r="M596" i="5"/>
  <c r="E640" i="5"/>
  <c r="B641" i="5"/>
  <c r="B642" i="5"/>
  <c r="Q552" i="5"/>
  <c r="N555" i="5"/>
  <c r="P128" i="5"/>
  <c r="F127" i="5"/>
  <c r="I124" i="5"/>
  <c r="R124" i="5" s="1"/>
  <c r="S159" i="5"/>
  <c r="Q593" i="5"/>
  <c r="O64" i="5"/>
  <c r="P748" i="5"/>
  <c r="P14" i="5" s="1"/>
  <c r="N249" i="5"/>
  <c r="Q60" i="5"/>
  <c r="M787" i="5"/>
  <c r="D787" i="5"/>
  <c r="G556" i="5"/>
  <c r="O768" i="5"/>
  <c r="K609" i="5"/>
  <c r="D373" i="5"/>
  <c r="E458" i="5"/>
  <c r="B459" i="5"/>
  <c r="H556" i="5"/>
  <c r="F884" i="5"/>
  <c r="G642" i="5"/>
  <c r="G641" i="5"/>
  <c r="M220" i="5"/>
  <c r="R220" i="5" s="1"/>
  <c r="N127" i="5"/>
  <c r="Q124" i="5"/>
  <c r="F248" i="5"/>
  <c r="I240" i="5"/>
  <c r="E127" i="5"/>
  <c r="B128" i="5"/>
  <c r="M794" i="5"/>
  <c r="D794" i="5"/>
  <c r="H882" i="5"/>
  <c r="M793" i="5"/>
  <c r="D793" i="5"/>
  <c r="M725" i="5"/>
  <c r="J746" i="5"/>
  <c r="M746" i="5" s="1"/>
  <c r="J683" i="5"/>
  <c r="M680" i="5"/>
  <c r="E716" i="5"/>
  <c r="B744" i="5"/>
  <c r="E744" i="5" s="1"/>
  <c r="R744" i="5" s="1"/>
  <c r="Q766" i="5"/>
  <c r="H686" i="5"/>
  <c r="G742" i="5"/>
  <c r="G748" i="5" s="1"/>
  <c r="G14" i="5" s="1"/>
  <c r="G726" i="5"/>
  <c r="L748" i="5"/>
  <c r="L14" i="5" s="1"/>
  <c r="R620" i="5"/>
  <c r="P763" i="5"/>
  <c r="D643" i="5"/>
  <c r="D608" i="5"/>
  <c r="P768" i="5"/>
  <c r="K643" i="5"/>
  <c r="B726" i="5"/>
  <c r="J556" i="5"/>
  <c r="M593" i="5"/>
  <c r="O556" i="5"/>
  <c r="F458" i="5"/>
  <c r="I455" i="5"/>
  <c r="R455" i="5" s="1"/>
  <c r="N373" i="5"/>
  <c r="M315" i="5"/>
  <c r="H128" i="5"/>
  <c r="Q596" i="5"/>
  <c r="N597" i="5"/>
  <c r="P240" i="5"/>
  <c r="Q177" i="5"/>
  <c r="R177" i="5" s="1"/>
  <c r="G64" i="5"/>
  <c r="N64" i="5"/>
  <c r="Q63" i="5"/>
  <c r="B64" i="5"/>
  <c r="E63" i="5"/>
  <c r="D884" i="5"/>
  <c r="M716" i="5"/>
  <c r="J744" i="5"/>
  <c r="M744" i="5" s="1"/>
  <c r="M792" i="5"/>
  <c r="D792" i="5"/>
  <c r="H876" i="5"/>
  <c r="M791" i="5"/>
  <c r="D791" i="5"/>
  <c r="E725" i="5"/>
  <c r="R725" i="5" s="1"/>
  <c r="B746" i="5"/>
  <c r="E746" i="5" s="1"/>
  <c r="R746" i="5" s="1"/>
  <c r="R714" i="5"/>
  <c r="L726" i="5"/>
  <c r="F640" i="5"/>
  <c r="I636" i="5"/>
  <c r="R636" i="5" s="1"/>
  <c r="R481" i="5"/>
  <c r="Q507" i="5"/>
  <c r="N510" i="5"/>
  <c r="I712" i="5"/>
  <c r="R712" i="5" s="1"/>
  <c r="F742" i="5"/>
  <c r="I742" i="5" s="1"/>
  <c r="M510" i="5"/>
  <c r="J511" i="5"/>
  <c r="E707" i="5"/>
  <c r="I701" i="5"/>
  <c r="N458" i="5"/>
  <c r="Q455" i="5"/>
  <c r="I315" i="5"/>
  <c r="R710" i="5"/>
  <c r="P367" i="5"/>
  <c r="R88" i="5"/>
  <c r="C598" i="5"/>
  <c r="C597" i="5"/>
  <c r="R60" i="5"/>
  <c r="M788" i="5"/>
  <c r="D788" i="5"/>
  <c r="L641" i="5"/>
  <c r="L642" i="5"/>
  <c r="Q769" i="5"/>
  <c r="L686" i="5"/>
  <c r="F683" i="5"/>
  <c r="I680" i="5"/>
  <c r="E240" i="5"/>
  <c r="B248" i="5"/>
  <c r="E910" i="5"/>
  <c r="I786" i="5"/>
  <c r="I799" i="5" s="1"/>
  <c r="M790" i="5"/>
  <c r="D790" i="5"/>
  <c r="M796" i="5"/>
  <c r="D796" i="5"/>
  <c r="M789" i="5"/>
  <c r="D789" i="5"/>
  <c r="M712" i="5"/>
  <c r="J742" i="5"/>
  <c r="M742" i="5" s="1"/>
  <c r="B884" i="5"/>
  <c r="R678" i="5"/>
  <c r="O726" i="5"/>
  <c r="D726" i="5"/>
  <c r="D740" i="5"/>
  <c r="D748" i="5" s="1"/>
  <c r="D14" i="5" s="1"/>
  <c r="H608" i="5"/>
  <c r="Q725" i="5"/>
  <c r="R606" i="5"/>
  <c r="P556" i="5"/>
  <c r="O597" i="5"/>
  <c r="B683" i="5"/>
  <c r="E680" i="5"/>
  <c r="F726" i="5"/>
  <c r="I726" i="5" s="1"/>
  <c r="F740" i="5"/>
  <c r="I707" i="5"/>
  <c r="G373" i="5"/>
  <c r="J417" i="5"/>
  <c r="M414" i="5"/>
  <c r="O686" i="5"/>
  <c r="Q771" i="5"/>
  <c r="R307" i="5"/>
  <c r="L373" i="5"/>
  <c r="Q414" i="5"/>
  <c r="N417" i="5"/>
  <c r="C249" i="5"/>
  <c r="Q768" i="5"/>
  <c r="K686" i="5"/>
  <c r="F367" i="5"/>
  <c r="R570" i="5"/>
  <c r="B621" i="4"/>
  <c r="E617" i="4"/>
  <c r="B404" i="4"/>
  <c r="E403" i="4"/>
  <c r="M235" i="4"/>
  <c r="J243" i="4"/>
  <c r="H853" i="4"/>
  <c r="C862" i="4"/>
  <c r="H857" i="4"/>
  <c r="E862" i="4"/>
  <c r="D774" i="4"/>
  <c r="M774" i="4"/>
  <c r="R699" i="4"/>
  <c r="H539" i="4"/>
  <c r="Q235" i="4"/>
  <c r="N243" i="4"/>
  <c r="C445" i="4"/>
  <c r="N622" i="4"/>
  <c r="Q621" i="4"/>
  <c r="N623" i="4"/>
  <c r="C494" i="4"/>
  <c r="N126" i="4"/>
  <c r="Q123" i="4"/>
  <c r="B126" i="4"/>
  <c r="E123" i="4"/>
  <c r="R19" i="4"/>
  <c r="I490" i="4"/>
  <c r="F493" i="4"/>
  <c r="J126" i="4"/>
  <c r="M123" i="4"/>
  <c r="I362" i="4"/>
  <c r="F363" i="4"/>
  <c r="M690" i="4"/>
  <c r="J720" i="4"/>
  <c r="M720" i="4" s="1"/>
  <c r="J577" i="4"/>
  <c r="M574" i="4"/>
  <c r="R234" i="4"/>
  <c r="G834" i="4"/>
  <c r="Q862" i="4"/>
  <c r="H859" i="4"/>
  <c r="H720" i="4"/>
  <c r="I720" i="4" s="1"/>
  <c r="I690" i="4"/>
  <c r="R687" i="4"/>
  <c r="K718" i="4"/>
  <c r="K726" i="4" s="1"/>
  <c r="K14" i="4" s="1"/>
  <c r="K704" i="4"/>
  <c r="J704" i="4"/>
  <c r="J718" i="4"/>
  <c r="M685" i="4"/>
  <c r="R658" i="4"/>
  <c r="C578" i="4"/>
  <c r="C579" i="4"/>
  <c r="B577" i="4"/>
  <c r="E574" i="4"/>
  <c r="F621" i="4"/>
  <c r="I617" i="4"/>
  <c r="N493" i="4"/>
  <c r="Q490" i="4"/>
  <c r="G494" i="4"/>
  <c r="P750" i="4"/>
  <c r="P624" i="4"/>
  <c r="Q747" i="4"/>
  <c r="L665" i="4"/>
  <c r="R488" i="4"/>
  <c r="P741" i="4"/>
  <c r="D624" i="4"/>
  <c r="D589" i="4"/>
  <c r="E490" i="4"/>
  <c r="J363" i="4"/>
  <c r="M362" i="4"/>
  <c r="E62" i="4"/>
  <c r="B65" i="4"/>
  <c r="O445" i="4"/>
  <c r="R122" i="4"/>
  <c r="I123" i="4"/>
  <c r="Q741" i="4"/>
  <c r="D665" i="4"/>
  <c r="E888" i="4"/>
  <c r="I764" i="4"/>
  <c r="I777" i="4" s="1"/>
  <c r="H854" i="4"/>
  <c r="E690" i="4"/>
  <c r="B720" i="4"/>
  <c r="E720" i="4" s="1"/>
  <c r="J538" i="4"/>
  <c r="M535" i="4"/>
  <c r="J724" i="4"/>
  <c r="M724" i="4" s="1"/>
  <c r="M703" i="4"/>
  <c r="H664" i="4"/>
  <c r="H663" i="4"/>
  <c r="Q690" i="4"/>
  <c r="M490" i="4"/>
  <c r="J493" i="4"/>
  <c r="G578" i="4"/>
  <c r="P127" i="4"/>
  <c r="R388" i="4"/>
  <c r="K244" i="4"/>
  <c r="R88" i="4"/>
  <c r="E493" i="4"/>
  <c r="B494" i="4"/>
  <c r="M358" i="4"/>
  <c r="R43" i="4"/>
  <c r="R15" i="4"/>
  <c r="F127" i="4"/>
  <c r="I126" i="4"/>
  <c r="K578" i="4"/>
  <c r="E235" i="4"/>
  <c r="R235" i="4" s="1"/>
  <c r="B243" i="4"/>
  <c r="I62" i="4"/>
  <c r="F65" i="4"/>
  <c r="H851" i="4"/>
  <c r="B538" i="4"/>
  <c r="E535" i="4"/>
  <c r="K663" i="4"/>
  <c r="K664" i="4"/>
  <c r="K589" i="4" s="1"/>
  <c r="J662" i="4"/>
  <c r="M659" i="4"/>
  <c r="O623" i="4"/>
  <c r="O622" i="4"/>
  <c r="P539" i="4"/>
  <c r="Q720" i="4"/>
  <c r="H244" i="4"/>
  <c r="P745" i="4"/>
  <c r="J624" i="4"/>
  <c r="M623" i="4"/>
  <c r="P244" i="4"/>
  <c r="P744" i="4"/>
  <c r="H624" i="4"/>
  <c r="H127" i="4"/>
  <c r="Q740" i="4"/>
  <c r="C665" i="4"/>
  <c r="Q362" i="4"/>
  <c r="N363" i="4"/>
  <c r="M62" i="4"/>
  <c r="J65" i="4"/>
  <c r="I577" i="4"/>
  <c r="M441" i="4"/>
  <c r="N444" i="4"/>
  <c r="Q441" i="4"/>
  <c r="G404" i="4"/>
  <c r="L589" i="4"/>
  <c r="P404" i="4"/>
  <c r="D773" i="4"/>
  <c r="M773" i="4"/>
  <c r="R637" i="4"/>
  <c r="G622" i="4"/>
  <c r="G623" i="4"/>
  <c r="G664" i="4"/>
  <c r="G663" i="4"/>
  <c r="Q748" i="4"/>
  <c r="N665" i="4"/>
  <c r="P740" i="4"/>
  <c r="C624" i="4"/>
  <c r="C589" i="4"/>
  <c r="L445" i="4"/>
  <c r="O494" i="4"/>
  <c r="L363" i="4"/>
  <c r="B445" i="4"/>
  <c r="E444" i="4"/>
  <c r="F538" i="4"/>
  <c r="I535" i="4"/>
  <c r="R378" i="4"/>
  <c r="P746" i="4"/>
  <c r="K624" i="4"/>
  <c r="F444" i="4"/>
  <c r="I441" i="4"/>
  <c r="I235" i="4"/>
  <c r="L578" i="4"/>
  <c r="O127" i="4"/>
  <c r="B726" i="4"/>
  <c r="B14" i="4" s="1"/>
  <c r="C539" i="4"/>
  <c r="K494" i="4"/>
  <c r="F862" i="4"/>
  <c r="D775" i="4"/>
  <c r="M775" i="4"/>
  <c r="H856" i="4"/>
  <c r="Q685" i="4"/>
  <c r="N704" i="4"/>
  <c r="N718" i="4"/>
  <c r="L718" i="4"/>
  <c r="L726" i="4" s="1"/>
  <c r="L14" i="4" s="1"/>
  <c r="L704" i="4"/>
  <c r="B724" i="4"/>
  <c r="E724" i="4" s="1"/>
  <c r="E703" i="4"/>
  <c r="R703" i="4" s="1"/>
  <c r="P704" i="4"/>
  <c r="B662" i="4"/>
  <c r="E659" i="4"/>
  <c r="H726" i="4"/>
  <c r="H14" i="4" s="1"/>
  <c r="H578" i="4"/>
  <c r="I574" i="4"/>
  <c r="D445" i="4"/>
  <c r="D363" i="4"/>
  <c r="G704" i="4"/>
  <c r="I704" i="4" s="1"/>
  <c r="G718" i="4"/>
  <c r="G726" i="4" s="1"/>
  <c r="G14" i="4" s="1"/>
  <c r="E441" i="4"/>
  <c r="Q400" i="4"/>
  <c r="N403" i="4"/>
  <c r="L244" i="4"/>
  <c r="I243" i="4"/>
  <c r="F244" i="4"/>
  <c r="N538" i="4"/>
  <c r="Q535" i="4"/>
  <c r="E358" i="4"/>
  <c r="R358" i="4" s="1"/>
  <c r="P829" i="4"/>
  <c r="P805" i="4"/>
  <c r="R587" i="4"/>
  <c r="Q824" i="4"/>
  <c r="Q800" i="4"/>
  <c r="B862" i="4"/>
  <c r="H849" i="4"/>
  <c r="H860" i="4"/>
  <c r="H850" i="4"/>
  <c r="F834" i="4"/>
  <c r="N724" i="4"/>
  <c r="Q724" i="4" s="1"/>
  <c r="Q703" i="4"/>
  <c r="D718" i="4"/>
  <c r="D726" i="4" s="1"/>
  <c r="D14" i="4" s="1"/>
  <c r="D704" i="4"/>
  <c r="E704" i="4" s="1"/>
  <c r="E685" i="4"/>
  <c r="R694" i="4"/>
  <c r="F726" i="4"/>
  <c r="F14" i="4" s="1"/>
  <c r="I14" i="4" s="1"/>
  <c r="I718" i="4"/>
  <c r="I726" i="4" s="1"/>
  <c r="P662" i="4"/>
  <c r="Q659" i="4"/>
  <c r="H704" i="4"/>
  <c r="O665" i="4"/>
  <c r="Q749" i="4"/>
  <c r="N577" i="4"/>
  <c r="Q574" i="4"/>
  <c r="D244" i="4"/>
  <c r="Q617" i="4"/>
  <c r="I400" i="4"/>
  <c r="R400" i="4" s="1"/>
  <c r="F403" i="4"/>
  <c r="Q65" i="4"/>
  <c r="N66" i="4"/>
  <c r="P66" i="4"/>
  <c r="E362" i="4"/>
  <c r="R362" i="4" s="1"/>
  <c r="B363" i="4"/>
  <c r="O742" i="3"/>
  <c r="C589" i="3"/>
  <c r="C578" i="3"/>
  <c r="D776" i="3"/>
  <c r="M776" i="3"/>
  <c r="I573" i="3"/>
  <c r="F576" i="3"/>
  <c r="D621" i="3"/>
  <c r="D622" i="3"/>
  <c r="M768" i="3"/>
  <c r="D768" i="3"/>
  <c r="R701" i="3"/>
  <c r="Q864" i="3"/>
  <c r="M771" i="3"/>
  <c r="D771" i="3"/>
  <c r="F836" i="3"/>
  <c r="P706" i="3"/>
  <c r="P720" i="3"/>
  <c r="P728" i="3" s="1"/>
  <c r="P14" i="3" s="1"/>
  <c r="Q696" i="3"/>
  <c r="N724" i="3"/>
  <c r="Q724" i="3" s="1"/>
  <c r="Q705" i="3"/>
  <c r="N726" i="3"/>
  <c r="Q726" i="3" s="1"/>
  <c r="O663" i="3"/>
  <c r="O664" i="3"/>
  <c r="O588" i="3" s="1"/>
  <c r="Q659" i="3"/>
  <c r="N662" i="3"/>
  <c r="R552" i="3"/>
  <c r="F620" i="3"/>
  <c r="I616" i="3"/>
  <c r="R374" i="3"/>
  <c r="R688" i="3"/>
  <c r="Q394" i="3"/>
  <c r="R502" i="3"/>
  <c r="B64" i="3"/>
  <c r="E61" i="3"/>
  <c r="B779" i="3"/>
  <c r="M766" i="3"/>
  <c r="D766" i="3"/>
  <c r="H853" i="3"/>
  <c r="F864" i="3"/>
  <c r="G706" i="3"/>
  <c r="I706" i="3" s="1"/>
  <c r="G720" i="3"/>
  <c r="I722" i="3"/>
  <c r="I686" i="3"/>
  <c r="J720" i="3"/>
  <c r="M686" i="3"/>
  <c r="J706" i="3"/>
  <c r="M706" i="3" s="1"/>
  <c r="B576" i="3"/>
  <c r="E573" i="3"/>
  <c r="H728" i="3"/>
  <c r="H14" i="3" s="1"/>
  <c r="E692" i="3"/>
  <c r="B722" i="3"/>
  <c r="E722" i="3" s="1"/>
  <c r="R462" i="3"/>
  <c r="N398" i="3"/>
  <c r="Q397" i="3"/>
  <c r="J622" i="3"/>
  <c r="M620" i="3"/>
  <c r="J621" i="3"/>
  <c r="F492" i="3"/>
  <c r="I489" i="3"/>
  <c r="E357" i="3"/>
  <c r="B358" i="3"/>
  <c r="M236" i="3"/>
  <c r="J244" i="3"/>
  <c r="R29" i="3"/>
  <c r="J64" i="3"/>
  <c r="M61" i="3"/>
  <c r="H858" i="3"/>
  <c r="J537" i="3"/>
  <c r="M534" i="3"/>
  <c r="J662" i="3"/>
  <c r="M659" i="3"/>
  <c r="H622" i="3"/>
  <c r="H621" i="3"/>
  <c r="Q742" i="3"/>
  <c r="C665" i="3"/>
  <c r="H706" i="3"/>
  <c r="M705" i="3"/>
  <c r="J726" i="3"/>
  <c r="M726" i="3" s="1"/>
  <c r="Q752" i="3"/>
  <c r="P665" i="3"/>
  <c r="P824" i="3"/>
  <c r="P800" i="3"/>
  <c r="E236" i="3"/>
  <c r="B244" i="3"/>
  <c r="C131" i="3"/>
  <c r="P749" i="3"/>
  <c r="L623" i="3"/>
  <c r="I696" i="3"/>
  <c r="F724" i="3"/>
  <c r="P398" i="3"/>
  <c r="H856" i="3"/>
  <c r="H851" i="3"/>
  <c r="B864" i="3"/>
  <c r="B537" i="3"/>
  <c r="E534" i="3"/>
  <c r="E705" i="3"/>
  <c r="B726" i="3"/>
  <c r="E726" i="3" s="1"/>
  <c r="O749" i="3"/>
  <c r="L589" i="3"/>
  <c r="Q749" i="3"/>
  <c r="L665" i="3"/>
  <c r="J576" i="3"/>
  <c r="M573" i="3"/>
  <c r="Q534" i="3"/>
  <c r="N537" i="3"/>
  <c r="K623" i="3"/>
  <c r="P748" i="3"/>
  <c r="K588" i="3"/>
  <c r="L538" i="3"/>
  <c r="L539" i="3"/>
  <c r="H665" i="3"/>
  <c r="Q746" i="3"/>
  <c r="F664" i="3"/>
  <c r="F663" i="3"/>
  <c r="I662" i="3"/>
  <c r="G245" i="3"/>
  <c r="F244" i="3"/>
  <c r="I236" i="3"/>
  <c r="M127" i="3"/>
  <c r="H859" i="3"/>
  <c r="J441" i="3"/>
  <c r="M438" i="3"/>
  <c r="E890" i="3"/>
  <c r="I766" i="3"/>
  <c r="I779" i="3" s="1"/>
  <c r="H855" i="3"/>
  <c r="D864" i="3"/>
  <c r="M773" i="3"/>
  <c r="D773" i="3"/>
  <c r="M692" i="3"/>
  <c r="J722" i="3"/>
  <c r="M722" i="3" s="1"/>
  <c r="B720" i="3"/>
  <c r="E686" i="3"/>
  <c r="B706" i="3"/>
  <c r="E706" i="3" s="1"/>
  <c r="R696" i="3"/>
  <c r="L578" i="3"/>
  <c r="P621" i="3"/>
  <c r="P622" i="3"/>
  <c r="E616" i="3"/>
  <c r="G664" i="3"/>
  <c r="G663" i="3"/>
  <c r="I659" i="3"/>
  <c r="Q743" i="3"/>
  <c r="D665" i="3"/>
  <c r="Q61" i="3"/>
  <c r="N64" i="3"/>
  <c r="N493" i="3"/>
  <c r="Q492" i="3"/>
  <c r="Q352" i="3"/>
  <c r="N357" i="3"/>
  <c r="J131" i="3"/>
  <c r="M130" i="3"/>
  <c r="I127" i="3"/>
  <c r="L65" i="3"/>
  <c r="M770" i="3"/>
  <c r="D770" i="3"/>
  <c r="N621" i="3"/>
  <c r="N622" i="3"/>
  <c r="Q620" i="3"/>
  <c r="B441" i="3"/>
  <c r="E438" i="3"/>
  <c r="M357" i="3"/>
  <c r="J358" i="3"/>
  <c r="D774" i="3"/>
  <c r="M774" i="3"/>
  <c r="G836" i="3"/>
  <c r="M767" i="3"/>
  <c r="D767" i="3"/>
  <c r="Q686" i="3"/>
  <c r="N706" i="3"/>
  <c r="Q706" i="3" s="1"/>
  <c r="N720" i="3"/>
  <c r="B662" i="3"/>
  <c r="E659" i="3"/>
  <c r="G621" i="3"/>
  <c r="G622" i="3"/>
  <c r="I534" i="3"/>
  <c r="F537" i="3"/>
  <c r="K665" i="3"/>
  <c r="Q748" i="3"/>
  <c r="B622" i="3"/>
  <c r="E620" i="3"/>
  <c r="B621" i="3"/>
  <c r="E397" i="3"/>
  <c r="B398" i="3"/>
  <c r="E394" i="3"/>
  <c r="R394" i="3" s="1"/>
  <c r="I61" i="3"/>
  <c r="F64" i="3"/>
  <c r="D493" i="3"/>
  <c r="L131" i="3"/>
  <c r="E492" i="3"/>
  <c r="B493" i="3"/>
  <c r="E127" i="3"/>
  <c r="R127" i="3" s="1"/>
  <c r="M772" i="3"/>
  <c r="D772" i="3"/>
  <c r="D775" i="3"/>
  <c r="M775" i="3"/>
  <c r="I705" i="3"/>
  <c r="F726" i="3"/>
  <c r="I726" i="3" s="1"/>
  <c r="H857" i="3"/>
  <c r="M769" i="3"/>
  <c r="D769" i="3"/>
  <c r="C864" i="3"/>
  <c r="O728" i="3"/>
  <c r="O14" i="3" s="1"/>
  <c r="M777" i="3"/>
  <c r="D777" i="3"/>
  <c r="Q704" i="3"/>
  <c r="R704" i="3" s="1"/>
  <c r="Q573" i="3"/>
  <c r="N576" i="3"/>
  <c r="Q722" i="3"/>
  <c r="P751" i="3"/>
  <c r="O623" i="3"/>
  <c r="Q616" i="3"/>
  <c r="C398" i="3"/>
  <c r="I352" i="3"/>
  <c r="R352" i="3" s="1"/>
  <c r="F357" i="3"/>
  <c r="E489" i="3"/>
  <c r="E130" i="3"/>
  <c r="R130" i="3" s="1"/>
  <c r="B131" i="3"/>
  <c r="I438" i="3"/>
  <c r="F441" i="3"/>
  <c r="F398" i="3"/>
  <c r="I397" i="3"/>
  <c r="H131" i="3"/>
  <c r="Q438" i="3"/>
  <c r="N441" i="3"/>
  <c r="O763" i="2"/>
  <c r="H606" i="2"/>
  <c r="P769" i="2"/>
  <c r="P640" i="2"/>
  <c r="P605" i="2"/>
  <c r="E907" i="2"/>
  <c r="I783" i="2"/>
  <c r="I796" i="2" s="1"/>
  <c r="F881" i="2"/>
  <c r="M791" i="2"/>
  <c r="D791" i="2"/>
  <c r="R718" i="2"/>
  <c r="F593" i="2"/>
  <c r="I590" i="2"/>
  <c r="J639" i="2"/>
  <c r="J638" i="2"/>
  <c r="M637" i="2"/>
  <c r="M784" i="2"/>
  <c r="D784" i="2"/>
  <c r="H869" i="2"/>
  <c r="F741" i="2"/>
  <c r="I741" i="2" s="1"/>
  <c r="I713" i="2"/>
  <c r="P510" i="2"/>
  <c r="N510" i="2"/>
  <c r="Q509" i="2"/>
  <c r="E375" i="2"/>
  <c r="B376" i="2"/>
  <c r="Q722" i="2"/>
  <c r="N743" i="2"/>
  <c r="Q743" i="2" s="1"/>
  <c r="N420" i="2"/>
  <c r="Q417" i="2"/>
  <c r="M793" i="2"/>
  <c r="D793" i="2"/>
  <c r="R713" i="2"/>
  <c r="P723" i="2"/>
  <c r="P737" i="2"/>
  <c r="P745" i="2" s="1"/>
  <c r="P14" i="2" s="1"/>
  <c r="M788" i="2"/>
  <c r="D788" i="2"/>
  <c r="C745" i="2"/>
  <c r="C14" i="2" s="1"/>
  <c r="D594" i="2"/>
  <c r="B638" i="2"/>
  <c r="B639" i="2"/>
  <c r="E637" i="2"/>
  <c r="K639" i="2"/>
  <c r="K638" i="2"/>
  <c r="J555" i="2"/>
  <c r="M554" i="2"/>
  <c r="I458" i="2"/>
  <c r="F461" i="2"/>
  <c r="Q769" i="2"/>
  <c r="P682" i="2"/>
  <c r="C462" i="2"/>
  <c r="Q551" i="2"/>
  <c r="N554" i="2"/>
  <c r="L421" i="2"/>
  <c r="H555" i="2"/>
  <c r="F420" i="2"/>
  <c r="I417" i="2"/>
  <c r="K132" i="2"/>
  <c r="N376" i="2"/>
  <c r="Q375" i="2"/>
  <c r="I131" i="2"/>
  <c r="F132" i="2"/>
  <c r="B132" i="2"/>
  <c r="E131" i="2"/>
  <c r="R721" i="2"/>
  <c r="N461" i="2"/>
  <c r="Q458" i="2"/>
  <c r="Q881" i="2"/>
  <c r="M676" i="2"/>
  <c r="J679" i="2"/>
  <c r="H723" i="2"/>
  <c r="H737" i="2"/>
  <c r="H745" i="2" s="1"/>
  <c r="H14" i="2" s="1"/>
  <c r="B743" i="2"/>
  <c r="E743" i="2" s="1"/>
  <c r="E722" i="2"/>
  <c r="I703" i="2"/>
  <c r="R625" i="2"/>
  <c r="G723" i="2"/>
  <c r="G737" i="2"/>
  <c r="O639" i="2"/>
  <c r="O638" i="2"/>
  <c r="E709" i="2"/>
  <c r="B739" i="2"/>
  <c r="E739" i="2" s="1"/>
  <c r="R551" i="2"/>
  <c r="R534" i="2"/>
  <c r="R435" i="2"/>
  <c r="I506" i="2"/>
  <c r="F509" i="2"/>
  <c r="R519" i="2"/>
  <c r="L723" i="2"/>
  <c r="P462" i="2"/>
  <c r="J593" i="2"/>
  <c r="M590" i="2"/>
  <c r="B510" i="2"/>
  <c r="E509" i="2"/>
  <c r="M65" i="2"/>
  <c r="J66" i="2"/>
  <c r="N593" i="2"/>
  <c r="Q590" i="2"/>
  <c r="H878" i="2"/>
  <c r="H877" i="2"/>
  <c r="H875" i="2"/>
  <c r="B679" i="2"/>
  <c r="E676" i="2"/>
  <c r="R676" i="2" s="1"/>
  <c r="F739" i="2"/>
  <c r="I709" i="2"/>
  <c r="H873" i="2"/>
  <c r="R603" i="2"/>
  <c r="C638" i="2"/>
  <c r="C639" i="2"/>
  <c r="G639" i="2"/>
  <c r="G638" i="2"/>
  <c r="F723" i="2"/>
  <c r="K594" i="2"/>
  <c r="M787" i="2"/>
  <c r="D787" i="2"/>
  <c r="N637" i="2"/>
  <c r="Q633" i="2"/>
  <c r="H421" i="2"/>
  <c r="N741" i="2"/>
  <c r="Q741" i="2" s="1"/>
  <c r="Q713" i="2"/>
  <c r="G594" i="2"/>
  <c r="L745" i="2"/>
  <c r="L14" i="2" s="1"/>
  <c r="O255" i="2"/>
  <c r="R245" i="2"/>
  <c r="M370" i="2"/>
  <c r="R370" i="2" s="1"/>
  <c r="J375" i="2"/>
  <c r="B420" i="2"/>
  <c r="E417" i="2"/>
  <c r="I375" i="2"/>
  <c r="F376" i="2"/>
  <c r="I254" i="2"/>
  <c r="R254" i="2" s="1"/>
  <c r="F255" i="2"/>
  <c r="C723" i="2"/>
  <c r="J743" i="2"/>
  <c r="M743" i="2" s="1"/>
  <c r="M722" i="2"/>
  <c r="O555" i="2"/>
  <c r="H868" i="2"/>
  <c r="H881" i="2" s="1"/>
  <c r="B881" i="2"/>
  <c r="B737" i="2"/>
  <c r="E703" i="2"/>
  <c r="B723" i="2"/>
  <c r="E723" i="2" s="1"/>
  <c r="K745" i="2"/>
  <c r="K14" i="2" s="1"/>
  <c r="C680" i="2"/>
  <c r="C681" i="2"/>
  <c r="I743" i="2"/>
  <c r="N723" i="2"/>
  <c r="Q723" i="2" s="1"/>
  <c r="B593" i="2"/>
  <c r="E590" i="2"/>
  <c r="J737" i="2"/>
  <c r="M703" i="2"/>
  <c r="J723" i="2"/>
  <c r="M723" i="2" s="1"/>
  <c r="P594" i="2"/>
  <c r="P595" i="2"/>
  <c r="P556" i="2" s="1"/>
  <c r="E246" i="2"/>
  <c r="R246" i="2" s="1"/>
  <c r="R416" i="2"/>
  <c r="M128" i="2"/>
  <c r="R128" i="2" s="1"/>
  <c r="P763" i="2"/>
  <c r="H640" i="2"/>
  <c r="E65" i="2"/>
  <c r="B66" i="2"/>
  <c r="C881" i="2"/>
  <c r="M786" i="2"/>
  <c r="D786" i="2"/>
  <c r="D796" i="2" s="1"/>
  <c r="H870" i="2"/>
  <c r="G681" i="2"/>
  <c r="G680" i="2"/>
  <c r="Q768" i="2"/>
  <c r="O682" i="2"/>
  <c r="L681" i="2"/>
  <c r="L680" i="2"/>
  <c r="I722" i="2"/>
  <c r="I676" i="2"/>
  <c r="N745" i="2"/>
  <c r="N14" i="2" s="1"/>
  <c r="Q14" i="2" s="1"/>
  <c r="H594" i="2"/>
  <c r="H595" i="2"/>
  <c r="H556" i="2" s="1"/>
  <c r="R486" i="2"/>
  <c r="F554" i="2"/>
  <c r="I551" i="2"/>
  <c r="J509" i="2"/>
  <c r="M506" i="2"/>
  <c r="R506" i="2" s="1"/>
  <c r="D638" i="2"/>
  <c r="D639" i="2"/>
  <c r="K462" i="2"/>
  <c r="Q765" i="2"/>
  <c r="K682" i="2"/>
  <c r="Q62" i="2"/>
  <c r="N65" i="2"/>
  <c r="J420" i="2"/>
  <c r="M417" i="2"/>
  <c r="R89" i="2"/>
  <c r="M131" i="2"/>
  <c r="J132" i="2"/>
  <c r="J255" i="2"/>
  <c r="M254" i="2"/>
  <c r="M790" i="2"/>
  <c r="D790" i="2"/>
  <c r="D680" i="2"/>
  <c r="D681" i="2"/>
  <c r="G853" i="2"/>
  <c r="H876" i="2"/>
  <c r="E881" i="2"/>
  <c r="H879" i="2"/>
  <c r="O594" i="2"/>
  <c r="M633" i="2"/>
  <c r="F680" i="2"/>
  <c r="I679" i="2"/>
  <c r="F681" i="2"/>
  <c r="Q703" i="2"/>
  <c r="F637" i="2"/>
  <c r="I633" i="2"/>
  <c r="R633" i="2" s="1"/>
  <c r="P766" i="2"/>
  <c r="L640" i="2"/>
  <c r="H682" i="2"/>
  <c r="Q763" i="2"/>
  <c r="M458" i="2"/>
  <c r="J461" i="2"/>
  <c r="N680" i="2"/>
  <c r="Q679" i="2"/>
  <c r="N681" i="2"/>
  <c r="P555" i="2"/>
  <c r="E458" i="2"/>
  <c r="R458" i="2" s="1"/>
  <c r="B461" i="2"/>
  <c r="M709" i="2"/>
  <c r="J739" i="2"/>
  <c r="M739" i="2" s="1"/>
  <c r="H510" i="2"/>
  <c r="C255" i="2"/>
  <c r="I62" i="2"/>
  <c r="R62" i="2" s="1"/>
  <c r="F65" i="2"/>
  <c r="N132" i="2"/>
  <c r="Q131" i="2"/>
  <c r="O862" i="6" l="1"/>
  <c r="P693" i="6"/>
  <c r="P682" i="6"/>
  <c r="AF855" i="6"/>
  <c r="R485" i="6"/>
  <c r="I815" i="6"/>
  <c r="AJ927" i="13"/>
  <c r="AL914" i="13"/>
  <c r="AL927" i="13" s="1"/>
  <c r="Q783" i="7"/>
  <c r="R613" i="7"/>
  <c r="I797" i="7"/>
  <c r="R659" i="7"/>
  <c r="I471" i="7"/>
  <c r="F472" i="7"/>
  <c r="R751" i="7"/>
  <c r="R702" i="7"/>
  <c r="I765" i="9"/>
  <c r="M588" i="9"/>
  <c r="J589" i="9"/>
  <c r="R629" i="9"/>
  <c r="AK816" i="9"/>
  <c r="E765" i="9"/>
  <c r="B589" i="9"/>
  <c r="E588" i="9"/>
  <c r="R59" i="9"/>
  <c r="R859" i="15"/>
  <c r="R906" i="15"/>
  <c r="I315" i="15"/>
  <c r="M823" i="15"/>
  <c r="R903" i="15"/>
  <c r="R871" i="15"/>
  <c r="R613" i="14"/>
  <c r="T909" i="14"/>
  <c r="R679" i="14"/>
  <c r="R568" i="14"/>
  <c r="M933" i="14"/>
  <c r="R904" i="14"/>
  <c r="AH1072" i="12"/>
  <c r="N958" i="14"/>
  <c r="G783" i="14"/>
  <c r="G730" i="14"/>
  <c r="M918" i="12"/>
  <c r="K654" i="12"/>
  <c r="K691" i="12"/>
  <c r="T878" i="13"/>
  <c r="O959" i="14"/>
  <c r="H793" i="14"/>
  <c r="H782" i="14"/>
  <c r="P942" i="12"/>
  <c r="P970" i="12"/>
  <c r="AH1152" i="14"/>
  <c r="AH1153" i="14"/>
  <c r="K701" i="13"/>
  <c r="M930" i="13"/>
  <c r="K664" i="13"/>
  <c r="AH1074" i="11"/>
  <c r="AH1075" i="11"/>
  <c r="E665" i="11"/>
  <c r="B666" i="11"/>
  <c r="AH1110" i="12"/>
  <c r="AH1109" i="12"/>
  <c r="E797" i="13"/>
  <c r="B798" i="13"/>
  <c r="P923" i="13"/>
  <c r="B763" i="13"/>
  <c r="N130" i="11"/>
  <c r="Q129" i="11"/>
  <c r="G1003" i="11"/>
  <c r="AK882" i="11"/>
  <c r="N689" i="12"/>
  <c r="Q688" i="12"/>
  <c r="F784" i="12"/>
  <c r="F785" i="12"/>
  <c r="I783" i="12"/>
  <c r="M829" i="12"/>
  <c r="J832" i="12"/>
  <c r="M490" i="13"/>
  <c r="J491" i="13"/>
  <c r="Q960" i="13"/>
  <c r="Q988" i="13"/>
  <c r="E138" i="14"/>
  <c r="B139" i="14"/>
  <c r="AH1026" i="11"/>
  <c r="AH1024" i="11"/>
  <c r="AH1022" i="11"/>
  <c r="AH1044" i="11"/>
  <c r="AH1037" i="11"/>
  <c r="AH1035" i="11"/>
  <c r="AH1033" i="11"/>
  <c r="AH1031" i="11"/>
  <c r="AH1029" i="11"/>
  <c r="AH1042" i="11"/>
  <c r="AH1040" i="11"/>
  <c r="AH1027" i="11"/>
  <c r="X1023" i="11"/>
  <c r="AH1025" i="11"/>
  <c r="AH1023" i="11"/>
  <c r="AH1045" i="11"/>
  <c r="AH1043" i="11"/>
  <c r="AH1038" i="11"/>
  <c r="AH1036" i="11"/>
  <c r="AH1034" i="11"/>
  <c r="AH1032" i="11"/>
  <c r="AH1030" i="11"/>
  <c r="AH1041" i="11"/>
  <c r="AH1028" i="11"/>
  <c r="AH1039" i="11"/>
  <c r="M619" i="11"/>
  <c r="J620" i="11"/>
  <c r="AH990" i="11"/>
  <c r="E515" i="14"/>
  <c r="B520" i="14"/>
  <c r="AG1146" i="14"/>
  <c r="AG1147" i="14"/>
  <c r="R938" i="15"/>
  <c r="E469" i="11"/>
  <c r="B470" i="11"/>
  <c r="Q953" i="11"/>
  <c r="Q925" i="11"/>
  <c r="J758" i="11"/>
  <c r="M757" i="11"/>
  <c r="J759" i="11"/>
  <c r="AG1062" i="11"/>
  <c r="AG1063" i="11"/>
  <c r="AG1074" i="11"/>
  <c r="AG1075" i="11"/>
  <c r="P978" i="12"/>
  <c r="P950" i="12"/>
  <c r="R1070" i="13"/>
  <c r="AQ1025" i="13"/>
  <c r="AQ990" i="13"/>
  <c r="AG1134" i="14"/>
  <c r="AG1135" i="14"/>
  <c r="AH1146" i="14"/>
  <c r="AH1147" i="14"/>
  <c r="H484" i="12"/>
  <c r="P973" i="12"/>
  <c r="P945" i="12"/>
  <c r="N784" i="12"/>
  <c r="N785" i="12"/>
  <c r="Q783" i="12"/>
  <c r="I846" i="13"/>
  <c r="F847" i="13"/>
  <c r="Q926" i="13"/>
  <c r="AJ950" i="12"/>
  <c r="E490" i="13"/>
  <c r="B491" i="13"/>
  <c r="R585" i="13"/>
  <c r="P962" i="14"/>
  <c r="L827" i="14"/>
  <c r="L792" i="14"/>
  <c r="J937" i="14"/>
  <c r="M908" i="14"/>
  <c r="J918" i="14"/>
  <c r="M918" i="14" s="1"/>
  <c r="J932" i="15"/>
  <c r="M898" i="15"/>
  <c r="J917" i="15"/>
  <c r="M917" i="15" s="1"/>
  <c r="O919" i="12"/>
  <c r="L752" i="12"/>
  <c r="L741" i="12"/>
  <c r="P960" i="13"/>
  <c r="P988" i="13"/>
  <c r="F490" i="13"/>
  <c r="I485" i="13"/>
  <c r="I899" i="14"/>
  <c r="F918" i="14"/>
  <c r="I918" i="14" s="1"/>
  <c r="F933" i="14"/>
  <c r="R220" i="14"/>
  <c r="AJ993" i="14"/>
  <c r="AH1080" i="11"/>
  <c r="AH1081" i="11"/>
  <c r="O975" i="12"/>
  <c r="O947" i="12"/>
  <c r="M308" i="13"/>
  <c r="J316" i="13"/>
  <c r="N729" i="14"/>
  <c r="Q728" i="14"/>
  <c r="P1015" i="14"/>
  <c r="P987" i="14"/>
  <c r="AG1149" i="14"/>
  <c r="AG1150" i="14"/>
  <c r="I932" i="15"/>
  <c r="R662" i="11"/>
  <c r="E933" i="14"/>
  <c r="B941" i="14"/>
  <c r="B13" i="14" s="1"/>
  <c r="E13" i="14" s="1"/>
  <c r="R59" i="15"/>
  <c r="D572" i="14"/>
  <c r="E571" i="14"/>
  <c r="J875" i="15"/>
  <c r="J876" i="15"/>
  <c r="M874" i="15"/>
  <c r="Q951" i="12"/>
  <c r="Q979" i="12"/>
  <c r="Q993" i="14"/>
  <c r="Q1021" i="14"/>
  <c r="G999" i="11"/>
  <c r="AK878" i="11"/>
  <c r="B868" i="11"/>
  <c r="E868" i="11" s="1"/>
  <c r="E839" i="11"/>
  <c r="AG1068" i="11"/>
  <c r="AG1069" i="11"/>
  <c r="AH1068" i="11"/>
  <c r="AH1069" i="11"/>
  <c r="N832" i="12"/>
  <c r="Q829" i="12"/>
  <c r="N617" i="14"/>
  <c r="Q616" i="14"/>
  <c r="F876" i="14"/>
  <c r="I875" i="14"/>
  <c r="F877" i="14"/>
  <c r="M62" i="15"/>
  <c r="J63" i="15"/>
  <c r="N823" i="15"/>
  <c r="Q821" i="15"/>
  <c r="N822" i="15"/>
  <c r="E907" i="15"/>
  <c r="B936" i="15"/>
  <c r="E936" i="15" s="1"/>
  <c r="R936" i="15" s="1"/>
  <c r="G1028" i="12"/>
  <c r="AK907" i="12"/>
  <c r="N316" i="13"/>
  <c r="Q308" i="13"/>
  <c r="N491" i="13"/>
  <c r="Q490" i="13"/>
  <c r="AG1097" i="13"/>
  <c r="AG1098" i="13"/>
  <c r="R135" i="14"/>
  <c r="Q62" i="15"/>
  <c r="N63" i="15"/>
  <c r="B313" i="12"/>
  <c r="E305" i="12"/>
  <c r="P982" i="13"/>
  <c r="P954" i="13"/>
  <c r="R1102" i="14"/>
  <c r="AQ1057" i="14"/>
  <c r="AQ1022" i="14"/>
  <c r="AF958" i="14"/>
  <c r="J726" i="15"/>
  <c r="M725" i="15"/>
  <c r="P946" i="11"/>
  <c r="P918" i="11"/>
  <c r="F307" i="11"/>
  <c r="I299" i="11"/>
  <c r="Q933" i="13"/>
  <c r="O847" i="13"/>
  <c r="O763" i="13"/>
  <c r="AH1110" i="13"/>
  <c r="AH1109" i="13"/>
  <c r="G1068" i="14"/>
  <c r="AK947" i="14"/>
  <c r="M613" i="15"/>
  <c r="R613" i="15" s="1"/>
  <c r="J614" i="15"/>
  <c r="E679" i="15"/>
  <c r="B680" i="15"/>
  <c r="F689" i="12"/>
  <c r="I688" i="12"/>
  <c r="R485" i="13"/>
  <c r="G1036" i="13"/>
  <c r="N956" i="14"/>
  <c r="D783" i="14"/>
  <c r="D730" i="14"/>
  <c r="G1072" i="14"/>
  <c r="AK951" i="14"/>
  <c r="R892" i="15"/>
  <c r="T908" i="15" s="1"/>
  <c r="J680" i="15"/>
  <c r="M679" i="15"/>
  <c r="F759" i="11"/>
  <c r="I757" i="11"/>
  <c r="F758" i="11"/>
  <c r="R803" i="11"/>
  <c r="N653" i="13"/>
  <c r="Q652" i="13"/>
  <c r="G1021" i="13"/>
  <c r="G1035" i="13"/>
  <c r="R458" i="13"/>
  <c r="N876" i="14"/>
  <c r="Q875" i="14"/>
  <c r="N877" i="14"/>
  <c r="AG1076" i="12"/>
  <c r="AG1077" i="12"/>
  <c r="O987" i="13"/>
  <c r="O959" i="13"/>
  <c r="F328" i="14"/>
  <c r="I320" i="14"/>
  <c r="M826" i="14"/>
  <c r="P960" i="14"/>
  <c r="J827" i="14"/>
  <c r="I133" i="15"/>
  <c r="F134" i="15"/>
  <c r="E512" i="15"/>
  <c r="B517" i="15"/>
  <c r="O955" i="15"/>
  <c r="D790" i="15"/>
  <c r="Q849" i="11"/>
  <c r="Q806" i="11"/>
  <c r="N808" i="11"/>
  <c r="N807" i="11"/>
  <c r="N758" i="11"/>
  <c r="N759" i="11"/>
  <c r="Q757" i="11"/>
  <c r="M515" i="14"/>
  <c r="J520" i="14"/>
  <c r="Q899" i="14"/>
  <c r="N918" i="14"/>
  <c r="Q918" i="14" s="1"/>
  <c r="N933" i="14"/>
  <c r="Q1012" i="14"/>
  <c r="Q984" i="14"/>
  <c r="E918" i="14"/>
  <c r="AH1114" i="14"/>
  <c r="AH1112" i="14"/>
  <c r="AH1109" i="14"/>
  <c r="AH1108" i="14"/>
  <c r="AH1107" i="14"/>
  <c r="AH1105" i="14"/>
  <c r="AH1110" i="14"/>
  <c r="AH1104" i="14"/>
  <c r="AH1096" i="14"/>
  <c r="X1092" i="14"/>
  <c r="AH1111" i="14"/>
  <c r="AH1094" i="14"/>
  <c r="AH1092" i="14"/>
  <c r="AH1103" i="14"/>
  <c r="AH1101" i="14"/>
  <c r="AH1099" i="14"/>
  <c r="AH1097" i="14"/>
  <c r="AH1095" i="14"/>
  <c r="AH1093" i="14"/>
  <c r="AH1091" i="14"/>
  <c r="AH1098" i="14"/>
  <c r="AH1100" i="14"/>
  <c r="AH1102" i="14"/>
  <c r="AH1106" i="14"/>
  <c r="AH1113" i="14"/>
  <c r="E62" i="15"/>
  <c r="B63" i="15"/>
  <c r="Q993" i="15"/>
  <c r="Q1021" i="15"/>
  <c r="C484" i="12"/>
  <c r="E483" i="12"/>
  <c r="P924" i="13"/>
  <c r="C798" i="13"/>
  <c r="C763" i="13"/>
  <c r="R1101" i="14"/>
  <c r="AQ1021" i="14"/>
  <c r="AQ1056" i="14"/>
  <c r="O969" i="12"/>
  <c r="O941" i="12"/>
  <c r="Q953" i="15"/>
  <c r="B877" i="15"/>
  <c r="E876" i="15"/>
  <c r="P741" i="12"/>
  <c r="P740" i="12"/>
  <c r="AH1119" i="13"/>
  <c r="AH1118" i="13"/>
  <c r="R894" i="12"/>
  <c r="P928" i="13"/>
  <c r="H798" i="13"/>
  <c r="H763" i="13"/>
  <c r="I826" i="14"/>
  <c r="P957" i="14"/>
  <c r="F827" i="14"/>
  <c r="P952" i="11"/>
  <c r="P924" i="11"/>
  <c r="Q916" i="11"/>
  <c r="Q944" i="11"/>
  <c r="G1002" i="11"/>
  <c r="AK881" i="11"/>
  <c r="D314" i="12"/>
  <c r="AH1092" i="12"/>
  <c r="AH1091" i="12"/>
  <c r="Q1099" i="13"/>
  <c r="J714" i="11"/>
  <c r="M713" i="11"/>
  <c r="AH1062" i="11"/>
  <c r="AH1063" i="11"/>
  <c r="N918" i="12"/>
  <c r="K742" i="12"/>
  <c r="AH1101" i="12"/>
  <c r="AH1100" i="12"/>
  <c r="N902" i="13"/>
  <c r="Q868" i="13"/>
  <c r="N887" i="13"/>
  <c r="Q887" i="13" s="1"/>
  <c r="G1037" i="13"/>
  <c r="C793" i="14"/>
  <c r="O955" i="14"/>
  <c r="C782" i="14"/>
  <c r="Q965" i="14"/>
  <c r="P878" i="14"/>
  <c r="P792" i="14"/>
  <c r="AG1143" i="14"/>
  <c r="AG1144" i="14"/>
  <c r="AH1085" i="12"/>
  <c r="AH1086" i="12"/>
  <c r="F902" i="13"/>
  <c r="I868" i="13"/>
  <c r="F887" i="13"/>
  <c r="I887" i="13" s="1"/>
  <c r="N699" i="13"/>
  <c r="Q698" i="13"/>
  <c r="R212" i="13"/>
  <c r="G1042" i="13"/>
  <c r="AH1126" i="14"/>
  <c r="AH1125" i="14"/>
  <c r="O324" i="15"/>
  <c r="Q961" i="15"/>
  <c r="L877" i="15"/>
  <c r="N562" i="11"/>
  <c r="Q561" i="11"/>
  <c r="AF915" i="12"/>
  <c r="AH1091" i="13"/>
  <c r="AH1092" i="13"/>
  <c r="Q515" i="14"/>
  <c r="N520" i="14"/>
  <c r="AH1137" i="14"/>
  <c r="AH1138" i="14"/>
  <c r="B932" i="15"/>
  <c r="E898" i="15"/>
  <c r="B917" i="15"/>
  <c r="E917" i="15" s="1"/>
  <c r="M512" i="15"/>
  <c r="J517" i="15"/>
  <c r="K760" i="11"/>
  <c r="P892" i="11"/>
  <c r="K725" i="11"/>
  <c r="B808" i="11"/>
  <c r="B807" i="11"/>
  <c r="E806" i="11"/>
  <c r="P948" i="12"/>
  <c r="P976" i="12"/>
  <c r="AH1088" i="13"/>
  <c r="AH1089" i="13"/>
  <c r="I62" i="14"/>
  <c r="F63" i="14"/>
  <c r="P963" i="14"/>
  <c r="N827" i="14"/>
  <c r="Q826" i="14"/>
  <c r="N792" i="14"/>
  <c r="N782" i="14" s="1"/>
  <c r="G1052" i="14"/>
  <c r="G1066" i="14"/>
  <c r="AK945" i="14"/>
  <c r="P944" i="11"/>
  <c r="P916" i="11"/>
  <c r="E517" i="11"/>
  <c r="B518" i="11"/>
  <c r="R215" i="15"/>
  <c r="R397" i="15"/>
  <c r="P1015" i="15"/>
  <c r="P987" i="15"/>
  <c r="O716" i="11"/>
  <c r="N895" i="11"/>
  <c r="N872" i="11"/>
  <c r="N13" i="11" s="1"/>
  <c r="Q864" i="11"/>
  <c r="C872" i="11"/>
  <c r="C13" i="11" s="1"/>
  <c r="O952" i="11"/>
  <c r="O924" i="11"/>
  <c r="AG1083" i="11"/>
  <c r="AG1084" i="11"/>
  <c r="B834" i="12"/>
  <c r="E832" i="12"/>
  <c r="B833" i="12"/>
  <c r="O988" i="13"/>
  <c r="O960" i="13"/>
  <c r="AG1088" i="13"/>
  <c r="AG1089" i="13"/>
  <c r="K329" i="14"/>
  <c r="R725" i="14"/>
  <c r="AH1143" i="14"/>
  <c r="AH1144" i="14"/>
  <c r="L324" i="15"/>
  <c r="Q960" i="15"/>
  <c r="K877" i="15"/>
  <c r="Q540" i="13"/>
  <c r="N541" i="13"/>
  <c r="E320" i="14"/>
  <c r="B328" i="14"/>
  <c r="Q985" i="13"/>
  <c r="Q957" i="13"/>
  <c r="B714" i="11"/>
  <c r="E713" i="11"/>
  <c r="R713" i="11" s="1"/>
  <c r="M895" i="11"/>
  <c r="O668" i="11"/>
  <c r="O631" i="11"/>
  <c r="AG1080" i="11"/>
  <c r="AG1081" i="11"/>
  <c r="R865" i="12"/>
  <c r="G1039" i="13"/>
  <c r="N328" i="14"/>
  <c r="Q320" i="14"/>
  <c r="G1069" i="14"/>
  <c r="AK948" i="14"/>
  <c r="P954" i="15"/>
  <c r="C824" i="15"/>
  <c r="C789" i="15"/>
  <c r="AH1065" i="11"/>
  <c r="AH1066" i="11"/>
  <c r="Q736" i="12"/>
  <c r="P934" i="13"/>
  <c r="P798" i="13"/>
  <c r="P763" i="13"/>
  <c r="AG1131" i="14"/>
  <c r="AG1132" i="14"/>
  <c r="Q1130" i="14"/>
  <c r="Q299" i="11"/>
  <c r="N307" i="11"/>
  <c r="G1001" i="11"/>
  <c r="AK880" i="11"/>
  <c r="Q890" i="12"/>
  <c r="Q898" i="12" s="1"/>
  <c r="N898" i="12"/>
  <c r="N13" i="12" s="1"/>
  <c r="Q13" i="12" s="1"/>
  <c r="Q921" i="12"/>
  <c r="O835" i="12"/>
  <c r="R128" i="13"/>
  <c r="AH1094" i="13"/>
  <c r="AH1095" i="13"/>
  <c r="AH1064" i="13"/>
  <c r="AH1062" i="13"/>
  <c r="AH1060" i="13"/>
  <c r="AH1082" i="13"/>
  <c r="AH1075" i="13"/>
  <c r="AH1073" i="13"/>
  <c r="AH1071" i="13"/>
  <c r="AH1069" i="13"/>
  <c r="AH1067" i="13"/>
  <c r="AH1080" i="13"/>
  <c r="AH1078" i="13"/>
  <c r="AH1065" i="13"/>
  <c r="X1061" i="13"/>
  <c r="AH1083" i="13"/>
  <c r="AH1081" i="13"/>
  <c r="AH1076" i="13"/>
  <c r="AH1074" i="13"/>
  <c r="AH1072" i="13"/>
  <c r="AH1070" i="13"/>
  <c r="AH1068" i="13"/>
  <c r="AH1079" i="13"/>
  <c r="AH1066" i="13"/>
  <c r="AH1077" i="13"/>
  <c r="AH1061" i="13"/>
  <c r="AH1063" i="13"/>
  <c r="M808" i="11"/>
  <c r="J809" i="11"/>
  <c r="Q891" i="11"/>
  <c r="J313" i="12"/>
  <c r="M305" i="12"/>
  <c r="AQ1010" i="12"/>
  <c r="R1055" i="12"/>
  <c r="AQ975" i="12"/>
  <c r="G1026" i="12"/>
  <c r="AK905" i="12"/>
  <c r="Q981" i="13"/>
  <c r="Q953" i="13"/>
  <c r="E902" i="13"/>
  <c r="B910" i="13"/>
  <c r="B13" i="13" s="1"/>
  <c r="G491" i="13"/>
  <c r="I540" i="13"/>
  <c r="F541" i="13"/>
  <c r="C521" i="14"/>
  <c r="AQ1048" i="14"/>
  <c r="R1093" i="14"/>
  <c r="AQ1013" i="14"/>
  <c r="R916" i="15"/>
  <c r="J868" i="11"/>
  <c r="M839" i="11"/>
  <c r="J849" i="11"/>
  <c r="M849" i="11" s="1"/>
  <c r="K809" i="11"/>
  <c r="Q892" i="11"/>
  <c r="N943" i="11"/>
  <c r="N915" i="11"/>
  <c r="R578" i="12"/>
  <c r="E642" i="12"/>
  <c r="B643" i="12"/>
  <c r="I834" i="12"/>
  <c r="F835" i="12"/>
  <c r="Q914" i="12"/>
  <c r="AG1089" i="12"/>
  <c r="AG1088" i="12"/>
  <c r="K617" i="14"/>
  <c r="M616" i="14"/>
  <c r="G1070" i="14"/>
  <c r="AK949" i="14"/>
  <c r="Q133" i="15"/>
  <c r="N134" i="15"/>
  <c r="E725" i="15"/>
  <c r="B726" i="15"/>
  <c r="T840" i="11"/>
  <c r="N889" i="11"/>
  <c r="G716" i="11"/>
  <c r="G667" i="11"/>
  <c r="AG1080" i="12"/>
  <c r="AG1079" i="12"/>
  <c r="AG1104" i="12"/>
  <c r="AG1103" i="12"/>
  <c r="AG1107" i="13"/>
  <c r="AG1106" i="13"/>
  <c r="Q954" i="15"/>
  <c r="C877" i="15"/>
  <c r="O887" i="11"/>
  <c r="D726" i="11"/>
  <c r="D715" i="11"/>
  <c r="R514" i="11"/>
  <c r="AG1109" i="12"/>
  <c r="AG1110" i="12"/>
  <c r="L887" i="13"/>
  <c r="M320" i="14"/>
  <c r="J328" i="14"/>
  <c r="F729" i="14"/>
  <c r="I728" i="14"/>
  <c r="E315" i="15"/>
  <c r="B323" i="15"/>
  <c r="N517" i="15"/>
  <c r="Q512" i="15"/>
  <c r="C777" i="15"/>
  <c r="E774" i="15"/>
  <c r="R774" i="15" s="1"/>
  <c r="Q943" i="11"/>
  <c r="Q915" i="11"/>
  <c r="I129" i="11"/>
  <c r="R129" i="11" s="1"/>
  <c r="F130" i="11"/>
  <c r="P470" i="11"/>
  <c r="Q469" i="11"/>
  <c r="R850" i="12"/>
  <c r="T866" i="12" s="1"/>
  <c r="R829" i="12"/>
  <c r="S1049" i="12"/>
  <c r="AR969" i="12"/>
  <c r="AR1004" i="12"/>
  <c r="M797" i="13"/>
  <c r="P929" i="13"/>
  <c r="J798" i="13"/>
  <c r="Q1018" i="14"/>
  <c r="Q990" i="14"/>
  <c r="F139" i="14"/>
  <c r="I138" i="14"/>
  <c r="F617" i="14"/>
  <c r="I616" i="14"/>
  <c r="E728" i="14"/>
  <c r="R728" i="14" s="1"/>
  <c r="B729" i="14"/>
  <c r="R130" i="15"/>
  <c r="Q957" i="15"/>
  <c r="G877" i="15"/>
  <c r="G789" i="15"/>
  <c r="M906" i="13"/>
  <c r="R906" i="13" s="1"/>
  <c r="D877" i="15"/>
  <c r="Q955" i="15"/>
  <c r="R908" i="14"/>
  <c r="M925" i="13"/>
  <c r="D664" i="13"/>
  <c r="D701" i="13"/>
  <c r="P926" i="13"/>
  <c r="F798" i="13"/>
  <c r="I797" i="13"/>
  <c r="F763" i="13"/>
  <c r="R382" i="12"/>
  <c r="I62" i="11"/>
  <c r="R62" i="11" s="1"/>
  <c r="F63" i="11"/>
  <c r="AH1104" i="12"/>
  <c r="AH1103" i="12"/>
  <c r="F823" i="15"/>
  <c r="I821" i="15"/>
  <c r="F822" i="15"/>
  <c r="AJ962" i="13"/>
  <c r="P963" i="15"/>
  <c r="O824" i="15"/>
  <c r="O789" i="15"/>
  <c r="AG1101" i="12"/>
  <c r="AG1100" i="12"/>
  <c r="AG1140" i="14"/>
  <c r="AG1141" i="14"/>
  <c r="F483" i="12"/>
  <c r="I478" i="12"/>
  <c r="R478" i="12" s="1"/>
  <c r="AG1107" i="12"/>
  <c r="AG1106" i="12"/>
  <c r="B753" i="13"/>
  <c r="E751" i="13"/>
  <c r="R751" i="13" s="1"/>
  <c r="B752" i="13"/>
  <c r="AH1101" i="13"/>
  <c r="AH1100" i="13"/>
  <c r="I515" i="14"/>
  <c r="F520" i="14"/>
  <c r="AH1128" i="14"/>
  <c r="AH1129" i="14"/>
  <c r="G568" i="15"/>
  <c r="I565" i="15"/>
  <c r="R565" i="15" s="1"/>
  <c r="E864" i="11"/>
  <c r="B872" i="11"/>
  <c r="B13" i="11" s="1"/>
  <c r="E13" i="11" s="1"/>
  <c r="F620" i="11"/>
  <c r="I619" i="11"/>
  <c r="Q739" i="12"/>
  <c r="N740" i="12"/>
  <c r="J132" i="13"/>
  <c r="M131" i="13"/>
  <c r="Q1087" i="12"/>
  <c r="Q954" i="13"/>
  <c r="Q982" i="13"/>
  <c r="L754" i="13"/>
  <c r="N931" i="13"/>
  <c r="L700" i="13"/>
  <c r="C329" i="14"/>
  <c r="AD1084" i="13"/>
  <c r="F683" i="14"/>
  <c r="I682" i="14"/>
  <c r="C324" i="15"/>
  <c r="AG1077" i="11"/>
  <c r="AG1078" i="11"/>
  <c r="O890" i="11"/>
  <c r="H726" i="11"/>
  <c r="H715" i="11"/>
  <c r="Q875" i="12"/>
  <c r="B132" i="13"/>
  <c r="E131" i="13"/>
  <c r="R131" i="13" s="1"/>
  <c r="K754" i="13"/>
  <c r="N930" i="13"/>
  <c r="K521" i="14"/>
  <c r="P1012" i="14"/>
  <c r="P984" i="14"/>
  <c r="B877" i="14"/>
  <c r="E875" i="14"/>
  <c r="B876" i="14"/>
  <c r="AG1152" i="14"/>
  <c r="AG1153" i="14"/>
  <c r="AR981" i="11"/>
  <c r="S1026" i="11"/>
  <c r="AR946" i="11"/>
  <c r="G835" i="12"/>
  <c r="Q915" i="12"/>
  <c r="H878" i="14"/>
  <c r="Q959" i="14"/>
  <c r="F517" i="15"/>
  <c r="I512" i="15"/>
  <c r="N955" i="15"/>
  <c r="D780" i="15"/>
  <c r="M517" i="11"/>
  <c r="J518" i="11"/>
  <c r="R736" i="12"/>
  <c r="G786" i="12"/>
  <c r="P915" i="12"/>
  <c r="G751" i="12"/>
  <c r="R652" i="13"/>
  <c r="Q963" i="13"/>
  <c r="Q991" i="13"/>
  <c r="N982" i="13"/>
  <c r="N954" i="13"/>
  <c r="P1018" i="14"/>
  <c r="P990" i="14"/>
  <c r="AH1131" i="14"/>
  <c r="AH1132" i="14"/>
  <c r="F936" i="15"/>
  <c r="I936" i="15" s="1"/>
  <c r="I907" i="15"/>
  <c r="Q952" i="11"/>
  <c r="Q924" i="11"/>
  <c r="M469" i="11"/>
  <c r="J470" i="11"/>
  <c r="Q305" i="12"/>
  <c r="N313" i="12"/>
  <c r="AD1072" i="12"/>
  <c r="AG1092" i="12"/>
  <c r="AG1091" i="12"/>
  <c r="AG1119" i="13"/>
  <c r="AG1118" i="13"/>
  <c r="F572" i="14"/>
  <c r="I571" i="14"/>
  <c r="AH1024" i="14"/>
  <c r="AH1119" i="14"/>
  <c r="AH1120" i="14"/>
  <c r="P922" i="11"/>
  <c r="P950" i="11"/>
  <c r="P943" i="11"/>
  <c r="P915" i="11"/>
  <c r="R835" i="11"/>
  <c r="O483" i="12"/>
  <c r="Q478" i="12"/>
  <c r="E875" i="12"/>
  <c r="AG1083" i="12"/>
  <c r="AG1082" i="12"/>
  <c r="L910" i="13"/>
  <c r="L13" i="13" s="1"/>
  <c r="F562" i="11"/>
  <c r="I561" i="11"/>
  <c r="R561" i="11" s="1"/>
  <c r="AH1076" i="12"/>
  <c r="AH1077" i="12"/>
  <c r="G1040" i="13"/>
  <c r="AH993" i="13"/>
  <c r="AG1137" i="14"/>
  <c r="AG1138" i="14"/>
  <c r="H324" i="15"/>
  <c r="M877" i="13"/>
  <c r="R877" i="13" s="1"/>
  <c r="L886" i="11"/>
  <c r="C632" i="11"/>
  <c r="C621" i="11"/>
  <c r="G983" i="11"/>
  <c r="G997" i="11"/>
  <c r="AK876" i="11"/>
  <c r="N798" i="13"/>
  <c r="P932" i="13"/>
  <c r="Q797" i="13"/>
  <c r="N763" i="13"/>
  <c r="M665" i="11"/>
  <c r="J666" i="11"/>
  <c r="G1007" i="11"/>
  <c r="AK886" i="11"/>
  <c r="N572" i="14"/>
  <c r="Q571" i="14"/>
  <c r="P960" i="15"/>
  <c r="K824" i="15"/>
  <c r="K789" i="15"/>
  <c r="B847" i="13"/>
  <c r="Q923" i="13"/>
  <c r="E846" i="13"/>
  <c r="AQ988" i="11"/>
  <c r="R1033" i="11"/>
  <c r="AQ953" i="11"/>
  <c r="P314" i="12"/>
  <c r="B541" i="13"/>
  <c r="E540" i="13"/>
  <c r="R540" i="13" s="1"/>
  <c r="O982" i="13"/>
  <c r="O954" i="13"/>
  <c r="AG1113" i="13"/>
  <c r="AG1112" i="13"/>
  <c r="G1067" i="14"/>
  <c r="AK946" i="14"/>
  <c r="B849" i="11"/>
  <c r="E849" i="11" s="1"/>
  <c r="R849" i="11" s="1"/>
  <c r="G1038" i="13"/>
  <c r="F324" i="15"/>
  <c r="I323" i="15"/>
  <c r="K518" i="15"/>
  <c r="J307" i="11"/>
  <c r="M299" i="11"/>
  <c r="R753" i="11"/>
  <c r="R779" i="12"/>
  <c r="F316" i="13"/>
  <c r="I308" i="13"/>
  <c r="R308" i="13" s="1"/>
  <c r="G847" i="13"/>
  <c r="Q927" i="13"/>
  <c r="G763" i="13"/>
  <c r="P988" i="14"/>
  <c r="P1016" i="14"/>
  <c r="G1073" i="14"/>
  <c r="AK952" i="14"/>
  <c r="P1016" i="15"/>
  <c r="P988" i="15"/>
  <c r="AG1065" i="11"/>
  <c r="AG1066" i="11"/>
  <c r="P752" i="12"/>
  <c r="O922" i="12"/>
  <c r="S1053" i="12"/>
  <c r="AR1008" i="12"/>
  <c r="AR973" i="12"/>
  <c r="R868" i="13"/>
  <c r="T868" i="13" s="1"/>
  <c r="G329" i="14"/>
  <c r="R400" i="14"/>
  <c r="N781" i="14"/>
  <c r="Q780" i="14"/>
  <c r="R780" i="14" s="1"/>
  <c r="R870" i="11"/>
  <c r="C741" i="12"/>
  <c r="C740" i="12"/>
  <c r="E739" i="12"/>
  <c r="R739" i="12" s="1"/>
  <c r="R874" i="12"/>
  <c r="M868" i="13"/>
  <c r="J887" i="13"/>
  <c r="M887" i="13" s="1"/>
  <c r="J902" i="13"/>
  <c r="R824" i="14"/>
  <c r="I62" i="15"/>
  <c r="F63" i="15"/>
  <c r="AJ924" i="11"/>
  <c r="O946" i="11"/>
  <c r="O918" i="11"/>
  <c r="R688" i="12"/>
  <c r="J643" i="12"/>
  <c r="M642" i="12"/>
  <c r="J785" i="12"/>
  <c r="M783" i="12"/>
  <c r="J784" i="12"/>
  <c r="N847" i="13"/>
  <c r="Q932" i="13"/>
  <c r="Q846" i="13"/>
  <c r="D887" i="13"/>
  <c r="E887" i="13" s="1"/>
  <c r="R887" i="13" s="1"/>
  <c r="O964" i="14"/>
  <c r="O793" i="14"/>
  <c r="AG1120" i="14"/>
  <c r="AG1119" i="14"/>
  <c r="G1076" i="14"/>
  <c r="AK955" i="14"/>
  <c r="R866" i="11"/>
  <c r="R62" i="13"/>
  <c r="R616" i="14"/>
  <c r="O782" i="14"/>
  <c r="AG1128" i="14"/>
  <c r="AG1129" i="14"/>
  <c r="P984" i="15"/>
  <c r="P1012" i="15"/>
  <c r="O868" i="11"/>
  <c r="Q839" i="11"/>
  <c r="I305" i="12"/>
  <c r="F313" i="12"/>
  <c r="F699" i="13"/>
  <c r="I698" i="13"/>
  <c r="R698" i="13" s="1"/>
  <c r="K491" i="13"/>
  <c r="AH1104" i="13"/>
  <c r="AH1103" i="13"/>
  <c r="AH1028" i="13"/>
  <c r="Q1015" i="14"/>
  <c r="Q987" i="14"/>
  <c r="AG1126" i="14"/>
  <c r="AG1125" i="14"/>
  <c r="N323" i="15"/>
  <c r="Q315" i="15"/>
  <c r="B822" i="15"/>
  <c r="B823" i="15"/>
  <c r="E821" i="15"/>
  <c r="R821" i="15" s="1"/>
  <c r="AG1095" i="13"/>
  <c r="AG1094" i="13"/>
  <c r="N683" i="14"/>
  <c r="Q682" i="14"/>
  <c r="AD1046" i="11"/>
  <c r="F872" i="11"/>
  <c r="F13" i="11" s="1"/>
  <c r="I13" i="11" s="1"/>
  <c r="I864" i="11"/>
  <c r="I872" i="11" s="1"/>
  <c r="O916" i="12"/>
  <c r="H752" i="12"/>
  <c r="H741" i="12"/>
  <c r="M315" i="15"/>
  <c r="J323" i="15"/>
  <c r="AD1012" i="6"/>
  <c r="N620" i="11"/>
  <c r="Q619" i="11"/>
  <c r="I806" i="11"/>
  <c r="F807" i="11"/>
  <c r="F808" i="11"/>
  <c r="AH1050" i="11"/>
  <c r="AH1051" i="11"/>
  <c r="J890" i="12"/>
  <c r="M856" i="12"/>
  <c r="J875" i="12"/>
  <c r="M875" i="12" s="1"/>
  <c r="AH1122" i="14"/>
  <c r="AH1123" i="14"/>
  <c r="C518" i="15"/>
  <c r="M955" i="15"/>
  <c r="D728" i="15"/>
  <c r="D691" i="15"/>
  <c r="AG1071" i="11"/>
  <c r="AG1072" i="11"/>
  <c r="M478" i="12"/>
  <c r="J483" i="12"/>
  <c r="Q948" i="12"/>
  <c r="Q976" i="12"/>
  <c r="Q942" i="12"/>
  <c r="Q970" i="12"/>
  <c r="O913" i="12"/>
  <c r="D752" i="12"/>
  <c r="D741" i="12"/>
  <c r="F653" i="13"/>
  <c r="I652" i="13"/>
  <c r="AH1097" i="13"/>
  <c r="AH1098" i="13"/>
  <c r="N139" i="14"/>
  <c r="Q138" i="14"/>
  <c r="J134" i="15"/>
  <c r="M133" i="15"/>
  <c r="P961" i="15"/>
  <c r="L824" i="15"/>
  <c r="L789" i="15"/>
  <c r="H469" i="11"/>
  <c r="I464" i="11"/>
  <c r="R464" i="11" s="1"/>
  <c r="B758" i="11"/>
  <c r="E757" i="11"/>
  <c r="R757" i="11" s="1"/>
  <c r="B759" i="11"/>
  <c r="P919" i="11"/>
  <c r="P947" i="11"/>
  <c r="AG1050" i="11"/>
  <c r="AG1051" i="11"/>
  <c r="AR1010" i="12"/>
  <c r="S1055" i="12"/>
  <c r="AR975" i="12"/>
  <c r="B785" i="12"/>
  <c r="E783" i="12"/>
  <c r="R783" i="12" s="1"/>
  <c r="B784" i="12"/>
  <c r="I856" i="12"/>
  <c r="R856" i="12" s="1"/>
  <c r="T856" i="12" s="1"/>
  <c r="F875" i="12"/>
  <c r="I875" i="12" s="1"/>
  <c r="F890" i="12"/>
  <c r="P987" i="13"/>
  <c r="P959" i="13"/>
  <c r="M138" i="14"/>
  <c r="J139" i="14"/>
  <c r="S1093" i="14"/>
  <c r="AR1013" i="14"/>
  <c r="AR1048" i="14"/>
  <c r="AH1140" i="14"/>
  <c r="AH1141" i="14"/>
  <c r="G1077" i="14"/>
  <c r="AK956" i="14"/>
  <c r="N932" i="15"/>
  <c r="Q898" i="15"/>
  <c r="N917" i="15"/>
  <c r="Q917" i="15" s="1"/>
  <c r="N725" i="15"/>
  <c r="Q722" i="15"/>
  <c r="M864" i="11"/>
  <c r="P726" i="11"/>
  <c r="O896" i="11"/>
  <c r="P715" i="11"/>
  <c r="P979" i="12"/>
  <c r="P951" i="12"/>
  <c r="O751" i="12"/>
  <c r="J845" i="13"/>
  <c r="J846" i="13"/>
  <c r="M844" i="13"/>
  <c r="N63" i="14"/>
  <c r="Q62" i="14"/>
  <c r="J875" i="14"/>
  <c r="M872" i="14"/>
  <c r="R872" i="14" s="1"/>
  <c r="O964" i="15"/>
  <c r="P790" i="15"/>
  <c r="P779" i="15"/>
  <c r="Q956" i="15"/>
  <c r="F877" i="15"/>
  <c r="I533" i="12"/>
  <c r="R533" i="12" s="1"/>
  <c r="F534" i="12"/>
  <c r="R896" i="12"/>
  <c r="E316" i="13"/>
  <c r="B317" i="13"/>
  <c r="R886" i="13"/>
  <c r="AG1110" i="13"/>
  <c r="AG1109" i="13"/>
  <c r="AG1101" i="13"/>
  <c r="AG1100" i="13"/>
  <c r="O961" i="14"/>
  <c r="K793" i="14"/>
  <c r="K782" i="14"/>
  <c r="E826" i="14"/>
  <c r="B827" i="14"/>
  <c r="P954" i="14"/>
  <c r="B792" i="14"/>
  <c r="O985" i="14"/>
  <c r="O1013" i="14"/>
  <c r="R874" i="15"/>
  <c r="AF889" i="11"/>
  <c r="D910" i="13"/>
  <c r="D13" i="13" s="1"/>
  <c r="S1067" i="13"/>
  <c r="AR1022" i="13"/>
  <c r="AR987" i="13"/>
  <c r="AH1059" i="14"/>
  <c r="AH1149" i="14"/>
  <c r="AH1150" i="14"/>
  <c r="L726" i="11"/>
  <c r="O893" i="11"/>
  <c r="L715" i="11"/>
  <c r="N63" i="11"/>
  <c r="Q62" i="11"/>
  <c r="B898" i="12"/>
  <c r="B13" i="12" s="1"/>
  <c r="E13" i="12" s="1"/>
  <c r="E890" i="12"/>
  <c r="P969" i="12"/>
  <c r="P941" i="12"/>
  <c r="AH981" i="12"/>
  <c r="I131" i="13"/>
  <c r="F132" i="13"/>
  <c r="R876" i="13"/>
  <c r="AH1112" i="13"/>
  <c r="AH1113" i="13"/>
  <c r="R62" i="14"/>
  <c r="O958" i="14"/>
  <c r="G793" i="14"/>
  <c r="F917" i="15"/>
  <c r="I917" i="15" s="1"/>
  <c r="Q950" i="11"/>
  <c r="Q922" i="11"/>
  <c r="R558" i="11"/>
  <c r="O943" i="11"/>
  <c r="O915" i="11"/>
  <c r="AH1057" i="11"/>
  <c r="AH1056" i="11"/>
  <c r="G1034" i="12"/>
  <c r="AK913" i="12"/>
  <c r="G1009" i="12"/>
  <c r="G1023" i="12"/>
  <c r="AK902" i="12"/>
  <c r="R844" i="13"/>
  <c r="R795" i="13"/>
  <c r="G1045" i="13"/>
  <c r="AR1054" i="14"/>
  <c r="S1099" i="14"/>
  <c r="AR1019" i="14"/>
  <c r="F725" i="15"/>
  <c r="I722" i="15"/>
  <c r="R722" i="15" s="1"/>
  <c r="R817" i="15"/>
  <c r="M943" i="11"/>
  <c r="M915" i="11"/>
  <c r="H875" i="15"/>
  <c r="H876" i="15"/>
  <c r="Q1061" i="11"/>
  <c r="R419" i="7"/>
  <c r="T788" i="7"/>
  <c r="O811" i="8"/>
  <c r="C653" i="8"/>
  <c r="C642" i="8"/>
  <c r="M838" i="7"/>
  <c r="H619" i="7"/>
  <c r="H582" i="7"/>
  <c r="L645" i="9"/>
  <c r="O811" i="9"/>
  <c r="L634" i="9"/>
  <c r="N490" i="9"/>
  <c r="Q489" i="9"/>
  <c r="B732" i="8"/>
  <c r="B733" i="8"/>
  <c r="E731" i="8"/>
  <c r="P915" i="6"/>
  <c r="P887" i="6"/>
  <c r="B273" i="8"/>
  <c r="E265" i="8"/>
  <c r="R265" i="8" s="1"/>
  <c r="F755" i="7"/>
  <c r="F756" i="7"/>
  <c r="I754" i="7"/>
  <c r="G931" i="7"/>
  <c r="G945" i="7"/>
  <c r="AK824" i="7"/>
  <c r="O818" i="8"/>
  <c r="L653" i="8"/>
  <c r="L642" i="8"/>
  <c r="N274" i="8"/>
  <c r="Q273" i="8"/>
  <c r="J725" i="9"/>
  <c r="Q809" i="9"/>
  <c r="M724" i="9"/>
  <c r="Q778" i="7"/>
  <c r="R778" i="7" s="1"/>
  <c r="T778" i="7" s="1"/>
  <c r="N812" i="7"/>
  <c r="N797" i="7"/>
  <c r="Q797" i="7" s="1"/>
  <c r="I684" i="8"/>
  <c r="F685" i="8"/>
  <c r="F686" i="8"/>
  <c r="M596" i="8"/>
  <c r="J597" i="8"/>
  <c r="G932" i="8"/>
  <c r="AK811" i="8"/>
  <c r="R993" i="6"/>
  <c r="AQ948" i="6"/>
  <c r="AQ913" i="6"/>
  <c r="I633" i="6"/>
  <c r="F634" i="6"/>
  <c r="AK853" i="6"/>
  <c r="G974" i="6"/>
  <c r="P894" i="7"/>
  <c r="P866" i="7"/>
  <c r="E774" i="8"/>
  <c r="M640" i="8"/>
  <c r="J641" i="8"/>
  <c r="R60" i="10"/>
  <c r="R805" i="6"/>
  <c r="Q419" i="7"/>
  <c r="E13" i="8"/>
  <c r="F464" i="10"/>
  <c r="I463" i="10"/>
  <c r="R836" i="6"/>
  <c r="I283" i="7"/>
  <c r="F284" i="7"/>
  <c r="Q844" i="8"/>
  <c r="Q872" i="8"/>
  <c r="I62" i="9"/>
  <c r="F63" i="9"/>
  <c r="R123" i="10"/>
  <c r="R736" i="10"/>
  <c r="F291" i="6"/>
  <c r="I283" i="6"/>
  <c r="O852" i="6"/>
  <c r="C693" i="6"/>
  <c r="AH921" i="6"/>
  <c r="Q275" i="7"/>
  <c r="AH980" i="7"/>
  <c r="AH974" i="7"/>
  <c r="AH992" i="7"/>
  <c r="AH985" i="7"/>
  <c r="AH983" i="7"/>
  <c r="AH981" i="7"/>
  <c r="AH990" i="7"/>
  <c r="AH988" i="7"/>
  <c r="AH970" i="7"/>
  <c r="AH993" i="7"/>
  <c r="AH991" i="7"/>
  <c r="AH986" i="7"/>
  <c r="AH984" i="7"/>
  <c r="AH982" i="7"/>
  <c r="AH977" i="7"/>
  <c r="AH971" i="7"/>
  <c r="AH989" i="7"/>
  <c r="AH978" i="7"/>
  <c r="AH976" i="7"/>
  <c r="AH972" i="7"/>
  <c r="AH979" i="7"/>
  <c r="AH975" i="7"/>
  <c r="AH987" i="7"/>
  <c r="AH973" i="7"/>
  <c r="N498" i="8"/>
  <c r="Q497" i="8"/>
  <c r="AQ909" i="8"/>
  <c r="R954" i="8"/>
  <c r="AQ874" i="8"/>
  <c r="M774" i="8"/>
  <c r="P840" i="9"/>
  <c r="P866" i="9"/>
  <c r="Q946" i="9" s="1"/>
  <c r="Q774" i="6"/>
  <c r="N775" i="6"/>
  <c r="Q860" i="6"/>
  <c r="I830" i="6"/>
  <c r="I838" i="6" s="1"/>
  <c r="F838" i="6"/>
  <c r="F13" i="6" s="1"/>
  <c r="I13" i="6" s="1"/>
  <c r="K757" i="7"/>
  <c r="Q840" i="7"/>
  <c r="J283" i="7"/>
  <c r="M275" i="7"/>
  <c r="R728" i="8"/>
  <c r="R585" i="9"/>
  <c r="P779" i="10"/>
  <c r="M650" i="10"/>
  <c r="J651" i="10"/>
  <c r="J616" i="10"/>
  <c r="B649" i="10"/>
  <c r="B650" i="10"/>
  <c r="E648" i="10"/>
  <c r="R488" i="6"/>
  <c r="O858" i="6"/>
  <c r="K693" i="6"/>
  <c r="AH938" i="7"/>
  <c r="G924" i="8"/>
  <c r="AK803" i="8"/>
  <c r="R422" i="10"/>
  <c r="M885" i="6"/>
  <c r="M913" i="6"/>
  <c r="M812" i="7"/>
  <c r="I561" i="10"/>
  <c r="F562" i="10"/>
  <c r="L757" i="7"/>
  <c r="Q841" i="7"/>
  <c r="I789" i="8"/>
  <c r="I797" i="8" s="1"/>
  <c r="F797" i="8"/>
  <c r="F13" i="8" s="1"/>
  <c r="I13" i="8" s="1"/>
  <c r="J249" i="10"/>
  <c r="M248" i="10"/>
  <c r="Q900" i="7"/>
  <c r="Q872" i="7"/>
  <c r="I436" i="6"/>
  <c r="F441" i="6"/>
  <c r="F727" i="6"/>
  <c r="P854" i="6"/>
  <c r="I726" i="6"/>
  <c r="F692" i="6"/>
  <c r="F695" i="10"/>
  <c r="F696" i="10"/>
  <c r="I694" i="10"/>
  <c r="N862" i="6"/>
  <c r="P683" i="6"/>
  <c r="P635" i="6"/>
  <c r="M797" i="7"/>
  <c r="P875" i="8"/>
  <c r="P847" i="8"/>
  <c r="N409" i="8"/>
  <c r="Q408" i="8"/>
  <c r="F268" i="9"/>
  <c r="I260" i="9"/>
  <c r="P778" i="10"/>
  <c r="H616" i="10"/>
  <c r="H651" i="10"/>
  <c r="Q633" i="6"/>
  <c r="N634" i="6"/>
  <c r="Q895" i="7"/>
  <c r="Q867" i="7"/>
  <c r="E497" i="8"/>
  <c r="B498" i="8"/>
  <c r="E640" i="8"/>
  <c r="R640" i="8" s="1"/>
  <c r="B641" i="8"/>
  <c r="O807" i="9"/>
  <c r="G645" i="9"/>
  <c r="G634" i="9"/>
  <c r="Q860" i="10"/>
  <c r="Q836" i="10"/>
  <c r="Q832" i="10"/>
  <c r="Q856" i="10"/>
  <c r="K636" i="6"/>
  <c r="M858" i="6"/>
  <c r="K599" i="6"/>
  <c r="K292" i="6"/>
  <c r="I812" i="7"/>
  <c r="I820" i="7" s="1"/>
  <c r="F820" i="7"/>
  <c r="F13" i="7" s="1"/>
  <c r="I13" i="7" s="1"/>
  <c r="Q816" i="8"/>
  <c r="M733" i="8"/>
  <c r="J734" i="8"/>
  <c r="Q868" i="9"/>
  <c r="R948" i="9" s="1"/>
  <c r="Q842" i="9"/>
  <c r="N269" i="9"/>
  <c r="Q268" i="9"/>
  <c r="D723" i="9"/>
  <c r="D724" i="9"/>
  <c r="E722" i="9"/>
  <c r="Q912" i="6"/>
  <c r="Q884" i="6"/>
  <c r="I62" i="7"/>
  <c r="F63" i="7"/>
  <c r="E130" i="7"/>
  <c r="R130" i="7" s="1"/>
  <c r="B131" i="7"/>
  <c r="B708" i="7"/>
  <c r="E706" i="7"/>
  <c r="B707" i="7"/>
  <c r="E408" i="8"/>
  <c r="B409" i="8"/>
  <c r="I774" i="8"/>
  <c r="P859" i="10"/>
  <c r="P835" i="10"/>
  <c r="P781" i="10"/>
  <c r="L651" i="10"/>
  <c r="L616" i="10"/>
  <c r="Q774" i="8"/>
  <c r="K679" i="9"/>
  <c r="P810" i="9"/>
  <c r="K644" i="9"/>
  <c r="Q248" i="10"/>
  <c r="N249" i="10"/>
  <c r="R601" i="10"/>
  <c r="P909" i="6"/>
  <c r="P881" i="6"/>
  <c r="Q875" i="8"/>
  <c r="Q847" i="8"/>
  <c r="N448" i="9"/>
  <c r="Q447" i="9"/>
  <c r="O868" i="9"/>
  <c r="P948" i="9" s="1"/>
  <c r="O842" i="9"/>
  <c r="Q684" i="8"/>
  <c r="N685" i="8"/>
  <c r="N686" i="8"/>
  <c r="R486" i="9"/>
  <c r="R567" i="7"/>
  <c r="K734" i="8"/>
  <c r="Q817" i="8"/>
  <c r="K652" i="8"/>
  <c r="O891" i="6"/>
  <c r="O919" i="6"/>
  <c r="N515" i="7"/>
  <c r="Q514" i="7"/>
  <c r="F723" i="9"/>
  <c r="F724" i="9"/>
  <c r="I722" i="9"/>
  <c r="J677" i="9"/>
  <c r="J678" i="9"/>
  <c r="M676" i="9"/>
  <c r="AJ872" i="7"/>
  <c r="Q913" i="6"/>
  <c r="Q885" i="6"/>
  <c r="S989" i="6"/>
  <c r="AR909" i="6"/>
  <c r="AR944" i="6"/>
  <c r="G949" i="6"/>
  <c r="AK842" i="6"/>
  <c r="G963" i="6"/>
  <c r="I424" i="7"/>
  <c r="F425" i="7"/>
  <c r="J131" i="7"/>
  <c r="M130" i="7"/>
  <c r="E596" i="8"/>
  <c r="R596" i="8" s="1"/>
  <c r="B597" i="8"/>
  <c r="P679" i="9"/>
  <c r="P814" i="9"/>
  <c r="P644" i="9"/>
  <c r="N442" i="6"/>
  <c r="Q441" i="6"/>
  <c r="Q891" i="6"/>
  <c r="Q919" i="6"/>
  <c r="J830" i="6"/>
  <c r="M796" i="6"/>
  <c r="J815" i="6"/>
  <c r="M815" i="6" s="1"/>
  <c r="N456" i="8"/>
  <c r="Q455" i="8"/>
  <c r="N820" i="8"/>
  <c r="O643" i="8"/>
  <c r="O598" i="8"/>
  <c r="R637" i="8"/>
  <c r="AF814" i="8"/>
  <c r="Q836" i="9"/>
  <c r="Q862" i="9"/>
  <c r="R942" i="9" s="1"/>
  <c r="B464" i="10"/>
  <c r="E463" i="10"/>
  <c r="I273" i="8"/>
  <c r="F274" i="8"/>
  <c r="Q129" i="8"/>
  <c r="N130" i="8"/>
  <c r="F733" i="8"/>
  <c r="I731" i="8"/>
  <c r="F732" i="8"/>
  <c r="I489" i="9"/>
  <c r="F490" i="9"/>
  <c r="N589" i="9"/>
  <c r="Q588" i="9"/>
  <c r="E812" i="7"/>
  <c r="B820" i="7"/>
  <c r="B13" i="7" s="1"/>
  <c r="E13" i="7" s="1"/>
  <c r="R403" i="8"/>
  <c r="Q869" i="9"/>
  <c r="R949" i="9" s="1"/>
  <c r="Q843" i="9"/>
  <c r="N788" i="9"/>
  <c r="N13" i="9" s="1"/>
  <c r="Q780" i="9"/>
  <c r="Q788" i="9" s="1"/>
  <c r="I126" i="10"/>
  <c r="F127" i="10"/>
  <c r="P888" i="6"/>
  <c r="P916" i="6"/>
  <c r="B757" i="7"/>
  <c r="E756" i="7"/>
  <c r="Q833" i="7"/>
  <c r="P834" i="7"/>
  <c r="C709" i="7"/>
  <c r="C674" i="7"/>
  <c r="E550" i="8"/>
  <c r="B551" i="8"/>
  <c r="M550" i="8"/>
  <c r="J551" i="8"/>
  <c r="K797" i="8"/>
  <c r="K13" i="8" s="1"/>
  <c r="M782" i="9"/>
  <c r="R782" i="9" s="1"/>
  <c r="R938" i="9"/>
  <c r="K683" i="6"/>
  <c r="N858" i="6"/>
  <c r="R198" i="7"/>
  <c r="R452" i="8"/>
  <c r="G923" i="8"/>
  <c r="AK802" i="8"/>
  <c r="M516" i="10"/>
  <c r="J517" i="10"/>
  <c r="D617" i="10"/>
  <c r="O775" i="10"/>
  <c r="D606" i="10"/>
  <c r="R790" i="6"/>
  <c r="T806" i="6" s="1"/>
  <c r="P873" i="7"/>
  <c r="P901" i="7"/>
  <c r="G922" i="8"/>
  <c r="G908" i="8"/>
  <c r="AK801" i="8"/>
  <c r="E489" i="9"/>
  <c r="B490" i="9"/>
  <c r="F64" i="10"/>
  <c r="I63" i="10"/>
  <c r="Q865" i="10"/>
  <c r="Q841" i="10"/>
  <c r="Q861" i="10"/>
  <c r="Q837" i="10"/>
  <c r="R677" i="6"/>
  <c r="P757" i="7"/>
  <c r="Q844" i="7"/>
  <c r="P674" i="7"/>
  <c r="G949" i="7"/>
  <c r="AK828" i="7"/>
  <c r="Q857" i="10"/>
  <c r="Q833" i="10"/>
  <c r="I632" i="9"/>
  <c r="F633" i="9"/>
  <c r="AJ849" i="8"/>
  <c r="R532" i="6"/>
  <c r="Q878" i="8"/>
  <c r="Q850" i="8"/>
  <c r="Q811" i="9"/>
  <c r="L725" i="9"/>
  <c r="Q835" i="10"/>
  <c r="Q859" i="10"/>
  <c r="C683" i="6"/>
  <c r="N852" i="6"/>
  <c r="C635" i="6"/>
  <c r="P895" i="7"/>
  <c r="P867" i="7"/>
  <c r="O892" i="7"/>
  <c r="O864" i="7"/>
  <c r="Q869" i="8"/>
  <c r="Q841" i="8"/>
  <c r="R593" i="8"/>
  <c r="Q811" i="8"/>
  <c r="C734" i="8"/>
  <c r="N64" i="10"/>
  <c r="Q63" i="10"/>
  <c r="N695" i="10"/>
  <c r="N696" i="10"/>
  <c r="Q694" i="10"/>
  <c r="P860" i="6"/>
  <c r="N727" i="6"/>
  <c r="Q726" i="6"/>
  <c r="N692" i="6"/>
  <c r="N756" i="7"/>
  <c r="N674" i="7" s="1"/>
  <c r="Q754" i="7"/>
  <c r="N755" i="7"/>
  <c r="I62" i="8"/>
  <c r="F63" i="8"/>
  <c r="R460" i="10"/>
  <c r="R801" i="6"/>
  <c r="J681" i="6"/>
  <c r="M680" i="6"/>
  <c r="R680" i="6" s="1"/>
  <c r="N723" i="9"/>
  <c r="N724" i="9"/>
  <c r="N644" i="9" s="1"/>
  <c r="Q722" i="9"/>
  <c r="I248" i="10"/>
  <c r="F249" i="10"/>
  <c r="H752" i="10"/>
  <c r="H737" i="10"/>
  <c r="I718" i="10"/>
  <c r="N650" i="10"/>
  <c r="Q648" i="10"/>
  <c r="N649" i="10"/>
  <c r="N885" i="6"/>
  <c r="N913" i="6"/>
  <c r="AK847" i="6"/>
  <c r="G968" i="6"/>
  <c r="E797" i="7"/>
  <c r="P868" i="8"/>
  <c r="P840" i="8"/>
  <c r="Q463" i="10"/>
  <c r="N464" i="10"/>
  <c r="R587" i="6"/>
  <c r="N842" i="9"/>
  <c r="N868" i="9"/>
  <c r="O948" i="9" s="1"/>
  <c r="R755" i="9"/>
  <c r="C651" i="10"/>
  <c r="P774" i="10"/>
  <c r="C616" i="10"/>
  <c r="AR927" i="7"/>
  <c r="AR892" i="7"/>
  <c r="S972" i="7"/>
  <c r="O820" i="8"/>
  <c r="O653" i="8"/>
  <c r="N663" i="7"/>
  <c r="Q662" i="7"/>
  <c r="R662" i="7" s="1"/>
  <c r="B283" i="7"/>
  <c r="E275" i="7"/>
  <c r="F456" i="8"/>
  <c r="I455" i="8"/>
  <c r="O812" i="8"/>
  <c r="D653" i="8"/>
  <c r="D642" i="8"/>
  <c r="R260" i="9"/>
  <c r="N679" i="9"/>
  <c r="Q678" i="9"/>
  <c r="P812" i="9"/>
  <c r="B830" i="6"/>
  <c r="E796" i="6"/>
  <c r="R796" i="6" s="1"/>
  <c r="T796" i="6" s="1"/>
  <c r="B815" i="6"/>
  <c r="E815" i="6" s="1"/>
  <c r="B774" i="6"/>
  <c r="E772" i="6"/>
  <c r="B773" i="6"/>
  <c r="G966" i="6"/>
  <c r="AK845" i="6"/>
  <c r="R129" i="8"/>
  <c r="M497" i="8"/>
  <c r="J498" i="8"/>
  <c r="O784" i="10"/>
  <c r="P617" i="10"/>
  <c r="AH957" i="8"/>
  <c r="AH951" i="8"/>
  <c r="AH967" i="8"/>
  <c r="AH965" i="8"/>
  <c r="AH964" i="8"/>
  <c r="AH956" i="8"/>
  <c r="AH952" i="8"/>
  <c r="AH950" i="8"/>
  <c r="AH970" i="8"/>
  <c r="AH969" i="8"/>
  <c r="AH966" i="8"/>
  <c r="AH963" i="8"/>
  <c r="AH962" i="8"/>
  <c r="AH948" i="8"/>
  <c r="AH955" i="8"/>
  <c r="AH954" i="8"/>
  <c r="AH953" i="8"/>
  <c r="AH949" i="8"/>
  <c r="AH968" i="8"/>
  <c r="AH961" i="8"/>
  <c r="AH960" i="8"/>
  <c r="AH947" i="8"/>
  <c r="AH971" i="8" s="1"/>
  <c r="AH959" i="8"/>
  <c r="AH958" i="8"/>
  <c r="AF816" i="9"/>
  <c r="B248" i="10"/>
  <c r="E240" i="10"/>
  <c r="R240" i="10" s="1"/>
  <c r="P697" i="10"/>
  <c r="Q784" i="10"/>
  <c r="AD994" i="7"/>
  <c r="D582" i="7"/>
  <c r="D619" i="7"/>
  <c r="M835" i="7"/>
  <c r="Q1009" i="7"/>
  <c r="Q1027" i="6"/>
  <c r="Q859" i="6"/>
  <c r="L775" i="6"/>
  <c r="L692" i="6"/>
  <c r="M632" i="9"/>
  <c r="J633" i="9"/>
  <c r="I708" i="7"/>
  <c r="P836" i="7"/>
  <c r="F709" i="7"/>
  <c r="F674" i="7"/>
  <c r="J127" i="10"/>
  <c r="M126" i="10"/>
  <c r="R126" i="10" s="1"/>
  <c r="Q830" i="6"/>
  <c r="Q838" i="6" s="1"/>
  <c r="N838" i="6"/>
  <c r="N13" i="6" s="1"/>
  <c r="Q13" i="6" s="1"/>
  <c r="O284" i="7"/>
  <c r="B633" i="9"/>
  <c r="E632" i="9"/>
  <c r="R632" i="9" s="1"/>
  <c r="N760" i="10"/>
  <c r="N14" i="10" s="1"/>
  <c r="Q14" i="10" s="1"/>
  <c r="Q752" i="10"/>
  <c r="Q760" i="10" s="1"/>
  <c r="Q915" i="6"/>
  <c r="Q887" i="6"/>
  <c r="M616" i="7"/>
  <c r="R616" i="7" s="1"/>
  <c r="J617" i="7"/>
  <c r="J685" i="8"/>
  <c r="J686" i="8"/>
  <c r="M684" i="8"/>
  <c r="M813" i="9"/>
  <c r="O591" i="9"/>
  <c r="O554" i="9"/>
  <c r="R125" i="6"/>
  <c r="R832" i="6"/>
  <c r="O425" i="7"/>
  <c r="R773" i="8"/>
  <c r="P806" i="9"/>
  <c r="I678" i="9"/>
  <c r="F679" i="9"/>
  <c r="F644" i="9"/>
  <c r="J129" i="6"/>
  <c r="M128" i="6"/>
  <c r="J634" i="6"/>
  <c r="M633" i="6"/>
  <c r="R633" i="6" s="1"/>
  <c r="Q853" i="6"/>
  <c r="D775" i="6"/>
  <c r="D692" i="6"/>
  <c r="P815" i="8"/>
  <c r="H687" i="8"/>
  <c r="H652" i="8"/>
  <c r="G925" i="8"/>
  <c r="AK804" i="8"/>
  <c r="M539" i="9"/>
  <c r="R539" i="9" s="1"/>
  <c r="J542" i="9"/>
  <c r="R516" i="10"/>
  <c r="J752" i="10"/>
  <c r="J737" i="10"/>
  <c r="M737" i="10" s="1"/>
  <c r="M718" i="10"/>
  <c r="R990" i="6"/>
  <c r="AQ945" i="6"/>
  <c r="AQ910" i="6"/>
  <c r="N63" i="7"/>
  <c r="Q62" i="7"/>
  <c r="R783" i="7"/>
  <c r="I129" i="8"/>
  <c r="F130" i="8"/>
  <c r="G129" i="9"/>
  <c r="I128" i="9"/>
  <c r="E780" i="9"/>
  <c r="B788" i="9"/>
  <c r="B13" i="9" s="1"/>
  <c r="M63" i="10"/>
  <c r="J64" i="10"/>
  <c r="J561" i="10"/>
  <c r="M558" i="10"/>
  <c r="R558" i="10" s="1"/>
  <c r="I811" i="10"/>
  <c r="O885" i="6"/>
  <c r="O913" i="6"/>
  <c r="P877" i="8"/>
  <c r="P849" i="8"/>
  <c r="O814" i="8"/>
  <c r="G653" i="8"/>
  <c r="G642" i="8"/>
  <c r="P869" i="8"/>
  <c r="P841" i="8"/>
  <c r="E268" i="9"/>
  <c r="B269" i="9"/>
  <c r="F756" i="10"/>
  <c r="I727" i="10"/>
  <c r="R727" i="10" s="1"/>
  <c r="F737" i="10"/>
  <c r="M283" i="6"/>
  <c r="J291" i="6"/>
  <c r="R769" i="6"/>
  <c r="L292" i="6"/>
  <c r="P842" i="7"/>
  <c r="Q708" i="7"/>
  <c r="N709" i="7"/>
  <c r="R59" i="8"/>
  <c r="AJ851" i="9"/>
  <c r="Q561" i="10"/>
  <c r="N562" i="10"/>
  <c r="AH988" i="6"/>
  <c r="AH1011" i="6"/>
  <c r="AH1009" i="6"/>
  <c r="AH1004" i="6"/>
  <c r="AH1002" i="6"/>
  <c r="AH1000" i="6"/>
  <c r="AH1007" i="6"/>
  <c r="AH996" i="6"/>
  <c r="AH994" i="6"/>
  <c r="AH990" i="6"/>
  <c r="AH1005" i="6"/>
  <c r="AH997" i="6"/>
  <c r="AH993" i="6"/>
  <c r="AH991" i="6"/>
  <c r="AH998" i="6"/>
  <c r="AH992" i="6"/>
  <c r="AH1010" i="6"/>
  <c r="AH1003" i="6"/>
  <c r="AH1001" i="6"/>
  <c r="AH999" i="6"/>
  <c r="AH989" i="6"/>
  <c r="AH1008" i="6"/>
  <c r="AH995" i="6"/>
  <c r="AH1006" i="6"/>
  <c r="AH903" i="7"/>
  <c r="R818" i="7"/>
  <c r="Q831" i="10"/>
  <c r="Q855" i="10"/>
  <c r="N892" i="7"/>
  <c r="N864" i="7"/>
  <c r="N843" i="7"/>
  <c r="O665" i="7"/>
  <c r="O618" i="7"/>
  <c r="J708" i="7"/>
  <c r="M706" i="7"/>
  <c r="J707" i="7"/>
  <c r="R62" i="7"/>
  <c r="E797" i="8"/>
  <c r="H725" i="9"/>
  <c r="Q808" i="9"/>
  <c r="H644" i="9"/>
  <c r="G946" i="7"/>
  <c r="AK825" i="7"/>
  <c r="I514" i="7"/>
  <c r="F515" i="7"/>
  <c r="M726" i="6"/>
  <c r="P857" i="6"/>
  <c r="J727" i="6"/>
  <c r="Q62" i="8"/>
  <c r="N63" i="8"/>
  <c r="G928" i="8"/>
  <c r="AK807" i="8"/>
  <c r="I447" i="9"/>
  <c r="R447" i="9" s="1"/>
  <c r="F448" i="9"/>
  <c r="J765" i="9"/>
  <c r="M765" i="9" s="1"/>
  <c r="J780" i="9"/>
  <c r="M746" i="9"/>
  <c r="R746" i="9" s="1"/>
  <c r="T746" i="9" s="1"/>
  <c r="F788" i="9"/>
  <c r="F13" i="9" s="1"/>
  <c r="I780" i="9"/>
  <c r="I788" i="9" s="1"/>
  <c r="E291" i="6"/>
  <c r="B292" i="6"/>
  <c r="J774" i="6"/>
  <c r="J692" i="6" s="1"/>
  <c r="M772" i="6"/>
  <c r="J773" i="6"/>
  <c r="B129" i="6"/>
  <c r="E128" i="6"/>
  <c r="AJ890" i="6"/>
  <c r="H665" i="7"/>
  <c r="N838" i="7"/>
  <c r="G955" i="7"/>
  <c r="AK834" i="7"/>
  <c r="P821" i="8"/>
  <c r="P687" i="8"/>
  <c r="P652" i="8"/>
  <c r="P891" i="6"/>
  <c r="P919" i="6"/>
  <c r="J472" i="7"/>
  <c r="M471" i="7"/>
  <c r="R680" i="8"/>
  <c r="M400" i="9"/>
  <c r="J401" i="9"/>
  <c r="E128" i="9"/>
  <c r="B129" i="9"/>
  <c r="R672" i="9"/>
  <c r="R764" i="9"/>
  <c r="N784" i="10"/>
  <c r="P607" i="10"/>
  <c r="P563" i="10"/>
  <c r="Q863" i="10"/>
  <c r="Q839" i="10"/>
  <c r="I604" i="10"/>
  <c r="F605" i="10"/>
  <c r="F63" i="6"/>
  <c r="I62" i="6"/>
  <c r="O775" i="6"/>
  <c r="Q861" i="6"/>
  <c r="O692" i="6"/>
  <c r="Q894" i="7"/>
  <c r="Q866" i="7"/>
  <c r="P841" i="7"/>
  <c r="L709" i="7"/>
  <c r="L674" i="7"/>
  <c r="R814" i="7"/>
  <c r="S957" i="8"/>
  <c r="AR912" i="8"/>
  <c r="AR877" i="8"/>
  <c r="N977" i="9"/>
  <c r="R765" i="9"/>
  <c r="Q604" i="10"/>
  <c r="N605" i="10"/>
  <c r="N63" i="6"/>
  <c r="Q62" i="6"/>
  <c r="K709" i="7"/>
  <c r="P840" i="7"/>
  <c r="K674" i="7"/>
  <c r="P843" i="8"/>
  <c r="P871" i="8"/>
  <c r="G933" i="8"/>
  <c r="AK812" i="8"/>
  <c r="R400" i="9"/>
  <c r="F650" i="10"/>
  <c r="I648" i="10"/>
  <c r="F649" i="10"/>
  <c r="N291" i="6"/>
  <c r="Q283" i="6"/>
  <c r="R724" i="6"/>
  <c r="O855" i="6"/>
  <c r="G693" i="6"/>
  <c r="G682" i="6"/>
  <c r="B63" i="8"/>
  <c r="E62" i="8"/>
  <c r="R62" i="8" s="1"/>
  <c r="C679" i="9"/>
  <c r="P804" i="9"/>
  <c r="C644" i="9"/>
  <c r="R712" i="10"/>
  <c r="T728" i="10" s="1"/>
  <c r="I372" i="10"/>
  <c r="R372" i="10" s="1"/>
  <c r="F377" i="10"/>
  <c r="P866" i="10"/>
  <c r="P842" i="10"/>
  <c r="H292" i="6"/>
  <c r="F409" i="8"/>
  <c r="I408" i="8"/>
  <c r="AK805" i="8"/>
  <c r="G926" i="8"/>
  <c r="Q126" i="10"/>
  <c r="N127" i="10"/>
  <c r="P780" i="10"/>
  <c r="K651" i="10"/>
  <c r="K616" i="10"/>
  <c r="H896" i="10"/>
  <c r="G675" i="7"/>
  <c r="O837" i="7"/>
  <c r="G664" i="7"/>
  <c r="O777" i="10"/>
  <c r="G617" i="10"/>
  <c r="G606" i="10"/>
  <c r="Q789" i="8"/>
  <c r="Q797" i="8" s="1"/>
  <c r="N797" i="8"/>
  <c r="N13" i="8" s="1"/>
  <c r="Q13" i="8" s="1"/>
  <c r="E604" i="10"/>
  <c r="B605" i="10"/>
  <c r="M489" i="9"/>
  <c r="J490" i="9"/>
  <c r="E436" i="6"/>
  <c r="R436" i="6" s="1"/>
  <c r="B441" i="6"/>
  <c r="AK806" i="8"/>
  <c r="G927" i="8"/>
  <c r="M128" i="9"/>
  <c r="J129" i="9"/>
  <c r="G952" i="7"/>
  <c r="AK831" i="7"/>
  <c r="AF837" i="7"/>
  <c r="P900" i="7"/>
  <c r="P872" i="7"/>
  <c r="M273" i="8"/>
  <c r="J274" i="8"/>
  <c r="N733" i="8"/>
  <c r="Q731" i="8"/>
  <c r="N732" i="8"/>
  <c r="E471" i="7"/>
  <c r="B472" i="7"/>
  <c r="Q62" i="9"/>
  <c r="R62" i="9" s="1"/>
  <c r="N63" i="9"/>
  <c r="E63" i="10"/>
  <c r="R63" i="10" s="1"/>
  <c r="B64" i="10"/>
  <c r="J605" i="10"/>
  <c r="J606" i="10"/>
  <c r="M604" i="10"/>
  <c r="J756" i="7"/>
  <c r="M754" i="7"/>
  <c r="R754" i="7" s="1"/>
  <c r="J755" i="7"/>
  <c r="N425" i="7"/>
  <c r="Q424" i="7"/>
  <c r="F498" i="8"/>
  <c r="I497" i="8"/>
  <c r="B686" i="8"/>
  <c r="E684" i="8"/>
  <c r="B685" i="8"/>
  <c r="R125" i="9"/>
  <c r="B678" i="9"/>
  <c r="B677" i="9"/>
  <c r="E676" i="9"/>
  <c r="R676" i="9" s="1"/>
  <c r="R786" i="9"/>
  <c r="B378" i="10"/>
  <c r="E377" i="10"/>
  <c r="N783" i="10"/>
  <c r="O607" i="10"/>
  <c r="O563" i="10"/>
  <c r="I774" i="6"/>
  <c r="F775" i="6"/>
  <c r="Q854" i="6"/>
  <c r="R814" i="6"/>
  <c r="O867" i="7"/>
  <c r="O895" i="7"/>
  <c r="R758" i="10"/>
  <c r="Q283" i="7"/>
  <c r="N284" i="7"/>
  <c r="M408" i="8"/>
  <c r="J409" i="8"/>
  <c r="M789" i="8"/>
  <c r="M797" i="8" s="1"/>
  <c r="J797" i="8"/>
  <c r="J13" i="8" s="1"/>
  <c r="M13" i="8" s="1"/>
  <c r="Q871" i="8"/>
  <c r="Q843" i="8"/>
  <c r="Q986" i="8"/>
  <c r="E726" i="6"/>
  <c r="P851" i="6"/>
  <c r="B727" i="6"/>
  <c r="B692" i="6"/>
  <c r="P912" i="6"/>
  <c r="P884" i="6"/>
  <c r="I588" i="9"/>
  <c r="R588" i="9" s="1"/>
  <c r="F589" i="9"/>
  <c r="B737" i="10"/>
  <c r="E737" i="10" s="1"/>
  <c r="B752" i="10"/>
  <c r="E718" i="10"/>
  <c r="R718" i="10" s="1"/>
  <c r="T718" i="10" s="1"/>
  <c r="R644" i="10"/>
  <c r="D811" i="10"/>
  <c r="P892" i="7"/>
  <c r="P864" i="7"/>
  <c r="J816" i="7"/>
  <c r="M816" i="7" s="1"/>
  <c r="R816" i="7" s="1"/>
  <c r="M787" i="7"/>
  <c r="R787" i="7" s="1"/>
  <c r="L856" i="6"/>
  <c r="H600" i="6"/>
  <c r="H589" i="6"/>
  <c r="O865" i="10"/>
  <c r="O841" i="10"/>
  <c r="O900" i="7"/>
  <c r="O872" i="7"/>
  <c r="J249" i="5"/>
  <c r="M248" i="5"/>
  <c r="Q458" i="5"/>
  <c r="N459" i="5"/>
  <c r="O850" i="5"/>
  <c r="O826" i="5"/>
  <c r="R701" i="5"/>
  <c r="R63" i="5"/>
  <c r="P845" i="5"/>
  <c r="P821" i="5"/>
  <c r="R716" i="5"/>
  <c r="Q127" i="5"/>
  <c r="N128" i="5"/>
  <c r="Q740" i="5"/>
  <c r="Q748" i="5" s="1"/>
  <c r="N748" i="5"/>
  <c r="N14" i="5" s="1"/>
  <c r="Q14" i="5" s="1"/>
  <c r="Q683" i="5"/>
  <c r="N684" i="5"/>
  <c r="N685" i="5"/>
  <c r="N608" i="5" s="1"/>
  <c r="J373" i="5"/>
  <c r="M372" i="5"/>
  <c r="E417" i="5"/>
  <c r="B418" i="5"/>
  <c r="J418" i="5"/>
  <c r="M417" i="5"/>
  <c r="O763" i="5"/>
  <c r="D609" i="5"/>
  <c r="D598" i="5"/>
  <c r="I683" i="5"/>
  <c r="F684" i="5"/>
  <c r="F685" i="5"/>
  <c r="B373" i="5"/>
  <c r="E372" i="5"/>
  <c r="I510" i="5"/>
  <c r="F511" i="5"/>
  <c r="D799" i="5"/>
  <c r="I367" i="5"/>
  <c r="F372" i="5"/>
  <c r="N762" i="5"/>
  <c r="C599" i="5"/>
  <c r="C557" i="5"/>
  <c r="R707" i="5"/>
  <c r="P248" i="5"/>
  <c r="Q240" i="5"/>
  <c r="N556" i="5"/>
  <c r="Q555" i="5"/>
  <c r="E740" i="5"/>
  <c r="Q726" i="5"/>
  <c r="I552" i="5"/>
  <c r="F555" i="5"/>
  <c r="Q772" i="5"/>
  <c r="P686" i="5"/>
  <c r="I248" i="5"/>
  <c r="F249" i="5"/>
  <c r="I127" i="5"/>
  <c r="F128" i="5"/>
  <c r="J748" i="5"/>
  <c r="J14" i="5" s="1"/>
  <c r="M14" i="5" s="1"/>
  <c r="M740" i="5"/>
  <c r="M748" i="5" s="1"/>
  <c r="R414" i="5"/>
  <c r="F748" i="5"/>
  <c r="F14" i="5" s="1"/>
  <c r="I14" i="5" s="1"/>
  <c r="I740" i="5"/>
  <c r="I748" i="5" s="1"/>
  <c r="Q851" i="5"/>
  <c r="Q827" i="5"/>
  <c r="J684" i="5"/>
  <c r="J685" i="5"/>
  <c r="M683" i="5"/>
  <c r="B748" i="5"/>
  <c r="B14" i="5" s="1"/>
  <c r="E14" i="5" s="1"/>
  <c r="R552" i="5"/>
  <c r="Q850" i="5"/>
  <c r="Q826" i="5"/>
  <c r="Q829" i="5"/>
  <c r="Q853" i="5"/>
  <c r="P769" i="5"/>
  <c r="L608" i="5"/>
  <c r="L643" i="5"/>
  <c r="P372" i="5"/>
  <c r="Q367" i="5"/>
  <c r="R367" i="5" s="1"/>
  <c r="F641" i="5"/>
  <c r="F642" i="5"/>
  <c r="I640" i="5"/>
  <c r="R640" i="5" s="1"/>
  <c r="E726" i="5"/>
  <c r="R726" i="5" s="1"/>
  <c r="R127" i="5"/>
  <c r="E642" i="5"/>
  <c r="B608" i="5"/>
  <c r="B598" i="5" s="1"/>
  <c r="B643" i="5"/>
  <c r="P761" i="5"/>
  <c r="R507" i="5"/>
  <c r="Q823" i="5"/>
  <c r="Q847" i="5"/>
  <c r="Q845" i="5"/>
  <c r="Q821" i="5"/>
  <c r="O772" i="5"/>
  <c r="P609" i="5"/>
  <c r="P598" i="5"/>
  <c r="K555" i="5"/>
  <c r="M552" i="5"/>
  <c r="O844" i="5"/>
  <c r="O820" i="5"/>
  <c r="N511" i="5"/>
  <c r="Q510" i="5"/>
  <c r="J643" i="5"/>
  <c r="M642" i="5"/>
  <c r="P767" i="5"/>
  <c r="J608" i="5"/>
  <c r="R680" i="5"/>
  <c r="O766" i="5"/>
  <c r="H609" i="5"/>
  <c r="H598" i="5"/>
  <c r="B249" i="5"/>
  <c r="E248" i="5"/>
  <c r="F459" i="5"/>
  <c r="I458" i="5"/>
  <c r="R458" i="5" s="1"/>
  <c r="E510" i="5"/>
  <c r="B511" i="5"/>
  <c r="O643" i="5"/>
  <c r="P771" i="5"/>
  <c r="O608" i="5"/>
  <c r="B597" i="5"/>
  <c r="E596" i="5"/>
  <c r="R596" i="5" s="1"/>
  <c r="Q417" i="5"/>
  <c r="N418" i="5"/>
  <c r="Q848" i="5"/>
  <c r="Q824" i="5"/>
  <c r="P844" i="5"/>
  <c r="P820" i="5"/>
  <c r="N768" i="5"/>
  <c r="K599" i="5"/>
  <c r="P854" i="5"/>
  <c r="P830" i="5"/>
  <c r="B685" i="5"/>
  <c r="E683" i="5"/>
  <c r="R683" i="5" s="1"/>
  <c r="B684" i="5"/>
  <c r="R240" i="5"/>
  <c r="R315" i="5"/>
  <c r="P850" i="5"/>
  <c r="P826" i="5"/>
  <c r="G643" i="5"/>
  <c r="P765" i="5"/>
  <c r="G608" i="5"/>
  <c r="Q642" i="5"/>
  <c r="P770" i="5"/>
  <c r="N643" i="5"/>
  <c r="P848" i="5"/>
  <c r="P824" i="5"/>
  <c r="R593" i="5"/>
  <c r="O746" i="4"/>
  <c r="K590" i="4"/>
  <c r="K579" i="4"/>
  <c r="E243" i="4"/>
  <c r="B244" i="4"/>
  <c r="N740" i="4"/>
  <c r="C580" i="4"/>
  <c r="F445" i="4"/>
  <c r="I444" i="4"/>
  <c r="P663" i="4"/>
  <c r="P664" i="4"/>
  <c r="Q662" i="4"/>
  <c r="N539" i="4"/>
  <c r="Q538" i="4"/>
  <c r="R724" i="4"/>
  <c r="E718" i="4"/>
  <c r="P826" i="4"/>
  <c r="P802" i="4"/>
  <c r="B66" i="4"/>
  <c r="E65" i="4"/>
  <c r="P823" i="4"/>
  <c r="P799" i="4"/>
  <c r="M577" i="4"/>
  <c r="J578" i="4"/>
  <c r="I493" i="4"/>
  <c r="F494" i="4"/>
  <c r="Q743" i="4"/>
  <c r="G665" i="4"/>
  <c r="I664" i="4"/>
  <c r="M662" i="4"/>
  <c r="J664" i="4"/>
  <c r="J663" i="4"/>
  <c r="N127" i="4"/>
  <c r="Q126" i="4"/>
  <c r="E14" i="4"/>
  <c r="P743" i="4"/>
  <c r="G624" i="4"/>
  <c r="G589" i="4"/>
  <c r="Q744" i="4"/>
  <c r="H665" i="4"/>
  <c r="H589" i="4"/>
  <c r="R441" i="4"/>
  <c r="P822" i="4"/>
  <c r="P798" i="4"/>
  <c r="R535" i="4"/>
  <c r="R62" i="4"/>
  <c r="N494" i="4"/>
  <c r="Q493" i="4"/>
  <c r="P748" i="4"/>
  <c r="Q623" i="4"/>
  <c r="N624" i="4"/>
  <c r="N589" i="4"/>
  <c r="R617" i="4"/>
  <c r="O740" i="4"/>
  <c r="C590" i="4"/>
  <c r="D777" i="4"/>
  <c r="P828" i="4"/>
  <c r="P804" i="4"/>
  <c r="E538" i="4"/>
  <c r="R538" i="4" s="1"/>
  <c r="B539" i="4"/>
  <c r="B623" i="4"/>
  <c r="E621" i="4"/>
  <c r="B622" i="4"/>
  <c r="R444" i="4"/>
  <c r="N244" i="4"/>
  <c r="Q243" i="4"/>
  <c r="N404" i="4"/>
  <c r="Q403" i="4"/>
  <c r="O747" i="4"/>
  <c r="L590" i="4"/>
  <c r="Q746" i="4"/>
  <c r="K665" i="4"/>
  <c r="N578" i="4"/>
  <c r="Q577" i="4"/>
  <c r="N579" i="4"/>
  <c r="Q444" i="4"/>
  <c r="N445" i="4"/>
  <c r="M493" i="4"/>
  <c r="R493" i="4" s="1"/>
  <c r="J494" i="4"/>
  <c r="M538" i="4"/>
  <c r="J539" i="4"/>
  <c r="Q823" i="4"/>
  <c r="Q799" i="4"/>
  <c r="Q829" i="4"/>
  <c r="Q805" i="4"/>
  <c r="F622" i="4"/>
  <c r="F623" i="4"/>
  <c r="I621" i="4"/>
  <c r="M718" i="4"/>
  <c r="M726" i="4" s="1"/>
  <c r="J726" i="4"/>
  <c r="J14" i="4" s="1"/>
  <c r="M14" i="4" s="1"/>
  <c r="R123" i="4"/>
  <c r="Q831" i="4"/>
  <c r="Q807" i="4"/>
  <c r="R659" i="4"/>
  <c r="Q718" i="4"/>
  <c r="Q726" i="4" s="1"/>
  <c r="N726" i="4"/>
  <c r="N14" i="4" s="1"/>
  <c r="Q14" i="4" s="1"/>
  <c r="L579" i="4"/>
  <c r="Q830" i="4"/>
  <c r="Q806" i="4"/>
  <c r="Q822" i="4"/>
  <c r="Q798" i="4"/>
  <c r="P749" i="4"/>
  <c r="O624" i="4"/>
  <c r="O589" i="4"/>
  <c r="F66" i="4"/>
  <c r="I65" i="4"/>
  <c r="R720" i="4"/>
  <c r="R574" i="4"/>
  <c r="M704" i="4"/>
  <c r="R704" i="4" s="1"/>
  <c r="B127" i="4"/>
  <c r="E126" i="4"/>
  <c r="M243" i="4"/>
  <c r="J244" i="4"/>
  <c r="J66" i="4"/>
  <c r="M65" i="4"/>
  <c r="O741" i="4"/>
  <c r="D590" i="4"/>
  <c r="D579" i="4"/>
  <c r="R403" i="4"/>
  <c r="M126" i="4"/>
  <c r="J127" i="4"/>
  <c r="F404" i="4"/>
  <c r="I403" i="4"/>
  <c r="R685" i="4"/>
  <c r="H862" i="4"/>
  <c r="E662" i="4"/>
  <c r="B663" i="4"/>
  <c r="B664" i="4"/>
  <c r="Q704" i="4"/>
  <c r="C540" i="4"/>
  <c r="F539" i="4"/>
  <c r="I538" i="4"/>
  <c r="P827" i="4"/>
  <c r="P803" i="4"/>
  <c r="R690" i="4"/>
  <c r="R490" i="4"/>
  <c r="P832" i="4"/>
  <c r="P808" i="4"/>
  <c r="E577" i="4"/>
  <c r="R577" i="4" s="1"/>
  <c r="B578" i="4"/>
  <c r="O751" i="3"/>
  <c r="O589" i="3"/>
  <c r="O578" i="3"/>
  <c r="F245" i="3"/>
  <c r="I244" i="3"/>
  <c r="I441" i="3"/>
  <c r="F442" i="3"/>
  <c r="R492" i="3"/>
  <c r="N728" i="3"/>
  <c r="N14" i="3" s="1"/>
  <c r="Q14" i="3" s="1"/>
  <c r="Q720" i="3"/>
  <c r="Q728" i="3" s="1"/>
  <c r="N358" i="3"/>
  <c r="Q357" i="3"/>
  <c r="Q825" i="3"/>
  <c r="Q801" i="3"/>
  <c r="R534" i="3"/>
  <c r="D779" i="3"/>
  <c r="I537" i="3"/>
  <c r="F538" i="3"/>
  <c r="Q824" i="3"/>
  <c r="Q800" i="3"/>
  <c r="R397" i="3"/>
  <c r="R686" i="3"/>
  <c r="J65" i="3"/>
  <c r="M64" i="3"/>
  <c r="F493" i="3"/>
  <c r="I492" i="3"/>
  <c r="R722" i="3"/>
  <c r="F621" i="3"/>
  <c r="F622" i="3"/>
  <c r="I620" i="3"/>
  <c r="P745" i="3"/>
  <c r="G623" i="3"/>
  <c r="G588" i="3"/>
  <c r="R438" i="3"/>
  <c r="Q745" i="3"/>
  <c r="G665" i="3"/>
  <c r="B728" i="3"/>
  <c r="B14" i="3" s="1"/>
  <c r="E14" i="3" s="1"/>
  <c r="E720" i="3"/>
  <c r="O748" i="3"/>
  <c r="K589" i="3"/>
  <c r="K578" i="3"/>
  <c r="Q831" i="3"/>
  <c r="Q807" i="3"/>
  <c r="H864" i="3"/>
  <c r="P831" i="3"/>
  <c r="P807" i="3"/>
  <c r="P746" i="3"/>
  <c r="H623" i="3"/>
  <c r="H588" i="3"/>
  <c r="R692" i="3"/>
  <c r="R61" i="3"/>
  <c r="N442" i="3"/>
  <c r="Q441" i="3"/>
  <c r="R706" i="3"/>
  <c r="E537" i="3"/>
  <c r="B538" i="3"/>
  <c r="P833" i="3"/>
  <c r="P809" i="3"/>
  <c r="B442" i="3"/>
  <c r="E441" i="3"/>
  <c r="R616" i="3"/>
  <c r="P830" i="3"/>
  <c r="P806" i="3"/>
  <c r="Q810" i="3"/>
  <c r="Q834" i="3"/>
  <c r="M244" i="3"/>
  <c r="J245" i="3"/>
  <c r="G728" i="3"/>
  <c r="G14" i="3" s="1"/>
  <c r="I720" i="3"/>
  <c r="B65" i="3"/>
  <c r="E64" i="3"/>
  <c r="N664" i="3"/>
  <c r="Q662" i="3"/>
  <c r="N663" i="3"/>
  <c r="R489" i="3"/>
  <c r="R620" i="3"/>
  <c r="N65" i="3"/>
  <c r="Q64" i="3"/>
  <c r="P752" i="3"/>
  <c r="P623" i="3"/>
  <c r="P588" i="3"/>
  <c r="J442" i="3"/>
  <c r="M441" i="3"/>
  <c r="O831" i="3"/>
  <c r="O807" i="3"/>
  <c r="J663" i="3"/>
  <c r="M662" i="3"/>
  <c r="J664" i="3"/>
  <c r="P747" i="3"/>
  <c r="J623" i="3"/>
  <c r="M622" i="3"/>
  <c r="R573" i="3"/>
  <c r="P743" i="3"/>
  <c r="D623" i="3"/>
  <c r="D588" i="3"/>
  <c r="N742" i="3"/>
  <c r="C579" i="3"/>
  <c r="C539" i="3"/>
  <c r="M576" i="3"/>
  <c r="J577" i="3"/>
  <c r="I357" i="3"/>
  <c r="R357" i="3" s="1"/>
  <c r="F358" i="3"/>
  <c r="N577" i="3"/>
  <c r="N578" i="3"/>
  <c r="N539" i="3" s="1"/>
  <c r="Q576" i="3"/>
  <c r="I64" i="3"/>
  <c r="F65" i="3"/>
  <c r="P741" i="3"/>
  <c r="E622" i="3"/>
  <c r="B623" i="3"/>
  <c r="R659" i="3"/>
  <c r="P750" i="3"/>
  <c r="Q622" i="3"/>
  <c r="N623" i="3"/>
  <c r="N588" i="3"/>
  <c r="Q744" i="3"/>
  <c r="F665" i="3"/>
  <c r="I664" i="3"/>
  <c r="N538" i="3"/>
  <c r="Q537" i="3"/>
  <c r="R726" i="3"/>
  <c r="E244" i="3"/>
  <c r="B245" i="3"/>
  <c r="E576" i="3"/>
  <c r="B577" i="3"/>
  <c r="Q751" i="3"/>
  <c r="O665" i="3"/>
  <c r="M749" i="3"/>
  <c r="L540" i="3"/>
  <c r="L504" i="3"/>
  <c r="J728" i="3"/>
  <c r="J14" i="3" s="1"/>
  <c r="M14" i="3" s="1"/>
  <c r="M720" i="3"/>
  <c r="M728" i="3" s="1"/>
  <c r="Q830" i="3"/>
  <c r="Q806" i="3"/>
  <c r="B663" i="3"/>
  <c r="B664" i="3"/>
  <c r="E662" i="3"/>
  <c r="N749" i="3"/>
  <c r="L579" i="3"/>
  <c r="Q828" i="3"/>
  <c r="Q804" i="3"/>
  <c r="R705" i="3"/>
  <c r="I724" i="3"/>
  <c r="R724" i="3" s="1"/>
  <c r="F728" i="3"/>
  <c r="F14" i="3" s="1"/>
  <c r="I14" i="3" s="1"/>
  <c r="R236" i="3"/>
  <c r="M537" i="3"/>
  <c r="J538" i="3"/>
  <c r="I576" i="3"/>
  <c r="F577" i="3"/>
  <c r="O824" i="3"/>
  <c r="O800" i="3"/>
  <c r="M769" i="2"/>
  <c r="P557" i="2"/>
  <c r="P521" i="2"/>
  <c r="M763" i="2"/>
  <c r="H557" i="2"/>
  <c r="H521" i="2"/>
  <c r="G682" i="2"/>
  <c r="Q762" i="2"/>
  <c r="I65" i="2"/>
  <c r="R65" i="2" s="1"/>
  <c r="F66" i="2"/>
  <c r="B462" i="2"/>
  <c r="E461" i="2"/>
  <c r="I681" i="2"/>
  <c r="Q761" i="2"/>
  <c r="F682" i="2"/>
  <c r="J510" i="2"/>
  <c r="M509" i="2"/>
  <c r="P845" i="2"/>
  <c r="P821" i="2"/>
  <c r="P762" i="2"/>
  <c r="G640" i="2"/>
  <c r="G605" i="2"/>
  <c r="E679" i="2"/>
  <c r="R679" i="2" s="1"/>
  <c r="B681" i="2"/>
  <c r="B680" i="2"/>
  <c r="R722" i="2"/>
  <c r="R741" i="2"/>
  <c r="I593" i="2"/>
  <c r="F594" i="2"/>
  <c r="Q845" i="2"/>
  <c r="Q821" i="2"/>
  <c r="R743" i="2"/>
  <c r="N462" i="2"/>
  <c r="Q461" i="2"/>
  <c r="F421" i="2"/>
  <c r="I420" i="2"/>
  <c r="O769" i="2"/>
  <c r="P606" i="2"/>
  <c r="R723" i="2"/>
  <c r="P759" i="2"/>
  <c r="C605" i="2"/>
  <c r="C640" i="2"/>
  <c r="D682" i="2"/>
  <c r="Q760" i="2"/>
  <c r="Q823" i="2"/>
  <c r="Q847" i="2"/>
  <c r="I554" i="2"/>
  <c r="F555" i="2"/>
  <c r="R590" i="2"/>
  <c r="R703" i="2"/>
  <c r="R417" i="2"/>
  <c r="P765" i="2"/>
  <c r="K640" i="2"/>
  <c r="K605" i="2"/>
  <c r="Q766" i="2"/>
  <c r="L682" i="2"/>
  <c r="L605" i="2"/>
  <c r="E593" i="2"/>
  <c r="B594" i="2"/>
  <c r="B595" i="2"/>
  <c r="B745" i="2"/>
  <c r="B14" i="2" s="1"/>
  <c r="E14" i="2" s="1"/>
  <c r="R14" i="2" s="1"/>
  <c r="E737" i="2"/>
  <c r="B421" i="2"/>
  <c r="E420" i="2"/>
  <c r="R420" i="2" s="1"/>
  <c r="F510" i="2"/>
  <c r="I509" i="2"/>
  <c r="R509" i="2" s="1"/>
  <c r="P768" i="2"/>
  <c r="O640" i="2"/>
  <c r="O605" i="2"/>
  <c r="Q851" i="2"/>
  <c r="Q827" i="2"/>
  <c r="N421" i="2"/>
  <c r="Q420" i="2"/>
  <c r="P851" i="2"/>
  <c r="P827" i="2"/>
  <c r="N66" i="2"/>
  <c r="Q65" i="2"/>
  <c r="J745" i="2"/>
  <c r="J14" i="2" s="1"/>
  <c r="M14" i="2" s="1"/>
  <c r="M737" i="2"/>
  <c r="M745" i="2" s="1"/>
  <c r="N639" i="2"/>
  <c r="N638" i="2"/>
  <c r="Q637" i="2"/>
  <c r="R709" i="2"/>
  <c r="Q767" i="2"/>
  <c r="Q681" i="2"/>
  <c r="N682" i="2"/>
  <c r="P848" i="2"/>
  <c r="P824" i="2"/>
  <c r="N763" i="2"/>
  <c r="H596" i="2"/>
  <c r="M375" i="2"/>
  <c r="R375" i="2" s="1"/>
  <c r="J376" i="2"/>
  <c r="G745" i="2"/>
  <c r="G14" i="2" s="1"/>
  <c r="I737" i="2"/>
  <c r="M679" i="2"/>
  <c r="J680" i="2"/>
  <c r="J681" i="2"/>
  <c r="R131" i="2"/>
  <c r="F462" i="2"/>
  <c r="I461" i="2"/>
  <c r="P758" i="2"/>
  <c r="B640" i="2"/>
  <c r="E639" i="2"/>
  <c r="B605" i="2"/>
  <c r="J462" i="2"/>
  <c r="M461" i="2"/>
  <c r="P760" i="2"/>
  <c r="D640" i="2"/>
  <c r="D605" i="2"/>
  <c r="O821" i="2"/>
  <c r="O845" i="2"/>
  <c r="Q850" i="2"/>
  <c r="Q826" i="2"/>
  <c r="N769" i="2"/>
  <c r="P596" i="2"/>
  <c r="F639" i="2"/>
  <c r="I637" i="2"/>
  <c r="R637" i="2" s="1"/>
  <c r="F638" i="2"/>
  <c r="M420" i="2"/>
  <c r="J421" i="2"/>
  <c r="Q737" i="2"/>
  <c r="Q745" i="2" s="1"/>
  <c r="Q759" i="2"/>
  <c r="C682" i="2"/>
  <c r="I723" i="2"/>
  <c r="I739" i="2"/>
  <c r="R739" i="2" s="1"/>
  <c r="F745" i="2"/>
  <c r="F14" i="2" s="1"/>
  <c r="I14" i="2" s="1"/>
  <c r="Q593" i="2"/>
  <c r="N594" i="2"/>
  <c r="J594" i="2"/>
  <c r="M593" i="2"/>
  <c r="Q554" i="2"/>
  <c r="N555" i="2"/>
  <c r="J640" i="2"/>
  <c r="P764" i="2"/>
  <c r="M639" i="2"/>
  <c r="R283" i="6" l="1"/>
  <c r="R726" i="6"/>
  <c r="R62" i="6"/>
  <c r="AK855" i="6"/>
  <c r="R514" i="7"/>
  <c r="R471" i="7"/>
  <c r="R275" i="7"/>
  <c r="R133" i="15"/>
  <c r="I940" i="15"/>
  <c r="R571" i="14"/>
  <c r="R918" i="14"/>
  <c r="R899" i="14"/>
  <c r="T899" i="14" s="1"/>
  <c r="AH1115" i="14"/>
  <c r="AH1084" i="13"/>
  <c r="AH994" i="7"/>
  <c r="AH1012" i="6"/>
  <c r="AH1046" i="11"/>
  <c r="O1015" i="14"/>
  <c r="O987" i="14"/>
  <c r="Q985" i="15"/>
  <c r="Q1013" i="15"/>
  <c r="M902" i="13"/>
  <c r="M910" i="13" s="1"/>
  <c r="J910" i="13"/>
  <c r="J13" i="13" s="1"/>
  <c r="M13" i="13" s="1"/>
  <c r="M517" i="15"/>
  <c r="J518" i="15"/>
  <c r="R1062" i="13"/>
  <c r="AQ1017" i="13"/>
  <c r="AQ982" i="13"/>
  <c r="Q1055" i="12"/>
  <c r="AP1010" i="12"/>
  <c r="AP975" i="12"/>
  <c r="Q1093" i="14"/>
  <c r="AP1048" i="14"/>
  <c r="AP1013" i="14"/>
  <c r="O1018" i="14"/>
  <c r="O990" i="14"/>
  <c r="N964" i="15"/>
  <c r="P780" i="15"/>
  <c r="P727" i="15"/>
  <c r="O925" i="11"/>
  <c r="O953" i="11"/>
  <c r="P990" i="15"/>
  <c r="P1018" i="15"/>
  <c r="P953" i="15"/>
  <c r="B824" i="15"/>
  <c r="E823" i="15"/>
  <c r="B789" i="15"/>
  <c r="I313" i="12"/>
  <c r="F314" i="12"/>
  <c r="O783" i="14"/>
  <c r="N964" i="14"/>
  <c r="O730" i="14"/>
  <c r="N963" i="14"/>
  <c r="N783" i="14"/>
  <c r="G752" i="12"/>
  <c r="O915" i="12"/>
  <c r="G741" i="12"/>
  <c r="N1012" i="15"/>
  <c r="N984" i="15"/>
  <c r="E877" i="14"/>
  <c r="B878" i="14"/>
  <c r="Q954" i="14"/>
  <c r="Q1014" i="15"/>
  <c r="Q986" i="15"/>
  <c r="Q983" i="15"/>
  <c r="Q1011" i="15"/>
  <c r="Q971" i="12"/>
  <c r="Q943" i="12"/>
  <c r="AO978" i="11"/>
  <c r="P1023" i="11"/>
  <c r="AO943" i="11"/>
  <c r="N329" i="14"/>
  <c r="Q328" i="14"/>
  <c r="Q1068" i="13"/>
  <c r="AP1023" i="13"/>
  <c r="AP988" i="13"/>
  <c r="Q990" i="15"/>
  <c r="Q1018" i="15"/>
  <c r="AR979" i="11"/>
  <c r="S1024" i="11"/>
  <c r="AR944" i="11"/>
  <c r="P1014" i="14"/>
  <c r="P986" i="14"/>
  <c r="R62" i="15"/>
  <c r="AG1123" i="14"/>
  <c r="AG1122" i="14"/>
  <c r="M520" i="14"/>
  <c r="J521" i="14"/>
  <c r="R305" i="12"/>
  <c r="R907" i="15"/>
  <c r="F940" i="15"/>
  <c r="F13" i="15" s="1"/>
  <c r="I13" i="15" s="1"/>
  <c r="F491" i="13"/>
  <c r="I490" i="13"/>
  <c r="J940" i="15"/>
  <c r="J13" i="15" s="1"/>
  <c r="M13" i="15" s="1"/>
  <c r="M932" i="15"/>
  <c r="M940" i="15" s="1"/>
  <c r="J834" i="12"/>
  <c r="M832" i="12"/>
  <c r="J833" i="12"/>
  <c r="R1050" i="12"/>
  <c r="AQ1005" i="12"/>
  <c r="AQ970" i="12"/>
  <c r="N896" i="11"/>
  <c r="P716" i="11"/>
  <c r="P667" i="11"/>
  <c r="I520" i="14"/>
  <c r="F521" i="14"/>
  <c r="S1065" i="13"/>
  <c r="AR985" i="13"/>
  <c r="AR1020" i="13"/>
  <c r="AQ1011" i="12"/>
  <c r="R1056" i="12"/>
  <c r="AQ976" i="12"/>
  <c r="O984" i="14"/>
  <c r="O1012" i="14"/>
  <c r="F726" i="15"/>
  <c r="I725" i="15"/>
  <c r="AK915" i="12"/>
  <c r="AP978" i="11"/>
  <c r="Q1023" i="11"/>
  <c r="AP943" i="11"/>
  <c r="P911" i="12"/>
  <c r="E785" i="12"/>
  <c r="B751" i="12"/>
  <c r="B786" i="12"/>
  <c r="P885" i="11"/>
  <c r="E759" i="11"/>
  <c r="B760" i="11"/>
  <c r="B725" i="11"/>
  <c r="AR976" i="12"/>
  <c r="S1056" i="12"/>
  <c r="AR1011" i="12"/>
  <c r="M984" i="15"/>
  <c r="M1012" i="15"/>
  <c r="O945" i="12"/>
  <c r="O973" i="12"/>
  <c r="AP981" i="11"/>
  <c r="Q1026" i="11"/>
  <c r="AP946" i="11"/>
  <c r="O979" i="12"/>
  <c r="O951" i="12"/>
  <c r="I316" i="13"/>
  <c r="F317" i="13"/>
  <c r="O960" i="15"/>
  <c r="K790" i="15"/>
  <c r="K779" i="15"/>
  <c r="AK889" i="11"/>
  <c r="K886" i="11"/>
  <c r="C622" i="11"/>
  <c r="C563" i="11"/>
  <c r="R875" i="12"/>
  <c r="P972" i="12"/>
  <c r="P944" i="12"/>
  <c r="L664" i="13"/>
  <c r="M931" i="13"/>
  <c r="L701" i="13"/>
  <c r="F484" i="12"/>
  <c r="I483" i="12"/>
  <c r="P992" i="15"/>
  <c r="P1020" i="15"/>
  <c r="P955" i="13"/>
  <c r="P983" i="13"/>
  <c r="C779" i="15"/>
  <c r="C778" i="15"/>
  <c r="E777" i="15"/>
  <c r="R777" i="15" s="1"/>
  <c r="M328" i="14"/>
  <c r="J329" i="14"/>
  <c r="N946" i="11"/>
  <c r="N918" i="11"/>
  <c r="Q949" i="11"/>
  <c r="Q921" i="11"/>
  <c r="M952" i="11"/>
  <c r="M924" i="11"/>
  <c r="E328" i="14"/>
  <c r="B329" i="14"/>
  <c r="AQ944" i="11"/>
  <c r="AQ979" i="11"/>
  <c r="R1024" i="11"/>
  <c r="P992" i="14"/>
  <c r="P1020" i="14"/>
  <c r="R806" i="11"/>
  <c r="R917" i="15"/>
  <c r="N947" i="12"/>
  <c r="N975" i="12"/>
  <c r="AP1022" i="13"/>
  <c r="Q1067" i="13"/>
  <c r="AP987" i="13"/>
  <c r="R299" i="11"/>
  <c r="E313" i="12"/>
  <c r="B314" i="12"/>
  <c r="R1068" i="13"/>
  <c r="AQ1023" i="13"/>
  <c r="AQ988" i="13"/>
  <c r="P920" i="12"/>
  <c r="Q785" i="12"/>
  <c r="N786" i="12"/>
  <c r="AR988" i="11"/>
  <c r="S1033" i="11"/>
  <c r="AR953" i="11"/>
  <c r="E520" i="14"/>
  <c r="B521" i="14"/>
  <c r="R138" i="14"/>
  <c r="R797" i="13"/>
  <c r="L918" i="12"/>
  <c r="K655" i="12"/>
  <c r="K644" i="12"/>
  <c r="N940" i="15"/>
  <c r="N13" i="15" s="1"/>
  <c r="Q13" i="15" s="1"/>
  <c r="Q932" i="15"/>
  <c r="Q940" i="15" s="1"/>
  <c r="D692" i="15"/>
  <c r="L955" i="15"/>
  <c r="D681" i="15"/>
  <c r="Q989" i="13"/>
  <c r="Q961" i="13"/>
  <c r="P989" i="13"/>
  <c r="P961" i="13"/>
  <c r="P958" i="13"/>
  <c r="P986" i="13"/>
  <c r="L895" i="11"/>
  <c r="O632" i="11"/>
  <c r="O621" i="11"/>
  <c r="Q959" i="15"/>
  <c r="J877" i="15"/>
  <c r="M876" i="15"/>
  <c r="J789" i="15"/>
  <c r="O954" i="14"/>
  <c r="B793" i="14"/>
  <c r="E792" i="14"/>
  <c r="B782" i="14"/>
  <c r="O993" i="15"/>
  <c r="O1021" i="15"/>
  <c r="J847" i="13"/>
  <c r="Q929" i="13"/>
  <c r="M846" i="13"/>
  <c r="J898" i="12"/>
  <c r="J13" i="12" s="1"/>
  <c r="M13" i="12" s="1"/>
  <c r="M890" i="12"/>
  <c r="M898" i="12" s="1"/>
  <c r="R1098" i="14"/>
  <c r="AQ1053" i="14"/>
  <c r="AQ1018" i="14"/>
  <c r="F518" i="15"/>
  <c r="I517" i="15"/>
  <c r="R1092" i="14"/>
  <c r="AQ1012" i="14"/>
  <c r="AQ1047" i="14"/>
  <c r="N960" i="13"/>
  <c r="N988" i="13"/>
  <c r="E872" i="11"/>
  <c r="R864" i="11"/>
  <c r="E13" i="13"/>
  <c r="O934" i="13"/>
  <c r="P764" i="13"/>
  <c r="P753" i="13"/>
  <c r="O954" i="15"/>
  <c r="C790" i="15"/>
  <c r="R320" i="14"/>
  <c r="R898" i="15"/>
  <c r="T898" i="15" s="1"/>
  <c r="H764" i="13"/>
  <c r="O928" i="13"/>
  <c r="H753" i="13"/>
  <c r="N922" i="12"/>
  <c r="P742" i="12"/>
  <c r="P690" i="12"/>
  <c r="O984" i="15"/>
  <c r="O1012" i="15"/>
  <c r="P1017" i="14"/>
  <c r="P989" i="14"/>
  <c r="M956" i="14"/>
  <c r="D731" i="14"/>
  <c r="D694" i="14"/>
  <c r="I307" i="11"/>
  <c r="F308" i="11"/>
  <c r="AR1021" i="14"/>
  <c r="AR1056" i="14"/>
  <c r="S1101" i="14"/>
  <c r="J317" i="13"/>
  <c r="M316" i="13"/>
  <c r="R316" i="13" s="1"/>
  <c r="R490" i="13"/>
  <c r="R515" i="14"/>
  <c r="M975" i="12"/>
  <c r="M947" i="12"/>
  <c r="R1027" i="11"/>
  <c r="AQ982" i="11"/>
  <c r="AQ947" i="11"/>
  <c r="S1095" i="14"/>
  <c r="AR1050" i="14"/>
  <c r="AR1015" i="14"/>
  <c r="Q980" i="13"/>
  <c r="Q936" i="13"/>
  <c r="Q952" i="13"/>
  <c r="G668" i="11"/>
  <c r="M889" i="11"/>
  <c r="G631" i="11"/>
  <c r="Q978" i="12"/>
  <c r="Q950" i="12"/>
  <c r="Q962" i="13"/>
  <c r="Q990" i="13"/>
  <c r="N833" i="12"/>
  <c r="N834" i="12"/>
  <c r="N751" i="12" s="1"/>
  <c r="Q832" i="12"/>
  <c r="R832" i="12" s="1"/>
  <c r="P936" i="13"/>
  <c r="P952" i="13"/>
  <c r="P980" i="13"/>
  <c r="Q958" i="15"/>
  <c r="H877" i="15"/>
  <c r="H789" i="15"/>
  <c r="L716" i="11"/>
  <c r="N893" i="11"/>
  <c r="L667" i="11"/>
  <c r="P1011" i="14"/>
  <c r="P967" i="14"/>
  <c r="P983" i="14"/>
  <c r="R1067" i="13"/>
  <c r="AQ1022" i="13"/>
  <c r="AQ987" i="13"/>
  <c r="M483" i="12"/>
  <c r="R483" i="12" s="1"/>
  <c r="J484" i="12"/>
  <c r="N324" i="15"/>
  <c r="Q323" i="15"/>
  <c r="Q868" i="11"/>
  <c r="Q872" i="11" s="1"/>
  <c r="O872" i="11"/>
  <c r="O13" i="11" s="1"/>
  <c r="Q13" i="11" s="1"/>
  <c r="J786" i="12"/>
  <c r="P917" i="12"/>
  <c r="M785" i="12"/>
  <c r="J751" i="12"/>
  <c r="R1096" i="14"/>
  <c r="AQ1016" i="14"/>
  <c r="AQ1051" i="14"/>
  <c r="P989" i="15"/>
  <c r="P1017" i="15"/>
  <c r="L943" i="11"/>
  <c r="L915" i="11"/>
  <c r="O484" i="12"/>
  <c r="Q483" i="12"/>
  <c r="S1032" i="11"/>
  <c r="AR987" i="11"/>
  <c r="AR952" i="11"/>
  <c r="Q988" i="14"/>
  <c r="Q1016" i="14"/>
  <c r="R682" i="14"/>
  <c r="L925" i="13"/>
  <c r="D665" i="13"/>
  <c r="D654" i="13"/>
  <c r="Q984" i="15"/>
  <c r="Q1012" i="15"/>
  <c r="N518" i="15"/>
  <c r="Q517" i="15"/>
  <c r="E910" i="13"/>
  <c r="Q911" i="12"/>
  <c r="B835" i="12"/>
  <c r="E834" i="12"/>
  <c r="N924" i="11"/>
  <c r="N952" i="11"/>
  <c r="AK958" i="14"/>
  <c r="E808" i="11"/>
  <c r="B809" i="11"/>
  <c r="Q885" i="11"/>
  <c r="B940" i="15"/>
  <c r="B13" i="15" s="1"/>
  <c r="E13" i="15" s="1"/>
  <c r="E932" i="15"/>
  <c r="O965" i="14"/>
  <c r="P793" i="14"/>
  <c r="P782" i="14"/>
  <c r="Q782" i="14" s="1"/>
  <c r="AQ952" i="11"/>
  <c r="R1032" i="11"/>
  <c r="AQ987" i="11"/>
  <c r="C764" i="13"/>
  <c r="O924" i="13"/>
  <c r="C753" i="13"/>
  <c r="N760" i="11"/>
  <c r="P894" i="11"/>
  <c r="Q759" i="11"/>
  <c r="N725" i="11"/>
  <c r="E517" i="15"/>
  <c r="R517" i="15" s="1"/>
  <c r="B518" i="15"/>
  <c r="F760" i="11"/>
  <c r="P888" i="11"/>
  <c r="I759" i="11"/>
  <c r="F725" i="11"/>
  <c r="P962" i="15"/>
  <c r="N824" i="15"/>
  <c r="Q823" i="15"/>
  <c r="N789" i="15"/>
  <c r="N919" i="12"/>
  <c r="L742" i="12"/>
  <c r="L690" i="12"/>
  <c r="M937" i="14"/>
  <c r="J941" i="14"/>
  <c r="J13" i="14" s="1"/>
  <c r="M13" i="14" s="1"/>
  <c r="AG1054" i="11"/>
  <c r="AG1053" i="11"/>
  <c r="S1068" i="13"/>
  <c r="AR988" i="13"/>
  <c r="AR1023" i="13"/>
  <c r="I785" i="12"/>
  <c r="F751" i="12"/>
  <c r="F786" i="12"/>
  <c r="P914" i="12"/>
  <c r="L930" i="13"/>
  <c r="K665" i="13"/>
  <c r="K654" i="13"/>
  <c r="M958" i="14"/>
  <c r="G731" i="14"/>
  <c r="G694" i="14"/>
  <c r="S1050" i="12"/>
  <c r="AR1005" i="12"/>
  <c r="AR970" i="12"/>
  <c r="H742" i="12"/>
  <c r="N916" i="12"/>
  <c r="H690" i="12"/>
  <c r="R1030" i="11"/>
  <c r="AQ985" i="11"/>
  <c r="AQ950" i="11"/>
  <c r="AP952" i="11"/>
  <c r="Q1032" i="11"/>
  <c r="AP987" i="11"/>
  <c r="AP1004" i="12"/>
  <c r="AP969" i="12"/>
  <c r="Q1049" i="12"/>
  <c r="Q957" i="14"/>
  <c r="I877" i="14"/>
  <c r="F878" i="14"/>
  <c r="S1030" i="11"/>
  <c r="AR985" i="11"/>
  <c r="AR950" i="11"/>
  <c r="O950" i="11"/>
  <c r="O922" i="11"/>
  <c r="O921" i="12"/>
  <c r="O752" i="12"/>
  <c r="O741" i="12"/>
  <c r="N726" i="15"/>
  <c r="Q725" i="15"/>
  <c r="R725" i="15" s="1"/>
  <c r="I890" i="12"/>
  <c r="I898" i="12" s="1"/>
  <c r="F898" i="12"/>
  <c r="F13" i="12" s="1"/>
  <c r="I13" i="12" s="1"/>
  <c r="R13" i="12" s="1"/>
  <c r="N913" i="12"/>
  <c r="D742" i="12"/>
  <c r="D690" i="12"/>
  <c r="M323" i="15"/>
  <c r="J324" i="15"/>
  <c r="O993" i="14"/>
  <c r="O1021" i="14"/>
  <c r="Q1062" i="13"/>
  <c r="AP1017" i="13"/>
  <c r="AP982" i="13"/>
  <c r="AO982" i="13"/>
  <c r="P1062" i="13"/>
  <c r="AO1017" i="13"/>
  <c r="N890" i="11"/>
  <c r="H716" i="11"/>
  <c r="H667" i="11"/>
  <c r="AR1017" i="13"/>
  <c r="AR982" i="13"/>
  <c r="S1062" i="13"/>
  <c r="G569" i="15"/>
  <c r="I568" i="15"/>
  <c r="R568" i="15" s="1"/>
  <c r="M954" i="13"/>
  <c r="M982" i="13"/>
  <c r="S1098" i="14"/>
  <c r="AR1018" i="14"/>
  <c r="AR1053" i="14"/>
  <c r="AR1070" i="12"/>
  <c r="AR1063" i="12"/>
  <c r="AR1061" i="12"/>
  <c r="AR1059" i="12"/>
  <c r="AR1057" i="12"/>
  <c r="AR1055" i="12"/>
  <c r="AR1068" i="12"/>
  <c r="AR1066" i="12"/>
  <c r="AR1053" i="12"/>
  <c r="AR1071" i="12"/>
  <c r="AR1069" i="12"/>
  <c r="AR1064" i="12"/>
  <c r="AR1062" i="12"/>
  <c r="AR1060" i="12"/>
  <c r="AR1058" i="12"/>
  <c r="AR1056" i="12"/>
  <c r="AR1067" i="12"/>
  <c r="AR1054" i="12"/>
  <c r="AR1052" i="12"/>
  <c r="AR1048" i="12"/>
  <c r="AR1049" i="12"/>
  <c r="AR1065" i="12"/>
  <c r="AR1050" i="12"/>
  <c r="AR1051" i="12"/>
  <c r="E323" i="15"/>
  <c r="R323" i="15" s="1"/>
  <c r="B324" i="15"/>
  <c r="D716" i="11"/>
  <c r="N887" i="11"/>
  <c r="D667" i="11"/>
  <c r="R642" i="12"/>
  <c r="J314" i="12"/>
  <c r="M313" i="12"/>
  <c r="Q307" i="11"/>
  <c r="N308" i="11"/>
  <c r="P963" i="13"/>
  <c r="P991" i="13"/>
  <c r="P983" i="15"/>
  <c r="P1011" i="15"/>
  <c r="K726" i="11"/>
  <c r="O892" i="11"/>
  <c r="K715" i="11"/>
  <c r="P985" i="13"/>
  <c r="P957" i="13"/>
  <c r="AR1047" i="14"/>
  <c r="S1092" i="14"/>
  <c r="AR1012" i="14"/>
  <c r="R512" i="15"/>
  <c r="N985" i="14"/>
  <c r="N1013" i="14"/>
  <c r="R679" i="15"/>
  <c r="Q316" i="13"/>
  <c r="N317" i="13"/>
  <c r="R839" i="11"/>
  <c r="AR1014" i="12"/>
  <c r="S1059" i="12"/>
  <c r="AR979" i="12"/>
  <c r="R1095" i="14"/>
  <c r="AQ1015" i="14"/>
  <c r="AQ1050" i="14"/>
  <c r="I933" i="14"/>
  <c r="I941" i="14" s="1"/>
  <c r="F941" i="14"/>
  <c r="F13" i="14" s="1"/>
  <c r="I13" i="14" s="1"/>
  <c r="L793" i="14"/>
  <c r="O962" i="14"/>
  <c r="L782" i="14"/>
  <c r="R1053" i="12"/>
  <c r="AQ1008" i="12"/>
  <c r="AQ973" i="12"/>
  <c r="M987" i="13"/>
  <c r="M959" i="13"/>
  <c r="N959" i="14"/>
  <c r="H783" i="14"/>
  <c r="H730" i="14"/>
  <c r="O963" i="15"/>
  <c r="O790" i="15"/>
  <c r="O779" i="15"/>
  <c r="R1049" i="12"/>
  <c r="AQ969" i="12"/>
  <c r="AQ1004" i="12"/>
  <c r="R826" i="14"/>
  <c r="J877" i="14"/>
  <c r="M875" i="14"/>
  <c r="R875" i="14" s="1"/>
  <c r="J876" i="14"/>
  <c r="H470" i="11"/>
  <c r="I469" i="11"/>
  <c r="R469" i="11" s="1"/>
  <c r="Q888" i="11"/>
  <c r="I808" i="11"/>
  <c r="F809" i="11"/>
  <c r="N912" i="12"/>
  <c r="C742" i="12"/>
  <c r="C690" i="12"/>
  <c r="O927" i="13"/>
  <c r="G764" i="13"/>
  <c r="G753" i="13"/>
  <c r="J308" i="11"/>
  <c r="M307" i="11"/>
  <c r="O932" i="13"/>
  <c r="N764" i="13"/>
  <c r="Q763" i="13"/>
  <c r="N753" i="13"/>
  <c r="Q313" i="12"/>
  <c r="N314" i="12"/>
  <c r="S1071" i="13"/>
  <c r="AR991" i="13"/>
  <c r="AR1026" i="13"/>
  <c r="N959" i="13"/>
  <c r="N987" i="13"/>
  <c r="N923" i="13"/>
  <c r="B754" i="13"/>
  <c r="E753" i="13"/>
  <c r="B700" i="13"/>
  <c r="J763" i="13"/>
  <c r="R315" i="15"/>
  <c r="M868" i="11"/>
  <c r="M872" i="11" s="1"/>
  <c r="J872" i="11"/>
  <c r="J13" i="11" s="1"/>
  <c r="M13" i="11" s="1"/>
  <c r="R13" i="11" s="1"/>
  <c r="S1061" i="13"/>
  <c r="AR981" i="13"/>
  <c r="AR1016" i="13"/>
  <c r="Q989" i="15"/>
  <c r="Q1017" i="15"/>
  <c r="P949" i="11"/>
  <c r="P921" i="11"/>
  <c r="F910" i="13"/>
  <c r="F13" i="13" s="1"/>
  <c r="I13" i="13" s="1"/>
  <c r="I902" i="13"/>
  <c r="I910" i="13" s="1"/>
  <c r="Q1022" i="14"/>
  <c r="Q994" i="14"/>
  <c r="N910" i="13"/>
  <c r="N13" i="13" s="1"/>
  <c r="Q13" i="13" s="1"/>
  <c r="Q902" i="13"/>
  <c r="Q910" i="13" s="1"/>
  <c r="Q982" i="15"/>
  <c r="Q1010" i="15"/>
  <c r="Q966" i="15"/>
  <c r="P981" i="13"/>
  <c r="P953" i="13"/>
  <c r="Q933" i="14"/>
  <c r="Q941" i="14" s="1"/>
  <c r="N941" i="14"/>
  <c r="N13" i="14" s="1"/>
  <c r="Q13" i="14" s="1"/>
  <c r="F329" i="14"/>
  <c r="I328" i="14"/>
  <c r="O933" i="13"/>
  <c r="O764" i="13"/>
  <c r="O753" i="13"/>
  <c r="AQ981" i="11"/>
  <c r="R1026" i="11"/>
  <c r="AQ946" i="11"/>
  <c r="R868" i="11"/>
  <c r="E941" i="14"/>
  <c r="R933" i="14"/>
  <c r="O948" i="12"/>
  <c r="O976" i="12"/>
  <c r="Q983" i="13"/>
  <c r="Q955" i="13"/>
  <c r="M759" i="11"/>
  <c r="P891" i="11"/>
  <c r="J760" i="11"/>
  <c r="J725" i="11"/>
  <c r="R665" i="11"/>
  <c r="N1015" i="14"/>
  <c r="N987" i="14"/>
  <c r="AQ1013" i="12"/>
  <c r="R1058" i="12"/>
  <c r="AQ978" i="12"/>
  <c r="AN978" i="11"/>
  <c r="O1023" i="11"/>
  <c r="AN943" i="11"/>
  <c r="R890" i="12"/>
  <c r="R898" i="12" s="1"/>
  <c r="E898" i="12"/>
  <c r="K783" i="14"/>
  <c r="N961" i="14"/>
  <c r="K730" i="14"/>
  <c r="I876" i="15"/>
  <c r="R876" i="15" s="1"/>
  <c r="AQ1014" i="12"/>
  <c r="R1059" i="12"/>
  <c r="AQ979" i="12"/>
  <c r="O961" i="15"/>
  <c r="L790" i="15"/>
  <c r="L779" i="15"/>
  <c r="O970" i="12"/>
  <c r="O942" i="12"/>
  <c r="Q984" i="13"/>
  <c r="Q956" i="13"/>
  <c r="R846" i="13"/>
  <c r="AQ978" i="11"/>
  <c r="R1023" i="11"/>
  <c r="AQ943" i="11"/>
  <c r="Q972" i="12"/>
  <c r="Q944" i="12"/>
  <c r="O947" i="11"/>
  <c r="O919" i="11"/>
  <c r="R619" i="11"/>
  <c r="F824" i="15"/>
  <c r="P956" i="15"/>
  <c r="I823" i="15"/>
  <c r="F789" i="15"/>
  <c r="O926" i="13"/>
  <c r="I763" i="13"/>
  <c r="F764" i="13"/>
  <c r="F753" i="13"/>
  <c r="O957" i="15"/>
  <c r="G790" i="15"/>
  <c r="G779" i="15"/>
  <c r="S1023" i="11"/>
  <c r="AR943" i="11"/>
  <c r="AR978" i="11"/>
  <c r="O944" i="11"/>
  <c r="O916" i="11"/>
  <c r="Q920" i="11"/>
  <c r="Q948" i="11"/>
  <c r="AG1092" i="13"/>
  <c r="AG1091" i="13"/>
  <c r="R517" i="11"/>
  <c r="O963" i="14"/>
  <c r="N793" i="14"/>
  <c r="Q792" i="14"/>
  <c r="N521" i="14"/>
  <c r="Q520" i="14"/>
  <c r="N955" i="14"/>
  <c r="C783" i="14"/>
  <c r="C730" i="14"/>
  <c r="F792" i="14"/>
  <c r="N809" i="11"/>
  <c r="Q894" i="11"/>
  <c r="Q808" i="11"/>
  <c r="Q963" i="14"/>
  <c r="Q877" i="14"/>
  <c r="N878" i="14"/>
  <c r="N730" i="14"/>
  <c r="P1019" i="14"/>
  <c r="P991" i="14"/>
  <c r="E763" i="13"/>
  <c r="B764" i="13"/>
  <c r="O923" i="13"/>
  <c r="O988" i="14"/>
  <c r="O1016" i="14"/>
  <c r="M692" i="6"/>
  <c r="O857" i="6"/>
  <c r="J693" i="6"/>
  <c r="J682" i="6"/>
  <c r="Q644" i="9"/>
  <c r="O812" i="9"/>
  <c r="N645" i="9"/>
  <c r="N634" i="9"/>
  <c r="Q674" i="7"/>
  <c r="O842" i="7"/>
  <c r="N675" i="7"/>
  <c r="N664" i="7"/>
  <c r="P908" i="6"/>
  <c r="P864" i="6"/>
  <c r="P880" i="6"/>
  <c r="R684" i="8"/>
  <c r="R980" i="7"/>
  <c r="AQ935" i="7"/>
  <c r="AQ900" i="7"/>
  <c r="N777" i="10"/>
  <c r="G607" i="10"/>
  <c r="G563" i="10"/>
  <c r="K675" i="7"/>
  <c r="O840" i="7"/>
  <c r="K664" i="7"/>
  <c r="N866" i="10"/>
  <c r="N842" i="10"/>
  <c r="M780" i="9"/>
  <c r="M788" i="9" s="1"/>
  <c r="J788" i="9"/>
  <c r="J13" i="9" s="1"/>
  <c r="J760" i="10"/>
  <c r="J14" i="10" s="1"/>
  <c r="M14" i="10" s="1"/>
  <c r="M752" i="10"/>
  <c r="M760" i="10" s="1"/>
  <c r="P872" i="8"/>
  <c r="P844" i="8"/>
  <c r="P816" i="8"/>
  <c r="J687" i="8"/>
  <c r="M686" i="8"/>
  <c r="J652" i="8"/>
  <c r="Q888" i="6"/>
  <c r="Q916" i="6"/>
  <c r="O774" i="10"/>
  <c r="C617" i="10"/>
  <c r="C606" i="10"/>
  <c r="O860" i="6"/>
  <c r="N693" i="6"/>
  <c r="Q692" i="6"/>
  <c r="N682" i="6"/>
  <c r="AP927" i="7"/>
  <c r="AP892" i="7"/>
  <c r="Q972" i="7"/>
  <c r="Q890" i="7"/>
  <c r="Q862" i="7"/>
  <c r="E820" i="7"/>
  <c r="P869" i="9"/>
  <c r="Q949" i="9" s="1"/>
  <c r="P843" i="9"/>
  <c r="R706" i="7"/>
  <c r="AR900" i="7"/>
  <c r="AR935" i="7"/>
  <c r="S980" i="7"/>
  <c r="R774" i="8"/>
  <c r="N818" i="8"/>
  <c r="L598" i="8"/>
  <c r="L643" i="8"/>
  <c r="L838" i="7"/>
  <c r="H583" i="7"/>
  <c r="H572" i="7"/>
  <c r="R737" i="10"/>
  <c r="Q980" i="7"/>
  <c r="AP935" i="7"/>
  <c r="AP900" i="7"/>
  <c r="P810" i="8"/>
  <c r="B687" i="8"/>
  <c r="E686" i="8"/>
  <c r="B652" i="8"/>
  <c r="I377" i="10"/>
  <c r="R377" i="10" s="1"/>
  <c r="F378" i="10"/>
  <c r="P869" i="7"/>
  <c r="P897" i="7"/>
  <c r="AR929" i="7"/>
  <c r="AR894" i="7"/>
  <c r="S974" i="7"/>
  <c r="O821" i="8"/>
  <c r="P653" i="8"/>
  <c r="P642" i="8"/>
  <c r="R789" i="8"/>
  <c r="R797" i="8" s="1"/>
  <c r="J292" i="6"/>
  <c r="M291" i="6"/>
  <c r="Q993" i="6"/>
  <c r="AP948" i="6"/>
  <c r="AP913" i="6"/>
  <c r="E13" i="9"/>
  <c r="D693" i="6"/>
  <c r="O853" i="6"/>
  <c r="D682" i="6"/>
  <c r="L835" i="7"/>
  <c r="D583" i="7"/>
  <c r="D572" i="7"/>
  <c r="O866" i="10"/>
  <c r="O842" i="10"/>
  <c r="O869" i="8"/>
  <c r="O841" i="8"/>
  <c r="P856" i="10"/>
  <c r="P832" i="10"/>
  <c r="N775" i="10"/>
  <c r="D607" i="10"/>
  <c r="D563" i="10"/>
  <c r="O834" i="7"/>
  <c r="C675" i="7"/>
  <c r="C664" i="7"/>
  <c r="M820" i="8"/>
  <c r="O599" i="8"/>
  <c r="O562" i="8"/>
  <c r="J838" i="6"/>
  <c r="J13" i="6" s="1"/>
  <c r="M13" i="6" s="1"/>
  <c r="M830" i="6"/>
  <c r="M838" i="6" s="1"/>
  <c r="R424" i="7"/>
  <c r="Q806" i="9"/>
  <c r="I724" i="9"/>
  <c r="F725" i="9"/>
  <c r="P819" i="8"/>
  <c r="N687" i="8"/>
  <c r="Q686" i="8"/>
  <c r="N652" i="8"/>
  <c r="P833" i="7"/>
  <c r="E708" i="7"/>
  <c r="B709" i="7"/>
  <c r="B674" i="7"/>
  <c r="M862" i="6"/>
  <c r="P636" i="6"/>
  <c r="P599" i="6"/>
  <c r="P883" i="6"/>
  <c r="P911" i="6"/>
  <c r="R13" i="8"/>
  <c r="T13" i="8" s="1"/>
  <c r="AQ927" i="7"/>
  <c r="AQ892" i="7"/>
  <c r="R972" i="7"/>
  <c r="J757" i="7"/>
  <c r="Q839" i="7"/>
  <c r="M756" i="7"/>
  <c r="O859" i="10"/>
  <c r="O835" i="10"/>
  <c r="O780" i="10"/>
  <c r="K617" i="10"/>
  <c r="K606" i="10"/>
  <c r="M606" i="10" s="1"/>
  <c r="G683" i="6"/>
  <c r="N855" i="6"/>
  <c r="G635" i="6"/>
  <c r="P776" i="10"/>
  <c r="F651" i="10"/>
  <c r="I650" i="10"/>
  <c r="F616" i="10"/>
  <c r="O861" i="6"/>
  <c r="O693" i="6"/>
  <c r="O682" i="6"/>
  <c r="R128" i="6"/>
  <c r="R949" i="8"/>
  <c r="AQ869" i="8"/>
  <c r="AQ904" i="8"/>
  <c r="E788" i="9"/>
  <c r="J543" i="9"/>
  <c r="M542" i="9"/>
  <c r="R542" i="9" s="1"/>
  <c r="O806" i="9"/>
  <c r="I644" i="9"/>
  <c r="F645" i="9"/>
  <c r="P867" i="9"/>
  <c r="Q947" i="9" s="1"/>
  <c r="P841" i="9"/>
  <c r="R455" i="8"/>
  <c r="R948" i="8"/>
  <c r="AQ868" i="8"/>
  <c r="AQ903" i="8"/>
  <c r="P782" i="10"/>
  <c r="N651" i="10"/>
  <c r="N616" i="10"/>
  <c r="Q650" i="10"/>
  <c r="Q724" i="9"/>
  <c r="Q812" i="9"/>
  <c r="N725" i="9"/>
  <c r="R489" i="9"/>
  <c r="O857" i="10"/>
  <c r="O833" i="10"/>
  <c r="Q13" i="9"/>
  <c r="F734" i="8"/>
  <c r="Q813" i="8"/>
  <c r="I733" i="8"/>
  <c r="R463" i="10"/>
  <c r="S999" i="6"/>
  <c r="AR919" i="6"/>
  <c r="AR954" i="6"/>
  <c r="S993" i="6"/>
  <c r="AR913" i="6"/>
  <c r="AR948" i="6"/>
  <c r="Q999" i="6"/>
  <c r="AP919" i="6"/>
  <c r="AP954" i="6"/>
  <c r="S992" i="6"/>
  <c r="AR912" i="6"/>
  <c r="AR947" i="6"/>
  <c r="O915" i="6"/>
  <c r="O887" i="6"/>
  <c r="P861" i="10"/>
  <c r="P837" i="10"/>
  <c r="R974" i="7"/>
  <c r="AQ929" i="7"/>
  <c r="AQ894" i="7"/>
  <c r="P813" i="8"/>
  <c r="I686" i="8"/>
  <c r="F687" i="8"/>
  <c r="F652" i="8"/>
  <c r="O847" i="8"/>
  <c r="O875" i="8"/>
  <c r="M867" i="7"/>
  <c r="M895" i="7"/>
  <c r="Q975" i="7"/>
  <c r="AP930" i="7"/>
  <c r="AP895" i="7"/>
  <c r="Q819" i="8"/>
  <c r="N734" i="8"/>
  <c r="Q733" i="8"/>
  <c r="R604" i="10"/>
  <c r="O841" i="7"/>
  <c r="L675" i="7"/>
  <c r="L664" i="7"/>
  <c r="Q890" i="6"/>
  <c r="Q918" i="6"/>
  <c r="P878" i="8"/>
  <c r="P850" i="8"/>
  <c r="M843" i="7"/>
  <c r="O619" i="7"/>
  <c r="O582" i="7"/>
  <c r="I737" i="10"/>
  <c r="N814" i="8"/>
  <c r="G643" i="8"/>
  <c r="G598" i="8"/>
  <c r="AQ1011" i="6"/>
  <c r="AQ1009" i="6"/>
  <c r="AQ1004" i="6"/>
  <c r="AQ1002" i="6"/>
  <c r="AQ1000" i="6"/>
  <c r="AQ995" i="6"/>
  <c r="AQ989" i="6"/>
  <c r="AQ1007" i="6"/>
  <c r="AQ996" i="6"/>
  <c r="AQ1005" i="6"/>
  <c r="AQ997" i="6"/>
  <c r="AQ993" i="6"/>
  <c r="AQ991" i="6"/>
  <c r="AQ998" i="6"/>
  <c r="AQ992" i="6"/>
  <c r="AQ1010" i="6"/>
  <c r="AQ1003" i="6"/>
  <c r="AQ1001" i="6"/>
  <c r="AQ999" i="6"/>
  <c r="AQ1008" i="6"/>
  <c r="AQ1006" i="6"/>
  <c r="AQ994" i="6"/>
  <c r="AQ988" i="6"/>
  <c r="AQ990" i="6"/>
  <c r="Q882" i="6"/>
  <c r="Q910" i="6"/>
  <c r="L813" i="9"/>
  <c r="O555" i="9"/>
  <c r="O544" i="9"/>
  <c r="Q842" i="10"/>
  <c r="Q866" i="10"/>
  <c r="R772" i="6"/>
  <c r="O877" i="8"/>
  <c r="O849" i="8"/>
  <c r="R797" i="7"/>
  <c r="P917" i="6"/>
  <c r="P889" i="6"/>
  <c r="Q868" i="8"/>
  <c r="Q840" i="8"/>
  <c r="R975" i="7"/>
  <c r="AQ930" i="7"/>
  <c r="AQ895" i="7"/>
  <c r="Q866" i="9"/>
  <c r="R946" i="9" s="1"/>
  <c r="Q840" i="9"/>
  <c r="F634" i="9"/>
  <c r="AK814" i="8"/>
  <c r="P891" i="7"/>
  <c r="P863" i="7"/>
  <c r="N877" i="8"/>
  <c r="N849" i="8"/>
  <c r="AR910" i="8"/>
  <c r="AR875" i="8"/>
  <c r="S955" i="8"/>
  <c r="K645" i="9"/>
  <c r="O810" i="9"/>
  <c r="K634" i="9"/>
  <c r="O778" i="10"/>
  <c r="H617" i="10"/>
  <c r="H606" i="10"/>
  <c r="N891" i="6"/>
  <c r="N919" i="6"/>
  <c r="J820" i="7"/>
  <c r="J13" i="7" s="1"/>
  <c r="M13" i="7" s="1"/>
  <c r="O993" i="6"/>
  <c r="AN913" i="6"/>
  <c r="AN948" i="6"/>
  <c r="Q917" i="6"/>
  <c r="Q889" i="6"/>
  <c r="O909" i="6"/>
  <c r="O881" i="6"/>
  <c r="S952" i="8"/>
  <c r="AR907" i="8"/>
  <c r="AR872" i="8"/>
  <c r="Q838" i="9"/>
  <c r="Q864" i="9"/>
  <c r="R944" i="9" s="1"/>
  <c r="AK837" i="7"/>
  <c r="E273" i="8"/>
  <c r="R273" i="8" s="1"/>
  <c r="B274" i="8"/>
  <c r="N811" i="8"/>
  <c r="C643" i="8"/>
  <c r="C598" i="8"/>
  <c r="K856" i="6"/>
  <c r="H590" i="6"/>
  <c r="H534" i="6"/>
  <c r="M783" i="10"/>
  <c r="O564" i="10"/>
  <c r="O528" i="10"/>
  <c r="E441" i="6"/>
  <c r="B442" i="6"/>
  <c r="N837" i="7"/>
  <c r="G665" i="7"/>
  <c r="G618" i="7"/>
  <c r="P862" i="10"/>
  <c r="P838" i="10"/>
  <c r="O804" i="9"/>
  <c r="C645" i="9"/>
  <c r="C634" i="9"/>
  <c r="O912" i="6"/>
  <c r="O884" i="6"/>
  <c r="P886" i="6"/>
  <c r="P914" i="6"/>
  <c r="O836" i="7"/>
  <c r="I674" i="7"/>
  <c r="F675" i="7"/>
  <c r="F664" i="7"/>
  <c r="Q851" i="6"/>
  <c r="E774" i="6"/>
  <c r="B775" i="6"/>
  <c r="C636" i="6"/>
  <c r="M852" i="6"/>
  <c r="C599" i="6"/>
  <c r="N887" i="6"/>
  <c r="N915" i="6"/>
  <c r="AQ951" i="6"/>
  <c r="R996" i="6"/>
  <c r="AQ916" i="6"/>
  <c r="O817" i="8"/>
  <c r="K653" i="8"/>
  <c r="K642" i="8"/>
  <c r="P839" i="9"/>
  <c r="P865" i="9"/>
  <c r="Q945" i="9" s="1"/>
  <c r="R408" i="8"/>
  <c r="K600" i="6"/>
  <c r="L858" i="6"/>
  <c r="K589" i="6"/>
  <c r="G635" i="9"/>
  <c r="N807" i="9"/>
  <c r="G590" i="9"/>
  <c r="R497" i="8"/>
  <c r="P860" i="10"/>
  <c r="P836" i="10"/>
  <c r="R694" i="10"/>
  <c r="I441" i="6"/>
  <c r="F442" i="6"/>
  <c r="M820" i="7"/>
  <c r="R648" i="10"/>
  <c r="N779" i="10"/>
  <c r="J607" i="10"/>
  <c r="R992" i="6"/>
  <c r="AQ947" i="6"/>
  <c r="AQ912" i="6"/>
  <c r="S951" i="8"/>
  <c r="AR906" i="8"/>
  <c r="AR871" i="8"/>
  <c r="P803" i="9"/>
  <c r="B679" i="9"/>
  <c r="E678" i="9"/>
  <c r="B644" i="9"/>
  <c r="O894" i="7"/>
  <c r="O866" i="7"/>
  <c r="P859" i="9"/>
  <c r="Q939" i="9" s="1"/>
  <c r="P833" i="9"/>
  <c r="P870" i="7"/>
  <c r="P898" i="7"/>
  <c r="R128" i="9"/>
  <c r="O808" i="9"/>
  <c r="H645" i="9"/>
  <c r="H634" i="9"/>
  <c r="N900" i="7"/>
  <c r="N872" i="7"/>
  <c r="P899" i="7"/>
  <c r="P871" i="7"/>
  <c r="I756" i="10"/>
  <c r="R756" i="10" s="1"/>
  <c r="F760" i="10"/>
  <c r="F14" i="10" s="1"/>
  <c r="O871" i="8"/>
  <c r="O843" i="8"/>
  <c r="J562" i="10"/>
  <c r="M561" i="10"/>
  <c r="R561" i="10" s="1"/>
  <c r="J563" i="10"/>
  <c r="P861" i="9"/>
  <c r="Q941" i="9" s="1"/>
  <c r="P835" i="9"/>
  <c r="M842" i="9"/>
  <c r="M868" i="9"/>
  <c r="N948" i="9" s="1"/>
  <c r="R815" i="6"/>
  <c r="AR990" i="7"/>
  <c r="AR988" i="7"/>
  <c r="AR970" i="7"/>
  <c r="AR993" i="7"/>
  <c r="AR991" i="7"/>
  <c r="AR986" i="7"/>
  <c r="AR984" i="7"/>
  <c r="AR982" i="7"/>
  <c r="AR977" i="7"/>
  <c r="AR971" i="7"/>
  <c r="AR989" i="7"/>
  <c r="AR978" i="7"/>
  <c r="AR976" i="7"/>
  <c r="AR972" i="7"/>
  <c r="AR987" i="7"/>
  <c r="AR979" i="7"/>
  <c r="AR975" i="7"/>
  <c r="AR973" i="7"/>
  <c r="AR980" i="7"/>
  <c r="AR974" i="7"/>
  <c r="AR983" i="7"/>
  <c r="AR985" i="7"/>
  <c r="AR981" i="7"/>
  <c r="AR992" i="7"/>
  <c r="H760" i="10"/>
  <c r="H14" i="10" s="1"/>
  <c r="I752" i="10"/>
  <c r="Q782" i="10"/>
  <c r="Q696" i="10"/>
  <c r="N697" i="10"/>
  <c r="N909" i="6"/>
  <c r="N881" i="6"/>
  <c r="S958" i="8"/>
  <c r="AR913" i="8"/>
  <c r="AR878" i="8"/>
  <c r="O844" i="7"/>
  <c r="P675" i="7"/>
  <c r="P664" i="7"/>
  <c r="Q874" i="8"/>
  <c r="Q846" i="8"/>
  <c r="O781" i="10"/>
  <c r="L617" i="10"/>
  <c r="L606" i="10"/>
  <c r="R722" i="9"/>
  <c r="M915" i="6"/>
  <c r="M887" i="6"/>
  <c r="AQ910" i="8"/>
  <c r="AQ875" i="8"/>
  <c r="R955" i="8"/>
  <c r="I696" i="10"/>
  <c r="R696" i="10" s="1"/>
  <c r="F697" i="10"/>
  <c r="Q776" i="10"/>
  <c r="P773" i="10"/>
  <c r="E650" i="10"/>
  <c r="R650" i="10" s="1"/>
  <c r="B651" i="10"/>
  <c r="B616" i="10"/>
  <c r="I291" i="6"/>
  <c r="R291" i="6" s="1"/>
  <c r="F292" i="6"/>
  <c r="AQ950" i="6"/>
  <c r="R995" i="6"/>
  <c r="AQ915" i="6"/>
  <c r="N811" i="9"/>
  <c r="L635" i="9"/>
  <c r="L590" i="9"/>
  <c r="O868" i="8"/>
  <c r="O840" i="8"/>
  <c r="L885" i="6"/>
  <c r="L913" i="6"/>
  <c r="B760" i="10"/>
  <c r="B14" i="10" s="1"/>
  <c r="E14" i="10" s="1"/>
  <c r="E752" i="10"/>
  <c r="E692" i="6"/>
  <c r="R692" i="6" s="1"/>
  <c r="B693" i="6"/>
  <c r="O851" i="6"/>
  <c r="B682" i="6"/>
  <c r="N865" i="10"/>
  <c r="N841" i="10"/>
  <c r="R951" i="8"/>
  <c r="AQ906" i="8"/>
  <c r="AQ871" i="8"/>
  <c r="M784" i="10"/>
  <c r="P564" i="10"/>
  <c r="P528" i="10"/>
  <c r="AQ954" i="6"/>
  <c r="R999" i="6"/>
  <c r="AQ919" i="6"/>
  <c r="N895" i="7"/>
  <c r="N867" i="7"/>
  <c r="I13" i="9"/>
  <c r="Q837" i="9"/>
  <c r="Q863" i="9"/>
  <c r="R943" i="9" s="1"/>
  <c r="J709" i="7"/>
  <c r="M708" i="7"/>
  <c r="P839" i="7"/>
  <c r="J674" i="7"/>
  <c r="O815" i="8"/>
  <c r="H653" i="8"/>
  <c r="H642" i="8"/>
  <c r="AR915" i="6"/>
  <c r="S995" i="6"/>
  <c r="AR950" i="6"/>
  <c r="P893" i="7"/>
  <c r="P865" i="7"/>
  <c r="O859" i="6"/>
  <c r="L693" i="6"/>
  <c r="L682" i="6"/>
  <c r="E248" i="10"/>
  <c r="R248" i="10" s="1"/>
  <c r="B249" i="10"/>
  <c r="B284" i="7"/>
  <c r="E283" i="7"/>
  <c r="AO913" i="6"/>
  <c r="AO948" i="6"/>
  <c r="P993" i="6"/>
  <c r="S949" i="8"/>
  <c r="AR904" i="8"/>
  <c r="AR869" i="8"/>
  <c r="Q873" i="7"/>
  <c r="Q901" i="7"/>
  <c r="AQ936" i="7"/>
  <c r="R981" i="7"/>
  <c r="AQ901" i="7"/>
  <c r="P809" i="9"/>
  <c r="J679" i="9"/>
  <c r="M678" i="9"/>
  <c r="J644" i="9"/>
  <c r="AQ944" i="6"/>
  <c r="AQ909" i="6"/>
  <c r="R989" i="6"/>
  <c r="D725" i="9"/>
  <c r="Q805" i="9"/>
  <c r="E724" i="9"/>
  <c r="D644" i="9"/>
  <c r="O862" i="9"/>
  <c r="P942" i="9" s="1"/>
  <c r="O836" i="9"/>
  <c r="AR930" i="7"/>
  <c r="AR895" i="7"/>
  <c r="S975" i="7"/>
  <c r="Q870" i="7"/>
  <c r="Q898" i="7"/>
  <c r="J284" i="7"/>
  <c r="M283" i="7"/>
  <c r="Q812" i="7"/>
  <c r="Q820" i="7" s="1"/>
  <c r="N820" i="7"/>
  <c r="N13" i="7" s="1"/>
  <c r="Q13" i="7" s="1"/>
  <c r="R731" i="8"/>
  <c r="O840" i="9"/>
  <c r="O866" i="9"/>
  <c r="P946" i="9" s="1"/>
  <c r="Q911" i="6"/>
  <c r="Q883" i="6"/>
  <c r="Q291" i="6"/>
  <c r="N292" i="6"/>
  <c r="J775" i="6"/>
  <c r="Q857" i="6"/>
  <c r="M774" i="6"/>
  <c r="P972" i="7"/>
  <c r="AO927" i="7"/>
  <c r="AO892" i="7"/>
  <c r="R957" i="8"/>
  <c r="AQ877" i="8"/>
  <c r="AQ912" i="8"/>
  <c r="M864" i="7"/>
  <c r="M892" i="7"/>
  <c r="B838" i="6"/>
  <c r="B13" i="6" s="1"/>
  <c r="E13" i="6" s="1"/>
  <c r="R13" i="6" s="1"/>
  <c r="E830" i="6"/>
  <c r="N812" i="8"/>
  <c r="D643" i="8"/>
  <c r="D598" i="8"/>
  <c r="Q842" i="7"/>
  <c r="Q756" i="7"/>
  <c r="N757" i="7"/>
  <c r="R550" i="8"/>
  <c r="R13" i="7"/>
  <c r="O814" i="9"/>
  <c r="P645" i="9"/>
  <c r="P634" i="9"/>
  <c r="P863" i="10"/>
  <c r="P839" i="10"/>
  <c r="Q873" i="8"/>
  <c r="Q845" i="8"/>
  <c r="I268" i="9"/>
  <c r="R268" i="9" s="1"/>
  <c r="F269" i="9"/>
  <c r="F693" i="6"/>
  <c r="I692" i="6"/>
  <c r="O854" i="6"/>
  <c r="F682" i="6"/>
  <c r="O779" i="10"/>
  <c r="M616" i="10"/>
  <c r="J617" i="10"/>
  <c r="Q869" i="7"/>
  <c r="Q897" i="7"/>
  <c r="I756" i="7"/>
  <c r="F757" i="7"/>
  <c r="Q836" i="7"/>
  <c r="Q810" i="8"/>
  <c r="E733" i="8"/>
  <c r="R733" i="8" s="1"/>
  <c r="B734" i="8"/>
  <c r="N761" i="5"/>
  <c r="B599" i="5"/>
  <c r="E598" i="5"/>
  <c r="B557" i="5"/>
  <c r="O770" i="5"/>
  <c r="N609" i="5"/>
  <c r="Q608" i="5"/>
  <c r="N598" i="5"/>
  <c r="P373" i="5"/>
  <c r="Q372" i="5"/>
  <c r="P249" i="5"/>
  <c r="Q248" i="5"/>
  <c r="R248" i="5" s="1"/>
  <c r="O771" i="5"/>
  <c r="O609" i="5"/>
  <c r="O598" i="5"/>
  <c r="R14" i="5"/>
  <c r="R417" i="5"/>
  <c r="E685" i="5"/>
  <c r="B686" i="5"/>
  <c r="Q761" i="5"/>
  <c r="P829" i="5"/>
  <c r="P853" i="5"/>
  <c r="O767" i="5"/>
  <c r="M608" i="5"/>
  <c r="J609" i="5"/>
  <c r="J598" i="5"/>
  <c r="O769" i="5"/>
  <c r="L609" i="5"/>
  <c r="L598" i="5"/>
  <c r="M762" i="5"/>
  <c r="C558" i="5"/>
  <c r="C522" i="5"/>
  <c r="N763" i="5"/>
  <c r="D599" i="5"/>
  <c r="D557" i="5"/>
  <c r="O765" i="5"/>
  <c r="G609" i="5"/>
  <c r="G598" i="5"/>
  <c r="P849" i="5"/>
  <c r="P825" i="5"/>
  <c r="P851" i="5"/>
  <c r="P827" i="5"/>
  <c r="E748" i="5"/>
  <c r="R740" i="5"/>
  <c r="R748" i="5" s="1"/>
  <c r="Q764" i="5"/>
  <c r="I685" i="5"/>
  <c r="F686" i="5"/>
  <c r="P828" i="5"/>
  <c r="P852" i="5"/>
  <c r="K556" i="5"/>
  <c r="K557" i="5"/>
  <c r="M555" i="5"/>
  <c r="N844" i="5"/>
  <c r="N820" i="5"/>
  <c r="R372" i="5"/>
  <c r="O845" i="5"/>
  <c r="O821" i="5"/>
  <c r="O761" i="5"/>
  <c r="E608" i="5"/>
  <c r="B609" i="5"/>
  <c r="Q854" i="5"/>
  <c r="Q830" i="5"/>
  <c r="P823" i="5"/>
  <c r="P847" i="5"/>
  <c r="O848" i="5"/>
  <c r="O824" i="5"/>
  <c r="I555" i="5"/>
  <c r="R555" i="5" s="1"/>
  <c r="F556" i="5"/>
  <c r="N772" i="5"/>
  <c r="P599" i="5"/>
  <c r="P557" i="5"/>
  <c r="P819" i="5"/>
  <c r="P843" i="5"/>
  <c r="P774" i="5"/>
  <c r="I642" i="5"/>
  <c r="R642" i="5" s="1"/>
  <c r="P764" i="5"/>
  <c r="F643" i="5"/>
  <c r="F608" i="5"/>
  <c r="M685" i="5"/>
  <c r="J686" i="5"/>
  <c r="Q767" i="5"/>
  <c r="I372" i="5"/>
  <c r="F373" i="5"/>
  <c r="O854" i="5"/>
  <c r="O830" i="5"/>
  <c r="N686" i="5"/>
  <c r="Q770" i="5"/>
  <c r="Q685" i="5"/>
  <c r="N850" i="5"/>
  <c r="N826" i="5"/>
  <c r="R510" i="5"/>
  <c r="N766" i="5"/>
  <c r="H599" i="5"/>
  <c r="H557" i="5"/>
  <c r="O822" i="4"/>
  <c r="O798" i="4"/>
  <c r="N822" i="4"/>
  <c r="N798" i="4"/>
  <c r="R662" i="4"/>
  <c r="Q802" i="4"/>
  <c r="Q826" i="4"/>
  <c r="Q828" i="4"/>
  <c r="Q804" i="4"/>
  <c r="O748" i="4"/>
  <c r="Q589" i="4"/>
  <c r="N590" i="4"/>
  <c r="O743" i="4"/>
  <c r="G590" i="4"/>
  <c r="G579" i="4"/>
  <c r="Q745" i="4"/>
  <c r="J665" i="4"/>
  <c r="M664" i="4"/>
  <c r="J589" i="4"/>
  <c r="Q750" i="4"/>
  <c r="P665" i="4"/>
  <c r="P589" i="4"/>
  <c r="Q664" i="4"/>
  <c r="N741" i="4"/>
  <c r="D580" i="4"/>
  <c r="D540" i="4"/>
  <c r="R243" i="4"/>
  <c r="R126" i="4"/>
  <c r="O805" i="4"/>
  <c r="O829" i="4"/>
  <c r="P825" i="4"/>
  <c r="P801" i="4"/>
  <c r="E726" i="4"/>
  <c r="R718" i="4"/>
  <c r="R726" i="4" s="1"/>
  <c r="M740" i="4"/>
  <c r="C541" i="4"/>
  <c r="C505" i="4"/>
  <c r="O823" i="4"/>
  <c r="O799" i="4"/>
  <c r="O749" i="4"/>
  <c r="O590" i="4"/>
  <c r="O579" i="4"/>
  <c r="N747" i="4"/>
  <c r="L580" i="4"/>
  <c r="L540" i="4"/>
  <c r="R621" i="4"/>
  <c r="P830" i="4"/>
  <c r="P806" i="4"/>
  <c r="R14" i="4"/>
  <c r="N746" i="4"/>
  <c r="K580" i="4"/>
  <c r="K540" i="4"/>
  <c r="N748" i="4"/>
  <c r="N580" i="4"/>
  <c r="P739" i="4"/>
  <c r="B624" i="4"/>
  <c r="E623" i="4"/>
  <c r="R623" i="4" s="1"/>
  <c r="B589" i="4"/>
  <c r="Q825" i="4"/>
  <c r="Q801" i="4"/>
  <c r="Q739" i="4"/>
  <c r="E664" i="4"/>
  <c r="R664" i="4" s="1"/>
  <c r="B665" i="4"/>
  <c r="P831" i="4"/>
  <c r="P807" i="4"/>
  <c r="P742" i="4"/>
  <c r="I623" i="4"/>
  <c r="F624" i="4"/>
  <c r="F589" i="4"/>
  <c r="O744" i="4"/>
  <c r="H590" i="4"/>
  <c r="H579" i="4"/>
  <c r="R65" i="4"/>
  <c r="N540" i="4"/>
  <c r="O804" i="4"/>
  <c r="O828" i="4"/>
  <c r="M750" i="3"/>
  <c r="N540" i="3"/>
  <c r="N504" i="3"/>
  <c r="Q741" i="3"/>
  <c r="E664" i="3"/>
  <c r="B665" i="3"/>
  <c r="P829" i="3"/>
  <c r="P805" i="3"/>
  <c r="O750" i="3"/>
  <c r="Q588" i="3"/>
  <c r="N589" i="3"/>
  <c r="P823" i="3"/>
  <c r="P799" i="3"/>
  <c r="O743" i="3"/>
  <c r="D589" i="3"/>
  <c r="D578" i="3"/>
  <c r="Q747" i="3"/>
  <c r="M664" i="3"/>
  <c r="J665" i="3"/>
  <c r="O752" i="3"/>
  <c r="P589" i="3"/>
  <c r="P578" i="3"/>
  <c r="I728" i="3"/>
  <c r="Q827" i="3"/>
  <c r="Q803" i="3"/>
  <c r="Q809" i="3"/>
  <c r="Q833" i="3"/>
  <c r="P744" i="3"/>
  <c r="I622" i="3"/>
  <c r="F623" i="3"/>
  <c r="F588" i="3"/>
  <c r="P825" i="3"/>
  <c r="P801" i="3"/>
  <c r="P810" i="3"/>
  <c r="P834" i="3"/>
  <c r="R441" i="3"/>
  <c r="R537" i="3"/>
  <c r="O746" i="3"/>
  <c r="H589" i="3"/>
  <c r="H578" i="3"/>
  <c r="N748" i="3"/>
  <c r="K579" i="3"/>
  <c r="K539" i="3"/>
  <c r="R622" i="3"/>
  <c r="P832" i="3"/>
  <c r="P808" i="3"/>
  <c r="O745" i="3"/>
  <c r="G589" i="3"/>
  <c r="G578" i="3"/>
  <c r="M831" i="3"/>
  <c r="M807" i="3"/>
  <c r="N824" i="3"/>
  <c r="N800" i="3"/>
  <c r="N831" i="3"/>
  <c r="N807" i="3"/>
  <c r="R576" i="3"/>
  <c r="J588" i="3"/>
  <c r="Q750" i="3"/>
  <c r="N665" i="3"/>
  <c r="Q664" i="3"/>
  <c r="P828" i="3"/>
  <c r="P804" i="3"/>
  <c r="O830" i="3"/>
  <c r="O806" i="3"/>
  <c r="N751" i="3"/>
  <c r="O579" i="3"/>
  <c r="O539" i="3"/>
  <c r="L749" i="3"/>
  <c r="L505" i="3"/>
  <c r="L494" i="3"/>
  <c r="N750" i="3"/>
  <c r="N579" i="3"/>
  <c r="M742" i="3"/>
  <c r="C540" i="3"/>
  <c r="C504" i="3"/>
  <c r="R64" i="3"/>
  <c r="R720" i="3"/>
  <c r="R728" i="3" s="1"/>
  <c r="E728" i="3"/>
  <c r="P827" i="3"/>
  <c r="P803" i="3"/>
  <c r="R662" i="3"/>
  <c r="R244" i="3"/>
  <c r="Q826" i="3"/>
  <c r="Q802" i="3"/>
  <c r="B588" i="3"/>
  <c r="R14" i="3"/>
  <c r="O833" i="3"/>
  <c r="O809" i="3"/>
  <c r="O759" i="2"/>
  <c r="C606" i="2"/>
  <c r="C595" i="2"/>
  <c r="N758" i="2"/>
  <c r="E595" i="2"/>
  <c r="B596" i="2"/>
  <c r="B556" i="2"/>
  <c r="P841" i="2"/>
  <c r="P817" i="2"/>
  <c r="O762" i="2"/>
  <c r="G606" i="2"/>
  <c r="G595" i="2"/>
  <c r="M827" i="2"/>
  <c r="M851" i="2"/>
  <c r="O758" i="2"/>
  <c r="E605" i="2"/>
  <c r="B606" i="2"/>
  <c r="J682" i="2"/>
  <c r="Q764" i="2"/>
  <c r="M681" i="2"/>
  <c r="P847" i="2"/>
  <c r="P823" i="2"/>
  <c r="R554" i="2"/>
  <c r="Q843" i="2"/>
  <c r="Q819" i="2"/>
  <c r="Q844" i="2"/>
  <c r="Q820" i="2"/>
  <c r="N845" i="2"/>
  <c r="N821" i="2"/>
  <c r="R593" i="2"/>
  <c r="P844" i="2"/>
  <c r="P820" i="2"/>
  <c r="O765" i="2"/>
  <c r="K606" i="2"/>
  <c r="K595" i="2"/>
  <c r="O760" i="2"/>
  <c r="D606" i="2"/>
  <c r="D595" i="2"/>
  <c r="O827" i="2"/>
  <c r="O851" i="2"/>
  <c r="R461" i="2"/>
  <c r="P846" i="2"/>
  <c r="P822" i="2"/>
  <c r="F640" i="2"/>
  <c r="P761" i="2"/>
  <c r="I639" i="2"/>
  <c r="R639" i="2" s="1"/>
  <c r="F605" i="2"/>
  <c r="I745" i="2"/>
  <c r="P767" i="2"/>
  <c r="N640" i="2"/>
  <c r="Q639" i="2"/>
  <c r="N605" i="2"/>
  <c r="J605" i="2"/>
  <c r="P842" i="2"/>
  <c r="P818" i="2"/>
  <c r="O768" i="2"/>
  <c r="O606" i="2"/>
  <c r="O595" i="2"/>
  <c r="Q848" i="2"/>
  <c r="Q824" i="2"/>
  <c r="M845" i="2"/>
  <c r="M821" i="2"/>
  <c r="Q825" i="2"/>
  <c r="Q849" i="2"/>
  <c r="O766" i="2"/>
  <c r="L606" i="2"/>
  <c r="L595" i="2"/>
  <c r="L763" i="2"/>
  <c r="H522" i="2"/>
  <c r="H511" i="2"/>
  <c r="Q841" i="2"/>
  <c r="Q817" i="2"/>
  <c r="P771" i="2"/>
  <c r="P816" i="2"/>
  <c r="P840" i="2"/>
  <c r="Q842" i="2"/>
  <c r="Q818" i="2"/>
  <c r="N827" i="2"/>
  <c r="N851" i="2"/>
  <c r="R737" i="2"/>
  <c r="R745" i="2" s="1"/>
  <c r="E745" i="2"/>
  <c r="Q758" i="2"/>
  <c r="E681" i="2"/>
  <c r="R681" i="2" s="1"/>
  <c r="B682" i="2"/>
  <c r="L769" i="2"/>
  <c r="P522" i="2"/>
  <c r="P511" i="2"/>
  <c r="P826" i="2"/>
  <c r="P850" i="2"/>
  <c r="R756" i="7" l="1"/>
  <c r="R724" i="9"/>
  <c r="R678" i="9"/>
  <c r="R780" i="9"/>
  <c r="R788" i="9" s="1"/>
  <c r="R13" i="15"/>
  <c r="R13" i="14"/>
  <c r="AR994" i="7"/>
  <c r="AQ1012" i="6"/>
  <c r="AR1072" i="12"/>
  <c r="Q751" i="12"/>
  <c r="O920" i="12"/>
  <c r="N752" i="12"/>
  <c r="N741" i="12"/>
  <c r="S13" i="12"/>
  <c r="T13" i="12" s="1"/>
  <c r="U13" i="11"/>
  <c r="T13" i="11"/>
  <c r="N957" i="15"/>
  <c r="G780" i="15"/>
  <c r="G727" i="15"/>
  <c r="AR1007" i="12"/>
  <c r="S1052" i="12"/>
  <c r="AR972" i="12"/>
  <c r="AP970" i="12"/>
  <c r="Q1050" i="12"/>
  <c r="AP1005" i="12"/>
  <c r="M961" i="14"/>
  <c r="K731" i="14"/>
  <c r="K694" i="14"/>
  <c r="O891" i="11"/>
  <c r="M725" i="11"/>
  <c r="J726" i="11"/>
  <c r="J715" i="11"/>
  <c r="O990" i="13"/>
  <c r="O962" i="13"/>
  <c r="P1067" i="13"/>
  <c r="AO987" i="13"/>
  <c r="AO1022" i="13"/>
  <c r="N754" i="13"/>
  <c r="Q753" i="13"/>
  <c r="N932" i="13"/>
  <c r="N700" i="13"/>
  <c r="N947" i="11"/>
  <c r="N919" i="11"/>
  <c r="Q1030" i="11"/>
  <c r="AP985" i="11"/>
  <c r="AP950" i="11"/>
  <c r="M916" i="12"/>
  <c r="H691" i="12"/>
  <c r="H654" i="12"/>
  <c r="M941" i="14"/>
  <c r="R937" i="14"/>
  <c r="R941" i="14" s="1"/>
  <c r="F726" i="11"/>
  <c r="O888" i="11"/>
  <c r="I725" i="11"/>
  <c r="F715" i="11"/>
  <c r="R902" i="13"/>
  <c r="R910" i="13" s="1"/>
  <c r="S1070" i="13"/>
  <c r="AR990" i="13"/>
  <c r="AR1025" i="13"/>
  <c r="N928" i="13"/>
  <c r="H754" i="13"/>
  <c r="H700" i="13"/>
  <c r="O983" i="15"/>
  <c r="O1011" i="15"/>
  <c r="R1069" i="13"/>
  <c r="AQ989" i="13"/>
  <c r="AQ1024" i="13"/>
  <c r="R520" i="14"/>
  <c r="AQ1007" i="12"/>
  <c r="R1052" i="12"/>
  <c r="AQ972" i="12"/>
  <c r="O1017" i="15"/>
  <c r="O989" i="15"/>
  <c r="O885" i="11"/>
  <c r="E725" i="11"/>
  <c r="B726" i="11"/>
  <c r="B715" i="11"/>
  <c r="Q1092" i="14"/>
  <c r="AP1047" i="14"/>
  <c r="AP1012" i="14"/>
  <c r="AO1039" i="11"/>
  <c r="AO1026" i="11"/>
  <c r="AO1024" i="11"/>
  <c r="AO1022" i="11"/>
  <c r="AO1044" i="11"/>
  <c r="AO1037" i="11"/>
  <c r="AO1035" i="11"/>
  <c r="AO1033" i="11"/>
  <c r="AO1031" i="11"/>
  <c r="AO1029" i="11"/>
  <c r="AO1042" i="11"/>
  <c r="AO1040" i="11"/>
  <c r="AO1027" i="11"/>
  <c r="AO1025" i="11"/>
  <c r="AO1023" i="11"/>
  <c r="AO1045" i="11"/>
  <c r="AO1043" i="11"/>
  <c r="AO1038" i="11"/>
  <c r="AO1036" i="11"/>
  <c r="AO1034" i="11"/>
  <c r="AO1032" i="11"/>
  <c r="AO1030" i="11"/>
  <c r="AO1041" i="11"/>
  <c r="AO1028" i="11"/>
  <c r="Q983" i="14"/>
  <c r="Q1011" i="14"/>
  <c r="P948" i="11"/>
  <c r="P920" i="11"/>
  <c r="Q951" i="11"/>
  <c r="Q923" i="11"/>
  <c r="S1028" i="11"/>
  <c r="AR983" i="11"/>
  <c r="AR948" i="11"/>
  <c r="P985" i="15"/>
  <c r="P1013" i="15"/>
  <c r="N961" i="15"/>
  <c r="L780" i="15"/>
  <c r="L727" i="15"/>
  <c r="N1018" i="14"/>
  <c r="N990" i="14"/>
  <c r="O984" i="13"/>
  <c r="O956" i="13"/>
  <c r="AQ1052" i="12"/>
  <c r="AQ1050" i="12"/>
  <c r="AQ1048" i="12"/>
  <c r="AQ1070" i="12"/>
  <c r="AQ1063" i="12"/>
  <c r="AQ1061" i="12"/>
  <c r="AQ1059" i="12"/>
  <c r="AQ1057" i="12"/>
  <c r="AQ1055" i="12"/>
  <c r="AQ1068" i="12"/>
  <c r="AQ1066" i="12"/>
  <c r="AQ1071" i="12"/>
  <c r="AQ1069" i="12"/>
  <c r="AQ1064" i="12"/>
  <c r="AQ1062" i="12"/>
  <c r="AQ1060" i="12"/>
  <c r="AQ1058" i="12"/>
  <c r="AQ1056" i="12"/>
  <c r="AQ1053" i="12"/>
  <c r="AQ1067" i="12"/>
  <c r="AQ1049" i="12"/>
  <c r="AQ1065" i="12"/>
  <c r="AQ1054" i="12"/>
  <c r="AQ1051" i="12"/>
  <c r="O1067" i="13"/>
  <c r="AN987" i="13"/>
  <c r="AN1022" i="13"/>
  <c r="N945" i="12"/>
  <c r="N973" i="12"/>
  <c r="M1015" i="14"/>
  <c r="M987" i="14"/>
  <c r="M919" i="12"/>
  <c r="L691" i="12"/>
  <c r="L654" i="12"/>
  <c r="P951" i="11"/>
  <c r="P923" i="11"/>
  <c r="R808" i="11"/>
  <c r="L954" i="13"/>
  <c r="L982" i="13"/>
  <c r="Q1015" i="15"/>
  <c r="Q987" i="15"/>
  <c r="AR1015" i="13"/>
  <c r="AR980" i="13"/>
  <c r="S1060" i="13"/>
  <c r="AN1010" i="12"/>
  <c r="O1055" i="12"/>
  <c r="AN975" i="12"/>
  <c r="O957" i="13"/>
  <c r="O985" i="13"/>
  <c r="N934" i="13"/>
  <c r="P754" i="13"/>
  <c r="P700" i="13"/>
  <c r="Q988" i="15"/>
  <c r="Q1016" i="15"/>
  <c r="K918" i="12"/>
  <c r="K645" i="12"/>
  <c r="K580" i="12"/>
  <c r="AN987" i="11"/>
  <c r="AN952" i="11"/>
  <c r="O1032" i="11"/>
  <c r="Q1053" i="12"/>
  <c r="AP973" i="12"/>
  <c r="AP1008" i="12"/>
  <c r="AP1026" i="11"/>
  <c r="AP1024" i="11"/>
  <c r="AP1022" i="11"/>
  <c r="AP1044" i="11"/>
  <c r="AP1037" i="11"/>
  <c r="AP1035" i="11"/>
  <c r="AP1033" i="11"/>
  <c r="AP1031" i="11"/>
  <c r="AP1029" i="11"/>
  <c r="AP1042" i="11"/>
  <c r="AP1040" i="11"/>
  <c r="AP1027" i="11"/>
  <c r="AP1025" i="11"/>
  <c r="AP1023" i="11"/>
  <c r="AP1045" i="11"/>
  <c r="AP1043" i="11"/>
  <c r="AP1038" i="11"/>
  <c r="AP1036" i="11"/>
  <c r="AP1034" i="11"/>
  <c r="AP1032" i="11"/>
  <c r="AP1030" i="11"/>
  <c r="AP1041" i="11"/>
  <c r="AP1028" i="11"/>
  <c r="AP1039" i="11"/>
  <c r="O953" i="15"/>
  <c r="E789" i="15"/>
  <c r="B790" i="15"/>
  <c r="B779" i="15"/>
  <c r="M964" i="15"/>
  <c r="P728" i="15"/>
  <c r="P691" i="15"/>
  <c r="M912" i="12"/>
  <c r="C691" i="12"/>
  <c r="C654" i="12"/>
  <c r="N963" i="15"/>
  <c r="O780" i="15"/>
  <c r="O727" i="15"/>
  <c r="AR1114" i="14"/>
  <c r="AR1112" i="14"/>
  <c r="AR1107" i="14"/>
  <c r="AR1111" i="14"/>
  <c r="AR1109" i="14"/>
  <c r="AR1108" i="14"/>
  <c r="AR1106" i="14"/>
  <c r="AR1094" i="14"/>
  <c r="AR1092" i="14"/>
  <c r="AR1113" i="14"/>
  <c r="AR1110" i="14"/>
  <c r="AR1104" i="14"/>
  <c r="AR1101" i="14"/>
  <c r="AR1099" i="14"/>
  <c r="AR1103" i="14"/>
  <c r="AR1097" i="14"/>
  <c r="AR1095" i="14"/>
  <c r="AR1093" i="14"/>
  <c r="AR1091" i="14"/>
  <c r="AR1102" i="14"/>
  <c r="AR1100" i="14"/>
  <c r="AR1098" i="14"/>
  <c r="AR1096" i="14"/>
  <c r="AR1105" i="14"/>
  <c r="K930" i="13"/>
  <c r="K655" i="13"/>
  <c r="K587" i="13"/>
  <c r="P917" i="11"/>
  <c r="P945" i="11"/>
  <c r="N965" i="14"/>
  <c r="P783" i="14"/>
  <c r="P730" i="14"/>
  <c r="J752" i="12"/>
  <c r="O917" i="12"/>
  <c r="M751" i="12"/>
  <c r="J741" i="12"/>
  <c r="R1060" i="13"/>
  <c r="P993" i="13"/>
  <c r="AQ1015" i="13"/>
  <c r="AQ980" i="13"/>
  <c r="R1097" i="14"/>
  <c r="AQ1017" i="14"/>
  <c r="AQ1052" i="14"/>
  <c r="E782" i="14"/>
  <c r="N954" i="14"/>
  <c r="B783" i="14"/>
  <c r="B730" i="14"/>
  <c r="K895" i="11"/>
  <c r="O622" i="11"/>
  <c r="O563" i="11"/>
  <c r="S1069" i="13"/>
  <c r="AR989" i="13"/>
  <c r="AR1024" i="13"/>
  <c r="J886" i="11"/>
  <c r="C564" i="11"/>
  <c r="C519" i="11"/>
  <c r="R759" i="11"/>
  <c r="N1020" i="14"/>
  <c r="N992" i="14"/>
  <c r="R823" i="15"/>
  <c r="AQ1044" i="11"/>
  <c r="AQ1037" i="11"/>
  <c r="AQ1035" i="11"/>
  <c r="AQ1033" i="11"/>
  <c r="AQ1031" i="11"/>
  <c r="AQ1029" i="11"/>
  <c r="AQ1042" i="11"/>
  <c r="AQ1040" i="11"/>
  <c r="AQ1027" i="11"/>
  <c r="AQ1025" i="11"/>
  <c r="AQ1023" i="11"/>
  <c r="AQ1045" i="11"/>
  <c r="AQ1043" i="11"/>
  <c r="AQ1038" i="11"/>
  <c r="AQ1036" i="11"/>
  <c r="AQ1034" i="11"/>
  <c r="AQ1032" i="11"/>
  <c r="AQ1030" i="11"/>
  <c r="AQ1041" i="11"/>
  <c r="AQ1028" i="11"/>
  <c r="AQ1039" i="11"/>
  <c r="AQ1024" i="11"/>
  <c r="AQ1022" i="11"/>
  <c r="AQ1026" i="11"/>
  <c r="R1099" i="14"/>
  <c r="AQ1019" i="14"/>
  <c r="AQ1054" i="14"/>
  <c r="F793" i="14"/>
  <c r="O957" i="14"/>
  <c r="I792" i="14"/>
  <c r="F782" i="14"/>
  <c r="N926" i="13"/>
  <c r="I753" i="13"/>
  <c r="F754" i="13"/>
  <c r="F700" i="13"/>
  <c r="O990" i="15"/>
  <c r="O1018" i="15"/>
  <c r="M763" i="13"/>
  <c r="R763" i="13" s="1"/>
  <c r="J764" i="13"/>
  <c r="O929" i="13"/>
  <c r="J753" i="13"/>
  <c r="O989" i="13"/>
  <c r="O961" i="13"/>
  <c r="R1071" i="13"/>
  <c r="AQ1026" i="13"/>
  <c r="AQ991" i="13"/>
  <c r="N948" i="12"/>
  <c r="N976" i="12"/>
  <c r="C754" i="13"/>
  <c r="N924" i="13"/>
  <c r="C700" i="13"/>
  <c r="AO952" i="11"/>
  <c r="P1032" i="11"/>
  <c r="AO987" i="11"/>
  <c r="S1096" i="14"/>
  <c r="AR1051" i="14"/>
  <c r="AR1016" i="14"/>
  <c r="P1024" i="14"/>
  <c r="AQ1011" i="14"/>
  <c r="AQ1046" i="14"/>
  <c r="R1091" i="14"/>
  <c r="S1058" i="12"/>
  <c r="AR1013" i="12"/>
  <c r="AR978" i="12"/>
  <c r="O991" i="13"/>
  <c r="O963" i="13"/>
  <c r="AQ1114" i="14"/>
  <c r="AQ1113" i="14"/>
  <c r="AQ1106" i="14"/>
  <c r="AQ1104" i="14"/>
  <c r="AQ1105" i="14"/>
  <c r="AQ1096" i="14"/>
  <c r="AQ1109" i="14"/>
  <c r="AQ1108" i="14"/>
  <c r="AQ1107" i="14"/>
  <c r="AQ1094" i="14"/>
  <c r="AQ1092" i="14"/>
  <c r="AQ1110" i="14"/>
  <c r="AQ1101" i="14"/>
  <c r="AQ1099" i="14"/>
  <c r="AQ1111" i="14"/>
  <c r="AQ1103" i="14"/>
  <c r="AQ1097" i="14"/>
  <c r="AQ1095" i="14"/>
  <c r="AQ1093" i="14"/>
  <c r="AQ1091" i="14"/>
  <c r="AQ1112" i="14"/>
  <c r="AQ1102" i="14"/>
  <c r="AQ1100" i="14"/>
  <c r="AQ1098" i="14"/>
  <c r="K955" i="15"/>
  <c r="D682" i="15"/>
  <c r="D615" i="15"/>
  <c r="L975" i="12"/>
  <c r="L947" i="12"/>
  <c r="AO1010" i="12"/>
  <c r="P1055" i="12"/>
  <c r="AO975" i="12"/>
  <c r="AR984" i="11"/>
  <c r="S1029" i="11"/>
  <c r="AR949" i="11"/>
  <c r="N954" i="15"/>
  <c r="C780" i="15"/>
  <c r="C727" i="15"/>
  <c r="P942" i="11"/>
  <c r="P898" i="11"/>
  <c r="P914" i="11"/>
  <c r="P668" i="11"/>
  <c r="M896" i="11"/>
  <c r="P631" i="11"/>
  <c r="J835" i="12"/>
  <c r="Q917" i="12"/>
  <c r="M834" i="12"/>
  <c r="AQ1049" i="14"/>
  <c r="AQ1014" i="14"/>
  <c r="R1094" i="14"/>
  <c r="S1051" i="12"/>
  <c r="AR1006" i="12"/>
  <c r="AR971" i="12"/>
  <c r="M964" i="14"/>
  <c r="O694" i="14"/>
  <c r="O731" i="14"/>
  <c r="N1021" i="15"/>
  <c r="N993" i="15"/>
  <c r="O1014" i="15"/>
  <c r="O986" i="15"/>
  <c r="M963" i="14"/>
  <c r="Q730" i="14"/>
  <c r="N731" i="14"/>
  <c r="N694" i="14"/>
  <c r="M955" i="14"/>
  <c r="C731" i="14"/>
  <c r="C694" i="14"/>
  <c r="O992" i="14"/>
  <c r="O1020" i="14"/>
  <c r="AP944" i="11"/>
  <c r="AP979" i="11"/>
  <c r="Q1024" i="11"/>
  <c r="M923" i="13"/>
  <c r="E700" i="13"/>
  <c r="B701" i="13"/>
  <c r="B664" i="13"/>
  <c r="N969" i="12"/>
  <c r="N941" i="12"/>
  <c r="O992" i="15"/>
  <c r="O1020" i="15"/>
  <c r="M913" i="12"/>
  <c r="D691" i="12"/>
  <c r="D654" i="12"/>
  <c r="N921" i="12"/>
  <c r="O742" i="12"/>
  <c r="O690" i="12"/>
  <c r="L987" i="13"/>
  <c r="L959" i="13"/>
  <c r="O962" i="15"/>
  <c r="N790" i="15"/>
  <c r="Q789" i="15"/>
  <c r="N779" i="15"/>
  <c r="O981" i="13"/>
  <c r="O953" i="13"/>
  <c r="O994" i="14"/>
  <c r="O1022" i="14"/>
  <c r="AM978" i="11"/>
  <c r="N1023" i="11"/>
  <c r="AM943" i="11"/>
  <c r="AW907" i="11"/>
  <c r="P946" i="12"/>
  <c r="P974" i="12"/>
  <c r="M893" i="11"/>
  <c r="L668" i="11"/>
  <c r="L631" i="11"/>
  <c r="G632" i="11"/>
  <c r="L889" i="11"/>
  <c r="G621" i="11"/>
  <c r="R307" i="11"/>
  <c r="R13" i="13"/>
  <c r="L924" i="11"/>
  <c r="L952" i="11"/>
  <c r="L1012" i="15"/>
  <c r="L984" i="15"/>
  <c r="R313" i="12"/>
  <c r="R1063" i="13"/>
  <c r="AQ1018" i="13"/>
  <c r="AQ983" i="13"/>
  <c r="K943" i="11"/>
  <c r="K915" i="11"/>
  <c r="N993" i="14"/>
  <c r="N1021" i="14"/>
  <c r="P982" i="15"/>
  <c r="P1010" i="15"/>
  <c r="P966" i="15"/>
  <c r="AQ984" i="11"/>
  <c r="R1029" i="11"/>
  <c r="AQ949" i="11"/>
  <c r="AP1051" i="14"/>
  <c r="Q1096" i="14"/>
  <c r="AP1016" i="14"/>
  <c r="S1063" i="13"/>
  <c r="AR1018" i="13"/>
  <c r="AR983" i="13"/>
  <c r="M877" i="14"/>
  <c r="R877" i="14" s="1"/>
  <c r="J878" i="14"/>
  <c r="Q960" i="14"/>
  <c r="J792" i="14"/>
  <c r="M959" i="14"/>
  <c r="H731" i="14"/>
  <c r="H694" i="14"/>
  <c r="L783" i="14"/>
  <c r="N962" i="14"/>
  <c r="L730" i="14"/>
  <c r="R1065" i="13"/>
  <c r="AQ985" i="13"/>
  <c r="AQ1020" i="13"/>
  <c r="M887" i="11"/>
  <c r="D668" i="11"/>
  <c r="D631" i="11"/>
  <c r="P943" i="12"/>
  <c r="P971" i="12"/>
  <c r="R932" i="15"/>
  <c r="R940" i="15" s="1"/>
  <c r="E940" i="15"/>
  <c r="N922" i="11"/>
  <c r="N950" i="11"/>
  <c r="M946" i="11"/>
  <c r="M918" i="11"/>
  <c r="L956" i="14"/>
  <c r="D695" i="14"/>
  <c r="D684" i="14"/>
  <c r="M922" i="12"/>
  <c r="P691" i="12"/>
  <c r="P654" i="12"/>
  <c r="R872" i="11"/>
  <c r="O1011" i="14"/>
  <c r="O983" i="14"/>
  <c r="R1066" i="13"/>
  <c r="AQ1021" i="13"/>
  <c r="AQ986" i="13"/>
  <c r="AO981" i="11"/>
  <c r="P1026" i="11"/>
  <c r="AO946" i="11"/>
  <c r="M960" i="13"/>
  <c r="M988" i="13"/>
  <c r="Q1059" i="12"/>
  <c r="AP979" i="12"/>
  <c r="AP1014" i="12"/>
  <c r="E751" i="12"/>
  <c r="B752" i="12"/>
  <c r="O911" i="12"/>
  <c r="B741" i="12"/>
  <c r="N953" i="11"/>
  <c r="N925" i="11"/>
  <c r="N915" i="12"/>
  <c r="G742" i="12"/>
  <c r="G690" i="12"/>
  <c r="AP1053" i="14"/>
  <c r="Q1098" i="14"/>
  <c r="AP1018" i="14"/>
  <c r="N1012" i="14"/>
  <c r="N984" i="14"/>
  <c r="O955" i="13"/>
  <c r="O983" i="13"/>
  <c r="Q1027" i="11"/>
  <c r="AP982" i="11"/>
  <c r="AP947" i="11"/>
  <c r="AR984" i="13"/>
  <c r="AR1019" i="13"/>
  <c r="S1064" i="13"/>
  <c r="AN1041" i="11"/>
  <c r="AN1028" i="11"/>
  <c r="AN1039" i="11"/>
  <c r="AN1026" i="11"/>
  <c r="AN1024" i="11"/>
  <c r="AN1022" i="11"/>
  <c r="AN1044" i="11"/>
  <c r="AN1037" i="11"/>
  <c r="AN1035" i="11"/>
  <c r="AN1033" i="11"/>
  <c r="AN1031" i="11"/>
  <c r="AN1029" i="11"/>
  <c r="AN1042" i="11"/>
  <c r="AN1040" i="11"/>
  <c r="AN1027" i="11"/>
  <c r="AN1025" i="11"/>
  <c r="AN1023" i="11"/>
  <c r="AN1038" i="11"/>
  <c r="AN1030" i="11"/>
  <c r="AN1043" i="11"/>
  <c r="AN1034" i="11"/>
  <c r="AN1032" i="11"/>
  <c r="AN1045" i="11"/>
  <c r="AN1036" i="11"/>
  <c r="AO1050" i="14"/>
  <c r="P1095" i="14"/>
  <c r="AO1015" i="14"/>
  <c r="Q1056" i="12"/>
  <c r="AP1011" i="12"/>
  <c r="AP976" i="12"/>
  <c r="N933" i="13"/>
  <c r="O754" i="13"/>
  <c r="O700" i="13"/>
  <c r="S1102" i="14"/>
  <c r="AR1022" i="14"/>
  <c r="AR1057" i="14"/>
  <c r="O991" i="14"/>
  <c r="O1019" i="14"/>
  <c r="P1093" i="14"/>
  <c r="AO1048" i="14"/>
  <c r="AO1013" i="14"/>
  <c r="N892" i="11"/>
  <c r="K716" i="11"/>
  <c r="K667" i="11"/>
  <c r="N944" i="11"/>
  <c r="N916" i="11"/>
  <c r="O1062" i="13"/>
  <c r="AN982" i="13"/>
  <c r="AN1017" i="13"/>
  <c r="H668" i="11"/>
  <c r="M890" i="11"/>
  <c r="H631" i="11"/>
  <c r="N970" i="12"/>
  <c r="N942" i="12"/>
  <c r="O978" i="12"/>
  <c r="O950" i="12"/>
  <c r="Q1014" i="14"/>
  <c r="Q986" i="14"/>
  <c r="Q834" i="12"/>
  <c r="R834" i="12" s="1"/>
  <c r="N835" i="12"/>
  <c r="Q920" i="12"/>
  <c r="Q958" i="13"/>
  <c r="Q986" i="13"/>
  <c r="O959" i="15"/>
  <c r="J790" i="15"/>
  <c r="M789" i="15"/>
  <c r="J779" i="15"/>
  <c r="R328" i="14"/>
  <c r="L665" i="13"/>
  <c r="L931" i="13"/>
  <c r="L654" i="13"/>
  <c r="N960" i="15"/>
  <c r="K780" i="15"/>
  <c r="K727" i="15"/>
  <c r="R785" i="12"/>
  <c r="O972" i="12"/>
  <c r="O944" i="12"/>
  <c r="O952" i="13"/>
  <c r="O980" i="13"/>
  <c r="O936" i="13"/>
  <c r="Q992" i="14"/>
  <c r="Q1020" i="14"/>
  <c r="AR1042" i="11"/>
  <c r="AR1040" i="11"/>
  <c r="AR1027" i="11"/>
  <c r="AR1025" i="11"/>
  <c r="AR1023" i="11"/>
  <c r="AR1045" i="11"/>
  <c r="AR1043" i="11"/>
  <c r="AR1038" i="11"/>
  <c r="AR1036" i="11"/>
  <c r="AR1034" i="11"/>
  <c r="AR1032" i="11"/>
  <c r="AR1030" i="11"/>
  <c r="AR1041" i="11"/>
  <c r="AR1028" i="11"/>
  <c r="AR1039" i="11"/>
  <c r="AR1026" i="11"/>
  <c r="AR1024" i="11"/>
  <c r="AR1022" i="11"/>
  <c r="AR1046" i="11" s="1"/>
  <c r="AR1035" i="11"/>
  <c r="AR1031" i="11"/>
  <c r="AR1037" i="11"/>
  <c r="AR1033" i="11"/>
  <c r="AR1044" i="11"/>
  <c r="AR1029" i="11"/>
  <c r="O956" i="15"/>
  <c r="F790" i="15"/>
  <c r="I789" i="15"/>
  <c r="F779" i="15"/>
  <c r="R1061" i="13"/>
  <c r="AQ981" i="13"/>
  <c r="AQ1016" i="13"/>
  <c r="AR1083" i="13"/>
  <c r="AR1080" i="13"/>
  <c r="AR1078" i="13"/>
  <c r="AR1065" i="13"/>
  <c r="AR1063" i="13"/>
  <c r="AR1061" i="13"/>
  <c r="AR1081" i="13"/>
  <c r="AR1076" i="13"/>
  <c r="AR1074" i="13"/>
  <c r="AR1072" i="13"/>
  <c r="AR1070" i="13"/>
  <c r="AR1068" i="13"/>
  <c r="AR1077" i="13"/>
  <c r="AR1064" i="13"/>
  <c r="AR1062" i="13"/>
  <c r="AR1060" i="13"/>
  <c r="AR1066" i="13"/>
  <c r="AR1082" i="13"/>
  <c r="AR1079" i="13"/>
  <c r="AR1073" i="13"/>
  <c r="AR1069" i="13"/>
  <c r="AR1071" i="13"/>
  <c r="AR1067" i="13"/>
  <c r="AR1075" i="13"/>
  <c r="N952" i="13"/>
  <c r="N980" i="13"/>
  <c r="N927" i="13"/>
  <c r="G754" i="13"/>
  <c r="G700" i="13"/>
  <c r="Q945" i="11"/>
  <c r="Q917" i="11"/>
  <c r="N1016" i="14"/>
  <c r="N988" i="14"/>
  <c r="O949" i="11"/>
  <c r="O921" i="11"/>
  <c r="Q1101" i="14"/>
  <c r="AP1056" i="14"/>
  <c r="AP1021" i="14"/>
  <c r="AP1065" i="12"/>
  <c r="AP1052" i="12"/>
  <c r="AP1050" i="12"/>
  <c r="AP1048" i="12"/>
  <c r="AP1072" i="12" s="1"/>
  <c r="AP1070" i="12"/>
  <c r="AP1063" i="12"/>
  <c r="AP1061" i="12"/>
  <c r="AP1059" i="12"/>
  <c r="AP1057" i="12"/>
  <c r="AP1055" i="12"/>
  <c r="AP1051" i="12"/>
  <c r="AP1049" i="12"/>
  <c r="AP1060" i="12"/>
  <c r="AP1058" i="12"/>
  <c r="AP1053" i="12"/>
  <c r="AP1066" i="12"/>
  <c r="AP1062" i="12"/>
  <c r="AP1069" i="12"/>
  <c r="AP1068" i="12"/>
  <c r="AP1067" i="12"/>
  <c r="AP1064" i="12"/>
  <c r="AP1056" i="12"/>
  <c r="AP1071" i="12"/>
  <c r="AP1054" i="12"/>
  <c r="L958" i="14"/>
  <c r="G695" i="14"/>
  <c r="G684" i="14"/>
  <c r="I751" i="12"/>
  <c r="F752" i="12"/>
  <c r="O914" i="12"/>
  <c r="F741" i="12"/>
  <c r="P991" i="15"/>
  <c r="P1019" i="15"/>
  <c r="N726" i="11"/>
  <c r="O894" i="11"/>
  <c r="Q725" i="11"/>
  <c r="N715" i="11"/>
  <c r="Q942" i="11"/>
  <c r="Q898" i="11"/>
  <c r="Q914" i="11"/>
  <c r="Q968" i="12"/>
  <c r="Q924" i="12"/>
  <c r="Q940" i="12"/>
  <c r="K925" i="13"/>
  <c r="D655" i="13"/>
  <c r="D587" i="13"/>
  <c r="O958" i="15"/>
  <c r="H790" i="15"/>
  <c r="H779" i="15"/>
  <c r="M985" i="14"/>
  <c r="M1013" i="14"/>
  <c r="N979" i="12"/>
  <c r="N951" i="12"/>
  <c r="P1068" i="13"/>
  <c r="AO1023" i="13"/>
  <c r="AO988" i="13"/>
  <c r="P949" i="12"/>
  <c r="P977" i="12"/>
  <c r="R1100" i="14"/>
  <c r="AQ1055" i="14"/>
  <c r="AQ1020" i="14"/>
  <c r="P968" i="12"/>
  <c r="P924" i="12"/>
  <c r="P940" i="12"/>
  <c r="AP988" i="11"/>
  <c r="Q1033" i="11"/>
  <c r="AP953" i="11"/>
  <c r="AP1050" i="14"/>
  <c r="Q1095" i="14"/>
  <c r="AP1015" i="14"/>
  <c r="Q893" i="7"/>
  <c r="Q865" i="7"/>
  <c r="U13" i="7"/>
  <c r="T13" i="7"/>
  <c r="R830" i="6"/>
  <c r="R838" i="6" s="1"/>
  <c r="E838" i="6"/>
  <c r="J645" i="9"/>
  <c r="O809" i="9"/>
  <c r="M644" i="9"/>
  <c r="J634" i="9"/>
  <c r="Q823" i="8"/>
  <c r="Q839" i="8"/>
  <c r="Q867" i="8"/>
  <c r="O861" i="10"/>
  <c r="O837" i="10"/>
  <c r="U13" i="6"/>
  <c r="T13" i="6"/>
  <c r="AO987" i="7"/>
  <c r="AO979" i="7"/>
  <c r="AO975" i="7"/>
  <c r="AO973" i="7"/>
  <c r="AO980" i="7"/>
  <c r="AO974" i="7"/>
  <c r="AO992" i="7"/>
  <c r="AO985" i="7"/>
  <c r="AO983" i="7"/>
  <c r="AO981" i="7"/>
  <c r="AO990" i="7"/>
  <c r="AO988" i="7"/>
  <c r="AO970" i="7"/>
  <c r="AO993" i="7"/>
  <c r="AO991" i="7"/>
  <c r="AO986" i="7"/>
  <c r="AO984" i="7"/>
  <c r="AO982" i="7"/>
  <c r="AO977" i="7"/>
  <c r="AO971" i="7"/>
  <c r="AO989" i="7"/>
  <c r="AO972" i="7"/>
  <c r="AO976" i="7"/>
  <c r="AO978" i="7"/>
  <c r="AR946" i="6"/>
  <c r="S991" i="6"/>
  <c r="AR911" i="6"/>
  <c r="O805" i="9"/>
  <c r="D645" i="9"/>
  <c r="D634" i="9"/>
  <c r="AQ893" i="7"/>
  <c r="AQ928" i="7"/>
  <c r="R973" i="7"/>
  <c r="P896" i="7"/>
  <c r="P868" i="7"/>
  <c r="P975" i="7"/>
  <c r="AO930" i="7"/>
  <c r="AO895" i="7"/>
  <c r="E760" i="10"/>
  <c r="R752" i="10"/>
  <c r="R760" i="10" s="1"/>
  <c r="N840" i="9"/>
  <c r="N866" i="9"/>
  <c r="O946" i="9" s="1"/>
  <c r="AR909" i="8"/>
  <c r="AR874" i="8"/>
  <c r="S954" i="8"/>
  <c r="AO944" i="6"/>
  <c r="AO909" i="6"/>
  <c r="P989" i="6"/>
  <c r="I14" i="10"/>
  <c r="O863" i="9"/>
  <c r="P943" i="9" s="1"/>
  <c r="O837" i="9"/>
  <c r="B645" i="9"/>
  <c r="O803" i="9"/>
  <c r="E644" i="9"/>
  <c r="B634" i="9"/>
  <c r="M909" i="6"/>
  <c r="M881" i="6"/>
  <c r="O833" i="9"/>
  <c r="O859" i="9"/>
  <c r="P939" i="9" s="1"/>
  <c r="R441" i="6"/>
  <c r="K635" i="9"/>
  <c r="N810" i="9"/>
  <c r="K590" i="9"/>
  <c r="M814" i="8"/>
  <c r="G599" i="8"/>
  <c r="G562" i="8"/>
  <c r="R958" i="8"/>
  <c r="AQ913" i="8"/>
  <c r="AQ878" i="8"/>
  <c r="I616" i="10"/>
  <c r="O776" i="10"/>
  <c r="F617" i="10"/>
  <c r="F606" i="10"/>
  <c r="M919" i="6"/>
  <c r="M891" i="6"/>
  <c r="P876" i="8"/>
  <c r="P848" i="8"/>
  <c r="N857" i="10"/>
  <c r="N833" i="10"/>
  <c r="O816" i="8"/>
  <c r="J653" i="8"/>
  <c r="M652" i="8"/>
  <c r="J642" i="8"/>
  <c r="Q634" i="9"/>
  <c r="N812" i="9"/>
  <c r="N635" i="9"/>
  <c r="N590" i="9"/>
  <c r="N840" i="8"/>
  <c r="N868" i="8"/>
  <c r="S998" i="6"/>
  <c r="AR953" i="6"/>
  <c r="AR918" i="6"/>
  <c r="O862" i="10"/>
  <c r="O838" i="10"/>
  <c r="O883" i="6"/>
  <c r="O911" i="6"/>
  <c r="Q886" i="6"/>
  <c r="Q914" i="6"/>
  <c r="Q860" i="9"/>
  <c r="Q834" i="9"/>
  <c r="Q816" i="9"/>
  <c r="P838" i="9"/>
  <c r="P864" i="9"/>
  <c r="Q944" i="9" s="1"/>
  <c r="AR967" i="8"/>
  <c r="AR965" i="8"/>
  <c r="AR970" i="8"/>
  <c r="AR968" i="8"/>
  <c r="AR963" i="8"/>
  <c r="AR961" i="8"/>
  <c r="AR959" i="8"/>
  <c r="AR966" i="8"/>
  <c r="AR955" i="8"/>
  <c r="AR953" i="8"/>
  <c r="AR949" i="8"/>
  <c r="AR969" i="8"/>
  <c r="AR962" i="8"/>
  <c r="AR960" i="8"/>
  <c r="AR958" i="8"/>
  <c r="AR951" i="8"/>
  <c r="AR950" i="8"/>
  <c r="AR957" i="8"/>
  <c r="AR954" i="8"/>
  <c r="AR964" i="8"/>
  <c r="AR956" i="8"/>
  <c r="AR952" i="8"/>
  <c r="AR947" i="8"/>
  <c r="AR948" i="8"/>
  <c r="N993" i="6"/>
  <c r="AM948" i="6"/>
  <c r="AW877" i="6"/>
  <c r="AM913" i="6"/>
  <c r="P855" i="10"/>
  <c r="P831" i="10"/>
  <c r="P786" i="10"/>
  <c r="O995" i="6"/>
  <c r="AN950" i="6"/>
  <c r="AN915" i="6"/>
  <c r="AQ933" i="7"/>
  <c r="R978" i="7"/>
  <c r="AQ898" i="7"/>
  <c r="L915" i="6"/>
  <c r="L887" i="6"/>
  <c r="AQ949" i="6"/>
  <c r="R994" i="6"/>
  <c r="AQ914" i="6"/>
  <c r="AR868" i="8"/>
  <c r="S948" i="8"/>
  <c r="AR903" i="8"/>
  <c r="N871" i="8"/>
  <c r="N843" i="8"/>
  <c r="Q876" i="8"/>
  <c r="Q848" i="8"/>
  <c r="D683" i="6"/>
  <c r="N853" i="6"/>
  <c r="D635" i="6"/>
  <c r="O810" i="8"/>
  <c r="B653" i="8"/>
  <c r="E652" i="8"/>
  <c r="B642" i="8"/>
  <c r="K838" i="7"/>
  <c r="H573" i="7"/>
  <c r="H516" i="7"/>
  <c r="Q846" i="7"/>
  <c r="O917" i="6"/>
  <c r="O889" i="6"/>
  <c r="M13" i="9"/>
  <c r="R13" i="9" s="1"/>
  <c r="AJ13" i="9" s="1"/>
  <c r="R988" i="6"/>
  <c r="AQ943" i="6"/>
  <c r="P921" i="6"/>
  <c r="AQ908" i="6"/>
  <c r="AQ921" i="6" s="1"/>
  <c r="O867" i="9"/>
  <c r="P947" i="9" s="1"/>
  <c r="O841" i="9"/>
  <c r="R14" i="10"/>
  <c r="O893" i="7"/>
  <c r="O865" i="7"/>
  <c r="P864" i="10"/>
  <c r="P840" i="10"/>
  <c r="O833" i="7"/>
  <c r="B675" i="7"/>
  <c r="E674" i="7"/>
  <c r="B664" i="7"/>
  <c r="L892" i="7"/>
  <c r="L864" i="7"/>
  <c r="Q899" i="7"/>
  <c r="Q871" i="7"/>
  <c r="Q858" i="10"/>
  <c r="Q868" i="10" s="1"/>
  <c r="Q834" i="10"/>
  <c r="Q786" i="10"/>
  <c r="O901" i="7"/>
  <c r="O873" i="7"/>
  <c r="Q864" i="10"/>
  <c r="Q840" i="10"/>
  <c r="M779" i="10"/>
  <c r="J564" i="10"/>
  <c r="J528" i="10"/>
  <c r="AQ934" i="7"/>
  <c r="AQ899" i="7"/>
  <c r="R979" i="7"/>
  <c r="P858" i="9"/>
  <c r="P816" i="9"/>
  <c r="P832" i="9"/>
  <c r="R774" i="6"/>
  <c r="M837" i="7"/>
  <c r="G619" i="7"/>
  <c r="G582" i="7"/>
  <c r="M841" i="10"/>
  <c r="M865" i="10"/>
  <c r="P999" i="6"/>
  <c r="AO954" i="6"/>
  <c r="AO919" i="6"/>
  <c r="I634" i="9"/>
  <c r="N806" i="9"/>
  <c r="F635" i="9"/>
  <c r="F590" i="9"/>
  <c r="K813" i="9"/>
  <c r="O545" i="9"/>
  <c r="O491" i="9"/>
  <c r="L665" i="7"/>
  <c r="N841" i="7"/>
  <c r="L618" i="7"/>
  <c r="O813" i="8"/>
  <c r="I652" i="8"/>
  <c r="F653" i="8"/>
  <c r="F642" i="8"/>
  <c r="O861" i="9"/>
  <c r="P941" i="9" s="1"/>
  <c r="O835" i="9"/>
  <c r="AQ969" i="8"/>
  <c r="AQ962" i="8"/>
  <c r="AQ960" i="8"/>
  <c r="AQ958" i="8"/>
  <c r="AQ970" i="8"/>
  <c r="AQ968" i="8"/>
  <c r="AQ963" i="8"/>
  <c r="AQ961" i="8"/>
  <c r="AQ959" i="8"/>
  <c r="AQ954" i="8"/>
  <c r="AQ957" i="8"/>
  <c r="AQ951" i="8"/>
  <c r="AQ950" i="8"/>
  <c r="AQ955" i="8"/>
  <c r="AQ966" i="8"/>
  <c r="AQ965" i="8"/>
  <c r="AQ949" i="8"/>
  <c r="AQ952" i="8"/>
  <c r="AQ948" i="8"/>
  <c r="AQ964" i="8"/>
  <c r="AQ947" i="8"/>
  <c r="AQ953" i="8"/>
  <c r="AQ967" i="8"/>
  <c r="AQ956" i="8"/>
  <c r="P858" i="10"/>
  <c r="P834" i="10"/>
  <c r="R708" i="7"/>
  <c r="Q861" i="9"/>
  <c r="R941" i="9" s="1"/>
  <c r="Q835" i="9"/>
  <c r="N834" i="7"/>
  <c r="C665" i="7"/>
  <c r="C618" i="7"/>
  <c r="O910" i="6"/>
  <c r="O882" i="6"/>
  <c r="R686" i="8"/>
  <c r="Q903" i="7"/>
  <c r="S970" i="7"/>
  <c r="AR890" i="7"/>
  <c r="AR925" i="7"/>
  <c r="N774" i="10"/>
  <c r="C607" i="10"/>
  <c r="C563" i="10"/>
  <c r="P845" i="8"/>
  <c r="P873" i="8"/>
  <c r="N859" i="10"/>
  <c r="N835" i="10"/>
  <c r="K858" i="6"/>
  <c r="K590" i="6"/>
  <c r="K534" i="6"/>
  <c r="S977" i="7"/>
  <c r="AR897" i="7"/>
  <c r="AR932" i="7"/>
  <c r="N814" i="9"/>
  <c r="P635" i="9"/>
  <c r="P590" i="9"/>
  <c r="M812" i="8"/>
  <c r="D562" i="8"/>
  <c r="D599" i="8"/>
  <c r="L683" i="6"/>
  <c r="N859" i="6"/>
  <c r="L635" i="6"/>
  <c r="N815" i="8"/>
  <c r="H643" i="8"/>
  <c r="H598" i="8"/>
  <c r="L784" i="10"/>
  <c r="P529" i="10"/>
  <c r="P518" i="10"/>
  <c r="E682" i="6"/>
  <c r="B683" i="6"/>
  <c r="N851" i="6"/>
  <c r="B635" i="6"/>
  <c r="N781" i="10"/>
  <c r="L607" i="10"/>
  <c r="L563" i="10"/>
  <c r="I760" i="10"/>
  <c r="N861" i="10"/>
  <c r="N837" i="10"/>
  <c r="Q908" i="6"/>
  <c r="Q864" i="6"/>
  <c r="Q880" i="6"/>
  <c r="J856" i="6"/>
  <c r="H535" i="6"/>
  <c r="H490" i="6"/>
  <c r="Q989" i="6"/>
  <c r="AP944" i="6"/>
  <c r="AP909" i="6"/>
  <c r="AQ952" i="6"/>
  <c r="R997" i="6"/>
  <c r="AQ917" i="6"/>
  <c r="L843" i="7"/>
  <c r="O583" i="7"/>
  <c r="O572" i="7"/>
  <c r="Q842" i="8"/>
  <c r="Q870" i="8"/>
  <c r="Q867" i="9"/>
  <c r="R947" i="9" s="1"/>
  <c r="Q841" i="9"/>
  <c r="M855" i="6"/>
  <c r="G636" i="6"/>
  <c r="G599" i="6"/>
  <c r="R991" i="6"/>
  <c r="AQ946" i="6"/>
  <c r="AQ911" i="6"/>
  <c r="P890" i="7"/>
  <c r="P862" i="7"/>
  <c r="P846" i="7"/>
  <c r="Q949" i="8"/>
  <c r="AP869" i="8"/>
  <c r="AP904" i="8"/>
  <c r="L895" i="7"/>
  <c r="L867" i="7"/>
  <c r="AP980" i="7"/>
  <c r="AP974" i="7"/>
  <c r="AP992" i="7"/>
  <c r="AP985" i="7"/>
  <c r="AP983" i="7"/>
  <c r="AP981" i="7"/>
  <c r="AP990" i="7"/>
  <c r="AP988" i="7"/>
  <c r="AP970" i="7"/>
  <c r="AP993" i="7"/>
  <c r="AP991" i="7"/>
  <c r="AP986" i="7"/>
  <c r="AP984" i="7"/>
  <c r="AP982" i="7"/>
  <c r="AP977" i="7"/>
  <c r="AP971" i="7"/>
  <c r="AP989" i="7"/>
  <c r="AP978" i="7"/>
  <c r="AP976" i="7"/>
  <c r="AP972" i="7"/>
  <c r="AP979" i="7"/>
  <c r="AP975" i="7"/>
  <c r="AP973" i="7"/>
  <c r="AP987" i="7"/>
  <c r="N842" i="7"/>
  <c r="N665" i="7"/>
  <c r="Q664" i="7"/>
  <c r="N618" i="7"/>
  <c r="M682" i="6"/>
  <c r="J683" i="6"/>
  <c r="N857" i="6"/>
  <c r="J635" i="6"/>
  <c r="N854" i="6"/>
  <c r="I682" i="6"/>
  <c r="F683" i="6"/>
  <c r="F635" i="6"/>
  <c r="S978" i="7"/>
  <c r="AR898" i="7"/>
  <c r="AR933" i="7"/>
  <c r="N844" i="7"/>
  <c r="P665" i="7"/>
  <c r="P618" i="7"/>
  <c r="O846" i="8"/>
  <c r="O874" i="8"/>
  <c r="L783" i="10"/>
  <c r="O529" i="10"/>
  <c r="O518" i="10"/>
  <c r="Q955" i="8"/>
  <c r="AP910" i="8"/>
  <c r="AP875" i="8"/>
  <c r="M877" i="8"/>
  <c r="M849" i="8"/>
  <c r="O878" i="8"/>
  <c r="O850" i="8"/>
  <c r="M777" i="10"/>
  <c r="G564" i="10"/>
  <c r="G528" i="10"/>
  <c r="O880" i="6"/>
  <c r="O908" i="6"/>
  <c r="O864" i="6"/>
  <c r="Q948" i="8"/>
  <c r="AP868" i="8"/>
  <c r="AP903" i="8"/>
  <c r="P980" i="7"/>
  <c r="AO935" i="7"/>
  <c r="AO900" i="7"/>
  <c r="AO950" i="6"/>
  <c r="P995" i="6"/>
  <c r="AO915" i="6"/>
  <c r="Q992" i="6"/>
  <c r="AP947" i="6"/>
  <c r="AP912" i="6"/>
  <c r="N894" i="7"/>
  <c r="N866" i="7"/>
  <c r="N778" i="10"/>
  <c r="H607" i="10"/>
  <c r="H563" i="10"/>
  <c r="L842" i="9"/>
  <c r="L868" i="9"/>
  <c r="O898" i="7"/>
  <c r="O870" i="7"/>
  <c r="Q995" i="6"/>
  <c r="AP915" i="6"/>
  <c r="AP950" i="6"/>
  <c r="O683" i="6"/>
  <c r="N861" i="6"/>
  <c r="O635" i="6"/>
  <c r="N912" i="6"/>
  <c r="N884" i="6"/>
  <c r="Q868" i="7"/>
  <c r="Q896" i="7"/>
  <c r="O819" i="8"/>
  <c r="Q652" i="8"/>
  <c r="N653" i="8"/>
  <c r="N642" i="8"/>
  <c r="O891" i="7"/>
  <c r="O863" i="7"/>
  <c r="AQ932" i="7"/>
  <c r="R977" i="7"/>
  <c r="AQ897" i="7"/>
  <c r="P867" i="8"/>
  <c r="P839" i="8"/>
  <c r="P823" i="8"/>
  <c r="O832" i="10"/>
  <c r="O856" i="10"/>
  <c r="R952" i="8"/>
  <c r="AQ907" i="8"/>
  <c r="AQ872" i="8"/>
  <c r="S953" i="8"/>
  <c r="AR908" i="8"/>
  <c r="AR873" i="8"/>
  <c r="R971" i="7"/>
  <c r="AQ891" i="7"/>
  <c r="AQ926" i="7"/>
  <c r="O869" i="9"/>
  <c r="P949" i="9" s="1"/>
  <c r="O843" i="9"/>
  <c r="N869" i="8"/>
  <c r="N841" i="8"/>
  <c r="S981" i="7"/>
  <c r="AR901" i="7"/>
  <c r="AR936" i="7"/>
  <c r="O888" i="6"/>
  <c r="O916" i="6"/>
  <c r="O844" i="8"/>
  <c r="O872" i="8"/>
  <c r="M866" i="10"/>
  <c r="M842" i="10"/>
  <c r="M811" i="9"/>
  <c r="L591" i="9"/>
  <c r="L554" i="9"/>
  <c r="O839" i="10"/>
  <c r="O863" i="10"/>
  <c r="N808" i="9"/>
  <c r="H635" i="9"/>
  <c r="H590" i="9"/>
  <c r="G591" i="9"/>
  <c r="M807" i="9"/>
  <c r="G554" i="9"/>
  <c r="N836" i="7"/>
  <c r="F665" i="7"/>
  <c r="I664" i="7"/>
  <c r="F618" i="7"/>
  <c r="C635" i="9"/>
  <c r="N804" i="9"/>
  <c r="C590" i="9"/>
  <c r="K885" i="6"/>
  <c r="K913" i="6"/>
  <c r="S997" i="6"/>
  <c r="AR917" i="6"/>
  <c r="AR952" i="6"/>
  <c r="AR945" i="6"/>
  <c r="S990" i="6"/>
  <c r="AR910" i="6"/>
  <c r="M872" i="7"/>
  <c r="M900" i="7"/>
  <c r="P870" i="8"/>
  <c r="P842" i="8"/>
  <c r="P600" i="6"/>
  <c r="L862" i="6"/>
  <c r="P589" i="6"/>
  <c r="M775" i="10"/>
  <c r="D564" i="10"/>
  <c r="D528" i="10"/>
  <c r="M818" i="8"/>
  <c r="L599" i="8"/>
  <c r="L562" i="8"/>
  <c r="AR916" i="6"/>
  <c r="AR951" i="6"/>
  <c r="S996" i="6"/>
  <c r="N840" i="7"/>
  <c r="K665" i="7"/>
  <c r="K618" i="7"/>
  <c r="O899" i="7"/>
  <c r="O871" i="7"/>
  <c r="O914" i="6"/>
  <c r="O886" i="6"/>
  <c r="O972" i="7"/>
  <c r="AN927" i="7"/>
  <c r="AN892" i="7"/>
  <c r="O865" i="9"/>
  <c r="P945" i="9" s="1"/>
  <c r="O839" i="9"/>
  <c r="R283" i="7"/>
  <c r="J675" i="7"/>
  <c r="O839" i="7"/>
  <c r="M674" i="7"/>
  <c r="J664" i="7"/>
  <c r="O773" i="10"/>
  <c r="E616" i="10"/>
  <c r="B617" i="10"/>
  <c r="B606" i="10"/>
  <c r="Q951" i="8"/>
  <c r="AP906" i="8"/>
  <c r="AP871" i="8"/>
  <c r="Q974" i="7"/>
  <c r="AP929" i="7"/>
  <c r="AP894" i="7"/>
  <c r="N862" i="9"/>
  <c r="O942" i="9" s="1"/>
  <c r="N836" i="9"/>
  <c r="N817" i="8"/>
  <c r="K643" i="8"/>
  <c r="K598" i="8"/>
  <c r="L852" i="6"/>
  <c r="C600" i="6"/>
  <c r="C589" i="6"/>
  <c r="M811" i="8"/>
  <c r="C599" i="8"/>
  <c r="C562" i="8"/>
  <c r="O860" i="10"/>
  <c r="O836" i="10"/>
  <c r="P957" i="8"/>
  <c r="AO877" i="8"/>
  <c r="AO912" i="8"/>
  <c r="Q957" i="8"/>
  <c r="AP877" i="8"/>
  <c r="AP912" i="8"/>
  <c r="O975" i="7"/>
  <c r="AN930" i="7"/>
  <c r="AN895" i="7"/>
  <c r="O782" i="10"/>
  <c r="N617" i="10"/>
  <c r="Q616" i="10"/>
  <c r="N606" i="10"/>
  <c r="O918" i="6"/>
  <c r="O890" i="6"/>
  <c r="N780" i="10"/>
  <c r="K607" i="10"/>
  <c r="K563" i="10"/>
  <c r="AQ992" i="7"/>
  <c r="AQ985" i="7"/>
  <c r="AQ983" i="7"/>
  <c r="AQ981" i="7"/>
  <c r="AQ990" i="7"/>
  <c r="AQ988" i="7"/>
  <c r="AQ970" i="7"/>
  <c r="AQ993" i="7"/>
  <c r="AQ991" i="7"/>
  <c r="AQ986" i="7"/>
  <c r="AQ984" i="7"/>
  <c r="AQ982" i="7"/>
  <c r="AQ977" i="7"/>
  <c r="AQ971" i="7"/>
  <c r="AQ989" i="7"/>
  <c r="AQ978" i="7"/>
  <c r="AQ976" i="7"/>
  <c r="AQ972" i="7"/>
  <c r="AQ987" i="7"/>
  <c r="AQ979" i="7"/>
  <c r="AQ975" i="7"/>
  <c r="AQ973" i="7"/>
  <c r="AQ980" i="7"/>
  <c r="AQ974" i="7"/>
  <c r="L820" i="8"/>
  <c r="O563" i="8"/>
  <c r="O552" i="8"/>
  <c r="K835" i="7"/>
  <c r="D573" i="7"/>
  <c r="D516" i="7"/>
  <c r="N821" i="8"/>
  <c r="P643" i="8"/>
  <c r="P598" i="8"/>
  <c r="N847" i="8"/>
  <c r="N875" i="8"/>
  <c r="R812" i="7"/>
  <c r="R820" i="7" s="1"/>
  <c r="N683" i="6"/>
  <c r="N860" i="6"/>
  <c r="Q682" i="6"/>
  <c r="N635" i="6"/>
  <c r="O897" i="7"/>
  <c r="O869" i="7"/>
  <c r="N770" i="5"/>
  <c r="N599" i="5"/>
  <c r="Q598" i="5"/>
  <c r="N557" i="5"/>
  <c r="O847" i="5"/>
  <c r="O823" i="5"/>
  <c r="O829" i="5"/>
  <c r="O853" i="5"/>
  <c r="Q849" i="5"/>
  <c r="Q825" i="5"/>
  <c r="M768" i="5"/>
  <c r="K558" i="5"/>
  <c r="K522" i="5"/>
  <c r="M763" i="5"/>
  <c r="D558" i="5"/>
  <c r="D522" i="5"/>
  <c r="O851" i="5"/>
  <c r="O827" i="5"/>
  <c r="Q819" i="5"/>
  <c r="Q843" i="5"/>
  <c r="Q856" i="5" s="1"/>
  <c r="Q774" i="5"/>
  <c r="Q828" i="5"/>
  <c r="Q852" i="5"/>
  <c r="O843" i="5"/>
  <c r="O819" i="5"/>
  <c r="N767" i="5"/>
  <c r="J599" i="5"/>
  <c r="M598" i="5"/>
  <c r="J557" i="5"/>
  <c r="O852" i="5"/>
  <c r="O828" i="5"/>
  <c r="N769" i="5"/>
  <c r="L599" i="5"/>
  <c r="L557" i="5"/>
  <c r="M766" i="5"/>
  <c r="H558" i="5"/>
  <c r="H522" i="5"/>
  <c r="M772" i="5"/>
  <c r="P558" i="5"/>
  <c r="P522" i="5"/>
  <c r="N845" i="5"/>
  <c r="N821" i="5"/>
  <c r="R685" i="5"/>
  <c r="M761" i="5"/>
  <c r="E557" i="5"/>
  <c r="B558" i="5"/>
  <c r="B522" i="5"/>
  <c r="O764" i="5"/>
  <c r="F609" i="5"/>
  <c r="I608" i="5"/>
  <c r="R608" i="5" s="1"/>
  <c r="F598" i="5"/>
  <c r="L762" i="5"/>
  <c r="C523" i="5"/>
  <c r="C512" i="5"/>
  <c r="Q846" i="5"/>
  <c r="Q822" i="5"/>
  <c r="N848" i="5"/>
  <c r="N824" i="5"/>
  <c r="N854" i="5"/>
  <c r="N830" i="5"/>
  <c r="O849" i="5"/>
  <c r="O825" i="5"/>
  <c r="P846" i="5"/>
  <c r="P856" i="5" s="1"/>
  <c r="P822" i="5"/>
  <c r="N765" i="5"/>
  <c r="G599" i="5"/>
  <c r="G557" i="5"/>
  <c r="M844" i="5"/>
  <c r="M820" i="5"/>
  <c r="N771" i="5"/>
  <c r="O599" i="5"/>
  <c r="O557" i="5"/>
  <c r="N843" i="5"/>
  <c r="N819" i="5"/>
  <c r="N828" i="4"/>
  <c r="N804" i="4"/>
  <c r="P821" i="4"/>
  <c r="P752" i="4"/>
  <c r="P797" i="4"/>
  <c r="O807" i="4"/>
  <c r="O831" i="4"/>
  <c r="N823" i="4"/>
  <c r="N799" i="4"/>
  <c r="Q827" i="4"/>
  <c r="Q803" i="4"/>
  <c r="O742" i="4"/>
  <c r="I589" i="4"/>
  <c r="F590" i="4"/>
  <c r="F579" i="4"/>
  <c r="Q821" i="4"/>
  <c r="Q834" i="4" s="1"/>
  <c r="Q797" i="4"/>
  <c r="Q752" i="4"/>
  <c r="O750" i="4"/>
  <c r="P590" i="4"/>
  <c r="P579" i="4"/>
  <c r="N743" i="4"/>
  <c r="G580" i="4"/>
  <c r="G540" i="4"/>
  <c r="N830" i="4"/>
  <c r="N806" i="4"/>
  <c r="M747" i="4"/>
  <c r="L541" i="4"/>
  <c r="L505" i="4"/>
  <c r="L740" i="4"/>
  <c r="C506" i="4"/>
  <c r="C495" i="4"/>
  <c r="O825" i="4"/>
  <c r="O801" i="4"/>
  <c r="P824" i="4"/>
  <c r="P800" i="4"/>
  <c r="O826" i="4"/>
  <c r="O802" i="4"/>
  <c r="M746" i="4"/>
  <c r="K541" i="4"/>
  <c r="K505" i="4"/>
  <c r="Q832" i="4"/>
  <c r="Q808" i="4"/>
  <c r="O739" i="4"/>
  <c r="B590" i="4"/>
  <c r="E589" i="4"/>
  <c r="B579" i="4"/>
  <c r="N829" i="4"/>
  <c r="N805" i="4"/>
  <c r="M798" i="4"/>
  <c r="M822" i="4"/>
  <c r="O745" i="4"/>
  <c r="J590" i="4"/>
  <c r="M589" i="4"/>
  <c r="J579" i="4"/>
  <c r="M748" i="4"/>
  <c r="N541" i="4"/>
  <c r="N505" i="4"/>
  <c r="N749" i="4"/>
  <c r="O580" i="4"/>
  <c r="O540" i="4"/>
  <c r="M741" i="4"/>
  <c r="D541" i="4"/>
  <c r="D505" i="4"/>
  <c r="O806" i="4"/>
  <c r="O830" i="4"/>
  <c r="H580" i="4"/>
  <c r="N744" i="4"/>
  <c r="H540" i="4"/>
  <c r="C505" i="3"/>
  <c r="L742" i="3"/>
  <c r="C494" i="3"/>
  <c r="L831" i="3"/>
  <c r="Q885" i="3" s="1"/>
  <c r="L807" i="3"/>
  <c r="P826" i="3"/>
  <c r="P836" i="3" s="1"/>
  <c r="P802" i="3"/>
  <c r="O810" i="3"/>
  <c r="O834" i="3"/>
  <c r="P754" i="3"/>
  <c r="R664" i="3"/>
  <c r="O828" i="3"/>
  <c r="O804" i="3"/>
  <c r="M751" i="3"/>
  <c r="O540" i="3"/>
  <c r="O504" i="3"/>
  <c r="M748" i="3"/>
  <c r="K540" i="3"/>
  <c r="K504" i="3"/>
  <c r="Q823" i="3"/>
  <c r="Q836" i="3" s="1"/>
  <c r="Q799" i="3"/>
  <c r="Q754" i="3"/>
  <c r="K749" i="3"/>
  <c r="L495" i="3"/>
  <c r="L443" i="3"/>
  <c r="N752" i="3"/>
  <c r="P579" i="3"/>
  <c r="P539" i="3"/>
  <c r="M824" i="3"/>
  <c r="M800" i="3"/>
  <c r="Q808" i="3"/>
  <c r="Q832" i="3"/>
  <c r="O741" i="3"/>
  <c r="E588" i="3"/>
  <c r="B589" i="3"/>
  <c r="B578" i="3"/>
  <c r="Q578" i="3"/>
  <c r="N833" i="3"/>
  <c r="N809" i="3"/>
  <c r="O747" i="3"/>
  <c r="J589" i="3"/>
  <c r="M588" i="3"/>
  <c r="J578" i="3"/>
  <c r="N745" i="3"/>
  <c r="G579" i="3"/>
  <c r="G539" i="3"/>
  <c r="N830" i="3"/>
  <c r="N806" i="3"/>
  <c r="Q829" i="3"/>
  <c r="Q805" i="3"/>
  <c r="L750" i="3"/>
  <c r="N505" i="3"/>
  <c r="N494" i="3"/>
  <c r="N746" i="3"/>
  <c r="H579" i="3"/>
  <c r="H539" i="3"/>
  <c r="N743" i="3"/>
  <c r="D579" i="3"/>
  <c r="D539" i="3"/>
  <c r="O832" i="3"/>
  <c r="O808" i="3"/>
  <c r="O825" i="3"/>
  <c r="O801" i="3"/>
  <c r="N832" i="3"/>
  <c r="N808" i="3"/>
  <c r="O827" i="3"/>
  <c r="O803" i="3"/>
  <c r="O744" i="3"/>
  <c r="I588" i="3"/>
  <c r="F589" i="3"/>
  <c r="F578" i="3"/>
  <c r="M832" i="3"/>
  <c r="M808" i="3"/>
  <c r="O841" i="2"/>
  <c r="O817" i="2"/>
  <c r="O761" i="2"/>
  <c r="F606" i="2"/>
  <c r="I605" i="2"/>
  <c r="R605" i="2" s="1"/>
  <c r="F595" i="2"/>
  <c r="K763" i="2"/>
  <c r="H512" i="2"/>
  <c r="H463" i="2"/>
  <c r="N760" i="2"/>
  <c r="D596" i="2"/>
  <c r="D556" i="2"/>
  <c r="O840" i="2"/>
  <c r="O816" i="2"/>
  <c r="M758" i="2"/>
  <c r="E556" i="2"/>
  <c r="B557" i="2"/>
  <c r="B521" i="2"/>
  <c r="L851" i="2"/>
  <c r="Q905" i="2" s="1"/>
  <c r="S876" i="2" s="1"/>
  <c r="L827" i="2"/>
  <c r="O764" i="2"/>
  <c r="M605" i="2"/>
  <c r="J606" i="2"/>
  <c r="J595" i="2"/>
  <c r="P843" i="2"/>
  <c r="P819" i="2"/>
  <c r="O767" i="2"/>
  <c r="N606" i="2"/>
  <c r="Q605" i="2"/>
  <c r="N595" i="2"/>
  <c r="L596" i="2"/>
  <c r="N766" i="2"/>
  <c r="L556" i="2"/>
  <c r="N762" i="2"/>
  <c r="G596" i="2"/>
  <c r="G556" i="2"/>
  <c r="Q840" i="2"/>
  <c r="Q816" i="2"/>
  <c r="Q771" i="2"/>
  <c r="N768" i="2"/>
  <c r="O596" i="2"/>
  <c r="O556" i="2"/>
  <c r="Q846" i="2"/>
  <c r="Q822" i="2"/>
  <c r="N759" i="2"/>
  <c r="C596" i="2"/>
  <c r="C556" i="2"/>
  <c r="O826" i="2"/>
  <c r="O850" i="2"/>
  <c r="K769" i="2"/>
  <c r="P512" i="2"/>
  <c r="P463" i="2"/>
  <c r="L845" i="2"/>
  <c r="Q899" i="2" s="1"/>
  <c r="S870" i="2" s="1"/>
  <c r="L821" i="2"/>
  <c r="O842" i="2"/>
  <c r="O818" i="2"/>
  <c r="N765" i="2"/>
  <c r="K596" i="2"/>
  <c r="K556" i="2"/>
  <c r="N840" i="2"/>
  <c r="N816" i="2"/>
  <c r="O824" i="2"/>
  <c r="O848" i="2"/>
  <c r="P849" i="2"/>
  <c r="P853" i="2" s="1"/>
  <c r="P825" i="2"/>
  <c r="O823" i="2"/>
  <c r="O847" i="2"/>
  <c r="O844" i="2"/>
  <c r="O820" i="2"/>
  <c r="R682" i="6" l="1"/>
  <c r="AQ994" i="7"/>
  <c r="Q1023" i="15"/>
  <c r="AR1115" i="14"/>
  <c r="AQ1115" i="14"/>
  <c r="AR1084" i="13"/>
  <c r="AQ971" i="8"/>
  <c r="AR971" i="8"/>
  <c r="AP994" i="7"/>
  <c r="AO994" i="7"/>
  <c r="AP1046" i="11"/>
  <c r="AO1046" i="11"/>
  <c r="AN1046" i="11"/>
  <c r="AQ1046" i="11"/>
  <c r="AQ1072" i="12"/>
  <c r="AQ1012" i="12"/>
  <c r="AQ977" i="12"/>
  <c r="R1057" i="12"/>
  <c r="P1096" i="14"/>
  <c r="AO1051" i="14"/>
  <c r="AO1016" i="14"/>
  <c r="S1100" i="14"/>
  <c r="AR1055" i="14"/>
  <c r="AR1020" i="14"/>
  <c r="M960" i="15"/>
  <c r="K728" i="15"/>
  <c r="K691" i="15"/>
  <c r="N949" i="11"/>
  <c r="N921" i="11"/>
  <c r="Q1063" i="13"/>
  <c r="AP1018" i="13"/>
  <c r="AP983" i="13"/>
  <c r="M944" i="11"/>
  <c r="M916" i="11"/>
  <c r="Q1061" i="13"/>
  <c r="AP981" i="13"/>
  <c r="AP1016" i="13"/>
  <c r="AO969" i="12"/>
  <c r="AO1004" i="12"/>
  <c r="P1049" i="12"/>
  <c r="AP1055" i="14"/>
  <c r="Q1100" i="14"/>
  <c r="AP1020" i="14"/>
  <c r="M1020" i="14"/>
  <c r="M992" i="14"/>
  <c r="AO1011" i="12"/>
  <c r="P1056" i="12"/>
  <c r="AO976" i="12"/>
  <c r="O986" i="13"/>
  <c r="O958" i="13"/>
  <c r="N955" i="13"/>
  <c r="N983" i="13"/>
  <c r="N1011" i="14"/>
  <c r="N983" i="14"/>
  <c r="R1025" i="11"/>
  <c r="AQ980" i="11"/>
  <c r="AQ945" i="11"/>
  <c r="L912" i="12"/>
  <c r="C655" i="12"/>
  <c r="C644" i="12"/>
  <c r="R789" i="15"/>
  <c r="J918" i="12"/>
  <c r="K581" i="12"/>
  <c r="K535" i="12"/>
  <c r="Q1065" i="13"/>
  <c r="AP1020" i="13"/>
  <c r="AP985" i="13"/>
  <c r="L919" i="12"/>
  <c r="L655" i="12"/>
  <c r="L644" i="12"/>
  <c r="AR951" i="11"/>
  <c r="AR986" i="11"/>
  <c r="S1031" i="11"/>
  <c r="N888" i="11"/>
  <c r="I715" i="11"/>
  <c r="F716" i="11"/>
  <c r="F667" i="11"/>
  <c r="M945" i="12"/>
  <c r="M973" i="12"/>
  <c r="M715" i="11"/>
  <c r="N891" i="11"/>
  <c r="J716" i="11"/>
  <c r="J667" i="11"/>
  <c r="N958" i="15"/>
  <c r="H780" i="15"/>
  <c r="H727" i="15"/>
  <c r="AR1003" i="12"/>
  <c r="S1048" i="12"/>
  <c r="AR968" i="12"/>
  <c r="L1015" i="14"/>
  <c r="L987" i="14"/>
  <c r="AR1049" i="14"/>
  <c r="S1094" i="14"/>
  <c r="AR1014" i="14"/>
  <c r="O701" i="13"/>
  <c r="M933" i="13"/>
  <c r="O664" i="13"/>
  <c r="N972" i="12"/>
  <c r="N944" i="12"/>
  <c r="M979" i="12"/>
  <c r="M951" i="12"/>
  <c r="M1016" i="14"/>
  <c r="M988" i="14"/>
  <c r="P1023" i="15"/>
  <c r="G622" i="11"/>
  <c r="K889" i="11"/>
  <c r="G563" i="11"/>
  <c r="N962" i="15"/>
  <c r="Q779" i="15"/>
  <c r="N780" i="15"/>
  <c r="N727" i="15"/>
  <c r="N950" i="12"/>
  <c r="N978" i="12"/>
  <c r="B665" i="13"/>
  <c r="L923" i="13"/>
  <c r="E664" i="13"/>
  <c r="B654" i="13"/>
  <c r="L896" i="11"/>
  <c r="P632" i="11"/>
  <c r="P621" i="11"/>
  <c r="N983" i="15"/>
  <c r="N1011" i="15"/>
  <c r="AM1010" i="12"/>
  <c r="AM975" i="12"/>
  <c r="N1055" i="12"/>
  <c r="AW939" i="12"/>
  <c r="N957" i="14"/>
  <c r="F783" i="14"/>
  <c r="I782" i="14"/>
  <c r="F730" i="14"/>
  <c r="N917" i="12"/>
  <c r="J742" i="12"/>
  <c r="M741" i="12"/>
  <c r="J690" i="12"/>
  <c r="O982" i="15"/>
  <c r="O1010" i="15"/>
  <c r="O966" i="15"/>
  <c r="N1018" i="15"/>
  <c r="N990" i="15"/>
  <c r="AP1114" i="14"/>
  <c r="AP1112" i="14"/>
  <c r="AP1106" i="14"/>
  <c r="AP1105" i="14"/>
  <c r="AP1096" i="14"/>
  <c r="AP1113" i="14"/>
  <c r="AP1109" i="14"/>
  <c r="AP1108" i="14"/>
  <c r="AP1107" i="14"/>
  <c r="AP1104" i="14"/>
  <c r="AP1094" i="14"/>
  <c r="AP1092" i="14"/>
  <c r="AP1110" i="14"/>
  <c r="AP1101" i="14"/>
  <c r="AP1099" i="14"/>
  <c r="AP1111" i="14"/>
  <c r="AP1103" i="14"/>
  <c r="AP1097" i="14"/>
  <c r="AP1095" i="14"/>
  <c r="AP1093" i="14"/>
  <c r="AP1091" i="14"/>
  <c r="AP1098" i="14"/>
  <c r="AP1100" i="14"/>
  <c r="AP1102" i="14"/>
  <c r="M928" i="13"/>
  <c r="H701" i="13"/>
  <c r="H664" i="13"/>
  <c r="S1025" i="11"/>
  <c r="AR980" i="11"/>
  <c r="AR945" i="11"/>
  <c r="N1017" i="15"/>
  <c r="N989" i="15"/>
  <c r="O1016" i="15"/>
  <c r="O988" i="15"/>
  <c r="K956" i="14"/>
  <c r="D685" i="14"/>
  <c r="D618" i="14"/>
  <c r="J793" i="14"/>
  <c r="O960" i="14"/>
  <c r="M792" i="14"/>
  <c r="R792" i="14" s="1"/>
  <c r="J782" i="14"/>
  <c r="L946" i="11"/>
  <c r="L918" i="11"/>
  <c r="L913" i="12"/>
  <c r="D655" i="12"/>
  <c r="D644" i="12"/>
  <c r="L955" i="14"/>
  <c r="C695" i="14"/>
  <c r="C684" i="14"/>
  <c r="M953" i="11"/>
  <c r="M925" i="11"/>
  <c r="J955" i="15"/>
  <c r="D616" i="15"/>
  <c r="D570" i="15"/>
  <c r="AO1055" i="14"/>
  <c r="P1100" i="14"/>
  <c r="AO1020" i="14"/>
  <c r="J930" i="13"/>
  <c r="K588" i="13"/>
  <c r="K542" i="13"/>
  <c r="M969" i="12"/>
  <c r="M941" i="12"/>
  <c r="K975" i="12"/>
  <c r="K947" i="12"/>
  <c r="M948" i="12"/>
  <c r="M976" i="12"/>
  <c r="E715" i="11"/>
  <c r="N885" i="11"/>
  <c r="B716" i="11"/>
  <c r="B667" i="11"/>
  <c r="O917" i="11"/>
  <c r="O945" i="11"/>
  <c r="O1015" i="15"/>
  <c r="O987" i="15"/>
  <c r="N914" i="12"/>
  <c r="F742" i="12"/>
  <c r="I741" i="12"/>
  <c r="F690" i="12"/>
  <c r="M927" i="13"/>
  <c r="G701" i="13"/>
  <c r="G664" i="13"/>
  <c r="AQ1082" i="13"/>
  <c r="AQ1075" i="13"/>
  <c r="AQ1073" i="13"/>
  <c r="AQ1071" i="13"/>
  <c r="AQ1069" i="13"/>
  <c r="AQ1067" i="13"/>
  <c r="AQ1080" i="13"/>
  <c r="AQ1078" i="13"/>
  <c r="AQ1065" i="13"/>
  <c r="AQ1063" i="13"/>
  <c r="AQ1061" i="13"/>
  <c r="AQ1079" i="13"/>
  <c r="AQ1066" i="13"/>
  <c r="AQ1077" i="13"/>
  <c r="AQ1074" i="13"/>
  <c r="AQ1064" i="13"/>
  <c r="AQ1083" i="13"/>
  <c r="AQ1081" i="13"/>
  <c r="AQ1072" i="13"/>
  <c r="AQ1070" i="13"/>
  <c r="AQ1068" i="13"/>
  <c r="AQ1076" i="13"/>
  <c r="AQ1062" i="13"/>
  <c r="AQ1060" i="13"/>
  <c r="Q1060" i="13"/>
  <c r="AP1015" i="13"/>
  <c r="O993" i="13"/>
  <c r="AP980" i="13"/>
  <c r="K931" i="13"/>
  <c r="L655" i="13"/>
  <c r="L587" i="13"/>
  <c r="S1066" i="13"/>
  <c r="AR986" i="13"/>
  <c r="AR1021" i="13"/>
  <c r="AR1028" i="13" s="1"/>
  <c r="Q1058" i="12"/>
  <c r="AP1013" i="12"/>
  <c r="AP978" i="12"/>
  <c r="N962" i="13"/>
  <c r="N990" i="13"/>
  <c r="P1092" i="14"/>
  <c r="AO1012" i="14"/>
  <c r="AO1047" i="14"/>
  <c r="P1033" i="11"/>
  <c r="AO953" i="11"/>
  <c r="AO988" i="11"/>
  <c r="O1068" i="13"/>
  <c r="AN1023" i="13"/>
  <c r="AN988" i="13"/>
  <c r="Q1017" i="14"/>
  <c r="Q1024" i="14" s="1"/>
  <c r="Q989" i="14"/>
  <c r="P1101" i="14"/>
  <c r="AO1056" i="14"/>
  <c r="AO1021" i="14"/>
  <c r="AM1045" i="11"/>
  <c r="AM1043" i="11"/>
  <c r="AM1038" i="11"/>
  <c r="AM1036" i="11"/>
  <c r="AM1034" i="11"/>
  <c r="AM1032" i="11"/>
  <c r="AM1030" i="11"/>
  <c r="AM1041" i="11"/>
  <c r="AM1028" i="11"/>
  <c r="AM1039" i="11"/>
  <c r="AM1026" i="11"/>
  <c r="AM1024" i="11"/>
  <c r="AM1022" i="11"/>
  <c r="AM1044" i="11"/>
  <c r="AM1037" i="11"/>
  <c r="AM1035" i="11"/>
  <c r="AM1033" i="11"/>
  <c r="AM1031" i="11"/>
  <c r="AM1029" i="11"/>
  <c r="AM1042" i="11"/>
  <c r="AM1040" i="11"/>
  <c r="AM1027" i="11"/>
  <c r="AM1023" i="11"/>
  <c r="AM1025" i="11"/>
  <c r="O1014" i="14"/>
  <c r="O986" i="14"/>
  <c r="J895" i="11"/>
  <c r="O564" i="11"/>
  <c r="O519" i="11"/>
  <c r="O974" i="12"/>
  <c r="O946" i="12"/>
  <c r="L964" i="15"/>
  <c r="P692" i="15"/>
  <c r="P681" i="15"/>
  <c r="N1062" i="13"/>
  <c r="AW946" i="13"/>
  <c r="AM1017" i="13"/>
  <c r="AM982" i="13"/>
  <c r="Q1064" i="13"/>
  <c r="AP984" i="13"/>
  <c r="AP1019" i="13"/>
  <c r="AQ948" i="11"/>
  <c r="R1028" i="11"/>
  <c r="AQ983" i="11"/>
  <c r="N957" i="13"/>
  <c r="N985" i="13"/>
  <c r="O948" i="11"/>
  <c r="O920" i="11"/>
  <c r="P981" i="12"/>
  <c r="AQ968" i="12"/>
  <c r="R1048" i="12"/>
  <c r="AQ1003" i="12"/>
  <c r="D588" i="13"/>
  <c r="J925" i="13"/>
  <c r="D542" i="13"/>
  <c r="S1022" i="11"/>
  <c r="AR977" i="11"/>
  <c r="AR990" i="11" s="1"/>
  <c r="Q955" i="11"/>
  <c r="AR942" i="11"/>
  <c r="AR955" i="11" s="1"/>
  <c r="O943" i="12"/>
  <c r="O971" i="12"/>
  <c r="N956" i="15"/>
  <c r="F780" i="15"/>
  <c r="I779" i="15"/>
  <c r="F727" i="15"/>
  <c r="L960" i="13"/>
  <c r="L988" i="13"/>
  <c r="Q1099" i="14"/>
  <c r="AP1054" i="14"/>
  <c r="AP1019" i="14"/>
  <c r="N911" i="12"/>
  <c r="E741" i="12"/>
  <c r="B742" i="12"/>
  <c r="B690" i="12"/>
  <c r="L1013" i="14"/>
  <c r="L985" i="14"/>
  <c r="AQ1006" i="12"/>
  <c r="R1051" i="12"/>
  <c r="AQ971" i="12"/>
  <c r="M962" i="14"/>
  <c r="L731" i="14"/>
  <c r="L694" i="14"/>
  <c r="L632" i="11"/>
  <c r="L893" i="11"/>
  <c r="L621" i="11"/>
  <c r="O991" i="15"/>
  <c r="O1019" i="15"/>
  <c r="M942" i="12"/>
  <c r="M970" i="12"/>
  <c r="M980" i="13"/>
  <c r="M952" i="13"/>
  <c r="M1012" i="14"/>
  <c r="M984" i="14"/>
  <c r="K1012" i="15"/>
  <c r="K984" i="15"/>
  <c r="AQ1059" i="14"/>
  <c r="K987" i="13"/>
  <c r="K959" i="13"/>
  <c r="O1095" i="14"/>
  <c r="AN1015" i="14"/>
  <c r="AN1050" i="14"/>
  <c r="Q967" i="14"/>
  <c r="R725" i="11"/>
  <c r="L961" i="14"/>
  <c r="K695" i="14"/>
  <c r="K684" i="14"/>
  <c r="N920" i="12"/>
  <c r="N742" i="12"/>
  <c r="Q741" i="12"/>
  <c r="N690" i="12"/>
  <c r="N716" i="11"/>
  <c r="Q715" i="11"/>
  <c r="N894" i="11"/>
  <c r="N667" i="11"/>
  <c r="N984" i="13"/>
  <c r="N956" i="13"/>
  <c r="Q949" i="12"/>
  <c r="Q977" i="12"/>
  <c r="P1050" i="12"/>
  <c r="AO1005" i="12"/>
  <c r="AO970" i="12"/>
  <c r="AO979" i="11"/>
  <c r="AO944" i="11"/>
  <c r="P1024" i="11"/>
  <c r="O940" i="12"/>
  <c r="O968" i="12"/>
  <c r="O924" i="12"/>
  <c r="AP1046" i="14"/>
  <c r="Q1091" i="14"/>
  <c r="AP1011" i="14"/>
  <c r="N1019" i="14"/>
  <c r="N991" i="14"/>
  <c r="AM987" i="11"/>
  <c r="AM952" i="11"/>
  <c r="N1032" i="11"/>
  <c r="AW916" i="11"/>
  <c r="AP1057" i="14"/>
  <c r="Q1102" i="14"/>
  <c r="AP1022" i="14"/>
  <c r="L963" i="14"/>
  <c r="N695" i="14"/>
  <c r="N684" i="14"/>
  <c r="AQ1024" i="14"/>
  <c r="M924" i="13"/>
  <c r="C701" i="13"/>
  <c r="C664" i="13"/>
  <c r="I700" i="13"/>
  <c r="M926" i="13"/>
  <c r="F701" i="13"/>
  <c r="F664" i="13"/>
  <c r="I886" i="11"/>
  <c r="C520" i="11"/>
  <c r="C478" i="11"/>
  <c r="C477" i="11" s="1"/>
  <c r="C476" i="11" s="1"/>
  <c r="C475" i="11" s="1"/>
  <c r="C474" i="11" s="1"/>
  <c r="C473" i="11" s="1"/>
  <c r="C471" i="11"/>
  <c r="K952" i="11"/>
  <c r="K924" i="11"/>
  <c r="AQ993" i="13"/>
  <c r="M965" i="14"/>
  <c r="P731" i="14"/>
  <c r="P694" i="14"/>
  <c r="Q694" i="14" s="1"/>
  <c r="M963" i="15"/>
  <c r="O691" i="15"/>
  <c r="O728" i="15"/>
  <c r="M993" i="15"/>
  <c r="M1021" i="15"/>
  <c r="M934" i="13"/>
  <c r="P701" i="13"/>
  <c r="P664" i="13"/>
  <c r="AO973" i="12"/>
  <c r="P1053" i="12"/>
  <c r="AO1008" i="12"/>
  <c r="AR1046" i="14"/>
  <c r="S1091" i="14"/>
  <c r="AR1011" i="14"/>
  <c r="O942" i="11"/>
  <c r="O898" i="11"/>
  <c r="O914" i="11"/>
  <c r="P1027" i="11"/>
  <c r="AO982" i="11"/>
  <c r="AO947" i="11"/>
  <c r="M957" i="15"/>
  <c r="G691" i="15"/>
  <c r="G728" i="15"/>
  <c r="AO1014" i="12"/>
  <c r="P1059" i="12"/>
  <c r="AO979" i="12"/>
  <c r="K982" i="13"/>
  <c r="K954" i="13"/>
  <c r="AP984" i="11"/>
  <c r="Q1029" i="11"/>
  <c r="AP949" i="11"/>
  <c r="Q1052" i="12"/>
  <c r="AP972" i="12"/>
  <c r="AP1007" i="12"/>
  <c r="H632" i="11"/>
  <c r="L890" i="11"/>
  <c r="H621" i="11"/>
  <c r="K668" i="11"/>
  <c r="M892" i="11"/>
  <c r="K631" i="11"/>
  <c r="O1026" i="11"/>
  <c r="AN981" i="11"/>
  <c r="AN946" i="11"/>
  <c r="L887" i="11"/>
  <c r="D632" i="11"/>
  <c r="D621" i="11"/>
  <c r="AL978" i="11"/>
  <c r="M1023" i="11"/>
  <c r="AL943" i="11"/>
  <c r="M922" i="11"/>
  <c r="M950" i="11"/>
  <c r="N1067" i="13"/>
  <c r="AM987" i="13"/>
  <c r="AM1022" i="13"/>
  <c r="AW951" i="13"/>
  <c r="L964" i="14"/>
  <c r="O695" i="14"/>
  <c r="O684" i="14"/>
  <c r="R1022" i="11"/>
  <c r="AQ977" i="11"/>
  <c r="P955" i="11"/>
  <c r="AQ942" i="11"/>
  <c r="N953" i="13"/>
  <c r="N981" i="13"/>
  <c r="AP1024" i="13"/>
  <c r="AP989" i="13"/>
  <c r="Q1069" i="13"/>
  <c r="M954" i="14"/>
  <c r="E730" i="14"/>
  <c r="B731" i="14"/>
  <c r="B694" i="14"/>
  <c r="AQ1028" i="13"/>
  <c r="N953" i="15"/>
  <c r="E779" i="15"/>
  <c r="B780" i="15"/>
  <c r="B727" i="15"/>
  <c r="AR993" i="13"/>
  <c r="AO1053" i="14"/>
  <c r="P1098" i="14"/>
  <c r="AO1018" i="14"/>
  <c r="L916" i="12"/>
  <c r="H655" i="12"/>
  <c r="H644" i="12"/>
  <c r="Q700" i="13"/>
  <c r="M932" i="13"/>
  <c r="N701" i="13"/>
  <c r="N664" i="13"/>
  <c r="Q1070" i="13"/>
  <c r="AP1025" i="13"/>
  <c r="AP990" i="13"/>
  <c r="M1018" i="14"/>
  <c r="M990" i="14"/>
  <c r="O977" i="12"/>
  <c r="O949" i="12"/>
  <c r="O1093" i="14"/>
  <c r="AN1048" i="14"/>
  <c r="AN1013" i="14"/>
  <c r="O951" i="11"/>
  <c r="O923" i="11"/>
  <c r="K958" i="14"/>
  <c r="G685" i="14"/>
  <c r="G618" i="14"/>
  <c r="P1060" i="13"/>
  <c r="AO1015" i="13"/>
  <c r="AO980" i="13"/>
  <c r="O985" i="15"/>
  <c r="O1013" i="15"/>
  <c r="N959" i="15"/>
  <c r="M779" i="15"/>
  <c r="J780" i="15"/>
  <c r="J727" i="15"/>
  <c r="M947" i="11"/>
  <c r="M919" i="11"/>
  <c r="M915" i="12"/>
  <c r="G691" i="12"/>
  <c r="G654" i="12"/>
  <c r="R751" i="12"/>
  <c r="L922" i="12"/>
  <c r="P655" i="12"/>
  <c r="P644" i="12"/>
  <c r="P1030" i="11"/>
  <c r="AO950" i="11"/>
  <c r="AO985" i="11"/>
  <c r="L959" i="14"/>
  <c r="H695" i="14"/>
  <c r="H684" i="14"/>
  <c r="S13" i="13"/>
  <c r="T13" i="13" s="1"/>
  <c r="R1054" i="12"/>
  <c r="AQ1009" i="12"/>
  <c r="AQ974" i="12"/>
  <c r="M921" i="12"/>
  <c r="O691" i="12"/>
  <c r="O654" i="12"/>
  <c r="M993" i="14"/>
  <c r="M1021" i="14"/>
  <c r="Q946" i="12"/>
  <c r="Q974" i="12"/>
  <c r="M954" i="15"/>
  <c r="C728" i="15"/>
  <c r="C691" i="15"/>
  <c r="AP1026" i="13"/>
  <c r="Q1071" i="13"/>
  <c r="AP991" i="13"/>
  <c r="J754" i="13"/>
  <c r="M753" i="13"/>
  <c r="R753" i="13" s="1"/>
  <c r="N929" i="13"/>
  <c r="J700" i="13"/>
  <c r="J943" i="11"/>
  <c r="J915" i="11"/>
  <c r="N1022" i="14"/>
  <c r="N994" i="14"/>
  <c r="N1020" i="15"/>
  <c r="N992" i="15"/>
  <c r="N963" i="13"/>
  <c r="N991" i="13"/>
  <c r="Q993" i="13"/>
  <c r="AQ986" i="11"/>
  <c r="R1031" i="11"/>
  <c r="AQ951" i="11"/>
  <c r="M961" i="15"/>
  <c r="L728" i="15"/>
  <c r="L691" i="15"/>
  <c r="N961" i="13"/>
  <c r="N989" i="13"/>
  <c r="N1014" i="15"/>
  <c r="N986" i="15"/>
  <c r="M868" i="8"/>
  <c r="M840" i="8"/>
  <c r="AP897" i="7"/>
  <c r="AP932" i="7"/>
  <c r="Q977" i="7"/>
  <c r="M821" i="8"/>
  <c r="P562" i="8"/>
  <c r="P599" i="8"/>
  <c r="L849" i="8"/>
  <c r="L877" i="8"/>
  <c r="K852" i="6"/>
  <c r="C590" i="6"/>
  <c r="C534" i="6"/>
  <c r="R616" i="10"/>
  <c r="K619" i="7"/>
  <c r="M840" i="7"/>
  <c r="K582" i="7"/>
  <c r="M875" i="8"/>
  <c r="M847" i="8"/>
  <c r="N863" i="9"/>
  <c r="O943" i="9" s="1"/>
  <c r="N837" i="9"/>
  <c r="Q952" i="8"/>
  <c r="AP872" i="8"/>
  <c r="AP907" i="8"/>
  <c r="P949" i="8"/>
  <c r="AO869" i="8"/>
  <c r="AO904" i="8"/>
  <c r="R947" i="8"/>
  <c r="AQ867" i="8"/>
  <c r="P880" i="8"/>
  <c r="AQ902" i="8"/>
  <c r="M778" i="10"/>
  <c r="H564" i="10"/>
  <c r="H528" i="10"/>
  <c r="Q958" i="8"/>
  <c r="AP878" i="8"/>
  <c r="AP913" i="8"/>
  <c r="L865" i="10"/>
  <c r="U895" i="10" s="1"/>
  <c r="S865" i="10" s="1"/>
  <c r="L841" i="10"/>
  <c r="L855" i="6"/>
  <c r="G600" i="6"/>
  <c r="G589" i="6"/>
  <c r="I856" i="6"/>
  <c r="H450" i="6"/>
  <c r="H449" i="6" s="1"/>
  <c r="H448" i="6" s="1"/>
  <c r="H447" i="6" s="1"/>
  <c r="H446" i="6" s="1"/>
  <c r="H445" i="6" s="1"/>
  <c r="H491" i="6"/>
  <c r="H443" i="6"/>
  <c r="K784" i="10"/>
  <c r="P519" i="10"/>
  <c r="P465" i="10"/>
  <c r="O870" i="8"/>
  <c r="O842" i="8"/>
  <c r="L837" i="7"/>
  <c r="G583" i="7"/>
  <c r="G572" i="7"/>
  <c r="AM892" i="7"/>
  <c r="N972" i="7"/>
  <c r="AM927" i="7"/>
  <c r="AW856" i="7"/>
  <c r="Q973" i="7"/>
  <c r="AP893" i="7"/>
  <c r="AP928" i="7"/>
  <c r="N810" i="8"/>
  <c r="E642" i="8"/>
  <c r="B643" i="8"/>
  <c r="B598" i="8"/>
  <c r="AR911" i="8"/>
  <c r="AR876" i="8"/>
  <c r="S956" i="8"/>
  <c r="N591" i="9"/>
  <c r="N554" i="9"/>
  <c r="Q590" i="9"/>
  <c r="M812" i="9"/>
  <c r="O858" i="10"/>
  <c r="O834" i="10"/>
  <c r="M810" i="9"/>
  <c r="K591" i="9"/>
  <c r="K554" i="9"/>
  <c r="N803" i="9"/>
  <c r="E634" i="9"/>
  <c r="B635" i="9"/>
  <c r="B590" i="9"/>
  <c r="O838" i="9"/>
  <c r="O864" i="9"/>
  <c r="P944" i="9" s="1"/>
  <c r="N636" i="6"/>
  <c r="M860" i="6"/>
  <c r="Q635" i="6"/>
  <c r="N599" i="6"/>
  <c r="M780" i="10"/>
  <c r="K528" i="10"/>
  <c r="K564" i="10"/>
  <c r="O864" i="10"/>
  <c r="O840" i="10"/>
  <c r="O855" i="10"/>
  <c r="O868" i="10" s="1"/>
  <c r="O831" i="10"/>
  <c r="O786" i="10"/>
  <c r="AP13" i="9"/>
  <c r="AN13" i="9"/>
  <c r="AK13" i="9"/>
  <c r="AE13" i="9"/>
  <c r="AL13" i="9"/>
  <c r="AI13" i="9"/>
  <c r="AH13" i="9"/>
  <c r="AO13" i="9"/>
  <c r="AF13" i="9"/>
  <c r="AM13" i="9"/>
  <c r="AG13" i="9"/>
  <c r="AD13" i="9"/>
  <c r="R950" i="8"/>
  <c r="AQ870" i="8"/>
  <c r="AQ905" i="8"/>
  <c r="O876" i="8"/>
  <c r="O848" i="8"/>
  <c r="Q954" i="8"/>
  <c r="AP909" i="8"/>
  <c r="AP874" i="8"/>
  <c r="M854" i="6"/>
  <c r="I635" i="6"/>
  <c r="F636" i="6"/>
  <c r="F599" i="6"/>
  <c r="Q618" i="7"/>
  <c r="N582" i="7"/>
  <c r="M842" i="7"/>
  <c r="N619" i="7"/>
  <c r="AP957" i="8"/>
  <c r="AP951" i="8"/>
  <c r="AP967" i="8"/>
  <c r="AP965" i="8"/>
  <c r="AP964" i="8"/>
  <c r="AP956" i="8"/>
  <c r="AP952" i="8"/>
  <c r="AP950" i="8"/>
  <c r="AP948" i="8"/>
  <c r="AP959" i="8"/>
  <c r="AP958" i="8"/>
  <c r="AP968" i="8"/>
  <c r="AP961" i="8"/>
  <c r="AP960" i="8"/>
  <c r="AP955" i="8"/>
  <c r="AP954" i="8"/>
  <c r="AP947" i="8"/>
  <c r="AP971" i="8" s="1"/>
  <c r="AP953" i="8"/>
  <c r="AP970" i="8"/>
  <c r="AP966" i="8"/>
  <c r="AP963" i="8"/>
  <c r="AP949" i="8"/>
  <c r="AP969" i="8"/>
  <c r="AP962" i="8"/>
  <c r="L900" i="7"/>
  <c r="L872" i="7"/>
  <c r="M781" i="10"/>
  <c r="L564" i="10"/>
  <c r="L528" i="10"/>
  <c r="M774" i="10"/>
  <c r="C564" i="10"/>
  <c r="C528" i="10"/>
  <c r="L619" i="7"/>
  <c r="L582" i="7"/>
  <c r="M841" i="7"/>
  <c r="N861" i="9"/>
  <c r="O941" i="9" s="1"/>
  <c r="N835" i="9"/>
  <c r="AP936" i="7"/>
  <c r="Q981" i="7"/>
  <c r="AP901" i="7"/>
  <c r="E664" i="7"/>
  <c r="B665" i="7"/>
  <c r="N833" i="7"/>
  <c r="B618" i="7"/>
  <c r="R652" i="8"/>
  <c r="N865" i="9"/>
  <c r="O945" i="9" s="1"/>
  <c r="N839" i="9"/>
  <c r="R644" i="9"/>
  <c r="N805" i="9"/>
  <c r="D635" i="9"/>
  <c r="D590" i="9"/>
  <c r="N878" i="8"/>
  <c r="N850" i="8"/>
  <c r="L909" i="6"/>
  <c r="L881" i="6"/>
  <c r="M664" i="7"/>
  <c r="N839" i="7"/>
  <c r="J665" i="7"/>
  <c r="J618" i="7"/>
  <c r="N897" i="7"/>
  <c r="N869" i="7"/>
  <c r="L775" i="10"/>
  <c r="D529" i="10"/>
  <c r="D518" i="10"/>
  <c r="O980" i="7"/>
  <c r="AN935" i="7"/>
  <c r="AN900" i="7"/>
  <c r="M993" i="6"/>
  <c r="AL948" i="6"/>
  <c r="AL913" i="6"/>
  <c r="N893" i="7"/>
  <c r="N865" i="7"/>
  <c r="Q996" i="6"/>
  <c r="AP916" i="6"/>
  <c r="AP951" i="6"/>
  <c r="S976" i="7"/>
  <c r="AR931" i="7"/>
  <c r="AR896" i="7"/>
  <c r="N860" i="10"/>
  <c r="N836" i="10"/>
  <c r="Q988" i="6"/>
  <c r="AP908" i="6"/>
  <c r="AP943" i="6"/>
  <c r="O921" i="6"/>
  <c r="O957" i="8"/>
  <c r="AN912" i="8"/>
  <c r="AN877" i="8"/>
  <c r="M912" i="6"/>
  <c r="M884" i="6"/>
  <c r="J885" i="6"/>
  <c r="J913" i="6"/>
  <c r="L866" i="10"/>
  <c r="U896" i="10" s="1"/>
  <c r="S866" i="10" s="1"/>
  <c r="L842" i="10"/>
  <c r="L812" i="8"/>
  <c r="D563" i="8"/>
  <c r="D552" i="8"/>
  <c r="J858" i="6"/>
  <c r="K535" i="6"/>
  <c r="K490" i="6"/>
  <c r="AP910" i="6"/>
  <c r="Q990" i="6"/>
  <c r="AP945" i="6"/>
  <c r="N898" i="7"/>
  <c r="N870" i="7"/>
  <c r="M894" i="7"/>
  <c r="M866" i="7"/>
  <c r="L779" i="10"/>
  <c r="J529" i="10"/>
  <c r="M528" i="10"/>
  <c r="J518" i="10"/>
  <c r="R674" i="7"/>
  <c r="AO871" i="8"/>
  <c r="P951" i="8"/>
  <c r="AO906" i="8"/>
  <c r="AM950" i="6"/>
  <c r="AM915" i="6"/>
  <c r="AW879" i="6"/>
  <c r="N995" i="6"/>
  <c r="N867" i="9"/>
  <c r="O947" i="9" s="1"/>
  <c r="N841" i="9"/>
  <c r="O832" i="9"/>
  <c r="O816" i="9"/>
  <c r="O858" i="9"/>
  <c r="N889" i="6"/>
  <c r="N917" i="6"/>
  <c r="J835" i="7"/>
  <c r="D517" i="7"/>
  <c r="D473" i="7"/>
  <c r="N862" i="10"/>
  <c r="N838" i="10"/>
  <c r="M817" i="8"/>
  <c r="K599" i="8"/>
  <c r="K562" i="8"/>
  <c r="AN989" i="7"/>
  <c r="AN978" i="7"/>
  <c r="AN976" i="7"/>
  <c r="AN972" i="7"/>
  <c r="AN987" i="7"/>
  <c r="AN979" i="7"/>
  <c r="AN975" i="7"/>
  <c r="AN973" i="7"/>
  <c r="AN980" i="7"/>
  <c r="AN974" i="7"/>
  <c r="AN992" i="7"/>
  <c r="AN985" i="7"/>
  <c r="AN983" i="7"/>
  <c r="AN981" i="7"/>
  <c r="AN990" i="7"/>
  <c r="AN988" i="7"/>
  <c r="AN970" i="7"/>
  <c r="AN971" i="7"/>
  <c r="AN986" i="7"/>
  <c r="AN991" i="7"/>
  <c r="AN982" i="7"/>
  <c r="AN993" i="7"/>
  <c r="AN984" i="7"/>
  <c r="AN977" i="7"/>
  <c r="L807" i="9"/>
  <c r="G555" i="9"/>
  <c r="G544" i="9"/>
  <c r="L811" i="9"/>
  <c r="L555" i="9"/>
  <c r="L544" i="9"/>
  <c r="M844" i="7"/>
  <c r="P619" i="7"/>
  <c r="P582" i="7"/>
  <c r="N863" i="10"/>
  <c r="N839" i="10"/>
  <c r="M815" i="8"/>
  <c r="H599" i="8"/>
  <c r="H562" i="8"/>
  <c r="M869" i="8"/>
  <c r="M841" i="8"/>
  <c r="N856" i="10"/>
  <c r="N832" i="10"/>
  <c r="M834" i="7"/>
  <c r="C619" i="7"/>
  <c r="C582" i="7"/>
  <c r="Q997" i="6"/>
  <c r="AP917" i="6"/>
  <c r="AP952" i="6"/>
  <c r="O867" i="8"/>
  <c r="O823" i="8"/>
  <c r="O839" i="8"/>
  <c r="P868" i="10"/>
  <c r="R956" i="8"/>
  <c r="AQ911" i="8"/>
  <c r="AQ876" i="8"/>
  <c r="O860" i="9"/>
  <c r="P940" i="9" s="1"/>
  <c r="O834" i="9"/>
  <c r="Q880" i="8"/>
  <c r="AR902" i="8"/>
  <c r="S947" i="8"/>
  <c r="AR867" i="8"/>
  <c r="O896" i="7"/>
  <c r="O868" i="7"/>
  <c r="P974" i="7"/>
  <c r="AO929" i="7"/>
  <c r="AO894" i="7"/>
  <c r="L777" i="10"/>
  <c r="G529" i="10"/>
  <c r="G518" i="10"/>
  <c r="N883" i="6"/>
  <c r="N911" i="6"/>
  <c r="N899" i="7"/>
  <c r="N871" i="7"/>
  <c r="AQ925" i="7"/>
  <c r="R970" i="7"/>
  <c r="AQ890" i="7"/>
  <c r="P903" i="7"/>
  <c r="E635" i="6"/>
  <c r="B636" i="6"/>
  <c r="M851" i="6"/>
  <c r="B599" i="6"/>
  <c r="M814" i="9"/>
  <c r="P591" i="9"/>
  <c r="P554" i="9"/>
  <c r="K915" i="6"/>
  <c r="K887" i="6"/>
  <c r="J813" i="9"/>
  <c r="O492" i="9"/>
  <c r="O449" i="9"/>
  <c r="M563" i="10"/>
  <c r="O862" i="7"/>
  <c r="O846" i="7"/>
  <c r="O890" i="7"/>
  <c r="D636" i="6"/>
  <c r="M853" i="6"/>
  <c r="D599" i="6"/>
  <c r="R940" i="9"/>
  <c r="Q871" i="9"/>
  <c r="N816" i="8"/>
  <c r="J643" i="8"/>
  <c r="M642" i="8"/>
  <c r="J598" i="8"/>
  <c r="M804" i="9"/>
  <c r="C591" i="9"/>
  <c r="C554" i="9"/>
  <c r="K892" i="7"/>
  <c r="K864" i="7"/>
  <c r="Q998" i="6"/>
  <c r="AP918" i="6"/>
  <c r="AP953" i="6"/>
  <c r="L811" i="8"/>
  <c r="C563" i="8"/>
  <c r="C552" i="8"/>
  <c r="N874" i="8"/>
  <c r="N846" i="8"/>
  <c r="Q994" i="6"/>
  <c r="AP914" i="6"/>
  <c r="AP949" i="6"/>
  <c r="K862" i="6"/>
  <c r="P590" i="6"/>
  <c r="P534" i="6"/>
  <c r="AR1011" i="6"/>
  <c r="AR1009" i="6"/>
  <c r="AR1004" i="6"/>
  <c r="AR1002" i="6"/>
  <c r="AR1000" i="6"/>
  <c r="AR1007" i="6"/>
  <c r="AR996" i="6"/>
  <c r="AR994" i="6"/>
  <c r="AR990" i="6"/>
  <c r="AR1005" i="6"/>
  <c r="AR997" i="6"/>
  <c r="AR998" i="6"/>
  <c r="AR992" i="6"/>
  <c r="AR1010" i="6"/>
  <c r="AR1003" i="6"/>
  <c r="AR1001" i="6"/>
  <c r="AR999" i="6"/>
  <c r="AR1008" i="6"/>
  <c r="AR1006" i="6"/>
  <c r="AR993" i="6"/>
  <c r="AR991" i="6"/>
  <c r="AR989" i="6"/>
  <c r="AR988" i="6"/>
  <c r="AR995" i="6"/>
  <c r="N833" i="9"/>
  <c r="N859" i="9"/>
  <c r="O939" i="9" s="1"/>
  <c r="M840" i="9"/>
  <c r="M866" i="9"/>
  <c r="N946" i="9" s="1"/>
  <c r="Q971" i="7"/>
  <c r="AP891" i="7"/>
  <c r="AP926" i="7"/>
  <c r="AO912" i="6"/>
  <c r="AO947" i="6"/>
  <c r="P992" i="6"/>
  <c r="AP933" i="7"/>
  <c r="Q978" i="7"/>
  <c r="AP898" i="7"/>
  <c r="N873" i="7"/>
  <c r="N901" i="7"/>
  <c r="M635" i="6"/>
  <c r="J636" i="6"/>
  <c r="M857" i="6"/>
  <c r="J599" i="6"/>
  <c r="S950" i="8"/>
  <c r="AR905" i="8"/>
  <c r="AR870" i="8"/>
  <c r="S988" i="6"/>
  <c r="AR908" i="6"/>
  <c r="AR943" i="6"/>
  <c r="Q921" i="6"/>
  <c r="N880" i="6"/>
  <c r="N908" i="6"/>
  <c r="N864" i="6"/>
  <c r="N872" i="8"/>
  <c r="N844" i="8"/>
  <c r="N863" i="7"/>
  <c r="N891" i="7"/>
  <c r="N813" i="8"/>
  <c r="I642" i="8"/>
  <c r="F643" i="8"/>
  <c r="F598" i="8"/>
  <c r="M837" i="10"/>
  <c r="M861" i="10"/>
  <c r="H517" i="7"/>
  <c r="J838" i="7"/>
  <c r="H473" i="7"/>
  <c r="N910" i="6"/>
  <c r="N882" i="6"/>
  <c r="S994" i="6"/>
  <c r="AR949" i="6"/>
  <c r="AR914" i="6"/>
  <c r="O999" i="6"/>
  <c r="AN954" i="6"/>
  <c r="AN919" i="6"/>
  <c r="L814" i="8"/>
  <c r="G563" i="8"/>
  <c r="G552" i="8"/>
  <c r="AQ931" i="7"/>
  <c r="AQ896" i="7"/>
  <c r="R976" i="7"/>
  <c r="M833" i="10"/>
  <c r="M857" i="10"/>
  <c r="M862" i="9"/>
  <c r="N942" i="9" s="1"/>
  <c r="M836" i="9"/>
  <c r="P955" i="8"/>
  <c r="AO910" i="8"/>
  <c r="AO875" i="8"/>
  <c r="K820" i="8"/>
  <c r="O553" i="8"/>
  <c r="O499" i="8"/>
  <c r="N782" i="10"/>
  <c r="N607" i="10"/>
  <c r="Q606" i="10"/>
  <c r="N563" i="10"/>
  <c r="N773" i="10"/>
  <c r="B607" i="10"/>
  <c r="E606" i="10"/>
  <c r="R606" i="10" s="1"/>
  <c r="B563" i="10"/>
  <c r="L818" i="8"/>
  <c r="L563" i="8"/>
  <c r="L552" i="8"/>
  <c r="L919" i="6"/>
  <c r="L891" i="6"/>
  <c r="M808" i="9"/>
  <c r="H591" i="9"/>
  <c r="H554" i="9"/>
  <c r="N819" i="8"/>
  <c r="Q642" i="8"/>
  <c r="N643" i="8"/>
  <c r="N598" i="8"/>
  <c r="O636" i="6"/>
  <c r="M861" i="6"/>
  <c r="O599" i="6"/>
  <c r="M948" i="9"/>
  <c r="AW843" i="9"/>
  <c r="M859" i="10"/>
  <c r="M835" i="10"/>
  <c r="K783" i="10"/>
  <c r="O519" i="10"/>
  <c r="O465" i="10"/>
  <c r="N914" i="6"/>
  <c r="N886" i="6"/>
  <c r="N975" i="7"/>
  <c r="AM930" i="7"/>
  <c r="AM895" i="7"/>
  <c r="AW859" i="7"/>
  <c r="L636" i="6"/>
  <c r="M859" i="6"/>
  <c r="L599" i="6"/>
  <c r="N869" i="9"/>
  <c r="O949" i="9" s="1"/>
  <c r="N843" i="9"/>
  <c r="K842" i="9"/>
  <c r="K868" i="9"/>
  <c r="L948" i="9" s="1"/>
  <c r="Q938" i="9"/>
  <c r="P871" i="9"/>
  <c r="AR899" i="7"/>
  <c r="S979" i="7"/>
  <c r="AR934" i="7"/>
  <c r="AQ956" i="6"/>
  <c r="P948" i="8"/>
  <c r="AO903" i="8"/>
  <c r="AO868" i="8"/>
  <c r="I606" i="10"/>
  <c r="N776" i="10"/>
  <c r="F607" i="10"/>
  <c r="F563" i="10"/>
  <c r="J635" i="9"/>
  <c r="N809" i="9"/>
  <c r="M634" i="9"/>
  <c r="J590" i="9"/>
  <c r="Q979" i="7"/>
  <c r="AP934" i="7"/>
  <c r="AP899" i="7"/>
  <c r="M836" i="7"/>
  <c r="I618" i="7"/>
  <c r="F619" i="7"/>
  <c r="F582" i="7"/>
  <c r="N890" i="6"/>
  <c r="N918" i="6"/>
  <c r="K843" i="7"/>
  <c r="O573" i="7"/>
  <c r="O516" i="7"/>
  <c r="N888" i="6"/>
  <c r="N916" i="6"/>
  <c r="R953" i="8"/>
  <c r="AQ908" i="8"/>
  <c r="AQ873" i="8"/>
  <c r="M806" i="9"/>
  <c r="F591" i="9"/>
  <c r="I590" i="9"/>
  <c r="F554" i="9"/>
  <c r="K867" i="7"/>
  <c r="K895" i="7"/>
  <c r="Q991" i="6"/>
  <c r="AP946" i="6"/>
  <c r="AP911" i="6"/>
  <c r="O873" i="8"/>
  <c r="O845" i="8"/>
  <c r="M871" i="8"/>
  <c r="M843" i="8"/>
  <c r="O989" i="6"/>
  <c r="AN944" i="6"/>
  <c r="AN909" i="6"/>
  <c r="AR928" i="7"/>
  <c r="AR938" i="7" s="1"/>
  <c r="S973" i="7"/>
  <c r="AR893" i="7"/>
  <c r="AR903" i="7" s="1"/>
  <c r="M765" i="5"/>
  <c r="G558" i="5"/>
  <c r="G522" i="5"/>
  <c r="L844" i="5"/>
  <c r="Q898" i="5" s="1"/>
  <c r="S844" i="5" s="1"/>
  <c r="L820" i="5"/>
  <c r="M843" i="5"/>
  <c r="M819" i="5"/>
  <c r="L768" i="5"/>
  <c r="K523" i="5"/>
  <c r="K512" i="5"/>
  <c r="N764" i="5"/>
  <c r="I598" i="5"/>
  <c r="R598" i="5" s="1"/>
  <c r="F599" i="5"/>
  <c r="F557" i="5"/>
  <c r="M848" i="5"/>
  <c r="M824" i="5"/>
  <c r="L766" i="5"/>
  <c r="H523" i="5"/>
  <c r="H512" i="5"/>
  <c r="N847" i="5"/>
  <c r="N823" i="5"/>
  <c r="M769" i="5"/>
  <c r="L558" i="5"/>
  <c r="L522" i="5"/>
  <c r="N849" i="5"/>
  <c r="N825" i="5"/>
  <c r="M850" i="5"/>
  <c r="M826" i="5"/>
  <c r="M767" i="5"/>
  <c r="M557" i="5"/>
  <c r="J558" i="5"/>
  <c r="J522" i="5"/>
  <c r="M771" i="5"/>
  <c r="O558" i="5"/>
  <c r="O522" i="5"/>
  <c r="M770" i="5"/>
  <c r="N558" i="5"/>
  <c r="N522" i="5"/>
  <c r="Q557" i="5"/>
  <c r="M821" i="5"/>
  <c r="M845" i="5"/>
  <c r="O846" i="5"/>
  <c r="O822" i="5"/>
  <c r="L772" i="5"/>
  <c r="P523" i="5"/>
  <c r="P512" i="5"/>
  <c r="N851" i="5"/>
  <c r="N827" i="5"/>
  <c r="O774" i="5"/>
  <c r="N829" i="5"/>
  <c r="N853" i="5"/>
  <c r="L761" i="5"/>
  <c r="B523" i="5"/>
  <c r="E522" i="5"/>
  <c r="B512" i="5"/>
  <c r="O856" i="5"/>
  <c r="L763" i="5"/>
  <c r="D523" i="5"/>
  <c r="D512" i="5"/>
  <c r="K762" i="5"/>
  <c r="C513" i="5"/>
  <c r="C460" i="5"/>
  <c r="M830" i="5"/>
  <c r="M854" i="5"/>
  <c r="N852" i="5"/>
  <c r="N828" i="5"/>
  <c r="N745" i="4"/>
  <c r="M579" i="4"/>
  <c r="J580" i="4"/>
  <c r="J540" i="4"/>
  <c r="N801" i="4"/>
  <c r="N825" i="4"/>
  <c r="L741" i="4"/>
  <c r="D506" i="4"/>
  <c r="D495" i="4"/>
  <c r="L746" i="4"/>
  <c r="K506" i="4"/>
  <c r="K495" i="4"/>
  <c r="M806" i="4"/>
  <c r="M830" i="4"/>
  <c r="K740" i="4"/>
  <c r="C496" i="4"/>
  <c r="C446" i="4"/>
  <c r="M743" i="4"/>
  <c r="G541" i="4"/>
  <c r="G505" i="4"/>
  <c r="N739" i="4"/>
  <c r="E579" i="4"/>
  <c r="B580" i="4"/>
  <c r="B540" i="4"/>
  <c r="N826" i="4"/>
  <c r="N802" i="4"/>
  <c r="N831" i="4"/>
  <c r="N807" i="4"/>
  <c r="O827" i="4"/>
  <c r="O803" i="4"/>
  <c r="O821" i="4"/>
  <c r="O797" i="4"/>
  <c r="O752" i="4"/>
  <c r="O824" i="4"/>
  <c r="O800" i="4"/>
  <c r="L822" i="4"/>
  <c r="Q876" i="4" s="1"/>
  <c r="S844" i="4" s="1"/>
  <c r="L798" i="4"/>
  <c r="N750" i="4"/>
  <c r="P580" i="4"/>
  <c r="P540" i="4"/>
  <c r="Q540" i="4" s="1"/>
  <c r="Q579" i="4"/>
  <c r="L748" i="4"/>
  <c r="N506" i="4"/>
  <c r="N495" i="4"/>
  <c r="M805" i="4"/>
  <c r="M829" i="4"/>
  <c r="O808" i="4"/>
  <c r="O832" i="4"/>
  <c r="P834" i="4"/>
  <c r="M823" i="4"/>
  <c r="M799" i="4"/>
  <c r="M828" i="4"/>
  <c r="M804" i="4"/>
  <c r="N742" i="4"/>
  <c r="F580" i="4"/>
  <c r="I579" i="4"/>
  <c r="F540" i="4"/>
  <c r="M744" i="4"/>
  <c r="H541" i="4"/>
  <c r="H505" i="4"/>
  <c r="M749" i="4"/>
  <c r="O541" i="4"/>
  <c r="O505" i="4"/>
  <c r="R589" i="4"/>
  <c r="L747" i="4"/>
  <c r="L506" i="4"/>
  <c r="L495" i="4"/>
  <c r="M743" i="3"/>
  <c r="D540" i="3"/>
  <c r="D504" i="3"/>
  <c r="N803" i="3"/>
  <c r="N827" i="3"/>
  <c r="N741" i="3"/>
  <c r="E578" i="3"/>
  <c r="B579" i="3"/>
  <c r="B539" i="3"/>
  <c r="M833" i="3"/>
  <c r="M809" i="3"/>
  <c r="O826" i="3"/>
  <c r="O802" i="3"/>
  <c r="L832" i="3"/>
  <c r="Q886" i="3" s="1"/>
  <c r="S853" i="3" s="1"/>
  <c r="L808" i="3"/>
  <c r="N747" i="3"/>
  <c r="M578" i="3"/>
  <c r="J579" i="3"/>
  <c r="J539" i="3"/>
  <c r="M752" i="3"/>
  <c r="P540" i="3"/>
  <c r="P504" i="3"/>
  <c r="G540" i="3"/>
  <c r="M745" i="3"/>
  <c r="G504" i="3"/>
  <c r="N801" i="3"/>
  <c r="N825" i="3"/>
  <c r="R588" i="3"/>
  <c r="K807" i="3"/>
  <c r="K831" i="3"/>
  <c r="H540" i="3"/>
  <c r="M746" i="3"/>
  <c r="H504" i="3"/>
  <c r="O823" i="3"/>
  <c r="O836" i="3" s="1"/>
  <c r="O754" i="3"/>
  <c r="O799" i="3"/>
  <c r="N834" i="3"/>
  <c r="N810" i="3"/>
  <c r="L748" i="3"/>
  <c r="K505" i="3"/>
  <c r="K494" i="3"/>
  <c r="K742" i="3"/>
  <c r="C495" i="3"/>
  <c r="C443" i="3"/>
  <c r="N744" i="3"/>
  <c r="F579" i="3"/>
  <c r="I578" i="3"/>
  <c r="F539" i="3"/>
  <c r="O829" i="3"/>
  <c r="O805" i="3"/>
  <c r="Q539" i="3"/>
  <c r="J749" i="3"/>
  <c r="L444" i="3"/>
  <c r="L399" i="3"/>
  <c r="L824" i="3"/>
  <c r="Q878" i="3" s="1"/>
  <c r="S845" i="3" s="1"/>
  <c r="L800" i="3"/>
  <c r="K750" i="3"/>
  <c r="N495" i="3"/>
  <c r="N443" i="3"/>
  <c r="L751" i="3"/>
  <c r="O505" i="3"/>
  <c r="O494" i="3"/>
  <c r="N828" i="3"/>
  <c r="N804" i="3"/>
  <c r="M830" i="3"/>
  <c r="M806" i="3"/>
  <c r="N848" i="2"/>
  <c r="N824" i="2"/>
  <c r="N764" i="2"/>
  <c r="M595" i="2"/>
  <c r="J596" i="2"/>
  <c r="J556" i="2"/>
  <c r="J763" i="2"/>
  <c r="H464" i="2"/>
  <c r="H422" i="2"/>
  <c r="C557" i="2"/>
  <c r="M759" i="2"/>
  <c r="C521" i="2"/>
  <c r="M840" i="2"/>
  <c r="M816" i="2"/>
  <c r="N767" i="2"/>
  <c r="N596" i="2"/>
  <c r="Q595" i="2"/>
  <c r="N556" i="2"/>
  <c r="K821" i="2"/>
  <c r="K845" i="2"/>
  <c r="M765" i="2"/>
  <c r="K557" i="2"/>
  <c r="K521" i="2"/>
  <c r="N841" i="2"/>
  <c r="N817" i="2"/>
  <c r="Q853" i="2"/>
  <c r="O822" i="2"/>
  <c r="O846" i="2"/>
  <c r="O771" i="2"/>
  <c r="N761" i="2"/>
  <c r="I595" i="2"/>
  <c r="R595" i="2" s="1"/>
  <c r="F596" i="2"/>
  <c r="F556" i="2"/>
  <c r="N847" i="2"/>
  <c r="N823" i="2"/>
  <c r="O825" i="2"/>
  <c r="O849" i="2"/>
  <c r="K827" i="2"/>
  <c r="K851" i="2"/>
  <c r="M768" i="2"/>
  <c r="O557" i="2"/>
  <c r="O521" i="2"/>
  <c r="N844" i="2"/>
  <c r="N820" i="2"/>
  <c r="L758" i="2"/>
  <c r="B522" i="2"/>
  <c r="E521" i="2"/>
  <c r="B511" i="2"/>
  <c r="N826" i="2"/>
  <c r="N850" i="2"/>
  <c r="J769" i="2"/>
  <c r="P464" i="2"/>
  <c r="P422" i="2"/>
  <c r="M762" i="2"/>
  <c r="G557" i="2"/>
  <c r="G521" i="2"/>
  <c r="M760" i="2"/>
  <c r="D557" i="2"/>
  <c r="D521" i="2"/>
  <c r="L557" i="2"/>
  <c r="M766" i="2"/>
  <c r="L521" i="2"/>
  <c r="N818" i="2"/>
  <c r="N842" i="2"/>
  <c r="O843" i="2"/>
  <c r="O853" i="2" s="1"/>
  <c r="O819" i="2"/>
  <c r="AQ903" i="7" l="1"/>
  <c r="R664" i="7"/>
  <c r="AP1115" i="14"/>
  <c r="AQ1084" i="13"/>
  <c r="AN994" i="7"/>
  <c r="AR1012" i="6"/>
  <c r="AM1046" i="11"/>
  <c r="L961" i="15"/>
  <c r="L692" i="15"/>
  <c r="L681" i="15"/>
  <c r="N986" i="13"/>
  <c r="N993" i="13" s="1"/>
  <c r="N958" i="13"/>
  <c r="N936" i="13"/>
  <c r="M1011" i="15"/>
  <c r="M983" i="15"/>
  <c r="K1015" i="14"/>
  <c r="K987" i="14"/>
  <c r="M953" i="15"/>
  <c r="E727" i="15"/>
  <c r="B728" i="15"/>
  <c r="B691" i="15"/>
  <c r="M1011" i="14"/>
  <c r="M983" i="14"/>
  <c r="AQ990" i="11"/>
  <c r="L944" i="11"/>
  <c r="L916" i="11"/>
  <c r="L947" i="11"/>
  <c r="L919" i="11"/>
  <c r="M991" i="14"/>
  <c r="M1019" i="14"/>
  <c r="R741" i="12"/>
  <c r="L993" i="15"/>
  <c r="L1021" i="15"/>
  <c r="M984" i="13"/>
  <c r="M956" i="13"/>
  <c r="M1055" i="12"/>
  <c r="AL1010" i="12"/>
  <c r="AL975" i="12"/>
  <c r="L1012" i="14"/>
  <c r="L984" i="14"/>
  <c r="O989" i="14"/>
  <c r="O1017" i="14"/>
  <c r="O967" i="14"/>
  <c r="L980" i="13"/>
  <c r="L952" i="13"/>
  <c r="G564" i="11"/>
  <c r="J889" i="11"/>
  <c r="G519" i="11"/>
  <c r="N1015" i="15"/>
  <c r="N987" i="15"/>
  <c r="L948" i="12"/>
  <c r="L976" i="12"/>
  <c r="M978" i="12"/>
  <c r="M950" i="12"/>
  <c r="Q1057" i="12"/>
  <c r="AP977" i="12"/>
  <c r="AP1012" i="12"/>
  <c r="M1014" i="15"/>
  <c r="M986" i="15"/>
  <c r="M994" i="14"/>
  <c r="M1022" i="14"/>
  <c r="K963" i="14"/>
  <c r="N685" i="14"/>
  <c r="N618" i="14"/>
  <c r="P1070" i="13"/>
  <c r="AO1025" i="13"/>
  <c r="AO990" i="13"/>
  <c r="N974" i="12"/>
  <c r="N946" i="12"/>
  <c r="AN1014" i="12"/>
  <c r="O1059" i="12"/>
  <c r="AN979" i="12"/>
  <c r="I667" i="11"/>
  <c r="F668" i="11"/>
  <c r="M888" i="11"/>
  <c r="F631" i="11"/>
  <c r="AR1009" i="12"/>
  <c r="S1054" i="12"/>
  <c r="AR974" i="12"/>
  <c r="M972" i="12"/>
  <c r="M944" i="12"/>
  <c r="AN1053" i="14"/>
  <c r="O1098" i="14"/>
  <c r="AN1018" i="14"/>
  <c r="K916" i="12"/>
  <c r="H645" i="12"/>
  <c r="H580" i="12"/>
  <c r="AN985" i="11"/>
  <c r="O1030" i="11"/>
  <c r="AN950" i="11"/>
  <c r="M1062" i="13"/>
  <c r="AL982" i="13"/>
  <c r="AL1017" i="13"/>
  <c r="M983" i="13"/>
  <c r="M955" i="13"/>
  <c r="O981" i="12"/>
  <c r="AP968" i="12"/>
  <c r="Q1048" i="12"/>
  <c r="AP1003" i="12"/>
  <c r="AR1012" i="12"/>
  <c r="AR977" i="12"/>
  <c r="S1057" i="12"/>
  <c r="M920" i="12"/>
  <c r="Q690" i="12"/>
  <c r="N691" i="12"/>
  <c r="N654" i="12"/>
  <c r="N940" i="12"/>
  <c r="N968" i="12"/>
  <c r="N924" i="12"/>
  <c r="D543" i="13"/>
  <c r="I925" i="13"/>
  <c r="D499" i="13"/>
  <c r="D498" i="13" s="1"/>
  <c r="D497" i="13" s="1"/>
  <c r="D496" i="13" s="1"/>
  <c r="D495" i="13" s="1"/>
  <c r="D494" i="13" s="1"/>
  <c r="D492" i="13"/>
  <c r="AP948" i="11"/>
  <c r="Q1028" i="11"/>
  <c r="AP983" i="11"/>
  <c r="K988" i="13"/>
  <c r="K960" i="13"/>
  <c r="M914" i="12"/>
  <c r="F691" i="12"/>
  <c r="I690" i="12"/>
  <c r="F654" i="12"/>
  <c r="M885" i="11"/>
  <c r="B668" i="11"/>
  <c r="E667" i="11"/>
  <c r="B631" i="11"/>
  <c r="I955" i="15"/>
  <c r="D526" i="15"/>
  <c r="D525" i="15" s="1"/>
  <c r="D524" i="15" s="1"/>
  <c r="D523" i="15" s="1"/>
  <c r="D522" i="15" s="1"/>
  <c r="D521" i="15" s="1"/>
  <c r="D571" i="15"/>
  <c r="D519" i="15"/>
  <c r="K913" i="12"/>
  <c r="D645" i="12"/>
  <c r="D580" i="12"/>
  <c r="M957" i="14"/>
  <c r="I730" i="14"/>
  <c r="F731" i="14"/>
  <c r="F694" i="14"/>
  <c r="K946" i="11"/>
  <c r="K918" i="11"/>
  <c r="P1052" i="12"/>
  <c r="AO972" i="12"/>
  <c r="AO1007" i="12"/>
  <c r="AW979" i="14"/>
  <c r="N1095" i="14"/>
  <c r="AM1015" i="14"/>
  <c r="AM1050" i="14"/>
  <c r="J668" i="11"/>
  <c r="M891" i="11"/>
  <c r="M667" i="11"/>
  <c r="J631" i="11"/>
  <c r="K912" i="12"/>
  <c r="C645" i="12"/>
  <c r="C580" i="12"/>
  <c r="P1091" i="14"/>
  <c r="AO1011" i="14"/>
  <c r="AO1046" i="14"/>
  <c r="M929" i="13"/>
  <c r="J701" i="13"/>
  <c r="M700" i="13"/>
  <c r="R700" i="13" s="1"/>
  <c r="J664" i="13"/>
  <c r="L988" i="14"/>
  <c r="L1016" i="14"/>
  <c r="N1016" i="15"/>
  <c r="N988" i="15"/>
  <c r="H622" i="11"/>
  <c r="K890" i="11"/>
  <c r="H563" i="11"/>
  <c r="M991" i="13"/>
  <c r="M963" i="13"/>
  <c r="L1018" i="14"/>
  <c r="L990" i="14"/>
  <c r="N991" i="15"/>
  <c r="N1019" i="15"/>
  <c r="J975" i="12"/>
  <c r="J947" i="12"/>
  <c r="M1018" i="15"/>
  <c r="M990" i="15"/>
  <c r="AP951" i="11"/>
  <c r="AP986" i="11"/>
  <c r="Q1031" i="11"/>
  <c r="R779" i="15"/>
  <c r="K964" i="14"/>
  <c r="O685" i="14"/>
  <c r="O618" i="14"/>
  <c r="AL987" i="11"/>
  <c r="AL952" i="11"/>
  <c r="M1032" i="11"/>
  <c r="L1020" i="14"/>
  <c r="L992" i="14"/>
  <c r="N1013" i="15"/>
  <c r="N985" i="15"/>
  <c r="J982" i="13"/>
  <c r="J954" i="13"/>
  <c r="P1065" i="13"/>
  <c r="AO1020" i="13"/>
  <c r="AO985" i="13"/>
  <c r="Q1054" i="12"/>
  <c r="AP974" i="12"/>
  <c r="AP1009" i="12"/>
  <c r="O1049" i="12"/>
  <c r="AN969" i="12"/>
  <c r="AN1004" i="12"/>
  <c r="J956" i="14"/>
  <c r="D619" i="14"/>
  <c r="D573" i="14"/>
  <c r="O1023" i="15"/>
  <c r="AO1013" i="12"/>
  <c r="AO978" i="12"/>
  <c r="P1058" i="12"/>
  <c r="O665" i="13"/>
  <c r="L933" i="13"/>
  <c r="O654" i="13"/>
  <c r="AR981" i="12"/>
  <c r="N945" i="11"/>
  <c r="N917" i="11"/>
  <c r="P1063" i="13"/>
  <c r="AO1018" i="13"/>
  <c r="AO983" i="13"/>
  <c r="AN1055" i="14"/>
  <c r="AN1020" i="14"/>
  <c r="O1100" i="14"/>
  <c r="P1029" i="11"/>
  <c r="AO949" i="11"/>
  <c r="AO984" i="11"/>
  <c r="P1071" i="13"/>
  <c r="AO1026" i="13"/>
  <c r="AO991" i="13"/>
  <c r="L915" i="12"/>
  <c r="G655" i="12"/>
  <c r="G644" i="12"/>
  <c r="I664" i="13"/>
  <c r="L926" i="13"/>
  <c r="F665" i="13"/>
  <c r="F654" i="13"/>
  <c r="O1050" i="12"/>
  <c r="AN1005" i="12"/>
  <c r="AN970" i="12"/>
  <c r="M956" i="15"/>
  <c r="I727" i="15"/>
  <c r="F728" i="15"/>
  <c r="F691" i="15"/>
  <c r="Q1094" i="14"/>
  <c r="AP1049" i="14"/>
  <c r="AP1014" i="14"/>
  <c r="J931" i="13"/>
  <c r="L588" i="13"/>
  <c r="L542" i="13"/>
  <c r="O1101" i="14"/>
  <c r="AN1056" i="14"/>
  <c r="AN1021" i="14"/>
  <c r="K922" i="12"/>
  <c r="P645" i="12"/>
  <c r="P580" i="12"/>
  <c r="O1027" i="11"/>
  <c r="AN982" i="11"/>
  <c r="AN947" i="11"/>
  <c r="L945" i="12"/>
  <c r="L973" i="12"/>
  <c r="N1010" i="15"/>
  <c r="N966" i="15"/>
  <c r="N982" i="15"/>
  <c r="L963" i="15"/>
  <c r="O692" i="15"/>
  <c r="O681" i="15"/>
  <c r="H886" i="11"/>
  <c r="C472" i="11"/>
  <c r="C309" i="11"/>
  <c r="C665" i="13"/>
  <c r="L924" i="13"/>
  <c r="C654" i="13"/>
  <c r="P1099" i="14"/>
  <c r="AO1054" i="14"/>
  <c r="AO1019" i="14"/>
  <c r="O1092" i="14"/>
  <c r="AN1047" i="14"/>
  <c r="AN1012" i="14"/>
  <c r="K893" i="11"/>
  <c r="L622" i="11"/>
  <c r="L563" i="11"/>
  <c r="AP1006" i="12"/>
  <c r="Q1051" i="12"/>
  <c r="AP971" i="12"/>
  <c r="I895" i="11"/>
  <c r="O478" i="11"/>
  <c r="O477" i="11" s="1"/>
  <c r="O476" i="11" s="1"/>
  <c r="O475" i="11" s="1"/>
  <c r="O474" i="11" s="1"/>
  <c r="O473" i="11" s="1"/>
  <c r="O520" i="11"/>
  <c r="O471" i="11"/>
  <c r="N942" i="11"/>
  <c r="N898" i="11"/>
  <c r="N914" i="11"/>
  <c r="K499" i="13"/>
  <c r="K498" i="13" s="1"/>
  <c r="K497" i="13" s="1"/>
  <c r="K496" i="13" s="1"/>
  <c r="K495" i="13" s="1"/>
  <c r="K494" i="13" s="1"/>
  <c r="I930" i="13"/>
  <c r="K543" i="13"/>
  <c r="K492" i="13"/>
  <c r="J984" i="15"/>
  <c r="J1012" i="15"/>
  <c r="L942" i="12"/>
  <c r="L970" i="12"/>
  <c r="P622" i="11"/>
  <c r="K896" i="11"/>
  <c r="P563" i="11"/>
  <c r="M962" i="13"/>
  <c r="M990" i="13"/>
  <c r="N948" i="11"/>
  <c r="N920" i="11"/>
  <c r="L969" i="12"/>
  <c r="L941" i="12"/>
  <c r="AP1083" i="13"/>
  <c r="AP1064" i="13"/>
  <c r="AP1062" i="13"/>
  <c r="AP1060" i="13"/>
  <c r="AP1082" i="13"/>
  <c r="AP1075" i="13"/>
  <c r="AP1073" i="13"/>
  <c r="AP1071" i="13"/>
  <c r="AP1069" i="13"/>
  <c r="AP1067" i="13"/>
  <c r="AP1080" i="13"/>
  <c r="AP1078" i="13"/>
  <c r="AP1065" i="13"/>
  <c r="AP1081" i="13"/>
  <c r="AP1076" i="13"/>
  <c r="AP1074" i="13"/>
  <c r="AP1072" i="13"/>
  <c r="AP1070" i="13"/>
  <c r="AP1068" i="13"/>
  <c r="AP1079" i="13"/>
  <c r="AP1066" i="13"/>
  <c r="AP1077" i="13"/>
  <c r="AP1061" i="13"/>
  <c r="AP1063" i="13"/>
  <c r="K692" i="15"/>
  <c r="L960" i="15"/>
  <c r="K681" i="15"/>
  <c r="M961" i="13"/>
  <c r="M989" i="13"/>
  <c r="AO984" i="13"/>
  <c r="P1064" i="13"/>
  <c r="AO1019" i="13"/>
  <c r="N977" i="12"/>
  <c r="N949" i="12"/>
  <c r="L950" i="11"/>
  <c r="L922" i="11"/>
  <c r="AQ1016" i="12"/>
  <c r="N943" i="12"/>
  <c r="N971" i="12"/>
  <c r="R715" i="11"/>
  <c r="K1013" i="14"/>
  <c r="K985" i="14"/>
  <c r="L928" i="13"/>
  <c r="H665" i="13"/>
  <c r="H654" i="13"/>
  <c r="M917" i="12"/>
  <c r="M690" i="12"/>
  <c r="J691" i="12"/>
  <c r="J654" i="12"/>
  <c r="N1014" i="14"/>
  <c r="N986" i="14"/>
  <c r="M962" i="15"/>
  <c r="Q727" i="15"/>
  <c r="N728" i="15"/>
  <c r="N691" i="15"/>
  <c r="Q981" i="12"/>
  <c r="Q1025" i="11"/>
  <c r="AP945" i="11"/>
  <c r="AP980" i="11"/>
  <c r="L1021" i="14"/>
  <c r="L993" i="14"/>
  <c r="K632" i="11"/>
  <c r="L892" i="11"/>
  <c r="K621" i="11"/>
  <c r="M992" i="15"/>
  <c r="M1020" i="15"/>
  <c r="L921" i="12"/>
  <c r="O655" i="12"/>
  <c r="O644" i="12"/>
  <c r="K959" i="14"/>
  <c r="H685" i="14"/>
  <c r="H618" i="14"/>
  <c r="L979" i="12"/>
  <c r="L951" i="12"/>
  <c r="N665" i="13"/>
  <c r="Q664" i="13"/>
  <c r="L932" i="13"/>
  <c r="N654" i="13"/>
  <c r="L954" i="14"/>
  <c r="E694" i="14"/>
  <c r="B695" i="14"/>
  <c r="B684" i="14"/>
  <c r="M949" i="11"/>
  <c r="M921" i="11"/>
  <c r="Q1022" i="11"/>
  <c r="AP977" i="11"/>
  <c r="AP990" i="11" s="1"/>
  <c r="O955" i="11"/>
  <c r="AP942" i="11"/>
  <c r="AP955" i="11" s="1"/>
  <c r="L934" i="13"/>
  <c r="P665" i="13"/>
  <c r="P654" i="13"/>
  <c r="L965" i="14"/>
  <c r="P695" i="14"/>
  <c r="P684" i="14"/>
  <c r="M981" i="13"/>
  <c r="M953" i="13"/>
  <c r="O1024" i="14"/>
  <c r="Q667" i="11"/>
  <c r="M894" i="11"/>
  <c r="N668" i="11"/>
  <c r="N631" i="11"/>
  <c r="K961" i="14"/>
  <c r="K685" i="14"/>
  <c r="K618" i="14"/>
  <c r="O1060" i="13"/>
  <c r="AN1015" i="13"/>
  <c r="AN980" i="13"/>
  <c r="AM1013" i="14"/>
  <c r="N1093" i="14"/>
  <c r="AM1048" i="14"/>
  <c r="AW977" i="14"/>
  <c r="N1068" i="13"/>
  <c r="AW952" i="13"/>
  <c r="AM988" i="13"/>
  <c r="AM1023" i="13"/>
  <c r="J924" i="11"/>
  <c r="J952" i="11"/>
  <c r="S1097" i="14"/>
  <c r="AR1017" i="14"/>
  <c r="AR1052" i="14"/>
  <c r="AR1059" i="14" s="1"/>
  <c r="AN1011" i="12"/>
  <c r="O1056" i="12"/>
  <c r="AN976" i="12"/>
  <c r="J959" i="13"/>
  <c r="J987" i="13"/>
  <c r="AN988" i="11"/>
  <c r="O1033" i="11"/>
  <c r="AN953" i="11"/>
  <c r="N1026" i="11"/>
  <c r="AM946" i="11"/>
  <c r="AM981" i="11"/>
  <c r="AW910" i="11"/>
  <c r="L953" i="11"/>
  <c r="L925" i="11"/>
  <c r="O1096" i="14"/>
  <c r="AN1016" i="14"/>
  <c r="AN1051" i="14"/>
  <c r="AR1016" i="12"/>
  <c r="AN1008" i="12"/>
  <c r="AN973" i="12"/>
  <c r="O1053" i="12"/>
  <c r="I918" i="12"/>
  <c r="K492" i="12"/>
  <c r="K491" i="12" s="1"/>
  <c r="K490" i="12" s="1"/>
  <c r="K489" i="12" s="1"/>
  <c r="K488" i="12" s="1"/>
  <c r="K487" i="12" s="1"/>
  <c r="K536" i="12"/>
  <c r="K485" i="12"/>
  <c r="AP1021" i="13"/>
  <c r="AP1028" i="13" s="1"/>
  <c r="AP986" i="13"/>
  <c r="AP993" i="13" s="1"/>
  <c r="Q1066" i="13"/>
  <c r="O1024" i="11"/>
  <c r="AN944" i="11"/>
  <c r="AN979" i="11"/>
  <c r="M1017" i="15"/>
  <c r="M989" i="15"/>
  <c r="AO1057" i="14"/>
  <c r="P1102" i="14"/>
  <c r="AO1022" i="14"/>
  <c r="M959" i="15"/>
  <c r="J728" i="15"/>
  <c r="M727" i="15"/>
  <c r="J691" i="15"/>
  <c r="P1061" i="13"/>
  <c r="AO1016" i="13"/>
  <c r="AO981" i="13"/>
  <c r="AL1025" i="11"/>
  <c r="AL1023" i="11"/>
  <c r="AL1045" i="11"/>
  <c r="AL1043" i="11"/>
  <c r="AL1038" i="11"/>
  <c r="AL1036" i="11"/>
  <c r="AL1034" i="11"/>
  <c r="AL1032" i="11"/>
  <c r="AL1030" i="11"/>
  <c r="AL1041" i="11"/>
  <c r="AL1028" i="11"/>
  <c r="AL1039" i="11"/>
  <c r="AL1026" i="11"/>
  <c r="AL1024" i="11"/>
  <c r="AL1022" i="11"/>
  <c r="AL1044" i="11"/>
  <c r="AL1037" i="11"/>
  <c r="AL1035" i="11"/>
  <c r="AL1033" i="11"/>
  <c r="AL1031" i="11"/>
  <c r="AL1029" i="11"/>
  <c r="AL1042" i="11"/>
  <c r="AL1040" i="11"/>
  <c r="AL1027" i="11"/>
  <c r="P1069" i="13"/>
  <c r="AO1024" i="13"/>
  <c r="AO989" i="13"/>
  <c r="AK943" i="11"/>
  <c r="AK978" i="11"/>
  <c r="L1023" i="11"/>
  <c r="L954" i="15"/>
  <c r="C692" i="15"/>
  <c r="C681" i="15"/>
  <c r="J958" i="14"/>
  <c r="G619" i="14"/>
  <c r="G573" i="14"/>
  <c r="AQ955" i="11"/>
  <c r="K887" i="11"/>
  <c r="D622" i="11"/>
  <c r="D563" i="11"/>
  <c r="L957" i="15"/>
  <c r="G692" i="15"/>
  <c r="G681" i="15"/>
  <c r="AR1024" i="14"/>
  <c r="I943" i="11"/>
  <c r="I915" i="11"/>
  <c r="N923" i="11"/>
  <c r="N951" i="11"/>
  <c r="M1067" i="13"/>
  <c r="AL987" i="13"/>
  <c r="AL1022" i="13"/>
  <c r="M936" i="13"/>
  <c r="L695" i="14"/>
  <c r="L962" i="14"/>
  <c r="L684" i="14"/>
  <c r="M911" i="12"/>
  <c r="B691" i="12"/>
  <c r="E690" i="12"/>
  <c r="R690" i="12" s="1"/>
  <c r="B654" i="12"/>
  <c r="AQ981" i="12"/>
  <c r="K964" i="15"/>
  <c r="P682" i="15"/>
  <c r="P615" i="15"/>
  <c r="AO1111" i="14"/>
  <c r="AO1109" i="14"/>
  <c r="AO1108" i="14"/>
  <c r="AO1102" i="14"/>
  <c r="AO1100" i="14"/>
  <c r="AO1098" i="14"/>
  <c r="AO1106" i="14"/>
  <c r="AO1105" i="14"/>
  <c r="AO1096" i="14"/>
  <c r="AO1113" i="14"/>
  <c r="AO1107" i="14"/>
  <c r="AO1104" i="14"/>
  <c r="AO1110" i="14"/>
  <c r="AO1101" i="14"/>
  <c r="AO1099" i="14"/>
  <c r="AO1103" i="14"/>
  <c r="AO1097" i="14"/>
  <c r="AO1114" i="14"/>
  <c r="AO1112" i="14"/>
  <c r="AO1095" i="14"/>
  <c r="AO1094" i="14"/>
  <c r="AO1092" i="14"/>
  <c r="AO1093" i="14"/>
  <c r="AO1091" i="14"/>
  <c r="L927" i="13"/>
  <c r="G665" i="13"/>
  <c r="G654" i="13"/>
  <c r="K955" i="14"/>
  <c r="C685" i="14"/>
  <c r="C618" i="14"/>
  <c r="N960" i="14"/>
  <c r="M782" i="14"/>
  <c r="R782" i="14" s="1"/>
  <c r="J783" i="14"/>
  <c r="J730" i="14"/>
  <c r="M957" i="13"/>
  <c r="M985" i="13"/>
  <c r="B655" i="13"/>
  <c r="K923" i="13"/>
  <c r="E654" i="13"/>
  <c r="B587" i="13"/>
  <c r="M958" i="15"/>
  <c r="H728" i="15"/>
  <c r="H691" i="15"/>
  <c r="K919" i="12"/>
  <c r="L645" i="12"/>
  <c r="L580" i="12"/>
  <c r="AO1067" i="12"/>
  <c r="AO1054" i="12"/>
  <c r="AO1065" i="12"/>
  <c r="AO1052" i="12"/>
  <c r="AO1050" i="12"/>
  <c r="AO1048" i="12"/>
  <c r="AO1072" i="12" s="1"/>
  <c r="AO1068" i="12"/>
  <c r="AO1066" i="12"/>
  <c r="AO1053" i="12"/>
  <c r="AO1051" i="12"/>
  <c r="AO1059" i="12"/>
  <c r="AO1061" i="12"/>
  <c r="AO1060" i="12"/>
  <c r="AO1058" i="12"/>
  <c r="AO1063" i="12"/>
  <c r="AO1062" i="12"/>
  <c r="AO1057" i="12"/>
  <c r="AO1049" i="12"/>
  <c r="AO1070" i="12"/>
  <c r="AO1069" i="12"/>
  <c r="AO1064" i="12"/>
  <c r="AO1056" i="12"/>
  <c r="AO1055" i="12"/>
  <c r="AO1071" i="12"/>
  <c r="Q953" i="8"/>
  <c r="AP908" i="8"/>
  <c r="AP873" i="8"/>
  <c r="L814" i="9"/>
  <c r="P555" i="9"/>
  <c r="P544" i="9"/>
  <c r="L866" i="9"/>
  <c r="L840" i="9"/>
  <c r="M813" i="8"/>
  <c r="I598" i="8"/>
  <c r="F599" i="8"/>
  <c r="F562" i="8"/>
  <c r="K919" i="6"/>
  <c r="K891" i="6"/>
  <c r="M833" i="9"/>
  <c r="M859" i="9"/>
  <c r="N939" i="9" s="1"/>
  <c r="J868" i="9"/>
  <c r="K948" i="9" s="1"/>
  <c r="J842" i="9"/>
  <c r="M864" i="6"/>
  <c r="M880" i="6"/>
  <c r="M908" i="6"/>
  <c r="AO952" i="6"/>
  <c r="P997" i="6"/>
  <c r="AO917" i="6"/>
  <c r="AP988" i="6"/>
  <c r="AP1011" i="6"/>
  <c r="AP1009" i="6"/>
  <c r="AP1004" i="6"/>
  <c r="AP1002" i="6"/>
  <c r="AP1000" i="6"/>
  <c r="AP1007" i="6"/>
  <c r="AP996" i="6"/>
  <c r="AP994" i="6"/>
  <c r="AP990" i="6"/>
  <c r="AP1005" i="6"/>
  <c r="AP997" i="6"/>
  <c r="AP993" i="6"/>
  <c r="AP991" i="6"/>
  <c r="AP998" i="6"/>
  <c r="AP992" i="6"/>
  <c r="AP1010" i="6"/>
  <c r="AP1003" i="6"/>
  <c r="AP1001" i="6"/>
  <c r="AP999" i="6"/>
  <c r="AP995" i="6"/>
  <c r="AP1008" i="6"/>
  <c r="AP989" i="6"/>
  <c r="AP1006" i="6"/>
  <c r="L781" i="10"/>
  <c r="L529" i="10"/>
  <c r="L518" i="10"/>
  <c r="M836" i="10"/>
  <c r="M860" i="10"/>
  <c r="AO951" i="6"/>
  <c r="P996" i="6"/>
  <c r="AO916" i="6"/>
  <c r="N864" i="9"/>
  <c r="O944" i="9" s="1"/>
  <c r="N838" i="9"/>
  <c r="M816" i="8"/>
  <c r="J599" i="8"/>
  <c r="M598" i="8"/>
  <c r="J562" i="8"/>
  <c r="P991" i="6"/>
  <c r="AO946" i="6"/>
  <c r="AO911" i="6"/>
  <c r="O949" i="8"/>
  <c r="AN869" i="8"/>
  <c r="AN904" i="8"/>
  <c r="M873" i="7"/>
  <c r="M901" i="7"/>
  <c r="P977" i="7"/>
  <c r="AO897" i="7"/>
  <c r="AO932" i="7"/>
  <c r="P958" i="8"/>
  <c r="AO878" i="8"/>
  <c r="AO913" i="8"/>
  <c r="M833" i="7"/>
  <c r="B619" i="7"/>
  <c r="E618" i="7"/>
  <c r="B582" i="7"/>
  <c r="F600" i="6"/>
  <c r="L854" i="6"/>
  <c r="I599" i="6"/>
  <c r="F589" i="6"/>
  <c r="Q956" i="8"/>
  <c r="AP911" i="8"/>
  <c r="AP876" i="8"/>
  <c r="L860" i="6"/>
  <c r="N600" i="6"/>
  <c r="Q599" i="6"/>
  <c r="N589" i="6"/>
  <c r="R634" i="9"/>
  <c r="R642" i="8"/>
  <c r="K866" i="10"/>
  <c r="K842" i="10"/>
  <c r="AQ915" i="8"/>
  <c r="L821" i="8"/>
  <c r="P563" i="8"/>
  <c r="P552" i="8"/>
  <c r="L859" i="6"/>
  <c r="L600" i="6"/>
  <c r="L589" i="6"/>
  <c r="N845" i="8"/>
  <c r="N873" i="8"/>
  <c r="M975" i="7"/>
  <c r="AL930" i="7"/>
  <c r="AL895" i="7"/>
  <c r="L836" i="7"/>
  <c r="I582" i="7"/>
  <c r="F583" i="7"/>
  <c r="F572" i="7"/>
  <c r="K818" i="8"/>
  <c r="L553" i="8"/>
  <c r="L499" i="8"/>
  <c r="K814" i="8"/>
  <c r="G553" i="8"/>
  <c r="G499" i="8"/>
  <c r="P952" i="8"/>
  <c r="AO872" i="8"/>
  <c r="AO907" i="8"/>
  <c r="L840" i="8"/>
  <c r="L868" i="8"/>
  <c r="M882" i="6"/>
  <c r="M910" i="6"/>
  <c r="P979" i="7"/>
  <c r="AO934" i="7"/>
  <c r="AO899" i="7"/>
  <c r="L817" i="8"/>
  <c r="K563" i="8"/>
  <c r="K552" i="8"/>
  <c r="M862" i="10"/>
  <c r="M838" i="10"/>
  <c r="M841" i="9"/>
  <c r="M867" i="9"/>
  <c r="N947" i="9" s="1"/>
  <c r="AM993" i="7"/>
  <c r="AM991" i="7"/>
  <c r="AM986" i="7"/>
  <c r="AM984" i="7"/>
  <c r="AM982" i="7"/>
  <c r="AM977" i="7"/>
  <c r="AM971" i="7"/>
  <c r="AM989" i="7"/>
  <c r="AM978" i="7"/>
  <c r="AM976" i="7"/>
  <c r="AM972" i="7"/>
  <c r="AM987" i="7"/>
  <c r="AM979" i="7"/>
  <c r="AM975" i="7"/>
  <c r="AM973" i="7"/>
  <c r="AM980" i="7"/>
  <c r="AM974" i="7"/>
  <c r="AM992" i="7"/>
  <c r="AM985" i="7"/>
  <c r="AM983" i="7"/>
  <c r="AM981" i="7"/>
  <c r="AM990" i="7"/>
  <c r="AM988" i="7"/>
  <c r="AM970" i="7"/>
  <c r="L912" i="6"/>
  <c r="L884" i="6"/>
  <c r="M869" i="7"/>
  <c r="M897" i="7"/>
  <c r="AN871" i="8"/>
  <c r="AN906" i="8"/>
  <c r="O951" i="8"/>
  <c r="L806" i="9"/>
  <c r="I554" i="9"/>
  <c r="F555" i="9"/>
  <c r="F544" i="9"/>
  <c r="N876" i="8"/>
  <c r="N848" i="8"/>
  <c r="L847" i="8"/>
  <c r="L875" i="8"/>
  <c r="N864" i="10"/>
  <c r="N840" i="10"/>
  <c r="L871" i="8"/>
  <c r="L843" i="8"/>
  <c r="AO945" i="6"/>
  <c r="P990" i="6"/>
  <c r="AO910" i="6"/>
  <c r="P988" i="6"/>
  <c r="N921" i="6"/>
  <c r="AO908" i="6"/>
  <c r="AO943" i="6"/>
  <c r="AP925" i="7"/>
  <c r="O903" i="7"/>
  <c r="Q970" i="7"/>
  <c r="AP890" i="7"/>
  <c r="R635" i="6"/>
  <c r="Q976" i="7"/>
  <c r="AP931" i="7"/>
  <c r="AP896" i="7"/>
  <c r="L815" i="8"/>
  <c r="H563" i="8"/>
  <c r="H552" i="8"/>
  <c r="K811" i="9"/>
  <c r="L545" i="9"/>
  <c r="L491" i="9"/>
  <c r="M874" i="8"/>
  <c r="M846" i="8"/>
  <c r="O871" i="9"/>
  <c r="P938" i="9"/>
  <c r="L837" i="10"/>
  <c r="L861" i="10"/>
  <c r="U891" i="10" s="1"/>
  <c r="S861" i="10" s="1"/>
  <c r="I858" i="6"/>
  <c r="K491" i="6"/>
  <c r="K450" i="6"/>
  <c r="K449" i="6" s="1"/>
  <c r="K448" i="6" s="1"/>
  <c r="K447" i="6" s="1"/>
  <c r="K446" i="6" s="1"/>
  <c r="K445" i="6" s="1"/>
  <c r="K443" i="6"/>
  <c r="L993" i="6"/>
  <c r="AK948" i="6"/>
  <c r="AK913" i="6"/>
  <c r="AP956" i="6"/>
  <c r="J619" i="7"/>
  <c r="M618" i="7"/>
  <c r="M839" i="7"/>
  <c r="J582" i="7"/>
  <c r="M805" i="9"/>
  <c r="D591" i="9"/>
  <c r="D554" i="9"/>
  <c r="N890" i="7"/>
  <c r="N846" i="7"/>
  <c r="N862" i="7"/>
  <c r="M898" i="7"/>
  <c r="M870" i="7"/>
  <c r="M863" i="10"/>
  <c r="M839" i="10"/>
  <c r="N832" i="9"/>
  <c r="N816" i="9"/>
  <c r="N858" i="9"/>
  <c r="L812" i="9"/>
  <c r="N555" i="9"/>
  <c r="Q554" i="9"/>
  <c r="N544" i="9"/>
  <c r="N823" i="8"/>
  <c r="N867" i="8"/>
  <c r="N839" i="8"/>
  <c r="K837" i="7"/>
  <c r="G573" i="7"/>
  <c r="G516" i="7"/>
  <c r="H856" i="6"/>
  <c r="H444" i="6"/>
  <c r="H293" i="6"/>
  <c r="M878" i="8"/>
  <c r="M850" i="8"/>
  <c r="L861" i="6"/>
  <c r="O600" i="6"/>
  <c r="O589" i="6"/>
  <c r="M914" i="6"/>
  <c r="M886" i="6"/>
  <c r="O517" i="7"/>
  <c r="J843" i="7"/>
  <c r="O473" i="7"/>
  <c r="M893" i="7"/>
  <c r="M865" i="7"/>
  <c r="M776" i="10"/>
  <c r="F564" i="10"/>
  <c r="I563" i="10"/>
  <c r="F528" i="10"/>
  <c r="L808" i="9"/>
  <c r="H555" i="9"/>
  <c r="H544" i="9"/>
  <c r="M773" i="10"/>
  <c r="E563" i="10"/>
  <c r="R563" i="10" s="1"/>
  <c r="B564" i="10"/>
  <c r="B528" i="10"/>
  <c r="J820" i="8"/>
  <c r="O500" i="8"/>
  <c r="O457" i="8"/>
  <c r="H474" i="7"/>
  <c r="I838" i="7"/>
  <c r="H433" i="7"/>
  <c r="H432" i="7" s="1"/>
  <c r="H431" i="7" s="1"/>
  <c r="H430" i="7" s="1"/>
  <c r="H429" i="7" s="1"/>
  <c r="H428" i="7" s="1"/>
  <c r="H426" i="7"/>
  <c r="N870" i="8"/>
  <c r="N842" i="8"/>
  <c r="L857" i="6"/>
  <c r="J600" i="6"/>
  <c r="M599" i="6"/>
  <c r="J589" i="6"/>
  <c r="AL950" i="6"/>
  <c r="M995" i="6"/>
  <c r="AL915" i="6"/>
  <c r="K777" i="10"/>
  <c r="G519" i="10"/>
  <c r="G465" i="10"/>
  <c r="AR880" i="8"/>
  <c r="C583" i="7"/>
  <c r="L834" i="7"/>
  <c r="C572" i="7"/>
  <c r="AP921" i="6"/>
  <c r="L583" i="7"/>
  <c r="L841" i="7"/>
  <c r="L572" i="7"/>
  <c r="M889" i="6"/>
  <c r="M917" i="6"/>
  <c r="L810" i="9"/>
  <c r="K555" i="9"/>
  <c r="K544" i="9"/>
  <c r="AQ880" i="8"/>
  <c r="J852" i="6"/>
  <c r="C535" i="6"/>
  <c r="C490" i="6"/>
  <c r="AO949" i="6"/>
  <c r="P994" i="6"/>
  <c r="AO914" i="6"/>
  <c r="AO926" i="7"/>
  <c r="AO891" i="7"/>
  <c r="P971" i="7"/>
  <c r="M872" i="8"/>
  <c r="M844" i="8"/>
  <c r="O974" i="7"/>
  <c r="AN929" i="7"/>
  <c r="AN894" i="7"/>
  <c r="J915" i="6"/>
  <c r="J887" i="6"/>
  <c r="N868" i="7"/>
  <c r="N896" i="7"/>
  <c r="N834" i="9"/>
  <c r="N860" i="9"/>
  <c r="O940" i="9" s="1"/>
  <c r="AM900" i="7"/>
  <c r="N980" i="7"/>
  <c r="AM935" i="7"/>
  <c r="AW864" i="7"/>
  <c r="M911" i="6"/>
  <c r="M883" i="6"/>
  <c r="L894" i="7"/>
  <c r="L866" i="7"/>
  <c r="M835" i="9"/>
  <c r="M861" i="9"/>
  <c r="N941" i="9" s="1"/>
  <c r="K900" i="7"/>
  <c r="K872" i="7"/>
  <c r="N834" i="10"/>
  <c r="N858" i="10"/>
  <c r="M888" i="6"/>
  <c r="M916" i="6"/>
  <c r="J783" i="10"/>
  <c r="O466" i="10"/>
  <c r="O424" i="10"/>
  <c r="M890" i="6"/>
  <c r="M918" i="6"/>
  <c r="M863" i="9"/>
  <c r="N943" i="9" s="1"/>
  <c r="M837" i="9"/>
  <c r="K877" i="8"/>
  <c r="K849" i="8"/>
  <c r="AR956" i="6"/>
  <c r="P954" i="8"/>
  <c r="AO874" i="8"/>
  <c r="AO909" i="8"/>
  <c r="AL892" i="7"/>
  <c r="M972" i="7"/>
  <c r="AL927" i="7"/>
  <c r="L835" i="10"/>
  <c r="L859" i="10"/>
  <c r="U889" i="10" s="1"/>
  <c r="S859" i="10" s="1"/>
  <c r="AR915" i="8"/>
  <c r="M891" i="7"/>
  <c r="M863" i="7"/>
  <c r="K807" i="9"/>
  <c r="G545" i="9"/>
  <c r="G491" i="9"/>
  <c r="D474" i="7"/>
  <c r="D433" i="7"/>
  <c r="D432" i="7" s="1"/>
  <c r="D431" i="7" s="1"/>
  <c r="D430" i="7" s="1"/>
  <c r="D429" i="7" s="1"/>
  <c r="D428" i="7" s="1"/>
  <c r="I835" i="7"/>
  <c r="D426" i="7"/>
  <c r="K812" i="8"/>
  <c r="D553" i="8"/>
  <c r="D499" i="8"/>
  <c r="O992" i="6"/>
  <c r="AN912" i="6"/>
  <c r="AN947" i="6"/>
  <c r="K775" i="10"/>
  <c r="D519" i="10"/>
  <c r="D465" i="10"/>
  <c r="L774" i="10"/>
  <c r="C529" i="10"/>
  <c r="C518" i="10"/>
  <c r="M865" i="9"/>
  <c r="N945" i="9" s="1"/>
  <c r="M839" i="9"/>
  <c r="I913" i="6"/>
  <c r="I885" i="6"/>
  <c r="K909" i="6"/>
  <c r="K881" i="6"/>
  <c r="AO953" i="6"/>
  <c r="P998" i="6"/>
  <c r="AO918" i="6"/>
  <c r="N855" i="10"/>
  <c r="N868" i="10" s="1"/>
  <c r="N831" i="10"/>
  <c r="N786" i="10"/>
  <c r="AR921" i="6"/>
  <c r="J862" i="6"/>
  <c r="P535" i="6"/>
  <c r="P490" i="6"/>
  <c r="C553" i="8"/>
  <c r="K811" i="8"/>
  <c r="C499" i="8"/>
  <c r="L804" i="9"/>
  <c r="C555" i="9"/>
  <c r="C544" i="9"/>
  <c r="I813" i="9"/>
  <c r="O450" i="9"/>
  <c r="O409" i="9"/>
  <c r="O408" i="9" s="1"/>
  <c r="O407" i="9" s="1"/>
  <c r="O406" i="9" s="1"/>
  <c r="O405" i="9" s="1"/>
  <c r="O404" i="9" s="1"/>
  <c r="O402" i="9"/>
  <c r="M869" i="9"/>
  <c r="N949" i="9" s="1"/>
  <c r="M843" i="9"/>
  <c r="AQ938" i="7"/>
  <c r="P978" i="7"/>
  <c r="AO898" i="7"/>
  <c r="AO933" i="7"/>
  <c r="AO928" i="7"/>
  <c r="P973" i="7"/>
  <c r="AO893" i="7"/>
  <c r="M899" i="7"/>
  <c r="M871" i="7"/>
  <c r="Q950" i="8"/>
  <c r="AP870" i="8"/>
  <c r="AP905" i="8"/>
  <c r="K855" i="6"/>
  <c r="G590" i="6"/>
  <c r="G534" i="6"/>
  <c r="L778" i="10"/>
  <c r="H529" i="10"/>
  <c r="H518" i="10"/>
  <c r="O955" i="8"/>
  <c r="AN875" i="8"/>
  <c r="AN910" i="8"/>
  <c r="N957" i="8"/>
  <c r="AM912" i="8"/>
  <c r="AW841" i="8"/>
  <c r="AM877" i="8"/>
  <c r="J867" i="7"/>
  <c r="J895" i="7"/>
  <c r="M809" i="9"/>
  <c r="M590" i="9"/>
  <c r="J554" i="9"/>
  <c r="J591" i="9"/>
  <c r="K865" i="10"/>
  <c r="K841" i="10"/>
  <c r="M819" i="8"/>
  <c r="Q598" i="8"/>
  <c r="N562" i="8"/>
  <c r="N599" i="8"/>
  <c r="N999" i="6"/>
  <c r="AM954" i="6"/>
  <c r="AM919" i="6"/>
  <c r="AW883" i="6"/>
  <c r="M782" i="10"/>
  <c r="N564" i="10"/>
  <c r="Q563" i="10"/>
  <c r="N528" i="10"/>
  <c r="AO936" i="7"/>
  <c r="P981" i="7"/>
  <c r="AO901" i="7"/>
  <c r="L853" i="6"/>
  <c r="D600" i="6"/>
  <c r="D589" i="6"/>
  <c r="L851" i="6"/>
  <c r="B600" i="6"/>
  <c r="E599" i="6"/>
  <c r="R599" i="6" s="1"/>
  <c r="B589" i="6"/>
  <c r="Q947" i="8"/>
  <c r="AP902" i="8"/>
  <c r="AP915" i="8" s="1"/>
  <c r="AP867" i="8"/>
  <c r="AP880" i="8" s="1"/>
  <c r="O880" i="8"/>
  <c r="L844" i="7"/>
  <c r="P583" i="7"/>
  <c r="P572" i="7"/>
  <c r="L836" i="9"/>
  <c r="L862" i="9"/>
  <c r="J892" i="7"/>
  <c r="J864" i="7"/>
  <c r="K779" i="10"/>
  <c r="J519" i="10"/>
  <c r="J465" i="10"/>
  <c r="L841" i="8"/>
  <c r="L869" i="8"/>
  <c r="L857" i="10"/>
  <c r="U887" i="10" s="1"/>
  <c r="S857" i="10" s="1"/>
  <c r="L833" i="10"/>
  <c r="N989" i="6"/>
  <c r="AW873" i="6"/>
  <c r="AM944" i="6"/>
  <c r="AM909" i="6"/>
  <c r="M856" i="10"/>
  <c r="M832" i="10"/>
  <c r="N583" i="7"/>
  <c r="Q582" i="7"/>
  <c r="L842" i="7"/>
  <c r="N572" i="7"/>
  <c r="L780" i="10"/>
  <c r="K529" i="10"/>
  <c r="K518" i="10"/>
  <c r="M518" i="10" s="1"/>
  <c r="M803" i="9"/>
  <c r="B591" i="9"/>
  <c r="E590" i="9"/>
  <c r="B554" i="9"/>
  <c r="M810" i="8"/>
  <c r="B599" i="8"/>
  <c r="E598" i="8"/>
  <c r="R598" i="8" s="1"/>
  <c r="B562" i="8"/>
  <c r="J784" i="10"/>
  <c r="P466" i="10"/>
  <c r="P424" i="10"/>
  <c r="AO964" i="8"/>
  <c r="AO956" i="8"/>
  <c r="AO952" i="8"/>
  <c r="AO950" i="8"/>
  <c r="AO969" i="8"/>
  <c r="AO962" i="8"/>
  <c r="AO960" i="8"/>
  <c r="AO958" i="8"/>
  <c r="AO967" i="8"/>
  <c r="AO965" i="8"/>
  <c r="AO966" i="8"/>
  <c r="AO955" i="8"/>
  <c r="AO953" i="8"/>
  <c r="AO947" i="8"/>
  <c r="AO951" i="8"/>
  <c r="AO948" i="8"/>
  <c r="AO957" i="8"/>
  <c r="AO959" i="8"/>
  <c r="AO961" i="8"/>
  <c r="AO970" i="8"/>
  <c r="AO963" i="8"/>
  <c r="AO949" i="8"/>
  <c r="AO968" i="8"/>
  <c r="AO954" i="8"/>
  <c r="K583" i="7"/>
  <c r="L840" i="7"/>
  <c r="K572" i="7"/>
  <c r="O948" i="8"/>
  <c r="AN868" i="8"/>
  <c r="AN903" i="8"/>
  <c r="M851" i="5"/>
  <c r="M827" i="5"/>
  <c r="K844" i="5"/>
  <c r="K820" i="5"/>
  <c r="K763" i="5"/>
  <c r="D513" i="5"/>
  <c r="D460" i="5"/>
  <c r="L854" i="5"/>
  <c r="Q908" i="5" s="1"/>
  <c r="S854" i="5" s="1"/>
  <c r="L830" i="5"/>
  <c r="M852" i="5"/>
  <c r="M828" i="5"/>
  <c r="L770" i="5"/>
  <c r="Q522" i="5"/>
  <c r="N523" i="5"/>
  <c r="N512" i="5"/>
  <c r="L771" i="5"/>
  <c r="O523" i="5"/>
  <c r="O512" i="5"/>
  <c r="K772" i="5"/>
  <c r="P513" i="5"/>
  <c r="P460" i="5"/>
  <c r="L821" i="5"/>
  <c r="L845" i="5"/>
  <c r="Q899" i="5" s="1"/>
  <c r="S845" i="5" s="1"/>
  <c r="K766" i="5"/>
  <c r="H513" i="5"/>
  <c r="H460" i="5"/>
  <c r="N846" i="5"/>
  <c r="N856" i="5" s="1"/>
  <c r="N822" i="5"/>
  <c r="N774" i="5"/>
  <c r="M764" i="5"/>
  <c r="F558" i="5"/>
  <c r="F522" i="5"/>
  <c r="I557" i="5"/>
  <c r="R557" i="5" s="1"/>
  <c r="M853" i="5"/>
  <c r="M829" i="5"/>
  <c r="K768" i="5"/>
  <c r="K513" i="5"/>
  <c r="K460" i="5"/>
  <c r="L765" i="5"/>
  <c r="G523" i="5"/>
  <c r="G512" i="5"/>
  <c r="L843" i="5"/>
  <c r="L819" i="5"/>
  <c r="M849" i="5"/>
  <c r="M825" i="5"/>
  <c r="K761" i="5"/>
  <c r="E512" i="5"/>
  <c r="B513" i="5"/>
  <c r="B460" i="5"/>
  <c r="L767" i="5"/>
  <c r="J523" i="5"/>
  <c r="M522" i="5"/>
  <c r="J512" i="5"/>
  <c r="L769" i="5"/>
  <c r="L523" i="5"/>
  <c r="L512" i="5"/>
  <c r="L848" i="5"/>
  <c r="Q902" i="5" s="1"/>
  <c r="S848" i="5" s="1"/>
  <c r="L824" i="5"/>
  <c r="J762" i="5"/>
  <c r="C461" i="5"/>
  <c r="C419" i="5"/>
  <c r="L850" i="5"/>
  <c r="Q904" i="5" s="1"/>
  <c r="S850" i="5" s="1"/>
  <c r="L826" i="5"/>
  <c r="M847" i="5"/>
  <c r="M823" i="5"/>
  <c r="N803" i="4"/>
  <c r="N827" i="4"/>
  <c r="N824" i="4"/>
  <c r="N800" i="4"/>
  <c r="O834" i="4"/>
  <c r="K822" i="4"/>
  <c r="K798" i="4"/>
  <c r="L823" i="4"/>
  <c r="Q877" i="4" s="1"/>
  <c r="S845" i="4" s="1"/>
  <c r="L799" i="4"/>
  <c r="M807" i="4"/>
  <c r="M831" i="4"/>
  <c r="N832" i="4"/>
  <c r="N808" i="4"/>
  <c r="R579" i="4"/>
  <c r="J740" i="4"/>
  <c r="C447" i="4"/>
  <c r="C405" i="4"/>
  <c r="K747" i="4"/>
  <c r="L496" i="4"/>
  <c r="L446" i="4"/>
  <c r="L743" i="4"/>
  <c r="G506" i="4"/>
  <c r="G495" i="4"/>
  <c r="K746" i="4"/>
  <c r="K496" i="4"/>
  <c r="K446" i="4"/>
  <c r="M745" i="4"/>
  <c r="M540" i="4"/>
  <c r="J541" i="4"/>
  <c r="J505" i="4"/>
  <c r="K748" i="4"/>
  <c r="N496" i="4"/>
  <c r="N446" i="4"/>
  <c r="N797" i="4"/>
  <c r="N821" i="4"/>
  <c r="N834" i="4" s="1"/>
  <c r="N752" i="4"/>
  <c r="M802" i="4"/>
  <c r="M826" i="4"/>
  <c r="K741" i="4"/>
  <c r="D496" i="4"/>
  <c r="D446" i="4"/>
  <c r="L749" i="4"/>
  <c r="O506" i="4"/>
  <c r="O495" i="4"/>
  <c r="M750" i="4"/>
  <c r="P541" i="4"/>
  <c r="P505" i="4"/>
  <c r="M739" i="4"/>
  <c r="E540" i="4"/>
  <c r="B505" i="4"/>
  <c r="B541" i="4"/>
  <c r="L744" i="4"/>
  <c r="H506" i="4"/>
  <c r="H495" i="4"/>
  <c r="L829" i="4"/>
  <c r="Q883" i="4" s="1"/>
  <c r="S851" i="4" s="1"/>
  <c r="L805" i="4"/>
  <c r="M742" i="4"/>
  <c r="F541" i="4"/>
  <c r="I540" i="4"/>
  <c r="F505" i="4"/>
  <c r="L830" i="4"/>
  <c r="Q884" i="4" s="1"/>
  <c r="S852" i="4" s="1"/>
  <c r="L806" i="4"/>
  <c r="M825" i="4"/>
  <c r="M801" i="4"/>
  <c r="L828" i="4"/>
  <c r="Q882" i="4" s="1"/>
  <c r="S850" i="4" s="1"/>
  <c r="L804" i="4"/>
  <c r="L752" i="3"/>
  <c r="P505" i="3"/>
  <c r="P494" i="3"/>
  <c r="K751" i="3"/>
  <c r="O495" i="3"/>
  <c r="O443" i="3"/>
  <c r="L830" i="3"/>
  <c r="Q884" i="3" s="1"/>
  <c r="S851" i="3" s="1"/>
  <c r="L806" i="3"/>
  <c r="R578" i="3"/>
  <c r="I749" i="3"/>
  <c r="L400" i="3"/>
  <c r="L359" i="3"/>
  <c r="N823" i="3"/>
  <c r="N836" i="3" s="1"/>
  <c r="N799" i="3"/>
  <c r="N754" i="3"/>
  <c r="L833" i="3"/>
  <c r="Q887" i="3" s="1"/>
  <c r="S854" i="3" s="1"/>
  <c r="L809" i="3"/>
  <c r="N802" i="3"/>
  <c r="N826" i="3"/>
  <c r="J750" i="3"/>
  <c r="N444" i="3"/>
  <c r="N399" i="3"/>
  <c r="J807" i="3"/>
  <c r="J831" i="3"/>
  <c r="J742" i="3"/>
  <c r="C444" i="3"/>
  <c r="C399" i="3"/>
  <c r="M834" i="3"/>
  <c r="M810" i="3"/>
  <c r="M747" i="3"/>
  <c r="M539" i="3"/>
  <c r="J540" i="3"/>
  <c r="J504" i="3"/>
  <c r="L743" i="3"/>
  <c r="D505" i="3"/>
  <c r="D494" i="3"/>
  <c r="Q494" i="3"/>
  <c r="K800" i="3"/>
  <c r="K824" i="3"/>
  <c r="K808" i="3"/>
  <c r="K832" i="3"/>
  <c r="K748" i="3"/>
  <c r="K495" i="3"/>
  <c r="K443" i="3"/>
  <c r="L746" i="3"/>
  <c r="H505" i="3"/>
  <c r="H494" i="3"/>
  <c r="L745" i="3"/>
  <c r="G505" i="3"/>
  <c r="G494" i="3"/>
  <c r="E539" i="3"/>
  <c r="B540" i="3"/>
  <c r="M741" i="3"/>
  <c r="B504" i="3"/>
  <c r="M825" i="3"/>
  <c r="M801" i="3"/>
  <c r="F540" i="3"/>
  <c r="M744" i="3"/>
  <c r="F504" i="3"/>
  <c r="I539" i="3"/>
  <c r="M804" i="3"/>
  <c r="M828" i="3"/>
  <c r="M803" i="3"/>
  <c r="M827" i="3"/>
  <c r="N805" i="3"/>
  <c r="N829" i="3"/>
  <c r="Q504" i="3"/>
  <c r="N853" i="2"/>
  <c r="K758" i="2"/>
  <c r="B512" i="2"/>
  <c r="B463" i="2"/>
  <c r="M826" i="2"/>
  <c r="M850" i="2"/>
  <c r="M848" i="2"/>
  <c r="M824" i="2"/>
  <c r="L765" i="2"/>
  <c r="K522" i="2"/>
  <c r="K511" i="2"/>
  <c r="N825" i="2"/>
  <c r="N849" i="2"/>
  <c r="I763" i="2"/>
  <c r="H384" i="2"/>
  <c r="H383" i="2" s="1"/>
  <c r="H382" i="2" s="1"/>
  <c r="H381" i="2" s="1"/>
  <c r="H380" i="2" s="1"/>
  <c r="H379" i="2" s="1"/>
  <c r="H423" i="2"/>
  <c r="H377" i="2"/>
  <c r="I769" i="2"/>
  <c r="P423" i="2"/>
  <c r="P384" i="2"/>
  <c r="P383" i="2" s="1"/>
  <c r="P382" i="2" s="1"/>
  <c r="P381" i="2" s="1"/>
  <c r="P380" i="2" s="1"/>
  <c r="P379" i="2" s="1"/>
  <c r="P377" i="2"/>
  <c r="N843" i="2"/>
  <c r="N819" i="2"/>
  <c r="N771" i="2"/>
  <c r="L760" i="2"/>
  <c r="D522" i="2"/>
  <c r="D511" i="2"/>
  <c r="L840" i="2"/>
  <c r="L816" i="2"/>
  <c r="M847" i="2"/>
  <c r="M823" i="2"/>
  <c r="J845" i="2"/>
  <c r="J821" i="2"/>
  <c r="L766" i="2"/>
  <c r="L522" i="2"/>
  <c r="L511" i="2"/>
  <c r="M842" i="2"/>
  <c r="M818" i="2"/>
  <c r="L768" i="2"/>
  <c r="O522" i="2"/>
  <c r="O511" i="2"/>
  <c r="M767" i="2"/>
  <c r="N557" i="2"/>
  <c r="Q556" i="2"/>
  <c r="N521" i="2"/>
  <c r="L759" i="2"/>
  <c r="C522" i="2"/>
  <c r="C511" i="2"/>
  <c r="M844" i="2"/>
  <c r="M820" i="2"/>
  <c r="J851" i="2"/>
  <c r="J827" i="2"/>
  <c r="M764" i="2"/>
  <c r="M556" i="2"/>
  <c r="J557" i="2"/>
  <c r="J521" i="2"/>
  <c r="L762" i="2"/>
  <c r="G522" i="2"/>
  <c r="G511" i="2"/>
  <c r="M761" i="2"/>
  <c r="I556" i="2"/>
  <c r="R556" i="2" s="1"/>
  <c r="F557" i="2"/>
  <c r="F521" i="2"/>
  <c r="M841" i="2"/>
  <c r="M817" i="2"/>
  <c r="N822" i="2"/>
  <c r="N846" i="2"/>
  <c r="AO956" i="6" l="1"/>
  <c r="AP938" i="7"/>
  <c r="N1023" i="15"/>
  <c r="AO1115" i="14"/>
  <c r="AP1084" i="13"/>
  <c r="AO971" i="8"/>
  <c r="AM994" i="7"/>
  <c r="AP1012" i="6"/>
  <c r="AL1046" i="11"/>
  <c r="M1016" i="15"/>
  <c r="M988" i="15"/>
  <c r="L1032" i="11"/>
  <c r="AK987" i="11"/>
  <c r="AK952" i="11"/>
  <c r="K965" i="14"/>
  <c r="P685" i="14"/>
  <c r="P618" i="14"/>
  <c r="K1016" i="14"/>
  <c r="K988" i="14"/>
  <c r="AO1006" i="12"/>
  <c r="P1051" i="12"/>
  <c r="AO971" i="12"/>
  <c r="I987" i="13"/>
  <c r="I959" i="13"/>
  <c r="K979" i="12"/>
  <c r="K951" i="12"/>
  <c r="I956" i="14"/>
  <c r="D529" i="14"/>
  <c r="D528" i="14" s="1"/>
  <c r="D527" i="14" s="1"/>
  <c r="D526" i="14" s="1"/>
  <c r="D525" i="14" s="1"/>
  <c r="D524" i="14" s="1"/>
  <c r="D574" i="14"/>
  <c r="D522" i="14"/>
  <c r="M987" i="15"/>
  <c r="M1015" i="15"/>
  <c r="L956" i="13"/>
  <c r="L984" i="13"/>
  <c r="M924" i="12"/>
  <c r="M940" i="12"/>
  <c r="M968" i="12"/>
  <c r="P1031" i="11"/>
  <c r="AO951" i="11"/>
  <c r="AO986" i="11"/>
  <c r="D564" i="11"/>
  <c r="J887" i="11"/>
  <c r="D519" i="11"/>
  <c r="L994" i="14"/>
  <c r="L1022" i="14"/>
  <c r="N1101" i="14"/>
  <c r="AM1021" i="14"/>
  <c r="AW985" i="14"/>
  <c r="AM1056" i="14"/>
  <c r="K928" i="13"/>
  <c r="H655" i="13"/>
  <c r="H587" i="13"/>
  <c r="AM1004" i="12"/>
  <c r="N1049" i="12"/>
  <c r="AW933" i="12"/>
  <c r="AM969" i="12"/>
  <c r="N1050" i="12"/>
  <c r="AM1005" i="12"/>
  <c r="AW934" i="12"/>
  <c r="AM970" i="12"/>
  <c r="H943" i="11"/>
  <c r="H915" i="11"/>
  <c r="I654" i="13"/>
  <c r="K926" i="13"/>
  <c r="F655" i="13"/>
  <c r="F587" i="13"/>
  <c r="L962" i="13"/>
  <c r="L990" i="13"/>
  <c r="J985" i="14"/>
  <c r="J1013" i="14"/>
  <c r="N1100" i="14"/>
  <c r="AM1020" i="14"/>
  <c r="AM1055" i="14"/>
  <c r="AW984" i="14"/>
  <c r="M986" i="13"/>
  <c r="M958" i="13"/>
  <c r="J632" i="11"/>
  <c r="L891" i="11"/>
  <c r="M631" i="11"/>
  <c r="J621" i="11"/>
  <c r="M986" i="14"/>
  <c r="M1014" i="14"/>
  <c r="B632" i="11"/>
  <c r="L885" i="11"/>
  <c r="E631" i="11"/>
  <c r="B621" i="11"/>
  <c r="AN983" i="13"/>
  <c r="O1063" i="13"/>
  <c r="AN1018" i="13"/>
  <c r="J916" i="12"/>
  <c r="H581" i="12"/>
  <c r="H535" i="12"/>
  <c r="I889" i="11"/>
  <c r="G478" i="11"/>
  <c r="G477" i="11" s="1"/>
  <c r="G476" i="11" s="1"/>
  <c r="G475" i="11" s="1"/>
  <c r="G474" i="11" s="1"/>
  <c r="G473" i="11" s="1"/>
  <c r="G520" i="11"/>
  <c r="G471" i="11"/>
  <c r="N1024" i="11"/>
  <c r="AM944" i="11"/>
  <c r="AW908" i="11"/>
  <c r="AM979" i="11"/>
  <c r="M1010" i="15"/>
  <c r="M966" i="15"/>
  <c r="M982" i="15"/>
  <c r="K961" i="15"/>
  <c r="L682" i="15"/>
  <c r="L615" i="15"/>
  <c r="L958" i="15"/>
  <c r="H692" i="15"/>
  <c r="H681" i="15"/>
  <c r="K953" i="11"/>
  <c r="K925" i="11"/>
  <c r="K954" i="15"/>
  <c r="C682" i="15"/>
  <c r="C615" i="15"/>
  <c r="J923" i="13"/>
  <c r="B588" i="13"/>
  <c r="B542" i="13"/>
  <c r="J964" i="15"/>
  <c r="P616" i="15"/>
  <c r="P570" i="15"/>
  <c r="K962" i="14"/>
  <c r="L685" i="14"/>
  <c r="L618" i="14"/>
  <c r="L1011" i="15"/>
  <c r="L983" i="15"/>
  <c r="M951" i="11"/>
  <c r="M923" i="11"/>
  <c r="P655" i="13"/>
  <c r="K934" i="13"/>
  <c r="P587" i="13"/>
  <c r="AN984" i="11"/>
  <c r="O1029" i="11"/>
  <c r="AN949" i="11"/>
  <c r="L978" i="12"/>
  <c r="L950" i="12"/>
  <c r="M1019" i="15"/>
  <c r="M991" i="15"/>
  <c r="K963" i="15"/>
  <c r="O682" i="15"/>
  <c r="O615" i="15"/>
  <c r="L956" i="15"/>
  <c r="F692" i="15"/>
  <c r="I691" i="15"/>
  <c r="F681" i="15"/>
  <c r="J913" i="12"/>
  <c r="D581" i="12"/>
  <c r="D535" i="12"/>
  <c r="R667" i="11"/>
  <c r="AL1023" i="13"/>
  <c r="AL988" i="13"/>
  <c r="M1068" i="13"/>
  <c r="Q684" i="14"/>
  <c r="J946" i="11"/>
  <c r="J918" i="11"/>
  <c r="L1067" i="13"/>
  <c r="AK987" i="13"/>
  <c r="AK1022" i="13"/>
  <c r="Q654" i="13"/>
  <c r="N655" i="13"/>
  <c r="K932" i="13"/>
  <c r="N587" i="13"/>
  <c r="L962" i="15"/>
  <c r="N692" i="15"/>
  <c r="Q691" i="15"/>
  <c r="N681" i="15"/>
  <c r="I924" i="11"/>
  <c r="I952" i="11"/>
  <c r="C310" i="11"/>
  <c r="E886" i="11"/>
  <c r="C311" i="11"/>
  <c r="C131" i="11"/>
  <c r="K993" i="14"/>
  <c r="K1021" i="14"/>
  <c r="H564" i="11"/>
  <c r="J890" i="11"/>
  <c r="H519" i="11"/>
  <c r="L1014" i="15"/>
  <c r="L986" i="15"/>
  <c r="N989" i="14"/>
  <c r="N1017" i="14"/>
  <c r="N1024" i="14" s="1"/>
  <c r="L991" i="14"/>
  <c r="L1019" i="14"/>
  <c r="K944" i="11"/>
  <c r="K916" i="11"/>
  <c r="AK1027" i="11"/>
  <c r="AK1025" i="11"/>
  <c r="AK1023" i="11"/>
  <c r="AK1045" i="11"/>
  <c r="AK1043" i="11"/>
  <c r="AK1038" i="11"/>
  <c r="AK1036" i="11"/>
  <c r="AK1034" i="11"/>
  <c r="AK1032" i="11"/>
  <c r="AK1030" i="11"/>
  <c r="AK1041" i="11"/>
  <c r="AK1028" i="11"/>
  <c r="AK1039" i="11"/>
  <c r="AK1026" i="11"/>
  <c r="AK1024" i="11"/>
  <c r="AK1022" i="11"/>
  <c r="AK1046" i="11" s="1"/>
  <c r="AK1044" i="11"/>
  <c r="AK1037" i="11"/>
  <c r="AK1035" i="11"/>
  <c r="AK1033" i="11"/>
  <c r="AK1031" i="11"/>
  <c r="AK1029" i="11"/>
  <c r="AK1040" i="11"/>
  <c r="AK1042" i="11"/>
  <c r="AO1083" i="13"/>
  <c r="AO1077" i="13"/>
  <c r="AO1064" i="13"/>
  <c r="AO1062" i="13"/>
  <c r="AO1060" i="13"/>
  <c r="AO1082" i="13"/>
  <c r="AO1075" i="13"/>
  <c r="AO1073" i="13"/>
  <c r="AO1071" i="13"/>
  <c r="AO1069" i="13"/>
  <c r="AO1067" i="13"/>
  <c r="AO1080" i="13"/>
  <c r="AO1078" i="13"/>
  <c r="AO1063" i="13"/>
  <c r="AO1061" i="13"/>
  <c r="AO1081" i="13"/>
  <c r="AO1076" i="13"/>
  <c r="AO1074" i="13"/>
  <c r="AO1072" i="13"/>
  <c r="AO1070" i="13"/>
  <c r="AO1068" i="13"/>
  <c r="AO1066" i="13"/>
  <c r="AO1079" i="13"/>
  <c r="AO1065" i="13"/>
  <c r="H918" i="12"/>
  <c r="K486" i="12"/>
  <c r="K315" i="12"/>
  <c r="K954" i="14"/>
  <c r="E684" i="14"/>
  <c r="B685" i="14"/>
  <c r="B618" i="14"/>
  <c r="L985" i="13"/>
  <c r="L957" i="13"/>
  <c r="O1069" i="13"/>
  <c r="AN1024" i="13"/>
  <c r="AN989" i="13"/>
  <c r="P1028" i="11"/>
  <c r="AO983" i="11"/>
  <c r="AO948" i="11"/>
  <c r="AO942" i="11"/>
  <c r="P1022" i="11"/>
  <c r="N955" i="11"/>
  <c r="AO977" i="11"/>
  <c r="J893" i="11"/>
  <c r="L564" i="11"/>
  <c r="L519" i="11"/>
  <c r="L983" i="13"/>
  <c r="L955" i="13"/>
  <c r="M948" i="11"/>
  <c r="M920" i="11"/>
  <c r="P1048" i="12"/>
  <c r="AO1003" i="12"/>
  <c r="N981" i="12"/>
  <c r="AO968" i="12"/>
  <c r="K945" i="12"/>
  <c r="K973" i="12"/>
  <c r="K992" i="14"/>
  <c r="K1020" i="14"/>
  <c r="N1092" i="14"/>
  <c r="AM1047" i="14"/>
  <c r="AM1012" i="14"/>
  <c r="AW976" i="14"/>
  <c r="M1095" i="14"/>
  <c r="AL1050" i="14"/>
  <c r="AL1015" i="14"/>
  <c r="L1018" i="15"/>
  <c r="L990" i="15"/>
  <c r="J1015" i="14"/>
  <c r="J987" i="14"/>
  <c r="J919" i="12"/>
  <c r="L581" i="12"/>
  <c r="L535" i="12"/>
  <c r="K980" i="13"/>
  <c r="K952" i="13"/>
  <c r="J955" i="14"/>
  <c r="C619" i="14"/>
  <c r="C573" i="14"/>
  <c r="K1021" i="15"/>
  <c r="K993" i="15"/>
  <c r="K1023" i="11"/>
  <c r="AJ943" i="11"/>
  <c r="AJ978" i="11"/>
  <c r="L959" i="15"/>
  <c r="J692" i="15"/>
  <c r="M691" i="15"/>
  <c r="J681" i="15"/>
  <c r="L991" i="13"/>
  <c r="L963" i="13"/>
  <c r="AM979" i="12"/>
  <c r="AM1014" i="12"/>
  <c r="AW943" i="12"/>
  <c r="N1059" i="12"/>
  <c r="P1094" i="14"/>
  <c r="AO1049" i="14"/>
  <c r="AO1014" i="14"/>
  <c r="AM985" i="11"/>
  <c r="AM950" i="11"/>
  <c r="N1030" i="11"/>
  <c r="AW914" i="11"/>
  <c r="O1070" i="13"/>
  <c r="AN1025" i="13"/>
  <c r="AN990" i="13"/>
  <c r="H895" i="11"/>
  <c r="O472" i="11"/>
  <c r="O309" i="11"/>
  <c r="C655" i="13"/>
  <c r="K924" i="13"/>
  <c r="C587" i="13"/>
  <c r="E587" i="13" s="1"/>
  <c r="L1020" i="15"/>
  <c r="L992" i="15"/>
  <c r="I931" i="13"/>
  <c r="L543" i="13"/>
  <c r="L499" i="13"/>
  <c r="L498" i="13" s="1"/>
  <c r="L497" i="13" s="1"/>
  <c r="L496" i="13" s="1"/>
  <c r="L495" i="13" s="1"/>
  <c r="L494" i="13" s="1"/>
  <c r="L492" i="13"/>
  <c r="AN1071" i="12"/>
  <c r="AN1069" i="12"/>
  <c r="AN1064" i="12"/>
  <c r="AN1062" i="12"/>
  <c r="AN1060" i="12"/>
  <c r="AN1058" i="12"/>
  <c r="AN1056" i="12"/>
  <c r="AN1067" i="12"/>
  <c r="AN1054" i="12"/>
  <c r="AN1065" i="12"/>
  <c r="AN1070" i="12"/>
  <c r="AN1063" i="12"/>
  <c r="AN1061" i="12"/>
  <c r="AN1059" i="12"/>
  <c r="AN1057" i="12"/>
  <c r="AN1055" i="12"/>
  <c r="AN1068" i="12"/>
  <c r="AN1066" i="12"/>
  <c r="AN1052" i="12"/>
  <c r="AN1051" i="12"/>
  <c r="AN1048" i="12"/>
  <c r="AN1053" i="12"/>
  <c r="AN1049" i="12"/>
  <c r="AN1050" i="12"/>
  <c r="N1098" i="14"/>
  <c r="AM1053" i="14"/>
  <c r="AW982" i="14"/>
  <c r="AM1018" i="14"/>
  <c r="N1096" i="14"/>
  <c r="AM1051" i="14"/>
  <c r="AM1016" i="14"/>
  <c r="AW980" i="14"/>
  <c r="K942" i="12"/>
  <c r="K970" i="12"/>
  <c r="M942" i="11"/>
  <c r="M898" i="11"/>
  <c r="M914" i="11"/>
  <c r="AP1016" i="12"/>
  <c r="I631" i="11"/>
  <c r="L888" i="11"/>
  <c r="F632" i="11"/>
  <c r="F621" i="11"/>
  <c r="AO1009" i="12"/>
  <c r="AO974" i="12"/>
  <c r="P1054" i="12"/>
  <c r="AN1057" i="14"/>
  <c r="O1102" i="14"/>
  <c r="AN1022" i="14"/>
  <c r="AN1013" i="12"/>
  <c r="AN978" i="12"/>
  <c r="O1058" i="12"/>
  <c r="O1099" i="14"/>
  <c r="AN1054" i="14"/>
  <c r="AN1019" i="14"/>
  <c r="I958" i="14"/>
  <c r="G529" i="14"/>
  <c r="G528" i="14" s="1"/>
  <c r="G527" i="14" s="1"/>
  <c r="G526" i="14" s="1"/>
  <c r="G525" i="14" s="1"/>
  <c r="G524" i="14" s="1"/>
  <c r="G574" i="14"/>
  <c r="G522" i="14"/>
  <c r="J961" i="14"/>
  <c r="K619" i="14"/>
  <c r="K573" i="14"/>
  <c r="J959" i="14"/>
  <c r="H619" i="14"/>
  <c r="H573" i="14"/>
  <c r="K622" i="11"/>
  <c r="K892" i="11"/>
  <c r="K563" i="11"/>
  <c r="L917" i="12"/>
  <c r="M654" i="12"/>
  <c r="J655" i="12"/>
  <c r="J644" i="12"/>
  <c r="M1093" i="14"/>
  <c r="AL1048" i="14"/>
  <c r="AL1013" i="14"/>
  <c r="K960" i="15"/>
  <c r="K682" i="15"/>
  <c r="K615" i="15"/>
  <c r="K493" i="13"/>
  <c r="H930" i="13"/>
  <c r="K318" i="13"/>
  <c r="K950" i="11"/>
  <c r="K922" i="11"/>
  <c r="L981" i="13"/>
  <c r="L953" i="13"/>
  <c r="J922" i="12"/>
  <c r="P581" i="12"/>
  <c r="P535" i="12"/>
  <c r="M985" i="15"/>
  <c r="M1013" i="15"/>
  <c r="L1062" i="13"/>
  <c r="AK1017" i="13"/>
  <c r="AK982" i="13"/>
  <c r="J964" i="14"/>
  <c r="O619" i="14"/>
  <c r="O573" i="14"/>
  <c r="M1026" i="11"/>
  <c r="AL946" i="11"/>
  <c r="AL981" i="11"/>
  <c r="H955" i="15"/>
  <c r="D520" i="15"/>
  <c r="D325" i="15"/>
  <c r="L914" i="12"/>
  <c r="F655" i="12"/>
  <c r="I654" i="12"/>
  <c r="F644" i="12"/>
  <c r="L920" i="12"/>
  <c r="N655" i="12"/>
  <c r="Q654" i="12"/>
  <c r="N644" i="12"/>
  <c r="M945" i="11"/>
  <c r="M917" i="11"/>
  <c r="AM1011" i="12"/>
  <c r="AM976" i="12"/>
  <c r="AW940" i="12"/>
  <c r="N1056" i="12"/>
  <c r="N1060" i="13"/>
  <c r="AW944" i="13"/>
  <c r="AM1015" i="13"/>
  <c r="AM980" i="13"/>
  <c r="O1091" i="14"/>
  <c r="AN1046" i="14"/>
  <c r="AN1011" i="14"/>
  <c r="K976" i="12"/>
  <c r="K948" i="12"/>
  <c r="O1065" i="13"/>
  <c r="AN1020" i="13"/>
  <c r="AN985" i="13"/>
  <c r="K1012" i="14"/>
  <c r="K984" i="14"/>
  <c r="L911" i="12"/>
  <c r="B655" i="12"/>
  <c r="E654" i="12"/>
  <c r="B644" i="12"/>
  <c r="K957" i="15"/>
  <c r="G682" i="15"/>
  <c r="G615" i="15"/>
  <c r="I975" i="12"/>
  <c r="I947" i="12"/>
  <c r="O1061" i="13"/>
  <c r="AN1016" i="13"/>
  <c r="AN981" i="13"/>
  <c r="L983" i="14"/>
  <c r="L1011" i="14"/>
  <c r="L949" i="11"/>
  <c r="L921" i="11"/>
  <c r="AO1012" i="12"/>
  <c r="P1057" i="12"/>
  <c r="AO977" i="12"/>
  <c r="L1017" i="15"/>
  <c r="L989" i="15"/>
  <c r="J896" i="11"/>
  <c r="P564" i="11"/>
  <c r="P519" i="11"/>
  <c r="J960" i="13"/>
  <c r="J988" i="13"/>
  <c r="K915" i="12"/>
  <c r="G645" i="12"/>
  <c r="G580" i="12"/>
  <c r="AO980" i="11"/>
  <c r="AO945" i="11"/>
  <c r="P1025" i="11"/>
  <c r="AN1026" i="13"/>
  <c r="O1071" i="13"/>
  <c r="AN991" i="13"/>
  <c r="L929" i="13"/>
  <c r="J665" i="13"/>
  <c r="M664" i="13"/>
  <c r="R664" i="13" s="1"/>
  <c r="J654" i="13"/>
  <c r="J912" i="12"/>
  <c r="C581" i="12"/>
  <c r="C535" i="12"/>
  <c r="L957" i="14"/>
  <c r="I694" i="14"/>
  <c r="F695" i="14"/>
  <c r="F684" i="14"/>
  <c r="H925" i="13"/>
  <c r="D493" i="13"/>
  <c r="D318" i="13"/>
  <c r="AP981" i="12"/>
  <c r="L936" i="13"/>
  <c r="L953" i="15"/>
  <c r="E691" i="15"/>
  <c r="B692" i="15"/>
  <c r="B681" i="15"/>
  <c r="N1027" i="11"/>
  <c r="AM982" i="11"/>
  <c r="AW911" i="11"/>
  <c r="AM947" i="11"/>
  <c r="K927" i="13"/>
  <c r="G655" i="13"/>
  <c r="G587" i="13"/>
  <c r="AM988" i="11"/>
  <c r="N1033" i="11"/>
  <c r="AM953" i="11"/>
  <c r="AW917" i="11"/>
  <c r="K990" i="14"/>
  <c r="K1018" i="14"/>
  <c r="J731" i="14"/>
  <c r="M960" i="14"/>
  <c r="M967" i="14" s="1"/>
  <c r="M730" i="14"/>
  <c r="R730" i="14" s="1"/>
  <c r="J694" i="14"/>
  <c r="L894" i="11"/>
  <c r="Q631" i="11"/>
  <c r="N632" i="11"/>
  <c r="N621" i="11"/>
  <c r="L961" i="13"/>
  <c r="L989" i="13"/>
  <c r="K921" i="12"/>
  <c r="O645" i="12"/>
  <c r="O580" i="12"/>
  <c r="M974" i="12"/>
  <c r="M946" i="12"/>
  <c r="AN1113" i="14"/>
  <c r="AN1106" i="14"/>
  <c r="AN1110" i="14"/>
  <c r="AN1112" i="14"/>
  <c r="AN1095" i="14"/>
  <c r="AN1093" i="14"/>
  <c r="AN1091" i="14"/>
  <c r="AN1102" i="14"/>
  <c r="AN1100" i="14"/>
  <c r="AN1098" i="14"/>
  <c r="AN1109" i="14"/>
  <c r="AN1108" i="14"/>
  <c r="AN1105" i="14"/>
  <c r="AN1096" i="14"/>
  <c r="AN1107" i="14"/>
  <c r="AN1104" i="14"/>
  <c r="AN1094" i="14"/>
  <c r="AN1092" i="14"/>
  <c r="AN1111" i="14"/>
  <c r="AN1101" i="14"/>
  <c r="AN1099" i="14"/>
  <c r="AN1103" i="14"/>
  <c r="AN1097" i="14"/>
  <c r="AN1114" i="14"/>
  <c r="N1053" i="12"/>
  <c r="AW937" i="12"/>
  <c r="AM973" i="12"/>
  <c r="AM1008" i="12"/>
  <c r="L972" i="12"/>
  <c r="L944" i="12"/>
  <c r="K933" i="13"/>
  <c r="O655" i="13"/>
  <c r="O587" i="13"/>
  <c r="L1055" i="12"/>
  <c r="AK1010" i="12"/>
  <c r="AK975" i="12"/>
  <c r="K919" i="11"/>
  <c r="K947" i="11"/>
  <c r="K969" i="12"/>
  <c r="K941" i="12"/>
  <c r="I984" i="15"/>
  <c r="I1012" i="15"/>
  <c r="M971" i="12"/>
  <c r="M943" i="12"/>
  <c r="I954" i="13"/>
  <c r="I982" i="13"/>
  <c r="M977" i="12"/>
  <c r="M949" i="12"/>
  <c r="O1052" i="12"/>
  <c r="AN1007" i="12"/>
  <c r="AN972" i="12"/>
  <c r="J963" i="14"/>
  <c r="Q618" i="14"/>
  <c r="N619" i="14"/>
  <c r="N573" i="14"/>
  <c r="Q1097" i="14"/>
  <c r="AP1052" i="14"/>
  <c r="AP1059" i="14" s="1"/>
  <c r="AP1017" i="14"/>
  <c r="AP1024" i="14" s="1"/>
  <c r="O1064" i="13"/>
  <c r="AN1019" i="13"/>
  <c r="AN984" i="13"/>
  <c r="R727" i="15"/>
  <c r="P1066" i="13"/>
  <c r="AO1021" i="13"/>
  <c r="AO1028" i="13" s="1"/>
  <c r="AO986" i="13"/>
  <c r="AO993" i="13" s="1"/>
  <c r="N967" i="14"/>
  <c r="J779" i="10"/>
  <c r="J466" i="10"/>
  <c r="J424" i="10"/>
  <c r="K840" i="7"/>
  <c r="K573" i="7"/>
  <c r="K516" i="7"/>
  <c r="O954" i="8"/>
  <c r="AN909" i="8"/>
  <c r="AN874" i="8"/>
  <c r="AO921" i="6"/>
  <c r="N992" i="6"/>
  <c r="AM947" i="6"/>
  <c r="AW876" i="6"/>
  <c r="AM912" i="6"/>
  <c r="I572" i="7"/>
  <c r="F573" i="7"/>
  <c r="K836" i="7"/>
  <c r="F516" i="7"/>
  <c r="R618" i="7"/>
  <c r="M946" i="9"/>
  <c r="AW841" i="9"/>
  <c r="M858" i="10"/>
  <c r="M834" i="10"/>
  <c r="M896" i="7"/>
  <c r="M868" i="7"/>
  <c r="L869" i="7"/>
  <c r="L897" i="7"/>
  <c r="M867" i="8"/>
  <c r="M823" i="8"/>
  <c r="M839" i="8"/>
  <c r="Q572" i="7"/>
  <c r="K842" i="7"/>
  <c r="N573" i="7"/>
  <c r="N516" i="7"/>
  <c r="L873" i="7"/>
  <c r="L901" i="7"/>
  <c r="L864" i="6"/>
  <c r="L880" i="6"/>
  <c r="L908" i="6"/>
  <c r="L819" i="8"/>
  <c r="N563" i="8"/>
  <c r="Q562" i="8"/>
  <c r="N552" i="8"/>
  <c r="M864" i="9"/>
  <c r="N944" i="9" s="1"/>
  <c r="M838" i="9"/>
  <c r="I862" i="6"/>
  <c r="P491" i="6"/>
  <c r="P450" i="6"/>
  <c r="P449" i="6" s="1"/>
  <c r="P448" i="6" s="1"/>
  <c r="P447" i="6" s="1"/>
  <c r="P446" i="6" s="1"/>
  <c r="P445" i="6" s="1"/>
  <c r="P443" i="6"/>
  <c r="K774" i="10"/>
  <c r="C519" i="10"/>
  <c r="C465" i="10"/>
  <c r="J807" i="9"/>
  <c r="G492" i="9"/>
  <c r="G449" i="9"/>
  <c r="M957" i="8"/>
  <c r="AL877" i="8"/>
  <c r="AL912" i="8"/>
  <c r="O996" i="6"/>
  <c r="AN951" i="6"/>
  <c r="AN916" i="6"/>
  <c r="AN952" i="6"/>
  <c r="AN917" i="6"/>
  <c r="O997" i="6"/>
  <c r="K857" i="6"/>
  <c r="M589" i="6"/>
  <c r="J590" i="6"/>
  <c r="J534" i="6"/>
  <c r="I895" i="7"/>
  <c r="I867" i="7"/>
  <c r="M855" i="10"/>
  <c r="M868" i="10" s="1"/>
  <c r="M786" i="10"/>
  <c r="M831" i="10"/>
  <c r="L841" i="9"/>
  <c r="L867" i="9"/>
  <c r="J811" i="9"/>
  <c r="L492" i="9"/>
  <c r="L449" i="9"/>
  <c r="L835" i="9"/>
  <c r="L861" i="9"/>
  <c r="K859" i="6"/>
  <c r="L590" i="6"/>
  <c r="L534" i="6"/>
  <c r="AN936" i="7"/>
  <c r="O981" i="7"/>
  <c r="AN901" i="7"/>
  <c r="L816" i="8"/>
  <c r="J563" i="8"/>
  <c r="M562" i="8"/>
  <c r="J552" i="8"/>
  <c r="K814" i="9"/>
  <c r="P545" i="9"/>
  <c r="P491" i="9"/>
  <c r="J865" i="10"/>
  <c r="J841" i="10"/>
  <c r="L865" i="9"/>
  <c r="L839" i="9"/>
  <c r="L891" i="7"/>
  <c r="L863" i="7"/>
  <c r="K861" i="6"/>
  <c r="O590" i="6"/>
  <c r="O534" i="6"/>
  <c r="G517" i="7"/>
  <c r="J837" i="7"/>
  <c r="G473" i="7"/>
  <c r="O978" i="7"/>
  <c r="AN898" i="7"/>
  <c r="AN933" i="7"/>
  <c r="L803" i="9"/>
  <c r="E554" i="9"/>
  <c r="B555" i="9"/>
  <c r="B544" i="9"/>
  <c r="L899" i="7"/>
  <c r="L871" i="7"/>
  <c r="K861" i="10"/>
  <c r="K837" i="10"/>
  <c r="K853" i="6"/>
  <c r="D590" i="6"/>
  <c r="D534" i="6"/>
  <c r="L975" i="7"/>
  <c r="AK895" i="7"/>
  <c r="AK930" i="7"/>
  <c r="I868" i="9"/>
  <c r="J948" i="9" s="1"/>
  <c r="I842" i="9"/>
  <c r="J812" i="8"/>
  <c r="D500" i="8"/>
  <c r="D457" i="8"/>
  <c r="AL970" i="7"/>
  <c r="AL993" i="7"/>
  <c r="AL991" i="7"/>
  <c r="AL986" i="7"/>
  <c r="AL984" i="7"/>
  <c r="AL982" i="7"/>
  <c r="AL977" i="7"/>
  <c r="AL971" i="7"/>
  <c r="AL989" i="7"/>
  <c r="AL978" i="7"/>
  <c r="AL976" i="7"/>
  <c r="AL972" i="7"/>
  <c r="AL987" i="7"/>
  <c r="AL979" i="7"/>
  <c r="AL975" i="7"/>
  <c r="AL973" i="7"/>
  <c r="AL980" i="7"/>
  <c r="AL974" i="7"/>
  <c r="AL992" i="7"/>
  <c r="AL985" i="7"/>
  <c r="AL983" i="7"/>
  <c r="AL981" i="7"/>
  <c r="AL990" i="7"/>
  <c r="AL988" i="7"/>
  <c r="N974" i="7"/>
  <c r="AM929" i="7"/>
  <c r="AM894" i="7"/>
  <c r="AW858" i="7"/>
  <c r="I852" i="6"/>
  <c r="C491" i="6"/>
  <c r="C450" i="6"/>
  <c r="C449" i="6" s="1"/>
  <c r="C448" i="6" s="1"/>
  <c r="C447" i="6" s="1"/>
  <c r="C446" i="6" s="1"/>
  <c r="C445" i="6" s="1"/>
  <c r="C443" i="6"/>
  <c r="K808" i="9"/>
  <c r="H545" i="9"/>
  <c r="H491" i="9"/>
  <c r="AN928" i="7"/>
  <c r="O973" i="7"/>
  <c r="AN893" i="7"/>
  <c r="L890" i="6"/>
  <c r="L918" i="6"/>
  <c r="K866" i="7"/>
  <c r="K894" i="7"/>
  <c r="O938" i="9"/>
  <c r="N871" i="9"/>
  <c r="I915" i="6"/>
  <c r="I887" i="6"/>
  <c r="N955" i="8"/>
  <c r="AM910" i="8"/>
  <c r="AM875" i="8"/>
  <c r="AW839" i="8"/>
  <c r="J814" i="8"/>
  <c r="G500" i="8"/>
  <c r="G457" i="8"/>
  <c r="M890" i="7"/>
  <c r="M846" i="7"/>
  <c r="M862" i="7"/>
  <c r="AN943" i="6"/>
  <c r="M921" i="6"/>
  <c r="O988" i="6"/>
  <c r="AN908" i="6"/>
  <c r="M999" i="6"/>
  <c r="AL954" i="6"/>
  <c r="AL919" i="6"/>
  <c r="P573" i="7"/>
  <c r="K844" i="7"/>
  <c r="P516" i="7"/>
  <c r="H813" i="9"/>
  <c r="O403" i="9"/>
  <c r="O270" i="9"/>
  <c r="K834" i="7"/>
  <c r="C573" i="7"/>
  <c r="C516" i="7"/>
  <c r="H913" i="6"/>
  <c r="H885" i="6"/>
  <c r="L839" i="7"/>
  <c r="J583" i="7"/>
  <c r="M582" i="7"/>
  <c r="J572" i="7"/>
  <c r="P953" i="8"/>
  <c r="AO908" i="8"/>
  <c r="AO873" i="8"/>
  <c r="L833" i="7"/>
  <c r="B583" i="7"/>
  <c r="E582" i="7"/>
  <c r="R582" i="7" s="1"/>
  <c r="B572" i="7"/>
  <c r="L782" i="10"/>
  <c r="Q528" i="10"/>
  <c r="N529" i="10"/>
  <c r="N518" i="10"/>
  <c r="K912" i="6"/>
  <c r="K884" i="6"/>
  <c r="I784" i="10"/>
  <c r="P425" i="10"/>
  <c r="P386" i="10"/>
  <c r="P385" i="10" s="1"/>
  <c r="P384" i="10" s="1"/>
  <c r="P383" i="10" s="1"/>
  <c r="P382" i="10" s="1"/>
  <c r="P381" i="10" s="1"/>
  <c r="P379" i="10"/>
  <c r="R590" i="9"/>
  <c r="M864" i="10"/>
  <c r="M840" i="10"/>
  <c r="M876" i="8"/>
  <c r="M848" i="8"/>
  <c r="K778" i="10"/>
  <c r="H519" i="10"/>
  <c r="H465" i="10"/>
  <c r="K804" i="9"/>
  <c r="C545" i="9"/>
  <c r="C491" i="9"/>
  <c r="J891" i="6"/>
  <c r="J919" i="6"/>
  <c r="L832" i="10"/>
  <c r="L856" i="10"/>
  <c r="U886" i="10" s="1"/>
  <c r="S856" i="10" s="1"/>
  <c r="K836" i="9"/>
  <c r="K862" i="9"/>
  <c r="L942" i="9" s="1"/>
  <c r="P976" i="7"/>
  <c r="AO931" i="7"/>
  <c r="AO896" i="7"/>
  <c r="AN872" i="8"/>
  <c r="O952" i="8"/>
  <c r="AN907" i="8"/>
  <c r="L573" i="7"/>
  <c r="K841" i="7"/>
  <c r="L516" i="7"/>
  <c r="J777" i="10"/>
  <c r="G466" i="10"/>
  <c r="G424" i="10"/>
  <c r="I820" i="8"/>
  <c r="O458" i="8"/>
  <c r="O417" i="8"/>
  <c r="O416" i="8" s="1"/>
  <c r="O415" i="8" s="1"/>
  <c r="O414" i="8" s="1"/>
  <c r="O413" i="8" s="1"/>
  <c r="O412" i="8" s="1"/>
  <c r="O410" i="8"/>
  <c r="O474" i="7"/>
  <c r="O433" i="7"/>
  <c r="O432" i="7" s="1"/>
  <c r="O431" i="7" s="1"/>
  <c r="O430" i="7" s="1"/>
  <c r="O429" i="7" s="1"/>
  <c r="O428" i="7" s="1"/>
  <c r="I843" i="7"/>
  <c r="O426" i="7"/>
  <c r="AO890" i="7"/>
  <c r="AO925" i="7"/>
  <c r="AO938" i="7" s="1"/>
  <c r="N903" i="7"/>
  <c r="P970" i="7"/>
  <c r="K866" i="9"/>
  <c r="L946" i="9" s="1"/>
  <c r="K840" i="9"/>
  <c r="AP903" i="7"/>
  <c r="O990" i="6"/>
  <c r="AN910" i="6"/>
  <c r="AN945" i="6"/>
  <c r="L865" i="7"/>
  <c r="L893" i="7"/>
  <c r="L888" i="6"/>
  <c r="L916" i="6"/>
  <c r="K854" i="6"/>
  <c r="F590" i="6"/>
  <c r="I589" i="6"/>
  <c r="F534" i="6"/>
  <c r="L813" i="8"/>
  <c r="I562" i="8"/>
  <c r="F563" i="8"/>
  <c r="F552" i="8"/>
  <c r="L843" i="9"/>
  <c r="L869" i="9"/>
  <c r="N951" i="8"/>
  <c r="AM871" i="8"/>
  <c r="AW835" i="8"/>
  <c r="AM906" i="8"/>
  <c r="L874" i="8"/>
  <c r="L846" i="8"/>
  <c r="L889" i="6"/>
  <c r="L917" i="6"/>
  <c r="AK927" i="7"/>
  <c r="L972" i="7"/>
  <c r="AK892" i="7"/>
  <c r="L882" i="6"/>
  <c r="L910" i="6"/>
  <c r="AL944" i="6"/>
  <c r="AL909" i="6"/>
  <c r="M989" i="6"/>
  <c r="J775" i="10"/>
  <c r="D466" i="10"/>
  <c r="D424" i="10"/>
  <c r="K869" i="8"/>
  <c r="K841" i="8"/>
  <c r="O998" i="6"/>
  <c r="AN953" i="6"/>
  <c r="AN918" i="6"/>
  <c r="AN911" i="6"/>
  <c r="AN946" i="6"/>
  <c r="O991" i="6"/>
  <c r="J881" i="6"/>
  <c r="J909" i="6"/>
  <c r="L870" i="7"/>
  <c r="L898" i="7"/>
  <c r="L914" i="6"/>
  <c r="L886" i="6"/>
  <c r="L863" i="9"/>
  <c r="L837" i="9"/>
  <c r="J872" i="7"/>
  <c r="J900" i="7"/>
  <c r="O958" i="8"/>
  <c r="AN878" i="8"/>
  <c r="AN913" i="8"/>
  <c r="P947" i="8"/>
  <c r="N880" i="8"/>
  <c r="AO902" i="8"/>
  <c r="AO867" i="8"/>
  <c r="AO880" i="8" s="1"/>
  <c r="L805" i="9"/>
  <c r="D555" i="9"/>
  <c r="D544" i="9"/>
  <c r="K815" i="8"/>
  <c r="H553" i="8"/>
  <c r="H499" i="8"/>
  <c r="AO1008" i="6"/>
  <c r="AO1006" i="6"/>
  <c r="AO1011" i="6"/>
  <c r="AO1009" i="6"/>
  <c r="AO1004" i="6"/>
  <c r="AO1002" i="6"/>
  <c r="AO1000" i="6"/>
  <c r="AO995" i="6"/>
  <c r="AO989" i="6"/>
  <c r="AO1007" i="6"/>
  <c r="AO996" i="6"/>
  <c r="AO994" i="6"/>
  <c r="AO1005" i="6"/>
  <c r="AO997" i="6"/>
  <c r="AO993" i="6"/>
  <c r="AO991" i="6"/>
  <c r="AO998" i="6"/>
  <c r="AO992" i="6"/>
  <c r="AO1003" i="6"/>
  <c r="AO988" i="6"/>
  <c r="AO999" i="6"/>
  <c r="AO990" i="6"/>
  <c r="AO1010" i="6"/>
  <c r="AO1001" i="6"/>
  <c r="K871" i="8"/>
  <c r="K843" i="8"/>
  <c r="K821" i="8"/>
  <c r="P553" i="8"/>
  <c r="P499" i="8"/>
  <c r="K860" i="6"/>
  <c r="N590" i="6"/>
  <c r="Q589" i="6"/>
  <c r="N534" i="6"/>
  <c r="M873" i="8"/>
  <c r="M845" i="8"/>
  <c r="K781" i="10"/>
  <c r="L519" i="10"/>
  <c r="L465" i="10"/>
  <c r="H838" i="7"/>
  <c r="H427" i="7"/>
  <c r="H285" i="7"/>
  <c r="H858" i="6"/>
  <c r="K444" i="6"/>
  <c r="K293" i="6"/>
  <c r="K875" i="8"/>
  <c r="K847" i="8"/>
  <c r="J866" i="10"/>
  <c r="J842" i="10"/>
  <c r="M832" i="9"/>
  <c r="M816" i="9"/>
  <c r="M858" i="9"/>
  <c r="AM904" i="8"/>
  <c r="N949" i="8"/>
  <c r="AW833" i="8"/>
  <c r="AM869" i="8"/>
  <c r="M942" i="9"/>
  <c r="AW837" i="9"/>
  <c r="L836" i="10"/>
  <c r="L860" i="10"/>
  <c r="U890" i="10" s="1"/>
  <c r="S860" i="10" s="1"/>
  <c r="AN899" i="7"/>
  <c r="O979" i="7"/>
  <c r="AN934" i="7"/>
  <c r="L833" i="9"/>
  <c r="L859" i="9"/>
  <c r="D427" i="7"/>
  <c r="H835" i="7"/>
  <c r="D285" i="7"/>
  <c r="O971" i="7"/>
  <c r="AN891" i="7"/>
  <c r="AN926" i="7"/>
  <c r="K835" i="10"/>
  <c r="K859" i="10"/>
  <c r="J849" i="8"/>
  <c r="J877" i="8"/>
  <c r="L776" i="10"/>
  <c r="I528" i="10"/>
  <c r="F529" i="10"/>
  <c r="F518" i="10"/>
  <c r="H295" i="6"/>
  <c r="E856" i="6"/>
  <c r="H294" i="6"/>
  <c r="H130" i="6"/>
  <c r="AO911" i="8"/>
  <c r="P956" i="8"/>
  <c r="AO876" i="8"/>
  <c r="O977" i="7"/>
  <c r="AN932" i="7"/>
  <c r="AN897" i="7"/>
  <c r="K817" i="8"/>
  <c r="K553" i="8"/>
  <c r="K499" i="8"/>
  <c r="AM903" i="8"/>
  <c r="N948" i="8"/>
  <c r="AM868" i="8"/>
  <c r="AW832" i="8"/>
  <c r="J818" i="8"/>
  <c r="L500" i="8"/>
  <c r="L457" i="8"/>
  <c r="L911" i="6"/>
  <c r="L883" i="6"/>
  <c r="AN966" i="8"/>
  <c r="AN955" i="8"/>
  <c r="AN953" i="8"/>
  <c r="AN949" i="8"/>
  <c r="AN969" i="8"/>
  <c r="AN962" i="8"/>
  <c r="AN960" i="8"/>
  <c r="AN958" i="8"/>
  <c r="AN967" i="8"/>
  <c r="AN965" i="8"/>
  <c r="AN970" i="8"/>
  <c r="AN968" i="8"/>
  <c r="AN963" i="8"/>
  <c r="AN961" i="8"/>
  <c r="AN959" i="8"/>
  <c r="AN954" i="8"/>
  <c r="AN952" i="8"/>
  <c r="AN947" i="8"/>
  <c r="AN951" i="8"/>
  <c r="AN950" i="8"/>
  <c r="AN948" i="8"/>
  <c r="AN957" i="8"/>
  <c r="AN956" i="8"/>
  <c r="AN964" i="8"/>
  <c r="M554" i="9"/>
  <c r="L809" i="9"/>
  <c r="J555" i="9"/>
  <c r="J544" i="9"/>
  <c r="K840" i="8"/>
  <c r="K868" i="8"/>
  <c r="AN949" i="6"/>
  <c r="AN914" i="6"/>
  <c r="O994" i="6"/>
  <c r="L862" i="10"/>
  <c r="U892" i="10" s="1"/>
  <c r="S862" i="10" s="1"/>
  <c r="L838" i="10"/>
  <c r="L810" i="8"/>
  <c r="B563" i="8"/>
  <c r="E562" i="8"/>
  <c r="R562" i="8" s="1"/>
  <c r="B552" i="8"/>
  <c r="K780" i="10"/>
  <c r="K519" i="10"/>
  <c r="K465" i="10"/>
  <c r="K851" i="6"/>
  <c r="E589" i="6"/>
  <c r="B590" i="6"/>
  <c r="B534" i="6"/>
  <c r="J855" i="6"/>
  <c r="G535" i="6"/>
  <c r="G490" i="6"/>
  <c r="J811" i="8"/>
  <c r="C500" i="8"/>
  <c r="C457" i="8"/>
  <c r="K993" i="6"/>
  <c r="AJ948" i="6"/>
  <c r="AJ913" i="6"/>
  <c r="K857" i="10"/>
  <c r="K833" i="10"/>
  <c r="I892" i="7"/>
  <c r="I864" i="7"/>
  <c r="I783" i="10"/>
  <c r="O386" i="10"/>
  <c r="O385" i="10" s="1"/>
  <c r="O384" i="10" s="1"/>
  <c r="O383" i="10" s="1"/>
  <c r="O382" i="10" s="1"/>
  <c r="O381" i="10" s="1"/>
  <c r="O425" i="10"/>
  <c r="O379" i="10"/>
  <c r="AL900" i="7"/>
  <c r="M980" i="7"/>
  <c r="AL935" i="7"/>
  <c r="L995" i="6"/>
  <c r="AK950" i="6"/>
  <c r="AK915" i="6"/>
  <c r="K810" i="9"/>
  <c r="K545" i="9"/>
  <c r="K491" i="9"/>
  <c r="AO905" i="8"/>
  <c r="AO870" i="8"/>
  <c r="P950" i="8"/>
  <c r="L773" i="10"/>
  <c r="B529" i="10"/>
  <c r="E528" i="10"/>
  <c r="R528" i="10" s="1"/>
  <c r="B518" i="10"/>
  <c r="K812" i="9"/>
  <c r="N545" i="9"/>
  <c r="Q544" i="9"/>
  <c r="N491" i="9"/>
  <c r="M834" i="9"/>
  <c r="M860" i="9"/>
  <c r="N940" i="9" s="1"/>
  <c r="L872" i="8"/>
  <c r="L844" i="8"/>
  <c r="F545" i="9"/>
  <c r="K806" i="9"/>
  <c r="I544" i="9"/>
  <c r="F491" i="9"/>
  <c r="L850" i="8"/>
  <c r="L878" i="8"/>
  <c r="L863" i="10"/>
  <c r="U893" i="10" s="1"/>
  <c r="S863" i="10" s="1"/>
  <c r="L839" i="10"/>
  <c r="M870" i="8"/>
  <c r="M842" i="8"/>
  <c r="K843" i="5"/>
  <c r="K819" i="5"/>
  <c r="C381" i="5"/>
  <c r="C380" i="5" s="1"/>
  <c r="C379" i="5" s="1"/>
  <c r="C378" i="5" s="1"/>
  <c r="C377" i="5" s="1"/>
  <c r="C376" i="5" s="1"/>
  <c r="C420" i="5"/>
  <c r="I762" i="5"/>
  <c r="C374" i="5"/>
  <c r="K767" i="5"/>
  <c r="M512" i="5"/>
  <c r="J513" i="5"/>
  <c r="J460" i="5"/>
  <c r="J768" i="5"/>
  <c r="K461" i="5"/>
  <c r="K419" i="5"/>
  <c r="M846" i="5"/>
  <c r="M856" i="5" s="1"/>
  <c r="M822" i="5"/>
  <c r="M774" i="5"/>
  <c r="J763" i="5"/>
  <c r="D461" i="5"/>
  <c r="D419" i="5"/>
  <c r="L851" i="5"/>
  <c r="Q905" i="5" s="1"/>
  <c r="S851" i="5" s="1"/>
  <c r="L827" i="5"/>
  <c r="L847" i="5"/>
  <c r="Q901" i="5" s="1"/>
  <c r="S847" i="5" s="1"/>
  <c r="L823" i="5"/>
  <c r="K770" i="5"/>
  <c r="Q512" i="5"/>
  <c r="N513" i="5"/>
  <c r="N460" i="5"/>
  <c r="J772" i="5"/>
  <c r="P461" i="5"/>
  <c r="P419" i="5"/>
  <c r="J844" i="5"/>
  <c r="J820" i="5"/>
  <c r="K845" i="5"/>
  <c r="K821" i="5"/>
  <c r="L849" i="5"/>
  <c r="Q903" i="5" s="1"/>
  <c r="S849" i="5" s="1"/>
  <c r="L825" i="5"/>
  <c r="K854" i="5"/>
  <c r="K830" i="5"/>
  <c r="L852" i="5"/>
  <c r="Q906" i="5" s="1"/>
  <c r="S852" i="5" s="1"/>
  <c r="L828" i="5"/>
  <c r="J761" i="5"/>
  <c r="B461" i="5"/>
  <c r="E460" i="5"/>
  <c r="B419" i="5"/>
  <c r="Q897" i="5"/>
  <c r="J766" i="5"/>
  <c r="H461" i="5"/>
  <c r="H419" i="5"/>
  <c r="K771" i="5"/>
  <c r="O513" i="5"/>
  <c r="O460" i="5"/>
  <c r="K769" i="5"/>
  <c r="L513" i="5"/>
  <c r="L460" i="5"/>
  <c r="K765" i="5"/>
  <c r="G513" i="5"/>
  <c r="G460" i="5"/>
  <c r="K850" i="5"/>
  <c r="K826" i="5"/>
  <c r="L764" i="5"/>
  <c r="I522" i="5"/>
  <c r="R522" i="5" s="1"/>
  <c r="F523" i="5"/>
  <c r="F512" i="5"/>
  <c r="K848" i="5"/>
  <c r="K824" i="5"/>
  <c r="L853" i="5"/>
  <c r="Q907" i="5" s="1"/>
  <c r="S853" i="5" s="1"/>
  <c r="L829" i="5"/>
  <c r="K744" i="4"/>
  <c r="H496" i="4"/>
  <c r="H446" i="4"/>
  <c r="K830" i="4"/>
  <c r="K806" i="4"/>
  <c r="K743" i="4"/>
  <c r="G496" i="4"/>
  <c r="G446" i="4"/>
  <c r="J822" i="4"/>
  <c r="J798" i="4"/>
  <c r="M808" i="4"/>
  <c r="M832" i="4"/>
  <c r="L745" i="4"/>
  <c r="J506" i="4"/>
  <c r="M505" i="4"/>
  <c r="J495" i="4"/>
  <c r="K749" i="4"/>
  <c r="O496" i="4"/>
  <c r="O446" i="4"/>
  <c r="L825" i="4"/>
  <c r="Q879" i="4" s="1"/>
  <c r="S847" i="4" s="1"/>
  <c r="L801" i="4"/>
  <c r="J747" i="4"/>
  <c r="L447" i="4"/>
  <c r="L405" i="4"/>
  <c r="L742" i="4"/>
  <c r="I505" i="4"/>
  <c r="F506" i="4"/>
  <c r="F495" i="4"/>
  <c r="L739" i="4"/>
  <c r="B506" i="4"/>
  <c r="E505" i="4"/>
  <c r="B495" i="4"/>
  <c r="L807" i="4"/>
  <c r="L831" i="4"/>
  <c r="Q885" i="4" s="1"/>
  <c r="S853" i="4" s="1"/>
  <c r="M827" i="4"/>
  <c r="M803" i="4"/>
  <c r="L826" i="4"/>
  <c r="Q880" i="4" s="1"/>
  <c r="S848" i="4" s="1"/>
  <c r="L802" i="4"/>
  <c r="M824" i="4"/>
  <c r="M800" i="4"/>
  <c r="R540" i="4"/>
  <c r="J741" i="4"/>
  <c r="D447" i="4"/>
  <c r="D405" i="4"/>
  <c r="J748" i="4"/>
  <c r="N447" i="4"/>
  <c r="N405" i="4"/>
  <c r="J746" i="4"/>
  <c r="K447" i="4"/>
  <c r="K405" i="4"/>
  <c r="K805" i="4"/>
  <c r="K829" i="4"/>
  <c r="M821" i="4"/>
  <c r="M834" i="4" s="1"/>
  <c r="M797" i="4"/>
  <c r="M752" i="4"/>
  <c r="I740" i="4"/>
  <c r="C406" i="4"/>
  <c r="C364" i="4"/>
  <c r="L750" i="4"/>
  <c r="P506" i="4"/>
  <c r="P495" i="4"/>
  <c r="K823" i="4"/>
  <c r="K799" i="4"/>
  <c r="K804" i="4"/>
  <c r="K828" i="4"/>
  <c r="Q505" i="4"/>
  <c r="L741" i="3"/>
  <c r="B505" i="3"/>
  <c r="E504" i="3"/>
  <c r="B494" i="3"/>
  <c r="M829" i="3"/>
  <c r="M805" i="3"/>
  <c r="I750" i="3"/>
  <c r="N400" i="3"/>
  <c r="N359" i="3"/>
  <c r="M823" i="3"/>
  <c r="M799" i="3"/>
  <c r="M754" i="3"/>
  <c r="L804" i="3"/>
  <c r="L828" i="3"/>
  <c r="Q882" i="3" s="1"/>
  <c r="S849" i="3" s="1"/>
  <c r="J751" i="3"/>
  <c r="O444" i="3"/>
  <c r="O399" i="3"/>
  <c r="J748" i="3"/>
  <c r="K444" i="3"/>
  <c r="K399" i="3"/>
  <c r="K743" i="3"/>
  <c r="D495" i="3"/>
  <c r="D443" i="3"/>
  <c r="I504" i="3"/>
  <c r="F505" i="3"/>
  <c r="L744" i="3"/>
  <c r="F494" i="3"/>
  <c r="R539" i="3"/>
  <c r="I742" i="3"/>
  <c r="C400" i="3"/>
  <c r="C359" i="3"/>
  <c r="J832" i="3"/>
  <c r="J808" i="3"/>
  <c r="H749" i="3"/>
  <c r="L360" i="3"/>
  <c r="L246" i="3"/>
  <c r="K809" i="3"/>
  <c r="K833" i="3"/>
  <c r="K746" i="3"/>
  <c r="H495" i="3"/>
  <c r="H443" i="3"/>
  <c r="M802" i="3"/>
  <c r="M826" i="3"/>
  <c r="K745" i="3"/>
  <c r="G495" i="3"/>
  <c r="G443" i="3"/>
  <c r="K806" i="3"/>
  <c r="K830" i="3"/>
  <c r="L825" i="3"/>
  <c r="Q879" i="3" s="1"/>
  <c r="S846" i="3" s="1"/>
  <c r="L801" i="3"/>
  <c r="K752" i="3"/>
  <c r="P495" i="3"/>
  <c r="P443" i="3"/>
  <c r="J505" i="3"/>
  <c r="L747" i="3"/>
  <c r="M504" i="3"/>
  <c r="J494" i="3"/>
  <c r="J824" i="3"/>
  <c r="J800" i="3"/>
  <c r="I807" i="3"/>
  <c r="I831" i="3"/>
  <c r="L803" i="3"/>
  <c r="L827" i="3"/>
  <c r="Q881" i="3" s="1"/>
  <c r="S848" i="3" s="1"/>
  <c r="L834" i="3"/>
  <c r="Q888" i="3" s="1"/>
  <c r="S855" i="3" s="1"/>
  <c r="L810" i="3"/>
  <c r="L841" i="2"/>
  <c r="Q895" i="2" s="1"/>
  <c r="S866" i="2" s="1"/>
  <c r="L817" i="2"/>
  <c r="L767" i="2"/>
  <c r="Q521" i="2"/>
  <c r="N522" i="2"/>
  <c r="N511" i="2"/>
  <c r="K762" i="2"/>
  <c r="G512" i="2"/>
  <c r="G463" i="2"/>
  <c r="I845" i="2"/>
  <c r="I821" i="2"/>
  <c r="K766" i="2"/>
  <c r="L512" i="2"/>
  <c r="L463" i="2"/>
  <c r="Q894" i="2"/>
  <c r="H769" i="2"/>
  <c r="P378" i="2"/>
  <c r="P256" i="2"/>
  <c r="K768" i="2"/>
  <c r="O512" i="2"/>
  <c r="O463" i="2"/>
  <c r="L848" i="2"/>
  <c r="Q902" i="2" s="1"/>
  <c r="S873" i="2" s="1"/>
  <c r="L824" i="2"/>
  <c r="K760" i="2"/>
  <c r="D512" i="2"/>
  <c r="D463" i="2"/>
  <c r="K765" i="2"/>
  <c r="K512" i="2"/>
  <c r="K463" i="2"/>
  <c r="L820" i="2"/>
  <c r="L844" i="2"/>
  <c r="Q898" i="2" s="1"/>
  <c r="S869" i="2" s="1"/>
  <c r="L761" i="2"/>
  <c r="F522" i="2"/>
  <c r="I521" i="2"/>
  <c r="F511" i="2"/>
  <c r="L764" i="2"/>
  <c r="J522" i="2"/>
  <c r="M521" i="2"/>
  <c r="J511" i="2"/>
  <c r="K759" i="2"/>
  <c r="C512" i="2"/>
  <c r="C463" i="2"/>
  <c r="I851" i="2"/>
  <c r="I827" i="2"/>
  <c r="E511" i="2"/>
  <c r="M843" i="2"/>
  <c r="M853" i="2" s="1"/>
  <c r="M819" i="2"/>
  <c r="M846" i="2"/>
  <c r="M822" i="2"/>
  <c r="M825" i="2"/>
  <c r="M849" i="2"/>
  <c r="L771" i="2"/>
  <c r="J758" i="2"/>
  <c r="B464" i="2"/>
  <c r="B422" i="2"/>
  <c r="L826" i="2"/>
  <c r="L850" i="2"/>
  <c r="Q904" i="2" s="1"/>
  <c r="S875" i="2" s="1"/>
  <c r="L842" i="2"/>
  <c r="Q896" i="2" s="1"/>
  <c r="S867" i="2" s="1"/>
  <c r="L818" i="2"/>
  <c r="H763" i="2"/>
  <c r="H378" i="2"/>
  <c r="H256" i="2"/>
  <c r="L847" i="2"/>
  <c r="Q901" i="2" s="1"/>
  <c r="S872" i="2" s="1"/>
  <c r="L823" i="2"/>
  <c r="K840" i="2"/>
  <c r="K816" i="2"/>
  <c r="M771" i="2"/>
  <c r="R589" i="6" l="1"/>
  <c r="AO903" i="7"/>
  <c r="AN1115" i="14"/>
  <c r="AO1084" i="13"/>
  <c r="AN971" i="8"/>
  <c r="AL994" i="7"/>
  <c r="AO1012" i="6"/>
  <c r="AN1072" i="12"/>
  <c r="J933" i="13"/>
  <c r="O588" i="13"/>
  <c r="O542" i="13"/>
  <c r="K894" i="11"/>
  <c r="Q621" i="11"/>
  <c r="N622" i="11"/>
  <c r="N563" i="11"/>
  <c r="AL1053" i="14"/>
  <c r="M1098" i="14"/>
  <c r="AL1018" i="14"/>
  <c r="K984" i="13"/>
  <c r="K956" i="13"/>
  <c r="L1010" i="15"/>
  <c r="L966" i="15"/>
  <c r="L982" i="15"/>
  <c r="L958" i="13"/>
  <c r="L986" i="13"/>
  <c r="K986" i="15"/>
  <c r="K1014" i="15"/>
  <c r="K319" i="13"/>
  <c r="K320" i="13"/>
  <c r="E930" i="13"/>
  <c r="K133" i="13"/>
  <c r="I959" i="14"/>
  <c r="H529" i="14"/>
  <c r="H528" i="14" s="1"/>
  <c r="H527" i="14" s="1"/>
  <c r="H526" i="14" s="1"/>
  <c r="H525" i="14" s="1"/>
  <c r="H524" i="14" s="1"/>
  <c r="H574" i="14"/>
  <c r="H522" i="14"/>
  <c r="I621" i="11"/>
  <c r="F622" i="11"/>
  <c r="K888" i="11"/>
  <c r="F563" i="11"/>
  <c r="M1050" i="12"/>
  <c r="AL970" i="12"/>
  <c r="AL1005" i="12"/>
  <c r="I955" i="14"/>
  <c r="C529" i="14"/>
  <c r="C528" i="14" s="1"/>
  <c r="C527" i="14" s="1"/>
  <c r="C526" i="14" s="1"/>
  <c r="C525" i="14" s="1"/>
  <c r="C524" i="14" s="1"/>
  <c r="C574" i="14"/>
  <c r="C522" i="14"/>
  <c r="J948" i="12"/>
  <c r="J976" i="12"/>
  <c r="AO981" i="12"/>
  <c r="N1063" i="13"/>
  <c r="AM983" i="13"/>
  <c r="AM1018" i="13"/>
  <c r="AW947" i="13"/>
  <c r="J954" i="14"/>
  <c r="E618" i="14"/>
  <c r="B619" i="14"/>
  <c r="B573" i="14"/>
  <c r="E943" i="11"/>
  <c r="E915" i="11"/>
  <c r="AR912" i="11"/>
  <c r="J932" i="13"/>
  <c r="N588" i="13"/>
  <c r="Q587" i="13"/>
  <c r="N542" i="13"/>
  <c r="L1026" i="11"/>
  <c r="AK946" i="11"/>
  <c r="AK981" i="11"/>
  <c r="J942" i="12"/>
  <c r="J970" i="12"/>
  <c r="K1020" i="15"/>
  <c r="K992" i="15"/>
  <c r="J934" i="13"/>
  <c r="P588" i="13"/>
  <c r="P542" i="13"/>
  <c r="L1015" i="15"/>
  <c r="L987" i="15"/>
  <c r="O1066" i="13"/>
  <c r="AN1021" i="13"/>
  <c r="AN1028" i="13" s="1"/>
  <c r="AN986" i="13"/>
  <c r="AN993" i="13" s="1"/>
  <c r="L1014" i="14"/>
  <c r="L986" i="14"/>
  <c r="K972" i="12"/>
  <c r="K944" i="12"/>
  <c r="K911" i="12"/>
  <c r="B645" i="12"/>
  <c r="E644" i="12"/>
  <c r="B580" i="12"/>
  <c r="I964" i="14"/>
  <c r="O529" i="14"/>
  <c r="O528" i="14" s="1"/>
  <c r="O527" i="14" s="1"/>
  <c r="O526" i="14" s="1"/>
  <c r="O525" i="14" s="1"/>
  <c r="O524" i="14" s="1"/>
  <c r="O574" i="14"/>
  <c r="O522" i="14"/>
  <c r="I922" i="12"/>
  <c r="P536" i="12"/>
  <c r="P492" i="12"/>
  <c r="P491" i="12" s="1"/>
  <c r="P490" i="12" s="1"/>
  <c r="P489" i="12" s="1"/>
  <c r="P488" i="12" s="1"/>
  <c r="P487" i="12" s="1"/>
  <c r="P485" i="12"/>
  <c r="H987" i="13"/>
  <c r="H959" i="13"/>
  <c r="K917" i="12"/>
  <c r="J645" i="12"/>
  <c r="M644" i="12"/>
  <c r="J580" i="12"/>
  <c r="L520" i="11"/>
  <c r="I893" i="11"/>
  <c r="L478" i="11"/>
  <c r="L477" i="11" s="1"/>
  <c r="L476" i="11" s="1"/>
  <c r="L475" i="11" s="1"/>
  <c r="L474" i="11" s="1"/>
  <c r="L473" i="11" s="1"/>
  <c r="L471" i="11"/>
  <c r="H478" i="11"/>
  <c r="H477" i="11" s="1"/>
  <c r="H476" i="11" s="1"/>
  <c r="H475" i="11" s="1"/>
  <c r="H474" i="11" s="1"/>
  <c r="H473" i="11" s="1"/>
  <c r="H520" i="11"/>
  <c r="I890" i="11"/>
  <c r="H471" i="11"/>
  <c r="K989" i="13"/>
  <c r="K961" i="13"/>
  <c r="K991" i="14"/>
  <c r="K1019" i="14"/>
  <c r="AN1049" i="14"/>
  <c r="O1094" i="14"/>
  <c r="AN1014" i="14"/>
  <c r="F588" i="13"/>
  <c r="J926" i="13"/>
  <c r="I587" i="13"/>
  <c r="F542" i="13"/>
  <c r="K957" i="13"/>
  <c r="K985" i="13"/>
  <c r="I963" i="14"/>
  <c r="N529" i="14"/>
  <c r="N528" i="14" s="1"/>
  <c r="N527" i="14" s="1"/>
  <c r="N526" i="14" s="1"/>
  <c r="N525" i="14" s="1"/>
  <c r="N524" i="14" s="1"/>
  <c r="N574" i="14"/>
  <c r="N522" i="14"/>
  <c r="AN1012" i="12"/>
  <c r="O1057" i="12"/>
  <c r="AN977" i="12"/>
  <c r="AL1004" i="12"/>
  <c r="M1049" i="12"/>
  <c r="AL969" i="12"/>
  <c r="K990" i="13"/>
  <c r="K962" i="13"/>
  <c r="AN1009" i="12"/>
  <c r="O1054" i="12"/>
  <c r="AN974" i="12"/>
  <c r="I912" i="12"/>
  <c r="C536" i="12"/>
  <c r="C492" i="12"/>
  <c r="C491" i="12" s="1"/>
  <c r="C490" i="12" s="1"/>
  <c r="C489" i="12" s="1"/>
  <c r="C488" i="12" s="1"/>
  <c r="C487" i="12" s="1"/>
  <c r="C485" i="12"/>
  <c r="L1068" i="13"/>
  <c r="AK1023" i="13"/>
  <c r="AK988" i="13"/>
  <c r="R654" i="12"/>
  <c r="AN980" i="11"/>
  <c r="AN945" i="11"/>
  <c r="O1025" i="11"/>
  <c r="L971" i="12"/>
  <c r="L943" i="12"/>
  <c r="J988" i="14"/>
  <c r="J1016" i="14"/>
  <c r="I1015" i="14"/>
  <c r="I987" i="14"/>
  <c r="L917" i="11"/>
  <c r="L945" i="11"/>
  <c r="K981" i="13"/>
  <c r="K953" i="13"/>
  <c r="L988" i="15"/>
  <c r="L1016" i="15"/>
  <c r="J1012" i="14"/>
  <c r="J984" i="14"/>
  <c r="L1095" i="14"/>
  <c r="AK1050" i="14"/>
  <c r="AK1015" i="14"/>
  <c r="AO1016" i="12"/>
  <c r="N1099" i="14"/>
  <c r="AM1054" i="14"/>
  <c r="AM1019" i="14"/>
  <c r="AW983" i="14"/>
  <c r="J947" i="11"/>
  <c r="J919" i="11"/>
  <c r="K1032" i="11"/>
  <c r="AJ987" i="11"/>
  <c r="AJ952" i="11"/>
  <c r="K956" i="15"/>
  <c r="I681" i="15"/>
  <c r="F682" i="15"/>
  <c r="F615" i="15"/>
  <c r="I964" i="15"/>
  <c r="P526" i="15"/>
  <c r="P525" i="15" s="1"/>
  <c r="P524" i="15" s="1"/>
  <c r="P523" i="15" s="1"/>
  <c r="P522" i="15" s="1"/>
  <c r="P521" i="15" s="1"/>
  <c r="P571" i="15"/>
  <c r="P519" i="15"/>
  <c r="J944" i="11"/>
  <c r="J916" i="11"/>
  <c r="N1064" i="13"/>
  <c r="AM1019" i="13"/>
  <c r="AM984" i="13"/>
  <c r="AW948" i="13"/>
  <c r="M1096" i="14"/>
  <c r="AL1051" i="14"/>
  <c r="AL1016" i="14"/>
  <c r="J924" i="13"/>
  <c r="C588" i="13"/>
  <c r="C542" i="13"/>
  <c r="AL979" i="11"/>
  <c r="M1024" i="11"/>
  <c r="AL944" i="11"/>
  <c r="K991" i="13"/>
  <c r="K963" i="13"/>
  <c r="J954" i="15"/>
  <c r="C616" i="15"/>
  <c r="C570" i="15"/>
  <c r="J961" i="15"/>
  <c r="L616" i="15"/>
  <c r="L570" i="15"/>
  <c r="J945" i="12"/>
  <c r="J973" i="12"/>
  <c r="I887" i="11"/>
  <c r="D478" i="11"/>
  <c r="D477" i="11" s="1"/>
  <c r="D476" i="11" s="1"/>
  <c r="D475" i="11" s="1"/>
  <c r="D474" i="11" s="1"/>
  <c r="D473" i="11" s="1"/>
  <c r="D520" i="11"/>
  <c r="D471" i="11"/>
  <c r="I1013" i="14"/>
  <c r="I985" i="14"/>
  <c r="AJ1017" i="13"/>
  <c r="K1062" i="13"/>
  <c r="AJ982" i="13"/>
  <c r="M1027" i="11"/>
  <c r="AL982" i="11"/>
  <c r="AL947" i="11"/>
  <c r="J921" i="12"/>
  <c r="O581" i="12"/>
  <c r="O535" i="12"/>
  <c r="L923" i="11"/>
  <c r="L951" i="11"/>
  <c r="E925" i="13"/>
  <c r="D320" i="13"/>
  <c r="D319" i="13"/>
  <c r="D133" i="13"/>
  <c r="AN1083" i="13"/>
  <c r="AN1079" i="13"/>
  <c r="AN1066" i="13"/>
  <c r="AN1077" i="13"/>
  <c r="AN1064" i="13"/>
  <c r="AN1062" i="13"/>
  <c r="AN1060" i="13"/>
  <c r="AN1084" i="13" s="1"/>
  <c r="AN1082" i="13"/>
  <c r="AN1075" i="13"/>
  <c r="AN1073" i="13"/>
  <c r="AN1071" i="13"/>
  <c r="AN1069" i="13"/>
  <c r="AN1067" i="13"/>
  <c r="AN1065" i="13"/>
  <c r="AN1063" i="13"/>
  <c r="AN1061" i="13"/>
  <c r="AN1080" i="13"/>
  <c r="AN1074" i="13"/>
  <c r="AN1070" i="13"/>
  <c r="AN1068" i="13"/>
  <c r="AN1078" i="13"/>
  <c r="AN1072" i="13"/>
  <c r="AN1081" i="13"/>
  <c r="AN1076" i="13"/>
  <c r="M1056" i="12"/>
  <c r="AL976" i="12"/>
  <c r="AL1011" i="12"/>
  <c r="K920" i="12"/>
  <c r="N645" i="12"/>
  <c r="Q644" i="12"/>
  <c r="N580" i="12"/>
  <c r="E955" i="15"/>
  <c r="D327" i="15"/>
  <c r="D326" i="15"/>
  <c r="D135" i="15"/>
  <c r="J1021" i="14"/>
  <c r="J993" i="14"/>
  <c r="J951" i="12"/>
  <c r="J979" i="12"/>
  <c r="J960" i="15"/>
  <c r="K616" i="15"/>
  <c r="K570" i="15"/>
  <c r="H931" i="13"/>
  <c r="L493" i="13"/>
  <c r="L318" i="13"/>
  <c r="AM1114" i="14"/>
  <c r="AM1112" i="14"/>
  <c r="AM1107" i="14"/>
  <c r="AM1105" i="14"/>
  <c r="AM1103" i="14"/>
  <c r="AM1095" i="14"/>
  <c r="AM1093" i="14"/>
  <c r="AM1091" i="14"/>
  <c r="AM1102" i="14"/>
  <c r="AM1100" i="14"/>
  <c r="AM1098" i="14"/>
  <c r="AM1106" i="14"/>
  <c r="AM1113" i="14"/>
  <c r="AM1109" i="14"/>
  <c r="AM1108" i="14"/>
  <c r="AM1096" i="14"/>
  <c r="AM1110" i="14"/>
  <c r="AM1104" i="14"/>
  <c r="AM1094" i="14"/>
  <c r="AM1092" i="14"/>
  <c r="AM1111" i="14"/>
  <c r="AM1101" i="14"/>
  <c r="AM1099" i="14"/>
  <c r="AM1097" i="14"/>
  <c r="J922" i="11"/>
  <c r="J950" i="11"/>
  <c r="K1011" i="14"/>
  <c r="K983" i="14"/>
  <c r="K1011" i="15"/>
  <c r="K983" i="15"/>
  <c r="K1018" i="15"/>
  <c r="K990" i="15"/>
  <c r="H889" i="11"/>
  <c r="G472" i="11"/>
  <c r="G309" i="11"/>
  <c r="J622" i="11"/>
  <c r="K891" i="11"/>
  <c r="M621" i="11"/>
  <c r="J563" i="11"/>
  <c r="K983" i="13"/>
  <c r="K955" i="13"/>
  <c r="AL979" i="12"/>
  <c r="M1059" i="12"/>
  <c r="AL1014" i="12"/>
  <c r="J965" i="14"/>
  <c r="P619" i="14"/>
  <c r="P573" i="14"/>
  <c r="M993" i="13"/>
  <c r="N1052" i="12"/>
  <c r="AW936" i="12"/>
  <c r="AM972" i="12"/>
  <c r="AM1007" i="12"/>
  <c r="L960" i="14"/>
  <c r="J695" i="14"/>
  <c r="M694" i="14"/>
  <c r="R694" i="14" s="1"/>
  <c r="J684" i="14"/>
  <c r="J941" i="12"/>
  <c r="J969" i="12"/>
  <c r="I896" i="11"/>
  <c r="P478" i="11"/>
  <c r="P477" i="11" s="1"/>
  <c r="P476" i="11" s="1"/>
  <c r="P475" i="11" s="1"/>
  <c r="P474" i="11" s="1"/>
  <c r="P473" i="11" s="1"/>
  <c r="P520" i="11"/>
  <c r="P471" i="11"/>
  <c r="L924" i="12"/>
  <c r="L940" i="12"/>
  <c r="L968" i="12"/>
  <c r="L974" i="12"/>
  <c r="L946" i="12"/>
  <c r="I961" i="14"/>
  <c r="K529" i="14"/>
  <c r="K528" i="14" s="1"/>
  <c r="K527" i="14" s="1"/>
  <c r="K526" i="14" s="1"/>
  <c r="K525" i="14" s="1"/>
  <c r="K524" i="14" s="1"/>
  <c r="K574" i="14"/>
  <c r="K522" i="14"/>
  <c r="E895" i="11"/>
  <c r="O310" i="11"/>
  <c r="O311" i="11"/>
  <c r="O131" i="11"/>
  <c r="AL1055" i="14"/>
  <c r="M1100" i="14"/>
  <c r="AL1020" i="14"/>
  <c r="AO990" i="11"/>
  <c r="P1097" i="14"/>
  <c r="AO1052" i="14"/>
  <c r="AO1059" i="14" s="1"/>
  <c r="AO1017" i="14"/>
  <c r="AO1024" i="14" s="1"/>
  <c r="AL1056" i="14"/>
  <c r="M1101" i="14"/>
  <c r="AL1021" i="14"/>
  <c r="K962" i="15"/>
  <c r="Q681" i="15"/>
  <c r="N682" i="15"/>
  <c r="N615" i="15"/>
  <c r="AM1013" i="12"/>
  <c r="N1058" i="12"/>
  <c r="AM978" i="12"/>
  <c r="AW942" i="12"/>
  <c r="AN986" i="11"/>
  <c r="O1031" i="11"/>
  <c r="AN951" i="11"/>
  <c r="J993" i="15"/>
  <c r="J1021" i="15"/>
  <c r="J1020" i="14"/>
  <c r="J992" i="14"/>
  <c r="K978" i="12"/>
  <c r="K950" i="12"/>
  <c r="K953" i="15"/>
  <c r="E681" i="15"/>
  <c r="R681" i="15" s="1"/>
  <c r="B682" i="15"/>
  <c r="B615" i="15"/>
  <c r="H982" i="13"/>
  <c r="H954" i="13"/>
  <c r="K929" i="13"/>
  <c r="K936" i="13" s="1"/>
  <c r="J655" i="13"/>
  <c r="M654" i="13"/>
  <c r="R654" i="13" s="1"/>
  <c r="J587" i="13"/>
  <c r="AM984" i="11"/>
  <c r="N1029" i="11"/>
  <c r="AW913" i="11"/>
  <c r="AM949" i="11"/>
  <c r="AJ1010" i="12"/>
  <c r="AJ975" i="12"/>
  <c r="K1055" i="12"/>
  <c r="H984" i="15"/>
  <c r="H1012" i="15"/>
  <c r="N1061" i="13"/>
  <c r="AM1016" i="13"/>
  <c r="AW945" i="13"/>
  <c r="AM981" i="13"/>
  <c r="K989" i="15"/>
  <c r="K1017" i="15"/>
  <c r="J892" i="11"/>
  <c r="K564" i="11"/>
  <c r="K519" i="11"/>
  <c r="AJ1042" i="11"/>
  <c r="AJ1040" i="11"/>
  <c r="AJ1027" i="11"/>
  <c r="AJ1025" i="11"/>
  <c r="AJ1023" i="11"/>
  <c r="AJ1045" i="11"/>
  <c r="AJ1043" i="11"/>
  <c r="AJ1038" i="11"/>
  <c r="AJ1036" i="11"/>
  <c r="AJ1034" i="11"/>
  <c r="AJ1032" i="11"/>
  <c r="AJ1030" i="11"/>
  <c r="AJ1041" i="11"/>
  <c r="AJ1028" i="11"/>
  <c r="AJ1039" i="11"/>
  <c r="AJ1026" i="11"/>
  <c r="AJ1024" i="11"/>
  <c r="AJ1022" i="11"/>
  <c r="AJ1044" i="11"/>
  <c r="AJ1029" i="11"/>
  <c r="AJ1035" i="11"/>
  <c r="AJ1031" i="11"/>
  <c r="AJ1037" i="11"/>
  <c r="AJ1033" i="11"/>
  <c r="M1060" i="13"/>
  <c r="AL1015" i="13"/>
  <c r="AL980" i="13"/>
  <c r="AN983" i="11"/>
  <c r="AN948" i="11"/>
  <c r="O1028" i="11"/>
  <c r="E918" i="12"/>
  <c r="K316" i="12"/>
  <c r="K317" i="12"/>
  <c r="K133" i="12"/>
  <c r="L985" i="15"/>
  <c r="L1013" i="15"/>
  <c r="B543" i="13"/>
  <c r="I923" i="13"/>
  <c r="B499" i="13"/>
  <c r="B498" i="13" s="1"/>
  <c r="B497" i="13" s="1"/>
  <c r="B496" i="13" s="1"/>
  <c r="B495" i="13" s="1"/>
  <c r="B494" i="13" s="1"/>
  <c r="B492" i="13"/>
  <c r="AL988" i="11"/>
  <c r="M1033" i="11"/>
  <c r="AL953" i="11"/>
  <c r="K885" i="11"/>
  <c r="B622" i="11"/>
  <c r="E621" i="11"/>
  <c r="R621" i="11" s="1"/>
  <c r="B563" i="11"/>
  <c r="L948" i="11"/>
  <c r="L920" i="11"/>
  <c r="L1093" i="14"/>
  <c r="AK1013" i="14"/>
  <c r="AK1048" i="14"/>
  <c r="AM1051" i="12"/>
  <c r="AM1049" i="12"/>
  <c r="AM1071" i="12"/>
  <c r="AM1069" i="12"/>
  <c r="AM1064" i="12"/>
  <c r="AM1062" i="12"/>
  <c r="AM1060" i="12"/>
  <c r="AM1058" i="12"/>
  <c r="AM1056" i="12"/>
  <c r="AM1067" i="12"/>
  <c r="AM1054" i="12"/>
  <c r="AM1070" i="12"/>
  <c r="AM1063" i="12"/>
  <c r="AM1061" i="12"/>
  <c r="AM1059" i="12"/>
  <c r="AM1057" i="12"/>
  <c r="AM1055" i="12"/>
  <c r="AM1052" i="12"/>
  <c r="AM1048" i="12"/>
  <c r="AM1066" i="12"/>
  <c r="AM1053" i="12"/>
  <c r="AM1068" i="12"/>
  <c r="AM1065" i="12"/>
  <c r="AM1050" i="12"/>
  <c r="K1067" i="13"/>
  <c r="AJ1022" i="13"/>
  <c r="AJ987" i="13"/>
  <c r="K994" i="14"/>
  <c r="K1022" i="14"/>
  <c r="O1051" i="12"/>
  <c r="AN971" i="12"/>
  <c r="AN1006" i="12"/>
  <c r="N1069" i="13"/>
  <c r="AM1024" i="13"/>
  <c r="AW953" i="13"/>
  <c r="AM989" i="13"/>
  <c r="M989" i="14"/>
  <c r="M1017" i="14"/>
  <c r="M1024" i="14" s="1"/>
  <c r="G588" i="13"/>
  <c r="J927" i="13"/>
  <c r="G542" i="13"/>
  <c r="K957" i="14"/>
  <c r="I684" i="14"/>
  <c r="F685" i="14"/>
  <c r="F618" i="14"/>
  <c r="J925" i="11"/>
  <c r="J953" i="11"/>
  <c r="L967" i="14"/>
  <c r="J957" i="15"/>
  <c r="G616" i="15"/>
  <c r="G570" i="15"/>
  <c r="M1092" i="14"/>
  <c r="AL1047" i="14"/>
  <c r="AL1012" i="14"/>
  <c r="L977" i="12"/>
  <c r="L949" i="12"/>
  <c r="K949" i="11"/>
  <c r="K921" i="11"/>
  <c r="J1018" i="14"/>
  <c r="J990" i="14"/>
  <c r="I960" i="13"/>
  <c r="I988" i="13"/>
  <c r="H952" i="11"/>
  <c r="H924" i="11"/>
  <c r="N1071" i="13"/>
  <c r="AM991" i="13"/>
  <c r="AM1026" i="13"/>
  <c r="AW955" i="13"/>
  <c r="I919" i="12"/>
  <c r="L492" i="12"/>
  <c r="L491" i="12" s="1"/>
  <c r="L490" i="12" s="1"/>
  <c r="L489" i="12" s="1"/>
  <c r="L488" i="12" s="1"/>
  <c r="L487" i="12" s="1"/>
  <c r="L536" i="12"/>
  <c r="L485" i="12"/>
  <c r="AL1008" i="12"/>
  <c r="AL973" i="12"/>
  <c r="M1053" i="12"/>
  <c r="D886" i="11"/>
  <c r="C132" i="11"/>
  <c r="C64" i="11"/>
  <c r="I913" i="12"/>
  <c r="D536" i="12"/>
  <c r="D492" i="12"/>
  <c r="D491" i="12" s="1"/>
  <c r="D490" i="12" s="1"/>
  <c r="D489" i="12" s="1"/>
  <c r="D488" i="12" s="1"/>
  <c r="D487" i="12" s="1"/>
  <c r="D485" i="12"/>
  <c r="J963" i="15"/>
  <c r="O616" i="15"/>
  <c r="O570" i="15"/>
  <c r="K958" i="15"/>
  <c r="H682" i="15"/>
  <c r="H615" i="15"/>
  <c r="M1023" i="15"/>
  <c r="I946" i="11"/>
  <c r="I918" i="11"/>
  <c r="R631" i="11"/>
  <c r="AI978" i="11"/>
  <c r="J1023" i="11"/>
  <c r="AI877" i="11"/>
  <c r="AI943" i="11"/>
  <c r="N1102" i="14"/>
  <c r="AM1057" i="14"/>
  <c r="AW986" i="14"/>
  <c r="AM1022" i="14"/>
  <c r="H956" i="14"/>
  <c r="D523" i="14"/>
  <c r="D330" i="14"/>
  <c r="R691" i="15"/>
  <c r="J915" i="12"/>
  <c r="G581" i="12"/>
  <c r="G535" i="12"/>
  <c r="N1091" i="14"/>
  <c r="AM1046" i="14"/>
  <c r="AM1011" i="14"/>
  <c r="AW975" i="14"/>
  <c r="K914" i="12"/>
  <c r="I644" i="12"/>
  <c r="F645" i="12"/>
  <c r="F580" i="12"/>
  <c r="AL985" i="11"/>
  <c r="AL950" i="11"/>
  <c r="M1030" i="11"/>
  <c r="H958" i="14"/>
  <c r="G523" i="14"/>
  <c r="G330" i="14"/>
  <c r="O1022" i="11"/>
  <c r="AN977" i="11"/>
  <c r="AN942" i="11"/>
  <c r="M955" i="11"/>
  <c r="K959" i="15"/>
  <c r="M681" i="15"/>
  <c r="J682" i="15"/>
  <c r="J615" i="15"/>
  <c r="AO955" i="11"/>
  <c r="AW949" i="13"/>
  <c r="N1065" i="13"/>
  <c r="AM985" i="13"/>
  <c r="AM1020" i="13"/>
  <c r="H975" i="12"/>
  <c r="H947" i="12"/>
  <c r="L1019" i="15"/>
  <c r="L991" i="15"/>
  <c r="J962" i="14"/>
  <c r="L619" i="14"/>
  <c r="L573" i="14"/>
  <c r="J980" i="13"/>
  <c r="J952" i="13"/>
  <c r="I916" i="12"/>
  <c r="H536" i="12"/>
  <c r="H492" i="12"/>
  <c r="H491" i="12" s="1"/>
  <c r="H490" i="12" s="1"/>
  <c r="H489" i="12" s="1"/>
  <c r="H488" i="12" s="1"/>
  <c r="H487" i="12" s="1"/>
  <c r="H485" i="12"/>
  <c r="L942" i="11"/>
  <c r="L898" i="11"/>
  <c r="L914" i="11"/>
  <c r="N1070" i="13"/>
  <c r="AW954" i="13"/>
  <c r="AM1025" i="13"/>
  <c r="AM990" i="13"/>
  <c r="J928" i="13"/>
  <c r="H588" i="13"/>
  <c r="H542" i="13"/>
  <c r="O1048" i="12"/>
  <c r="AN1003" i="12"/>
  <c r="AN1016" i="12" s="1"/>
  <c r="M981" i="12"/>
  <c r="AN968" i="12"/>
  <c r="AN981" i="12" s="1"/>
  <c r="J778" i="10"/>
  <c r="H466" i="10"/>
  <c r="H424" i="10"/>
  <c r="H784" i="10"/>
  <c r="P380" i="10"/>
  <c r="P250" i="10"/>
  <c r="R554" i="9"/>
  <c r="J861" i="6"/>
  <c r="O535" i="6"/>
  <c r="O490" i="6"/>
  <c r="I811" i="9"/>
  <c r="L409" i="9"/>
  <c r="L408" i="9" s="1"/>
  <c r="L407" i="9" s="1"/>
  <c r="L406" i="9" s="1"/>
  <c r="L405" i="9" s="1"/>
  <c r="L404" i="9" s="1"/>
  <c r="L450" i="9"/>
  <c r="L402" i="9"/>
  <c r="I891" i="6"/>
  <c r="I919" i="6"/>
  <c r="J840" i="7"/>
  <c r="K517" i="7"/>
  <c r="K473" i="7"/>
  <c r="K865" i="9"/>
  <c r="L945" i="9" s="1"/>
  <c r="K839" i="9"/>
  <c r="AL869" i="8"/>
  <c r="M949" i="8"/>
  <c r="AL904" i="8"/>
  <c r="J834" i="7"/>
  <c r="C517" i="7"/>
  <c r="C473" i="7"/>
  <c r="N998" i="6"/>
  <c r="AM953" i="6"/>
  <c r="AM918" i="6"/>
  <c r="AW882" i="6"/>
  <c r="I807" i="9"/>
  <c r="G450" i="9"/>
  <c r="G409" i="9"/>
  <c r="G408" i="9" s="1"/>
  <c r="G407" i="9" s="1"/>
  <c r="G406" i="9" s="1"/>
  <c r="G405" i="9" s="1"/>
  <c r="G404" i="9" s="1"/>
  <c r="G402" i="9"/>
  <c r="K874" i="8"/>
  <c r="K846" i="8"/>
  <c r="E838" i="7"/>
  <c r="H287" i="7"/>
  <c r="H286" i="7"/>
  <c r="H132" i="7"/>
  <c r="K809" i="9"/>
  <c r="J545" i="9"/>
  <c r="M544" i="9"/>
  <c r="J491" i="9"/>
  <c r="J815" i="8"/>
  <c r="H500" i="8"/>
  <c r="H457" i="8"/>
  <c r="AK970" i="7"/>
  <c r="AK993" i="7"/>
  <c r="AK991" i="7"/>
  <c r="AK986" i="7"/>
  <c r="AK984" i="7"/>
  <c r="AK982" i="7"/>
  <c r="AK977" i="7"/>
  <c r="AK971" i="7"/>
  <c r="AK989" i="7"/>
  <c r="AK978" i="7"/>
  <c r="AK976" i="7"/>
  <c r="AK972" i="7"/>
  <c r="AK987" i="7"/>
  <c r="AK979" i="7"/>
  <c r="AK975" i="7"/>
  <c r="AK973" i="7"/>
  <c r="AK980" i="7"/>
  <c r="AK974" i="7"/>
  <c r="AK992" i="7"/>
  <c r="AK985" i="7"/>
  <c r="AK983" i="7"/>
  <c r="AK981" i="7"/>
  <c r="AK988" i="7"/>
  <c r="AK990" i="7"/>
  <c r="J854" i="6"/>
  <c r="F535" i="6"/>
  <c r="I534" i="6"/>
  <c r="F490" i="6"/>
  <c r="L840" i="10"/>
  <c r="L864" i="10"/>
  <c r="U894" i="10" s="1"/>
  <c r="S864" i="10" s="1"/>
  <c r="K839" i="7"/>
  <c r="J573" i="7"/>
  <c r="M572" i="7"/>
  <c r="J516" i="7"/>
  <c r="K863" i="7"/>
  <c r="K891" i="7"/>
  <c r="AN890" i="7"/>
  <c r="AN925" i="7"/>
  <c r="M903" i="7"/>
  <c r="O970" i="7"/>
  <c r="J841" i="8"/>
  <c r="J869" i="8"/>
  <c r="K882" i="6"/>
  <c r="K910" i="6"/>
  <c r="L858" i="9"/>
  <c r="L832" i="9"/>
  <c r="L816" i="9"/>
  <c r="J814" i="9"/>
  <c r="P492" i="9"/>
  <c r="P449" i="9"/>
  <c r="AJ930" i="7"/>
  <c r="AJ895" i="7"/>
  <c r="K975" i="7"/>
  <c r="J836" i="9"/>
  <c r="J862" i="9"/>
  <c r="K942" i="9" s="1"/>
  <c r="J810" i="9"/>
  <c r="K492" i="9"/>
  <c r="K449" i="9"/>
  <c r="J851" i="6"/>
  <c r="E534" i="6"/>
  <c r="R534" i="6" s="1"/>
  <c r="B535" i="6"/>
  <c r="B490" i="6"/>
  <c r="I818" i="8"/>
  <c r="L417" i="8"/>
  <c r="L416" i="8" s="1"/>
  <c r="L415" i="8" s="1"/>
  <c r="L414" i="8" s="1"/>
  <c r="L413" i="8" s="1"/>
  <c r="L412" i="8" s="1"/>
  <c r="L458" i="8"/>
  <c r="L410" i="8"/>
  <c r="AK912" i="8"/>
  <c r="L957" i="8"/>
  <c r="AK877" i="8"/>
  <c r="H892" i="7"/>
  <c r="H864" i="7"/>
  <c r="H915" i="6"/>
  <c r="H887" i="6"/>
  <c r="K898" i="7"/>
  <c r="K870" i="7"/>
  <c r="K859" i="9"/>
  <c r="L939" i="9" s="1"/>
  <c r="K833" i="9"/>
  <c r="H852" i="6"/>
  <c r="C444" i="6"/>
  <c r="C293" i="6"/>
  <c r="J853" i="6"/>
  <c r="D535" i="6"/>
  <c r="D490" i="6"/>
  <c r="N988" i="6"/>
  <c r="AM943" i="6"/>
  <c r="L921" i="6"/>
  <c r="AW872" i="6"/>
  <c r="AM908" i="6"/>
  <c r="N958" i="8"/>
  <c r="AM913" i="8"/>
  <c r="AM878" i="8"/>
  <c r="AW842" i="8"/>
  <c r="J860" i="6"/>
  <c r="N535" i="6"/>
  <c r="Q534" i="6"/>
  <c r="N490" i="6"/>
  <c r="L870" i="8"/>
  <c r="L842" i="8"/>
  <c r="E885" i="6"/>
  <c r="AR882" i="6"/>
  <c r="E913" i="6"/>
  <c r="J806" i="9"/>
  <c r="F492" i="9"/>
  <c r="I491" i="9"/>
  <c r="F449" i="9"/>
  <c r="J812" i="9"/>
  <c r="N492" i="9"/>
  <c r="Q491" i="9"/>
  <c r="N449" i="9"/>
  <c r="K908" i="6"/>
  <c r="K864" i="6"/>
  <c r="K880" i="6"/>
  <c r="H895" i="7"/>
  <c r="H867" i="7"/>
  <c r="J857" i="10"/>
  <c r="J833" i="10"/>
  <c r="I877" i="8"/>
  <c r="I849" i="8"/>
  <c r="K860" i="10"/>
  <c r="K836" i="10"/>
  <c r="B573" i="7"/>
  <c r="K833" i="7"/>
  <c r="E572" i="7"/>
  <c r="B516" i="7"/>
  <c r="O271" i="9"/>
  <c r="O272" i="9"/>
  <c r="E813" i="9"/>
  <c r="O130" i="9"/>
  <c r="I814" i="8"/>
  <c r="G458" i="8"/>
  <c r="G417" i="8"/>
  <c r="G416" i="8" s="1"/>
  <c r="G415" i="8" s="1"/>
  <c r="G414" i="8" s="1"/>
  <c r="G413" i="8" s="1"/>
  <c r="G412" i="8" s="1"/>
  <c r="G410" i="8"/>
  <c r="K995" i="6"/>
  <c r="AJ950" i="6"/>
  <c r="AJ915" i="6"/>
  <c r="I909" i="6"/>
  <c r="I881" i="6"/>
  <c r="K890" i="6"/>
  <c r="K918" i="6"/>
  <c r="J866" i="9"/>
  <c r="K946" i="9" s="1"/>
  <c r="J840" i="9"/>
  <c r="J857" i="6"/>
  <c r="M534" i="6"/>
  <c r="J535" i="6"/>
  <c r="J490" i="6"/>
  <c r="J774" i="10"/>
  <c r="C466" i="10"/>
  <c r="C424" i="10"/>
  <c r="AM936" i="7"/>
  <c r="N981" i="7"/>
  <c r="AW865" i="7"/>
  <c r="AM901" i="7"/>
  <c r="O947" i="8"/>
  <c r="M880" i="8"/>
  <c r="AN902" i="8"/>
  <c r="AN867" i="8"/>
  <c r="K897" i="7"/>
  <c r="K869" i="7"/>
  <c r="N952" i="8"/>
  <c r="AM872" i="8"/>
  <c r="AM907" i="8"/>
  <c r="AW836" i="8"/>
  <c r="AL903" i="8"/>
  <c r="M948" i="8"/>
  <c r="AL868" i="8"/>
  <c r="D856" i="6"/>
  <c r="H131" i="6"/>
  <c r="H64" i="6"/>
  <c r="O953" i="8"/>
  <c r="AN873" i="8"/>
  <c r="AN908" i="8"/>
  <c r="AM928" i="7"/>
  <c r="N973" i="7"/>
  <c r="AM893" i="7"/>
  <c r="AW857" i="7"/>
  <c r="H820" i="8"/>
  <c r="O411" i="8"/>
  <c r="O275" i="8"/>
  <c r="I812" i="8"/>
  <c r="D458" i="8"/>
  <c r="D417" i="8"/>
  <c r="D416" i="8" s="1"/>
  <c r="D415" i="8" s="1"/>
  <c r="D414" i="8" s="1"/>
  <c r="D413" i="8" s="1"/>
  <c r="D412" i="8" s="1"/>
  <c r="D410" i="8"/>
  <c r="L873" i="8"/>
  <c r="L845" i="8"/>
  <c r="AL906" i="8"/>
  <c r="AL871" i="8"/>
  <c r="M951" i="8"/>
  <c r="AO915" i="8"/>
  <c r="I775" i="10"/>
  <c r="D386" i="10"/>
  <c r="D385" i="10" s="1"/>
  <c r="D384" i="10" s="1"/>
  <c r="D383" i="10" s="1"/>
  <c r="D382" i="10" s="1"/>
  <c r="D381" i="10" s="1"/>
  <c r="D425" i="10"/>
  <c r="D379" i="10"/>
  <c r="L831" i="10"/>
  <c r="L855" i="10"/>
  <c r="L786" i="10"/>
  <c r="I811" i="8"/>
  <c r="C458" i="8"/>
  <c r="C417" i="8"/>
  <c r="C416" i="8" s="1"/>
  <c r="C415" i="8" s="1"/>
  <c r="C414" i="8" s="1"/>
  <c r="C413" i="8" s="1"/>
  <c r="C412" i="8" s="1"/>
  <c r="C410" i="8"/>
  <c r="L839" i="8"/>
  <c r="L867" i="8"/>
  <c r="L823" i="8"/>
  <c r="J868" i="8"/>
  <c r="J840" i="8"/>
  <c r="L864" i="9"/>
  <c r="L838" i="9"/>
  <c r="K776" i="10"/>
  <c r="F519" i="10"/>
  <c r="I518" i="10"/>
  <c r="F465" i="10"/>
  <c r="J781" i="10"/>
  <c r="L466" i="10"/>
  <c r="L424" i="10"/>
  <c r="K889" i="6"/>
  <c r="K917" i="6"/>
  <c r="AM949" i="6"/>
  <c r="N994" i="6"/>
  <c r="AM914" i="6"/>
  <c r="AW878" i="6"/>
  <c r="N997" i="6"/>
  <c r="AM952" i="6"/>
  <c r="AW881" i="6"/>
  <c r="AM917" i="6"/>
  <c r="M949" i="9"/>
  <c r="AW844" i="9"/>
  <c r="AN1010" i="6"/>
  <c r="AN1003" i="6"/>
  <c r="AN1001" i="6"/>
  <c r="AN999" i="6"/>
  <c r="AN1008" i="6"/>
  <c r="AN1006" i="6"/>
  <c r="AN988" i="6"/>
  <c r="AN1011" i="6"/>
  <c r="AN1009" i="6"/>
  <c r="AN1004" i="6"/>
  <c r="AN1002" i="6"/>
  <c r="AN1000" i="6"/>
  <c r="AN995" i="6"/>
  <c r="AN1007" i="6"/>
  <c r="AN996" i="6"/>
  <c r="AN994" i="6"/>
  <c r="AN990" i="6"/>
  <c r="AN1005" i="6"/>
  <c r="AN997" i="6"/>
  <c r="AN993" i="6"/>
  <c r="AN991" i="6"/>
  <c r="AN992" i="6"/>
  <c r="AN989" i="6"/>
  <c r="AN998" i="6"/>
  <c r="H843" i="7"/>
  <c r="O427" i="7"/>
  <c r="O285" i="7"/>
  <c r="I777" i="10"/>
  <c r="G425" i="10"/>
  <c r="G386" i="10"/>
  <c r="G385" i="10" s="1"/>
  <c r="G384" i="10" s="1"/>
  <c r="G383" i="10" s="1"/>
  <c r="G382" i="10" s="1"/>
  <c r="G381" i="10" s="1"/>
  <c r="G379" i="10"/>
  <c r="L999" i="6"/>
  <c r="AK954" i="6"/>
  <c r="AK919" i="6"/>
  <c r="AN921" i="6"/>
  <c r="K869" i="9"/>
  <c r="L949" i="9" s="1"/>
  <c r="K843" i="9"/>
  <c r="L535" i="6"/>
  <c r="J859" i="6"/>
  <c r="L490" i="6"/>
  <c r="AW842" i="9"/>
  <c r="M947" i="9"/>
  <c r="K819" i="8"/>
  <c r="Q552" i="8"/>
  <c r="N553" i="8"/>
  <c r="N499" i="8"/>
  <c r="N977" i="7"/>
  <c r="AM897" i="7"/>
  <c r="AM932" i="7"/>
  <c r="AW861" i="7"/>
  <c r="I779" i="10"/>
  <c r="J425" i="10"/>
  <c r="J386" i="10"/>
  <c r="J385" i="10" s="1"/>
  <c r="J384" i="10" s="1"/>
  <c r="J383" i="10" s="1"/>
  <c r="J382" i="10" s="1"/>
  <c r="J381" i="10" s="1"/>
  <c r="J379" i="10"/>
  <c r="I865" i="10"/>
  <c r="I841" i="10"/>
  <c r="J875" i="8"/>
  <c r="J847" i="8"/>
  <c r="M939" i="9"/>
  <c r="AW834" i="9"/>
  <c r="M943" i="9"/>
  <c r="AW838" i="9"/>
  <c r="AJ927" i="7"/>
  <c r="AJ892" i="7"/>
  <c r="K972" i="7"/>
  <c r="J780" i="10"/>
  <c r="K466" i="10"/>
  <c r="K424" i="10"/>
  <c r="M424" i="10" s="1"/>
  <c r="K872" i="8"/>
  <c r="K844" i="8"/>
  <c r="I866" i="10"/>
  <c r="I842" i="10"/>
  <c r="K835" i="9"/>
  <c r="K861" i="9"/>
  <c r="L941" i="9" s="1"/>
  <c r="I855" i="6"/>
  <c r="G450" i="6"/>
  <c r="G449" i="6" s="1"/>
  <c r="G448" i="6" s="1"/>
  <c r="G447" i="6" s="1"/>
  <c r="G446" i="6" s="1"/>
  <c r="G445" i="6" s="1"/>
  <c r="G491" i="6"/>
  <c r="G443" i="6"/>
  <c r="AM970" i="8"/>
  <c r="AM968" i="8"/>
  <c r="AM963" i="8"/>
  <c r="AM961" i="8"/>
  <c r="AM959" i="8"/>
  <c r="AM954" i="8"/>
  <c r="AM964" i="8"/>
  <c r="AM957" i="8"/>
  <c r="AM969" i="8"/>
  <c r="AM962" i="8"/>
  <c r="AM960" i="8"/>
  <c r="AM958" i="8"/>
  <c r="AM952" i="8"/>
  <c r="AM947" i="8"/>
  <c r="AM951" i="8"/>
  <c r="AM950" i="8"/>
  <c r="AM948" i="8"/>
  <c r="AM956" i="8"/>
  <c r="AM953" i="8"/>
  <c r="AM949" i="8"/>
  <c r="AM955" i="8"/>
  <c r="AM967" i="8"/>
  <c r="AM966" i="8"/>
  <c r="AM965" i="8"/>
  <c r="M955" i="8"/>
  <c r="AL875" i="8"/>
  <c r="AL910" i="8"/>
  <c r="J821" i="8"/>
  <c r="P500" i="8"/>
  <c r="P457" i="8"/>
  <c r="K805" i="9"/>
  <c r="D545" i="9"/>
  <c r="D491" i="9"/>
  <c r="N978" i="7"/>
  <c r="AM933" i="7"/>
  <c r="AW862" i="7"/>
  <c r="AM898" i="7"/>
  <c r="K911" i="6"/>
  <c r="K883" i="6"/>
  <c r="I900" i="7"/>
  <c r="I872" i="7"/>
  <c r="O956" i="8"/>
  <c r="AN911" i="8"/>
  <c r="AN876" i="8"/>
  <c r="L896" i="7"/>
  <c r="L868" i="7"/>
  <c r="H868" i="9"/>
  <c r="H842" i="9"/>
  <c r="J843" i="8"/>
  <c r="J871" i="8"/>
  <c r="H492" i="9"/>
  <c r="J808" i="9"/>
  <c r="H449" i="9"/>
  <c r="N971" i="7"/>
  <c r="AM891" i="7"/>
  <c r="AM926" i="7"/>
  <c r="AW855" i="7"/>
  <c r="K816" i="8"/>
  <c r="J553" i="8"/>
  <c r="M552" i="8"/>
  <c r="J499" i="8"/>
  <c r="K832" i="10"/>
  <c r="K856" i="10"/>
  <c r="Q516" i="7"/>
  <c r="J842" i="7"/>
  <c r="N517" i="7"/>
  <c r="N473" i="7"/>
  <c r="F517" i="7"/>
  <c r="J836" i="7"/>
  <c r="I516" i="7"/>
  <c r="F473" i="7"/>
  <c r="AN905" i="8"/>
  <c r="AN870" i="8"/>
  <c r="O950" i="8"/>
  <c r="K867" i="9"/>
  <c r="L947" i="9" s="1"/>
  <c r="K841" i="9"/>
  <c r="E858" i="6"/>
  <c r="K294" i="6"/>
  <c r="K295" i="6"/>
  <c r="K130" i="6"/>
  <c r="K863" i="10"/>
  <c r="K839" i="10"/>
  <c r="K813" i="8"/>
  <c r="I552" i="8"/>
  <c r="F553" i="8"/>
  <c r="F499" i="8"/>
  <c r="AM951" i="6"/>
  <c r="N996" i="6"/>
  <c r="AW880" i="6"/>
  <c r="AM916" i="6"/>
  <c r="J835" i="10"/>
  <c r="J859" i="10"/>
  <c r="J804" i="9"/>
  <c r="C492" i="9"/>
  <c r="C449" i="9"/>
  <c r="AL947" i="6"/>
  <c r="AL912" i="6"/>
  <c r="M992" i="6"/>
  <c r="L846" i="7"/>
  <c r="L890" i="7"/>
  <c r="L862" i="7"/>
  <c r="P517" i="7"/>
  <c r="J844" i="7"/>
  <c r="P473" i="7"/>
  <c r="M974" i="7"/>
  <c r="AL894" i="7"/>
  <c r="AL929" i="7"/>
  <c r="AM899" i="7"/>
  <c r="N979" i="7"/>
  <c r="AW863" i="7"/>
  <c r="AM934" i="7"/>
  <c r="G433" i="7"/>
  <c r="G432" i="7" s="1"/>
  <c r="G431" i="7" s="1"/>
  <c r="G430" i="7" s="1"/>
  <c r="G429" i="7" s="1"/>
  <c r="G428" i="7" s="1"/>
  <c r="I837" i="7"/>
  <c r="G474" i="7"/>
  <c r="G426" i="7"/>
  <c r="K916" i="6"/>
  <c r="K888" i="6"/>
  <c r="K914" i="6"/>
  <c r="K886" i="6"/>
  <c r="H862" i="6"/>
  <c r="P444" i="6"/>
  <c r="P293" i="6"/>
  <c r="K893" i="7"/>
  <c r="K865" i="7"/>
  <c r="M465" i="10"/>
  <c r="K838" i="10"/>
  <c r="K862" i="10"/>
  <c r="K773" i="10"/>
  <c r="E518" i="10"/>
  <c r="B519" i="10"/>
  <c r="B465" i="10"/>
  <c r="H783" i="10"/>
  <c r="O380" i="10"/>
  <c r="O250" i="10"/>
  <c r="J912" i="6"/>
  <c r="J884" i="6"/>
  <c r="K810" i="8"/>
  <c r="B553" i="8"/>
  <c r="E552" i="8"/>
  <c r="B499" i="8"/>
  <c r="AM946" i="6"/>
  <c r="N991" i="6"/>
  <c r="AM911" i="6"/>
  <c r="AW875" i="6"/>
  <c r="J817" i="8"/>
  <c r="K500" i="8"/>
  <c r="K457" i="8"/>
  <c r="L834" i="10"/>
  <c r="L858" i="10"/>
  <c r="U888" i="10" s="1"/>
  <c r="S858" i="10" s="1"/>
  <c r="D286" i="7"/>
  <c r="D287" i="7"/>
  <c r="E835" i="7"/>
  <c r="D132" i="7"/>
  <c r="N938" i="9"/>
  <c r="M871" i="9"/>
  <c r="K850" i="8"/>
  <c r="K878" i="8"/>
  <c r="L834" i="9"/>
  <c r="L860" i="9"/>
  <c r="L980" i="7"/>
  <c r="AK935" i="7"/>
  <c r="AK900" i="7"/>
  <c r="L989" i="6"/>
  <c r="AK944" i="6"/>
  <c r="AK909" i="6"/>
  <c r="AW874" i="6"/>
  <c r="N990" i="6"/>
  <c r="AM910" i="6"/>
  <c r="AM945" i="6"/>
  <c r="N954" i="8"/>
  <c r="AM909" i="8"/>
  <c r="AM874" i="8"/>
  <c r="AW838" i="8"/>
  <c r="J841" i="7"/>
  <c r="L517" i="7"/>
  <c r="L473" i="7"/>
  <c r="K782" i="10"/>
  <c r="Q518" i="10"/>
  <c r="N519" i="10"/>
  <c r="N465" i="10"/>
  <c r="J993" i="6"/>
  <c r="AI948" i="6"/>
  <c r="AI913" i="6"/>
  <c r="AI847" i="6"/>
  <c r="K901" i="7"/>
  <c r="K873" i="7"/>
  <c r="AN956" i="6"/>
  <c r="K837" i="9"/>
  <c r="K863" i="9"/>
  <c r="L943" i="9" s="1"/>
  <c r="K803" i="9"/>
  <c r="B545" i="9"/>
  <c r="E544" i="9"/>
  <c r="B491" i="9"/>
  <c r="J894" i="7"/>
  <c r="J866" i="7"/>
  <c r="M945" i="9"/>
  <c r="AW840" i="9"/>
  <c r="AW836" i="9"/>
  <c r="M941" i="9"/>
  <c r="L876" i="8"/>
  <c r="L848" i="8"/>
  <c r="K899" i="7"/>
  <c r="K871" i="7"/>
  <c r="O976" i="7"/>
  <c r="AN931" i="7"/>
  <c r="AN896" i="7"/>
  <c r="J861" i="10"/>
  <c r="J837" i="10"/>
  <c r="J769" i="5"/>
  <c r="L461" i="5"/>
  <c r="L419" i="5"/>
  <c r="K849" i="5"/>
  <c r="K825" i="5"/>
  <c r="L846" i="5"/>
  <c r="L822" i="5"/>
  <c r="L774" i="5"/>
  <c r="I772" i="5"/>
  <c r="P381" i="5"/>
  <c r="P380" i="5" s="1"/>
  <c r="P379" i="5" s="1"/>
  <c r="P378" i="5" s="1"/>
  <c r="P377" i="5" s="1"/>
  <c r="P376" i="5" s="1"/>
  <c r="P420" i="5"/>
  <c r="P374" i="5"/>
  <c r="H762" i="5"/>
  <c r="C375" i="5"/>
  <c r="C250" i="5"/>
  <c r="K827" i="5"/>
  <c r="K851" i="5"/>
  <c r="S843" i="5"/>
  <c r="I768" i="5"/>
  <c r="K381" i="5"/>
  <c r="K380" i="5" s="1"/>
  <c r="K379" i="5" s="1"/>
  <c r="K378" i="5" s="1"/>
  <c r="K377" i="5" s="1"/>
  <c r="K376" i="5" s="1"/>
  <c r="K420" i="5"/>
  <c r="K374" i="5"/>
  <c r="I844" i="5"/>
  <c r="I820" i="5"/>
  <c r="J848" i="5"/>
  <c r="J824" i="5"/>
  <c r="J771" i="5"/>
  <c r="O461" i="5"/>
  <c r="O419" i="5"/>
  <c r="I761" i="5"/>
  <c r="E419" i="5"/>
  <c r="B381" i="5"/>
  <c r="B380" i="5" s="1"/>
  <c r="B379" i="5" s="1"/>
  <c r="B378" i="5" s="1"/>
  <c r="B377" i="5" s="1"/>
  <c r="B376" i="5" s="1"/>
  <c r="B420" i="5"/>
  <c r="B374" i="5"/>
  <c r="J854" i="5"/>
  <c r="J830" i="5"/>
  <c r="J850" i="5"/>
  <c r="J826" i="5"/>
  <c r="J765" i="5"/>
  <c r="G461" i="5"/>
  <c r="G419" i="5"/>
  <c r="K829" i="5"/>
  <c r="K853" i="5"/>
  <c r="J767" i="5"/>
  <c r="J461" i="5"/>
  <c r="M460" i="5"/>
  <c r="J419" i="5"/>
  <c r="I763" i="5"/>
  <c r="D420" i="5"/>
  <c r="D381" i="5"/>
  <c r="D380" i="5" s="1"/>
  <c r="D379" i="5" s="1"/>
  <c r="D378" i="5" s="1"/>
  <c r="D377" i="5" s="1"/>
  <c r="D376" i="5" s="1"/>
  <c r="D374" i="5"/>
  <c r="K764" i="5"/>
  <c r="F513" i="5"/>
  <c r="I512" i="5"/>
  <c r="R512" i="5" s="1"/>
  <c r="F460" i="5"/>
  <c r="I766" i="5"/>
  <c r="H420" i="5"/>
  <c r="H381" i="5"/>
  <c r="H380" i="5" s="1"/>
  <c r="H379" i="5" s="1"/>
  <c r="H378" i="5" s="1"/>
  <c r="H377" i="5" s="1"/>
  <c r="H376" i="5" s="1"/>
  <c r="H374" i="5"/>
  <c r="J843" i="5"/>
  <c r="J819" i="5"/>
  <c r="J845" i="5"/>
  <c r="J821" i="5"/>
  <c r="J770" i="5"/>
  <c r="Q460" i="5"/>
  <c r="N461" i="5"/>
  <c r="N419" i="5"/>
  <c r="K847" i="5"/>
  <c r="K823" i="5"/>
  <c r="K828" i="5"/>
  <c r="K852" i="5"/>
  <c r="I822" i="4"/>
  <c r="I798" i="4"/>
  <c r="L824" i="4"/>
  <c r="Q878" i="4" s="1"/>
  <c r="S846" i="4" s="1"/>
  <c r="L800" i="4"/>
  <c r="K826" i="4"/>
  <c r="K802" i="4"/>
  <c r="I748" i="4"/>
  <c r="N406" i="4"/>
  <c r="N364" i="4"/>
  <c r="K739" i="4"/>
  <c r="B496" i="4"/>
  <c r="E495" i="4"/>
  <c r="B446" i="4"/>
  <c r="I747" i="4"/>
  <c r="L406" i="4"/>
  <c r="L364" i="4"/>
  <c r="K745" i="4"/>
  <c r="M495" i="4"/>
  <c r="J496" i="4"/>
  <c r="J446" i="4"/>
  <c r="J743" i="4"/>
  <c r="G447" i="4"/>
  <c r="G405" i="4"/>
  <c r="R505" i="4"/>
  <c r="K750" i="4"/>
  <c r="P496" i="4"/>
  <c r="P446" i="4"/>
  <c r="Q495" i="4"/>
  <c r="J829" i="4"/>
  <c r="J805" i="4"/>
  <c r="J830" i="4"/>
  <c r="J806" i="4"/>
  <c r="L808" i="4"/>
  <c r="L832" i="4"/>
  <c r="Q886" i="4" s="1"/>
  <c r="S854" i="4" s="1"/>
  <c r="D406" i="4"/>
  <c r="I741" i="4"/>
  <c r="D364" i="4"/>
  <c r="K742" i="4"/>
  <c r="F496" i="4"/>
  <c r="I495" i="4"/>
  <c r="F446" i="4"/>
  <c r="K825" i="4"/>
  <c r="K801" i="4"/>
  <c r="L752" i="4"/>
  <c r="L821" i="4"/>
  <c r="L797" i="4"/>
  <c r="L827" i="4"/>
  <c r="Q881" i="4" s="1"/>
  <c r="S849" i="4" s="1"/>
  <c r="L803" i="4"/>
  <c r="H740" i="4"/>
  <c r="C365" i="4"/>
  <c r="C245" i="4"/>
  <c r="I746" i="4"/>
  <c r="K406" i="4"/>
  <c r="K364" i="4"/>
  <c r="J749" i="4"/>
  <c r="O447" i="4"/>
  <c r="O405" i="4"/>
  <c r="J744" i="4"/>
  <c r="H447" i="4"/>
  <c r="H405" i="4"/>
  <c r="J823" i="4"/>
  <c r="J799" i="4"/>
  <c r="J828" i="4"/>
  <c r="J804" i="4"/>
  <c r="K831" i="4"/>
  <c r="K807" i="4"/>
  <c r="I832" i="3"/>
  <c r="I808" i="3"/>
  <c r="J745" i="3"/>
  <c r="G444" i="3"/>
  <c r="G399" i="3"/>
  <c r="J833" i="3"/>
  <c r="J809" i="3"/>
  <c r="J752" i="3"/>
  <c r="P444" i="3"/>
  <c r="P399" i="3"/>
  <c r="Q443" i="3"/>
  <c r="I800" i="3"/>
  <c r="I824" i="3"/>
  <c r="K825" i="3"/>
  <c r="K801" i="3"/>
  <c r="K827" i="3"/>
  <c r="K803" i="3"/>
  <c r="E749" i="3"/>
  <c r="L247" i="3"/>
  <c r="L248" i="3"/>
  <c r="L132" i="3"/>
  <c r="I748" i="3"/>
  <c r="K400" i="3"/>
  <c r="K359" i="3"/>
  <c r="H742" i="3"/>
  <c r="C360" i="3"/>
  <c r="C246" i="3"/>
  <c r="K810" i="3"/>
  <c r="K834" i="3"/>
  <c r="K744" i="3"/>
  <c r="F495" i="3"/>
  <c r="I494" i="3"/>
  <c r="F443" i="3"/>
  <c r="K741" i="3"/>
  <c r="B495" i="3"/>
  <c r="E494" i="3"/>
  <c r="B443" i="3"/>
  <c r="J743" i="3"/>
  <c r="D444" i="3"/>
  <c r="D399" i="3"/>
  <c r="H831" i="3"/>
  <c r="G774" i="3" s="1"/>
  <c r="H807" i="3"/>
  <c r="L826" i="3"/>
  <c r="Q880" i="3" s="1"/>
  <c r="S847" i="3" s="1"/>
  <c r="L802" i="3"/>
  <c r="J830" i="3"/>
  <c r="J806" i="3"/>
  <c r="M836" i="3"/>
  <c r="R504" i="3"/>
  <c r="L829" i="3"/>
  <c r="Q883" i="3" s="1"/>
  <c r="S850" i="3" s="1"/>
  <c r="L805" i="3"/>
  <c r="K747" i="3"/>
  <c r="J495" i="3"/>
  <c r="M494" i="3"/>
  <c r="J443" i="3"/>
  <c r="J746" i="3"/>
  <c r="H444" i="3"/>
  <c r="H399" i="3"/>
  <c r="I751" i="3"/>
  <c r="O400" i="3"/>
  <c r="O359" i="3"/>
  <c r="H750" i="3"/>
  <c r="N360" i="3"/>
  <c r="N246" i="3"/>
  <c r="K804" i="3"/>
  <c r="K828" i="3"/>
  <c r="L754" i="3"/>
  <c r="L799" i="3"/>
  <c r="L823" i="3"/>
  <c r="K844" i="2"/>
  <c r="K820" i="2"/>
  <c r="H845" i="2"/>
  <c r="G788" i="2" s="1"/>
  <c r="H821" i="2"/>
  <c r="J840" i="2"/>
  <c r="J816" i="2"/>
  <c r="J765" i="2"/>
  <c r="K464" i="2"/>
  <c r="K422" i="2"/>
  <c r="J768" i="2"/>
  <c r="O464" i="2"/>
  <c r="O422" i="2"/>
  <c r="J766" i="2"/>
  <c r="L464" i="2"/>
  <c r="L422" i="2"/>
  <c r="K767" i="2"/>
  <c r="Q511" i="2"/>
  <c r="N512" i="2"/>
  <c r="N463" i="2"/>
  <c r="S865" i="2"/>
  <c r="L846" i="2"/>
  <c r="Q900" i="2" s="1"/>
  <c r="S871" i="2" s="1"/>
  <c r="L822" i="2"/>
  <c r="K761" i="2"/>
  <c r="F512" i="2"/>
  <c r="I511" i="2"/>
  <c r="F463" i="2"/>
  <c r="K847" i="2"/>
  <c r="K823" i="2"/>
  <c r="K850" i="2"/>
  <c r="K826" i="2"/>
  <c r="K848" i="2"/>
  <c r="K824" i="2"/>
  <c r="J759" i="2"/>
  <c r="C464" i="2"/>
  <c r="C422" i="2"/>
  <c r="R521" i="2"/>
  <c r="J760" i="2"/>
  <c r="D464" i="2"/>
  <c r="D422" i="2"/>
  <c r="E769" i="2"/>
  <c r="P258" i="2"/>
  <c r="P257" i="2"/>
  <c r="P133" i="2"/>
  <c r="L849" i="2"/>
  <c r="Q903" i="2" s="1"/>
  <c r="S874" i="2" s="1"/>
  <c r="L825" i="2"/>
  <c r="I758" i="2"/>
  <c r="B423" i="2"/>
  <c r="B384" i="2"/>
  <c r="B383" i="2" s="1"/>
  <c r="B382" i="2" s="1"/>
  <c r="B381" i="2" s="1"/>
  <c r="B380" i="2" s="1"/>
  <c r="B379" i="2" s="1"/>
  <c r="B377" i="2"/>
  <c r="K841" i="2"/>
  <c r="K817" i="2"/>
  <c r="L843" i="2"/>
  <c r="Q897" i="2" s="1"/>
  <c r="S868" i="2" s="1"/>
  <c r="L819" i="2"/>
  <c r="K842" i="2"/>
  <c r="K818" i="2"/>
  <c r="H851" i="2"/>
  <c r="G794" i="2" s="1"/>
  <c r="H827" i="2"/>
  <c r="J762" i="2"/>
  <c r="G464" i="2"/>
  <c r="G422" i="2"/>
  <c r="E763" i="2"/>
  <c r="H258" i="2"/>
  <c r="H257" i="2"/>
  <c r="H133" i="2"/>
  <c r="E463" i="2"/>
  <c r="K764" i="2"/>
  <c r="M511" i="2"/>
  <c r="R511" i="2" s="1"/>
  <c r="J512" i="2"/>
  <c r="J463" i="2"/>
  <c r="R544" i="9" l="1"/>
  <c r="AM1115" i="14"/>
  <c r="AM971" i="8"/>
  <c r="AK994" i="7"/>
  <c r="AN1012" i="6"/>
  <c r="AJ1046" i="11"/>
  <c r="AM1072" i="12"/>
  <c r="K1068" i="13"/>
  <c r="AJ1023" i="13"/>
  <c r="AJ988" i="13"/>
  <c r="AK988" i="11"/>
  <c r="L1033" i="11"/>
  <c r="AK953" i="11"/>
  <c r="M587" i="13"/>
  <c r="R587" i="13" s="1"/>
  <c r="J929" i="13"/>
  <c r="J588" i="13"/>
  <c r="J542" i="13"/>
  <c r="E952" i="11"/>
  <c r="AR921" i="11"/>
  <c r="E924" i="11"/>
  <c r="N1048" i="12"/>
  <c r="AM1003" i="12"/>
  <c r="AW932" i="12"/>
  <c r="L981" i="12"/>
  <c r="AM968" i="12"/>
  <c r="AM981" i="12" s="1"/>
  <c r="H946" i="11"/>
  <c r="H918" i="11"/>
  <c r="L1030" i="11"/>
  <c r="AK985" i="11"/>
  <c r="AK950" i="11"/>
  <c r="J989" i="15"/>
  <c r="J1017" i="15"/>
  <c r="E984" i="15"/>
  <c r="E1012" i="15"/>
  <c r="I961" i="15"/>
  <c r="L571" i="15"/>
  <c r="L526" i="15"/>
  <c r="L525" i="15" s="1"/>
  <c r="L524" i="15" s="1"/>
  <c r="L523" i="15" s="1"/>
  <c r="L522" i="15" s="1"/>
  <c r="L521" i="15" s="1"/>
  <c r="L519" i="15"/>
  <c r="F543" i="13"/>
  <c r="F499" i="13"/>
  <c r="F498" i="13" s="1"/>
  <c r="F497" i="13" s="1"/>
  <c r="F496" i="13" s="1"/>
  <c r="F495" i="13" s="1"/>
  <c r="F494" i="13" s="1"/>
  <c r="I542" i="13"/>
  <c r="I926" i="13"/>
  <c r="F492" i="13"/>
  <c r="J1067" i="13"/>
  <c r="Z1067" i="13" s="1"/>
  <c r="AI1022" i="13"/>
  <c r="AI987" i="13"/>
  <c r="I993" i="14"/>
  <c r="I1021" i="14"/>
  <c r="I954" i="14"/>
  <c r="E573" i="14"/>
  <c r="B529" i="14"/>
  <c r="B528" i="14" s="1"/>
  <c r="B527" i="14" s="1"/>
  <c r="B526" i="14" s="1"/>
  <c r="B525" i="14" s="1"/>
  <c r="B524" i="14" s="1"/>
  <c r="B574" i="14"/>
  <c r="B522" i="14"/>
  <c r="AI1044" i="11"/>
  <c r="AI1037" i="11"/>
  <c r="AI1035" i="11"/>
  <c r="AI1033" i="11"/>
  <c r="AI1031" i="11"/>
  <c r="AI1029" i="11"/>
  <c r="AI1042" i="11"/>
  <c r="AI1040" i="11"/>
  <c r="Z1023" i="11"/>
  <c r="AI1027" i="11"/>
  <c r="AI1025" i="11"/>
  <c r="AI1023" i="11"/>
  <c r="AI1045" i="11"/>
  <c r="AI1043" i="11"/>
  <c r="AI1038" i="11"/>
  <c r="AI1036" i="11"/>
  <c r="AI1034" i="11"/>
  <c r="AI1032" i="11"/>
  <c r="AI1030" i="11"/>
  <c r="AI1041" i="11"/>
  <c r="AI1028" i="11"/>
  <c r="AI1039" i="11"/>
  <c r="AI1022" i="11"/>
  <c r="AI1024" i="11"/>
  <c r="AI1026" i="11"/>
  <c r="C886" i="11"/>
  <c r="C65" i="11"/>
  <c r="C29" i="11"/>
  <c r="J957" i="13"/>
  <c r="J985" i="13"/>
  <c r="H916" i="12"/>
  <c r="H486" i="12"/>
  <c r="H315" i="12"/>
  <c r="AN955" i="11"/>
  <c r="H985" i="14"/>
  <c r="H1013" i="14"/>
  <c r="I963" i="15"/>
  <c r="O526" i="15"/>
  <c r="O525" i="15" s="1"/>
  <c r="O524" i="15" s="1"/>
  <c r="O523" i="15" s="1"/>
  <c r="O522" i="15" s="1"/>
  <c r="O521" i="15" s="1"/>
  <c r="O571" i="15"/>
  <c r="O519" i="15"/>
  <c r="I948" i="12"/>
  <c r="I976" i="12"/>
  <c r="O1097" i="14"/>
  <c r="AN1052" i="14"/>
  <c r="AN1059" i="14" s="1"/>
  <c r="AN1017" i="14"/>
  <c r="AN1024" i="14" s="1"/>
  <c r="K1010" i="15"/>
  <c r="K966" i="15"/>
  <c r="K982" i="15"/>
  <c r="H961" i="14"/>
  <c r="K523" i="14"/>
  <c r="K330" i="14"/>
  <c r="K960" i="14"/>
  <c r="J685" i="14"/>
  <c r="M684" i="14"/>
  <c r="R684" i="14" s="1"/>
  <c r="J618" i="14"/>
  <c r="M1063" i="13"/>
  <c r="AL983" i="13"/>
  <c r="AL1018" i="13"/>
  <c r="L1059" i="12"/>
  <c r="AK979" i="12"/>
  <c r="AK1014" i="12"/>
  <c r="J920" i="12"/>
  <c r="Q580" i="12"/>
  <c r="N581" i="12"/>
  <c r="N535" i="12"/>
  <c r="D925" i="13"/>
  <c r="D134" i="13"/>
  <c r="D64" i="13"/>
  <c r="J978" i="12"/>
  <c r="J950" i="12"/>
  <c r="K1093" i="14"/>
  <c r="AJ1013" i="14"/>
  <c r="AJ1048" i="14"/>
  <c r="H963" i="14"/>
  <c r="N523" i="14"/>
  <c r="N330" i="14"/>
  <c r="I950" i="11"/>
  <c r="I922" i="11"/>
  <c r="H922" i="12"/>
  <c r="P486" i="12"/>
  <c r="P315" i="12"/>
  <c r="AM1049" i="14"/>
  <c r="AW978" i="14"/>
  <c r="N1094" i="14"/>
  <c r="AM1014" i="14"/>
  <c r="J963" i="13"/>
  <c r="J991" i="13"/>
  <c r="I932" i="13"/>
  <c r="N543" i="13"/>
  <c r="Q542" i="13"/>
  <c r="N499" i="13"/>
  <c r="N498" i="13" s="1"/>
  <c r="N497" i="13" s="1"/>
  <c r="N496" i="13" s="1"/>
  <c r="N495" i="13" s="1"/>
  <c r="N494" i="13" s="1"/>
  <c r="N492" i="13"/>
  <c r="L1056" i="12"/>
  <c r="AK976" i="12"/>
  <c r="AK1011" i="12"/>
  <c r="I988" i="14"/>
  <c r="I1016" i="14"/>
  <c r="AM986" i="13"/>
  <c r="AM993" i="13" s="1"/>
  <c r="AW950" i="13"/>
  <c r="AW957" i="13" s="1"/>
  <c r="N1066" i="13"/>
  <c r="AM1021" i="13"/>
  <c r="AM1028" i="13" s="1"/>
  <c r="J962" i="13"/>
  <c r="J990" i="13"/>
  <c r="N1022" i="11"/>
  <c r="AM977" i="11"/>
  <c r="L955" i="11"/>
  <c r="AM942" i="11"/>
  <c r="AW906" i="11"/>
  <c r="AW919" i="11" s="1"/>
  <c r="I962" i="14"/>
  <c r="L529" i="14"/>
  <c r="L528" i="14" s="1"/>
  <c r="L527" i="14" s="1"/>
  <c r="L526" i="14" s="1"/>
  <c r="L525" i="14" s="1"/>
  <c r="L524" i="14" s="1"/>
  <c r="L574" i="14"/>
  <c r="L522" i="14"/>
  <c r="K1015" i="15"/>
  <c r="K987" i="15"/>
  <c r="J991" i="14"/>
  <c r="J1019" i="14"/>
  <c r="AN990" i="11"/>
  <c r="J914" i="12"/>
  <c r="I580" i="12"/>
  <c r="F581" i="12"/>
  <c r="F535" i="12"/>
  <c r="D915" i="11"/>
  <c r="AQ912" i="11"/>
  <c r="D943" i="11"/>
  <c r="I618" i="14"/>
  <c r="F619" i="14"/>
  <c r="J957" i="14"/>
  <c r="F573" i="14"/>
  <c r="AL1057" i="14"/>
  <c r="M1102" i="14"/>
  <c r="AL1022" i="14"/>
  <c r="D918" i="12"/>
  <c r="K134" i="12"/>
  <c r="K64" i="12"/>
  <c r="K1019" i="15"/>
  <c r="K991" i="15"/>
  <c r="I965" i="14"/>
  <c r="P529" i="14"/>
  <c r="P528" i="14" s="1"/>
  <c r="P527" i="14" s="1"/>
  <c r="P526" i="14" s="1"/>
  <c r="P525" i="14" s="1"/>
  <c r="P524" i="14" s="1"/>
  <c r="P574" i="14"/>
  <c r="P522" i="14"/>
  <c r="J564" i="11"/>
  <c r="M563" i="11"/>
  <c r="J891" i="11"/>
  <c r="J519" i="11"/>
  <c r="H887" i="11"/>
  <c r="D472" i="11"/>
  <c r="D309" i="11"/>
  <c r="J990" i="15"/>
  <c r="J1018" i="15"/>
  <c r="I993" i="15"/>
  <c r="I1021" i="15"/>
  <c r="M1061" i="13"/>
  <c r="AL1016" i="13"/>
  <c r="AL981" i="13"/>
  <c r="AM971" i="12"/>
  <c r="N1051" i="12"/>
  <c r="AM1006" i="12"/>
  <c r="AW935" i="12"/>
  <c r="H912" i="12"/>
  <c r="C486" i="12"/>
  <c r="C315" i="12"/>
  <c r="M1070" i="13"/>
  <c r="AL1025" i="13"/>
  <c r="AL990" i="13"/>
  <c r="J955" i="13"/>
  <c r="J983" i="13"/>
  <c r="M1069" i="13"/>
  <c r="AL1024" i="13"/>
  <c r="AL989" i="13"/>
  <c r="J911" i="12"/>
  <c r="E580" i="12"/>
  <c r="B581" i="12"/>
  <c r="B535" i="12"/>
  <c r="J888" i="11"/>
  <c r="I563" i="11"/>
  <c r="F564" i="11"/>
  <c r="F519" i="11"/>
  <c r="D930" i="13"/>
  <c r="K134" i="13"/>
  <c r="K64" i="13"/>
  <c r="I915" i="12"/>
  <c r="G536" i="12"/>
  <c r="G492" i="12"/>
  <c r="G491" i="12" s="1"/>
  <c r="G490" i="12" s="1"/>
  <c r="G489" i="12" s="1"/>
  <c r="G488" i="12" s="1"/>
  <c r="G487" i="12" s="1"/>
  <c r="G485" i="12"/>
  <c r="J992" i="15"/>
  <c r="J1020" i="15"/>
  <c r="AK1053" i="14"/>
  <c r="L1098" i="14"/>
  <c r="AK1018" i="14"/>
  <c r="AL1108" i="14"/>
  <c r="AL1113" i="14"/>
  <c r="AL1114" i="14"/>
  <c r="AL1097" i="14"/>
  <c r="AL1112" i="14"/>
  <c r="AL1095" i="14"/>
  <c r="AL1093" i="14"/>
  <c r="AL1102" i="14"/>
  <c r="AL1100" i="14"/>
  <c r="AL1098" i="14"/>
  <c r="AL1106" i="14"/>
  <c r="AL1105" i="14"/>
  <c r="AL1109" i="14"/>
  <c r="AL1107" i="14"/>
  <c r="AL1096" i="14"/>
  <c r="AL1110" i="14"/>
  <c r="AL1104" i="14"/>
  <c r="AL1094" i="14"/>
  <c r="AL1092" i="14"/>
  <c r="AL1091" i="14"/>
  <c r="AL1111" i="14"/>
  <c r="AL1099" i="14"/>
  <c r="AL1103" i="14"/>
  <c r="AL1101" i="14"/>
  <c r="AM983" i="11"/>
  <c r="AM948" i="11"/>
  <c r="N1028" i="11"/>
  <c r="AW912" i="11"/>
  <c r="H923" i="13"/>
  <c r="B493" i="13"/>
  <c r="B318" i="13"/>
  <c r="K986" i="13"/>
  <c r="K958" i="13"/>
  <c r="M1058" i="12"/>
  <c r="AL1013" i="12"/>
  <c r="AL978" i="12"/>
  <c r="H896" i="11"/>
  <c r="P472" i="11"/>
  <c r="P309" i="11"/>
  <c r="L319" i="13"/>
  <c r="L320" i="13"/>
  <c r="E931" i="13"/>
  <c r="L133" i="13"/>
  <c r="I954" i="15"/>
  <c r="C526" i="15"/>
  <c r="C525" i="15" s="1"/>
  <c r="C524" i="15" s="1"/>
  <c r="C523" i="15" s="1"/>
  <c r="C522" i="15" s="1"/>
  <c r="C521" i="15" s="1"/>
  <c r="C571" i="15"/>
  <c r="C519" i="15"/>
  <c r="I924" i="13"/>
  <c r="C543" i="13"/>
  <c r="C499" i="13"/>
  <c r="C498" i="13" s="1"/>
  <c r="C497" i="13" s="1"/>
  <c r="C496" i="13" s="1"/>
  <c r="C495" i="13" s="1"/>
  <c r="C494" i="13" s="1"/>
  <c r="C492" i="13"/>
  <c r="J956" i="15"/>
  <c r="I615" i="15"/>
  <c r="F616" i="15"/>
  <c r="F570" i="15"/>
  <c r="AK947" i="11"/>
  <c r="L1027" i="11"/>
  <c r="AK982" i="11"/>
  <c r="AM980" i="11"/>
  <c r="N1025" i="11"/>
  <c r="AM945" i="11"/>
  <c r="AW909" i="11"/>
  <c r="H890" i="11"/>
  <c r="H472" i="11"/>
  <c r="H309" i="11"/>
  <c r="J917" i="12"/>
  <c r="J581" i="12"/>
  <c r="M580" i="12"/>
  <c r="J535" i="12"/>
  <c r="R644" i="12"/>
  <c r="J983" i="14"/>
  <c r="J1011" i="14"/>
  <c r="H955" i="14"/>
  <c r="C523" i="14"/>
  <c r="C330" i="14"/>
  <c r="K945" i="11"/>
  <c r="K917" i="11"/>
  <c r="E987" i="13"/>
  <c r="AR956" i="13"/>
  <c r="E959" i="13"/>
  <c r="Q563" i="11"/>
  <c r="J894" i="11"/>
  <c r="N564" i="11"/>
  <c r="N519" i="11"/>
  <c r="L993" i="13"/>
  <c r="I973" i="12"/>
  <c r="I945" i="12"/>
  <c r="J959" i="15"/>
  <c r="J616" i="15"/>
  <c r="M615" i="15"/>
  <c r="J570" i="15"/>
  <c r="E958" i="14"/>
  <c r="G331" i="14"/>
  <c r="G332" i="14"/>
  <c r="G140" i="14"/>
  <c r="AJ981" i="11"/>
  <c r="K1026" i="11"/>
  <c r="AJ946" i="11"/>
  <c r="H913" i="12"/>
  <c r="D486" i="12"/>
  <c r="D315" i="12"/>
  <c r="I957" i="15"/>
  <c r="G526" i="15"/>
  <c r="G525" i="15" s="1"/>
  <c r="G524" i="15" s="1"/>
  <c r="G523" i="15" s="1"/>
  <c r="G522" i="15" s="1"/>
  <c r="G521" i="15" s="1"/>
  <c r="G571" i="15"/>
  <c r="G519" i="15"/>
  <c r="E563" i="11"/>
  <c r="B564" i="11"/>
  <c r="J885" i="11"/>
  <c r="B519" i="11"/>
  <c r="I1018" i="14"/>
  <c r="I990" i="14"/>
  <c r="L1017" i="14"/>
  <c r="L989" i="14"/>
  <c r="J1022" i="14"/>
  <c r="J994" i="14"/>
  <c r="K948" i="11"/>
  <c r="K920" i="11"/>
  <c r="AK1056" i="14"/>
  <c r="L1101" i="14"/>
  <c r="AK1021" i="14"/>
  <c r="K977" i="12"/>
  <c r="K949" i="12"/>
  <c r="E954" i="13"/>
  <c r="AR951" i="13"/>
  <c r="E982" i="13"/>
  <c r="AL1053" i="12"/>
  <c r="AL1051" i="12"/>
  <c r="AL1049" i="12"/>
  <c r="AL1071" i="12"/>
  <c r="AL1069" i="12"/>
  <c r="AL1064" i="12"/>
  <c r="AL1062" i="12"/>
  <c r="AL1060" i="12"/>
  <c r="AL1058" i="12"/>
  <c r="AL1056" i="12"/>
  <c r="AL1065" i="12"/>
  <c r="AL1052" i="12"/>
  <c r="AL1050" i="12"/>
  <c r="AL1048" i="12"/>
  <c r="AL1072" i="12" s="1"/>
  <c r="AL1054" i="12"/>
  <c r="AL1059" i="12"/>
  <c r="AL1061" i="12"/>
  <c r="AL1067" i="12"/>
  <c r="AL1066" i="12"/>
  <c r="AL1063" i="12"/>
  <c r="AL1057" i="12"/>
  <c r="AL1070" i="12"/>
  <c r="AL1068" i="12"/>
  <c r="AL1055" i="12"/>
  <c r="Q573" i="14"/>
  <c r="I947" i="11"/>
  <c r="I919" i="11"/>
  <c r="I951" i="12"/>
  <c r="I979" i="12"/>
  <c r="L1050" i="12"/>
  <c r="AK970" i="12"/>
  <c r="AK1005" i="12"/>
  <c r="J961" i="13"/>
  <c r="J989" i="13"/>
  <c r="K971" i="12"/>
  <c r="K943" i="12"/>
  <c r="J972" i="12"/>
  <c r="J944" i="12"/>
  <c r="AL984" i="11"/>
  <c r="M1029" i="11"/>
  <c r="AL949" i="11"/>
  <c r="K986" i="14"/>
  <c r="K1014" i="14"/>
  <c r="I980" i="13"/>
  <c r="I952" i="13"/>
  <c r="E975" i="12"/>
  <c r="AR944" i="12"/>
  <c r="E947" i="12"/>
  <c r="K478" i="11"/>
  <c r="K477" i="11" s="1"/>
  <c r="K476" i="11" s="1"/>
  <c r="K475" i="11" s="1"/>
  <c r="K474" i="11" s="1"/>
  <c r="K473" i="11" s="1"/>
  <c r="K520" i="11"/>
  <c r="I892" i="11"/>
  <c r="K471" i="11"/>
  <c r="AM1081" i="13"/>
  <c r="AM1076" i="13"/>
  <c r="AM1074" i="13"/>
  <c r="AM1072" i="13"/>
  <c r="AM1070" i="13"/>
  <c r="AM1068" i="13"/>
  <c r="AM1083" i="13"/>
  <c r="AM1079" i="13"/>
  <c r="AM1066" i="13"/>
  <c r="AM1077" i="13"/>
  <c r="AM1064" i="13"/>
  <c r="AM1062" i="13"/>
  <c r="AM1060" i="13"/>
  <c r="AM1080" i="13"/>
  <c r="AM1078" i="13"/>
  <c r="AM1065" i="13"/>
  <c r="AM1071" i="13"/>
  <c r="AM1067" i="13"/>
  <c r="AM1075" i="13"/>
  <c r="AM1063" i="13"/>
  <c r="AM1082" i="13"/>
  <c r="AM1073" i="13"/>
  <c r="AM1069" i="13"/>
  <c r="AM1061" i="13"/>
  <c r="J1062" i="13"/>
  <c r="Z1062" i="13" s="1"/>
  <c r="AI1017" i="13"/>
  <c r="AI982" i="13"/>
  <c r="AK1055" i="14"/>
  <c r="L1100" i="14"/>
  <c r="AK1020" i="14"/>
  <c r="D895" i="11"/>
  <c r="O132" i="11"/>
  <c r="O64" i="11"/>
  <c r="K967" i="14"/>
  <c r="H960" i="13"/>
  <c r="H988" i="13"/>
  <c r="D955" i="15"/>
  <c r="D136" i="15"/>
  <c r="D64" i="15"/>
  <c r="AM986" i="11"/>
  <c r="N1031" i="11"/>
  <c r="AW915" i="11"/>
  <c r="AM951" i="11"/>
  <c r="I916" i="11"/>
  <c r="I944" i="11"/>
  <c r="J983" i="15"/>
  <c r="J1011" i="15"/>
  <c r="J953" i="13"/>
  <c r="J981" i="13"/>
  <c r="I969" i="12"/>
  <c r="I941" i="12"/>
  <c r="I992" i="14"/>
  <c r="I1020" i="14"/>
  <c r="H964" i="14"/>
  <c r="O523" i="14"/>
  <c r="O330" i="14"/>
  <c r="K968" i="12"/>
  <c r="K924" i="12"/>
  <c r="K940" i="12"/>
  <c r="L1023" i="15"/>
  <c r="J936" i="13"/>
  <c r="J1055" i="12"/>
  <c r="Z1055" i="12" s="1"/>
  <c r="AI1010" i="12"/>
  <c r="AI909" i="12"/>
  <c r="AI975" i="12"/>
  <c r="H1015" i="14"/>
  <c r="H987" i="14"/>
  <c r="J958" i="15"/>
  <c r="H616" i="15"/>
  <c r="H570" i="15"/>
  <c r="H919" i="12"/>
  <c r="L486" i="12"/>
  <c r="L315" i="12"/>
  <c r="J1014" i="15"/>
  <c r="J986" i="15"/>
  <c r="G499" i="13"/>
  <c r="G498" i="13" s="1"/>
  <c r="G497" i="13" s="1"/>
  <c r="G496" i="13" s="1"/>
  <c r="G495" i="13" s="1"/>
  <c r="G494" i="13" s="1"/>
  <c r="I927" i="13"/>
  <c r="G543" i="13"/>
  <c r="G492" i="13"/>
  <c r="J953" i="15"/>
  <c r="E615" i="15"/>
  <c r="B616" i="15"/>
  <c r="B570" i="15"/>
  <c r="N1054" i="12"/>
  <c r="AM1009" i="12"/>
  <c r="AM974" i="12"/>
  <c r="AW938" i="12"/>
  <c r="I953" i="11"/>
  <c r="I925" i="11"/>
  <c r="G311" i="11"/>
  <c r="E889" i="11"/>
  <c r="G310" i="11"/>
  <c r="G131" i="11"/>
  <c r="I960" i="15"/>
  <c r="K526" i="15"/>
  <c r="K525" i="15" s="1"/>
  <c r="K524" i="15" s="1"/>
  <c r="K523" i="15" s="1"/>
  <c r="K522" i="15" s="1"/>
  <c r="K521" i="15" s="1"/>
  <c r="K571" i="15"/>
  <c r="K519" i="15"/>
  <c r="AK1008" i="12"/>
  <c r="L1053" i="12"/>
  <c r="AK973" i="12"/>
  <c r="AK979" i="11"/>
  <c r="L1024" i="11"/>
  <c r="AK944" i="11"/>
  <c r="K1013" i="15"/>
  <c r="K985" i="15"/>
  <c r="L1092" i="14"/>
  <c r="AK1047" i="14"/>
  <c r="AK1012" i="14"/>
  <c r="K1095" i="14"/>
  <c r="AJ1050" i="14"/>
  <c r="AJ1015" i="14"/>
  <c r="M1065" i="13"/>
  <c r="AL1020" i="13"/>
  <c r="AL985" i="13"/>
  <c r="K974" i="12"/>
  <c r="K946" i="12"/>
  <c r="I1012" i="14"/>
  <c r="I984" i="14"/>
  <c r="H523" i="14"/>
  <c r="H959" i="14"/>
  <c r="H330" i="14"/>
  <c r="K951" i="11"/>
  <c r="K923" i="11"/>
  <c r="H499" i="13"/>
  <c r="H498" i="13" s="1"/>
  <c r="H497" i="13" s="1"/>
  <c r="H496" i="13" s="1"/>
  <c r="H495" i="13" s="1"/>
  <c r="H494" i="13" s="1"/>
  <c r="I928" i="13"/>
  <c r="H543" i="13"/>
  <c r="H492" i="13"/>
  <c r="L1060" i="13"/>
  <c r="AK1015" i="13"/>
  <c r="AK980" i="13"/>
  <c r="K1016" i="15"/>
  <c r="K988" i="15"/>
  <c r="E956" i="14"/>
  <c r="D332" i="14"/>
  <c r="D331" i="14"/>
  <c r="D140" i="14"/>
  <c r="I942" i="12"/>
  <c r="I970" i="12"/>
  <c r="AI952" i="11"/>
  <c r="J1032" i="11"/>
  <c r="Z1032" i="11" s="1"/>
  <c r="AI987" i="11"/>
  <c r="AI886" i="11"/>
  <c r="AM1012" i="12"/>
  <c r="AW941" i="12"/>
  <c r="N1057" i="12"/>
  <c r="AM977" i="12"/>
  <c r="J984" i="13"/>
  <c r="J956" i="13"/>
  <c r="K942" i="11"/>
  <c r="K914" i="11"/>
  <c r="K898" i="11"/>
  <c r="E542" i="13"/>
  <c r="J949" i="11"/>
  <c r="J921" i="11"/>
  <c r="J962" i="15"/>
  <c r="Q615" i="15"/>
  <c r="N616" i="15"/>
  <c r="N570" i="15"/>
  <c r="L1049" i="12"/>
  <c r="AK1004" i="12"/>
  <c r="AK969" i="12"/>
  <c r="M1091" i="14"/>
  <c r="AL1046" i="14"/>
  <c r="AL1011" i="14"/>
  <c r="I921" i="12"/>
  <c r="O536" i="12"/>
  <c r="O492" i="12"/>
  <c r="O491" i="12" s="1"/>
  <c r="O490" i="12" s="1"/>
  <c r="O489" i="12" s="1"/>
  <c r="O488" i="12" s="1"/>
  <c r="O487" i="12" s="1"/>
  <c r="O485" i="12"/>
  <c r="M1071" i="13"/>
  <c r="AL991" i="13"/>
  <c r="AL1026" i="13"/>
  <c r="H964" i="15"/>
  <c r="P520" i="15"/>
  <c r="P325" i="15"/>
  <c r="L1096" i="14"/>
  <c r="AK1051" i="14"/>
  <c r="AK1016" i="14"/>
  <c r="AL1054" i="14"/>
  <c r="M1099" i="14"/>
  <c r="AL1019" i="14"/>
  <c r="H893" i="11"/>
  <c r="L472" i="11"/>
  <c r="L309" i="11"/>
  <c r="AL1007" i="12"/>
  <c r="AL972" i="12"/>
  <c r="M1052" i="12"/>
  <c r="P543" i="13"/>
  <c r="P499" i="13"/>
  <c r="P498" i="13" s="1"/>
  <c r="P497" i="13" s="1"/>
  <c r="P496" i="13" s="1"/>
  <c r="P495" i="13" s="1"/>
  <c r="P494" i="13" s="1"/>
  <c r="I934" i="13"/>
  <c r="P492" i="13"/>
  <c r="AG978" i="11"/>
  <c r="G1023" i="11"/>
  <c r="AG943" i="11"/>
  <c r="M1064" i="13"/>
  <c r="AL1019" i="13"/>
  <c r="AL984" i="13"/>
  <c r="I933" i="13"/>
  <c r="O543" i="13"/>
  <c r="O499" i="13"/>
  <c r="O498" i="13" s="1"/>
  <c r="O497" i="13" s="1"/>
  <c r="O496" i="13" s="1"/>
  <c r="O495" i="13" s="1"/>
  <c r="O494" i="13" s="1"/>
  <c r="O492" i="13"/>
  <c r="P433" i="7"/>
  <c r="P432" i="7" s="1"/>
  <c r="P431" i="7" s="1"/>
  <c r="P430" i="7" s="1"/>
  <c r="P429" i="7" s="1"/>
  <c r="P428" i="7" s="1"/>
  <c r="I844" i="7"/>
  <c r="P474" i="7"/>
  <c r="P426" i="7"/>
  <c r="D858" i="6"/>
  <c r="K131" i="6"/>
  <c r="K64" i="6"/>
  <c r="AJ900" i="7"/>
  <c r="K980" i="7"/>
  <c r="AJ935" i="7"/>
  <c r="H855" i="6"/>
  <c r="G444" i="6"/>
  <c r="G293" i="6"/>
  <c r="H779" i="10"/>
  <c r="J380" i="10"/>
  <c r="J250" i="10"/>
  <c r="J888" i="6"/>
  <c r="J916" i="6"/>
  <c r="H777" i="10"/>
  <c r="G380" i="10"/>
  <c r="G250" i="10"/>
  <c r="H775" i="10"/>
  <c r="D380" i="10"/>
  <c r="D250" i="10"/>
  <c r="H877" i="8"/>
  <c r="H849" i="8"/>
  <c r="C856" i="6"/>
  <c r="H65" i="6"/>
  <c r="H29" i="6"/>
  <c r="K989" i="6"/>
  <c r="AJ909" i="6"/>
  <c r="AJ944" i="6"/>
  <c r="D813" i="9"/>
  <c r="O131" i="9"/>
  <c r="O64" i="9"/>
  <c r="N491" i="6"/>
  <c r="I860" i="6"/>
  <c r="N450" i="6"/>
  <c r="N449" i="6" s="1"/>
  <c r="N448" i="6" s="1"/>
  <c r="N447" i="6" s="1"/>
  <c r="N446" i="6" s="1"/>
  <c r="N445" i="6" s="1"/>
  <c r="Q490" i="6"/>
  <c r="N443" i="6"/>
  <c r="AM921" i="6"/>
  <c r="E852" i="6"/>
  <c r="C294" i="6"/>
  <c r="C295" i="6"/>
  <c r="C130" i="6"/>
  <c r="AI950" i="6"/>
  <c r="J995" i="6"/>
  <c r="AI849" i="6"/>
  <c r="AI915" i="6"/>
  <c r="J865" i="9"/>
  <c r="K945" i="9" s="1"/>
  <c r="J839" i="9"/>
  <c r="J869" i="9"/>
  <c r="K949" i="9" s="1"/>
  <c r="J843" i="9"/>
  <c r="I815" i="8"/>
  <c r="H458" i="8"/>
  <c r="H417" i="8"/>
  <c r="H416" i="8" s="1"/>
  <c r="H415" i="8" s="1"/>
  <c r="H414" i="8" s="1"/>
  <c r="H413" i="8" s="1"/>
  <c r="H412" i="8" s="1"/>
  <c r="H410" i="8"/>
  <c r="I836" i="9"/>
  <c r="I862" i="9"/>
  <c r="J942" i="9" s="1"/>
  <c r="K999" i="6"/>
  <c r="AJ954" i="6"/>
  <c r="AJ919" i="6"/>
  <c r="J890" i="6"/>
  <c r="J918" i="6"/>
  <c r="J819" i="8"/>
  <c r="Q499" i="8"/>
  <c r="N500" i="8"/>
  <c r="N457" i="8"/>
  <c r="M997" i="6"/>
  <c r="AL952" i="6"/>
  <c r="AL917" i="6"/>
  <c r="K834" i="10"/>
  <c r="K858" i="10"/>
  <c r="H811" i="8"/>
  <c r="C411" i="8"/>
  <c r="C275" i="8"/>
  <c r="AM873" i="8"/>
  <c r="N953" i="8"/>
  <c r="AM908" i="8"/>
  <c r="AW837" i="8"/>
  <c r="E842" i="9"/>
  <c r="AR848" i="9"/>
  <c r="E868" i="9"/>
  <c r="F948" i="9" s="1"/>
  <c r="AW885" i="6"/>
  <c r="I875" i="8"/>
  <c r="I847" i="8"/>
  <c r="K896" i="7"/>
  <c r="K868" i="7"/>
  <c r="AL966" i="8"/>
  <c r="AL964" i="8"/>
  <c r="AL956" i="8"/>
  <c r="AL957" i="8"/>
  <c r="AL951" i="8"/>
  <c r="AL953" i="8"/>
  <c r="AL949" i="8"/>
  <c r="AL952" i="8"/>
  <c r="AL947" i="8"/>
  <c r="AL958" i="8"/>
  <c r="AL950" i="8"/>
  <c r="AL948" i="8"/>
  <c r="AL970" i="8"/>
  <c r="AL967" i="8"/>
  <c r="AL963" i="8"/>
  <c r="AL968" i="8"/>
  <c r="AL954" i="8"/>
  <c r="AL955" i="8"/>
  <c r="AL960" i="8"/>
  <c r="AL965" i="8"/>
  <c r="AL962" i="8"/>
  <c r="AL959" i="8"/>
  <c r="AL969" i="8"/>
  <c r="AL961" i="8"/>
  <c r="K831" i="10"/>
  <c r="K855" i="10"/>
  <c r="K786" i="10"/>
  <c r="M940" i="9"/>
  <c r="AW835" i="9"/>
  <c r="H812" i="8"/>
  <c r="D411" i="8"/>
  <c r="D275" i="8"/>
  <c r="D885" i="6"/>
  <c r="AQ882" i="6"/>
  <c r="D913" i="6"/>
  <c r="J886" i="6"/>
  <c r="J914" i="6"/>
  <c r="M988" i="6"/>
  <c r="AL943" i="6"/>
  <c r="K921" i="6"/>
  <c r="AL908" i="6"/>
  <c r="J835" i="9"/>
  <c r="J861" i="9"/>
  <c r="K941" i="9" s="1"/>
  <c r="H909" i="6"/>
  <c r="H881" i="6"/>
  <c r="AI927" i="7"/>
  <c r="AI892" i="7"/>
  <c r="J972" i="7"/>
  <c r="AI826" i="7"/>
  <c r="I851" i="6"/>
  <c r="E490" i="6"/>
  <c r="B491" i="6"/>
  <c r="B450" i="6"/>
  <c r="B449" i="6" s="1"/>
  <c r="B448" i="6" s="1"/>
  <c r="B447" i="6" s="1"/>
  <c r="B446" i="6" s="1"/>
  <c r="B445" i="6" s="1"/>
  <c r="B443" i="6"/>
  <c r="AN938" i="7"/>
  <c r="J872" i="8"/>
  <c r="J844" i="8"/>
  <c r="E867" i="7"/>
  <c r="E895" i="7"/>
  <c r="AR864" i="7"/>
  <c r="H811" i="9"/>
  <c r="L403" i="9"/>
  <c r="L270" i="9"/>
  <c r="E784" i="10"/>
  <c r="P252" i="10"/>
  <c r="P251" i="10"/>
  <c r="P128" i="10"/>
  <c r="N956" i="8"/>
  <c r="AM911" i="8"/>
  <c r="AM876" i="8"/>
  <c r="AW840" i="8"/>
  <c r="E864" i="7"/>
  <c r="AR861" i="7"/>
  <c r="E892" i="7"/>
  <c r="H891" i="6"/>
  <c r="H919" i="6"/>
  <c r="I804" i="9"/>
  <c r="C450" i="9"/>
  <c r="C409" i="9"/>
  <c r="C408" i="9" s="1"/>
  <c r="C407" i="9" s="1"/>
  <c r="C406" i="9" s="1"/>
  <c r="C405" i="9" s="1"/>
  <c r="C404" i="9" s="1"/>
  <c r="C402" i="9"/>
  <c r="M994" i="6"/>
  <c r="AL949" i="6"/>
  <c r="AL914" i="6"/>
  <c r="J813" i="8"/>
  <c r="I499" i="8"/>
  <c r="F500" i="8"/>
  <c r="F457" i="8"/>
  <c r="AL913" i="8"/>
  <c r="M958" i="8"/>
  <c r="AL878" i="8"/>
  <c r="J859" i="9"/>
  <c r="K939" i="9" s="1"/>
  <c r="J833" i="9"/>
  <c r="E915" i="6"/>
  <c r="AR884" i="6"/>
  <c r="E887" i="6"/>
  <c r="J893" i="7"/>
  <c r="J865" i="7"/>
  <c r="J500" i="8"/>
  <c r="J816" i="8"/>
  <c r="M499" i="8"/>
  <c r="J457" i="8"/>
  <c r="H450" i="9"/>
  <c r="I808" i="9"/>
  <c r="H409" i="9"/>
  <c r="H408" i="9" s="1"/>
  <c r="H407" i="9" s="1"/>
  <c r="H406" i="9" s="1"/>
  <c r="H405" i="9" s="1"/>
  <c r="H404" i="9" s="1"/>
  <c r="H402" i="9"/>
  <c r="N976" i="7"/>
  <c r="AM931" i="7"/>
  <c r="AM896" i="7"/>
  <c r="AW860" i="7"/>
  <c r="I912" i="6"/>
  <c r="I884" i="6"/>
  <c r="I835" i="10"/>
  <c r="I859" i="10"/>
  <c r="I781" i="10"/>
  <c r="L425" i="10"/>
  <c r="L386" i="10"/>
  <c r="L385" i="10" s="1"/>
  <c r="L384" i="10" s="1"/>
  <c r="L383" i="10" s="1"/>
  <c r="L382" i="10" s="1"/>
  <c r="L381" i="10" s="1"/>
  <c r="L379" i="10"/>
  <c r="M944" i="9"/>
  <c r="AW839" i="9"/>
  <c r="I857" i="10"/>
  <c r="I833" i="10"/>
  <c r="M977" i="7"/>
  <c r="AL897" i="7"/>
  <c r="AL932" i="7"/>
  <c r="K957" i="8"/>
  <c r="AJ912" i="8"/>
  <c r="AJ877" i="8"/>
  <c r="I812" i="9"/>
  <c r="N450" i="9"/>
  <c r="Q449" i="9"/>
  <c r="N409" i="9"/>
  <c r="N408" i="9" s="1"/>
  <c r="N407" i="9" s="1"/>
  <c r="N406" i="9" s="1"/>
  <c r="N405" i="9" s="1"/>
  <c r="N404" i="9" s="1"/>
  <c r="N402" i="9"/>
  <c r="AG948" i="6"/>
  <c r="G993" i="6"/>
  <c r="AG913" i="6"/>
  <c r="J889" i="6"/>
  <c r="J917" i="6"/>
  <c r="AM956" i="6"/>
  <c r="M938" i="9"/>
  <c r="L871" i="9"/>
  <c r="AW833" i="9"/>
  <c r="AN903" i="7"/>
  <c r="J809" i="9"/>
  <c r="M491" i="9"/>
  <c r="J492" i="9"/>
  <c r="J449" i="9"/>
  <c r="I841" i="7"/>
  <c r="L474" i="7"/>
  <c r="L433" i="7"/>
  <c r="L432" i="7" s="1"/>
  <c r="L431" i="7" s="1"/>
  <c r="L430" i="7" s="1"/>
  <c r="L429" i="7" s="1"/>
  <c r="L428" i="7" s="1"/>
  <c r="L426" i="7"/>
  <c r="AM998" i="6"/>
  <c r="AM1010" i="6"/>
  <c r="AM1003" i="6"/>
  <c r="AM1001" i="6"/>
  <c r="AM999" i="6"/>
  <c r="AM1008" i="6"/>
  <c r="AM1006" i="6"/>
  <c r="AM1011" i="6"/>
  <c r="AM1009" i="6"/>
  <c r="AM1004" i="6"/>
  <c r="AM1002" i="6"/>
  <c r="AM1000" i="6"/>
  <c r="AM995" i="6"/>
  <c r="AM989" i="6"/>
  <c r="AM1007" i="6"/>
  <c r="AM996" i="6"/>
  <c r="AM994" i="6"/>
  <c r="AM990" i="6"/>
  <c r="AM993" i="6"/>
  <c r="AM991" i="6"/>
  <c r="AM1005" i="6"/>
  <c r="AM992" i="6"/>
  <c r="AM988" i="6"/>
  <c r="AM997" i="6"/>
  <c r="L992" i="6"/>
  <c r="AK947" i="6"/>
  <c r="AK912" i="6"/>
  <c r="K858" i="9"/>
  <c r="K816" i="9"/>
  <c r="K832" i="9"/>
  <c r="M991" i="6"/>
  <c r="AL911" i="6"/>
  <c r="AL946" i="6"/>
  <c r="I780" i="10"/>
  <c r="K425" i="10"/>
  <c r="K386" i="10"/>
  <c r="K385" i="10" s="1"/>
  <c r="K384" i="10" s="1"/>
  <c r="K383" i="10" s="1"/>
  <c r="K382" i="10" s="1"/>
  <c r="K381" i="10" s="1"/>
  <c r="K379" i="10"/>
  <c r="M379" i="10" s="1"/>
  <c r="J810" i="8"/>
  <c r="E499" i="8"/>
  <c r="R499" i="8" s="1"/>
  <c r="B500" i="8"/>
  <c r="B457" i="8"/>
  <c r="N970" i="7"/>
  <c r="AM925" i="7"/>
  <c r="L903" i="7"/>
  <c r="AM890" i="7"/>
  <c r="AM903" i="7" s="1"/>
  <c r="AW854" i="7"/>
  <c r="J878" i="8"/>
  <c r="J850" i="8"/>
  <c r="J838" i="10"/>
  <c r="J862" i="10"/>
  <c r="I861" i="10"/>
  <c r="I837" i="10"/>
  <c r="K848" i="8"/>
  <c r="K876" i="8"/>
  <c r="O286" i="7"/>
  <c r="E843" i="7"/>
  <c r="O287" i="7"/>
  <c r="O132" i="7"/>
  <c r="I868" i="8"/>
  <c r="I840" i="8"/>
  <c r="AN880" i="8"/>
  <c r="I774" i="10"/>
  <c r="C386" i="10"/>
  <c r="C385" i="10" s="1"/>
  <c r="C384" i="10" s="1"/>
  <c r="C383" i="10" s="1"/>
  <c r="C382" i="10" s="1"/>
  <c r="C381" i="10" s="1"/>
  <c r="C425" i="10"/>
  <c r="C379" i="10"/>
  <c r="H814" i="8"/>
  <c r="G411" i="8"/>
  <c r="G275" i="8"/>
  <c r="J833" i="7"/>
  <c r="E516" i="7"/>
  <c r="B517" i="7"/>
  <c r="B473" i="7"/>
  <c r="M990" i="6"/>
  <c r="AL910" i="6"/>
  <c r="AL945" i="6"/>
  <c r="M971" i="7"/>
  <c r="AL926" i="7"/>
  <c r="AL891" i="7"/>
  <c r="I854" i="6"/>
  <c r="F491" i="6"/>
  <c r="F450" i="6"/>
  <c r="F449" i="6" s="1"/>
  <c r="F448" i="6" s="1"/>
  <c r="F447" i="6" s="1"/>
  <c r="F446" i="6" s="1"/>
  <c r="F445" i="6" s="1"/>
  <c r="I490" i="6"/>
  <c r="F443" i="6"/>
  <c r="M954" i="8"/>
  <c r="AL874" i="8"/>
  <c r="AL909" i="8"/>
  <c r="H866" i="10"/>
  <c r="G809" i="10" s="1"/>
  <c r="H842" i="10"/>
  <c r="I948" i="9"/>
  <c r="AI813" i="9"/>
  <c r="J898" i="7"/>
  <c r="J870" i="7"/>
  <c r="E783" i="10"/>
  <c r="O252" i="10"/>
  <c r="O251" i="10"/>
  <c r="O128" i="10"/>
  <c r="AL951" i="6"/>
  <c r="AL916" i="6"/>
  <c r="M996" i="6"/>
  <c r="K417" i="8"/>
  <c r="K416" i="8" s="1"/>
  <c r="K415" i="8" s="1"/>
  <c r="K414" i="8" s="1"/>
  <c r="K413" i="8" s="1"/>
  <c r="K412" i="8" s="1"/>
  <c r="I817" i="8"/>
  <c r="K458" i="8"/>
  <c r="K410" i="8"/>
  <c r="R552" i="8"/>
  <c r="B466" i="10"/>
  <c r="J773" i="10"/>
  <c r="E465" i="10"/>
  <c r="B424" i="10"/>
  <c r="AL893" i="7"/>
  <c r="AL928" i="7"/>
  <c r="M973" i="7"/>
  <c r="G427" i="7"/>
  <c r="H837" i="7"/>
  <c r="G285" i="7"/>
  <c r="K870" i="8"/>
  <c r="K842" i="8"/>
  <c r="I842" i="7"/>
  <c r="N474" i="7"/>
  <c r="N433" i="7"/>
  <c r="N432" i="7" s="1"/>
  <c r="N431" i="7" s="1"/>
  <c r="N430" i="7" s="1"/>
  <c r="N429" i="7" s="1"/>
  <c r="N428" i="7" s="1"/>
  <c r="Q473" i="7"/>
  <c r="N426" i="7"/>
  <c r="AJ990" i="7"/>
  <c r="AJ988" i="7"/>
  <c r="AJ970" i="7"/>
  <c r="AJ993" i="7"/>
  <c r="AJ991" i="7"/>
  <c r="AJ986" i="7"/>
  <c r="AJ984" i="7"/>
  <c r="AJ982" i="7"/>
  <c r="AJ977" i="7"/>
  <c r="AJ971" i="7"/>
  <c r="AJ989" i="7"/>
  <c r="AJ978" i="7"/>
  <c r="AJ976" i="7"/>
  <c r="AJ972" i="7"/>
  <c r="AJ987" i="7"/>
  <c r="AJ979" i="7"/>
  <c r="AJ975" i="7"/>
  <c r="AJ973" i="7"/>
  <c r="AJ980" i="7"/>
  <c r="AJ974" i="7"/>
  <c r="AJ992" i="7"/>
  <c r="AJ983" i="7"/>
  <c r="AJ981" i="7"/>
  <c r="AJ985" i="7"/>
  <c r="L955" i="8"/>
  <c r="AK875" i="8"/>
  <c r="AK910" i="8"/>
  <c r="J863" i="10"/>
  <c r="J839" i="10"/>
  <c r="AK903" i="8"/>
  <c r="L948" i="8"/>
  <c r="AK868" i="8"/>
  <c r="I841" i="8"/>
  <c r="I869" i="8"/>
  <c r="AN915" i="8"/>
  <c r="M998" i="6"/>
  <c r="AL953" i="6"/>
  <c r="AL918" i="6"/>
  <c r="R572" i="7"/>
  <c r="I853" i="6"/>
  <c r="D491" i="6"/>
  <c r="D450" i="6"/>
  <c r="D449" i="6" s="1"/>
  <c r="D448" i="6" s="1"/>
  <c r="D447" i="6" s="1"/>
  <c r="D446" i="6" s="1"/>
  <c r="D445" i="6" s="1"/>
  <c r="D443" i="6"/>
  <c r="J908" i="6"/>
  <c r="J864" i="6"/>
  <c r="J880" i="6"/>
  <c r="H807" i="9"/>
  <c r="G403" i="9"/>
  <c r="G270" i="9"/>
  <c r="I834" i="7"/>
  <c r="C474" i="7"/>
  <c r="C433" i="7"/>
  <c r="C432" i="7" s="1"/>
  <c r="C431" i="7" s="1"/>
  <c r="C430" i="7" s="1"/>
  <c r="C429" i="7" s="1"/>
  <c r="C428" i="7" s="1"/>
  <c r="C426" i="7"/>
  <c r="I840" i="7"/>
  <c r="K474" i="7"/>
  <c r="K433" i="7"/>
  <c r="K432" i="7" s="1"/>
  <c r="K431" i="7" s="1"/>
  <c r="K430" i="7" s="1"/>
  <c r="K429" i="7" s="1"/>
  <c r="K428" i="7" s="1"/>
  <c r="K426" i="7"/>
  <c r="I866" i="9"/>
  <c r="J946" i="9" s="1"/>
  <c r="I840" i="9"/>
  <c r="I778" i="10"/>
  <c r="H425" i="10"/>
  <c r="H386" i="10"/>
  <c r="H385" i="10" s="1"/>
  <c r="H384" i="10" s="1"/>
  <c r="H383" i="10" s="1"/>
  <c r="H382" i="10" s="1"/>
  <c r="H381" i="10" s="1"/>
  <c r="H379" i="10"/>
  <c r="J782" i="10"/>
  <c r="Q465" i="10"/>
  <c r="N466" i="10"/>
  <c r="N424" i="10"/>
  <c r="E862" i="6"/>
  <c r="P295" i="6"/>
  <c r="P294" i="6"/>
  <c r="P130" i="6"/>
  <c r="K873" i="8"/>
  <c r="K845" i="8"/>
  <c r="AK906" i="8"/>
  <c r="L951" i="8"/>
  <c r="AK871" i="8"/>
  <c r="H900" i="7"/>
  <c r="H872" i="7"/>
  <c r="J776" i="10"/>
  <c r="F466" i="10"/>
  <c r="I465" i="10"/>
  <c r="F424" i="10"/>
  <c r="L868" i="10"/>
  <c r="U885" i="10"/>
  <c r="E820" i="8"/>
  <c r="O276" i="8"/>
  <c r="O277" i="8"/>
  <c r="O131" i="8"/>
  <c r="J832" i="10"/>
  <c r="J856" i="10"/>
  <c r="K890" i="7"/>
  <c r="K846" i="7"/>
  <c r="K862" i="7"/>
  <c r="J867" i="9"/>
  <c r="K947" i="9" s="1"/>
  <c r="J841" i="9"/>
  <c r="M978" i="7"/>
  <c r="AL898" i="7"/>
  <c r="AL933" i="7"/>
  <c r="H818" i="8"/>
  <c r="L411" i="8"/>
  <c r="L275" i="8"/>
  <c r="I810" i="9"/>
  <c r="K409" i="9"/>
  <c r="K408" i="9" s="1"/>
  <c r="K407" i="9" s="1"/>
  <c r="K406" i="9" s="1"/>
  <c r="K405" i="9" s="1"/>
  <c r="K404" i="9" s="1"/>
  <c r="K450" i="9"/>
  <c r="K402" i="9"/>
  <c r="I814" i="9"/>
  <c r="P450" i="9"/>
  <c r="P409" i="9"/>
  <c r="P408" i="9" s="1"/>
  <c r="P407" i="9" s="1"/>
  <c r="P406" i="9" s="1"/>
  <c r="P405" i="9" s="1"/>
  <c r="P404" i="9" s="1"/>
  <c r="P402" i="9"/>
  <c r="L949" i="8"/>
  <c r="AK904" i="8"/>
  <c r="AK869" i="8"/>
  <c r="J839" i="7"/>
  <c r="M516" i="7"/>
  <c r="J517" i="7"/>
  <c r="J473" i="7"/>
  <c r="K864" i="9"/>
  <c r="L944" i="9" s="1"/>
  <c r="K838" i="9"/>
  <c r="I861" i="6"/>
  <c r="O491" i="6"/>
  <c r="O450" i="6"/>
  <c r="O449" i="6" s="1"/>
  <c r="O448" i="6" s="1"/>
  <c r="O447" i="6" s="1"/>
  <c r="O446" i="6" s="1"/>
  <c r="O445" i="6" s="1"/>
  <c r="O443" i="6"/>
  <c r="J901" i="7"/>
  <c r="J873" i="7"/>
  <c r="F433" i="7"/>
  <c r="F432" i="7" s="1"/>
  <c r="F431" i="7" s="1"/>
  <c r="F430" i="7" s="1"/>
  <c r="F429" i="7" s="1"/>
  <c r="F428" i="7" s="1"/>
  <c r="I836" i="7"/>
  <c r="F474" i="7"/>
  <c r="I473" i="7"/>
  <c r="F426" i="7"/>
  <c r="K834" i="9"/>
  <c r="K860" i="9"/>
  <c r="L940" i="9" s="1"/>
  <c r="AL872" i="8"/>
  <c r="AL907" i="8"/>
  <c r="M952" i="8"/>
  <c r="P458" i="8"/>
  <c r="P417" i="8"/>
  <c r="P416" i="8" s="1"/>
  <c r="P415" i="8" s="1"/>
  <c r="P414" i="8" s="1"/>
  <c r="P413" i="8" s="1"/>
  <c r="P412" i="8" s="1"/>
  <c r="I821" i="8"/>
  <c r="P410" i="8"/>
  <c r="H865" i="10"/>
  <c r="G808" i="10" s="1"/>
  <c r="H841" i="10"/>
  <c r="J837" i="9"/>
  <c r="J863" i="9"/>
  <c r="K943" i="9" s="1"/>
  <c r="M979" i="7"/>
  <c r="AL934" i="7"/>
  <c r="AL899" i="7"/>
  <c r="AK929" i="7"/>
  <c r="AK894" i="7"/>
  <c r="L974" i="7"/>
  <c r="E491" i="9"/>
  <c r="B492" i="9"/>
  <c r="J803" i="9"/>
  <c r="B449" i="9"/>
  <c r="AL901" i="7"/>
  <c r="AL936" i="7"/>
  <c r="M981" i="7"/>
  <c r="K864" i="10"/>
  <c r="K840" i="10"/>
  <c r="D835" i="7"/>
  <c r="D133" i="7"/>
  <c r="D64" i="7"/>
  <c r="J874" i="8"/>
  <c r="J846" i="8"/>
  <c r="K839" i="8"/>
  <c r="K867" i="8"/>
  <c r="K823" i="8"/>
  <c r="R518" i="10"/>
  <c r="I894" i="7"/>
  <c r="I866" i="7"/>
  <c r="J899" i="7"/>
  <c r="J871" i="7"/>
  <c r="J805" i="9"/>
  <c r="D492" i="9"/>
  <c r="D449" i="9"/>
  <c r="I859" i="6"/>
  <c r="L491" i="6"/>
  <c r="L450" i="6"/>
  <c r="L449" i="6" s="1"/>
  <c r="L448" i="6" s="1"/>
  <c r="L447" i="6" s="1"/>
  <c r="L446" i="6" s="1"/>
  <c r="L445" i="6" s="1"/>
  <c r="L443" i="6"/>
  <c r="N947" i="8"/>
  <c r="L880" i="8"/>
  <c r="AM902" i="8"/>
  <c r="AM915" i="8" s="1"/>
  <c r="AM867" i="8"/>
  <c r="AW831" i="8"/>
  <c r="AW844" i="8" s="1"/>
  <c r="I857" i="6"/>
  <c r="M490" i="6"/>
  <c r="J491" i="6"/>
  <c r="J450" i="6"/>
  <c r="J449" i="6" s="1"/>
  <c r="J448" i="6" s="1"/>
  <c r="J447" i="6" s="1"/>
  <c r="J446" i="6" s="1"/>
  <c r="J445" i="6" s="1"/>
  <c r="J443" i="6"/>
  <c r="I871" i="8"/>
  <c r="I843" i="8"/>
  <c r="J975" i="7"/>
  <c r="AI930" i="7"/>
  <c r="AI895" i="7"/>
  <c r="AI829" i="7"/>
  <c r="I806" i="9"/>
  <c r="F450" i="9"/>
  <c r="F409" i="9"/>
  <c r="F408" i="9" s="1"/>
  <c r="F407" i="9" s="1"/>
  <c r="F406" i="9" s="1"/>
  <c r="F405" i="9" s="1"/>
  <c r="F404" i="9" s="1"/>
  <c r="I449" i="9"/>
  <c r="F402" i="9"/>
  <c r="AM905" i="8"/>
  <c r="N950" i="8"/>
  <c r="AM870" i="8"/>
  <c r="AW834" i="8"/>
  <c r="J882" i="6"/>
  <c r="J910" i="6"/>
  <c r="J911" i="6"/>
  <c r="J883" i="6"/>
  <c r="D838" i="7"/>
  <c r="H133" i="7"/>
  <c r="H64" i="7"/>
  <c r="J891" i="7"/>
  <c r="J863" i="7"/>
  <c r="J869" i="7"/>
  <c r="J897" i="7"/>
  <c r="J836" i="10"/>
  <c r="J860" i="10"/>
  <c r="J828" i="5"/>
  <c r="J852" i="5"/>
  <c r="I845" i="5"/>
  <c r="I821" i="5"/>
  <c r="I767" i="5"/>
  <c r="M419" i="5"/>
  <c r="J381" i="5"/>
  <c r="J380" i="5" s="1"/>
  <c r="J379" i="5" s="1"/>
  <c r="J378" i="5" s="1"/>
  <c r="J377" i="5" s="1"/>
  <c r="J376" i="5" s="1"/>
  <c r="J420" i="5"/>
  <c r="J374" i="5"/>
  <c r="J847" i="5"/>
  <c r="J823" i="5"/>
  <c r="I843" i="5"/>
  <c r="I819" i="5"/>
  <c r="H768" i="5"/>
  <c r="K375" i="5"/>
  <c r="K250" i="5"/>
  <c r="E762" i="5"/>
  <c r="C251" i="5"/>
  <c r="C252" i="5"/>
  <c r="C129" i="5"/>
  <c r="I765" i="5"/>
  <c r="G381" i="5"/>
  <c r="G380" i="5" s="1"/>
  <c r="G379" i="5" s="1"/>
  <c r="G378" i="5" s="1"/>
  <c r="G377" i="5" s="1"/>
  <c r="G376" i="5" s="1"/>
  <c r="G420" i="5"/>
  <c r="G374" i="5"/>
  <c r="I848" i="5"/>
  <c r="I824" i="5"/>
  <c r="J764" i="5"/>
  <c r="I460" i="5"/>
  <c r="R460" i="5" s="1"/>
  <c r="F461" i="5"/>
  <c r="F419" i="5"/>
  <c r="I770" i="5"/>
  <c r="N381" i="5"/>
  <c r="N380" i="5" s="1"/>
  <c r="N379" i="5" s="1"/>
  <c r="N378" i="5" s="1"/>
  <c r="N377" i="5" s="1"/>
  <c r="N376" i="5" s="1"/>
  <c r="N420" i="5"/>
  <c r="Q419" i="5"/>
  <c r="N374" i="5"/>
  <c r="I771" i="5"/>
  <c r="O420" i="5"/>
  <c r="O381" i="5"/>
  <c r="O380" i="5" s="1"/>
  <c r="O379" i="5" s="1"/>
  <c r="O378" i="5" s="1"/>
  <c r="O377" i="5" s="1"/>
  <c r="O376" i="5" s="1"/>
  <c r="O374" i="5"/>
  <c r="Q900" i="5"/>
  <c r="L856" i="5"/>
  <c r="H844" i="5"/>
  <c r="G787" i="5" s="1"/>
  <c r="H820" i="5"/>
  <c r="K846" i="5"/>
  <c r="K856" i="5" s="1"/>
  <c r="K822" i="5"/>
  <c r="K774" i="5"/>
  <c r="J849" i="5"/>
  <c r="J825" i="5"/>
  <c r="H766" i="5"/>
  <c r="H375" i="5"/>
  <c r="H250" i="5"/>
  <c r="H763" i="5"/>
  <c r="D375" i="5"/>
  <c r="D250" i="5"/>
  <c r="J829" i="5"/>
  <c r="J853" i="5"/>
  <c r="I850" i="5"/>
  <c r="I826" i="5"/>
  <c r="H772" i="5"/>
  <c r="P375" i="5"/>
  <c r="P250" i="5"/>
  <c r="H761" i="5"/>
  <c r="B375" i="5"/>
  <c r="E374" i="5"/>
  <c r="B250" i="5"/>
  <c r="I769" i="5"/>
  <c r="L381" i="5"/>
  <c r="L380" i="5" s="1"/>
  <c r="L379" i="5" s="1"/>
  <c r="L378" i="5" s="1"/>
  <c r="L377" i="5" s="1"/>
  <c r="L376" i="5" s="1"/>
  <c r="L420" i="5"/>
  <c r="L374" i="5"/>
  <c r="I854" i="5"/>
  <c r="I830" i="5"/>
  <c r="J827" i="5"/>
  <c r="J851" i="5"/>
  <c r="Q405" i="4"/>
  <c r="H746" i="4"/>
  <c r="K365" i="4"/>
  <c r="K245" i="4"/>
  <c r="K824" i="4"/>
  <c r="K800" i="4"/>
  <c r="I829" i="4"/>
  <c r="I805" i="4"/>
  <c r="J801" i="4"/>
  <c r="J825" i="4"/>
  <c r="H747" i="4"/>
  <c r="L365" i="4"/>
  <c r="L245" i="4"/>
  <c r="J831" i="4"/>
  <c r="J807" i="4"/>
  <c r="I743" i="4"/>
  <c r="G406" i="4"/>
  <c r="G364" i="4"/>
  <c r="H741" i="4"/>
  <c r="D365" i="4"/>
  <c r="D245" i="4"/>
  <c r="J739" i="4"/>
  <c r="B447" i="4"/>
  <c r="E446" i="4"/>
  <c r="B405" i="4"/>
  <c r="I823" i="4"/>
  <c r="I799" i="4"/>
  <c r="J745" i="4"/>
  <c r="J447" i="4"/>
  <c r="M446" i="4"/>
  <c r="J405" i="4"/>
  <c r="E740" i="4"/>
  <c r="C247" i="4"/>
  <c r="C246" i="4"/>
  <c r="C128" i="4"/>
  <c r="J750" i="4"/>
  <c r="P447" i="4"/>
  <c r="P405" i="4"/>
  <c r="Q446" i="4"/>
  <c r="I744" i="4"/>
  <c r="H406" i="4"/>
  <c r="H364" i="4"/>
  <c r="J826" i="4"/>
  <c r="J802" i="4"/>
  <c r="K821" i="4"/>
  <c r="K752" i="4"/>
  <c r="K797" i="4"/>
  <c r="I830" i="4"/>
  <c r="I806" i="4"/>
  <c r="L834" i="4"/>
  <c r="Q875" i="4"/>
  <c r="I828" i="4"/>
  <c r="I804" i="4"/>
  <c r="R495" i="4"/>
  <c r="I749" i="4"/>
  <c r="O406" i="4"/>
  <c r="O364" i="4"/>
  <c r="H822" i="4"/>
  <c r="G765" i="4" s="1"/>
  <c r="H798" i="4"/>
  <c r="J742" i="4"/>
  <c r="I446" i="4"/>
  <c r="F447" i="4"/>
  <c r="F405" i="4"/>
  <c r="K808" i="4"/>
  <c r="K832" i="4"/>
  <c r="K827" i="4"/>
  <c r="K803" i="4"/>
  <c r="H748" i="4"/>
  <c r="N365" i="4"/>
  <c r="N245" i="4"/>
  <c r="J810" i="3"/>
  <c r="J834" i="3"/>
  <c r="J828" i="3"/>
  <c r="J804" i="3"/>
  <c r="J747" i="3"/>
  <c r="M443" i="3"/>
  <c r="J444" i="3"/>
  <c r="J399" i="3"/>
  <c r="J801" i="3"/>
  <c r="J825" i="3"/>
  <c r="K826" i="3"/>
  <c r="K802" i="3"/>
  <c r="I830" i="3"/>
  <c r="I806" i="3"/>
  <c r="I743" i="3"/>
  <c r="D400" i="3"/>
  <c r="D359" i="3"/>
  <c r="L836" i="3"/>
  <c r="Q877" i="3"/>
  <c r="H832" i="3"/>
  <c r="G775" i="3" s="1"/>
  <c r="H808" i="3"/>
  <c r="J741" i="3"/>
  <c r="E443" i="3"/>
  <c r="B444" i="3"/>
  <c r="B399" i="3"/>
  <c r="D749" i="3"/>
  <c r="L133" i="3"/>
  <c r="L66" i="3"/>
  <c r="I745" i="3"/>
  <c r="G400" i="3"/>
  <c r="G359" i="3"/>
  <c r="H751" i="3"/>
  <c r="O360" i="3"/>
  <c r="O246" i="3"/>
  <c r="R494" i="3"/>
  <c r="H748" i="3"/>
  <c r="K360" i="3"/>
  <c r="K246" i="3"/>
  <c r="K829" i="3"/>
  <c r="K805" i="3"/>
  <c r="E742" i="3"/>
  <c r="C248" i="3"/>
  <c r="C247" i="3"/>
  <c r="C132" i="3"/>
  <c r="J827" i="3"/>
  <c r="J803" i="3"/>
  <c r="I809" i="3"/>
  <c r="I833" i="3"/>
  <c r="K823" i="3"/>
  <c r="K754" i="3"/>
  <c r="K799" i="3"/>
  <c r="E831" i="3"/>
  <c r="P859" i="3"/>
  <c r="E807" i="3"/>
  <c r="I752" i="3"/>
  <c r="P400" i="3"/>
  <c r="P359" i="3"/>
  <c r="Q399" i="3"/>
  <c r="E750" i="3"/>
  <c r="N248" i="3"/>
  <c r="N132" i="3"/>
  <c r="N247" i="3"/>
  <c r="I746" i="3"/>
  <c r="H400" i="3"/>
  <c r="H359" i="3"/>
  <c r="J744" i="3"/>
  <c r="F444" i="3"/>
  <c r="I443" i="3"/>
  <c r="F399" i="3"/>
  <c r="H824" i="3"/>
  <c r="G767" i="3" s="1"/>
  <c r="H800" i="3"/>
  <c r="K846" i="2"/>
  <c r="K822" i="2"/>
  <c r="J844" i="2"/>
  <c r="J820" i="2"/>
  <c r="D769" i="2"/>
  <c r="P134" i="2"/>
  <c r="P67" i="2"/>
  <c r="I759" i="2"/>
  <c r="C423" i="2"/>
  <c r="C384" i="2"/>
  <c r="C383" i="2" s="1"/>
  <c r="C382" i="2" s="1"/>
  <c r="C381" i="2" s="1"/>
  <c r="C380" i="2" s="1"/>
  <c r="C379" i="2" s="1"/>
  <c r="C377" i="2"/>
  <c r="Q907" i="2"/>
  <c r="J848" i="2"/>
  <c r="J824" i="2"/>
  <c r="H758" i="2"/>
  <c r="B378" i="2"/>
  <c r="B256" i="2"/>
  <c r="S878" i="2"/>
  <c r="I768" i="2"/>
  <c r="O423" i="2"/>
  <c r="O384" i="2"/>
  <c r="O383" i="2" s="1"/>
  <c r="O382" i="2" s="1"/>
  <c r="O381" i="2" s="1"/>
  <c r="O380" i="2" s="1"/>
  <c r="O379" i="2" s="1"/>
  <c r="O377" i="2"/>
  <c r="J841" i="2"/>
  <c r="J817" i="2"/>
  <c r="J761" i="2"/>
  <c r="I463" i="2"/>
  <c r="R463" i="2" s="1"/>
  <c r="F464" i="2"/>
  <c r="F422" i="2"/>
  <c r="J767" i="2"/>
  <c r="Q463" i="2"/>
  <c r="N464" i="2"/>
  <c r="N422" i="2"/>
  <c r="E827" i="2"/>
  <c r="E851" i="2"/>
  <c r="P879" i="2"/>
  <c r="J850" i="2"/>
  <c r="J826" i="2"/>
  <c r="L853" i="2"/>
  <c r="E422" i="2"/>
  <c r="I760" i="2"/>
  <c r="D423" i="2"/>
  <c r="D384" i="2"/>
  <c r="D383" i="2" s="1"/>
  <c r="D382" i="2" s="1"/>
  <c r="D381" i="2" s="1"/>
  <c r="D380" i="2" s="1"/>
  <c r="D379" i="2" s="1"/>
  <c r="D377" i="2"/>
  <c r="I765" i="2"/>
  <c r="K423" i="2"/>
  <c r="K384" i="2"/>
  <c r="K383" i="2" s="1"/>
  <c r="K382" i="2" s="1"/>
  <c r="K381" i="2" s="1"/>
  <c r="K380" i="2" s="1"/>
  <c r="K379" i="2" s="1"/>
  <c r="K377" i="2"/>
  <c r="D763" i="2"/>
  <c r="H134" i="2"/>
  <c r="H67" i="2"/>
  <c r="J764" i="2"/>
  <c r="J464" i="2"/>
  <c r="M463" i="2"/>
  <c r="J422" i="2"/>
  <c r="E845" i="2"/>
  <c r="P873" i="2"/>
  <c r="E821" i="2"/>
  <c r="I840" i="2"/>
  <c r="I816" i="2"/>
  <c r="K843" i="2"/>
  <c r="K853" i="2" s="1"/>
  <c r="K819" i="2"/>
  <c r="K771" i="2"/>
  <c r="K849" i="2"/>
  <c r="K825" i="2"/>
  <c r="I762" i="2"/>
  <c r="G384" i="2"/>
  <c r="G383" i="2" s="1"/>
  <c r="G382" i="2" s="1"/>
  <c r="G381" i="2" s="1"/>
  <c r="G380" i="2" s="1"/>
  <c r="G379" i="2" s="1"/>
  <c r="G423" i="2"/>
  <c r="G377" i="2"/>
  <c r="J842" i="2"/>
  <c r="J818" i="2"/>
  <c r="I766" i="2"/>
  <c r="L384" i="2"/>
  <c r="L383" i="2" s="1"/>
  <c r="L382" i="2" s="1"/>
  <c r="L381" i="2" s="1"/>
  <c r="L380" i="2" s="1"/>
  <c r="L379" i="2" s="1"/>
  <c r="L423" i="2"/>
  <c r="L377" i="2"/>
  <c r="J847" i="2"/>
  <c r="J823" i="2"/>
  <c r="AW867" i="7" l="1"/>
  <c r="AW846" i="9"/>
  <c r="AL1115" i="14"/>
  <c r="AM1084" i="13"/>
  <c r="AL971" i="8"/>
  <c r="AJ994" i="7"/>
  <c r="AM1012" i="6"/>
  <c r="AI1046" i="11"/>
  <c r="H933" i="13"/>
  <c r="O493" i="13"/>
  <c r="O318" i="13"/>
  <c r="H921" i="12"/>
  <c r="O486" i="12"/>
  <c r="O315" i="12"/>
  <c r="M1054" i="12"/>
  <c r="AL1009" i="12"/>
  <c r="AL974" i="12"/>
  <c r="I953" i="15"/>
  <c r="E570" i="15"/>
  <c r="B571" i="15"/>
  <c r="B526" i="15"/>
  <c r="B525" i="15" s="1"/>
  <c r="B524" i="15" s="1"/>
  <c r="B523" i="15" s="1"/>
  <c r="B522" i="15" s="1"/>
  <c r="B521" i="15" s="1"/>
  <c r="B519" i="15"/>
  <c r="K1050" i="12"/>
  <c r="AJ1005" i="12"/>
  <c r="AJ970" i="12"/>
  <c r="J987" i="15"/>
  <c r="J1015" i="15"/>
  <c r="K1100" i="14"/>
  <c r="AJ1020" i="14"/>
  <c r="AJ1055" i="14"/>
  <c r="AJ979" i="11"/>
  <c r="K1024" i="11"/>
  <c r="AJ944" i="11"/>
  <c r="D1012" i="15"/>
  <c r="D984" i="15"/>
  <c r="M1094" i="14"/>
  <c r="AL1049" i="14"/>
  <c r="AL1014" i="14"/>
  <c r="AL1006" i="12"/>
  <c r="AL971" i="12"/>
  <c r="M1051" i="12"/>
  <c r="N1097" i="14"/>
  <c r="AM1017" i="14"/>
  <c r="AM1024" i="14" s="1"/>
  <c r="AW981" i="14"/>
  <c r="AW988" i="14" s="1"/>
  <c r="AM1052" i="14"/>
  <c r="AM1059" i="14" s="1"/>
  <c r="L1024" i="14"/>
  <c r="J988" i="15"/>
  <c r="J1016" i="15"/>
  <c r="L1091" i="14"/>
  <c r="AK1046" i="14"/>
  <c r="AK1011" i="14"/>
  <c r="H311" i="11"/>
  <c r="E890" i="11"/>
  <c r="H310" i="11"/>
  <c r="H131" i="11"/>
  <c r="H915" i="12"/>
  <c r="G486" i="12"/>
  <c r="G315" i="12"/>
  <c r="E912" i="12"/>
  <c r="C316" i="12"/>
  <c r="C317" i="12"/>
  <c r="C133" i="12"/>
  <c r="H944" i="11"/>
  <c r="H916" i="11"/>
  <c r="I1022" i="14"/>
  <c r="I994" i="14"/>
  <c r="I914" i="12"/>
  <c r="F536" i="12"/>
  <c r="F492" i="12"/>
  <c r="F491" i="12" s="1"/>
  <c r="F490" i="12" s="1"/>
  <c r="F489" i="12" s="1"/>
  <c r="F488" i="12" s="1"/>
  <c r="F487" i="12" s="1"/>
  <c r="I535" i="12"/>
  <c r="F485" i="12"/>
  <c r="AM990" i="11"/>
  <c r="K1096" i="14"/>
  <c r="AJ1051" i="14"/>
  <c r="AJ1016" i="14"/>
  <c r="E922" i="12"/>
  <c r="P317" i="12"/>
  <c r="P316" i="12"/>
  <c r="P133" i="12"/>
  <c r="H992" i="14"/>
  <c r="H1020" i="14"/>
  <c r="D954" i="13"/>
  <c r="D982" i="13"/>
  <c r="AQ951" i="13"/>
  <c r="B886" i="11"/>
  <c r="C30" i="11"/>
  <c r="C19" i="11"/>
  <c r="I983" i="14"/>
  <c r="I1011" i="14"/>
  <c r="I983" i="13"/>
  <c r="I955" i="13"/>
  <c r="AI981" i="11"/>
  <c r="J1026" i="11"/>
  <c r="Z1026" i="11" s="1"/>
  <c r="AI946" i="11"/>
  <c r="AI880" i="11"/>
  <c r="AG952" i="11"/>
  <c r="G1032" i="11"/>
  <c r="AG987" i="11"/>
  <c r="L1069" i="13"/>
  <c r="AK989" i="13"/>
  <c r="AK1024" i="13"/>
  <c r="AJ982" i="11"/>
  <c r="AJ947" i="11"/>
  <c r="K1027" i="11"/>
  <c r="D958" i="14"/>
  <c r="G141" i="14"/>
  <c r="G64" i="14"/>
  <c r="I981" i="13"/>
  <c r="I953" i="13"/>
  <c r="M1066" i="13"/>
  <c r="AL1021" i="13"/>
  <c r="AL1028" i="13" s="1"/>
  <c r="AL986" i="13"/>
  <c r="AL993" i="13" s="1"/>
  <c r="K993" i="13"/>
  <c r="AL1083" i="13"/>
  <c r="AL1063" i="13"/>
  <c r="AL1061" i="13"/>
  <c r="AL1081" i="13"/>
  <c r="AL1076" i="13"/>
  <c r="AL1074" i="13"/>
  <c r="AL1072" i="13"/>
  <c r="AL1070" i="13"/>
  <c r="AL1068" i="13"/>
  <c r="AL1079" i="13"/>
  <c r="AL1066" i="13"/>
  <c r="AL1077" i="13"/>
  <c r="AL1082" i="13"/>
  <c r="AL1075" i="13"/>
  <c r="AL1073" i="13"/>
  <c r="AL1071" i="13"/>
  <c r="AL1069" i="13"/>
  <c r="AL1067" i="13"/>
  <c r="AL1080" i="13"/>
  <c r="AL1078" i="13"/>
  <c r="AL1064" i="13"/>
  <c r="AL1065" i="13"/>
  <c r="AL1062" i="13"/>
  <c r="AL1060" i="13"/>
  <c r="J478" i="11"/>
  <c r="J477" i="11" s="1"/>
  <c r="J476" i="11" s="1"/>
  <c r="J475" i="11" s="1"/>
  <c r="J474" i="11" s="1"/>
  <c r="J473" i="11" s="1"/>
  <c r="J520" i="11"/>
  <c r="M519" i="11"/>
  <c r="I891" i="11"/>
  <c r="J471" i="11"/>
  <c r="I957" i="14"/>
  <c r="I573" i="14"/>
  <c r="F529" i="14"/>
  <c r="F528" i="14" s="1"/>
  <c r="F527" i="14" s="1"/>
  <c r="F526" i="14" s="1"/>
  <c r="F525" i="14" s="1"/>
  <c r="F524" i="14" s="1"/>
  <c r="F574" i="14"/>
  <c r="F522" i="14"/>
  <c r="H962" i="14"/>
  <c r="L523" i="14"/>
  <c r="L330" i="14"/>
  <c r="I989" i="13"/>
  <c r="I961" i="13"/>
  <c r="I920" i="12"/>
  <c r="N536" i="12"/>
  <c r="Q535" i="12"/>
  <c r="N492" i="12"/>
  <c r="N491" i="12" s="1"/>
  <c r="N490" i="12" s="1"/>
  <c r="N489" i="12" s="1"/>
  <c r="N488" i="12" s="1"/>
  <c r="N487" i="12" s="1"/>
  <c r="N485" i="12"/>
  <c r="H1018" i="14"/>
  <c r="H990" i="14"/>
  <c r="AJ976" i="12"/>
  <c r="K1056" i="12"/>
  <c r="AJ1011" i="12"/>
  <c r="K1101" i="14"/>
  <c r="AJ1056" i="14"/>
  <c r="AJ1021" i="14"/>
  <c r="M542" i="13"/>
  <c r="J499" i="13"/>
  <c r="J498" i="13" s="1"/>
  <c r="J497" i="13" s="1"/>
  <c r="J496" i="13" s="1"/>
  <c r="J495" i="13" s="1"/>
  <c r="J494" i="13" s="1"/>
  <c r="I929" i="13"/>
  <c r="J543" i="13"/>
  <c r="J492" i="13"/>
  <c r="J1068" i="13"/>
  <c r="Z1068" i="13" s="1"/>
  <c r="AI988" i="13"/>
  <c r="AI1023" i="13"/>
  <c r="E893" i="11"/>
  <c r="L310" i="11"/>
  <c r="L311" i="11"/>
  <c r="L131" i="11"/>
  <c r="R542" i="13"/>
  <c r="D956" i="14"/>
  <c r="D141" i="14"/>
  <c r="D64" i="14"/>
  <c r="AL986" i="11"/>
  <c r="M1031" i="11"/>
  <c r="AL951" i="11"/>
  <c r="AK1110" i="14"/>
  <c r="AK1111" i="14"/>
  <c r="AK1103" i="14"/>
  <c r="AK1101" i="14"/>
  <c r="AK1099" i="14"/>
  <c r="AK1114" i="14"/>
  <c r="AK1097" i="14"/>
  <c r="AK1112" i="14"/>
  <c r="AK1095" i="14"/>
  <c r="AK1102" i="14"/>
  <c r="AK1100" i="14"/>
  <c r="AK1098" i="14"/>
  <c r="AK1113" i="14"/>
  <c r="AK1108" i="14"/>
  <c r="AK1106" i="14"/>
  <c r="AK1105" i="14"/>
  <c r="AK1109" i="14"/>
  <c r="AK1107" i="14"/>
  <c r="AK1096" i="14"/>
  <c r="AK1094" i="14"/>
  <c r="AK1091" i="14"/>
  <c r="AK1104" i="14"/>
  <c r="AK1092" i="14"/>
  <c r="AK1093" i="14"/>
  <c r="K1098" i="14"/>
  <c r="AJ1018" i="14"/>
  <c r="AJ1053" i="14"/>
  <c r="I1014" i="15"/>
  <c r="I986" i="15"/>
  <c r="K1053" i="12"/>
  <c r="AJ1008" i="12"/>
  <c r="AJ973" i="12"/>
  <c r="G1067" i="13"/>
  <c r="AG1022" i="13"/>
  <c r="AG987" i="13"/>
  <c r="H919" i="11"/>
  <c r="H947" i="11"/>
  <c r="I956" i="15"/>
  <c r="I570" i="15"/>
  <c r="F526" i="15"/>
  <c r="F525" i="15" s="1"/>
  <c r="F524" i="15" s="1"/>
  <c r="F523" i="15" s="1"/>
  <c r="F522" i="15" s="1"/>
  <c r="F521" i="15" s="1"/>
  <c r="F571" i="15"/>
  <c r="F519" i="15"/>
  <c r="H954" i="15"/>
  <c r="C520" i="15"/>
  <c r="C325" i="15"/>
  <c r="P310" i="11"/>
  <c r="E896" i="11"/>
  <c r="P311" i="11"/>
  <c r="P131" i="11"/>
  <c r="J945" i="11"/>
  <c r="J917" i="11"/>
  <c r="H969" i="12"/>
  <c r="H941" i="12"/>
  <c r="J948" i="11"/>
  <c r="J920" i="11"/>
  <c r="J1014" i="14"/>
  <c r="J986" i="14"/>
  <c r="L1070" i="13"/>
  <c r="AK1025" i="13"/>
  <c r="AK990" i="13"/>
  <c r="AK1026" i="13"/>
  <c r="L1071" i="13"/>
  <c r="AK991" i="13"/>
  <c r="H951" i="12"/>
  <c r="H979" i="12"/>
  <c r="C915" i="11"/>
  <c r="AP912" i="11"/>
  <c r="C943" i="11"/>
  <c r="H934" i="13"/>
  <c r="P493" i="13"/>
  <c r="P318" i="13"/>
  <c r="E964" i="15"/>
  <c r="P327" i="15"/>
  <c r="P326" i="15"/>
  <c r="P135" i="15"/>
  <c r="AK1068" i="12"/>
  <c r="AK1066" i="12"/>
  <c r="AK1053" i="12"/>
  <c r="AK1051" i="12"/>
  <c r="AK1049" i="12"/>
  <c r="AK1067" i="12"/>
  <c r="AK1054" i="12"/>
  <c r="AK1065" i="12"/>
  <c r="AK1050" i="12"/>
  <c r="AK1052" i="12"/>
  <c r="AK1060" i="12"/>
  <c r="AK1059" i="12"/>
  <c r="AK1058" i="12"/>
  <c r="AK1048" i="12"/>
  <c r="AK1062" i="12"/>
  <c r="AK1061" i="12"/>
  <c r="AK1069" i="12"/>
  <c r="AK1064" i="12"/>
  <c r="AK1063" i="12"/>
  <c r="AK1057" i="12"/>
  <c r="AK1056" i="12"/>
  <c r="AK1070" i="12"/>
  <c r="AK1071" i="12"/>
  <c r="AK1055" i="12"/>
  <c r="E959" i="14"/>
  <c r="H331" i="14"/>
  <c r="H332" i="14"/>
  <c r="H140" i="14"/>
  <c r="H960" i="15"/>
  <c r="K520" i="15"/>
  <c r="K325" i="15"/>
  <c r="R615" i="15"/>
  <c r="E919" i="12"/>
  <c r="L316" i="12"/>
  <c r="L317" i="12"/>
  <c r="L133" i="12"/>
  <c r="J1095" i="14"/>
  <c r="Z1095" i="14" s="1"/>
  <c r="AI1015" i="14"/>
  <c r="AI1050" i="14"/>
  <c r="AI949" i="14"/>
  <c r="K1049" i="12"/>
  <c r="AJ969" i="12"/>
  <c r="AJ1004" i="12"/>
  <c r="G1062" i="13"/>
  <c r="AG982" i="13"/>
  <c r="AG1017" i="13"/>
  <c r="B520" i="11"/>
  <c r="I885" i="11"/>
  <c r="B478" i="11"/>
  <c r="B477" i="11" s="1"/>
  <c r="B476" i="11" s="1"/>
  <c r="B475" i="11" s="1"/>
  <c r="B474" i="11" s="1"/>
  <c r="B473" i="11" s="1"/>
  <c r="E519" i="11"/>
  <c r="B471" i="11"/>
  <c r="E913" i="12"/>
  <c r="D316" i="12"/>
  <c r="D317" i="12"/>
  <c r="D133" i="12"/>
  <c r="E923" i="13"/>
  <c r="B319" i="13"/>
  <c r="B320" i="13"/>
  <c r="B133" i="13"/>
  <c r="I972" i="12"/>
  <c r="I944" i="12"/>
  <c r="L1063" i="13"/>
  <c r="AK1018" i="13"/>
  <c r="AK983" i="13"/>
  <c r="C918" i="12"/>
  <c r="K65" i="12"/>
  <c r="K29" i="12"/>
  <c r="J971" i="12"/>
  <c r="J943" i="12"/>
  <c r="J960" i="14"/>
  <c r="J619" i="14"/>
  <c r="M618" i="14"/>
  <c r="R618" i="14" s="1"/>
  <c r="J573" i="14"/>
  <c r="H963" i="15"/>
  <c r="O520" i="15"/>
  <c r="O325" i="15"/>
  <c r="E916" i="12"/>
  <c r="H317" i="12"/>
  <c r="H316" i="12"/>
  <c r="H133" i="12"/>
  <c r="AI1054" i="11"/>
  <c r="AI1053" i="11"/>
  <c r="AW945" i="12"/>
  <c r="J958" i="13"/>
  <c r="J986" i="13"/>
  <c r="AG1039" i="11"/>
  <c r="AG1026" i="11"/>
  <c r="AG1024" i="11"/>
  <c r="AG1022" i="11"/>
  <c r="AG1044" i="11"/>
  <c r="AG1037" i="11"/>
  <c r="AG1035" i="11"/>
  <c r="AG1033" i="11"/>
  <c r="AG1031" i="11"/>
  <c r="AG1029" i="11"/>
  <c r="AG1042" i="11"/>
  <c r="AG1040" i="11"/>
  <c r="AG1027" i="11"/>
  <c r="AG1025" i="11"/>
  <c r="AG1023" i="11"/>
  <c r="AG1045" i="11"/>
  <c r="AG1043" i="11"/>
  <c r="AG1038" i="11"/>
  <c r="AG1036" i="11"/>
  <c r="AG1034" i="11"/>
  <c r="AG1032" i="11"/>
  <c r="AG1030" i="11"/>
  <c r="AG1028" i="11"/>
  <c r="AG1041" i="11"/>
  <c r="AK984" i="11"/>
  <c r="L1029" i="11"/>
  <c r="AK949" i="11"/>
  <c r="E918" i="11"/>
  <c r="AR915" i="11"/>
  <c r="E946" i="11"/>
  <c r="I962" i="13"/>
  <c r="I990" i="13"/>
  <c r="I963" i="13"/>
  <c r="I991" i="13"/>
  <c r="H922" i="11"/>
  <c r="H950" i="11"/>
  <c r="I978" i="12"/>
  <c r="I950" i="12"/>
  <c r="I962" i="15"/>
  <c r="Q570" i="15"/>
  <c r="N526" i="15"/>
  <c r="N525" i="15" s="1"/>
  <c r="N524" i="15" s="1"/>
  <c r="N523" i="15" s="1"/>
  <c r="N522" i="15" s="1"/>
  <c r="N521" i="15" s="1"/>
  <c r="N571" i="15"/>
  <c r="N519" i="15"/>
  <c r="H988" i="14"/>
  <c r="H1016" i="14"/>
  <c r="AJ988" i="11"/>
  <c r="K1033" i="11"/>
  <c r="AJ953" i="11"/>
  <c r="J982" i="15"/>
  <c r="J1010" i="15"/>
  <c r="J966" i="15"/>
  <c r="AL968" i="12"/>
  <c r="AL1003" i="12"/>
  <c r="AL1016" i="12" s="1"/>
  <c r="M1048" i="12"/>
  <c r="K981" i="12"/>
  <c r="L1061" i="13"/>
  <c r="AK1016" i="13"/>
  <c r="AK981" i="13"/>
  <c r="C895" i="11"/>
  <c r="O65" i="11"/>
  <c r="O29" i="11"/>
  <c r="AG1010" i="12"/>
  <c r="G1055" i="12"/>
  <c r="AG975" i="12"/>
  <c r="M1028" i="11"/>
  <c r="AL983" i="11"/>
  <c r="AL948" i="11"/>
  <c r="J914" i="11"/>
  <c r="J942" i="11"/>
  <c r="J898" i="11"/>
  <c r="E1015" i="14"/>
  <c r="E987" i="14"/>
  <c r="AR984" i="14"/>
  <c r="Q519" i="11"/>
  <c r="I894" i="11"/>
  <c r="N520" i="11"/>
  <c r="N478" i="11"/>
  <c r="N477" i="11" s="1"/>
  <c r="N476" i="11" s="1"/>
  <c r="N475" i="11" s="1"/>
  <c r="N474" i="11" s="1"/>
  <c r="N473" i="11" s="1"/>
  <c r="N471" i="11"/>
  <c r="AL980" i="11"/>
  <c r="AL945" i="11"/>
  <c r="M1025" i="11"/>
  <c r="I917" i="12"/>
  <c r="J492" i="12"/>
  <c r="J491" i="12" s="1"/>
  <c r="J490" i="12" s="1"/>
  <c r="J489" i="12" s="1"/>
  <c r="J488" i="12" s="1"/>
  <c r="J487" i="12" s="1"/>
  <c r="M535" i="12"/>
  <c r="J536" i="12"/>
  <c r="J485" i="12"/>
  <c r="H925" i="11"/>
  <c r="H953" i="11"/>
  <c r="C930" i="13"/>
  <c r="K65" i="13"/>
  <c r="K29" i="13"/>
  <c r="I911" i="12"/>
  <c r="B492" i="12"/>
  <c r="B491" i="12" s="1"/>
  <c r="B490" i="12" s="1"/>
  <c r="B489" i="12" s="1"/>
  <c r="B488" i="12" s="1"/>
  <c r="B487" i="12" s="1"/>
  <c r="E535" i="12"/>
  <c r="R535" i="12" s="1"/>
  <c r="B536" i="12"/>
  <c r="B485" i="12"/>
  <c r="I1019" i="14"/>
  <c r="I991" i="14"/>
  <c r="K1030" i="11"/>
  <c r="AJ985" i="11"/>
  <c r="AJ950" i="11"/>
  <c r="J977" i="12"/>
  <c r="J949" i="12"/>
  <c r="K1023" i="15"/>
  <c r="E522" i="14"/>
  <c r="B523" i="14"/>
  <c r="H954" i="14"/>
  <c r="B330" i="14"/>
  <c r="H961" i="15"/>
  <c r="L520" i="15"/>
  <c r="L325" i="15"/>
  <c r="AM1016" i="12"/>
  <c r="H993" i="15"/>
  <c r="H1021" i="15"/>
  <c r="M1022" i="11"/>
  <c r="AL977" i="11"/>
  <c r="AL990" i="11" s="1"/>
  <c r="K955" i="11"/>
  <c r="AL942" i="11"/>
  <c r="E985" i="14"/>
  <c r="AR982" i="14"/>
  <c r="E1013" i="14"/>
  <c r="H493" i="13"/>
  <c r="H928" i="13"/>
  <c r="H318" i="13"/>
  <c r="G493" i="13"/>
  <c r="H927" i="13"/>
  <c r="G318" i="13"/>
  <c r="H948" i="12"/>
  <c r="H976" i="12"/>
  <c r="E964" i="14"/>
  <c r="O332" i="14"/>
  <c r="O331" i="14"/>
  <c r="O140" i="14"/>
  <c r="AI1095" i="13"/>
  <c r="AI1094" i="13"/>
  <c r="H942" i="12"/>
  <c r="H970" i="12"/>
  <c r="I959" i="15"/>
  <c r="J571" i="15"/>
  <c r="M570" i="15"/>
  <c r="J526" i="15"/>
  <c r="J525" i="15" s="1"/>
  <c r="J524" i="15" s="1"/>
  <c r="J523" i="15" s="1"/>
  <c r="J522" i="15" s="1"/>
  <c r="J521" i="15" s="1"/>
  <c r="J519" i="15"/>
  <c r="E955" i="14"/>
  <c r="C332" i="14"/>
  <c r="C331" i="14"/>
  <c r="C140" i="14"/>
  <c r="J985" i="15"/>
  <c r="J1013" i="15"/>
  <c r="I983" i="15"/>
  <c r="I1011" i="15"/>
  <c r="H952" i="13"/>
  <c r="H980" i="13"/>
  <c r="H965" i="14"/>
  <c r="P523" i="14"/>
  <c r="P330" i="14"/>
  <c r="Q330" i="14" s="1"/>
  <c r="D975" i="12"/>
  <c r="AQ944" i="12"/>
  <c r="D947" i="12"/>
  <c r="AF978" i="11"/>
  <c r="F1023" i="11"/>
  <c r="AF943" i="11"/>
  <c r="AK1054" i="14"/>
  <c r="L1099" i="14"/>
  <c r="AK1019" i="14"/>
  <c r="Q492" i="13"/>
  <c r="H932" i="13"/>
  <c r="N493" i="13"/>
  <c r="N318" i="13"/>
  <c r="E963" i="14"/>
  <c r="N332" i="14"/>
  <c r="N331" i="14"/>
  <c r="N140" i="14"/>
  <c r="L1058" i="12"/>
  <c r="AK1013" i="12"/>
  <c r="AK978" i="12"/>
  <c r="H973" i="12"/>
  <c r="H945" i="12"/>
  <c r="AI1080" i="11"/>
  <c r="AI1081" i="11"/>
  <c r="I989" i="15"/>
  <c r="I1017" i="15"/>
  <c r="I958" i="15"/>
  <c r="H571" i="15"/>
  <c r="H526" i="15"/>
  <c r="H525" i="15" s="1"/>
  <c r="H524" i="15" s="1"/>
  <c r="H523" i="15" s="1"/>
  <c r="H522" i="15" s="1"/>
  <c r="H521" i="15" s="1"/>
  <c r="H519" i="15"/>
  <c r="C955" i="15"/>
  <c r="D65" i="15"/>
  <c r="D29" i="15"/>
  <c r="D924" i="11"/>
  <c r="D952" i="11"/>
  <c r="AQ921" i="11"/>
  <c r="K472" i="11"/>
  <c r="H892" i="11"/>
  <c r="K309" i="11"/>
  <c r="I936" i="13"/>
  <c r="AK1007" i="12"/>
  <c r="AK972" i="12"/>
  <c r="L1052" i="12"/>
  <c r="AJ1014" i="12"/>
  <c r="AJ979" i="12"/>
  <c r="K1059" i="12"/>
  <c r="AK1057" i="14"/>
  <c r="L1102" i="14"/>
  <c r="AK1022" i="14"/>
  <c r="R563" i="11"/>
  <c r="J951" i="11"/>
  <c r="J923" i="11"/>
  <c r="H924" i="13"/>
  <c r="C493" i="13"/>
  <c r="C318" i="13"/>
  <c r="D931" i="13"/>
  <c r="L134" i="13"/>
  <c r="L64" i="13"/>
  <c r="E492" i="13"/>
  <c r="D987" i="13"/>
  <c r="AQ956" i="13"/>
  <c r="D959" i="13"/>
  <c r="R580" i="12"/>
  <c r="E887" i="11"/>
  <c r="D311" i="11"/>
  <c r="D310" i="11"/>
  <c r="D131" i="11"/>
  <c r="AM955" i="11"/>
  <c r="Q522" i="14"/>
  <c r="C925" i="13"/>
  <c r="D65" i="13"/>
  <c r="D29" i="13"/>
  <c r="K1017" i="14"/>
  <c r="K989" i="14"/>
  <c r="I992" i="15"/>
  <c r="I1020" i="15"/>
  <c r="L1065" i="13"/>
  <c r="AK1020" i="13"/>
  <c r="AK985" i="13"/>
  <c r="AI1110" i="13"/>
  <c r="AI1109" i="13"/>
  <c r="J991" i="15"/>
  <c r="J1019" i="15"/>
  <c r="L1064" i="13"/>
  <c r="AK984" i="13"/>
  <c r="AK1019" i="13"/>
  <c r="I985" i="13"/>
  <c r="I957" i="13"/>
  <c r="AJ1047" i="14"/>
  <c r="K1092" i="14"/>
  <c r="AJ1012" i="14"/>
  <c r="D889" i="11"/>
  <c r="G132" i="11"/>
  <c r="G64" i="11"/>
  <c r="I984" i="13"/>
  <c r="I956" i="13"/>
  <c r="AI1097" i="12"/>
  <c r="AI1098" i="12"/>
  <c r="H993" i="14"/>
  <c r="H1021" i="14"/>
  <c r="I949" i="11"/>
  <c r="I921" i="11"/>
  <c r="AJ1015" i="13"/>
  <c r="AJ980" i="13"/>
  <c r="K1060" i="13"/>
  <c r="M1057" i="12"/>
  <c r="AL977" i="12"/>
  <c r="AL1012" i="12"/>
  <c r="H957" i="15"/>
  <c r="G520" i="15"/>
  <c r="G325" i="15"/>
  <c r="H984" i="14"/>
  <c r="H1012" i="14"/>
  <c r="J946" i="12"/>
  <c r="J974" i="12"/>
  <c r="AR957" i="13"/>
  <c r="E960" i="13"/>
  <c r="E988" i="13"/>
  <c r="I888" i="11"/>
  <c r="I519" i="11"/>
  <c r="F478" i="11"/>
  <c r="F477" i="11" s="1"/>
  <c r="F476" i="11" s="1"/>
  <c r="F475" i="11" s="1"/>
  <c r="F474" i="11" s="1"/>
  <c r="F473" i="11" s="1"/>
  <c r="F520" i="11"/>
  <c r="F471" i="11"/>
  <c r="J968" i="12"/>
  <c r="J924" i="12"/>
  <c r="J940" i="12"/>
  <c r="E961" i="14"/>
  <c r="K331" i="14"/>
  <c r="K332" i="14"/>
  <c r="K140" i="14"/>
  <c r="J1093" i="14"/>
  <c r="Z1093" i="14" s="1"/>
  <c r="AI1013" i="14"/>
  <c r="AI1048" i="14"/>
  <c r="AI947" i="14"/>
  <c r="H926" i="13"/>
  <c r="I492" i="13"/>
  <c r="F493" i="13"/>
  <c r="F318" i="13"/>
  <c r="I990" i="15"/>
  <c r="I1018" i="15"/>
  <c r="C835" i="7"/>
  <c r="D65" i="7"/>
  <c r="D29" i="7"/>
  <c r="E449" i="9"/>
  <c r="B409" i="9"/>
  <c r="B408" i="9" s="1"/>
  <c r="B407" i="9" s="1"/>
  <c r="B406" i="9" s="1"/>
  <c r="B405" i="9" s="1"/>
  <c r="B404" i="9" s="1"/>
  <c r="B450" i="9"/>
  <c r="I803" i="9"/>
  <c r="B402" i="9"/>
  <c r="I882" i="6"/>
  <c r="I910" i="6"/>
  <c r="H842" i="7"/>
  <c r="N427" i="7"/>
  <c r="Q426" i="7"/>
  <c r="N285" i="7"/>
  <c r="H894" i="7"/>
  <c r="H866" i="7"/>
  <c r="AL1005" i="6"/>
  <c r="AL997" i="6"/>
  <c r="AL998" i="6"/>
  <c r="AL992" i="6"/>
  <c r="AL1010" i="6"/>
  <c r="AL1003" i="6"/>
  <c r="AL1001" i="6"/>
  <c r="AL999" i="6"/>
  <c r="AL1008" i="6"/>
  <c r="AL1006" i="6"/>
  <c r="AL988" i="6"/>
  <c r="AL1011" i="6"/>
  <c r="AL1009" i="6"/>
  <c r="AL1004" i="6"/>
  <c r="AL1002" i="6"/>
  <c r="AL1000" i="6"/>
  <c r="AL995" i="6"/>
  <c r="AL989" i="6"/>
  <c r="AL994" i="6"/>
  <c r="AL993" i="6"/>
  <c r="AL991" i="6"/>
  <c r="AL996" i="6"/>
  <c r="AL990" i="6"/>
  <c r="AL1007" i="6"/>
  <c r="H774" i="10"/>
  <c r="C380" i="10"/>
  <c r="C250" i="10"/>
  <c r="I810" i="8"/>
  <c r="B417" i="8"/>
  <c r="B416" i="8" s="1"/>
  <c r="B415" i="8" s="1"/>
  <c r="B414" i="8" s="1"/>
  <c r="B413" i="8" s="1"/>
  <c r="B412" i="8" s="1"/>
  <c r="E457" i="8"/>
  <c r="B458" i="8"/>
  <c r="B410" i="8"/>
  <c r="J838" i="9"/>
  <c r="J864" i="9"/>
  <c r="K944" i="9" s="1"/>
  <c r="I837" i="9"/>
  <c r="I863" i="9"/>
  <c r="J943" i="9" s="1"/>
  <c r="I813" i="8"/>
  <c r="I457" i="8"/>
  <c r="F458" i="8"/>
  <c r="F417" i="8"/>
  <c r="F416" i="8" s="1"/>
  <c r="F415" i="8" s="1"/>
  <c r="F414" i="8" s="1"/>
  <c r="F413" i="8" s="1"/>
  <c r="F412" i="8" s="1"/>
  <c r="F410" i="8"/>
  <c r="E811" i="9"/>
  <c r="L272" i="9"/>
  <c r="L271" i="9"/>
  <c r="L130" i="9"/>
  <c r="AL956" i="6"/>
  <c r="M976" i="7"/>
  <c r="AL931" i="7"/>
  <c r="AL896" i="7"/>
  <c r="D820" i="8"/>
  <c r="O132" i="8"/>
  <c r="O64" i="8"/>
  <c r="M953" i="8"/>
  <c r="AL873" i="8"/>
  <c r="AL908" i="8"/>
  <c r="J864" i="10"/>
  <c r="J840" i="10"/>
  <c r="D895" i="7"/>
  <c r="AQ864" i="7"/>
  <c r="D867" i="7"/>
  <c r="I886" i="6"/>
  <c r="I914" i="6"/>
  <c r="AJ929" i="7"/>
  <c r="AJ894" i="7"/>
  <c r="K974" i="7"/>
  <c r="J858" i="9"/>
  <c r="J816" i="9"/>
  <c r="J832" i="9"/>
  <c r="I890" i="6"/>
  <c r="I918" i="6"/>
  <c r="J858" i="10"/>
  <c r="J834" i="10"/>
  <c r="D862" i="6"/>
  <c r="P131" i="6"/>
  <c r="P64" i="6"/>
  <c r="H778" i="10"/>
  <c r="H380" i="10"/>
  <c r="H250" i="10"/>
  <c r="H862" i="9"/>
  <c r="H836" i="9"/>
  <c r="D783" i="10"/>
  <c r="O129" i="10"/>
  <c r="O65" i="10"/>
  <c r="E473" i="7"/>
  <c r="B474" i="7"/>
  <c r="I833" i="7"/>
  <c r="B433" i="7"/>
  <c r="B432" i="7" s="1"/>
  <c r="B431" i="7" s="1"/>
  <c r="B430" i="7" s="1"/>
  <c r="B429" i="7" s="1"/>
  <c r="B428" i="7" s="1"/>
  <c r="B426" i="7"/>
  <c r="E872" i="7"/>
  <c r="AR869" i="7"/>
  <c r="E900" i="7"/>
  <c r="H841" i="7"/>
  <c r="L427" i="7"/>
  <c r="L285" i="7"/>
  <c r="K992" i="6"/>
  <c r="AJ947" i="6"/>
  <c r="AJ912" i="6"/>
  <c r="H851" i="6"/>
  <c r="E443" i="6"/>
  <c r="B444" i="6"/>
  <c r="B293" i="6"/>
  <c r="H869" i="8"/>
  <c r="H841" i="8"/>
  <c r="I844" i="8"/>
  <c r="I872" i="8"/>
  <c r="H833" i="10"/>
  <c r="H857" i="10"/>
  <c r="G800" i="10" s="1"/>
  <c r="K29" i="6"/>
  <c r="C858" i="6"/>
  <c r="K65" i="6"/>
  <c r="I869" i="7"/>
  <c r="I897" i="7"/>
  <c r="L958" i="8"/>
  <c r="AK913" i="8"/>
  <c r="AK878" i="8"/>
  <c r="H781" i="10"/>
  <c r="L380" i="10"/>
  <c r="L250" i="10"/>
  <c r="I816" i="8"/>
  <c r="J458" i="8"/>
  <c r="J417" i="8"/>
  <c r="J416" i="8" s="1"/>
  <c r="J415" i="8" s="1"/>
  <c r="J414" i="8" s="1"/>
  <c r="J413" i="8" s="1"/>
  <c r="J412" i="8" s="1"/>
  <c r="M457" i="8"/>
  <c r="J410" i="8"/>
  <c r="AG950" i="6"/>
  <c r="G995" i="6"/>
  <c r="AG915" i="6"/>
  <c r="I859" i="9"/>
  <c r="J939" i="9" s="1"/>
  <c r="I833" i="9"/>
  <c r="H840" i="9"/>
  <c r="H866" i="9"/>
  <c r="L994" i="6"/>
  <c r="AK949" i="6"/>
  <c r="AK914" i="6"/>
  <c r="K955" i="8"/>
  <c r="AJ910" i="8"/>
  <c r="AJ875" i="8"/>
  <c r="D852" i="6"/>
  <c r="C131" i="6"/>
  <c r="C64" i="6"/>
  <c r="I917" i="6"/>
  <c r="I889" i="6"/>
  <c r="B856" i="6"/>
  <c r="H30" i="6"/>
  <c r="H19" i="6"/>
  <c r="E777" i="10"/>
  <c r="G251" i="10"/>
  <c r="G252" i="10"/>
  <c r="G128" i="10"/>
  <c r="H861" i="10"/>
  <c r="G804" i="10" s="1"/>
  <c r="H837" i="10"/>
  <c r="H817" i="8"/>
  <c r="K411" i="8"/>
  <c r="K275" i="8"/>
  <c r="I911" i="6"/>
  <c r="I883" i="6"/>
  <c r="L977" i="7"/>
  <c r="AK897" i="7"/>
  <c r="AK932" i="7"/>
  <c r="AK946" i="6"/>
  <c r="L991" i="6"/>
  <c r="AK911" i="6"/>
  <c r="AM880" i="8"/>
  <c r="I805" i="9"/>
  <c r="D450" i="9"/>
  <c r="D409" i="9"/>
  <c r="D408" i="9" s="1"/>
  <c r="D407" i="9" s="1"/>
  <c r="D406" i="9" s="1"/>
  <c r="D405" i="9" s="1"/>
  <c r="D404" i="9" s="1"/>
  <c r="D402" i="9"/>
  <c r="R491" i="9"/>
  <c r="H814" i="9"/>
  <c r="P403" i="9"/>
  <c r="P270" i="9"/>
  <c r="E818" i="8"/>
  <c r="L277" i="8"/>
  <c r="L276" i="8"/>
  <c r="L131" i="8"/>
  <c r="AR846" i="8"/>
  <c r="E877" i="8"/>
  <c r="E849" i="8"/>
  <c r="J980" i="7"/>
  <c r="AI935" i="7"/>
  <c r="AI900" i="7"/>
  <c r="AI834" i="7"/>
  <c r="H834" i="7"/>
  <c r="C427" i="7"/>
  <c r="C285" i="7"/>
  <c r="R516" i="7"/>
  <c r="I832" i="10"/>
  <c r="I856" i="10"/>
  <c r="M956" i="8"/>
  <c r="AL911" i="8"/>
  <c r="AL876" i="8"/>
  <c r="J823" i="8"/>
  <c r="J839" i="8"/>
  <c r="J867" i="8"/>
  <c r="H812" i="9"/>
  <c r="Q402" i="9"/>
  <c r="N403" i="9"/>
  <c r="N270" i="9"/>
  <c r="J870" i="8"/>
  <c r="J842" i="8"/>
  <c r="AI954" i="6"/>
  <c r="J999" i="6"/>
  <c r="AI853" i="6"/>
  <c r="AI919" i="6"/>
  <c r="J989" i="6"/>
  <c r="AI909" i="6"/>
  <c r="AI843" i="6"/>
  <c r="AI944" i="6"/>
  <c r="E811" i="8"/>
  <c r="C277" i="8"/>
  <c r="C276" i="8"/>
  <c r="C131" i="8"/>
  <c r="I819" i="8"/>
  <c r="Q457" i="8"/>
  <c r="N458" i="8"/>
  <c r="N417" i="8"/>
  <c r="N416" i="8" s="1"/>
  <c r="N415" i="8" s="1"/>
  <c r="N414" i="8" s="1"/>
  <c r="N413" i="8" s="1"/>
  <c r="N412" i="8" s="1"/>
  <c r="N410" i="8"/>
  <c r="E855" i="6"/>
  <c r="G295" i="6"/>
  <c r="G294" i="6"/>
  <c r="G130" i="6"/>
  <c r="D915" i="6"/>
  <c r="AQ884" i="6"/>
  <c r="D887" i="6"/>
  <c r="H806" i="9"/>
  <c r="I402" i="9"/>
  <c r="F403" i="9"/>
  <c r="F270" i="9"/>
  <c r="I888" i="6"/>
  <c r="I916" i="6"/>
  <c r="D892" i="7"/>
  <c r="D864" i="7"/>
  <c r="AQ861" i="7"/>
  <c r="I865" i="7"/>
  <c r="I893" i="7"/>
  <c r="AK970" i="8"/>
  <c r="AK968" i="8"/>
  <c r="AK963" i="8"/>
  <c r="AK961" i="8"/>
  <c r="AK959" i="8"/>
  <c r="AK966" i="8"/>
  <c r="AK964" i="8"/>
  <c r="AK956" i="8"/>
  <c r="AK952" i="8"/>
  <c r="AK950" i="8"/>
  <c r="AK967" i="8"/>
  <c r="AK965" i="8"/>
  <c r="AK953" i="8"/>
  <c r="AK949" i="8"/>
  <c r="AK957" i="8"/>
  <c r="AK951" i="8"/>
  <c r="AK947" i="8"/>
  <c r="AK969" i="8"/>
  <c r="AK962" i="8"/>
  <c r="AK955" i="8"/>
  <c r="AK954" i="8"/>
  <c r="AK948" i="8"/>
  <c r="AK960" i="8"/>
  <c r="AK958" i="8"/>
  <c r="I865" i="9"/>
  <c r="J945" i="9" s="1"/>
  <c r="I839" i="9"/>
  <c r="L990" i="6"/>
  <c r="AK910" i="6"/>
  <c r="AK945" i="6"/>
  <c r="K951" i="8"/>
  <c r="AJ906" i="8"/>
  <c r="AJ871" i="8"/>
  <c r="M947" i="8"/>
  <c r="AL902" i="8"/>
  <c r="K880" i="8"/>
  <c r="AL867" i="8"/>
  <c r="M473" i="7"/>
  <c r="I839" i="7"/>
  <c r="J433" i="7"/>
  <c r="J432" i="7" s="1"/>
  <c r="J431" i="7" s="1"/>
  <c r="J430" i="7" s="1"/>
  <c r="J429" i="7" s="1"/>
  <c r="J428" i="7" s="1"/>
  <c r="J474" i="7"/>
  <c r="J426" i="7"/>
  <c r="U898" i="10"/>
  <c r="S855" i="10"/>
  <c r="S868" i="10" s="1"/>
  <c r="E919" i="6"/>
  <c r="E891" i="6"/>
  <c r="AR888" i="6"/>
  <c r="AK908" i="6"/>
  <c r="AK943" i="6"/>
  <c r="L988" i="6"/>
  <c r="J921" i="6"/>
  <c r="I899" i="7"/>
  <c r="I871" i="7"/>
  <c r="I874" i="8"/>
  <c r="I846" i="8"/>
  <c r="P893" i="10"/>
  <c r="E865" i="10"/>
  <c r="E841" i="10"/>
  <c r="J890" i="7"/>
  <c r="J862" i="7"/>
  <c r="J846" i="7"/>
  <c r="H780" i="10"/>
  <c r="K380" i="10"/>
  <c r="K250" i="10"/>
  <c r="M250" i="10" s="1"/>
  <c r="I870" i="7"/>
  <c r="I898" i="7"/>
  <c r="J873" i="8"/>
  <c r="J845" i="8"/>
  <c r="D784" i="10"/>
  <c r="P129" i="10"/>
  <c r="P65" i="10"/>
  <c r="G975" i="7"/>
  <c r="AG930" i="7"/>
  <c r="AG895" i="7"/>
  <c r="R490" i="6"/>
  <c r="F993" i="6"/>
  <c r="AF948" i="6"/>
  <c r="AF913" i="6"/>
  <c r="C813" i="9"/>
  <c r="O65" i="9"/>
  <c r="O29" i="9"/>
  <c r="C885" i="6"/>
  <c r="AP882" i="6"/>
  <c r="C913" i="6"/>
  <c r="H859" i="10"/>
  <c r="G802" i="10" s="1"/>
  <c r="H835" i="10"/>
  <c r="P427" i="7"/>
  <c r="H844" i="7"/>
  <c r="P285" i="7"/>
  <c r="I836" i="10"/>
  <c r="I860" i="10"/>
  <c r="H857" i="6"/>
  <c r="M443" i="6"/>
  <c r="J444" i="6"/>
  <c r="J293" i="6"/>
  <c r="J860" i="9"/>
  <c r="K940" i="9" s="1"/>
  <c r="J834" i="9"/>
  <c r="AK901" i="7"/>
  <c r="AK936" i="7"/>
  <c r="L981" i="7"/>
  <c r="H875" i="8"/>
  <c r="H847" i="8"/>
  <c r="M970" i="7"/>
  <c r="AL890" i="7"/>
  <c r="AL903" i="7" s="1"/>
  <c r="AL925" i="7"/>
  <c r="AL938" i="7" s="1"/>
  <c r="K903" i="7"/>
  <c r="I782" i="10"/>
  <c r="Q424" i="10"/>
  <c r="N425" i="10"/>
  <c r="N386" i="10"/>
  <c r="N385" i="10" s="1"/>
  <c r="N384" i="10" s="1"/>
  <c r="N383" i="10" s="1"/>
  <c r="N382" i="10" s="1"/>
  <c r="N381" i="10" s="1"/>
  <c r="N379" i="10"/>
  <c r="H853" i="6"/>
  <c r="D444" i="6"/>
  <c r="D293" i="6"/>
  <c r="I773" i="10"/>
  <c r="E424" i="10"/>
  <c r="B386" i="10"/>
  <c r="B385" i="10" s="1"/>
  <c r="B384" i="10" s="1"/>
  <c r="B383" i="10" s="1"/>
  <c r="B382" i="10" s="1"/>
  <c r="B381" i="10" s="1"/>
  <c r="B425" i="10"/>
  <c r="B379" i="10"/>
  <c r="E814" i="8"/>
  <c r="G276" i="8"/>
  <c r="G277" i="8"/>
  <c r="G131" i="8"/>
  <c r="L938" i="9"/>
  <c r="K871" i="9"/>
  <c r="I809" i="9"/>
  <c r="J409" i="9"/>
  <c r="J408" i="9" s="1"/>
  <c r="J407" i="9" s="1"/>
  <c r="J406" i="9" s="1"/>
  <c r="J405" i="9" s="1"/>
  <c r="J404" i="9" s="1"/>
  <c r="M449" i="9"/>
  <c r="J450" i="9"/>
  <c r="J402" i="9"/>
  <c r="I839" i="10"/>
  <c r="I863" i="10"/>
  <c r="G972" i="7"/>
  <c r="AG927" i="7"/>
  <c r="AG892" i="7"/>
  <c r="I908" i="6"/>
  <c r="I864" i="6"/>
  <c r="I880" i="6"/>
  <c r="K868" i="10"/>
  <c r="H868" i="8"/>
  <c r="H840" i="8"/>
  <c r="E909" i="6"/>
  <c r="E881" i="6"/>
  <c r="AR878" i="6"/>
  <c r="L996" i="6"/>
  <c r="AK951" i="6"/>
  <c r="AK916" i="6"/>
  <c r="H912" i="6"/>
  <c r="H884" i="6"/>
  <c r="L971" i="7"/>
  <c r="AK891" i="7"/>
  <c r="AK926" i="7"/>
  <c r="I861" i="9"/>
  <c r="J941" i="9" s="1"/>
  <c r="I835" i="9"/>
  <c r="H821" i="8"/>
  <c r="P411" i="8"/>
  <c r="P275" i="8"/>
  <c r="O444" i="6"/>
  <c r="H861" i="6"/>
  <c r="O293" i="6"/>
  <c r="I869" i="9"/>
  <c r="J949" i="9" s="1"/>
  <c r="I843" i="9"/>
  <c r="I776" i="10"/>
  <c r="F425" i="10"/>
  <c r="F386" i="10"/>
  <c r="F385" i="10" s="1"/>
  <c r="F384" i="10" s="1"/>
  <c r="F383" i="10" s="1"/>
  <c r="F382" i="10" s="1"/>
  <c r="F381" i="10" s="1"/>
  <c r="I424" i="10"/>
  <c r="F379" i="10"/>
  <c r="I891" i="7"/>
  <c r="I863" i="7"/>
  <c r="K949" i="8"/>
  <c r="AJ904" i="8"/>
  <c r="AJ869" i="8"/>
  <c r="M950" i="8"/>
  <c r="AL905" i="8"/>
  <c r="AL870" i="8"/>
  <c r="R465" i="10"/>
  <c r="L978" i="7"/>
  <c r="AK898" i="7"/>
  <c r="AK933" i="7"/>
  <c r="H854" i="6"/>
  <c r="F444" i="6"/>
  <c r="I443" i="6"/>
  <c r="F293" i="6"/>
  <c r="AJ868" i="8"/>
  <c r="K948" i="8"/>
  <c r="AJ903" i="8"/>
  <c r="AM938" i="7"/>
  <c r="L997" i="6"/>
  <c r="AK952" i="6"/>
  <c r="AK917" i="6"/>
  <c r="H808" i="9"/>
  <c r="H403" i="9"/>
  <c r="H270" i="9"/>
  <c r="AL921" i="6"/>
  <c r="J876" i="8"/>
  <c r="J848" i="8"/>
  <c r="H815" i="8"/>
  <c r="H411" i="8"/>
  <c r="H275" i="8"/>
  <c r="D842" i="9"/>
  <c r="D868" i="9"/>
  <c r="E948" i="9" s="1"/>
  <c r="AQ848" i="9"/>
  <c r="J957" i="8"/>
  <c r="AI877" i="8"/>
  <c r="AI912" i="8"/>
  <c r="AI811" i="8"/>
  <c r="I873" i="7"/>
  <c r="I901" i="7"/>
  <c r="C838" i="7"/>
  <c r="H65" i="7"/>
  <c r="H29" i="7"/>
  <c r="H859" i="6"/>
  <c r="L444" i="6"/>
  <c r="L293" i="6"/>
  <c r="AK899" i="7"/>
  <c r="L979" i="7"/>
  <c r="AK934" i="7"/>
  <c r="L954" i="8"/>
  <c r="AK874" i="8"/>
  <c r="AK909" i="8"/>
  <c r="I878" i="8"/>
  <c r="I850" i="8"/>
  <c r="F427" i="7"/>
  <c r="I426" i="7"/>
  <c r="H836" i="7"/>
  <c r="F285" i="7"/>
  <c r="J896" i="7"/>
  <c r="J868" i="7"/>
  <c r="H810" i="9"/>
  <c r="K403" i="9"/>
  <c r="K270" i="9"/>
  <c r="H840" i="7"/>
  <c r="K427" i="7"/>
  <c r="K285" i="7"/>
  <c r="G271" i="9"/>
  <c r="E807" i="9"/>
  <c r="G272" i="9"/>
  <c r="G130" i="9"/>
  <c r="E837" i="7"/>
  <c r="G287" i="7"/>
  <c r="G286" i="7"/>
  <c r="G132" i="7"/>
  <c r="J786" i="10"/>
  <c r="J831" i="10"/>
  <c r="J855" i="10"/>
  <c r="H843" i="8"/>
  <c r="H871" i="8"/>
  <c r="O133" i="7"/>
  <c r="D843" i="7"/>
  <c r="O64" i="7"/>
  <c r="I838" i="10"/>
  <c r="I862" i="10"/>
  <c r="I867" i="9"/>
  <c r="J947" i="9" s="1"/>
  <c r="I841" i="9"/>
  <c r="AK893" i="7"/>
  <c r="AK928" i="7"/>
  <c r="L973" i="7"/>
  <c r="H804" i="9"/>
  <c r="C403" i="9"/>
  <c r="C270" i="9"/>
  <c r="E866" i="10"/>
  <c r="P894" i="10"/>
  <c r="E842" i="10"/>
  <c r="AK907" i="8"/>
  <c r="AK872" i="8"/>
  <c r="L952" i="8"/>
  <c r="AI992" i="7"/>
  <c r="AI985" i="7"/>
  <c r="AI983" i="7"/>
  <c r="AI981" i="7"/>
  <c r="AI990" i="7"/>
  <c r="AI988" i="7"/>
  <c r="AI970" i="7"/>
  <c r="AI993" i="7"/>
  <c r="AI991" i="7"/>
  <c r="AI986" i="7"/>
  <c r="AI984" i="7"/>
  <c r="AI982" i="7"/>
  <c r="AI977" i="7"/>
  <c r="AI971" i="7"/>
  <c r="AI989" i="7"/>
  <c r="AI978" i="7"/>
  <c r="AI976" i="7"/>
  <c r="AI972" i="7"/>
  <c r="AI987" i="7"/>
  <c r="AI979" i="7"/>
  <c r="AI975" i="7"/>
  <c r="AI973" i="7"/>
  <c r="AI980" i="7"/>
  <c r="AI974" i="7"/>
  <c r="E812" i="8"/>
  <c r="D276" i="8"/>
  <c r="D277" i="8"/>
  <c r="D131" i="8"/>
  <c r="L998" i="6"/>
  <c r="AK953" i="6"/>
  <c r="AK918" i="6"/>
  <c r="H860" i="6"/>
  <c r="N444" i="6"/>
  <c r="Q443" i="6"/>
  <c r="N293" i="6"/>
  <c r="E775" i="10"/>
  <c r="D252" i="10"/>
  <c r="D251" i="10"/>
  <c r="D128" i="10"/>
  <c r="E779" i="10"/>
  <c r="J251" i="10"/>
  <c r="J252" i="10"/>
  <c r="J128" i="10"/>
  <c r="I827" i="5"/>
  <c r="I851" i="5"/>
  <c r="I829" i="5"/>
  <c r="I853" i="5"/>
  <c r="I823" i="5"/>
  <c r="I847" i="5"/>
  <c r="H854" i="5"/>
  <c r="G797" i="5" s="1"/>
  <c r="H830" i="5"/>
  <c r="I764" i="5"/>
  <c r="F381" i="5"/>
  <c r="F380" i="5" s="1"/>
  <c r="F379" i="5" s="1"/>
  <c r="F378" i="5" s="1"/>
  <c r="F377" i="5" s="1"/>
  <c r="F376" i="5" s="1"/>
  <c r="I419" i="5"/>
  <c r="R419" i="5" s="1"/>
  <c r="F420" i="5"/>
  <c r="F374" i="5"/>
  <c r="H850" i="5"/>
  <c r="G793" i="5" s="1"/>
  <c r="H826" i="5"/>
  <c r="E761" i="5"/>
  <c r="B252" i="5"/>
  <c r="E250" i="5"/>
  <c r="B251" i="5"/>
  <c r="B129" i="5"/>
  <c r="H848" i="5"/>
  <c r="G791" i="5" s="1"/>
  <c r="H824" i="5"/>
  <c r="H770" i="5"/>
  <c r="N375" i="5"/>
  <c r="Q374" i="5"/>
  <c r="N250" i="5"/>
  <c r="D762" i="5"/>
  <c r="C130" i="5"/>
  <c r="C65" i="5"/>
  <c r="I849" i="5"/>
  <c r="I825" i="5"/>
  <c r="H845" i="5"/>
  <c r="G788" i="5" s="1"/>
  <c r="H821" i="5"/>
  <c r="J846" i="5"/>
  <c r="J856" i="5" s="1"/>
  <c r="J822" i="5"/>
  <c r="J774" i="5"/>
  <c r="E766" i="5"/>
  <c r="H252" i="5"/>
  <c r="H251" i="5"/>
  <c r="H129" i="5"/>
  <c r="E844" i="5"/>
  <c r="P872" i="5"/>
  <c r="E820" i="5"/>
  <c r="H843" i="5"/>
  <c r="H819" i="5"/>
  <c r="E763" i="5"/>
  <c r="D251" i="5"/>
  <c r="D252" i="5"/>
  <c r="D129" i="5"/>
  <c r="S846" i="5"/>
  <c r="S856" i="5" s="1"/>
  <c r="Q910" i="5"/>
  <c r="H769" i="5"/>
  <c r="L375" i="5"/>
  <c r="L250" i="5"/>
  <c r="E772" i="5"/>
  <c r="P251" i="5"/>
  <c r="P252" i="5"/>
  <c r="P129" i="5"/>
  <c r="H771" i="5"/>
  <c r="O375" i="5"/>
  <c r="O250" i="5"/>
  <c r="I828" i="5"/>
  <c r="I852" i="5"/>
  <c r="H765" i="5"/>
  <c r="G375" i="5"/>
  <c r="G250" i="5"/>
  <c r="E768" i="5"/>
  <c r="K252" i="5"/>
  <c r="K251" i="5"/>
  <c r="K129" i="5"/>
  <c r="H767" i="5"/>
  <c r="J375" i="5"/>
  <c r="M374" i="5"/>
  <c r="J250" i="5"/>
  <c r="R446" i="4"/>
  <c r="E748" i="4"/>
  <c r="N247" i="4"/>
  <c r="N246" i="4"/>
  <c r="N128" i="4"/>
  <c r="I742" i="4"/>
  <c r="F406" i="4"/>
  <c r="I405" i="4"/>
  <c r="F364" i="4"/>
  <c r="I831" i="4"/>
  <c r="I807" i="4"/>
  <c r="I745" i="4"/>
  <c r="M405" i="4"/>
  <c r="J406" i="4"/>
  <c r="J364" i="4"/>
  <c r="H749" i="4"/>
  <c r="O365" i="4"/>
  <c r="O245" i="4"/>
  <c r="I826" i="4"/>
  <c r="I802" i="4"/>
  <c r="P850" i="4"/>
  <c r="E822" i="4"/>
  <c r="E798" i="4"/>
  <c r="I825" i="4"/>
  <c r="I801" i="4"/>
  <c r="Q364" i="4"/>
  <c r="I750" i="4"/>
  <c r="P406" i="4"/>
  <c r="P364" i="4"/>
  <c r="J797" i="4"/>
  <c r="J821" i="4"/>
  <c r="J752" i="4"/>
  <c r="K834" i="4"/>
  <c r="E747" i="4"/>
  <c r="L247" i="4"/>
  <c r="L246" i="4"/>
  <c r="L128" i="4"/>
  <c r="H830" i="4"/>
  <c r="G773" i="4" s="1"/>
  <c r="H806" i="4"/>
  <c r="J824" i="4"/>
  <c r="J800" i="4"/>
  <c r="J832" i="4"/>
  <c r="J808" i="4"/>
  <c r="J827" i="4"/>
  <c r="J803" i="4"/>
  <c r="E746" i="4"/>
  <c r="K247" i="4"/>
  <c r="K246" i="4"/>
  <c r="K128" i="4"/>
  <c r="S843" i="4"/>
  <c r="S856" i="4" s="1"/>
  <c r="Q888" i="4"/>
  <c r="D740" i="4"/>
  <c r="C129" i="4"/>
  <c r="C67" i="4"/>
  <c r="H823" i="4"/>
  <c r="G766" i="4" s="1"/>
  <c r="H799" i="4"/>
  <c r="H829" i="4"/>
  <c r="G772" i="4" s="1"/>
  <c r="H805" i="4"/>
  <c r="E741" i="4"/>
  <c r="D246" i="4"/>
  <c r="D247" i="4"/>
  <c r="D128" i="4"/>
  <c r="H744" i="4"/>
  <c r="H365" i="4"/>
  <c r="H245" i="4"/>
  <c r="H743" i="4"/>
  <c r="G365" i="4"/>
  <c r="G245" i="4"/>
  <c r="H828" i="4"/>
  <c r="G771" i="4" s="1"/>
  <c r="H804" i="4"/>
  <c r="I739" i="4"/>
  <c r="B406" i="4"/>
  <c r="E405" i="4"/>
  <c r="B364" i="4"/>
  <c r="I810" i="3"/>
  <c r="I834" i="3"/>
  <c r="H745" i="3"/>
  <c r="G360" i="3"/>
  <c r="G246" i="3"/>
  <c r="R443" i="3"/>
  <c r="I825" i="3"/>
  <c r="I801" i="3"/>
  <c r="I827" i="3"/>
  <c r="I803" i="3"/>
  <c r="J829" i="3"/>
  <c r="J805" i="3"/>
  <c r="D742" i="3"/>
  <c r="C133" i="3"/>
  <c r="C66" i="3"/>
  <c r="H830" i="3"/>
  <c r="G773" i="3" s="1"/>
  <c r="H806" i="3"/>
  <c r="C749" i="3"/>
  <c r="L67" i="3"/>
  <c r="L31" i="3"/>
  <c r="J754" i="3"/>
  <c r="J799" i="3"/>
  <c r="J823" i="3"/>
  <c r="J836" i="3" s="1"/>
  <c r="J826" i="3"/>
  <c r="J802" i="3"/>
  <c r="P860" i="3"/>
  <c r="E832" i="3"/>
  <c r="E808" i="3"/>
  <c r="S844" i="3"/>
  <c r="Q890" i="3"/>
  <c r="E748" i="3"/>
  <c r="K247" i="3"/>
  <c r="K248" i="3"/>
  <c r="K132" i="3"/>
  <c r="H746" i="3"/>
  <c r="H360" i="3"/>
  <c r="H246" i="3"/>
  <c r="E751" i="3"/>
  <c r="O248" i="3"/>
  <c r="O247" i="3"/>
  <c r="O132" i="3"/>
  <c r="D831" i="3"/>
  <c r="D807" i="3"/>
  <c r="O859" i="3"/>
  <c r="D750" i="3"/>
  <c r="N133" i="3"/>
  <c r="N66" i="3"/>
  <c r="H752" i="3"/>
  <c r="P360" i="3"/>
  <c r="P246" i="3"/>
  <c r="K836" i="3"/>
  <c r="E824" i="3"/>
  <c r="E800" i="3"/>
  <c r="P852" i="3"/>
  <c r="I741" i="3"/>
  <c r="B400" i="3"/>
  <c r="E399" i="3"/>
  <c r="B359" i="3"/>
  <c r="H743" i="3"/>
  <c r="D360" i="3"/>
  <c r="D246" i="3"/>
  <c r="I744" i="3"/>
  <c r="I399" i="3"/>
  <c r="F400" i="3"/>
  <c r="F359" i="3"/>
  <c r="I828" i="3"/>
  <c r="I804" i="3"/>
  <c r="H833" i="3"/>
  <c r="G776" i="3" s="1"/>
  <c r="H809" i="3"/>
  <c r="I747" i="3"/>
  <c r="J400" i="3"/>
  <c r="M399" i="3"/>
  <c r="J359" i="3"/>
  <c r="Q359" i="3"/>
  <c r="I850" i="2"/>
  <c r="I826" i="2"/>
  <c r="D851" i="2"/>
  <c r="D827" i="2"/>
  <c r="O879" i="2"/>
  <c r="I847" i="2"/>
  <c r="I823" i="2"/>
  <c r="J849" i="2"/>
  <c r="J825" i="2"/>
  <c r="H766" i="2"/>
  <c r="L378" i="2"/>
  <c r="L256" i="2"/>
  <c r="J822" i="2"/>
  <c r="J846" i="2"/>
  <c r="H760" i="2"/>
  <c r="D378" i="2"/>
  <c r="D256" i="2"/>
  <c r="I761" i="2"/>
  <c r="I422" i="2"/>
  <c r="F423" i="2"/>
  <c r="F384" i="2"/>
  <c r="F383" i="2" s="1"/>
  <c r="F382" i="2" s="1"/>
  <c r="F381" i="2" s="1"/>
  <c r="F380" i="2" s="1"/>
  <c r="F379" i="2" s="1"/>
  <c r="F377" i="2"/>
  <c r="I844" i="2"/>
  <c r="I820" i="2"/>
  <c r="C763" i="2"/>
  <c r="H68" i="2"/>
  <c r="H32" i="2"/>
  <c r="I824" i="2"/>
  <c r="I848" i="2"/>
  <c r="D845" i="2"/>
  <c r="O873" i="2"/>
  <c r="D821" i="2"/>
  <c r="I842" i="2"/>
  <c r="I818" i="2"/>
  <c r="J843" i="2"/>
  <c r="J853" i="2" s="1"/>
  <c r="J819" i="2"/>
  <c r="E758" i="2"/>
  <c r="B257" i="2"/>
  <c r="B258" i="2"/>
  <c r="B133" i="2"/>
  <c r="H759" i="2"/>
  <c r="C378" i="2"/>
  <c r="C256" i="2"/>
  <c r="E377" i="2"/>
  <c r="H765" i="2"/>
  <c r="K378" i="2"/>
  <c r="K256" i="2"/>
  <c r="I767" i="2"/>
  <c r="N423" i="2"/>
  <c r="Q422" i="2"/>
  <c r="N384" i="2"/>
  <c r="N383" i="2" s="1"/>
  <c r="N382" i="2" s="1"/>
  <c r="N381" i="2" s="1"/>
  <c r="N380" i="2" s="1"/>
  <c r="N379" i="2" s="1"/>
  <c r="N377" i="2"/>
  <c r="I764" i="2"/>
  <c r="M422" i="2"/>
  <c r="R422" i="2" s="1"/>
  <c r="J423" i="2"/>
  <c r="J384" i="2"/>
  <c r="J383" i="2" s="1"/>
  <c r="J382" i="2" s="1"/>
  <c r="J381" i="2" s="1"/>
  <c r="J380" i="2" s="1"/>
  <c r="J379" i="2" s="1"/>
  <c r="J377" i="2"/>
  <c r="H762" i="2"/>
  <c r="G378" i="2"/>
  <c r="G256" i="2"/>
  <c r="H768" i="2"/>
  <c r="O378" i="2"/>
  <c r="O256" i="2"/>
  <c r="H840" i="2"/>
  <c r="H816" i="2"/>
  <c r="I841" i="2"/>
  <c r="I817" i="2"/>
  <c r="J771" i="2"/>
  <c r="C769" i="2"/>
  <c r="P68" i="2"/>
  <c r="P32" i="2"/>
  <c r="AK1115" i="14" l="1"/>
  <c r="AL1084" i="13"/>
  <c r="AK971" i="8"/>
  <c r="AI994" i="7"/>
  <c r="AL1012" i="6"/>
  <c r="AG1046" i="11"/>
  <c r="AK1072" i="12"/>
  <c r="L1057" i="12"/>
  <c r="AK1012" i="12"/>
  <c r="AK977" i="12"/>
  <c r="H917" i="12"/>
  <c r="J486" i="12"/>
  <c r="M485" i="12"/>
  <c r="J315" i="12"/>
  <c r="Q471" i="11"/>
  <c r="H894" i="11"/>
  <c r="N472" i="11"/>
  <c r="N309" i="11"/>
  <c r="L1051" i="12"/>
  <c r="AK971" i="12"/>
  <c r="AK1006" i="12"/>
  <c r="H989" i="15"/>
  <c r="H1017" i="15"/>
  <c r="AI979" i="12"/>
  <c r="AI913" i="12"/>
  <c r="AI1014" i="12"/>
  <c r="J1059" i="12"/>
  <c r="Z1059" i="12" s="1"/>
  <c r="P132" i="11"/>
  <c r="D896" i="11"/>
  <c r="P64" i="11"/>
  <c r="D893" i="11"/>
  <c r="L132" i="11"/>
  <c r="L64" i="11"/>
  <c r="F1062" i="13"/>
  <c r="AF982" i="13"/>
  <c r="AF1017" i="13"/>
  <c r="C319" i="13"/>
  <c r="C320" i="13"/>
  <c r="E924" i="13"/>
  <c r="C133" i="13"/>
  <c r="K311" i="11"/>
  <c r="E892" i="11"/>
  <c r="K310" i="11"/>
  <c r="K131" i="11"/>
  <c r="C1012" i="15"/>
  <c r="C984" i="15"/>
  <c r="H990" i="15"/>
  <c r="H1018" i="15"/>
  <c r="I471" i="11"/>
  <c r="H888" i="11"/>
  <c r="F472" i="11"/>
  <c r="F309" i="11"/>
  <c r="E1018" i="14"/>
  <c r="AR987" i="14"/>
  <c r="E990" i="14"/>
  <c r="I945" i="11"/>
  <c r="I917" i="11"/>
  <c r="E957" i="15"/>
  <c r="G326" i="15"/>
  <c r="G327" i="15"/>
  <c r="G135" i="15"/>
  <c r="AL1052" i="14"/>
  <c r="AL1059" i="14" s="1"/>
  <c r="M1097" i="14"/>
  <c r="AL1017" i="14"/>
  <c r="AL1024" i="14" s="1"/>
  <c r="K1024" i="14"/>
  <c r="B955" i="15"/>
  <c r="D30" i="15"/>
  <c r="D19" i="15"/>
  <c r="D963" i="14"/>
  <c r="N141" i="14"/>
  <c r="N64" i="14"/>
  <c r="H959" i="15"/>
  <c r="J520" i="15"/>
  <c r="M519" i="15"/>
  <c r="J325" i="15"/>
  <c r="H956" i="13"/>
  <c r="H984" i="13"/>
  <c r="AL955" i="11"/>
  <c r="E961" i="15"/>
  <c r="L327" i="15"/>
  <c r="L326" i="15"/>
  <c r="L135" i="15"/>
  <c r="AG1050" i="14"/>
  <c r="G1095" i="14"/>
  <c r="AG1015" i="14"/>
  <c r="I991" i="15"/>
  <c r="I1019" i="15"/>
  <c r="L1066" i="13"/>
  <c r="AK1021" i="13"/>
  <c r="AK1028" i="13" s="1"/>
  <c r="AK986" i="13"/>
  <c r="AK993" i="13" s="1"/>
  <c r="E945" i="12"/>
  <c r="AR942" i="12"/>
  <c r="E973" i="12"/>
  <c r="AK980" i="11"/>
  <c r="AK945" i="11"/>
  <c r="L1025" i="11"/>
  <c r="H956" i="15"/>
  <c r="I519" i="15"/>
  <c r="F520" i="15"/>
  <c r="F325" i="15"/>
  <c r="AI1113" i="13"/>
  <c r="AI1112" i="13"/>
  <c r="F523" i="14"/>
  <c r="I522" i="14"/>
  <c r="H957" i="14"/>
  <c r="F330" i="14"/>
  <c r="C958" i="14"/>
  <c r="G65" i="14"/>
  <c r="G29" i="14"/>
  <c r="E951" i="12"/>
  <c r="E979" i="12"/>
  <c r="AR948" i="12"/>
  <c r="E963" i="15"/>
  <c r="O327" i="15"/>
  <c r="O326" i="15"/>
  <c r="O135" i="15"/>
  <c r="L1022" i="11"/>
  <c r="AK977" i="11"/>
  <c r="J955" i="11"/>
  <c r="AK942" i="11"/>
  <c r="B895" i="11"/>
  <c r="O30" i="11"/>
  <c r="O19" i="11"/>
  <c r="J1096" i="14"/>
  <c r="Z1096" i="14" s="1"/>
  <c r="AI1051" i="14"/>
  <c r="AI1016" i="14"/>
  <c r="AI950" i="14"/>
  <c r="K1058" i="12"/>
  <c r="AJ1013" i="12"/>
  <c r="AJ978" i="12"/>
  <c r="B918" i="12"/>
  <c r="K30" i="12"/>
  <c r="K19" i="12"/>
  <c r="D923" i="13"/>
  <c r="E133" i="13"/>
  <c r="B134" i="13"/>
  <c r="B64" i="13"/>
  <c r="E942" i="12"/>
  <c r="AR939" i="12"/>
  <c r="E970" i="12"/>
  <c r="D919" i="12"/>
  <c r="L134" i="12"/>
  <c r="L64" i="12"/>
  <c r="D959" i="14"/>
  <c r="H141" i="14"/>
  <c r="H64" i="14"/>
  <c r="E993" i="15"/>
  <c r="E1021" i="15"/>
  <c r="L1094" i="14"/>
  <c r="AK1014" i="14"/>
  <c r="AK1049" i="14"/>
  <c r="I977" i="12"/>
  <c r="I949" i="12"/>
  <c r="D1015" i="14"/>
  <c r="D987" i="14"/>
  <c r="AQ984" i="14"/>
  <c r="K1091" i="14"/>
  <c r="AJ1046" i="14"/>
  <c r="AJ1011" i="14"/>
  <c r="E915" i="12"/>
  <c r="G317" i="12"/>
  <c r="G316" i="12"/>
  <c r="G133" i="12"/>
  <c r="R570" i="15"/>
  <c r="O320" i="13"/>
  <c r="E933" i="13"/>
  <c r="O319" i="13"/>
  <c r="O133" i="13"/>
  <c r="AK1003" i="12"/>
  <c r="J981" i="12"/>
  <c r="AK968" i="12"/>
  <c r="L1048" i="12"/>
  <c r="AJ984" i="11"/>
  <c r="K1029" i="11"/>
  <c r="AJ949" i="11"/>
  <c r="C982" i="13"/>
  <c r="C954" i="13"/>
  <c r="AP951" i="13"/>
  <c r="H921" i="11"/>
  <c r="H949" i="11"/>
  <c r="H958" i="15"/>
  <c r="H520" i="15"/>
  <c r="H325" i="15"/>
  <c r="H985" i="13"/>
  <c r="H957" i="13"/>
  <c r="E954" i="14"/>
  <c r="B332" i="14"/>
  <c r="B331" i="14"/>
  <c r="E330" i="14"/>
  <c r="B140" i="14"/>
  <c r="I968" i="12"/>
  <c r="I924" i="12"/>
  <c r="I940" i="12"/>
  <c r="AL981" i="12"/>
  <c r="J1030" i="11"/>
  <c r="Z1030" i="11" s="1"/>
  <c r="AI985" i="11"/>
  <c r="AI950" i="11"/>
  <c r="AI884" i="11"/>
  <c r="H992" i="15"/>
  <c r="H1020" i="15"/>
  <c r="E318" i="13"/>
  <c r="H885" i="11"/>
  <c r="B472" i="11"/>
  <c r="E471" i="11"/>
  <c r="B309" i="11"/>
  <c r="E934" i="13"/>
  <c r="P320" i="13"/>
  <c r="P319" i="13"/>
  <c r="P133" i="13"/>
  <c r="E953" i="11"/>
  <c r="E925" i="11"/>
  <c r="AR922" i="11"/>
  <c r="I958" i="13"/>
  <c r="I986" i="13"/>
  <c r="J1100" i="14"/>
  <c r="Z1100" i="14" s="1"/>
  <c r="AI1055" i="14"/>
  <c r="AI1020" i="14"/>
  <c r="AI954" i="14"/>
  <c r="K1102" i="14"/>
  <c r="AJ1022" i="14"/>
  <c r="AJ1057" i="14"/>
  <c r="I982" i="15"/>
  <c r="I1010" i="15"/>
  <c r="I966" i="15"/>
  <c r="H1014" i="15"/>
  <c r="H986" i="15"/>
  <c r="G65" i="11"/>
  <c r="C889" i="11"/>
  <c r="G29" i="11"/>
  <c r="H320" i="13"/>
  <c r="E928" i="13"/>
  <c r="H319" i="13"/>
  <c r="H133" i="13"/>
  <c r="F320" i="13"/>
  <c r="E926" i="13"/>
  <c r="I318" i="13"/>
  <c r="F319" i="13"/>
  <c r="F133" i="13"/>
  <c r="AI1125" i="14"/>
  <c r="AI1126" i="14"/>
  <c r="J1101" i="14"/>
  <c r="Z1101" i="14" s="1"/>
  <c r="AI1056" i="14"/>
  <c r="AI1021" i="14"/>
  <c r="AI955" i="14"/>
  <c r="D946" i="11"/>
  <c r="D918" i="11"/>
  <c r="AQ915" i="11"/>
  <c r="H981" i="13"/>
  <c r="H953" i="13"/>
  <c r="J1053" i="12"/>
  <c r="Z1053" i="12" s="1"/>
  <c r="AI1008" i="12"/>
  <c r="AI973" i="12"/>
  <c r="AI907" i="12"/>
  <c r="E1020" i="14"/>
  <c r="AR989" i="14"/>
  <c r="E992" i="14"/>
  <c r="H1022" i="14"/>
  <c r="H994" i="14"/>
  <c r="D955" i="14"/>
  <c r="C141" i="14"/>
  <c r="C64" i="14"/>
  <c r="I988" i="15"/>
  <c r="I1016" i="15"/>
  <c r="AR990" i="14"/>
  <c r="E1021" i="14"/>
  <c r="E993" i="14"/>
  <c r="H1011" i="14"/>
  <c r="H983" i="14"/>
  <c r="B930" i="13"/>
  <c r="K30" i="13"/>
  <c r="K19" i="13"/>
  <c r="I951" i="11"/>
  <c r="I923" i="11"/>
  <c r="C952" i="11"/>
  <c r="AP921" i="11"/>
  <c r="C924" i="11"/>
  <c r="H962" i="15"/>
  <c r="Q519" i="15"/>
  <c r="N520" i="15"/>
  <c r="N325" i="15"/>
  <c r="I960" i="14"/>
  <c r="J574" i="14"/>
  <c r="M573" i="14"/>
  <c r="R573" i="14" s="1"/>
  <c r="J529" i="14"/>
  <c r="J528" i="14" s="1"/>
  <c r="J527" i="14" s="1"/>
  <c r="J526" i="14" s="1"/>
  <c r="J525" i="14" s="1"/>
  <c r="J524" i="14" s="1"/>
  <c r="J522" i="14"/>
  <c r="C975" i="12"/>
  <c r="AP944" i="12"/>
  <c r="C947" i="12"/>
  <c r="R519" i="11"/>
  <c r="L1028" i="11"/>
  <c r="AK983" i="11"/>
  <c r="AK948" i="11"/>
  <c r="I985" i="15"/>
  <c r="I1013" i="15"/>
  <c r="AR919" i="11"/>
  <c r="E950" i="11"/>
  <c r="E922" i="11"/>
  <c r="K1069" i="13"/>
  <c r="AJ989" i="13"/>
  <c r="AJ1024" i="13"/>
  <c r="I1014" i="14"/>
  <c r="I986" i="14"/>
  <c r="H972" i="12"/>
  <c r="H944" i="12"/>
  <c r="H962" i="13"/>
  <c r="H990" i="13"/>
  <c r="D961" i="14"/>
  <c r="K141" i="14"/>
  <c r="K64" i="14"/>
  <c r="F1067" i="13"/>
  <c r="AF987" i="13"/>
  <c r="AF1022" i="13"/>
  <c r="N319" i="13"/>
  <c r="Q318" i="13"/>
  <c r="N320" i="13"/>
  <c r="E932" i="13"/>
  <c r="N133" i="13"/>
  <c r="AF1041" i="11"/>
  <c r="AF1028" i="11"/>
  <c r="AF1039" i="11"/>
  <c r="AF1026" i="11"/>
  <c r="AF1024" i="11"/>
  <c r="AF1022" i="11"/>
  <c r="AF1044" i="11"/>
  <c r="AF1037" i="11"/>
  <c r="AF1035" i="11"/>
  <c r="AF1033" i="11"/>
  <c r="AF1031" i="11"/>
  <c r="AF1029" i="11"/>
  <c r="AF1042" i="11"/>
  <c r="AF1040" i="11"/>
  <c r="AF1027" i="11"/>
  <c r="AF1025" i="11"/>
  <c r="AF1023" i="11"/>
  <c r="AF1038" i="11"/>
  <c r="AF1030" i="11"/>
  <c r="AF1043" i="11"/>
  <c r="AF1034" i="11"/>
  <c r="AF1032" i="11"/>
  <c r="AF1036" i="11"/>
  <c r="AF1045" i="11"/>
  <c r="AI1005" i="12"/>
  <c r="AI904" i="12"/>
  <c r="J1050" i="12"/>
  <c r="Z1050" i="12" s="1"/>
  <c r="AI970" i="12"/>
  <c r="AI910" i="12"/>
  <c r="AI976" i="12"/>
  <c r="AI1011" i="12"/>
  <c r="J1056" i="12"/>
  <c r="Z1056" i="12" s="1"/>
  <c r="G1093" i="14"/>
  <c r="AG1013" i="14"/>
  <c r="AG1048" i="14"/>
  <c r="I946" i="12"/>
  <c r="I974" i="12"/>
  <c r="J1023" i="15"/>
  <c r="K1071" i="13"/>
  <c r="AJ1026" i="13"/>
  <c r="AJ991" i="13"/>
  <c r="D916" i="12"/>
  <c r="H134" i="12"/>
  <c r="H64" i="12"/>
  <c r="AJ1070" i="12"/>
  <c r="AJ1063" i="12"/>
  <c r="AJ1061" i="12"/>
  <c r="AJ1059" i="12"/>
  <c r="AJ1057" i="12"/>
  <c r="AJ1055" i="12"/>
  <c r="AJ1068" i="12"/>
  <c r="AJ1066" i="12"/>
  <c r="AJ1053" i="12"/>
  <c r="AJ1071" i="12"/>
  <c r="AJ1069" i="12"/>
  <c r="AJ1064" i="12"/>
  <c r="AJ1062" i="12"/>
  <c r="AJ1060" i="12"/>
  <c r="AJ1058" i="12"/>
  <c r="AJ1056" i="12"/>
  <c r="AJ1067" i="12"/>
  <c r="AJ1054" i="12"/>
  <c r="AJ1050" i="12"/>
  <c r="AJ1051" i="12"/>
  <c r="AJ1052" i="12"/>
  <c r="AJ1048" i="12"/>
  <c r="AJ1065" i="12"/>
  <c r="AJ1049" i="12"/>
  <c r="AR945" i="12"/>
  <c r="E948" i="12"/>
  <c r="E976" i="12"/>
  <c r="E1016" i="14"/>
  <c r="E988" i="14"/>
  <c r="AR985" i="14"/>
  <c r="H963" i="13"/>
  <c r="H991" i="13"/>
  <c r="E954" i="15"/>
  <c r="C327" i="15"/>
  <c r="C326" i="15"/>
  <c r="C135" i="15"/>
  <c r="J1027" i="11"/>
  <c r="Z1027" i="11" s="1"/>
  <c r="AI982" i="11"/>
  <c r="AI881" i="11"/>
  <c r="AI947" i="11"/>
  <c r="C956" i="14"/>
  <c r="D65" i="14"/>
  <c r="D29" i="14"/>
  <c r="J1098" i="14"/>
  <c r="Z1098" i="14" s="1"/>
  <c r="AI1018" i="14"/>
  <c r="AI1053" i="14"/>
  <c r="AI952" i="14"/>
  <c r="E962" i="14"/>
  <c r="L332" i="14"/>
  <c r="L331" i="14"/>
  <c r="L140" i="14"/>
  <c r="J472" i="11"/>
  <c r="H891" i="11"/>
  <c r="M471" i="11"/>
  <c r="J309" i="11"/>
  <c r="D922" i="12"/>
  <c r="P134" i="12"/>
  <c r="P64" i="12"/>
  <c r="H914" i="12"/>
  <c r="I485" i="12"/>
  <c r="F486" i="12"/>
  <c r="F315" i="12"/>
  <c r="AI944" i="11"/>
  <c r="AI979" i="11"/>
  <c r="J1024" i="11"/>
  <c r="Z1024" i="11" s="1"/>
  <c r="AI878" i="11"/>
  <c r="D890" i="11"/>
  <c r="H132" i="11"/>
  <c r="H64" i="11"/>
  <c r="J993" i="13"/>
  <c r="AJ984" i="13"/>
  <c r="K1064" i="13"/>
  <c r="AJ1019" i="13"/>
  <c r="E944" i="11"/>
  <c r="E916" i="11"/>
  <c r="AR913" i="11"/>
  <c r="G1026" i="11"/>
  <c r="AG981" i="11"/>
  <c r="AG946" i="11"/>
  <c r="AJ1007" i="12"/>
  <c r="K1052" i="12"/>
  <c r="AJ972" i="12"/>
  <c r="AI1132" i="14"/>
  <c r="AI1131" i="14"/>
  <c r="K1063" i="13"/>
  <c r="AJ1018" i="13"/>
  <c r="AJ983" i="13"/>
  <c r="J1092" i="14"/>
  <c r="AI1047" i="14"/>
  <c r="AI946" i="14"/>
  <c r="AI1012" i="14"/>
  <c r="AJ1114" i="14"/>
  <c r="AJ1112" i="14"/>
  <c r="AJ1107" i="14"/>
  <c r="AJ1111" i="14"/>
  <c r="AJ1109" i="14"/>
  <c r="AJ1104" i="14"/>
  <c r="AJ1094" i="14"/>
  <c r="AJ1092" i="14"/>
  <c r="AJ1103" i="14"/>
  <c r="AJ1101" i="14"/>
  <c r="AJ1099" i="14"/>
  <c r="AJ1097" i="14"/>
  <c r="AJ1095" i="14"/>
  <c r="AJ1093" i="14"/>
  <c r="AJ1091" i="14"/>
  <c r="AJ1102" i="14"/>
  <c r="AJ1100" i="14"/>
  <c r="AJ1098" i="14"/>
  <c r="AJ1113" i="14"/>
  <c r="AJ1108" i="14"/>
  <c r="AJ1106" i="14"/>
  <c r="AJ1105" i="14"/>
  <c r="AJ1096" i="14"/>
  <c r="AJ1110" i="14"/>
  <c r="D887" i="11"/>
  <c r="D132" i="11"/>
  <c r="D64" i="11"/>
  <c r="AK951" i="11"/>
  <c r="AK986" i="11"/>
  <c r="L1031" i="11"/>
  <c r="AF987" i="11"/>
  <c r="AF952" i="11"/>
  <c r="F1032" i="11"/>
  <c r="I1015" i="15"/>
  <c r="I987" i="15"/>
  <c r="J1060" i="13"/>
  <c r="Z1060" i="13" s="1"/>
  <c r="AI1015" i="13"/>
  <c r="AI980" i="13"/>
  <c r="AJ1054" i="14"/>
  <c r="K1099" i="14"/>
  <c r="AJ1019" i="14"/>
  <c r="C987" i="13"/>
  <c r="AP956" i="13"/>
  <c r="C959" i="13"/>
  <c r="E980" i="13"/>
  <c r="E952" i="13"/>
  <c r="AR949" i="13"/>
  <c r="I942" i="11"/>
  <c r="I898" i="11"/>
  <c r="I914" i="11"/>
  <c r="AE978" i="11"/>
  <c r="E1023" i="11"/>
  <c r="AE943" i="11"/>
  <c r="J1049" i="12"/>
  <c r="AI1004" i="12"/>
  <c r="AI969" i="12"/>
  <c r="AI903" i="12"/>
  <c r="H920" i="12"/>
  <c r="Q485" i="12"/>
  <c r="N486" i="12"/>
  <c r="N315" i="12"/>
  <c r="I948" i="11"/>
  <c r="I920" i="11"/>
  <c r="AI1062" i="11"/>
  <c r="AI1063" i="11"/>
  <c r="D912" i="12"/>
  <c r="C134" i="12"/>
  <c r="C64" i="12"/>
  <c r="G1068" i="13"/>
  <c r="AG1023" i="13"/>
  <c r="AG988" i="13"/>
  <c r="AJ985" i="13"/>
  <c r="K1065" i="13"/>
  <c r="AJ1020" i="13"/>
  <c r="B925" i="13"/>
  <c r="D30" i="13"/>
  <c r="D19" i="13"/>
  <c r="AQ957" i="13"/>
  <c r="D960" i="13"/>
  <c r="D988" i="13"/>
  <c r="AF1010" i="12"/>
  <c r="AF975" i="12"/>
  <c r="F1055" i="12"/>
  <c r="D964" i="14"/>
  <c r="O141" i="14"/>
  <c r="O64" i="14"/>
  <c r="J493" i="13"/>
  <c r="H929" i="13"/>
  <c r="M492" i="13"/>
  <c r="R492" i="13" s="1"/>
  <c r="J318" i="13"/>
  <c r="I971" i="12"/>
  <c r="I943" i="12"/>
  <c r="E969" i="12"/>
  <c r="E941" i="12"/>
  <c r="AR938" i="12"/>
  <c r="H978" i="12"/>
  <c r="H950" i="12"/>
  <c r="E965" i="14"/>
  <c r="P332" i="14"/>
  <c r="P331" i="14"/>
  <c r="P140" i="14"/>
  <c r="L1054" i="12"/>
  <c r="AK1009" i="12"/>
  <c r="AK974" i="12"/>
  <c r="H955" i="13"/>
  <c r="H983" i="13"/>
  <c r="C931" i="13"/>
  <c r="L65" i="13"/>
  <c r="L29" i="13"/>
  <c r="H989" i="13"/>
  <c r="H961" i="13"/>
  <c r="E1012" i="14"/>
  <c r="E984" i="14"/>
  <c r="AR981" i="14"/>
  <c r="G320" i="13"/>
  <c r="E927" i="13"/>
  <c r="G319" i="13"/>
  <c r="G133" i="13"/>
  <c r="H911" i="12"/>
  <c r="B486" i="12"/>
  <c r="E485" i="12"/>
  <c r="R485" i="12" s="1"/>
  <c r="B315" i="12"/>
  <c r="AI988" i="11"/>
  <c r="J1033" i="11"/>
  <c r="Z1033" i="11" s="1"/>
  <c r="AI953" i="11"/>
  <c r="AI887" i="11"/>
  <c r="AK1065" i="13"/>
  <c r="AK1063" i="13"/>
  <c r="AK1061" i="13"/>
  <c r="AK1083" i="13"/>
  <c r="AK1081" i="13"/>
  <c r="AK1076" i="13"/>
  <c r="AK1074" i="13"/>
  <c r="AK1072" i="13"/>
  <c r="AK1070" i="13"/>
  <c r="AK1068" i="13"/>
  <c r="AK1079" i="13"/>
  <c r="AK1066" i="13"/>
  <c r="AK1064" i="13"/>
  <c r="AK1062" i="13"/>
  <c r="AK1060" i="13"/>
  <c r="AK1082" i="13"/>
  <c r="AK1075" i="13"/>
  <c r="AK1073" i="13"/>
  <c r="AK1071" i="13"/>
  <c r="AK1069" i="13"/>
  <c r="AK1067" i="13"/>
  <c r="AK1077" i="13"/>
  <c r="AK1080" i="13"/>
  <c r="AK1078" i="13"/>
  <c r="K1070" i="13"/>
  <c r="AJ1025" i="13"/>
  <c r="AJ990" i="13"/>
  <c r="J1017" i="14"/>
  <c r="J1024" i="14" s="1"/>
  <c r="J989" i="14"/>
  <c r="J967" i="14"/>
  <c r="D913" i="12"/>
  <c r="D134" i="12"/>
  <c r="D64" i="12"/>
  <c r="E960" i="15"/>
  <c r="K326" i="15"/>
  <c r="K327" i="15"/>
  <c r="K135" i="15"/>
  <c r="D964" i="15"/>
  <c r="P136" i="15"/>
  <c r="P64" i="15"/>
  <c r="H983" i="15"/>
  <c r="H1011" i="15"/>
  <c r="D1013" i="14"/>
  <c r="D985" i="14"/>
  <c r="AQ982" i="14"/>
  <c r="H1019" i="14"/>
  <c r="H991" i="14"/>
  <c r="K1061" i="13"/>
  <c r="AJ981" i="13"/>
  <c r="AJ1016" i="13"/>
  <c r="B943" i="11"/>
  <c r="AG877" i="11"/>
  <c r="AH877" i="11" s="1"/>
  <c r="AJ877" i="11" s="1"/>
  <c r="AL877" i="11" s="1"/>
  <c r="B915" i="11"/>
  <c r="AO912" i="11"/>
  <c r="AT912" i="11" s="1"/>
  <c r="AN877" i="11"/>
  <c r="E947" i="11"/>
  <c r="E919" i="11"/>
  <c r="AR916" i="11"/>
  <c r="H953" i="15"/>
  <c r="B520" i="15"/>
  <c r="E519" i="15"/>
  <c r="R519" i="15" s="1"/>
  <c r="B325" i="15"/>
  <c r="E921" i="12"/>
  <c r="O316" i="12"/>
  <c r="O317" i="12"/>
  <c r="O133" i="12"/>
  <c r="J951" i="8"/>
  <c r="AI906" i="8"/>
  <c r="AI871" i="8"/>
  <c r="AI805" i="8"/>
  <c r="E894" i="7"/>
  <c r="E866" i="7"/>
  <c r="AR863" i="7"/>
  <c r="E810" i="9"/>
  <c r="K272" i="9"/>
  <c r="K271" i="9"/>
  <c r="K130" i="9"/>
  <c r="E815" i="8"/>
  <c r="H276" i="8"/>
  <c r="H277" i="8"/>
  <c r="H131" i="8"/>
  <c r="H837" i="9"/>
  <c r="H863" i="9"/>
  <c r="E854" i="6"/>
  <c r="F295" i="6"/>
  <c r="I293" i="6"/>
  <c r="F294" i="6"/>
  <c r="F130" i="6"/>
  <c r="H776" i="10"/>
  <c r="F380" i="10"/>
  <c r="I379" i="10"/>
  <c r="F250" i="10"/>
  <c r="H890" i="6"/>
  <c r="H918" i="6"/>
  <c r="H773" i="10"/>
  <c r="E379" i="10"/>
  <c r="B380" i="10"/>
  <c r="B250" i="10"/>
  <c r="H782" i="10"/>
  <c r="N380" i="10"/>
  <c r="Q379" i="10"/>
  <c r="N250" i="10"/>
  <c r="E857" i="6"/>
  <c r="J294" i="6"/>
  <c r="J295" i="6"/>
  <c r="M293" i="6"/>
  <c r="J130" i="6"/>
  <c r="C842" i="9"/>
  <c r="C868" i="9"/>
  <c r="D948" i="9" s="1"/>
  <c r="AP848" i="9"/>
  <c r="C784" i="10"/>
  <c r="P66" i="10"/>
  <c r="P30" i="10"/>
  <c r="I868" i="7"/>
  <c r="I896" i="7"/>
  <c r="H861" i="9"/>
  <c r="H835" i="9"/>
  <c r="H819" i="8"/>
  <c r="Q410" i="8"/>
  <c r="N411" i="8"/>
  <c r="N275" i="8"/>
  <c r="AR837" i="8"/>
  <c r="E840" i="8"/>
  <c r="E868" i="8"/>
  <c r="C286" i="7"/>
  <c r="C287" i="7"/>
  <c r="E834" i="7"/>
  <c r="C132" i="7"/>
  <c r="G957" i="8"/>
  <c r="AG877" i="8"/>
  <c r="AG912" i="8"/>
  <c r="H869" i="9"/>
  <c r="H843" i="9"/>
  <c r="K977" i="7"/>
  <c r="AJ897" i="7"/>
  <c r="AJ932" i="7"/>
  <c r="E426" i="7"/>
  <c r="H833" i="7"/>
  <c r="B427" i="7"/>
  <c r="B285" i="7"/>
  <c r="H810" i="8"/>
  <c r="B411" i="8"/>
  <c r="E410" i="8"/>
  <c r="B275" i="8"/>
  <c r="H803" i="9"/>
  <c r="B403" i="9"/>
  <c r="E402" i="9"/>
  <c r="B270" i="9"/>
  <c r="E821" i="8"/>
  <c r="P276" i="8"/>
  <c r="P277" i="8"/>
  <c r="P131" i="8"/>
  <c r="AG987" i="7"/>
  <c r="AG979" i="7"/>
  <c r="AG975" i="7"/>
  <c r="AG973" i="7"/>
  <c r="AG980" i="7"/>
  <c r="AG974" i="7"/>
  <c r="AG992" i="7"/>
  <c r="AG985" i="7"/>
  <c r="AG983" i="7"/>
  <c r="AG981" i="7"/>
  <c r="AG990" i="7"/>
  <c r="AG988" i="7"/>
  <c r="AG970" i="7"/>
  <c r="AG993" i="7"/>
  <c r="AG991" i="7"/>
  <c r="AG986" i="7"/>
  <c r="AG984" i="7"/>
  <c r="AG982" i="7"/>
  <c r="AG977" i="7"/>
  <c r="AG971" i="7"/>
  <c r="AG989" i="7"/>
  <c r="AG972" i="7"/>
  <c r="AG976" i="7"/>
  <c r="AG978" i="7"/>
  <c r="J955" i="8"/>
  <c r="AI910" i="8"/>
  <c r="AI875" i="8"/>
  <c r="AI809" i="8"/>
  <c r="D866" i="10"/>
  <c r="D842" i="10"/>
  <c r="O894" i="10"/>
  <c r="G999" i="6"/>
  <c r="AG954" i="6"/>
  <c r="AG919" i="6"/>
  <c r="AL880" i="8"/>
  <c r="F972" i="7"/>
  <c r="AF927" i="7"/>
  <c r="AF892" i="7"/>
  <c r="L950" i="8"/>
  <c r="AK870" i="8"/>
  <c r="AK905" i="8"/>
  <c r="H891" i="7"/>
  <c r="H863" i="7"/>
  <c r="D818" i="8"/>
  <c r="L132" i="8"/>
  <c r="L64" i="8"/>
  <c r="H805" i="9"/>
  <c r="D403" i="9"/>
  <c r="D270" i="9"/>
  <c r="AN847" i="6"/>
  <c r="B885" i="6"/>
  <c r="AO882" i="6"/>
  <c r="AT882" i="6" s="1"/>
  <c r="AG847" i="6"/>
  <c r="AH847" i="6" s="1"/>
  <c r="AJ847" i="6" s="1"/>
  <c r="AL847" i="6" s="1"/>
  <c r="B913" i="6"/>
  <c r="E781" i="10"/>
  <c r="L252" i="10"/>
  <c r="L251" i="10"/>
  <c r="L128" i="10"/>
  <c r="J949" i="8"/>
  <c r="AI869" i="8"/>
  <c r="AI904" i="8"/>
  <c r="AI803" i="8"/>
  <c r="L286" i="7"/>
  <c r="E841" i="7"/>
  <c r="L287" i="7"/>
  <c r="L132" i="7"/>
  <c r="I890" i="7"/>
  <c r="I846" i="7"/>
  <c r="I862" i="7"/>
  <c r="E778" i="10"/>
  <c r="H251" i="10"/>
  <c r="H252" i="10"/>
  <c r="H128" i="10"/>
  <c r="K998" i="6"/>
  <c r="AJ953" i="6"/>
  <c r="AJ918" i="6"/>
  <c r="K994" i="6"/>
  <c r="AJ949" i="6"/>
  <c r="AJ914" i="6"/>
  <c r="R457" i="8"/>
  <c r="N286" i="7"/>
  <c r="Q285" i="7"/>
  <c r="N287" i="7"/>
  <c r="E842" i="7"/>
  <c r="N132" i="7"/>
  <c r="K981" i="7"/>
  <c r="AJ936" i="7"/>
  <c r="AJ901" i="7"/>
  <c r="D779" i="10"/>
  <c r="J129" i="10"/>
  <c r="M128" i="10"/>
  <c r="J65" i="10"/>
  <c r="D812" i="8"/>
  <c r="D132" i="8"/>
  <c r="D64" i="8"/>
  <c r="E859" i="6"/>
  <c r="L294" i="6"/>
  <c r="L295" i="6"/>
  <c r="L130" i="6"/>
  <c r="H862" i="10"/>
  <c r="G805" i="10" s="1"/>
  <c r="H838" i="10"/>
  <c r="C915" i="6"/>
  <c r="AP884" i="6"/>
  <c r="C887" i="6"/>
  <c r="B838" i="7"/>
  <c r="H30" i="7"/>
  <c r="H19" i="7"/>
  <c r="L956" i="8"/>
  <c r="AK876" i="8"/>
  <c r="AK911" i="8"/>
  <c r="I858" i="10"/>
  <c r="I834" i="10"/>
  <c r="H878" i="8"/>
  <c r="H850" i="8"/>
  <c r="D814" i="8"/>
  <c r="G132" i="8"/>
  <c r="G64" i="8"/>
  <c r="I831" i="10"/>
  <c r="I855" i="10"/>
  <c r="I786" i="10"/>
  <c r="I864" i="10"/>
  <c r="I840" i="10"/>
  <c r="L953" i="8"/>
  <c r="AK873" i="8"/>
  <c r="AK908" i="8"/>
  <c r="J903" i="7"/>
  <c r="L970" i="7"/>
  <c r="AK890" i="7"/>
  <c r="AK925" i="7"/>
  <c r="AL915" i="8"/>
  <c r="D855" i="6"/>
  <c r="G131" i="6"/>
  <c r="G64" i="6"/>
  <c r="I876" i="8"/>
  <c r="I848" i="8"/>
  <c r="D777" i="10"/>
  <c r="G129" i="10"/>
  <c r="G65" i="10"/>
  <c r="K997" i="6"/>
  <c r="AJ917" i="6"/>
  <c r="AJ952" i="6"/>
  <c r="H863" i="10"/>
  <c r="G806" i="10" s="1"/>
  <c r="H839" i="10"/>
  <c r="B858" i="6"/>
  <c r="K19" i="6"/>
  <c r="K30" i="6"/>
  <c r="H870" i="7"/>
  <c r="H898" i="7"/>
  <c r="R473" i="7"/>
  <c r="H860" i="10"/>
  <c r="G803" i="10" s="1"/>
  <c r="H836" i="10"/>
  <c r="C820" i="8"/>
  <c r="O65" i="8"/>
  <c r="O29" i="8"/>
  <c r="I823" i="8"/>
  <c r="I839" i="8"/>
  <c r="I867" i="8"/>
  <c r="R449" i="9"/>
  <c r="P885" i="10"/>
  <c r="E833" i="10"/>
  <c r="E857" i="10"/>
  <c r="D807" i="9"/>
  <c r="G131" i="9"/>
  <c r="G64" i="9"/>
  <c r="G989" i="6"/>
  <c r="AG944" i="6"/>
  <c r="AG909" i="6"/>
  <c r="I838" i="9"/>
  <c r="I864" i="9"/>
  <c r="J944" i="9" s="1"/>
  <c r="AJ909" i="8"/>
  <c r="K954" i="8"/>
  <c r="AJ874" i="8"/>
  <c r="H874" i="8"/>
  <c r="H846" i="8"/>
  <c r="I858" i="9"/>
  <c r="I832" i="9"/>
  <c r="I816" i="9"/>
  <c r="E860" i="6"/>
  <c r="N294" i="6"/>
  <c r="Q293" i="6"/>
  <c r="N295" i="6"/>
  <c r="N130" i="6"/>
  <c r="J868" i="10"/>
  <c r="K958" i="8"/>
  <c r="AJ913" i="8"/>
  <c r="AJ878" i="8"/>
  <c r="H872" i="8"/>
  <c r="H844" i="8"/>
  <c r="E804" i="9"/>
  <c r="C272" i="9"/>
  <c r="C271" i="9"/>
  <c r="C130" i="9"/>
  <c r="H883" i="6"/>
  <c r="H911" i="6"/>
  <c r="J948" i="8"/>
  <c r="AI868" i="8"/>
  <c r="AI903" i="8"/>
  <c r="AI802" i="8"/>
  <c r="AE948" i="6"/>
  <c r="E993" i="6"/>
  <c r="AE913" i="6"/>
  <c r="AJ899" i="7"/>
  <c r="K979" i="7"/>
  <c r="AJ934" i="7"/>
  <c r="AK1007" i="6"/>
  <c r="AK996" i="6"/>
  <c r="AK1005" i="6"/>
  <c r="AK997" i="6"/>
  <c r="AK993" i="6"/>
  <c r="AK991" i="6"/>
  <c r="AK998" i="6"/>
  <c r="AK1010" i="6"/>
  <c r="AK1003" i="6"/>
  <c r="AK1001" i="6"/>
  <c r="AK999" i="6"/>
  <c r="AK1008" i="6"/>
  <c r="AK1006" i="6"/>
  <c r="AK988" i="6"/>
  <c r="AK1000" i="6"/>
  <c r="AK995" i="6"/>
  <c r="AK1011" i="6"/>
  <c r="AK994" i="6"/>
  <c r="AK1002" i="6"/>
  <c r="AK992" i="6"/>
  <c r="AK990" i="6"/>
  <c r="AK1004" i="6"/>
  <c r="AK1009" i="6"/>
  <c r="AK989" i="6"/>
  <c r="AF915" i="6"/>
  <c r="F995" i="6"/>
  <c r="AF950" i="6"/>
  <c r="N272" i="9"/>
  <c r="N271" i="9"/>
  <c r="Q270" i="9"/>
  <c r="E812" i="9"/>
  <c r="N130" i="9"/>
  <c r="B294" i="6"/>
  <c r="E851" i="6"/>
  <c r="B295" i="6"/>
  <c r="E293" i="6"/>
  <c r="R293" i="6" s="1"/>
  <c r="B130" i="6"/>
  <c r="D811" i="9"/>
  <c r="L131" i="9"/>
  <c r="L64" i="9"/>
  <c r="I870" i="8"/>
  <c r="I842" i="8"/>
  <c r="E869" i="8"/>
  <c r="E841" i="8"/>
  <c r="AR838" i="8"/>
  <c r="L976" i="7"/>
  <c r="AK931" i="7"/>
  <c r="AK896" i="7"/>
  <c r="P889" i="10"/>
  <c r="E837" i="10"/>
  <c r="E861" i="10"/>
  <c r="H917" i="6"/>
  <c r="H889" i="6"/>
  <c r="H859" i="9"/>
  <c r="H833" i="9"/>
  <c r="C843" i="7"/>
  <c r="O29" i="7"/>
  <c r="O65" i="7"/>
  <c r="D837" i="7"/>
  <c r="G133" i="7"/>
  <c r="G64" i="7"/>
  <c r="K287" i="7"/>
  <c r="E840" i="7"/>
  <c r="K286" i="7"/>
  <c r="K132" i="7"/>
  <c r="F286" i="7"/>
  <c r="E836" i="7"/>
  <c r="I285" i="7"/>
  <c r="F287" i="7"/>
  <c r="F132" i="7"/>
  <c r="AJ967" i="8"/>
  <c r="AJ965" i="8"/>
  <c r="AJ970" i="8"/>
  <c r="AJ968" i="8"/>
  <c r="AJ963" i="8"/>
  <c r="AJ961" i="8"/>
  <c r="AJ959" i="8"/>
  <c r="AJ966" i="8"/>
  <c r="AJ955" i="8"/>
  <c r="AJ953" i="8"/>
  <c r="AJ949" i="8"/>
  <c r="AJ969" i="8"/>
  <c r="AJ962" i="8"/>
  <c r="AJ960" i="8"/>
  <c r="AJ958" i="8"/>
  <c r="AJ956" i="8"/>
  <c r="AJ954" i="8"/>
  <c r="AJ952" i="8"/>
  <c r="AJ964" i="8"/>
  <c r="AJ951" i="8"/>
  <c r="AJ948" i="8"/>
  <c r="AJ947" i="8"/>
  <c r="AJ957" i="8"/>
  <c r="AJ950" i="8"/>
  <c r="H809" i="9"/>
  <c r="J403" i="9"/>
  <c r="M402" i="9"/>
  <c r="J270" i="9"/>
  <c r="E853" i="6"/>
  <c r="D295" i="6"/>
  <c r="D294" i="6"/>
  <c r="D130" i="6"/>
  <c r="K978" i="7"/>
  <c r="AJ898" i="7"/>
  <c r="AJ933" i="7"/>
  <c r="M426" i="7"/>
  <c r="J427" i="7"/>
  <c r="H839" i="7"/>
  <c r="J285" i="7"/>
  <c r="E806" i="9"/>
  <c r="F271" i="9"/>
  <c r="I270" i="9"/>
  <c r="F272" i="9"/>
  <c r="F130" i="9"/>
  <c r="D811" i="8"/>
  <c r="C132" i="8"/>
  <c r="C64" i="8"/>
  <c r="E875" i="8"/>
  <c r="AR844" i="8"/>
  <c r="E847" i="8"/>
  <c r="I860" i="9"/>
  <c r="J940" i="9" s="1"/>
  <c r="I834" i="9"/>
  <c r="C852" i="6"/>
  <c r="C65" i="6"/>
  <c r="C29" i="6"/>
  <c r="H816" i="8"/>
  <c r="J411" i="8"/>
  <c r="M410" i="8"/>
  <c r="J275" i="8"/>
  <c r="R443" i="6"/>
  <c r="AG935" i="7"/>
  <c r="G980" i="7"/>
  <c r="AG900" i="7"/>
  <c r="C783" i="10"/>
  <c r="O66" i="10"/>
  <c r="O30" i="10"/>
  <c r="C862" i="6"/>
  <c r="P65" i="6"/>
  <c r="P29" i="6"/>
  <c r="E774" i="10"/>
  <c r="C252" i="10"/>
  <c r="C251" i="10"/>
  <c r="C128" i="10"/>
  <c r="H899" i="7"/>
  <c r="H871" i="7"/>
  <c r="B835" i="7"/>
  <c r="D30" i="7"/>
  <c r="D19" i="7"/>
  <c r="I873" i="8"/>
  <c r="I845" i="8"/>
  <c r="AI807" i="9"/>
  <c r="I942" i="9"/>
  <c r="J974" i="7"/>
  <c r="AI929" i="7"/>
  <c r="AI894" i="7"/>
  <c r="AI828" i="7"/>
  <c r="H865" i="9"/>
  <c r="H839" i="9"/>
  <c r="E862" i="9"/>
  <c r="F942" i="9" s="1"/>
  <c r="AR842" i="9"/>
  <c r="E836" i="9"/>
  <c r="H888" i="6"/>
  <c r="H916" i="6"/>
  <c r="J992" i="6"/>
  <c r="AI846" i="6"/>
  <c r="AI947" i="6"/>
  <c r="AI912" i="6"/>
  <c r="R424" i="10"/>
  <c r="H886" i="6"/>
  <c r="H914" i="6"/>
  <c r="K996" i="6"/>
  <c r="AJ951" i="6"/>
  <c r="AJ916" i="6"/>
  <c r="D775" i="10"/>
  <c r="D129" i="10"/>
  <c r="D65" i="10"/>
  <c r="D900" i="7"/>
  <c r="D872" i="7"/>
  <c r="AQ869" i="7"/>
  <c r="H893" i="7"/>
  <c r="H865" i="7"/>
  <c r="C867" i="7"/>
  <c r="AP864" i="7"/>
  <c r="C895" i="7"/>
  <c r="E808" i="9"/>
  <c r="H271" i="9"/>
  <c r="H272" i="9"/>
  <c r="H130" i="9"/>
  <c r="P286" i="7"/>
  <c r="E844" i="7"/>
  <c r="P287" i="7"/>
  <c r="P132" i="7"/>
  <c r="B813" i="9"/>
  <c r="O30" i="9"/>
  <c r="O19" i="9"/>
  <c r="AK956" i="6"/>
  <c r="AJ928" i="7"/>
  <c r="K973" i="7"/>
  <c r="AJ893" i="7"/>
  <c r="H867" i="9"/>
  <c r="H841" i="9"/>
  <c r="E814" i="9"/>
  <c r="P271" i="9"/>
  <c r="P272" i="9"/>
  <c r="P130" i="9"/>
  <c r="AJ946" i="6"/>
  <c r="K991" i="6"/>
  <c r="AJ911" i="6"/>
  <c r="I946" i="9"/>
  <c r="AI811" i="9"/>
  <c r="H908" i="6"/>
  <c r="H864" i="6"/>
  <c r="H880" i="6"/>
  <c r="K938" i="9"/>
  <c r="J871" i="9"/>
  <c r="F975" i="7"/>
  <c r="AF930" i="7"/>
  <c r="AF895" i="7"/>
  <c r="AQ846" i="8"/>
  <c r="D849" i="8"/>
  <c r="D877" i="8"/>
  <c r="AR846" i="9"/>
  <c r="E840" i="9"/>
  <c r="E866" i="9"/>
  <c r="F946" i="9" s="1"/>
  <c r="AJ945" i="6"/>
  <c r="K990" i="6"/>
  <c r="AJ910" i="6"/>
  <c r="H869" i="7"/>
  <c r="H897" i="7"/>
  <c r="K971" i="7"/>
  <c r="AJ891" i="7"/>
  <c r="AJ926" i="7"/>
  <c r="E861" i="6"/>
  <c r="O295" i="6"/>
  <c r="O294" i="6"/>
  <c r="O130" i="6"/>
  <c r="AJ908" i="6"/>
  <c r="AJ943" i="6"/>
  <c r="K988" i="6"/>
  <c r="I921" i="6"/>
  <c r="E871" i="8"/>
  <c r="E843" i="8"/>
  <c r="AR840" i="8"/>
  <c r="H882" i="6"/>
  <c r="H910" i="6"/>
  <c r="H873" i="7"/>
  <c r="H901" i="7"/>
  <c r="E780" i="10"/>
  <c r="K252" i="10"/>
  <c r="K251" i="10"/>
  <c r="K128" i="10"/>
  <c r="AK921" i="6"/>
  <c r="E912" i="6"/>
  <c r="E884" i="6"/>
  <c r="AR881" i="6"/>
  <c r="AK902" i="8"/>
  <c r="L947" i="8"/>
  <c r="J880" i="8"/>
  <c r="AK867" i="8"/>
  <c r="E817" i="8"/>
  <c r="K277" i="8"/>
  <c r="K276" i="8"/>
  <c r="K131" i="8"/>
  <c r="P887" i="10"/>
  <c r="E859" i="10"/>
  <c r="E835" i="10"/>
  <c r="D909" i="6"/>
  <c r="D881" i="6"/>
  <c r="AQ878" i="6"/>
  <c r="K952" i="8"/>
  <c r="AJ907" i="8"/>
  <c r="AJ872" i="8"/>
  <c r="O893" i="10"/>
  <c r="D865" i="10"/>
  <c r="D841" i="10"/>
  <c r="AQ888" i="6"/>
  <c r="D919" i="6"/>
  <c r="D891" i="6"/>
  <c r="H813" i="8"/>
  <c r="I410" i="8"/>
  <c r="F411" i="8"/>
  <c r="F275" i="8"/>
  <c r="H856" i="10"/>
  <c r="G799" i="10" s="1"/>
  <c r="H832" i="10"/>
  <c r="C892" i="7"/>
  <c r="C864" i="7"/>
  <c r="AP861" i="7"/>
  <c r="E771" i="5"/>
  <c r="O251" i="5"/>
  <c r="O252" i="5"/>
  <c r="O129" i="5"/>
  <c r="E843" i="5"/>
  <c r="E819" i="5"/>
  <c r="P871" i="5"/>
  <c r="H851" i="5"/>
  <c r="G794" i="5" s="1"/>
  <c r="H827" i="5"/>
  <c r="E848" i="5"/>
  <c r="P876" i="5"/>
  <c r="E824" i="5"/>
  <c r="H852" i="5"/>
  <c r="G795" i="5" s="1"/>
  <c r="H828" i="5"/>
  <c r="E767" i="5"/>
  <c r="J252" i="5"/>
  <c r="M250" i="5"/>
  <c r="J251" i="5"/>
  <c r="J129" i="5"/>
  <c r="E765" i="5"/>
  <c r="G251" i="5"/>
  <c r="G252" i="5"/>
  <c r="G129" i="5"/>
  <c r="D772" i="5"/>
  <c r="P130" i="5"/>
  <c r="P65" i="5"/>
  <c r="C762" i="5"/>
  <c r="C66" i="5"/>
  <c r="C30" i="5"/>
  <c r="H764" i="5"/>
  <c r="I374" i="5"/>
  <c r="R374" i="5" s="1"/>
  <c r="F375" i="5"/>
  <c r="F250" i="5"/>
  <c r="H853" i="5"/>
  <c r="G796" i="5" s="1"/>
  <c r="H829" i="5"/>
  <c r="D763" i="5"/>
  <c r="D130" i="5"/>
  <c r="D65" i="5"/>
  <c r="D761" i="5"/>
  <c r="E129" i="5"/>
  <c r="B130" i="5"/>
  <c r="B65" i="5"/>
  <c r="P878" i="5"/>
  <c r="E850" i="5"/>
  <c r="E826" i="5"/>
  <c r="G786" i="5"/>
  <c r="H823" i="5"/>
  <c r="H847" i="5"/>
  <c r="G790" i="5" s="1"/>
  <c r="D844" i="5"/>
  <c r="O872" i="5"/>
  <c r="D820" i="5"/>
  <c r="H849" i="5"/>
  <c r="G792" i="5" s="1"/>
  <c r="H825" i="5"/>
  <c r="P882" i="5"/>
  <c r="E854" i="5"/>
  <c r="E830" i="5"/>
  <c r="D766" i="5"/>
  <c r="H130" i="5"/>
  <c r="H65" i="5"/>
  <c r="E770" i="5"/>
  <c r="N251" i="5"/>
  <c r="Q250" i="5"/>
  <c r="N252" i="5"/>
  <c r="N129" i="5"/>
  <c r="D768" i="5"/>
  <c r="K130" i="5"/>
  <c r="K65" i="5"/>
  <c r="E769" i="5"/>
  <c r="L252" i="5"/>
  <c r="L251" i="5"/>
  <c r="L129" i="5"/>
  <c r="E845" i="5"/>
  <c r="P873" i="5"/>
  <c r="E821" i="5"/>
  <c r="I846" i="5"/>
  <c r="I856" i="5" s="1"/>
  <c r="I822" i="5"/>
  <c r="I774" i="5"/>
  <c r="D741" i="4"/>
  <c r="D129" i="4"/>
  <c r="D67" i="4"/>
  <c r="C740" i="4"/>
  <c r="C68" i="4"/>
  <c r="C32" i="4"/>
  <c r="P856" i="4"/>
  <c r="E804" i="4"/>
  <c r="E828" i="4"/>
  <c r="I824" i="4"/>
  <c r="I800" i="4"/>
  <c r="H831" i="4"/>
  <c r="G774" i="4" s="1"/>
  <c r="H807" i="4"/>
  <c r="I821" i="4"/>
  <c r="I752" i="4"/>
  <c r="I797" i="4"/>
  <c r="H826" i="4"/>
  <c r="G769" i="4" s="1"/>
  <c r="H802" i="4"/>
  <c r="J834" i="4"/>
  <c r="H745" i="4"/>
  <c r="J365" i="4"/>
  <c r="M364" i="4"/>
  <c r="J245" i="4"/>
  <c r="D747" i="4"/>
  <c r="L129" i="4"/>
  <c r="L67" i="4"/>
  <c r="H750" i="4"/>
  <c r="P365" i="4"/>
  <c r="P245" i="4"/>
  <c r="D748" i="4"/>
  <c r="N129" i="4"/>
  <c r="N67" i="4"/>
  <c r="E823" i="4"/>
  <c r="P851" i="4"/>
  <c r="E799" i="4"/>
  <c r="I832" i="4"/>
  <c r="I808" i="4"/>
  <c r="E743" i="4"/>
  <c r="G246" i="4"/>
  <c r="G247" i="4"/>
  <c r="G128" i="4"/>
  <c r="I827" i="4"/>
  <c r="I803" i="4"/>
  <c r="H739" i="4"/>
  <c r="B365" i="4"/>
  <c r="E364" i="4"/>
  <c r="B245" i="4"/>
  <c r="H825" i="4"/>
  <c r="G768" i="4" s="1"/>
  <c r="H801" i="4"/>
  <c r="P857" i="4"/>
  <c r="E805" i="4"/>
  <c r="E829" i="4"/>
  <c r="E749" i="4"/>
  <c r="O246" i="4"/>
  <c r="O247" i="4"/>
  <c r="O128" i="4"/>
  <c r="O850" i="4"/>
  <c r="D822" i="4"/>
  <c r="D798" i="4"/>
  <c r="R405" i="4"/>
  <c r="E744" i="4"/>
  <c r="H246" i="4"/>
  <c r="H247" i="4"/>
  <c r="H128" i="4"/>
  <c r="D746" i="4"/>
  <c r="K129" i="4"/>
  <c r="K67" i="4"/>
  <c r="H742" i="4"/>
  <c r="F365" i="4"/>
  <c r="I364" i="4"/>
  <c r="F245" i="4"/>
  <c r="E806" i="4"/>
  <c r="P858" i="4"/>
  <c r="E830" i="4"/>
  <c r="I829" i="3"/>
  <c r="I805" i="3"/>
  <c r="P858" i="3"/>
  <c r="E806" i="3"/>
  <c r="E830" i="3"/>
  <c r="D248" i="3"/>
  <c r="E743" i="3"/>
  <c r="D247" i="3"/>
  <c r="D132" i="3"/>
  <c r="I799" i="3"/>
  <c r="I754" i="3"/>
  <c r="I823" i="3"/>
  <c r="C750" i="3"/>
  <c r="N67" i="3"/>
  <c r="N31" i="3"/>
  <c r="D808" i="3"/>
  <c r="D832" i="3"/>
  <c r="O860" i="3"/>
  <c r="E746" i="3"/>
  <c r="H247" i="3"/>
  <c r="H248" i="3"/>
  <c r="H132" i="3"/>
  <c r="O852" i="3"/>
  <c r="D824" i="3"/>
  <c r="D800" i="3"/>
  <c r="E745" i="3"/>
  <c r="G248" i="3"/>
  <c r="G247" i="3"/>
  <c r="G132" i="3"/>
  <c r="H825" i="3"/>
  <c r="G768" i="3" s="1"/>
  <c r="H801" i="3"/>
  <c r="B749" i="3"/>
  <c r="L32" i="3"/>
  <c r="L22" i="3"/>
  <c r="H741" i="3"/>
  <c r="E359" i="3"/>
  <c r="B360" i="3"/>
  <c r="B246" i="3"/>
  <c r="E752" i="3"/>
  <c r="P248" i="3"/>
  <c r="P247" i="3"/>
  <c r="P132" i="3"/>
  <c r="Q246" i="3"/>
  <c r="H828" i="3"/>
  <c r="G771" i="3" s="1"/>
  <c r="H804" i="3"/>
  <c r="H827" i="3"/>
  <c r="G770" i="3" s="1"/>
  <c r="H803" i="3"/>
  <c r="I826" i="3"/>
  <c r="I802" i="3"/>
  <c r="H747" i="3"/>
  <c r="M359" i="3"/>
  <c r="J360" i="3"/>
  <c r="J246" i="3"/>
  <c r="H744" i="3"/>
  <c r="F360" i="3"/>
  <c r="I359" i="3"/>
  <c r="F246" i="3"/>
  <c r="R399" i="3"/>
  <c r="D748" i="3"/>
  <c r="K133" i="3"/>
  <c r="K66" i="3"/>
  <c r="N859" i="3"/>
  <c r="C807" i="3"/>
  <c r="C831" i="3"/>
  <c r="C742" i="3"/>
  <c r="C67" i="3"/>
  <c r="C31" i="3"/>
  <c r="E833" i="3"/>
  <c r="P861" i="3"/>
  <c r="E809" i="3"/>
  <c r="H810" i="3"/>
  <c r="H834" i="3"/>
  <c r="G777" i="3" s="1"/>
  <c r="D751" i="3"/>
  <c r="O133" i="3"/>
  <c r="O66" i="3"/>
  <c r="I853" i="2"/>
  <c r="P868" i="2"/>
  <c r="E816" i="2"/>
  <c r="E840" i="2"/>
  <c r="H761" i="2"/>
  <c r="F378" i="2"/>
  <c r="I377" i="2"/>
  <c r="R377" i="2" s="1"/>
  <c r="F256" i="2"/>
  <c r="H767" i="2"/>
  <c r="N378" i="2"/>
  <c r="Q377" i="2"/>
  <c r="N256" i="2"/>
  <c r="H847" i="2"/>
  <c r="G790" i="2" s="1"/>
  <c r="H823" i="2"/>
  <c r="H842" i="2"/>
  <c r="G785" i="2" s="1"/>
  <c r="H818" i="2"/>
  <c r="H764" i="2"/>
  <c r="J378" i="2"/>
  <c r="M377" i="2"/>
  <c r="J256" i="2"/>
  <c r="B763" i="2"/>
  <c r="H33" i="2"/>
  <c r="H22" i="2"/>
  <c r="E766" i="2"/>
  <c r="L257" i="2"/>
  <c r="L258" i="2"/>
  <c r="L133" i="2"/>
  <c r="I849" i="2"/>
  <c r="I825" i="2"/>
  <c r="H841" i="2"/>
  <c r="G784" i="2" s="1"/>
  <c r="H817" i="2"/>
  <c r="E762" i="2"/>
  <c r="G258" i="2"/>
  <c r="G257" i="2"/>
  <c r="G133" i="2"/>
  <c r="H820" i="2"/>
  <c r="H844" i="2"/>
  <c r="G787" i="2" s="1"/>
  <c r="B769" i="2"/>
  <c r="P33" i="2"/>
  <c r="P22" i="2"/>
  <c r="E768" i="2"/>
  <c r="O258" i="2"/>
  <c r="O257" i="2"/>
  <c r="O133" i="2"/>
  <c r="D758" i="2"/>
  <c r="B134" i="2"/>
  <c r="E133" i="2"/>
  <c r="B67" i="2"/>
  <c r="N873" i="2"/>
  <c r="C845" i="2"/>
  <c r="C821" i="2"/>
  <c r="I843" i="2"/>
  <c r="I819" i="2"/>
  <c r="I771" i="2"/>
  <c r="H848" i="2"/>
  <c r="G791" i="2" s="1"/>
  <c r="H824" i="2"/>
  <c r="E759" i="2"/>
  <c r="C257" i="2"/>
  <c r="C258" i="2"/>
  <c r="C133" i="2"/>
  <c r="N879" i="2"/>
  <c r="C827" i="2"/>
  <c r="C851" i="2"/>
  <c r="E765" i="2"/>
  <c r="K257" i="2"/>
  <c r="K258" i="2"/>
  <c r="K133" i="2"/>
  <c r="E256" i="2"/>
  <c r="E760" i="2"/>
  <c r="D258" i="2"/>
  <c r="D257" i="2"/>
  <c r="D133" i="2"/>
  <c r="H771" i="2"/>
  <c r="G783" i="2"/>
  <c r="H850" i="2"/>
  <c r="G793" i="2" s="1"/>
  <c r="H826" i="2"/>
  <c r="I846" i="2"/>
  <c r="I822" i="2"/>
  <c r="AJ921" i="6" l="1"/>
  <c r="AK938" i="7"/>
  <c r="R426" i="7"/>
  <c r="AJ1115" i="14"/>
  <c r="AK1084" i="13"/>
  <c r="AJ971" i="8"/>
  <c r="AG994" i="7"/>
  <c r="AK1012" i="6"/>
  <c r="AF1046" i="11"/>
  <c r="AJ1072" i="12"/>
  <c r="H982" i="15"/>
  <c r="H1010" i="15"/>
  <c r="H966" i="15"/>
  <c r="R943" i="11"/>
  <c r="B971" i="11" s="1"/>
  <c r="AD978" i="11"/>
  <c r="AS978" i="11" s="1"/>
  <c r="AD943" i="11"/>
  <c r="AS943" i="11" s="1"/>
  <c r="R1050" i="11"/>
  <c r="AF1048" i="14"/>
  <c r="F1093" i="14"/>
  <c r="AF1013" i="14"/>
  <c r="J1063" i="13"/>
  <c r="Z1063" i="13" s="1"/>
  <c r="AI983" i="13"/>
  <c r="AI1018" i="13"/>
  <c r="E994" i="14"/>
  <c r="AR991" i="14"/>
  <c r="E1022" i="14"/>
  <c r="E929" i="13"/>
  <c r="J319" i="13"/>
  <c r="M318" i="13"/>
  <c r="J320" i="13"/>
  <c r="J133" i="13"/>
  <c r="D969" i="12"/>
  <c r="D941" i="12"/>
  <c r="AQ938" i="12"/>
  <c r="H977" i="12"/>
  <c r="H949" i="12"/>
  <c r="D947" i="11"/>
  <c r="D919" i="11"/>
  <c r="AQ916" i="11"/>
  <c r="H943" i="12"/>
  <c r="H971" i="12"/>
  <c r="D962" i="14"/>
  <c r="L141" i="14"/>
  <c r="L64" i="14"/>
  <c r="B956" i="14"/>
  <c r="D30" i="14"/>
  <c r="D19" i="14"/>
  <c r="AG1011" i="12"/>
  <c r="G1056" i="12"/>
  <c r="AG976" i="12"/>
  <c r="D932" i="13"/>
  <c r="N134" i="13"/>
  <c r="Q133" i="13"/>
  <c r="N64" i="13"/>
  <c r="C961" i="14"/>
  <c r="K65" i="14"/>
  <c r="K29" i="14"/>
  <c r="AJ1049" i="14"/>
  <c r="K1094" i="14"/>
  <c r="AJ1014" i="14"/>
  <c r="H960" i="14"/>
  <c r="M522" i="14"/>
  <c r="R522" i="14" s="1"/>
  <c r="J523" i="14"/>
  <c r="J330" i="14"/>
  <c r="H991" i="15"/>
  <c r="H1019" i="15"/>
  <c r="B959" i="13"/>
  <c r="AO956" i="13"/>
  <c r="AT956" i="13" s="1"/>
  <c r="B987" i="13"/>
  <c r="AG1055" i="14"/>
  <c r="AG1020" i="14"/>
  <c r="G1100" i="14"/>
  <c r="D926" i="13"/>
  <c r="F134" i="13"/>
  <c r="I133" i="13"/>
  <c r="F64" i="13"/>
  <c r="AI1147" i="14"/>
  <c r="AI1146" i="14"/>
  <c r="AJ1003" i="12"/>
  <c r="I981" i="12"/>
  <c r="K1048" i="12"/>
  <c r="AJ968" i="12"/>
  <c r="E958" i="15"/>
  <c r="H326" i="15"/>
  <c r="H327" i="15"/>
  <c r="H135" i="15"/>
  <c r="E972" i="12"/>
  <c r="E944" i="12"/>
  <c r="AR941" i="12"/>
  <c r="C923" i="13"/>
  <c r="B65" i="13"/>
  <c r="B29" i="13"/>
  <c r="E64" i="13"/>
  <c r="AN886" i="11"/>
  <c r="B952" i="11"/>
  <c r="AO921" i="11"/>
  <c r="AT921" i="11" s="1"/>
  <c r="B924" i="11"/>
  <c r="AG886" i="11"/>
  <c r="AH886" i="11" s="1"/>
  <c r="AJ886" i="11" s="1"/>
  <c r="AL886" i="11" s="1"/>
  <c r="E992" i="15"/>
  <c r="E1020" i="15"/>
  <c r="E957" i="14"/>
  <c r="F332" i="14"/>
  <c r="I330" i="14"/>
  <c r="F331" i="14"/>
  <c r="F140" i="14"/>
  <c r="D961" i="15"/>
  <c r="L136" i="15"/>
  <c r="L64" i="15"/>
  <c r="AI1109" i="12"/>
  <c r="AI1110" i="12"/>
  <c r="H946" i="12"/>
  <c r="H974" i="12"/>
  <c r="E1017" i="15"/>
  <c r="E989" i="15"/>
  <c r="G1092" i="14"/>
  <c r="AG1012" i="14"/>
  <c r="AG1047" i="14"/>
  <c r="E1067" i="13"/>
  <c r="AE987" i="13"/>
  <c r="AE1022" i="13"/>
  <c r="G1024" i="11"/>
  <c r="AG979" i="11"/>
  <c r="AG944" i="11"/>
  <c r="C922" i="12"/>
  <c r="P65" i="12"/>
  <c r="P29" i="12"/>
  <c r="E961" i="13"/>
  <c r="E989" i="13"/>
  <c r="AR958" i="13"/>
  <c r="C955" i="14"/>
  <c r="C65" i="14"/>
  <c r="C29" i="14"/>
  <c r="F1026" i="11"/>
  <c r="AF981" i="11"/>
  <c r="AF946" i="11"/>
  <c r="B889" i="11"/>
  <c r="G30" i="11"/>
  <c r="G19" i="11"/>
  <c r="K1066" i="13"/>
  <c r="AJ1021" i="13"/>
  <c r="AJ1028" i="13" s="1"/>
  <c r="AJ986" i="13"/>
  <c r="AJ993" i="13" s="1"/>
  <c r="E991" i="13"/>
  <c r="E963" i="13"/>
  <c r="AR960" i="13"/>
  <c r="D954" i="14"/>
  <c r="B141" i="14"/>
  <c r="E140" i="14"/>
  <c r="B64" i="14"/>
  <c r="E962" i="13"/>
  <c r="E990" i="13"/>
  <c r="AR959" i="13"/>
  <c r="AJ1012" i="12"/>
  <c r="AJ977" i="12"/>
  <c r="K1057" i="12"/>
  <c r="D988" i="14"/>
  <c r="AQ985" i="14"/>
  <c r="D1016" i="14"/>
  <c r="AK955" i="11"/>
  <c r="H1014" i="14"/>
  <c r="H986" i="14"/>
  <c r="H985" i="15"/>
  <c r="H1013" i="15"/>
  <c r="B984" i="15"/>
  <c r="B1012" i="15"/>
  <c r="R1012" i="15" s="1"/>
  <c r="E1014" i="15"/>
  <c r="E986" i="15"/>
  <c r="H945" i="11"/>
  <c r="H917" i="11"/>
  <c r="E949" i="11"/>
  <c r="AR918" i="11"/>
  <c r="E921" i="11"/>
  <c r="N310" i="11"/>
  <c r="E894" i="11"/>
  <c r="Q309" i="11"/>
  <c r="N311" i="11"/>
  <c r="N131" i="11"/>
  <c r="C913" i="12"/>
  <c r="D65" i="12"/>
  <c r="D29" i="12"/>
  <c r="H968" i="12"/>
  <c r="H924" i="12"/>
  <c r="H940" i="12"/>
  <c r="AI978" i="12"/>
  <c r="AI912" i="12"/>
  <c r="AI1013" i="12"/>
  <c r="J1058" i="12"/>
  <c r="Z1058" i="12" s="1"/>
  <c r="H958" i="13"/>
  <c r="H986" i="13"/>
  <c r="F1068" i="13"/>
  <c r="AF1023" i="13"/>
  <c r="AF988" i="13"/>
  <c r="K1022" i="11"/>
  <c r="AJ977" i="11"/>
  <c r="I955" i="11"/>
  <c r="AJ942" i="11"/>
  <c r="AI1088" i="13"/>
  <c r="AI1089" i="13"/>
  <c r="AI1113" i="14"/>
  <c r="AI1106" i="14"/>
  <c r="AI1104" i="14"/>
  <c r="AI1110" i="14"/>
  <c r="AI1096" i="14"/>
  <c r="AI1111" i="14"/>
  <c r="AI1094" i="14"/>
  <c r="AI1092" i="14"/>
  <c r="AI1114" i="14"/>
  <c r="AI1103" i="14"/>
  <c r="AI1101" i="14"/>
  <c r="AI1099" i="14"/>
  <c r="AI1112" i="14"/>
  <c r="AI1097" i="14"/>
  <c r="AI1095" i="14"/>
  <c r="AI1093" i="14"/>
  <c r="AI1091" i="14"/>
  <c r="AI1102" i="14"/>
  <c r="AI1100" i="14"/>
  <c r="AI1098" i="14"/>
  <c r="AI1105" i="14"/>
  <c r="AI1108" i="14"/>
  <c r="AI1107" i="14"/>
  <c r="Z1092" i="14"/>
  <c r="AI1109" i="14"/>
  <c r="AI1057" i="11"/>
  <c r="AI1056" i="11"/>
  <c r="AP982" i="14"/>
  <c r="C1013" i="14"/>
  <c r="C985" i="14"/>
  <c r="E1011" i="15"/>
  <c r="E983" i="15"/>
  <c r="AJ1009" i="12"/>
  <c r="K1054" i="12"/>
  <c r="AJ974" i="12"/>
  <c r="AQ987" i="14"/>
  <c r="D1018" i="14"/>
  <c r="D990" i="14"/>
  <c r="C946" i="11"/>
  <c r="C918" i="11"/>
  <c r="AP915" i="11"/>
  <c r="E885" i="11"/>
  <c r="B310" i="11"/>
  <c r="B311" i="11"/>
  <c r="E309" i="11"/>
  <c r="B131" i="11"/>
  <c r="H1015" i="15"/>
  <c r="H987" i="15"/>
  <c r="C919" i="12"/>
  <c r="L65" i="12"/>
  <c r="L29" i="12"/>
  <c r="H1016" i="15"/>
  <c r="H988" i="15"/>
  <c r="C893" i="11"/>
  <c r="L65" i="11"/>
  <c r="L29" i="11"/>
  <c r="G1027" i="11"/>
  <c r="AG982" i="11"/>
  <c r="AG947" i="11"/>
  <c r="AJ1080" i="13"/>
  <c r="AJ1078" i="13"/>
  <c r="AJ1065" i="13"/>
  <c r="AJ1063" i="13"/>
  <c r="AJ1061" i="13"/>
  <c r="AJ1083" i="13"/>
  <c r="AJ1081" i="13"/>
  <c r="AJ1076" i="13"/>
  <c r="AJ1074" i="13"/>
  <c r="AJ1072" i="13"/>
  <c r="AJ1070" i="13"/>
  <c r="AJ1068" i="13"/>
  <c r="AJ1077" i="13"/>
  <c r="AJ1064" i="13"/>
  <c r="AJ1062" i="13"/>
  <c r="AJ1060" i="13"/>
  <c r="AJ1069" i="13"/>
  <c r="AJ1071" i="13"/>
  <c r="AJ1067" i="13"/>
  <c r="AJ1075" i="13"/>
  <c r="AJ1066" i="13"/>
  <c r="AJ1079" i="13"/>
  <c r="AJ1073" i="13"/>
  <c r="AJ1082" i="13"/>
  <c r="C964" i="15"/>
  <c r="P65" i="15"/>
  <c r="P29" i="15"/>
  <c r="D927" i="13"/>
  <c r="G134" i="13"/>
  <c r="G64" i="13"/>
  <c r="J1069" i="13"/>
  <c r="Z1069" i="13" s="1"/>
  <c r="AI989" i="13"/>
  <c r="AI1024" i="13"/>
  <c r="D979" i="12"/>
  <c r="AQ948" i="12"/>
  <c r="D951" i="12"/>
  <c r="E991" i="14"/>
  <c r="E1019" i="14"/>
  <c r="AR988" i="14"/>
  <c r="J1071" i="13"/>
  <c r="Z1071" i="13" s="1"/>
  <c r="AI1026" i="13"/>
  <c r="AI991" i="13"/>
  <c r="C916" i="12"/>
  <c r="H65" i="12"/>
  <c r="H29" i="12"/>
  <c r="J1070" i="13"/>
  <c r="Z1070" i="13" s="1"/>
  <c r="AI1025" i="13"/>
  <c r="AI990" i="13"/>
  <c r="AE987" i="11"/>
  <c r="AE952" i="11"/>
  <c r="E1032" i="11"/>
  <c r="AI1011" i="14"/>
  <c r="J1091" i="14"/>
  <c r="Z1091" i="14" s="1"/>
  <c r="AI1046" i="14"/>
  <c r="AI945" i="14"/>
  <c r="D1012" i="14"/>
  <c r="D984" i="14"/>
  <c r="AQ981" i="14"/>
  <c r="E983" i="13"/>
  <c r="AR952" i="13"/>
  <c r="E955" i="13"/>
  <c r="R471" i="11"/>
  <c r="AI984" i="11"/>
  <c r="J1029" i="11"/>
  <c r="Z1029" i="11" s="1"/>
  <c r="AI883" i="11"/>
  <c r="AI949" i="11"/>
  <c r="AQ949" i="13"/>
  <c r="D980" i="13"/>
  <c r="D952" i="13"/>
  <c r="AK990" i="11"/>
  <c r="AG1014" i="12"/>
  <c r="G1059" i="12"/>
  <c r="AG979" i="12"/>
  <c r="E1018" i="15"/>
  <c r="E990" i="15"/>
  <c r="C963" i="14"/>
  <c r="N29" i="14"/>
  <c r="N65" i="14"/>
  <c r="Q64" i="14"/>
  <c r="K1025" i="11"/>
  <c r="AJ980" i="11"/>
  <c r="AJ945" i="11"/>
  <c r="D924" i="13"/>
  <c r="C134" i="13"/>
  <c r="C64" i="13"/>
  <c r="H951" i="11"/>
  <c r="H923" i="11"/>
  <c r="E978" i="12"/>
  <c r="E950" i="12"/>
  <c r="AR947" i="12"/>
  <c r="D942" i="12"/>
  <c r="AQ939" i="12"/>
  <c r="D970" i="12"/>
  <c r="B931" i="13"/>
  <c r="L30" i="13"/>
  <c r="L19" i="13"/>
  <c r="C964" i="14"/>
  <c r="O65" i="14"/>
  <c r="O29" i="14"/>
  <c r="K1028" i="11"/>
  <c r="AJ983" i="11"/>
  <c r="AJ948" i="11"/>
  <c r="AI1052" i="12"/>
  <c r="AI1050" i="12"/>
  <c r="AI1048" i="12"/>
  <c r="AI1070" i="12"/>
  <c r="AI1063" i="12"/>
  <c r="AI1061" i="12"/>
  <c r="AI1059" i="12"/>
  <c r="AI1057" i="12"/>
  <c r="AI1055" i="12"/>
  <c r="AI1068" i="12"/>
  <c r="AI1066" i="12"/>
  <c r="Z1049" i="12"/>
  <c r="AI1071" i="12"/>
  <c r="AI1069" i="12"/>
  <c r="AI1064" i="12"/>
  <c r="AI1062" i="12"/>
  <c r="AI1060" i="12"/>
  <c r="AI1058" i="12"/>
  <c r="AI1056" i="12"/>
  <c r="AI1054" i="12"/>
  <c r="AI1051" i="12"/>
  <c r="AI1053" i="12"/>
  <c r="AI1067" i="12"/>
  <c r="AI1049" i="12"/>
  <c r="AI1065" i="12"/>
  <c r="C887" i="11"/>
  <c r="D65" i="11"/>
  <c r="D29" i="11"/>
  <c r="E891" i="11"/>
  <c r="M309" i="11"/>
  <c r="J310" i="11"/>
  <c r="J311" i="11"/>
  <c r="J131" i="11"/>
  <c r="AI1083" i="12"/>
  <c r="AI1082" i="12"/>
  <c r="I1017" i="14"/>
  <c r="I1024" i="14" s="1"/>
  <c r="I989" i="14"/>
  <c r="AI1091" i="12"/>
  <c r="AI1092" i="12"/>
  <c r="AI1074" i="11"/>
  <c r="AI1075" i="11"/>
  <c r="AK981" i="12"/>
  <c r="AQ945" i="12"/>
  <c r="D948" i="12"/>
  <c r="D976" i="12"/>
  <c r="E981" i="13"/>
  <c r="AR950" i="13"/>
  <c r="E953" i="13"/>
  <c r="D950" i="11"/>
  <c r="AQ919" i="11"/>
  <c r="D922" i="11"/>
  <c r="I993" i="13"/>
  <c r="E953" i="15"/>
  <c r="B327" i="15"/>
  <c r="E325" i="15"/>
  <c r="B326" i="15"/>
  <c r="B135" i="15"/>
  <c r="J1099" i="14"/>
  <c r="Z1099" i="14" s="1"/>
  <c r="AI1019" i="14"/>
  <c r="AI1054" i="14"/>
  <c r="AI953" i="14"/>
  <c r="D993" i="15"/>
  <c r="D1021" i="15"/>
  <c r="AI1083" i="11"/>
  <c r="AI1084" i="11"/>
  <c r="E984" i="13"/>
  <c r="E956" i="13"/>
  <c r="AR953" i="13"/>
  <c r="D965" i="14"/>
  <c r="P141" i="14"/>
  <c r="P64" i="14"/>
  <c r="G1049" i="12"/>
  <c r="AG1004" i="12"/>
  <c r="AG969" i="12"/>
  <c r="E920" i="12"/>
  <c r="N316" i="12"/>
  <c r="Q315" i="12"/>
  <c r="N317" i="12"/>
  <c r="N133" i="12"/>
  <c r="G1060" i="13"/>
  <c r="AG1015" i="13"/>
  <c r="AG980" i="13"/>
  <c r="E914" i="12"/>
  <c r="F317" i="12"/>
  <c r="I315" i="12"/>
  <c r="F316" i="12"/>
  <c r="F133" i="12"/>
  <c r="D945" i="12"/>
  <c r="AQ942" i="12"/>
  <c r="D973" i="12"/>
  <c r="G1030" i="11"/>
  <c r="AG950" i="11"/>
  <c r="AG985" i="11"/>
  <c r="E962" i="15"/>
  <c r="Q325" i="15"/>
  <c r="N327" i="15"/>
  <c r="N326" i="15"/>
  <c r="N135" i="15"/>
  <c r="AJ951" i="11"/>
  <c r="AJ986" i="11"/>
  <c r="K1031" i="11"/>
  <c r="G1101" i="14"/>
  <c r="AG1056" i="14"/>
  <c r="AG1021" i="14"/>
  <c r="J1102" i="14"/>
  <c r="Z1102" i="14" s="1"/>
  <c r="AI1022" i="14"/>
  <c r="AI1057" i="14"/>
  <c r="AI956" i="14"/>
  <c r="AI1150" i="14"/>
  <c r="AI1149" i="14"/>
  <c r="D928" i="13"/>
  <c r="H134" i="13"/>
  <c r="H64" i="13"/>
  <c r="G1033" i="11"/>
  <c r="AG953" i="11"/>
  <c r="AG988" i="11"/>
  <c r="H898" i="11"/>
  <c r="H914" i="11"/>
  <c r="H942" i="11"/>
  <c r="AR980" i="14"/>
  <c r="E1011" i="14"/>
  <c r="E983" i="14"/>
  <c r="D915" i="12"/>
  <c r="G134" i="12"/>
  <c r="G64" i="12"/>
  <c r="AG1005" i="12"/>
  <c r="G1050" i="12"/>
  <c r="AG970" i="12"/>
  <c r="AI1135" i="14"/>
  <c r="AI1134" i="14"/>
  <c r="D963" i="15"/>
  <c r="O136" i="15"/>
  <c r="O64" i="15"/>
  <c r="B958" i="14"/>
  <c r="G30" i="14"/>
  <c r="G19" i="14"/>
  <c r="G1053" i="12"/>
  <c r="AG1008" i="12"/>
  <c r="AG973" i="12"/>
  <c r="J1064" i="13"/>
  <c r="Z1064" i="13" s="1"/>
  <c r="AI1019" i="13"/>
  <c r="AI984" i="13"/>
  <c r="Q140" i="14"/>
  <c r="C896" i="11"/>
  <c r="P65" i="11"/>
  <c r="P29" i="11"/>
  <c r="E917" i="12"/>
  <c r="J317" i="12"/>
  <c r="M315" i="12"/>
  <c r="J316" i="12"/>
  <c r="J133" i="12"/>
  <c r="D921" i="12"/>
  <c r="O134" i="12"/>
  <c r="O64" i="12"/>
  <c r="D960" i="15"/>
  <c r="K136" i="15"/>
  <c r="K64" i="15"/>
  <c r="C988" i="13"/>
  <c r="AP957" i="13"/>
  <c r="C960" i="13"/>
  <c r="D1021" i="14"/>
  <c r="D993" i="14"/>
  <c r="AQ990" i="14"/>
  <c r="C912" i="12"/>
  <c r="C65" i="12"/>
  <c r="C29" i="12"/>
  <c r="AE1045" i="11"/>
  <c r="AS1045" i="11" s="1"/>
  <c r="AE1043" i="11"/>
  <c r="AS1043" i="11" s="1"/>
  <c r="AE1038" i="11"/>
  <c r="AS1038" i="11" s="1"/>
  <c r="AE1036" i="11"/>
  <c r="AS1036" i="11" s="1"/>
  <c r="AE1034" i="11"/>
  <c r="AS1034" i="11" s="1"/>
  <c r="AE1032" i="11"/>
  <c r="AS1032" i="11" s="1"/>
  <c r="AE1030" i="11"/>
  <c r="AS1030" i="11" s="1"/>
  <c r="AE1041" i="11"/>
  <c r="AS1041" i="11" s="1"/>
  <c r="AE1028" i="11"/>
  <c r="AS1028" i="11" s="1"/>
  <c r="AE1039" i="11"/>
  <c r="AS1039" i="11" s="1"/>
  <c r="AE1026" i="11"/>
  <c r="AS1026" i="11" s="1"/>
  <c r="AE1024" i="11"/>
  <c r="AS1024" i="11" s="1"/>
  <c r="AE1022" i="11"/>
  <c r="AE1044" i="11"/>
  <c r="AS1044" i="11" s="1"/>
  <c r="AE1037" i="11"/>
  <c r="AS1037" i="11" s="1"/>
  <c r="AE1035" i="11"/>
  <c r="AS1035" i="11" s="1"/>
  <c r="AE1033" i="11"/>
  <c r="AS1033" i="11" s="1"/>
  <c r="AE1031" i="11"/>
  <c r="AS1031" i="11" s="1"/>
  <c r="AE1029" i="11"/>
  <c r="AS1029" i="11" s="1"/>
  <c r="AE1042" i="11"/>
  <c r="AS1042" i="11" s="1"/>
  <c r="AE1040" i="11"/>
  <c r="AS1040" i="11" s="1"/>
  <c r="AE1027" i="11"/>
  <c r="AS1027" i="11" s="1"/>
  <c r="AE1023" i="11"/>
  <c r="AS1023" i="11" s="1"/>
  <c r="AE1025" i="11"/>
  <c r="AS1025" i="11" s="1"/>
  <c r="W1023" i="11"/>
  <c r="AF1054" i="11" s="1"/>
  <c r="U1023" i="11"/>
  <c r="V1023" i="11"/>
  <c r="AF1053" i="11" s="1"/>
  <c r="T1023" i="11"/>
  <c r="E936" i="13"/>
  <c r="D944" i="11"/>
  <c r="D916" i="11"/>
  <c r="AQ913" i="11"/>
  <c r="C890" i="11"/>
  <c r="H29" i="11"/>
  <c r="H65" i="11"/>
  <c r="H948" i="11"/>
  <c r="H920" i="11"/>
  <c r="AI1065" i="11"/>
  <c r="AI1066" i="11"/>
  <c r="AI1007" i="12"/>
  <c r="AI906" i="12"/>
  <c r="AI972" i="12"/>
  <c r="J1052" i="12"/>
  <c r="Z1052" i="12" s="1"/>
  <c r="J1061" i="13"/>
  <c r="AI981" i="13"/>
  <c r="AI1016" i="13"/>
  <c r="D934" i="13"/>
  <c r="P134" i="13"/>
  <c r="P64" i="13"/>
  <c r="R318" i="13"/>
  <c r="AK1016" i="12"/>
  <c r="AN909" i="12"/>
  <c r="B975" i="12"/>
  <c r="AO944" i="12"/>
  <c r="AT944" i="12" s="1"/>
  <c r="B947" i="12"/>
  <c r="AG909" i="12"/>
  <c r="AH909" i="12" s="1"/>
  <c r="AJ909" i="12" s="1"/>
  <c r="AL909" i="12" s="1"/>
  <c r="E956" i="15"/>
  <c r="F327" i="15"/>
  <c r="I325" i="15"/>
  <c r="F326" i="15"/>
  <c r="F135" i="15"/>
  <c r="D1020" i="14"/>
  <c r="AQ989" i="14"/>
  <c r="D992" i="14"/>
  <c r="D957" i="15"/>
  <c r="G136" i="15"/>
  <c r="G64" i="15"/>
  <c r="AG1053" i="14"/>
  <c r="AG1018" i="14"/>
  <c r="G1098" i="14"/>
  <c r="AQ922" i="11"/>
  <c r="D953" i="11"/>
  <c r="D925" i="11"/>
  <c r="AK1052" i="14"/>
  <c r="AK1059" i="14" s="1"/>
  <c r="AK1017" i="14"/>
  <c r="AK1024" i="14" s="1"/>
  <c r="L1097" i="14"/>
  <c r="E911" i="12"/>
  <c r="E315" i="12"/>
  <c r="R315" i="12" s="1"/>
  <c r="B316" i="12"/>
  <c r="B317" i="12"/>
  <c r="B133" i="12"/>
  <c r="K1051" i="12"/>
  <c r="AJ1006" i="12"/>
  <c r="AJ971" i="12"/>
  <c r="AO951" i="13"/>
  <c r="AT951" i="13" s="1"/>
  <c r="B982" i="13"/>
  <c r="B954" i="13"/>
  <c r="AI1141" i="14"/>
  <c r="AI1140" i="14"/>
  <c r="D954" i="15"/>
  <c r="C136" i="15"/>
  <c r="C64" i="15"/>
  <c r="G1096" i="14"/>
  <c r="AG1051" i="14"/>
  <c r="AG1016" i="14"/>
  <c r="AI1100" i="12"/>
  <c r="AI1101" i="12"/>
  <c r="H936" i="13"/>
  <c r="AE1010" i="12"/>
  <c r="E1055" i="12"/>
  <c r="AE975" i="12"/>
  <c r="E957" i="13"/>
  <c r="E985" i="13"/>
  <c r="AR954" i="13"/>
  <c r="I1023" i="15"/>
  <c r="J1065" i="13"/>
  <c r="Z1065" i="13" s="1"/>
  <c r="AI985" i="13"/>
  <c r="AI1020" i="13"/>
  <c r="E1062" i="13"/>
  <c r="AE1017" i="13"/>
  <c r="AE982" i="13"/>
  <c r="D933" i="13"/>
  <c r="O134" i="13"/>
  <c r="O64" i="13"/>
  <c r="AF1050" i="14"/>
  <c r="AF1015" i="14"/>
  <c r="F1095" i="14"/>
  <c r="C959" i="14"/>
  <c r="H65" i="14"/>
  <c r="H29" i="14"/>
  <c r="C1015" i="14"/>
  <c r="C987" i="14"/>
  <c r="AP984" i="14"/>
  <c r="E959" i="15"/>
  <c r="J326" i="15"/>
  <c r="J327" i="15"/>
  <c r="M325" i="15"/>
  <c r="J135" i="15"/>
  <c r="F310" i="11"/>
  <c r="E888" i="11"/>
  <c r="F311" i="11"/>
  <c r="I309" i="11"/>
  <c r="F131" i="11"/>
  <c r="D892" i="11"/>
  <c r="K132" i="11"/>
  <c r="K64" i="11"/>
  <c r="I967" i="14"/>
  <c r="AI932" i="7"/>
  <c r="J977" i="7"/>
  <c r="AI897" i="7"/>
  <c r="AI831" i="7"/>
  <c r="C811" i="8"/>
  <c r="C65" i="8"/>
  <c r="C29" i="8"/>
  <c r="AJ956" i="6"/>
  <c r="E873" i="7"/>
  <c r="E901" i="7"/>
  <c r="AR870" i="7"/>
  <c r="O885" i="10"/>
  <c r="D857" i="10"/>
  <c r="D833" i="10"/>
  <c r="N893" i="10"/>
  <c r="C841" i="10"/>
  <c r="C865" i="10"/>
  <c r="H845" i="8"/>
  <c r="H873" i="8"/>
  <c r="G955" i="8"/>
  <c r="AG910" i="8"/>
  <c r="AG875" i="8"/>
  <c r="AR841" i="9"/>
  <c r="E835" i="9"/>
  <c r="E861" i="9"/>
  <c r="F941" i="9" s="1"/>
  <c r="D131" i="6"/>
  <c r="D853" i="6"/>
  <c r="D64" i="6"/>
  <c r="I132" i="7"/>
  <c r="D836" i="7"/>
  <c r="F133" i="7"/>
  <c r="F64" i="7"/>
  <c r="I939" i="9"/>
  <c r="AI804" i="9"/>
  <c r="D866" i="9"/>
  <c r="E946" i="9" s="1"/>
  <c r="AQ846" i="9"/>
  <c r="D840" i="9"/>
  <c r="AI946" i="6"/>
  <c r="J991" i="6"/>
  <c r="AI911" i="6"/>
  <c r="AI845" i="6"/>
  <c r="E889" i="6"/>
  <c r="E917" i="6"/>
  <c r="AR886" i="6"/>
  <c r="D836" i="9"/>
  <c r="D862" i="9"/>
  <c r="E942" i="9" s="1"/>
  <c r="AQ842" i="9"/>
  <c r="B820" i="8"/>
  <c r="O30" i="8"/>
  <c r="O19" i="8"/>
  <c r="O20" i="8" s="1"/>
  <c r="C777" i="10"/>
  <c r="G66" i="10"/>
  <c r="G30" i="10"/>
  <c r="D841" i="7"/>
  <c r="L133" i="7"/>
  <c r="L64" i="7"/>
  <c r="D781" i="10"/>
  <c r="L129" i="10"/>
  <c r="L65" i="10"/>
  <c r="J971" i="7"/>
  <c r="AI891" i="7"/>
  <c r="AI926" i="7"/>
  <c r="AI825" i="7"/>
  <c r="H890" i="7"/>
  <c r="H862" i="7"/>
  <c r="H846" i="7"/>
  <c r="E773" i="10"/>
  <c r="B252" i="10"/>
  <c r="B251" i="10"/>
  <c r="E250" i="10"/>
  <c r="B128" i="10"/>
  <c r="E865" i="9"/>
  <c r="F945" i="9" s="1"/>
  <c r="E839" i="9"/>
  <c r="AR845" i="9"/>
  <c r="C837" i="7"/>
  <c r="G29" i="7"/>
  <c r="G65" i="7"/>
  <c r="D851" i="6"/>
  <c r="E130" i="6"/>
  <c r="B131" i="6"/>
  <c r="B64" i="6"/>
  <c r="D815" i="8"/>
  <c r="H132" i="8"/>
  <c r="H64" i="8"/>
  <c r="E874" i="8"/>
  <c r="AR843" i="8"/>
  <c r="E846" i="8"/>
  <c r="D861" i="6"/>
  <c r="O131" i="6"/>
  <c r="O64" i="6"/>
  <c r="D808" i="9"/>
  <c r="H131" i="9"/>
  <c r="H64" i="9"/>
  <c r="AI893" i="7"/>
  <c r="AI928" i="7"/>
  <c r="J973" i="7"/>
  <c r="AI827" i="7"/>
  <c r="E856" i="10"/>
  <c r="P884" i="10"/>
  <c r="E832" i="10"/>
  <c r="H896" i="7"/>
  <c r="H868" i="7"/>
  <c r="AI952" i="6"/>
  <c r="J997" i="6"/>
  <c r="AI917" i="6"/>
  <c r="AI851" i="6"/>
  <c r="V993" i="6"/>
  <c r="T993" i="6"/>
  <c r="U993" i="6"/>
  <c r="D804" i="9"/>
  <c r="C131" i="9"/>
  <c r="C64" i="9"/>
  <c r="C877" i="8"/>
  <c r="C849" i="8"/>
  <c r="AP846" i="8"/>
  <c r="AN849" i="6"/>
  <c r="B915" i="6"/>
  <c r="AO884" i="6"/>
  <c r="AT884" i="6" s="1"/>
  <c r="B887" i="6"/>
  <c r="AG849" i="6"/>
  <c r="AH849" i="6" s="1"/>
  <c r="AJ849" i="6" s="1"/>
  <c r="AL849" i="6" s="1"/>
  <c r="O887" i="10"/>
  <c r="D835" i="10"/>
  <c r="D859" i="10"/>
  <c r="AK903" i="7"/>
  <c r="AR885" i="6"/>
  <c r="E888" i="6"/>
  <c r="E916" i="6"/>
  <c r="E898" i="7"/>
  <c r="AR867" i="7"/>
  <c r="E870" i="7"/>
  <c r="D821" i="8"/>
  <c r="P132" i="8"/>
  <c r="P64" i="8"/>
  <c r="E810" i="8"/>
  <c r="B277" i="8"/>
  <c r="E275" i="8"/>
  <c r="B276" i="8"/>
  <c r="B131" i="8"/>
  <c r="D834" i="7"/>
  <c r="C133" i="7"/>
  <c r="C64" i="7"/>
  <c r="R379" i="10"/>
  <c r="D854" i="6"/>
  <c r="F131" i="6"/>
  <c r="I130" i="6"/>
  <c r="F64" i="6"/>
  <c r="AE892" i="7"/>
  <c r="E972" i="7"/>
  <c r="AE927" i="7"/>
  <c r="G992" i="6"/>
  <c r="AG947" i="6"/>
  <c r="AG912" i="6"/>
  <c r="I945" i="9"/>
  <c r="AI810" i="9"/>
  <c r="B852" i="6"/>
  <c r="C30" i="6"/>
  <c r="C19" i="6"/>
  <c r="AI913" i="8"/>
  <c r="J958" i="8"/>
  <c r="AI878" i="8"/>
  <c r="AI812" i="8"/>
  <c r="B867" i="7"/>
  <c r="AO864" i="7"/>
  <c r="AT864" i="7" s="1"/>
  <c r="AN829" i="7"/>
  <c r="B895" i="7"/>
  <c r="AG829" i="7"/>
  <c r="AH829" i="7" s="1"/>
  <c r="AJ829" i="7" s="1"/>
  <c r="AL829" i="7" s="1"/>
  <c r="E819" i="8"/>
  <c r="N277" i="8"/>
  <c r="N276" i="8"/>
  <c r="Q275" i="8"/>
  <c r="N131" i="8"/>
  <c r="B784" i="10"/>
  <c r="P20" i="10"/>
  <c r="P31" i="10"/>
  <c r="F989" i="6"/>
  <c r="AF944" i="6"/>
  <c r="AF909" i="6"/>
  <c r="AK880" i="8"/>
  <c r="D780" i="10"/>
  <c r="K129" i="10"/>
  <c r="K65" i="10"/>
  <c r="J988" i="6"/>
  <c r="AI943" i="6"/>
  <c r="H921" i="6"/>
  <c r="AI842" i="6"/>
  <c r="AI908" i="6"/>
  <c r="AI951" i="6"/>
  <c r="J996" i="6"/>
  <c r="AI850" i="6"/>
  <c r="AI916" i="6"/>
  <c r="B862" i="6"/>
  <c r="P19" i="6"/>
  <c r="P30" i="6"/>
  <c r="AP878" i="6"/>
  <c r="C909" i="6"/>
  <c r="C881" i="6"/>
  <c r="D868" i="8"/>
  <c r="D840" i="8"/>
  <c r="AQ837" i="8"/>
  <c r="E882" i="6"/>
  <c r="AR879" i="6"/>
  <c r="E910" i="6"/>
  <c r="E893" i="7"/>
  <c r="E865" i="7"/>
  <c r="AR862" i="7"/>
  <c r="D894" i="7"/>
  <c r="AQ863" i="7"/>
  <c r="D866" i="7"/>
  <c r="G949" i="8"/>
  <c r="AG869" i="8"/>
  <c r="AG904" i="8"/>
  <c r="J938" i="9"/>
  <c r="I871" i="9"/>
  <c r="I868" i="10"/>
  <c r="C812" i="8"/>
  <c r="D65" i="8"/>
  <c r="D29" i="8"/>
  <c r="E863" i="10"/>
  <c r="P891" i="10"/>
  <c r="E839" i="10"/>
  <c r="H860" i="9"/>
  <c r="H834" i="9"/>
  <c r="R410" i="8"/>
  <c r="E891" i="7"/>
  <c r="E863" i="7"/>
  <c r="AR860" i="7"/>
  <c r="C842" i="10"/>
  <c r="N894" i="10"/>
  <c r="C866" i="10"/>
  <c r="E914" i="6"/>
  <c r="E886" i="6"/>
  <c r="AR883" i="6"/>
  <c r="H855" i="10"/>
  <c r="H831" i="10"/>
  <c r="H786" i="10"/>
  <c r="G974" i="7"/>
  <c r="AG929" i="7"/>
  <c r="AG894" i="7"/>
  <c r="J990" i="6"/>
  <c r="AI945" i="6"/>
  <c r="AI844" i="6"/>
  <c r="AI910" i="6"/>
  <c r="J287" i="7"/>
  <c r="M285" i="7"/>
  <c r="J286" i="7"/>
  <c r="E839" i="7"/>
  <c r="J132" i="7"/>
  <c r="D837" i="10"/>
  <c r="D861" i="10"/>
  <c r="O889" i="10"/>
  <c r="D778" i="10"/>
  <c r="H129" i="10"/>
  <c r="H65" i="10"/>
  <c r="E805" i="9"/>
  <c r="D271" i="9"/>
  <c r="D272" i="9"/>
  <c r="D130" i="9"/>
  <c r="H858" i="9"/>
  <c r="H832" i="9"/>
  <c r="H816" i="9"/>
  <c r="H858" i="10"/>
  <c r="G801" i="10" s="1"/>
  <c r="H834" i="10"/>
  <c r="E813" i="8"/>
  <c r="F276" i="8"/>
  <c r="F277" i="8"/>
  <c r="I275" i="8"/>
  <c r="F131" i="8"/>
  <c r="AJ1011" i="6"/>
  <c r="AJ1009" i="6"/>
  <c r="AJ1004" i="6"/>
  <c r="AJ1002" i="6"/>
  <c r="AJ1000" i="6"/>
  <c r="AJ1007" i="6"/>
  <c r="AJ996" i="6"/>
  <c r="AJ994" i="6"/>
  <c r="AJ990" i="6"/>
  <c r="AJ1005" i="6"/>
  <c r="AJ997" i="6"/>
  <c r="AJ998" i="6"/>
  <c r="AJ992" i="6"/>
  <c r="AJ1010" i="6"/>
  <c r="AJ1003" i="6"/>
  <c r="AJ1001" i="6"/>
  <c r="AJ999" i="6"/>
  <c r="AJ1008" i="6"/>
  <c r="AJ1006" i="6"/>
  <c r="AJ989" i="6"/>
  <c r="AJ995" i="6"/>
  <c r="AJ993" i="6"/>
  <c r="AJ991" i="6"/>
  <c r="AJ988" i="6"/>
  <c r="AR849" i="9"/>
  <c r="E869" i="9"/>
  <c r="F949" i="9" s="1"/>
  <c r="E843" i="9"/>
  <c r="AI949" i="6"/>
  <c r="J994" i="6"/>
  <c r="AI848" i="6"/>
  <c r="AI914" i="6"/>
  <c r="B864" i="7"/>
  <c r="AO861" i="7"/>
  <c r="AT861" i="7" s="1"/>
  <c r="AN826" i="7"/>
  <c r="B892" i="7"/>
  <c r="AG826" i="7"/>
  <c r="AH826" i="7" s="1"/>
  <c r="AJ826" i="7" s="1"/>
  <c r="AL826" i="7" s="1"/>
  <c r="I130" i="9"/>
  <c r="D806" i="9"/>
  <c r="F131" i="9"/>
  <c r="F64" i="9"/>
  <c r="E809" i="9"/>
  <c r="J272" i="9"/>
  <c r="M270" i="9"/>
  <c r="J271" i="9"/>
  <c r="J130" i="9"/>
  <c r="E864" i="6"/>
  <c r="E880" i="6"/>
  <c r="AR877" i="6"/>
  <c r="E908" i="6"/>
  <c r="D860" i="6"/>
  <c r="N131" i="6"/>
  <c r="Q130" i="6"/>
  <c r="N64" i="6"/>
  <c r="K956" i="8"/>
  <c r="AJ911" i="8"/>
  <c r="AJ876" i="8"/>
  <c r="AE950" i="6"/>
  <c r="AE915" i="6"/>
  <c r="E995" i="6"/>
  <c r="P888" i="10"/>
  <c r="E860" i="10"/>
  <c r="E836" i="10"/>
  <c r="AD948" i="6"/>
  <c r="AS948" i="6" s="1"/>
  <c r="AD913" i="6"/>
  <c r="AS913" i="6" s="1"/>
  <c r="R913" i="6"/>
  <c r="B941" i="6" s="1"/>
  <c r="R1020" i="6"/>
  <c r="C818" i="8"/>
  <c r="L65" i="8"/>
  <c r="L29" i="8"/>
  <c r="H876" i="8"/>
  <c r="H848" i="8"/>
  <c r="E782" i="10"/>
  <c r="N252" i="10"/>
  <c r="N251" i="10"/>
  <c r="Q250" i="10"/>
  <c r="N128" i="10"/>
  <c r="AI953" i="6"/>
  <c r="J998" i="6"/>
  <c r="AI852" i="6"/>
  <c r="AI918" i="6"/>
  <c r="E872" i="8"/>
  <c r="E844" i="8"/>
  <c r="AR841" i="8"/>
  <c r="F999" i="6"/>
  <c r="AF919" i="6"/>
  <c r="AF954" i="6"/>
  <c r="F957" i="8"/>
  <c r="AF912" i="8"/>
  <c r="AF877" i="8"/>
  <c r="B868" i="9"/>
  <c r="B842" i="9"/>
  <c r="AG813" i="9"/>
  <c r="AH813" i="9" s="1"/>
  <c r="AJ813" i="9" s="1"/>
  <c r="AO848" i="9"/>
  <c r="AT848" i="9" s="1"/>
  <c r="AN813" i="9"/>
  <c r="E863" i="9"/>
  <c r="F943" i="9" s="1"/>
  <c r="E837" i="9"/>
  <c r="AR843" i="9"/>
  <c r="AP888" i="6"/>
  <c r="C919" i="6"/>
  <c r="C891" i="6"/>
  <c r="E816" i="8"/>
  <c r="J277" i="8"/>
  <c r="M275" i="8"/>
  <c r="J276" i="8"/>
  <c r="J131" i="8"/>
  <c r="D840" i="7"/>
  <c r="K133" i="7"/>
  <c r="K64" i="7"/>
  <c r="B843" i="7"/>
  <c r="O19" i="7"/>
  <c r="O30" i="7"/>
  <c r="AR839" i="9"/>
  <c r="E833" i="9"/>
  <c r="E859" i="9"/>
  <c r="F939" i="9" s="1"/>
  <c r="AI909" i="8"/>
  <c r="J954" i="8"/>
  <c r="AI874" i="8"/>
  <c r="AI808" i="8"/>
  <c r="I880" i="8"/>
  <c r="AJ902" i="8"/>
  <c r="K947" i="8"/>
  <c r="AJ867" i="8"/>
  <c r="C855" i="6"/>
  <c r="G29" i="6"/>
  <c r="G65" i="6"/>
  <c r="C814" i="8"/>
  <c r="G65" i="8"/>
  <c r="G29" i="8"/>
  <c r="AQ838" i="8"/>
  <c r="D841" i="8"/>
  <c r="D869" i="8"/>
  <c r="Q132" i="7"/>
  <c r="D842" i="7"/>
  <c r="N133" i="7"/>
  <c r="N64" i="7"/>
  <c r="E878" i="8"/>
  <c r="AR847" i="8"/>
  <c r="E850" i="8"/>
  <c r="H867" i="8"/>
  <c r="H839" i="8"/>
  <c r="H823" i="8"/>
  <c r="T948" i="9"/>
  <c r="S948" i="9"/>
  <c r="D810" i="9"/>
  <c r="K131" i="9"/>
  <c r="K64" i="9"/>
  <c r="D814" i="9"/>
  <c r="P64" i="9"/>
  <c r="P131" i="9"/>
  <c r="AJ908" i="8"/>
  <c r="AJ873" i="8"/>
  <c r="K953" i="8"/>
  <c r="G951" i="8"/>
  <c r="AG871" i="8"/>
  <c r="AG906" i="8"/>
  <c r="E890" i="6"/>
  <c r="E918" i="6"/>
  <c r="AR887" i="6"/>
  <c r="AF935" i="7"/>
  <c r="F980" i="7"/>
  <c r="AF900" i="7"/>
  <c r="K950" i="8"/>
  <c r="AJ905" i="8"/>
  <c r="AJ870" i="8"/>
  <c r="AK915" i="8"/>
  <c r="P890" i="10"/>
  <c r="E862" i="10"/>
  <c r="E838" i="10"/>
  <c r="I947" i="9"/>
  <c r="AI812" i="9"/>
  <c r="D844" i="7"/>
  <c r="P133" i="7"/>
  <c r="P64" i="7"/>
  <c r="E975" i="7"/>
  <c r="AE930" i="7"/>
  <c r="AE895" i="7"/>
  <c r="C775" i="10"/>
  <c r="D30" i="10"/>
  <c r="D66" i="10"/>
  <c r="AI934" i="7"/>
  <c r="AI899" i="7"/>
  <c r="J979" i="7"/>
  <c r="AI833" i="7"/>
  <c r="B783" i="10"/>
  <c r="O20" i="10"/>
  <c r="O31" i="10"/>
  <c r="C900" i="7"/>
  <c r="AP869" i="7"/>
  <c r="C872" i="7"/>
  <c r="C811" i="9"/>
  <c r="L65" i="9"/>
  <c r="L29" i="9"/>
  <c r="D812" i="9"/>
  <c r="Q130" i="9"/>
  <c r="N131" i="9"/>
  <c r="N64" i="9"/>
  <c r="C807" i="9"/>
  <c r="G65" i="9"/>
  <c r="G29" i="9"/>
  <c r="AI933" i="7"/>
  <c r="J978" i="7"/>
  <c r="AI898" i="7"/>
  <c r="AI832" i="7"/>
  <c r="C779" i="10"/>
  <c r="J66" i="10"/>
  <c r="M65" i="10"/>
  <c r="J30" i="10"/>
  <c r="E899" i="7"/>
  <c r="E871" i="7"/>
  <c r="AR868" i="7"/>
  <c r="D875" i="8"/>
  <c r="D847" i="8"/>
  <c r="AQ844" i="8"/>
  <c r="AF989" i="7"/>
  <c r="AF978" i="7"/>
  <c r="AF976" i="7"/>
  <c r="AF972" i="7"/>
  <c r="AF987" i="7"/>
  <c r="AF979" i="7"/>
  <c r="AF975" i="7"/>
  <c r="AF973" i="7"/>
  <c r="AF980" i="7"/>
  <c r="AF974" i="7"/>
  <c r="AF992" i="7"/>
  <c r="AF985" i="7"/>
  <c r="AF983" i="7"/>
  <c r="AF981" i="7"/>
  <c r="AF990" i="7"/>
  <c r="AF988" i="7"/>
  <c r="AF970" i="7"/>
  <c r="AF971" i="7"/>
  <c r="AF986" i="7"/>
  <c r="AF991" i="7"/>
  <c r="AF977" i="7"/>
  <c r="AF993" i="7"/>
  <c r="AF984" i="7"/>
  <c r="AF982" i="7"/>
  <c r="E803" i="9"/>
  <c r="B272" i="9"/>
  <c r="E270" i="9"/>
  <c r="R270" i="9" s="1"/>
  <c r="B271" i="9"/>
  <c r="B130" i="9"/>
  <c r="E833" i="7"/>
  <c r="E285" i="7"/>
  <c r="R285" i="7" s="1"/>
  <c r="B286" i="7"/>
  <c r="B287" i="7"/>
  <c r="B132" i="7"/>
  <c r="I949" i="9"/>
  <c r="AI814" i="9"/>
  <c r="G948" i="8"/>
  <c r="AG903" i="8"/>
  <c r="AG868" i="8"/>
  <c r="I941" i="9"/>
  <c r="AI806" i="9"/>
  <c r="E776" i="10"/>
  <c r="F252" i="10"/>
  <c r="F251" i="10"/>
  <c r="I250" i="10"/>
  <c r="F128" i="10"/>
  <c r="E911" i="6"/>
  <c r="E883" i="6"/>
  <c r="AR880" i="6"/>
  <c r="H870" i="8"/>
  <c r="H842" i="8"/>
  <c r="D817" i="8"/>
  <c r="K132" i="8"/>
  <c r="K64" i="8"/>
  <c r="AI936" i="7"/>
  <c r="J981" i="7"/>
  <c r="AI901" i="7"/>
  <c r="AI835" i="7"/>
  <c r="D774" i="10"/>
  <c r="C129" i="10"/>
  <c r="C65" i="10"/>
  <c r="H838" i="9"/>
  <c r="H864" i="9"/>
  <c r="E869" i="7"/>
  <c r="AR866" i="7"/>
  <c r="E897" i="7"/>
  <c r="AR847" i="9"/>
  <c r="E841" i="9"/>
  <c r="E867" i="9"/>
  <c r="F947" i="9" s="1"/>
  <c r="J952" i="8"/>
  <c r="AI907" i="8"/>
  <c r="AI872" i="8"/>
  <c r="AI806" i="8"/>
  <c r="AQ881" i="6"/>
  <c r="D912" i="6"/>
  <c r="D884" i="6"/>
  <c r="D871" i="8"/>
  <c r="D843" i="8"/>
  <c r="AQ840" i="8"/>
  <c r="D859" i="6"/>
  <c r="L131" i="6"/>
  <c r="L64" i="6"/>
  <c r="I903" i="7"/>
  <c r="K970" i="7"/>
  <c r="AJ890" i="7"/>
  <c r="AJ925" i="7"/>
  <c r="AI969" i="8"/>
  <c r="AI962" i="8"/>
  <c r="AI960" i="8"/>
  <c r="AI958" i="8"/>
  <c r="AI970" i="8"/>
  <c r="AI968" i="8"/>
  <c r="AI963" i="8"/>
  <c r="AI961" i="8"/>
  <c r="AI959" i="8"/>
  <c r="AI954" i="8"/>
  <c r="AI957" i="8"/>
  <c r="AI951" i="8"/>
  <c r="AI967" i="8"/>
  <c r="AI964" i="8"/>
  <c r="AI955" i="8"/>
  <c r="AI956" i="8"/>
  <c r="AI953" i="8"/>
  <c r="AI949" i="8"/>
  <c r="AI952" i="8"/>
  <c r="AI966" i="8"/>
  <c r="AI965" i="8"/>
  <c r="AI948" i="8"/>
  <c r="AI947" i="8"/>
  <c r="AI950" i="8"/>
  <c r="R402" i="9"/>
  <c r="K976" i="7"/>
  <c r="AJ896" i="7"/>
  <c r="AJ931" i="7"/>
  <c r="M130" i="6"/>
  <c r="D857" i="6"/>
  <c r="J131" i="6"/>
  <c r="J64" i="6"/>
  <c r="H864" i="10"/>
  <c r="G807" i="10" s="1"/>
  <c r="H840" i="10"/>
  <c r="I943" i="9"/>
  <c r="AI808" i="9"/>
  <c r="D843" i="5"/>
  <c r="O871" i="5"/>
  <c r="D819" i="5"/>
  <c r="D765" i="5"/>
  <c r="G130" i="5"/>
  <c r="G65" i="5"/>
  <c r="E825" i="5"/>
  <c r="P877" i="5"/>
  <c r="E849" i="5"/>
  <c r="E851" i="5"/>
  <c r="E827" i="5"/>
  <c r="P879" i="5"/>
  <c r="C763" i="5"/>
  <c r="D66" i="5"/>
  <c r="D30" i="5"/>
  <c r="H846" i="5"/>
  <c r="H822" i="5"/>
  <c r="H774" i="5"/>
  <c r="C768" i="5"/>
  <c r="K66" i="5"/>
  <c r="K30" i="5"/>
  <c r="E852" i="5"/>
  <c r="P880" i="5"/>
  <c r="E828" i="5"/>
  <c r="C766" i="5"/>
  <c r="H66" i="5"/>
  <c r="H30" i="5"/>
  <c r="D845" i="5"/>
  <c r="O873" i="5"/>
  <c r="D821" i="5"/>
  <c r="E847" i="5"/>
  <c r="P875" i="5"/>
  <c r="E823" i="5"/>
  <c r="O878" i="5"/>
  <c r="D850" i="5"/>
  <c r="D826" i="5"/>
  <c r="C844" i="5"/>
  <c r="N872" i="5"/>
  <c r="C820" i="5"/>
  <c r="D767" i="5"/>
  <c r="M129" i="5"/>
  <c r="J130" i="5"/>
  <c r="J65" i="5"/>
  <c r="D771" i="5"/>
  <c r="O130" i="5"/>
  <c r="O65" i="5"/>
  <c r="B762" i="5"/>
  <c r="C31" i="5"/>
  <c r="C20" i="5"/>
  <c r="D848" i="5"/>
  <c r="O876" i="5"/>
  <c r="D824" i="5"/>
  <c r="C761" i="5"/>
  <c r="B66" i="5"/>
  <c r="E65" i="5"/>
  <c r="C772" i="5"/>
  <c r="P66" i="5"/>
  <c r="P30" i="5"/>
  <c r="D769" i="5"/>
  <c r="L130" i="5"/>
  <c r="L65" i="5"/>
  <c r="D770" i="5"/>
  <c r="N130" i="5"/>
  <c r="Q129" i="5"/>
  <c r="N65" i="5"/>
  <c r="E764" i="5"/>
  <c r="F251" i="5"/>
  <c r="I250" i="5"/>
  <c r="R250" i="5" s="1"/>
  <c r="F252" i="5"/>
  <c r="F129" i="5"/>
  <c r="O882" i="5"/>
  <c r="D830" i="5"/>
  <c r="D854" i="5"/>
  <c r="E853" i="5"/>
  <c r="P881" i="5"/>
  <c r="E829" i="5"/>
  <c r="R364" i="4"/>
  <c r="E825" i="4"/>
  <c r="P853" i="4"/>
  <c r="E801" i="4"/>
  <c r="E745" i="4"/>
  <c r="M245" i="4"/>
  <c r="J247" i="4"/>
  <c r="J246" i="4"/>
  <c r="J128" i="4"/>
  <c r="P854" i="4"/>
  <c r="E802" i="4"/>
  <c r="E826" i="4"/>
  <c r="P859" i="4"/>
  <c r="E807" i="4"/>
  <c r="E831" i="4"/>
  <c r="D830" i="4"/>
  <c r="O858" i="4"/>
  <c r="D806" i="4"/>
  <c r="I834" i="4"/>
  <c r="B740" i="4"/>
  <c r="C22" i="4"/>
  <c r="C33" i="4"/>
  <c r="O857" i="4"/>
  <c r="D829" i="4"/>
  <c r="D805" i="4"/>
  <c r="H824" i="4"/>
  <c r="G767" i="4" s="1"/>
  <c r="H800" i="4"/>
  <c r="H821" i="4"/>
  <c r="H752" i="4"/>
  <c r="H797" i="4"/>
  <c r="E750" i="4"/>
  <c r="P247" i="4"/>
  <c r="P246" i="4"/>
  <c r="P128" i="4"/>
  <c r="Q245" i="4"/>
  <c r="C746" i="4"/>
  <c r="K68" i="4"/>
  <c r="K32" i="4"/>
  <c r="H827" i="4"/>
  <c r="G770" i="4" s="1"/>
  <c r="H803" i="4"/>
  <c r="N850" i="4"/>
  <c r="C822" i="4"/>
  <c r="C798" i="4"/>
  <c r="E739" i="4"/>
  <c r="B247" i="4"/>
  <c r="B246" i="4"/>
  <c r="E245" i="4"/>
  <c r="R245" i="4" s="1"/>
  <c r="B128" i="4"/>
  <c r="H832" i="4"/>
  <c r="G775" i="4" s="1"/>
  <c r="H808" i="4"/>
  <c r="C741" i="4"/>
  <c r="D68" i="4"/>
  <c r="D32" i="4"/>
  <c r="E742" i="4"/>
  <c r="F246" i="4"/>
  <c r="F247" i="4"/>
  <c r="I245" i="4"/>
  <c r="F128" i="4"/>
  <c r="O856" i="4"/>
  <c r="D828" i="4"/>
  <c r="D804" i="4"/>
  <c r="D743" i="4"/>
  <c r="G129" i="4"/>
  <c r="G67" i="4"/>
  <c r="C747" i="4"/>
  <c r="L68" i="4"/>
  <c r="L32" i="4"/>
  <c r="D744" i="4"/>
  <c r="H129" i="4"/>
  <c r="H67" i="4"/>
  <c r="D749" i="4"/>
  <c r="O129" i="4"/>
  <c r="O67" i="4"/>
  <c r="C748" i="4"/>
  <c r="N68" i="4"/>
  <c r="N32" i="4"/>
  <c r="O851" i="4"/>
  <c r="D799" i="4"/>
  <c r="D823" i="4"/>
  <c r="E834" i="3"/>
  <c r="P862" i="3"/>
  <c r="E810" i="3"/>
  <c r="B750" i="3"/>
  <c r="N22" i="3"/>
  <c r="N32" i="3"/>
  <c r="E825" i="3"/>
  <c r="P853" i="3"/>
  <c r="E801" i="3"/>
  <c r="C748" i="3"/>
  <c r="K67" i="3"/>
  <c r="K31" i="3"/>
  <c r="E747" i="3"/>
  <c r="J247" i="3"/>
  <c r="J248" i="3"/>
  <c r="M246" i="3"/>
  <c r="J132" i="3"/>
  <c r="D745" i="3"/>
  <c r="G133" i="3"/>
  <c r="G66" i="3"/>
  <c r="R359" i="3"/>
  <c r="C808" i="3"/>
  <c r="N860" i="3"/>
  <c r="C832" i="3"/>
  <c r="C751" i="3"/>
  <c r="O67" i="3"/>
  <c r="O31" i="3"/>
  <c r="B742" i="3"/>
  <c r="C32" i="3"/>
  <c r="C22" i="3"/>
  <c r="D830" i="3"/>
  <c r="O858" i="3"/>
  <c r="D806" i="3"/>
  <c r="H823" i="3"/>
  <c r="H754" i="3"/>
  <c r="H799" i="3"/>
  <c r="E804" i="3"/>
  <c r="P856" i="3"/>
  <c r="E828" i="3"/>
  <c r="I836" i="3"/>
  <c r="E741" i="3"/>
  <c r="B247" i="3"/>
  <c r="B248" i="3"/>
  <c r="E246" i="3"/>
  <c r="R246" i="3" s="1"/>
  <c r="B132" i="3"/>
  <c r="H829" i="3"/>
  <c r="G772" i="3" s="1"/>
  <c r="H805" i="3"/>
  <c r="D752" i="3"/>
  <c r="P133" i="3"/>
  <c r="P66" i="3"/>
  <c r="Q132" i="3"/>
  <c r="P855" i="3"/>
  <c r="E803" i="3"/>
  <c r="E827" i="3"/>
  <c r="H133" i="3"/>
  <c r="D746" i="3"/>
  <c r="H66" i="3"/>
  <c r="O861" i="3"/>
  <c r="D833" i="3"/>
  <c r="D809" i="3"/>
  <c r="N852" i="3"/>
  <c r="C824" i="3"/>
  <c r="C800" i="3"/>
  <c r="E744" i="3"/>
  <c r="F248" i="3"/>
  <c r="I246" i="3"/>
  <c r="F247" i="3"/>
  <c r="F132" i="3"/>
  <c r="H826" i="3"/>
  <c r="G769" i="3" s="1"/>
  <c r="H802" i="3"/>
  <c r="M859" i="3"/>
  <c r="R859" i="3" s="1"/>
  <c r="E774" i="3"/>
  <c r="F774" i="3" s="1"/>
  <c r="H774" i="3" s="1"/>
  <c r="L774" i="3"/>
  <c r="B831" i="3"/>
  <c r="R831" i="3" s="1"/>
  <c r="B807" i="3"/>
  <c r="D743" i="3"/>
  <c r="D133" i="3"/>
  <c r="D66" i="3"/>
  <c r="O868" i="2"/>
  <c r="D816" i="2"/>
  <c r="D840" i="2"/>
  <c r="B845" i="2"/>
  <c r="R845" i="2" s="1"/>
  <c r="M873" i="2"/>
  <c r="R873" i="2" s="1"/>
  <c r="L788" i="2"/>
  <c r="B821" i="2"/>
  <c r="E788" i="2"/>
  <c r="F788" i="2" s="1"/>
  <c r="H788" i="2" s="1"/>
  <c r="H843" i="2"/>
  <c r="G786" i="2" s="1"/>
  <c r="G796" i="2" s="1"/>
  <c r="H819" i="2"/>
  <c r="D759" i="2"/>
  <c r="C134" i="2"/>
  <c r="C67" i="2"/>
  <c r="D768" i="2"/>
  <c r="O134" i="2"/>
  <c r="O67" i="2"/>
  <c r="E764" i="2"/>
  <c r="J258" i="2"/>
  <c r="J257" i="2"/>
  <c r="M256" i="2"/>
  <c r="J133" i="2"/>
  <c r="E767" i="2"/>
  <c r="N257" i="2"/>
  <c r="N258" i="2"/>
  <c r="Q256" i="2"/>
  <c r="N133" i="2"/>
  <c r="P870" i="2"/>
  <c r="E842" i="2"/>
  <c r="E818" i="2"/>
  <c r="D765" i="2"/>
  <c r="K134" i="2"/>
  <c r="K67" i="2"/>
  <c r="D762" i="2"/>
  <c r="G134" i="2"/>
  <c r="G67" i="2"/>
  <c r="D766" i="2"/>
  <c r="L134" i="2"/>
  <c r="L67" i="2"/>
  <c r="B851" i="2"/>
  <c r="R851" i="2" s="1"/>
  <c r="M879" i="2"/>
  <c r="R879" i="2" s="1"/>
  <c r="B827" i="2"/>
  <c r="E794" i="2"/>
  <c r="F794" i="2" s="1"/>
  <c r="H794" i="2" s="1"/>
  <c r="L794" i="2"/>
  <c r="E817" i="2"/>
  <c r="P869" i="2"/>
  <c r="E841" i="2"/>
  <c r="E826" i="2"/>
  <c r="E850" i="2"/>
  <c r="P878" i="2"/>
  <c r="H846" i="2"/>
  <c r="G789" i="2" s="1"/>
  <c r="H822" i="2"/>
  <c r="H849" i="2"/>
  <c r="G792" i="2" s="1"/>
  <c r="H825" i="2"/>
  <c r="D760" i="2"/>
  <c r="D134" i="2"/>
  <c r="D67" i="2"/>
  <c r="P875" i="2"/>
  <c r="E823" i="2"/>
  <c r="E847" i="2"/>
  <c r="C758" i="2"/>
  <c r="B68" i="2"/>
  <c r="B32" i="2"/>
  <c r="P872" i="2"/>
  <c r="E844" i="2"/>
  <c r="E820" i="2"/>
  <c r="P876" i="2"/>
  <c r="E848" i="2"/>
  <c r="E824" i="2"/>
  <c r="E761" i="2"/>
  <c r="F258" i="2"/>
  <c r="F257" i="2"/>
  <c r="I256" i="2"/>
  <c r="R256" i="2" s="1"/>
  <c r="F133" i="2"/>
  <c r="AI1115" i="14" l="1"/>
  <c r="AJ1084" i="13"/>
  <c r="AI971" i="8"/>
  <c r="AF994" i="7"/>
  <c r="AJ1012" i="6"/>
  <c r="AI1072" i="12"/>
  <c r="W1055" i="12"/>
  <c r="AF1098" i="12" s="1"/>
  <c r="U1055" i="12"/>
  <c r="T1055" i="12"/>
  <c r="V1055" i="12"/>
  <c r="AF1097" i="12" s="1"/>
  <c r="C954" i="15"/>
  <c r="C65" i="15"/>
  <c r="C29" i="15"/>
  <c r="AQ960" i="13"/>
  <c r="D991" i="13"/>
  <c r="D963" i="13"/>
  <c r="D917" i="12"/>
  <c r="J134" i="12"/>
  <c r="M133" i="12"/>
  <c r="J64" i="12"/>
  <c r="G1091" i="14"/>
  <c r="AG1011" i="14"/>
  <c r="AG1046" i="14"/>
  <c r="C928" i="13"/>
  <c r="H65" i="13"/>
  <c r="H29" i="13"/>
  <c r="AI1153" i="14"/>
  <c r="AI1152" i="14"/>
  <c r="G1064" i="13"/>
  <c r="AG984" i="13"/>
  <c r="AG1019" i="13"/>
  <c r="AI1144" i="14"/>
  <c r="AI1143" i="14"/>
  <c r="C944" i="11"/>
  <c r="AP913" i="11"/>
  <c r="C916" i="11"/>
  <c r="AG1013" i="12"/>
  <c r="AG978" i="12"/>
  <c r="G1058" i="12"/>
  <c r="T1032" i="11"/>
  <c r="U1032" i="11"/>
  <c r="W1032" i="11"/>
  <c r="AF1081" i="11" s="1"/>
  <c r="V1032" i="11"/>
  <c r="AF1080" i="11" s="1"/>
  <c r="AI1116" i="13"/>
  <c r="AI1115" i="13"/>
  <c r="B919" i="12"/>
  <c r="L19" i="12"/>
  <c r="L30" i="12"/>
  <c r="R309" i="11"/>
  <c r="F1098" i="14"/>
  <c r="AF1053" i="14"/>
  <c r="AF1018" i="14"/>
  <c r="E1093" i="14"/>
  <c r="AE1013" i="14"/>
  <c r="AE1048" i="14"/>
  <c r="AI1106" i="12"/>
  <c r="AI1107" i="12"/>
  <c r="AG1111" i="14"/>
  <c r="AG1109" i="14"/>
  <c r="AG1108" i="14"/>
  <c r="AG1113" i="14"/>
  <c r="AG1106" i="14"/>
  <c r="AG1102" i="14"/>
  <c r="AG1100" i="14"/>
  <c r="AG1098" i="14"/>
  <c r="AG1107" i="14"/>
  <c r="AG1105" i="14"/>
  <c r="AG1110" i="14"/>
  <c r="AG1104" i="14"/>
  <c r="AG1096" i="14"/>
  <c r="AG1114" i="14"/>
  <c r="AG1112" i="14"/>
  <c r="AG1103" i="14"/>
  <c r="AG1101" i="14"/>
  <c r="AG1099" i="14"/>
  <c r="AG1097" i="14"/>
  <c r="AG1095" i="14"/>
  <c r="AG1094" i="14"/>
  <c r="AG1091" i="14"/>
  <c r="AG1092" i="14"/>
  <c r="AG1093" i="14"/>
  <c r="E987" i="15"/>
  <c r="E1015" i="15"/>
  <c r="H1017" i="14"/>
  <c r="H989" i="14"/>
  <c r="H967" i="14"/>
  <c r="B985" i="14"/>
  <c r="B1013" i="14"/>
  <c r="AO982" i="14"/>
  <c r="AT982" i="14" s="1"/>
  <c r="AN947" i="14"/>
  <c r="AG947" i="14"/>
  <c r="AH947" i="14" s="1"/>
  <c r="AJ947" i="14" s="1"/>
  <c r="AL947" i="14" s="1"/>
  <c r="F1027" i="11"/>
  <c r="AF982" i="11"/>
  <c r="AF947" i="11"/>
  <c r="E945" i="11"/>
  <c r="AR914" i="11"/>
  <c r="E917" i="11"/>
  <c r="O65" i="13"/>
  <c r="O29" i="13"/>
  <c r="C933" i="13"/>
  <c r="AD982" i="13"/>
  <c r="AS982" i="13" s="1"/>
  <c r="R982" i="13"/>
  <c r="B1010" i="13" s="1"/>
  <c r="AD1017" i="13"/>
  <c r="AS1017" i="13" s="1"/>
  <c r="R1089" i="13"/>
  <c r="F1100" i="14"/>
  <c r="AF1055" i="14"/>
  <c r="AF1020" i="14"/>
  <c r="B912" i="12"/>
  <c r="C30" i="12"/>
  <c r="C19" i="12"/>
  <c r="AE1023" i="13"/>
  <c r="E1068" i="13"/>
  <c r="AE988" i="13"/>
  <c r="D953" i="15"/>
  <c r="B136" i="15"/>
  <c r="E135" i="15"/>
  <c r="B64" i="15"/>
  <c r="AF985" i="11"/>
  <c r="F1030" i="11"/>
  <c r="AF950" i="11"/>
  <c r="D891" i="11"/>
  <c r="M131" i="11"/>
  <c r="J132" i="11"/>
  <c r="J64" i="11"/>
  <c r="C945" i="12"/>
  <c r="AP942" i="12"/>
  <c r="C973" i="12"/>
  <c r="C927" i="13"/>
  <c r="G65" i="13"/>
  <c r="G29" i="13"/>
  <c r="AJ990" i="11"/>
  <c r="C942" i="12"/>
  <c r="AP939" i="12"/>
  <c r="C970" i="12"/>
  <c r="G1029" i="11"/>
  <c r="AG949" i="11"/>
  <c r="AG984" i="11"/>
  <c r="C1012" i="14"/>
  <c r="C984" i="14"/>
  <c r="AP981" i="14"/>
  <c r="D1018" i="15"/>
  <c r="D990" i="15"/>
  <c r="C980" i="13"/>
  <c r="C952" i="13"/>
  <c r="AP949" i="13"/>
  <c r="AJ981" i="12"/>
  <c r="C962" i="14"/>
  <c r="L65" i="14"/>
  <c r="L29" i="14"/>
  <c r="E971" i="11"/>
  <c r="E998" i="11" s="1"/>
  <c r="C971" i="11"/>
  <c r="C998" i="11" s="1"/>
  <c r="B998" i="11"/>
  <c r="E1095" i="14"/>
  <c r="AE1050" i="14"/>
  <c r="AE1015" i="14"/>
  <c r="AI1104" i="13"/>
  <c r="AI1103" i="13"/>
  <c r="D1011" i="15"/>
  <c r="D983" i="15"/>
  <c r="E924" i="12"/>
  <c r="E940" i="12"/>
  <c r="AR937" i="12"/>
  <c r="E968" i="12"/>
  <c r="D956" i="15"/>
  <c r="I135" i="15"/>
  <c r="F136" i="15"/>
  <c r="F64" i="15"/>
  <c r="AD975" i="12"/>
  <c r="AS975" i="12" s="1"/>
  <c r="R975" i="12"/>
  <c r="B1003" i="12" s="1"/>
  <c r="AD1010" i="12"/>
  <c r="AS1010" i="12" s="1"/>
  <c r="R1082" i="12"/>
  <c r="F1024" i="11"/>
  <c r="AF944" i="11"/>
  <c r="AF979" i="11"/>
  <c r="C960" i="15"/>
  <c r="K65" i="15"/>
  <c r="K29" i="15"/>
  <c r="AO984" i="14"/>
  <c r="AT984" i="14" s="1"/>
  <c r="AG949" i="14"/>
  <c r="AH949" i="14" s="1"/>
  <c r="AJ949" i="14" s="1"/>
  <c r="AL949" i="14" s="1"/>
  <c r="B1015" i="14"/>
  <c r="AN949" i="14"/>
  <c r="B987" i="14"/>
  <c r="J1022" i="11"/>
  <c r="Z1022" i="11" s="1"/>
  <c r="AI977" i="11"/>
  <c r="H955" i="11"/>
  <c r="AI942" i="11"/>
  <c r="AI955" i="11" s="1"/>
  <c r="AI876" i="11"/>
  <c r="D985" i="13"/>
  <c r="AQ954" i="13"/>
  <c r="D957" i="13"/>
  <c r="D914" i="12"/>
  <c r="F134" i="12"/>
  <c r="I133" i="12"/>
  <c r="F64" i="12"/>
  <c r="AG1067" i="12"/>
  <c r="AG1054" i="12"/>
  <c r="AG1065" i="12"/>
  <c r="AG1052" i="12"/>
  <c r="AG1050" i="12"/>
  <c r="AG1048" i="12"/>
  <c r="AG1068" i="12"/>
  <c r="AG1066" i="12"/>
  <c r="AG1053" i="12"/>
  <c r="AG1070" i="12"/>
  <c r="AG1069" i="12"/>
  <c r="AG1064" i="12"/>
  <c r="AG1056" i="12"/>
  <c r="AG1055" i="12"/>
  <c r="AG1049" i="12"/>
  <c r="AG1071" i="12"/>
  <c r="AG1051" i="12"/>
  <c r="AG1059" i="12"/>
  <c r="AG1061" i="12"/>
  <c r="AG1060" i="12"/>
  <c r="AG1058" i="12"/>
  <c r="AG1063" i="12"/>
  <c r="AG1062" i="12"/>
  <c r="AG1057" i="12"/>
  <c r="B960" i="13"/>
  <c r="B988" i="13"/>
  <c r="AO957" i="13"/>
  <c r="AT957" i="13" s="1"/>
  <c r="AI986" i="11"/>
  <c r="J1031" i="11"/>
  <c r="Z1031" i="11" s="1"/>
  <c r="AI885" i="11"/>
  <c r="AI951" i="11"/>
  <c r="AI1071" i="11"/>
  <c r="AI1072" i="11"/>
  <c r="AF1047" i="14"/>
  <c r="AF1012" i="14"/>
  <c r="F1092" i="14"/>
  <c r="B893" i="11"/>
  <c r="L19" i="11"/>
  <c r="L30" i="11"/>
  <c r="C976" i="12"/>
  <c r="AP945" i="12"/>
  <c r="C948" i="12"/>
  <c r="D894" i="11"/>
  <c r="Q131" i="11"/>
  <c r="N132" i="11"/>
  <c r="N64" i="11"/>
  <c r="D983" i="14"/>
  <c r="D1011" i="14"/>
  <c r="AQ980" i="14"/>
  <c r="D957" i="14"/>
  <c r="I140" i="14"/>
  <c r="F141" i="14"/>
  <c r="F64" i="14"/>
  <c r="D983" i="13"/>
  <c r="D955" i="13"/>
  <c r="AQ952" i="13"/>
  <c r="AQ958" i="13"/>
  <c r="D961" i="13"/>
  <c r="D989" i="13"/>
  <c r="AI1098" i="13"/>
  <c r="AI1097" i="13"/>
  <c r="C892" i="11"/>
  <c r="K65" i="11"/>
  <c r="K29" i="11"/>
  <c r="D959" i="15"/>
  <c r="J136" i="15"/>
  <c r="M135" i="15"/>
  <c r="J64" i="15"/>
  <c r="B959" i="14"/>
  <c r="H30" i="14"/>
  <c r="H19" i="14"/>
  <c r="D962" i="13"/>
  <c r="AQ959" i="13"/>
  <c r="D990" i="13"/>
  <c r="AP938" i="12"/>
  <c r="C969" i="12"/>
  <c r="C941" i="12"/>
  <c r="C963" i="15"/>
  <c r="O65" i="15"/>
  <c r="O29" i="15"/>
  <c r="C915" i="12"/>
  <c r="G65" i="12"/>
  <c r="G29" i="12"/>
  <c r="E1019" i="15"/>
  <c r="E991" i="15"/>
  <c r="D920" i="12"/>
  <c r="N134" i="12"/>
  <c r="Q133" i="12"/>
  <c r="N64" i="12"/>
  <c r="C965" i="14"/>
  <c r="P65" i="14"/>
  <c r="P29" i="14"/>
  <c r="R325" i="15"/>
  <c r="AF1005" i="12"/>
  <c r="F1050" i="12"/>
  <c r="AF970" i="12"/>
  <c r="C924" i="13"/>
  <c r="C65" i="13"/>
  <c r="C29" i="13"/>
  <c r="B963" i="14"/>
  <c r="N19" i="14"/>
  <c r="N30" i="14"/>
  <c r="Q29" i="14"/>
  <c r="AF1014" i="12"/>
  <c r="AF979" i="12"/>
  <c r="F1059" i="12"/>
  <c r="AQ953" i="13"/>
  <c r="D984" i="13"/>
  <c r="D956" i="13"/>
  <c r="E898" i="11"/>
  <c r="AR911" i="11"/>
  <c r="E942" i="11"/>
  <c r="E914" i="11"/>
  <c r="J1025" i="11"/>
  <c r="Z1025" i="11" s="1"/>
  <c r="AI980" i="11"/>
  <c r="AI879" i="11"/>
  <c r="AI945" i="11"/>
  <c r="AI1049" i="14"/>
  <c r="AI1014" i="14"/>
  <c r="AI948" i="14"/>
  <c r="J1094" i="14"/>
  <c r="Z1094" i="14" s="1"/>
  <c r="AN880" i="11"/>
  <c r="B918" i="11"/>
  <c r="AG880" i="11"/>
  <c r="AH880" i="11" s="1"/>
  <c r="AJ880" i="11" s="1"/>
  <c r="AL880" i="11" s="1"/>
  <c r="B946" i="11"/>
  <c r="AO915" i="11"/>
  <c r="AT915" i="11" s="1"/>
  <c r="G1069" i="13"/>
  <c r="AG1024" i="13"/>
  <c r="AG989" i="13"/>
  <c r="J1054" i="12"/>
  <c r="Z1054" i="12" s="1"/>
  <c r="AI908" i="12"/>
  <c r="AI1009" i="12"/>
  <c r="AI974" i="12"/>
  <c r="AQ988" i="14"/>
  <c r="D991" i="14"/>
  <c r="D1019" i="14"/>
  <c r="AI977" i="12"/>
  <c r="AI1012" i="12"/>
  <c r="AI911" i="12"/>
  <c r="J1057" i="12"/>
  <c r="Z1057" i="12" s="1"/>
  <c r="E986" i="13"/>
  <c r="E958" i="13"/>
  <c r="AR955" i="13"/>
  <c r="AR962" i="13" s="1"/>
  <c r="H1023" i="15"/>
  <c r="C957" i="15"/>
  <c r="G65" i="15"/>
  <c r="G29" i="15"/>
  <c r="AI1082" i="13"/>
  <c r="AI1075" i="13"/>
  <c r="AI1073" i="13"/>
  <c r="AI1071" i="13"/>
  <c r="AI1069" i="13"/>
  <c r="AI1067" i="13"/>
  <c r="AI1080" i="13"/>
  <c r="AI1078" i="13"/>
  <c r="Z1061" i="13"/>
  <c r="AI1065" i="13"/>
  <c r="AI1063" i="13"/>
  <c r="AI1061" i="13"/>
  <c r="AI1079" i="13"/>
  <c r="AI1066" i="13"/>
  <c r="AI1077" i="13"/>
  <c r="AI1076" i="13"/>
  <c r="AI1062" i="13"/>
  <c r="AI1060" i="13"/>
  <c r="AI1083" i="13"/>
  <c r="AI1074" i="13"/>
  <c r="AI1064" i="13"/>
  <c r="AI1081" i="13"/>
  <c r="AI1072" i="13"/>
  <c r="AI1070" i="13"/>
  <c r="AI1068" i="13"/>
  <c r="AI948" i="11"/>
  <c r="J1028" i="11"/>
  <c r="Z1028" i="11" s="1"/>
  <c r="AI983" i="11"/>
  <c r="AI882" i="11"/>
  <c r="AE1046" i="11"/>
  <c r="AS1022" i="11"/>
  <c r="D1017" i="15"/>
  <c r="D989" i="15"/>
  <c r="E974" i="12"/>
  <c r="E946" i="12"/>
  <c r="AR943" i="12"/>
  <c r="AI1101" i="13"/>
  <c r="AI1100" i="13"/>
  <c r="G1061" i="13"/>
  <c r="AG1016" i="13"/>
  <c r="AG981" i="13"/>
  <c r="C992" i="14"/>
  <c r="C1020" i="14"/>
  <c r="AP989" i="14"/>
  <c r="F1060" i="13"/>
  <c r="AF1015" i="13"/>
  <c r="AF980" i="13"/>
  <c r="B964" i="15"/>
  <c r="P19" i="15"/>
  <c r="P20" i="15" s="1"/>
  <c r="Q20" i="15" s="1"/>
  <c r="R20" i="15" s="1"/>
  <c r="P30" i="15"/>
  <c r="C950" i="11"/>
  <c r="C922" i="11"/>
  <c r="AP919" i="11"/>
  <c r="AD987" i="11"/>
  <c r="AS987" i="11" s="1"/>
  <c r="AD952" i="11"/>
  <c r="AS952" i="11" s="1"/>
  <c r="R952" i="11"/>
  <c r="B980" i="11" s="1"/>
  <c r="R1059" i="11"/>
  <c r="G1052" i="12"/>
  <c r="AG1007" i="12"/>
  <c r="AG972" i="12"/>
  <c r="AJ1016" i="12"/>
  <c r="B961" i="14"/>
  <c r="K19" i="14"/>
  <c r="K30" i="14"/>
  <c r="AI1006" i="12"/>
  <c r="J1051" i="12"/>
  <c r="Z1051" i="12" s="1"/>
  <c r="AI971" i="12"/>
  <c r="AI905" i="12"/>
  <c r="AG1057" i="14"/>
  <c r="G1102" i="14"/>
  <c r="AG1022" i="14"/>
  <c r="AQ918" i="11"/>
  <c r="D949" i="11"/>
  <c r="D921" i="11"/>
  <c r="C1016" i="14"/>
  <c r="AP985" i="14"/>
  <c r="C988" i="14"/>
  <c r="G1065" i="13"/>
  <c r="AG1020" i="13"/>
  <c r="AG985" i="13"/>
  <c r="AI1088" i="12"/>
  <c r="AI1089" i="12"/>
  <c r="C921" i="12"/>
  <c r="O65" i="12"/>
  <c r="O29" i="12"/>
  <c r="B896" i="11"/>
  <c r="P30" i="11"/>
  <c r="P19" i="11"/>
  <c r="D1020" i="15"/>
  <c r="D992" i="15"/>
  <c r="AQ941" i="12"/>
  <c r="D972" i="12"/>
  <c r="D944" i="12"/>
  <c r="D994" i="14"/>
  <c r="AQ991" i="14"/>
  <c r="D1022" i="14"/>
  <c r="E1010" i="15"/>
  <c r="E966" i="15"/>
  <c r="E982" i="15"/>
  <c r="AF1011" i="12"/>
  <c r="F1056" i="12"/>
  <c r="AF976" i="12"/>
  <c r="E948" i="11"/>
  <c r="E920" i="11"/>
  <c r="AR917" i="11"/>
  <c r="B964" i="14"/>
  <c r="O19" i="14"/>
  <c r="O30" i="14"/>
  <c r="D981" i="13"/>
  <c r="D953" i="13"/>
  <c r="AQ950" i="13"/>
  <c r="AI1119" i="14"/>
  <c r="AI1120" i="14"/>
  <c r="AI1121" i="13"/>
  <c r="AI1122" i="13"/>
  <c r="AI1123" i="14"/>
  <c r="AI1122" i="14"/>
  <c r="E951" i="11"/>
  <c r="E923" i="11"/>
  <c r="AR920" i="11"/>
  <c r="F1096" i="14"/>
  <c r="AF1016" i="14"/>
  <c r="AF1051" i="14"/>
  <c r="G1070" i="13"/>
  <c r="AG1025" i="13"/>
  <c r="AG990" i="13"/>
  <c r="G1071" i="13"/>
  <c r="AG991" i="13"/>
  <c r="AG1026" i="13"/>
  <c r="B922" i="12"/>
  <c r="P19" i="12"/>
  <c r="P30" i="12"/>
  <c r="W1067" i="13"/>
  <c r="AF1110" i="13" s="1"/>
  <c r="V1067" i="13"/>
  <c r="AF1109" i="13" s="1"/>
  <c r="U1067" i="13"/>
  <c r="T1067" i="13"/>
  <c r="D958" i="15"/>
  <c r="H136" i="15"/>
  <c r="H64" i="15"/>
  <c r="E960" i="14"/>
  <c r="J331" i="14"/>
  <c r="M330" i="14"/>
  <c r="R330" i="14" s="1"/>
  <c r="J332" i="14"/>
  <c r="J140" i="14"/>
  <c r="F132" i="11"/>
  <c r="I131" i="11"/>
  <c r="D888" i="11"/>
  <c r="F64" i="11"/>
  <c r="W1062" i="13"/>
  <c r="AF1095" i="13" s="1"/>
  <c r="U1062" i="13"/>
  <c r="V1062" i="13"/>
  <c r="AF1094" i="13" s="1"/>
  <c r="T1062" i="13"/>
  <c r="D911" i="12"/>
  <c r="B134" i="12"/>
  <c r="E133" i="12"/>
  <c r="R133" i="12" s="1"/>
  <c r="B64" i="12"/>
  <c r="D1014" i="15"/>
  <c r="D986" i="15"/>
  <c r="E985" i="15"/>
  <c r="E1013" i="15"/>
  <c r="C934" i="13"/>
  <c r="P65" i="13"/>
  <c r="P29" i="13"/>
  <c r="B890" i="11"/>
  <c r="H30" i="11"/>
  <c r="H19" i="11"/>
  <c r="F1101" i="14"/>
  <c r="AF1056" i="14"/>
  <c r="AF1021" i="14"/>
  <c r="E971" i="12"/>
  <c r="E943" i="12"/>
  <c r="AR940" i="12"/>
  <c r="K1097" i="14"/>
  <c r="AJ1052" i="14"/>
  <c r="AJ1059" i="14" s="1"/>
  <c r="AJ1017" i="14"/>
  <c r="AJ1024" i="14" s="1"/>
  <c r="B887" i="11"/>
  <c r="D30" i="11"/>
  <c r="D19" i="11"/>
  <c r="AI1080" i="12"/>
  <c r="AI1079" i="12"/>
  <c r="AI1119" i="13"/>
  <c r="AI1118" i="13"/>
  <c r="C1021" i="15"/>
  <c r="C993" i="15"/>
  <c r="AE946" i="11"/>
  <c r="E1026" i="11"/>
  <c r="AE981" i="11"/>
  <c r="J1066" i="13"/>
  <c r="Z1066" i="13" s="1"/>
  <c r="AI986" i="13"/>
  <c r="AI993" i="13" s="1"/>
  <c r="AI1021" i="13"/>
  <c r="AI1028" i="13" s="1"/>
  <c r="H993" i="13"/>
  <c r="J1048" i="12"/>
  <c r="Z1048" i="12" s="1"/>
  <c r="AI902" i="12"/>
  <c r="AI915" i="12" s="1"/>
  <c r="AI1003" i="12"/>
  <c r="AI1016" i="12" s="1"/>
  <c r="AI968" i="12"/>
  <c r="H981" i="12"/>
  <c r="E986" i="14"/>
  <c r="E1014" i="14"/>
  <c r="AR983" i="14"/>
  <c r="AD987" i="13"/>
  <c r="AS987" i="13" s="1"/>
  <c r="AD1022" i="13"/>
  <c r="AS1022" i="13" s="1"/>
  <c r="R987" i="13"/>
  <c r="B1015" i="13" s="1"/>
  <c r="R1094" i="13"/>
  <c r="C990" i="14"/>
  <c r="C1018" i="14"/>
  <c r="AP987" i="14"/>
  <c r="AF1004" i="12"/>
  <c r="F1049" i="12"/>
  <c r="AF969" i="12"/>
  <c r="E1016" i="15"/>
  <c r="E988" i="15"/>
  <c r="AF988" i="11"/>
  <c r="F1033" i="11"/>
  <c r="AF953" i="11"/>
  <c r="C919" i="11"/>
  <c r="AP916" i="11"/>
  <c r="C947" i="11"/>
  <c r="D950" i="12"/>
  <c r="AQ947" i="12"/>
  <c r="D978" i="12"/>
  <c r="C953" i="11"/>
  <c r="C925" i="11"/>
  <c r="AP922" i="11"/>
  <c r="D962" i="15"/>
  <c r="N136" i="15"/>
  <c r="Q135" i="15"/>
  <c r="N64" i="15"/>
  <c r="F1053" i="12"/>
  <c r="AF1008" i="12"/>
  <c r="AF973" i="12"/>
  <c r="E949" i="12"/>
  <c r="E977" i="12"/>
  <c r="AR946" i="12"/>
  <c r="C993" i="14"/>
  <c r="C1021" i="14"/>
  <c r="AP990" i="14"/>
  <c r="AG1018" i="13"/>
  <c r="AG983" i="13"/>
  <c r="G1063" i="13"/>
  <c r="B916" i="12"/>
  <c r="H30" i="12"/>
  <c r="H19" i="12"/>
  <c r="G1099" i="14"/>
  <c r="AG1054" i="14"/>
  <c r="AG1019" i="14"/>
  <c r="D885" i="11"/>
  <c r="E131" i="11"/>
  <c r="R131" i="11" s="1"/>
  <c r="B132" i="11"/>
  <c r="B64" i="11"/>
  <c r="AJ955" i="11"/>
  <c r="B913" i="12"/>
  <c r="D30" i="12"/>
  <c r="D19" i="12"/>
  <c r="C954" i="14"/>
  <c r="E64" i="14"/>
  <c r="B65" i="14"/>
  <c r="B29" i="14"/>
  <c r="B955" i="14"/>
  <c r="C30" i="14"/>
  <c r="C19" i="14"/>
  <c r="C979" i="12"/>
  <c r="AP948" i="12"/>
  <c r="C951" i="12"/>
  <c r="C961" i="15"/>
  <c r="L65" i="15"/>
  <c r="L29" i="15"/>
  <c r="B923" i="13"/>
  <c r="B19" i="13"/>
  <c r="E29" i="13"/>
  <c r="B30" i="13"/>
  <c r="C926" i="13"/>
  <c r="I64" i="13"/>
  <c r="F29" i="13"/>
  <c r="F65" i="13"/>
  <c r="N65" i="13"/>
  <c r="C932" i="13"/>
  <c r="Q64" i="13"/>
  <c r="N29" i="13"/>
  <c r="D929" i="13"/>
  <c r="M133" i="13"/>
  <c r="R133" i="13" s="1"/>
  <c r="J134" i="13"/>
  <c r="J64" i="13"/>
  <c r="D971" i="11"/>
  <c r="AU943" i="11"/>
  <c r="AL813" i="9"/>
  <c r="B896" i="9"/>
  <c r="B891" i="6"/>
  <c r="AO888" i="6"/>
  <c r="AT888" i="6" s="1"/>
  <c r="B919" i="6"/>
  <c r="AG853" i="6"/>
  <c r="AH853" i="6" s="1"/>
  <c r="AJ853" i="6" s="1"/>
  <c r="AL853" i="6" s="1"/>
  <c r="AN853" i="6"/>
  <c r="D773" i="10"/>
  <c r="B129" i="10"/>
  <c r="E128" i="10"/>
  <c r="B65" i="10"/>
  <c r="AQ885" i="6"/>
  <c r="D888" i="6"/>
  <c r="D916" i="6"/>
  <c r="C836" i="9"/>
  <c r="C862" i="9"/>
  <c r="D942" i="9" s="1"/>
  <c r="AP842" i="9"/>
  <c r="P65" i="7"/>
  <c r="P29" i="7"/>
  <c r="C844" i="7"/>
  <c r="G998" i="6"/>
  <c r="AG953" i="6"/>
  <c r="AG918" i="6"/>
  <c r="D899" i="7"/>
  <c r="D871" i="7"/>
  <c r="AQ868" i="7"/>
  <c r="B872" i="7"/>
  <c r="AO869" i="7"/>
  <c r="AT869" i="7" s="1"/>
  <c r="AG834" i="7"/>
  <c r="AH834" i="7" s="1"/>
  <c r="AJ834" i="7" s="1"/>
  <c r="AL834" i="7" s="1"/>
  <c r="B900" i="7"/>
  <c r="AN834" i="7"/>
  <c r="E873" i="8"/>
  <c r="E845" i="8"/>
  <c r="AR842" i="8"/>
  <c r="B818" i="8"/>
  <c r="L19" i="8"/>
  <c r="L30" i="8"/>
  <c r="C860" i="6"/>
  <c r="Q64" i="6"/>
  <c r="N65" i="6"/>
  <c r="N29" i="6"/>
  <c r="D809" i="9"/>
  <c r="J131" i="9"/>
  <c r="M130" i="9"/>
  <c r="J64" i="9"/>
  <c r="G971" i="7"/>
  <c r="AG926" i="7"/>
  <c r="AG891" i="7"/>
  <c r="R275" i="8"/>
  <c r="AG898" i="7"/>
  <c r="G978" i="7"/>
  <c r="AG933" i="7"/>
  <c r="C804" i="9"/>
  <c r="C65" i="9"/>
  <c r="C29" i="9"/>
  <c r="D890" i="6"/>
  <c r="D918" i="6"/>
  <c r="AQ887" i="6"/>
  <c r="AI925" i="7"/>
  <c r="J970" i="7"/>
  <c r="AI890" i="7"/>
  <c r="H903" i="7"/>
  <c r="AI824" i="7"/>
  <c r="C841" i="7"/>
  <c r="L65" i="7"/>
  <c r="L29" i="7"/>
  <c r="B849" i="8"/>
  <c r="AN811" i="8"/>
  <c r="B877" i="8"/>
  <c r="AO846" i="8"/>
  <c r="AT846" i="8" s="1"/>
  <c r="AG811" i="8"/>
  <c r="AH811" i="8" s="1"/>
  <c r="AJ811" i="8" s="1"/>
  <c r="AL811" i="8" s="1"/>
  <c r="F65" i="7"/>
  <c r="C836" i="7"/>
  <c r="I64" i="7"/>
  <c r="F29" i="7"/>
  <c r="D839" i="7"/>
  <c r="J133" i="7"/>
  <c r="M132" i="7"/>
  <c r="J64" i="7"/>
  <c r="R130" i="6"/>
  <c r="B811" i="8"/>
  <c r="C30" i="8"/>
  <c r="C19" i="8"/>
  <c r="C857" i="6"/>
  <c r="J65" i="6"/>
  <c r="M64" i="6"/>
  <c r="J29" i="6"/>
  <c r="AJ938" i="7"/>
  <c r="C817" i="8"/>
  <c r="K65" i="8"/>
  <c r="K29" i="8"/>
  <c r="D776" i="10"/>
  <c r="I128" i="10"/>
  <c r="F129" i="10"/>
  <c r="F65" i="10"/>
  <c r="E890" i="7"/>
  <c r="E846" i="7"/>
  <c r="E862" i="7"/>
  <c r="AR859" i="7"/>
  <c r="AF875" i="8"/>
  <c r="AF910" i="8"/>
  <c r="F955" i="8"/>
  <c r="AE900" i="7"/>
  <c r="AE935" i="7"/>
  <c r="E980" i="7"/>
  <c r="D873" i="7"/>
  <c r="D901" i="7"/>
  <c r="AQ870" i="7"/>
  <c r="AQ849" i="9"/>
  <c r="D869" i="9"/>
  <c r="E949" i="9" s="1"/>
  <c r="D843" i="9"/>
  <c r="J947" i="8"/>
  <c r="AI867" i="8"/>
  <c r="H880" i="8"/>
  <c r="AI801" i="8"/>
  <c r="AI902" i="8"/>
  <c r="AF869" i="8"/>
  <c r="AF904" i="8"/>
  <c r="F949" i="8"/>
  <c r="C912" i="6"/>
  <c r="C884" i="6"/>
  <c r="AP881" i="6"/>
  <c r="E999" i="6"/>
  <c r="AE954" i="6"/>
  <c r="AE919" i="6"/>
  <c r="AP844" i="8"/>
  <c r="C875" i="8"/>
  <c r="C847" i="8"/>
  <c r="V995" i="6"/>
  <c r="U995" i="6"/>
  <c r="T995" i="6"/>
  <c r="AD892" i="7"/>
  <c r="AS892" i="7" s="1"/>
  <c r="D920" i="7" s="1"/>
  <c r="R892" i="7"/>
  <c r="B920" i="7" s="1"/>
  <c r="AD927" i="7"/>
  <c r="AS927" i="7" s="1"/>
  <c r="R999" i="7"/>
  <c r="E834" i="9"/>
  <c r="E860" i="9"/>
  <c r="F940" i="9" s="1"/>
  <c r="AR840" i="9"/>
  <c r="E896" i="7"/>
  <c r="E868" i="7"/>
  <c r="AR865" i="7"/>
  <c r="AG949" i="6"/>
  <c r="AG914" i="6"/>
  <c r="G994" i="6"/>
  <c r="F974" i="7"/>
  <c r="AF929" i="7"/>
  <c r="AF894" i="7"/>
  <c r="AR836" i="8"/>
  <c r="E867" i="8"/>
  <c r="E823" i="8"/>
  <c r="E839" i="8"/>
  <c r="AQ839" i="9"/>
  <c r="D833" i="9"/>
  <c r="D859" i="9"/>
  <c r="E939" i="9" s="1"/>
  <c r="D864" i="6"/>
  <c r="D880" i="6"/>
  <c r="AQ877" i="6"/>
  <c r="D908" i="6"/>
  <c r="R250" i="10"/>
  <c r="AQ867" i="7"/>
  <c r="D870" i="7"/>
  <c r="D898" i="7"/>
  <c r="D865" i="7"/>
  <c r="AQ862" i="7"/>
  <c r="D893" i="7"/>
  <c r="I944" i="9"/>
  <c r="AI809" i="9"/>
  <c r="C812" i="9"/>
  <c r="N65" i="9"/>
  <c r="Q64" i="9"/>
  <c r="N29" i="9"/>
  <c r="F951" i="8"/>
  <c r="AF871" i="8"/>
  <c r="AF906" i="8"/>
  <c r="B775" i="10"/>
  <c r="D31" i="10"/>
  <c r="D20" i="10"/>
  <c r="C810" i="9"/>
  <c r="K65" i="9"/>
  <c r="K29" i="9"/>
  <c r="AJ880" i="8"/>
  <c r="D869" i="7"/>
  <c r="D897" i="7"/>
  <c r="AQ866" i="7"/>
  <c r="R868" i="9"/>
  <c r="O975" i="9"/>
  <c r="AQ886" i="6"/>
  <c r="D889" i="6"/>
  <c r="D917" i="6"/>
  <c r="C778" i="10"/>
  <c r="H66" i="10"/>
  <c r="H30" i="10"/>
  <c r="AI805" i="9"/>
  <c r="I940" i="9"/>
  <c r="F948" i="8"/>
  <c r="AF868" i="8"/>
  <c r="AF903" i="8"/>
  <c r="C780" i="10"/>
  <c r="K66" i="10"/>
  <c r="K30" i="10"/>
  <c r="AD930" i="7"/>
  <c r="AS930" i="7" s="1"/>
  <c r="AD895" i="7"/>
  <c r="AS895" i="7" s="1"/>
  <c r="D923" i="7" s="1"/>
  <c r="R895" i="7"/>
  <c r="B923" i="7" s="1"/>
  <c r="R1002" i="7"/>
  <c r="C834" i="7"/>
  <c r="C65" i="7"/>
  <c r="C29" i="7"/>
  <c r="C821" i="8"/>
  <c r="P65" i="8"/>
  <c r="P29" i="8"/>
  <c r="AD950" i="6"/>
  <c r="AS950" i="6" s="1"/>
  <c r="AD915" i="6"/>
  <c r="AS915" i="6" s="1"/>
  <c r="R915" i="6"/>
  <c r="B943" i="6" s="1"/>
  <c r="R1022" i="6"/>
  <c r="AI931" i="7"/>
  <c r="AI896" i="7"/>
  <c r="AI830" i="7"/>
  <c r="J976" i="7"/>
  <c r="C808" i="9"/>
  <c r="H29" i="9"/>
  <c r="H65" i="9"/>
  <c r="AG874" i="8"/>
  <c r="G954" i="8"/>
  <c r="AG909" i="8"/>
  <c r="B777" i="10"/>
  <c r="G31" i="10"/>
  <c r="G20" i="10"/>
  <c r="C868" i="8"/>
  <c r="C840" i="8"/>
  <c r="AP837" i="8"/>
  <c r="G991" i="6"/>
  <c r="AG946" i="6"/>
  <c r="AG911" i="6"/>
  <c r="C814" i="9"/>
  <c r="P65" i="9"/>
  <c r="P29" i="9"/>
  <c r="D782" i="10"/>
  <c r="N129" i="10"/>
  <c r="Q128" i="10"/>
  <c r="N65" i="10"/>
  <c r="AI956" i="6"/>
  <c r="D914" i="6"/>
  <c r="D886" i="6"/>
  <c r="AQ883" i="6"/>
  <c r="D874" i="8"/>
  <c r="D846" i="8"/>
  <c r="AQ843" i="8"/>
  <c r="AQ847" i="9"/>
  <c r="D867" i="9"/>
  <c r="E947" i="9" s="1"/>
  <c r="D841" i="9"/>
  <c r="C857" i="10"/>
  <c r="C833" i="10"/>
  <c r="N885" i="10"/>
  <c r="D816" i="8"/>
  <c r="M131" i="8"/>
  <c r="J132" i="8"/>
  <c r="J64" i="8"/>
  <c r="G952" i="8"/>
  <c r="AG907" i="8"/>
  <c r="AG872" i="8"/>
  <c r="B968" i="6"/>
  <c r="C941" i="6"/>
  <c r="C968" i="6" s="1"/>
  <c r="AG943" i="6"/>
  <c r="AG908" i="6"/>
  <c r="G988" i="6"/>
  <c r="E921" i="6"/>
  <c r="E864" i="9"/>
  <c r="F944" i="9" s="1"/>
  <c r="AR844" i="9"/>
  <c r="E838" i="9"/>
  <c r="M894" i="10"/>
  <c r="R894" i="10" s="1"/>
  <c r="B866" i="10"/>
  <c r="R866" i="10" s="1"/>
  <c r="L809" i="10"/>
  <c r="B842" i="10"/>
  <c r="T784" i="10"/>
  <c r="E809" i="10"/>
  <c r="F809" i="10" s="1"/>
  <c r="H809" i="10" s="1"/>
  <c r="AE993" i="7"/>
  <c r="AS993" i="7" s="1"/>
  <c r="AE991" i="7"/>
  <c r="AS991" i="7" s="1"/>
  <c r="AE986" i="7"/>
  <c r="AS986" i="7" s="1"/>
  <c r="AE984" i="7"/>
  <c r="AS984" i="7" s="1"/>
  <c r="AE982" i="7"/>
  <c r="AS982" i="7" s="1"/>
  <c r="AE977" i="7"/>
  <c r="AS977" i="7" s="1"/>
  <c r="AE971" i="7"/>
  <c r="AS971" i="7" s="1"/>
  <c r="AE989" i="7"/>
  <c r="AS989" i="7" s="1"/>
  <c r="AE978" i="7"/>
  <c r="AS978" i="7" s="1"/>
  <c r="AE976" i="7"/>
  <c r="AS976" i="7" s="1"/>
  <c r="AE972" i="7"/>
  <c r="AS972" i="7" s="1"/>
  <c r="AE987" i="7"/>
  <c r="AS987" i="7" s="1"/>
  <c r="AE979" i="7"/>
  <c r="AS979" i="7" s="1"/>
  <c r="AE975" i="7"/>
  <c r="AS975" i="7" s="1"/>
  <c r="AE973" i="7"/>
  <c r="AS973" i="7" s="1"/>
  <c r="AE980" i="7"/>
  <c r="AS980" i="7" s="1"/>
  <c r="AE974" i="7"/>
  <c r="AS974" i="7" s="1"/>
  <c r="AE992" i="7"/>
  <c r="AS992" i="7" s="1"/>
  <c r="AE985" i="7"/>
  <c r="AS985" i="7" s="1"/>
  <c r="AE983" i="7"/>
  <c r="AS983" i="7" s="1"/>
  <c r="AE981" i="7"/>
  <c r="AS981" i="7" s="1"/>
  <c r="AE990" i="7"/>
  <c r="AS990" i="7" s="1"/>
  <c r="AE988" i="7"/>
  <c r="AS988" i="7" s="1"/>
  <c r="AE970" i="7"/>
  <c r="T972" i="7"/>
  <c r="U972" i="7"/>
  <c r="C815" i="8"/>
  <c r="H65" i="8"/>
  <c r="H29" i="8"/>
  <c r="G30" i="7"/>
  <c r="G19" i="7"/>
  <c r="B837" i="7"/>
  <c r="C853" i="6"/>
  <c r="D65" i="6"/>
  <c r="D29" i="6"/>
  <c r="C840" i="7"/>
  <c r="K29" i="7"/>
  <c r="K65" i="7"/>
  <c r="AP838" i="8"/>
  <c r="C869" i="8"/>
  <c r="C841" i="8"/>
  <c r="D803" i="9"/>
  <c r="B131" i="9"/>
  <c r="E130" i="9"/>
  <c r="R130" i="9" s="1"/>
  <c r="B64" i="9"/>
  <c r="F992" i="6"/>
  <c r="AF947" i="6"/>
  <c r="AF912" i="6"/>
  <c r="D832" i="10"/>
  <c r="D856" i="10"/>
  <c r="O884" i="10"/>
  <c r="G979" i="7"/>
  <c r="AG934" i="7"/>
  <c r="AG899" i="7"/>
  <c r="L30" i="9"/>
  <c r="L19" i="9"/>
  <c r="B811" i="9"/>
  <c r="M893" i="10"/>
  <c r="R893" i="10" s="1"/>
  <c r="B841" i="10"/>
  <c r="E808" i="10"/>
  <c r="F808" i="10" s="1"/>
  <c r="H808" i="10" s="1"/>
  <c r="L808" i="10"/>
  <c r="B865" i="10"/>
  <c r="R865" i="10" s="1"/>
  <c r="T783" i="10"/>
  <c r="D865" i="9"/>
  <c r="E945" i="9" s="1"/>
  <c r="D839" i="9"/>
  <c r="AQ845" i="9"/>
  <c r="G958" i="8"/>
  <c r="AG878" i="8"/>
  <c r="AG913" i="8"/>
  <c r="B814" i="8"/>
  <c r="G30" i="8"/>
  <c r="G19" i="8"/>
  <c r="AJ915" i="8"/>
  <c r="E864" i="10"/>
  <c r="P892" i="10"/>
  <c r="E840" i="10"/>
  <c r="D941" i="6"/>
  <c r="AU913" i="6"/>
  <c r="AR890" i="6"/>
  <c r="C806" i="9"/>
  <c r="F65" i="9"/>
  <c r="I64" i="9"/>
  <c r="F29" i="9"/>
  <c r="D813" i="8"/>
  <c r="F132" i="8"/>
  <c r="I131" i="8"/>
  <c r="F64" i="8"/>
  <c r="O888" i="10"/>
  <c r="D836" i="10"/>
  <c r="D860" i="10"/>
  <c r="AG928" i="7"/>
  <c r="G973" i="7"/>
  <c r="AG893" i="7"/>
  <c r="AE944" i="6"/>
  <c r="E989" i="6"/>
  <c r="AE909" i="6"/>
  <c r="O890" i="10"/>
  <c r="D862" i="10"/>
  <c r="D838" i="10"/>
  <c r="D819" i="8"/>
  <c r="N132" i="8"/>
  <c r="Q131" i="8"/>
  <c r="N64" i="8"/>
  <c r="B881" i="6"/>
  <c r="AO878" i="6"/>
  <c r="AT878" i="6" s="1"/>
  <c r="AN843" i="6"/>
  <c r="B909" i="6"/>
  <c r="AG843" i="6"/>
  <c r="AH843" i="6" s="1"/>
  <c r="AJ843" i="6" s="1"/>
  <c r="AL843" i="6" s="1"/>
  <c r="D891" i="7"/>
  <c r="D863" i="7"/>
  <c r="AQ860" i="7"/>
  <c r="D878" i="8"/>
  <c r="D850" i="8"/>
  <c r="AQ847" i="8"/>
  <c r="D863" i="9"/>
  <c r="E943" i="9" s="1"/>
  <c r="D837" i="9"/>
  <c r="AQ843" i="9"/>
  <c r="C866" i="7"/>
  <c r="AP863" i="7"/>
  <c r="C894" i="7"/>
  <c r="P883" i="10"/>
  <c r="E855" i="10"/>
  <c r="E831" i="10"/>
  <c r="E786" i="10"/>
  <c r="C781" i="10"/>
  <c r="L66" i="10"/>
  <c r="L30" i="10"/>
  <c r="N887" i="10"/>
  <c r="C835" i="10"/>
  <c r="C859" i="10"/>
  <c r="AG952" i="6"/>
  <c r="G997" i="6"/>
  <c r="AG917" i="6"/>
  <c r="D882" i="6"/>
  <c r="AQ879" i="6"/>
  <c r="D910" i="6"/>
  <c r="J953" i="8"/>
  <c r="AI908" i="8"/>
  <c r="AI807" i="8"/>
  <c r="AI873" i="8"/>
  <c r="B855" i="6"/>
  <c r="G30" i="6"/>
  <c r="G19" i="6"/>
  <c r="AI1011" i="6"/>
  <c r="AI1009" i="6"/>
  <c r="AI1004" i="6"/>
  <c r="AI1002" i="6"/>
  <c r="AI1000" i="6"/>
  <c r="AI995" i="6"/>
  <c r="AI989" i="6"/>
  <c r="AI1007" i="6"/>
  <c r="AI1005" i="6"/>
  <c r="AI997" i="6"/>
  <c r="AI993" i="6"/>
  <c r="AI991" i="6"/>
  <c r="AI998" i="6"/>
  <c r="AI992" i="6"/>
  <c r="AI1010" i="6"/>
  <c r="AI1003" i="6"/>
  <c r="AI1001" i="6"/>
  <c r="AI999" i="6"/>
  <c r="AI1008" i="6"/>
  <c r="AI1006" i="6"/>
  <c r="AI994" i="6"/>
  <c r="AI996" i="6"/>
  <c r="AI988" i="6"/>
  <c r="AI990" i="6"/>
  <c r="AR845" i="8"/>
  <c r="E848" i="8"/>
  <c r="E876" i="8"/>
  <c r="D911" i="6"/>
  <c r="D883" i="6"/>
  <c r="AQ880" i="6"/>
  <c r="AG951" i="6"/>
  <c r="G996" i="6"/>
  <c r="AG916" i="6"/>
  <c r="AJ903" i="7"/>
  <c r="C774" i="10"/>
  <c r="C30" i="10"/>
  <c r="C66" i="10"/>
  <c r="C859" i="6"/>
  <c r="L65" i="6"/>
  <c r="L29" i="6"/>
  <c r="G977" i="7"/>
  <c r="AG897" i="7"/>
  <c r="AG932" i="7"/>
  <c r="J950" i="8"/>
  <c r="AI870" i="8"/>
  <c r="AI804" i="8"/>
  <c r="AI905" i="8"/>
  <c r="P886" i="10"/>
  <c r="E858" i="10"/>
  <c r="E834" i="10"/>
  <c r="D833" i="7"/>
  <c r="E132" i="7"/>
  <c r="R132" i="7" s="1"/>
  <c r="B133" i="7"/>
  <c r="B64" i="7"/>
  <c r="B779" i="10"/>
  <c r="M30" i="10"/>
  <c r="J31" i="10"/>
  <c r="J20" i="10"/>
  <c r="B807" i="9"/>
  <c r="G30" i="9"/>
  <c r="G19" i="9"/>
  <c r="C842" i="7"/>
  <c r="N65" i="7"/>
  <c r="Q64" i="7"/>
  <c r="N29" i="7"/>
  <c r="I938" i="9"/>
  <c r="H871" i="9"/>
  <c r="AI803" i="9"/>
  <c r="AI816" i="9" s="1"/>
  <c r="AG945" i="6"/>
  <c r="G990" i="6"/>
  <c r="AG910" i="6"/>
  <c r="AI921" i="6"/>
  <c r="C854" i="6"/>
  <c r="I64" i="6"/>
  <c r="F65" i="6"/>
  <c r="F29" i="6"/>
  <c r="D810" i="8"/>
  <c r="E131" i="8"/>
  <c r="B132" i="8"/>
  <c r="B64" i="8"/>
  <c r="C861" i="6"/>
  <c r="O29" i="6"/>
  <c r="O65" i="6"/>
  <c r="D872" i="8"/>
  <c r="D844" i="8"/>
  <c r="AQ841" i="8"/>
  <c r="AG936" i="7"/>
  <c r="G981" i="7"/>
  <c r="AG901" i="7"/>
  <c r="N889" i="10"/>
  <c r="C837" i="10"/>
  <c r="C861" i="10"/>
  <c r="E870" i="8"/>
  <c r="E842" i="8"/>
  <c r="AR839" i="8"/>
  <c r="E832" i="9"/>
  <c r="E816" i="9"/>
  <c r="E858" i="9"/>
  <c r="AR838" i="9"/>
  <c r="C866" i="9"/>
  <c r="D946" i="9" s="1"/>
  <c r="AP846" i="9"/>
  <c r="C840" i="9"/>
  <c r="U975" i="7"/>
  <c r="V975" i="7"/>
  <c r="T975" i="7"/>
  <c r="C871" i="8"/>
  <c r="C843" i="8"/>
  <c r="AP840" i="8"/>
  <c r="J956" i="8"/>
  <c r="AI911" i="8"/>
  <c r="AI876" i="8"/>
  <c r="AI810" i="8"/>
  <c r="AQ841" i="9"/>
  <c r="D835" i="9"/>
  <c r="D861" i="9"/>
  <c r="E941" i="9" s="1"/>
  <c r="D805" i="9"/>
  <c r="D131" i="9"/>
  <c r="D64" i="9"/>
  <c r="H868" i="10"/>
  <c r="G798" i="10"/>
  <c r="G811" i="10" s="1"/>
  <c r="B812" i="8"/>
  <c r="D19" i="8"/>
  <c r="D30" i="8"/>
  <c r="AG964" i="8"/>
  <c r="AG956" i="8"/>
  <c r="AG952" i="8"/>
  <c r="AG950" i="8"/>
  <c r="AG969" i="8"/>
  <c r="AG962" i="8"/>
  <c r="AG960" i="8"/>
  <c r="AG958" i="8"/>
  <c r="AG967" i="8"/>
  <c r="AG965" i="8"/>
  <c r="AG966" i="8"/>
  <c r="AG955" i="8"/>
  <c r="AG953" i="8"/>
  <c r="AG968" i="8"/>
  <c r="AG961" i="8"/>
  <c r="AG947" i="8"/>
  <c r="AG970" i="8"/>
  <c r="AG963" i="8"/>
  <c r="AG948" i="8"/>
  <c r="AG954" i="8"/>
  <c r="AG949" i="8"/>
  <c r="AG959" i="8"/>
  <c r="AG951" i="8"/>
  <c r="AG957" i="8"/>
  <c r="AI855" i="6"/>
  <c r="E957" i="8"/>
  <c r="AE912" i="8"/>
  <c r="AE877" i="8"/>
  <c r="C851" i="6"/>
  <c r="E64" i="6"/>
  <c r="B65" i="6"/>
  <c r="B29" i="6"/>
  <c r="D863" i="10"/>
  <c r="O891" i="10"/>
  <c r="D839" i="10"/>
  <c r="B772" i="5"/>
  <c r="P20" i="5"/>
  <c r="P31" i="5"/>
  <c r="C767" i="5"/>
  <c r="J66" i="5"/>
  <c r="J30" i="5"/>
  <c r="M65" i="5"/>
  <c r="D851" i="5"/>
  <c r="O879" i="5"/>
  <c r="D827" i="5"/>
  <c r="D853" i="5"/>
  <c r="O881" i="5"/>
  <c r="D829" i="5"/>
  <c r="B768" i="5"/>
  <c r="K31" i="5"/>
  <c r="K20" i="5"/>
  <c r="N873" i="5"/>
  <c r="C845" i="5"/>
  <c r="C821" i="5"/>
  <c r="C765" i="5"/>
  <c r="G66" i="5"/>
  <c r="G30" i="5"/>
  <c r="C770" i="5"/>
  <c r="Q65" i="5"/>
  <c r="N66" i="5"/>
  <c r="N30" i="5"/>
  <c r="B766" i="5"/>
  <c r="H31" i="5"/>
  <c r="H20" i="5"/>
  <c r="N878" i="5"/>
  <c r="C850" i="5"/>
  <c r="C826" i="5"/>
  <c r="D847" i="5"/>
  <c r="O875" i="5"/>
  <c r="D823" i="5"/>
  <c r="C854" i="5"/>
  <c r="C830" i="5"/>
  <c r="N882" i="5"/>
  <c r="D825" i="5"/>
  <c r="O877" i="5"/>
  <c r="D849" i="5"/>
  <c r="C848" i="5"/>
  <c r="N876" i="5"/>
  <c r="C824" i="5"/>
  <c r="D764" i="5"/>
  <c r="F130" i="5"/>
  <c r="I129" i="5"/>
  <c r="R129" i="5" s="1"/>
  <c r="F65" i="5"/>
  <c r="D852" i="5"/>
  <c r="O880" i="5"/>
  <c r="D828" i="5"/>
  <c r="B761" i="5"/>
  <c r="E30" i="5"/>
  <c r="B20" i="5"/>
  <c r="E20" i="5" s="1"/>
  <c r="B31" i="5"/>
  <c r="B844" i="5"/>
  <c r="R844" i="5" s="1"/>
  <c r="M872" i="5"/>
  <c r="R872" i="5" s="1"/>
  <c r="E787" i="5"/>
  <c r="F787" i="5" s="1"/>
  <c r="H787" i="5" s="1"/>
  <c r="L787" i="5"/>
  <c r="B820" i="5"/>
  <c r="G789" i="5"/>
  <c r="G799" i="5" s="1"/>
  <c r="H856" i="5"/>
  <c r="P874" i="5"/>
  <c r="P884" i="5" s="1"/>
  <c r="E846" i="5"/>
  <c r="E856" i="5" s="1"/>
  <c r="E822" i="5"/>
  <c r="E774" i="5"/>
  <c r="C769" i="5"/>
  <c r="L66" i="5"/>
  <c r="L30" i="5"/>
  <c r="C771" i="5"/>
  <c r="O66" i="5"/>
  <c r="O30" i="5"/>
  <c r="B763" i="5"/>
  <c r="D31" i="5"/>
  <c r="D20" i="5"/>
  <c r="N871" i="5"/>
  <c r="C843" i="5"/>
  <c r="C819" i="5"/>
  <c r="O859" i="4"/>
  <c r="D807" i="4"/>
  <c r="D831" i="4"/>
  <c r="E808" i="4"/>
  <c r="E832" i="4"/>
  <c r="P860" i="4"/>
  <c r="C744" i="4"/>
  <c r="H68" i="4"/>
  <c r="H32" i="4"/>
  <c r="D825" i="4"/>
  <c r="O853" i="4"/>
  <c r="D801" i="4"/>
  <c r="P852" i="4"/>
  <c r="E824" i="4"/>
  <c r="E800" i="4"/>
  <c r="B746" i="4"/>
  <c r="K33" i="4"/>
  <c r="K22" i="4"/>
  <c r="B748" i="4"/>
  <c r="N22" i="4"/>
  <c r="N33" i="4"/>
  <c r="B741" i="4"/>
  <c r="D22" i="4"/>
  <c r="D33" i="4"/>
  <c r="E827" i="4"/>
  <c r="P855" i="4"/>
  <c r="E803" i="4"/>
  <c r="O854" i="4"/>
  <c r="D826" i="4"/>
  <c r="D802" i="4"/>
  <c r="P849" i="4"/>
  <c r="E821" i="4"/>
  <c r="E797" i="4"/>
  <c r="E752" i="4"/>
  <c r="N856" i="4"/>
  <c r="C804" i="4"/>
  <c r="C828" i="4"/>
  <c r="H834" i="4"/>
  <c r="G764" i="4"/>
  <c r="G777" i="4" s="1"/>
  <c r="B822" i="4"/>
  <c r="R822" i="4" s="1"/>
  <c r="L765" i="4"/>
  <c r="B798" i="4"/>
  <c r="M850" i="4"/>
  <c r="R850" i="4" s="1"/>
  <c r="E765" i="4"/>
  <c r="F765" i="4" s="1"/>
  <c r="H765" i="4" s="1"/>
  <c r="C743" i="4"/>
  <c r="G68" i="4"/>
  <c r="G32" i="4"/>
  <c r="B747" i="4"/>
  <c r="L33" i="4"/>
  <c r="L22" i="4"/>
  <c r="N851" i="4"/>
  <c r="C823" i="4"/>
  <c r="C799" i="4"/>
  <c r="D739" i="4"/>
  <c r="E128" i="4"/>
  <c r="B129" i="4"/>
  <c r="B67" i="4"/>
  <c r="N858" i="4"/>
  <c r="C830" i="4"/>
  <c r="C806" i="4"/>
  <c r="D742" i="4"/>
  <c r="I128" i="4"/>
  <c r="F129" i="4"/>
  <c r="F67" i="4"/>
  <c r="D750" i="4"/>
  <c r="P129" i="4"/>
  <c r="P67" i="4"/>
  <c r="Q128" i="4"/>
  <c r="C749" i="4"/>
  <c r="O68" i="4"/>
  <c r="O32" i="4"/>
  <c r="C829" i="4"/>
  <c r="N857" i="4"/>
  <c r="C805" i="4"/>
  <c r="D745" i="4"/>
  <c r="J129" i="4"/>
  <c r="M128" i="4"/>
  <c r="J67" i="4"/>
  <c r="C743" i="3"/>
  <c r="D67" i="3"/>
  <c r="D31" i="3"/>
  <c r="D741" i="3"/>
  <c r="E132" i="3"/>
  <c r="B133" i="3"/>
  <c r="B66" i="3"/>
  <c r="E829" i="3"/>
  <c r="E805" i="3"/>
  <c r="P857" i="3"/>
  <c r="D825" i="3"/>
  <c r="D801" i="3"/>
  <c r="O853" i="3"/>
  <c r="D744" i="3"/>
  <c r="I132" i="3"/>
  <c r="F133" i="3"/>
  <c r="F66" i="3"/>
  <c r="M852" i="3"/>
  <c r="R852" i="3" s="1"/>
  <c r="B824" i="3"/>
  <c r="R824" i="3" s="1"/>
  <c r="L767" i="3"/>
  <c r="B800" i="3"/>
  <c r="E767" i="3"/>
  <c r="F767" i="3" s="1"/>
  <c r="H767" i="3" s="1"/>
  <c r="C745" i="3"/>
  <c r="G67" i="3"/>
  <c r="G31" i="3"/>
  <c r="B748" i="3"/>
  <c r="K32" i="3"/>
  <c r="K22" i="3"/>
  <c r="B751" i="3"/>
  <c r="O32" i="3"/>
  <c r="O22" i="3"/>
  <c r="M860" i="3"/>
  <c r="R860" i="3" s="1"/>
  <c r="E775" i="3"/>
  <c r="F775" i="3" s="1"/>
  <c r="H775" i="3" s="1"/>
  <c r="B808" i="3"/>
  <c r="L775" i="3"/>
  <c r="B832" i="3"/>
  <c r="R832" i="3" s="1"/>
  <c r="C752" i="3"/>
  <c r="P67" i="3"/>
  <c r="P31" i="3"/>
  <c r="Q66" i="3"/>
  <c r="G766" i="3"/>
  <c r="G779" i="3" s="1"/>
  <c r="H836" i="3"/>
  <c r="O855" i="3"/>
  <c r="D827" i="3"/>
  <c r="D803" i="3"/>
  <c r="C806" i="3"/>
  <c r="N858" i="3"/>
  <c r="C830" i="3"/>
  <c r="C746" i="3"/>
  <c r="H67" i="3"/>
  <c r="H31" i="3"/>
  <c r="E823" i="3"/>
  <c r="P851" i="3"/>
  <c r="P864" i="3" s="1"/>
  <c r="E799" i="3"/>
  <c r="E754" i="3"/>
  <c r="N861" i="3"/>
  <c r="C809" i="3"/>
  <c r="C833" i="3"/>
  <c r="D747" i="3"/>
  <c r="M132" i="3"/>
  <c r="J133" i="3"/>
  <c r="J66" i="3"/>
  <c r="B885" i="3"/>
  <c r="J774" i="3"/>
  <c r="E826" i="3"/>
  <c r="E802" i="3"/>
  <c r="P854" i="3"/>
  <c r="O856" i="3"/>
  <c r="D804" i="3"/>
  <c r="D828" i="3"/>
  <c r="D834" i="3"/>
  <c r="O862" i="3"/>
  <c r="D810" i="3"/>
  <c r="C759" i="2"/>
  <c r="C68" i="2"/>
  <c r="C32" i="2"/>
  <c r="P871" i="2"/>
  <c r="E819" i="2"/>
  <c r="E843" i="2"/>
  <c r="E853" i="2" s="1"/>
  <c r="D818" i="2"/>
  <c r="D842" i="2"/>
  <c r="O870" i="2"/>
  <c r="O869" i="2"/>
  <c r="D817" i="2"/>
  <c r="D841" i="2"/>
  <c r="D764" i="2"/>
  <c r="J134" i="2"/>
  <c r="M133" i="2"/>
  <c r="J67" i="2"/>
  <c r="B758" i="2"/>
  <c r="B33" i="2"/>
  <c r="B22" i="2"/>
  <c r="E67" i="2"/>
  <c r="O872" i="2"/>
  <c r="D820" i="2"/>
  <c r="D844" i="2"/>
  <c r="D767" i="2"/>
  <c r="N134" i="2"/>
  <c r="Q133" i="2"/>
  <c r="N67" i="2"/>
  <c r="C840" i="2"/>
  <c r="N868" i="2"/>
  <c r="C816" i="2"/>
  <c r="C765" i="2"/>
  <c r="K32" i="2"/>
  <c r="K68" i="2"/>
  <c r="E846" i="2"/>
  <c r="P874" i="2"/>
  <c r="E822" i="2"/>
  <c r="B905" i="2"/>
  <c r="J794" i="2"/>
  <c r="C768" i="2"/>
  <c r="O32" i="2"/>
  <c r="O68" i="2"/>
  <c r="O876" i="2"/>
  <c r="D824" i="2"/>
  <c r="D848" i="2"/>
  <c r="C762" i="2"/>
  <c r="G32" i="2"/>
  <c r="G68" i="2"/>
  <c r="D761" i="2"/>
  <c r="D771" i="2" s="1"/>
  <c r="I133" i="2"/>
  <c r="F134" i="2"/>
  <c r="F67" i="2"/>
  <c r="C766" i="2"/>
  <c r="L68" i="2"/>
  <c r="L32" i="2"/>
  <c r="D847" i="2"/>
  <c r="O875" i="2"/>
  <c r="D823" i="2"/>
  <c r="B899" i="2"/>
  <c r="J788" i="2"/>
  <c r="C760" i="2"/>
  <c r="D68" i="2"/>
  <c r="D32" i="2"/>
  <c r="H853" i="2"/>
  <c r="E825" i="2"/>
  <c r="E849" i="2"/>
  <c r="P877" i="2"/>
  <c r="O878" i="2"/>
  <c r="D826" i="2"/>
  <c r="D850" i="2"/>
  <c r="E771" i="2"/>
  <c r="AI837" i="7" l="1"/>
  <c r="AI903" i="7"/>
  <c r="AG1115" i="14"/>
  <c r="AI1084" i="13"/>
  <c r="AG971" i="8"/>
  <c r="AI1012" i="6"/>
  <c r="AG1072" i="12"/>
  <c r="B932" i="13"/>
  <c r="Q29" i="13"/>
  <c r="N19" i="13"/>
  <c r="N30" i="13"/>
  <c r="AP980" i="14"/>
  <c r="C1011" i="14"/>
  <c r="C983" i="14"/>
  <c r="D942" i="11"/>
  <c r="AQ911" i="11"/>
  <c r="D898" i="11"/>
  <c r="D914" i="11"/>
  <c r="B925" i="11"/>
  <c r="AO922" i="11"/>
  <c r="AT922" i="11" s="1"/>
  <c r="B953" i="11"/>
  <c r="AG887" i="11"/>
  <c r="AH887" i="11" s="1"/>
  <c r="AJ887" i="11" s="1"/>
  <c r="AL887" i="11" s="1"/>
  <c r="AN887" i="11"/>
  <c r="G1066" i="13"/>
  <c r="AG1021" i="13"/>
  <c r="AG1028" i="13" s="1"/>
  <c r="AG986" i="13"/>
  <c r="AG993" i="13" s="1"/>
  <c r="E993" i="13"/>
  <c r="AD946" i="11"/>
  <c r="AS946" i="11" s="1"/>
  <c r="AD981" i="11"/>
  <c r="AS981" i="11" s="1"/>
  <c r="R946" i="11"/>
  <c r="B974" i="11" s="1"/>
  <c r="R1053" i="11"/>
  <c r="D977" i="12"/>
  <c r="AQ946" i="12"/>
  <c r="D949" i="12"/>
  <c r="C1020" i="15"/>
  <c r="C992" i="15"/>
  <c r="C959" i="15"/>
  <c r="M64" i="15"/>
  <c r="J29" i="15"/>
  <c r="J65" i="15"/>
  <c r="B922" i="11"/>
  <c r="AN884" i="11"/>
  <c r="B950" i="11"/>
  <c r="AO919" i="11"/>
  <c r="AT919" i="11" s="1"/>
  <c r="AG884" i="11"/>
  <c r="AH884" i="11" s="1"/>
  <c r="AJ884" i="11" s="1"/>
  <c r="AL884" i="11" s="1"/>
  <c r="AI1077" i="11"/>
  <c r="AI1078" i="11"/>
  <c r="B960" i="15"/>
  <c r="K30" i="15"/>
  <c r="K19" i="15"/>
  <c r="C956" i="15"/>
  <c r="F65" i="15"/>
  <c r="F29" i="15"/>
  <c r="I64" i="15"/>
  <c r="C984" i="13"/>
  <c r="C956" i="13"/>
  <c r="AP953" i="13"/>
  <c r="AD1048" i="14"/>
  <c r="AS1048" i="14" s="1"/>
  <c r="AD1013" i="14"/>
  <c r="AS1013" i="14" s="1"/>
  <c r="R1013" i="14"/>
  <c r="B1041" i="14" s="1"/>
  <c r="R1120" i="14"/>
  <c r="B928" i="13"/>
  <c r="H30" i="13"/>
  <c r="H19" i="13"/>
  <c r="AE979" i="12"/>
  <c r="AE1014" i="12"/>
  <c r="E1059" i="12"/>
  <c r="AE988" i="11"/>
  <c r="E1033" i="11"/>
  <c r="AE953" i="11"/>
  <c r="B947" i="11"/>
  <c r="B919" i="11"/>
  <c r="AO916" i="11"/>
  <c r="AT916" i="11" s="1"/>
  <c r="AG881" i="11"/>
  <c r="AH881" i="11" s="1"/>
  <c r="AJ881" i="11" s="1"/>
  <c r="AL881" i="11" s="1"/>
  <c r="AN881" i="11"/>
  <c r="C911" i="12"/>
  <c r="B65" i="12"/>
  <c r="B29" i="12"/>
  <c r="E64" i="12"/>
  <c r="C888" i="11"/>
  <c r="F29" i="11"/>
  <c r="F65" i="11"/>
  <c r="I64" i="11"/>
  <c r="E989" i="14"/>
  <c r="AR986" i="14"/>
  <c r="AR993" i="14" s="1"/>
  <c r="E1017" i="14"/>
  <c r="E1024" i="14" s="1"/>
  <c r="E967" i="14"/>
  <c r="F1061" i="13"/>
  <c r="AF1016" i="13"/>
  <c r="AF981" i="13"/>
  <c r="B921" i="12"/>
  <c r="O19" i="12"/>
  <c r="O30" i="12"/>
  <c r="E1096" i="14"/>
  <c r="AE1016" i="14"/>
  <c r="AE1051" i="14"/>
  <c r="AE985" i="11"/>
  <c r="AE950" i="11"/>
  <c r="E1030" i="11"/>
  <c r="AS1046" i="11"/>
  <c r="AT1022" i="11" s="1"/>
  <c r="AI1092" i="13"/>
  <c r="AI1091" i="13"/>
  <c r="AI1103" i="12"/>
  <c r="AI1104" i="12"/>
  <c r="F1064" i="13"/>
  <c r="AF984" i="13"/>
  <c r="AF1019" i="13"/>
  <c r="F1069" i="13"/>
  <c r="AF989" i="13"/>
  <c r="AF1024" i="13"/>
  <c r="AF1113" i="14"/>
  <c r="AF1106" i="14"/>
  <c r="AF1110" i="14"/>
  <c r="AF1095" i="14"/>
  <c r="AF1093" i="14"/>
  <c r="AF1091" i="14"/>
  <c r="AF1109" i="14"/>
  <c r="AF1108" i="14"/>
  <c r="AF1102" i="14"/>
  <c r="AF1100" i="14"/>
  <c r="AF1098" i="14"/>
  <c r="AF1107" i="14"/>
  <c r="AF1105" i="14"/>
  <c r="AF1111" i="14"/>
  <c r="AF1104" i="14"/>
  <c r="AF1096" i="14"/>
  <c r="AF1114" i="14"/>
  <c r="AF1094" i="14"/>
  <c r="AF1092" i="14"/>
  <c r="AF1112" i="14"/>
  <c r="AF1103" i="14"/>
  <c r="AF1101" i="14"/>
  <c r="AF1099" i="14"/>
  <c r="AF1097" i="14"/>
  <c r="AI990" i="11"/>
  <c r="E1060" i="13"/>
  <c r="AE1015" i="13"/>
  <c r="AE980" i="13"/>
  <c r="E1053" i="12"/>
  <c r="AE1008" i="12"/>
  <c r="AE973" i="12"/>
  <c r="AG980" i="11"/>
  <c r="AG945" i="11"/>
  <c r="G1025" i="11"/>
  <c r="AP958" i="13"/>
  <c r="C989" i="13"/>
  <c r="C961" i="13"/>
  <c r="AF1013" i="12"/>
  <c r="AF978" i="12"/>
  <c r="F1058" i="12"/>
  <c r="B1042" i="13"/>
  <c r="C1015" i="13"/>
  <c r="C1042" i="13" s="1"/>
  <c r="AI981" i="12"/>
  <c r="AI1107" i="13"/>
  <c r="AI1106" i="13"/>
  <c r="B934" i="13"/>
  <c r="P30" i="13"/>
  <c r="P19" i="13"/>
  <c r="P20" i="13" s="1"/>
  <c r="Q20" i="13" s="1"/>
  <c r="R20" i="13" s="1"/>
  <c r="D917" i="11"/>
  <c r="AQ914" i="11"/>
  <c r="D945" i="11"/>
  <c r="C958" i="15"/>
  <c r="H65" i="15"/>
  <c r="H29" i="15"/>
  <c r="F1052" i="12"/>
  <c r="AF1007" i="12"/>
  <c r="AF972" i="12"/>
  <c r="AI1086" i="12"/>
  <c r="AI1085" i="12"/>
  <c r="B957" i="15"/>
  <c r="G30" i="15"/>
  <c r="G19" i="15"/>
  <c r="B1020" i="14"/>
  <c r="AO989" i="14"/>
  <c r="AT989" i="14" s="1"/>
  <c r="AN954" i="14"/>
  <c r="B992" i="14"/>
  <c r="AG954" i="14"/>
  <c r="AH954" i="14" s="1"/>
  <c r="AJ954" i="14" s="1"/>
  <c r="AL954" i="14" s="1"/>
  <c r="B965" i="14"/>
  <c r="P30" i="14"/>
  <c r="P19" i="14"/>
  <c r="Q19" i="14" s="1"/>
  <c r="AE1004" i="12"/>
  <c r="E1049" i="12"/>
  <c r="AE969" i="12"/>
  <c r="F1070" i="13"/>
  <c r="AF1025" i="13"/>
  <c r="AF990" i="13"/>
  <c r="AQ983" i="14"/>
  <c r="D986" i="14"/>
  <c r="D1014" i="14"/>
  <c r="D923" i="11"/>
  <c r="AQ920" i="11"/>
  <c r="D951" i="11"/>
  <c r="D971" i="12"/>
  <c r="D943" i="12"/>
  <c r="AQ940" i="12"/>
  <c r="AI1051" i="11"/>
  <c r="AI1050" i="11"/>
  <c r="C1017" i="15"/>
  <c r="C989" i="15"/>
  <c r="B962" i="14"/>
  <c r="L19" i="14"/>
  <c r="L30" i="14"/>
  <c r="AE1005" i="12"/>
  <c r="AE970" i="12"/>
  <c r="E1050" i="12"/>
  <c r="T1068" i="13"/>
  <c r="U1068" i="13"/>
  <c r="V1068" i="13"/>
  <c r="AF1112" i="13" s="1"/>
  <c r="W1068" i="13"/>
  <c r="AF1113" i="13" s="1"/>
  <c r="B1037" i="13"/>
  <c r="E1010" i="13"/>
  <c r="E1037" i="13" s="1"/>
  <c r="C1010" i="13"/>
  <c r="C1037" i="13" s="1"/>
  <c r="C957" i="13"/>
  <c r="AP954" i="13"/>
  <c r="C985" i="13"/>
  <c r="D974" i="12"/>
  <c r="D946" i="12"/>
  <c r="AQ943" i="12"/>
  <c r="AF1026" i="13"/>
  <c r="F1071" i="13"/>
  <c r="AF991" i="13"/>
  <c r="D998" i="11"/>
  <c r="M971" i="11"/>
  <c r="F971" i="11"/>
  <c r="B980" i="13"/>
  <c r="AO949" i="13"/>
  <c r="B952" i="13"/>
  <c r="B942" i="12"/>
  <c r="AG904" i="12"/>
  <c r="AH904" i="12" s="1"/>
  <c r="AJ904" i="12" s="1"/>
  <c r="AL904" i="12" s="1"/>
  <c r="AO939" i="12"/>
  <c r="AT939" i="12" s="1"/>
  <c r="B970" i="12"/>
  <c r="AN904" i="12"/>
  <c r="E1101" i="14"/>
  <c r="AE1021" i="14"/>
  <c r="AE1056" i="14"/>
  <c r="C962" i="15"/>
  <c r="N65" i="15"/>
  <c r="Q64" i="15"/>
  <c r="N29" i="15"/>
  <c r="E1027" i="11"/>
  <c r="AE982" i="11"/>
  <c r="AE947" i="11"/>
  <c r="B979" i="12"/>
  <c r="B951" i="12"/>
  <c r="AO948" i="12"/>
  <c r="AT948" i="12" s="1"/>
  <c r="AG913" i="12"/>
  <c r="AH913" i="12" s="1"/>
  <c r="AJ913" i="12" s="1"/>
  <c r="AL913" i="12" s="1"/>
  <c r="AN913" i="12"/>
  <c r="C950" i="12"/>
  <c r="AP947" i="12"/>
  <c r="C978" i="12"/>
  <c r="AF984" i="11"/>
  <c r="F1029" i="11"/>
  <c r="AF949" i="11"/>
  <c r="E1100" i="14"/>
  <c r="AE1055" i="14"/>
  <c r="AE1020" i="14"/>
  <c r="AI1094" i="12"/>
  <c r="AI1095" i="12"/>
  <c r="AI1059" i="11"/>
  <c r="AI1060" i="11"/>
  <c r="B924" i="13"/>
  <c r="C19" i="13"/>
  <c r="E19" i="13" s="1"/>
  <c r="C30" i="13"/>
  <c r="B915" i="12"/>
  <c r="G30" i="12"/>
  <c r="G19" i="12"/>
  <c r="D988" i="15"/>
  <c r="D1016" i="15"/>
  <c r="D985" i="15"/>
  <c r="D1013" i="15"/>
  <c r="C953" i="15"/>
  <c r="E64" i="15"/>
  <c r="R64" i="15" s="1"/>
  <c r="B65" i="15"/>
  <c r="B29" i="15"/>
  <c r="D1010" i="13"/>
  <c r="AU982" i="13"/>
  <c r="B948" i="12"/>
  <c r="B976" i="12"/>
  <c r="AG910" i="12"/>
  <c r="AH910" i="12" s="1"/>
  <c r="AJ910" i="12" s="1"/>
  <c r="AL910" i="12" s="1"/>
  <c r="AO945" i="12"/>
  <c r="AT945" i="12" s="1"/>
  <c r="AN910" i="12"/>
  <c r="C929" i="13"/>
  <c r="J29" i="13"/>
  <c r="J65" i="13"/>
  <c r="M64" i="13"/>
  <c r="R64" i="13" s="1"/>
  <c r="B961" i="15"/>
  <c r="L30" i="15"/>
  <c r="L19" i="15"/>
  <c r="B1012" i="14"/>
  <c r="B984" i="14"/>
  <c r="AG946" i="14"/>
  <c r="AH946" i="14" s="1"/>
  <c r="AJ946" i="14" s="1"/>
  <c r="AL946" i="14" s="1"/>
  <c r="AO981" i="14"/>
  <c r="AT981" i="14" s="1"/>
  <c r="AN946" i="14"/>
  <c r="AF1071" i="12"/>
  <c r="AF1069" i="12"/>
  <c r="AF1064" i="12"/>
  <c r="AF1062" i="12"/>
  <c r="AF1060" i="12"/>
  <c r="AF1058" i="12"/>
  <c r="AF1056" i="12"/>
  <c r="AF1067" i="12"/>
  <c r="AF1054" i="12"/>
  <c r="AF1065" i="12"/>
  <c r="AF1070" i="12"/>
  <c r="AF1063" i="12"/>
  <c r="AF1061" i="12"/>
  <c r="AF1059" i="12"/>
  <c r="AF1057" i="12"/>
  <c r="AF1055" i="12"/>
  <c r="AF1068" i="12"/>
  <c r="AF1066" i="12"/>
  <c r="AF1049" i="12"/>
  <c r="AF1050" i="12"/>
  <c r="AF1052" i="12"/>
  <c r="AF1051" i="12"/>
  <c r="AF1048" i="12"/>
  <c r="AF1053" i="12"/>
  <c r="AU987" i="13"/>
  <c r="D1015" i="13"/>
  <c r="V1026" i="11"/>
  <c r="AF1062" i="11" s="1"/>
  <c r="T1026" i="11"/>
  <c r="W1026" i="11"/>
  <c r="AF1063" i="11" s="1"/>
  <c r="U1026" i="11"/>
  <c r="AP960" i="13"/>
  <c r="C991" i="13"/>
  <c r="C963" i="13"/>
  <c r="D924" i="12"/>
  <c r="D940" i="12"/>
  <c r="AQ937" i="12"/>
  <c r="AQ950" i="12" s="1"/>
  <c r="D968" i="12"/>
  <c r="D1015" i="15"/>
  <c r="D987" i="15"/>
  <c r="B1021" i="14"/>
  <c r="AO990" i="14"/>
  <c r="AT990" i="14" s="1"/>
  <c r="AG955" i="14"/>
  <c r="AH955" i="14" s="1"/>
  <c r="AJ955" i="14" s="1"/>
  <c r="AL955" i="14" s="1"/>
  <c r="AN955" i="14"/>
  <c r="B993" i="14"/>
  <c r="B1007" i="11"/>
  <c r="E980" i="11"/>
  <c r="E1007" i="11" s="1"/>
  <c r="C980" i="11"/>
  <c r="C1007" i="11" s="1"/>
  <c r="B993" i="15"/>
  <c r="B1021" i="15"/>
  <c r="R1021" i="15" s="1"/>
  <c r="AG1009" i="12"/>
  <c r="AG974" i="12"/>
  <c r="G1054" i="12"/>
  <c r="C986" i="15"/>
  <c r="C1014" i="15"/>
  <c r="AI1129" i="14"/>
  <c r="AI1128" i="14"/>
  <c r="C994" i="14"/>
  <c r="C1022" i="14"/>
  <c r="AP991" i="14"/>
  <c r="B892" i="11"/>
  <c r="K19" i="11"/>
  <c r="K30" i="11"/>
  <c r="G1048" i="12"/>
  <c r="E981" i="12"/>
  <c r="AG1003" i="12"/>
  <c r="AG968" i="12"/>
  <c r="AP988" i="14"/>
  <c r="C991" i="14"/>
  <c r="C1019" i="14"/>
  <c r="C891" i="11"/>
  <c r="M64" i="11"/>
  <c r="J65" i="11"/>
  <c r="J29" i="11"/>
  <c r="R135" i="15"/>
  <c r="C990" i="13"/>
  <c r="AP959" i="13"/>
  <c r="C962" i="13"/>
  <c r="J1097" i="14"/>
  <c r="Z1097" i="14" s="1"/>
  <c r="AI1052" i="14"/>
  <c r="AI1059" i="14" s="1"/>
  <c r="AI1017" i="14"/>
  <c r="AI1024" i="14" s="1"/>
  <c r="AI951" i="14"/>
  <c r="AI958" i="14" s="1"/>
  <c r="H1024" i="14"/>
  <c r="W1093" i="14"/>
  <c r="AF1126" i="14" s="1"/>
  <c r="V1093" i="14"/>
  <c r="AF1125" i="14" s="1"/>
  <c r="T1093" i="14"/>
  <c r="U1093" i="14"/>
  <c r="B954" i="15"/>
  <c r="C30" i="15"/>
  <c r="C19" i="15"/>
  <c r="B926" i="13"/>
  <c r="I29" i="13"/>
  <c r="F30" i="13"/>
  <c r="F19" i="13"/>
  <c r="B954" i="14"/>
  <c r="E29" i="14"/>
  <c r="B30" i="14"/>
  <c r="B19" i="14"/>
  <c r="E19" i="14" s="1"/>
  <c r="C885" i="11"/>
  <c r="E64" i="11"/>
  <c r="B65" i="11"/>
  <c r="B29" i="11"/>
  <c r="AI1076" i="12"/>
  <c r="AI1077" i="12"/>
  <c r="AG1006" i="12"/>
  <c r="G1051" i="12"/>
  <c r="AG971" i="12"/>
  <c r="D960" i="14"/>
  <c r="J141" i="14"/>
  <c r="M140" i="14"/>
  <c r="R140" i="14" s="1"/>
  <c r="J64" i="14"/>
  <c r="E1023" i="15"/>
  <c r="D980" i="11"/>
  <c r="AU952" i="11"/>
  <c r="F1099" i="14"/>
  <c r="AF1054" i="14"/>
  <c r="AF1019" i="14"/>
  <c r="G1022" i="11"/>
  <c r="AG977" i="11"/>
  <c r="AG942" i="11"/>
  <c r="E955" i="11"/>
  <c r="AP950" i="13"/>
  <c r="C981" i="13"/>
  <c r="C953" i="13"/>
  <c r="C920" i="12"/>
  <c r="Q64" i="12"/>
  <c r="N65" i="12"/>
  <c r="N29" i="12"/>
  <c r="C972" i="12"/>
  <c r="C944" i="12"/>
  <c r="AP941" i="12"/>
  <c r="F1091" i="14"/>
  <c r="AF1011" i="14"/>
  <c r="AF1046" i="14"/>
  <c r="E1056" i="12"/>
  <c r="AE1011" i="12"/>
  <c r="AE976" i="12"/>
  <c r="AD988" i="13"/>
  <c r="AS988" i="13" s="1"/>
  <c r="R988" i="13"/>
  <c r="B1016" i="13" s="1"/>
  <c r="AD1023" i="13"/>
  <c r="AS1023" i="13" s="1"/>
  <c r="R1095" i="13"/>
  <c r="AF1020" i="13"/>
  <c r="AF985" i="13"/>
  <c r="F1065" i="13"/>
  <c r="AD1050" i="14"/>
  <c r="AS1050" i="14" s="1"/>
  <c r="AD1015" i="14"/>
  <c r="AS1015" i="14" s="1"/>
  <c r="R1015" i="14"/>
  <c r="B1043" i="14" s="1"/>
  <c r="R1122" i="14"/>
  <c r="AR950" i="12"/>
  <c r="B933" i="13"/>
  <c r="O19" i="13"/>
  <c r="O30" i="13"/>
  <c r="C1018" i="15"/>
  <c r="C990" i="15"/>
  <c r="AN907" i="12"/>
  <c r="B945" i="12"/>
  <c r="AO942" i="12"/>
  <c r="AT942" i="12" s="1"/>
  <c r="AG907" i="12"/>
  <c r="AH907" i="12" s="1"/>
  <c r="AJ907" i="12" s="1"/>
  <c r="AL907" i="12" s="1"/>
  <c r="B973" i="12"/>
  <c r="AG1012" i="12"/>
  <c r="G1057" i="12"/>
  <c r="AG977" i="12"/>
  <c r="D1019" i="15"/>
  <c r="D991" i="15"/>
  <c r="F1102" i="14"/>
  <c r="AF1057" i="14"/>
  <c r="AF1022" i="14"/>
  <c r="B1018" i="14"/>
  <c r="AO987" i="14"/>
  <c r="AT987" i="14" s="1"/>
  <c r="B990" i="14"/>
  <c r="AN952" i="14"/>
  <c r="AG952" i="14"/>
  <c r="AH952" i="14" s="1"/>
  <c r="AJ952" i="14" s="1"/>
  <c r="AL952" i="14" s="1"/>
  <c r="AR924" i="11"/>
  <c r="B963" i="15"/>
  <c r="O30" i="15"/>
  <c r="O19" i="15"/>
  <c r="C949" i="11"/>
  <c r="C921" i="11"/>
  <c r="AP918" i="11"/>
  <c r="F1063" i="13"/>
  <c r="AF983" i="13"/>
  <c r="AF1018" i="13"/>
  <c r="AI889" i="11"/>
  <c r="B1030" i="12"/>
  <c r="C1003" i="12"/>
  <c r="C1030" i="12" s="1"/>
  <c r="W1095" i="14"/>
  <c r="AF1132" i="14" s="1"/>
  <c r="U1095" i="14"/>
  <c r="T1095" i="14"/>
  <c r="V1095" i="14"/>
  <c r="AF1131" i="14" s="1"/>
  <c r="E1092" i="14"/>
  <c r="AE1047" i="14"/>
  <c r="AE1012" i="14"/>
  <c r="B927" i="13"/>
  <c r="G19" i="13"/>
  <c r="G30" i="13"/>
  <c r="D1010" i="15"/>
  <c r="D966" i="15"/>
  <c r="D982" i="15"/>
  <c r="B941" i="12"/>
  <c r="AO938" i="12"/>
  <c r="AT938" i="12" s="1"/>
  <c r="AN903" i="12"/>
  <c r="B969" i="12"/>
  <c r="AG903" i="12"/>
  <c r="AH903" i="12" s="1"/>
  <c r="AJ903" i="12" s="1"/>
  <c r="AL903" i="12" s="1"/>
  <c r="C1011" i="15"/>
  <c r="C983" i="15"/>
  <c r="D958" i="13"/>
  <c r="AQ955" i="13"/>
  <c r="AQ962" i="13" s="1"/>
  <c r="D986" i="13"/>
  <c r="D936" i="13"/>
  <c r="C983" i="13"/>
  <c r="AP952" i="13"/>
  <c r="C955" i="13"/>
  <c r="E1098" i="14"/>
  <c r="AE1053" i="14"/>
  <c r="AE1018" i="14"/>
  <c r="G1094" i="14"/>
  <c r="AG1014" i="14"/>
  <c r="AG1049" i="14"/>
  <c r="AO913" i="11"/>
  <c r="AT913" i="11" s="1"/>
  <c r="AN878" i="11"/>
  <c r="B944" i="11"/>
  <c r="B916" i="11"/>
  <c r="AG878" i="11"/>
  <c r="AH878" i="11" s="1"/>
  <c r="AJ878" i="11" s="1"/>
  <c r="AL878" i="11" s="1"/>
  <c r="G1031" i="11"/>
  <c r="AG951" i="11"/>
  <c r="AG986" i="11"/>
  <c r="G1028" i="11"/>
  <c r="AG983" i="11"/>
  <c r="AG948" i="11"/>
  <c r="AG1077" i="13"/>
  <c r="AG1064" i="13"/>
  <c r="AG1062" i="13"/>
  <c r="AG1060" i="13"/>
  <c r="AG1082" i="13"/>
  <c r="AG1075" i="13"/>
  <c r="AG1073" i="13"/>
  <c r="AG1071" i="13"/>
  <c r="AG1069" i="13"/>
  <c r="AG1067" i="13"/>
  <c r="AG1080" i="13"/>
  <c r="AG1078" i="13"/>
  <c r="AG1063" i="13"/>
  <c r="AG1061" i="13"/>
  <c r="AG1083" i="13"/>
  <c r="AG1081" i="13"/>
  <c r="AG1076" i="13"/>
  <c r="AG1074" i="13"/>
  <c r="AG1072" i="13"/>
  <c r="AG1070" i="13"/>
  <c r="AG1068" i="13"/>
  <c r="AG1079" i="13"/>
  <c r="AG1065" i="13"/>
  <c r="AG1066" i="13"/>
  <c r="AI1068" i="11"/>
  <c r="AI1069" i="11"/>
  <c r="B988" i="14"/>
  <c r="AO985" i="14"/>
  <c r="AT985" i="14" s="1"/>
  <c r="B1016" i="14"/>
  <c r="AN950" i="14"/>
  <c r="AG950" i="14"/>
  <c r="AH950" i="14" s="1"/>
  <c r="AJ950" i="14" s="1"/>
  <c r="AL950" i="14" s="1"/>
  <c r="C957" i="14"/>
  <c r="F29" i="14"/>
  <c r="F65" i="14"/>
  <c r="I64" i="14"/>
  <c r="C894" i="11"/>
  <c r="N29" i="11"/>
  <c r="Q64" i="11"/>
  <c r="N65" i="11"/>
  <c r="C914" i="12"/>
  <c r="I64" i="12"/>
  <c r="F65" i="12"/>
  <c r="F29" i="12"/>
  <c r="AU975" i="12"/>
  <c r="D1003" i="12"/>
  <c r="C936" i="13"/>
  <c r="D948" i="11"/>
  <c r="D920" i="11"/>
  <c r="AQ917" i="11"/>
  <c r="E1024" i="11"/>
  <c r="AE944" i="11"/>
  <c r="AE979" i="11"/>
  <c r="C917" i="12"/>
  <c r="J29" i="12"/>
  <c r="J65" i="12"/>
  <c r="M64" i="12"/>
  <c r="B774" i="10"/>
  <c r="C31" i="10"/>
  <c r="C20" i="10"/>
  <c r="AD944" i="6"/>
  <c r="AS944" i="6" s="1"/>
  <c r="AD909" i="6"/>
  <c r="AS909" i="6" s="1"/>
  <c r="R909" i="6"/>
  <c r="B937" i="6" s="1"/>
  <c r="R1016" i="6"/>
  <c r="B853" i="6"/>
  <c r="D30" i="6"/>
  <c r="D19" i="6"/>
  <c r="B804" i="9"/>
  <c r="C30" i="9"/>
  <c r="C19" i="9"/>
  <c r="T957" i="8"/>
  <c r="U957" i="8"/>
  <c r="AG905" i="8"/>
  <c r="AG870" i="8"/>
  <c r="G950" i="8"/>
  <c r="D839" i="8"/>
  <c r="AQ836" i="8"/>
  <c r="D867" i="8"/>
  <c r="D823" i="8"/>
  <c r="D876" i="8"/>
  <c r="AQ845" i="8"/>
  <c r="D848" i="8"/>
  <c r="D842" i="8"/>
  <c r="D870" i="8"/>
  <c r="AQ839" i="8"/>
  <c r="B918" i="10"/>
  <c r="J808" i="10"/>
  <c r="AP866" i="7"/>
  <c r="C897" i="7"/>
  <c r="C869" i="7"/>
  <c r="AG956" i="6"/>
  <c r="C782" i="10"/>
  <c r="Q65" i="10"/>
  <c r="N66" i="10"/>
  <c r="N30" i="10"/>
  <c r="C850" i="8"/>
  <c r="C878" i="8"/>
  <c r="AP847" i="8"/>
  <c r="B780" i="10"/>
  <c r="K31" i="10"/>
  <c r="K20" i="10"/>
  <c r="B778" i="10"/>
  <c r="H31" i="10"/>
  <c r="H20" i="10"/>
  <c r="C867" i="9"/>
  <c r="D947" i="9" s="1"/>
  <c r="C841" i="9"/>
  <c r="AP847" i="9"/>
  <c r="AE947" i="6"/>
  <c r="E992" i="6"/>
  <c r="AE912" i="6"/>
  <c r="AG890" i="7"/>
  <c r="AG925" i="7"/>
  <c r="E903" i="7"/>
  <c r="G970" i="7"/>
  <c r="C898" i="7"/>
  <c r="AP867" i="7"/>
  <c r="C870" i="7"/>
  <c r="G953" i="8"/>
  <c r="AG873" i="8"/>
  <c r="AG908" i="8"/>
  <c r="AF899" i="7"/>
  <c r="F979" i="7"/>
  <c r="AF934" i="7"/>
  <c r="S942" i="9"/>
  <c r="T942" i="9"/>
  <c r="O883" i="10"/>
  <c r="D831" i="10"/>
  <c r="D786" i="10"/>
  <c r="D855" i="10"/>
  <c r="AE910" i="8"/>
  <c r="AE875" i="8"/>
  <c r="E955" i="8"/>
  <c r="C776" i="10"/>
  <c r="I65" i="10"/>
  <c r="F66" i="10"/>
  <c r="F30" i="10"/>
  <c r="B851" i="6"/>
  <c r="E29" i="6"/>
  <c r="B30" i="6"/>
  <c r="B19" i="6"/>
  <c r="E19" i="6" s="1"/>
  <c r="AR851" i="9"/>
  <c r="B836" i="9"/>
  <c r="B862" i="9"/>
  <c r="AN807" i="9"/>
  <c r="AO842" i="9"/>
  <c r="AT842" i="9" s="1"/>
  <c r="AG807" i="9"/>
  <c r="AH807" i="9" s="1"/>
  <c r="AJ807" i="9" s="1"/>
  <c r="D846" i="7"/>
  <c r="AQ859" i="7"/>
  <c r="D862" i="7"/>
  <c r="D890" i="7"/>
  <c r="N884" i="10"/>
  <c r="C832" i="10"/>
  <c r="C856" i="10"/>
  <c r="G956" i="8"/>
  <c r="AG876" i="8"/>
  <c r="AG911" i="8"/>
  <c r="E868" i="10"/>
  <c r="D858" i="9"/>
  <c r="AQ838" i="9"/>
  <c r="D832" i="9"/>
  <c r="D816" i="9"/>
  <c r="E941" i="6"/>
  <c r="E968" i="6" s="1"/>
  <c r="D873" i="8"/>
  <c r="D845" i="8"/>
  <c r="AQ842" i="8"/>
  <c r="N890" i="10"/>
  <c r="C862" i="10"/>
  <c r="C838" i="10"/>
  <c r="C860" i="10"/>
  <c r="N888" i="10"/>
  <c r="C836" i="10"/>
  <c r="F988" i="6"/>
  <c r="D921" i="6"/>
  <c r="AF943" i="6"/>
  <c r="AF908" i="6"/>
  <c r="AP886" i="6"/>
  <c r="C889" i="6"/>
  <c r="C917" i="6"/>
  <c r="AD900" i="7"/>
  <c r="AS900" i="7" s="1"/>
  <c r="D928" i="7" s="1"/>
  <c r="AD935" i="7"/>
  <c r="AS935" i="7" s="1"/>
  <c r="R900" i="7"/>
  <c r="B928" i="7" s="1"/>
  <c r="R1007" i="7"/>
  <c r="F996" i="6"/>
  <c r="AF951" i="6"/>
  <c r="AF916" i="6"/>
  <c r="S946" i="9"/>
  <c r="T946" i="9"/>
  <c r="C839" i="7"/>
  <c r="M64" i="7"/>
  <c r="J65" i="7"/>
  <c r="J29" i="7"/>
  <c r="E951" i="8"/>
  <c r="AE871" i="8"/>
  <c r="AE906" i="8"/>
  <c r="B861" i="6"/>
  <c r="O19" i="6"/>
  <c r="O30" i="6"/>
  <c r="M20" i="10"/>
  <c r="P896" i="10"/>
  <c r="B866" i="9"/>
  <c r="AO846" i="9"/>
  <c r="AT846" i="9" s="1"/>
  <c r="AG811" i="9"/>
  <c r="AH811" i="9" s="1"/>
  <c r="AJ811" i="9" s="1"/>
  <c r="B840" i="9"/>
  <c r="AN811" i="9"/>
  <c r="C882" i="6"/>
  <c r="AP879" i="6"/>
  <c r="C910" i="6"/>
  <c r="AF909" i="8"/>
  <c r="AF874" i="8"/>
  <c r="F954" i="8"/>
  <c r="O892" i="10"/>
  <c r="D840" i="10"/>
  <c r="D864" i="10"/>
  <c r="B970" i="6"/>
  <c r="C943" i="6"/>
  <c r="C970" i="6" s="1"/>
  <c r="C863" i="7"/>
  <c r="AP860" i="7"/>
  <c r="C891" i="7"/>
  <c r="F997" i="6"/>
  <c r="AF952" i="6"/>
  <c r="AF917" i="6"/>
  <c r="AF928" i="7"/>
  <c r="F973" i="7"/>
  <c r="AF893" i="7"/>
  <c r="AQ890" i="6"/>
  <c r="G947" i="8"/>
  <c r="AG902" i="8"/>
  <c r="E880" i="8"/>
  <c r="AG867" i="8"/>
  <c r="AG880" i="8" s="1"/>
  <c r="B947" i="7"/>
  <c r="E920" i="7"/>
  <c r="E947" i="7" s="1"/>
  <c r="C920" i="7"/>
  <c r="C947" i="7" s="1"/>
  <c r="AD877" i="8"/>
  <c r="AS877" i="8" s="1"/>
  <c r="D905" i="8" s="1"/>
  <c r="AD912" i="8"/>
  <c r="AS912" i="8" s="1"/>
  <c r="R877" i="8"/>
  <c r="B905" i="8" s="1"/>
  <c r="R984" i="8"/>
  <c r="C859" i="9"/>
  <c r="D939" i="9" s="1"/>
  <c r="C833" i="9"/>
  <c r="AP839" i="9"/>
  <c r="M64" i="9"/>
  <c r="C809" i="9"/>
  <c r="J65" i="9"/>
  <c r="J29" i="9"/>
  <c r="AD954" i="6"/>
  <c r="AS954" i="6" s="1"/>
  <c r="AD919" i="6"/>
  <c r="AS919" i="6" s="1"/>
  <c r="R919" i="6"/>
  <c r="B947" i="6" s="1"/>
  <c r="R1026" i="6"/>
  <c r="F952" i="8"/>
  <c r="AF872" i="8"/>
  <c r="AF907" i="8"/>
  <c r="M885" i="10"/>
  <c r="R885" i="10" s="1"/>
  <c r="E800" i="10"/>
  <c r="F800" i="10" s="1"/>
  <c r="H800" i="10" s="1"/>
  <c r="B857" i="10"/>
  <c r="R857" i="10" s="1"/>
  <c r="B833" i="10"/>
  <c r="L800" i="10"/>
  <c r="T775" i="10"/>
  <c r="E871" i="9"/>
  <c r="F938" i="9"/>
  <c r="R64" i="6"/>
  <c r="B869" i="8"/>
  <c r="B841" i="8"/>
  <c r="AG803" i="8"/>
  <c r="AH803" i="8" s="1"/>
  <c r="AJ803" i="8" s="1"/>
  <c r="AL803" i="8" s="1"/>
  <c r="AO838" i="8"/>
  <c r="AT838" i="8" s="1"/>
  <c r="AN803" i="8"/>
  <c r="C890" i="6"/>
  <c r="C918" i="6"/>
  <c r="AP887" i="6"/>
  <c r="C911" i="6"/>
  <c r="C883" i="6"/>
  <c r="AP880" i="6"/>
  <c r="N19" i="7"/>
  <c r="N30" i="7"/>
  <c r="B842" i="7"/>
  <c r="Q29" i="7"/>
  <c r="AF945" i="6"/>
  <c r="AF910" i="6"/>
  <c r="F990" i="6"/>
  <c r="E974" i="7"/>
  <c r="AE929" i="7"/>
  <c r="AE894" i="7"/>
  <c r="AF878" i="8"/>
  <c r="F958" i="8"/>
  <c r="AF913" i="8"/>
  <c r="AP841" i="9"/>
  <c r="C835" i="9"/>
  <c r="C861" i="9"/>
  <c r="D941" i="9" s="1"/>
  <c r="AE904" i="8"/>
  <c r="E949" i="8"/>
  <c r="AE869" i="8"/>
  <c r="B894" i="7"/>
  <c r="B866" i="7"/>
  <c r="AO863" i="7"/>
  <c r="AT863" i="7" s="1"/>
  <c r="AG828" i="7"/>
  <c r="AH828" i="7" s="1"/>
  <c r="AJ828" i="7" s="1"/>
  <c r="AL828" i="7" s="1"/>
  <c r="AN828" i="7"/>
  <c r="AE994" i="7"/>
  <c r="AS970" i="7"/>
  <c r="B919" i="10"/>
  <c r="J809" i="10"/>
  <c r="B814" i="9"/>
  <c r="P30" i="9"/>
  <c r="P19" i="9"/>
  <c r="AE903" i="8"/>
  <c r="AE868" i="8"/>
  <c r="E948" i="8"/>
  <c r="H30" i="9"/>
  <c r="H19" i="9"/>
  <c r="B808" i="9"/>
  <c r="D943" i="6"/>
  <c r="AU915" i="6"/>
  <c r="B810" i="9"/>
  <c r="K19" i="9"/>
  <c r="K30" i="9"/>
  <c r="AR849" i="8"/>
  <c r="D947" i="7"/>
  <c r="AI915" i="8"/>
  <c r="D834" i="10"/>
  <c r="O886" i="10"/>
  <c r="D858" i="10"/>
  <c r="C914" i="6"/>
  <c r="C886" i="6"/>
  <c r="AP883" i="6"/>
  <c r="D896" i="7"/>
  <c r="D868" i="7"/>
  <c r="AQ865" i="7"/>
  <c r="C901" i="7"/>
  <c r="AP870" i="7"/>
  <c r="C873" i="7"/>
  <c r="C30" i="7"/>
  <c r="C19" i="7"/>
  <c r="B834" i="7"/>
  <c r="C908" i="6"/>
  <c r="C864" i="6"/>
  <c r="C880" i="6"/>
  <c r="AP877" i="6"/>
  <c r="C810" i="8"/>
  <c r="E64" i="8"/>
  <c r="B65" i="8"/>
  <c r="B29" i="8"/>
  <c r="B859" i="6"/>
  <c r="L19" i="6"/>
  <c r="L30" i="6"/>
  <c r="B781" i="10"/>
  <c r="L20" i="10"/>
  <c r="L31" i="10"/>
  <c r="C819" i="8"/>
  <c r="N65" i="8"/>
  <c r="Q64" i="8"/>
  <c r="N29" i="8"/>
  <c r="T989" i="6"/>
  <c r="U989" i="6"/>
  <c r="C813" i="8"/>
  <c r="I64" i="8"/>
  <c r="F65" i="8"/>
  <c r="F29" i="8"/>
  <c r="AP843" i="9"/>
  <c r="C837" i="9"/>
  <c r="C863" i="9"/>
  <c r="D943" i="9" s="1"/>
  <c r="E923" i="7"/>
  <c r="E950" i="7" s="1"/>
  <c r="C923" i="7"/>
  <c r="C950" i="7" s="1"/>
  <c r="B950" i="7"/>
  <c r="B812" i="9"/>
  <c r="N30" i="9"/>
  <c r="Q29" i="9"/>
  <c r="N19" i="9"/>
  <c r="Q19" i="9" s="1"/>
  <c r="G976" i="7"/>
  <c r="AG931" i="7"/>
  <c r="AG896" i="7"/>
  <c r="U999" i="6"/>
  <c r="T999" i="6"/>
  <c r="AI814" i="8"/>
  <c r="AF936" i="7"/>
  <c r="F981" i="7"/>
  <c r="AF901" i="7"/>
  <c r="AR872" i="7"/>
  <c r="B817" i="8"/>
  <c r="K30" i="8"/>
  <c r="K19" i="8"/>
  <c r="B836" i="7"/>
  <c r="F30" i="7"/>
  <c r="F19" i="7"/>
  <c r="I19" i="7" s="1"/>
  <c r="I29" i="7"/>
  <c r="AI938" i="7"/>
  <c r="B875" i="8"/>
  <c r="AO844" i="8"/>
  <c r="AT844" i="8" s="1"/>
  <c r="B847" i="8"/>
  <c r="AG809" i="8"/>
  <c r="AH809" i="8" s="1"/>
  <c r="AJ809" i="8" s="1"/>
  <c r="AL809" i="8" s="1"/>
  <c r="AN809" i="8"/>
  <c r="B844" i="7"/>
  <c r="P30" i="7"/>
  <c r="P19" i="7"/>
  <c r="C773" i="10"/>
  <c r="B30" i="10"/>
  <c r="B66" i="10"/>
  <c r="E65" i="10"/>
  <c r="R65" i="10" s="1"/>
  <c r="D834" i="9"/>
  <c r="AQ840" i="9"/>
  <c r="D860" i="9"/>
  <c r="E940" i="9" s="1"/>
  <c r="B854" i="6"/>
  <c r="F30" i="6"/>
  <c r="F19" i="6"/>
  <c r="I19" i="6" s="1"/>
  <c r="I29" i="6"/>
  <c r="AF911" i="6"/>
  <c r="F991" i="6"/>
  <c r="AF946" i="6"/>
  <c r="B806" i="9"/>
  <c r="I29" i="9"/>
  <c r="F30" i="9"/>
  <c r="F19" i="9"/>
  <c r="I19" i="9" s="1"/>
  <c r="F977" i="7"/>
  <c r="AF932" i="7"/>
  <c r="AF897" i="7"/>
  <c r="AF966" i="8"/>
  <c r="AF955" i="8"/>
  <c r="AF953" i="8"/>
  <c r="AF949" i="8"/>
  <c r="AF969" i="8"/>
  <c r="AF962" i="8"/>
  <c r="AF960" i="8"/>
  <c r="AF958" i="8"/>
  <c r="AF967" i="8"/>
  <c r="AF965" i="8"/>
  <c r="AF970" i="8"/>
  <c r="AF968" i="8"/>
  <c r="AF963" i="8"/>
  <c r="AF961" i="8"/>
  <c r="AF959" i="8"/>
  <c r="AF954" i="8"/>
  <c r="AF964" i="8"/>
  <c r="AF947" i="8"/>
  <c r="AF956" i="8"/>
  <c r="AF948" i="8"/>
  <c r="AF957" i="8"/>
  <c r="AF951" i="8"/>
  <c r="AF950" i="8"/>
  <c r="AF952" i="8"/>
  <c r="M889" i="10"/>
  <c r="R889" i="10" s="1"/>
  <c r="E804" i="10"/>
  <c r="F804" i="10" s="1"/>
  <c r="H804" i="10" s="1"/>
  <c r="B837" i="10"/>
  <c r="L804" i="10"/>
  <c r="T779" i="10"/>
  <c r="B861" i="10"/>
  <c r="R861" i="10" s="1"/>
  <c r="AN805" i="8"/>
  <c r="AO840" i="8"/>
  <c r="AT840" i="8" s="1"/>
  <c r="AG805" i="8"/>
  <c r="AH805" i="8" s="1"/>
  <c r="AJ805" i="8" s="1"/>
  <c r="AL805" i="8" s="1"/>
  <c r="B871" i="8"/>
  <c r="B843" i="8"/>
  <c r="AF914" i="6"/>
  <c r="F994" i="6"/>
  <c r="AF949" i="6"/>
  <c r="AP849" i="9"/>
  <c r="C869" i="9"/>
  <c r="D949" i="9" s="1"/>
  <c r="C843" i="9"/>
  <c r="B821" i="8"/>
  <c r="P19" i="8"/>
  <c r="P20" i="8" s="1"/>
  <c r="P30" i="8"/>
  <c r="D950" i="7"/>
  <c r="C865" i="9"/>
  <c r="D945" i="9" s="1"/>
  <c r="C839" i="9"/>
  <c r="AP845" i="9"/>
  <c r="AF898" i="7"/>
  <c r="F978" i="7"/>
  <c r="AF933" i="7"/>
  <c r="B841" i="7"/>
  <c r="L19" i="7"/>
  <c r="L30" i="7"/>
  <c r="D864" i="9"/>
  <c r="E944" i="9" s="1"/>
  <c r="AQ844" i="9"/>
  <c r="D838" i="9"/>
  <c r="R128" i="10"/>
  <c r="B923" i="9"/>
  <c r="C896" i="9"/>
  <c r="C923" i="9" s="1"/>
  <c r="D896" i="9"/>
  <c r="C872" i="8"/>
  <c r="C844" i="8"/>
  <c r="AP841" i="8"/>
  <c r="B857" i="6"/>
  <c r="M29" i="6"/>
  <c r="J19" i="6"/>
  <c r="J30" i="6"/>
  <c r="C805" i="9"/>
  <c r="D65" i="9"/>
  <c r="D29" i="9"/>
  <c r="R131" i="8"/>
  <c r="AG1008" i="6"/>
  <c r="AG1006" i="6"/>
  <c r="AG1011" i="6"/>
  <c r="AG1009" i="6"/>
  <c r="AG1004" i="6"/>
  <c r="AG1002" i="6"/>
  <c r="AG1000" i="6"/>
  <c r="AG995" i="6"/>
  <c r="AG989" i="6"/>
  <c r="AG1007" i="6"/>
  <c r="AG996" i="6"/>
  <c r="AG994" i="6"/>
  <c r="AG1005" i="6"/>
  <c r="AG997" i="6"/>
  <c r="AG993" i="6"/>
  <c r="AG991" i="6"/>
  <c r="AG998" i="6"/>
  <c r="AG992" i="6"/>
  <c r="AG1003" i="6"/>
  <c r="AG999" i="6"/>
  <c r="AG1010" i="6"/>
  <c r="AG988" i="6"/>
  <c r="AG1001" i="6"/>
  <c r="AG990" i="6"/>
  <c r="AP868" i="7"/>
  <c r="C899" i="7"/>
  <c r="C871" i="7"/>
  <c r="C833" i="7"/>
  <c r="E64" i="7"/>
  <c r="R64" i="7" s="1"/>
  <c r="B65" i="7"/>
  <c r="B29" i="7"/>
  <c r="C916" i="6"/>
  <c r="AP885" i="6"/>
  <c r="C888" i="6"/>
  <c r="B912" i="6"/>
  <c r="B884" i="6"/>
  <c r="AO881" i="6"/>
  <c r="AT881" i="6" s="1"/>
  <c r="AG846" i="6"/>
  <c r="AH846" i="6" s="1"/>
  <c r="AJ846" i="6" s="1"/>
  <c r="AL846" i="6" s="1"/>
  <c r="AN846" i="6"/>
  <c r="C863" i="10"/>
  <c r="C839" i="10"/>
  <c r="N891" i="10"/>
  <c r="AF891" i="7"/>
  <c r="F971" i="7"/>
  <c r="AF926" i="7"/>
  <c r="F941" i="6"/>
  <c r="D968" i="6"/>
  <c r="C803" i="9"/>
  <c r="E64" i="9"/>
  <c r="R64" i="9" s="1"/>
  <c r="B65" i="9"/>
  <c r="B29" i="9"/>
  <c r="B840" i="7"/>
  <c r="K19" i="7"/>
  <c r="K30" i="7"/>
  <c r="B815" i="8"/>
  <c r="H30" i="8"/>
  <c r="H19" i="8"/>
  <c r="AG921" i="6"/>
  <c r="C816" i="8"/>
  <c r="M64" i="8"/>
  <c r="J65" i="8"/>
  <c r="J29" i="8"/>
  <c r="M887" i="10"/>
  <c r="R887" i="10" s="1"/>
  <c r="E802" i="10"/>
  <c r="F802" i="10" s="1"/>
  <c r="H802" i="10" s="1"/>
  <c r="B835" i="10"/>
  <c r="L802" i="10"/>
  <c r="B859" i="10"/>
  <c r="R859" i="10" s="1"/>
  <c r="T777" i="10"/>
  <c r="AI880" i="8"/>
  <c r="T980" i="7"/>
  <c r="U980" i="7"/>
  <c r="C874" i="8"/>
  <c r="C846" i="8"/>
  <c r="AP843" i="8"/>
  <c r="AG802" i="8"/>
  <c r="AH802" i="8" s="1"/>
  <c r="AJ802" i="8" s="1"/>
  <c r="AL802" i="8" s="1"/>
  <c r="B868" i="8"/>
  <c r="B840" i="8"/>
  <c r="AN802" i="8"/>
  <c r="AO837" i="8"/>
  <c r="AT837" i="8" s="1"/>
  <c r="C893" i="7"/>
  <c r="C865" i="7"/>
  <c r="AP862" i="7"/>
  <c r="F998" i="6"/>
  <c r="AF918" i="6"/>
  <c r="AF953" i="6"/>
  <c r="B860" i="6"/>
  <c r="N19" i="6"/>
  <c r="N30" i="6"/>
  <c r="Q29" i="6"/>
  <c r="N881" i="5"/>
  <c r="C829" i="5"/>
  <c r="C853" i="5"/>
  <c r="O874" i="5"/>
  <c r="O884" i="5" s="1"/>
  <c r="D846" i="5"/>
  <c r="D856" i="5" s="1"/>
  <c r="D822" i="5"/>
  <c r="D774" i="5"/>
  <c r="B765" i="5"/>
  <c r="G31" i="5"/>
  <c r="G20" i="5"/>
  <c r="M878" i="5"/>
  <c r="R878" i="5" s="1"/>
  <c r="E793" i="5"/>
  <c r="F793" i="5" s="1"/>
  <c r="H793" i="5" s="1"/>
  <c r="B850" i="5"/>
  <c r="R850" i="5" s="1"/>
  <c r="L793" i="5"/>
  <c r="B826" i="5"/>
  <c r="B767" i="5"/>
  <c r="J31" i="5"/>
  <c r="M30" i="5"/>
  <c r="J20" i="5"/>
  <c r="M20" i="5" s="1"/>
  <c r="N879" i="5"/>
  <c r="C827" i="5"/>
  <c r="C851" i="5"/>
  <c r="M871" i="5"/>
  <c r="B843" i="5"/>
  <c r="L786" i="5"/>
  <c r="B819" i="5"/>
  <c r="E786" i="5"/>
  <c r="C828" i="5"/>
  <c r="C852" i="5"/>
  <c r="N880" i="5"/>
  <c r="N875" i="5"/>
  <c r="C847" i="5"/>
  <c r="C823" i="5"/>
  <c r="N877" i="5"/>
  <c r="C849" i="5"/>
  <c r="C825" i="5"/>
  <c r="M873" i="5"/>
  <c r="R873" i="5" s="1"/>
  <c r="B845" i="5"/>
  <c r="R845" i="5" s="1"/>
  <c r="L788" i="5"/>
  <c r="B821" i="5"/>
  <c r="E788" i="5"/>
  <c r="F788" i="5" s="1"/>
  <c r="H788" i="5" s="1"/>
  <c r="B898" i="5"/>
  <c r="J787" i="5"/>
  <c r="B848" i="5"/>
  <c r="R848" i="5" s="1"/>
  <c r="M876" i="5"/>
  <c r="R876" i="5" s="1"/>
  <c r="E791" i="5"/>
  <c r="F791" i="5" s="1"/>
  <c r="H791" i="5" s="1"/>
  <c r="L791" i="5"/>
  <c r="B824" i="5"/>
  <c r="B771" i="5"/>
  <c r="O31" i="5"/>
  <c r="O20" i="5"/>
  <c r="B770" i="5"/>
  <c r="Q30" i="5"/>
  <c r="N20" i="5"/>
  <c r="N31" i="5"/>
  <c r="B769" i="5"/>
  <c r="L20" i="5"/>
  <c r="L31" i="5"/>
  <c r="C764" i="5"/>
  <c r="I65" i="5"/>
  <c r="R65" i="5" s="1"/>
  <c r="F66" i="5"/>
  <c r="F30" i="5"/>
  <c r="B854" i="5"/>
  <c r="R854" i="5" s="1"/>
  <c r="B830" i="5"/>
  <c r="M882" i="5"/>
  <c r="R882" i="5" s="1"/>
  <c r="E797" i="5"/>
  <c r="F797" i="5" s="1"/>
  <c r="H797" i="5" s="1"/>
  <c r="L797" i="5"/>
  <c r="C745" i="4"/>
  <c r="M67" i="4"/>
  <c r="J68" i="4"/>
  <c r="J32" i="4"/>
  <c r="B749" i="4"/>
  <c r="O22" i="4"/>
  <c r="O33" i="4"/>
  <c r="R128" i="4"/>
  <c r="B743" i="4"/>
  <c r="G22" i="4"/>
  <c r="G33" i="4"/>
  <c r="P862" i="4"/>
  <c r="M856" i="4"/>
  <c r="R856" i="4" s="1"/>
  <c r="B828" i="4"/>
  <c r="R828" i="4" s="1"/>
  <c r="L771" i="4"/>
  <c r="B804" i="4"/>
  <c r="E771" i="4"/>
  <c r="F771" i="4" s="1"/>
  <c r="H771" i="4" s="1"/>
  <c r="O849" i="4"/>
  <c r="D752" i="4"/>
  <c r="D797" i="4"/>
  <c r="D821" i="4"/>
  <c r="C831" i="4"/>
  <c r="N859" i="4"/>
  <c r="C807" i="4"/>
  <c r="O852" i="4"/>
  <c r="D824" i="4"/>
  <c r="D800" i="4"/>
  <c r="C825" i="4"/>
  <c r="C801" i="4"/>
  <c r="N853" i="4"/>
  <c r="N854" i="4"/>
  <c r="C826" i="4"/>
  <c r="C802" i="4"/>
  <c r="B876" i="4"/>
  <c r="J765" i="4"/>
  <c r="O855" i="4"/>
  <c r="D827" i="4"/>
  <c r="D803" i="4"/>
  <c r="C750" i="4"/>
  <c r="P68" i="4"/>
  <c r="P32" i="4"/>
  <c r="Q67" i="4"/>
  <c r="Q32" i="4"/>
  <c r="M851" i="4"/>
  <c r="R851" i="4" s="1"/>
  <c r="B799" i="4"/>
  <c r="L766" i="4"/>
  <c r="E766" i="4"/>
  <c r="F766" i="4" s="1"/>
  <c r="H766" i="4" s="1"/>
  <c r="B823" i="4"/>
  <c r="R823" i="4" s="1"/>
  <c r="M858" i="4"/>
  <c r="R858" i="4" s="1"/>
  <c r="E773" i="4"/>
  <c r="F773" i="4" s="1"/>
  <c r="H773" i="4" s="1"/>
  <c r="L773" i="4"/>
  <c r="B830" i="4"/>
  <c r="R830" i="4" s="1"/>
  <c r="B806" i="4"/>
  <c r="D808" i="4"/>
  <c r="D832" i="4"/>
  <c r="O860" i="4"/>
  <c r="C739" i="4"/>
  <c r="B68" i="4"/>
  <c r="E67" i="4"/>
  <c r="B32" i="4"/>
  <c r="C742" i="4"/>
  <c r="F68" i="4"/>
  <c r="I67" i="4"/>
  <c r="F32" i="4"/>
  <c r="M857" i="4"/>
  <c r="R857" i="4" s="1"/>
  <c r="B829" i="4"/>
  <c r="R829" i="4" s="1"/>
  <c r="L772" i="4"/>
  <c r="B805" i="4"/>
  <c r="E772" i="4"/>
  <c r="F772" i="4" s="1"/>
  <c r="H772" i="4" s="1"/>
  <c r="E834" i="4"/>
  <c r="B744" i="4"/>
  <c r="H33" i="4"/>
  <c r="H22" i="4"/>
  <c r="D885" i="3"/>
  <c r="C885" i="3"/>
  <c r="L885" i="3" s="1"/>
  <c r="B752" i="3"/>
  <c r="P32" i="3"/>
  <c r="P22" i="3"/>
  <c r="Q22" i="3" s="1"/>
  <c r="Q31" i="3"/>
  <c r="C810" i="3"/>
  <c r="N862" i="3"/>
  <c r="C834" i="3"/>
  <c r="M861" i="3"/>
  <c r="R861" i="3" s="1"/>
  <c r="B809" i="3"/>
  <c r="E776" i="3"/>
  <c r="F776" i="3" s="1"/>
  <c r="H776" i="3" s="1"/>
  <c r="B833" i="3"/>
  <c r="R833" i="3" s="1"/>
  <c r="L776" i="3"/>
  <c r="B878" i="3"/>
  <c r="J767" i="3"/>
  <c r="D826" i="3"/>
  <c r="D802" i="3"/>
  <c r="O854" i="3"/>
  <c r="C741" i="3"/>
  <c r="E66" i="3"/>
  <c r="B67" i="3"/>
  <c r="B31" i="3"/>
  <c r="E836" i="3"/>
  <c r="R132" i="3"/>
  <c r="C827" i="3"/>
  <c r="N855" i="3"/>
  <c r="C803" i="3"/>
  <c r="O857" i="3"/>
  <c r="D805" i="3"/>
  <c r="D829" i="3"/>
  <c r="B746" i="3"/>
  <c r="H32" i="3"/>
  <c r="H22" i="3"/>
  <c r="O851" i="3"/>
  <c r="D754" i="3"/>
  <c r="D823" i="3"/>
  <c r="D799" i="3"/>
  <c r="B743" i="3"/>
  <c r="D32" i="3"/>
  <c r="D22" i="3"/>
  <c r="C747" i="3"/>
  <c r="M66" i="3"/>
  <c r="J67" i="3"/>
  <c r="J31" i="3"/>
  <c r="N856" i="3"/>
  <c r="C828" i="3"/>
  <c r="C804" i="3"/>
  <c r="B886" i="3"/>
  <c r="J775" i="3"/>
  <c r="L773" i="3"/>
  <c r="M858" i="3"/>
  <c r="R858" i="3" s="1"/>
  <c r="B806" i="3"/>
  <c r="B830" i="3"/>
  <c r="R830" i="3" s="1"/>
  <c r="E773" i="3"/>
  <c r="F773" i="3" s="1"/>
  <c r="H773" i="3" s="1"/>
  <c r="B745" i="3"/>
  <c r="G22" i="3"/>
  <c r="G32" i="3"/>
  <c r="C744" i="3"/>
  <c r="F67" i="3"/>
  <c r="I66" i="3"/>
  <c r="F31" i="3"/>
  <c r="C825" i="3"/>
  <c r="N853" i="3"/>
  <c r="C801" i="3"/>
  <c r="C761" i="2"/>
  <c r="F68" i="2"/>
  <c r="I67" i="2"/>
  <c r="F32" i="2"/>
  <c r="R133" i="2"/>
  <c r="D846" i="2"/>
  <c r="D822" i="2"/>
  <c r="O874" i="2"/>
  <c r="D843" i="2"/>
  <c r="O871" i="2"/>
  <c r="D819" i="2"/>
  <c r="C767" i="2"/>
  <c r="N68" i="2"/>
  <c r="Q67" i="2"/>
  <c r="N32" i="2"/>
  <c r="P881" i="2"/>
  <c r="B760" i="2"/>
  <c r="D33" i="2"/>
  <c r="D22" i="2"/>
  <c r="B768" i="2"/>
  <c r="O22" i="2"/>
  <c r="O33" i="2"/>
  <c r="B765" i="2"/>
  <c r="K22" i="2"/>
  <c r="K33" i="2"/>
  <c r="B759" i="2"/>
  <c r="C33" i="2"/>
  <c r="C22" i="2"/>
  <c r="E22" i="2" s="1"/>
  <c r="B766" i="2"/>
  <c r="L22" i="2"/>
  <c r="L33" i="2"/>
  <c r="B762" i="2"/>
  <c r="G33" i="2"/>
  <c r="G22" i="2"/>
  <c r="C850" i="2"/>
  <c r="C826" i="2"/>
  <c r="N878" i="2"/>
  <c r="C847" i="2"/>
  <c r="C823" i="2"/>
  <c r="N875" i="2"/>
  <c r="E32" i="2"/>
  <c r="N870" i="2"/>
  <c r="C842" i="2"/>
  <c r="C818" i="2"/>
  <c r="N872" i="2"/>
  <c r="C844" i="2"/>
  <c r="C820" i="2"/>
  <c r="O877" i="2"/>
  <c r="D825" i="2"/>
  <c r="D849" i="2"/>
  <c r="B840" i="2"/>
  <c r="M868" i="2"/>
  <c r="L783" i="2"/>
  <c r="E783" i="2"/>
  <c r="B816" i="2"/>
  <c r="N869" i="2"/>
  <c r="C817" i="2"/>
  <c r="C841" i="2"/>
  <c r="D899" i="2"/>
  <c r="K899" i="2" s="1"/>
  <c r="C899" i="2"/>
  <c r="C848" i="2"/>
  <c r="C824" i="2"/>
  <c r="N876" i="2"/>
  <c r="D905" i="2"/>
  <c r="C905" i="2"/>
  <c r="C764" i="2"/>
  <c r="C771" i="2" s="1"/>
  <c r="M67" i="2"/>
  <c r="R67" i="2" s="1"/>
  <c r="J32" i="2"/>
  <c r="J68" i="2"/>
  <c r="E943" i="6" l="1"/>
  <c r="E970" i="6" s="1"/>
  <c r="R29" i="6"/>
  <c r="AQ872" i="7"/>
  <c r="AG903" i="7"/>
  <c r="E896" i="9"/>
  <c r="E923" i="9" s="1"/>
  <c r="AQ851" i="9"/>
  <c r="AF1115" i="14"/>
  <c r="AG1084" i="13"/>
  <c r="AF971" i="8"/>
  <c r="AG1012" i="6"/>
  <c r="AF1072" i="12"/>
  <c r="AU1022" i="11"/>
  <c r="B957" i="14"/>
  <c r="F30" i="14"/>
  <c r="F19" i="14"/>
  <c r="I19" i="14" s="1"/>
  <c r="I29" i="14"/>
  <c r="AF1021" i="13"/>
  <c r="AF1028" i="13" s="1"/>
  <c r="AF986" i="13"/>
  <c r="AF993" i="13" s="1"/>
  <c r="F1066" i="13"/>
  <c r="C977" i="12"/>
  <c r="AP946" i="12"/>
  <c r="C949" i="12"/>
  <c r="B949" i="11"/>
  <c r="B921" i="11"/>
  <c r="AG883" i="11"/>
  <c r="AH883" i="11" s="1"/>
  <c r="AJ883" i="11" s="1"/>
  <c r="AL883" i="11" s="1"/>
  <c r="AN883" i="11"/>
  <c r="AO918" i="11"/>
  <c r="AT918" i="11" s="1"/>
  <c r="AD1047" i="14"/>
  <c r="AS1047" i="14" s="1"/>
  <c r="AD1012" i="14"/>
  <c r="AS1012" i="14" s="1"/>
  <c r="R1012" i="14"/>
  <c r="B1040" i="14" s="1"/>
  <c r="R1119" i="14"/>
  <c r="B953" i="15"/>
  <c r="E29" i="15"/>
  <c r="B30" i="15"/>
  <c r="B19" i="15"/>
  <c r="E19" i="15" s="1"/>
  <c r="AD979" i="12"/>
  <c r="AS979" i="12" s="1"/>
  <c r="AD1014" i="12"/>
  <c r="AS1014" i="12" s="1"/>
  <c r="R979" i="12"/>
  <c r="B1007" i="12" s="1"/>
  <c r="R1086" i="12"/>
  <c r="AE1051" i="12"/>
  <c r="AS1051" i="12" s="1"/>
  <c r="AE1049" i="12"/>
  <c r="AS1049" i="12" s="1"/>
  <c r="AE1071" i="12"/>
  <c r="AS1071" i="12" s="1"/>
  <c r="AE1069" i="12"/>
  <c r="AS1069" i="12" s="1"/>
  <c r="AE1064" i="12"/>
  <c r="AS1064" i="12" s="1"/>
  <c r="AE1062" i="12"/>
  <c r="AS1062" i="12" s="1"/>
  <c r="AE1060" i="12"/>
  <c r="AS1060" i="12" s="1"/>
  <c r="AE1058" i="12"/>
  <c r="AS1058" i="12" s="1"/>
  <c r="AE1056" i="12"/>
  <c r="AS1056" i="12" s="1"/>
  <c r="AE1067" i="12"/>
  <c r="AS1067" i="12" s="1"/>
  <c r="AE1054" i="12"/>
  <c r="AS1054" i="12" s="1"/>
  <c r="AE1070" i="12"/>
  <c r="AS1070" i="12" s="1"/>
  <c r="AE1063" i="12"/>
  <c r="AS1063" i="12" s="1"/>
  <c r="AE1061" i="12"/>
  <c r="AS1061" i="12" s="1"/>
  <c r="AE1059" i="12"/>
  <c r="AS1059" i="12" s="1"/>
  <c r="AE1057" i="12"/>
  <c r="AS1057" i="12" s="1"/>
  <c r="AE1055" i="12"/>
  <c r="AS1055" i="12" s="1"/>
  <c r="AE1068" i="12"/>
  <c r="AS1068" i="12" s="1"/>
  <c r="AE1065" i="12"/>
  <c r="AS1065" i="12" s="1"/>
  <c r="AE1053" i="12"/>
  <c r="AS1053" i="12" s="1"/>
  <c r="AE1050" i="12"/>
  <c r="AS1050" i="12" s="1"/>
  <c r="V1049" i="12"/>
  <c r="AF1079" i="12" s="1"/>
  <c r="AE1052" i="12"/>
  <c r="AS1052" i="12" s="1"/>
  <c r="AE1048" i="12"/>
  <c r="AE1066" i="12"/>
  <c r="AS1066" i="12" s="1"/>
  <c r="T1049" i="12"/>
  <c r="W1049" i="12"/>
  <c r="AF1080" i="12" s="1"/>
  <c r="U1049" i="12"/>
  <c r="C968" i="12"/>
  <c r="C924" i="12"/>
  <c r="C940" i="12"/>
  <c r="AP937" i="12"/>
  <c r="B956" i="15"/>
  <c r="F19" i="15"/>
  <c r="I29" i="15"/>
  <c r="F30" i="15"/>
  <c r="C1016" i="15"/>
  <c r="C988" i="15"/>
  <c r="C971" i="12"/>
  <c r="C943" i="12"/>
  <c r="AP940" i="12"/>
  <c r="C986" i="14"/>
  <c r="AP983" i="14"/>
  <c r="C1014" i="14"/>
  <c r="E1003" i="12"/>
  <c r="E1030" i="12" s="1"/>
  <c r="AE984" i="11"/>
  <c r="E1029" i="11"/>
  <c r="AE949" i="11"/>
  <c r="C1043" i="14"/>
  <c r="C1070" i="14" s="1"/>
  <c r="B1070" i="14"/>
  <c r="B1043" i="13"/>
  <c r="E1016" i="13"/>
  <c r="E1043" i="13" s="1"/>
  <c r="C1016" i="13"/>
  <c r="C1043" i="13" s="1"/>
  <c r="D1017" i="14"/>
  <c r="D989" i="14"/>
  <c r="AQ986" i="14"/>
  <c r="AQ993" i="14" s="1"/>
  <c r="D967" i="14"/>
  <c r="R64" i="11"/>
  <c r="AE1025" i="13"/>
  <c r="AE990" i="13"/>
  <c r="E1070" i="13"/>
  <c r="E1058" i="12"/>
  <c r="AE1013" i="12"/>
  <c r="AE978" i="12"/>
  <c r="T1050" i="12"/>
  <c r="V1050" i="12"/>
  <c r="AF1082" i="12" s="1"/>
  <c r="W1050" i="12"/>
  <c r="AF1083" i="12" s="1"/>
  <c r="U1050" i="12"/>
  <c r="AF1049" i="14"/>
  <c r="F1094" i="14"/>
  <c r="AF1014" i="14"/>
  <c r="AD1055" i="14"/>
  <c r="AS1055" i="14" s="1"/>
  <c r="AD1020" i="14"/>
  <c r="AS1020" i="14" s="1"/>
  <c r="R1020" i="14"/>
  <c r="B1048" i="14" s="1"/>
  <c r="R1127" i="14"/>
  <c r="U1060" i="13"/>
  <c r="W1060" i="13"/>
  <c r="AF1089" i="13" s="1"/>
  <c r="V1060" i="13"/>
  <c r="AF1088" i="13" s="1"/>
  <c r="T1060" i="13"/>
  <c r="U1030" i="11"/>
  <c r="T1030" i="11"/>
  <c r="V1030" i="11"/>
  <c r="AF1074" i="11" s="1"/>
  <c r="W1030" i="11"/>
  <c r="AF1075" i="11" s="1"/>
  <c r="B978" i="12"/>
  <c r="AG912" i="12"/>
  <c r="AH912" i="12" s="1"/>
  <c r="AJ912" i="12" s="1"/>
  <c r="AL912" i="12" s="1"/>
  <c r="B950" i="12"/>
  <c r="AN912" i="12"/>
  <c r="AO947" i="12"/>
  <c r="AT947" i="12" s="1"/>
  <c r="T1059" i="12"/>
  <c r="V1059" i="12"/>
  <c r="AF1109" i="12" s="1"/>
  <c r="W1059" i="12"/>
  <c r="AF1110" i="12" s="1"/>
  <c r="U1059" i="12"/>
  <c r="C1041" i="14"/>
  <c r="C1068" i="14" s="1"/>
  <c r="B1068" i="14"/>
  <c r="AU946" i="11"/>
  <c r="D974" i="11"/>
  <c r="AD988" i="11"/>
  <c r="AS988" i="11" s="1"/>
  <c r="AD953" i="11"/>
  <c r="AS953" i="11" s="1"/>
  <c r="R953" i="11"/>
  <c r="B981" i="11" s="1"/>
  <c r="R1060" i="11"/>
  <c r="AF983" i="11"/>
  <c r="AF948" i="11"/>
  <c r="F1028" i="11"/>
  <c r="AD979" i="11"/>
  <c r="AS979" i="11" s="1"/>
  <c r="AD944" i="11"/>
  <c r="AS944" i="11" s="1"/>
  <c r="R944" i="11"/>
  <c r="B972" i="11" s="1"/>
  <c r="R1051" i="11"/>
  <c r="T1098" i="14"/>
  <c r="W1098" i="14"/>
  <c r="AF1141" i="14" s="1"/>
  <c r="V1098" i="14"/>
  <c r="AF1140" i="14" s="1"/>
  <c r="U1098" i="14"/>
  <c r="AE1114" i="14"/>
  <c r="AS1114" i="14" s="1"/>
  <c r="AE1112" i="14"/>
  <c r="AS1112" i="14" s="1"/>
  <c r="AE1107" i="14"/>
  <c r="AS1107" i="14" s="1"/>
  <c r="AE1105" i="14"/>
  <c r="AS1105" i="14" s="1"/>
  <c r="AE1113" i="14"/>
  <c r="AS1113" i="14" s="1"/>
  <c r="AE1106" i="14"/>
  <c r="AS1106" i="14" s="1"/>
  <c r="AE1095" i="14"/>
  <c r="AS1095" i="14" s="1"/>
  <c r="AE1093" i="14"/>
  <c r="AS1093" i="14" s="1"/>
  <c r="AE1091" i="14"/>
  <c r="AE1109" i="14"/>
  <c r="AS1109" i="14" s="1"/>
  <c r="AE1108" i="14"/>
  <c r="AS1108" i="14" s="1"/>
  <c r="AE1102" i="14"/>
  <c r="AS1102" i="14" s="1"/>
  <c r="AE1100" i="14"/>
  <c r="AS1100" i="14" s="1"/>
  <c r="AE1098" i="14"/>
  <c r="AS1098" i="14" s="1"/>
  <c r="W1092" i="14"/>
  <c r="AF1123" i="14" s="1"/>
  <c r="AE1110" i="14"/>
  <c r="AS1110" i="14" s="1"/>
  <c r="AE1111" i="14"/>
  <c r="AS1111" i="14" s="1"/>
  <c r="AE1104" i="14"/>
  <c r="AS1104" i="14" s="1"/>
  <c r="AE1096" i="14"/>
  <c r="AS1096" i="14" s="1"/>
  <c r="AE1094" i="14"/>
  <c r="AS1094" i="14" s="1"/>
  <c r="AE1092" i="14"/>
  <c r="AS1092" i="14" s="1"/>
  <c r="AE1103" i="14"/>
  <c r="AS1103" i="14" s="1"/>
  <c r="AE1101" i="14"/>
  <c r="AS1101" i="14" s="1"/>
  <c r="AE1099" i="14"/>
  <c r="AS1099" i="14" s="1"/>
  <c r="AE1097" i="14"/>
  <c r="AS1097" i="14" s="1"/>
  <c r="V1092" i="14"/>
  <c r="AF1122" i="14" s="1"/>
  <c r="U1092" i="14"/>
  <c r="T1092" i="14"/>
  <c r="AU1015" i="14"/>
  <c r="D1043" i="14"/>
  <c r="AU988" i="13"/>
  <c r="D1016" i="13"/>
  <c r="E1061" i="13"/>
  <c r="AE1016" i="13"/>
  <c r="AE981" i="13"/>
  <c r="C942" i="11"/>
  <c r="C914" i="11"/>
  <c r="AP911" i="11"/>
  <c r="C898" i="11"/>
  <c r="B955" i="13"/>
  <c r="AO952" i="13"/>
  <c r="AT952" i="13" s="1"/>
  <c r="B983" i="13"/>
  <c r="AG981" i="12"/>
  <c r="E1102" i="14"/>
  <c r="AE1057" i="14"/>
  <c r="AE1022" i="14"/>
  <c r="D1042" i="13"/>
  <c r="W1101" i="14"/>
  <c r="AF1150" i="14" s="1"/>
  <c r="U1101" i="14"/>
  <c r="V1101" i="14"/>
  <c r="AF1149" i="14" s="1"/>
  <c r="T1101" i="14"/>
  <c r="B958" i="15"/>
  <c r="H19" i="15"/>
  <c r="H30" i="15"/>
  <c r="B963" i="13"/>
  <c r="AO960" i="13"/>
  <c r="AT960" i="13" s="1"/>
  <c r="B991" i="13"/>
  <c r="AU1013" i="14"/>
  <c r="D1041" i="14"/>
  <c r="C1013" i="15"/>
  <c r="C985" i="15"/>
  <c r="AD985" i="11"/>
  <c r="AS985" i="11" s="1"/>
  <c r="AD950" i="11"/>
  <c r="AS950" i="11" s="1"/>
  <c r="R950" i="11"/>
  <c r="B978" i="11" s="1"/>
  <c r="R1057" i="11"/>
  <c r="E1091" i="14"/>
  <c r="AE1011" i="14"/>
  <c r="AE1046" i="14"/>
  <c r="B917" i="12"/>
  <c r="J19" i="12"/>
  <c r="M19" i="12" s="1"/>
  <c r="J30" i="12"/>
  <c r="M29" i="12"/>
  <c r="AD1053" i="14"/>
  <c r="AS1053" i="14" s="1"/>
  <c r="R1018" i="14"/>
  <c r="B1046" i="14" s="1"/>
  <c r="AD1018" i="14"/>
  <c r="AS1018" i="14" s="1"/>
  <c r="R1125" i="14"/>
  <c r="B891" i="11"/>
  <c r="M29" i="11"/>
  <c r="J19" i="11"/>
  <c r="M19" i="11" s="1"/>
  <c r="J30" i="11"/>
  <c r="AG1016" i="12"/>
  <c r="B990" i="15"/>
  <c r="B1018" i="15"/>
  <c r="R1018" i="15" s="1"/>
  <c r="C1010" i="15"/>
  <c r="C966" i="15"/>
  <c r="C982" i="15"/>
  <c r="B972" i="12"/>
  <c r="B944" i="12"/>
  <c r="AO941" i="12"/>
  <c r="AT941" i="12" s="1"/>
  <c r="AG906" i="12"/>
  <c r="AH906" i="12" s="1"/>
  <c r="AJ906" i="12" s="1"/>
  <c r="AL906" i="12" s="1"/>
  <c r="AN906" i="12"/>
  <c r="V1027" i="11"/>
  <c r="AF1065" i="11" s="1"/>
  <c r="T1027" i="11"/>
  <c r="W1027" i="11"/>
  <c r="AF1066" i="11" s="1"/>
  <c r="U1027" i="11"/>
  <c r="B888" i="11"/>
  <c r="F30" i="11"/>
  <c r="F19" i="11"/>
  <c r="I19" i="11" s="1"/>
  <c r="I29" i="11"/>
  <c r="C974" i="12"/>
  <c r="C946" i="12"/>
  <c r="AP943" i="12"/>
  <c r="F1003" i="12"/>
  <c r="M1003" i="12"/>
  <c r="D1030" i="12"/>
  <c r="B894" i="11"/>
  <c r="N19" i="11"/>
  <c r="Q19" i="11" s="1"/>
  <c r="N30" i="11"/>
  <c r="Q29" i="11"/>
  <c r="AD1051" i="14"/>
  <c r="AS1051" i="14" s="1"/>
  <c r="AD1016" i="14"/>
  <c r="AS1016" i="14" s="1"/>
  <c r="R1016" i="14"/>
  <c r="B1044" i="14" s="1"/>
  <c r="R1123" i="14"/>
  <c r="D1023" i="15"/>
  <c r="B992" i="15"/>
  <c r="B1020" i="15"/>
  <c r="R1020" i="15" s="1"/>
  <c r="AD1008" i="12"/>
  <c r="AS1008" i="12" s="1"/>
  <c r="AD973" i="12"/>
  <c r="AS973" i="12" s="1"/>
  <c r="R973" i="12"/>
  <c r="B1001" i="12" s="1"/>
  <c r="R1080" i="12"/>
  <c r="E1052" i="12"/>
  <c r="AE1007" i="12"/>
  <c r="AE972" i="12"/>
  <c r="M980" i="11"/>
  <c r="F980" i="11"/>
  <c r="D1007" i="11"/>
  <c r="AD1056" i="14"/>
  <c r="AS1056" i="14" s="1"/>
  <c r="AD1021" i="14"/>
  <c r="AS1021" i="14" s="1"/>
  <c r="R1021" i="14"/>
  <c r="B1049" i="14" s="1"/>
  <c r="R1128" i="14"/>
  <c r="E1071" i="13"/>
  <c r="AE991" i="13"/>
  <c r="AE1026" i="13"/>
  <c r="AD976" i="12"/>
  <c r="AS976" i="12" s="1"/>
  <c r="R976" i="12"/>
  <c r="B1004" i="12" s="1"/>
  <c r="AD1011" i="12"/>
  <c r="AS1011" i="12" s="1"/>
  <c r="R1083" i="12"/>
  <c r="B962" i="15"/>
  <c r="N19" i="15"/>
  <c r="Q19" i="15" s="1"/>
  <c r="N30" i="15"/>
  <c r="Q29" i="15"/>
  <c r="AD1005" i="12"/>
  <c r="AS1005" i="12" s="1"/>
  <c r="AD970" i="12"/>
  <c r="AS970" i="12" s="1"/>
  <c r="R970" i="12"/>
  <c r="B998" i="12" s="1"/>
  <c r="R1077" i="12"/>
  <c r="AT949" i="13"/>
  <c r="B1022" i="14"/>
  <c r="B994" i="14"/>
  <c r="AG956" i="14"/>
  <c r="AH956" i="14" s="1"/>
  <c r="AJ956" i="14" s="1"/>
  <c r="AL956" i="14" s="1"/>
  <c r="AN956" i="14"/>
  <c r="AO991" i="14"/>
  <c r="AT991" i="14" s="1"/>
  <c r="B1014" i="15"/>
  <c r="R1014" i="15" s="1"/>
  <c r="B986" i="15"/>
  <c r="C1015" i="15"/>
  <c r="C987" i="15"/>
  <c r="AF1079" i="13"/>
  <c r="AF1066" i="13"/>
  <c r="AF1077" i="13"/>
  <c r="AF1064" i="13"/>
  <c r="AF1062" i="13"/>
  <c r="AF1060" i="13"/>
  <c r="AF1082" i="13"/>
  <c r="AF1075" i="13"/>
  <c r="AF1073" i="13"/>
  <c r="AF1071" i="13"/>
  <c r="AF1069" i="13"/>
  <c r="AF1067" i="13"/>
  <c r="AF1065" i="13"/>
  <c r="AF1063" i="13"/>
  <c r="AF1061" i="13"/>
  <c r="AF1076" i="13"/>
  <c r="AF1081" i="13"/>
  <c r="AF1078" i="13"/>
  <c r="AF1072" i="13"/>
  <c r="AF1070" i="13"/>
  <c r="AF1068" i="13"/>
  <c r="AF1074" i="13"/>
  <c r="AF1083" i="13"/>
  <c r="AF1080" i="13"/>
  <c r="C945" i="11"/>
  <c r="C917" i="11"/>
  <c r="AP914" i="11"/>
  <c r="C923" i="11"/>
  <c r="AP920" i="11"/>
  <c r="C951" i="11"/>
  <c r="W1056" i="12"/>
  <c r="AF1101" i="12" s="1"/>
  <c r="U1056" i="12"/>
  <c r="V1056" i="12"/>
  <c r="AF1100" i="12" s="1"/>
  <c r="T1056" i="12"/>
  <c r="B920" i="12"/>
  <c r="Q29" i="12"/>
  <c r="N19" i="12"/>
  <c r="Q19" i="12" s="1"/>
  <c r="N30" i="12"/>
  <c r="AG955" i="11"/>
  <c r="B983" i="15"/>
  <c r="B1011" i="15"/>
  <c r="R1011" i="15" s="1"/>
  <c r="T1100" i="14"/>
  <c r="W1100" i="14"/>
  <c r="AF1147" i="14" s="1"/>
  <c r="V1100" i="14"/>
  <c r="AF1146" i="14" s="1"/>
  <c r="U1100" i="14"/>
  <c r="AD1015" i="13"/>
  <c r="AD980" i="13"/>
  <c r="R980" i="13"/>
  <c r="R1087" i="13"/>
  <c r="F1051" i="12"/>
  <c r="AF971" i="12"/>
  <c r="AF1006" i="12"/>
  <c r="AF980" i="11"/>
  <c r="AF945" i="11"/>
  <c r="F1025" i="11"/>
  <c r="W1053" i="12"/>
  <c r="AF1092" i="12" s="1"/>
  <c r="U1053" i="12"/>
  <c r="T1053" i="12"/>
  <c r="V1053" i="12"/>
  <c r="AF1091" i="12" s="1"/>
  <c r="R64" i="12"/>
  <c r="R947" i="11"/>
  <c r="B975" i="11" s="1"/>
  <c r="AD982" i="11"/>
  <c r="AS982" i="11" s="1"/>
  <c r="AD947" i="11"/>
  <c r="AS947" i="11" s="1"/>
  <c r="R1054" i="11"/>
  <c r="B989" i="15"/>
  <c r="B1017" i="15"/>
  <c r="R1017" i="15" s="1"/>
  <c r="AF1012" i="12"/>
  <c r="F1057" i="12"/>
  <c r="AF977" i="12"/>
  <c r="Q19" i="13"/>
  <c r="B914" i="12"/>
  <c r="I29" i="12"/>
  <c r="F30" i="12"/>
  <c r="F19" i="12"/>
  <c r="I19" i="12" s="1"/>
  <c r="E1063" i="13"/>
  <c r="AE983" i="13"/>
  <c r="AE1018" i="13"/>
  <c r="AD1004" i="12"/>
  <c r="AS1004" i="12" s="1"/>
  <c r="AD969" i="12"/>
  <c r="AS969" i="12" s="1"/>
  <c r="R969" i="12"/>
  <c r="B997" i="12" s="1"/>
  <c r="R1076" i="12"/>
  <c r="D993" i="13"/>
  <c r="B962" i="13"/>
  <c r="B990" i="13"/>
  <c r="AO959" i="13"/>
  <c r="AT959" i="13" s="1"/>
  <c r="AG990" i="11"/>
  <c r="C960" i="14"/>
  <c r="C967" i="14" s="1"/>
  <c r="M64" i="14"/>
  <c r="R64" i="14" s="1"/>
  <c r="J29" i="14"/>
  <c r="J65" i="14"/>
  <c r="B983" i="14"/>
  <c r="AO980" i="14"/>
  <c r="B1011" i="14"/>
  <c r="AN945" i="14"/>
  <c r="AG945" i="14"/>
  <c r="AI1138" i="14"/>
  <c r="AI1137" i="14"/>
  <c r="C948" i="11"/>
  <c r="C920" i="11"/>
  <c r="AP917" i="11"/>
  <c r="B929" i="13"/>
  <c r="J30" i="13"/>
  <c r="J19" i="13"/>
  <c r="M19" i="13" s="1"/>
  <c r="M29" i="13"/>
  <c r="R29" i="13" s="1"/>
  <c r="B953" i="13"/>
  <c r="AO950" i="13"/>
  <c r="AT950" i="13" s="1"/>
  <c r="B981" i="13"/>
  <c r="F998" i="11"/>
  <c r="S971" i="11"/>
  <c r="F1054" i="12"/>
  <c r="AF1009" i="12"/>
  <c r="AF974" i="12"/>
  <c r="AO988" i="14"/>
  <c r="AT988" i="14" s="1"/>
  <c r="B991" i="14"/>
  <c r="AN953" i="14"/>
  <c r="B1019" i="14"/>
  <c r="AG953" i="14"/>
  <c r="AH953" i="14" s="1"/>
  <c r="AJ953" i="14" s="1"/>
  <c r="AL953" i="14" s="1"/>
  <c r="AF986" i="11"/>
  <c r="F1031" i="11"/>
  <c r="AF951" i="11"/>
  <c r="E1015" i="13"/>
  <c r="E1042" i="13" s="1"/>
  <c r="E1069" i="13"/>
  <c r="AE1024" i="13"/>
  <c r="AE989" i="13"/>
  <c r="U1096" i="14"/>
  <c r="W1096" i="14"/>
  <c r="AF1135" i="14" s="1"/>
  <c r="V1096" i="14"/>
  <c r="AF1134" i="14" s="1"/>
  <c r="T1096" i="14"/>
  <c r="G1097" i="14"/>
  <c r="AG1052" i="14"/>
  <c r="AG1059" i="14" s="1"/>
  <c r="AG1017" i="14"/>
  <c r="AG1024" i="14" s="1"/>
  <c r="B911" i="12"/>
  <c r="B19" i="12"/>
  <c r="E19" i="12" s="1"/>
  <c r="R19" i="12" s="1"/>
  <c r="E29" i="12"/>
  <c r="R29" i="12" s="1"/>
  <c r="B30" i="12"/>
  <c r="E1064" i="13"/>
  <c r="AE1019" i="13"/>
  <c r="AE984" i="13"/>
  <c r="B959" i="15"/>
  <c r="M29" i="15"/>
  <c r="J30" i="15"/>
  <c r="J19" i="15"/>
  <c r="M19" i="15" s="1"/>
  <c r="AQ924" i="11"/>
  <c r="W1024" i="11"/>
  <c r="AF1057" i="11" s="1"/>
  <c r="U1024" i="11"/>
  <c r="V1024" i="11"/>
  <c r="AF1056" i="11" s="1"/>
  <c r="T1024" i="11"/>
  <c r="B984" i="13"/>
  <c r="B956" i="13"/>
  <c r="AO953" i="13"/>
  <c r="AT953" i="13" s="1"/>
  <c r="E29" i="11"/>
  <c r="B885" i="11"/>
  <c r="B30" i="11"/>
  <c r="B19" i="11"/>
  <c r="E19" i="11" s="1"/>
  <c r="R19" i="11" s="1"/>
  <c r="I19" i="13"/>
  <c r="R19" i="13" s="1"/>
  <c r="E1099" i="14"/>
  <c r="AE1019" i="14"/>
  <c r="AE1054" i="14"/>
  <c r="F1048" i="12"/>
  <c r="AF1003" i="12"/>
  <c r="AF1016" i="12" s="1"/>
  <c r="D981" i="12"/>
  <c r="AF968" i="12"/>
  <c r="AF981" i="12" s="1"/>
  <c r="C986" i="13"/>
  <c r="AP955" i="13"/>
  <c r="AP962" i="13" s="1"/>
  <c r="C958" i="13"/>
  <c r="M1010" i="13"/>
  <c r="D1037" i="13"/>
  <c r="F1010" i="13"/>
  <c r="C1019" i="15"/>
  <c r="C991" i="15"/>
  <c r="M998" i="11"/>
  <c r="O971" i="11"/>
  <c r="E1065" i="13"/>
  <c r="AE1020" i="13"/>
  <c r="AE985" i="13"/>
  <c r="AT1033" i="11"/>
  <c r="AU1033" i="11" s="1"/>
  <c r="AT1041" i="11"/>
  <c r="AU1041" i="11" s="1"/>
  <c r="AT1034" i="11"/>
  <c r="AU1034" i="11" s="1"/>
  <c r="AT1039" i="11"/>
  <c r="AU1039" i="11" s="1"/>
  <c r="AT1044" i="11"/>
  <c r="AU1044" i="11" s="1"/>
  <c r="AT1024" i="11"/>
  <c r="AU1024" i="11" s="1"/>
  <c r="AT1028" i="11"/>
  <c r="AU1028" i="11" s="1"/>
  <c r="AT1037" i="11"/>
  <c r="AU1037" i="11" s="1"/>
  <c r="AT1029" i="11"/>
  <c r="AU1029" i="11" s="1"/>
  <c r="AT1043" i="11"/>
  <c r="AU1043" i="11" s="1"/>
  <c r="AT1032" i="11"/>
  <c r="AU1032" i="11" s="1"/>
  <c r="AT1036" i="11"/>
  <c r="AU1036" i="11" s="1"/>
  <c r="AT1045" i="11"/>
  <c r="AU1045" i="11" s="1"/>
  <c r="AT1025" i="11"/>
  <c r="AU1025" i="11" s="1"/>
  <c r="AT1030" i="11"/>
  <c r="AU1030" i="11" s="1"/>
  <c r="AT1040" i="11"/>
  <c r="AU1040" i="11" s="1"/>
  <c r="AT1026" i="11"/>
  <c r="AU1026" i="11" s="1"/>
  <c r="AT1035" i="11"/>
  <c r="AU1035" i="11" s="1"/>
  <c r="AT1038" i="11"/>
  <c r="AU1038" i="11" s="1"/>
  <c r="AT1031" i="11"/>
  <c r="AU1031" i="11" s="1"/>
  <c r="AT1023" i="11"/>
  <c r="AU1023" i="11" s="1"/>
  <c r="AT1027" i="11"/>
  <c r="AU1027" i="11" s="1"/>
  <c r="AT1042" i="11"/>
  <c r="AU1042" i="11" s="1"/>
  <c r="W1033" i="11"/>
  <c r="AF1084" i="11" s="1"/>
  <c r="U1033" i="11"/>
  <c r="V1033" i="11"/>
  <c r="AF1083" i="11" s="1"/>
  <c r="T1033" i="11"/>
  <c r="B985" i="13"/>
  <c r="AO954" i="13"/>
  <c r="AT954" i="13" s="1"/>
  <c r="B957" i="13"/>
  <c r="B1001" i="11"/>
  <c r="E974" i="11"/>
  <c r="E1001" i="11" s="1"/>
  <c r="C974" i="11"/>
  <c r="C1001" i="11" s="1"/>
  <c r="AF977" i="11"/>
  <c r="AF990" i="11" s="1"/>
  <c r="F1022" i="11"/>
  <c r="D955" i="11"/>
  <c r="AF942" i="11"/>
  <c r="AF955" i="11" s="1"/>
  <c r="AO958" i="13"/>
  <c r="AT958" i="13" s="1"/>
  <c r="B961" i="13"/>
  <c r="B989" i="13"/>
  <c r="E29" i="9"/>
  <c r="B803" i="9"/>
  <c r="B30" i="9"/>
  <c r="B19" i="9"/>
  <c r="AD912" i="6"/>
  <c r="AS912" i="6" s="1"/>
  <c r="R912" i="6"/>
  <c r="B940" i="6" s="1"/>
  <c r="AD947" i="6"/>
  <c r="AS947" i="6" s="1"/>
  <c r="R1019" i="6"/>
  <c r="F923" i="7"/>
  <c r="AD903" i="8"/>
  <c r="AS903" i="8" s="1"/>
  <c r="R868" i="8"/>
  <c r="B896" i="8" s="1"/>
  <c r="AD868" i="8"/>
  <c r="AS868" i="8" s="1"/>
  <c r="D896" i="8" s="1"/>
  <c r="R975" i="8"/>
  <c r="AE899" i="7"/>
  <c r="E979" i="7"/>
  <c r="AE934" i="7"/>
  <c r="AD906" i="8"/>
  <c r="AS906" i="8" s="1"/>
  <c r="AD871" i="8"/>
  <c r="AS871" i="8" s="1"/>
  <c r="D899" i="8" s="1"/>
  <c r="R871" i="8"/>
  <c r="B899" i="8" s="1"/>
  <c r="R978" i="8"/>
  <c r="B914" i="10"/>
  <c r="J804" i="10"/>
  <c r="N883" i="10"/>
  <c r="N896" i="10" s="1"/>
  <c r="C831" i="10"/>
  <c r="C855" i="10"/>
  <c r="C786" i="10"/>
  <c r="R875" i="8"/>
  <c r="B903" i="8" s="1"/>
  <c r="AD910" i="8"/>
  <c r="AS910" i="8" s="1"/>
  <c r="AD875" i="8"/>
  <c r="AS875" i="8" s="1"/>
  <c r="D903" i="8" s="1"/>
  <c r="R982" i="8"/>
  <c r="B874" i="8"/>
  <c r="AO843" i="8"/>
  <c r="AT843" i="8" s="1"/>
  <c r="B846" i="8"/>
  <c r="AG808" i="8"/>
  <c r="AH808" i="8" s="1"/>
  <c r="AJ808" i="8" s="1"/>
  <c r="AL808" i="8" s="1"/>
  <c r="AN808" i="8"/>
  <c r="E994" i="6"/>
  <c r="AE949" i="6"/>
  <c r="AE914" i="6"/>
  <c r="T948" i="8"/>
  <c r="U948" i="8"/>
  <c r="E991" i="6"/>
  <c r="AE946" i="6"/>
  <c r="AE911" i="6"/>
  <c r="AD869" i="8"/>
  <c r="AS869" i="8" s="1"/>
  <c r="D897" i="8" s="1"/>
  <c r="AD904" i="8"/>
  <c r="AS904" i="8" s="1"/>
  <c r="R869" i="8"/>
  <c r="B897" i="8" s="1"/>
  <c r="R976" i="8"/>
  <c r="B910" i="10"/>
  <c r="J800" i="10"/>
  <c r="B974" i="6"/>
  <c r="C947" i="6"/>
  <c r="C974" i="6" s="1"/>
  <c r="B955" i="7"/>
  <c r="C928" i="7"/>
  <c r="C955" i="7" s="1"/>
  <c r="E978" i="7"/>
  <c r="AE933" i="7"/>
  <c r="AE898" i="7"/>
  <c r="B862" i="10"/>
  <c r="R862" i="10" s="1"/>
  <c r="B838" i="10"/>
  <c r="E805" i="10"/>
  <c r="F805" i="10" s="1"/>
  <c r="H805" i="10" s="1"/>
  <c r="M890" i="10"/>
  <c r="R890" i="10" s="1"/>
  <c r="L805" i="10"/>
  <c r="T780" i="10"/>
  <c r="E977" i="7"/>
  <c r="AE897" i="7"/>
  <c r="AE932" i="7"/>
  <c r="B882" i="6"/>
  <c r="AG844" i="6"/>
  <c r="AH844" i="6" s="1"/>
  <c r="AL844" i="6" s="1"/>
  <c r="AO879" i="6"/>
  <c r="AT879" i="6" s="1"/>
  <c r="B910" i="6"/>
  <c r="AN844" i="6"/>
  <c r="D947" i="6"/>
  <c r="AU919" i="6"/>
  <c r="T939" i="9"/>
  <c r="S939" i="9"/>
  <c r="AF911" i="8"/>
  <c r="AF876" i="8"/>
  <c r="F956" i="8"/>
  <c r="C858" i="9"/>
  <c r="AP838" i="9"/>
  <c r="C832" i="9"/>
  <c r="C816" i="9"/>
  <c r="AE951" i="6"/>
  <c r="E996" i="6"/>
  <c r="AE916" i="6"/>
  <c r="B878" i="8"/>
  <c r="AN812" i="8"/>
  <c r="B850" i="8"/>
  <c r="AO847" i="8"/>
  <c r="AT847" i="8" s="1"/>
  <c r="AG812" i="8"/>
  <c r="AH812" i="8" s="1"/>
  <c r="AJ812" i="8" s="1"/>
  <c r="AL812" i="8" s="1"/>
  <c r="AO841" i="9"/>
  <c r="AT841" i="9" s="1"/>
  <c r="B835" i="9"/>
  <c r="AG806" i="9"/>
  <c r="AH806" i="9" s="1"/>
  <c r="AJ806" i="9" s="1"/>
  <c r="B861" i="9"/>
  <c r="AN806" i="9"/>
  <c r="T943" i="9"/>
  <c r="S943" i="9"/>
  <c r="B888" i="6"/>
  <c r="B916" i="6"/>
  <c r="AG850" i="6"/>
  <c r="AH850" i="6" s="1"/>
  <c r="AJ850" i="6" s="1"/>
  <c r="AL850" i="6" s="1"/>
  <c r="AN850" i="6"/>
  <c r="AO885" i="6"/>
  <c r="AT885" i="6" s="1"/>
  <c r="E988" i="6"/>
  <c r="C921" i="6"/>
  <c r="AE908" i="6"/>
  <c r="AE943" i="6"/>
  <c r="AE936" i="7"/>
  <c r="E981" i="7"/>
  <c r="AE901" i="7"/>
  <c r="B865" i="9"/>
  <c r="B839" i="9"/>
  <c r="AN810" i="9"/>
  <c r="AO845" i="9"/>
  <c r="AT845" i="9" s="1"/>
  <c r="AG810" i="9"/>
  <c r="AH810" i="9" s="1"/>
  <c r="AJ810" i="9" s="1"/>
  <c r="R894" i="7"/>
  <c r="B922" i="7" s="1"/>
  <c r="AD929" i="7"/>
  <c r="AS929" i="7" s="1"/>
  <c r="AD894" i="7"/>
  <c r="AS894" i="7" s="1"/>
  <c r="D922" i="7" s="1"/>
  <c r="R1001" i="7"/>
  <c r="E998" i="6"/>
  <c r="AE953" i="6"/>
  <c r="AE918" i="6"/>
  <c r="AG852" i="6"/>
  <c r="AH852" i="6" s="1"/>
  <c r="AJ852" i="6" s="1"/>
  <c r="AL852" i="6" s="1"/>
  <c r="B890" i="6"/>
  <c r="AN852" i="6"/>
  <c r="B918" i="6"/>
  <c r="AO887" i="6"/>
  <c r="AT887" i="6" s="1"/>
  <c r="D955" i="7"/>
  <c r="F953" i="8"/>
  <c r="AF908" i="8"/>
  <c r="AF873" i="8"/>
  <c r="B908" i="6"/>
  <c r="B864" i="6"/>
  <c r="AG842" i="6"/>
  <c r="B880" i="6"/>
  <c r="AO877" i="6"/>
  <c r="AN842" i="6"/>
  <c r="D868" i="10"/>
  <c r="T947" i="9"/>
  <c r="S947" i="9"/>
  <c r="AE913" i="8"/>
  <c r="AE878" i="8"/>
  <c r="E958" i="8"/>
  <c r="B964" i="6"/>
  <c r="C937" i="6"/>
  <c r="C964" i="6" s="1"/>
  <c r="AN845" i="6"/>
  <c r="B911" i="6"/>
  <c r="B883" i="6"/>
  <c r="AO880" i="6"/>
  <c r="AT880" i="6" s="1"/>
  <c r="AG845" i="6"/>
  <c r="AH845" i="6" s="1"/>
  <c r="AJ845" i="6" s="1"/>
  <c r="AL845" i="6" s="1"/>
  <c r="B819" i="8"/>
  <c r="N30" i="8"/>
  <c r="Q29" i="8"/>
  <c r="N19" i="8"/>
  <c r="C896" i="7"/>
  <c r="C868" i="7"/>
  <c r="AP865" i="7"/>
  <c r="AL807" i="9"/>
  <c r="B890" i="9"/>
  <c r="AG806" i="8"/>
  <c r="AH806" i="8" s="1"/>
  <c r="AJ806" i="8" s="1"/>
  <c r="AL806" i="8" s="1"/>
  <c r="B872" i="8"/>
  <c r="AN806" i="8"/>
  <c r="B844" i="8"/>
  <c r="AO841" i="8"/>
  <c r="AT841" i="8" s="1"/>
  <c r="B833" i="7"/>
  <c r="E29" i="7"/>
  <c r="B30" i="7"/>
  <c r="B19" i="7"/>
  <c r="E19" i="7" s="1"/>
  <c r="B805" i="9"/>
  <c r="D30" i="9"/>
  <c r="D19" i="9"/>
  <c r="B901" i="7"/>
  <c r="AO870" i="7"/>
  <c r="AT870" i="7" s="1"/>
  <c r="AN835" i="7"/>
  <c r="B873" i="7"/>
  <c r="AG835" i="7"/>
  <c r="AH835" i="7" s="1"/>
  <c r="AJ835" i="7" s="1"/>
  <c r="AL835" i="7" s="1"/>
  <c r="B813" i="8"/>
  <c r="I29" i="8"/>
  <c r="F30" i="8"/>
  <c r="F19" i="8"/>
  <c r="I19" i="8" s="1"/>
  <c r="B810" i="8"/>
  <c r="B19" i="8"/>
  <c r="E19" i="8" s="1"/>
  <c r="E29" i="8"/>
  <c r="B30" i="8"/>
  <c r="B891" i="7"/>
  <c r="AG825" i="7"/>
  <c r="AH825" i="7" s="1"/>
  <c r="AJ825" i="7" s="1"/>
  <c r="AL825" i="7" s="1"/>
  <c r="B863" i="7"/>
  <c r="AO860" i="7"/>
  <c r="AT860" i="7" s="1"/>
  <c r="AN825" i="7"/>
  <c r="AO868" i="7"/>
  <c r="AT868" i="7" s="1"/>
  <c r="B899" i="7"/>
  <c r="B871" i="7"/>
  <c r="AN833" i="7"/>
  <c r="AG833" i="7"/>
  <c r="AH833" i="7" s="1"/>
  <c r="AJ833" i="7" s="1"/>
  <c r="AL833" i="7" s="1"/>
  <c r="B809" i="9"/>
  <c r="M29" i="9"/>
  <c r="J19" i="9"/>
  <c r="M19" i="9" s="1"/>
  <c r="J30" i="9"/>
  <c r="C905" i="8"/>
  <c r="C932" i="8" s="1"/>
  <c r="B932" i="8"/>
  <c r="AG915" i="8"/>
  <c r="B894" i="9"/>
  <c r="AL811" i="9"/>
  <c r="E997" i="6"/>
  <c r="AE952" i="6"/>
  <c r="AE917" i="6"/>
  <c r="B776" i="10"/>
  <c r="F31" i="10"/>
  <c r="F20" i="10"/>
  <c r="I20" i="10" s="1"/>
  <c r="I30" i="10"/>
  <c r="AG938" i="7"/>
  <c r="B945" i="10"/>
  <c r="D918" i="10"/>
  <c r="C918" i="10"/>
  <c r="C945" i="10" s="1"/>
  <c r="F947" i="8"/>
  <c r="AF902" i="8"/>
  <c r="D880" i="8"/>
  <c r="AF867" i="8"/>
  <c r="D937" i="6"/>
  <c r="AU909" i="6"/>
  <c r="AE928" i="7"/>
  <c r="E973" i="7"/>
  <c r="AE893" i="7"/>
  <c r="F968" i="6"/>
  <c r="S941" i="6"/>
  <c r="E952" i="8"/>
  <c r="AE872" i="8"/>
  <c r="AE907" i="8"/>
  <c r="S949" i="9"/>
  <c r="T949" i="9"/>
  <c r="C848" i="8"/>
  <c r="C876" i="8"/>
  <c r="AP845" i="8"/>
  <c r="D970" i="6"/>
  <c r="F943" i="6"/>
  <c r="AS994" i="7"/>
  <c r="AT970" i="7" s="1"/>
  <c r="AE970" i="8"/>
  <c r="AS970" i="8" s="1"/>
  <c r="AE968" i="8"/>
  <c r="AS968" i="8" s="1"/>
  <c r="AE963" i="8"/>
  <c r="AS963" i="8" s="1"/>
  <c r="AE961" i="8"/>
  <c r="AS961" i="8" s="1"/>
  <c r="AE959" i="8"/>
  <c r="AS959" i="8" s="1"/>
  <c r="AE954" i="8"/>
  <c r="AS954" i="8" s="1"/>
  <c r="AE964" i="8"/>
  <c r="AS964" i="8" s="1"/>
  <c r="AE957" i="8"/>
  <c r="AS957" i="8" s="1"/>
  <c r="AE969" i="8"/>
  <c r="AS969" i="8" s="1"/>
  <c r="AE962" i="8"/>
  <c r="AS962" i="8" s="1"/>
  <c r="AE960" i="8"/>
  <c r="AS960" i="8" s="1"/>
  <c r="AE958" i="8"/>
  <c r="AS958" i="8" s="1"/>
  <c r="AE965" i="8"/>
  <c r="AS965" i="8" s="1"/>
  <c r="AE951" i="8"/>
  <c r="AS951" i="8" s="1"/>
  <c r="AE950" i="8"/>
  <c r="AS950" i="8" s="1"/>
  <c r="AE967" i="8"/>
  <c r="AS967" i="8" s="1"/>
  <c r="AE966" i="8"/>
  <c r="AS966" i="8" s="1"/>
  <c r="AE955" i="8"/>
  <c r="AS955" i="8" s="1"/>
  <c r="AE947" i="8"/>
  <c r="AE956" i="8"/>
  <c r="AS956" i="8" s="1"/>
  <c r="AE948" i="8"/>
  <c r="AS948" i="8" s="1"/>
  <c r="AE953" i="8"/>
  <c r="AS953" i="8" s="1"/>
  <c r="AE949" i="8"/>
  <c r="AS949" i="8" s="1"/>
  <c r="AE952" i="8"/>
  <c r="AS952" i="8" s="1"/>
  <c r="T949" i="8"/>
  <c r="U949" i="8"/>
  <c r="AE891" i="7"/>
  <c r="E971" i="7"/>
  <c r="AE926" i="7"/>
  <c r="R862" i="9"/>
  <c r="O969" i="9"/>
  <c r="B782" i="10"/>
  <c r="N20" i="10"/>
  <c r="Q20" i="10" s="1"/>
  <c r="Q30" i="10"/>
  <c r="N31" i="10"/>
  <c r="AQ849" i="8"/>
  <c r="C873" i="8"/>
  <c r="C845" i="8"/>
  <c r="AP842" i="8"/>
  <c r="B886" i="6"/>
  <c r="AO883" i="6"/>
  <c r="AT883" i="6" s="1"/>
  <c r="AG848" i="6"/>
  <c r="AH848" i="6" s="1"/>
  <c r="AJ848" i="6" s="1"/>
  <c r="AL848" i="6" s="1"/>
  <c r="AN848" i="6"/>
  <c r="B914" i="6"/>
  <c r="B912" i="10"/>
  <c r="J802" i="10"/>
  <c r="Q19" i="6"/>
  <c r="C834" i="9"/>
  <c r="AP840" i="9"/>
  <c r="C860" i="9"/>
  <c r="D940" i="9" s="1"/>
  <c r="D923" i="9"/>
  <c r="F896" i="9"/>
  <c r="S945" i="9"/>
  <c r="T945" i="9"/>
  <c r="B893" i="7"/>
  <c r="AO862" i="7"/>
  <c r="AT862" i="7" s="1"/>
  <c r="AG827" i="7"/>
  <c r="AH827" i="7" s="1"/>
  <c r="AJ827" i="7" s="1"/>
  <c r="AL827" i="7" s="1"/>
  <c r="AN827" i="7"/>
  <c r="B865" i="7"/>
  <c r="R64" i="8"/>
  <c r="F976" i="7"/>
  <c r="AF931" i="7"/>
  <c r="AF896" i="7"/>
  <c r="F920" i="7"/>
  <c r="AO843" i="9"/>
  <c r="AT843" i="9" s="1"/>
  <c r="B837" i="9"/>
  <c r="B863" i="9"/>
  <c r="AG808" i="9"/>
  <c r="AH808" i="9" s="1"/>
  <c r="AJ808" i="9" s="1"/>
  <c r="AN808" i="9"/>
  <c r="AN814" i="9"/>
  <c r="AO849" i="9"/>
  <c r="AT849" i="9" s="1"/>
  <c r="AG814" i="9"/>
  <c r="AH814" i="9" s="1"/>
  <c r="AJ814" i="9" s="1"/>
  <c r="B869" i="9"/>
  <c r="B843" i="9"/>
  <c r="Q19" i="7"/>
  <c r="C864" i="9"/>
  <c r="D944" i="9" s="1"/>
  <c r="AP844" i="9"/>
  <c r="C838" i="9"/>
  <c r="D932" i="8"/>
  <c r="R866" i="9"/>
  <c r="O973" i="9"/>
  <c r="T951" i="8"/>
  <c r="U951" i="8"/>
  <c r="D871" i="9"/>
  <c r="E938" i="9"/>
  <c r="F970" i="7"/>
  <c r="AF890" i="7"/>
  <c r="AF925" i="7"/>
  <c r="AF938" i="7" s="1"/>
  <c r="D903" i="7"/>
  <c r="O896" i="10"/>
  <c r="M888" i="10"/>
  <c r="R888" i="10" s="1"/>
  <c r="B836" i="10"/>
  <c r="E803" i="10"/>
  <c r="F803" i="10" s="1"/>
  <c r="H803" i="10" s="1"/>
  <c r="L803" i="10"/>
  <c r="T778" i="10"/>
  <c r="B860" i="10"/>
  <c r="R860" i="10" s="1"/>
  <c r="AF905" i="8"/>
  <c r="AF870" i="8"/>
  <c r="F950" i="8"/>
  <c r="B859" i="9"/>
  <c r="B833" i="9"/>
  <c r="AG804" i="9"/>
  <c r="AH804" i="9" s="1"/>
  <c r="AJ804" i="9" s="1"/>
  <c r="AO839" i="9"/>
  <c r="AT839" i="9" s="1"/>
  <c r="AN804" i="9"/>
  <c r="E954" i="8"/>
  <c r="AE909" i="8"/>
  <c r="AE874" i="8"/>
  <c r="AN851" i="6"/>
  <c r="AO886" i="6"/>
  <c r="AT886" i="6" s="1"/>
  <c r="B889" i="6"/>
  <c r="AG851" i="6"/>
  <c r="AH851" i="6" s="1"/>
  <c r="AJ851" i="6" s="1"/>
  <c r="AL851" i="6" s="1"/>
  <c r="B917" i="6"/>
  <c r="B816" i="8"/>
  <c r="J30" i="8"/>
  <c r="J19" i="8"/>
  <c r="M19" i="8" s="1"/>
  <c r="M29" i="8"/>
  <c r="B869" i="7"/>
  <c r="B897" i="7"/>
  <c r="AN831" i="7"/>
  <c r="AO866" i="7"/>
  <c r="AT866" i="7" s="1"/>
  <c r="AG831" i="7"/>
  <c r="AH831" i="7" s="1"/>
  <c r="AJ831" i="7" s="1"/>
  <c r="AL831" i="7" s="1"/>
  <c r="C890" i="7"/>
  <c r="C846" i="7"/>
  <c r="C862" i="7"/>
  <c r="AP859" i="7"/>
  <c r="B867" i="9"/>
  <c r="B841" i="9"/>
  <c r="AO847" i="9"/>
  <c r="AT847" i="9" s="1"/>
  <c r="AN812" i="9"/>
  <c r="AG812" i="9"/>
  <c r="AH812" i="9" s="1"/>
  <c r="AJ812" i="9" s="1"/>
  <c r="AP839" i="8"/>
  <c r="C870" i="8"/>
  <c r="C842" i="8"/>
  <c r="C839" i="8"/>
  <c r="C867" i="8"/>
  <c r="C823" i="8"/>
  <c r="AP836" i="8"/>
  <c r="S941" i="9"/>
  <c r="T941" i="9"/>
  <c r="T974" i="7"/>
  <c r="U974" i="7"/>
  <c r="E990" i="6"/>
  <c r="AE945" i="6"/>
  <c r="AE910" i="6"/>
  <c r="B839" i="7"/>
  <c r="M29" i="7"/>
  <c r="J19" i="7"/>
  <c r="M19" i="7" s="1"/>
  <c r="J30" i="7"/>
  <c r="AF921" i="6"/>
  <c r="C834" i="10"/>
  <c r="N886" i="10"/>
  <c r="C858" i="10"/>
  <c r="U992" i="6"/>
  <c r="T992" i="6"/>
  <c r="M19" i="6"/>
  <c r="B898" i="7"/>
  <c r="AG832" i="7"/>
  <c r="AH832" i="7" s="1"/>
  <c r="AJ832" i="7" s="1"/>
  <c r="AL832" i="7" s="1"/>
  <c r="B870" i="7"/>
  <c r="AN832" i="7"/>
  <c r="AO867" i="7"/>
  <c r="AT867" i="7" s="1"/>
  <c r="B773" i="10"/>
  <c r="E30" i="10"/>
  <c r="R30" i="10" s="1"/>
  <c r="B31" i="10"/>
  <c r="B20" i="10"/>
  <c r="E20" i="10" s="1"/>
  <c r="R20" i="10" s="1"/>
  <c r="B863" i="10"/>
  <c r="R863" i="10" s="1"/>
  <c r="E806" i="10"/>
  <c r="F806" i="10" s="1"/>
  <c r="H806" i="10" s="1"/>
  <c r="B839" i="10"/>
  <c r="M891" i="10"/>
  <c r="R891" i="10" s="1"/>
  <c r="L806" i="10"/>
  <c r="T781" i="10"/>
  <c r="AP890" i="6"/>
  <c r="B946" i="10"/>
  <c r="D919" i="10"/>
  <c r="E919" i="10"/>
  <c r="E946" i="10" s="1"/>
  <c r="C919" i="10"/>
  <c r="C946" i="10" s="1"/>
  <c r="AF1010" i="6"/>
  <c r="AF1003" i="6"/>
  <c r="AF1001" i="6"/>
  <c r="AF999" i="6"/>
  <c r="AF1008" i="6"/>
  <c r="AF1006" i="6"/>
  <c r="AF988" i="6"/>
  <c r="AF1011" i="6"/>
  <c r="AF1009" i="6"/>
  <c r="AF1004" i="6"/>
  <c r="AF1002" i="6"/>
  <c r="AF1000" i="6"/>
  <c r="AF995" i="6"/>
  <c r="AF1007" i="6"/>
  <c r="AF996" i="6"/>
  <c r="AF994" i="6"/>
  <c r="AF990" i="6"/>
  <c r="AF1005" i="6"/>
  <c r="AF997" i="6"/>
  <c r="AF993" i="6"/>
  <c r="AF991" i="6"/>
  <c r="AF998" i="6"/>
  <c r="AF989" i="6"/>
  <c r="AF992" i="6"/>
  <c r="AF956" i="6"/>
  <c r="T955" i="8"/>
  <c r="U955" i="8"/>
  <c r="C864" i="10"/>
  <c r="N892" i="10"/>
  <c r="C840" i="10"/>
  <c r="M884" i="10"/>
  <c r="R884" i="10" s="1"/>
  <c r="B832" i="10"/>
  <c r="E799" i="10"/>
  <c r="F799" i="10" s="1"/>
  <c r="H799" i="10" s="1"/>
  <c r="L799" i="10"/>
  <c r="B856" i="10"/>
  <c r="R856" i="10" s="1"/>
  <c r="T774" i="10"/>
  <c r="N874" i="5"/>
  <c r="N884" i="5" s="1"/>
  <c r="C846" i="5"/>
  <c r="C856" i="5" s="1"/>
  <c r="C822" i="5"/>
  <c r="C774" i="5"/>
  <c r="F786" i="5"/>
  <c r="B904" i="5"/>
  <c r="J793" i="5"/>
  <c r="M881" i="5"/>
  <c r="R881" i="5" s="1"/>
  <c r="B829" i="5"/>
  <c r="B853" i="5"/>
  <c r="R853" i="5" s="1"/>
  <c r="E796" i="5"/>
  <c r="F796" i="5" s="1"/>
  <c r="H796" i="5" s="1"/>
  <c r="L796" i="5"/>
  <c r="B899" i="5"/>
  <c r="J788" i="5"/>
  <c r="M879" i="5"/>
  <c r="R879" i="5" s="1"/>
  <c r="B851" i="5"/>
  <c r="R851" i="5" s="1"/>
  <c r="L794" i="5"/>
  <c r="B827" i="5"/>
  <c r="E794" i="5"/>
  <c r="F794" i="5" s="1"/>
  <c r="H794" i="5" s="1"/>
  <c r="R843" i="5"/>
  <c r="M877" i="5"/>
  <c r="R877" i="5" s="1"/>
  <c r="B849" i="5"/>
  <c r="R849" i="5" s="1"/>
  <c r="L792" i="5"/>
  <c r="B825" i="5"/>
  <c r="E792" i="5"/>
  <c r="F792" i="5" s="1"/>
  <c r="H792" i="5" s="1"/>
  <c r="M875" i="5"/>
  <c r="R875" i="5" s="1"/>
  <c r="B847" i="5"/>
  <c r="R847" i="5" s="1"/>
  <c r="L790" i="5"/>
  <c r="B823" i="5"/>
  <c r="E790" i="5"/>
  <c r="F790" i="5" s="1"/>
  <c r="H790" i="5" s="1"/>
  <c r="B908" i="5"/>
  <c r="J797" i="5"/>
  <c r="C898" i="5"/>
  <c r="D898" i="5"/>
  <c r="K898" i="5" s="1"/>
  <c r="B764" i="5"/>
  <c r="I30" i="5"/>
  <c r="R30" i="5" s="1"/>
  <c r="F31" i="5"/>
  <c r="F20" i="5"/>
  <c r="I20" i="5" s="1"/>
  <c r="R20" i="5" s="1"/>
  <c r="Q20" i="5"/>
  <c r="B902" i="5"/>
  <c r="J791" i="5"/>
  <c r="R871" i="5"/>
  <c r="B828" i="5"/>
  <c r="B852" i="5"/>
  <c r="R852" i="5" s="1"/>
  <c r="M880" i="5"/>
  <c r="R880" i="5" s="1"/>
  <c r="E795" i="5"/>
  <c r="F795" i="5" s="1"/>
  <c r="H795" i="5" s="1"/>
  <c r="L795" i="5"/>
  <c r="M854" i="4"/>
  <c r="R854" i="4" s="1"/>
  <c r="B826" i="4"/>
  <c r="R826" i="4" s="1"/>
  <c r="L769" i="4"/>
  <c r="B802" i="4"/>
  <c r="E769" i="4"/>
  <c r="F769" i="4" s="1"/>
  <c r="H769" i="4" s="1"/>
  <c r="B877" i="4"/>
  <c r="J766" i="4"/>
  <c r="N860" i="4"/>
  <c r="C808" i="4"/>
  <c r="C832" i="4"/>
  <c r="B739" i="4"/>
  <c r="B22" i="4"/>
  <c r="E22" i="4" s="1"/>
  <c r="B33" i="4"/>
  <c r="E32" i="4"/>
  <c r="R32" i="4" s="1"/>
  <c r="D834" i="4"/>
  <c r="B831" i="4"/>
  <c r="R831" i="4" s="1"/>
  <c r="M859" i="4"/>
  <c r="R859" i="4" s="1"/>
  <c r="B807" i="4"/>
  <c r="L774" i="4"/>
  <c r="E774" i="4"/>
  <c r="F774" i="4" s="1"/>
  <c r="H774" i="4" s="1"/>
  <c r="R67" i="4"/>
  <c r="B745" i="4"/>
  <c r="J22" i="4"/>
  <c r="M22" i="4" s="1"/>
  <c r="J33" i="4"/>
  <c r="M32" i="4"/>
  <c r="N852" i="4"/>
  <c r="C824" i="4"/>
  <c r="C800" i="4"/>
  <c r="J773" i="4"/>
  <c r="B884" i="4"/>
  <c r="B883" i="4"/>
  <c r="J772" i="4"/>
  <c r="C821" i="4"/>
  <c r="N849" i="4"/>
  <c r="C752" i="4"/>
  <c r="C797" i="4"/>
  <c r="B750" i="4"/>
  <c r="P33" i="4"/>
  <c r="P22" i="4"/>
  <c r="Q22" i="4" s="1"/>
  <c r="D876" i="4"/>
  <c r="C876" i="4"/>
  <c r="L876" i="4" s="1"/>
  <c r="O862" i="4"/>
  <c r="B742" i="4"/>
  <c r="I32" i="4"/>
  <c r="F33" i="4"/>
  <c r="F22" i="4"/>
  <c r="I22" i="4" s="1"/>
  <c r="B882" i="4"/>
  <c r="J771" i="4"/>
  <c r="M853" i="4"/>
  <c r="R853" i="4" s="1"/>
  <c r="B801" i="4"/>
  <c r="L768" i="4"/>
  <c r="E768" i="4"/>
  <c r="F768" i="4" s="1"/>
  <c r="H768" i="4" s="1"/>
  <c r="B825" i="4"/>
  <c r="R825" i="4" s="1"/>
  <c r="C827" i="4"/>
  <c r="N855" i="4"/>
  <c r="C803" i="4"/>
  <c r="B744" i="3"/>
  <c r="F32" i="3"/>
  <c r="F22" i="3"/>
  <c r="I22" i="3" s="1"/>
  <c r="I31" i="3"/>
  <c r="B884" i="3"/>
  <c r="J773" i="3"/>
  <c r="D878" i="3"/>
  <c r="C878" i="3"/>
  <c r="L878" i="3" s="1"/>
  <c r="B747" i="3"/>
  <c r="M31" i="3"/>
  <c r="J22" i="3"/>
  <c r="M22" i="3" s="1"/>
  <c r="J32" i="3"/>
  <c r="D836" i="3"/>
  <c r="R66" i="3"/>
  <c r="C823" i="3"/>
  <c r="N851" i="3"/>
  <c r="N864" i="3" s="1"/>
  <c r="C754" i="3"/>
  <c r="C799" i="3"/>
  <c r="B887" i="3"/>
  <c r="J776" i="3"/>
  <c r="C826" i="3"/>
  <c r="C802" i="3"/>
  <c r="N854" i="3"/>
  <c r="O864" i="3"/>
  <c r="B834" i="3"/>
  <c r="R834" i="3" s="1"/>
  <c r="E777" i="3"/>
  <c r="F777" i="3" s="1"/>
  <c r="H777" i="3" s="1"/>
  <c r="L777" i="3"/>
  <c r="M862" i="3"/>
  <c r="R862" i="3" s="1"/>
  <c r="B810" i="3"/>
  <c r="N857" i="3"/>
  <c r="C805" i="3"/>
  <c r="C829" i="3"/>
  <c r="N885" i="3"/>
  <c r="O885" i="3" s="1"/>
  <c r="G922" i="3" s="1"/>
  <c r="B825" i="3"/>
  <c r="R825" i="3" s="1"/>
  <c r="E768" i="3"/>
  <c r="F768" i="3" s="1"/>
  <c r="H768" i="3" s="1"/>
  <c r="M853" i="3"/>
  <c r="R853" i="3" s="1"/>
  <c r="B801" i="3"/>
  <c r="L768" i="3"/>
  <c r="D886" i="3"/>
  <c r="C886" i="3"/>
  <c r="B741" i="3"/>
  <c r="E31" i="3"/>
  <c r="R31" i="3" s="1"/>
  <c r="B32" i="3"/>
  <c r="B22" i="3"/>
  <c r="E22" i="3" s="1"/>
  <c r="R22" i="3" s="1"/>
  <c r="B827" i="3"/>
  <c r="R827" i="3" s="1"/>
  <c r="E770" i="3"/>
  <c r="F770" i="3" s="1"/>
  <c r="H770" i="3" s="1"/>
  <c r="B803" i="3"/>
  <c r="L770" i="3"/>
  <c r="M855" i="3"/>
  <c r="R855" i="3" s="1"/>
  <c r="B828" i="3"/>
  <c r="R828" i="3" s="1"/>
  <c r="M856" i="3"/>
  <c r="R856" i="3" s="1"/>
  <c r="L771" i="3"/>
  <c r="B804" i="3"/>
  <c r="E771" i="3"/>
  <c r="F771" i="3" s="1"/>
  <c r="H771" i="3" s="1"/>
  <c r="E936" i="2"/>
  <c r="C936" i="2"/>
  <c r="R840" i="2"/>
  <c r="N874" i="2"/>
  <c r="C846" i="2"/>
  <c r="C822" i="2"/>
  <c r="R868" i="2"/>
  <c r="B848" i="2"/>
  <c r="R848" i="2" s="1"/>
  <c r="M876" i="2"/>
  <c r="R876" i="2" s="1"/>
  <c r="B824" i="2"/>
  <c r="E791" i="2"/>
  <c r="F791" i="2" s="1"/>
  <c r="H791" i="2" s="1"/>
  <c r="L791" i="2"/>
  <c r="B767" i="2"/>
  <c r="N22" i="2"/>
  <c r="Q22" i="2" s="1"/>
  <c r="N33" i="2"/>
  <c r="Q32" i="2"/>
  <c r="L905" i="2"/>
  <c r="O905" i="2" s="1"/>
  <c r="G942" i="2" s="1"/>
  <c r="B850" i="2"/>
  <c r="R850" i="2" s="1"/>
  <c r="M878" i="2"/>
  <c r="R878" i="2" s="1"/>
  <c r="B826" i="2"/>
  <c r="E793" i="2"/>
  <c r="F793" i="2" s="1"/>
  <c r="H793" i="2" s="1"/>
  <c r="L793" i="2"/>
  <c r="B841" i="2"/>
  <c r="R841" i="2" s="1"/>
  <c r="M869" i="2"/>
  <c r="R869" i="2" s="1"/>
  <c r="L784" i="2"/>
  <c r="B817" i="2"/>
  <c r="E784" i="2"/>
  <c r="F784" i="2" s="1"/>
  <c r="H784" i="2" s="1"/>
  <c r="B761" i="2"/>
  <c r="F33" i="2"/>
  <c r="F22" i="2"/>
  <c r="I22" i="2" s="1"/>
  <c r="R22" i="2" s="1"/>
  <c r="I32" i="2"/>
  <c r="R32" i="2" s="1"/>
  <c r="F783" i="2"/>
  <c r="B844" i="2"/>
  <c r="R844" i="2" s="1"/>
  <c r="M872" i="2"/>
  <c r="R872" i="2" s="1"/>
  <c r="L787" i="2"/>
  <c r="B820" i="2"/>
  <c r="E787" i="2"/>
  <c r="F787" i="2" s="1"/>
  <c r="H787" i="2" s="1"/>
  <c r="M870" i="2"/>
  <c r="R870" i="2" s="1"/>
  <c r="L785" i="2"/>
  <c r="B842" i="2"/>
  <c r="R842" i="2" s="1"/>
  <c r="B818" i="2"/>
  <c r="E785" i="2"/>
  <c r="F785" i="2" s="1"/>
  <c r="H785" i="2" s="1"/>
  <c r="O881" i="2"/>
  <c r="B764" i="2"/>
  <c r="M32" i="2"/>
  <c r="J22" i="2"/>
  <c r="M22" i="2" s="1"/>
  <c r="J33" i="2"/>
  <c r="D853" i="2"/>
  <c r="C849" i="2"/>
  <c r="N877" i="2"/>
  <c r="C825" i="2"/>
  <c r="L899" i="2"/>
  <c r="B771" i="2"/>
  <c r="B847" i="2"/>
  <c r="R847" i="2" s="1"/>
  <c r="M875" i="2"/>
  <c r="R875" i="2" s="1"/>
  <c r="L790" i="2"/>
  <c r="B823" i="2"/>
  <c r="E790" i="2"/>
  <c r="F790" i="2" s="1"/>
  <c r="H790" i="2" s="1"/>
  <c r="N871" i="2"/>
  <c r="N881" i="2" s="1"/>
  <c r="C819" i="2"/>
  <c r="C843" i="2"/>
  <c r="C853" i="2" s="1"/>
  <c r="R19" i="6" l="1"/>
  <c r="R29" i="9"/>
  <c r="E1041" i="14"/>
  <c r="E1068" i="14" s="1"/>
  <c r="E1043" i="14"/>
  <c r="E1070" i="14" s="1"/>
  <c r="AF1084" i="13"/>
  <c r="AF1012" i="6"/>
  <c r="AT1046" i="11"/>
  <c r="AT994" i="7"/>
  <c r="AU970" i="7"/>
  <c r="AU994" i="7" s="1"/>
  <c r="D997" i="12"/>
  <c r="AU969" i="12"/>
  <c r="AE980" i="11"/>
  <c r="E1025" i="11"/>
  <c r="AE945" i="11"/>
  <c r="AX1023" i="11"/>
  <c r="V1065" i="13"/>
  <c r="AF1103" i="13" s="1"/>
  <c r="U1065" i="13"/>
  <c r="T1065" i="13"/>
  <c r="W1065" i="13"/>
  <c r="AF1104" i="13" s="1"/>
  <c r="E1028" i="11"/>
  <c r="AE983" i="11"/>
  <c r="AE948" i="11"/>
  <c r="AS980" i="13"/>
  <c r="AD1057" i="14"/>
  <c r="AS1057" i="14" s="1"/>
  <c r="R1022" i="14"/>
  <c r="B1050" i="14" s="1"/>
  <c r="AD1022" i="14"/>
  <c r="AS1022" i="14" s="1"/>
  <c r="R1129" i="14"/>
  <c r="O980" i="11"/>
  <c r="M1007" i="11"/>
  <c r="E1054" i="12"/>
  <c r="AE1009" i="12"/>
  <c r="AE974" i="12"/>
  <c r="AN882" i="11"/>
  <c r="B948" i="11"/>
  <c r="B920" i="11"/>
  <c r="AO917" i="11"/>
  <c r="AT917" i="11" s="1"/>
  <c r="AG882" i="11"/>
  <c r="AH882" i="11" s="1"/>
  <c r="AJ882" i="11" s="1"/>
  <c r="AL882" i="11" s="1"/>
  <c r="D978" i="11"/>
  <c r="AU950" i="11"/>
  <c r="T1070" i="13"/>
  <c r="U1070" i="13"/>
  <c r="W1070" i="13"/>
  <c r="AF1119" i="13" s="1"/>
  <c r="V1070" i="13"/>
  <c r="AF1118" i="13" s="1"/>
  <c r="AD984" i="11"/>
  <c r="AS984" i="11" s="1"/>
  <c r="AD949" i="11"/>
  <c r="AS949" i="11" s="1"/>
  <c r="R949" i="11"/>
  <c r="B977" i="11" s="1"/>
  <c r="R1056" i="11"/>
  <c r="AN905" i="12"/>
  <c r="B971" i="12"/>
  <c r="B943" i="12"/>
  <c r="AG905" i="12"/>
  <c r="AH905" i="12" s="1"/>
  <c r="AJ905" i="12" s="1"/>
  <c r="AL905" i="12" s="1"/>
  <c r="AO940" i="12"/>
  <c r="AT940" i="12" s="1"/>
  <c r="B1005" i="11"/>
  <c r="C978" i="11"/>
  <c r="C1005" i="11" s="1"/>
  <c r="E978" i="11"/>
  <c r="E1005" i="11" s="1"/>
  <c r="AD1024" i="13"/>
  <c r="AS1024" i="13" s="1"/>
  <c r="AD989" i="13"/>
  <c r="AS989" i="13" s="1"/>
  <c r="R989" i="13"/>
  <c r="B1017" i="13" s="1"/>
  <c r="R1096" i="13"/>
  <c r="AD1020" i="13"/>
  <c r="AS1020" i="13" s="1"/>
  <c r="AD985" i="13"/>
  <c r="AS985" i="13" s="1"/>
  <c r="R985" i="13"/>
  <c r="B1013" i="13" s="1"/>
  <c r="R1092" i="13"/>
  <c r="AX1031" i="11"/>
  <c r="O998" i="11"/>
  <c r="Q971" i="11"/>
  <c r="AW1038" i="11"/>
  <c r="AX1038" i="11" s="1"/>
  <c r="AW1030" i="11"/>
  <c r="AW1043" i="11"/>
  <c r="AW1034" i="11"/>
  <c r="AW1032" i="11"/>
  <c r="AW1045" i="11"/>
  <c r="AX1045" i="11" s="1"/>
  <c r="AW1036" i="11"/>
  <c r="AX1036" i="11" s="1"/>
  <c r="AW1023" i="11"/>
  <c r="AW1042" i="11"/>
  <c r="AX1042" i="11" s="1"/>
  <c r="AW1035" i="11"/>
  <c r="AW1025" i="11"/>
  <c r="AW1037" i="11"/>
  <c r="AW1022" i="11"/>
  <c r="AW1024" i="11"/>
  <c r="AX1024" i="11" s="1"/>
  <c r="AW1044" i="11"/>
  <c r="AX1044" i="11" s="1"/>
  <c r="AW1026" i="11"/>
  <c r="AW1039" i="11"/>
  <c r="AX1039" i="11" s="1"/>
  <c r="AW1027" i="11"/>
  <c r="AX1027" i="11" s="1"/>
  <c r="AW1029" i="11"/>
  <c r="AW1028" i="11"/>
  <c r="AW1031" i="11"/>
  <c r="AW1041" i="11"/>
  <c r="AX1041" i="11" s="1"/>
  <c r="AW1040" i="11"/>
  <c r="AW1033" i="11"/>
  <c r="W1099" i="14"/>
  <c r="AF1144" i="14" s="1"/>
  <c r="V1099" i="14"/>
  <c r="AF1143" i="14" s="1"/>
  <c r="T1099" i="14"/>
  <c r="U1099" i="14"/>
  <c r="B1002" i="11"/>
  <c r="E975" i="11"/>
  <c r="E1002" i="11" s="1"/>
  <c r="C975" i="11"/>
  <c r="C1002" i="11" s="1"/>
  <c r="AS1015" i="13"/>
  <c r="W1071" i="13"/>
  <c r="AF1122" i="13" s="1"/>
  <c r="U1071" i="13"/>
  <c r="T1071" i="13"/>
  <c r="V1071" i="13"/>
  <c r="AF1121" i="13" s="1"/>
  <c r="C1023" i="15"/>
  <c r="B946" i="12"/>
  <c r="AO943" i="12"/>
  <c r="AT943" i="12" s="1"/>
  <c r="AG908" i="12"/>
  <c r="AH908" i="12" s="1"/>
  <c r="AJ908" i="12" s="1"/>
  <c r="AL908" i="12" s="1"/>
  <c r="AN908" i="12"/>
  <c r="B974" i="12"/>
  <c r="AE977" i="11"/>
  <c r="AE942" i="11"/>
  <c r="AE955" i="11" s="1"/>
  <c r="E1022" i="11"/>
  <c r="C955" i="11"/>
  <c r="E981" i="11"/>
  <c r="E1008" i="11" s="1"/>
  <c r="C981" i="11"/>
  <c r="C1008" i="11" s="1"/>
  <c r="B1008" i="11"/>
  <c r="AD978" i="12"/>
  <c r="AS978" i="12" s="1"/>
  <c r="R978" i="12"/>
  <c r="B1006" i="12" s="1"/>
  <c r="AD1013" i="12"/>
  <c r="AS1013" i="12" s="1"/>
  <c r="R1085" i="12"/>
  <c r="E1048" i="12"/>
  <c r="C981" i="12"/>
  <c r="AE1003" i="12"/>
  <c r="AE968" i="12"/>
  <c r="AE981" i="12" s="1"/>
  <c r="C1007" i="12"/>
  <c r="C1034" i="12" s="1"/>
  <c r="B1034" i="12"/>
  <c r="C1040" i="14"/>
  <c r="C1067" i="14" s="1"/>
  <c r="B1067" i="14"/>
  <c r="AX1025" i="11"/>
  <c r="W1064" i="13"/>
  <c r="AF1101" i="13" s="1"/>
  <c r="U1064" i="13"/>
  <c r="V1064" i="13"/>
  <c r="AF1100" i="13" s="1"/>
  <c r="T1064" i="13"/>
  <c r="AD991" i="13"/>
  <c r="AS991" i="13" s="1"/>
  <c r="AD1026" i="13"/>
  <c r="AS1026" i="13" s="1"/>
  <c r="R991" i="13"/>
  <c r="B1019" i="13" s="1"/>
  <c r="R1098" i="13"/>
  <c r="AX1032" i="11"/>
  <c r="AX1034" i="11"/>
  <c r="E1066" i="13"/>
  <c r="AE1021" i="13"/>
  <c r="AE1028" i="13" s="1"/>
  <c r="AE986" i="13"/>
  <c r="AE993" i="13" s="1"/>
  <c r="B960" i="14"/>
  <c r="M29" i="14"/>
  <c r="R29" i="14" s="1"/>
  <c r="J30" i="14"/>
  <c r="J19" i="14"/>
  <c r="M19" i="14" s="1"/>
  <c r="R19" i="14" s="1"/>
  <c r="AD990" i="13"/>
  <c r="AS990" i="13" s="1"/>
  <c r="R990" i="13"/>
  <c r="B1018" i="13" s="1"/>
  <c r="AD1025" i="13"/>
  <c r="AS1025" i="13" s="1"/>
  <c r="R1097" i="13"/>
  <c r="AE986" i="11"/>
  <c r="E1031" i="11"/>
  <c r="AE951" i="11"/>
  <c r="B991" i="15"/>
  <c r="B1019" i="15"/>
  <c r="R1019" i="15" s="1"/>
  <c r="B951" i="11"/>
  <c r="AG885" i="11"/>
  <c r="AH885" i="11" s="1"/>
  <c r="AJ885" i="11" s="1"/>
  <c r="AL885" i="11" s="1"/>
  <c r="B923" i="11"/>
  <c r="AN885" i="11"/>
  <c r="AO920" i="11"/>
  <c r="AT920" i="11" s="1"/>
  <c r="M1015" i="13"/>
  <c r="B999" i="11"/>
  <c r="E972" i="11"/>
  <c r="E999" i="11" s="1"/>
  <c r="C972" i="11"/>
  <c r="C999" i="11" s="1"/>
  <c r="D981" i="11"/>
  <c r="AU953" i="11"/>
  <c r="AE1049" i="14"/>
  <c r="E1094" i="14"/>
  <c r="AE1014" i="14"/>
  <c r="AU1012" i="14"/>
  <c r="D1040" i="14"/>
  <c r="D975" i="11"/>
  <c r="AU947" i="11"/>
  <c r="AX1035" i="11"/>
  <c r="AX1043" i="11"/>
  <c r="AD1019" i="13"/>
  <c r="AS1019" i="13" s="1"/>
  <c r="AD984" i="13"/>
  <c r="AS984" i="13" s="1"/>
  <c r="R984" i="13"/>
  <c r="B1012" i="13" s="1"/>
  <c r="R1091" i="13"/>
  <c r="B968" i="12"/>
  <c r="B924" i="12"/>
  <c r="AG902" i="12"/>
  <c r="B940" i="12"/>
  <c r="AO937" i="12"/>
  <c r="AN902" i="12"/>
  <c r="T971" i="11"/>
  <c r="S998" i="11"/>
  <c r="U971" i="11"/>
  <c r="AH945" i="14"/>
  <c r="W1063" i="13"/>
  <c r="AF1098" i="13" s="1"/>
  <c r="U1063" i="13"/>
  <c r="V1063" i="13"/>
  <c r="AF1097" i="13" s="1"/>
  <c r="T1063" i="13"/>
  <c r="B1076" i="14"/>
  <c r="C1049" i="14"/>
  <c r="C1076" i="14" s="1"/>
  <c r="V1052" i="12"/>
  <c r="AF1088" i="12" s="1"/>
  <c r="T1052" i="12"/>
  <c r="U1052" i="12"/>
  <c r="W1052" i="12"/>
  <c r="AF1089" i="12" s="1"/>
  <c r="D1046" i="14"/>
  <c r="AU1018" i="14"/>
  <c r="F1015" i="13"/>
  <c r="AD983" i="13"/>
  <c r="AS983" i="13" s="1"/>
  <c r="AD1018" i="13"/>
  <c r="AS1018" i="13" s="1"/>
  <c r="R983" i="13"/>
  <c r="B1011" i="13" s="1"/>
  <c r="R1090" i="13"/>
  <c r="D972" i="11"/>
  <c r="AU944" i="11"/>
  <c r="B1075" i="14"/>
  <c r="C1048" i="14"/>
  <c r="C1075" i="14" s="1"/>
  <c r="AU979" i="12"/>
  <c r="D1007" i="12"/>
  <c r="AE1012" i="12"/>
  <c r="E1057" i="12"/>
  <c r="AE977" i="12"/>
  <c r="B1014" i="14"/>
  <c r="B986" i="14"/>
  <c r="AO983" i="14"/>
  <c r="AT983" i="14" s="1"/>
  <c r="AG948" i="14"/>
  <c r="AH948" i="14" s="1"/>
  <c r="AJ948" i="14" s="1"/>
  <c r="AL948" i="14" s="1"/>
  <c r="AN948" i="14"/>
  <c r="AX1022" i="11"/>
  <c r="AU1046" i="11"/>
  <c r="AX1026" i="11"/>
  <c r="AX1029" i="11"/>
  <c r="AX1033" i="11"/>
  <c r="B988" i="15"/>
  <c r="B1016" i="15"/>
  <c r="R1016" i="15" s="1"/>
  <c r="AD1054" i="14"/>
  <c r="AS1054" i="14" s="1"/>
  <c r="AD1019" i="14"/>
  <c r="AS1019" i="14" s="1"/>
  <c r="R1019" i="14"/>
  <c r="B1047" i="14" s="1"/>
  <c r="R1126" i="14"/>
  <c r="C1017" i="14"/>
  <c r="C989" i="14"/>
  <c r="AP986" i="14"/>
  <c r="AP993" i="14" s="1"/>
  <c r="C998" i="12"/>
  <c r="C1025" i="12" s="1"/>
  <c r="B1025" i="12"/>
  <c r="E998" i="12"/>
  <c r="E1025" i="12" s="1"/>
  <c r="AU1021" i="14"/>
  <c r="D1049" i="14"/>
  <c r="C1044" i="14"/>
  <c r="C1071" i="14" s="1"/>
  <c r="B1071" i="14"/>
  <c r="O1003" i="12"/>
  <c r="M1030" i="12"/>
  <c r="C1046" i="14"/>
  <c r="C1073" i="14" s="1"/>
  <c r="B1073" i="14"/>
  <c r="D1068" i="14"/>
  <c r="AE1083" i="13"/>
  <c r="AS1083" i="13" s="1"/>
  <c r="AE1081" i="13"/>
  <c r="AS1081" i="13" s="1"/>
  <c r="AE1076" i="13"/>
  <c r="AS1076" i="13" s="1"/>
  <c r="AE1074" i="13"/>
  <c r="AS1074" i="13" s="1"/>
  <c r="AE1072" i="13"/>
  <c r="AS1072" i="13" s="1"/>
  <c r="AE1070" i="13"/>
  <c r="AS1070" i="13" s="1"/>
  <c r="AE1068" i="13"/>
  <c r="AS1068" i="13" s="1"/>
  <c r="AE1079" i="13"/>
  <c r="AS1079" i="13" s="1"/>
  <c r="AE1066" i="13"/>
  <c r="AS1066" i="13" s="1"/>
  <c r="AE1077" i="13"/>
  <c r="AS1077" i="13" s="1"/>
  <c r="AE1064" i="13"/>
  <c r="AS1064" i="13" s="1"/>
  <c r="AE1062" i="13"/>
  <c r="AS1062" i="13" s="1"/>
  <c r="AE1060" i="13"/>
  <c r="AE1080" i="13"/>
  <c r="AS1080" i="13" s="1"/>
  <c r="AE1078" i="13"/>
  <c r="AS1078" i="13" s="1"/>
  <c r="AE1065" i="13"/>
  <c r="AS1065" i="13" s="1"/>
  <c r="AE1082" i="13"/>
  <c r="AS1082" i="13" s="1"/>
  <c r="AE1073" i="13"/>
  <c r="AS1073" i="13" s="1"/>
  <c r="AE1069" i="13"/>
  <c r="AS1069" i="13" s="1"/>
  <c r="AE1071" i="13"/>
  <c r="AS1071" i="13" s="1"/>
  <c r="AE1067" i="13"/>
  <c r="AS1067" i="13" s="1"/>
  <c r="AE1061" i="13"/>
  <c r="AS1061" i="13" s="1"/>
  <c r="AE1075" i="13"/>
  <c r="AS1075" i="13" s="1"/>
  <c r="AE1063" i="13"/>
  <c r="AS1063" i="13" s="1"/>
  <c r="T1061" i="13"/>
  <c r="V1061" i="13"/>
  <c r="AF1091" i="13" s="1"/>
  <c r="W1061" i="13"/>
  <c r="AF1092" i="13" s="1"/>
  <c r="U1061" i="13"/>
  <c r="AE1115" i="14"/>
  <c r="AS1091" i="14"/>
  <c r="F974" i="11"/>
  <c r="M974" i="11"/>
  <c r="D1001" i="11"/>
  <c r="D1048" i="14"/>
  <c r="AU1020" i="14"/>
  <c r="I19" i="15"/>
  <c r="R19" i="15"/>
  <c r="AX1040" i="11"/>
  <c r="AX1037" i="11"/>
  <c r="F1037" i="13"/>
  <c r="AG876" i="11"/>
  <c r="B914" i="11"/>
  <c r="AO911" i="11"/>
  <c r="AN876" i="11"/>
  <c r="B942" i="11"/>
  <c r="B898" i="11"/>
  <c r="B958" i="13"/>
  <c r="AO955" i="13"/>
  <c r="AT955" i="13" s="1"/>
  <c r="AT962" i="13" s="1"/>
  <c r="B986" i="13"/>
  <c r="AD1046" i="14"/>
  <c r="AD1011" i="14"/>
  <c r="R1011" i="14"/>
  <c r="R1118" i="14"/>
  <c r="B977" i="12"/>
  <c r="AN911" i="12"/>
  <c r="AO946" i="12"/>
  <c r="AT946" i="12" s="1"/>
  <c r="B949" i="12"/>
  <c r="AG911" i="12"/>
  <c r="AH911" i="12" s="1"/>
  <c r="AJ911" i="12" s="1"/>
  <c r="AL911" i="12" s="1"/>
  <c r="D998" i="12"/>
  <c r="AU970" i="12"/>
  <c r="B1031" i="12"/>
  <c r="E1004" i="12"/>
  <c r="E1031" i="12" s="1"/>
  <c r="C1004" i="12"/>
  <c r="C1031" i="12" s="1"/>
  <c r="C1001" i="12"/>
  <c r="C1028" i="12" s="1"/>
  <c r="B1028" i="12"/>
  <c r="AU1016" i="14"/>
  <c r="D1044" i="14"/>
  <c r="F1030" i="12"/>
  <c r="B945" i="11"/>
  <c r="B917" i="11"/>
  <c r="AO914" i="11"/>
  <c r="AT914" i="11" s="1"/>
  <c r="AG879" i="11"/>
  <c r="AH879" i="11" s="1"/>
  <c r="AJ879" i="11" s="1"/>
  <c r="AL879" i="11" s="1"/>
  <c r="AN879" i="11"/>
  <c r="W1091" i="14"/>
  <c r="AF1120" i="14" s="1"/>
  <c r="U1091" i="14"/>
  <c r="T1091" i="14"/>
  <c r="V1091" i="14"/>
  <c r="AF1119" i="14" s="1"/>
  <c r="B987" i="15"/>
  <c r="B1015" i="15"/>
  <c r="R1015" i="15" s="1"/>
  <c r="M1016" i="13"/>
  <c r="D1043" i="13"/>
  <c r="F1016" i="13"/>
  <c r="B985" i="15"/>
  <c r="B1013" i="15"/>
  <c r="R1013" i="15" s="1"/>
  <c r="AX1030" i="11"/>
  <c r="AX1028" i="11"/>
  <c r="R29" i="11"/>
  <c r="V1069" i="13"/>
  <c r="AF1115" i="13" s="1"/>
  <c r="T1069" i="13"/>
  <c r="W1069" i="13"/>
  <c r="AF1116" i="13" s="1"/>
  <c r="U1069" i="13"/>
  <c r="AD1016" i="13"/>
  <c r="AS1016" i="13" s="1"/>
  <c r="AD981" i="13"/>
  <c r="AS981" i="13" s="1"/>
  <c r="R981" i="13"/>
  <c r="B1009" i="13" s="1"/>
  <c r="R1088" i="13"/>
  <c r="AT980" i="14"/>
  <c r="E997" i="12"/>
  <c r="E1024" i="12" s="1"/>
  <c r="B1024" i="12"/>
  <c r="C997" i="12"/>
  <c r="C1024" i="12" s="1"/>
  <c r="B1008" i="13"/>
  <c r="D1004" i="12"/>
  <c r="AU976" i="12"/>
  <c r="D1001" i="12"/>
  <c r="AU973" i="12"/>
  <c r="AD972" i="12"/>
  <c r="AS972" i="12" s="1"/>
  <c r="R972" i="12"/>
  <c r="B1000" i="12" s="1"/>
  <c r="AD1007" i="12"/>
  <c r="AS1007" i="12" s="1"/>
  <c r="R1079" i="12"/>
  <c r="AP950" i="12"/>
  <c r="AE1072" i="12"/>
  <c r="AS1048" i="12"/>
  <c r="R29" i="15"/>
  <c r="B936" i="13"/>
  <c r="M1037" i="13"/>
  <c r="O1010" i="13"/>
  <c r="F1007" i="11"/>
  <c r="S980" i="11"/>
  <c r="T1102" i="14"/>
  <c r="V1102" i="14"/>
  <c r="AF1152" i="14" s="1"/>
  <c r="W1102" i="14"/>
  <c r="AF1153" i="14" s="1"/>
  <c r="U1102" i="14"/>
  <c r="AP924" i="11"/>
  <c r="D1070" i="14"/>
  <c r="W1058" i="12"/>
  <c r="AF1107" i="12" s="1"/>
  <c r="V1058" i="12"/>
  <c r="AF1106" i="12" s="1"/>
  <c r="T1058" i="12"/>
  <c r="U1058" i="12"/>
  <c r="F1097" i="14"/>
  <c r="AF1052" i="14"/>
  <c r="AF1059" i="14" s="1"/>
  <c r="AF1017" i="14"/>
  <c r="AF1024" i="14" s="1"/>
  <c r="D1024" i="14"/>
  <c r="U1029" i="11"/>
  <c r="T1029" i="11"/>
  <c r="W1029" i="11"/>
  <c r="AF1072" i="11" s="1"/>
  <c r="V1029" i="11"/>
  <c r="AF1071" i="11" s="1"/>
  <c r="E1051" i="12"/>
  <c r="AE971" i="12"/>
  <c r="AE1006" i="12"/>
  <c r="B982" i="15"/>
  <c r="B966" i="15"/>
  <c r="B1010" i="15"/>
  <c r="C993" i="13"/>
  <c r="AE998" i="6"/>
  <c r="AS998" i="6" s="1"/>
  <c r="AE1010" i="6"/>
  <c r="AS1010" i="6" s="1"/>
  <c r="AE1003" i="6"/>
  <c r="AS1003" i="6" s="1"/>
  <c r="AE1001" i="6"/>
  <c r="AS1001" i="6" s="1"/>
  <c r="AE999" i="6"/>
  <c r="AS999" i="6" s="1"/>
  <c r="AE1008" i="6"/>
  <c r="AS1008" i="6" s="1"/>
  <c r="AE1006" i="6"/>
  <c r="AS1006" i="6" s="1"/>
  <c r="AE1011" i="6"/>
  <c r="AS1011" i="6" s="1"/>
  <c r="AE1009" i="6"/>
  <c r="AS1009" i="6" s="1"/>
  <c r="AE1004" i="6"/>
  <c r="AS1004" i="6" s="1"/>
  <c r="AE1002" i="6"/>
  <c r="AS1002" i="6" s="1"/>
  <c r="AE1000" i="6"/>
  <c r="AS1000" i="6" s="1"/>
  <c r="AE995" i="6"/>
  <c r="AS995" i="6" s="1"/>
  <c r="AE989" i="6"/>
  <c r="AS989" i="6" s="1"/>
  <c r="AE1007" i="6"/>
  <c r="AS1007" i="6" s="1"/>
  <c r="AE996" i="6"/>
  <c r="AS996" i="6" s="1"/>
  <c r="AE994" i="6"/>
  <c r="AS994" i="6" s="1"/>
  <c r="AE990" i="6"/>
  <c r="AS990" i="6" s="1"/>
  <c r="AE1005" i="6"/>
  <c r="AS1005" i="6" s="1"/>
  <c r="AE993" i="6"/>
  <c r="AS993" i="6" s="1"/>
  <c r="AE991" i="6"/>
  <c r="AS991" i="6" s="1"/>
  <c r="AE992" i="6"/>
  <c r="AS992" i="6" s="1"/>
  <c r="AE997" i="6"/>
  <c r="AS997" i="6" s="1"/>
  <c r="AE988" i="6"/>
  <c r="T990" i="6"/>
  <c r="U990" i="6"/>
  <c r="R867" i="9"/>
  <c r="O974" i="9"/>
  <c r="B887" i="9"/>
  <c r="AL804" i="9"/>
  <c r="AD893" i="7"/>
  <c r="AS893" i="7" s="1"/>
  <c r="D921" i="7" s="1"/>
  <c r="R893" i="7"/>
  <c r="B921" i="7" s="1"/>
  <c r="AD928" i="7"/>
  <c r="AS928" i="7" s="1"/>
  <c r="R1000" i="7"/>
  <c r="D946" i="10"/>
  <c r="F919" i="10"/>
  <c r="AP872" i="7"/>
  <c r="B913" i="10"/>
  <c r="J803" i="10"/>
  <c r="AT973" i="7"/>
  <c r="AU973" i="7" s="1"/>
  <c r="AX973" i="7" s="1"/>
  <c r="AT981" i="7"/>
  <c r="AU981" i="7" s="1"/>
  <c r="AX981" i="7" s="1"/>
  <c r="AT976" i="7"/>
  <c r="AU976" i="7" s="1"/>
  <c r="AX976" i="7" s="1"/>
  <c r="AT985" i="7"/>
  <c r="AU985" i="7" s="1"/>
  <c r="AX985" i="7" s="1"/>
  <c r="AT983" i="7"/>
  <c r="AU983" i="7" s="1"/>
  <c r="AX983" i="7" s="1"/>
  <c r="AT971" i="7"/>
  <c r="AU971" i="7" s="1"/>
  <c r="AX971" i="7" s="1"/>
  <c r="AT972" i="7"/>
  <c r="AU972" i="7" s="1"/>
  <c r="AX972" i="7" s="1"/>
  <c r="AT990" i="7"/>
  <c r="AU990" i="7" s="1"/>
  <c r="AX990" i="7" s="1"/>
  <c r="AT979" i="7"/>
  <c r="AU979" i="7" s="1"/>
  <c r="AX979" i="7" s="1"/>
  <c r="AT991" i="7"/>
  <c r="AU991" i="7" s="1"/>
  <c r="AX991" i="7" s="1"/>
  <c r="AT974" i="7"/>
  <c r="AU974" i="7" s="1"/>
  <c r="AX974" i="7" s="1"/>
  <c r="AT987" i="7"/>
  <c r="AU987" i="7" s="1"/>
  <c r="AX987" i="7" s="1"/>
  <c r="AT975" i="7"/>
  <c r="AU975" i="7" s="1"/>
  <c r="AX975" i="7" s="1"/>
  <c r="AT982" i="7"/>
  <c r="AU982" i="7" s="1"/>
  <c r="AX982" i="7" s="1"/>
  <c r="AT977" i="7"/>
  <c r="AU977" i="7" s="1"/>
  <c r="AX977" i="7" s="1"/>
  <c r="AT978" i="7"/>
  <c r="AU978" i="7" s="1"/>
  <c r="AX978" i="7" s="1"/>
  <c r="AT986" i="7"/>
  <c r="AU986" i="7" s="1"/>
  <c r="AX986" i="7" s="1"/>
  <c r="AT980" i="7"/>
  <c r="AU980" i="7" s="1"/>
  <c r="AX980" i="7" s="1"/>
  <c r="AT984" i="7"/>
  <c r="AU984" i="7" s="1"/>
  <c r="AX984" i="7" s="1"/>
  <c r="AT988" i="7"/>
  <c r="AU988" i="7" s="1"/>
  <c r="AX988" i="7" s="1"/>
  <c r="AT992" i="7"/>
  <c r="AU992" i="7" s="1"/>
  <c r="AX992" i="7" s="1"/>
  <c r="AT993" i="7"/>
  <c r="AU993" i="7" s="1"/>
  <c r="AX993" i="7" s="1"/>
  <c r="AT989" i="7"/>
  <c r="AU989" i="7" s="1"/>
  <c r="AX989" i="7" s="1"/>
  <c r="E918" i="10"/>
  <c r="E945" i="10" s="1"/>
  <c r="R29" i="7"/>
  <c r="U958" i="8"/>
  <c r="T958" i="8"/>
  <c r="U998" i="6"/>
  <c r="T998" i="6"/>
  <c r="T988" i="6"/>
  <c r="U988" i="6"/>
  <c r="D938" i="9"/>
  <c r="C871" i="9"/>
  <c r="T978" i="7"/>
  <c r="U978" i="7"/>
  <c r="E910" i="10"/>
  <c r="E937" i="10" s="1"/>
  <c r="D910" i="10"/>
  <c r="C910" i="10"/>
  <c r="C937" i="10" s="1"/>
  <c r="B937" i="10"/>
  <c r="E953" i="8"/>
  <c r="AE873" i="8"/>
  <c r="AE908" i="8"/>
  <c r="S943" i="6"/>
  <c r="F970" i="6"/>
  <c r="U997" i="6"/>
  <c r="T997" i="6"/>
  <c r="AG855" i="6"/>
  <c r="R865" i="9"/>
  <c r="O972" i="9"/>
  <c r="R861" i="9"/>
  <c r="O968" i="9"/>
  <c r="U979" i="7"/>
  <c r="T979" i="7"/>
  <c r="S944" i="9"/>
  <c r="T944" i="9"/>
  <c r="B891" i="9"/>
  <c r="AL808" i="9"/>
  <c r="F923" i="9"/>
  <c r="P896" i="9"/>
  <c r="AD949" i="6"/>
  <c r="AS949" i="6" s="1"/>
  <c r="AD914" i="6"/>
  <c r="AS914" i="6" s="1"/>
  <c r="R914" i="6"/>
  <c r="B942" i="6" s="1"/>
  <c r="R1021" i="6"/>
  <c r="T971" i="7"/>
  <c r="U971" i="7"/>
  <c r="T952" i="8"/>
  <c r="V952" i="8"/>
  <c r="U952" i="8"/>
  <c r="AF880" i="8"/>
  <c r="AD901" i="7"/>
  <c r="AS901" i="7" s="1"/>
  <c r="D929" i="7" s="1"/>
  <c r="R901" i="7"/>
  <c r="B929" i="7" s="1"/>
  <c r="AD936" i="7"/>
  <c r="AS936" i="7" s="1"/>
  <c r="R1008" i="7"/>
  <c r="AD953" i="6"/>
  <c r="AS953" i="6" s="1"/>
  <c r="AD918" i="6"/>
  <c r="AS918" i="6" s="1"/>
  <c r="R918" i="6"/>
  <c r="B946" i="6" s="1"/>
  <c r="R1025" i="6"/>
  <c r="D949" i="7"/>
  <c r="B889" i="9"/>
  <c r="AL806" i="9"/>
  <c r="E928" i="7"/>
  <c r="E897" i="8"/>
  <c r="E924" i="8" s="1"/>
  <c r="B924" i="8"/>
  <c r="C897" i="8"/>
  <c r="C924" i="8" s="1"/>
  <c r="B967" i="6"/>
  <c r="C940" i="6"/>
  <c r="C967" i="6" s="1"/>
  <c r="AD898" i="7"/>
  <c r="AS898" i="7" s="1"/>
  <c r="D926" i="7" s="1"/>
  <c r="R898" i="7"/>
  <c r="B926" i="7" s="1"/>
  <c r="AD933" i="7"/>
  <c r="AS933" i="7" s="1"/>
  <c r="R1005" i="7"/>
  <c r="E950" i="8"/>
  <c r="AE905" i="8"/>
  <c r="AE870" i="8"/>
  <c r="D912" i="10"/>
  <c r="C912" i="10"/>
  <c r="C939" i="10" s="1"/>
  <c r="B939" i="10"/>
  <c r="B823" i="8"/>
  <c r="AG801" i="8"/>
  <c r="AO836" i="8"/>
  <c r="AN801" i="8"/>
  <c r="B839" i="8"/>
  <c r="B867" i="8"/>
  <c r="B890" i="7"/>
  <c r="AG824" i="7"/>
  <c r="B862" i="7"/>
  <c r="B846" i="7"/>
  <c r="AO859" i="7"/>
  <c r="AN824" i="7"/>
  <c r="R878" i="8"/>
  <c r="B906" i="8" s="1"/>
  <c r="AD913" i="8"/>
  <c r="AS913" i="8" s="1"/>
  <c r="AD878" i="8"/>
  <c r="AS878" i="8" s="1"/>
  <c r="D906" i="8" s="1"/>
  <c r="R985" i="8"/>
  <c r="AD945" i="6"/>
  <c r="AS945" i="6" s="1"/>
  <c r="AD910" i="6"/>
  <c r="AS910" i="6" s="1"/>
  <c r="R910" i="6"/>
  <c r="B938" i="6" s="1"/>
  <c r="R1017" i="6"/>
  <c r="AD874" i="8"/>
  <c r="AS874" i="8" s="1"/>
  <c r="D902" i="8" s="1"/>
  <c r="R874" i="8"/>
  <c r="B902" i="8" s="1"/>
  <c r="AD909" i="8"/>
  <c r="AS909" i="8" s="1"/>
  <c r="R981" i="8"/>
  <c r="B895" i="9"/>
  <c r="AL812" i="9"/>
  <c r="E970" i="7"/>
  <c r="AE925" i="7"/>
  <c r="AE938" i="7" s="1"/>
  <c r="AE890" i="7"/>
  <c r="C903" i="7"/>
  <c r="R863" i="9"/>
  <c r="O970" i="9"/>
  <c r="AE971" i="8"/>
  <c r="AS947" i="8"/>
  <c r="E1069" i="6"/>
  <c r="C1069" i="6"/>
  <c r="T941" i="6"/>
  <c r="U941" i="6"/>
  <c r="S968" i="6"/>
  <c r="B921" i="9"/>
  <c r="C894" i="9"/>
  <c r="C921" i="9" s="1"/>
  <c r="D894" i="9"/>
  <c r="B838" i="9"/>
  <c r="B864" i="9"/>
  <c r="AO844" i="9"/>
  <c r="AT844" i="9" s="1"/>
  <c r="AG809" i="9"/>
  <c r="AH809" i="9" s="1"/>
  <c r="AJ809" i="9" s="1"/>
  <c r="AN809" i="9"/>
  <c r="E976" i="7"/>
  <c r="AE931" i="7"/>
  <c r="AE896" i="7"/>
  <c r="AD911" i="6"/>
  <c r="AS911" i="6" s="1"/>
  <c r="R911" i="6"/>
  <c r="B939" i="6" s="1"/>
  <c r="AD946" i="6"/>
  <c r="AS946" i="6" s="1"/>
  <c r="R1018" i="6"/>
  <c r="AD943" i="6"/>
  <c r="AD908" i="6"/>
  <c r="R908" i="6"/>
  <c r="B921" i="6"/>
  <c r="R1027" i="6" s="1"/>
  <c r="R1015" i="6"/>
  <c r="T981" i="7"/>
  <c r="U981" i="7"/>
  <c r="T996" i="6"/>
  <c r="U996" i="6"/>
  <c r="B915" i="10"/>
  <c r="J805" i="10"/>
  <c r="D930" i="8"/>
  <c r="B941" i="10"/>
  <c r="C914" i="10"/>
  <c r="C941" i="10" s="1"/>
  <c r="D914" i="10"/>
  <c r="AU912" i="6"/>
  <c r="D940" i="6"/>
  <c r="D964" i="6"/>
  <c r="B909" i="10"/>
  <c r="J799" i="10"/>
  <c r="M883" i="10"/>
  <c r="E798" i="10"/>
  <c r="B831" i="10"/>
  <c r="L798" i="10"/>
  <c r="B786" i="10"/>
  <c r="B855" i="10"/>
  <c r="T773" i="10"/>
  <c r="B896" i="7"/>
  <c r="B868" i="7"/>
  <c r="AG830" i="7"/>
  <c r="AH830" i="7" s="1"/>
  <c r="AJ830" i="7" s="1"/>
  <c r="AL830" i="7" s="1"/>
  <c r="AN830" i="7"/>
  <c r="AO865" i="7"/>
  <c r="AT865" i="7" s="1"/>
  <c r="AP849" i="8"/>
  <c r="B873" i="8"/>
  <c r="AN807" i="8"/>
  <c r="B845" i="8"/>
  <c r="AO842" i="8"/>
  <c r="AT842" i="8" s="1"/>
  <c r="AG807" i="8"/>
  <c r="AH807" i="8" s="1"/>
  <c r="AJ807" i="8" s="1"/>
  <c r="AL807" i="8" s="1"/>
  <c r="U954" i="8"/>
  <c r="V954" i="8"/>
  <c r="T954" i="8"/>
  <c r="T940" i="9"/>
  <c r="S940" i="9"/>
  <c r="E956" i="8"/>
  <c r="AE911" i="8"/>
  <c r="AE876" i="8"/>
  <c r="AF915" i="8"/>
  <c r="Q19" i="8"/>
  <c r="R19" i="8" s="1"/>
  <c r="N20" i="8"/>
  <c r="Q20" i="8" s="1"/>
  <c r="R20" i="8" s="1"/>
  <c r="B949" i="7"/>
  <c r="C922" i="7"/>
  <c r="C949" i="7" s="1"/>
  <c r="AD951" i="6"/>
  <c r="AS951" i="6" s="1"/>
  <c r="AD916" i="6"/>
  <c r="AS916" i="6" s="1"/>
  <c r="R916" i="6"/>
  <c r="B944" i="6" s="1"/>
  <c r="R1023" i="6"/>
  <c r="E947" i="6"/>
  <c r="E974" i="6" s="1"/>
  <c r="D924" i="8"/>
  <c r="F897" i="8"/>
  <c r="V994" i="6"/>
  <c r="T994" i="6"/>
  <c r="U994" i="6"/>
  <c r="D923" i="8"/>
  <c r="E19" i="9"/>
  <c r="R19" i="9" s="1"/>
  <c r="AD952" i="6"/>
  <c r="AS952" i="6" s="1"/>
  <c r="AD917" i="6"/>
  <c r="AS917" i="6" s="1"/>
  <c r="R917" i="6"/>
  <c r="B945" i="6" s="1"/>
  <c r="R1024" i="6"/>
  <c r="AD926" i="7"/>
  <c r="AS926" i="7" s="1"/>
  <c r="R891" i="7"/>
  <c r="B919" i="7" s="1"/>
  <c r="AD891" i="7"/>
  <c r="AS891" i="7" s="1"/>
  <c r="D919" i="7" s="1"/>
  <c r="R998" i="7"/>
  <c r="B870" i="8"/>
  <c r="B842" i="8"/>
  <c r="AO839" i="8"/>
  <c r="AT839" i="8" s="1"/>
  <c r="AG804" i="8"/>
  <c r="AH804" i="8" s="1"/>
  <c r="AJ804" i="8" s="1"/>
  <c r="AL804" i="8" s="1"/>
  <c r="AN804" i="8"/>
  <c r="B860" i="9"/>
  <c r="AO840" i="9"/>
  <c r="AT840" i="9" s="1"/>
  <c r="AG805" i="9"/>
  <c r="AH805" i="9" s="1"/>
  <c r="AJ805" i="9" s="1"/>
  <c r="B834" i="9"/>
  <c r="AN805" i="9"/>
  <c r="AD872" i="8"/>
  <c r="AS872" i="8" s="1"/>
  <c r="D900" i="8" s="1"/>
  <c r="AD907" i="8"/>
  <c r="AS907" i="8" s="1"/>
  <c r="R872" i="8"/>
  <c r="B900" i="8" s="1"/>
  <c r="R979" i="8"/>
  <c r="B893" i="9"/>
  <c r="AL810" i="9"/>
  <c r="AE956" i="6"/>
  <c r="B930" i="8"/>
  <c r="C903" i="8"/>
  <c r="C930" i="8" s="1"/>
  <c r="B926" i="8"/>
  <c r="E899" i="8"/>
  <c r="E926" i="8" s="1"/>
  <c r="C899" i="8"/>
  <c r="C926" i="8" s="1"/>
  <c r="E896" i="8"/>
  <c r="E923" i="8" s="1"/>
  <c r="C896" i="8"/>
  <c r="C923" i="8" s="1"/>
  <c r="B923" i="8"/>
  <c r="R869" i="9"/>
  <c r="O976" i="9"/>
  <c r="E947" i="8"/>
  <c r="C880" i="8"/>
  <c r="AE867" i="8"/>
  <c r="AE880" i="8" s="1"/>
  <c r="AE902" i="8"/>
  <c r="AF903" i="7"/>
  <c r="AL814" i="9"/>
  <c r="B897" i="9"/>
  <c r="P920" i="7"/>
  <c r="F947" i="7"/>
  <c r="B864" i="10"/>
  <c r="R864" i="10" s="1"/>
  <c r="M892" i="10"/>
  <c r="R892" i="10" s="1"/>
  <c r="L807" i="10"/>
  <c r="B840" i="10"/>
  <c r="E807" i="10"/>
  <c r="F807" i="10" s="1"/>
  <c r="H807" i="10" s="1"/>
  <c r="T782" i="10"/>
  <c r="U973" i="7"/>
  <c r="T973" i="7"/>
  <c r="M886" i="10"/>
  <c r="R886" i="10" s="1"/>
  <c r="B858" i="10"/>
  <c r="R858" i="10" s="1"/>
  <c r="B834" i="10"/>
  <c r="E801" i="10"/>
  <c r="F801" i="10" s="1"/>
  <c r="H801" i="10" s="1"/>
  <c r="T776" i="10"/>
  <c r="L801" i="10"/>
  <c r="E905" i="8"/>
  <c r="R19" i="7"/>
  <c r="E937" i="6"/>
  <c r="E964" i="6" s="1"/>
  <c r="AE921" i="6"/>
  <c r="D926" i="8"/>
  <c r="B858" i="9"/>
  <c r="AO838" i="9"/>
  <c r="AG803" i="9"/>
  <c r="B832" i="9"/>
  <c r="AN803" i="9"/>
  <c r="B816" i="9"/>
  <c r="R859" i="9"/>
  <c r="O966" i="9"/>
  <c r="B916" i="10"/>
  <c r="J806" i="10"/>
  <c r="AD897" i="7"/>
  <c r="AS897" i="7" s="1"/>
  <c r="D925" i="7" s="1"/>
  <c r="AD932" i="7"/>
  <c r="AS932" i="7" s="1"/>
  <c r="R897" i="7"/>
  <c r="B925" i="7" s="1"/>
  <c r="R1004" i="7"/>
  <c r="F918" i="10"/>
  <c r="D945" i="10"/>
  <c r="R899" i="7"/>
  <c r="B927" i="7" s="1"/>
  <c r="AD934" i="7"/>
  <c r="AS934" i="7" s="1"/>
  <c r="AD899" i="7"/>
  <c r="AS899" i="7" s="1"/>
  <c r="D927" i="7" s="1"/>
  <c r="R1006" i="7"/>
  <c r="R29" i="8"/>
  <c r="D890" i="9"/>
  <c r="C890" i="9"/>
  <c r="C917" i="9" s="1"/>
  <c r="B917" i="9"/>
  <c r="B848" i="8"/>
  <c r="AG810" i="8"/>
  <c r="AH810" i="8" s="1"/>
  <c r="AJ810" i="8" s="1"/>
  <c r="AL810" i="8" s="1"/>
  <c r="B876" i="8"/>
  <c r="AO845" i="8"/>
  <c r="AT845" i="8" s="1"/>
  <c r="AN810" i="8"/>
  <c r="AT877" i="6"/>
  <c r="AT890" i="6" s="1"/>
  <c r="AO890" i="6"/>
  <c r="AP851" i="9"/>
  <c r="D974" i="6"/>
  <c r="V977" i="7"/>
  <c r="U977" i="7"/>
  <c r="T977" i="7"/>
  <c r="U991" i="6"/>
  <c r="T991" i="6"/>
  <c r="C868" i="10"/>
  <c r="F950" i="7"/>
  <c r="P923" i="7"/>
  <c r="J790" i="5"/>
  <c r="B901" i="5"/>
  <c r="D904" i="5"/>
  <c r="C904" i="5"/>
  <c r="L904" i="5" s="1"/>
  <c r="D899" i="5"/>
  <c r="C899" i="5"/>
  <c r="L899" i="5" s="1"/>
  <c r="N899" i="5" s="1"/>
  <c r="H786" i="5"/>
  <c r="M874" i="5"/>
  <c r="E789" i="5"/>
  <c r="L789" i="5"/>
  <c r="B846" i="5"/>
  <c r="B822" i="5"/>
  <c r="B774" i="5"/>
  <c r="E935" i="5"/>
  <c r="C935" i="5"/>
  <c r="B905" i="5"/>
  <c r="J794" i="5"/>
  <c r="B907" i="5"/>
  <c r="J796" i="5"/>
  <c r="L898" i="5"/>
  <c r="N898" i="5" s="1"/>
  <c r="B903" i="5"/>
  <c r="J792" i="5"/>
  <c r="C902" i="5"/>
  <c r="D902" i="5"/>
  <c r="B906" i="5"/>
  <c r="J795" i="5"/>
  <c r="D908" i="5"/>
  <c r="C908" i="5"/>
  <c r="L908" i="5" s="1"/>
  <c r="O908" i="5" s="1"/>
  <c r="G945" i="5" s="1"/>
  <c r="D882" i="4"/>
  <c r="C882" i="4"/>
  <c r="L882" i="4" s="1"/>
  <c r="D884" i="4"/>
  <c r="C884" i="4"/>
  <c r="L884" i="4" s="1"/>
  <c r="B832" i="4"/>
  <c r="R832" i="4" s="1"/>
  <c r="M860" i="4"/>
  <c r="R860" i="4" s="1"/>
  <c r="B808" i="4"/>
  <c r="E775" i="4"/>
  <c r="F775" i="4" s="1"/>
  <c r="H775" i="4" s="1"/>
  <c r="L775" i="4"/>
  <c r="B880" i="4"/>
  <c r="J769" i="4"/>
  <c r="B879" i="4"/>
  <c r="J768" i="4"/>
  <c r="B885" i="4"/>
  <c r="J774" i="4"/>
  <c r="R22" i="4"/>
  <c r="B827" i="4"/>
  <c r="R827" i="4" s="1"/>
  <c r="M855" i="4"/>
  <c r="R855" i="4" s="1"/>
  <c r="B803" i="4"/>
  <c r="L770" i="4"/>
  <c r="E770" i="4"/>
  <c r="F770" i="4" s="1"/>
  <c r="H770" i="4" s="1"/>
  <c r="M852" i="4"/>
  <c r="R852" i="4" s="1"/>
  <c r="B824" i="4"/>
  <c r="R824" i="4" s="1"/>
  <c r="L767" i="4"/>
  <c r="B800" i="4"/>
  <c r="E767" i="4"/>
  <c r="F767" i="4" s="1"/>
  <c r="H767" i="4" s="1"/>
  <c r="M849" i="4"/>
  <c r="B821" i="4"/>
  <c r="B797" i="4"/>
  <c r="L764" i="4"/>
  <c r="B752" i="4"/>
  <c r="E764" i="4"/>
  <c r="N862" i="4"/>
  <c r="D883" i="4"/>
  <c r="K883" i="4" s="1"/>
  <c r="C883" i="4"/>
  <c r="C877" i="4"/>
  <c r="D877" i="4"/>
  <c r="K877" i="4" s="1"/>
  <c r="C834" i="4"/>
  <c r="K876" i="4"/>
  <c r="I922" i="3"/>
  <c r="I885" i="3"/>
  <c r="K885" i="3" s="1"/>
  <c r="C836" i="3"/>
  <c r="K878" i="3"/>
  <c r="D884" i="3"/>
  <c r="C884" i="3"/>
  <c r="J771" i="3"/>
  <c r="B882" i="3"/>
  <c r="B879" i="3"/>
  <c r="J768" i="3"/>
  <c r="B881" i="3"/>
  <c r="J770" i="3"/>
  <c r="M851" i="3"/>
  <c r="B823" i="3"/>
  <c r="B754" i="3"/>
  <c r="E766" i="3"/>
  <c r="B799" i="3"/>
  <c r="L766" i="3"/>
  <c r="D887" i="3"/>
  <c r="C887" i="3"/>
  <c r="L887" i="3" s="1"/>
  <c r="O887" i="3" s="1"/>
  <c r="G924" i="3" s="1"/>
  <c r="B888" i="3"/>
  <c r="J777" i="3"/>
  <c r="L886" i="3"/>
  <c r="O886" i="3" s="1"/>
  <c r="G923" i="3" s="1"/>
  <c r="M857" i="3"/>
  <c r="R857" i="3" s="1"/>
  <c r="B829" i="3"/>
  <c r="R829" i="3" s="1"/>
  <c r="E772" i="3"/>
  <c r="F772" i="3" s="1"/>
  <c r="H772" i="3" s="1"/>
  <c r="B805" i="3"/>
  <c r="L772" i="3"/>
  <c r="M854" i="3"/>
  <c r="R854" i="3" s="1"/>
  <c r="B826" i="3"/>
  <c r="R826" i="3" s="1"/>
  <c r="L769" i="3"/>
  <c r="B802" i="3"/>
  <c r="E769" i="3"/>
  <c r="F769" i="3" s="1"/>
  <c r="H769" i="3" s="1"/>
  <c r="H783" i="2"/>
  <c r="B902" i="2"/>
  <c r="J791" i="2"/>
  <c r="I905" i="2"/>
  <c r="K905" i="2" s="1"/>
  <c r="I942" i="2"/>
  <c r="R853" i="2"/>
  <c r="M874" i="2"/>
  <c r="R874" i="2" s="1"/>
  <c r="L789" i="2"/>
  <c r="B822" i="2"/>
  <c r="B846" i="2"/>
  <c r="R846" i="2" s="1"/>
  <c r="E789" i="2"/>
  <c r="F789" i="2" s="1"/>
  <c r="H789" i="2" s="1"/>
  <c r="B898" i="2"/>
  <c r="J787" i="2"/>
  <c r="M881" i="2"/>
  <c r="B901" i="2"/>
  <c r="J790" i="2"/>
  <c r="M871" i="2"/>
  <c r="R871" i="2" s="1"/>
  <c r="R881" i="2" s="1"/>
  <c r="L786" i="2"/>
  <c r="B843" i="2"/>
  <c r="R843" i="2" s="1"/>
  <c r="B819" i="2"/>
  <c r="E786" i="2"/>
  <c r="B904" i="2"/>
  <c r="J793" i="2"/>
  <c r="B849" i="2"/>
  <c r="R849" i="2" s="1"/>
  <c r="M877" i="2"/>
  <c r="R877" i="2" s="1"/>
  <c r="E792" i="2"/>
  <c r="F792" i="2" s="1"/>
  <c r="H792" i="2" s="1"/>
  <c r="B825" i="2"/>
  <c r="L792" i="2"/>
  <c r="B896" i="2"/>
  <c r="J785" i="2"/>
  <c r="B895" i="2"/>
  <c r="J784" i="2"/>
  <c r="E890" i="9" l="1"/>
  <c r="E917" i="9" s="1"/>
  <c r="E894" i="9"/>
  <c r="E921" i="9" s="1"/>
  <c r="F1041" i="14"/>
  <c r="F1068" i="14" s="1"/>
  <c r="E1044" i="14"/>
  <c r="E1071" i="14" s="1"/>
  <c r="E1049" i="14"/>
  <c r="E1076" i="14" s="1"/>
  <c r="M1043" i="14"/>
  <c r="M1070" i="14" s="1"/>
  <c r="M1041" i="14"/>
  <c r="O1041" i="14" s="1"/>
  <c r="F1043" i="14"/>
  <c r="F1070" i="14" s="1"/>
  <c r="E1040" i="14"/>
  <c r="E1067" i="14" s="1"/>
  <c r="AX970" i="7"/>
  <c r="AX994" i="7" s="1"/>
  <c r="AU985" i="13"/>
  <c r="D1013" i="13"/>
  <c r="S1007" i="11"/>
  <c r="U980" i="11"/>
  <c r="T980" i="11"/>
  <c r="M1001" i="12"/>
  <c r="D1028" i="12"/>
  <c r="M1043" i="13"/>
  <c r="O1016" i="13"/>
  <c r="AS1011" i="14"/>
  <c r="AD977" i="11"/>
  <c r="AD942" i="11"/>
  <c r="B955" i="11"/>
  <c r="R1061" i="11" s="1"/>
  <c r="R942" i="11"/>
  <c r="R1049" i="11"/>
  <c r="AS1115" i="14"/>
  <c r="AT1091" i="14" s="1"/>
  <c r="E1046" i="14"/>
  <c r="E1073" i="14" s="1"/>
  <c r="D1047" i="14"/>
  <c r="AU1019" i="14"/>
  <c r="AX1046" i="11"/>
  <c r="F1042" i="13"/>
  <c r="B981" i="12"/>
  <c r="R1087" i="12" s="1"/>
  <c r="AD968" i="12"/>
  <c r="R968" i="12"/>
  <c r="AD1003" i="12"/>
  <c r="R1075" i="12"/>
  <c r="B1045" i="13"/>
  <c r="C1018" i="13"/>
  <c r="C1045" i="13" s="1"/>
  <c r="V1066" i="13"/>
  <c r="AF1106" i="13" s="1"/>
  <c r="T1066" i="13"/>
  <c r="U1066" i="13"/>
  <c r="W1066" i="13"/>
  <c r="AF1107" i="13" s="1"/>
  <c r="D1006" i="12"/>
  <c r="AU978" i="12"/>
  <c r="AO962" i="13"/>
  <c r="B1040" i="13"/>
  <c r="C1013" i="13"/>
  <c r="C1040" i="13" s="1"/>
  <c r="B1004" i="11"/>
  <c r="C977" i="11"/>
  <c r="C1004" i="11" s="1"/>
  <c r="B1023" i="15"/>
  <c r="R1010" i="15"/>
  <c r="R1023" i="15" s="1"/>
  <c r="M997" i="12"/>
  <c r="D1024" i="12"/>
  <c r="F997" i="12"/>
  <c r="R1010" i="13"/>
  <c r="S1010" i="13" s="1"/>
  <c r="Q1010" i="13"/>
  <c r="O1037" i="13"/>
  <c r="D1031" i="12"/>
  <c r="M1004" i="12"/>
  <c r="F1004" i="12"/>
  <c r="E1001" i="12"/>
  <c r="E1028" i="12" s="1"/>
  <c r="AT911" i="11"/>
  <c r="AT924" i="11" s="1"/>
  <c r="AO924" i="11"/>
  <c r="D1075" i="14"/>
  <c r="O1030" i="12"/>
  <c r="Q1003" i="12"/>
  <c r="R1003" i="12" s="1"/>
  <c r="S1003" i="12" s="1"/>
  <c r="E1048" i="14"/>
  <c r="E1075" i="14" s="1"/>
  <c r="D1073" i="14"/>
  <c r="F1046" i="14"/>
  <c r="M1046" i="14"/>
  <c r="B1039" i="13"/>
  <c r="E1012" i="13"/>
  <c r="E1039" i="13" s="1"/>
  <c r="C1012" i="13"/>
  <c r="C1039" i="13" s="1"/>
  <c r="E1007" i="12"/>
  <c r="E1034" i="12" s="1"/>
  <c r="AE1016" i="12"/>
  <c r="AD1028" i="13"/>
  <c r="M978" i="11"/>
  <c r="F978" i="11"/>
  <c r="D1005" i="11"/>
  <c r="V1054" i="12"/>
  <c r="AF1094" i="12" s="1"/>
  <c r="T1054" i="12"/>
  <c r="U1054" i="12"/>
  <c r="W1054" i="12"/>
  <c r="AF1095" i="12" s="1"/>
  <c r="AU980" i="13"/>
  <c r="D1008" i="13"/>
  <c r="B1035" i="13"/>
  <c r="C1008" i="13"/>
  <c r="B1036" i="13"/>
  <c r="C1009" i="13"/>
  <c r="C1036" i="13" s="1"/>
  <c r="AD980" i="11"/>
  <c r="AS980" i="11" s="1"/>
  <c r="AD945" i="11"/>
  <c r="AS945" i="11" s="1"/>
  <c r="R945" i="11"/>
  <c r="B973" i="11" s="1"/>
  <c r="R1052" i="11"/>
  <c r="AU984" i="13"/>
  <c r="D1012" i="13"/>
  <c r="D1067" i="14"/>
  <c r="F1040" i="14"/>
  <c r="M1040" i="14"/>
  <c r="T1022" i="11"/>
  <c r="V1022" i="11"/>
  <c r="AF1050" i="11" s="1"/>
  <c r="W1022" i="11"/>
  <c r="AF1051" i="11" s="1"/>
  <c r="U1022" i="11"/>
  <c r="Q998" i="11"/>
  <c r="R998" i="11" s="1"/>
  <c r="M975" i="11"/>
  <c r="D1002" i="11"/>
  <c r="F975" i="11"/>
  <c r="AS1072" i="12"/>
  <c r="AT1048" i="12" s="1"/>
  <c r="AU981" i="13"/>
  <c r="D1009" i="13"/>
  <c r="AD977" i="12"/>
  <c r="AS977" i="12" s="1"/>
  <c r="R977" i="12"/>
  <c r="B1005" i="12" s="1"/>
  <c r="AD1012" i="12"/>
  <c r="AS1012" i="12" s="1"/>
  <c r="R1084" i="12"/>
  <c r="AD986" i="13"/>
  <c r="AS986" i="13" s="1"/>
  <c r="AS993" i="13" s="1"/>
  <c r="R986" i="13"/>
  <c r="AD1021" i="13"/>
  <c r="AS1021" i="13" s="1"/>
  <c r="R1093" i="13"/>
  <c r="B993" i="13"/>
  <c r="R1099" i="13" s="1"/>
  <c r="AG889" i="11"/>
  <c r="AH876" i="11"/>
  <c r="O974" i="11"/>
  <c r="M1001" i="11"/>
  <c r="AT937" i="12"/>
  <c r="AT950" i="12" s="1"/>
  <c r="AO950" i="12"/>
  <c r="W1094" i="14"/>
  <c r="AF1129" i="14" s="1"/>
  <c r="V1094" i="14"/>
  <c r="AF1128" i="14" s="1"/>
  <c r="T1094" i="14"/>
  <c r="U1094" i="14"/>
  <c r="W1031" i="11"/>
  <c r="AF1078" i="11" s="1"/>
  <c r="U1031" i="11"/>
  <c r="V1031" i="11"/>
  <c r="AF1077" i="11" s="1"/>
  <c r="T1031" i="11"/>
  <c r="T1048" i="12"/>
  <c r="V1048" i="12"/>
  <c r="AF1076" i="12" s="1"/>
  <c r="W1048" i="12"/>
  <c r="AF1077" i="12" s="1"/>
  <c r="U1048" i="12"/>
  <c r="B1044" i="13"/>
  <c r="C1017" i="13"/>
  <c r="C1044" i="13" s="1"/>
  <c r="O1007" i="11"/>
  <c r="Q980" i="11"/>
  <c r="U998" i="11"/>
  <c r="T998" i="11"/>
  <c r="AU990" i="13"/>
  <c r="D1018" i="13"/>
  <c r="U1051" i="12"/>
  <c r="T1051" i="12"/>
  <c r="V1051" i="12"/>
  <c r="AF1085" i="12" s="1"/>
  <c r="W1051" i="12"/>
  <c r="AF1086" i="12" s="1"/>
  <c r="B1027" i="12"/>
  <c r="C1000" i="12"/>
  <c r="C1027" i="12" s="1"/>
  <c r="S974" i="11"/>
  <c r="F1001" i="11"/>
  <c r="AE1084" i="13"/>
  <c r="AS1060" i="13"/>
  <c r="E1097" i="14"/>
  <c r="AE1017" i="14"/>
  <c r="AE1024" i="14" s="1"/>
  <c r="AE1052" i="14"/>
  <c r="AE1059" i="14" s="1"/>
  <c r="C1024" i="14"/>
  <c r="R1014" i="14"/>
  <c r="B1042" i="14" s="1"/>
  <c r="AD1014" i="14"/>
  <c r="AS1014" i="14" s="1"/>
  <c r="AD1049" i="14"/>
  <c r="AS1049" i="14" s="1"/>
  <c r="R1121" i="14"/>
  <c r="M972" i="11"/>
  <c r="F972" i="11"/>
  <c r="D999" i="11"/>
  <c r="B1038" i="13"/>
  <c r="E1011" i="13"/>
  <c r="E1038" i="13" s="1"/>
  <c r="C1011" i="13"/>
  <c r="C1038" i="13" s="1"/>
  <c r="B1017" i="14"/>
  <c r="B989" i="14"/>
  <c r="AO986" i="14"/>
  <c r="AG951" i="14"/>
  <c r="AN951" i="14"/>
  <c r="B967" i="14"/>
  <c r="B1046" i="13"/>
  <c r="C1019" i="13"/>
  <c r="C1046" i="13" s="1"/>
  <c r="AE990" i="11"/>
  <c r="AW1046" i="11"/>
  <c r="D1017" i="13"/>
  <c r="AU989" i="13"/>
  <c r="AD1006" i="12"/>
  <c r="AS1006" i="12" s="1"/>
  <c r="AD971" i="12"/>
  <c r="AS971" i="12" s="1"/>
  <c r="R971" i="12"/>
  <c r="B999" i="12" s="1"/>
  <c r="R1078" i="12"/>
  <c r="V1028" i="11"/>
  <c r="AF1068" i="11" s="1"/>
  <c r="T1028" i="11"/>
  <c r="U1028" i="11"/>
  <c r="W1028" i="11"/>
  <c r="AF1069" i="11" s="1"/>
  <c r="F1007" i="12"/>
  <c r="D1034" i="12"/>
  <c r="M1007" i="12"/>
  <c r="AU949" i="11"/>
  <c r="D977" i="11"/>
  <c r="AU972" i="12"/>
  <c r="D1000" i="12"/>
  <c r="F1043" i="13"/>
  <c r="D1071" i="14"/>
  <c r="M1044" i="14"/>
  <c r="F1044" i="14"/>
  <c r="M1049" i="14"/>
  <c r="F1049" i="14"/>
  <c r="D1076" i="14"/>
  <c r="AJ945" i="14"/>
  <c r="AG915" i="12"/>
  <c r="AH902" i="12"/>
  <c r="AD974" i="12"/>
  <c r="AS974" i="12" s="1"/>
  <c r="R974" i="12"/>
  <c r="B1002" i="12" s="1"/>
  <c r="AD1009" i="12"/>
  <c r="AS1009" i="12" s="1"/>
  <c r="R1081" i="12"/>
  <c r="AD983" i="11"/>
  <c r="AS983" i="11" s="1"/>
  <c r="AD948" i="11"/>
  <c r="AS948" i="11" s="1"/>
  <c r="R948" i="11"/>
  <c r="B976" i="11" s="1"/>
  <c r="R1055" i="11"/>
  <c r="D1050" i="14"/>
  <c r="AU1022" i="14"/>
  <c r="T1025" i="11"/>
  <c r="V1025" i="11"/>
  <c r="AF1059" i="11" s="1"/>
  <c r="U1025" i="11"/>
  <c r="W1025" i="11"/>
  <c r="AF1060" i="11" s="1"/>
  <c r="AS1046" i="14"/>
  <c r="M1042" i="13"/>
  <c r="O1015" i="13"/>
  <c r="AS1028" i="13"/>
  <c r="D1025" i="12"/>
  <c r="M998" i="12"/>
  <c r="F998" i="12"/>
  <c r="B1074" i="14"/>
  <c r="C1047" i="14"/>
  <c r="C1074" i="14" s="1"/>
  <c r="W1057" i="12"/>
  <c r="AF1104" i="12" s="1"/>
  <c r="U1057" i="12"/>
  <c r="T1057" i="12"/>
  <c r="V1057" i="12"/>
  <c r="AF1103" i="12" s="1"/>
  <c r="AU983" i="13"/>
  <c r="D1011" i="13"/>
  <c r="D1008" i="11"/>
  <c r="M981" i="11"/>
  <c r="F981" i="11"/>
  <c r="R951" i="11"/>
  <c r="B979" i="11" s="1"/>
  <c r="AD986" i="11"/>
  <c r="AS986" i="11" s="1"/>
  <c r="AD951" i="11"/>
  <c r="AS951" i="11" s="1"/>
  <c r="R1058" i="11"/>
  <c r="AU991" i="13"/>
  <c r="D1019" i="13"/>
  <c r="B1033" i="12"/>
  <c r="C1006" i="12"/>
  <c r="C1033" i="12" s="1"/>
  <c r="C1050" i="14"/>
  <c r="C1077" i="14" s="1"/>
  <c r="B1077" i="14"/>
  <c r="E1050" i="14"/>
  <c r="E1077" i="14" s="1"/>
  <c r="E1048" i="7"/>
  <c r="C1048" i="7"/>
  <c r="P947" i="7"/>
  <c r="R920" i="7"/>
  <c r="Q920" i="7"/>
  <c r="AL805" i="9"/>
  <c r="B888" i="9"/>
  <c r="C909" i="10"/>
  <c r="C936" i="10" s="1"/>
  <c r="E909" i="10"/>
  <c r="E936" i="10" s="1"/>
  <c r="D909" i="10"/>
  <c r="B936" i="10"/>
  <c r="U970" i="7"/>
  <c r="T970" i="7"/>
  <c r="T947" i="8"/>
  <c r="U947" i="8"/>
  <c r="B920" i="9"/>
  <c r="D893" i="9"/>
  <c r="C893" i="9"/>
  <c r="C920" i="9" s="1"/>
  <c r="D946" i="7"/>
  <c r="B972" i="6"/>
  <c r="E945" i="6"/>
  <c r="E972" i="6" s="1"/>
  <c r="C945" i="6"/>
  <c r="C972" i="6" s="1"/>
  <c r="E922" i="7"/>
  <c r="U956" i="8"/>
  <c r="T956" i="8"/>
  <c r="AD873" i="8"/>
  <c r="AS873" i="8" s="1"/>
  <c r="D901" i="8" s="1"/>
  <c r="R873" i="8"/>
  <c r="B901" i="8" s="1"/>
  <c r="AD908" i="8"/>
  <c r="AS908" i="8" s="1"/>
  <c r="R980" i="8"/>
  <c r="B868" i="10"/>
  <c r="R855" i="10"/>
  <c r="R868" i="10" s="1"/>
  <c r="F937" i="6"/>
  <c r="E914" i="10"/>
  <c r="E941" i="10" s="1"/>
  <c r="AS971" i="8"/>
  <c r="AT947" i="8" s="1"/>
  <c r="D938" i="6"/>
  <c r="AU910" i="6"/>
  <c r="AG814" i="8"/>
  <c r="AH801" i="8"/>
  <c r="E940" i="6"/>
  <c r="E967" i="6" s="1"/>
  <c r="B956" i="7"/>
  <c r="C929" i="7"/>
  <c r="C956" i="7" s="1"/>
  <c r="D942" i="6"/>
  <c r="AU914" i="6"/>
  <c r="T953" i="8"/>
  <c r="V953" i="8"/>
  <c r="U953" i="8"/>
  <c r="S938" i="9"/>
  <c r="T938" i="9"/>
  <c r="B940" i="10"/>
  <c r="D913" i="10"/>
  <c r="C913" i="10"/>
  <c r="C940" i="10" s="1"/>
  <c r="B948" i="7"/>
  <c r="C921" i="7"/>
  <c r="C948" i="7" s="1"/>
  <c r="AE1012" i="6"/>
  <c r="AS988" i="6"/>
  <c r="B966" i="6"/>
  <c r="C939" i="6"/>
  <c r="C966" i="6" s="1"/>
  <c r="D897" i="9"/>
  <c r="C897" i="9"/>
  <c r="C924" i="9" s="1"/>
  <c r="B924" i="9"/>
  <c r="B927" i="8"/>
  <c r="C900" i="8"/>
  <c r="C927" i="8" s="1"/>
  <c r="D939" i="6"/>
  <c r="AU911" i="6"/>
  <c r="AG837" i="7"/>
  <c r="AH824" i="7"/>
  <c r="U950" i="8"/>
  <c r="T950" i="8"/>
  <c r="P923" i="9"/>
  <c r="E1024" i="9"/>
  <c r="R896" i="9"/>
  <c r="C1024" i="9"/>
  <c r="Q896" i="9"/>
  <c r="F946" i="10"/>
  <c r="P919" i="10"/>
  <c r="R860" i="9"/>
  <c r="O967" i="9"/>
  <c r="B922" i="9"/>
  <c r="D895" i="9"/>
  <c r="C895" i="9"/>
  <c r="C922" i="9" s="1"/>
  <c r="E932" i="8"/>
  <c r="F905" i="8"/>
  <c r="D921" i="9"/>
  <c r="F894" i="9"/>
  <c r="D933" i="8"/>
  <c r="B903" i="7"/>
  <c r="R1009" i="7" s="1"/>
  <c r="AD890" i="7"/>
  <c r="R890" i="7"/>
  <c r="AD925" i="7"/>
  <c r="R997" i="7"/>
  <c r="B973" i="6"/>
  <c r="C946" i="6"/>
  <c r="C973" i="6" s="1"/>
  <c r="E1071" i="6"/>
  <c r="C1071" i="6"/>
  <c r="U943" i="6"/>
  <c r="S970" i="6"/>
  <c r="T943" i="6"/>
  <c r="F910" i="10"/>
  <c r="D937" i="10"/>
  <c r="B914" i="9"/>
  <c r="D887" i="9"/>
  <c r="C887" i="9"/>
  <c r="C914" i="9" s="1"/>
  <c r="F890" i="9"/>
  <c r="D917" i="9"/>
  <c r="R864" i="9"/>
  <c r="O971" i="9"/>
  <c r="D956" i="7"/>
  <c r="B917" i="10"/>
  <c r="J807" i="10"/>
  <c r="AD911" i="8"/>
  <c r="AS911" i="8" s="1"/>
  <c r="AD876" i="8"/>
  <c r="AS876" i="8" s="1"/>
  <c r="D904" i="8" s="1"/>
  <c r="R876" i="8"/>
  <c r="B904" i="8" s="1"/>
  <c r="R983" i="8"/>
  <c r="AO851" i="9"/>
  <c r="AT838" i="9"/>
  <c r="AT851" i="9" s="1"/>
  <c r="D927" i="8"/>
  <c r="F896" i="8"/>
  <c r="E811" i="10"/>
  <c r="F798" i="10"/>
  <c r="D967" i="6"/>
  <c r="B936" i="6"/>
  <c r="R921" i="6"/>
  <c r="B929" i="8"/>
  <c r="C902" i="8"/>
  <c r="C929" i="8" s="1"/>
  <c r="E902" i="8"/>
  <c r="E929" i="8" s="1"/>
  <c r="AD902" i="8"/>
  <c r="AD867" i="8"/>
  <c r="R867" i="8"/>
  <c r="B880" i="8"/>
  <c r="R986" i="8" s="1"/>
  <c r="R974" i="8"/>
  <c r="E912" i="10"/>
  <c r="E939" i="10" s="1"/>
  <c r="AU918" i="6"/>
  <c r="D946" i="6"/>
  <c r="D945" i="6"/>
  <c r="AU917" i="6"/>
  <c r="D952" i="7"/>
  <c r="P950" i="7"/>
  <c r="E1051" i="7"/>
  <c r="R923" i="7"/>
  <c r="C1051" i="7"/>
  <c r="Q923" i="7"/>
  <c r="D954" i="7"/>
  <c r="B943" i="10"/>
  <c r="C916" i="10"/>
  <c r="C943" i="10" s="1"/>
  <c r="D916" i="10"/>
  <c r="R858" i="9"/>
  <c r="R871" i="9" s="1"/>
  <c r="B871" i="9"/>
  <c r="O977" i="9" s="1"/>
  <c r="O965" i="9"/>
  <c r="AE915" i="8"/>
  <c r="E903" i="8"/>
  <c r="B971" i="6"/>
  <c r="C944" i="6"/>
  <c r="C971" i="6" s="1"/>
  <c r="R883" i="10"/>
  <c r="R896" i="10" s="1"/>
  <c r="M896" i="10"/>
  <c r="B942" i="10"/>
  <c r="D915" i="10"/>
  <c r="C915" i="10"/>
  <c r="C942" i="10" s="1"/>
  <c r="AD921" i="6"/>
  <c r="AS908" i="6"/>
  <c r="T976" i="7"/>
  <c r="U976" i="7"/>
  <c r="V976" i="7"/>
  <c r="AE903" i="7"/>
  <c r="D929" i="8"/>
  <c r="B933" i="8"/>
  <c r="C906" i="8"/>
  <c r="C933" i="8" s="1"/>
  <c r="B953" i="7"/>
  <c r="C926" i="7"/>
  <c r="C953" i="7" s="1"/>
  <c r="E955" i="7"/>
  <c r="F928" i="7"/>
  <c r="D891" i="9"/>
  <c r="C891" i="9"/>
  <c r="C918" i="9" s="1"/>
  <c r="B918" i="9"/>
  <c r="F945" i="10"/>
  <c r="P918" i="10"/>
  <c r="C919" i="7"/>
  <c r="C946" i="7" s="1"/>
  <c r="B946" i="7"/>
  <c r="D948" i="7"/>
  <c r="AG816" i="9"/>
  <c r="AH803" i="9"/>
  <c r="F947" i="6"/>
  <c r="F899" i="8"/>
  <c r="J801" i="10"/>
  <c r="B911" i="10"/>
  <c r="R870" i="8"/>
  <c r="B898" i="8" s="1"/>
  <c r="AD905" i="8"/>
  <c r="AS905" i="8" s="1"/>
  <c r="AD870" i="8"/>
  <c r="AS870" i="8" s="1"/>
  <c r="D898" i="8" s="1"/>
  <c r="R977" i="8"/>
  <c r="AU916" i="6"/>
  <c r="D944" i="6"/>
  <c r="AD931" i="7"/>
  <c r="AS931" i="7" s="1"/>
  <c r="AD896" i="7"/>
  <c r="AS896" i="7" s="1"/>
  <c r="D924" i="7" s="1"/>
  <c r="R896" i="7"/>
  <c r="B924" i="7" s="1"/>
  <c r="R1003" i="7"/>
  <c r="D941" i="10"/>
  <c r="F914" i="10"/>
  <c r="AD956" i="6"/>
  <c r="AS943" i="6"/>
  <c r="AS956" i="6" s="1"/>
  <c r="D953" i="7"/>
  <c r="AJ842" i="6"/>
  <c r="AH855" i="6"/>
  <c r="B952" i="7"/>
  <c r="E925" i="7"/>
  <c r="E952" i="7" s="1"/>
  <c r="C925" i="7"/>
  <c r="C952" i="7" s="1"/>
  <c r="F924" i="8"/>
  <c r="P897" i="8"/>
  <c r="C927" i="7"/>
  <c r="C954" i="7" s="1"/>
  <c r="B954" i="7"/>
  <c r="B892" i="9"/>
  <c r="AL809" i="9"/>
  <c r="U968" i="6"/>
  <c r="T968" i="6"/>
  <c r="B965" i="6"/>
  <c r="C938" i="6"/>
  <c r="C965" i="6" s="1"/>
  <c r="AO872" i="7"/>
  <c r="AT859" i="7"/>
  <c r="AT872" i="7" s="1"/>
  <c r="AO849" i="8"/>
  <c r="AT836" i="8"/>
  <c r="AT849" i="8" s="1"/>
  <c r="D939" i="10"/>
  <c r="D889" i="9"/>
  <c r="C889" i="9"/>
  <c r="C916" i="9" s="1"/>
  <c r="B916" i="9"/>
  <c r="E889" i="9"/>
  <c r="E916" i="9" s="1"/>
  <c r="B969" i="6"/>
  <c r="C942" i="6"/>
  <c r="C969" i="6" s="1"/>
  <c r="D903" i="5"/>
  <c r="C903" i="5"/>
  <c r="L903" i="5" s="1"/>
  <c r="J786" i="5"/>
  <c r="B897" i="5"/>
  <c r="K908" i="5"/>
  <c r="C907" i="5"/>
  <c r="L907" i="5" s="1"/>
  <c r="O907" i="5" s="1"/>
  <c r="G944" i="5" s="1"/>
  <c r="D907" i="5"/>
  <c r="R846" i="5"/>
  <c r="R856" i="5" s="1"/>
  <c r="B856" i="5"/>
  <c r="K899" i="5"/>
  <c r="D906" i="5"/>
  <c r="C906" i="5"/>
  <c r="N904" i="5"/>
  <c r="O904" i="5" s="1"/>
  <c r="G941" i="5" s="1"/>
  <c r="D905" i="5"/>
  <c r="C905" i="5"/>
  <c r="L905" i="5" s="1"/>
  <c r="F789" i="5"/>
  <c r="E799" i="5"/>
  <c r="L902" i="5"/>
  <c r="R874" i="5"/>
  <c r="R884" i="5" s="1"/>
  <c r="M884" i="5"/>
  <c r="D901" i="5"/>
  <c r="K901" i="5" s="1"/>
  <c r="C901" i="5"/>
  <c r="L901" i="5" s="1"/>
  <c r="N901" i="5" s="1"/>
  <c r="I908" i="5"/>
  <c r="I945" i="5"/>
  <c r="E920" i="4"/>
  <c r="C920" i="4"/>
  <c r="E777" i="4"/>
  <c r="F764" i="4"/>
  <c r="B886" i="4"/>
  <c r="J775" i="4"/>
  <c r="E913" i="4"/>
  <c r="C913" i="4"/>
  <c r="C885" i="4"/>
  <c r="L885" i="4" s="1"/>
  <c r="O885" i="4" s="1"/>
  <c r="G922" i="4" s="1"/>
  <c r="D885" i="4"/>
  <c r="B881" i="4"/>
  <c r="J770" i="4"/>
  <c r="E914" i="4"/>
  <c r="C914" i="4"/>
  <c r="L877" i="4"/>
  <c r="B834" i="4"/>
  <c r="R821" i="4"/>
  <c r="R834" i="4" s="1"/>
  <c r="D879" i="4"/>
  <c r="C879" i="4"/>
  <c r="L879" i="4" s="1"/>
  <c r="N884" i="4"/>
  <c r="N888" i="4" s="1"/>
  <c r="L883" i="4"/>
  <c r="M862" i="4"/>
  <c r="R849" i="4"/>
  <c r="R862" i="4" s="1"/>
  <c r="D880" i="4"/>
  <c r="C880" i="4"/>
  <c r="L880" i="4" s="1"/>
  <c r="B878" i="4"/>
  <c r="J767" i="4"/>
  <c r="K882" i="4"/>
  <c r="R823" i="3"/>
  <c r="R836" i="3" s="1"/>
  <c r="B836" i="3"/>
  <c r="L884" i="3"/>
  <c r="D888" i="3"/>
  <c r="C888" i="3"/>
  <c r="L888" i="3" s="1"/>
  <c r="O888" i="3" s="1"/>
  <c r="G925" i="3" s="1"/>
  <c r="M864" i="3"/>
  <c r="R851" i="3"/>
  <c r="R864" i="3" s="1"/>
  <c r="D882" i="3"/>
  <c r="C882" i="3"/>
  <c r="L882" i="3" s="1"/>
  <c r="I887" i="3"/>
  <c r="I924" i="3"/>
  <c r="E915" i="3"/>
  <c r="C915" i="3"/>
  <c r="E779" i="3"/>
  <c r="F766" i="3"/>
  <c r="K887" i="3"/>
  <c r="D881" i="3"/>
  <c r="K881" i="3" s="1"/>
  <c r="C881" i="3"/>
  <c r="I923" i="3"/>
  <c r="I886" i="3"/>
  <c r="K886" i="3" s="1"/>
  <c r="B883" i="3"/>
  <c r="J772" i="3"/>
  <c r="B880" i="3"/>
  <c r="J769" i="3"/>
  <c r="D879" i="3"/>
  <c r="K879" i="3" s="1"/>
  <c r="C879" i="3"/>
  <c r="E922" i="3"/>
  <c r="C922" i="3"/>
  <c r="F786" i="2"/>
  <c r="E796" i="2"/>
  <c r="D896" i="2"/>
  <c r="C896" i="2"/>
  <c r="L896" i="2" s="1"/>
  <c r="D898" i="2"/>
  <c r="C898" i="2"/>
  <c r="L898" i="2" s="1"/>
  <c r="E942" i="2"/>
  <c r="C942" i="2"/>
  <c r="B903" i="2"/>
  <c r="J792" i="2"/>
  <c r="D902" i="2"/>
  <c r="C902" i="2"/>
  <c r="L902" i="2" s="1"/>
  <c r="B853" i="2"/>
  <c r="D895" i="2"/>
  <c r="K895" i="2" s="1"/>
  <c r="C895" i="2"/>
  <c r="C901" i="2"/>
  <c r="L901" i="2" s="1"/>
  <c r="D901" i="2"/>
  <c r="B900" i="2"/>
  <c r="J789" i="2"/>
  <c r="C904" i="2"/>
  <c r="D904" i="2"/>
  <c r="B894" i="2"/>
  <c r="J783" i="2"/>
  <c r="E946" i="6" l="1"/>
  <c r="E973" i="6" s="1"/>
  <c r="E944" i="6"/>
  <c r="E971" i="6" s="1"/>
  <c r="E926" i="7"/>
  <c r="E953" i="7" s="1"/>
  <c r="E929" i="7"/>
  <c r="E921" i="7"/>
  <c r="E948" i="7" s="1"/>
  <c r="E897" i="9"/>
  <c r="E924" i="9" s="1"/>
  <c r="M1068" i="14"/>
  <c r="O1043" i="14"/>
  <c r="O1070" i="14" s="1"/>
  <c r="M1048" i="14"/>
  <c r="AU1048" i="12"/>
  <c r="U1003" i="12"/>
  <c r="T1003" i="12"/>
  <c r="S1030" i="12"/>
  <c r="C1039" i="14"/>
  <c r="B1066" i="14"/>
  <c r="E1006" i="12"/>
  <c r="E1033" i="12" s="1"/>
  <c r="M1008" i="11"/>
  <c r="O981" i="11"/>
  <c r="D1077" i="14"/>
  <c r="F1050" i="14"/>
  <c r="M1050" i="14"/>
  <c r="D1002" i="12"/>
  <c r="AU974" i="12"/>
  <c r="F1071" i="14"/>
  <c r="AT986" i="14"/>
  <c r="AT993" i="14" s="1"/>
  <c r="AO993" i="14"/>
  <c r="M999" i="11"/>
  <c r="O972" i="11"/>
  <c r="U1097" i="14"/>
  <c r="W1097" i="14"/>
  <c r="AF1138" i="14" s="1"/>
  <c r="T1097" i="14"/>
  <c r="V1097" i="14"/>
  <c r="AF1137" i="14" s="1"/>
  <c r="S1001" i="11"/>
  <c r="U974" i="11"/>
  <c r="T974" i="11"/>
  <c r="D1045" i="13"/>
  <c r="O1001" i="11"/>
  <c r="Q974" i="11"/>
  <c r="AT1050" i="12"/>
  <c r="AU1050" i="12" s="1"/>
  <c r="AT1070" i="12"/>
  <c r="AU1070" i="12" s="1"/>
  <c r="AT1065" i="12"/>
  <c r="AU1065" i="12" s="1"/>
  <c r="AT1059" i="12"/>
  <c r="AU1059" i="12" s="1"/>
  <c r="AT1068" i="12"/>
  <c r="AU1068" i="12" s="1"/>
  <c r="AT1051" i="12"/>
  <c r="AU1051" i="12" s="1"/>
  <c r="AT1061" i="12"/>
  <c r="AU1061" i="12" s="1"/>
  <c r="AT1063" i="12"/>
  <c r="AU1063" i="12" s="1"/>
  <c r="AT1069" i="12"/>
  <c r="AU1069" i="12" s="1"/>
  <c r="AT1054" i="12"/>
  <c r="AU1054" i="12" s="1"/>
  <c r="AT1060" i="12"/>
  <c r="AU1060" i="12" s="1"/>
  <c r="AT1067" i="12"/>
  <c r="AU1067" i="12" s="1"/>
  <c r="AT1066" i="12"/>
  <c r="AU1066" i="12" s="1"/>
  <c r="AT1052" i="12"/>
  <c r="AU1052" i="12" s="1"/>
  <c r="AT1062" i="12"/>
  <c r="AU1062" i="12" s="1"/>
  <c r="AT1064" i="12"/>
  <c r="AU1064" i="12" s="1"/>
  <c r="AT1071" i="12"/>
  <c r="AU1071" i="12" s="1"/>
  <c r="AT1053" i="12"/>
  <c r="AU1053" i="12" s="1"/>
  <c r="AT1049" i="12"/>
  <c r="AU1049" i="12" s="1"/>
  <c r="AT1055" i="12"/>
  <c r="AU1055" i="12" s="1"/>
  <c r="AT1057" i="12"/>
  <c r="AU1057" i="12" s="1"/>
  <c r="AT1056" i="12"/>
  <c r="AU1056" i="12" s="1"/>
  <c r="AT1058" i="12"/>
  <c r="AU1058" i="12" s="1"/>
  <c r="C1035" i="13"/>
  <c r="AS1003" i="12"/>
  <c r="AS1016" i="12" s="1"/>
  <c r="AD1016" i="12"/>
  <c r="D1074" i="14"/>
  <c r="D1039" i="14"/>
  <c r="AU1011" i="14"/>
  <c r="D1046" i="13"/>
  <c r="F1025" i="12"/>
  <c r="AJ902" i="12"/>
  <c r="AH915" i="12"/>
  <c r="M1071" i="14"/>
  <c r="O1044" i="14"/>
  <c r="M977" i="11"/>
  <c r="D1004" i="11"/>
  <c r="E1000" i="12"/>
  <c r="E1027" i="12" s="1"/>
  <c r="E1017" i="13"/>
  <c r="E1044" i="13" s="1"/>
  <c r="AH889" i="11"/>
  <c r="AJ876" i="11"/>
  <c r="F1002" i="11"/>
  <c r="S975" i="11"/>
  <c r="Q1041" i="14"/>
  <c r="R1041" i="14" s="1"/>
  <c r="S1041" i="14" s="1"/>
  <c r="O1068" i="14"/>
  <c r="E1008" i="13"/>
  <c r="E1035" i="13" s="1"/>
  <c r="E977" i="11"/>
  <c r="E1004" i="11" s="1"/>
  <c r="R981" i="12"/>
  <c r="B996" i="12"/>
  <c r="AT1092" i="14"/>
  <c r="AU1092" i="14" s="1"/>
  <c r="AT1096" i="14"/>
  <c r="AU1096" i="14" s="1"/>
  <c r="AT1095" i="14"/>
  <c r="AU1095" i="14" s="1"/>
  <c r="AT1102" i="14"/>
  <c r="AU1102" i="14" s="1"/>
  <c r="AT1112" i="14"/>
  <c r="AU1112" i="14" s="1"/>
  <c r="AT1114" i="14"/>
  <c r="AU1114" i="14" s="1"/>
  <c r="AT1103" i="14"/>
  <c r="AU1103" i="14" s="1"/>
  <c r="AT1100" i="14"/>
  <c r="AU1100" i="14" s="1"/>
  <c r="AT1108" i="14"/>
  <c r="AU1108" i="14" s="1"/>
  <c r="AT1105" i="14"/>
  <c r="AU1105" i="14" s="1"/>
  <c r="AT1097" i="14"/>
  <c r="AU1097" i="14" s="1"/>
  <c r="AT1099" i="14"/>
  <c r="AU1099" i="14" s="1"/>
  <c r="AT1098" i="14"/>
  <c r="AU1098" i="14" s="1"/>
  <c r="AT1113" i="14"/>
  <c r="AU1113" i="14" s="1"/>
  <c r="AT1107" i="14"/>
  <c r="AU1107" i="14" s="1"/>
  <c r="AT1104" i="14"/>
  <c r="AU1104" i="14" s="1"/>
  <c r="AT1111" i="14"/>
  <c r="AU1111" i="14" s="1"/>
  <c r="AT1110" i="14"/>
  <c r="AU1110" i="14" s="1"/>
  <c r="AT1106" i="14"/>
  <c r="AU1106" i="14" s="1"/>
  <c r="AT1094" i="14"/>
  <c r="AU1094" i="14" s="1"/>
  <c r="AT1109" i="14"/>
  <c r="AU1109" i="14" s="1"/>
  <c r="AT1093" i="14"/>
  <c r="AU1093" i="14" s="1"/>
  <c r="AT1101" i="14"/>
  <c r="AU1101" i="14" s="1"/>
  <c r="F1008" i="11"/>
  <c r="S981" i="11"/>
  <c r="D1044" i="13"/>
  <c r="M1017" i="13"/>
  <c r="F1017" i="13"/>
  <c r="F1011" i="13"/>
  <c r="M1011" i="13"/>
  <c r="D1038" i="13"/>
  <c r="E1047" i="14"/>
  <c r="E1074" i="14" s="1"/>
  <c r="M1025" i="12"/>
  <c r="O998" i="12"/>
  <c r="B1003" i="11"/>
  <c r="E976" i="11"/>
  <c r="E1003" i="11" s="1"/>
  <c r="C976" i="11"/>
  <c r="C1003" i="11" s="1"/>
  <c r="E1019" i="13"/>
  <c r="E1046" i="13" s="1"/>
  <c r="AD1052" i="14"/>
  <c r="AD1017" i="14"/>
  <c r="AS1017" i="14" s="1"/>
  <c r="AS1024" i="14" s="1"/>
  <c r="R1017" i="14"/>
  <c r="B1045" i="14" s="1"/>
  <c r="B1052" i="14" s="1"/>
  <c r="R1124" i="14"/>
  <c r="B1024" i="14"/>
  <c r="R1130" i="14" s="1"/>
  <c r="C1005" i="12"/>
  <c r="C1032" i="12" s="1"/>
  <c r="B1032" i="12"/>
  <c r="E1005" i="12"/>
  <c r="E1032" i="12" s="1"/>
  <c r="C973" i="11"/>
  <c r="C1000" i="11" s="1"/>
  <c r="B1000" i="11"/>
  <c r="E973" i="11"/>
  <c r="E1000" i="11" s="1"/>
  <c r="F1031" i="12"/>
  <c r="F1024" i="12"/>
  <c r="E1013" i="13"/>
  <c r="E1040" i="13" s="1"/>
  <c r="AD981" i="12"/>
  <c r="AS968" i="12"/>
  <c r="AU1091" i="14"/>
  <c r="O1043" i="13"/>
  <c r="Q1016" i="13"/>
  <c r="R1016" i="13" s="1"/>
  <c r="S1016" i="13" s="1"/>
  <c r="U1007" i="11"/>
  <c r="T1007" i="11"/>
  <c r="O1049" i="14"/>
  <c r="M1076" i="14"/>
  <c r="D976" i="11"/>
  <c r="AU948" i="11"/>
  <c r="AL945" i="14"/>
  <c r="O1007" i="12"/>
  <c r="M1034" i="12"/>
  <c r="C999" i="12"/>
  <c r="C1026" i="12" s="1"/>
  <c r="B1026" i="12"/>
  <c r="D1042" i="14"/>
  <c r="AU1014" i="14"/>
  <c r="AS1084" i="13"/>
  <c r="AU977" i="12"/>
  <c r="D1005" i="12"/>
  <c r="O975" i="11"/>
  <c r="M1002" i="11"/>
  <c r="D973" i="11"/>
  <c r="AU945" i="11"/>
  <c r="Q1030" i="12"/>
  <c r="R1030" i="12" s="1"/>
  <c r="M1031" i="12"/>
  <c r="O1004" i="12"/>
  <c r="D999" i="12"/>
  <c r="AU971" i="12"/>
  <c r="C1042" i="14"/>
  <c r="C1069" i="14" s="1"/>
  <c r="B1069" i="14"/>
  <c r="D1036" i="13"/>
  <c r="M1067" i="14"/>
  <c r="O1040" i="14"/>
  <c r="M1008" i="13"/>
  <c r="D1035" i="13"/>
  <c r="F1008" i="13"/>
  <c r="D1021" i="13"/>
  <c r="M1075" i="14"/>
  <c r="O1048" i="14"/>
  <c r="O997" i="12"/>
  <c r="M1024" i="12"/>
  <c r="B970" i="11"/>
  <c r="R955" i="11"/>
  <c r="O1042" i="13"/>
  <c r="R1015" i="13"/>
  <c r="S1015" i="13" s="1"/>
  <c r="Q1015" i="13"/>
  <c r="D1027" i="12"/>
  <c r="F1000" i="12"/>
  <c r="M1000" i="12"/>
  <c r="F1034" i="12"/>
  <c r="F1067" i="14"/>
  <c r="E1009" i="13"/>
  <c r="E1036" i="13" s="1"/>
  <c r="S978" i="11"/>
  <c r="F1005" i="11"/>
  <c r="M1073" i="14"/>
  <c r="O1046" i="14"/>
  <c r="F1048" i="14"/>
  <c r="Q1037" i="13"/>
  <c r="R1037" i="13" s="1"/>
  <c r="E1018" i="13"/>
  <c r="E1045" i="13" s="1"/>
  <c r="F1001" i="12"/>
  <c r="D1040" i="13"/>
  <c r="M1013" i="13"/>
  <c r="F1013" i="13"/>
  <c r="D979" i="11"/>
  <c r="AU951" i="11"/>
  <c r="E979" i="11"/>
  <c r="E1006" i="11" s="1"/>
  <c r="C979" i="11"/>
  <c r="C1006" i="11" s="1"/>
  <c r="B1006" i="11"/>
  <c r="F1076" i="14"/>
  <c r="B1014" i="13"/>
  <c r="R993" i="13"/>
  <c r="AU993" i="13" s="1"/>
  <c r="O978" i="11"/>
  <c r="M1005" i="11"/>
  <c r="F1073" i="14"/>
  <c r="AD955" i="11"/>
  <c r="AS942" i="11"/>
  <c r="B1029" i="12"/>
  <c r="C1002" i="12"/>
  <c r="C1029" i="12" s="1"/>
  <c r="AH951" i="14"/>
  <c r="AG958" i="14"/>
  <c r="F999" i="11"/>
  <c r="S972" i="11"/>
  <c r="Q1007" i="11"/>
  <c r="R1007" i="11" s="1"/>
  <c r="D1014" i="13"/>
  <c r="AU986" i="13"/>
  <c r="D1039" i="13"/>
  <c r="M1012" i="13"/>
  <c r="F1012" i="13"/>
  <c r="AD993" i="13"/>
  <c r="S1037" i="13"/>
  <c r="U1010" i="13"/>
  <c r="T1010" i="13"/>
  <c r="D1033" i="12"/>
  <c r="F1006" i="12"/>
  <c r="M1006" i="12"/>
  <c r="AD990" i="11"/>
  <c r="AS977" i="11"/>
  <c r="AS990" i="11" s="1"/>
  <c r="O1001" i="12"/>
  <c r="M1028" i="12"/>
  <c r="AT971" i="8"/>
  <c r="AU947" i="8"/>
  <c r="D918" i="9"/>
  <c r="D892" i="9"/>
  <c r="C892" i="9"/>
  <c r="C919" i="9" s="1"/>
  <c r="B919" i="9"/>
  <c r="AJ855" i="6"/>
  <c r="AL842" i="6"/>
  <c r="AL855" i="6" s="1"/>
  <c r="C924" i="7"/>
  <c r="C951" i="7" s="1"/>
  <c r="B951" i="7"/>
  <c r="C898" i="8"/>
  <c r="C925" i="8" s="1"/>
  <c r="B925" i="8"/>
  <c r="E898" i="8"/>
  <c r="E925" i="8" s="1"/>
  <c r="F921" i="7"/>
  <c r="F955" i="7"/>
  <c r="P928" i="7"/>
  <c r="F902" i="8"/>
  <c r="E916" i="10"/>
  <c r="E943" i="10" s="1"/>
  <c r="Q950" i="7"/>
  <c r="R950" i="7"/>
  <c r="B944" i="10"/>
  <c r="C917" i="10"/>
  <c r="C944" i="10" s="1"/>
  <c r="D917" i="10"/>
  <c r="F917" i="9"/>
  <c r="P890" i="9"/>
  <c r="D914" i="9"/>
  <c r="AS890" i="7"/>
  <c r="AD903" i="7"/>
  <c r="D966" i="6"/>
  <c r="D940" i="10"/>
  <c r="F913" i="10"/>
  <c r="B963" i="6"/>
  <c r="C936" i="6"/>
  <c r="E936" i="6" s="1"/>
  <c r="E963" i="6" s="1"/>
  <c r="B949" i="6"/>
  <c r="D965" i="6"/>
  <c r="B915" i="9"/>
  <c r="D888" i="9"/>
  <c r="C888" i="9"/>
  <c r="C915" i="9" s="1"/>
  <c r="F926" i="7"/>
  <c r="B895" i="8"/>
  <c r="R880" i="8"/>
  <c r="F940" i="6"/>
  <c r="E895" i="9"/>
  <c r="E922" i="9" s="1"/>
  <c r="R923" i="9"/>
  <c r="Q923" i="9"/>
  <c r="E900" i="8"/>
  <c r="AS1012" i="6"/>
  <c r="AT988" i="6" s="1"/>
  <c r="AT1012" i="6" s="1"/>
  <c r="E913" i="10"/>
  <c r="E940" i="10" s="1"/>
  <c r="B938" i="10"/>
  <c r="D911" i="10"/>
  <c r="C911" i="10"/>
  <c r="C938" i="10" s="1"/>
  <c r="D942" i="10"/>
  <c r="F915" i="10"/>
  <c r="E887" i="9"/>
  <c r="E914" i="9" s="1"/>
  <c r="D922" i="9"/>
  <c r="D969" i="6"/>
  <c r="D916" i="9"/>
  <c r="F889" i="9"/>
  <c r="E938" i="6"/>
  <c r="E965" i="6" s="1"/>
  <c r="E927" i="7"/>
  <c r="D971" i="6"/>
  <c r="F944" i="6"/>
  <c r="F926" i="8"/>
  <c r="P899" i="8"/>
  <c r="E919" i="7"/>
  <c r="E915" i="10"/>
  <c r="E942" i="10" s="1"/>
  <c r="AD880" i="8"/>
  <c r="AS867" i="8"/>
  <c r="E939" i="6"/>
  <c r="E966" i="6" s="1"/>
  <c r="AT969" i="8"/>
  <c r="AU969" i="8" s="1"/>
  <c r="AX969" i="8" s="1"/>
  <c r="AT961" i="8"/>
  <c r="AU961" i="8" s="1"/>
  <c r="AX961" i="8" s="1"/>
  <c r="AT960" i="8"/>
  <c r="AU960" i="8" s="1"/>
  <c r="AX960" i="8" s="1"/>
  <c r="AT967" i="8"/>
  <c r="AU967" i="8" s="1"/>
  <c r="AX967" i="8" s="1"/>
  <c r="AT949" i="8"/>
  <c r="AU949" i="8" s="1"/>
  <c r="AX949" i="8" s="1"/>
  <c r="AT953" i="8"/>
  <c r="AU953" i="8" s="1"/>
  <c r="AX953" i="8" s="1"/>
  <c r="AT955" i="8"/>
  <c r="AU955" i="8" s="1"/>
  <c r="AX955" i="8" s="1"/>
  <c r="AT966" i="8"/>
  <c r="AU966" i="8" s="1"/>
  <c r="AX966" i="8" s="1"/>
  <c r="AT962" i="8"/>
  <c r="AU962" i="8" s="1"/>
  <c r="AX962" i="8" s="1"/>
  <c r="AT950" i="8"/>
  <c r="AU950" i="8" s="1"/>
  <c r="AX950" i="8" s="1"/>
  <c r="AT965" i="8"/>
  <c r="AU965" i="8" s="1"/>
  <c r="AX965" i="8" s="1"/>
  <c r="AT963" i="8"/>
  <c r="AU963" i="8" s="1"/>
  <c r="AX963" i="8" s="1"/>
  <c r="AT957" i="8"/>
  <c r="AU957" i="8" s="1"/>
  <c r="AX957" i="8" s="1"/>
  <c r="AT964" i="8"/>
  <c r="AU964" i="8" s="1"/>
  <c r="AX964" i="8" s="1"/>
  <c r="AT970" i="8"/>
  <c r="AU970" i="8" s="1"/>
  <c r="AX970" i="8" s="1"/>
  <c r="AT951" i="8"/>
  <c r="AU951" i="8" s="1"/>
  <c r="AX951" i="8" s="1"/>
  <c r="AT956" i="8"/>
  <c r="AU956" i="8" s="1"/>
  <c r="AX956" i="8" s="1"/>
  <c r="AT948" i="8"/>
  <c r="AU948" i="8" s="1"/>
  <c r="AX948" i="8" s="1"/>
  <c r="AT959" i="8"/>
  <c r="AU959" i="8" s="1"/>
  <c r="AX959" i="8" s="1"/>
  <c r="AT958" i="8"/>
  <c r="AU958" i="8" s="1"/>
  <c r="AX958" i="8" s="1"/>
  <c r="AT952" i="8"/>
  <c r="AU952" i="8" s="1"/>
  <c r="AX952" i="8" s="1"/>
  <c r="AT954" i="8"/>
  <c r="AU954" i="8" s="1"/>
  <c r="AX954" i="8" s="1"/>
  <c r="AT968" i="8"/>
  <c r="AU968" i="8" s="1"/>
  <c r="AX968" i="8" s="1"/>
  <c r="B928" i="8"/>
  <c r="C901" i="8"/>
  <c r="C928" i="8" s="1"/>
  <c r="E901" i="8"/>
  <c r="E928" i="8" s="1"/>
  <c r="AH816" i="9"/>
  <c r="AJ803" i="9"/>
  <c r="E906" i="8"/>
  <c r="D951" i="7"/>
  <c r="E930" i="8"/>
  <c r="F903" i="8"/>
  <c r="F925" i="7"/>
  <c r="F912" i="10"/>
  <c r="C1025" i="8"/>
  <c r="E1025" i="8"/>
  <c r="P924" i="8"/>
  <c r="Q897" i="8"/>
  <c r="R897" i="8"/>
  <c r="F974" i="6"/>
  <c r="S947" i="6"/>
  <c r="P945" i="10"/>
  <c r="R918" i="10"/>
  <c r="Q918" i="10"/>
  <c r="C985" i="10"/>
  <c r="E985" i="10"/>
  <c r="E891" i="9"/>
  <c r="E918" i="9" s="1"/>
  <c r="AD915" i="8"/>
  <c r="AS902" i="8"/>
  <c r="AS915" i="8" s="1"/>
  <c r="F811" i="10"/>
  <c r="H798" i="10"/>
  <c r="C904" i="8"/>
  <c r="C931" i="8" s="1"/>
  <c r="B931" i="8"/>
  <c r="F937" i="10"/>
  <c r="P910" i="10"/>
  <c r="F921" i="9"/>
  <c r="P894" i="9"/>
  <c r="E986" i="10"/>
  <c r="C986" i="10"/>
  <c r="P946" i="10"/>
  <c r="R919" i="10"/>
  <c r="Q919" i="10"/>
  <c r="D928" i="8"/>
  <c r="F901" i="8"/>
  <c r="P914" i="10"/>
  <c r="F941" i="10"/>
  <c r="D973" i="6"/>
  <c r="F946" i="6"/>
  <c r="D931" i="8"/>
  <c r="AH837" i="7"/>
  <c r="AJ824" i="7"/>
  <c r="R947" i="7"/>
  <c r="Q947" i="7"/>
  <c r="E942" i="6"/>
  <c r="E969" i="6" s="1"/>
  <c r="D925" i="8"/>
  <c r="F898" i="8"/>
  <c r="AU908" i="6"/>
  <c r="AS921" i="6"/>
  <c r="AU921" i="6" s="1"/>
  <c r="D936" i="6"/>
  <c r="D943" i="10"/>
  <c r="F916" i="10"/>
  <c r="F945" i="6"/>
  <c r="D972" i="6"/>
  <c r="F923" i="8"/>
  <c r="P896" i="8"/>
  <c r="U970" i="6"/>
  <c r="T970" i="6"/>
  <c r="AD938" i="7"/>
  <c r="AS925" i="7"/>
  <c r="AS938" i="7" s="1"/>
  <c r="F932" i="8"/>
  <c r="P905" i="8"/>
  <c r="AH814" i="8"/>
  <c r="AJ801" i="8"/>
  <c r="F964" i="6"/>
  <c r="S937" i="6"/>
  <c r="D920" i="9"/>
  <c r="D936" i="10"/>
  <c r="F909" i="10"/>
  <c r="R903" i="7"/>
  <c r="B918" i="7"/>
  <c r="D924" i="9"/>
  <c r="F897" i="9"/>
  <c r="E949" i="7"/>
  <c r="F922" i="7"/>
  <c r="E893" i="9"/>
  <c r="E920" i="9" s="1"/>
  <c r="I941" i="5"/>
  <c r="I904" i="5"/>
  <c r="K904" i="5" s="1"/>
  <c r="N902" i="5"/>
  <c r="O902" i="5" s="1"/>
  <c r="E945" i="5"/>
  <c r="C945" i="5"/>
  <c r="I907" i="5"/>
  <c r="K907" i="5" s="1"/>
  <c r="I944" i="5"/>
  <c r="L906" i="5"/>
  <c r="O906" i="5" s="1"/>
  <c r="G943" i="5" s="1"/>
  <c r="D897" i="5"/>
  <c r="K897" i="5" s="1"/>
  <c r="C897" i="5"/>
  <c r="H789" i="5"/>
  <c r="F799" i="5"/>
  <c r="E936" i="5"/>
  <c r="C936" i="5"/>
  <c r="O905" i="5"/>
  <c r="G942" i="5" s="1"/>
  <c r="N905" i="5"/>
  <c r="O903" i="5"/>
  <c r="G940" i="5" s="1"/>
  <c r="N903" i="5"/>
  <c r="E938" i="5"/>
  <c r="C938" i="5"/>
  <c r="E919" i="4"/>
  <c r="C919" i="4"/>
  <c r="D886" i="4"/>
  <c r="C886" i="4"/>
  <c r="L886" i="4" s="1"/>
  <c r="O886" i="4" s="1"/>
  <c r="G923" i="4" s="1"/>
  <c r="D878" i="4"/>
  <c r="C878" i="4"/>
  <c r="L878" i="4" s="1"/>
  <c r="O884" i="4"/>
  <c r="H764" i="4"/>
  <c r="F777" i="4"/>
  <c r="D881" i="4"/>
  <c r="K881" i="4" s="1"/>
  <c r="C881" i="4"/>
  <c r="K880" i="4"/>
  <c r="K879" i="4"/>
  <c r="K885" i="4"/>
  <c r="I885" i="4"/>
  <c r="I922" i="4"/>
  <c r="E923" i="3"/>
  <c r="C923" i="3"/>
  <c r="D880" i="3"/>
  <c r="C880" i="3"/>
  <c r="L880" i="3" s="1"/>
  <c r="H766" i="3"/>
  <c r="F779" i="3"/>
  <c r="I888" i="3"/>
  <c r="K888" i="3" s="1"/>
  <c r="I925" i="3"/>
  <c r="J925" i="3" s="1"/>
  <c r="L879" i="3"/>
  <c r="L881" i="3"/>
  <c r="N884" i="3"/>
  <c r="N890" i="3" s="1"/>
  <c r="O884" i="3"/>
  <c r="C883" i="3"/>
  <c r="L883" i="3" s="1"/>
  <c r="D883" i="3"/>
  <c r="E916" i="3"/>
  <c r="C916" i="3"/>
  <c r="E918" i="3"/>
  <c r="C918" i="3"/>
  <c r="E924" i="3"/>
  <c r="C924" i="3"/>
  <c r="K882" i="3"/>
  <c r="D894" i="2"/>
  <c r="C894" i="2"/>
  <c r="L895" i="2"/>
  <c r="L904" i="2"/>
  <c r="O904" i="2" s="1"/>
  <c r="G941" i="2" s="1"/>
  <c r="O902" i="2"/>
  <c r="N902" i="2"/>
  <c r="N907" i="2" s="1"/>
  <c r="K896" i="2"/>
  <c r="C900" i="2"/>
  <c r="L900" i="2" s="1"/>
  <c r="D900" i="2"/>
  <c r="K900" i="2" s="1"/>
  <c r="E932" i="2"/>
  <c r="C932" i="2"/>
  <c r="K898" i="2"/>
  <c r="K901" i="2"/>
  <c r="C903" i="2"/>
  <c r="D903" i="2"/>
  <c r="H786" i="2"/>
  <c r="F796" i="2"/>
  <c r="E956" i="7" l="1"/>
  <c r="F929" i="7"/>
  <c r="F891" i="9"/>
  <c r="F893" i="9"/>
  <c r="R1024" i="14"/>
  <c r="AU1024" i="14"/>
  <c r="Q1043" i="14"/>
  <c r="R1043" i="14" s="1"/>
  <c r="S1043" i="14" s="1"/>
  <c r="S1070" i="14" s="1"/>
  <c r="AT1115" i="14"/>
  <c r="AU1072" i="12"/>
  <c r="AT1072" i="12"/>
  <c r="S1043" i="13"/>
  <c r="T1016" i="13"/>
  <c r="U1016" i="13"/>
  <c r="S1068" i="14"/>
  <c r="U1041" i="14"/>
  <c r="T1041" i="14"/>
  <c r="AJ951" i="14"/>
  <c r="AH958" i="14"/>
  <c r="F1009" i="13"/>
  <c r="E999" i="12"/>
  <c r="E1026" i="12" s="1"/>
  <c r="Q1049" i="14"/>
  <c r="R1049" i="14" s="1"/>
  <c r="S1049" i="14" s="1"/>
  <c r="O1076" i="14"/>
  <c r="AS1052" i="14"/>
  <c r="AS1059" i="14" s="1"/>
  <c r="AD1059" i="14"/>
  <c r="AD1024" i="14"/>
  <c r="B1023" i="12"/>
  <c r="C996" i="12"/>
  <c r="B1009" i="12"/>
  <c r="E996" i="12"/>
  <c r="E1023" i="12" s="1"/>
  <c r="Q1044" i="14"/>
  <c r="R1044" i="14" s="1"/>
  <c r="S1044" i="14" s="1"/>
  <c r="O1071" i="14"/>
  <c r="M1019" i="13"/>
  <c r="Q978" i="11"/>
  <c r="O1005" i="11"/>
  <c r="U1015" i="13"/>
  <c r="T1015" i="13"/>
  <c r="S1042" i="13"/>
  <c r="M1009" i="13"/>
  <c r="AT1075" i="13"/>
  <c r="AU1075" i="13" s="1"/>
  <c r="AT1066" i="13"/>
  <c r="AU1066" i="13" s="1"/>
  <c r="AT1073" i="13"/>
  <c r="AU1073" i="13" s="1"/>
  <c r="AT1079" i="13"/>
  <c r="AU1079" i="13" s="1"/>
  <c r="AT1078" i="13"/>
  <c r="AU1078" i="13" s="1"/>
  <c r="AT1061" i="13"/>
  <c r="AU1061" i="13" s="1"/>
  <c r="AT1067" i="13"/>
  <c r="AU1067" i="13" s="1"/>
  <c r="AT1064" i="13"/>
  <c r="AU1064" i="13" s="1"/>
  <c r="AT1077" i="13"/>
  <c r="AU1077" i="13" s="1"/>
  <c r="AT1083" i="13"/>
  <c r="AU1083" i="13" s="1"/>
  <c r="AT1082" i="13"/>
  <c r="AU1082" i="13" s="1"/>
  <c r="AT1071" i="13"/>
  <c r="AU1071" i="13" s="1"/>
  <c r="AT1068" i="13"/>
  <c r="AU1068" i="13" s="1"/>
  <c r="AT1080" i="13"/>
  <c r="AU1080" i="13" s="1"/>
  <c r="AT1076" i="13"/>
  <c r="AU1076" i="13" s="1"/>
  <c r="AT1081" i="13"/>
  <c r="AU1081" i="13" s="1"/>
  <c r="AT1063" i="13"/>
  <c r="AU1063" i="13" s="1"/>
  <c r="AT1062" i="13"/>
  <c r="AU1062" i="13" s="1"/>
  <c r="AT1070" i="13"/>
  <c r="AU1070" i="13" s="1"/>
  <c r="AT1072" i="13"/>
  <c r="AU1072" i="13" s="1"/>
  <c r="AT1065" i="13"/>
  <c r="AU1065" i="13" s="1"/>
  <c r="AT1074" i="13"/>
  <c r="AU1074" i="13" s="1"/>
  <c r="AT1069" i="13"/>
  <c r="AU1069" i="13" s="1"/>
  <c r="M1038" i="13"/>
  <c r="O1011" i="13"/>
  <c r="AJ889" i="11"/>
  <c r="AL876" i="11"/>
  <c r="AL889" i="11" s="1"/>
  <c r="F1019" i="13"/>
  <c r="M1018" i="13"/>
  <c r="D1029" i="12"/>
  <c r="M1002" i="12"/>
  <c r="F1002" i="12"/>
  <c r="C1066" i="14"/>
  <c r="O1028" i="12"/>
  <c r="Q1001" i="12"/>
  <c r="R1001" i="12" s="1"/>
  <c r="S1001" i="12" s="1"/>
  <c r="U1037" i="13"/>
  <c r="T1037" i="13"/>
  <c r="D1041" i="13"/>
  <c r="Q1042" i="13"/>
  <c r="R1042" i="13" s="1"/>
  <c r="F1035" i="13"/>
  <c r="AT1060" i="13"/>
  <c r="O1034" i="12"/>
  <c r="Q1007" i="12"/>
  <c r="R1007" i="12" s="1"/>
  <c r="S1007" i="12" s="1"/>
  <c r="F1038" i="13"/>
  <c r="AX1113" i="14"/>
  <c r="AX1055" i="12"/>
  <c r="F1018" i="13"/>
  <c r="O999" i="11"/>
  <c r="Q972" i="11"/>
  <c r="M1077" i="14"/>
  <c r="O1050" i="14"/>
  <c r="E1039" i="14"/>
  <c r="E1066" i="14" s="1"/>
  <c r="E1002" i="12"/>
  <c r="E1029" i="12" s="1"/>
  <c r="B1041" i="13"/>
  <c r="C1014" i="13"/>
  <c r="B1021" i="13"/>
  <c r="F979" i="11"/>
  <c r="D1006" i="11"/>
  <c r="M979" i="11"/>
  <c r="F1075" i="14"/>
  <c r="F1044" i="13"/>
  <c r="AJ915" i="12"/>
  <c r="AL902" i="12"/>
  <c r="AL915" i="12" s="1"/>
  <c r="AX1065" i="12"/>
  <c r="F1077" i="14"/>
  <c r="F1039" i="13"/>
  <c r="AU942" i="11"/>
  <c r="AS955" i="11"/>
  <c r="AU955" i="11" s="1"/>
  <c r="D970" i="11"/>
  <c r="F1040" i="13"/>
  <c r="O1073" i="14"/>
  <c r="Q1046" i="14"/>
  <c r="R1046" i="14" s="1"/>
  <c r="S1046" i="14" s="1"/>
  <c r="B997" i="11"/>
  <c r="B983" i="11"/>
  <c r="C970" i="11"/>
  <c r="M1035" i="13"/>
  <c r="O1008" i="13"/>
  <c r="E1042" i="14"/>
  <c r="E1069" i="14" s="1"/>
  <c r="D1000" i="11"/>
  <c r="M973" i="11"/>
  <c r="F973" i="11"/>
  <c r="M1044" i="13"/>
  <c r="O1017" i="13"/>
  <c r="D1066" i="14"/>
  <c r="F1039" i="14"/>
  <c r="M1039" i="14"/>
  <c r="Q1070" i="14"/>
  <c r="R1070" i="14" s="1"/>
  <c r="AX1054" i="12"/>
  <c r="AX1070" i="12"/>
  <c r="M1033" i="12"/>
  <c r="O1006" i="12"/>
  <c r="M1039" i="13"/>
  <c r="O1012" i="13"/>
  <c r="S999" i="11"/>
  <c r="U972" i="11"/>
  <c r="T972" i="11"/>
  <c r="M1040" i="13"/>
  <c r="O1013" i="13"/>
  <c r="O1000" i="12"/>
  <c r="M1027" i="12"/>
  <c r="O1067" i="14"/>
  <c r="Q1040" i="14"/>
  <c r="R1040" i="14" s="1"/>
  <c r="S1040" i="14" s="1"/>
  <c r="AW1100" i="14"/>
  <c r="AX1100" i="14" s="1"/>
  <c r="AW1109" i="14"/>
  <c r="AX1109" i="14" s="1"/>
  <c r="AW1098" i="14"/>
  <c r="AX1098" i="14" s="1"/>
  <c r="AW1108" i="14"/>
  <c r="AX1108" i="14" s="1"/>
  <c r="AW1097" i="14"/>
  <c r="AX1097" i="14" s="1"/>
  <c r="AW1113" i="14"/>
  <c r="AW1096" i="14"/>
  <c r="AX1096" i="14" s="1"/>
  <c r="AW1095" i="14"/>
  <c r="AX1095" i="14" s="1"/>
  <c r="AW1104" i="14"/>
  <c r="AX1104" i="14" s="1"/>
  <c r="AW1106" i="14"/>
  <c r="AX1106" i="14" s="1"/>
  <c r="AW1093" i="14"/>
  <c r="AX1093" i="14" s="1"/>
  <c r="AW1101" i="14"/>
  <c r="AX1101" i="14" s="1"/>
  <c r="AW1091" i="14"/>
  <c r="AX1091" i="14" s="1"/>
  <c r="AW1114" i="14"/>
  <c r="AX1114" i="14" s="1"/>
  <c r="AW1105" i="14"/>
  <c r="AW1099" i="14"/>
  <c r="AX1099" i="14" s="1"/>
  <c r="AW1110" i="14"/>
  <c r="AW1112" i="14"/>
  <c r="AX1112" i="14" s="1"/>
  <c r="AW1094" i="14"/>
  <c r="AX1094" i="14" s="1"/>
  <c r="AW1111" i="14"/>
  <c r="AX1111" i="14" s="1"/>
  <c r="AW1102" i="14"/>
  <c r="AX1102" i="14" s="1"/>
  <c r="AW1092" i="14"/>
  <c r="AW1107" i="14"/>
  <c r="AX1107" i="14" s="1"/>
  <c r="AW1103" i="14"/>
  <c r="AX1103" i="14" s="1"/>
  <c r="D1069" i="14"/>
  <c r="F1042" i="14"/>
  <c r="M1042" i="14"/>
  <c r="Q1043" i="13"/>
  <c r="R1043" i="13" s="1"/>
  <c r="Q998" i="12"/>
  <c r="R998" i="12" s="1"/>
  <c r="S998" i="12" s="1"/>
  <c r="O1025" i="12"/>
  <c r="Q1068" i="14"/>
  <c r="R1068" i="14" s="1"/>
  <c r="F977" i="11"/>
  <c r="M1047" i="14"/>
  <c r="AX1050" i="12"/>
  <c r="U1001" i="11"/>
  <c r="T1001" i="11"/>
  <c r="O1008" i="11"/>
  <c r="Q981" i="11"/>
  <c r="U1030" i="12"/>
  <c r="T1030" i="12"/>
  <c r="F1033" i="12"/>
  <c r="F1027" i="12"/>
  <c r="O1024" i="12"/>
  <c r="Q997" i="12"/>
  <c r="AW1053" i="12"/>
  <c r="AX1053" i="12" s="1"/>
  <c r="R997" i="12"/>
  <c r="S997" i="12" s="1"/>
  <c r="AW1058" i="12"/>
  <c r="AW1049" i="12"/>
  <c r="AX1049" i="12" s="1"/>
  <c r="AW1056" i="12"/>
  <c r="AX1056" i="12" s="1"/>
  <c r="AW1065" i="12"/>
  <c r="AW1063" i="12"/>
  <c r="AX1063" i="12" s="1"/>
  <c r="AW1051" i="12"/>
  <c r="AX1051" i="12" s="1"/>
  <c r="AW1061" i="12"/>
  <c r="AW1050" i="12"/>
  <c r="AW1052" i="12"/>
  <c r="AX1052" i="12" s="1"/>
  <c r="AW1071" i="12"/>
  <c r="AX1071" i="12" s="1"/>
  <c r="AW1067" i="12"/>
  <c r="AX1067" i="12" s="1"/>
  <c r="AW1059" i="12"/>
  <c r="AX1059" i="12" s="1"/>
  <c r="AW1069" i="12"/>
  <c r="AX1069" i="12" s="1"/>
  <c r="AW1054" i="12"/>
  <c r="AW1057" i="12"/>
  <c r="AX1057" i="12" s="1"/>
  <c r="AW1064" i="12"/>
  <c r="AW1055" i="12"/>
  <c r="AW1062" i="12"/>
  <c r="AW1068" i="12"/>
  <c r="AX1068" i="12" s="1"/>
  <c r="AW1048" i="12"/>
  <c r="AW1060" i="12"/>
  <c r="AX1060" i="12" s="1"/>
  <c r="AW1070" i="12"/>
  <c r="AW1066" i="12"/>
  <c r="AX1066" i="12" s="1"/>
  <c r="D1026" i="12"/>
  <c r="O1002" i="11"/>
  <c r="Q975" i="11"/>
  <c r="F976" i="11"/>
  <c r="M976" i="11"/>
  <c r="D1003" i="11"/>
  <c r="AU1115" i="14"/>
  <c r="B1072" i="14"/>
  <c r="C1045" i="14"/>
  <c r="C1072" i="14" s="1"/>
  <c r="T981" i="11"/>
  <c r="S1008" i="11"/>
  <c r="U981" i="11"/>
  <c r="AX1110" i="14"/>
  <c r="AX1105" i="14"/>
  <c r="AX1064" i="12"/>
  <c r="F1028" i="12"/>
  <c r="S1005" i="11"/>
  <c r="U978" i="11"/>
  <c r="T978" i="11"/>
  <c r="R1048" i="14"/>
  <c r="S1048" i="14" s="1"/>
  <c r="O1075" i="14"/>
  <c r="Q1048" i="14"/>
  <c r="O1031" i="12"/>
  <c r="Q1004" i="12"/>
  <c r="R1004" i="12" s="1"/>
  <c r="S1004" i="12" s="1"/>
  <c r="M1005" i="12"/>
  <c r="F1005" i="12"/>
  <c r="D1032" i="12"/>
  <c r="AS981" i="12"/>
  <c r="AU981" i="12" s="1"/>
  <c r="AU968" i="12"/>
  <c r="D996" i="12"/>
  <c r="AU1017" i="14"/>
  <c r="D1045" i="14"/>
  <c r="AX1092" i="14"/>
  <c r="S1002" i="11"/>
  <c r="U975" i="11"/>
  <c r="T975" i="11"/>
  <c r="M1004" i="11"/>
  <c r="O977" i="11"/>
  <c r="F1047" i="14"/>
  <c r="AX1058" i="12"/>
  <c r="AX1062" i="12"/>
  <c r="AX1061" i="12"/>
  <c r="Q1001" i="11"/>
  <c r="R1001" i="11" s="1"/>
  <c r="E981" i="10"/>
  <c r="C981" i="10"/>
  <c r="Q914" i="10"/>
  <c r="R914" i="10"/>
  <c r="P941" i="10"/>
  <c r="P921" i="9"/>
  <c r="C1022" i="9"/>
  <c r="R894" i="9"/>
  <c r="E1022" i="9"/>
  <c r="Q894" i="9"/>
  <c r="R945" i="10"/>
  <c r="Q945" i="10"/>
  <c r="F939" i="10"/>
  <c r="P912" i="10"/>
  <c r="F916" i="9"/>
  <c r="P889" i="9"/>
  <c r="AT1001" i="6"/>
  <c r="AU1001" i="6" s="1"/>
  <c r="AX1001" i="6" s="1"/>
  <c r="AT998" i="6"/>
  <c r="AU998" i="6" s="1"/>
  <c r="AX998" i="6" s="1"/>
  <c r="AT1011" i="6"/>
  <c r="AU1011" i="6" s="1"/>
  <c r="AX1011" i="6" s="1"/>
  <c r="AT1008" i="6"/>
  <c r="AU1008" i="6" s="1"/>
  <c r="AX1008" i="6" s="1"/>
  <c r="AT1003" i="6"/>
  <c r="AU1003" i="6" s="1"/>
  <c r="AX1003" i="6" s="1"/>
  <c r="AT991" i="6"/>
  <c r="AU991" i="6" s="1"/>
  <c r="AX991" i="6" s="1"/>
  <c r="AT1009" i="6"/>
  <c r="AU1009" i="6" s="1"/>
  <c r="AX1009" i="6" s="1"/>
  <c r="AT990" i="6"/>
  <c r="AU990" i="6" s="1"/>
  <c r="AX990" i="6" s="1"/>
  <c r="AT995" i="6"/>
  <c r="AU995" i="6" s="1"/>
  <c r="AX995" i="6" s="1"/>
  <c r="AT993" i="6"/>
  <c r="AU993" i="6" s="1"/>
  <c r="AX993" i="6" s="1"/>
  <c r="AT1007" i="6"/>
  <c r="AU1007" i="6" s="1"/>
  <c r="AX1007" i="6" s="1"/>
  <c r="AT1004" i="6"/>
  <c r="AU1004" i="6" s="1"/>
  <c r="AX1004" i="6" s="1"/>
  <c r="AT994" i="6"/>
  <c r="AU994" i="6" s="1"/>
  <c r="AX994" i="6" s="1"/>
  <c r="AT1006" i="6"/>
  <c r="AU1006" i="6" s="1"/>
  <c r="AX1006" i="6" s="1"/>
  <c r="AT999" i="6"/>
  <c r="AU999" i="6" s="1"/>
  <c r="AX999" i="6" s="1"/>
  <c r="AT992" i="6"/>
  <c r="AU992" i="6" s="1"/>
  <c r="AX992" i="6" s="1"/>
  <c r="AT997" i="6"/>
  <c r="AU997" i="6" s="1"/>
  <c r="AX997" i="6" s="1"/>
  <c r="AT1005" i="6"/>
  <c r="AU1005" i="6" s="1"/>
  <c r="AX1005" i="6" s="1"/>
  <c r="AT1000" i="6"/>
  <c r="AU1000" i="6" s="1"/>
  <c r="AX1000" i="6" s="1"/>
  <c r="AT1010" i="6"/>
  <c r="AU1010" i="6" s="1"/>
  <c r="AX1010" i="6" s="1"/>
  <c r="AT996" i="6"/>
  <c r="AU996" i="6" s="1"/>
  <c r="AX996" i="6" s="1"/>
  <c r="AT989" i="6"/>
  <c r="AU989" i="6" s="1"/>
  <c r="AX989" i="6" s="1"/>
  <c r="AT1002" i="6"/>
  <c r="AU1002" i="6" s="1"/>
  <c r="AX1002" i="6" s="1"/>
  <c r="F953" i="7"/>
  <c r="P926" i="7"/>
  <c r="AS903" i="7"/>
  <c r="D918" i="7"/>
  <c r="P922" i="7"/>
  <c r="F949" i="7"/>
  <c r="P916" i="10"/>
  <c r="F943" i="10"/>
  <c r="P915" i="10"/>
  <c r="F942" i="10"/>
  <c r="F924" i="9"/>
  <c r="P897" i="9"/>
  <c r="F936" i="6"/>
  <c r="D963" i="6"/>
  <c r="D949" i="6"/>
  <c r="AL824" i="7"/>
  <c r="AL837" i="7" s="1"/>
  <c r="AJ837" i="7"/>
  <c r="P901" i="8"/>
  <c r="F928" i="8"/>
  <c r="E1075" i="6"/>
  <c r="C1075" i="6"/>
  <c r="T947" i="6"/>
  <c r="S974" i="6"/>
  <c r="U947" i="6"/>
  <c r="P925" i="7"/>
  <c r="F952" i="7"/>
  <c r="E946" i="7"/>
  <c r="F919" i="7"/>
  <c r="E927" i="8"/>
  <c r="F900" i="8"/>
  <c r="C949" i="6"/>
  <c r="E949" i="6" s="1"/>
  <c r="C963" i="6"/>
  <c r="F920" i="9"/>
  <c r="P893" i="9"/>
  <c r="C895" i="8"/>
  <c r="B922" i="8"/>
  <c r="B908" i="8"/>
  <c r="E908" i="8" s="1"/>
  <c r="E977" i="10"/>
  <c r="P937" i="10"/>
  <c r="R910" i="10"/>
  <c r="C977" i="10"/>
  <c r="Q910" i="10"/>
  <c r="F930" i="8"/>
  <c r="P903" i="8"/>
  <c r="C1027" i="8"/>
  <c r="R899" i="8"/>
  <c r="Q899" i="8"/>
  <c r="P926" i="8"/>
  <c r="E1027" i="8"/>
  <c r="F942" i="6"/>
  <c r="E911" i="10"/>
  <c r="E938" i="10" s="1"/>
  <c r="D915" i="9"/>
  <c r="F887" i="9"/>
  <c r="D919" i="9"/>
  <c r="B908" i="10"/>
  <c r="H811" i="10"/>
  <c r="J798" i="10"/>
  <c r="J811" i="10" s="1"/>
  <c r="E1065" i="6"/>
  <c r="C1065" i="6"/>
  <c r="S964" i="6"/>
  <c r="U937" i="6"/>
  <c r="T937" i="6"/>
  <c r="B945" i="7"/>
  <c r="B931" i="7"/>
  <c r="E931" i="7" s="1"/>
  <c r="C918" i="7"/>
  <c r="AL801" i="8"/>
  <c r="AL814" i="8" s="1"/>
  <c r="AJ814" i="8"/>
  <c r="C1024" i="8"/>
  <c r="E1024" i="8"/>
  <c r="P923" i="8"/>
  <c r="R896" i="8"/>
  <c r="Q896" i="8"/>
  <c r="D938" i="10"/>
  <c r="E888" i="9"/>
  <c r="E915" i="9" s="1"/>
  <c r="P913" i="10"/>
  <c r="F940" i="10"/>
  <c r="E1018" i="9"/>
  <c r="P917" i="9"/>
  <c r="C1018" i="9"/>
  <c r="R890" i="9"/>
  <c r="Q890" i="9"/>
  <c r="E892" i="9"/>
  <c r="E919" i="9" s="1"/>
  <c r="F971" i="6"/>
  <c r="S944" i="6"/>
  <c r="F929" i="8"/>
  <c r="P902" i="8"/>
  <c r="F918" i="9"/>
  <c r="P891" i="9"/>
  <c r="F936" i="10"/>
  <c r="P909" i="10"/>
  <c r="C1033" i="8"/>
  <c r="P932" i="8"/>
  <c r="Q905" i="8"/>
  <c r="E1033" i="8"/>
  <c r="R905" i="8"/>
  <c r="F973" i="6"/>
  <c r="S946" i="6"/>
  <c r="Q946" i="10"/>
  <c r="R946" i="10"/>
  <c r="E904" i="8"/>
  <c r="R924" i="8"/>
  <c r="Q924" i="8"/>
  <c r="F895" i="9"/>
  <c r="F967" i="6"/>
  <c r="S940" i="6"/>
  <c r="F938" i="6"/>
  <c r="F939" i="6"/>
  <c r="D944" i="10"/>
  <c r="P955" i="7"/>
  <c r="R928" i="7"/>
  <c r="E1056" i="7"/>
  <c r="Q928" i="7"/>
  <c r="C1056" i="7"/>
  <c r="E924" i="7"/>
  <c r="F925" i="8"/>
  <c r="P898" i="8"/>
  <c r="F972" i="6"/>
  <c r="S945" i="6"/>
  <c r="E933" i="8"/>
  <c r="F906" i="8"/>
  <c r="D895" i="8"/>
  <c r="AS880" i="8"/>
  <c r="E954" i="7"/>
  <c r="F927" i="7"/>
  <c r="AU988" i="6"/>
  <c r="E917" i="10"/>
  <c r="E944" i="10" s="1"/>
  <c r="AU971" i="8"/>
  <c r="AX947" i="8"/>
  <c r="AX971" i="8" s="1"/>
  <c r="AJ816" i="9"/>
  <c r="B886" i="9"/>
  <c r="AL803" i="9"/>
  <c r="AL816" i="9" s="1"/>
  <c r="P921" i="7"/>
  <c r="F948" i="7"/>
  <c r="O910" i="5"/>
  <c r="G939" i="5"/>
  <c r="E944" i="5"/>
  <c r="C944" i="5"/>
  <c r="B900" i="5"/>
  <c r="J789" i="5"/>
  <c r="J799" i="5" s="1"/>
  <c r="H799" i="5"/>
  <c r="I940" i="5"/>
  <c r="J942" i="5" s="1"/>
  <c r="I903" i="5"/>
  <c r="K903" i="5" s="1"/>
  <c r="L897" i="5"/>
  <c r="E934" i="5"/>
  <c r="C934" i="5"/>
  <c r="I906" i="5"/>
  <c r="K906" i="5" s="1"/>
  <c r="I943" i="5"/>
  <c r="J945" i="5" s="1"/>
  <c r="E941" i="5"/>
  <c r="C941" i="5"/>
  <c r="I942" i="5"/>
  <c r="I905" i="5"/>
  <c r="K905" i="5" s="1"/>
  <c r="B875" i="4"/>
  <c r="J764" i="4"/>
  <c r="J777" i="4" s="1"/>
  <c r="H777" i="4"/>
  <c r="O888" i="4"/>
  <c r="G921" i="4"/>
  <c r="E922" i="4"/>
  <c r="C922" i="4"/>
  <c r="E916" i="4"/>
  <c r="C916" i="4"/>
  <c r="K878" i="4"/>
  <c r="I886" i="4"/>
  <c r="I923" i="4"/>
  <c r="E917" i="4"/>
  <c r="C917" i="4"/>
  <c r="L881" i="4"/>
  <c r="K886" i="4"/>
  <c r="E918" i="4"/>
  <c r="F920" i="4" s="1"/>
  <c r="C918" i="4"/>
  <c r="E925" i="3"/>
  <c r="C925" i="3"/>
  <c r="K883" i="3"/>
  <c r="E919" i="3"/>
  <c r="C919" i="3"/>
  <c r="K880" i="3"/>
  <c r="O890" i="3"/>
  <c r="G921" i="3"/>
  <c r="B877" i="3"/>
  <c r="H779" i="3"/>
  <c r="J766" i="3"/>
  <c r="J779" i="3" s="1"/>
  <c r="F925" i="3"/>
  <c r="I904" i="2"/>
  <c r="K904" i="2" s="1"/>
  <c r="I941" i="2"/>
  <c r="E937" i="2"/>
  <c r="C937" i="2"/>
  <c r="E935" i="2"/>
  <c r="C935" i="2"/>
  <c r="B897" i="2"/>
  <c r="J786" i="2"/>
  <c r="J796" i="2" s="1"/>
  <c r="H796" i="2"/>
  <c r="L894" i="2"/>
  <c r="L903" i="2"/>
  <c r="O903" i="2" s="1"/>
  <c r="G940" i="2" s="1"/>
  <c r="K894" i="2"/>
  <c r="O907" i="2"/>
  <c r="G939" i="2"/>
  <c r="E933" i="2"/>
  <c r="C933" i="2"/>
  <c r="E938" i="2"/>
  <c r="C938" i="2"/>
  <c r="F956" i="7" l="1"/>
  <c r="P929" i="7"/>
  <c r="F892" i="9"/>
  <c r="F888" i="9"/>
  <c r="U1043" i="14"/>
  <c r="T1043" i="14"/>
  <c r="E1045" i="14"/>
  <c r="E1072" i="14" s="1"/>
  <c r="U1040" i="14"/>
  <c r="T1040" i="14"/>
  <c r="S1067" i="14"/>
  <c r="U1048" i="14"/>
  <c r="S1075" i="14"/>
  <c r="T1048" i="14"/>
  <c r="S1025" i="12"/>
  <c r="U998" i="12"/>
  <c r="T998" i="12"/>
  <c r="AX1115" i="14"/>
  <c r="U1044" i="14"/>
  <c r="S1071" i="14"/>
  <c r="T1044" i="14"/>
  <c r="T1049" i="14"/>
  <c r="S1076" i="14"/>
  <c r="U1049" i="14"/>
  <c r="S1031" i="12"/>
  <c r="U1004" i="12"/>
  <c r="T1004" i="12"/>
  <c r="U1046" i="14"/>
  <c r="T1046" i="14"/>
  <c r="S1073" i="14"/>
  <c r="U1007" i="12"/>
  <c r="T1007" i="12"/>
  <c r="S1034" i="12"/>
  <c r="S1028" i="12"/>
  <c r="U1001" i="12"/>
  <c r="T1001" i="12"/>
  <c r="AL951" i="14"/>
  <c r="AL958" i="14" s="1"/>
  <c r="AJ958" i="14"/>
  <c r="F1032" i="12"/>
  <c r="M999" i="12"/>
  <c r="C1041" i="13"/>
  <c r="C1021" i="13"/>
  <c r="Q999" i="11"/>
  <c r="R999" i="11" s="1"/>
  <c r="M1045" i="13"/>
  <c r="O1018" i="13"/>
  <c r="F1074" i="14"/>
  <c r="O1005" i="12"/>
  <c r="M1032" i="12"/>
  <c r="F999" i="12"/>
  <c r="S1024" i="12"/>
  <c r="U997" i="12"/>
  <c r="T997" i="12"/>
  <c r="Q1025" i="12"/>
  <c r="R1025" i="12" s="1"/>
  <c r="O1035" i="13"/>
  <c r="Q1008" i="13"/>
  <c r="Q1073" i="14"/>
  <c r="R1073" i="14" s="1"/>
  <c r="U1070" i="14"/>
  <c r="T1070" i="14"/>
  <c r="E1014" i="13"/>
  <c r="F1045" i="13"/>
  <c r="E1009" i="12"/>
  <c r="Q1076" i="14"/>
  <c r="R1076" i="14" s="1"/>
  <c r="Q1005" i="11"/>
  <c r="R1005" i="11" s="1"/>
  <c r="O1004" i="11"/>
  <c r="Q977" i="11"/>
  <c r="F1045" i="14"/>
  <c r="F1052" i="14" s="1"/>
  <c r="D1072" i="14"/>
  <c r="M1045" i="14"/>
  <c r="U1005" i="11"/>
  <c r="T1005" i="11"/>
  <c r="M1074" i="14"/>
  <c r="O1047" i="14"/>
  <c r="U999" i="11"/>
  <c r="T999" i="11"/>
  <c r="Q1028" i="12"/>
  <c r="R1028" i="12" s="1"/>
  <c r="O1038" i="13"/>
  <c r="Q1011" i="13"/>
  <c r="R1011" i="13" s="1"/>
  <c r="S1011" i="13" s="1"/>
  <c r="C1023" i="12"/>
  <c r="C1009" i="12"/>
  <c r="U1068" i="14"/>
  <c r="T1068" i="14"/>
  <c r="E1021" i="13"/>
  <c r="U1008" i="11"/>
  <c r="T1008" i="11"/>
  <c r="O976" i="11"/>
  <c r="M1003" i="11"/>
  <c r="F1004" i="11"/>
  <c r="S977" i="11"/>
  <c r="Q1067" i="14"/>
  <c r="R1067" i="14" s="1"/>
  <c r="O1039" i="13"/>
  <c r="Q1012" i="13"/>
  <c r="R1012" i="13" s="1"/>
  <c r="S1012" i="13" s="1"/>
  <c r="O1044" i="13"/>
  <c r="Q1017" i="13"/>
  <c r="R1017" i="13" s="1"/>
  <c r="S1017" i="13" s="1"/>
  <c r="C1052" i="14"/>
  <c r="E1052" i="14" s="1"/>
  <c r="M1036" i="13"/>
  <c r="O1009" i="13"/>
  <c r="F1069" i="14"/>
  <c r="D1023" i="12"/>
  <c r="D1009" i="12"/>
  <c r="M996" i="12"/>
  <c r="F996" i="12"/>
  <c r="Q1031" i="12"/>
  <c r="R1031" i="12" s="1"/>
  <c r="S976" i="11"/>
  <c r="F1003" i="11"/>
  <c r="Q1024" i="12"/>
  <c r="R1024" i="12" s="1"/>
  <c r="Q1008" i="11"/>
  <c r="R1008" i="11" s="1"/>
  <c r="AW1115" i="14"/>
  <c r="M1052" i="14"/>
  <c r="O1052" i="14" s="1"/>
  <c r="M1066" i="14"/>
  <c r="O1039" i="14"/>
  <c r="C997" i="11"/>
  <c r="C983" i="11"/>
  <c r="M1006" i="11"/>
  <c r="O979" i="11"/>
  <c r="Q1034" i="12"/>
  <c r="R1034" i="12" s="1"/>
  <c r="F1046" i="13"/>
  <c r="U1042" i="13"/>
  <c r="T1042" i="13"/>
  <c r="M1046" i="13"/>
  <c r="O1019" i="13"/>
  <c r="AW1072" i="12"/>
  <c r="AX1048" i="12"/>
  <c r="AX1072" i="12" s="1"/>
  <c r="O1027" i="12"/>
  <c r="Q1000" i="12"/>
  <c r="R1000" i="12"/>
  <c r="S1000" i="12" s="1"/>
  <c r="R1006" i="12"/>
  <c r="S1006" i="12" s="1"/>
  <c r="Q1006" i="12"/>
  <c r="O1033" i="12"/>
  <c r="D1052" i="14"/>
  <c r="S973" i="11"/>
  <c r="F1000" i="11"/>
  <c r="E970" i="11"/>
  <c r="E997" i="11" s="1"/>
  <c r="M970" i="11"/>
  <c r="D983" i="11"/>
  <c r="F970" i="11"/>
  <c r="D997" i="11"/>
  <c r="Q1050" i="14"/>
  <c r="R1050" i="14" s="1"/>
  <c r="S1050" i="14" s="1"/>
  <c r="O1077" i="14"/>
  <c r="AT1084" i="13"/>
  <c r="AU1060" i="13"/>
  <c r="F1029" i="12"/>
  <c r="F1036" i="13"/>
  <c r="U1002" i="11"/>
  <c r="T1002" i="11"/>
  <c r="Q1075" i="14"/>
  <c r="R1075" i="14" s="1"/>
  <c r="Q1002" i="11"/>
  <c r="R1002" i="11" s="1"/>
  <c r="M1069" i="14"/>
  <c r="O1042" i="14"/>
  <c r="O1040" i="13"/>
  <c r="Q1013" i="13"/>
  <c r="R1013" i="13" s="1"/>
  <c r="S1013" i="13" s="1"/>
  <c r="F1066" i="14"/>
  <c r="M1000" i="11"/>
  <c r="O973" i="11"/>
  <c r="E983" i="11"/>
  <c r="F1006" i="11"/>
  <c r="S979" i="11"/>
  <c r="M1029" i="12"/>
  <c r="O1002" i="12"/>
  <c r="Q1071" i="14"/>
  <c r="R1071" i="14" s="1"/>
  <c r="U1043" i="13"/>
  <c r="T1043" i="13"/>
  <c r="AU1012" i="6"/>
  <c r="AX988" i="6"/>
  <c r="AX1012" i="6" s="1"/>
  <c r="R955" i="7"/>
  <c r="Q955" i="7"/>
  <c r="R913" i="10"/>
  <c r="E980" i="10"/>
  <c r="Q913" i="10"/>
  <c r="C980" i="10"/>
  <c r="P940" i="10"/>
  <c r="R937" i="10"/>
  <c r="Q937" i="10"/>
  <c r="P916" i="9"/>
  <c r="C1017" i="9"/>
  <c r="Q889" i="9"/>
  <c r="E1017" i="9"/>
  <c r="R889" i="9"/>
  <c r="C1049" i="7"/>
  <c r="R921" i="7"/>
  <c r="P948" i="7"/>
  <c r="Q921" i="7"/>
  <c r="E1049" i="7"/>
  <c r="P927" i="7"/>
  <c r="F954" i="7"/>
  <c r="C1026" i="8"/>
  <c r="E1026" i="8"/>
  <c r="R898" i="8"/>
  <c r="Q898" i="8"/>
  <c r="P925" i="8"/>
  <c r="F917" i="10"/>
  <c r="E976" i="10"/>
  <c r="C976" i="10"/>
  <c r="P936" i="10"/>
  <c r="R909" i="10"/>
  <c r="U964" i="6"/>
  <c r="T964" i="6"/>
  <c r="F914" i="9"/>
  <c r="U974" i="6"/>
  <c r="T974" i="6"/>
  <c r="P943" i="10"/>
  <c r="R916" i="10"/>
  <c r="Q916" i="10"/>
  <c r="C983" i="10"/>
  <c r="E983" i="10"/>
  <c r="T946" i="6"/>
  <c r="E1074" i="6"/>
  <c r="C1074" i="6"/>
  <c r="S973" i="6"/>
  <c r="U946" i="6"/>
  <c r="F911" i="10"/>
  <c r="F927" i="8"/>
  <c r="P900" i="8"/>
  <c r="E979" i="10"/>
  <c r="C979" i="10"/>
  <c r="R912" i="10"/>
  <c r="Q912" i="10"/>
  <c r="P939" i="10"/>
  <c r="R921" i="9"/>
  <c r="Q921" i="9"/>
  <c r="B913" i="9"/>
  <c r="B899" i="9"/>
  <c r="E899" i="9" s="1"/>
  <c r="C886" i="9"/>
  <c r="E886" i="9" s="1"/>
  <c r="E913" i="9" s="1"/>
  <c r="D886" i="9"/>
  <c r="E951" i="7"/>
  <c r="F924" i="7"/>
  <c r="F966" i="6"/>
  <c r="S939" i="6"/>
  <c r="E1019" i="9"/>
  <c r="C1019" i="9"/>
  <c r="R891" i="9"/>
  <c r="Q891" i="9"/>
  <c r="P918" i="9"/>
  <c r="C945" i="7"/>
  <c r="C931" i="7"/>
  <c r="F915" i="9"/>
  <c r="P888" i="9"/>
  <c r="P930" i="8"/>
  <c r="E1031" i="8"/>
  <c r="C1031" i="8"/>
  <c r="R903" i="8"/>
  <c r="Q903" i="8"/>
  <c r="F963" i="6"/>
  <c r="F949" i="6"/>
  <c r="S949" i="6" s="1"/>
  <c r="E1050" i="7"/>
  <c r="C1050" i="7"/>
  <c r="P949" i="7"/>
  <c r="R922" i="7"/>
  <c r="Q922" i="7"/>
  <c r="R941" i="10"/>
  <c r="Q941" i="10"/>
  <c r="D908" i="8"/>
  <c r="D922" i="8"/>
  <c r="F965" i="6"/>
  <c r="S938" i="6"/>
  <c r="C922" i="8"/>
  <c r="C908" i="8"/>
  <c r="P919" i="7"/>
  <c r="F946" i="7"/>
  <c r="P924" i="9"/>
  <c r="C1025" i="9"/>
  <c r="R897" i="9"/>
  <c r="Q897" i="9"/>
  <c r="E1025" i="9"/>
  <c r="D945" i="7"/>
  <c r="D931" i="7"/>
  <c r="F933" i="8"/>
  <c r="P906" i="8"/>
  <c r="E1068" i="6"/>
  <c r="T940" i="6"/>
  <c r="C1068" i="6"/>
  <c r="S967" i="6"/>
  <c r="U940" i="6"/>
  <c r="E1030" i="8"/>
  <c r="C1030" i="8"/>
  <c r="P929" i="8"/>
  <c r="R902" i="8"/>
  <c r="Q902" i="8"/>
  <c r="R917" i="9"/>
  <c r="Q917" i="9"/>
  <c r="E918" i="7"/>
  <c r="E945" i="7" s="1"/>
  <c r="F969" i="6"/>
  <c r="S942" i="6"/>
  <c r="E895" i="8"/>
  <c r="E922" i="8" s="1"/>
  <c r="Q923" i="8"/>
  <c r="R923" i="8"/>
  <c r="B935" i="10"/>
  <c r="B921" i="10"/>
  <c r="E921" i="10" s="1"/>
  <c r="E908" i="10"/>
  <c r="E935" i="10" s="1"/>
  <c r="C908" i="10"/>
  <c r="D908" i="10"/>
  <c r="E1021" i="9"/>
  <c r="C1021" i="9"/>
  <c r="R893" i="9"/>
  <c r="Q893" i="9"/>
  <c r="P920" i="9"/>
  <c r="C1029" i="8"/>
  <c r="R901" i="8"/>
  <c r="P928" i="8"/>
  <c r="Q901" i="8"/>
  <c r="E1029" i="8"/>
  <c r="E1073" i="6"/>
  <c r="F1075" i="6" s="1"/>
  <c r="C1073" i="6"/>
  <c r="T945" i="6"/>
  <c r="S972" i="6"/>
  <c r="U945" i="6"/>
  <c r="F922" i="9"/>
  <c r="P895" i="9"/>
  <c r="E931" i="8"/>
  <c r="F904" i="8"/>
  <c r="Q932" i="8"/>
  <c r="R932" i="8"/>
  <c r="E1072" i="6"/>
  <c r="C1072" i="6"/>
  <c r="U944" i="6"/>
  <c r="T944" i="6"/>
  <c r="S971" i="6"/>
  <c r="F919" i="9"/>
  <c r="P892" i="9"/>
  <c r="R926" i="8"/>
  <c r="Q926" i="8"/>
  <c r="E1053" i="7"/>
  <c r="C1053" i="7"/>
  <c r="R925" i="7"/>
  <c r="P952" i="7"/>
  <c r="Q925" i="7"/>
  <c r="Q915" i="10"/>
  <c r="E982" i="10"/>
  <c r="C982" i="10"/>
  <c r="P942" i="10"/>
  <c r="R915" i="10"/>
  <c r="R926" i="7"/>
  <c r="E1054" i="7"/>
  <c r="Q926" i="7"/>
  <c r="C1054" i="7"/>
  <c r="P953" i="7"/>
  <c r="F983" i="10"/>
  <c r="F936" i="5"/>
  <c r="D900" i="5"/>
  <c r="K900" i="5" s="1"/>
  <c r="C900" i="5"/>
  <c r="B910" i="5"/>
  <c r="D910" i="5" s="1"/>
  <c r="E942" i="5"/>
  <c r="C942" i="5"/>
  <c r="N897" i="5"/>
  <c r="E943" i="5"/>
  <c r="F945" i="5" s="1"/>
  <c r="C943" i="5"/>
  <c r="I939" i="5"/>
  <c r="I902" i="5"/>
  <c r="G948" i="5"/>
  <c r="E940" i="5"/>
  <c r="C940" i="5"/>
  <c r="I884" i="4"/>
  <c r="I921" i="4"/>
  <c r="G926" i="4"/>
  <c r="E923" i="4"/>
  <c r="C923" i="4"/>
  <c r="E915" i="4"/>
  <c r="F917" i="4" s="1"/>
  <c r="C915" i="4"/>
  <c r="D875" i="4"/>
  <c r="K875" i="4" s="1"/>
  <c r="C875" i="4"/>
  <c r="B888" i="4"/>
  <c r="D888" i="4" s="1"/>
  <c r="I921" i="3"/>
  <c r="I884" i="3"/>
  <c r="G928" i="3"/>
  <c r="E917" i="3"/>
  <c r="F919" i="3" s="1"/>
  <c r="C917" i="3"/>
  <c r="E920" i="3"/>
  <c r="C920" i="3"/>
  <c r="B890" i="3"/>
  <c r="D890" i="3" s="1"/>
  <c r="D877" i="3"/>
  <c r="C877" i="3"/>
  <c r="I939" i="2"/>
  <c r="I902" i="2"/>
  <c r="G945" i="2"/>
  <c r="E931" i="2"/>
  <c r="C931" i="2"/>
  <c r="I903" i="2"/>
  <c r="K903" i="2" s="1"/>
  <c r="I940" i="2"/>
  <c r="J942" i="2" s="1"/>
  <c r="D897" i="2"/>
  <c r="C897" i="2"/>
  <c r="B907" i="2"/>
  <c r="D907" i="2" s="1"/>
  <c r="E941" i="2"/>
  <c r="C941" i="2"/>
  <c r="C1057" i="7" l="1"/>
  <c r="E1057" i="7"/>
  <c r="R929" i="7"/>
  <c r="Q929" i="7"/>
  <c r="P956" i="7"/>
  <c r="S1039" i="13"/>
  <c r="U1012" i="13"/>
  <c r="T1012" i="13"/>
  <c r="U1013" i="13"/>
  <c r="T1013" i="13"/>
  <c r="S1040" i="13"/>
  <c r="T1017" i="13"/>
  <c r="S1044" i="13"/>
  <c r="U1017" i="13"/>
  <c r="U1011" i="13"/>
  <c r="T1011" i="13"/>
  <c r="S1038" i="13"/>
  <c r="M1023" i="12"/>
  <c r="O996" i="12"/>
  <c r="M1009" i="12"/>
  <c r="O1009" i="12" s="1"/>
  <c r="Q1004" i="11"/>
  <c r="R1004" i="11" s="1"/>
  <c r="F1026" i="12"/>
  <c r="O1006" i="11"/>
  <c r="Q979" i="11"/>
  <c r="F1009" i="12"/>
  <c r="F1023" i="12"/>
  <c r="U1024" i="12"/>
  <c r="T1024" i="12"/>
  <c r="Q1027" i="12"/>
  <c r="R1027" i="12" s="1"/>
  <c r="T1025" i="12"/>
  <c r="U1025" i="12"/>
  <c r="R1002" i="12"/>
  <c r="S1002" i="12" s="1"/>
  <c r="O1029" i="12"/>
  <c r="Q1002" i="12"/>
  <c r="S1000" i="11"/>
  <c r="U973" i="11"/>
  <c r="T973" i="11"/>
  <c r="R1008" i="13"/>
  <c r="U1073" i="14"/>
  <c r="T1073" i="14"/>
  <c r="Q1077" i="14"/>
  <c r="R1077" i="14" s="1"/>
  <c r="U1076" i="14"/>
  <c r="T1076" i="14"/>
  <c r="U1050" i="14"/>
  <c r="T1050" i="14"/>
  <c r="S1077" i="14"/>
  <c r="Q1035" i="13"/>
  <c r="R1035" i="13" s="1"/>
  <c r="Q1005" i="12"/>
  <c r="O1032" i="12"/>
  <c r="R1005" i="12"/>
  <c r="S1005" i="12" s="1"/>
  <c r="U1075" i="14"/>
  <c r="T1075" i="14"/>
  <c r="U979" i="11"/>
  <c r="T979" i="11"/>
  <c r="S1006" i="11"/>
  <c r="Q1033" i="12"/>
  <c r="R1033" i="12" s="1"/>
  <c r="O1066" i="14"/>
  <c r="Q1039" i="14"/>
  <c r="U977" i="11"/>
  <c r="S1004" i="11"/>
  <c r="T977" i="11"/>
  <c r="Q1038" i="13"/>
  <c r="R1038" i="13" s="1"/>
  <c r="E1041" i="13"/>
  <c r="F1014" i="13"/>
  <c r="M1014" i="13"/>
  <c r="U1071" i="14"/>
  <c r="T1071" i="14"/>
  <c r="Q1039" i="13"/>
  <c r="R1039" i="13" s="1"/>
  <c r="Q1047" i="14"/>
  <c r="R1047" i="14" s="1"/>
  <c r="S1047" i="14" s="1"/>
  <c r="O1074" i="14"/>
  <c r="F983" i="11"/>
  <c r="S983" i="11" s="1"/>
  <c r="F997" i="11"/>
  <c r="S970" i="11"/>
  <c r="O1046" i="13"/>
  <c r="Q1019" i="13"/>
  <c r="R1019" i="13" s="1"/>
  <c r="S1019" i="13" s="1"/>
  <c r="S1003" i="11"/>
  <c r="U976" i="11"/>
  <c r="T976" i="11"/>
  <c r="O1045" i="14"/>
  <c r="M1072" i="14"/>
  <c r="U1067" i="14"/>
  <c r="T1067" i="14"/>
  <c r="Q1018" i="13"/>
  <c r="O1045" i="13"/>
  <c r="R1018" i="13"/>
  <c r="S1018" i="13" s="1"/>
  <c r="Q1040" i="13"/>
  <c r="R1040" i="13" s="1"/>
  <c r="S1033" i="12"/>
  <c r="U1006" i="12"/>
  <c r="T1006" i="12"/>
  <c r="Q1044" i="13"/>
  <c r="R1044" i="13" s="1"/>
  <c r="T1028" i="12"/>
  <c r="U1028" i="12"/>
  <c r="O1000" i="11"/>
  <c r="Q973" i="11"/>
  <c r="Q1042" i="14"/>
  <c r="R1042" i="14" s="1"/>
  <c r="S1042" i="14" s="1"/>
  <c r="O1069" i="14"/>
  <c r="AU1084" i="13"/>
  <c r="O970" i="11"/>
  <c r="M983" i="11"/>
  <c r="O983" i="11" s="1"/>
  <c r="M997" i="11"/>
  <c r="S1027" i="12"/>
  <c r="U1000" i="12"/>
  <c r="T1000" i="12"/>
  <c r="O1036" i="13"/>
  <c r="Q1009" i="13"/>
  <c r="AW1081" i="13"/>
  <c r="AX1081" i="13" s="1"/>
  <c r="AW1078" i="13"/>
  <c r="AX1078" i="13" s="1"/>
  <c r="AW1072" i="13"/>
  <c r="AX1072" i="13" s="1"/>
  <c r="AW1070" i="13"/>
  <c r="AX1070" i="13" s="1"/>
  <c r="AW1068" i="13"/>
  <c r="AX1068" i="13" s="1"/>
  <c r="AW1076" i="13"/>
  <c r="AX1076" i="13" s="1"/>
  <c r="AW1074" i="13"/>
  <c r="AX1074" i="13" s="1"/>
  <c r="AW1080" i="13"/>
  <c r="AX1080" i="13" s="1"/>
  <c r="R1009" i="13"/>
  <c r="S1009" i="13" s="1"/>
  <c r="AW1075" i="13"/>
  <c r="AX1075" i="13" s="1"/>
  <c r="AW1066" i="13"/>
  <c r="AX1066" i="13" s="1"/>
  <c r="AW1060" i="13"/>
  <c r="AX1060" i="13" s="1"/>
  <c r="AW1079" i="13"/>
  <c r="AX1079" i="13" s="1"/>
  <c r="AW1082" i="13"/>
  <c r="AX1082" i="13" s="1"/>
  <c r="AW1062" i="13"/>
  <c r="AX1062" i="13" s="1"/>
  <c r="AW1083" i="13"/>
  <c r="AX1083" i="13" s="1"/>
  <c r="AW1067" i="13"/>
  <c r="AX1067" i="13" s="1"/>
  <c r="AW1064" i="13"/>
  <c r="AX1064" i="13" s="1"/>
  <c r="AW1061" i="13"/>
  <c r="AX1061" i="13" s="1"/>
  <c r="AW1069" i="13"/>
  <c r="AX1069" i="13" s="1"/>
  <c r="AW1063" i="13"/>
  <c r="AX1063" i="13" s="1"/>
  <c r="AW1071" i="13"/>
  <c r="AX1071" i="13" s="1"/>
  <c r="AW1077" i="13"/>
  <c r="AX1077" i="13" s="1"/>
  <c r="AW1065" i="13"/>
  <c r="AX1065" i="13" s="1"/>
  <c r="AW1073" i="13"/>
  <c r="AX1073" i="13" s="1"/>
  <c r="Q976" i="11"/>
  <c r="O1003" i="11"/>
  <c r="F1072" i="14"/>
  <c r="M1026" i="12"/>
  <c r="O999" i="12"/>
  <c r="U1034" i="12"/>
  <c r="T1034" i="12"/>
  <c r="T1031" i="12"/>
  <c r="U1031" i="12"/>
  <c r="R942" i="10"/>
  <c r="Q942" i="10"/>
  <c r="C921" i="10"/>
  <c r="C935" i="10"/>
  <c r="E1064" i="6"/>
  <c r="U936" i="6"/>
  <c r="C1064" i="6"/>
  <c r="S963" i="6"/>
  <c r="T936" i="6"/>
  <c r="E1016" i="9"/>
  <c r="C1016" i="9"/>
  <c r="P915" i="9"/>
  <c r="R888" i="9"/>
  <c r="Q888" i="9"/>
  <c r="U972" i="6"/>
  <c r="T972" i="6"/>
  <c r="F918" i="7"/>
  <c r="C1047" i="7"/>
  <c r="R919" i="7"/>
  <c r="Q919" i="7"/>
  <c r="P946" i="7"/>
  <c r="E1047" i="7"/>
  <c r="E1067" i="6"/>
  <c r="F1069" i="6" s="1"/>
  <c r="C1067" i="6"/>
  <c r="U939" i="6"/>
  <c r="T939" i="6"/>
  <c r="S966" i="6"/>
  <c r="E1028" i="8"/>
  <c r="C1028" i="8"/>
  <c r="P927" i="8"/>
  <c r="R900" i="8"/>
  <c r="Q900" i="8"/>
  <c r="R887" i="9"/>
  <c r="Q887" i="9"/>
  <c r="E1015" i="9"/>
  <c r="C1015" i="9"/>
  <c r="F1019" i="9"/>
  <c r="R953" i="7"/>
  <c r="Q953" i="7"/>
  <c r="R920" i="9"/>
  <c r="Q920" i="9"/>
  <c r="T967" i="6"/>
  <c r="U967" i="6"/>
  <c r="R927" i="7"/>
  <c r="Q927" i="7"/>
  <c r="E1055" i="7"/>
  <c r="F1057" i="7" s="1"/>
  <c r="C1055" i="7"/>
  <c r="P954" i="7"/>
  <c r="E1020" i="9"/>
  <c r="F1022" i="9" s="1"/>
  <c r="C1020" i="9"/>
  <c r="Q892" i="9"/>
  <c r="P919" i="9"/>
  <c r="R892" i="9"/>
  <c r="F951" i="7"/>
  <c r="P924" i="7"/>
  <c r="F938" i="10"/>
  <c r="P911" i="10"/>
  <c r="F944" i="10"/>
  <c r="P917" i="10"/>
  <c r="F1051" i="7"/>
  <c r="F931" i="8"/>
  <c r="P904" i="8"/>
  <c r="E1066" i="6"/>
  <c r="C1066" i="6"/>
  <c r="U938" i="6"/>
  <c r="T938" i="6"/>
  <c r="S965" i="6"/>
  <c r="R918" i="9"/>
  <c r="Q918" i="9"/>
  <c r="Q939" i="10"/>
  <c r="R939" i="10"/>
  <c r="R925" i="8"/>
  <c r="Q925" i="8"/>
  <c r="Q916" i="9"/>
  <c r="R916" i="9"/>
  <c r="R952" i="7"/>
  <c r="Q952" i="7"/>
  <c r="T971" i="6"/>
  <c r="U971" i="6"/>
  <c r="F1031" i="8"/>
  <c r="R949" i="7"/>
  <c r="Q949" i="7"/>
  <c r="D913" i="9"/>
  <c r="D899" i="9"/>
  <c r="F886" i="9"/>
  <c r="T973" i="6"/>
  <c r="U973" i="6"/>
  <c r="R943" i="10"/>
  <c r="Q943" i="10"/>
  <c r="R948" i="7"/>
  <c r="Q948" i="7"/>
  <c r="E1023" i="9"/>
  <c r="F1025" i="9" s="1"/>
  <c r="C1023" i="9"/>
  <c r="P922" i="9"/>
  <c r="R895" i="9"/>
  <c r="Q895" i="9"/>
  <c r="R929" i="8"/>
  <c r="Q929" i="8"/>
  <c r="C1034" i="8"/>
  <c r="E1034" i="8"/>
  <c r="R906" i="8"/>
  <c r="Q906" i="8"/>
  <c r="P933" i="8"/>
  <c r="F895" i="8"/>
  <c r="Q936" i="10"/>
  <c r="R936" i="10"/>
  <c r="R928" i="8"/>
  <c r="Q928" i="8"/>
  <c r="F908" i="10"/>
  <c r="D935" i="10"/>
  <c r="D921" i="10"/>
  <c r="E1070" i="6"/>
  <c r="F1072" i="6" s="1"/>
  <c r="U942" i="6"/>
  <c r="T942" i="6"/>
  <c r="S969" i="6"/>
  <c r="C1070" i="6"/>
  <c r="Q924" i="9"/>
  <c r="R924" i="9"/>
  <c r="Q930" i="8"/>
  <c r="R930" i="8"/>
  <c r="C913" i="9"/>
  <c r="C899" i="9"/>
  <c r="F1028" i="8"/>
  <c r="R940" i="10"/>
  <c r="Q940" i="10"/>
  <c r="F942" i="5"/>
  <c r="I910" i="5"/>
  <c r="K902" i="5"/>
  <c r="I948" i="5"/>
  <c r="J939" i="5"/>
  <c r="L900" i="5"/>
  <c r="C910" i="5"/>
  <c r="E937" i="5"/>
  <c r="C937" i="5"/>
  <c r="E912" i="4"/>
  <c r="C912" i="4"/>
  <c r="J923" i="4"/>
  <c r="I926" i="4"/>
  <c r="L875" i="4"/>
  <c r="L888" i="4" s="1"/>
  <c r="C888" i="4"/>
  <c r="I888" i="4"/>
  <c r="K884" i="4"/>
  <c r="C890" i="3"/>
  <c r="L877" i="3"/>
  <c r="L890" i="3" s="1"/>
  <c r="I890" i="3"/>
  <c r="K884" i="3"/>
  <c r="K877" i="3"/>
  <c r="I928" i="3"/>
  <c r="J922" i="3"/>
  <c r="E940" i="2"/>
  <c r="F942" i="2" s="1"/>
  <c r="C940" i="2"/>
  <c r="F933" i="2"/>
  <c r="L897" i="2"/>
  <c r="L907" i="2" s="1"/>
  <c r="C907" i="2"/>
  <c r="K897" i="2"/>
  <c r="I907" i="2"/>
  <c r="K902" i="2"/>
  <c r="I945" i="2"/>
  <c r="J939" i="2"/>
  <c r="R956" i="7" l="1"/>
  <c r="Q956" i="7"/>
  <c r="AX1084" i="13"/>
  <c r="U1019" i="13"/>
  <c r="T1019" i="13"/>
  <c r="S1046" i="13"/>
  <c r="T1047" i="14"/>
  <c r="S1074" i="14"/>
  <c r="U1047" i="14"/>
  <c r="U1042" i="14"/>
  <c r="T1042" i="14"/>
  <c r="S1069" i="14"/>
  <c r="Q1000" i="11"/>
  <c r="R1000" i="11" s="1"/>
  <c r="O1072" i="14"/>
  <c r="Q1045" i="14"/>
  <c r="R1045" i="14" s="1"/>
  <c r="S1045" i="14" s="1"/>
  <c r="U1077" i="14"/>
  <c r="T1077" i="14"/>
  <c r="S1029" i="12"/>
  <c r="U1002" i="12"/>
  <c r="T1002" i="12"/>
  <c r="U1044" i="13"/>
  <c r="T1044" i="13"/>
  <c r="S1036" i="13"/>
  <c r="U1009" i="13"/>
  <c r="T1009" i="13"/>
  <c r="O997" i="11"/>
  <c r="Q970" i="11"/>
  <c r="Q983" i="11" s="1"/>
  <c r="P983" i="11" s="1"/>
  <c r="M1041" i="13"/>
  <c r="O1014" i="13"/>
  <c r="M1021" i="13"/>
  <c r="O1021" i="13" s="1"/>
  <c r="S1045" i="13"/>
  <c r="T1018" i="13"/>
  <c r="U1018" i="13"/>
  <c r="Q1074" i="14"/>
  <c r="R1074" i="14" s="1"/>
  <c r="F1041" i="13"/>
  <c r="F1021" i="13"/>
  <c r="R1039" i="14"/>
  <c r="S1039" i="14" s="1"/>
  <c r="S1008" i="13"/>
  <c r="O1023" i="12"/>
  <c r="Q996" i="12"/>
  <c r="Q1009" i="12" s="1"/>
  <c r="P1009" i="12" s="1"/>
  <c r="R996" i="12"/>
  <c r="U1040" i="13"/>
  <c r="T1040" i="13"/>
  <c r="O1026" i="12"/>
  <c r="Q999" i="12"/>
  <c r="R999" i="12" s="1"/>
  <c r="S999" i="12" s="1"/>
  <c r="Q1036" i="13"/>
  <c r="R1036" i="13" s="1"/>
  <c r="Q1045" i="13"/>
  <c r="R1045" i="13" s="1"/>
  <c r="U1003" i="11"/>
  <c r="T1003" i="11"/>
  <c r="Q1066" i="14"/>
  <c r="R1066" i="14" s="1"/>
  <c r="S1032" i="12"/>
  <c r="T1005" i="12"/>
  <c r="U1005" i="12"/>
  <c r="Q1032" i="12"/>
  <c r="R1032" i="12" s="1"/>
  <c r="Q1006" i="11"/>
  <c r="R1006" i="11" s="1"/>
  <c r="U1038" i="13"/>
  <c r="T1038" i="13"/>
  <c r="Q1069" i="14"/>
  <c r="R1069" i="14" s="1"/>
  <c r="U1000" i="11"/>
  <c r="T1000" i="11"/>
  <c r="AW1084" i="13"/>
  <c r="T1027" i="12"/>
  <c r="U1027" i="12"/>
  <c r="Q1046" i="13"/>
  <c r="R1046" i="13" s="1"/>
  <c r="U1006" i="11"/>
  <c r="T1006" i="11"/>
  <c r="Q1003" i="11"/>
  <c r="R1003" i="11" s="1"/>
  <c r="T1033" i="12"/>
  <c r="U1033" i="12"/>
  <c r="S997" i="11"/>
  <c r="U970" i="11"/>
  <c r="U983" i="11" s="1"/>
  <c r="T970" i="11"/>
  <c r="T983" i="11" s="1"/>
  <c r="U1004" i="11"/>
  <c r="T1004" i="11"/>
  <c r="Q1029" i="12"/>
  <c r="R1029" i="12" s="1"/>
  <c r="U1039" i="13"/>
  <c r="T1039" i="13"/>
  <c r="R933" i="8"/>
  <c r="Q933" i="8"/>
  <c r="P951" i="7"/>
  <c r="E1052" i="7"/>
  <c r="F1054" i="7" s="1"/>
  <c r="R924" i="7"/>
  <c r="C1052" i="7"/>
  <c r="Q924" i="7"/>
  <c r="T963" i="6"/>
  <c r="U963" i="6"/>
  <c r="R922" i="9"/>
  <c r="Q922" i="9"/>
  <c r="E1032" i="8"/>
  <c r="F1034" i="8" s="1"/>
  <c r="C1032" i="8"/>
  <c r="P931" i="8"/>
  <c r="Q904" i="8"/>
  <c r="R904" i="8"/>
  <c r="C1078" i="6"/>
  <c r="F921" i="10"/>
  <c r="P921" i="10" s="1"/>
  <c r="F935" i="10"/>
  <c r="F899" i="9"/>
  <c r="P899" i="9" s="1"/>
  <c r="F913" i="9"/>
  <c r="P886" i="9"/>
  <c r="R927" i="8"/>
  <c r="Q927" i="8"/>
  <c r="U949" i="6"/>
  <c r="R919" i="9"/>
  <c r="Q919" i="9"/>
  <c r="R946" i="7"/>
  <c r="Q946" i="7"/>
  <c r="E1078" i="6"/>
  <c r="F1066" i="6"/>
  <c r="T965" i="6"/>
  <c r="U965" i="6"/>
  <c r="P944" i="10"/>
  <c r="E984" i="10"/>
  <c r="F986" i="10" s="1"/>
  <c r="C984" i="10"/>
  <c r="R917" i="10"/>
  <c r="Q917" i="10"/>
  <c r="R915" i="9"/>
  <c r="Q915" i="9"/>
  <c r="T969" i="6"/>
  <c r="U969" i="6"/>
  <c r="U966" i="6"/>
  <c r="T966" i="6"/>
  <c r="E978" i="10"/>
  <c r="F980" i="10" s="1"/>
  <c r="C978" i="10"/>
  <c r="R911" i="10"/>
  <c r="P938" i="10"/>
  <c r="Q911" i="10"/>
  <c r="F922" i="8"/>
  <c r="P895" i="8"/>
  <c r="F908" i="8"/>
  <c r="P908" i="8" s="1"/>
  <c r="R954" i="7"/>
  <c r="Q954" i="7"/>
  <c r="R914" i="9"/>
  <c r="Q914" i="9"/>
  <c r="F945" i="7"/>
  <c r="F931" i="7"/>
  <c r="P931" i="7" s="1"/>
  <c r="P918" i="7"/>
  <c r="T949" i="6"/>
  <c r="N900" i="5"/>
  <c r="N910" i="5" s="1"/>
  <c r="L910" i="5"/>
  <c r="E939" i="5"/>
  <c r="F939" i="5" s="1"/>
  <c r="C939" i="5"/>
  <c r="K910" i="5"/>
  <c r="C948" i="5"/>
  <c r="F914" i="4"/>
  <c r="E921" i="4"/>
  <c r="F923" i="4" s="1"/>
  <c r="C921" i="4"/>
  <c r="C926" i="4" s="1"/>
  <c r="K888" i="4"/>
  <c r="K890" i="3"/>
  <c r="E914" i="3"/>
  <c r="C914" i="3"/>
  <c r="E921" i="3"/>
  <c r="F922" i="3" s="1"/>
  <c r="C921" i="3"/>
  <c r="E934" i="2"/>
  <c r="C934" i="2"/>
  <c r="K907" i="2"/>
  <c r="E939" i="2"/>
  <c r="F939" i="2" s="1"/>
  <c r="C939" i="2"/>
  <c r="T1045" i="14" l="1"/>
  <c r="S1072" i="14"/>
  <c r="U1045" i="14"/>
  <c r="T999" i="12"/>
  <c r="S1026" i="12"/>
  <c r="U999" i="12"/>
  <c r="R1009" i="12"/>
  <c r="S1009" i="12" s="1"/>
  <c r="S996" i="12"/>
  <c r="R1052" i="14"/>
  <c r="S1052" i="14" s="1"/>
  <c r="U1045" i="13"/>
  <c r="T1045" i="13"/>
  <c r="R1014" i="13"/>
  <c r="O1041" i="13"/>
  <c r="Q1014" i="13"/>
  <c r="Q1021" i="13" s="1"/>
  <c r="P1021" i="13" s="1"/>
  <c r="Q1072" i="14"/>
  <c r="R1072" i="14" s="1"/>
  <c r="U1074" i="14"/>
  <c r="T1074" i="14"/>
  <c r="Q1052" i="14"/>
  <c r="P1052" i="14" s="1"/>
  <c r="U997" i="11"/>
  <c r="T997" i="11"/>
  <c r="U1032" i="12"/>
  <c r="T1032" i="12"/>
  <c r="Q1023" i="12"/>
  <c r="R1023" i="12" s="1"/>
  <c r="U1046" i="13"/>
  <c r="T1046" i="13"/>
  <c r="S1035" i="13"/>
  <c r="U1008" i="13"/>
  <c r="T1008" i="13"/>
  <c r="Q997" i="11"/>
  <c r="R997" i="11" s="1"/>
  <c r="T1029" i="12"/>
  <c r="U1029" i="12"/>
  <c r="U1036" i="13"/>
  <c r="T1036" i="13"/>
  <c r="Q1026" i="12"/>
  <c r="R1026" i="12" s="1"/>
  <c r="U1069" i="14"/>
  <c r="T1069" i="14"/>
  <c r="E1014" i="9"/>
  <c r="P913" i="9"/>
  <c r="C1014" i="9"/>
  <c r="C1028" i="9" s="1"/>
  <c r="R886" i="9"/>
  <c r="R899" i="9" s="1"/>
  <c r="Q886" i="9"/>
  <c r="Q899" i="9" s="1"/>
  <c r="Q931" i="8"/>
  <c r="R931" i="8"/>
  <c r="E1046" i="7"/>
  <c r="R918" i="7"/>
  <c r="R931" i="7" s="1"/>
  <c r="C1046" i="7"/>
  <c r="C1060" i="7" s="1"/>
  <c r="Q918" i="7"/>
  <c r="Q931" i="7" s="1"/>
  <c r="P945" i="7"/>
  <c r="E1023" i="8"/>
  <c r="C1023" i="8"/>
  <c r="C1037" i="8" s="1"/>
  <c r="P922" i="8"/>
  <c r="R895" i="8"/>
  <c r="R908" i="8" s="1"/>
  <c r="Q895" i="8"/>
  <c r="Q908" i="8" s="1"/>
  <c r="P935" i="10"/>
  <c r="R908" i="10"/>
  <c r="R921" i="10" s="1"/>
  <c r="E975" i="10"/>
  <c r="Q908" i="10"/>
  <c r="C975" i="10"/>
  <c r="C989" i="10" s="1"/>
  <c r="R944" i="10"/>
  <c r="Q944" i="10"/>
  <c r="R951" i="7"/>
  <c r="Q951" i="7"/>
  <c r="R938" i="10"/>
  <c r="Q938" i="10"/>
  <c r="E948" i="5"/>
  <c r="E926" i="4"/>
  <c r="C928" i="3"/>
  <c r="F916" i="3"/>
  <c r="E928" i="3"/>
  <c r="C945" i="2"/>
  <c r="F936" i="2"/>
  <c r="E945" i="2"/>
  <c r="S1066" i="14" l="1"/>
  <c r="T1039" i="14"/>
  <c r="T1052" i="14" s="1"/>
  <c r="U1039" i="14"/>
  <c r="U1052" i="14" s="1"/>
  <c r="S1023" i="12"/>
  <c r="U996" i="12"/>
  <c r="U1009" i="12" s="1"/>
  <c r="T996" i="12"/>
  <c r="T1009" i="12" s="1"/>
  <c r="Q1041" i="13"/>
  <c r="R1041" i="13" s="1"/>
  <c r="U1035" i="13"/>
  <c r="T1035" i="13"/>
  <c r="R1021" i="13"/>
  <c r="S1021" i="13" s="1"/>
  <c r="S1014" i="13"/>
  <c r="U1072" i="14"/>
  <c r="T1072" i="14"/>
  <c r="U1026" i="12"/>
  <c r="T1026" i="12"/>
  <c r="F1048" i="7"/>
  <c r="E1060" i="7"/>
  <c r="Q922" i="8"/>
  <c r="R922" i="8"/>
  <c r="F1025" i="8"/>
  <c r="E1037" i="8"/>
  <c r="F977" i="10"/>
  <c r="E989" i="10"/>
  <c r="R945" i="7"/>
  <c r="Q945" i="7"/>
  <c r="R935" i="10"/>
  <c r="Q935" i="10"/>
  <c r="R913" i="9"/>
  <c r="Q913" i="9"/>
  <c r="E1028" i="9"/>
  <c r="F1016" i="9"/>
  <c r="T1023" i="12" l="1"/>
  <c r="U1023" i="12"/>
  <c r="S1041" i="13"/>
  <c r="T1014" i="13"/>
  <c r="T1021" i="13" s="1"/>
  <c r="U1014" i="13"/>
  <c r="U1021" i="13" s="1"/>
  <c r="U1066" i="14"/>
  <c r="T1066" i="14"/>
  <c r="U1041" i="13" l="1"/>
  <c r="T1041" i="13"/>
</calcChain>
</file>

<file path=xl/sharedStrings.xml><?xml version="1.0" encoding="utf-8"?>
<sst xmlns="http://schemas.openxmlformats.org/spreadsheetml/2006/main" count="43509" uniqueCount="1450">
  <si>
    <t>PRINTED:</t>
  </si>
  <si>
    <t>CENTRAL ARIZONA PROJECT</t>
  </si>
  <si>
    <t>QUARTERLY SYSTEM DEMAND FORECAST</t>
  </si>
  <si>
    <t>(acre-feet)</t>
  </si>
  <si>
    <t>Calendar Year 2008</t>
  </si>
  <si>
    <t>(Deliveries are actuals through December, and projections for the remainder of the year)</t>
  </si>
  <si>
    <t>Revised:  1/19/09</t>
  </si>
  <si>
    <t xml:space="preserve"> </t>
  </si>
  <si>
    <t xml:space="preserve">       JAN</t>
  </si>
  <si>
    <t>FEB</t>
  </si>
  <si>
    <t>MAR</t>
  </si>
  <si>
    <t>1st Qtr</t>
  </si>
  <si>
    <t>APR</t>
  </si>
  <si>
    <t>MAY</t>
  </si>
  <si>
    <t>JUN</t>
  </si>
  <si>
    <t>2nd Qtr</t>
  </si>
  <si>
    <t>JUL</t>
  </si>
  <si>
    <t>AUG</t>
  </si>
  <si>
    <t>SEP</t>
  </si>
  <si>
    <t>3rd Qtr</t>
  </si>
  <si>
    <t>OCT</t>
  </si>
  <si>
    <t>NOV</t>
  </si>
  <si>
    <t>DEC</t>
  </si>
  <si>
    <t>4th Qtr</t>
  </si>
  <si>
    <t>TOTAL</t>
  </si>
  <si>
    <t>TOTAL CUSTOMER DELIVERIES</t>
  </si>
  <si>
    <t>WATER BANK DELIVERIES ***</t>
  </si>
  <si>
    <t>TOTAL CANAL LOSSES</t>
  </si>
  <si>
    <t>MWD LAKE STORAGE THRU T/O</t>
  </si>
  <si>
    <t>SRP/CAP EXCHANGE WATER</t>
  </si>
  <si>
    <t>SALT RIVER PROJECT/XS ($6/AF)</t>
  </si>
  <si>
    <t>WADDELL PUMPING</t>
  </si>
  <si>
    <t>WADDELL RELEASES</t>
  </si>
  <si>
    <t>COLORADO RIVER DIVERSIONS</t>
  </si>
  <si>
    <t>&lt;----------</t>
  </si>
  <si>
    <t>Forbearance of 25kaf as Recovery for MWD</t>
  </si>
  <si>
    <t>COLORADO RIVER ACTUAL</t>
  </si>
  <si>
    <t>msidd  10kaf, caidd  11kaf,  hid  1kaf  (backed out of ag pool)</t>
  </si>
  <si>
    <t>plus credit exchange for balance of 25kaf  (GRD @ AFRP)</t>
  </si>
  <si>
    <t>HAVASU  PP</t>
  </si>
  <si>
    <t>Canal Losses</t>
  </si>
  <si>
    <t>SEGMENT DEMAND</t>
  </si>
  <si>
    <t>SEGMENT AVG FLOW (CFS)</t>
  </si>
  <si>
    <t>VOLUME PASSING HAV</t>
  </si>
  <si>
    <t>FLOW PASSING HAV (CFS)</t>
  </si>
  <si>
    <t>Physical</t>
  </si>
  <si>
    <t>Turnout</t>
  </si>
  <si>
    <t>BOUSE  PP</t>
  </si>
  <si>
    <t>MUNICIPAL &amp; INDUSTRIAL:</t>
  </si>
  <si>
    <t xml:space="preserve">     Subcontract</t>
  </si>
  <si>
    <t xml:space="preserve">     Non-Subcontract</t>
  </si>
  <si>
    <t xml:space="preserve">     CAGRD</t>
  </si>
  <si>
    <t xml:space="preserve">       </t>
  </si>
  <si>
    <t xml:space="preserve">     Miscellaneous</t>
  </si>
  <si>
    <t xml:space="preserve">                    TOTAL M&amp;I</t>
  </si>
  <si>
    <t>AGRICULTURAL:</t>
  </si>
  <si>
    <t xml:space="preserve">     Drought</t>
  </si>
  <si>
    <t xml:space="preserve">     AG Pool</t>
  </si>
  <si>
    <t xml:space="preserve">     Surplus</t>
  </si>
  <si>
    <t xml:space="preserve">                    TOTAL AG</t>
  </si>
  <si>
    <t>FEDERAL:</t>
  </si>
  <si>
    <t xml:space="preserve">     On Reservation</t>
  </si>
  <si>
    <t xml:space="preserve">     Off Reservation</t>
  </si>
  <si>
    <t xml:space="preserve">                    TOTAL FEDERAL</t>
  </si>
  <si>
    <t>RECHARGE:</t>
  </si>
  <si>
    <t xml:space="preserve">     Direct Incentive</t>
  </si>
  <si>
    <t xml:space="preserve">               Pinnacle West Capital Corporation</t>
  </si>
  <si>
    <t xml:space="preserve">     Direct AWBA</t>
  </si>
  <si>
    <t xml:space="preserve">               Ranegras Plain Recharge Project</t>
  </si>
  <si>
    <t xml:space="preserve">     Indirect Incentive</t>
  </si>
  <si>
    <t xml:space="preserve">     Indirect AWBA</t>
  </si>
  <si>
    <t xml:space="preserve">               TOTAL INDIRECT</t>
  </si>
  <si>
    <t xml:space="preserve">               TOTAL RECHARGE</t>
  </si>
  <si>
    <t xml:space="preserve">            TOTAL DELIVERIES</t>
  </si>
  <si>
    <t>VOLUME PASSING BSH</t>
  </si>
  <si>
    <t>FLOW PASSING BSH (CFS)</t>
  </si>
  <si>
    <t>LITTLE HARQUAHALA  PP</t>
  </si>
  <si>
    <t xml:space="preserve">               AZ American (WVC) - TDRP</t>
  </si>
  <si>
    <t xml:space="preserve">               Chandler - TDRP</t>
  </si>
  <si>
    <t xml:space="preserve">               Gilbert - TDRP</t>
  </si>
  <si>
    <t xml:space="preserve">               Surprise - TDRP</t>
  </si>
  <si>
    <t xml:space="preserve">               Harquahala Valley ID</t>
  </si>
  <si>
    <t xml:space="preserve">               Gilbert, town of (TDRP)</t>
  </si>
  <si>
    <t xml:space="preserve">               New Harquahala Generating Co.</t>
  </si>
  <si>
    <t xml:space="preserve">               VF Investments/Vicksburg Farm</t>
  </si>
  <si>
    <t xml:space="preserve">               Vidler Water Company</t>
  </si>
  <si>
    <t xml:space="preserve">               TDRP</t>
  </si>
  <si>
    <t xml:space="preserve">               Tonopah ID</t>
  </si>
  <si>
    <t xml:space="preserve">               Chandler/Assignment - TDRP</t>
  </si>
  <si>
    <t xml:space="preserve">               Chandler/SRPMIC Lease - TDRP</t>
  </si>
  <si>
    <t xml:space="preserve">               Chandler/Welton-Mohawk - TDRP</t>
  </si>
  <si>
    <t xml:space="preserve">               Ak-Chin/Del Webb - TDRP</t>
  </si>
  <si>
    <t xml:space="preserve">               Gilbert/Assignment - TDRP</t>
  </si>
  <si>
    <t xml:space="preserve">               Gilbert/Lease- TDRP</t>
  </si>
  <si>
    <t xml:space="preserve">               Gilbert/Welton-Mohawk - TDRP</t>
  </si>
  <si>
    <t xml:space="preserve">               GRIC exchg w/Chandler - TDRP</t>
  </si>
  <si>
    <t xml:space="preserve">               Az American/WV (TDRP)</t>
  </si>
  <si>
    <t xml:space="preserve">               CAGRD (TDRP)</t>
  </si>
  <si>
    <t xml:space="preserve">               Communities SW (TDRP)</t>
  </si>
  <si>
    <t xml:space="preserve">               Gilbert (TDRP)</t>
  </si>
  <si>
    <t xml:space="preserve">               Pulte/Del Webb (TDRP)</t>
  </si>
  <si>
    <t xml:space="preserve">               Valencia Water Company</t>
  </si>
  <si>
    <t xml:space="preserve">               Water Utility of Greater Tonopah</t>
  </si>
  <si>
    <t xml:space="preserve">               Tonopah Desert Recharge Project</t>
  </si>
  <si>
    <t xml:space="preserve">               Interstate Banking (TDRP)</t>
  </si>
  <si>
    <t xml:space="preserve">               CAGRD/Tonopah ID</t>
  </si>
  <si>
    <t xml:space="preserve">VOLUME PASSING LHQ </t>
  </si>
  <si>
    <t>FLOW PASSING LHQ (CFS)</t>
  </si>
  <si>
    <t>HASSAYAMPA PP</t>
  </si>
  <si>
    <t xml:space="preserve">               Arizona-American (PV)/HMRP</t>
  </si>
  <si>
    <t xml:space="preserve">               Arizona-American WV/MWD</t>
  </si>
  <si>
    <t xml:space="preserve">               Arizona State Land Dept. (ADOT)</t>
  </si>
  <si>
    <t xml:space="preserve">               Avondale (HMRP)</t>
  </si>
  <si>
    <t xml:space="preserve">               CAGRD/AFRP</t>
  </si>
  <si>
    <t xml:space="preserve">               Carefree Water Company</t>
  </si>
  <si>
    <t xml:space="preserve">               Cave Creek Water Company</t>
  </si>
  <si>
    <t xml:space="preserve">               Chandler, City of</t>
  </si>
  <si>
    <t xml:space="preserve">               Chaparral City Water Company</t>
  </si>
  <si>
    <t xml:space="preserve">               Gilbert, Town of</t>
  </si>
  <si>
    <t xml:space="preserve">               Glendale, City of</t>
  </si>
  <si>
    <t xml:space="preserve">               Maricopa County Parks &amp; Rec.</t>
  </si>
  <si>
    <t xml:space="preserve">               Peoria (AFRP and/or HMRP)</t>
  </si>
  <si>
    <t xml:space="preserve">               Phoenix, City of</t>
  </si>
  <si>
    <t xml:space="preserve">               Rio Verde Utilities Company</t>
  </si>
  <si>
    <t xml:space="preserve">               Scottsdale, City of</t>
  </si>
  <si>
    <t xml:space="preserve">               Tempe, City of</t>
  </si>
  <si>
    <t xml:space="preserve">               Tonto Hills Utility Co</t>
  </si>
  <si>
    <t xml:space="preserve">               Ancala Country Club</t>
  </si>
  <si>
    <t xml:space="preserve">               Arizona Wholesale Growers</t>
  </si>
  <si>
    <t xml:space="preserve">               ASU-Karsten Golf Course</t>
  </si>
  <si>
    <t xml:space="preserve">               Gilbert, town of</t>
  </si>
  <si>
    <r>
      <t xml:space="preserve">               Lafarge North America</t>
    </r>
    <r>
      <rPr>
        <sz val="8"/>
        <rFont val="Helv"/>
      </rPr>
      <t>(former Sun State)</t>
    </r>
  </si>
  <si>
    <t xml:space="preserve">               Mazatzal Tree Farm</t>
  </si>
  <si>
    <t xml:space="preserve">               Peoria</t>
  </si>
  <si>
    <t xml:space="preserve">               Recreational Ctr (Scott Shadows)</t>
  </si>
  <si>
    <t xml:space="preserve">               Shea Sunbelt/Vistancia</t>
  </si>
  <si>
    <t xml:space="preserve">               Tonto National Forest</t>
  </si>
  <si>
    <t xml:space="preserve">               thru Agua Fria</t>
  </si>
  <si>
    <t xml:space="preserve">               thru Hieroglyphic</t>
  </si>
  <si>
    <t xml:space="preserve">               thru Scottsdale</t>
  </si>
  <si>
    <t xml:space="preserve">               Maricopa Water District</t>
  </si>
  <si>
    <t xml:space="preserve">               SRP</t>
  </si>
  <si>
    <t xml:space="preserve">               Ak-Chin/Pulte/Anthem - Wad T/O</t>
  </si>
  <si>
    <t xml:space="preserve">               Ak-Chin/Pulte/MWD</t>
  </si>
  <si>
    <t xml:space="preserve">               Ak-Chin/Pulte/Tierra Del Rio pump</t>
  </si>
  <si>
    <t xml:space="preserve">               Ak-Chin/Pulte/Festrival Rch pumps</t>
  </si>
  <si>
    <t xml:space="preserve">               Chandler/Assignment</t>
  </si>
  <si>
    <t xml:space="preserve">               Gilbert/Assignment</t>
  </si>
  <si>
    <t xml:space="preserve">               Glendale/Assignment</t>
  </si>
  <si>
    <t xml:space="preserve">               Mesa/Assignment</t>
  </si>
  <si>
    <t xml:space="preserve">               Phoenix/Assignment</t>
  </si>
  <si>
    <t xml:space="preserve">               Scottsdale/Assignment</t>
  </si>
  <si>
    <t xml:space="preserve">               Tempe/Assignment</t>
  </si>
  <si>
    <t xml:space="preserve">               Phoenix/Fort McDowell</t>
  </si>
  <si>
    <t xml:space="preserve">               GRIC exchg w/Chandler - SRP</t>
  </si>
  <si>
    <t xml:space="preserve">               Peoria/GRIC Settlement Lease</t>
  </si>
  <si>
    <t xml:space="preserve">               Phoenix/GRIC Settlement Lease</t>
  </si>
  <si>
    <t xml:space="preserve">               GRIC/SRP excahnge</t>
  </si>
  <si>
    <t xml:space="preserve">               Scottsdale/GRIC Settlement Lease</t>
  </si>
  <si>
    <t xml:space="preserve">               Chandler/SRPMIC Lease</t>
  </si>
  <si>
    <t xml:space="preserve">               Gilbert/SRPMIC Lease</t>
  </si>
  <si>
    <t xml:space="preserve">               Glendale/SRPMIC Lease</t>
  </si>
  <si>
    <t xml:space="preserve">               Mesa/SRPMIC Lease</t>
  </si>
  <si>
    <t xml:space="preserve">               Phoenix/SRPMIC Lease</t>
  </si>
  <si>
    <t xml:space="preserve">               Scottsdale/SRPMIC Lease</t>
  </si>
  <si>
    <t xml:space="preserve">               Tempe/SRPMIC Lease</t>
  </si>
  <si>
    <t xml:space="preserve">               San Carlos Apache/SRP</t>
  </si>
  <si>
    <t xml:space="preserve">               San Carlos Apache/Scottsdale</t>
  </si>
  <si>
    <t xml:space="preserve">               Chandler/Welton-Mohawk</t>
  </si>
  <si>
    <t xml:space="preserve">               Gilbert/Welton-Mohawk</t>
  </si>
  <si>
    <t xml:space="preserve">               Glendale/Welton-Mohawk</t>
  </si>
  <si>
    <t xml:space="preserve">               Mesa/Welton-Mohawk</t>
  </si>
  <si>
    <t xml:space="preserve">               Phoenix/Welton-Mohawk</t>
  </si>
  <si>
    <t xml:space="preserve">               Scottsdale/Welton-Mohawk</t>
  </si>
  <si>
    <t xml:space="preserve">               Tempe/Welton-Mohawk</t>
  </si>
  <si>
    <t xml:space="preserve">               Scottsdale/Yavapai-Prescott</t>
  </si>
  <si>
    <t xml:space="preserve">               Avondale  (HMRP)</t>
  </si>
  <si>
    <t xml:space="preserve">               CAGRD (AFRP)</t>
  </si>
  <si>
    <t xml:space="preserve">               CAGRD (HMRP)</t>
  </si>
  <si>
    <t xml:space="preserve">               Gilbert/SRP</t>
  </si>
  <si>
    <t xml:space="preserve">               Peoria (HMRP)</t>
  </si>
  <si>
    <t xml:space="preserve">               Scottsdale/Water Campus</t>
  </si>
  <si>
    <t xml:space="preserve">               Agua Fria</t>
  </si>
  <si>
    <t xml:space="preserve">               Interstate Banking (Agua Fria)</t>
  </si>
  <si>
    <t xml:space="preserve">               GRUSP</t>
  </si>
  <si>
    <t xml:space="preserve">               Interstate Banking (GRUSP)</t>
  </si>
  <si>
    <t xml:space="preserve">               Hieroglyphic</t>
  </si>
  <si>
    <t xml:space="preserve">               Interstate Banking (Hieroglyphic)</t>
  </si>
  <si>
    <t xml:space="preserve">               New Riv-Agua Fria(NAUSP)/SRP</t>
  </si>
  <si>
    <t xml:space="preserve">               East Salt River Valley (ESRV)</t>
  </si>
  <si>
    <t xml:space="preserve">               Chandler/SRP</t>
  </si>
  <si>
    <t xml:space="preserve">               Tempe/SRP</t>
  </si>
  <si>
    <t>Maricopa Water District Lake Water (**)</t>
  </si>
  <si>
    <t>SRP/CAP Exchange Water</t>
  </si>
  <si>
    <t>Salt River Project Excess ($10/AF Water)</t>
  </si>
  <si>
    <t>Temporary Water Permits (various locals)</t>
  </si>
  <si>
    <t>Waddell (pumpage)</t>
  </si>
  <si>
    <t>VOLUME PASSING HSY</t>
  </si>
  <si>
    <t>FLOW PASSING HSY (CFS)</t>
  </si>
  <si>
    <t>FLOW AT CS19 (CFS)</t>
  </si>
  <si>
    <t xml:space="preserve">                                           PHX  PLP Turnout (AF)</t>
  </si>
  <si>
    <t>WADDELL PGP</t>
  </si>
  <si>
    <t>Waddell (outflow)</t>
  </si>
  <si>
    <t>SALT GILA PP</t>
  </si>
  <si>
    <t xml:space="preserve">               Apache Junction Water Co</t>
  </si>
  <si>
    <t>MES &amp; P27</t>
  </si>
  <si>
    <t>P26</t>
  </si>
  <si>
    <t xml:space="preserve">               Arizona Water Co. (Apache Junct)</t>
  </si>
  <si>
    <t xml:space="preserve">               Arizona Water Co. (Casa Grande)</t>
  </si>
  <si>
    <t>SRO</t>
  </si>
  <si>
    <t>MES</t>
  </si>
  <si>
    <t xml:space="preserve">               Eloy, City of</t>
  </si>
  <si>
    <t xml:space="preserve">               Florence, Town of</t>
  </si>
  <si>
    <t xml:space="preserve">               H2O Water Company</t>
  </si>
  <si>
    <t>QCR</t>
  </si>
  <si>
    <t xml:space="preserve">               Mesa, City of</t>
  </si>
  <si>
    <t xml:space="preserve">               Queen Creek Water Company</t>
  </si>
  <si>
    <t xml:space="preserve">               Arizona Pacific Materials, LLC</t>
  </si>
  <si>
    <t>NM4</t>
  </si>
  <si>
    <t xml:space="preserve">               Arizona Public Service</t>
  </si>
  <si>
    <t>CGE</t>
  </si>
  <si>
    <t xml:space="preserve">               H20, Inc.</t>
  </si>
  <si>
    <t xml:space="preserve">               Maricopa Drilling Company</t>
  </si>
  <si>
    <t xml:space="preserve">               Mesa Golf Center</t>
  </si>
  <si>
    <t>RWC</t>
  </si>
  <si>
    <t xml:space="preserve">               Oasis Golf Resort</t>
  </si>
  <si>
    <t>NM3</t>
  </si>
  <si>
    <t xml:space="preserve">               Pinal County Dept of Public Works</t>
  </si>
  <si>
    <t xml:space="preserve">               Red Mt Ranch Country Club</t>
  </si>
  <si>
    <t xml:space="preserve">               Red Mt Ranch/HOA</t>
  </si>
  <si>
    <t xml:space="preserve">               Royal Dunes Golf Club</t>
  </si>
  <si>
    <r>
      <t xml:space="preserve">               Shea Homes/Encanterra</t>
    </r>
    <r>
      <rPr>
        <sz val="10"/>
        <rFont val="Helv"/>
      </rPr>
      <t xml:space="preserve"> - NMIDD</t>
    </r>
  </si>
  <si>
    <t>NM1</t>
  </si>
  <si>
    <t xml:space="preserve">               Sonoran Land Group</t>
  </si>
  <si>
    <t xml:space="preserve">               Stone Creek Farm</t>
  </si>
  <si>
    <t>P27</t>
  </si>
  <si>
    <t xml:space="preserve">               Tabletop Nursery</t>
  </si>
  <si>
    <t xml:space="preserve">               Viewpoint RV &amp; Golf Resort</t>
  </si>
  <si>
    <t xml:space="preserve">               thru MSIDD</t>
  </si>
  <si>
    <t xml:space="preserve">               thru QCID</t>
  </si>
  <si>
    <t xml:space="preserve">               thru Superstition Mt Recharge</t>
  </si>
  <si>
    <t>SMR</t>
  </si>
  <si>
    <t>DROUGHT</t>
  </si>
  <si>
    <r>
      <t xml:space="preserve">               CAIDD (SRO) </t>
    </r>
    <r>
      <rPr>
        <sz val="12"/>
        <color indexed="10"/>
        <rFont val="Helv"/>
      </rPr>
      <t>(less recovery)</t>
    </r>
  </si>
  <si>
    <t xml:space="preserve">               Chandler Heights Citris ID</t>
  </si>
  <si>
    <t xml:space="preserve">               Hohokam IDD</t>
  </si>
  <si>
    <t>CGE &amp; KLK</t>
  </si>
  <si>
    <t xml:space="preserve">               Maricopa Stanfield IDD</t>
  </si>
  <si>
    <t xml:space="preserve">               New Magma IDD</t>
  </si>
  <si>
    <t>NM1 - NM4</t>
  </si>
  <si>
    <t xml:space="preserve">               Queen Creek ID</t>
  </si>
  <si>
    <t xml:space="preserve">               Roosevelt Water Conservation Dist</t>
  </si>
  <si>
    <t xml:space="preserve">               San Carlos IDD</t>
  </si>
  <si>
    <t>NSC, FCC, FCA, PIL, CGE</t>
  </si>
  <si>
    <t xml:space="preserve">               Ak-Chin Farm Indian Community</t>
  </si>
  <si>
    <t xml:space="preserve">               Gila River Indian IDD</t>
  </si>
  <si>
    <t>PIL</t>
  </si>
  <si>
    <t xml:space="preserve">               GRIC exchg w/Chandler</t>
  </si>
  <si>
    <t xml:space="preserve">                   GRIC/SRP Settlement Lease w/CAIDD</t>
  </si>
  <si>
    <t>SRO, CMN, SMN</t>
  </si>
  <si>
    <t xml:space="preserve">                   GRIC/SRP Settlement Lease w/MSIDD</t>
  </si>
  <si>
    <t xml:space="preserve">               Chandler/GRIC Settlement Lease</t>
  </si>
  <si>
    <t xml:space="preserve">               Mesa/GRIC Settlement Lease</t>
  </si>
  <si>
    <t xml:space="preserve">            Ft McDowell/PLACEHOLDER</t>
  </si>
  <si>
    <t xml:space="preserve">               Gilbert</t>
  </si>
  <si>
    <t>TDRP</t>
  </si>
  <si>
    <t xml:space="preserve">               Mesa/Red Mt Recharge site</t>
  </si>
  <si>
    <t xml:space="preserve">               NESalt River Valley Recharge</t>
  </si>
  <si>
    <t>P28</t>
  </si>
  <si>
    <t xml:space="preserve">               Queen Creek Recharge Project</t>
  </si>
  <si>
    <t xml:space="preserve">               Active Resource Mgmt/RWCD</t>
  </si>
  <si>
    <t xml:space="preserve">               CAGRD/QCID</t>
  </si>
  <si>
    <t xml:space="preserve">               Chandler/NMIDD</t>
  </si>
  <si>
    <t xml:space="preserve">               Coolidge Power Corp/Hohokam</t>
  </si>
  <si>
    <t xml:space="preserve">               Gilbert/QCID</t>
  </si>
  <si>
    <t xml:space="preserve">               Mesa/RWCD</t>
  </si>
  <si>
    <t xml:space="preserve">               Resolution Copper/HIDD &amp; NMIDD</t>
  </si>
  <si>
    <t>CGE, KLK, MN1 - 4</t>
  </si>
  <si>
    <t xml:space="preserve">               CAIDD/SRO (20%)</t>
  </si>
  <si>
    <t xml:space="preserve">               Interstate (CAIDD/SRO) 20%</t>
  </si>
  <si>
    <t xml:space="preserve">               CHCID</t>
  </si>
  <si>
    <t xml:space="preserve">               GRIIDD</t>
  </si>
  <si>
    <t xml:space="preserve">               Hohokam</t>
  </si>
  <si>
    <t xml:space="preserve">               Interstate (Hohokam)</t>
  </si>
  <si>
    <t xml:space="preserve">               MSIDD</t>
  </si>
  <si>
    <t xml:space="preserve">               Interstate (MSIDD)</t>
  </si>
  <si>
    <t xml:space="preserve">               QCID</t>
  </si>
  <si>
    <t>Salt River Project XS ($10/AF) w/CAIDD</t>
  </si>
  <si>
    <t>Salt River Project XS ($10/AF) w/MSIDD</t>
  </si>
  <si>
    <t>VOLUME PASSING SGL</t>
  </si>
  <si>
    <t>FLOW PASSING SGL (CFS)</t>
  </si>
  <si>
    <t>POOL 30 FLOW (design=2400)</t>
  </si>
  <si>
    <t>POOL 31 FLOW (design=2400)</t>
  </si>
  <si>
    <t>POOL 32 FLOW (design=2400)</t>
  </si>
  <si>
    <t>POOL BRD-A FLOW (design=2400)</t>
  </si>
  <si>
    <t>POOL BRD-B FLOW (design=2250)</t>
  </si>
  <si>
    <t>POOL BRD-C FLOW (design=1200)</t>
  </si>
  <si>
    <t>BRADY PP</t>
  </si>
  <si>
    <t xml:space="preserve">               Picacho Elementary School</t>
  </si>
  <si>
    <r>
      <t xml:space="preserve">               CAIDD (CMAN) </t>
    </r>
    <r>
      <rPr>
        <sz val="12"/>
        <color indexed="10"/>
        <rFont val="Helv"/>
      </rPr>
      <t>(less recovery)</t>
    </r>
  </si>
  <si>
    <t xml:space="preserve">               Sun Lakes Casa Grande, LLC.</t>
  </si>
  <si>
    <t xml:space="preserve">               CAIDD/CMAN (60%)</t>
  </si>
  <si>
    <t xml:space="preserve">               Interstate (CAIDD/CMAN) 60%</t>
  </si>
  <si>
    <t>VOLUME PASSING BRD</t>
  </si>
  <si>
    <t>FLOW PASSING BRD (CFS)</t>
  </si>
  <si>
    <t>PICACHO PP</t>
  </si>
  <si>
    <t xml:space="preserve">               Metro/Kai Farms</t>
  </si>
  <si>
    <t xml:space="preserve">               Oro Valley, Town of/Kai Farms</t>
  </si>
  <si>
    <r>
      <t xml:space="preserve">               CAIDD (SMAN) </t>
    </r>
    <r>
      <rPr>
        <sz val="12"/>
        <color indexed="10"/>
        <rFont val="Helv"/>
      </rPr>
      <t>(less recovery)</t>
    </r>
  </si>
  <si>
    <t xml:space="preserve">               Kai Farms</t>
  </si>
  <si>
    <t xml:space="preserve">               Spanish TrailKai Farms</t>
  </si>
  <si>
    <t xml:space="preserve">               Vail WC/Kai Farms</t>
  </si>
  <si>
    <t xml:space="preserve">               CAIDD/SMAN (20%)</t>
  </si>
  <si>
    <t xml:space="preserve">               Interstate (CAIDD/SMAN) (20%)</t>
  </si>
  <si>
    <t xml:space="preserve">SEGMENT DEMAND </t>
  </si>
  <si>
    <t>VOLUME PASSING PIC</t>
  </si>
  <si>
    <t>FLOW PASSING PIC (CFS)</t>
  </si>
  <si>
    <t>RED ROCK PP</t>
  </si>
  <si>
    <t xml:space="preserve">               Metro/CMID</t>
  </si>
  <si>
    <t xml:space="preserve">               Flowing Wells/LSCRP</t>
  </si>
  <si>
    <t xml:space="preserve">               Metro/BKW</t>
  </si>
  <si>
    <t xml:space="preserve">               Marana/LSCRP</t>
  </si>
  <si>
    <t xml:space="preserve">               Tucson/BKW</t>
  </si>
  <si>
    <r>
      <t xml:space="preserve">        </t>
    </r>
    <r>
      <rPr>
        <sz val="11"/>
        <color theme="1"/>
        <rFont val="Calibri"/>
        <family val="2"/>
        <scheme val="minor"/>
      </rPr>
      <t xml:space="preserve">    LSCRP</t>
    </r>
  </si>
  <si>
    <t xml:space="preserve">               BKW Farms</t>
  </si>
  <si>
    <t xml:space="preserve">               AVRP/MDWID</t>
  </si>
  <si>
    <t xml:space="preserve">               CAGRD/LSCRP</t>
  </si>
  <si>
    <t xml:space="preserve">               Rosemont Copper/LSCRP</t>
  </si>
  <si>
    <t xml:space="preserve">               Avra Valley</t>
  </si>
  <si>
    <t xml:space="preserve">               Interstate (AVRP)</t>
  </si>
  <si>
    <t xml:space="preserve">               LSCRP</t>
  </si>
  <si>
    <t xml:space="preserve">               Interstate (LSCRP)</t>
  </si>
  <si>
    <t>VOLUME PASSING RED</t>
  </si>
  <si>
    <t>FLOW PASSING RED (CFS)</t>
  </si>
  <si>
    <t>TWIN PEAKS PP</t>
  </si>
  <si>
    <t>VOLUME PASSING TWP</t>
  </si>
  <si>
    <t>FLOW PASSING TWP (CFS)</t>
  </si>
  <si>
    <t>SANDARIO PP</t>
  </si>
  <si>
    <t xml:space="preserve">               Tucson/CAVSARP - BKW pumps</t>
  </si>
  <si>
    <t xml:space="preserve">               Tucson/BKW/GSF-Milewide</t>
  </si>
  <si>
    <t xml:space="preserve">               CAVSARP - BKW pumps</t>
  </si>
  <si>
    <t>VOLUME PASSING SAN</t>
  </si>
  <si>
    <t>FLOW PASSING SAN (CFS)</t>
  </si>
  <si>
    <t>BRAWLEY PP</t>
  </si>
  <si>
    <t xml:space="preserve">               Tucson/CAVSARP</t>
  </si>
  <si>
    <t xml:space="preserve">               Tucson/SAVSARP</t>
  </si>
  <si>
    <t xml:space="preserve">               Tohono O'Odham/Schuk Toak</t>
  </si>
  <si>
    <t xml:space="preserve">               CAVSARP</t>
  </si>
  <si>
    <t xml:space="preserve">               CAVSARP (Interstate)</t>
  </si>
  <si>
    <t xml:space="preserve">               SAVSARP</t>
  </si>
  <si>
    <t xml:space="preserve">               SAVSARP (Interstate)</t>
  </si>
  <si>
    <t>VOLUME PASSING BRW</t>
  </si>
  <si>
    <t>FLOW PASSING BRW (CFS)</t>
  </si>
  <si>
    <t>SAN XAVIER PP</t>
  </si>
  <si>
    <t>VOLUME PASSING SXV</t>
  </si>
  <si>
    <t>FLOW PASSING SXV (CFS)</t>
  </si>
  <si>
    <t>SNYDER HILL PP</t>
  </si>
  <si>
    <t xml:space="preserve">               City of Tucson/Plant</t>
  </si>
  <si>
    <t>CAVSARP Recovery System</t>
  </si>
  <si>
    <t>VOLUME PASSING SND</t>
  </si>
  <si>
    <t>FLOW PASSING SND (CFS)</t>
  </si>
  <si>
    <t>BLACK MOUNTAIN PP</t>
  </si>
  <si>
    <t xml:space="preserve">               Green Valley Water District/PMR</t>
  </si>
  <si>
    <t xml:space="preserve">               Tucson/Pima Mine Rd</t>
  </si>
  <si>
    <t xml:space="preserve">               Pima Mine Rd</t>
  </si>
  <si>
    <r>
      <t xml:space="preserve">               San Xavier </t>
    </r>
    <r>
      <rPr>
        <sz val="10"/>
        <rFont val="Helv"/>
      </rPr>
      <t>(incl. Arroyos &amp; ASARCO</t>
    </r>
    <r>
      <rPr>
        <sz val="11"/>
        <color theme="1"/>
        <rFont val="Calibri"/>
        <family val="2"/>
        <scheme val="minor"/>
      </rPr>
      <t>)</t>
    </r>
  </si>
  <si>
    <t xml:space="preserve">               CAGRD/PMR</t>
  </si>
  <si>
    <t xml:space="preserve">               Rosemont Copper/PMR</t>
  </si>
  <si>
    <t xml:space="preserve">               Oro Valley/PMR</t>
  </si>
  <si>
    <t xml:space="preserve">               Green Valley WC/PMR</t>
  </si>
  <si>
    <t xml:space="preserve">               PMR</t>
  </si>
  <si>
    <t xml:space="preserve">               Interstate (PMR)</t>
  </si>
  <si>
    <t>VOLUME PASSING BLK</t>
  </si>
  <si>
    <t>FLOW PASSING BLK (CFS)</t>
  </si>
  <si>
    <t>TOTAL SYSTEM DELIVERIES</t>
  </si>
  <si>
    <t xml:space="preserve">     CAGRD (xs only)</t>
  </si>
  <si>
    <t xml:space="preserve">     Salt River Project/XS ($10/AF)</t>
  </si>
  <si>
    <t xml:space="preserve">     Temporary  Water Use Permits</t>
  </si>
  <si>
    <t xml:space="preserve">          Interstate Banking (from Direct AWBA)</t>
  </si>
  <si>
    <t xml:space="preserve">          Interstate Banking (from Indirect AWBA)</t>
  </si>
  <si>
    <t>TOTAL DELIVERIES BY CLASS</t>
  </si>
  <si>
    <t>M&amp;I</t>
  </si>
  <si>
    <t>AG</t>
  </si>
  <si>
    <t>INDIAN</t>
  </si>
  <si>
    <t>RECHARGE</t>
  </si>
  <si>
    <t>TOTAL DELIVERIES</t>
  </si>
  <si>
    <t xml:space="preserve">        CAP Pumping Plants - Projection of Water Volumes Pumped</t>
  </si>
  <si>
    <t>By: Tim Kacerek, CAWCD Water Control Department</t>
  </si>
  <si>
    <t xml:space="preserve">    (Acre-Feet)</t>
  </si>
  <si>
    <t>Plant -&gt;</t>
  </si>
  <si>
    <t>HAV</t>
  </si>
  <si>
    <t>BSH</t>
  </si>
  <si>
    <t>LHQ</t>
  </si>
  <si>
    <t>HSY</t>
  </si>
  <si>
    <t>WAD</t>
  </si>
  <si>
    <t>SGL</t>
  </si>
  <si>
    <t>BRD</t>
  </si>
  <si>
    <t>PIC</t>
  </si>
  <si>
    <t>RED</t>
  </si>
  <si>
    <t>TWP</t>
  </si>
  <si>
    <t>SAN</t>
  </si>
  <si>
    <t>BRW</t>
  </si>
  <si>
    <t>SXV</t>
  </si>
  <si>
    <t>SND</t>
  </si>
  <si>
    <t>BLK</t>
  </si>
  <si>
    <t>Use rate</t>
  </si>
  <si>
    <t>Pump</t>
  </si>
  <si>
    <t>Release</t>
  </si>
  <si>
    <t>(KWH/AF)-&gt;</t>
  </si>
  <si>
    <t>--------</t>
  </si>
  <si>
    <t>Jan</t>
  </si>
  <si>
    <t>Feb</t>
  </si>
  <si>
    <t>Mar</t>
  </si>
  <si>
    <t>Apr</t>
  </si>
  <si>
    <t>May</t>
  </si>
  <si>
    <t>Jun</t>
  </si>
  <si>
    <t>Jul</t>
  </si>
  <si>
    <t>Aug</t>
  </si>
  <si>
    <t>Sep</t>
  </si>
  <si>
    <t>Oct</t>
  </si>
  <si>
    <t>Nov</t>
  </si>
  <si>
    <t>Dec</t>
  </si>
  <si>
    <t>Total</t>
  </si>
  <si>
    <t>Analysis and breakdown of energy use</t>
  </si>
  <si>
    <t/>
  </si>
  <si>
    <t>SGL to</t>
  </si>
  <si>
    <t>West Plant</t>
  </si>
  <si>
    <t>Total West</t>
  </si>
  <si>
    <t>(MLD)</t>
  </si>
  <si>
    <t>Waddell</t>
  </si>
  <si>
    <t>Average</t>
  </si>
  <si>
    <t>Use</t>
  </si>
  <si>
    <t>Energy for</t>
  </si>
  <si>
    <t>Plant</t>
  </si>
  <si>
    <t>Pumping</t>
  </si>
  <si>
    <t>CAP PP</t>
  </si>
  <si>
    <t>Generation</t>
  </si>
  <si>
    <t>Scheduled</t>
  </si>
  <si>
    <t>Flow</t>
  </si>
  <si>
    <t>Rate</t>
  </si>
  <si>
    <t>Waddell (1)</t>
  </si>
  <si>
    <t>Deliveries(2)</t>
  </si>
  <si>
    <t>Energy</t>
  </si>
  <si>
    <t>Energy (3)</t>
  </si>
  <si>
    <t>at HAV</t>
  </si>
  <si>
    <t>Q at WAD</t>
  </si>
  <si>
    <t>(AF)</t>
  </si>
  <si>
    <t>(KWH/AF)</t>
  </si>
  <si>
    <t>(MWH)</t>
  </si>
  <si>
    <t>(cfs)</t>
  </si>
  <si>
    <t>(1)  West Plant Energy for Waddell is the pumping energy</t>
  </si>
  <si>
    <t xml:space="preserve">     used to support Waddell pumping.  (HAV+BSH+LHQ+HSY+WAD)</t>
  </si>
  <si>
    <t>(2) West Plant Energy for Deliveries is west plant energy used to make deliveries. (HAV+BSH+LHQ+HSY)</t>
  </si>
  <si>
    <t>(3) Total Scheduled Energy = ED - Waddell Generation Energy</t>
  </si>
  <si>
    <t xml:space="preserve">     CAP Pumping Plants - Average Flow Projection</t>
  </si>
  <si>
    <t xml:space="preserve">                (CFS)</t>
  </si>
  <si>
    <t xml:space="preserve">     CAP Pumping Plants - Projection of Energy Use</t>
  </si>
  <si>
    <t xml:space="preserve">    (Megawatt Hours)</t>
  </si>
  <si>
    <t>System</t>
  </si>
  <si>
    <t>-------</t>
  </si>
  <si>
    <t>CAP Pumping Plants - Projection of Energy Use - For Waddell Filling Only</t>
  </si>
  <si>
    <t>CAP Pumping Plants - Projection of Energy Use - For Deliveries Only</t>
  </si>
  <si>
    <t>Invoice</t>
  </si>
  <si>
    <t>Amount</t>
  </si>
  <si>
    <t>($1000)</t>
  </si>
  <si>
    <t>West</t>
  </si>
  <si>
    <t xml:space="preserve">         Projection of Navajo Power Purchases</t>
  </si>
  <si>
    <t xml:space="preserve">  Non-firm Transmission Service</t>
  </si>
  <si>
    <t xml:space="preserve">          Tucson B Plants only</t>
  </si>
  <si>
    <t>(TL)</t>
  </si>
  <si>
    <t>(ED)</t>
  </si>
  <si>
    <t>(NG)</t>
  </si>
  <si>
    <t>(HE)</t>
  </si>
  <si>
    <t>(WE)</t>
  </si>
  <si>
    <r>
      <t>(WE</t>
    </r>
    <r>
      <rPr>
        <vertAlign val="subscript"/>
        <sz val="11"/>
        <rFont val="Arial"/>
        <family val="2"/>
      </rPr>
      <t>2</t>
    </r>
    <r>
      <rPr>
        <sz val="11"/>
        <rFont val="Arial"/>
        <family val="2"/>
      </rPr>
      <t>)</t>
    </r>
  </si>
  <si>
    <t>(NE)*</t>
  </si>
  <si>
    <t>(ED+TL)</t>
  </si>
  <si>
    <t>Losses</t>
  </si>
  <si>
    <t>Hoover B</t>
  </si>
  <si>
    <t>Hoover C</t>
  </si>
  <si>
    <t>Hoover</t>
  </si>
  <si>
    <t>Western</t>
  </si>
  <si>
    <t>SRP $11</t>
  </si>
  <si>
    <t>Total Navajo</t>
  </si>
  <si>
    <t xml:space="preserve">        Delivery Split</t>
  </si>
  <si>
    <t>Delivered</t>
  </si>
  <si>
    <t>Purchases</t>
  </si>
  <si>
    <t>Water</t>
  </si>
  <si>
    <t>Load</t>
  </si>
  <si>
    <t>Threshold</t>
  </si>
  <si>
    <t>Surcharge</t>
  </si>
  <si>
    <t>(MWh)</t>
  </si>
  <si>
    <t>($/MWh)</t>
  </si>
  <si>
    <t>---------</t>
  </si>
  <si>
    <t>----------</t>
  </si>
  <si>
    <t>(4)</t>
  </si>
  <si>
    <t>Target = 2340</t>
  </si>
  <si>
    <r>
      <t>*  Total Navajo Energy = ED-HE-WE-NG+TL-WE</t>
    </r>
    <r>
      <rPr>
        <vertAlign val="subscript"/>
        <sz val="11"/>
        <rFont val="Arial"/>
        <family val="2"/>
      </rPr>
      <t>2</t>
    </r>
  </si>
  <si>
    <t>1) ED = 100.5% of MLD</t>
  </si>
  <si>
    <t>2) Waddell generation ends mid-August when lake elevation drops below elevation 1635.</t>
  </si>
  <si>
    <t xml:space="preserve">Actual Threshold deliveries are shown in </t>
  </si>
  <si>
    <t>yellow.</t>
  </si>
  <si>
    <t>3) Energy threshold for 2008 is 2,340 GWh.</t>
  </si>
  <si>
    <t xml:space="preserve">4) Estimated surcharge carryover from 2007 to Oct 2008 is 44,340 MWh.  </t>
  </si>
  <si>
    <r>
      <t>5) WE</t>
    </r>
    <r>
      <rPr>
        <vertAlign val="subscript"/>
        <sz val="11"/>
        <rFont val="Arial"/>
        <family val="2"/>
      </rPr>
      <t>2</t>
    </r>
    <r>
      <rPr>
        <sz val="11"/>
        <rFont val="Arial"/>
        <family val="2"/>
      </rPr>
      <t xml:space="preserve"> is energy supplied by SRP for water deliveries to SRP.</t>
    </r>
  </si>
  <si>
    <r>
      <t>6) WE</t>
    </r>
    <r>
      <rPr>
        <vertAlign val="subscript"/>
        <sz val="11"/>
        <rFont val="Arial"/>
        <family val="2"/>
      </rPr>
      <t>2</t>
    </r>
    <r>
      <rPr>
        <sz val="11"/>
        <rFont val="Arial"/>
        <family val="2"/>
      </rPr>
      <t xml:space="preserve"> = SRP $11 water volume (AF) * 1728 KWh per AF.</t>
    </r>
  </si>
  <si>
    <t xml:space="preserve">           Projection of CAP Energy Purchases</t>
  </si>
  <si>
    <t>Navajo Energy Purchases</t>
  </si>
  <si>
    <t>WAPA (or SRP) Extra Energy Purchases</t>
  </si>
  <si>
    <t>APA Hoover B Energy Purchases</t>
  </si>
  <si>
    <t>APA Hoover C Energy Purchases</t>
  </si>
  <si>
    <t xml:space="preserve">       (Energy use above threshold subject to surcharge)</t>
  </si>
  <si>
    <t>(ER)</t>
  </si>
  <si>
    <t>(NExER)</t>
  </si>
  <si>
    <t>(WExER)</t>
  </si>
  <si>
    <t>(HExER)</t>
  </si>
  <si>
    <t>($/MWH)</t>
  </si>
  <si>
    <t>Calendar Year 2009</t>
  </si>
  <si>
    <t>Revised:  1/25/10</t>
  </si>
  <si>
    <t>&lt;-----------</t>
  </si>
  <si>
    <t xml:space="preserve">Forbearance of 27.5kaf as Recovery for MWD 27.5kaf, </t>
  </si>
  <si>
    <t>msidd  11kaf, caidd  11kaf, hid  5kaf  (backed out of ag supply)</t>
  </si>
  <si>
    <t xml:space="preserve">               AZ American/PV - TDRP</t>
  </si>
  <si>
    <t xml:space="preserve">               AZ American/WV - TDRP</t>
  </si>
  <si>
    <t xml:space="preserve">               Buckeye - TDRP</t>
  </si>
  <si>
    <t xml:space="preserve">               El Mirage - TDRP</t>
  </si>
  <si>
    <t xml:space="preserve">               Gilbert/Excess - TDRP</t>
  </si>
  <si>
    <t xml:space="preserve">               TGV Investments/Vicksburg Farm</t>
  </si>
  <si>
    <t xml:space="preserve">               Gilbert/SRPMIC Lease - TDRP</t>
  </si>
  <si>
    <t xml:space="preserve">               Aqua Capital (TDRP)</t>
  </si>
  <si>
    <t xml:space="preserve">               Hopi Tribe (TDRP)</t>
  </si>
  <si>
    <t xml:space="preserve">               Vidler Water Company/Vidler</t>
  </si>
  <si>
    <t xml:space="preserve">               Vidler Water Company/TDRP</t>
  </si>
  <si>
    <t xml:space="preserve">               Harquahala ID GSF (Ind.Firming)</t>
  </si>
  <si>
    <t xml:space="preserve">               AZ American/PV (MWD)</t>
  </si>
  <si>
    <t xml:space="preserve">               AZAmerican/WV (MWD)</t>
  </si>
  <si>
    <t xml:space="preserve">               Avondale (AFRP &amp; HMRP)</t>
  </si>
  <si>
    <t xml:space="preserve">               El Mirage/AFRP or HMRP</t>
  </si>
  <si>
    <t xml:space="preserve">               Peoria  (AFRP, HMRP, SRP, Glen)</t>
  </si>
  <si>
    <t xml:space="preserve">               Surprise (AFRP &amp; HMRP)</t>
  </si>
  <si>
    <t xml:space="preserve">               Lafarge North America(former Sun State)</t>
  </si>
  <si>
    <t xml:space="preserve">               GRIC/SRP exchange</t>
  </si>
  <si>
    <t xml:space="preserve">               Avondale  (AFRP,HMRP,SRP)</t>
  </si>
  <si>
    <t xml:space="preserve">               CAGRD (Agua Fria)</t>
  </si>
  <si>
    <t xml:space="preserve">               CAGRD (Hieroglyphic)</t>
  </si>
  <si>
    <t xml:space="preserve">               Mesa</t>
  </si>
  <si>
    <t>Salt River Project Excess ($12/AF Water)</t>
  </si>
  <si>
    <t>Temporary Water Permits (various locations)</t>
  </si>
  <si>
    <t xml:space="preserve">               Arizona Water Co. (Apache Junction)</t>
  </si>
  <si>
    <t xml:space="preserve">               Chandler</t>
  </si>
  <si>
    <t xml:space="preserve">               RWCD/Excess</t>
  </si>
  <si>
    <t xml:space="preserve">               Shea Homes/Encanterra - NMIDD</t>
  </si>
  <si>
    <t xml:space="preserve">               Southern Dunes Golf Club</t>
  </si>
  <si>
    <t xml:space="preserve">               CAIDD (Santa Rosa)</t>
  </si>
  <si>
    <t xml:space="preserve">               GRIC exchg w/Chandler thru CGT</t>
  </si>
  <si>
    <t xml:space="preserve">               GRIC exchg w/Mesa</t>
  </si>
  <si>
    <t xml:space="preserve">               GRIC/SS Replenishment/AWBA</t>
  </si>
  <si>
    <t xml:space="preserve">               CAGRD/SMRP</t>
  </si>
  <si>
    <t xml:space="preserve">               Superstition Mountains Recharge</t>
  </si>
  <si>
    <t xml:space="preserve">               Resolution Copper/NMIDD &amp; HIDD</t>
  </si>
  <si>
    <t xml:space="preserve">               CAIDD (20%)</t>
  </si>
  <si>
    <t xml:space="preserve">               Interstate (CAIDD 20%)</t>
  </si>
  <si>
    <t xml:space="preserve">               GRIIID</t>
  </si>
  <si>
    <t>Salt River Project XS  w/CAIDD</t>
  </si>
  <si>
    <t>Salt River Project XS w/MSIDD</t>
  </si>
  <si>
    <t xml:space="preserve">               CAIDD (Central Main)</t>
  </si>
  <si>
    <t xml:space="preserve">               CAIDD (60%)</t>
  </si>
  <si>
    <t xml:space="preserve">               Interstate (CAIDD 60%)</t>
  </si>
  <si>
    <t xml:space="preserve">               Oro Valley/Kai</t>
  </si>
  <si>
    <t xml:space="preserve">               CAIDD (South Main)</t>
  </si>
  <si>
    <t xml:space="preserve">               CAGRD/Kai Farms</t>
  </si>
  <si>
    <t xml:space="preserve">               Aqua CapitalKai Farms</t>
  </si>
  <si>
    <t xml:space="preserve">               Oro Valley/LSCRP</t>
  </si>
  <si>
    <r>
      <t xml:space="preserve">        </t>
    </r>
    <r>
      <rPr>
        <sz val="11"/>
        <rFont val="Helv"/>
      </rPr>
      <t xml:space="preserve">     LSCRP</t>
    </r>
  </si>
  <si>
    <t xml:space="preserve">               Aqua Capital/LSCRP</t>
  </si>
  <si>
    <t xml:space="preserve">               San Xavier (includes Arroyos)</t>
  </si>
  <si>
    <t xml:space="preserve">               Tohono O-Odham (ASARCO)</t>
  </si>
  <si>
    <t xml:space="preserve">               Tohono O-Odham (PMR)</t>
  </si>
  <si>
    <t xml:space="preserve">     Salt River Project/XS ($12/AF)</t>
  </si>
  <si>
    <t xml:space="preserve">     Temporary Water Use Permits</t>
  </si>
  <si>
    <t xml:space="preserve">          Interstate (from Direct AWBA)</t>
  </si>
  <si>
    <t xml:space="preserve">          Interstate (from Indirect AWBA)</t>
  </si>
  <si>
    <t>Target = 2370</t>
  </si>
  <si>
    <t>3) Energy threshold for 2009 is 2,370 GWh.</t>
  </si>
  <si>
    <t xml:space="preserve">4) Estimated surcharge carryover from 2008 to Oct 2009 is 0 MWh; HEbanking carryover = 8,000 MWh. </t>
  </si>
  <si>
    <t>Calendar Year 2010</t>
  </si>
  <si>
    <t>Revised:  1/24/11</t>
  </si>
  <si>
    <t>Forbearance of 8.1kaf as ICUA Recovery for MWD. Orig 1.588 maf for AZ + anticipating 30kaf Nev unused apportionment</t>
  </si>
  <si>
    <t>Total recovery is 8.2kaf; no cagrd credit transfer in 2010,  2 kaf, caidd  2 kaf, hid  4kaf  (backed out of ag supply)</t>
  </si>
  <si>
    <t>Also 0 af assumed for USBR's Yuma groundwater pumping program</t>
  </si>
  <si>
    <t xml:space="preserve">     Direct Recharge</t>
  </si>
  <si>
    <t xml:space="preserve">     Indirect Recharge</t>
  </si>
  <si>
    <t xml:space="preserve">               SCAT/Gilbert - TDRP</t>
  </si>
  <si>
    <t xml:space="preserve">               Gilbert/Welton-Mohawk  (TDRP)</t>
  </si>
  <si>
    <t xml:space="preserve">     Direct</t>
  </si>
  <si>
    <t xml:space="preserve">               El Mirage - (TDRP)</t>
  </si>
  <si>
    <t xml:space="preserve">               Gilbert - (TDRP)</t>
  </si>
  <si>
    <t xml:space="preserve">               Resolution Copper (TDRP)</t>
  </si>
  <si>
    <t xml:space="preserve">            Vidler  (TDRP)  (*)</t>
  </si>
  <si>
    <t>Includes 20kaf of Nev unused apportionment and 30kaf of CAP apportionment</t>
  </si>
  <si>
    <t xml:space="preserve">     Indirect</t>
  </si>
  <si>
    <t>(*)  Vidler deliveries to TDRP in Feb 2010 were NOT billed - resulted from CY 2008 meter correction.</t>
  </si>
  <si>
    <t xml:space="preserve">               AZAmerican/Sun City (MWD)</t>
  </si>
  <si>
    <t xml:space="preserve">               AZAmerican/Agua Fria (MWD)</t>
  </si>
  <si>
    <t xml:space="preserve">               AZAmerican/Sun Cty West (MWD)</t>
  </si>
  <si>
    <t xml:space="preserve">               AZAmerican/PV (MWD)</t>
  </si>
  <si>
    <t xml:space="preserve">               Avondale (AFRP and/or HMRP)</t>
  </si>
  <si>
    <t xml:space="preserve">               CAGRD (AFRP and/or HMRP)</t>
  </si>
  <si>
    <t xml:space="preserve">Temporary Reduced M&amp;I demand  (-) </t>
  </si>
  <si>
    <t xml:space="preserve">               Glendale (Pyramid Peak &amp; MWD)</t>
  </si>
  <si>
    <t xml:space="preserve">               Peoria  (AFRP, Glen, HMRP, Quin)</t>
  </si>
  <si>
    <t xml:space="preserve">               Phelps/Dodge Miami (SRP)</t>
  </si>
  <si>
    <t xml:space="preserve">               Surprise (HMRP, AFRP)</t>
  </si>
  <si>
    <t xml:space="preserve">               LaFarge North America</t>
  </si>
  <si>
    <t xml:space="preserve">               Peoria (MWD, Quintero, P2 pump)</t>
  </si>
  <si>
    <t xml:space="preserve">               Recreational Cntr (Scott Shdws)</t>
  </si>
  <si>
    <t xml:space="preserve">               MWD</t>
  </si>
  <si>
    <t xml:space="preserve">               Ak-Chin/Pulte/MWD - turnout</t>
  </si>
  <si>
    <t xml:space="preserve">               Ak-Chin/Pulte/AFRP &amp; HMRP</t>
  </si>
  <si>
    <t xml:space="preserve">               Ak-Chin/Pulte/Festrival - pump</t>
  </si>
  <si>
    <r>
      <t xml:space="preserve">               Peoria/GRIC</t>
    </r>
    <r>
      <rPr>
        <sz val="8"/>
        <rFont val="Helv"/>
      </rPr>
      <t xml:space="preserve"> lease(AFRP,Glen,HMRP,SRP)</t>
    </r>
  </si>
  <si>
    <t xml:space="preserve">               Phoenix/GRIC Lease</t>
  </si>
  <si>
    <t xml:space="preserve">               Scottsdale/GRIC Lease</t>
  </si>
  <si>
    <t xml:space="preserve">               Tohono Nation/(AFRP &amp; HMRP)</t>
  </si>
  <si>
    <t xml:space="preserve">               San Carlos Apache Tribe/SRP</t>
  </si>
  <si>
    <t xml:space="preserve">               Chandler/Welton-Mohawk/TDRP</t>
  </si>
  <si>
    <t xml:space="preserve">               Avondale  (AFRP and/or HMRP)</t>
  </si>
  <si>
    <r>
      <t xml:space="preserve">               Resolution Copper</t>
    </r>
    <r>
      <rPr>
        <sz val="10"/>
        <rFont val="Helv"/>
      </rPr>
      <t>(AFRP &amp;/or HMRP)</t>
    </r>
  </si>
  <si>
    <t xml:space="preserve">               Tempe/SRP-GRUSP</t>
  </si>
  <si>
    <r>
      <t>Maricopa Water District Lake Water(**)</t>
    </r>
    <r>
      <rPr>
        <b/>
        <sz val="12"/>
        <color indexed="10"/>
        <rFont val="Helv"/>
      </rPr>
      <t>(@)</t>
    </r>
  </si>
  <si>
    <t>Salt River Project Excess ($48/AF Water)</t>
  </si>
  <si>
    <t>(@)  MWD lake water volumes include some amount of water deliveries through the Beardlsey canal for Jun - Aug 2010.  See MTH Raw Data in Livelink for specifics.</t>
  </si>
  <si>
    <t xml:space="preserve">               Arizona Water Co. (Apache Junct.)</t>
  </si>
  <si>
    <t xml:space="preserve">               LSM Golf, LLC</t>
  </si>
  <si>
    <t xml:space="preserve">               Schafer, Todd (Bob White Farms)</t>
  </si>
  <si>
    <t xml:space="preserve">               Shea Homes/Encanterra-NMIDD</t>
  </si>
  <si>
    <t xml:space="preserve">               thru NMIDD</t>
  </si>
  <si>
    <t xml:space="preserve">               Gila River Indian Community</t>
  </si>
  <si>
    <t xml:space="preserve">               GRIC exchange w/Chandler</t>
  </si>
  <si>
    <t xml:space="preserve">               GRIC GSF w/CAIDD</t>
  </si>
  <si>
    <t xml:space="preserve">               GRIC GSF w/Hohokam</t>
  </si>
  <si>
    <t xml:space="preserve">               GRIC GSF w/MSIDD</t>
  </si>
  <si>
    <t xml:space="preserve">               GRIC exchange w/Mesa</t>
  </si>
  <si>
    <r>
      <t xml:space="preserve">               GRIC/</t>
    </r>
    <r>
      <rPr>
        <sz val="10"/>
        <rFont val="Helv"/>
      </rPr>
      <t>SS Replenishment Bank/AWBA</t>
    </r>
  </si>
  <si>
    <t xml:space="preserve">               Gilbert/Welton-Mohawk  (RWCD)</t>
  </si>
  <si>
    <t xml:space="preserve">               SMRP</t>
  </si>
  <si>
    <t xml:space="preserve">               BOR/RWCD</t>
  </si>
  <si>
    <t xml:space="preserve">               CAGRD/NMIDD</t>
  </si>
  <si>
    <t>Temporary Indirect Reduced demand (-)</t>
  </si>
  <si>
    <t xml:space="preserve">               Gilbert/NMIDD</t>
  </si>
  <si>
    <t xml:space="preserve">               Gilbert/RWCD</t>
  </si>
  <si>
    <t xml:space="preserve">               Picacho Peak Gas Storage</t>
  </si>
  <si>
    <t xml:space="preserve">               Resolution Copper/NMIDD</t>
  </si>
  <si>
    <t xml:space="preserve">               RWCD/Vidler</t>
  </si>
  <si>
    <t>Salt River Project XS ($48/AF) w/MSIDD</t>
  </si>
  <si>
    <t xml:space="preserve">               Arizona Electric Power Coop</t>
  </si>
  <si>
    <t xml:space="preserve">               Oro Valley/Kai Farms</t>
  </si>
  <si>
    <t xml:space="preserve">               Vail Water Company/Kai Farms</t>
  </si>
  <si>
    <r>
      <t xml:space="preserve">        </t>
    </r>
    <r>
      <rPr>
        <sz val="11"/>
        <color theme="1"/>
        <rFont val="Calibri"/>
        <family val="2"/>
        <scheme val="minor"/>
      </rPr>
      <t xml:space="preserve">     LSCRP</t>
    </r>
  </si>
  <si>
    <t xml:space="preserve">               CMID</t>
  </si>
  <si>
    <t xml:space="preserve">               Tohono O'Odham/LSCRP</t>
  </si>
  <si>
    <t xml:space="preserve">               Rosemont/LSCRP</t>
  </si>
  <si>
    <t xml:space="preserve">               Tucson/CAVSARP pumps</t>
  </si>
  <si>
    <t xml:space="preserve">               CAVSARP - BKW Pumps</t>
  </si>
  <si>
    <t xml:space="preserve">               Tucson/PMR</t>
  </si>
  <si>
    <t xml:space="preserve">               San Xavier Cooperative Farm</t>
  </si>
  <si>
    <t xml:space="preserve">               Tohono O'Odham/PMR</t>
  </si>
  <si>
    <t xml:space="preserve">               ASARCO/San Xavier</t>
  </si>
  <si>
    <t xml:space="preserve">     SALT RIVER PROJECT/XS ($48/AF)</t>
  </si>
  <si>
    <t xml:space="preserve">            Interstate Banking (Direct AWBA)</t>
  </si>
  <si>
    <t xml:space="preserve">            Interstate Banking (Indirect AWBA)</t>
  </si>
  <si>
    <t>SRP $48</t>
  </si>
  <si>
    <t>cutover Nov 1?</t>
  </si>
  <si>
    <t>Target = 2403 - 16.7 = 2386.3</t>
  </si>
  <si>
    <t>3) Energy threshold for 2010 is 2,403 GWh.</t>
  </si>
  <si>
    <t xml:space="preserve">4) Estimated threshold carryover from Oct, Nov and Dec 2009 to Jan 2010 is 16,660 MWh.  </t>
  </si>
  <si>
    <t>Cells in Yellow are actual</t>
  </si>
  <si>
    <r>
      <t>6) WE</t>
    </r>
    <r>
      <rPr>
        <vertAlign val="subscript"/>
        <sz val="11"/>
        <rFont val="Arial"/>
        <family val="2"/>
      </rPr>
      <t>2</t>
    </r>
    <r>
      <rPr>
        <sz val="11"/>
        <rFont val="Arial"/>
        <family val="2"/>
      </rPr>
      <t xml:space="preserve"> = SRP $48 water volume (AF) * 1728 KWh per AF.</t>
    </r>
  </si>
  <si>
    <t>Calendar Year 2011</t>
  </si>
  <si>
    <t>(Deliveries are actuals for water deliveries in 2011)</t>
  </si>
  <si>
    <t>Revised:  1/23/11</t>
  </si>
  <si>
    <t>No ICUA Forbearance in 2011, MWD recovery complete.</t>
  </si>
  <si>
    <t>Also 0 AF assumed for USBR's Yuma groundwater pumping program</t>
  </si>
  <si>
    <t>CAP Overrun Payback of &lt;12,000 af subtracted from 1.60 maf for 1.588 maf</t>
  </si>
  <si>
    <t xml:space="preserve">     XS AG</t>
  </si>
  <si>
    <t xml:space="preserve">               Ranegras Plain Recharge Project (AWBA, Direct)</t>
  </si>
  <si>
    <t xml:space="preserve">               AZ American WC (AF) - TDRP</t>
  </si>
  <si>
    <t xml:space="preserve">               AZ American WC (PV) - TDRP</t>
  </si>
  <si>
    <t xml:space="preserve">               Tonopah ID (CAGRD)</t>
  </si>
  <si>
    <t xml:space="preserve">               TDRP (CAGRD)</t>
  </si>
  <si>
    <t xml:space="preserve">               Fort McDowell Tribe/Gilbert - TDRP</t>
  </si>
  <si>
    <t xml:space="preserve">               Active Resource Mgmt (Vidler)</t>
  </si>
  <si>
    <t xml:space="preserve">               El Mirage (TDRP)</t>
  </si>
  <si>
    <t xml:space="preserve">               Water Util. Greater Tonopah</t>
  </si>
  <si>
    <t xml:space="preserve">               Tonopah Desert Recharge Project (TDRP, AWBA, Direct)</t>
  </si>
  <si>
    <t xml:space="preserve">               Interstate Banking (TDRP, AWBA, Direct)</t>
  </si>
  <si>
    <t xml:space="preserve">               CAGRD/AFRP and/or HMRP</t>
  </si>
  <si>
    <t>Temporary (-) for reduced deliveries (m&amp;i)</t>
  </si>
  <si>
    <t xml:space="preserve">               Glendale (Pyramid Peak)</t>
  </si>
  <si>
    <t xml:space="preserve">               Surprise (HMRP and/or AFRP)</t>
  </si>
  <si>
    <t xml:space="preserve">               Tonto Hills DWID</t>
  </si>
  <si>
    <t xml:space="preserve">               1440, INC</t>
  </si>
  <si>
    <t xml:space="preserve">               Hassayampa Ventures, LLC (HRF)</t>
  </si>
  <si>
    <t xml:space="preserve">               thru Agua Fria (CAGRD)</t>
  </si>
  <si>
    <t xml:space="preserve">               thru Hieroglyphic (CAGRD)</t>
  </si>
  <si>
    <t xml:space="preserve">               thru Scottsdale (CAGRD)</t>
  </si>
  <si>
    <t xml:space="preserve">               Fort McDowell Tribe - SRP</t>
  </si>
  <si>
    <t xml:space="preserve">               San Carlos Apache Tribe - SRP</t>
  </si>
  <si>
    <t xml:space="preserve">               Tohono Nation/AFRP&amp;HMRP</t>
  </si>
  <si>
    <t xml:space="preserve">               Scottsdale/SCAT Lease</t>
  </si>
  <si>
    <t xml:space="preserve">               Agua Fria (AWBA, Direct)</t>
  </si>
  <si>
    <t xml:space="preserve">               Interstate Banking (Agua Fria) (AWBA, Direct)</t>
  </si>
  <si>
    <t xml:space="preserve">               GRUSP (AWBA, Direct)</t>
  </si>
  <si>
    <t xml:space="preserve">               Interstate Banking (GRUSP) (AWBA, Direct)</t>
  </si>
  <si>
    <t xml:space="preserve">               Hieroglyphic (AWBA, Direct)</t>
  </si>
  <si>
    <t xml:space="preserve">               Interstate Banking (Hieroglyphic) (HMRP, AWBA, Direct)</t>
  </si>
  <si>
    <t xml:space="preserve">               New Riv-Agua Fria(NAUSP)/SRP (AWBA, Direct)</t>
  </si>
  <si>
    <t xml:space="preserve">               East Salt River Valley (ESRV) (AWBA, Direct)</t>
  </si>
  <si>
    <t>Salt River Project Excess ($84/AF Water)</t>
  </si>
  <si>
    <t xml:space="preserve">                                        PHX  PLP Turnout (AF)</t>
  </si>
  <si>
    <t xml:space="preserve">               CAGRD thru NMIDD</t>
  </si>
  <si>
    <t xml:space="preserve">               JADAAL, Inc.</t>
  </si>
  <si>
    <t xml:space="preserve">               thru MSIDD (CAGRD)</t>
  </si>
  <si>
    <t xml:space="preserve">               thru NMIDD (CAGRD)</t>
  </si>
  <si>
    <t xml:space="preserve">               thru QCID (CAGRD)</t>
  </si>
  <si>
    <t xml:space="preserve">               thru Superstition Mt Recharge (CAGRD)</t>
  </si>
  <si>
    <t xml:space="preserve">     XS AG (MSIDD)</t>
  </si>
  <si>
    <t xml:space="preserve">               Maricopa Stanfield IDD (MSIDD)</t>
  </si>
  <si>
    <t>Temporary (-) for reduced deliveries (ag)</t>
  </si>
  <si>
    <t>CAIDD</t>
  </si>
  <si>
    <t>MSIDD</t>
  </si>
  <si>
    <t>Hohokam</t>
  </si>
  <si>
    <t>NMIDD</t>
  </si>
  <si>
    <t>RWCD</t>
  </si>
  <si>
    <t>diff</t>
  </si>
  <si>
    <t>GRIID</t>
  </si>
  <si>
    <t xml:space="preserve">               GRIC exchange w/Chandler @ SMRP</t>
  </si>
  <si>
    <t xml:space="preserve">               GRIC/SRP Settlement Lease w/MSIDD</t>
  </si>
  <si>
    <t xml:space="preserve">               Gilbert/FT McDowell @ SMRP</t>
  </si>
  <si>
    <t xml:space="preserve">               SCAT 100 yr lease w/Gilbert via CGT</t>
  </si>
  <si>
    <t xml:space="preserve">               SCAT GSF 1 Yr Lease w/Gilbert w/IDs</t>
  </si>
  <si>
    <t xml:space="preserve">               Chandler/Welton-Mohawk @ CGT</t>
  </si>
  <si>
    <t xml:space="preserve">               Chandler/Welton-Mohawk @ SMRP</t>
  </si>
  <si>
    <t xml:space="preserve">               CAGRD/Superstition Mt</t>
  </si>
  <si>
    <t xml:space="preserve">               NESalt River Valley Recharge (AWBA, Direct)</t>
  </si>
  <si>
    <t xml:space="preserve">               SMRP (AWBA, Direct)</t>
  </si>
  <si>
    <t xml:space="preserve">               Resolution Copper/RWCD</t>
  </si>
  <si>
    <t xml:space="preserve">               Vidler/RWCD</t>
  </si>
  <si>
    <t xml:space="preserve">               CAIDD (20%) (AWBA, Indirect)</t>
  </si>
  <si>
    <t xml:space="preserve">               Interstate (CAIDD 20%) (AWBA, Indirect)</t>
  </si>
  <si>
    <t xml:space="preserve">               NMIDD (AWBA, Indirect)</t>
  </si>
  <si>
    <t xml:space="preserve">               Hohokam (AWBA, Indirect)</t>
  </si>
  <si>
    <t xml:space="preserve">               Interstate (Hohokam) (AWBA, Indirect)</t>
  </si>
  <si>
    <t xml:space="preserve">               MSIDD (AWBA, Indirect)</t>
  </si>
  <si>
    <t xml:space="preserve">               Interstate (MSIDD) (AWBA, Indirect)</t>
  </si>
  <si>
    <t xml:space="preserve">               QCID (AWBA, Indirect)</t>
  </si>
  <si>
    <t>Salt River Project XS ($XX/AF) w/CAIDD</t>
  </si>
  <si>
    <t>Salt River Project XS ($XX/AF) w/MSIDD</t>
  </si>
  <si>
    <t xml:space="preserve">               Picacho Peak Gas Storage/CAIDD</t>
  </si>
  <si>
    <t xml:space="preserve">               CAIDD (60%) (AWBA, Indirect)</t>
  </si>
  <si>
    <t xml:space="preserve">               Interstate (CAIDD 60%) (AWBA, Indirect)</t>
  </si>
  <si>
    <t xml:space="preserve">               Kai Farms (AWBA, Indirect)</t>
  </si>
  <si>
    <t xml:space="preserve">               Metro/AVRP</t>
  </si>
  <si>
    <t xml:space="preserve">               Metro/LSCRP</t>
  </si>
  <si>
    <t xml:space="preserve">               Spanish Trails/CMID</t>
  </si>
  <si>
    <r>
      <t xml:space="preserve">        </t>
    </r>
    <r>
      <rPr>
        <sz val="11"/>
        <color theme="1"/>
        <rFont val="Calibri"/>
        <family val="2"/>
        <scheme val="minor"/>
      </rPr>
      <t xml:space="preserve">    LSCRP (CAGRD)</t>
    </r>
  </si>
  <si>
    <t xml:space="preserve">               Tohono Odham/LSCRP</t>
  </si>
  <si>
    <t xml:space="preserve">               Avra Valley (AVRP, AWBA, Direct)</t>
  </si>
  <si>
    <t xml:space="preserve">               Interstate (AVRP) (AWBA, Direct)</t>
  </si>
  <si>
    <t xml:space="preserve">               LSCRP (AWBA, Direct)</t>
  </si>
  <si>
    <t xml:space="preserve">               Interstate (LSCRP) (AWBA, Direct)</t>
  </si>
  <si>
    <t xml:space="preserve">               CMID (AWBA, Indirect)</t>
  </si>
  <si>
    <t xml:space="preserve">               Tucson/CAVSARP + BKW pumps</t>
  </si>
  <si>
    <t xml:space="preserve">               CAVSARP - BKW pumps (AWBA, Direct)</t>
  </si>
  <si>
    <t xml:space="preserve">               Pasqua YaQui/SAVSARP</t>
  </si>
  <si>
    <t xml:space="preserve">               Tohono O'Odham/SAVSARP</t>
  </si>
  <si>
    <t xml:space="preserve">               CAVSARP (AWBA, Direct)</t>
  </si>
  <si>
    <t xml:space="preserve">               CAVSARP (Interstate) (AWBA, Direct)</t>
  </si>
  <si>
    <t xml:space="preserve">               SAVSARP (AWBA, Direct)</t>
  </si>
  <si>
    <t xml:space="preserve">               SAVSARP (Interstate) (AWBA, Direct)</t>
  </si>
  <si>
    <t xml:space="preserve">               Pima Mine Rd (CAGRD)</t>
  </si>
  <si>
    <t xml:space="preserve">               FICO</t>
  </si>
  <si>
    <t xml:space="preserve">               ASARCO/Tohono (San Xavier)</t>
  </si>
  <si>
    <t xml:space="preserve">               PMR (AWBA, Direct)</t>
  </si>
  <si>
    <t xml:space="preserve">               Interstate (PMR) (AWBA, Direct)</t>
  </si>
  <si>
    <t xml:space="preserve">     Salt River Project/XS ($137/AF)</t>
  </si>
  <si>
    <t>.</t>
  </si>
  <si>
    <t>By: Brian Henning, CAWCD Water Control Department</t>
  </si>
  <si>
    <t>Target = 2431</t>
  </si>
  <si>
    <t>3) Energy threshold for 2011 is 2,431 GWh.</t>
  </si>
  <si>
    <t xml:space="preserve">4) Estimated surcharge carryover from 2010 to Oct 2011 is 0 MWh.  </t>
  </si>
  <si>
    <t xml:space="preserve">PRINTED:  </t>
  </si>
  <si>
    <t>(Deliveries are actuals through DEC, and projections for the remainder of the year)</t>
  </si>
  <si>
    <t>Revised:  2/23/2017</t>
  </si>
  <si>
    <t>Number of days</t>
  </si>
  <si>
    <t>JAN</t>
  </si>
  <si>
    <t>2016 target</t>
  </si>
  <si>
    <t xml:space="preserve">               TGV Investments/Fondomonte</t>
  </si>
  <si>
    <t xml:space="preserve">               EPCOR-AZ American WC (AF) - TDRP</t>
  </si>
  <si>
    <t xml:space="preserve">               EPCOR-AZ American WC (PV) - TDRP</t>
  </si>
  <si>
    <t xml:space="preserve">               Buckeye - Tonopah ID</t>
  </si>
  <si>
    <t>TON</t>
  </si>
  <si>
    <t xml:space="preserve">               CAGRD (Tonopah ID)</t>
  </si>
  <si>
    <t>TDR</t>
  </si>
  <si>
    <t xml:space="preserve">               Scottsdale TDRP</t>
  </si>
  <si>
    <t>HAR</t>
  </si>
  <si>
    <t xml:space="preserve">               Active Resource Mgmt-Vidler</t>
  </si>
  <si>
    <t xml:space="preserve">               Active Resource Mgmt-Vidler (TDRP)</t>
  </si>
  <si>
    <t xml:space="preserve">               Water Util. Greater Tonopah (WUG)</t>
  </si>
  <si>
    <t>WMC</t>
  </si>
  <si>
    <t xml:space="preserve">               TDRP, AWBA</t>
  </si>
  <si>
    <t xml:space="preserve">               EPCOR-AZAmerican/Sun City (MWD)</t>
  </si>
  <si>
    <t>MWD</t>
  </si>
  <si>
    <t xml:space="preserve">               EPCOR-AZAmerican/Agua Fria (MWD)</t>
  </si>
  <si>
    <t xml:space="preserve">               EPCOR-AZAmerican/Sun Cty West (MWD)</t>
  </si>
  <si>
    <t xml:space="preserve">               EPCOR-AZAmerican/PV (MWD)</t>
  </si>
  <si>
    <t xml:space="preserve">               Arizona Water Co. (White Tank) w/MWD</t>
  </si>
  <si>
    <t xml:space="preserve">               Avondale (AFRP)</t>
  </si>
  <si>
    <t>AFR</t>
  </si>
  <si>
    <t>HMR</t>
  </si>
  <si>
    <t xml:space="preserve">               Avondale (CSIF)</t>
  </si>
  <si>
    <t>x</t>
  </si>
  <si>
    <t>SRP</t>
  </si>
  <si>
    <t xml:space="preserve">               CAGRD (MWD)</t>
  </si>
  <si>
    <t>CCR</t>
  </si>
  <si>
    <t>CCR/SCO</t>
  </si>
  <si>
    <t xml:space="preserve">               Chandler, City of (CSIF)</t>
  </si>
  <si>
    <t xml:space="preserve">               Chaparral City Water Company (MWD)</t>
  </si>
  <si>
    <t xml:space="preserve">               Chaparral City Water Company (CCW)</t>
  </si>
  <si>
    <t>CCW</t>
  </si>
  <si>
    <t xml:space="preserve">               El Mirage (HMRP)</t>
  </si>
  <si>
    <t xml:space="preserve">               Gilbert, Town of (CSIF)</t>
  </si>
  <si>
    <t>GLE</t>
  </si>
  <si>
    <t xml:space="preserve">               Glendale w/MWD</t>
  </si>
  <si>
    <t xml:space="preserve">               Glendale (HMRP)</t>
  </si>
  <si>
    <t xml:space="preserve">               Glendale w/SRP (CSIF)</t>
  </si>
  <si>
    <t>CSIF</t>
  </si>
  <si>
    <t xml:space="preserve">               Goodyear (AFRP)</t>
  </si>
  <si>
    <t xml:space="preserve">               Goodyear (HMRP)</t>
  </si>
  <si>
    <t xml:space="preserve">               Peoria  (AFRP)</t>
  </si>
  <si>
    <t xml:space="preserve">               Peoria  (HMRP)</t>
  </si>
  <si>
    <t xml:space="preserve">               Peoria  (QTO)</t>
  </si>
  <si>
    <t>QTO</t>
  </si>
  <si>
    <t xml:space="preserve">               Peoria  (P2)</t>
  </si>
  <si>
    <t xml:space="preserve">               Peoria  (MWD)</t>
  </si>
  <si>
    <t xml:space="preserve">               Peoria  (GLE)</t>
  </si>
  <si>
    <t xml:space="preserve">               Peoria (CSIF)</t>
  </si>
  <si>
    <t xml:space="preserve">               Phelps/Dodge Miami (SRP) CSIF</t>
  </si>
  <si>
    <t xml:space="preserve">               Phoenix, City of (CSIF)</t>
  </si>
  <si>
    <t xml:space="preserve">               Rio Verde Utilities Company (CSIF)</t>
  </si>
  <si>
    <t xml:space="preserve">               Scottsdale, City of (CSIF)</t>
  </si>
  <si>
    <t xml:space="preserve">               Surprise (AFRP)</t>
  </si>
  <si>
    <t xml:space="preserve">               Surprise (HMRP)</t>
  </si>
  <si>
    <t xml:space="preserve">               Surprise (MWD)</t>
  </si>
  <si>
    <t xml:space="preserve">               Tempe, City of (CSIF)</t>
  </si>
  <si>
    <t xml:space="preserve">               WUCFD (Apache Junction) w/SRP (CSIF)</t>
  </si>
  <si>
    <t xml:space="preserve">               ASU-Karsten Golf Course (CSIF)</t>
  </si>
  <si>
    <t xml:space="preserve">               Recreational Ctr (Scott Shadows) CSIF</t>
  </si>
  <si>
    <t xml:space="preserve">               SRP (Excess to San Tan PP?)</t>
  </si>
  <si>
    <t>Delivered from Roosevelt Lake Account in 2012</t>
  </si>
  <si>
    <t xml:space="preserve">               thru AFRP (CAGRD)</t>
  </si>
  <si>
    <t xml:space="preserve">               thru HMRP (CAGRD)</t>
  </si>
  <si>
    <t>SC1</t>
  </si>
  <si>
    <t xml:space="preserve">               SRP (CSIF)</t>
  </si>
  <si>
    <t xml:space="preserve">               Ak-Chin/HMRP</t>
  </si>
  <si>
    <t>APX</t>
  </si>
  <si>
    <t xml:space="preserve">               Ak-Chin/Pulte/HMRP</t>
  </si>
  <si>
    <t xml:space="preserve">               Ak-Chin/Pulte (CSIF)</t>
  </si>
  <si>
    <t xml:space="preserve">               Chandler/Assignment (CSIF)</t>
  </si>
  <si>
    <t xml:space="preserve">               Phoenix/RWCD Assignment</t>
  </si>
  <si>
    <t xml:space="preserve">               Tempe/Assignment (CSIF)</t>
  </si>
  <si>
    <t xml:space="preserve">               Gilbert/Fort McDowell Lease (CSIF)</t>
  </si>
  <si>
    <t xml:space="preserve">               GRIC/MWD</t>
  </si>
  <si>
    <t xml:space="preserve">               Freeport-McMoRan/GRIC Lease w/SRP (CSIF)</t>
  </si>
  <si>
    <t xml:space="preserve">               Goodyear/GRIC Lease (HMRP)</t>
  </si>
  <si>
    <t xml:space="preserve">               Goodyear/GRIC Lease (AFRP)</t>
  </si>
  <si>
    <t xml:space="preserve">               Peoria/GRIC Lease (AFRP)</t>
  </si>
  <si>
    <t xml:space="preserve">               Peoria/GRIC Lease (HMRP)</t>
  </si>
  <si>
    <t xml:space="preserve">               Peoria/GRIC Lease (Glen,SRP)</t>
  </si>
  <si>
    <t xml:space="preserve">               Peoria/GRIC Lease (Quintero)</t>
  </si>
  <si>
    <t xml:space="preserve">               Peoria/GRIC Lease (P2 pump)</t>
  </si>
  <si>
    <t xml:space="preserve">               Peoria/GRIC Lease (MWD)</t>
  </si>
  <si>
    <t xml:space="preserve">               Scottsdale/GRIC Lease (CSIF)</t>
  </si>
  <si>
    <t xml:space="preserve">               Chandler/SRPMIC Lease (CSIF)</t>
  </si>
  <si>
    <t xml:space="preserve">               Gilbert/SRPMIC Lease (CSIF)</t>
  </si>
  <si>
    <t>GLE/MWD</t>
  </si>
  <si>
    <t xml:space="preserve">               Glendale/SRPMIC Lease (HMRP)</t>
  </si>
  <si>
    <t xml:space="preserve">               Tempe/SRPMIC Lease (CSIF)</t>
  </si>
  <si>
    <t xml:space="preserve">               Fort McDowell Tribe - SRP (CSIF)</t>
  </si>
  <si>
    <t xml:space="preserve">               SCAT - SRP (Freeport-McMoRan) CSIF</t>
  </si>
  <si>
    <t xml:space="preserve">               GRIC/SRP (CSIF)</t>
  </si>
  <si>
    <t xml:space="preserve">               Tohono Nation (AFRP)</t>
  </si>
  <si>
    <t xml:space="preserve">               Tohono Nation (HMRP)</t>
  </si>
  <si>
    <t xml:space="preserve">               Chandler/Welton-Mohawk (CSIF)</t>
  </si>
  <si>
    <t xml:space="preserve">               Gilbert/Welton-Mohawk (CSIF)</t>
  </si>
  <si>
    <t xml:space="preserve">               Tempe/Welton-Mohawk (CSIF)</t>
  </si>
  <si>
    <t xml:space="preserve">               Gilbert/SCAT Lease (CSIF)</t>
  </si>
  <si>
    <t xml:space="preserve">               Scottsdale/SCAT Lease (CSIF)</t>
  </si>
  <si>
    <t xml:space="preserve">               Tonto Apache (CSIF)</t>
  </si>
  <si>
    <t xml:space="preserve">               Avondale/CSIF  (own facility)</t>
  </si>
  <si>
    <t xml:space="preserve">               AFRP (AWBA, Direct)</t>
  </si>
  <si>
    <t xml:space="preserve">               Interstate Banking (AFRP) (AWBA, Direct)</t>
  </si>
  <si>
    <t xml:space="preserve">               GRUSP (AWBA, Direct) (CSIF)</t>
  </si>
  <si>
    <t xml:space="preserve">               Hieroglyphic (HMRP, AWBA, Direct)</t>
  </si>
  <si>
    <t xml:space="preserve">               SRP GSF (AWBA, Indirect) (CSIF)</t>
  </si>
  <si>
    <t>Maricopa Water District Lake Water (MWD**)</t>
  </si>
  <si>
    <t xml:space="preserve">               WUCFD (Apache Junction)</t>
  </si>
  <si>
    <t>MES + Pump</t>
  </si>
  <si>
    <t xml:space="preserve">               WUCFD (Apache Junction) w/RWCD</t>
  </si>
  <si>
    <t xml:space="preserve">               Arizona Water Co. (Casa Grande) w/Hohokam</t>
  </si>
  <si>
    <t>KLK/CGE</t>
  </si>
  <si>
    <t xml:space="preserve">               Arizona Water Co. (Casa Grande) w/MSIDD</t>
  </si>
  <si>
    <t xml:space="preserve">               Arizona Water Co. (Coolidge) w/Hohokam</t>
  </si>
  <si>
    <t xml:space="preserve">               Arizona Water Co. (Superstition)</t>
  </si>
  <si>
    <t>Pumps</t>
  </si>
  <si>
    <t xml:space="preserve">               Arizona Water Co. (Superstition) w/RWCD</t>
  </si>
  <si>
    <t xml:space="preserve">               CAGRD (QCID)</t>
  </si>
  <si>
    <t xml:space="preserve">               Chandler, City of (SMRP)</t>
  </si>
  <si>
    <t xml:space="preserve">               Chandler, City of (TP's)</t>
  </si>
  <si>
    <t>CGT</t>
  </si>
  <si>
    <t xml:space="preserve">               Eloy, City of (Thru MSIDD)</t>
  </si>
  <si>
    <t xml:space="preserve">               Florence, Town of (Thru MSIDD)</t>
  </si>
  <si>
    <t xml:space="preserve">               Gilbert, Town of (SMRP)</t>
  </si>
  <si>
    <t xml:space="preserve">               Goodyear, Town of (SMRP)</t>
  </si>
  <si>
    <t xml:space="preserve">               H2O Inc.</t>
  </si>
  <si>
    <t xml:space="preserve">               LSM Golf, LLC (Mesa)</t>
  </si>
  <si>
    <t xml:space="preserve">               Scottsdale (SMRP)</t>
  </si>
  <si>
    <t xml:space="preserve">               Red Mt Ranch Country Club (Mesa)</t>
  </si>
  <si>
    <t xml:space="preserve">               Surprise (NMIDD)</t>
  </si>
  <si>
    <t xml:space="preserve">               Tonto Hills DWID GSF w/RWCD</t>
  </si>
  <si>
    <t xml:space="preserve">               Queen Creek, Town of</t>
  </si>
  <si>
    <t xml:space="preserve">               Viewpoint RV &amp; Golf Resort (Mesa)</t>
  </si>
  <si>
    <t xml:space="preserve">               Arizona Public Service (APS)</t>
  </si>
  <si>
    <t xml:space="preserve">               Oasis Golf Resort (Johnson Utilities)</t>
  </si>
  <si>
    <t xml:space="preserve">               Red Mt Ranch/OA</t>
  </si>
  <si>
    <t xml:space="preserve">               thru SMRP (CAGRD)</t>
  </si>
  <si>
    <t>CAIDD TO</t>
  </si>
  <si>
    <t>%</t>
  </si>
  <si>
    <t>CMA</t>
  </si>
  <si>
    <t>SMA</t>
  </si>
  <si>
    <t xml:space="preserve">         AG Pool Forebearance Program</t>
  </si>
  <si>
    <t>CAIDD AG Pool Split</t>
  </si>
  <si>
    <t>AG Pool</t>
  </si>
  <si>
    <t xml:space="preserve">               New Magma IDD (NMIDD)</t>
  </si>
  <si>
    <t>NM1, NM2, NM3, NM4</t>
  </si>
  <si>
    <t xml:space="preserve">               Queen Creek ID (QCID)</t>
  </si>
  <si>
    <t xml:space="preserve">               Roosevelt Water Conservation Dist (RWCD)</t>
  </si>
  <si>
    <t xml:space="preserve">               Gila River Indian IDD (GRIC)</t>
  </si>
  <si>
    <t xml:space="preserve">               Chandler/Assignment -SMRP</t>
  </si>
  <si>
    <t xml:space="preserve">               Gilbert/Assignment - CGT</t>
  </si>
  <si>
    <t xml:space="preserve">               Gilbert/Assignment - SMRP</t>
  </si>
  <si>
    <t xml:space="preserve">               GRIC GSF w/RWCD</t>
  </si>
  <si>
    <t xml:space="preserve">               GRIC GSF w/CAIDD </t>
  </si>
  <si>
    <t xml:space="preserve">               GRIC GSF w/NMIDD</t>
  </si>
  <si>
    <t xml:space="preserve">               GRIC Lease (Freeport-McMoRan) w/RWCD</t>
  </si>
  <si>
    <t xml:space="preserve">               GRIC Lease  WUCFD (Apache Junction)</t>
  </si>
  <si>
    <t xml:space="preserve">               GRIC SMRP</t>
  </si>
  <si>
    <t xml:space="preserve">               GRIC exchange w/APS @ CGE</t>
  </si>
  <si>
    <t xml:space="preserve">               GRIC exchange w/Chandler @ CGT</t>
  </si>
  <si>
    <t xml:space="preserve">               Gilbert/Fort McDowell w/NMIDD</t>
  </si>
  <si>
    <t xml:space="preserve">               Gilbert/Fort McDowell @ SMRP</t>
  </si>
  <si>
    <t xml:space="preserve">               Gilbert/SCAT @ NMIDD</t>
  </si>
  <si>
    <t xml:space="preserve">               Gilbert/SCAT @ QCID</t>
  </si>
  <si>
    <t xml:space="preserve">               Gilbert/SCAT 1-yr lease (CGT)</t>
  </si>
  <si>
    <t xml:space="preserve">               Gilbert/SCAT 1 Yr Lease @ SMRP</t>
  </si>
  <si>
    <t xml:space="preserve">               Scottsdale/GRIC Lease (SMRP)</t>
  </si>
  <si>
    <t xml:space="preserve">               Scottsdale/SCAT Lease (SMRP)</t>
  </si>
  <si>
    <t xml:space="preserve">               Chandler/SRPMIC Lease @ CGT</t>
  </si>
  <si>
    <t xml:space="preserve">               Gilbert/SRPMIC Lease (CGT)</t>
  </si>
  <si>
    <t xml:space="preserve">               Gilbert/SRPMIC Lease  @SMRP</t>
  </si>
  <si>
    <t xml:space="preserve">               Chandler/SRPMIC Lease @SMRP</t>
  </si>
  <si>
    <t xml:space="preserve">               Chandler/Welton-Mohawk @ CGT TPs</t>
  </si>
  <si>
    <t xml:space="preserve">               Gilbert/Welton-Mohawk @ QCID</t>
  </si>
  <si>
    <t xml:space="preserve">               Gilbert/Welton-Mohawk - CGT</t>
  </si>
  <si>
    <t xml:space="preserve">               Gilbert/Welton-Mohawk - SMRP</t>
  </si>
  <si>
    <t xml:space="preserve">               Tohono O'odham/NMIDD</t>
  </si>
  <si>
    <t xml:space="preserve">               CAGRD (SMRP)</t>
  </si>
  <si>
    <t xml:space="preserve">               CAIDD (AWBA, Indirect)</t>
  </si>
  <si>
    <t xml:space="preserve">               Interstate (CAIDD 22%) (AWBA, Indirect)</t>
  </si>
  <si>
    <t xml:space="preserve">               Eloy, City of (Thru CAIDD)</t>
  </si>
  <si>
    <t xml:space="preserve">               Arizona Water Co. (Casa Grande) w/ CAIDD</t>
  </si>
  <si>
    <t xml:space="preserve">               Florence, Town of (Thru CAIDD)</t>
  </si>
  <si>
    <t xml:space="preserve">               GRIC GSF w/CAIDD (50%)</t>
  </si>
  <si>
    <t xml:space="preserve">               Interstate (CAIDD 45%) (AWBA, Indirect)</t>
  </si>
  <si>
    <r>
      <t xml:space="preserve">           </t>
    </r>
    <r>
      <rPr>
        <sz val="11"/>
        <color theme="1"/>
        <rFont val="Calibri"/>
        <family val="2"/>
        <scheme val="minor"/>
      </rPr>
      <t>Arizona Water Co.  (Coolidge) W/CAIDD</t>
    </r>
  </si>
  <si>
    <t>CAIDD AG Pool Total</t>
  </si>
  <si>
    <t xml:space="preserve">               Interstate (CAIDD 33%) (AWBA, Indirect)</t>
  </si>
  <si>
    <t>COT</t>
  </si>
  <si>
    <t>LSC</t>
  </si>
  <si>
    <t xml:space="preserve">               Phoenix/AVRP</t>
  </si>
  <si>
    <t xml:space="preserve">               Marana/BKW</t>
  </si>
  <si>
    <t xml:space="preserve">               Tohono O'Odham/LSC</t>
  </si>
  <si>
    <t xml:space="preserve">               Avra Valley/METRO (AVRP, AWBA, Direct)</t>
  </si>
  <si>
    <t xml:space="preserve">               BKW Farms (AWBA)</t>
  </si>
  <si>
    <t xml:space="preserve">               Tucson - BKW Pumps (GSF)</t>
  </si>
  <si>
    <t xml:space="preserve">               Tucson - BKW Pumps (CAVSARP)</t>
  </si>
  <si>
    <t xml:space="preserve">               Metro/SAVSARP</t>
  </si>
  <si>
    <t xml:space="preserve">               Phoenix/SAVSARP</t>
  </si>
  <si>
    <t xml:space="preserve">               Oro Valley/CAVSARP</t>
  </si>
  <si>
    <t xml:space="preserve">               Vail/SAVSARP</t>
  </si>
  <si>
    <t>SKT</t>
  </si>
  <si>
    <t xml:space="preserve">               Pascua Yaqui/SAVSARP</t>
  </si>
  <si>
    <t>SAV</t>
  </si>
  <si>
    <t xml:space="preserve">               Pascua Yaqui (Ak-Chin Lease)/SAVSARP</t>
  </si>
  <si>
    <t xml:space="preserve">               Pascua Yaqui (SCAT Lease) SAVSARP</t>
  </si>
  <si>
    <t>PMR</t>
  </si>
  <si>
    <t xml:space="preserve">               Spanish Trail/PMR</t>
  </si>
  <si>
    <t xml:space="preserve">               San Xavier Cooperative Farm/Tohono (San Xavier)</t>
  </si>
  <si>
    <t>SX2</t>
  </si>
  <si>
    <t xml:space="preserve">               Pascua Yaqui</t>
  </si>
  <si>
    <t>PYQ</t>
  </si>
  <si>
    <t xml:space="preserve">               Pascua Yaqui Ak-Chin Lease</t>
  </si>
  <si>
    <t xml:space="preserve">               Pascua Yaqui SCAT Lease</t>
  </si>
  <si>
    <t>ASR</t>
  </si>
  <si>
    <t xml:space="preserve">     Non-Subcontract (direct use excess)</t>
  </si>
  <si>
    <t xml:space="preserve">     CAGRD (xs replenishment obligation)</t>
  </si>
  <si>
    <t xml:space="preserve">     Salt River Project XS</t>
  </si>
  <si>
    <t xml:space="preserve">     Ag Excess</t>
  </si>
  <si>
    <r>
      <t>RECHARGE</t>
    </r>
    <r>
      <rPr>
        <b/>
        <vertAlign val="superscript"/>
        <sz val="12"/>
        <rFont val="Helv"/>
      </rPr>
      <t>1</t>
    </r>
    <r>
      <rPr>
        <b/>
        <sz val="12"/>
        <rFont val="Helv"/>
      </rPr>
      <t>:</t>
    </r>
  </si>
  <si>
    <t xml:space="preserve">     Direct (excess)</t>
  </si>
  <si>
    <t xml:space="preserve">     Indirect (excess)</t>
  </si>
  <si>
    <r>
      <t xml:space="preserve">     Indirect AWBA</t>
    </r>
    <r>
      <rPr>
        <b/>
        <vertAlign val="superscript"/>
        <sz val="12"/>
        <rFont val="Helv"/>
      </rPr>
      <t>2</t>
    </r>
  </si>
  <si>
    <r>
      <rPr>
        <vertAlign val="superscript"/>
        <sz val="12"/>
        <rFont val="Helv"/>
      </rPr>
      <t>1</t>
    </r>
    <r>
      <rPr>
        <sz val="11"/>
        <color theme="1"/>
        <rFont val="Calibri"/>
        <family val="2"/>
        <scheme val="minor"/>
      </rPr>
      <t xml:space="preserve"> This classification represents </t>
    </r>
    <r>
      <rPr>
        <b/>
        <sz val="12"/>
        <rFont val="Helv"/>
      </rPr>
      <t>EXCESS</t>
    </r>
    <r>
      <rPr>
        <sz val="11"/>
        <color theme="1"/>
        <rFont val="Calibri"/>
        <family val="2"/>
        <scheme val="minor"/>
      </rPr>
      <t xml:space="preserve"> water that has been directly or indirectly recharged.  AWBA, Federal Indian Firming, CAGRD Replenishment Reserve are included in this category.  CAP water recharged under Federal or M&amp;I Subcontract are not included.</t>
    </r>
  </si>
  <si>
    <t>2  The AWBA South Side Replenishment Bank is included in this summation.  The bank offsets groundwater pumped by NIA conractors on zones near the Gila Indian Reservation.  AWBA is required to replenish up to 15,000 acre-feet</t>
  </si>
  <si>
    <t>CAWCD Water Control Department</t>
  </si>
  <si>
    <t>(Acre-Feet)</t>
  </si>
  <si>
    <t>Lake Pleasant Projected EOM Elevation (ft)</t>
  </si>
  <si>
    <t>(CFS)</t>
  </si>
  <si>
    <t>CAP Energy Transmission Losses</t>
  </si>
  <si>
    <t>(Megawatt Hours - MWh)</t>
  </si>
  <si>
    <t>pump</t>
  </si>
  <si>
    <t>NGS/McC TX</t>
  </si>
  <si>
    <t>Parker/Davis</t>
  </si>
  <si>
    <t>Intertie</t>
  </si>
  <si>
    <t>CAP</t>
  </si>
  <si>
    <t>Energy Use Rate (kWh/AF)</t>
  </si>
  <si>
    <t>Cum %</t>
  </si>
  <si>
    <t>Use in River Shaper for each month</t>
  </si>
  <si>
    <t>Monthly Projection of CAP Energy Resources (MWh)</t>
  </si>
  <si>
    <t>CAP Energy Transmission Losses (Financial Reconcilation)</t>
  </si>
  <si>
    <t>Prepared by CAP Water Control Department</t>
  </si>
  <si>
    <t>Energy Needed for Water Operations</t>
  </si>
  <si>
    <t>Non Navajo Energy Resources</t>
  </si>
  <si>
    <t>Navajo Reserved Energy</t>
  </si>
  <si>
    <t>Projected Actions</t>
  </si>
  <si>
    <t>(TL+ED)</t>
  </si>
  <si>
    <t>(CP)</t>
  </si>
  <si>
    <t>(PO)</t>
  </si>
  <si>
    <t>(NE)* per WAPA</t>
  </si>
  <si>
    <t>OPS</t>
  </si>
  <si>
    <t>Sales</t>
  </si>
  <si>
    <t>CAP PP
Energy</t>
  </si>
  <si>
    <t>Switchyard 
Losses</t>
  </si>
  <si>
    <t>Transmission
Losses</t>
  </si>
  <si>
    <t>Total
 Energy</t>
  </si>
  <si>
    <t>Total
Hoover</t>
  </si>
  <si>
    <t>Energy
Provided by</t>
  </si>
  <si>
    <t xml:space="preserve">For </t>
  </si>
  <si>
    <t>Additional</t>
  </si>
  <si>
    <t>Outage /</t>
  </si>
  <si>
    <t>Net</t>
  </si>
  <si>
    <t>Balance</t>
  </si>
  <si>
    <t>(Short)</t>
  </si>
  <si>
    <t>(Long)</t>
  </si>
  <si>
    <t>@ LOAD</t>
  </si>
  <si>
    <t>@ GEN</t>
  </si>
  <si>
    <t>GEN</t>
  </si>
  <si>
    <t>Others</t>
  </si>
  <si>
    <t>6.2 OP1</t>
  </si>
  <si>
    <t>RSVD</t>
  </si>
  <si>
    <t>Curtailment</t>
  </si>
  <si>
    <t>Month</t>
  </si>
  <si>
    <t>NSTS</t>
  </si>
  <si>
    <t>APS</t>
  </si>
  <si>
    <t>*  Total Navajo Energy NE= ED+TL-NG-HE-CP-PO</t>
  </si>
  <si>
    <t>2) Waddell generation ends when lake elevation drops below elevation 1640.</t>
  </si>
  <si>
    <t>3) New 3-party agreement since Oct 1, 2011.  No categories for threshold or surcharge energy.</t>
  </si>
  <si>
    <r>
      <rPr>
        <b/>
        <sz val="11"/>
        <color rgb="FFFF0000"/>
        <rFont val="Arial"/>
        <family val="2"/>
      </rPr>
      <t>HOURLY AVERAGE</t>
    </r>
    <r>
      <rPr>
        <b/>
        <sz val="11"/>
        <rFont val="Arial"/>
        <family val="2"/>
      </rPr>
      <t xml:space="preserve"> of CAP Energy Resources (Mega Watts)</t>
    </r>
  </si>
  <si>
    <t>(MW)</t>
  </si>
  <si>
    <t>MW</t>
  </si>
  <si>
    <t xml:space="preserve">     CAP Pumping Plants - Daily "Average"  Power Schedule</t>
  </si>
  <si>
    <t>Num Days</t>
  </si>
  <si>
    <t>Sunday</t>
  </si>
  <si>
    <t>Typical Day</t>
  </si>
  <si>
    <t>HAV*</t>
  </si>
  <si>
    <t>OFPK</t>
  </si>
  <si>
    <t>ONPK</t>
  </si>
  <si>
    <t>SUPER PEAK</t>
  </si>
  <si>
    <t>WAD (P)</t>
  </si>
  <si>
    <t>WAD (G)</t>
  </si>
  <si>
    <t>OFPK tot</t>
  </si>
  <si>
    <t>ONPK tot</t>
  </si>
  <si>
    <t>SUPER PEAK tot</t>
  </si>
  <si>
    <t>Navajo Reserve</t>
  </si>
  <si>
    <t>Other Resources</t>
  </si>
  <si>
    <t>n/a</t>
  </si>
  <si>
    <t>* Sundays considered OFPK MW For entire day (24hrs)</t>
  </si>
  <si>
    <t xml:space="preserve">     Mark Wilmer PP Detailed Daily "Average"  Power Schedule</t>
  </si>
  <si>
    <t>Weekdays</t>
  </si>
  <si>
    <t>Sundays</t>
  </si>
  <si>
    <t xml:space="preserve">Monthly </t>
  </si>
  <si>
    <t>Monthly</t>
  </si>
  <si>
    <t>Days*</t>
  </si>
  <si>
    <t>SUPER-PEAK</t>
  </si>
  <si>
    <t>Day Total</t>
  </si>
  <si>
    <t>Days**</t>
  </si>
  <si>
    <t>Variance**</t>
  </si>
  <si>
    <t># Units</t>
  </si>
  <si>
    <t>MWH</t>
  </si>
  <si>
    <t>MWH TOT</t>
  </si>
  <si>
    <t>* Excluding Sundays</t>
  </si>
  <si>
    <t>**Number of Sundays in Given Month</t>
  </si>
  <si>
    <t>Represents Monthly Variance against water projection total</t>
  </si>
  <si>
    <t>(Deliveries are actuals through Dec 2015, and projections for the remainder of the year)</t>
  </si>
  <si>
    <t>Revised:  5/2/2016</t>
  </si>
  <si>
    <t>2015 target</t>
  </si>
  <si>
    <t xml:space="preserve">               Ak-Chin/Pulte/WMC</t>
  </si>
  <si>
    <t xml:space="preserve">               Phoenix, City of (some CSIF)</t>
  </si>
  <si>
    <t xml:space="preserve">               Scottsdale, City of (some CSIF)</t>
  </si>
  <si>
    <t xml:space="preserve">               Gilbert/Assignment (CSIF)</t>
  </si>
  <si>
    <t xml:space="preserve">              Goodyear/GRIC Lease (HMRP)</t>
  </si>
  <si>
    <t xml:space="preserve">              Goodyear/GRIC Lease (AFRP)</t>
  </si>
  <si>
    <t xml:space="preserve">               Phoenix/GRIC Lease (some CSIF)</t>
  </si>
  <si>
    <t xml:space="preserve">               Scottsdale/GRIC Lease (some CSIF)</t>
  </si>
  <si>
    <t xml:space="preserve">               SCAT - SRP (FCX) CSIF</t>
  </si>
  <si>
    <t xml:space="preserve">               Phoenix/Welton-Mohawk (some CSIF)</t>
  </si>
  <si>
    <t xml:space="preserve">               Scottsdale/SCAT Lease (some CSIF)</t>
  </si>
  <si>
    <t xml:space="preserve">               Tempe/SRP GRUSP (CSIF)</t>
  </si>
  <si>
    <t xml:space="preserve">               Town of, Queen Creek</t>
  </si>
  <si>
    <t xml:space="preserve">         AG Pool Forbearance Program</t>
  </si>
  <si>
    <t xml:space="preserve">               Chandler/Assignment - SMRP</t>
  </si>
  <si>
    <t xml:space="preserve">               GRIC Lease (FRPT MCMRN) w/RWCD</t>
  </si>
  <si>
    <t xml:space="preserve">               Ak-Chin/LSC</t>
  </si>
  <si>
    <t>(NE)* per WAPA 12/10/2014</t>
  </si>
  <si>
    <t>(Deliveries are actuals through September, and projections for the remainder of the year)</t>
  </si>
  <si>
    <t>Revised:  2/10/2015</t>
  </si>
  <si>
    <t>Took 5000 af out of Phoenix for system conservation.</t>
  </si>
  <si>
    <t xml:space="preserve">               Peoria/GRIC Lease (MWD, Quintero, P2 pump)</t>
  </si>
  <si>
    <t xml:space="preserve">               Tonoto Apache (CSIF)</t>
  </si>
  <si>
    <t>Avondale requested to take this water from Roosevelt account if no excess avail.</t>
  </si>
  <si>
    <t xml:space="preserve">               HMRP (AWBA, Direct)</t>
  </si>
  <si>
    <t xml:space="preserve">               WUCFD (Apache Junction) - SMRP</t>
  </si>
  <si>
    <t xml:space="preserve">               Chandler/Assignment -CGT</t>
  </si>
  <si>
    <t xml:space="preserve">               GRIC GSF w/CAIDD (22%)</t>
  </si>
  <si>
    <t xml:space="preserve">               CAIDD (45%) (AWBA, Indirect)</t>
  </si>
  <si>
    <t xml:space="preserve">               CAIDD (33%) (AWBA, Indirect)</t>
  </si>
  <si>
    <t>2  The AWBA South Side Replenishment Bank is included in this summation.  The bank offsets groundwater pumped by NIA conractors on zones near the Gila Indian Reservation.  AWBA is required to replenish up to 15,000 af total 1,000 af annually</t>
  </si>
  <si>
    <t>NGS</t>
  </si>
  <si>
    <t>(NE)* per WAPA 12/4/2013</t>
  </si>
  <si>
    <t>(Deliveries are actuals)</t>
  </si>
  <si>
    <t>Revised:  11/25/13</t>
  </si>
  <si>
    <t xml:space="preserve">               SRP/GRIC (CSIF)</t>
  </si>
  <si>
    <t xml:space="preserve">               San Carlos IDD/Excess</t>
  </si>
  <si>
    <t xml:space="preserve">               CAIDD (22%) (AWBA, Indirect)</t>
  </si>
  <si>
    <t xml:space="preserve">               GRIC GSF w/CAIDD (45%)</t>
  </si>
  <si>
    <t xml:space="preserve">               GRIC GSF w/CAIDD (33%)</t>
  </si>
  <si>
    <t>Monthly Projection of CAP Energy Resources (Mega Watt Hours)</t>
  </si>
  <si>
    <t>(NE)* per WAPA 12/15/2012</t>
  </si>
  <si>
    <t>Note Hoover #'s acutals through April 2013, data taken from DOE letter May 20,2013</t>
  </si>
  <si>
    <t>(NE)* per WAPA 12/15/2011</t>
  </si>
  <si>
    <t>Calendar Year 2012</t>
  </si>
  <si>
    <t>(Deliveries are actuals for 2012)</t>
  </si>
  <si>
    <t>Revised:  1/22/2013</t>
  </si>
  <si>
    <t xml:space="preserve">               Peoria  (AFRP, Glen, HMRP, Quin, P2, MWD)</t>
  </si>
  <si>
    <t xml:space="preserve">               Surprise (HMRP,AFRP,TDRP)</t>
  </si>
  <si>
    <t xml:space="preserve">               SRP (Excess to San Tan PP)</t>
  </si>
  <si>
    <t xml:space="preserve">               San Carlos Apache Tribe - SRP (FCX)</t>
  </si>
  <si>
    <t xml:space="preserve">               Avondale  (own facility)</t>
  </si>
  <si>
    <t>Avondale will take this water from Roosevelt account</t>
  </si>
  <si>
    <t xml:space="preserve">               Tempe/SRP GRUSP</t>
  </si>
  <si>
    <t xml:space="preserve">               Chandler, City of (TP's and SMRP)</t>
  </si>
  <si>
    <t xml:space="preserve">               GRIC GSF w/NMID</t>
  </si>
  <si>
    <t xml:space="preserve">               Chandler/SRPMIC Lease (SMRP)</t>
  </si>
  <si>
    <t xml:space="preserve">               Gilbert/FT McDowell @ NMIDD</t>
  </si>
  <si>
    <t xml:space="preserve">               Gilbert/FT McDowell @ QCID</t>
  </si>
  <si>
    <t xml:space="preserve">               SCAT 1-yr lease w/Gilbert (CGT)</t>
  </si>
  <si>
    <t xml:space="preserve">               SCAT 1 Yr Lease w/Gilbert @ SMRP</t>
  </si>
  <si>
    <t xml:space="preserve">               Chandler/Welton-Mohawk @ RWCD</t>
  </si>
  <si>
    <t xml:space="preserve">               Active Recource Management (Vidler)</t>
  </si>
  <si>
    <t xml:space="preserve">              SMRP (AWBA, Direct)</t>
  </si>
  <si>
    <t xml:space="preserve">               Tucson - BKW GSF pumps (BKW/CAV)</t>
  </si>
  <si>
    <t xml:space="preserve">                Pascua Yaqui SCAT Lease</t>
  </si>
  <si>
    <t>2) Waddell generation ends when lake elevation drops below elevation 1640  (Manually determined does not check LP forecast sheet).</t>
  </si>
  <si>
    <t>aid</t>
  </si>
  <si>
    <t>Revised:  1/18/2018</t>
  </si>
  <si>
    <t>2017 target</t>
  </si>
  <si>
    <t xml:space="preserve">     CAGRD RO</t>
  </si>
  <si>
    <t xml:space="preserve">               Florence - Tonopah ID</t>
  </si>
  <si>
    <t xml:space="preserve">               FMYN/Gilbert - TDRP</t>
  </si>
  <si>
    <t xml:space="preserve">               Chandler, City of (AFRP)</t>
  </si>
  <si>
    <t xml:space="preserve">               Miami - SRP (Freeport-McMoRan) CSIF</t>
  </si>
  <si>
    <t xml:space="preserve">               Glendale (AFRP)</t>
  </si>
  <si>
    <t xml:space="preserve">               Peoria (GLE, Inadvertent Overrun)</t>
  </si>
  <si>
    <t xml:space="preserve">               Tonto Hills DWID (Inadvertent Overrun)</t>
  </si>
  <si>
    <t xml:space="preserve">               Ak-Chin/Pulte/Sky Crossing</t>
  </si>
  <si>
    <t xml:space="preserve">               Gilbert/FMYN Lease (CSIF)</t>
  </si>
  <si>
    <t xml:space="preserve">               Phoenix/FMYN (CSIF)</t>
  </si>
  <si>
    <t xml:space="preserve">               Phoenix/FMYN</t>
  </si>
  <si>
    <t xml:space="preserve">               Phoenix/GRIC Lease (CSIF)</t>
  </si>
  <si>
    <t xml:space="preserve">               Phoenix/SRPMIC Lease (CSIF)</t>
  </si>
  <si>
    <t xml:space="preserve">               FMYN - SRP (CSIF)</t>
  </si>
  <si>
    <t xml:space="preserve">               GRIC/SRP GRSP</t>
  </si>
  <si>
    <t xml:space="preserve">               Gilbert/Welton-Mohawk (AFRP)</t>
  </si>
  <si>
    <t xml:space="preserve">               Gilbert/FMYN GRUSP @ SRP</t>
  </si>
  <si>
    <t xml:space="preserve">               Gilbert/SCAT (AFRP)</t>
  </si>
  <si>
    <t xml:space="preserve">               Scottsdale/Yavapai-Prescott (CSIF)</t>
  </si>
  <si>
    <t xml:space="preserve">               CAGRD/MWD</t>
  </si>
  <si>
    <t xml:space="preserve">               ASARCO w/ RWCD GSF</t>
  </si>
  <si>
    <t xml:space="preserve">               Chandler, City of (NMIDD)</t>
  </si>
  <si>
    <t xml:space="preserve">               Miami - Freeport-McMoRan (RWCD)</t>
  </si>
  <si>
    <t xml:space="preserve">               Gilbert, Town of (QCID)</t>
  </si>
  <si>
    <t xml:space="preserve">               Phoenix (MAR5)</t>
  </si>
  <si>
    <t xml:space="preserve">               Surprise thru NMIDD</t>
  </si>
  <si>
    <t xml:space="preserve">               Chandler (Inadvertent Overrun)</t>
  </si>
  <si>
    <t xml:space="preserve">               Gilbert (Inadvertent Overrun)</t>
  </si>
  <si>
    <t>Ag Pool Redistribution/Remarket (+/-)</t>
  </si>
  <si>
    <t xml:space="preserve">               Ak-Chin / RWCD</t>
  </si>
  <si>
    <t xml:space="preserve">               Chandler/Assignment -NMIDD</t>
  </si>
  <si>
    <t xml:space="preserve">               GRIC Lease  WUCFD (Apache Junction) w/RWCD</t>
  </si>
  <si>
    <t xml:space="preserve">               Gilbert/FMYN w/NMIDD</t>
  </si>
  <si>
    <t xml:space="preserve">               Gilbert/FMYN @ SMRP</t>
  </si>
  <si>
    <t xml:space="preserve">               Gilbert/SCAT GSF @ RWCD</t>
  </si>
  <si>
    <t xml:space="preserve">               Gilbert/FMYN @ QCID</t>
  </si>
  <si>
    <t xml:space="preserve">               Gilbert/SCAT 1 Yr Lease @ NMIDD</t>
  </si>
  <si>
    <t xml:space="preserve">               Chandler/Welton-Mohawk @ NMIDD</t>
  </si>
  <si>
    <t xml:space="preserve">               Eloy, City of Central Main</t>
  </si>
  <si>
    <t xml:space="preserve">               Eloy, City of (Thru CAIDD) GSF</t>
  </si>
  <si>
    <t xml:space="preserve">               Tucson/Kai Farms</t>
  </si>
  <si>
    <t xml:space="preserve">               Tucson/BKW (GSF) thru LSC turnout</t>
  </si>
  <si>
    <t xml:space="preserve">               Ak-Chin/LSCRP</t>
  </si>
  <si>
    <t xml:space="preserve">               Phoenix/GRIC Lease/AVRP</t>
  </si>
  <si>
    <t xml:space="preserve">               Phoenix/GRIC Lease/SAVSARP</t>
  </si>
  <si>
    <t xml:space="preserve">               Community Water Co.</t>
  </si>
  <si>
    <t>Includes WAD SGL</t>
  </si>
  <si>
    <t>feb</t>
  </si>
  <si>
    <t>Total Load</t>
  </si>
  <si>
    <t>West Total</t>
  </si>
  <si>
    <t>Waddel</t>
  </si>
  <si>
    <t>South Total</t>
  </si>
  <si>
    <t>OFFPK</t>
  </si>
  <si>
    <t>OFF PK</t>
  </si>
  <si>
    <t>Gen</t>
  </si>
  <si>
    <t>w/SGL</t>
  </si>
  <si>
    <t>Weekday</t>
  </si>
  <si>
    <t>On Peak</t>
  </si>
  <si>
    <t>Hours</t>
  </si>
  <si>
    <t>West HAV - HSY</t>
  </si>
  <si>
    <t>WAD -PMP</t>
  </si>
  <si>
    <t>WAD - GEN</t>
  </si>
  <si>
    <t>South w/SGL</t>
  </si>
  <si>
    <t>Off Peak</t>
  </si>
  <si>
    <t xml:space="preserve">  </t>
  </si>
  <si>
    <t>Note: Per LPD disabled super peak 1-30-2017</t>
  </si>
  <si>
    <t>Sept</t>
  </si>
  <si>
    <t>(Deliveries are actuals through DEC)</t>
  </si>
  <si>
    <t>Revised:  3/2/2019</t>
  </si>
  <si>
    <t xml:space="preserve">               CAGRD M&amp;I (Tonopah ID)</t>
  </si>
  <si>
    <t>CAGRD M&amp;I</t>
  </si>
  <si>
    <t xml:space="preserve">               TDRP (CAGRD RO)</t>
  </si>
  <si>
    <t>CAGRD RO</t>
  </si>
  <si>
    <t xml:space="preserve">               Tonopah ID (CAGRD RO)</t>
  </si>
  <si>
    <t xml:space="preserve">               Chandler/Wellton-Mohawk - TDRP</t>
  </si>
  <si>
    <t xml:space="preserve">               Gilbert/Wellton-Mohawk - TDRP</t>
  </si>
  <si>
    <t xml:space="preserve">               CAGRD RR (TDRP)</t>
  </si>
  <si>
    <t>Interstate</t>
  </si>
  <si>
    <t xml:space="preserve">               CAGRD RR/Tonopah ID</t>
  </si>
  <si>
    <t xml:space="preserve">               Interstate (Tonopah ID, AWBA, Indirect)</t>
  </si>
  <si>
    <t xml:space="preserve">               Tonopah ID (AWBA, Indirect)</t>
  </si>
  <si>
    <t xml:space="preserve">               Arizona State Land Dept. (ADOT) CSIF</t>
  </si>
  <si>
    <t xml:space="preserve">               Buckeye/Festival Rch</t>
  </si>
  <si>
    <t xml:space="preserve">               CAGRD M&amp;I (AFRP)</t>
  </si>
  <si>
    <t xml:space="preserve">               CAGRD M&amp;I (HMRP)</t>
  </si>
  <si>
    <t xml:space="preserve">               CAGRD M&amp;I (MWD)</t>
  </si>
  <si>
    <t xml:space="preserve">               Miami - SRP GSF (Freeport-McMoRan) CSIF</t>
  </si>
  <si>
    <t xml:space="preserve">               Phoenix</t>
  </si>
  <si>
    <t xml:space="preserve">               Scottsdale</t>
  </si>
  <si>
    <t xml:space="preserve">               thru AFRP (CAGRD RO)</t>
  </si>
  <si>
    <t xml:space="preserve">               thru HMRP (CAGRD RO)</t>
  </si>
  <si>
    <t xml:space="preserve">               thru Scottsdale (CAGRD RO)</t>
  </si>
  <si>
    <t xml:space="preserve">               Ak-Chin/Pulte/Festival Rch pumps</t>
  </si>
  <si>
    <t xml:space="preserve">               Glendale/Assignment/HMRP</t>
  </si>
  <si>
    <t xml:space="preserve">               GRIC/SRP GRUSP (CSIF)</t>
  </si>
  <si>
    <t xml:space="preserve">               Chandler/Wellton-Mohawk (CSIF)</t>
  </si>
  <si>
    <t xml:space="preserve">               Gilbert/Wellton-Mohawk (CSIF)</t>
  </si>
  <si>
    <t xml:space="preserve">               Glendale/Wellton-Mohawk (HMRP)</t>
  </si>
  <si>
    <t xml:space="preserve">               Glendale/Wellton-Mohawk</t>
  </si>
  <si>
    <t xml:space="preserve">               Mesa/Wellton-Mohawk</t>
  </si>
  <si>
    <t xml:space="preserve">               Phoenix/Wellton-Mohawk</t>
  </si>
  <si>
    <t xml:space="preserve">               Phoenix/Wellton-Mohawk (CSIF)</t>
  </si>
  <si>
    <t xml:space="preserve">               Scottsdale/Wellton-Mohawk</t>
  </si>
  <si>
    <t xml:space="preserve">               Tempe/Wellton-Mohawk (CSIF)</t>
  </si>
  <si>
    <t xml:space="preserve">               Gilbert/FMYN GRUSP @ SRP CSIF</t>
  </si>
  <si>
    <t xml:space="preserve">               Gilbert/SCAT GRUSP @ SRP (CSIF)</t>
  </si>
  <si>
    <t xml:space="preserve">               CAGRD RR (AFRP)</t>
  </si>
  <si>
    <t xml:space="preserve">               CAGRD RR (HMRP)</t>
  </si>
  <si>
    <t xml:space="preserve">               CAGRD RR/MWD</t>
  </si>
  <si>
    <t xml:space="preserve">               Arizona Water Co. (Casa Grande) w/ Pinal Valley USF</t>
  </si>
  <si>
    <t xml:space="preserve">               CAGRD M&amp;I (QCID)</t>
  </si>
  <si>
    <t xml:space="preserve">               CAGRD M&amp;I thru NMIDD</t>
  </si>
  <si>
    <t xml:space="preserve">               thru MSIDD (CAGRD RO)</t>
  </si>
  <si>
    <t xml:space="preserve">               thru NMIDD (CAGRD RO)</t>
  </si>
  <si>
    <t xml:space="preserve">               thru QCID (CAGRD RO)</t>
  </si>
  <si>
    <t xml:space="preserve">               thru SMRP (CAGRD RO)</t>
  </si>
  <si>
    <t xml:space="preserve">               Viewpoint RV &amp; Golf Resort (Mesa) / Assignment</t>
  </si>
  <si>
    <t xml:space="preserve">               Freeport McMoRan/SCAT 1 Yr Lease w/MSIDD</t>
  </si>
  <si>
    <t xml:space="preserve">               Unknown SCAT Water (tbd)</t>
  </si>
  <si>
    <t xml:space="preserve">               Chandler/SRPMIC Lease @ CGT TPs</t>
  </si>
  <si>
    <t xml:space="preserve">               Chandler/Wellton-Mohawk @ CGT TPs</t>
  </si>
  <si>
    <t xml:space="preserve">               Chandler/Wellton-Mohawk @ NMIDD</t>
  </si>
  <si>
    <t xml:space="preserve">               Chandler/Wellton-Mohawk @ SMRP</t>
  </si>
  <si>
    <t xml:space="preserve">               Gilbert/Wellton-Mohawk - CGT</t>
  </si>
  <si>
    <t xml:space="preserve">               Gilbert/Wellton-Mohawk - SMRP</t>
  </si>
  <si>
    <t xml:space="preserve">              Viewpoint (Mesa)/Wellton-Mohawk</t>
  </si>
  <si>
    <t xml:space="preserve">               LSM (Mesa)/Wellton-Mohawk</t>
  </si>
  <si>
    <t xml:space="preserve">               Red Mt Ranch CC (Mesa)/Wellton-Mohawk</t>
  </si>
  <si>
    <t xml:space="preserve">               CAGRD RR (SMRP)</t>
  </si>
  <si>
    <t xml:space="preserve">               CAGRD RR/QCID</t>
  </si>
  <si>
    <t xml:space="preserve">               CAGRD RR/NMIDD</t>
  </si>
  <si>
    <t xml:space="preserve">               Interstate (NMIDD)  (AWBA, Indirect)</t>
  </si>
  <si>
    <t xml:space="preserve">               Interstate (QCID) (AWBA, Indirect)</t>
  </si>
  <si>
    <t xml:space="preserve">               Miami - Freeport-McMoRan (CAIDD)</t>
  </si>
  <si>
    <t xml:space="preserve">               Freeport McMoran Storage w/ CAIDD SCAT 1 Yr Lease (Safford)</t>
  </si>
  <si>
    <t xml:space="preserve">               CAGRD RR/Kai Farms</t>
  </si>
  <si>
    <t xml:space="preserve">               Interstate (Kai Farms) (AWBA, Indirect)</t>
  </si>
  <si>
    <t xml:space="preserve">               Spanish Trail/CMID</t>
  </si>
  <si>
    <t xml:space="preserve">               Tucson/AVRP</t>
  </si>
  <si>
    <t xml:space="preserve">               Tucson/LSCRP</t>
  </si>
  <si>
    <t xml:space="preserve">               CAGRD RO/LSCRP</t>
  </si>
  <si>
    <t xml:space="preserve">               Ak-Chin/CMID</t>
  </si>
  <si>
    <t xml:space="preserve">               Phoenix/AVRP SRPMIC</t>
  </si>
  <si>
    <t xml:space="preserve">               Phoenix/AVRP GRIC</t>
  </si>
  <si>
    <t xml:space="preserve">               CAGRD RR/LSCRP</t>
  </si>
  <si>
    <t xml:space="preserve">               BOR/LSCRP</t>
  </si>
  <si>
    <t xml:space="preserve">               BOR/CMID</t>
  </si>
  <si>
    <t xml:space="preserve">               Interstate (CMID) (AWBA, Indirect)</t>
  </si>
  <si>
    <t xml:space="preserve">               Phoenix/SAVSARP Wellton-Mohawk</t>
  </si>
  <si>
    <t xml:space="preserve">               Phoenix/SAVSARP GRIC</t>
  </si>
  <si>
    <t xml:space="preserve">               Phoenix/SAVSARP FMYN</t>
  </si>
  <si>
    <t xml:space="preserve">               Phoenix/SAVSARP SRPMIC</t>
  </si>
  <si>
    <t xml:space="preserve">               CAGRD RO/PMR</t>
  </si>
  <si>
    <t xml:space="preserve">               CAGRD RR/PMR</t>
  </si>
  <si>
    <r>
      <t xml:space="preserve">          Interstate Banking (from Direct AWBA)</t>
    </r>
    <r>
      <rPr>
        <vertAlign val="superscript"/>
        <sz val="12"/>
        <rFont val="Helv"/>
      </rPr>
      <t>2</t>
    </r>
  </si>
  <si>
    <r>
      <t xml:space="preserve">          Interstate Banking (from Indirect AWBA)</t>
    </r>
    <r>
      <rPr>
        <vertAlign val="superscript"/>
        <sz val="12"/>
        <rFont val="Helv"/>
      </rPr>
      <t>2</t>
    </r>
  </si>
  <si>
    <r>
      <rPr>
        <vertAlign val="superscript"/>
        <sz val="12"/>
        <rFont val="Helv"/>
      </rPr>
      <t>1</t>
    </r>
    <r>
      <rPr>
        <sz val="11"/>
        <color theme="1"/>
        <rFont val="Calibri"/>
        <family val="2"/>
        <scheme val="minor"/>
      </rPr>
      <t xml:space="preserve"> This classification represents </t>
    </r>
    <r>
      <rPr>
        <b/>
        <sz val="12"/>
        <rFont val="Helv"/>
      </rPr>
      <t>EXCESS</t>
    </r>
    <r>
      <rPr>
        <sz val="11"/>
        <color theme="1"/>
        <rFont val="Calibri"/>
        <family val="2"/>
        <scheme val="minor"/>
      </rPr>
      <t xml:space="preserve"> water that has been directly or indirectly recharged.  AWBA, Federal Indian Firming, CAGRD Replenishment Reserve are included in this category.  CAP water recharged under Federal or M&amp;I Subcontracts is not included.</t>
    </r>
  </si>
  <si>
    <t>2  In 2018, Nevada has entered into a Storage and Interstate Release Agreement (SIRA) for 13,500 acre-feet of Nevada un-used apportionment.</t>
  </si>
  <si>
    <t>(Deliveries are actuals through SEP, and projections for the remainder of the year)</t>
  </si>
  <si>
    <t>Revised:  11/4/2019</t>
  </si>
  <si>
    <t xml:space="preserve">               ASARCO w/ RID GSF (CSIF)</t>
  </si>
  <si>
    <t xml:space="preserve">               EPCOR-Chaparral City Water Company (MWD)</t>
  </si>
  <si>
    <t xml:space="preserve">               EPCOR-Chaparral City Water Company (CCW)</t>
  </si>
  <si>
    <t xml:space="preserve">               El Mirage (AFRP)</t>
  </si>
  <si>
    <t xml:space="preserve">               Phoenix, City of (HMRP)</t>
  </si>
  <si>
    <t xml:space="preserve">               Phoenix, City of (Hohokam-CDR)</t>
  </si>
  <si>
    <t xml:space="preserve">               Phoenix, City of (CSIF) (Hohokam-CDR)</t>
  </si>
  <si>
    <t xml:space="preserve">               GRIC Lease  WUCFD (Apache Junction) (CSIF)</t>
  </si>
  <si>
    <t xml:space="preserve">               Phoenix/GRIC Lease (HMRP)</t>
  </si>
  <si>
    <t xml:space="preserve">               GRIC/RWCD GSF (CSIF)</t>
  </si>
  <si>
    <t xml:space="preserve">               Eloy, City of (Thru NMIDD)</t>
  </si>
  <si>
    <t xml:space="preserve">               Phoenix @ QCID</t>
  </si>
  <si>
    <t xml:space="preserve">               Phoenix (Hohokam-CDR) @ NMIDD</t>
  </si>
  <si>
    <t xml:space="preserve">               Ak-Chin/Pulte QCID</t>
  </si>
  <si>
    <t xml:space="preserve">               Chandler/SRPMIC Lease -NMIDD</t>
  </si>
  <si>
    <t xml:space="preserve">               Gilbert/SCAT 100-yr lease (CGT)</t>
  </si>
  <si>
    <t xml:space="preserve">               Gilbert/SCAT Lease @ SMRP</t>
  </si>
  <si>
    <t xml:space="preserve">               Morenci - Freeport-McMoRan (RWCD)</t>
  </si>
  <si>
    <t xml:space="preserve">               Phoenix/Wellton-Mohawk @ QCID</t>
  </si>
  <si>
    <t xml:space="preserve">               Phoenix/AVRP (Hohokam-CDR)</t>
  </si>
  <si>
    <t xml:space="preserve">               Marana/AVRP</t>
  </si>
  <si>
    <t xml:space="preserve">               Tucson/CMID</t>
  </si>
  <si>
    <t xml:space="preserve">               Tucson/LSC TO/BKW</t>
  </si>
  <si>
    <t xml:space="preserve">               Phoenix/SAVSARP (Hohokam-CDR)</t>
  </si>
  <si>
    <t xml:space="preserve">               Phoenix/SAVSARP Assignment</t>
  </si>
  <si>
    <t>(Deliveries are actuals through NOV and projections for the remainder of the year)</t>
  </si>
  <si>
    <t>Revised:  12/23/2020</t>
  </si>
  <si>
    <t xml:space="preserve">               Avondale - TDRP</t>
  </si>
  <si>
    <t xml:space="preserve">               Glendale - TDRP</t>
  </si>
  <si>
    <t xml:space="preserve">               Peoria TDRP</t>
  </si>
  <si>
    <t xml:space="preserve">               Ak-Chin - TDRP</t>
  </si>
  <si>
    <t xml:space="preserve">               GRIC Lease (CAGRD) / TDRP</t>
  </si>
  <si>
    <t xml:space="preserve">               GRIC Exchange (CAGRD) / TDRP</t>
  </si>
  <si>
    <t xml:space="preserve">               GRIC Exchange (CAGRD) / Tonopah ID</t>
  </si>
  <si>
    <t xml:space="preserve">               EPCOR-Rio Verde Utilities (MWD)</t>
  </si>
  <si>
    <t xml:space="preserve">               Chandler, City of (HMRP)</t>
  </si>
  <si>
    <t xml:space="preserve">               EPCOR-PV (CSIF)</t>
  </si>
  <si>
    <t xml:space="preserve">               Freeport McMoRan Miami CSIF/RWCD</t>
  </si>
  <si>
    <t xml:space="preserve">               Goodyear w/SRP (CSIF)</t>
  </si>
  <si>
    <t xml:space="preserve">               EPCOR Rio Verde Utilities Company (CSIF)</t>
  </si>
  <si>
    <t xml:space="preserve">               Scottsdale, City of (HMRP)</t>
  </si>
  <si>
    <t xml:space="preserve">               Goodyear/GRIC Lease (CSIF)</t>
  </si>
  <si>
    <t xml:space="preserve">               Chandler/SRPMIC Lease (HMRP)</t>
  </si>
  <si>
    <t xml:space="preserve">               SCAT - SRP (Freeport-McMoRan) RWCD</t>
  </si>
  <si>
    <t xml:space="preserve">               Gilbert/SCAT 1-yr Lease @ AFRP</t>
  </si>
  <si>
    <t xml:space="preserve">               Gilbert/SCAT 1-yr Lease (CSIF)</t>
  </si>
  <si>
    <t xml:space="preserve">               Gilbert/SCAT 100-yr Lease (CSIF)</t>
  </si>
  <si>
    <t xml:space="preserve">               Stone Applications/SCAT Lease (AFRP)</t>
  </si>
  <si>
    <t xml:space="preserve">               WUCFD (Apache Junction) w/NMIDD</t>
  </si>
  <si>
    <t xml:space="preserve">               Arizona Water Co. (Casa Grande) w/CAIDD</t>
  </si>
  <si>
    <t xml:space="preserve">               Arizona Water Co. (Coolidge) w/Pinal Valley USF</t>
  </si>
  <si>
    <t xml:space="preserve">               Phoenix (NMIDD)</t>
  </si>
  <si>
    <t xml:space="preserve">               Phoenix (QCID)</t>
  </si>
  <si>
    <t xml:space="preserve">               GRIC (MAR1B)</t>
  </si>
  <si>
    <t xml:space="preserve">               GRIC (MAR5)</t>
  </si>
  <si>
    <t xml:space="preserve">               GRIC Lease (CAGRD) / MAR5</t>
  </si>
  <si>
    <t xml:space="preserve">               CAGRD/FMYN Lease w/NMIDD</t>
  </si>
  <si>
    <t xml:space="preserve">               Chandler/GRIC Lease @ CGT</t>
  </si>
  <si>
    <t xml:space="preserve">               GRIC GSF w/QCID</t>
  </si>
  <si>
    <t xml:space="preserve">               GRIC Exchange (CAGRD)/NMIDD</t>
  </si>
  <si>
    <t xml:space="preserve">               GRIC Exchange (CAGRD)/QCID</t>
  </si>
  <si>
    <t xml:space="preserve">               GRIC Lease  WUCFD (Apache Junction) w/NMIDD</t>
  </si>
  <si>
    <t xml:space="preserve">               Gilbert/SCAT 1-yr Lease @ NMIDD</t>
  </si>
  <si>
    <t xml:space="preserve">               Gilbert/SCAT 1-yr Lease @ QCID</t>
  </si>
  <si>
    <t xml:space="preserve">               Gilbert/SCAT 100-yr Lease @ NMIDD</t>
  </si>
  <si>
    <t xml:space="preserve">               Gilbert/SCAT 1-yr Lease @ SMRP</t>
  </si>
  <si>
    <t xml:space="preserve">               Gilbert/SCAT 1-yr Lease CGT</t>
  </si>
  <si>
    <t xml:space="preserve">               Freeport McMoRan/SCAT Lease w/MSIDD</t>
  </si>
  <si>
    <t xml:space="preserve">               Freeport McMoRan/GRIC Lease w/MSIDD</t>
  </si>
  <si>
    <t xml:space="preserve">               Phoenix/FMYN Lease (NMIDD)</t>
  </si>
  <si>
    <t xml:space="preserve">               Phoenix/FMYN Lease (QCID)</t>
  </si>
  <si>
    <t xml:space="preserve">               Phoenix/GRIC Lease (NMIDD)</t>
  </si>
  <si>
    <t xml:space="preserve">               Phoenix/GRIC Lease (QCID)</t>
  </si>
  <si>
    <t xml:space="preserve">               Phoenix/SRPMIC Lease (NMIDD)</t>
  </si>
  <si>
    <t xml:space="preserve">               Phoenix/SRPMIC Lease (QCID)</t>
  </si>
  <si>
    <t xml:space="preserve">               Stone Applications/SCAT Lease (RWCD)</t>
  </si>
  <si>
    <t xml:space="preserve">               Stone Applications/SCAT Lease (SMRP)</t>
  </si>
  <si>
    <t xml:space="preserve">               Chandler/SRPMIC Lease @ SMRP</t>
  </si>
  <si>
    <t xml:space="preserve">               Chandler/SRPMIC Lease @ NMIDD</t>
  </si>
  <si>
    <t xml:space="preserve">               Viewpoint (Mesa)/SRPMIC Lease</t>
  </si>
  <si>
    <t xml:space="preserve">               LSM (Mesa)/SRPMIC Lease</t>
  </si>
  <si>
    <t xml:space="preserve">               Red Mt Ranch CC (Mesa)/SRPMIC Lease</t>
  </si>
  <si>
    <t xml:space="preserve">               Freeport-McMoRan (CAIDD)</t>
  </si>
  <si>
    <t xml:space="preserve">               Freeport McMoran GRIC 100-yr lease/CAIDD</t>
  </si>
  <si>
    <t xml:space="preserve">               Freeport McMoran SCAT lease/CAIDD</t>
  </si>
  <si>
    <t xml:space="preserve">               Tucson/BKW thru LSC</t>
  </si>
  <si>
    <t xml:space="preserve">               GRIC Exchange (CAGRD)/LSCRP</t>
  </si>
  <si>
    <t xml:space="preserve">               Tucson/FICO</t>
  </si>
  <si>
    <t xml:space="preserve">               Freeport McMoRan GRIC Lease/FICO</t>
  </si>
  <si>
    <t>Revised:  10/27/2021</t>
  </si>
  <si>
    <t xml:space="preserve">               Ak-Chin/TID</t>
  </si>
  <si>
    <t xml:space="preserve">               Phoenix/Assignment (CSIF)</t>
  </si>
  <si>
    <t xml:space="preserve">               GRIC Exchange (CAGRD)/HMRP</t>
  </si>
  <si>
    <t xml:space="preserve">               Arizona Water Co. (Superstition) (SMRP)</t>
  </si>
  <si>
    <t xml:space="preserve">               Gila River Indian IDD (GRIC) Pending Conservation</t>
  </si>
  <si>
    <t xml:space="preserve">               GRIC (MAR1B &amp; MAR5)</t>
  </si>
  <si>
    <t xml:space="preserve">               CAGRD / GRIC Lease / MAR5</t>
  </si>
  <si>
    <t xml:space="preserve">               GRIC Lease (CAGRD) / QCID</t>
  </si>
  <si>
    <t xml:space="preserve">               GRIC Lease (CAGRD) / SMRP</t>
  </si>
  <si>
    <t xml:space="preserve">               Gilbert/SCAT 1-yr Lease (CGT)</t>
  </si>
  <si>
    <t xml:space="preserve">               Phoenix/AVRP FMYN</t>
  </si>
  <si>
    <t xml:space="preserve">               Ak-Chin/PMR</t>
  </si>
  <si>
    <t xml:space="preserve">               GRIC Exchange (CAGRD)/PMR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</si>
</sst>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5" formatCode="&quot;$&quot;#,##0_);\(&quot;$&quot;#,##0\)"/>
    <numFmt numFmtId="7" formatCode="&quot;$&quot;#,##0.00_);\(&quot;$&quot;#,##0.00\)"/>
    <numFmt numFmtId="164" formatCode="mm/dd/yy"/>
    <numFmt numFmtId="165" formatCode="mm/dd/yy_)"/>
    <numFmt numFmtId="166" formatCode="0_);\(0\)"/>
    <numFmt numFmtId="167" formatCode="0.0%"/>
  </numFmts>
  <fonts count="39" x14ac:knownFonts="1">
    <font>
      <sz val="11"/>
      <color theme="1"/>
      <name val="Calibri"/>
      <family val="2"/>
      <scheme val="minor"/>
    </font>
    <font>
      <sz val="12"/>
      <name val="Helv"/>
    </font>
    <font>
      <b/>
      <sz val="12"/>
      <name val="Helv"/>
    </font>
    <font>
      <b/>
      <sz val="16"/>
      <name val="Helv"/>
    </font>
    <font>
      <b/>
      <sz val="14"/>
      <name val="Helv"/>
    </font>
    <font>
      <b/>
      <sz val="12"/>
      <name val="Arial"/>
      <family val="2"/>
    </font>
    <font>
      <b/>
      <sz val="11"/>
      <name val="Helv"/>
    </font>
    <font>
      <sz val="11"/>
      <name val="Helv"/>
    </font>
    <font>
      <sz val="8"/>
      <name val="Helv"/>
    </font>
    <font>
      <sz val="10"/>
      <name val="Helv"/>
    </font>
    <font>
      <b/>
      <sz val="12"/>
      <color indexed="10"/>
      <name val="Helv"/>
    </font>
    <font>
      <sz val="12"/>
      <color indexed="10"/>
      <name val="Helv"/>
    </font>
    <font>
      <sz val="12"/>
      <color indexed="8"/>
      <name val="Helv"/>
    </font>
    <font>
      <b/>
      <sz val="12"/>
      <color indexed="8"/>
      <name val="Helv"/>
    </font>
    <font>
      <sz val="9"/>
      <name val="Helv"/>
    </font>
    <font>
      <sz val="11"/>
      <name val="Arial"/>
      <family val="2"/>
    </font>
    <font>
      <b/>
      <sz val="11"/>
      <name val="Arial"/>
      <family val="2"/>
    </font>
    <font>
      <vertAlign val="subscript"/>
      <sz val="11"/>
      <name val="Arial"/>
      <family val="2"/>
    </font>
    <font>
      <sz val="8"/>
      <name val="Arial"/>
      <family val="2"/>
    </font>
    <font>
      <b/>
      <sz val="11"/>
      <color indexed="10"/>
      <name val="Helv"/>
    </font>
    <font>
      <sz val="12"/>
      <color rgb="FFFF0000"/>
      <name val="Helv"/>
    </font>
    <font>
      <b/>
      <sz val="12"/>
      <color rgb="FFFF0000"/>
      <name val="Helv"/>
    </font>
    <font>
      <b/>
      <sz val="12"/>
      <color theme="3" tint="0.39997558519241921"/>
      <name val="Helv"/>
    </font>
    <font>
      <sz val="12"/>
      <color theme="3" tint="0.39997558519241921"/>
      <name val="Helv"/>
    </font>
    <font>
      <b/>
      <vertAlign val="superscript"/>
      <sz val="12"/>
      <name val="Helv"/>
    </font>
    <font>
      <vertAlign val="superscript"/>
      <sz val="12"/>
      <name val="Helv"/>
    </font>
    <font>
      <sz val="11"/>
      <color indexed="20"/>
      <name val="Arial"/>
      <family val="2"/>
    </font>
    <font>
      <sz val="11"/>
      <color theme="4" tint="-0.249977111117893"/>
      <name val="Arial"/>
      <family val="2"/>
    </font>
    <font>
      <b/>
      <sz val="11"/>
      <color theme="3" tint="0.39997558519241921"/>
      <name val="Arial"/>
      <family val="2"/>
    </font>
    <font>
      <b/>
      <sz val="11"/>
      <color rgb="FFFF0000"/>
      <name val="Arial"/>
      <family val="2"/>
    </font>
    <font>
      <sz val="11"/>
      <color theme="3"/>
      <name val="Arial"/>
      <family val="2"/>
    </font>
    <font>
      <sz val="11"/>
      <color theme="3" tint="-0.249977111117893"/>
      <name val="Arial"/>
      <family val="2"/>
    </font>
    <font>
      <b/>
      <sz val="12"/>
      <color theme="6" tint="-0.499984740745262"/>
      <name val="Helv"/>
    </font>
    <font>
      <b/>
      <sz val="12"/>
      <color theme="7" tint="-0.499984740745262"/>
      <name val="Helv"/>
    </font>
    <font>
      <b/>
      <sz val="10"/>
      <name val="Arial"/>
      <family val="2"/>
    </font>
    <font>
      <sz val="10"/>
      <name val="Arial"/>
      <family val="2"/>
    </font>
    <font>
      <sz val="11"/>
      <color rgb="FF9C6500"/>
      <name val="Calibri"/>
      <family val="2"/>
      <scheme val="minor"/>
    </font>
    <font>
      <b/>
      <sz val="10"/>
      <name val="Helv"/>
    </font>
    <font>
      <i/>
      <sz val="12"/>
      <name val="Helv"/>
    </font>
  </fonts>
  <fills count="23">
    <fill>
      <patternFill patternType="none"/>
    </fill>
    <fill>
      <patternFill patternType="gray125"/>
    </fill>
    <fill>
      <patternFill patternType="solid">
        <fgColor rgb="FFFFEB9C"/>
      </patternFill>
    </fill>
    <fill>
      <patternFill patternType="solid">
        <fgColor indexed="9"/>
        <bgColor indexed="64"/>
      </patternFill>
    </fill>
    <fill>
      <patternFill patternType="solid">
        <fgColor indexed="22"/>
        <bgColor indexed="64"/>
      </patternFill>
    </fill>
    <fill>
      <patternFill patternType="solid">
        <fgColor indexed="22"/>
        <bgColor indexed="8"/>
      </patternFill>
    </fill>
    <fill>
      <patternFill patternType="solid">
        <fgColor indexed="41"/>
        <bgColor indexed="64"/>
      </patternFill>
    </fill>
    <fill>
      <patternFill patternType="solid">
        <fgColor indexed="13"/>
        <bgColor indexed="64"/>
      </patternFill>
    </fill>
    <fill>
      <patternFill patternType="solid">
        <fgColor indexed="27"/>
        <bgColor indexed="64"/>
      </patternFill>
    </fill>
    <fill>
      <patternFill patternType="solid">
        <fgColor indexed="34"/>
        <bgColor indexed="64"/>
      </patternFill>
    </fill>
    <fill>
      <patternFill patternType="solid">
        <fgColor rgb="FFFFFF00"/>
        <bgColor indexed="64"/>
      </patternFill>
    </fill>
    <fill>
      <patternFill patternType="solid">
        <fgColor rgb="FFFFFF00"/>
        <bgColor indexed="8"/>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rgb="FF00B0F0"/>
        <bgColor indexed="64"/>
      </patternFill>
    </fill>
    <fill>
      <patternFill patternType="solid">
        <fgColor theme="9" tint="0.59999389629810485"/>
        <bgColor indexed="64"/>
      </patternFill>
    </fill>
    <fill>
      <patternFill patternType="solid">
        <fgColor theme="0"/>
        <bgColor indexed="64"/>
      </patternFill>
    </fill>
  </fills>
  <borders count="66">
    <border>
      <left/>
      <right/>
      <top/>
      <bottom/>
      <diagonal/>
    </border>
    <border>
      <left style="medium">
        <color indexed="8"/>
      </left>
      <right/>
      <top style="medium">
        <color indexed="8"/>
      </top>
      <bottom/>
      <diagonal/>
    </border>
    <border>
      <left/>
      <right/>
      <top style="medium">
        <color indexed="8"/>
      </top>
      <bottom/>
      <diagonal/>
    </border>
    <border>
      <left style="medium">
        <color indexed="64"/>
      </left>
      <right style="medium">
        <color indexed="64"/>
      </right>
      <top style="medium">
        <color indexed="64"/>
      </top>
      <bottom/>
      <diagonal/>
    </border>
    <border>
      <left style="medium">
        <color indexed="8"/>
      </left>
      <right style="medium">
        <color indexed="8"/>
      </right>
      <top style="medium">
        <color indexed="8"/>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8"/>
      </left>
      <right style="medium">
        <color indexed="8"/>
      </right>
      <top/>
      <bottom/>
      <diagonal/>
    </border>
    <border>
      <left style="medium">
        <color indexed="64"/>
      </left>
      <right style="medium">
        <color indexed="64"/>
      </right>
      <top/>
      <bottom/>
      <diagonal/>
    </border>
    <border>
      <left style="medium">
        <color indexed="64"/>
      </left>
      <right/>
      <top/>
      <bottom/>
      <diagonal/>
    </border>
    <border>
      <left style="medium">
        <color indexed="8"/>
      </left>
      <right style="medium">
        <color indexed="8"/>
      </right>
      <top/>
      <bottom style="medium">
        <color indexed="8"/>
      </bottom>
      <diagonal/>
    </border>
    <border>
      <left/>
      <right/>
      <top/>
      <bottom style="medium">
        <color indexed="8"/>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8"/>
      </right>
      <top style="medium">
        <color indexed="8"/>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8"/>
      </right>
      <top style="medium">
        <color indexed="64"/>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64"/>
      </left>
      <right style="medium">
        <color indexed="64"/>
      </right>
      <top style="medium">
        <color indexed="64"/>
      </top>
      <bottom style="medium">
        <color indexed="8"/>
      </bottom>
      <diagonal/>
    </border>
    <border>
      <left/>
      <right style="medium">
        <color indexed="8"/>
      </right>
      <top/>
      <bottom style="medium">
        <color indexed="8"/>
      </bottom>
      <diagonal/>
    </border>
    <border>
      <left/>
      <right style="medium">
        <color indexed="8"/>
      </right>
      <top/>
      <bottom/>
      <diagonal/>
    </border>
    <border>
      <left style="medium">
        <color indexed="64"/>
      </left>
      <right/>
      <top style="medium">
        <color indexed="64"/>
      </top>
      <bottom/>
      <diagonal/>
    </border>
    <border>
      <left style="medium">
        <color indexed="64"/>
      </left>
      <right style="medium">
        <color indexed="8"/>
      </right>
      <top style="medium">
        <color indexed="64"/>
      </top>
      <bottom/>
      <diagonal/>
    </border>
    <border>
      <left style="medium">
        <color indexed="8"/>
      </left>
      <right style="medium">
        <color indexed="64"/>
      </right>
      <top style="medium">
        <color indexed="64"/>
      </top>
      <bottom style="medium">
        <color indexed="64"/>
      </bottom>
      <diagonal/>
    </border>
    <border>
      <left style="medium">
        <color indexed="8"/>
      </left>
      <right/>
      <top/>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8"/>
      </right>
      <top/>
      <bottom/>
      <diagonal/>
    </border>
    <border>
      <left style="medium">
        <color indexed="64"/>
      </left>
      <right style="medium">
        <color indexed="8"/>
      </right>
      <top/>
      <bottom style="medium">
        <color indexed="64"/>
      </bottom>
      <diagonal/>
    </border>
    <border>
      <left style="medium">
        <color indexed="64"/>
      </left>
      <right style="medium">
        <color indexed="64"/>
      </right>
      <top style="medium">
        <color indexed="8"/>
      </top>
      <bottom style="medium">
        <color indexed="8"/>
      </bottom>
      <diagonal/>
    </border>
    <border>
      <left/>
      <right style="medium">
        <color indexed="8"/>
      </right>
      <top style="medium">
        <color indexed="8"/>
      </top>
      <bottom style="medium">
        <color indexed="8"/>
      </bottom>
      <diagonal/>
    </border>
    <border>
      <left/>
      <right style="medium">
        <color indexed="64"/>
      </right>
      <top/>
      <bottom/>
      <diagonal/>
    </border>
    <border>
      <left style="medium">
        <color indexed="64"/>
      </left>
      <right/>
      <top style="medium">
        <color indexed="64"/>
      </top>
      <bottom style="medium">
        <color indexed="8"/>
      </bottom>
      <diagonal/>
    </border>
    <border>
      <left style="medium">
        <color indexed="8"/>
      </left>
      <right style="medium">
        <color indexed="64"/>
      </right>
      <top style="medium">
        <color indexed="64"/>
      </top>
      <bottom style="medium">
        <color indexed="8"/>
      </bottom>
      <diagonal/>
    </border>
    <border>
      <left style="medium">
        <color indexed="64"/>
      </left>
      <right style="medium">
        <color indexed="64"/>
      </right>
      <top/>
      <bottom style="medium">
        <color indexed="8"/>
      </bottom>
      <diagonal/>
    </border>
    <border>
      <left style="medium">
        <color indexed="64"/>
      </left>
      <right/>
      <top/>
      <bottom style="medium">
        <color indexed="8"/>
      </bottom>
      <diagonal/>
    </border>
    <border>
      <left style="medium">
        <color indexed="8"/>
      </left>
      <right style="medium">
        <color indexed="64"/>
      </right>
      <top/>
      <bottom style="medium">
        <color indexed="8"/>
      </bottom>
      <diagonal/>
    </border>
    <border>
      <left style="medium">
        <color indexed="8"/>
      </left>
      <right style="medium">
        <color indexed="64"/>
      </right>
      <top/>
      <bottom/>
      <diagonal/>
    </border>
    <border>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8"/>
      </right>
      <top style="medium">
        <color indexed="64"/>
      </top>
      <bottom style="medium">
        <color indexed="8"/>
      </bottom>
      <diagonal/>
    </border>
    <border>
      <left/>
      <right/>
      <top style="medium">
        <color indexed="64"/>
      </top>
      <bottom style="medium">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style="double">
        <color indexed="64"/>
      </bottom>
      <diagonal/>
    </border>
    <border>
      <left/>
      <right style="medium">
        <color indexed="64"/>
      </right>
      <top/>
      <bottom style="double">
        <color indexed="64"/>
      </bottom>
      <diagonal/>
    </border>
    <border>
      <left/>
      <right/>
      <top style="medium">
        <color auto="1"/>
      </top>
      <bottom style="medium">
        <color auto="1"/>
      </bottom>
      <diagonal/>
    </border>
    <border>
      <left/>
      <right/>
      <top/>
      <bottom style="thin">
        <color indexed="64"/>
      </bottom>
      <diagonal/>
    </border>
    <border>
      <left/>
      <right/>
      <top/>
      <bottom style="double">
        <color indexed="64"/>
      </bottom>
      <diagonal/>
    </border>
    <border>
      <left/>
      <right style="medium">
        <color auto="1"/>
      </right>
      <top/>
      <bottom/>
      <diagonal/>
    </border>
  </borders>
  <cellStyleXfs count="4">
    <xf numFmtId="0" fontId="0" fillId="0" borderId="0"/>
    <xf numFmtId="37" fontId="1" fillId="0" borderId="0"/>
    <xf numFmtId="9" fontId="1" fillId="0" borderId="0" applyFont="0" applyFill="0" applyBorder="0" applyAlignment="0" applyProtection="0"/>
    <xf numFmtId="0" fontId="36" fillId="2" borderId="0" applyNumberFormat="0" applyBorder="0" applyAlignment="0" applyProtection="0"/>
  </cellStyleXfs>
  <cellXfs count="567">
    <xf numFmtId="0" fontId="0" fillId="0" borderId="0" xfId="0"/>
    <xf numFmtId="37" fontId="1" fillId="3" borderId="0" xfId="1" applyFill="1"/>
    <xf numFmtId="37" fontId="2" fillId="3" borderId="0" xfId="1" applyFont="1" applyFill="1"/>
    <xf numFmtId="164" fontId="2" fillId="3" borderId="0" xfId="1" applyNumberFormat="1" applyFont="1" applyFill="1"/>
    <xf numFmtId="37" fontId="1" fillId="0" borderId="0" xfId="1"/>
    <xf numFmtId="37" fontId="2" fillId="3" borderId="0" xfId="1" applyFont="1" applyFill="1" applyAlignment="1">
      <alignment horizontal="centerContinuous"/>
    </xf>
    <xf numFmtId="37" fontId="1" fillId="3" borderId="0" xfId="1" applyFill="1" applyAlignment="1">
      <alignment horizontal="centerContinuous"/>
    </xf>
    <xf numFmtId="37" fontId="6" fillId="3" borderId="1" xfId="1" applyFont="1" applyFill="1" applyBorder="1" applyAlignment="1">
      <alignment horizontal="center"/>
    </xf>
    <xf numFmtId="37" fontId="6" fillId="3" borderId="1" xfId="1" applyFont="1" applyFill="1" applyBorder="1" applyAlignment="1">
      <alignment horizontal="right"/>
    </xf>
    <xf numFmtId="37" fontId="6" fillId="3" borderId="2" xfId="1" applyFont="1" applyFill="1" applyBorder="1" applyAlignment="1">
      <alignment horizontal="right"/>
    </xf>
    <xf numFmtId="37" fontId="6" fillId="4" borderId="3" xfId="1" applyFont="1" applyFill="1" applyBorder="1" applyAlignment="1">
      <alignment horizontal="center"/>
    </xf>
    <xf numFmtId="37" fontId="6" fillId="4" borderId="4" xfId="1" applyFont="1" applyFill="1" applyBorder="1" applyAlignment="1">
      <alignment horizontal="right"/>
    </xf>
    <xf numFmtId="37" fontId="7" fillId="4" borderId="5" xfId="1" applyFont="1" applyFill="1" applyBorder="1"/>
    <xf numFmtId="37" fontId="7" fillId="5" borderId="6" xfId="1" applyFont="1" applyFill="1" applyBorder="1"/>
    <xf numFmtId="37" fontId="7" fillId="5" borderId="7" xfId="1" applyFont="1" applyFill="1" applyBorder="1"/>
    <xf numFmtId="37" fontId="2" fillId="3" borderId="8" xfId="1" applyFont="1" applyFill="1" applyBorder="1" applyAlignment="1">
      <alignment horizontal="left"/>
    </xf>
    <xf numFmtId="37" fontId="2" fillId="5" borderId="9" xfId="1" applyFont="1" applyFill="1" applyBorder="1"/>
    <xf numFmtId="37" fontId="2" fillId="5" borderId="10" xfId="1" applyFont="1" applyFill="1" applyBorder="1"/>
    <xf numFmtId="37" fontId="2" fillId="3" borderId="9" xfId="1" applyFont="1" applyFill="1" applyBorder="1" applyAlignment="1">
      <alignment horizontal="left"/>
    </xf>
    <xf numFmtId="37" fontId="2" fillId="3" borderId="8" xfId="1" quotePrefix="1" applyFont="1" applyFill="1" applyBorder="1" applyAlignment="1">
      <alignment horizontal="left"/>
    </xf>
    <xf numFmtId="37" fontId="2" fillId="3" borderId="11" xfId="1" applyFont="1" applyFill="1" applyBorder="1" applyAlignment="1">
      <alignment horizontal="left"/>
    </xf>
    <xf numFmtId="37" fontId="1" fillId="3" borderId="12" xfId="1" applyFill="1" applyBorder="1"/>
    <xf numFmtId="37" fontId="2" fillId="5" borderId="13" xfId="1" applyFont="1" applyFill="1" applyBorder="1"/>
    <xf numFmtId="37" fontId="2" fillId="5" borderId="14" xfId="1" applyFont="1" applyFill="1" applyBorder="1"/>
    <xf numFmtId="37" fontId="2" fillId="3" borderId="15" xfId="1" applyFont="1" applyFill="1" applyBorder="1" applyAlignment="1">
      <alignment horizontal="left"/>
    </xf>
    <xf numFmtId="37" fontId="1" fillId="3" borderId="16" xfId="1" applyFill="1" applyBorder="1"/>
    <xf numFmtId="37" fontId="1" fillId="3" borderId="17" xfId="1" applyFill="1" applyBorder="1"/>
    <xf numFmtId="37" fontId="1" fillId="3" borderId="0" xfId="1" applyFill="1" applyAlignment="1">
      <alignment horizontal="left"/>
    </xf>
    <xf numFmtId="37" fontId="2" fillId="3" borderId="0" xfId="1" applyFont="1" applyFill="1" applyAlignment="1">
      <alignment horizontal="left"/>
    </xf>
    <xf numFmtId="37" fontId="2" fillId="3" borderId="18" xfId="1" applyFont="1" applyFill="1" applyBorder="1" applyAlignment="1">
      <alignment horizontal="center"/>
    </xf>
    <xf numFmtId="37" fontId="2" fillId="3" borderId="19" xfId="1" applyFont="1" applyFill="1" applyBorder="1" applyAlignment="1">
      <alignment horizontal="left"/>
    </xf>
    <xf numFmtId="37" fontId="2" fillId="3" borderId="20" xfId="1" applyFont="1" applyFill="1" applyBorder="1" applyAlignment="1">
      <alignment horizontal="right"/>
    </xf>
    <xf numFmtId="37" fontId="2" fillId="4" borderId="3" xfId="1" applyFont="1" applyFill="1" applyBorder="1" applyAlignment="1">
      <alignment horizontal="center"/>
    </xf>
    <xf numFmtId="37" fontId="2" fillId="4" borderId="7" xfId="1" applyFont="1" applyFill="1" applyBorder="1" applyAlignment="1">
      <alignment horizontal="center"/>
    </xf>
    <xf numFmtId="37" fontId="2" fillId="4" borderId="21" xfId="1" applyFont="1" applyFill="1" applyBorder="1" applyAlignment="1">
      <alignment horizontal="right"/>
    </xf>
    <xf numFmtId="37" fontId="1" fillId="5" borderId="11" xfId="1" applyFill="1" applyBorder="1"/>
    <xf numFmtId="37" fontId="1" fillId="5" borderId="12" xfId="1" applyFill="1" applyBorder="1"/>
    <xf numFmtId="37" fontId="1" fillId="5" borderId="22" xfId="1" applyFill="1" applyBorder="1"/>
    <xf numFmtId="37" fontId="2" fillId="5" borderId="23" xfId="1" applyFont="1" applyFill="1" applyBorder="1"/>
    <xf numFmtId="37" fontId="1" fillId="3" borderId="11" xfId="1" applyFill="1" applyBorder="1" applyAlignment="1">
      <alignment horizontal="left"/>
    </xf>
    <xf numFmtId="37" fontId="2" fillId="5" borderId="3" xfId="1" applyFont="1" applyFill="1" applyBorder="1"/>
    <xf numFmtId="37" fontId="2" fillId="5" borderId="11" xfId="1" applyFont="1" applyFill="1" applyBorder="1"/>
    <xf numFmtId="37" fontId="2" fillId="5" borderId="7" xfId="1" applyFont="1" applyFill="1" applyBorder="1"/>
    <xf numFmtId="37" fontId="2" fillId="5" borderId="24" xfId="1" applyFont="1" applyFill="1" applyBorder="1"/>
    <xf numFmtId="37" fontId="2" fillId="5" borderId="25" xfId="1" applyFont="1" applyFill="1" applyBorder="1"/>
    <xf numFmtId="37" fontId="2" fillId="0" borderId="0" xfId="1" applyFont="1"/>
    <xf numFmtId="37" fontId="2" fillId="3" borderId="26" xfId="1" applyFont="1" applyFill="1" applyBorder="1" applyAlignment="1">
      <alignment horizontal="center"/>
    </xf>
    <xf numFmtId="37" fontId="2" fillId="3" borderId="1" xfId="1" applyFont="1" applyFill="1" applyBorder="1" applyAlignment="1">
      <alignment horizontal="left"/>
    </xf>
    <xf numFmtId="37" fontId="2" fillId="3" borderId="2" xfId="1" applyFont="1" applyFill="1" applyBorder="1" applyAlignment="1">
      <alignment horizontal="right"/>
    </xf>
    <xf numFmtId="37" fontId="2" fillId="4" borderId="4" xfId="1" applyFont="1" applyFill="1" applyBorder="1" applyAlignment="1">
      <alignment horizontal="right"/>
    </xf>
    <xf numFmtId="37" fontId="1" fillId="5" borderId="5" xfId="1" applyFill="1" applyBorder="1"/>
    <xf numFmtId="37" fontId="1" fillId="5" borderId="6" xfId="1" applyFill="1" applyBorder="1"/>
    <xf numFmtId="37" fontId="1" fillId="5" borderId="7" xfId="1" applyFill="1" applyBorder="1"/>
    <xf numFmtId="37" fontId="2" fillId="5" borderId="27" xfId="1" applyFont="1" applyFill="1" applyBorder="1"/>
    <xf numFmtId="37" fontId="2" fillId="3" borderId="3" xfId="1" applyFont="1" applyFill="1" applyBorder="1" applyAlignment="1">
      <alignment horizontal="left"/>
    </xf>
    <xf numFmtId="37" fontId="2" fillId="4" borderId="9" xfId="1" applyFont="1" applyFill="1" applyBorder="1"/>
    <xf numFmtId="37" fontId="2" fillId="3" borderId="0" xfId="1" quotePrefix="1" applyFont="1" applyFill="1" applyAlignment="1">
      <alignment horizontal="left"/>
    </xf>
    <xf numFmtId="37" fontId="2" fillId="4" borderId="7" xfId="1" applyFont="1" applyFill="1" applyBorder="1" applyAlignment="1">
      <alignment horizontal="left"/>
    </xf>
    <xf numFmtId="37" fontId="2" fillId="4" borderId="6" xfId="1" quotePrefix="1" applyFont="1" applyFill="1" applyBorder="1" applyAlignment="1">
      <alignment horizontal="right"/>
    </xf>
    <xf numFmtId="37" fontId="2" fillId="4" borderId="7" xfId="1" applyFont="1" applyFill="1" applyBorder="1"/>
    <xf numFmtId="37" fontId="2" fillId="4" borderId="3" xfId="1" applyFont="1" applyFill="1" applyBorder="1"/>
    <xf numFmtId="37" fontId="1" fillId="3" borderId="9" xfId="1" quotePrefix="1" applyFill="1" applyBorder="1" applyAlignment="1">
      <alignment horizontal="left"/>
    </xf>
    <xf numFmtId="37" fontId="1" fillId="3" borderId="7" xfId="1" applyFill="1" applyBorder="1" applyAlignment="1">
      <alignment horizontal="left"/>
    </xf>
    <xf numFmtId="37" fontId="1" fillId="3" borderId="6" xfId="1" applyFill="1" applyBorder="1"/>
    <xf numFmtId="37" fontId="2" fillId="5" borderId="8" xfId="1" applyFont="1" applyFill="1" applyBorder="1"/>
    <xf numFmtId="37" fontId="2" fillId="5" borderId="11" xfId="1" applyFont="1" applyFill="1" applyBorder="1" applyAlignment="1">
      <alignment horizontal="left"/>
    </xf>
    <xf numFmtId="37" fontId="2" fillId="4" borderId="28" xfId="1" applyFont="1" applyFill="1" applyBorder="1"/>
    <xf numFmtId="37" fontId="1" fillId="4" borderId="5" xfId="1" applyFill="1" applyBorder="1"/>
    <xf numFmtId="37" fontId="1" fillId="4" borderId="6" xfId="1" applyFill="1" applyBorder="1"/>
    <xf numFmtId="37" fontId="1" fillId="4" borderId="7" xfId="1" applyFill="1" applyBorder="1"/>
    <xf numFmtId="37" fontId="1" fillId="4" borderId="29" xfId="1" applyFill="1" applyBorder="1"/>
    <xf numFmtId="37" fontId="1" fillId="3" borderId="8" xfId="1" applyFill="1" applyBorder="1" applyAlignment="1">
      <alignment horizontal="left"/>
    </xf>
    <xf numFmtId="37" fontId="1" fillId="3" borderId="9" xfId="1" applyFill="1" applyBorder="1" applyAlignment="1">
      <alignment horizontal="left"/>
    </xf>
    <xf numFmtId="37" fontId="1" fillId="3" borderId="13" xfId="1" applyFill="1" applyBorder="1" applyAlignment="1">
      <alignment horizontal="left"/>
    </xf>
    <xf numFmtId="37" fontId="2" fillId="4" borderId="11" xfId="1" applyFont="1" applyFill="1" applyBorder="1"/>
    <xf numFmtId="37" fontId="1" fillId="4" borderId="12" xfId="1" applyFill="1" applyBorder="1"/>
    <xf numFmtId="37" fontId="2" fillId="3" borderId="26" xfId="1" applyFont="1" applyFill="1" applyBorder="1" applyAlignment="1">
      <alignment horizontal="left"/>
    </xf>
    <xf numFmtId="37" fontId="1" fillId="3" borderId="30" xfId="1" applyFill="1" applyBorder="1"/>
    <xf numFmtId="37" fontId="2" fillId="3" borderId="31" xfId="1" quotePrefix="1" applyFont="1" applyFill="1" applyBorder="1" applyAlignment="1">
      <alignment horizontal="left"/>
    </xf>
    <xf numFmtId="37" fontId="2" fillId="3" borderId="31" xfId="1" applyFont="1" applyFill="1" applyBorder="1" applyAlignment="1">
      <alignment horizontal="left"/>
    </xf>
    <xf numFmtId="37" fontId="2" fillId="3" borderId="32" xfId="1" applyFont="1" applyFill="1" applyBorder="1" applyAlignment="1">
      <alignment horizontal="left"/>
    </xf>
    <xf numFmtId="37" fontId="2" fillId="4" borderId="13" xfId="1" applyFont="1" applyFill="1" applyBorder="1"/>
    <xf numFmtId="37" fontId="1" fillId="4" borderId="22" xfId="1" applyFill="1" applyBorder="1"/>
    <xf numFmtId="37" fontId="2" fillId="4" borderId="8" xfId="1" applyFont="1" applyFill="1" applyBorder="1"/>
    <xf numFmtId="37" fontId="1" fillId="6" borderId="8" xfId="1" applyFill="1" applyBorder="1" applyAlignment="1">
      <alignment horizontal="left"/>
    </xf>
    <xf numFmtId="37" fontId="1" fillId="6" borderId="9" xfId="1" quotePrefix="1" applyFill="1" applyBorder="1" applyAlignment="1">
      <alignment horizontal="left"/>
    </xf>
    <xf numFmtId="37" fontId="2" fillId="4" borderId="5" xfId="1" applyFont="1" applyFill="1" applyBorder="1"/>
    <xf numFmtId="37" fontId="2" fillId="4" borderId="6" xfId="1" applyFont="1" applyFill="1" applyBorder="1"/>
    <xf numFmtId="37" fontId="1" fillId="6" borderId="8" xfId="1" quotePrefix="1" applyFill="1" applyBorder="1" applyAlignment="1">
      <alignment horizontal="left"/>
    </xf>
    <xf numFmtId="37" fontId="9" fillId="0" borderId="0" xfId="1" applyFont="1"/>
    <xf numFmtId="37" fontId="2" fillId="4" borderId="5" xfId="1" quotePrefix="1" applyFont="1" applyFill="1" applyBorder="1" applyAlignment="1">
      <alignment horizontal="right"/>
    </xf>
    <xf numFmtId="37" fontId="1" fillId="3" borderId="8" xfId="1" quotePrefix="1" applyFill="1" applyBorder="1" applyAlignment="1">
      <alignment horizontal="left"/>
    </xf>
    <xf numFmtId="37" fontId="2" fillId="4" borderId="25" xfId="1" applyFont="1" applyFill="1" applyBorder="1"/>
    <xf numFmtId="37" fontId="2" fillId="4" borderId="10" xfId="1" applyFont="1" applyFill="1" applyBorder="1"/>
    <xf numFmtId="37" fontId="2" fillId="4" borderId="14" xfId="1" applyFont="1" applyFill="1" applyBorder="1"/>
    <xf numFmtId="37" fontId="10" fillId="3" borderId="32" xfId="1" applyFont="1" applyFill="1" applyBorder="1" applyAlignment="1">
      <alignment horizontal="left"/>
    </xf>
    <xf numFmtId="37" fontId="10" fillId="3" borderId="16" xfId="1" applyFont="1" applyFill="1" applyBorder="1"/>
    <xf numFmtId="37" fontId="10" fillId="4" borderId="13" xfId="1" applyFont="1" applyFill="1" applyBorder="1"/>
    <xf numFmtId="37" fontId="10" fillId="4" borderId="14" xfId="1" applyFont="1" applyFill="1" applyBorder="1"/>
    <xf numFmtId="37" fontId="7" fillId="6" borderId="0" xfId="1" applyFont="1" applyFill="1" applyAlignment="1">
      <alignment horizontal="left"/>
    </xf>
    <xf numFmtId="37" fontId="2" fillId="4" borderId="23" xfId="1" applyFont="1" applyFill="1" applyBorder="1"/>
    <xf numFmtId="37" fontId="2" fillId="4" borderId="21" xfId="1" applyFont="1" applyFill="1" applyBorder="1"/>
    <xf numFmtId="37" fontId="1" fillId="4" borderId="20" xfId="1" applyFill="1" applyBorder="1"/>
    <xf numFmtId="37" fontId="2" fillId="4" borderId="33" xfId="1" applyFont="1" applyFill="1" applyBorder="1"/>
    <xf numFmtId="37" fontId="2" fillId="4" borderId="34" xfId="1" applyFont="1" applyFill="1" applyBorder="1"/>
    <xf numFmtId="37" fontId="2" fillId="4" borderId="24" xfId="1" applyFont="1" applyFill="1" applyBorder="1"/>
    <xf numFmtId="37" fontId="2" fillId="3" borderId="12" xfId="1" applyFont="1" applyFill="1" applyBorder="1"/>
    <xf numFmtId="37" fontId="2" fillId="3" borderId="4" xfId="1" applyFont="1" applyFill="1" applyBorder="1" applyAlignment="1">
      <alignment horizontal="center"/>
    </xf>
    <xf numFmtId="37" fontId="1" fillId="3" borderId="0" xfId="1" quotePrefix="1" applyFill="1"/>
    <xf numFmtId="37" fontId="1" fillId="4" borderId="7" xfId="1" applyFill="1" applyBorder="1" applyAlignment="1">
      <alignment horizontal="left"/>
    </xf>
    <xf numFmtId="37" fontId="7" fillId="3" borderId="9" xfId="1" applyFont="1" applyFill="1" applyBorder="1" applyAlignment="1">
      <alignment horizontal="left"/>
    </xf>
    <xf numFmtId="37" fontId="10" fillId="3" borderId="9" xfId="1" applyFont="1" applyFill="1" applyBorder="1" applyAlignment="1">
      <alignment horizontal="left"/>
    </xf>
    <xf numFmtId="37" fontId="10" fillId="3" borderId="0" xfId="1" applyFont="1" applyFill="1"/>
    <xf numFmtId="37" fontId="10" fillId="4" borderId="9" xfId="1" applyFont="1" applyFill="1" applyBorder="1"/>
    <xf numFmtId="37" fontId="2" fillId="4" borderId="5" xfId="1" applyFont="1" applyFill="1" applyBorder="1" applyAlignment="1">
      <alignment horizontal="left"/>
    </xf>
    <xf numFmtId="37" fontId="12" fillId="3" borderId="8" xfId="1" applyFont="1" applyFill="1" applyBorder="1" applyAlignment="1">
      <alignment horizontal="left"/>
    </xf>
    <xf numFmtId="37" fontId="12" fillId="3" borderId="0" xfId="1" applyFont="1" applyFill="1"/>
    <xf numFmtId="37" fontId="13" fillId="4" borderId="9" xfId="1" applyFont="1" applyFill="1" applyBorder="1"/>
    <xf numFmtId="37" fontId="2" fillId="4" borderId="29" xfId="1" applyFont="1" applyFill="1" applyBorder="1"/>
    <xf numFmtId="37" fontId="14" fillId="0" borderId="0" xfId="1" applyFont="1"/>
    <xf numFmtId="37" fontId="10" fillId="3" borderId="0" xfId="1" applyFont="1" applyFill="1" applyAlignment="1">
      <alignment horizontal="left"/>
    </xf>
    <xf numFmtId="37" fontId="11" fillId="3" borderId="0" xfId="1" applyFont="1" applyFill="1"/>
    <xf numFmtId="37" fontId="10" fillId="0" borderId="0" xfId="1" applyFont="1"/>
    <xf numFmtId="37" fontId="11" fillId="0" borderId="0" xfId="1" applyFont="1"/>
    <xf numFmtId="37" fontId="2" fillId="3" borderId="21" xfId="1" applyFont="1" applyFill="1" applyBorder="1" applyAlignment="1">
      <alignment horizontal="center"/>
    </xf>
    <xf numFmtId="37" fontId="2" fillId="4" borderId="35" xfId="1" applyFont="1" applyFill="1" applyBorder="1"/>
    <xf numFmtId="37" fontId="2" fillId="5" borderId="12" xfId="1" applyFont="1" applyFill="1" applyBorder="1"/>
    <xf numFmtId="37" fontId="1" fillId="5" borderId="36" xfId="1" applyFill="1" applyBorder="1"/>
    <xf numFmtId="37" fontId="2" fillId="5" borderId="37" xfId="1" applyFont="1" applyFill="1" applyBorder="1"/>
    <xf numFmtId="37" fontId="1" fillId="5" borderId="3" xfId="1" applyFill="1" applyBorder="1"/>
    <xf numFmtId="37" fontId="2" fillId="5" borderId="18" xfId="1" applyFont="1" applyFill="1" applyBorder="1"/>
    <xf numFmtId="37" fontId="2" fillId="4" borderId="34" xfId="1" applyFont="1" applyFill="1" applyBorder="1" applyAlignment="1">
      <alignment horizontal="right"/>
    </xf>
    <xf numFmtId="37" fontId="1" fillId="5" borderId="38" xfId="1" applyFill="1" applyBorder="1"/>
    <xf numFmtId="37" fontId="2" fillId="4" borderId="37" xfId="1" applyFont="1" applyFill="1" applyBorder="1" applyAlignment="1">
      <alignment horizontal="right"/>
    </xf>
    <xf numFmtId="37" fontId="1" fillId="5" borderId="39" xfId="1" applyFill="1" applyBorder="1"/>
    <xf numFmtId="37" fontId="2" fillId="5" borderId="40" xfId="1" applyFont="1" applyFill="1" applyBorder="1"/>
    <xf numFmtId="37" fontId="1" fillId="4" borderId="9" xfId="1" applyFill="1" applyBorder="1"/>
    <xf numFmtId="37" fontId="1" fillId="4" borderId="10" xfId="1" applyFill="1" applyBorder="1"/>
    <xf numFmtId="37" fontId="2" fillId="5" borderId="41" xfId="1" applyFont="1" applyFill="1" applyBorder="1"/>
    <xf numFmtId="37" fontId="6" fillId="3" borderId="0" xfId="1" applyFont="1" applyFill="1" applyAlignment="1">
      <alignment horizontal="left"/>
    </xf>
    <xf numFmtId="37" fontId="7" fillId="3" borderId="0" xfId="1" applyFont="1" applyFill="1"/>
    <xf numFmtId="37" fontId="6" fillId="3" borderId="0" xfId="1" applyFont="1" applyFill="1"/>
    <xf numFmtId="164" fontId="6" fillId="3" borderId="0" xfId="1" applyNumberFormat="1" applyFont="1" applyFill="1"/>
    <xf numFmtId="37" fontId="6" fillId="3" borderId="0" xfId="1" applyFont="1" applyFill="1" applyAlignment="1">
      <alignment horizontal="centerContinuous"/>
    </xf>
    <xf numFmtId="37" fontId="7" fillId="3" borderId="0" xfId="1" applyFont="1" applyFill="1" applyAlignment="1">
      <alignment horizontal="centerContinuous"/>
    </xf>
    <xf numFmtId="37" fontId="6" fillId="3" borderId="0" xfId="1" applyFont="1" applyFill="1" applyAlignment="1">
      <alignment horizontal="center"/>
    </xf>
    <xf numFmtId="37" fontId="2" fillId="4" borderId="30" xfId="1" quotePrefix="1" applyFont="1" applyFill="1" applyBorder="1" applyAlignment="1">
      <alignment horizontal="right"/>
    </xf>
    <xf numFmtId="37" fontId="2" fillId="4" borderId="42" xfId="1" applyFont="1" applyFill="1" applyBorder="1"/>
    <xf numFmtId="37" fontId="2" fillId="4" borderId="14" xfId="1" quotePrefix="1" applyFont="1" applyFill="1" applyBorder="1" applyAlignment="1">
      <alignment horizontal="right"/>
    </xf>
    <xf numFmtId="37" fontId="2" fillId="4" borderId="16" xfId="1" quotePrefix="1" applyFont="1" applyFill="1" applyBorder="1" applyAlignment="1">
      <alignment horizontal="right"/>
    </xf>
    <xf numFmtId="37" fontId="7" fillId="3" borderId="0" xfId="1" quotePrefix="1" applyFont="1" applyFill="1" applyAlignment="1">
      <alignment horizontal="left"/>
    </xf>
    <xf numFmtId="37" fontId="2" fillId="4" borderId="43" xfId="1" applyFont="1" applyFill="1" applyBorder="1" applyAlignment="1">
      <alignment horizontal="right"/>
    </xf>
    <xf numFmtId="37" fontId="2" fillId="5" borderId="44" xfId="1" applyFont="1" applyFill="1" applyBorder="1"/>
    <xf numFmtId="37" fontId="1" fillId="5" borderId="45" xfId="1" applyFill="1" applyBorder="1"/>
    <xf numFmtId="37" fontId="2" fillId="5" borderId="43" xfId="1" applyFont="1" applyFill="1" applyBorder="1"/>
    <xf numFmtId="37" fontId="2" fillId="3" borderId="7" xfId="1" applyFont="1" applyFill="1" applyBorder="1" applyAlignment="1">
      <alignment horizontal="center"/>
    </xf>
    <xf numFmtId="37" fontId="2" fillId="3" borderId="5" xfId="1" applyFont="1" applyFill="1" applyBorder="1"/>
    <xf numFmtId="37" fontId="2" fillId="4" borderId="7" xfId="1" quotePrefix="1" applyFont="1" applyFill="1" applyBorder="1" applyAlignment="1">
      <alignment horizontal="right"/>
    </xf>
    <xf numFmtId="37" fontId="6" fillId="3" borderId="0" xfId="1" quotePrefix="1" applyFont="1" applyFill="1" applyAlignment="1">
      <alignment horizontal="right"/>
    </xf>
    <xf numFmtId="37" fontId="15" fillId="0" borderId="0" xfId="1" applyFont="1"/>
    <xf numFmtId="37" fontId="16" fillId="0" borderId="0" xfId="1" applyFont="1" applyAlignment="1">
      <alignment horizontal="left"/>
    </xf>
    <xf numFmtId="37" fontId="16" fillId="0" borderId="0" xfId="1" applyFont="1"/>
    <xf numFmtId="164" fontId="16" fillId="0" borderId="0" xfId="1" applyNumberFormat="1" applyFont="1"/>
    <xf numFmtId="165" fontId="15" fillId="0" borderId="0" xfId="1" applyNumberFormat="1" applyFont="1"/>
    <xf numFmtId="37" fontId="15" fillId="0" borderId="0" xfId="1" applyFont="1" applyAlignment="1">
      <alignment horizontal="center"/>
    </xf>
    <xf numFmtId="37" fontId="7" fillId="0" borderId="0" xfId="1" applyFont="1" applyAlignment="1">
      <alignment horizontal="center"/>
    </xf>
    <xf numFmtId="37" fontId="15" fillId="0" borderId="0" xfId="1" applyFont="1" applyAlignment="1">
      <alignment horizontal="right"/>
    </xf>
    <xf numFmtId="37" fontId="7" fillId="0" borderId="0" xfId="1" applyFont="1"/>
    <xf numFmtId="5" fontId="15" fillId="0" borderId="0" xfId="1" applyNumberFormat="1" applyFont="1"/>
    <xf numFmtId="10" fontId="15" fillId="0" borderId="0" xfId="1" applyNumberFormat="1" applyFont="1" applyAlignment="1">
      <alignment horizontal="center"/>
    </xf>
    <xf numFmtId="37" fontId="15" fillId="7" borderId="0" xfId="1" applyFont="1" applyFill="1"/>
    <xf numFmtId="37" fontId="18" fillId="0" borderId="0" xfId="1" quotePrefix="1" applyFont="1" applyAlignment="1">
      <alignment horizontal="left"/>
    </xf>
    <xf numFmtId="7" fontId="15" fillId="0" borderId="0" xfId="1" applyNumberFormat="1" applyFont="1"/>
    <xf numFmtId="37" fontId="18" fillId="0" borderId="0" xfId="1" applyFont="1"/>
    <xf numFmtId="37" fontId="6" fillId="3" borderId="8" xfId="1" applyFont="1" applyFill="1" applyBorder="1" applyAlignment="1">
      <alignment horizontal="left"/>
    </xf>
    <xf numFmtId="37" fontId="6" fillId="5" borderId="9" xfId="1" applyFont="1" applyFill="1" applyBorder="1"/>
    <xf numFmtId="37" fontId="6" fillId="5" borderId="10" xfId="1" applyFont="1" applyFill="1" applyBorder="1"/>
    <xf numFmtId="37" fontId="6" fillId="3" borderId="9" xfId="1" applyFont="1" applyFill="1" applyBorder="1" applyAlignment="1">
      <alignment horizontal="left"/>
    </xf>
    <xf numFmtId="37" fontId="6" fillId="3" borderId="8" xfId="1" quotePrefix="1" applyFont="1" applyFill="1" applyBorder="1" applyAlignment="1">
      <alignment horizontal="left"/>
    </xf>
    <xf numFmtId="37" fontId="6" fillId="3" borderId="11" xfId="1" applyFont="1" applyFill="1" applyBorder="1" applyAlignment="1">
      <alignment horizontal="left"/>
    </xf>
    <xf numFmtId="37" fontId="7" fillId="3" borderId="12" xfId="1" applyFont="1" applyFill="1" applyBorder="1"/>
    <xf numFmtId="37" fontId="6" fillId="5" borderId="13" xfId="1" applyFont="1" applyFill="1" applyBorder="1"/>
    <xf numFmtId="37" fontId="6" fillId="5" borderId="14" xfId="1" applyFont="1" applyFill="1" applyBorder="1"/>
    <xf numFmtId="37" fontId="6" fillId="3" borderId="15" xfId="1" applyFont="1" applyFill="1" applyBorder="1" applyAlignment="1">
      <alignment horizontal="left"/>
    </xf>
    <xf numFmtId="37" fontId="7" fillId="3" borderId="16" xfId="1" applyFont="1" applyFill="1" applyBorder="1"/>
    <xf numFmtId="37" fontId="7" fillId="3" borderId="17" xfId="1" applyFont="1" applyFill="1" applyBorder="1"/>
    <xf numFmtId="37" fontId="7" fillId="3" borderId="0" xfId="1" applyFont="1" applyFill="1" applyAlignment="1">
      <alignment horizontal="left"/>
    </xf>
    <xf numFmtId="37" fontId="6" fillId="3" borderId="18" xfId="1" applyFont="1" applyFill="1" applyBorder="1" applyAlignment="1">
      <alignment horizontal="center"/>
    </xf>
    <xf numFmtId="37" fontId="6" fillId="3" borderId="19" xfId="1" applyFont="1" applyFill="1" applyBorder="1" applyAlignment="1">
      <alignment horizontal="left"/>
    </xf>
    <xf numFmtId="37" fontId="6" fillId="3" borderId="20" xfId="1" applyFont="1" applyFill="1" applyBorder="1" applyAlignment="1">
      <alignment horizontal="right"/>
    </xf>
    <xf numFmtId="37" fontId="6" fillId="4" borderId="7" xfId="1" applyFont="1" applyFill="1" applyBorder="1" applyAlignment="1">
      <alignment horizontal="center"/>
    </xf>
    <xf numFmtId="37" fontId="6" fillId="4" borderId="21" xfId="1" applyFont="1" applyFill="1" applyBorder="1" applyAlignment="1">
      <alignment horizontal="right"/>
    </xf>
    <xf numFmtId="37" fontId="7" fillId="5" borderId="11" xfId="1" applyFont="1" applyFill="1" applyBorder="1"/>
    <xf numFmtId="37" fontId="7" fillId="5" borderId="12" xfId="1" applyFont="1" applyFill="1" applyBorder="1"/>
    <xf numFmtId="37" fontId="7" fillId="5" borderId="22" xfId="1" applyFont="1" applyFill="1" applyBorder="1"/>
    <xf numFmtId="37" fontId="6" fillId="5" borderId="23" xfId="1" applyFont="1" applyFill="1" applyBorder="1"/>
    <xf numFmtId="37" fontId="7" fillId="3" borderId="11" xfId="1" applyFont="1" applyFill="1" applyBorder="1" applyAlignment="1">
      <alignment horizontal="left"/>
    </xf>
    <xf numFmtId="37" fontId="6" fillId="5" borderId="3" xfId="1" applyFont="1" applyFill="1" applyBorder="1"/>
    <xf numFmtId="37" fontId="6" fillId="5" borderId="11" xfId="1" applyFont="1" applyFill="1" applyBorder="1"/>
    <xf numFmtId="37" fontId="6" fillId="5" borderId="7" xfId="1" applyFont="1" applyFill="1" applyBorder="1"/>
    <xf numFmtId="37" fontId="6" fillId="5" borderId="24" xfId="1" applyFont="1" applyFill="1" applyBorder="1"/>
    <xf numFmtId="37" fontId="6" fillId="5" borderId="25" xfId="1" applyFont="1" applyFill="1" applyBorder="1"/>
    <xf numFmtId="37" fontId="6" fillId="3" borderId="26" xfId="1" applyFont="1" applyFill="1" applyBorder="1" applyAlignment="1">
      <alignment horizontal="center"/>
    </xf>
    <xf numFmtId="37" fontId="6" fillId="3" borderId="1" xfId="1" applyFont="1" applyFill="1" applyBorder="1" applyAlignment="1">
      <alignment horizontal="left"/>
    </xf>
    <xf numFmtId="37" fontId="7" fillId="5" borderId="5" xfId="1" applyFont="1" applyFill="1" applyBorder="1"/>
    <xf numFmtId="37" fontId="6" fillId="5" borderId="27" xfId="1" applyFont="1" applyFill="1" applyBorder="1"/>
    <xf numFmtId="37" fontId="6" fillId="3" borderId="3" xfId="1" applyFont="1" applyFill="1" applyBorder="1" applyAlignment="1">
      <alignment horizontal="left"/>
    </xf>
    <xf numFmtId="37" fontId="6" fillId="4" borderId="9" xfId="1" applyFont="1" applyFill="1" applyBorder="1"/>
    <xf numFmtId="37" fontId="6" fillId="3" borderId="0" xfId="1" quotePrefix="1" applyFont="1" applyFill="1" applyAlignment="1">
      <alignment horizontal="left"/>
    </xf>
    <xf numFmtId="37" fontId="6" fillId="4" borderId="7" xfId="1" applyFont="1" applyFill="1" applyBorder="1" applyAlignment="1">
      <alignment horizontal="left"/>
    </xf>
    <xf numFmtId="37" fontId="6" fillId="4" borderId="6" xfId="1" quotePrefix="1" applyFont="1" applyFill="1" applyBorder="1" applyAlignment="1">
      <alignment horizontal="right"/>
    </xf>
    <xf numFmtId="37" fontId="6" fillId="4" borderId="7" xfId="1" applyFont="1" applyFill="1" applyBorder="1"/>
    <xf numFmtId="37" fontId="6" fillId="4" borderId="3" xfId="1" applyFont="1" applyFill="1" applyBorder="1"/>
    <xf numFmtId="37" fontId="7" fillId="3" borderId="9" xfId="1" quotePrefix="1" applyFont="1" applyFill="1" applyBorder="1" applyAlignment="1">
      <alignment horizontal="left"/>
    </xf>
    <xf numFmtId="37" fontId="7" fillId="3" borderId="7" xfId="1" applyFont="1" applyFill="1" applyBorder="1" applyAlignment="1">
      <alignment horizontal="left"/>
    </xf>
    <xf numFmtId="37" fontId="7" fillId="3" borderId="6" xfId="1" applyFont="1" applyFill="1" applyBorder="1"/>
    <xf numFmtId="37" fontId="6" fillId="5" borderId="8" xfId="1" applyFont="1" applyFill="1" applyBorder="1"/>
    <xf numFmtId="37" fontId="6" fillId="5" borderId="11" xfId="1" applyFont="1" applyFill="1" applyBorder="1" applyAlignment="1">
      <alignment horizontal="left"/>
    </xf>
    <xf numFmtId="37" fontId="6" fillId="4" borderId="28" xfId="1" applyFont="1" applyFill="1" applyBorder="1"/>
    <xf numFmtId="37" fontId="7" fillId="4" borderId="6" xfId="1" applyFont="1" applyFill="1" applyBorder="1"/>
    <xf numFmtId="37" fontId="7" fillId="4" borderId="7" xfId="1" applyFont="1" applyFill="1" applyBorder="1"/>
    <xf numFmtId="37" fontId="7" fillId="4" borderId="29" xfId="1" applyFont="1" applyFill="1" applyBorder="1"/>
    <xf numFmtId="37" fontId="7" fillId="3" borderId="8" xfId="1" applyFont="1" applyFill="1" applyBorder="1" applyAlignment="1">
      <alignment horizontal="left"/>
    </xf>
    <xf numFmtId="37" fontId="7" fillId="3" borderId="13" xfId="1" applyFont="1" applyFill="1" applyBorder="1" applyAlignment="1">
      <alignment horizontal="left"/>
    </xf>
    <xf numFmtId="37" fontId="6" fillId="4" borderId="11" xfId="1" applyFont="1" applyFill="1" applyBorder="1"/>
    <xf numFmtId="37" fontId="7" fillId="4" borderId="12" xfId="1" applyFont="1" applyFill="1" applyBorder="1"/>
    <xf numFmtId="37" fontId="6" fillId="3" borderId="26" xfId="1" applyFont="1" applyFill="1" applyBorder="1" applyAlignment="1">
      <alignment horizontal="left"/>
    </xf>
    <xf numFmtId="37" fontId="7" fillId="3" borderId="30" xfId="1" applyFont="1" applyFill="1" applyBorder="1"/>
    <xf numFmtId="37" fontId="6" fillId="3" borderId="31" xfId="1" quotePrefix="1" applyFont="1" applyFill="1" applyBorder="1" applyAlignment="1">
      <alignment horizontal="left"/>
    </xf>
    <xf numFmtId="37" fontId="6" fillId="3" borderId="31" xfId="1" applyFont="1" applyFill="1" applyBorder="1" applyAlignment="1">
      <alignment horizontal="left"/>
    </xf>
    <xf numFmtId="37" fontId="6" fillId="3" borderId="32" xfId="1" applyFont="1" applyFill="1" applyBorder="1" applyAlignment="1">
      <alignment horizontal="left"/>
    </xf>
    <xf numFmtId="37" fontId="6" fillId="4" borderId="13" xfId="1" applyFont="1" applyFill="1" applyBorder="1"/>
    <xf numFmtId="37" fontId="7" fillId="4" borderId="22" xfId="1" applyFont="1" applyFill="1" applyBorder="1"/>
    <xf numFmtId="37" fontId="6" fillId="4" borderId="8" xfId="1" applyFont="1" applyFill="1" applyBorder="1"/>
    <xf numFmtId="37" fontId="7" fillId="6" borderId="8" xfId="1" applyFont="1" applyFill="1" applyBorder="1" applyAlignment="1">
      <alignment horizontal="left"/>
    </xf>
    <xf numFmtId="37" fontId="7" fillId="8" borderId="8" xfId="1" applyFont="1" applyFill="1" applyBorder="1" applyAlignment="1">
      <alignment horizontal="left"/>
    </xf>
    <xf numFmtId="37" fontId="7" fillId="6" borderId="9" xfId="1" quotePrefix="1" applyFont="1" applyFill="1" applyBorder="1" applyAlignment="1">
      <alignment horizontal="left"/>
    </xf>
    <xf numFmtId="37" fontId="6" fillId="4" borderId="5" xfId="1" applyFont="1" applyFill="1" applyBorder="1"/>
    <xf numFmtId="37" fontId="6" fillId="4" borderId="6" xfId="1" applyFont="1" applyFill="1" applyBorder="1"/>
    <xf numFmtId="37" fontId="7" fillId="6" borderId="8" xfId="1" quotePrefix="1" applyFont="1" applyFill="1" applyBorder="1" applyAlignment="1">
      <alignment horizontal="left"/>
    </xf>
    <xf numFmtId="37" fontId="6" fillId="4" borderId="5" xfId="1" quotePrefix="1" applyFont="1" applyFill="1" applyBorder="1" applyAlignment="1">
      <alignment horizontal="right"/>
    </xf>
    <xf numFmtId="37" fontId="7" fillId="3" borderId="8" xfId="1" quotePrefix="1" applyFont="1" applyFill="1" applyBorder="1" applyAlignment="1">
      <alignment horizontal="left"/>
    </xf>
    <xf numFmtId="37" fontId="6" fillId="4" borderId="25" xfId="1" applyFont="1" applyFill="1" applyBorder="1"/>
    <xf numFmtId="37" fontId="6" fillId="4" borderId="10" xfId="1" applyFont="1" applyFill="1" applyBorder="1"/>
    <xf numFmtId="37" fontId="6" fillId="4" borderId="14" xfId="1" applyFont="1" applyFill="1" applyBorder="1"/>
    <xf numFmtId="37" fontId="19" fillId="3" borderId="32" xfId="1" applyFont="1" applyFill="1" applyBorder="1" applyAlignment="1">
      <alignment horizontal="left"/>
    </xf>
    <xf numFmtId="37" fontId="19" fillId="3" borderId="16" xfId="1" applyFont="1" applyFill="1" applyBorder="1"/>
    <xf numFmtId="37" fontId="19" fillId="4" borderId="13" xfId="1" applyFont="1" applyFill="1" applyBorder="1"/>
    <xf numFmtId="37" fontId="19" fillId="4" borderId="14" xfId="1" applyFont="1" applyFill="1" applyBorder="1"/>
    <xf numFmtId="37" fontId="6" fillId="4" borderId="23" xfId="1" applyFont="1" applyFill="1" applyBorder="1"/>
    <xf numFmtId="37" fontId="6" fillId="4" borderId="21" xfId="1" applyFont="1" applyFill="1" applyBorder="1"/>
    <xf numFmtId="37" fontId="7" fillId="4" borderId="20" xfId="1" applyFont="1" applyFill="1" applyBorder="1"/>
    <xf numFmtId="37" fontId="6" fillId="4" borderId="33" xfId="1" applyFont="1" applyFill="1" applyBorder="1"/>
    <xf numFmtId="37" fontId="6" fillId="4" borderId="34" xfId="1" applyFont="1" applyFill="1" applyBorder="1"/>
    <xf numFmtId="37" fontId="6" fillId="4" borderId="24" xfId="1" applyFont="1" applyFill="1" applyBorder="1"/>
    <xf numFmtId="37" fontId="6" fillId="3" borderId="12" xfId="1" applyFont="1" applyFill="1" applyBorder="1"/>
    <xf numFmtId="37" fontId="6" fillId="3" borderId="4" xfId="1" applyFont="1" applyFill="1" applyBorder="1" applyAlignment="1">
      <alignment horizontal="center"/>
    </xf>
    <xf numFmtId="37" fontId="7" fillId="3" borderId="0" xfId="1" quotePrefix="1" applyFont="1" applyFill="1"/>
    <xf numFmtId="37" fontId="7" fillId="4" borderId="7" xfId="1" applyFont="1" applyFill="1" applyBorder="1" applyAlignment="1">
      <alignment horizontal="left"/>
    </xf>
    <xf numFmtId="37" fontId="6" fillId="4" borderId="5" xfId="1" applyFont="1" applyFill="1" applyBorder="1" applyAlignment="1">
      <alignment horizontal="left"/>
    </xf>
    <xf numFmtId="37" fontId="6" fillId="4" borderId="29" xfId="1" applyFont="1" applyFill="1" applyBorder="1"/>
    <xf numFmtId="37" fontId="6" fillId="3" borderId="21" xfId="1" applyFont="1" applyFill="1" applyBorder="1" applyAlignment="1">
      <alignment horizontal="center"/>
    </xf>
    <xf numFmtId="37" fontId="6" fillId="4" borderId="35" xfId="1" applyFont="1" applyFill="1" applyBorder="1"/>
    <xf numFmtId="37" fontId="6" fillId="5" borderId="12" xfId="1" applyFont="1" applyFill="1" applyBorder="1"/>
    <xf numFmtId="37" fontId="7" fillId="5" borderId="36" xfId="1" applyFont="1" applyFill="1" applyBorder="1"/>
    <xf numFmtId="37" fontId="6" fillId="5" borderId="37" xfId="1" applyFont="1" applyFill="1" applyBorder="1"/>
    <xf numFmtId="37" fontId="7" fillId="5" borderId="3" xfId="1" applyFont="1" applyFill="1" applyBorder="1"/>
    <xf numFmtId="37" fontId="6" fillId="5" borderId="18" xfId="1" applyFont="1" applyFill="1" applyBorder="1"/>
    <xf numFmtId="37" fontId="6" fillId="4" borderId="34" xfId="1" applyFont="1" applyFill="1" applyBorder="1" applyAlignment="1">
      <alignment horizontal="right"/>
    </xf>
    <xf numFmtId="37" fontId="7" fillId="5" borderId="38" xfId="1" applyFont="1" applyFill="1" applyBorder="1"/>
    <xf numFmtId="37" fontId="6" fillId="4" borderId="37" xfId="1" applyFont="1" applyFill="1" applyBorder="1" applyAlignment="1">
      <alignment horizontal="right"/>
    </xf>
    <xf numFmtId="37" fontId="7" fillId="5" borderId="39" xfId="1" applyFont="1" applyFill="1" applyBorder="1"/>
    <xf numFmtId="37" fontId="6" fillId="5" borderId="40" xfId="1" applyFont="1" applyFill="1" applyBorder="1"/>
    <xf numFmtId="37" fontId="7" fillId="4" borderId="9" xfId="1" applyFont="1" applyFill="1" applyBorder="1"/>
    <xf numFmtId="37" fontId="7" fillId="4" borderId="10" xfId="1" applyFont="1" applyFill="1" applyBorder="1"/>
    <xf numFmtId="37" fontId="6" fillId="5" borderId="41" xfId="1" applyFont="1" applyFill="1" applyBorder="1"/>
    <xf numFmtId="37" fontId="6" fillId="4" borderId="30" xfId="1" quotePrefix="1" applyFont="1" applyFill="1" applyBorder="1" applyAlignment="1">
      <alignment horizontal="right"/>
    </xf>
    <xf numFmtId="37" fontId="6" fillId="4" borderId="42" xfId="1" applyFont="1" applyFill="1" applyBorder="1"/>
    <xf numFmtId="37" fontId="6" fillId="4" borderId="14" xfId="1" quotePrefix="1" applyFont="1" applyFill="1" applyBorder="1" applyAlignment="1">
      <alignment horizontal="right"/>
    </xf>
    <xf numFmtId="37" fontId="6" fillId="4" borderId="16" xfId="1" quotePrefix="1" applyFont="1" applyFill="1" applyBorder="1" applyAlignment="1">
      <alignment horizontal="right"/>
    </xf>
    <xf numFmtId="37" fontId="6" fillId="4" borderId="43" xfId="1" applyFont="1" applyFill="1" applyBorder="1" applyAlignment="1">
      <alignment horizontal="right"/>
    </xf>
    <xf numFmtId="37" fontId="6" fillId="5" borderId="44" xfId="1" applyFont="1" applyFill="1" applyBorder="1"/>
    <xf numFmtId="37" fontId="7" fillId="5" borderId="45" xfId="1" applyFont="1" applyFill="1" applyBorder="1"/>
    <xf numFmtId="37" fontId="6" fillId="5" borderId="43" xfId="1" applyFont="1" applyFill="1" applyBorder="1"/>
    <xf numFmtId="37" fontId="6" fillId="3" borderId="7" xfId="1" applyFont="1" applyFill="1" applyBorder="1" applyAlignment="1">
      <alignment horizontal="center"/>
    </xf>
    <xf numFmtId="37" fontId="6" fillId="3" borderId="5" xfId="1" applyFont="1" applyFill="1" applyBorder="1"/>
    <xf numFmtId="37" fontId="6" fillId="4" borderId="7" xfId="1" quotePrefix="1" applyFont="1" applyFill="1" applyBorder="1" applyAlignment="1">
      <alignment horizontal="right"/>
    </xf>
    <xf numFmtId="37" fontId="15" fillId="9" borderId="0" xfId="1" applyFont="1" applyFill="1"/>
    <xf numFmtId="37" fontId="10" fillId="3" borderId="9" xfId="1" quotePrefix="1" applyFont="1" applyFill="1" applyBorder="1" applyAlignment="1">
      <alignment horizontal="left"/>
    </xf>
    <xf numFmtId="37" fontId="11" fillId="3" borderId="8" xfId="1" applyFont="1" applyFill="1" applyBorder="1" applyAlignment="1">
      <alignment horizontal="left"/>
    </xf>
    <xf numFmtId="37" fontId="11" fillId="3" borderId="9" xfId="1" applyFont="1" applyFill="1" applyBorder="1" applyAlignment="1">
      <alignment horizontal="left"/>
    </xf>
    <xf numFmtId="37" fontId="2" fillId="4" borderId="3" xfId="1" applyFont="1" applyFill="1" applyBorder="1" applyAlignment="1">
      <alignment horizontal="left"/>
    </xf>
    <xf numFmtId="37" fontId="1" fillId="5" borderId="0" xfId="1" applyFill="1"/>
    <xf numFmtId="37" fontId="1" fillId="0" borderId="0" xfId="1" quotePrefix="1"/>
    <xf numFmtId="37" fontId="18" fillId="0" borderId="46" xfId="1" applyFont="1" applyBorder="1"/>
    <xf numFmtId="37" fontId="1" fillId="0" borderId="47" xfId="1" applyBorder="1"/>
    <xf numFmtId="37" fontId="4" fillId="3" borderId="0" xfId="1" applyFont="1" applyFill="1" applyAlignment="1">
      <alignment horizontal="center"/>
    </xf>
    <xf numFmtId="37" fontId="2" fillId="3" borderId="1" xfId="1" applyFont="1" applyFill="1" applyBorder="1" applyAlignment="1">
      <alignment horizontal="center"/>
    </xf>
    <xf numFmtId="37" fontId="2" fillId="3" borderId="1" xfId="1" applyFont="1" applyFill="1" applyBorder="1" applyAlignment="1">
      <alignment horizontal="right"/>
    </xf>
    <xf numFmtId="37" fontId="1" fillId="6" borderId="0" xfId="1" applyFill="1" applyAlignment="1">
      <alignment horizontal="left"/>
    </xf>
    <xf numFmtId="37" fontId="2" fillId="3" borderId="47" xfId="1" applyFont="1" applyFill="1" applyBorder="1"/>
    <xf numFmtId="37" fontId="20" fillId="3" borderId="0" xfId="1" applyFont="1" applyFill="1"/>
    <xf numFmtId="37" fontId="21" fillId="4" borderId="9" xfId="1" applyFont="1" applyFill="1" applyBorder="1"/>
    <xf numFmtId="37" fontId="1" fillId="0" borderId="48" xfId="1" applyBorder="1"/>
    <xf numFmtId="37" fontId="1" fillId="0" borderId="49" xfId="1" applyBorder="1"/>
    <xf numFmtId="37" fontId="1" fillId="0" borderId="50" xfId="1" applyBorder="1"/>
    <xf numFmtId="37" fontId="1" fillId="0" borderId="10" xfId="1" applyBorder="1"/>
    <xf numFmtId="37" fontId="1" fillId="0" borderId="35" xfId="1" applyBorder="1"/>
    <xf numFmtId="37" fontId="1" fillId="0" borderId="51" xfId="1" applyBorder="1"/>
    <xf numFmtId="37" fontId="1" fillId="0" borderId="52" xfId="1" applyBorder="1"/>
    <xf numFmtId="37" fontId="1" fillId="0" borderId="53" xfId="1" applyBorder="1"/>
    <xf numFmtId="37" fontId="1" fillId="0" borderId="14" xfId="1" applyBorder="1"/>
    <xf numFmtId="37" fontId="1" fillId="0" borderId="16" xfId="1" applyBorder="1"/>
    <xf numFmtId="37" fontId="1" fillId="0" borderId="17" xfId="1" applyBorder="1"/>
    <xf numFmtId="37" fontId="2" fillId="3" borderId="0" xfId="1" applyFont="1" applyFill="1" applyAlignment="1">
      <alignment horizontal="center"/>
    </xf>
    <xf numFmtId="37" fontId="2" fillId="0" borderId="8" xfId="1" applyFont="1" applyBorder="1" applyAlignment="1">
      <alignment horizontal="left"/>
    </xf>
    <xf numFmtId="37" fontId="1" fillId="3" borderId="0" xfId="1" quotePrefix="1" applyFill="1" applyAlignment="1">
      <alignment horizontal="left"/>
    </xf>
    <xf numFmtId="37" fontId="6" fillId="3" borderId="0" xfId="1" applyFont="1" applyFill="1" applyAlignment="1">
      <alignment horizontal="right"/>
    </xf>
    <xf numFmtId="37" fontId="15" fillId="0" borderId="25" xfId="1" applyFont="1" applyBorder="1"/>
    <xf numFmtId="37" fontId="15" fillId="0" borderId="30" xfId="1" applyFont="1" applyBorder="1"/>
    <xf numFmtId="37" fontId="16" fillId="0" borderId="30" xfId="1" applyFont="1" applyBorder="1" applyAlignment="1">
      <alignment horizontal="left"/>
    </xf>
    <xf numFmtId="37" fontId="16" fillId="0" borderId="30" xfId="1" applyFont="1" applyBorder="1"/>
    <xf numFmtId="164" fontId="16" fillId="0" borderId="42" xfId="1" applyNumberFormat="1" applyFont="1" applyBorder="1"/>
    <xf numFmtId="37" fontId="15" fillId="0" borderId="10" xfId="1" applyFont="1" applyBorder="1"/>
    <xf numFmtId="37" fontId="15" fillId="0" borderId="35" xfId="1" applyFont="1" applyBorder="1"/>
    <xf numFmtId="37" fontId="15" fillId="0" borderId="10" xfId="1" applyFont="1" applyBorder="1" applyAlignment="1">
      <alignment horizontal="center"/>
    </xf>
    <xf numFmtId="37" fontId="15" fillId="0" borderId="14" xfId="1" applyFont="1" applyBorder="1"/>
    <xf numFmtId="37" fontId="15" fillId="0" borderId="16" xfId="1" applyFont="1" applyBorder="1"/>
    <xf numFmtId="37" fontId="15" fillId="0" borderId="17" xfId="1" applyFont="1" applyBorder="1"/>
    <xf numFmtId="165" fontId="15" fillId="0" borderId="30" xfId="1" applyNumberFormat="1" applyFont="1" applyBorder="1"/>
    <xf numFmtId="37" fontId="15" fillId="0" borderId="14" xfId="1" applyFont="1" applyBorder="1" applyAlignment="1">
      <alignment horizontal="center"/>
    </xf>
    <xf numFmtId="164" fontId="16" fillId="0" borderId="30" xfId="1" applyNumberFormat="1" applyFont="1" applyBorder="1"/>
    <xf numFmtId="37" fontId="1" fillId="0" borderId="42" xfId="1" applyBorder="1"/>
    <xf numFmtId="37" fontId="15" fillId="0" borderId="35" xfId="1" applyFont="1" applyBorder="1" applyAlignment="1">
      <alignment horizontal="center"/>
    </xf>
    <xf numFmtId="5" fontId="15" fillId="0" borderId="35" xfId="1" applyNumberFormat="1" applyFont="1" applyBorder="1"/>
    <xf numFmtId="37" fontId="15" fillId="0" borderId="16" xfId="1" applyFont="1" applyBorder="1" applyAlignment="1">
      <alignment horizontal="center"/>
    </xf>
    <xf numFmtId="37" fontId="7" fillId="0" borderId="30" xfId="1" applyFont="1" applyBorder="1"/>
    <xf numFmtId="5" fontId="15" fillId="0" borderId="16" xfId="1" applyNumberFormat="1" applyFont="1" applyBorder="1"/>
    <xf numFmtId="37" fontId="2" fillId="3" borderId="0" xfId="1" applyFont="1" applyFill="1" applyAlignment="1">
      <alignment horizontal="right"/>
    </xf>
    <xf numFmtId="10" fontId="0" fillId="0" borderId="0" xfId="2" applyNumberFormat="1" applyFont="1"/>
    <xf numFmtId="37" fontId="2" fillId="10" borderId="11" xfId="1" applyFont="1" applyFill="1" applyBorder="1" applyAlignment="1">
      <alignment horizontal="left"/>
    </xf>
    <xf numFmtId="37" fontId="1" fillId="10" borderId="12" xfId="1" applyFill="1" applyBorder="1"/>
    <xf numFmtId="37" fontId="2" fillId="11" borderId="13" xfId="1" applyFont="1" applyFill="1" applyBorder="1"/>
    <xf numFmtId="37" fontId="2" fillId="11" borderId="14" xfId="1" applyFont="1" applyFill="1" applyBorder="1"/>
    <xf numFmtId="37" fontId="1" fillId="10" borderId="0" xfId="1" applyFill="1"/>
    <xf numFmtId="37" fontId="2" fillId="10" borderId="0" xfId="1" applyFont="1" applyFill="1"/>
    <xf numFmtId="37" fontId="1" fillId="0" borderId="9" xfId="1" quotePrefix="1" applyBorder="1" applyAlignment="1">
      <alignment horizontal="left"/>
    </xf>
    <xf numFmtId="37" fontId="1" fillId="3" borderId="35" xfId="1" applyFill="1" applyBorder="1" applyAlignment="1">
      <alignment horizontal="left"/>
    </xf>
    <xf numFmtId="167" fontId="22" fillId="0" borderId="0" xfId="2" applyNumberFormat="1" applyFont="1"/>
    <xf numFmtId="167" fontId="0" fillId="0" borderId="0" xfId="2" applyNumberFormat="1" applyFont="1"/>
    <xf numFmtId="37" fontId="10" fillId="3" borderId="8" xfId="1" applyFont="1" applyFill="1" applyBorder="1" applyAlignment="1">
      <alignment horizontal="left"/>
    </xf>
    <xf numFmtId="37" fontId="2" fillId="3" borderId="10" xfId="1" applyFont="1" applyFill="1" applyBorder="1" applyAlignment="1">
      <alignment horizontal="center"/>
    </xf>
    <xf numFmtId="37" fontId="2" fillId="4" borderId="0" xfId="1" applyFont="1" applyFill="1" applyAlignment="1">
      <alignment horizontal="center"/>
    </xf>
    <xf numFmtId="37" fontId="2" fillId="4" borderId="35" xfId="1" applyFont="1" applyFill="1" applyBorder="1" applyAlignment="1">
      <alignment horizontal="right"/>
    </xf>
    <xf numFmtId="37" fontId="23" fillId="0" borderId="0" xfId="1" applyFont="1"/>
    <xf numFmtId="37" fontId="20" fillId="0" borderId="0" xfId="1" applyFont="1"/>
    <xf numFmtId="37" fontId="2" fillId="10" borderId="32" xfId="1" applyFont="1" applyFill="1" applyBorder="1" applyAlignment="1">
      <alignment horizontal="left"/>
    </xf>
    <xf numFmtId="37" fontId="1" fillId="10" borderId="16" xfId="1" applyFill="1" applyBorder="1"/>
    <xf numFmtId="37" fontId="2" fillId="10" borderId="13" xfId="1" applyFont="1" applyFill="1" applyBorder="1"/>
    <xf numFmtId="37" fontId="1" fillId="0" borderId="9" xfId="1" applyBorder="1" applyAlignment="1">
      <alignment horizontal="left"/>
    </xf>
    <xf numFmtId="164" fontId="2" fillId="3" borderId="0" xfId="1" applyNumberFormat="1" applyFont="1" applyFill="1" applyAlignment="1">
      <alignment horizontal="left"/>
    </xf>
    <xf numFmtId="37" fontId="16" fillId="0" borderId="30" xfId="1" applyFont="1" applyBorder="1" applyAlignment="1">
      <alignment horizontal="right"/>
    </xf>
    <xf numFmtId="164" fontId="16" fillId="0" borderId="42" xfId="1" applyNumberFormat="1" applyFont="1" applyBorder="1" applyAlignment="1">
      <alignment horizontal="left"/>
    </xf>
    <xf numFmtId="37" fontId="15" fillId="0" borderId="25" xfId="1" applyFont="1" applyBorder="1" applyAlignment="1">
      <alignment horizontal="center"/>
    </xf>
    <xf numFmtId="37" fontId="16" fillId="0" borderId="54" xfId="1" applyFont="1" applyBorder="1" applyAlignment="1">
      <alignment horizontal="center"/>
    </xf>
    <xf numFmtId="37" fontId="1" fillId="0" borderId="0" xfId="1" applyAlignment="1">
      <alignment horizontal="center"/>
    </xf>
    <xf numFmtId="37" fontId="26" fillId="0" borderId="0" xfId="1" applyFont="1"/>
    <xf numFmtId="164" fontId="16" fillId="0" borderId="30" xfId="1" applyNumberFormat="1" applyFont="1" applyBorder="1" applyAlignment="1">
      <alignment horizontal="left"/>
    </xf>
    <xf numFmtId="37" fontId="1" fillId="0" borderId="30" xfId="1" applyBorder="1"/>
    <xf numFmtId="37" fontId="1" fillId="0" borderId="16" xfId="1" applyBorder="1" applyAlignment="1">
      <alignment horizontal="center"/>
    </xf>
    <xf numFmtId="37" fontId="1" fillId="0" borderId="25" xfId="1" applyBorder="1"/>
    <xf numFmtId="14" fontId="16" fillId="0" borderId="42" xfId="1" applyNumberFormat="1" applyFont="1" applyBorder="1" applyAlignment="1">
      <alignment horizontal="left"/>
    </xf>
    <xf numFmtId="166" fontId="16" fillId="0" borderId="0" xfId="1" applyNumberFormat="1" applyFont="1" applyAlignment="1">
      <alignment horizontal="center"/>
    </xf>
    <xf numFmtId="37" fontId="16" fillId="0" borderId="55" xfId="1" applyFont="1" applyBorder="1" applyAlignment="1">
      <alignment horizontal="center"/>
    </xf>
    <xf numFmtId="37" fontId="15" fillId="0" borderId="9" xfId="1" applyFont="1" applyBorder="1"/>
    <xf numFmtId="37" fontId="1" fillId="0" borderId="10" xfId="1" applyBorder="1" applyAlignment="1">
      <alignment horizontal="center"/>
    </xf>
    <xf numFmtId="10" fontId="27" fillId="0" borderId="0" xfId="1" applyNumberFormat="1" applyFont="1" applyAlignment="1">
      <alignment horizontal="center"/>
    </xf>
    <xf numFmtId="37" fontId="15" fillId="0" borderId="9" xfId="1" applyFont="1" applyBorder="1" applyAlignment="1">
      <alignment horizontal="center"/>
    </xf>
    <xf numFmtId="37" fontId="28" fillId="0" borderId="0" xfId="1" applyFont="1" applyAlignment="1">
      <alignment horizontal="center"/>
    </xf>
    <xf numFmtId="37" fontId="16" fillId="0" borderId="9" xfId="1" applyFont="1" applyBorder="1"/>
    <xf numFmtId="10" fontId="1" fillId="0" borderId="0" xfId="1" applyNumberFormat="1"/>
    <xf numFmtId="37" fontId="29" fillId="0" borderId="9" xfId="1" applyFont="1" applyBorder="1"/>
    <xf numFmtId="37" fontId="1" fillId="0" borderId="14" xfId="1" applyBorder="1" applyAlignment="1">
      <alignment horizontal="center"/>
    </xf>
    <xf numFmtId="37" fontId="15" fillId="0" borderId="13" xfId="1" applyFont="1" applyBorder="1"/>
    <xf numFmtId="37" fontId="15" fillId="0" borderId="9" xfId="1" applyFont="1" applyBorder="1" applyAlignment="1">
      <alignment horizontal="right"/>
    </xf>
    <xf numFmtId="37" fontId="15" fillId="12" borderId="0" xfId="1" applyFont="1" applyFill="1" applyAlignment="1">
      <alignment horizontal="center" wrapText="1"/>
    </xf>
    <xf numFmtId="37" fontId="15" fillId="12" borderId="0" xfId="1" applyFont="1" applyFill="1" applyAlignment="1">
      <alignment horizontal="center"/>
    </xf>
    <xf numFmtId="37" fontId="15" fillId="12" borderId="42" xfId="1" applyFont="1" applyFill="1" applyBorder="1" applyAlignment="1">
      <alignment horizontal="center"/>
    </xf>
    <xf numFmtId="37" fontId="15" fillId="13" borderId="0" xfId="1" applyFont="1" applyFill="1" applyAlignment="1">
      <alignment horizontal="center"/>
    </xf>
    <xf numFmtId="37" fontId="15" fillId="14" borderId="35" xfId="1" applyFont="1" applyFill="1" applyBorder="1" applyAlignment="1">
      <alignment horizontal="center"/>
    </xf>
    <xf numFmtId="37" fontId="15" fillId="0" borderId="10" xfId="1" applyFont="1" applyBorder="1" applyAlignment="1">
      <alignment horizontal="center" wrapText="1"/>
    </xf>
    <xf numFmtId="37" fontId="15" fillId="0" borderId="0" xfId="1" applyFont="1" applyAlignment="1">
      <alignment horizontal="center" wrapText="1"/>
    </xf>
    <xf numFmtId="37" fontId="15" fillId="0" borderId="35" xfId="1" applyFont="1" applyBorder="1" applyAlignment="1">
      <alignment horizontal="center" wrapText="1"/>
    </xf>
    <xf numFmtId="37" fontId="15" fillId="12" borderId="10" xfId="1" applyFont="1" applyFill="1" applyBorder="1" applyAlignment="1">
      <alignment horizontal="center" wrapText="1"/>
    </xf>
    <xf numFmtId="37" fontId="15" fillId="12" borderId="35" xfId="1" applyFont="1" applyFill="1" applyBorder="1" applyAlignment="1">
      <alignment horizontal="center"/>
    </xf>
    <xf numFmtId="37" fontId="15" fillId="0" borderId="10" xfId="1" quotePrefix="1" applyFont="1" applyBorder="1" applyAlignment="1">
      <alignment horizontal="center"/>
    </xf>
    <xf numFmtId="37" fontId="15" fillId="0" borderId="35" xfId="1" quotePrefix="1" applyFont="1" applyBorder="1" applyAlignment="1">
      <alignment horizontal="center"/>
    </xf>
    <xf numFmtId="37" fontId="15" fillId="12" borderId="10" xfId="1" applyFont="1" applyFill="1" applyBorder="1" applyAlignment="1">
      <alignment horizontal="center"/>
    </xf>
    <xf numFmtId="37" fontId="30" fillId="0" borderId="0" xfId="1" applyFont="1" applyAlignment="1">
      <alignment horizontal="center"/>
    </xf>
    <xf numFmtId="37" fontId="31" fillId="12" borderId="10" xfId="1" applyFont="1" applyFill="1" applyBorder="1" applyAlignment="1">
      <alignment horizontal="center"/>
    </xf>
    <xf numFmtId="37" fontId="31" fillId="12" borderId="0" xfId="1" applyFont="1" applyFill="1" applyAlignment="1">
      <alignment horizontal="center"/>
    </xf>
    <xf numFmtId="10" fontId="15" fillId="12" borderId="0" xfId="1" applyNumberFormat="1" applyFont="1" applyFill="1" applyAlignment="1">
      <alignment horizontal="center" wrapText="1"/>
    </xf>
    <xf numFmtId="37" fontId="15" fillId="15" borderId="0" xfId="1" applyFont="1" applyFill="1" applyAlignment="1">
      <alignment horizontal="center"/>
    </xf>
    <xf numFmtId="5" fontId="15" fillId="0" borderId="0" xfId="1" applyNumberFormat="1" applyFont="1" applyAlignment="1">
      <alignment horizontal="center"/>
    </xf>
    <xf numFmtId="37" fontId="15" fillId="0" borderId="13" xfId="1" applyFont="1" applyBorder="1" applyAlignment="1">
      <alignment horizontal="center"/>
    </xf>
    <xf numFmtId="37" fontId="15" fillId="0" borderId="17" xfId="1" applyFont="1" applyBorder="1" applyAlignment="1">
      <alignment horizontal="center"/>
    </xf>
    <xf numFmtId="37" fontId="15" fillId="12" borderId="14" xfId="1" applyFont="1" applyFill="1" applyBorder="1" applyAlignment="1">
      <alignment horizontal="center"/>
    </xf>
    <xf numFmtId="37" fontId="15" fillId="12" borderId="16" xfId="1" applyFont="1" applyFill="1" applyBorder="1" applyAlignment="1">
      <alignment horizontal="center"/>
    </xf>
    <xf numFmtId="37" fontId="15" fillId="12" borderId="17" xfId="1" applyFont="1" applyFill="1" applyBorder="1" applyAlignment="1">
      <alignment horizontal="center"/>
    </xf>
    <xf numFmtId="10" fontId="15" fillId="12" borderId="14" xfId="1" applyNumberFormat="1" applyFont="1" applyFill="1" applyBorder="1" applyAlignment="1">
      <alignment horizontal="center" wrapText="1"/>
    </xf>
    <xf numFmtId="37" fontId="31" fillId="12" borderId="16" xfId="1" applyFont="1" applyFill="1" applyBorder="1" applyAlignment="1">
      <alignment horizontal="center"/>
    </xf>
    <xf numFmtId="37" fontId="15" fillId="15" borderId="16" xfId="1" applyFont="1" applyFill="1" applyBorder="1" applyAlignment="1">
      <alignment horizontal="center"/>
    </xf>
    <xf numFmtId="37" fontId="15" fillId="12" borderId="25" xfId="1" applyFont="1" applyFill="1" applyBorder="1" applyAlignment="1">
      <alignment horizontal="center" wrapText="1"/>
    </xf>
    <xf numFmtId="10" fontId="15" fillId="12" borderId="10" xfId="1" applyNumberFormat="1" applyFont="1" applyFill="1" applyBorder="1" applyAlignment="1">
      <alignment horizontal="center" wrapText="1"/>
    </xf>
    <xf numFmtId="37" fontId="15" fillId="15" borderId="10" xfId="1" applyFont="1" applyFill="1" applyBorder="1" applyAlignment="1">
      <alignment horizontal="center"/>
    </xf>
    <xf numFmtId="37" fontId="15" fillId="15" borderId="14" xfId="1" applyFont="1" applyFill="1" applyBorder="1" applyAlignment="1">
      <alignment horizontal="center"/>
    </xf>
    <xf numFmtId="37" fontId="1" fillId="0" borderId="10" xfId="1" applyBorder="1" applyAlignment="1">
      <alignment horizontal="right"/>
    </xf>
    <xf numFmtId="37" fontId="1" fillId="0" borderId="14" xfId="1" applyBorder="1" applyAlignment="1">
      <alignment horizontal="right"/>
    </xf>
    <xf numFmtId="37" fontId="1" fillId="0" borderId="0" xfId="1" applyAlignment="1">
      <alignment horizontal="right"/>
    </xf>
    <xf numFmtId="37" fontId="15" fillId="0" borderId="25" xfId="1" applyFont="1" applyBorder="1" applyAlignment="1">
      <alignment horizontal="right"/>
    </xf>
    <xf numFmtId="37" fontId="15" fillId="0" borderId="10" xfId="1" applyFont="1" applyBorder="1" applyAlignment="1">
      <alignment horizontal="right"/>
    </xf>
    <xf numFmtId="37" fontId="1" fillId="0" borderId="0" xfId="1" quotePrefix="1" applyAlignment="1">
      <alignment horizontal="right"/>
    </xf>
    <xf numFmtId="37" fontId="1" fillId="0" borderId="59" xfId="1" applyBorder="1"/>
    <xf numFmtId="37" fontId="16" fillId="0" borderId="51" xfId="1" applyFont="1" applyBorder="1" applyAlignment="1">
      <alignment horizontal="center"/>
    </xf>
    <xf numFmtId="37" fontId="16" fillId="0" borderId="52" xfId="1" applyFont="1" applyBorder="1" applyAlignment="1">
      <alignment horizontal="center"/>
    </xf>
    <xf numFmtId="37" fontId="16" fillId="0" borderId="53" xfId="1" applyFont="1" applyBorder="1" applyAlignment="1">
      <alignment horizontal="center"/>
    </xf>
    <xf numFmtId="37" fontId="16" fillId="0" borderId="0" xfId="1" applyFont="1" applyAlignment="1">
      <alignment horizontal="center"/>
    </xf>
    <xf numFmtId="37" fontId="1" fillId="0" borderId="35" xfId="1" applyBorder="1" applyAlignment="1">
      <alignment horizontal="center"/>
    </xf>
    <xf numFmtId="1" fontId="1" fillId="0" borderId="0" xfId="1" applyNumberFormat="1" applyAlignment="1">
      <alignment horizontal="center"/>
    </xf>
    <xf numFmtId="37" fontId="1" fillId="0" borderId="17" xfId="1" applyBorder="1" applyAlignment="1">
      <alignment horizontal="center"/>
    </xf>
    <xf numFmtId="37" fontId="1" fillId="0" borderId="25" xfId="1" applyBorder="1" applyAlignment="1">
      <alignment horizontal="right"/>
    </xf>
    <xf numFmtId="37" fontId="34" fillId="0" borderId="51" xfId="1" applyFont="1" applyBorder="1" applyAlignment="1">
      <alignment horizontal="center"/>
    </xf>
    <xf numFmtId="37" fontId="34" fillId="0" borderId="52" xfId="1" applyFont="1" applyBorder="1" applyAlignment="1">
      <alignment horizontal="center"/>
    </xf>
    <xf numFmtId="37" fontId="34" fillId="0" borderId="53" xfId="1" applyFont="1" applyBorder="1" applyAlignment="1">
      <alignment horizontal="center"/>
    </xf>
    <xf numFmtId="37" fontId="9" fillId="0" borderId="0" xfId="1" applyFont="1" applyAlignment="1">
      <alignment horizontal="center"/>
    </xf>
    <xf numFmtId="37" fontId="9" fillId="0" borderId="35" xfId="1" applyFont="1" applyBorder="1" applyAlignment="1">
      <alignment horizontal="center"/>
    </xf>
    <xf numFmtId="37" fontId="34" fillId="0" borderId="10" xfId="1" applyFont="1" applyBorder="1" applyAlignment="1">
      <alignment horizontal="center"/>
    </xf>
    <xf numFmtId="37" fontId="35" fillId="18" borderId="0" xfId="1" applyFont="1" applyFill="1" applyAlignment="1">
      <alignment horizontal="center"/>
    </xf>
    <xf numFmtId="37" fontId="35" fillId="0" borderId="0" xfId="1" applyFont="1" applyAlignment="1">
      <alignment horizontal="center"/>
    </xf>
    <xf numFmtId="37" fontId="35" fillId="0" borderId="35" xfId="1" applyFont="1" applyBorder="1" applyAlignment="1">
      <alignment horizontal="center"/>
    </xf>
    <xf numFmtId="37" fontId="35" fillId="0" borderId="10" xfId="1" applyFont="1" applyBorder="1" applyAlignment="1">
      <alignment horizontal="center"/>
    </xf>
    <xf numFmtId="37" fontId="22" fillId="18" borderId="0" xfId="1" applyFont="1" applyFill="1" applyAlignment="1">
      <alignment horizontal="center"/>
    </xf>
    <xf numFmtId="37" fontId="22" fillId="18" borderId="16" xfId="1" applyFont="1" applyFill="1" applyBorder="1" applyAlignment="1">
      <alignment horizontal="center"/>
    </xf>
    <xf numFmtId="37" fontId="1" fillId="0" borderId="60" xfId="1" applyBorder="1" applyAlignment="1">
      <alignment horizontal="center"/>
    </xf>
    <xf numFmtId="37" fontId="1" fillId="0" borderId="61" xfId="1" applyBorder="1" applyAlignment="1">
      <alignment horizontal="center"/>
    </xf>
    <xf numFmtId="37" fontId="1" fillId="0" borderId="62" xfId="1" applyBorder="1"/>
    <xf numFmtId="166" fontId="15" fillId="0" borderId="0" xfId="1" applyNumberFormat="1" applyFont="1"/>
    <xf numFmtId="37" fontId="30" fillId="0" borderId="0" xfId="1" applyFont="1"/>
    <xf numFmtId="7" fontId="30" fillId="0" borderId="0" xfId="1" applyNumberFormat="1" applyFont="1"/>
    <xf numFmtId="37" fontId="1" fillId="5" borderId="62" xfId="1" applyFill="1" applyBorder="1"/>
    <xf numFmtId="37" fontId="15" fillId="0" borderId="42" xfId="1" applyFont="1" applyBorder="1"/>
    <xf numFmtId="37" fontId="31" fillId="12" borderId="14" xfId="1" applyFont="1" applyFill="1" applyBorder="1" applyAlignment="1">
      <alignment horizontal="center"/>
    </xf>
    <xf numFmtId="37" fontId="1" fillId="0" borderId="6" xfId="1" applyBorder="1"/>
    <xf numFmtId="37" fontId="1" fillId="19" borderId="9" xfId="1" applyFill="1" applyBorder="1" applyAlignment="1">
      <alignment horizontal="left"/>
    </xf>
    <xf numFmtId="37" fontId="1" fillId="19" borderId="0" xfId="1" applyFill="1"/>
    <xf numFmtId="37" fontId="2" fillId="19" borderId="9" xfId="1" applyFont="1" applyFill="1" applyBorder="1"/>
    <xf numFmtId="37" fontId="28" fillId="0" borderId="0" xfId="1" applyFont="1"/>
    <xf numFmtId="37" fontId="16" fillId="0" borderId="7" xfId="1" applyFont="1" applyBorder="1" applyAlignment="1">
      <alignment horizontal="center"/>
    </xf>
    <xf numFmtId="37" fontId="16" fillId="0" borderId="63" xfId="1" applyFont="1" applyBorder="1"/>
    <xf numFmtId="37" fontId="1" fillId="0" borderId="64" xfId="1" applyBorder="1" applyAlignment="1">
      <alignment horizontal="center"/>
    </xf>
    <xf numFmtId="37" fontId="15" fillId="12" borderId="0" xfId="1" applyFont="1" applyFill="1"/>
    <xf numFmtId="5" fontId="15" fillId="12" borderId="35" xfId="1" applyNumberFormat="1" applyFont="1" applyFill="1" applyBorder="1"/>
    <xf numFmtId="37" fontId="1" fillId="12" borderId="0" xfId="1" applyFill="1"/>
    <xf numFmtId="37" fontId="15" fillId="0" borderId="3" xfId="1" applyFont="1" applyBorder="1" applyAlignment="1">
      <alignment horizontal="center"/>
    </xf>
    <xf numFmtId="37" fontId="30" fillId="0" borderId="16" xfId="1" applyFont="1" applyBorder="1" applyAlignment="1">
      <alignment horizontal="center"/>
    </xf>
    <xf numFmtId="37" fontId="1" fillId="20" borderId="0" xfId="1" applyFill="1"/>
    <xf numFmtId="37" fontId="36" fillId="2" borderId="0" xfId="3" applyNumberFormat="1"/>
    <xf numFmtId="37" fontId="20" fillId="3" borderId="9" xfId="1" applyFont="1" applyFill="1" applyBorder="1" applyAlignment="1">
      <alignment horizontal="left"/>
    </xf>
    <xf numFmtId="2" fontId="1" fillId="0" borderId="0" xfId="1" applyNumberFormat="1"/>
    <xf numFmtId="37" fontId="37" fillId="0" borderId="0" xfId="1" applyFont="1" applyAlignment="1">
      <alignment horizontal="center"/>
    </xf>
    <xf numFmtId="37" fontId="22" fillId="0" borderId="0" xfId="1" applyFont="1" applyAlignment="1">
      <alignment horizontal="center"/>
    </xf>
    <xf numFmtId="37" fontId="2" fillId="0" borderId="30" xfId="1" applyFont="1" applyBorder="1" applyAlignment="1">
      <alignment horizontal="center" wrapText="1"/>
    </xf>
    <xf numFmtId="37" fontId="2" fillId="0" borderId="30" xfId="1" applyFont="1" applyBorder="1" applyAlignment="1">
      <alignment horizontal="center"/>
    </xf>
    <xf numFmtId="37" fontId="2" fillId="0" borderId="10" xfId="1" applyFont="1" applyBorder="1"/>
    <xf numFmtId="37" fontId="38" fillId="0" borderId="0" xfId="1" applyFont="1"/>
    <xf numFmtId="37" fontId="2" fillId="0" borderId="14" xfId="1" applyFont="1" applyBorder="1"/>
    <xf numFmtId="37" fontId="38" fillId="0" borderId="16" xfId="1" applyFont="1" applyBorder="1"/>
    <xf numFmtId="37" fontId="1" fillId="21" borderId="0" xfId="1" applyFill="1"/>
    <xf numFmtId="37" fontId="1" fillId="17" borderId="0" xfId="1" applyFill="1"/>
    <xf numFmtId="37" fontId="1" fillId="6" borderId="35" xfId="1" applyFill="1" applyBorder="1" applyAlignment="1">
      <alignment horizontal="left"/>
    </xf>
    <xf numFmtId="37" fontId="2" fillId="4" borderId="65" xfId="1" applyFont="1" applyFill="1" applyBorder="1" applyAlignment="1">
      <alignment horizontal="right"/>
    </xf>
    <xf numFmtId="37" fontId="1" fillId="0" borderId="65" xfId="1" applyBorder="1"/>
    <xf numFmtId="37" fontId="2" fillId="4" borderId="65" xfId="1" applyFont="1" applyFill="1" applyBorder="1"/>
    <xf numFmtId="37" fontId="15" fillId="0" borderId="65" xfId="1" applyFont="1" applyBorder="1"/>
    <xf numFmtId="37" fontId="15" fillId="0" borderId="65" xfId="1" applyFont="1" applyBorder="1" applyAlignment="1">
      <alignment horizontal="center"/>
    </xf>
    <xf numFmtId="37" fontId="15" fillId="14" borderId="65" xfId="1" applyFont="1" applyFill="1" applyBorder="1" applyAlignment="1">
      <alignment horizontal="center"/>
    </xf>
    <xf numFmtId="37" fontId="15" fillId="0" borderId="65" xfId="1" applyFont="1" applyBorder="1" applyAlignment="1">
      <alignment horizontal="center" wrapText="1"/>
    </xf>
    <xf numFmtId="37" fontId="15" fillId="12" borderId="65" xfId="1" applyFont="1" applyFill="1" applyBorder="1" applyAlignment="1">
      <alignment horizontal="center"/>
    </xf>
    <xf numFmtId="37" fontId="15" fillId="0" borderId="65" xfId="1" quotePrefix="1" applyFont="1" applyBorder="1" applyAlignment="1">
      <alignment horizontal="center"/>
    </xf>
    <xf numFmtId="37" fontId="1" fillId="0" borderId="65" xfId="1" applyBorder="1" applyAlignment="1">
      <alignment horizontal="center"/>
    </xf>
    <xf numFmtId="37" fontId="9" fillId="0" borderId="65" xfId="1" applyFont="1" applyBorder="1" applyAlignment="1">
      <alignment horizontal="center"/>
    </xf>
    <xf numFmtId="37" fontId="35" fillId="0" borderId="65" xfId="1" applyFont="1" applyBorder="1" applyAlignment="1">
      <alignment horizontal="center"/>
    </xf>
    <xf numFmtId="37" fontId="36" fillId="22" borderId="0" xfId="3" applyNumberFormat="1" applyFill="1"/>
    <xf numFmtId="37" fontId="1" fillId="22" borderId="0" xfId="1" applyFill="1"/>
    <xf numFmtId="37" fontId="16" fillId="0" borderId="0" xfId="1" applyFont="1" applyAlignment="1">
      <alignment horizontal="right"/>
    </xf>
    <xf numFmtId="164" fontId="16" fillId="0" borderId="0" xfId="1" applyNumberFormat="1" applyFont="1" applyAlignment="1">
      <alignment horizontal="left"/>
    </xf>
    <xf numFmtId="37" fontId="26" fillId="0" borderId="65" xfId="1" applyFont="1" applyBorder="1" applyAlignment="1">
      <alignment horizontal="center"/>
    </xf>
    <xf numFmtId="37" fontId="26" fillId="0" borderId="17" xfId="1" applyFont="1" applyBorder="1" applyAlignment="1">
      <alignment horizontal="center"/>
    </xf>
    <xf numFmtId="14" fontId="16" fillId="0" borderId="0" xfId="1" applyNumberFormat="1" applyFont="1" applyAlignment="1">
      <alignment horizontal="left"/>
    </xf>
    <xf numFmtId="37" fontId="2" fillId="3" borderId="0" xfId="1" applyFont="1" applyFill="1" applyAlignment="1">
      <alignment horizontal="center"/>
    </xf>
    <xf numFmtId="37" fontId="3" fillId="3" borderId="0" xfId="1" applyFont="1" applyFill="1" applyAlignment="1">
      <alignment horizontal="center"/>
    </xf>
    <xf numFmtId="37" fontId="4" fillId="3" borderId="0" xfId="1" applyFont="1" applyFill="1" applyAlignment="1">
      <alignment horizontal="center"/>
    </xf>
    <xf numFmtId="166" fontId="4" fillId="3" borderId="0" xfId="1" applyNumberFormat="1" applyFont="1" applyFill="1" applyAlignment="1">
      <alignment horizontal="center"/>
    </xf>
    <xf numFmtId="37" fontId="15" fillId="0" borderId="0" xfId="1" applyFont="1" applyAlignment="1">
      <alignment horizontal="center"/>
    </xf>
    <xf numFmtId="49" fontId="2" fillId="3" borderId="0" xfId="1" applyNumberFormat="1" applyFont="1" applyFill="1" applyAlignment="1">
      <alignment horizontal="center"/>
    </xf>
    <xf numFmtId="166" fontId="2" fillId="3" borderId="0" xfId="1" applyNumberFormat="1" applyFont="1" applyFill="1" applyAlignment="1">
      <alignment horizontal="center"/>
    </xf>
    <xf numFmtId="37" fontId="16" fillId="0" borderId="30" xfId="1" applyFont="1" applyBorder="1" applyAlignment="1">
      <alignment horizontal="center"/>
    </xf>
    <xf numFmtId="37" fontId="16" fillId="0" borderId="0" xfId="1" applyFont="1" applyAlignment="1">
      <alignment horizontal="center"/>
    </xf>
    <xf numFmtId="37" fontId="1" fillId="0" borderId="0" xfId="1"/>
    <xf numFmtId="166" fontId="16" fillId="0" borderId="0" xfId="1" applyNumberFormat="1" applyFont="1" applyAlignment="1">
      <alignment horizontal="center"/>
    </xf>
    <xf numFmtId="37" fontId="2" fillId="0" borderId="25" xfId="1" applyFont="1" applyBorder="1" applyAlignment="1">
      <alignment horizontal="center" wrapText="1"/>
    </xf>
    <xf numFmtId="37" fontId="2" fillId="0" borderId="42" xfId="1" applyFont="1" applyBorder="1" applyAlignment="1">
      <alignment horizontal="center" wrapText="1"/>
    </xf>
    <xf numFmtId="37" fontId="2" fillId="0" borderId="10" xfId="1" applyFont="1" applyBorder="1" applyAlignment="1">
      <alignment horizontal="center" wrapText="1"/>
    </xf>
    <xf numFmtId="37" fontId="2" fillId="0" borderId="65" xfId="1" applyFont="1" applyBorder="1" applyAlignment="1">
      <alignment horizontal="center" wrapText="1"/>
    </xf>
    <xf numFmtId="37" fontId="2" fillId="0" borderId="14" xfId="1" applyFont="1" applyBorder="1" applyAlignment="1">
      <alignment horizontal="center" wrapText="1"/>
    </xf>
    <xf numFmtId="37" fontId="2" fillId="0" borderId="17" xfId="1" applyFont="1" applyBorder="1" applyAlignment="1">
      <alignment horizontal="center" wrapText="1"/>
    </xf>
    <xf numFmtId="37" fontId="1" fillId="0" borderId="0" xfId="1" applyAlignment="1">
      <alignment horizontal="center"/>
    </xf>
    <xf numFmtId="37" fontId="1" fillId="0" borderId="30" xfId="1" applyBorder="1"/>
    <xf numFmtId="37" fontId="15" fillId="0" borderId="10" xfId="1" applyFont="1" applyBorder="1" applyAlignment="1">
      <alignment horizontal="center"/>
    </xf>
    <xf numFmtId="37" fontId="16" fillId="0" borderId="25" xfId="1" applyFont="1" applyBorder="1" applyAlignment="1">
      <alignment horizontal="center"/>
    </xf>
    <xf numFmtId="166" fontId="16" fillId="0" borderId="10" xfId="1" applyNumberFormat="1" applyFont="1" applyBorder="1" applyAlignment="1">
      <alignment horizontal="center"/>
    </xf>
    <xf numFmtId="37" fontId="15" fillId="0" borderId="14" xfId="1" applyFont="1" applyBorder="1" applyAlignment="1">
      <alignment horizontal="center"/>
    </xf>
    <xf numFmtId="37" fontId="15" fillId="0" borderId="16" xfId="1" applyFont="1" applyBorder="1" applyAlignment="1">
      <alignment horizontal="center"/>
    </xf>
    <xf numFmtId="37" fontId="15" fillId="0" borderId="5" xfId="1" applyFont="1" applyBorder="1" applyAlignment="1">
      <alignment horizontal="center"/>
    </xf>
    <xf numFmtId="37" fontId="15" fillId="0" borderId="6" xfId="1" applyFont="1" applyBorder="1" applyAlignment="1">
      <alignment horizontal="center"/>
    </xf>
    <xf numFmtId="37" fontId="15" fillId="0" borderId="29" xfId="1" applyFont="1" applyBorder="1" applyAlignment="1">
      <alignment horizontal="center"/>
    </xf>
    <xf numFmtId="37" fontId="15" fillId="12" borderId="5" xfId="1" applyFont="1" applyFill="1" applyBorder="1" applyAlignment="1">
      <alignment horizontal="center"/>
    </xf>
    <xf numFmtId="37" fontId="1" fillId="0" borderId="6" xfId="1" applyBorder="1"/>
    <xf numFmtId="37" fontId="1" fillId="0" borderId="29" xfId="1" applyBorder="1"/>
    <xf numFmtId="37" fontId="1" fillId="0" borderId="6" xfId="1" applyBorder="1" applyAlignment="1">
      <alignment horizontal="center"/>
    </xf>
    <xf numFmtId="37" fontId="1" fillId="0" borderId="29" xfId="1" applyBorder="1" applyAlignment="1">
      <alignment horizontal="center"/>
    </xf>
    <xf numFmtId="37" fontId="15" fillId="12" borderId="25" xfId="1" applyFont="1" applyFill="1" applyBorder="1" applyAlignment="1">
      <alignment horizontal="center"/>
    </xf>
    <xf numFmtId="37" fontId="15" fillId="12" borderId="30" xfId="1" applyFont="1" applyFill="1" applyBorder="1" applyAlignment="1">
      <alignment horizontal="center"/>
    </xf>
    <xf numFmtId="37" fontId="15" fillId="12" borderId="42" xfId="1" applyFont="1" applyFill="1" applyBorder="1" applyAlignment="1">
      <alignment horizontal="center"/>
    </xf>
    <xf numFmtId="37" fontId="16" fillId="0" borderId="5" xfId="1" applyFont="1" applyBorder="1" applyAlignment="1">
      <alignment horizontal="center"/>
    </xf>
    <xf numFmtId="37" fontId="16" fillId="0" borderId="6" xfId="1" applyFont="1" applyBorder="1" applyAlignment="1">
      <alignment horizontal="center"/>
    </xf>
    <xf numFmtId="37" fontId="15" fillId="12" borderId="6" xfId="1" applyFont="1" applyFill="1" applyBorder="1" applyAlignment="1">
      <alignment horizontal="center"/>
    </xf>
    <xf numFmtId="37" fontId="15" fillId="12" borderId="10" xfId="1" applyFont="1" applyFill="1" applyBorder="1" applyAlignment="1">
      <alignment horizontal="center"/>
    </xf>
    <xf numFmtId="37" fontId="15" fillId="12" borderId="0" xfId="1" applyFont="1" applyFill="1" applyAlignment="1">
      <alignment horizontal="center"/>
    </xf>
    <xf numFmtId="166" fontId="16" fillId="0" borderId="0" xfId="1" quotePrefix="1" applyNumberFormat="1" applyFont="1" applyAlignment="1">
      <alignment horizontal="center"/>
    </xf>
    <xf numFmtId="37" fontId="37" fillId="0" borderId="10" xfId="1" applyFont="1" applyBorder="1" applyAlignment="1">
      <alignment horizontal="center"/>
    </xf>
    <xf numFmtId="37" fontId="37" fillId="0" borderId="0" xfId="1" applyFont="1" applyAlignment="1">
      <alignment horizontal="center"/>
    </xf>
    <xf numFmtId="37" fontId="32" fillId="16" borderId="56" xfId="1" applyFont="1" applyFill="1" applyBorder="1" applyAlignment="1">
      <alignment horizontal="center"/>
    </xf>
    <xf numFmtId="37" fontId="1" fillId="0" borderId="57" xfId="1" applyBorder="1" applyAlignment="1">
      <alignment horizontal="center"/>
    </xf>
    <xf numFmtId="37" fontId="1" fillId="0" borderId="58" xfId="1" applyBorder="1" applyAlignment="1">
      <alignment horizontal="center"/>
    </xf>
    <xf numFmtId="37" fontId="33" fillId="17" borderId="56" xfId="1" applyFont="1" applyFill="1" applyBorder="1" applyAlignment="1">
      <alignment horizontal="center"/>
    </xf>
    <xf numFmtId="37" fontId="16" fillId="0" borderId="56" xfId="1" applyFont="1" applyBorder="1" applyAlignment="1">
      <alignment horizontal="center"/>
    </xf>
    <xf numFmtId="37" fontId="16" fillId="0" borderId="57" xfId="1" applyFont="1" applyBorder="1" applyAlignment="1">
      <alignment horizontal="center"/>
    </xf>
    <xf numFmtId="37" fontId="1" fillId="0" borderId="58" xfId="1" applyBorder="1"/>
    <xf numFmtId="37" fontId="11" fillId="0" borderId="25" xfId="1" applyFont="1" applyBorder="1" applyAlignment="1">
      <alignment horizontal="center"/>
    </xf>
    <xf numFmtId="37" fontId="11" fillId="0" borderId="30" xfId="1" applyFont="1" applyBorder="1" applyAlignment="1">
      <alignment horizontal="center"/>
    </xf>
    <xf numFmtId="37" fontId="11" fillId="0" borderId="42" xfId="1" applyFont="1" applyBorder="1" applyAlignment="1">
      <alignment horizontal="center"/>
    </xf>
    <xf numFmtId="37" fontId="1" fillId="0" borderId="42" xfId="1" applyBorder="1"/>
    <xf numFmtId="37" fontId="15" fillId="12" borderId="29" xfId="1" applyFont="1" applyFill="1" applyBorder="1" applyAlignment="1">
      <alignment horizontal="center"/>
    </xf>
    <xf numFmtId="37" fontId="15" fillId="12" borderId="35" xfId="1" applyFont="1" applyFill="1" applyBorder="1" applyAlignment="1">
      <alignment horizontal="center"/>
    </xf>
    <xf numFmtId="37" fontId="16" fillId="0" borderId="29" xfId="1" applyFont="1" applyBorder="1" applyAlignment="1">
      <alignment horizontal="center"/>
    </xf>
    <xf numFmtId="49" fontId="16" fillId="0" borderId="10" xfId="1" applyNumberFormat="1" applyFont="1" applyBorder="1" applyAlignment="1">
      <alignment horizontal="center"/>
    </xf>
    <xf numFmtId="49" fontId="16" fillId="0" borderId="0" xfId="1" applyNumberFormat="1" applyFont="1" applyAlignment="1">
      <alignment horizontal="center"/>
    </xf>
    <xf numFmtId="37" fontId="32" fillId="16" borderId="57" xfId="1" applyFont="1" applyFill="1" applyBorder="1" applyAlignment="1">
      <alignment horizontal="center"/>
    </xf>
    <xf numFmtId="37" fontId="32" fillId="16" borderId="58" xfId="1" applyFont="1" applyFill="1" applyBorder="1" applyAlignment="1">
      <alignment horizontal="center"/>
    </xf>
    <xf numFmtId="37" fontId="33" fillId="17" borderId="25" xfId="1" applyFont="1" applyFill="1" applyBorder="1" applyAlignment="1">
      <alignment horizontal="center"/>
    </xf>
    <xf numFmtId="37" fontId="33" fillId="17" borderId="30" xfId="1" applyFont="1" applyFill="1" applyBorder="1" applyAlignment="1">
      <alignment horizontal="center"/>
    </xf>
    <xf numFmtId="37" fontId="33" fillId="17" borderId="42" xfId="1" applyFont="1" applyFill="1" applyBorder="1" applyAlignment="1">
      <alignment horizontal="center"/>
    </xf>
    <xf numFmtId="37" fontId="16" fillId="0" borderId="58" xfId="1" applyFont="1" applyBorder="1" applyAlignment="1">
      <alignment horizontal="center"/>
    </xf>
    <xf numFmtId="37" fontId="15" fillId="0" borderId="0" xfId="1" applyFont="1" applyAlignment="1">
      <alignment horizontal="right"/>
    </xf>
    <xf numFmtId="37" fontId="6" fillId="3" borderId="0" xfId="1" applyFont="1" applyFill="1" applyAlignment="1">
      <alignment horizontal="center"/>
    </xf>
    <xf numFmtId="37" fontId="5" fillId="3" borderId="0" xfId="1" applyFont="1" applyFill="1" applyAlignment="1">
      <alignment horizontal="center"/>
    </xf>
  </cellXfs>
  <cellStyles count="4">
    <cellStyle name="Neutral 2" xfId="3" xr:uid="{ED12BC2C-099B-45A0-BA2D-CC74862139C3}"/>
    <cellStyle name="Normal" xfId="0" builtinId="0"/>
    <cellStyle name="Normal 2" xfId="1" xr:uid="{41DB1B2F-C756-4405-B179-FC57E1131460}"/>
    <cellStyle name="Percent 2" xfId="2" xr:uid="{2E7797DB-AB2A-46D8-8772-3923F9ACAEEF}"/>
  </cellStyles>
  <dxfs count="36">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'2020 T0'!$AI$1131</c:f>
              <c:strCache>
                <c:ptCount val="1"/>
                <c:pt idx="0">
                  <c:v>69 </c:v>
                </c:pt>
              </c:strCache>
            </c:strRef>
          </c:tx>
          <c:spPr>
            <a:solidFill>
              <a:schemeClr val="accent4"/>
            </a:solidFill>
            <a:ln>
              <a:noFill/>
            </a:ln>
            <a:effectLst/>
          </c:spPr>
          <c:invertIfNegative val="0"/>
          <c:cat>
            <c:strRef>
              <c:f>'2020 T0'!$AE$1132:$AE$1166</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T0'!$AI$1132:$AI$1166</c:f>
              <c:numCache>
                <c:formatCode>#,##0_);\(#,##0\)</c:formatCode>
                <c:ptCount val="35"/>
                <c:pt idx="0">
                  <c:v>69.106182795698928</c:v>
                </c:pt>
                <c:pt idx="2">
                  <c:v>71.226388888888891</c:v>
                </c:pt>
                <c:pt idx="3">
                  <c:v>71.226388888888891</c:v>
                </c:pt>
                <c:pt idx="5">
                  <c:v>70.724462365591393</c:v>
                </c:pt>
                <c:pt idx="6">
                  <c:v>70.724462365591393</c:v>
                </c:pt>
                <c:pt idx="8">
                  <c:v>65.13978494623656</c:v>
                </c:pt>
                <c:pt idx="9">
                  <c:v>65.13978494623656</c:v>
                </c:pt>
                <c:pt idx="11">
                  <c:v>52.186111111111103</c:v>
                </c:pt>
                <c:pt idx="12">
                  <c:v>52.186111111111103</c:v>
                </c:pt>
                <c:pt idx="14">
                  <c:v>29.010752688172044</c:v>
                </c:pt>
                <c:pt idx="15">
                  <c:v>29.010752688172044</c:v>
                </c:pt>
                <c:pt idx="17">
                  <c:v>11.956944444444444</c:v>
                </c:pt>
                <c:pt idx="18">
                  <c:v>11.956944444444444</c:v>
                </c:pt>
                <c:pt idx="20">
                  <c:v>21.9502688172043</c:v>
                </c:pt>
                <c:pt idx="21">
                  <c:v>21.9502688172043</c:v>
                </c:pt>
              </c:numCache>
            </c:numRef>
          </c:val>
          <c:extLst>
            <c:ext xmlns:c16="http://schemas.microsoft.com/office/drawing/2014/chart" uri="{C3380CC4-5D6E-409C-BE32-E72D297353CC}">
              <c16:uniqueId val="{00000000-27F0-4891-BE6E-22BD4EFA9724}"/>
            </c:ext>
          </c:extLst>
        </c:ser>
        <c:ser>
          <c:idx val="1"/>
          <c:order val="1"/>
          <c:tx>
            <c:strRef>
              <c:f>'2020 T0'!$AG$1131</c:f>
              <c:strCache>
                <c:ptCount val="1"/>
                <c:pt idx="0">
                  <c:v>0 </c:v>
                </c:pt>
              </c:strCache>
            </c:strRef>
          </c:tx>
          <c:spPr>
            <a:solidFill>
              <a:schemeClr val="accent2"/>
            </a:solidFill>
            <a:ln>
              <a:noFill/>
            </a:ln>
            <a:effectLst/>
          </c:spPr>
          <c:invertIfNegative val="0"/>
          <c:cat>
            <c:strRef>
              <c:f>'2020 T0'!$AE$1132:$AE$1166</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T0'!$AG$1132:$AG$1166</c:f>
              <c:numCache>
                <c:formatCode>#,##0_);\(#,##0\)</c:formatCode>
                <c:ptCount val="35"/>
                <c:pt idx="0">
                  <c:v>0</c:v>
                </c:pt>
                <c:pt idx="2">
                  <c:v>0</c:v>
                </c:pt>
                <c:pt idx="3">
                  <c:v>0</c:v>
                </c:pt>
                <c:pt idx="5">
                  <c:v>0</c:v>
                </c:pt>
                <c:pt idx="6">
                  <c:v>0</c:v>
                </c:pt>
                <c:pt idx="8">
                  <c:v>1.1734123908369207E-3</c:v>
                </c:pt>
                <c:pt idx="9">
                  <c:v>1.1734123908369207E-3</c:v>
                </c:pt>
                <c:pt idx="11">
                  <c:v>8.0016406993854456</c:v>
                </c:pt>
                <c:pt idx="12">
                  <c:v>8.0016406993854456</c:v>
                </c:pt>
                <c:pt idx="14">
                  <c:v>14.977789702716491</c:v>
                </c:pt>
                <c:pt idx="15">
                  <c:v>14.977789702716491</c:v>
                </c:pt>
                <c:pt idx="17">
                  <c:v>17.330052259153465</c:v>
                </c:pt>
                <c:pt idx="18">
                  <c:v>17.330052259153465</c:v>
                </c:pt>
                <c:pt idx="20">
                  <c:v>20.38645502096179</c:v>
                </c:pt>
                <c:pt idx="21">
                  <c:v>20.38645502096179</c:v>
                </c:pt>
              </c:numCache>
            </c:numRef>
          </c:val>
          <c:extLst>
            <c:ext xmlns:c16="http://schemas.microsoft.com/office/drawing/2014/chart" uri="{C3380CC4-5D6E-409C-BE32-E72D297353CC}">
              <c16:uniqueId val="{00000001-27F0-4891-BE6E-22BD4EFA9724}"/>
            </c:ext>
          </c:extLst>
        </c:ser>
        <c:ser>
          <c:idx val="2"/>
          <c:order val="2"/>
          <c:tx>
            <c:strRef>
              <c:f>'2020 T0'!$AH$1131</c:f>
              <c:strCache>
                <c:ptCount val="1"/>
                <c:pt idx="0">
                  <c:v>(3)</c:v>
                </c:pt>
              </c:strCache>
            </c:strRef>
          </c:tx>
          <c:spPr>
            <a:solidFill>
              <a:schemeClr val="accent3"/>
            </a:solidFill>
            <a:ln>
              <a:noFill/>
            </a:ln>
            <a:effectLst/>
          </c:spPr>
          <c:invertIfNegative val="0"/>
          <c:cat>
            <c:strRef>
              <c:f>'2020 T0'!$AE$1132:$AE$1166</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T0'!$AH$1132:$AH$1166</c:f>
              <c:numCache>
                <c:formatCode>#,##0_);\(#,##0\)</c:formatCode>
                <c:ptCount val="35"/>
                <c:pt idx="0">
                  <c:v>-2.6173428624676922</c:v>
                </c:pt>
                <c:pt idx="2">
                  <c:v>-16.365011303692548</c:v>
                </c:pt>
                <c:pt idx="3">
                  <c:v>-16.365011303692548</c:v>
                </c:pt>
                <c:pt idx="5">
                  <c:v>-18.356704829871433</c:v>
                </c:pt>
                <c:pt idx="6">
                  <c:v>-18.356704829871433</c:v>
                </c:pt>
                <c:pt idx="8">
                  <c:v>-17.156967458427946</c:v>
                </c:pt>
                <c:pt idx="9">
                  <c:v>-17.156967458427946</c:v>
                </c:pt>
                <c:pt idx="11">
                  <c:v>-0.46123160010047703</c:v>
                </c:pt>
                <c:pt idx="12">
                  <c:v>-0.46123160010047703</c:v>
                </c:pt>
                <c:pt idx="14">
                  <c:v>-3.4883640842388285E-3</c:v>
                </c:pt>
                <c:pt idx="15">
                  <c:v>-3.4883640842388285E-3</c:v>
                </c:pt>
                <c:pt idx="17">
                  <c:v>-0.9180982583940368</c:v>
                </c:pt>
                <c:pt idx="18">
                  <c:v>-0.9180982583940368</c:v>
                </c:pt>
                <c:pt idx="20">
                  <c:v>0</c:v>
                </c:pt>
                <c:pt idx="21">
                  <c:v>0</c:v>
                </c:pt>
              </c:numCache>
            </c:numRef>
          </c:val>
          <c:extLst>
            <c:ext xmlns:c16="http://schemas.microsoft.com/office/drawing/2014/chart" uri="{C3380CC4-5D6E-409C-BE32-E72D297353CC}">
              <c16:uniqueId val="{00000002-27F0-4891-BE6E-22BD4EFA9724}"/>
            </c:ext>
          </c:extLst>
        </c:ser>
        <c:ser>
          <c:idx val="0"/>
          <c:order val="3"/>
          <c:tx>
            <c:strRef>
              <c:f>'2020 T0'!$AF$1131</c:f>
              <c:strCache>
                <c:ptCount val="1"/>
                <c:pt idx="0">
                  <c:v>405 </c:v>
                </c:pt>
              </c:strCache>
            </c:strRef>
          </c:tx>
          <c:spPr>
            <a:solidFill>
              <a:schemeClr val="accent1"/>
            </a:solidFill>
            <a:ln>
              <a:noFill/>
            </a:ln>
            <a:effectLst/>
          </c:spPr>
          <c:invertIfNegative val="0"/>
          <c:cat>
            <c:strRef>
              <c:f>'2020 T0'!$AE$1132:$AE$1166</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T0'!$AF$1132:$AF$1166</c:f>
              <c:numCache>
                <c:formatCode>#,##0_);\(#,##0\)</c:formatCode>
                <c:ptCount val="35"/>
                <c:pt idx="0">
                  <c:v>110.56048387096774</c:v>
                </c:pt>
                <c:pt idx="2">
                  <c:v>213.80416666666667</c:v>
                </c:pt>
                <c:pt idx="3">
                  <c:v>66.804166666666674</c:v>
                </c:pt>
                <c:pt idx="5">
                  <c:v>190.23655913978496</c:v>
                </c:pt>
                <c:pt idx="6">
                  <c:v>43.236559139784944</c:v>
                </c:pt>
                <c:pt idx="8">
                  <c:v>179.98924731182797</c:v>
                </c:pt>
                <c:pt idx="9">
                  <c:v>32.989247311827953</c:v>
                </c:pt>
                <c:pt idx="11">
                  <c:v>346.04722222222222</c:v>
                </c:pt>
                <c:pt idx="12">
                  <c:v>101.04722222222222</c:v>
                </c:pt>
                <c:pt idx="14">
                  <c:v>343.01881720430106</c:v>
                </c:pt>
                <c:pt idx="15">
                  <c:v>98.018817204301072</c:v>
                </c:pt>
                <c:pt idx="17">
                  <c:v>321.75416666666666</c:v>
                </c:pt>
                <c:pt idx="18">
                  <c:v>76.754166666666663</c:v>
                </c:pt>
                <c:pt idx="20">
                  <c:v>331.25806451612902</c:v>
                </c:pt>
                <c:pt idx="21">
                  <c:v>86.258064516129025</c:v>
                </c:pt>
              </c:numCache>
            </c:numRef>
          </c:val>
          <c:extLst>
            <c:ext xmlns:c16="http://schemas.microsoft.com/office/drawing/2014/chart" uri="{C3380CC4-5D6E-409C-BE32-E72D297353CC}">
              <c16:uniqueId val="{00000003-27F0-4891-BE6E-22BD4EFA9724}"/>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v>South w/SGL</c:v>
          </c:tx>
          <c:spPr>
            <a:solidFill>
              <a:schemeClr val="accent4"/>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37.887096774193559</c:v>
              </c:pt>
              <c:pt idx="1">
                <c:v>37.887096774193559</c:v>
              </c:pt>
              <c:pt idx="3">
                <c:v>47.678160919540225</c:v>
              </c:pt>
              <c:pt idx="4">
                <c:v>47.678160919540225</c:v>
              </c:pt>
              <c:pt idx="6">
                <c:v>55.387096774193544</c:v>
              </c:pt>
              <c:pt idx="7">
                <c:v>55.387096774193544</c:v>
              </c:pt>
              <c:pt idx="9">
                <c:v>63.465277777777771</c:v>
              </c:pt>
              <c:pt idx="10">
                <c:v>63.465277777777771</c:v>
              </c:pt>
              <c:pt idx="12">
                <c:v>64.745967741935488</c:v>
              </c:pt>
              <c:pt idx="13">
                <c:v>64.745967741935488</c:v>
              </c:pt>
              <c:pt idx="15">
                <c:v>66.411111111111111</c:v>
              </c:pt>
              <c:pt idx="16">
                <c:v>66.411111111111111</c:v>
              </c:pt>
              <c:pt idx="18">
                <c:v>66.129032258064512</c:v>
              </c:pt>
              <c:pt idx="19">
                <c:v>66.129032258064512</c:v>
              </c:pt>
              <c:pt idx="21">
                <c:v>61.61021505376344</c:v>
              </c:pt>
              <c:pt idx="22">
                <c:v>61.61021505376344</c:v>
              </c:pt>
              <c:pt idx="24">
                <c:v>55.479166666666657</c:v>
              </c:pt>
              <c:pt idx="25">
                <c:v>55.479166666666657</c:v>
              </c:pt>
              <c:pt idx="27">
                <c:v>40.768817204301072</c:v>
              </c:pt>
              <c:pt idx="28">
                <c:v>40.768817204301072</c:v>
              </c:pt>
              <c:pt idx="30">
                <c:v>9.5166666666666675</c:v>
              </c:pt>
              <c:pt idx="31">
                <c:v>9.5166666666666675</c:v>
              </c:pt>
              <c:pt idx="33">
                <c:v>20.709677419354836</c:v>
              </c:pt>
              <c:pt idx="34">
                <c:v>20.709677419354836</c:v>
              </c:pt>
            </c:numLit>
          </c:val>
          <c:extLst>
            <c:ext xmlns:c16="http://schemas.microsoft.com/office/drawing/2014/chart" uri="{C3380CC4-5D6E-409C-BE32-E72D297353CC}">
              <c16:uniqueId val="{00000000-26F0-45F0-B218-F356AD3CB7F2}"/>
            </c:ext>
          </c:extLst>
        </c:ser>
        <c:ser>
          <c:idx val="1"/>
          <c:order val="1"/>
          <c:tx>
            <c:v>WAD -PMP</c:v>
          </c:tx>
          <c:spPr>
            <a:solidFill>
              <a:schemeClr val="accent2"/>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14.264355415601463</c:v>
              </c:pt>
              <c:pt idx="1">
                <c:v>14.264355415601463</c:v>
              </c:pt>
              <c:pt idx="3">
                <c:v>23.716310568347794</c:v>
              </c:pt>
              <c:pt idx="4">
                <c:v>23.716310568347794</c:v>
              </c:pt>
              <c:pt idx="6">
                <c:v>14.816329568181672</c:v>
              </c:pt>
              <c:pt idx="7">
                <c:v>14.816329568181672</c:v>
              </c:pt>
              <c:pt idx="9">
                <c:v>1.2010591539095501</c:v>
              </c:pt>
              <c:pt idx="10">
                <c:v>1.2010591539095501</c:v>
              </c:pt>
              <c:pt idx="12">
                <c:v>0</c:v>
              </c:pt>
              <c:pt idx="13">
                <c:v>0</c:v>
              </c:pt>
              <c:pt idx="15">
                <c:v>0</c:v>
              </c:pt>
              <c:pt idx="16">
                <c:v>0</c:v>
              </c:pt>
              <c:pt idx="18">
                <c:v>0</c:v>
              </c:pt>
              <c:pt idx="19">
                <c:v>0</c:v>
              </c:pt>
              <c:pt idx="21">
                <c:v>0</c:v>
              </c:pt>
              <c:pt idx="22">
                <c:v>0</c:v>
              </c:pt>
              <c:pt idx="24">
                <c:v>2.9117163568879949</c:v>
              </c:pt>
              <c:pt idx="25">
                <c:v>2.9117163568879949</c:v>
              </c:pt>
              <c:pt idx="27">
                <c:v>9.5581881151136141</c:v>
              </c:pt>
              <c:pt idx="28">
                <c:v>9.5581881151136141</c:v>
              </c:pt>
              <c:pt idx="30">
                <c:v>20.943760618939489</c:v>
              </c:pt>
              <c:pt idx="31">
                <c:v>20.943760618939489</c:v>
              </c:pt>
              <c:pt idx="33">
                <c:v>19.517514937787887</c:v>
              </c:pt>
              <c:pt idx="34">
                <c:v>19.517514937787887</c:v>
              </c:pt>
            </c:numLit>
          </c:val>
          <c:extLst>
            <c:ext xmlns:c16="http://schemas.microsoft.com/office/drawing/2014/chart" uri="{C3380CC4-5D6E-409C-BE32-E72D297353CC}">
              <c16:uniqueId val="{00000001-26F0-45F0-B218-F356AD3CB7F2}"/>
            </c:ext>
          </c:extLst>
        </c:ser>
        <c:ser>
          <c:idx val="2"/>
          <c:order val="2"/>
          <c:tx>
            <c:v>WAD - GEN</c:v>
          </c:tx>
          <c:spPr>
            <a:solidFill>
              <a:schemeClr val="accent3"/>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-5.8004408859118906</c:v>
              </c:pt>
              <c:pt idx="1">
                <c:v>-5.8004408859118906</c:v>
              </c:pt>
              <c:pt idx="3">
                <c:v>0</c:v>
              </c:pt>
              <c:pt idx="4">
                <c:v>0</c:v>
              </c:pt>
              <c:pt idx="6">
                <c:v>0</c:v>
              </c:pt>
              <c:pt idx="7">
                <c:v>0</c:v>
              </c:pt>
              <c:pt idx="9">
                <c:v>0</c:v>
              </c:pt>
              <c:pt idx="10">
                <c:v>0</c:v>
              </c:pt>
              <c:pt idx="12">
                <c:v>-1.2205511799333035</c:v>
              </c:pt>
              <c:pt idx="13">
                <c:v>-1.2205511799333035</c:v>
              </c:pt>
              <c:pt idx="15">
                <c:v>-20.502526345806164</c:v>
              </c:pt>
              <c:pt idx="16">
                <c:v>-20.502526345806164</c:v>
              </c:pt>
              <c:pt idx="18">
                <c:v>-16.174906736153343</c:v>
              </c:pt>
              <c:pt idx="19">
                <c:v>-16.174906736153343</c:v>
              </c:pt>
              <c:pt idx="21">
                <c:v>-11.332630851062866</c:v>
              </c:pt>
              <c:pt idx="22">
                <c:v>-11.332630851062866</c:v>
              </c:pt>
              <c:pt idx="24">
                <c:v>0</c:v>
              </c:pt>
              <c:pt idx="25">
                <c:v>0</c:v>
              </c:pt>
              <c:pt idx="27">
                <c:v>0</c:v>
              </c:pt>
              <c:pt idx="28">
                <c:v>0</c:v>
              </c:pt>
              <c:pt idx="30">
                <c:v>0</c:v>
              </c:pt>
              <c:pt idx="31">
                <c:v>0</c:v>
              </c:pt>
              <c:pt idx="33">
                <c:v>0</c:v>
              </c:pt>
              <c:pt idx="34">
                <c:v>0</c:v>
              </c:pt>
            </c:numLit>
          </c:val>
          <c:extLst>
            <c:ext xmlns:c16="http://schemas.microsoft.com/office/drawing/2014/chart" uri="{C3380CC4-5D6E-409C-BE32-E72D297353CC}">
              <c16:uniqueId val="{00000002-26F0-45F0-B218-F356AD3CB7F2}"/>
            </c:ext>
          </c:extLst>
        </c:ser>
        <c:ser>
          <c:idx val="0"/>
          <c:order val="3"/>
          <c:tx>
            <c:v>West HAV - HSY</c:v>
          </c:tx>
          <c:spPr>
            <a:solidFill>
              <a:schemeClr val="accent1"/>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252.02553763440861</c:v>
              </c:pt>
              <c:pt idx="1">
                <c:v>56.0255376344086</c:v>
              </c:pt>
              <c:pt idx="3">
                <c:v>208.16522988505747</c:v>
              </c:pt>
              <c:pt idx="4">
                <c:v>110.16522988505747</c:v>
              </c:pt>
              <c:pt idx="6">
                <c:v>406.43548387096774</c:v>
              </c:pt>
              <c:pt idx="7">
                <c:v>112.43548387096774</c:v>
              </c:pt>
              <c:pt idx="9">
                <c:v>406.22500000000002</c:v>
              </c:pt>
              <c:pt idx="10">
                <c:v>112.22500000000001</c:v>
              </c:pt>
              <c:pt idx="12">
                <c:v>403.57123655913978</c:v>
              </c:pt>
              <c:pt idx="13">
                <c:v>109.57123655913979</c:v>
              </c:pt>
              <c:pt idx="15">
                <c:v>191.24027777777778</c:v>
              </c:pt>
              <c:pt idx="16">
                <c:v>44.240277777777777</c:v>
              </c:pt>
              <c:pt idx="18">
                <c:v>190.91801075268819</c:v>
              </c:pt>
              <c:pt idx="19">
                <c:v>43.918010752688176</c:v>
              </c:pt>
              <c:pt idx="21">
                <c:v>191.06720430107526</c:v>
              </c:pt>
              <c:pt idx="22">
                <c:v>44.067204301075265</c:v>
              </c:pt>
              <c:pt idx="24">
                <c:v>341.69861111111106</c:v>
              </c:pt>
              <c:pt idx="25">
                <c:v>96.698611111111092</c:v>
              </c:pt>
              <c:pt idx="27">
                <c:v>335.60618279569894</c:v>
              </c:pt>
              <c:pt idx="28">
                <c:v>90.606182795698928</c:v>
              </c:pt>
              <c:pt idx="30">
                <c:v>323.83055555555558</c:v>
              </c:pt>
              <c:pt idx="31">
                <c:v>78.830555555555563</c:v>
              </c:pt>
              <c:pt idx="33">
                <c:v>322.4986559139785</c:v>
              </c:pt>
              <c:pt idx="34">
                <c:v>77.498655913978496</c:v>
              </c:pt>
            </c:numLit>
          </c:val>
          <c:extLst>
            <c:ext xmlns:c16="http://schemas.microsoft.com/office/drawing/2014/chart" uri="{C3380CC4-5D6E-409C-BE32-E72D297353CC}">
              <c16:uniqueId val="{00000003-26F0-45F0-B218-F356AD3CB7F2}"/>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'2019'!$AI$1087</c:f>
              <c:strCache>
                <c:ptCount val="1"/>
                <c:pt idx="0">
                  <c:v>South w/SGL</c:v>
                </c:pt>
              </c:strCache>
            </c:strRef>
          </c:tx>
          <c:spPr>
            <a:solidFill>
              <a:schemeClr val="accent4"/>
            </a:solidFill>
            <a:ln>
              <a:noFill/>
            </a:ln>
            <a:effectLst/>
          </c:spPr>
          <c:invertIfNegative val="0"/>
          <c:cat>
            <c:strRef>
              <c:f>'2019'!$AE$1088:$AE$1122</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'2019'!$AI$1088:$AI$1122</c:f>
              <c:numCache>
                <c:formatCode>#,##0_);\(#,##0\)</c:formatCode>
                <c:ptCount val="35"/>
                <c:pt idx="0">
                  <c:v>29.467741935483868</c:v>
                </c:pt>
                <c:pt idx="1">
                  <c:v>29.467741935483868</c:v>
                </c:pt>
                <c:pt idx="3">
                  <c:v>30.989583333333332</c:v>
                </c:pt>
                <c:pt idx="4">
                  <c:v>30.989583333333332</c:v>
                </c:pt>
                <c:pt idx="6">
                  <c:v>40.774193548387096</c:v>
                </c:pt>
                <c:pt idx="7">
                  <c:v>40.774193548387096</c:v>
                </c:pt>
                <c:pt idx="9">
                  <c:v>64.19861111111112</c:v>
                </c:pt>
                <c:pt idx="10">
                  <c:v>64.19861111111112</c:v>
                </c:pt>
                <c:pt idx="12">
                  <c:v>59.005376344086031</c:v>
                </c:pt>
                <c:pt idx="13">
                  <c:v>59.005376344086031</c:v>
                </c:pt>
                <c:pt idx="15">
                  <c:v>70.23333333333332</c:v>
                </c:pt>
                <c:pt idx="16">
                  <c:v>70.23333333333332</c:v>
                </c:pt>
                <c:pt idx="18">
                  <c:v>71.868279569892479</c:v>
                </c:pt>
                <c:pt idx="19">
                  <c:v>71.868279569892479</c:v>
                </c:pt>
                <c:pt idx="21">
                  <c:v>70.298387096774192</c:v>
                </c:pt>
                <c:pt idx="22">
                  <c:v>70.298387096774192</c:v>
                </c:pt>
                <c:pt idx="24">
                  <c:v>49.298611111111114</c:v>
                </c:pt>
                <c:pt idx="25">
                  <c:v>49.298611111111114</c:v>
                </c:pt>
                <c:pt idx="27">
                  <c:v>40.767473118279568</c:v>
                </c:pt>
                <c:pt idx="28">
                  <c:v>40.767473118279568</c:v>
                </c:pt>
                <c:pt idx="30">
                  <c:v>5.2722222222222221</c:v>
                </c:pt>
                <c:pt idx="31">
                  <c:v>5.2722222222222221</c:v>
                </c:pt>
                <c:pt idx="33">
                  <c:v>14.981182795698924</c:v>
                </c:pt>
                <c:pt idx="34">
                  <c:v>14.981182795698924</c:v>
                </c:pt>
              </c:numCache>
            </c:numRef>
          </c:val>
          <c:extLst>
            <c:ext xmlns:c16="http://schemas.microsoft.com/office/drawing/2014/chart" uri="{C3380CC4-5D6E-409C-BE32-E72D297353CC}">
              <c16:uniqueId val="{00000000-105A-451B-8879-444F90735296}"/>
            </c:ext>
          </c:extLst>
        </c:ser>
        <c:ser>
          <c:idx val="1"/>
          <c:order val="1"/>
          <c:tx>
            <c:strRef>
              <c:f>'2019'!$AG$1087</c:f>
              <c:strCache>
                <c:ptCount val="1"/>
                <c:pt idx="0">
                  <c:v>WAD -PMP</c:v>
                </c:pt>
              </c:strCache>
            </c:strRef>
          </c:tx>
          <c:spPr>
            <a:solidFill>
              <a:schemeClr val="accent2"/>
            </a:solidFill>
            <a:ln>
              <a:noFill/>
            </a:ln>
            <a:effectLst/>
          </c:spPr>
          <c:invertIfNegative val="0"/>
          <c:cat>
            <c:strRef>
              <c:f>'2019'!$AE$1088:$AE$1122</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'2019'!$AG$1088:$AG$1122</c:f>
              <c:numCache>
                <c:formatCode>#,##0_);\(#,##0\)</c:formatCode>
                <c:ptCount val="35"/>
                <c:pt idx="0">
                  <c:v>17.019338610589831</c:v>
                </c:pt>
                <c:pt idx="1">
                  <c:v>17.019338610589831</c:v>
                </c:pt>
                <c:pt idx="3">
                  <c:v>30.590097127100382</c:v>
                </c:pt>
                <c:pt idx="4">
                  <c:v>30.590097127100382</c:v>
                </c:pt>
                <c:pt idx="6">
                  <c:v>1.7692806852736116E-2</c:v>
                </c:pt>
                <c:pt idx="7">
                  <c:v>1.7692806852736116E-2</c:v>
                </c:pt>
                <c:pt idx="9">
                  <c:v>3.2946401930834512</c:v>
                </c:pt>
                <c:pt idx="10">
                  <c:v>3.2946401930834512</c:v>
                </c:pt>
                <c:pt idx="12">
                  <c:v>5.3582672970802721</c:v>
                </c:pt>
                <c:pt idx="13">
                  <c:v>5.3582672970802721</c:v>
                </c:pt>
                <c:pt idx="15">
                  <c:v>0.41885574181356272</c:v>
                </c:pt>
                <c:pt idx="16">
                  <c:v>0.41885574181356272</c:v>
                </c:pt>
                <c:pt idx="18">
                  <c:v>0</c:v>
                </c:pt>
                <c:pt idx="19">
                  <c:v>0</c:v>
                </c:pt>
                <c:pt idx="21">
                  <c:v>6.6384182530642233E-3</c:v>
                </c:pt>
                <c:pt idx="22">
                  <c:v>6.6384182530642233E-3</c:v>
                </c:pt>
                <c:pt idx="24">
                  <c:v>7.4319947357487344</c:v>
                </c:pt>
                <c:pt idx="25">
                  <c:v>7.4319947357487344</c:v>
                </c:pt>
                <c:pt idx="27">
                  <c:v>9.0044461466656003</c:v>
                </c:pt>
                <c:pt idx="28">
                  <c:v>9.0044461466656003</c:v>
                </c:pt>
                <c:pt idx="30">
                  <c:v>24.777860476090741</c:v>
                </c:pt>
                <c:pt idx="31">
                  <c:v>24.777860476090741</c:v>
                </c:pt>
                <c:pt idx="33">
                  <c:v>6.2183722766740912</c:v>
                </c:pt>
                <c:pt idx="34">
                  <c:v>6.2183722766740912</c:v>
                </c:pt>
              </c:numCache>
            </c:numRef>
          </c:val>
          <c:extLst>
            <c:ext xmlns:c16="http://schemas.microsoft.com/office/drawing/2014/chart" uri="{C3380CC4-5D6E-409C-BE32-E72D297353CC}">
              <c16:uniqueId val="{00000001-105A-451B-8879-444F90735296}"/>
            </c:ext>
          </c:extLst>
        </c:ser>
        <c:ser>
          <c:idx val="2"/>
          <c:order val="2"/>
          <c:tx>
            <c:strRef>
              <c:f>'2019'!$AH$1087</c:f>
              <c:strCache>
                <c:ptCount val="1"/>
                <c:pt idx="0">
                  <c:v>WAD - GEN</c:v>
                </c:pt>
              </c:strCache>
            </c:strRef>
          </c:tx>
          <c:spPr>
            <a:solidFill>
              <a:schemeClr val="accent3"/>
            </a:solidFill>
            <a:ln>
              <a:noFill/>
            </a:ln>
            <a:effectLst/>
          </c:spPr>
          <c:invertIfNegative val="0"/>
          <c:cat>
            <c:strRef>
              <c:f>'2019'!$AE$1088:$AE$1122</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'2019'!$AH$1088:$AH$1122</c:f>
              <c:numCache>
                <c:formatCode>#,##0_);\(#,##0\)</c:formatCode>
                <c:ptCount val="35"/>
                <c:pt idx="0">
                  <c:v>-3.3695345625341919</c:v>
                </c:pt>
                <c:pt idx="1">
                  <c:v>-3.3695345625341919</c:v>
                </c:pt>
                <c:pt idx="3">
                  <c:v>0</c:v>
                </c:pt>
                <c:pt idx="4">
                  <c:v>0</c:v>
                </c:pt>
                <c:pt idx="6">
                  <c:v>-2.5450218686092554E-2</c:v>
                </c:pt>
                <c:pt idx="7">
                  <c:v>-2.5450218686092554E-2</c:v>
                </c:pt>
                <c:pt idx="9">
                  <c:v>-2.8668393246598853</c:v>
                </c:pt>
                <c:pt idx="10">
                  <c:v>-2.8668393246598853</c:v>
                </c:pt>
                <c:pt idx="12">
                  <c:v>-3.2435688501836188</c:v>
                </c:pt>
                <c:pt idx="13">
                  <c:v>-3.2435688501836188</c:v>
                </c:pt>
                <c:pt idx="15">
                  <c:v>-16.361600459771445</c:v>
                </c:pt>
                <c:pt idx="16">
                  <c:v>-16.361600459771445</c:v>
                </c:pt>
                <c:pt idx="18">
                  <c:v>-15.102501405862666</c:v>
                </c:pt>
                <c:pt idx="19">
                  <c:v>-15.102501405862666</c:v>
                </c:pt>
                <c:pt idx="21">
                  <c:v>-10.153031990571767</c:v>
                </c:pt>
                <c:pt idx="22">
                  <c:v>-10.153031990571767</c:v>
                </c:pt>
                <c:pt idx="24">
                  <c:v>0</c:v>
                </c:pt>
                <c:pt idx="25">
                  <c:v>0</c:v>
                </c:pt>
                <c:pt idx="27">
                  <c:v>0</c:v>
                </c:pt>
                <c:pt idx="28">
                  <c:v>0</c:v>
                </c:pt>
                <c:pt idx="30">
                  <c:v>-0.26081102218488522</c:v>
                </c:pt>
                <c:pt idx="31">
                  <c:v>-0.26081102218488522</c:v>
                </c:pt>
                <c:pt idx="33">
                  <c:v>0</c:v>
                </c:pt>
                <c:pt idx="34">
                  <c:v>0</c:v>
                </c:pt>
              </c:numCache>
            </c:numRef>
          </c:val>
          <c:extLst>
            <c:ext xmlns:c16="http://schemas.microsoft.com/office/drawing/2014/chart" uri="{C3380CC4-5D6E-409C-BE32-E72D297353CC}">
              <c16:uniqueId val="{00000002-105A-451B-8879-444F90735296}"/>
            </c:ext>
          </c:extLst>
        </c:ser>
        <c:ser>
          <c:idx val="0"/>
          <c:order val="3"/>
          <c:tx>
            <c:strRef>
              <c:f>'2019'!$AF$1087</c:f>
              <c:strCache>
                <c:ptCount val="1"/>
                <c:pt idx="0">
                  <c:v>West HAV - HSY</c:v>
                </c:pt>
              </c:strCache>
            </c:strRef>
          </c:tx>
          <c:spPr>
            <a:solidFill>
              <a:schemeClr val="accent1"/>
            </a:solidFill>
            <a:ln>
              <a:noFill/>
            </a:ln>
            <a:effectLst/>
          </c:spPr>
          <c:invertIfNegative val="0"/>
          <c:cat>
            <c:strRef>
              <c:f>'2019'!$AE$1088:$AE$1122</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'2019'!$AF$1088:$AF$1122</c:f>
              <c:numCache>
                <c:formatCode>#,##0_);\(#,##0\)</c:formatCode>
                <c:ptCount val="35"/>
                <c:pt idx="0">
                  <c:v>250.75537634408602</c:v>
                </c:pt>
                <c:pt idx="1">
                  <c:v>54.755376344086017</c:v>
                </c:pt>
                <c:pt idx="3">
                  <c:v>203.3154761904762</c:v>
                </c:pt>
                <c:pt idx="4">
                  <c:v>105.31547619047619</c:v>
                </c:pt>
                <c:pt idx="6">
                  <c:v>345.25940860215053</c:v>
                </c:pt>
                <c:pt idx="7">
                  <c:v>51.259408602150536</c:v>
                </c:pt>
                <c:pt idx="9">
                  <c:v>388.3</c:v>
                </c:pt>
                <c:pt idx="10">
                  <c:v>94.300000000000011</c:v>
                </c:pt>
                <c:pt idx="12">
                  <c:v>388.375</c:v>
                </c:pt>
                <c:pt idx="13">
                  <c:v>94.375</c:v>
                </c:pt>
                <c:pt idx="15">
                  <c:v>214.08750000000001</c:v>
                </c:pt>
                <c:pt idx="16">
                  <c:v>67.087500000000006</c:v>
                </c:pt>
                <c:pt idx="18">
                  <c:v>205.8736559139785</c:v>
                </c:pt>
                <c:pt idx="19">
                  <c:v>58.873655913978496</c:v>
                </c:pt>
                <c:pt idx="21">
                  <c:v>209.75806451612902</c:v>
                </c:pt>
                <c:pt idx="22">
                  <c:v>62.758064516129039</c:v>
                </c:pt>
                <c:pt idx="24">
                  <c:v>347.20277777777778</c:v>
                </c:pt>
                <c:pt idx="25">
                  <c:v>102.20277777777778</c:v>
                </c:pt>
                <c:pt idx="27">
                  <c:v>337.48252688172045</c:v>
                </c:pt>
                <c:pt idx="28">
                  <c:v>92.482526881720432</c:v>
                </c:pt>
                <c:pt idx="30">
                  <c:v>323.88472222222219</c:v>
                </c:pt>
                <c:pt idx="31">
                  <c:v>78.884722222222223</c:v>
                </c:pt>
                <c:pt idx="33">
                  <c:v>290.45833333333331</c:v>
                </c:pt>
                <c:pt idx="34">
                  <c:v>45.458333333333336</c:v>
                </c:pt>
              </c:numCache>
            </c:numRef>
          </c:val>
          <c:extLst>
            <c:ext xmlns:c16="http://schemas.microsoft.com/office/drawing/2014/chart" uri="{C3380CC4-5D6E-409C-BE32-E72D297353CC}">
              <c16:uniqueId val="{00000003-105A-451B-8879-444F90735296}"/>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'2018'!$AI$1075</c:f>
              <c:strCache>
                <c:ptCount val="1"/>
                <c:pt idx="0">
                  <c:v>South w/SGL</c:v>
                </c:pt>
              </c:strCache>
            </c:strRef>
          </c:tx>
          <c:spPr>
            <a:solidFill>
              <a:schemeClr val="accent4"/>
            </a:solidFill>
            <a:ln>
              <a:noFill/>
            </a:ln>
            <a:effectLst/>
          </c:spPr>
          <c:invertIfNegative val="0"/>
          <c:cat>
            <c:strRef>
              <c:f>'2018'!$AE$1076:$AE$1110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'2018'!$AI$1076:$AI$1110</c:f>
              <c:numCache>
                <c:formatCode>#,##0_);\(#,##0\)</c:formatCode>
                <c:ptCount val="35"/>
                <c:pt idx="0">
                  <c:v>28.262096774193548</c:v>
                </c:pt>
                <c:pt idx="1">
                  <c:v>28.262096774193548</c:v>
                </c:pt>
                <c:pt idx="3">
                  <c:v>44.538690476190474</c:v>
                </c:pt>
                <c:pt idx="4">
                  <c:v>44.538690476190474</c:v>
                </c:pt>
                <c:pt idx="6">
                  <c:v>53.040322580645167</c:v>
                </c:pt>
                <c:pt idx="7">
                  <c:v>53.040322580645167</c:v>
                </c:pt>
                <c:pt idx="9">
                  <c:v>68.540277777777774</c:v>
                </c:pt>
                <c:pt idx="10">
                  <c:v>68.540277777777774</c:v>
                </c:pt>
                <c:pt idx="12">
                  <c:v>66.646505376344095</c:v>
                </c:pt>
                <c:pt idx="13">
                  <c:v>66.646505376344095</c:v>
                </c:pt>
                <c:pt idx="15">
                  <c:v>66.05972222222222</c:v>
                </c:pt>
                <c:pt idx="16">
                  <c:v>66.05972222222222</c:v>
                </c:pt>
                <c:pt idx="18">
                  <c:v>63.869623655913983</c:v>
                </c:pt>
                <c:pt idx="19">
                  <c:v>63.869623655913983</c:v>
                </c:pt>
                <c:pt idx="21">
                  <c:v>67.284946236559136</c:v>
                </c:pt>
                <c:pt idx="22">
                  <c:v>67.284946236559136</c:v>
                </c:pt>
                <c:pt idx="24">
                  <c:v>57.140277777777776</c:v>
                </c:pt>
                <c:pt idx="25">
                  <c:v>57.140277777777776</c:v>
                </c:pt>
                <c:pt idx="27">
                  <c:v>26.626344086021508</c:v>
                </c:pt>
                <c:pt idx="28">
                  <c:v>26.626344086021508</c:v>
                </c:pt>
                <c:pt idx="30">
                  <c:v>16.7</c:v>
                </c:pt>
                <c:pt idx="31">
                  <c:v>16.7</c:v>
                </c:pt>
                <c:pt idx="33">
                  <c:v>14.760752688172044</c:v>
                </c:pt>
                <c:pt idx="34">
                  <c:v>14.760752688172044</c:v>
                </c:pt>
              </c:numCache>
            </c:numRef>
          </c:val>
          <c:extLst>
            <c:ext xmlns:c16="http://schemas.microsoft.com/office/drawing/2014/chart" uri="{C3380CC4-5D6E-409C-BE32-E72D297353CC}">
              <c16:uniqueId val="{00000000-E1EE-41CA-BBBD-ECE327392CE1}"/>
            </c:ext>
          </c:extLst>
        </c:ser>
        <c:ser>
          <c:idx val="1"/>
          <c:order val="1"/>
          <c:tx>
            <c:strRef>
              <c:f>'2018'!$AG$1075</c:f>
              <c:strCache>
                <c:ptCount val="1"/>
                <c:pt idx="0">
                  <c:v>WAD -PMP</c:v>
                </c:pt>
              </c:strCache>
            </c:strRef>
          </c:tx>
          <c:spPr>
            <a:solidFill>
              <a:schemeClr val="accent2"/>
            </a:solidFill>
            <a:ln>
              <a:noFill/>
            </a:ln>
            <a:effectLst/>
          </c:spPr>
          <c:invertIfNegative val="0"/>
          <c:cat>
            <c:strRef>
              <c:f>'2018'!$AE$1076:$AE$1110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'2018'!$AG$1076:$AG$1110</c:f>
              <c:numCache>
                <c:formatCode>#,##0_);\(#,##0\)</c:formatCode>
                <c:ptCount val="35"/>
                <c:pt idx="0">
                  <c:v>11.989179389805024</c:v>
                </c:pt>
                <c:pt idx="1">
                  <c:v>11.989179389805024</c:v>
                </c:pt>
                <c:pt idx="3">
                  <c:v>16.448580262084075</c:v>
                </c:pt>
                <c:pt idx="4">
                  <c:v>16.448580262084075</c:v>
                </c:pt>
                <c:pt idx="6">
                  <c:v>13.652098288951628</c:v>
                </c:pt>
                <c:pt idx="7">
                  <c:v>13.652098288951628</c:v>
                </c:pt>
                <c:pt idx="9">
                  <c:v>3.1383375835475373</c:v>
                </c:pt>
                <c:pt idx="10">
                  <c:v>3.1383375835475373</c:v>
                </c:pt>
                <c:pt idx="12">
                  <c:v>1.1827884043524532</c:v>
                </c:pt>
                <c:pt idx="13">
                  <c:v>1.1827884043524532</c:v>
                </c:pt>
                <c:pt idx="15">
                  <c:v>0</c:v>
                </c:pt>
                <c:pt idx="16">
                  <c:v>0</c:v>
                </c:pt>
                <c:pt idx="18">
                  <c:v>0</c:v>
                </c:pt>
                <c:pt idx="19">
                  <c:v>0</c:v>
                </c:pt>
                <c:pt idx="21">
                  <c:v>0</c:v>
                </c:pt>
                <c:pt idx="22">
                  <c:v>0</c:v>
                </c:pt>
                <c:pt idx="24">
                  <c:v>4.3052579416601784</c:v>
                </c:pt>
                <c:pt idx="25">
                  <c:v>4.3052579416601784</c:v>
                </c:pt>
                <c:pt idx="27">
                  <c:v>22.928397106742242</c:v>
                </c:pt>
                <c:pt idx="28">
                  <c:v>22.928397106742242</c:v>
                </c:pt>
                <c:pt idx="30">
                  <c:v>21.466920605037654</c:v>
                </c:pt>
                <c:pt idx="31">
                  <c:v>21.466920605037654</c:v>
                </c:pt>
                <c:pt idx="33">
                  <c:v>20.731206096083827</c:v>
                </c:pt>
                <c:pt idx="34">
                  <c:v>20.731206096083827</c:v>
                </c:pt>
              </c:numCache>
            </c:numRef>
          </c:val>
          <c:extLst>
            <c:ext xmlns:c16="http://schemas.microsoft.com/office/drawing/2014/chart" uri="{C3380CC4-5D6E-409C-BE32-E72D297353CC}">
              <c16:uniqueId val="{00000001-E1EE-41CA-BBBD-ECE327392CE1}"/>
            </c:ext>
          </c:extLst>
        </c:ser>
        <c:ser>
          <c:idx val="2"/>
          <c:order val="2"/>
          <c:tx>
            <c:strRef>
              <c:f>'2018'!$AH$1075</c:f>
              <c:strCache>
                <c:ptCount val="1"/>
                <c:pt idx="0">
                  <c:v>WAD - GEN</c:v>
                </c:pt>
              </c:strCache>
            </c:strRef>
          </c:tx>
          <c:spPr>
            <a:solidFill>
              <a:schemeClr val="accent3"/>
            </a:solidFill>
            <a:ln>
              <a:noFill/>
            </a:ln>
            <a:effectLst/>
          </c:spPr>
          <c:invertIfNegative val="0"/>
          <c:cat>
            <c:strRef>
              <c:f>'2018'!$AE$1076:$AE$1110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'2018'!$AH$1076:$AH$1110</c:f>
              <c:numCache>
                <c:formatCode>#,##0_);\(#,##0\)</c:formatCode>
                <c:ptCount val="35"/>
                <c:pt idx="0">
                  <c:v>-0.94487912455920309</c:v>
                </c:pt>
                <c:pt idx="1">
                  <c:v>-0.94487912455920309</c:v>
                </c:pt>
                <c:pt idx="3">
                  <c:v>-3.327844314063229</c:v>
                </c:pt>
                <c:pt idx="4">
                  <c:v>-3.327844314063229</c:v>
                </c:pt>
                <c:pt idx="6">
                  <c:v>-4.0497210540389421</c:v>
                </c:pt>
                <c:pt idx="7">
                  <c:v>-4.0497210540389421</c:v>
                </c:pt>
                <c:pt idx="9">
                  <c:v>-1.4505912194396473</c:v>
                </c:pt>
                <c:pt idx="10">
                  <c:v>-1.4505912194396473</c:v>
                </c:pt>
                <c:pt idx="12">
                  <c:v>-1.0127167351370636</c:v>
                </c:pt>
                <c:pt idx="13">
                  <c:v>-1.0127167351370636</c:v>
                </c:pt>
                <c:pt idx="15">
                  <c:v>-20.071341999497623</c:v>
                </c:pt>
                <c:pt idx="16">
                  <c:v>-20.071341999497623</c:v>
                </c:pt>
                <c:pt idx="18">
                  <c:v>-19.193317872210777</c:v>
                </c:pt>
                <c:pt idx="19">
                  <c:v>-19.193317872210777</c:v>
                </c:pt>
                <c:pt idx="21">
                  <c:v>-22.245169094778888</c:v>
                </c:pt>
                <c:pt idx="22">
                  <c:v>-22.245169094778888</c:v>
                </c:pt>
                <c:pt idx="24">
                  <c:v>-1.1410015071590049</c:v>
                </c:pt>
                <c:pt idx="25">
                  <c:v>-1.1410015071590049</c:v>
                </c:pt>
                <c:pt idx="27">
                  <c:v>0</c:v>
                </c:pt>
                <c:pt idx="28">
                  <c:v>0</c:v>
                </c:pt>
                <c:pt idx="30">
                  <c:v>-1.8917336515113424E-2</c:v>
                </c:pt>
                <c:pt idx="31">
                  <c:v>-1.8917336515113424E-2</c:v>
                </c:pt>
                <c:pt idx="33">
                  <c:v>0</c:v>
                </c:pt>
                <c:pt idx="34">
                  <c:v>0</c:v>
                </c:pt>
              </c:numCache>
            </c:numRef>
          </c:val>
          <c:extLst>
            <c:ext xmlns:c16="http://schemas.microsoft.com/office/drawing/2014/chart" uri="{C3380CC4-5D6E-409C-BE32-E72D297353CC}">
              <c16:uniqueId val="{00000002-E1EE-41CA-BBBD-ECE327392CE1}"/>
            </c:ext>
          </c:extLst>
        </c:ser>
        <c:ser>
          <c:idx val="0"/>
          <c:order val="3"/>
          <c:tx>
            <c:strRef>
              <c:f>'2018'!$AF$1075</c:f>
              <c:strCache>
                <c:ptCount val="1"/>
                <c:pt idx="0">
                  <c:v>West HAV - HSY</c:v>
                </c:pt>
              </c:strCache>
            </c:strRef>
          </c:tx>
          <c:spPr>
            <a:solidFill>
              <a:schemeClr val="accent1"/>
            </a:solidFill>
            <a:ln>
              <a:noFill/>
            </a:ln>
            <a:effectLst/>
          </c:spPr>
          <c:invertIfNegative val="0"/>
          <c:cat>
            <c:strRef>
              <c:f>'2018'!$AE$1076:$AE$1110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'2018'!$AF$1076:$AF$1110</c:f>
              <c:numCache>
                <c:formatCode>#,##0_);\(#,##0\)</c:formatCode>
                <c:ptCount val="35"/>
                <c:pt idx="0">
                  <c:v>252.19623655913978</c:v>
                </c:pt>
                <c:pt idx="1">
                  <c:v>56.196236559139777</c:v>
                </c:pt>
                <c:pt idx="3">
                  <c:v>172.1860119047619</c:v>
                </c:pt>
                <c:pt idx="4">
                  <c:v>74.186011904761898</c:v>
                </c:pt>
                <c:pt idx="6">
                  <c:v>379.48252688172045</c:v>
                </c:pt>
                <c:pt idx="7">
                  <c:v>85.482526881720418</c:v>
                </c:pt>
                <c:pt idx="9">
                  <c:v>401.72638888888889</c:v>
                </c:pt>
                <c:pt idx="10">
                  <c:v>107.72638888888889</c:v>
                </c:pt>
                <c:pt idx="12">
                  <c:v>404.71102150537632</c:v>
                </c:pt>
                <c:pt idx="13">
                  <c:v>110.71102150537634</c:v>
                </c:pt>
                <c:pt idx="15">
                  <c:v>204.40833333333333</c:v>
                </c:pt>
                <c:pt idx="16">
                  <c:v>57.408333333333331</c:v>
                </c:pt>
                <c:pt idx="18">
                  <c:v>194.13575268817203</c:v>
                </c:pt>
                <c:pt idx="19">
                  <c:v>47.13575268817204</c:v>
                </c:pt>
                <c:pt idx="21">
                  <c:v>162.3991935483871</c:v>
                </c:pt>
                <c:pt idx="22">
                  <c:v>15.399193548387096</c:v>
                </c:pt>
                <c:pt idx="24">
                  <c:v>350.79722222222222</c:v>
                </c:pt>
                <c:pt idx="25">
                  <c:v>105.79722222222222</c:v>
                </c:pt>
                <c:pt idx="27">
                  <c:v>354.83467741935488</c:v>
                </c:pt>
                <c:pt idx="28">
                  <c:v>109.83467741935485</c:v>
                </c:pt>
                <c:pt idx="30">
                  <c:v>355.33472222222224</c:v>
                </c:pt>
                <c:pt idx="31">
                  <c:v>110.33472222222221</c:v>
                </c:pt>
                <c:pt idx="33">
                  <c:v>333.93010752688173</c:v>
                </c:pt>
                <c:pt idx="34">
                  <c:v>88.930107526881727</c:v>
                </c:pt>
              </c:numCache>
            </c:numRef>
          </c:val>
          <c:extLst>
            <c:ext xmlns:c16="http://schemas.microsoft.com/office/drawing/2014/chart" uri="{C3380CC4-5D6E-409C-BE32-E72D297353CC}">
              <c16:uniqueId val="{00000003-E1EE-41CA-BBBD-ECE327392CE1}"/>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'2017'!$AI$1049</c:f>
              <c:strCache>
                <c:ptCount val="1"/>
                <c:pt idx="0">
                  <c:v>South w/SGL</c:v>
                </c:pt>
              </c:strCache>
            </c:strRef>
          </c:tx>
          <c:spPr>
            <a:solidFill>
              <a:schemeClr val="accent4"/>
            </a:solidFill>
            <a:ln>
              <a:noFill/>
            </a:ln>
            <a:effectLst/>
          </c:spPr>
          <c:invertIfNegative val="0"/>
          <c:cat>
            <c:strRef>
              <c:f>'2017'!$AE$1050:$AE$1084</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'2017'!$AI$1050:$AI$1084</c:f>
              <c:numCache>
                <c:formatCode>#,##0_);\(#,##0\)</c:formatCode>
                <c:ptCount val="35"/>
                <c:pt idx="0">
                  <c:v>29.069892473118284</c:v>
                </c:pt>
                <c:pt idx="1">
                  <c:v>29.069892473118284</c:v>
                </c:pt>
                <c:pt idx="3">
                  <c:v>28.278273809523814</c:v>
                </c:pt>
                <c:pt idx="4">
                  <c:v>28.278273809523814</c:v>
                </c:pt>
                <c:pt idx="6">
                  <c:v>52.884408602150543</c:v>
                </c:pt>
                <c:pt idx="7">
                  <c:v>52.884408602150543</c:v>
                </c:pt>
                <c:pt idx="9">
                  <c:v>60.004166666666656</c:v>
                </c:pt>
                <c:pt idx="10">
                  <c:v>60.004166666666656</c:v>
                </c:pt>
                <c:pt idx="12">
                  <c:v>56.326612903225808</c:v>
                </c:pt>
                <c:pt idx="13">
                  <c:v>56.326612903225808</c:v>
                </c:pt>
                <c:pt idx="15">
                  <c:v>70.88611111111112</c:v>
                </c:pt>
                <c:pt idx="16">
                  <c:v>70.88611111111112</c:v>
                </c:pt>
                <c:pt idx="18">
                  <c:v>64.408602150537632</c:v>
                </c:pt>
                <c:pt idx="19">
                  <c:v>64.408602150537632</c:v>
                </c:pt>
                <c:pt idx="21">
                  <c:v>63.659946236559129</c:v>
                </c:pt>
                <c:pt idx="22">
                  <c:v>63.659946236559129</c:v>
                </c:pt>
                <c:pt idx="24">
                  <c:v>54.67916666666666</c:v>
                </c:pt>
                <c:pt idx="25">
                  <c:v>54.67916666666666</c:v>
                </c:pt>
                <c:pt idx="27">
                  <c:v>24.803763440860219</c:v>
                </c:pt>
                <c:pt idx="28">
                  <c:v>24.803763440860219</c:v>
                </c:pt>
                <c:pt idx="30">
                  <c:v>9.5527777777777771</c:v>
                </c:pt>
                <c:pt idx="31">
                  <c:v>9.5527777777777771</c:v>
                </c:pt>
                <c:pt idx="33">
                  <c:v>24.081989247311828</c:v>
                </c:pt>
                <c:pt idx="34">
                  <c:v>24.081989247311828</c:v>
                </c:pt>
              </c:numCache>
            </c:numRef>
          </c:val>
          <c:extLst>
            <c:ext xmlns:c16="http://schemas.microsoft.com/office/drawing/2014/chart" uri="{C3380CC4-5D6E-409C-BE32-E72D297353CC}">
              <c16:uniqueId val="{00000000-926E-4927-931A-719B808074F6}"/>
            </c:ext>
          </c:extLst>
        </c:ser>
        <c:ser>
          <c:idx val="1"/>
          <c:order val="1"/>
          <c:tx>
            <c:strRef>
              <c:f>'2017'!$AG$1049</c:f>
              <c:strCache>
                <c:ptCount val="1"/>
                <c:pt idx="0">
                  <c:v>WAD -PMP</c:v>
                </c:pt>
              </c:strCache>
            </c:strRef>
          </c:tx>
          <c:spPr>
            <a:solidFill>
              <a:schemeClr val="accent2"/>
            </a:solidFill>
            <a:ln>
              <a:noFill/>
            </a:ln>
            <a:effectLst/>
          </c:spPr>
          <c:invertIfNegative val="0"/>
          <c:cat>
            <c:strRef>
              <c:f>'2017'!$AE$1050:$AE$1084</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'2017'!$AG$1050:$AG$1084</c:f>
              <c:numCache>
                <c:formatCode>#,##0_);\(#,##0\)</c:formatCode>
                <c:ptCount val="35"/>
                <c:pt idx="0">
                  <c:v>23.755940895817734</c:v>
                </c:pt>
                <c:pt idx="1">
                  <c:v>23.755940895817734</c:v>
                </c:pt>
                <c:pt idx="3">
                  <c:v>5.3129613829432101</c:v>
                </c:pt>
                <c:pt idx="4">
                  <c:v>5.3129613829432101</c:v>
                </c:pt>
                <c:pt idx="6">
                  <c:v>5.9462011333461797</c:v>
                </c:pt>
                <c:pt idx="7">
                  <c:v>5.9462011333461797</c:v>
                </c:pt>
                <c:pt idx="9">
                  <c:v>2.8998862115511739</c:v>
                </c:pt>
                <c:pt idx="10">
                  <c:v>2.8998862115511739</c:v>
                </c:pt>
                <c:pt idx="12">
                  <c:v>7.1756995459914172</c:v>
                </c:pt>
                <c:pt idx="13">
                  <c:v>7.1756995459914172</c:v>
                </c:pt>
                <c:pt idx="15">
                  <c:v>0</c:v>
                </c:pt>
                <c:pt idx="16">
                  <c:v>0</c:v>
                </c:pt>
                <c:pt idx="18">
                  <c:v>0</c:v>
                </c:pt>
                <c:pt idx="19">
                  <c:v>0</c:v>
                </c:pt>
                <c:pt idx="21">
                  <c:v>0</c:v>
                </c:pt>
                <c:pt idx="22">
                  <c:v>0</c:v>
                </c:pt>
                <c:pt idx="24">
                  <c:v>2.302511468882543</c:v>
                </c:pt>
                <c:pt idx="25">
                  <c:v>2.302511468882543</c:v>
                </c:pt>
                <c:pt idx="27">
                  <c:v>10.746195374473309</c:v>
                </c:pt>
                <c:pt idx="28">
                  <c:v>10.746195374473309</c:v>
                </c:pt>
                <c:pt idx="30">
                  <c:v>17.434059172942092</c:v>
                </c:pt>
                <c:pt idx="31">
                  <c:v>17.434059172942092</c:v>
                </c:pt>
                <c:pt idx="33">
                  <c:v>18.607906508697226</c:v>
                </c:pt>
                <c:pt idx="34">
                  <c:v>18.607906508697226</c:v>
                </c:pt>
              </c:numCache>
            </c:numRef>
          </c:val>
          <c:extLst>
            <c:ext xmlns:c16="http://schemas.microsoft.com/office/drawing/2014/chart" uri="{C3380CC4-5D6E-409C-BE32-E72D297353CC}">
              <c16:uniqueId val="{00000001-926E-4927-931A-719B808074F6}"/>
            </c:ext>
          </c:extLst>
        </c:ser>
        <c:ser>
          <c:idx val="2"/>
          <c:order val="2"/>
          <c:tx>
            <c:strRef>
              <c:f>'2017'!$AH$1049</c:f>
              <c:strCache>
                <c:ptCount val="1"/>
                <c:pt idx="0">
                  <c:v>WAD - GEN</c:v>
                </c:pt>
              </c:strCache>
            </c:strRef>
          </c:tx>
          <c:spPr>
            <a:solidFill>
              <a:schemeClr val="accent3"/>
            </a:solidFill>
            <a:ln>
              <a:noFill/>
            </a:ln>
            <a:effectLst/>
          </c:spPr>
          <c:invertIfNegative val="0"/>
          <c:cat>
            <c:strRef>
              <c:f>'2017'!$AE$1050:$AE$1084</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'2017'!$AH$1050:$AH$1084</c:f>
              <c:numCache>
                <c:formatCode>#,##0_);\(#,##0\)</c:formatCode>
                <c:ptCount val="35"/>
                <c:pt idx="0">
                  <c:v>-0.72992462767791</c:v>
                </c:pt>
                <c:pt idx="1">
                  <c:v>-0.72992462767791</c:v>
                </c:pt>
                <c:pt idx="3">
                  <c:v>-1.8040539885886531</c:v>
                </c:pt>
                <c:pt idx="4">
                  <c:v>-1.8040539885886531</c:v>
                </c:pt>
                <c:pt idx="6">
                  <c:v>-4.4155504776721671E-2</c:v>
                </c:pt>
                <c:pt idx="7">
                  <c:v>-4.4155504776721671E-2</c:v>
                </c:pt>
                <c:pt idx="9">
                  <c:v>-1.3151325652218018E-3</c:v>
                </c:pt>
                <c:pt idx="10">
                  <c:v>-1.3151325652218018E-3</c:v>
                </c:pt>
                <c:pt idx="12">
                  <c:v>-0.30943546361345459</c:v>
                </c:pt>
                <c:pt idx="13">
                  <c:v>-0.30943546361345459</c:v>
                </c:pt>
                <c:pt idx="15">
                  <c:v>-22.077255714644576</c:v>
                </c:pt>
                <c:pt idx="16">
                  <c:v>-22.077255714644576</c:v>
                </c:pt>
                <c:pt idx="18">
                  <c:v>-16.312897380082664</c:v>
                </c:pt>
                <c:pt idx="19">
                  <c:v>-16.312897380082664</c:v>
                </c:pt>
                <c:pt idx="21">
                  <c:v>-13.366155316767534</c:v>
                </c:pt>
                <c:pt idx="22">
                  <c:v>-13.366155316767534</c:v>
                </c:pt>
                <c:pt idx="24">
                  <c:v>-1.9748487817131366</c:v>
                </c:pt>
                <c:pt idx="25">
                  <c:v>-1.9748487817131366</c:v>
                </c:pt>
                <c:pt idx="27">
                  <c:v>0</c:v>
                </c:pt>
                <c:pt idx="28">
                  <c:v>0</c:v>
                </c:pt>
                <c:pt idx="30">
                  <c:v>0</c:v>
                </c:pt>
                <c:pt idx="31">
                  <c:v>0</c:v>
                </c:pt>
                <c:pt idx="33">
                  <c:v>-1.3183328541726921E-2</c:v>
                </c:pt>
                <c:pt idx="34">
                  <c:v>-1.3183328541726921E-2</c:v>
                </c:pt>
              </c:numCache>
            </c:numRef>
          </c:val>
          <c:extLst>
            <c:ext xmlns:c16="http://schemas.microsoft.com/office/drawing/2014/chart" uri="{C3380CC4-5D6E-409C-BE32-E72D297353CC}">
              <c16:uniqueId val="{00000002-926E-4927-931A-719B808074F6}"/>
            </c:ext>
          </c:extLst>
        </c:ser>
        <c:ser>
          <c:idx val="0"/>
          <c:order val="3"/>
          <c:tx>
            <c:strRef>
              <c:f>'2017'!$AF$1049</c:f>
              <c:strCache>
                <c:ptCount val="1"/>
                <c:pt idx="0">
                  <c:v>West HAV - HSY</c:v>
                </c:pt>
              </c:strCache>
            </c:strRef>
          </c:tx>
          <c:spPr>
            <a:solidFill>
              <a:schemeClr val="accent1"/>
            </a:solidFill>
            <a:ln>
              <a:noFill/>
            </a:ln>
            <a:effectLst/>
          </c:spPr>
          <c:invertIfNegative val="0"/>
          <c:cat>
            <c:strRef>
              <c:f>'2017'!$AE$1050:$AE$1084</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'2017'!$AF$1050:$AF$1084</c:f>
              <c:numCache>
                <c:formatCode>#,##0_);\(#,##0\)</c:formatCode>
                <c:ptCount val="35"/>
                <c:pt idx="0">
                  <c:v>274.3440860215054</c:v>
                </c:pt>
                <c:pt idx="1">
                  <c:v>78.344086021505376</c:v>
                </c:pt>
                <c:pt idx="3">
                  <c:v>139.43154761904762</c:v>
                </c:pt>
                <c:pt idx="4">
                  <c:v>41.43154761904762</c:v>
                </c:pt>
                <c:pt idx="6">
                  <c:v>378.32661290322579</c:v>
                </c:pt>
                <c:pt idx="7">
                  <c:v>84.326612903225808</c:v>
                </c:pt>
                <c:pt idx="9">
                  <c:v>396.30694444444441</c:v>
                </c:pt>
                <c:pt idx="10">
                  <c:v>102.30694444444444</c:v>
                </c:pt>
                <c:pt idx="12">
                  <c:v>402.62768817204301</c:v>
                </c:pt>
                <c:pt idx="13">
                  <c:v>108.62768817204301</c:v>
                </c:pt>
                <c:pt idx="15">
                  <c:v>198.57222222222222</c:v>
                </c:pt>
                <c:pt idx="16">
                  <c:v>51.572222222222223</c:v>
                </c:pt>
                <c:pt idx="18">
                  <c:v>192.33736559139786</c:v>
                </c:pt>
                <c:pt idx="19">
                  <c:v>45.337365591397848</c:v>
                </c:pt>
                <c:pt idx="21">
                  <c:v>190.49731182795699</c:v>
                </c:pt>
                <c:pt idx="22">
                  <c:v>43.497311827956992</c:v>
                </c:pt>
                <c:pt idx="24">
                  <c:v>329.68888888888887</c:v>
                </c:pt>
                <c:pt idx="25">
                  <c:v>84.688888888888883</c:v>
                </c:pt>
                <c:pt idx="27">
                  <c:v>325.38172043010752</c:v>
                </c:pt>
                <c:pt idx="28">
                  <c:v>80.381720430107521</c:v>
                </c:pt>
                <c:pt idx="30">
                  <c:v>326.8458333333333</c:v>
                </c:pt>
                <c:pt idx="31">
                  <c:v>81.845833333333331</c:v>
                </c:pt>
                <c:pt idx="33">
                  <c:v>333.10483870967744</c:v>
                </c:pt>
                <c:pt idx="34">
                  <c:v>88.104838709677423</c:v>
                </c:pt>
              </c:numCache>
            </c:numRef>
          </c:val>
          <c:extLst>
            <c:ext xmlns:c16="http://schemas.microsoft.com/office/drawing/2014/chart" uri="{C3380CC4-5D6E-409C-BE32-E72D297353CC}">
              <c16:uniqueId val="{00000003-926E-4927-931A-719B808074F6}"/>
            </c:ext>
          </c:extLst>
        </c:ser>
        <c:dLbls>
          <c:showLegendKey val="0"/>
          <c:showVal val="0"/>
          <c:showCatName val="0"/>
          <c:showSerName val="0"/>
          <c:showPercent val="0"/>
          <c:showBubbleSize val="0"/>
        </c:dLbls>
        <c:gapWidth val="30"/>
        <c:overlap val="100"/>
        <c:axId val="423796840"/>
        <c:axId val="323163520"/>
      </c:barChart>
      <c:catAx>
        <c:axId val="4237968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3520"/>
        <c:crosses val="autoZero"/>
        <c:auto val="1"/>
        <c:lblAlgn val="ctr"/>
        <c:lblOffset val="100"/>
        <c:noMultiLvlLbl val="0"/>
      </c:catAx>
      <c:valAx>
        <c:axId val="323163520"/>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2379684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Delivery Curve</a:t>
            </a:r>
          </a:p>
        </c:rich>
      </c:tx>
      <c:overlay val="0"/>
    </c:title>
    <c:autoTitleDeleted val="0"/>
    <c:plotArea>
      <c:layout/>
      <c:barChart>
        <c:barDir val="col"/>
        <c:grouping val="clustered"/>
        <c:varyColors val="1"/>
        <c:ser>
          <c:idx val="0"/>
          <c:order val="0"/>
          <c:tx>
            <c:v>Delivery Curve</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'2013'!$AD$12:$AO$12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'2013'!$AD$13:$AO$13</c:f>
              <c:numCache>
                <c:formatCode>0.00%</c:formatCode>
                <c:ptCount val="12"/>
                <c:pt idx="0">
                  <c:v>3.3548595924747564E-2</c:v>
                </c:pt>
                <c:pt idx="1">
                  <c:v>3.5188723187570561E-2</c:v>
                </c:pt>
                <c:pt idx="2">
                  <c:v>6.9734684908723921E-2</c:v>
                </c:pt>
                <c:pt idx="3">
                  <c:v>0.11620429946236983</c:v>
                </c:pt>
                <c:pt idx="4">
                  <c:v>0.12356612219441528</c:v>
                </c:pt>
                <c:pt idx="5">
                  <c:v>0.13875884537145955</c:v>
                </c:pt>
                <c:pt idx="6">
                  <c:v>0.11776350588551082</c:v>
                </c:pt>
                <c:pt idx="7">
                  <c:v>0.11793455806695245</c:v>
                </c:pt>
                <c:pt idx="8">
                  <c:v>7.7726111247075666E-2</c:v>
                </c:pt>
                <c:pt idx="9">
                  <c:v>6.9245212512598645E-2</c:v>
                </c:pt>
                <c:pt idx="10">
                  <c:v>3.9094633961489572E-2</c:v>
                </c:pt>
                <c:pt idx="11">
                  <c:v>6.123470727708611E-2</c:v>
                </c:pt>
              </c:numCache>
            </c:numRef>
          </c:val>
          <c:extLst>
            <c:ext xmlns:c16="http://schemas.microsoft.com/office/drawing/2014/chart" uri="{C3380CC4-5D6E-409C-BE32-E72D297353CC}">
              <c16:uniqueId val="{00000000-0BE2-4D7B-8039-859E2A080BF8}"/>
            </c:ext>
          </c:extLst>
        </c:ser>
        <c:dLbls>
          <c:showLegendKey val="0"/>
          <c:showVal val="0"/>
          <c:showCatName val="0"/>
          <c:showSerName val="0"/>
          <c:showPercent val="0"/>
          <c:showBubbleSize val="0"/>
        </c:dLbls>
        <c:gapWidth val="150"/>
        <c:axId val="427957688"/>
        <c:axId val="427958080"/>
      </c:barChart>
      <c:catAx>
        <c:axId val="427957688"/>
        <c:scaling>
          <c:orientation val="minMax"/>
        </c:scaling>
        <c:delete val="0"/>
        <c:axPos val="b"/>
        <c:numFmt formatCode="General" sourceLinked="0"/>
        <c:majorTickMark val="out"/>
        <c:minorTickMark val="none"/>
        <c:tickLblPos val="nextTo"/>
        <c:crossAx val="427958080"/>
        <c:crosses val="autoZero"/>
        <c:auto val="1"/>
        <c:lblAlgn val="ctr"/>
        <c:lblOffset val="100"/>
        <c:noMultiLvlLbl val="0"/>
      </c:catAx>
      <c:valAx>
        <c:axId val="427958080"/>
        <c:scaling>
          <c:orientation val="minMax"/>
        </c:scaling>
        <c:delete val="0"/>
        <c:axPos val="l"/>
        <c:majorGridlines/>
        <c:numFmt formatCode="0.00%" sourceLinked="1"/>
        <c:majorTickMark val="out"/>
        <c:minorTickMark val="none"/>
        <c:tickLblPos val="nextTo"/>
        <c:crossAx val="427957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36</xdr:col>
      <xdr:colOff>606199</xdr:colOff>
      <xdr:row>1112</xdr:row>
      <xdr:rowOff>46603</xdr:rowOff>
    </xdr:from>
    <xdr:to>
      <xdr:col>51</xdr:col>
      <xdr:colOff>449035</xdr:colOff>
      <xdr:row>1146</xdr:row>
      <xdr:rowOff>51026</xdr:rowOff>
    </xdr:to>
    <xdr:graphicFrame macro="">
      <xdr:nvGraphicFramePr>
        <xdr:cNvPr id="2" name="Chart 1">
          <a:extLst>
            <a:ext uri="{FF2B5EF4-FFF2-40B4-BE49-F238E27FC236}">
              <a16:creationId xmlns:a16="http://schemas.microsoft.com/office/drawing/2014/main" id="{595F9CF7-3163-46EF-A8C4-A222DF405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606199</xdr:colOff>
      <xdr:row>1099</xdr:row>
      <xdr:rowOff>46603</xdr:rowOff>
    </xdr:from>
    <xdr:to>
      <xdr:col>51</xdr:col>
      <xdr:colOff>449035</xdr:colOff>
      <xdr:row>1133</xdr:row>
      <xdr:rowOff>51026</xdr:rowOff>
    </xdr:to>
    <xdr:graphicFrame macro="">
      <xdr:nvGraphicFramePr>
        <xdr:cNvPr id="3" name="Chart 2">
          <a:extLst>
            <a:ext uri="{FF2B5EF4-FFF2-40B4-BE49-F238E27FC236}">
              <a16:creationId xmlns:a16="http://schemas.microsoft.com/office/drawing/2014/main" id="{BD0509E2-DE98-48B6-92B8-F31971C99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36</xdr:col>
      <xdr:colOff>606199</xdr:colOff>
      <xdr:row>1068</xdr:row>
      <xdr:rowOff>46603</xdr:rowOff>
    </xdr:from>
    <xdr:to>
      <xdr:col>51</xdr:col>
      <xdr:colOff>449035</xdr:colOff>
      <xdr:row>1102</xdr:row>
      <xdr:rowOff>51026</xdr:rowOff>
    </xdr:to>
    <xdr:graphicFrame macro="">
      <xdr:nvGraphicFramePr>
        <xdr:cNvPr id="2" name="Chart 1">
          <a:extLst>
            <a:ext uri="{FF2B5EF4-FFF2-40B4-BE49-F238E27FC236}">
              <a16:creationId xmlns:a16="http://schemas.microsoft.com/office/drawing/2014/main" id="{A727CA60-0E0A-4E65-9A5E-8CAD87380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36</xdr:col>
      <xdr:colOff>606199</xdr:colOff>
      <xdr:row>1056</xdr:row>
      <xdr:rowOff>46603</xdr:rowOff>
    </xdr:from>
    <xdr:to>
      <xdr:col>51</xdr:col>
      <xdr:colOff>449035</xdr:colOff>
      <xdr:row>1090</xdr:row>
      <xdr:rowOff>51026</xdr:rowOff>
    </xdr:to>
    <xdr:graphicFrame macro="">
      <xdr:nvGraphicFramePr>
        <xdr:cNvPr id="2" name="Chart 1">
          <a:extLst>
            <a:ext uri="{FF2B5EF4-FFF2-40B4-BE49-F238E27FC236}">
              <a16:creationId xmlns:a16="http://schemas.microsoft.com/office/drawing/2014/main" id="{41384AC6-A9F8-4DA0-8DB9-27A234D0E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36</xdr:col>
      <xdr:colOff>606199</xdr:colOff>
      <xdr:row>1030</xdr:row>
      <xdr:rowOff>46603</xdr:rowOff>
    </xdr:from>
    <xdr:to>
      <xdr:col>51</xdr:col>
      <xdr:colOff>449035</xdr:colOff>
      <xdr:row>1064</xdr:row>
      <xdr:rowOff>51026</xdr:rowOff>
    </xdr:to>
    <xdr:graphicFrame macro="">
      <xdr:nvGraphicFramePr>
        <xdr:cNvPr id="2" name="Chart 1">
          <a:extLst>
            <a:ext uri="{FF2B5EF4-FFF2-40B4-BE49-F238E27FC236}">
              <a16:creationId xmlns:a16="http://schemas.microsoft.com/office/drawing/2014/main" id="{77674DDA-B47A-4670-93B7-FAA93D880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28</xdr:col>
      <xdr:colOff>517072</xdr:colOff>
      <xdr:row>14</xdr:row>
      <xdr:rowOff>125184</xdr:rowOff>
    </xdr:from>
    <xdr:to>
      <xdr:col>41</xdr:col>
      <xdr:colOff>612322</xdr:colOff>
      <xdr:row>33</xdr:row>
      <xdr:rowOff>204106</xdr:rowOff>
    </xdr:to>
    <xdr:graphicFrame macro="">
      <xdr:nvGraphicFramePr>
        <xdr:cNvPr id="2" name="Chart 1">
          <a:extLst>
            <a:ext uri="{FF2B5EF4-FFF2-40B4-BE49-F238E27FC236}">
              <a16:creationId xmlns:a16="http://schemas.microsoft.com/office/drawing/2014/main" id="{A12C27A9-6B40-428C-A1D9-FB6F6E570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838200</xdr:colOff>
      <xdr:row>888</xdr:row>
      <xdr:rowOff>9525</xdr:rowOff>
    </xdr:from>
    <xdr:to>
      <xdr:col>13</xdr:col>
      <xdr:colOff>390525</xdr:colOff>
      <xdr:row>890</xdr:row>
      <xdr:rowOff>190500</xdr:rowOff>
    </xdr:to>
    <xdr:sp macro="" textlink="">
      <xdr:nvSpPr>
        <xdr:cNvPr id="2" name="Line 1">
          <a:extLst>
            <a:ext uri="{FF2B5EF4-FFF2-40B4-BE49-F238E27FC236}">
              <a16:creationId xmlns:a16="http://schemas.microsoft.com/office/drawing/2014/main" id="{02189F51-46A2-4BA9-8D66-FF60383F8AC0}"/>
            </a:ext>
          </a:extLst>
        </xdr:cNvPr>
        <xdr:cNvSpPr>
          <a:spLocks noChangeShapeType="1"/>
        </xdr:cNvSpPr>
      </xdr:nvSpPr>
      <xdr:spPr bwMode="auto">
        <a:xfrm flipV="1">
          <a:off x="12471400" y="174577375"/>
          <a:ext cx="530225" cy="574675"/>
        </a:xfrm>
        <a:prstGeom prst="line">
          <a:avLst/>
        </a:prstGeom>
        <a:noFill/>
        <a:ln w="9525">
          <a:solidFill>
            <a:srgbClr val="000000"/>
          </a:solidFill>
          <a:round/>
          <a:headEnd/>
          <a:tailEnd type="triangle" w="med" len="med"/>
        </a:ln>
      </xdr:spPr>
    </xdr:sp>
    <xdr:clientData/>
  </xdr:twoCellAnchor>
  <xdr:twoCellAnchor>
    <xdr:from>
      <xdr:col>8</xdr:col>
      <xdr:colOff>123825</xdr:colOff>
      <xdr:row>891</xdr:row>
      <xdr:rowOff>104775</xdr:rowOff>
    </xdr:from>
    <xdr:to>
      <xdr:col>12</xdr:col>
      <xdr:colOff>0</xdr:colOff>
      <xdr:row>893</xdr:row>
      <xdr:rowOff>123825</xdr:rowOff>
    </xdr:to>
    <xdr:sp macro="" textlink="">
      <xdr:nvSpPr>
        <xdr:cNvPr id="3" name="Line 2">
          <a:extLst>
            <a:ext uri="{FF2B5EF4-FFF2-40B4-BE49-F238E27FC236}">
              <a16:creationId xmlns:a16="http://schemas.microsoft.com/office/drawing/2014/main" id="{515F63EC-BBD7-4A5D-8730-3B0245A6CAEA}"/>
            </a:ext>
          </a:extLst>
        </xdr:cNvPr>
        <xdr:cNvSpPr>
          <a:spLocks noChangeShapeType="1"/>
        </xdr:cNvSpPr>
      </xdr:nvSpPr>
      <xdr:spPr bwMode="auto">
        <a:xfrm flipV="1">
          <a:off x="8378825" y="175263175"/>
          <a:ext cx="3254375" cy="412750"/>
        </a:xfrm>
        <a:prstGeom prst="line">
          <a:avLst/>
        </a:prstGeom>
        <a:noFill/>
        <a:ln w="9525">
          <a:solidFill>
            <a:srgbClr val="000000"/>
          </a:solidFill>
          <a:round/>
          <a:headEnd/>
          <a:tailEnd type="triangle" w="med" len="me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white/AppData/Roaming/OpenText/OTEdit/EC__capec/c27095/cap_water_forecas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sheetName val="2019"/>
      <sheetName val="2020 T0"/>
      <sheetName val="2021 T0"/>
      <sheetName val="2022 T1"/>
      <sheetName val="2022 T1 1030"/>
      <sheetName val="2023 T1 1030"/>
      <sheetName val="2023 T1 No Mitigation"/>
      <sheetName val="2023 T2a 1030"/>
      <sheetName val="2023 T2a No Mitigation"/>
      <sheetName val="2024 T1 1030"/>
      <sheetName val="Lake Pleasant Forecast"/>
      <sheetName val="12_MTH_FC"/>
      <sheetName val="Log Sheet"/>
      <sheetName val="2022 T1 (2021 FC)"/>
      <sheetName val="2023 T1 (2021 FC)"/>
      <sheetName val="2023 T2a (2021 FC)"/>
      <sheetName val="2021 T0 (2020 FC)"/>
      <sheetName val="2022 T0 (2020 FC)"/>
      <sheetName val="B"/>
      <sheetName val="2016"/>
      <sheetName val="2015"/>
      <sheetName val="2014"/>
      <sheetName val="2013"/>
      <sheetName val="2012"/>
      <sheetName val="2011"/>
      <sheetName val="2010"/>
      <sheetName val="2009"/>
      <sheetName val="2008"/>
      <sheetName val="SYS CAP"/>
      <sheetName val="Delivery Comparisons"/>
    </sheetNames>
    <sheetDataSet>
      <sheetData sheetId="0">
        <row r="1049">
          <cell r="AF1049" t="str">
            <v>West HAV - HSY</v>
          </cell>
        </row>
      </sheetData>
      <sheetData sheetId="1">
        <row r="1075">
          <cell r="AF1075" t="str">
            <v>West HAV - HSY</v>
          </cell>
        </row>
      </sheetData>
      <sheetData sheetId="2">
        <row r="1087">
          <cell r="AF1087" t="str">
            <v>West HAV - HSY</v>
          </cell>
        </row>
      </sheetData>
      <sheetData sheetId="3">
        <row r="1131">
          <cell r="AF1131">
            <v>404.56048387096774</v>
          </cell>
        </row>
      </sheetData>
      <sheetData sheetId="4"/>
      <sheetData sheetId="5"/>
      <sheetData sheetId="6"/>
      <sheetData sheetId="7"/>
      <sheetData sheetId="8"/>
      <sheetData sheetId="9"/>
      <sheetData sheetId="10"/>
      <sheetData sheetId="11"/>
      <sheetData sheetId="12">
        <row r="35">
          <cell r="B35">
            <v>1690.1998116000643</v>
          </cell>
        </row>
        <row r="37">
          <cell r="B37">
            <v>1693.66</v>
          </cell>
        </row>
        <row r="39">
          <cell r="B39">
            <v>1696.7</v>
          </cell>
        </row>
        <row r="41">
          <cell r="B41">
            <v>1696.11085484296</v>
          </cell>
        </row>
        <row r="43">
          <cell r="B43">
            <v>1693.7800000000002</v>
          </cell>
        </row>
        <row r="45">
          <cell r="B45">
            <v>1681.1000000000001</v>
          </cell>
        </row>
        <row r="47">
          <cell r="B47">
            <v>1671.6699725311105</v>
          </cell>
        </row>
        <row r="49">
          <cell r="B49">
            <v>1661.2798188452823</v>
          </cell>
        </row>
        <row r="51">
          <cell r="B51">
            <v>1659.68</v>
          </cell>
        </row>
        <row r="53">
          <cell r="B53">
            <v>1666.2699999999998</v>
          </cell>
        </row>
        <row r="55">
          <cell r="B55">
            <v>1674.31</v>
          </cell>
        </row>
        <row r="57">
          <cell r="B57">
            <v>1677.029882034898</v>
          </cell>
        </row>
        <row r="83">
          <cell r="B83">
            <v>1681.7798369695518</v>
          </cell>
        </row>
        <row r="85">
          <cell r="B85">
            <v>1685.5567424370113</v>
          </cell>
        </row>
        <row r="87">
          <cell r="B87">
            <v>1690.3239980557282</v>
          </cell>
        </row>
        <row r="89">
          <cell r="B89">
            <v>1692.8929955666608</v>
          </cell>
        </row>
        <row r="91">
          <cell r="B91">
            <v>1694.6478915063221</v>
          </cell>
        </row>
        <row r="93">
          <cell r="B93">
            <v>1684.2738566022103</v>
          </cell>
        </row>
        <row r="95">
          <cell r="B95">
            <v>1671.2241809498873</v>
          </cell>
        </row>
        <row r="97">
          <cell r="B97">
            <v>1657.9725808776375</v>
          </cell>
        </row>
        <row r="99">
          <cell r="B99">
            <v>1656.0248483598609</v>
          </cell>
        </row>
        <row r="101">
          <cell r="B101">
            <v>1657.7662158000003</v>
          </cell>
        </row>
        <row r="103">
          <cell r="B103">
            <v>1661.2792156579717</v>
          </cell>
        </row>
        <row r="105">
          <cell r="B105">
            <v>1664.3050707592738</v>
          </cell>
        </row>
      </sheetData>
      <sheetData sheetId="13"/>
      <sheetData sheetId="14"/>
      <sheetData sheetId="15"/>
      <sheetData sheetId="16"/>
      <sheetData sheetId="17"/>
      <sheetData sheetId="18"/>
      <sheetData sheetId="19"/>
      <sheetData sheetId="20"/>
      <sheetData sheetId="21"/>
      <sheetData sheetId="22"/>
      <sheetData sheetId="23"/>
      <sheetData sheetId="24">
        <row r="12">
          <cell r="AD12" t="str">
            <v>JAN</v>
          </cell>
        </row>
      </sheetData>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0C19C-963C-463F-9D61-FE53A5F87E66}">
  <sheetPr codeName="Sheet36">
    <pageSetUpPr fitToPage="1"/>
  </sheetPr>
  <dimension ref="A1:AX1026"/>
  <sheetViews>
    <sheetView topLeftCell="A10" zoomScale="70" zoomScaleNormal="70" workbookViewId="0">
      <pane ySplit="11" topLeftCell="A994" activePane="bottomLeft" state="frozen"/>
      <selection activeCell="C410" sqref="C410"/>
      <selection pane="bottomLeft" activeCell="C420" sqref="C420"/>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21875" style="4" customWidth="1"/>
    <col min="20" max="20" width="11.21875" style="4" bestFit="1" customWidth="1"/>
    <col min="21" max="21" width="14" style="4" customWidth="1"/>
    <col min="22" max="22" width="11.6640625" style="4" customWidth="1"/>
    <col min="23" max="23" width="13.6640625" style="4" customWidth="1"/>
    <col min="24" max="24" width="12.44140625" style="4" customWidth="1"/>
    <col min="25" max="25" width="13.1093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338" t="s">
        <v>791</v>
      </c>
      <c r="R1" s="3">
        <f ca="1">NOW()</f>
        <v>44909.46975358796</v>
      </c>
    </row>
    <row r="2" spans="1:36" ht="19.5" customHeight="1" x14ac:dyDescent="0.35">
      <c r="A2" s="500" t="s">
        <v>1</v>
      </c>
      <c r="B2" s="500"/>
      <c r="C2" s="500"/>
      <c r="D2" s="500"/>
      <c r="E2" s="500"/>
      <c r="F2" s="500"/>
      <c r="G2" s="500"/>
      <c r="H2" s="500"/>
      <c r="I2" s="500"/>
      <c r="J2" s="500"/>
      <c r="K2" s="500"/>
      <c r="L2" s="500"/>
      <c r="M2" s="500"/>
      <c r="N2" s="500"/>
      <c r="O2" s="500"/>
      <c r="P2" s="500"/>
      <c r="Q2" s="500"/>
      <c r="R2" s="500"/>
    </row>
    <row r="3" spans="1:36" ht="19.5" customHeight="1" x14ac:dyDescent="0.35">
      <c r="A3" s="500" t="s">
        <v>2</v>
      </c>
      <c r="B3" s="500"/>
      <c r="C3" s="500"/>
      <c r="D3" s="500"/>
      <c r="E3" s="500"/>
      <c r="F3" s="500"/>
      <c r="G3" s="500"/>
      <c r="H3" s="500"/>
      <c r="I3" s="500"/>
      <c r="J3" s="500"/>
      <c r="K3" s="500"/>
      <c r="L3" s="500"/>
      <c r="M3" s="500"/>
      <c r="N3" s="500"/>
      <c r="O3" s="500"/>
      <c r="P3" s="500"/>
      <c r="Q3" s="500"/>
      <c r="R3" s="500"/>
    </row>
    <row r="4" spans="1:36" ht="19.5" customHeight="1" x14ac:dyDescent="0.35">
      <c r="A4" s="501" t="s">
        <v>3</v>
      </c>
      <c r="B4" s="501"/>
      <c r="C4" s="501"/>
      <c r="D4" s="501"/>
      <c r="E4" s="501"/>
      <c r="F4" s="501"/>
      <c r="G4" s="501"/>
      <c r="H4" s="501"/>
      <c r="I4" s="501"/>
      <c r="J4" s="501"/>
      <c r="K4" s="501"/>
      <c r="L4" s="501"/>
      <c r="M4" s="501"/>
      <c r="N4" s="501"/>
      <c r="O4" s="501"/>
      <c r="P4" s="501"/>
      <c r="Q4" s="501"/>
      <c r="R4" s="501"/>
    </row>
    <row r="5" spans="1:36" ht="19.5" customHeight="1" x14ac:dyDescent="0.35">
      <c r="A5" s="502">
        <v>2021</v>
      </c>
      <c r="B5" s="502"/>
      <c r="C5" s="502"/>
      <c r="D5" s="502"/>
      <c r="E5" s="502"/>
      <c r="F5" s="502"/>
      <c r="G5" s="502"/>
      <c r="H5" s="502"/>
      <c r="I5" s="502"/>
      <c r="J5" s="502"/>
      <c r="K5" s="502"/>
      <c r="L5" s="502"/>
      <c r="M5" s="502"/>
      <c r="N5" s="502"/>
      <c r="O5" s="502"/>
      <c r="P5" s="502"/>
      <c r="Q5" s="502"/>
      <c r="R5" s="502"/>
    </row>
    <row r="6" spans="1:36" ht="19.5" customHeight="1" x14ac:dyDescent="0.35">
      <c r="A6" s="501" t="s">
        <v>1345</v>
      </c>
      <c r="B6" s="501"/>
      <c r="C6" s="501"/>
      <c r="D6" s="501"/>
      <c r="E6" s="501"/>
      <c r="F6" s="501"/>
      <c r="G6" s="501"/>
      <c r="H6" s="501"/>
      <c r="I6" s="501"/>
      <c r="J6" s="501"/>
      <c r="K6" s="501"/>
      <c r="L6" s="501"/>
      <c r="M6" s="501"/>
      <c r="N6" s="501"/>
      <c r="O6" s="501"/>
      <c r="P6" s="501"/>
      <c r="Q6" s="501"/>
      <c r="R6" s="501"/>
    </row>
    <row r="7" spans="1:36" ht="19.5" customHeight="1" x14ac:dyDescent="0.35">
      <c r="A7" s="296"/>
      <c r="B7" s="296"/>
      <c r="C7" s="296"/>
      <c r="D7" s="296"/>
      <c r="E7" s="296"/>
      <c r="F7" s="296"/>
      <c r="G7" s="296"/>
      <c r="H7" s="296"/>
      <c r="I7" s="296"/>
      <c r="J7" s="296"/>
      <c r="K7" s="296"/>
      <c r="L7" s="296"/>
      <c r="M7" s="296"/>
      <c r="N7" s="296"/>
      <c r="O7" s="296"/>
      <c r="P7" s="296"/>
      <c r="Q7" s="296"/>
      <c r="R7" s="296"/>
    </row>
    <row r="8" spans="1:36" ht="15.75" customHeight="1" x14ac:dyDescent="0.3">
      <c r="A8" s="499" t="s">
        <v>1436</v>
      </c>
      <c r="B8" s="499"/>
      <c r="C8" s="499"/>
      <c r="D8" s="499"/>
      <c r="E8" s="499"/>
      <c r="F8" s="499"/>
      <c r="G8" s="499"/>
      <c r="H8" s="499"/>
      <c r="I8" s="499"/>
      <c r="J8" s="499"/>
      <c r="K8" s="499"/>
      <c r="L8" s="499"/>
      <c r="M8" s="499"/>
      <c r="N8" s="499"/>
      <c r="O8" s="499"/>
      <c r="P8" s="499"/>
      <c r="Q8" s="499"/>
      <c r="R8" s="499"/>
    </row>
    <row r="9" spans="1:36" ht="15.75" customHeight="1" x14ac:dyDescent="0.3">
      <c r="A9" s="5"/>
      <c r="B9" s="6"/>
      <c r="C9" s="6"/>
      <c r="D9" s="6"/>
      <c r="E9" s="6"/>
      <c r="F9" s="6"/>
      <c r="G9" s="6"/>
      <c r="H9" s="6"/>
      <c r="I9" s="6"/>
      <c r="J9" s="6"/>
      <c r="K9" s="6"/>
      <c r="L9" s="6"/>
      <c r="M9" s="6"/>
      <c r="N9" s="6"/>
      <c r="O9" s="6"/>
      <c r="P9" s="6"/>
      <c r="Q9" s="6"/>
      <c r="R9" s="6"/>
    </row>
    <row r="10" spans="1:36" ht="15.75" customHeight="1" thickBot="1" x14ac:dyDescent="0.35">
      <c r="A10" s="1" t="s">
        <v>794</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297" t="s">
        <v>7</v>
      </c>
      <c r="B11" s="298" t="s">
        <v>795</v>
      </c>
      <c r="C11" s="48" t="s">
        <v>9</v>
      </c>
      <c r="D11" s="48" t="s">
        <v>10</v>
      </c>
      <c r="E11" s="32" t="s">
        <v>11</v>
      </c>
      <c r="F11" s="48" t="s">
        <v>12</v>
      </c>
      <c r="G11" s="48" t="s">
        <v>13</v>
      </c>
      <c r="H11" s="48" t="s">
        <v>14</v>
      </c>
      <c r="I11" s="32" t="s">
        <v>15</v>
      </c>
      <c r="J11" s="48" t="s">
        <v>16</v>
      </c>
      <c r="K11" s="48" t="s">
        <v>17</v>
      </c>
      <c r="L11" s="48" t="s">
        <v>18</v>
      </c>
      <c r="M11" s="32" t="s">
        <v>19</v>
      </c>
      <c r="N11" s="48" t="s">
        <v>20</v>
      </c>
      <c r="O11" s="48" t="s">
        <v>21</v>
      </c>
      <c r="P11" s="48" t="s">
        <v>22</v>
      </c>
      <c r="Q11" s="32" t="s">
        <v>23</v>
      </c>
      <c r="R11" s="49" t="s">
        <v>24</v>
      </c>
    </row>
    <row r="12" spans="1:36" ht="16.5" customHeight="1" thickBot="1" x14ac:dyDescent="0.35">
      <c r="A12" s="67"/>
      <c r="B12" s="51"/>
      <c r="C12" s="51"/>
      <c r="D12" s="51"/>
      <c r="E12" s="52"/>
      <c r="F12" s="51"/>
      <c r="G12" s="51"/>
      <c r="H12" s="51"/>
      <c r="I12" s="52"/>
      <c r="J12" s="51"/>
      <c r="K12" s="51"/>
      <c r="L12" s="51"/>
      <c r="M12" s="52"/>
      <c r="N12" s="51"/>
      <c r="O12" s="51"/>
      <c r="P12" s="51"/>
      <c r="Q12" s="52"/>
      <c r="R12" s="52"/>
    </row>
    <row r="13" spans="1:36" ht="15.75" customHeight="1" x14ac:dyDescent="0.3">
      <c r="A13" s="15" t="s">
        <v>25</v>
      </c>
      <c r="B13" s="1">
        <f>+B940</f>
        <v>48857</v>
      </c>
      <c r="C13" s="1">
        <f>+C940</f>
        <v>72561</v>
      </c>
      <c r="D13" s="1">
        <f>+D940</f>
        <v>106302</v>
      </c>
      <c r="E13" s="16">
        <f>SUM(B13:D13)</f>
        <v>227720</v>
      </c>
      <c r="F13" s="1">
        <f>+F940</f>
        <v>152003</v>
      </c>
      <c r="G13" s="1">
        <f>+G940</f>
        <v>173515</v>
      </c>
      <c r="H13" s="1">
        <f>+H940</f>
        <v>194773</v>
      </c>
      <c r="I13" s="16">
        <f t="shared" ref="I13:I19" si="0">SUM(F13:H13)</f>
        <v>520291</v>
      </c>
      <c r="J13" s="1">
        <f>+J940</f>
        <v>138016</v>
      </c>
      <c r="K13" s="1">
        <f>+K940</f>
        <v>121001</v>
      </c>
      <c r="L13" s="1">
        <f>+L940</f>
        <v>109841</v>
      </c>
      <c r="M13" s="16">
        <f t="shared" ref="M13:M20" si="1">SUM(J13:L13)</f>
        <v>368858</v>
      </c>
      <c r="N13" s="1">
        <f>+N940</f>
        <v>80399</v>
      </c>
      <c r="O13" s="1">
        <f>+O940</f>
        <v>54679</v>
      </c>
      <c r="P13" s="1">
        <f>+P940</f>
        <v>71505</v>
      </c>
      <c r="Q13" s="17">
        <f t="shared" ref="Q13:Q19" si="2">SUM(N13:P13)</f>
        <v>206583</v>
      </c>
      <c r="R13" s="16">
        <f t="shared" ref="R13:R20" si="3">+E13+I13+M13+Q13</f>
        <v>1323452</v>
      </c>
      <c r="V13" s="339"/>
      <c r="W13" s="339"/>
      <c r="X13" s="339"/>
      <c r="Z13" s="339"/>
      <c r="AA13" s="339"/>
      <c r="AB13" s="339"/>
      <c r="AD13" s="339"/>
      <c r="AE13" s="339"/>
      <c r="AF13" s="339"/>
      <c r="AH13" s="339"/>
      <c r="AI13" s="339"/>
      <c r="AJ13" s="339"/>
    </row>
    <row r="14" spans="1:36" ht="15.75" customHeight="1" x14ac:dyDescent="0.3">
      <c r="A14" s="15" t="s">
        <v>27</v>
      </c>
      <c r="B14" s="1">
        <f>B25+B60+B131+B321+B515+B566+B611+B677+B687+B723+B775+B785+B819+B872</f>
        <v>739</v>
      </c>
      <c r="C14" s="1">
        <f>C25+C60+C131+C321+C515+C566+C611+C677+C687+C723+C775+C785+C819+C872</f>
        <v>1283</v>
      </c>
      <c r="D14" s="1">
        <f>D25+D60+D131+D321+D515+D566+D611+D677+D687+D723+D775+D785+D819+D872</f>
        <v>2185</v>
      </c>
      <c r="E14" s="16">
        <f t="shared" ref="E14:E19" si="4">SUM(B14:D14)</f>
        <v>4207</v>
      </c>
      <c r="F14" s="1">
        <f>F25+F60+F131+F321+F515+F566+F611+F677+F687+F723+F775+F785+F819+F872</f>
        <v>2959</v>
      </c>
      <c r="G14" s="1">
        <f>G25+G60+G131+G321+G515+G566+G611+G677+G687+G723+G775+G785+G819+G872</f>
        <v>3425</v>
      </c>
      <c r="H14" s="1">
        <f>H25+H60+H131+H321+H515+H566+H611+H677+H687+H723+H775+H785+H819+H872</f>
        <v>3464</v>
      </c>
      <c r="I14" s="16">
        <f t="shared" si="0"/>
        <v>9848</v>
      </c>
      <c r="J14" s="1">
        <f>J25+J60+J131+J321+J515+J566+J611+J677+J687+J723+J775+J785+J819+J872</f>
        <v>3382</v>
      </c>
      <c r="K14" s="1">
        <f>K25+K60+K131+K321+K515+K566+K611+K677+K687+K723+K775+K785+K819+K872</f>
        <v>2663</v>
      </c>
      <c r="L14" s="1">
        <f>L25+L60+L131+L321+L515+L566+L611+L677+L687+L723+L775+L785+L819+L872</f>
        <v>2559</v>
      </c>
      <c r="M14" s="16">
        <f t="shared" si="1"/>
        <v>8604</v>
      </c>
      <c r="N14" s="1">
        <f>N25+N60+N131+N321+N515+N566+N611+N677+N687+N723+N775+N785+N819+N872</f>
        <v>2343</v>
      </c>
      <c r="O14" s="1">
        <f>O25+O60+O131+O321+O515+O566+O611+O677+O687+O723+O775+O785+O819+O872</f>
        <v>1892</v>
      </c>
      <c r="P14" s="1">
        <f>P25+P60+P131+P321+P515+P566+P611+P677+P687+P723+P775+P785+P819+P872</f>
        <v>1423</v>
      </c>
      <c r="Q14" s="17">
        <f t="shared" si="2"/>
        <v>5658</v>
      </c>
      <c r="R14" s="16">
        <f t="shared" si="3"/>
        <v>28317</v>
      </c>
    </row>
    <row r="15" spans="1:36" ht="15.75" customHeight="1" x14ac:dyDescent="0.3">
      <c r="A15" s="15" t="s">
        <v>28</v>
      </c>
      <c r="B15" s="1">
        <f>B316</f>
        <v>0</v>
      </c>
      <c r="C15" s="1">
        <f>C316</f>
        <v>1500</v>
      </c>
      <c r="D15" s="1">
        <f>D316</f>
        <v>3973</v>
      </c>
      <c r="E15" s="16">
        <f t="shared" si="4"/>
        <v>5473</v>
      </c>
      <c r="F15" s="1">
        <f>F316</f>
        <v>2121</v>
      </c>
      <c r="G15" s="1">
        <f>G316</f>
        <v>2837</v>
      </c>
      <c r="H15" s="1">
        <f>H316</f>
        <v>3311</v>
      </c>
      <c r="I15" s="16">
        <f t="shared" si="0"/>
        <v>8269</v>
      </c>
      <c r="J15" s="1">
        <f>J316</f>
        <v>1027</v>
      </c>
      <c r="K15" s="1">
        <f>K316</f>
        <v>1135</v>
      </c>
      <c r="L15" s="1">
        <f>L316</f>
        <v>2874</v>
      </c>
      <c r="M15" s="16">
        <f t="shared" si="1"/>
        <v>5036</v>
      </c>
      <c r="N15" s="1">
        <f>N316</f>
        <v>3089</v>
      </c>
      <c r="O15" s="1">
        <f>O316</f>
        <v>4475</v>
      </c>
      <c r="P15" s="1">
        <f>P316</f>
        <v>2020</v>
      </c>
      <c r="Q15" s="17">
        <f t="shared" si="2"/>
        <v>9584</v>
      </c>
      <c r="R15" s="16">
        <f t="shared" si="3"/>
        <v>28362</v>
      </c>
    </row>
    <row r="16" spans="1:36" ht="15.75" customHeight="1" x14ac:dyDescent="0.3">
      <c r="A16" s="18" t="s">
        <v>29</v>
      </c>
      <c r="B16" s="1">
        <f>+B317</f>
        <v>-2</v>
      </c>
      <c r="C16" s="1">
        <f>+C317</f>
        <v>0</v>
      </c>
      <c r="D16" s="1">
        <f>+D317</f>
        <v>3015</v>
      </c>
      <c r="E16" s="16">
        <f t="shared" si="4"/>
        <v>3013</v>
      </c>
      <c r="F16" s="1">
        <f>+F317</f>
        <v>4981</v>
      </c>
      <c r="G16" s="1">
        <f>+G317</f>
        <v>4060</v>
      </c>
      <c r="H16" s="1">
        <f>+H317</f>
        <v>-8114</v>
      </c>
      <c r="I16" s="16">
        <f t="shared" si="0"/>
        <v>927</v>
      </c>
      <c r="J16" s="1">
        <f>+J317</f>
        <v>-6021</v>
      </c>
      <c r="K16" s="1">
        <f>+K317</f>
        <v>2362</v>
      </c>
      <c r="L16" s="1">
        <f>+L317</f>
        <v>1</v>
      </c>
      <c r="M16" s="16">
        <f t="shared" si="1"/>
        <v>-3658</v>
      </c>
      <c r="N16" s="1">
        <f>+N317</f>
        <v>-161</v>
      </c>
      <c r="O16" s="1">
        <f>+O317</f>
        <v>-4569</v>
      </c>
      <c r="P16" s="1">
        <f>+P317</f>
        <v>-6162</v>
      </c>
      <c r="Q16" s="17">
        <f t="shared" si="2"/>
        <v>-10892</v>
      </c>
      <c r="R16" s="16">
        <f t="shared" si="3"/>
        <v>-10610</v>
      </c>
    </row>
    <row r="17" spans="1:20" ht="15.75" customHeight="1" x14ac:dyDescent="0.3">
      <c r="A17" s="19" t="s">
        <v>31</v>
      </c>
      <c r="B17" s="1">
        <f>B320</f>
        <v>71569</v>
      </c>
      <c r="C17" s="1">
        <f>C320</f>
        <v>35134</v>
      </c>
      <c r="D17" s="1">
        <f>D320</f>
        <v>33356</v>
      </c>
      <c r="E17" s="16">
        <f t="shared" si="4"/>
        <v>140059</v>
      </c>
      <c r="F17" s="1">
        <f>F320</f>
        <v>2171</v>
      </c>
      <c r="G17" s="1">
        <f>G320</f>
        <v>262</v>
      </c>
      <c r="H17" s="1">
        <f>H320</f>
        <v>0</v>
      </c>
      <c r="I17" s="16">
        <f t="shared" si="0"/>
        <v>2433</v>
      </c>
      <c r="J17" s="1">
        <f>J320</f>
        <v>998</v>
      </c>
      <c r="K17" s="1">
        <f>K320</f>
        <v>0</v>
      </c>
      <c r="L17" s="1">
        <f>L320</f>
        <v>608</v>
      </c>
      <c r="M17" s="16">
        <f t="shared" si="1"/>
        <v>1606</v>
      </c>
      <c r="N17" s="1">
        <f>N320</f>
        <v>53433</v>
      </c>
      <c r="O17" s="1">
        <f>O320</f>
        <v>66963</v>
      </c>
      <c r="P17" s="1">
        <f>P320</f>
        <v>17046</v>
      </c>
      <c r="Q17" s="17">
        <f t="shared" si="2"/>
        <v>137442</v>
      </c>
      <c r="R17" s="16">
        <f t="shared" si="3"/>
        <v>281540</v>
      </c>
    </row>
    <row r="18" spans="1:20" ht="15.75" customHeight="1" x14ac:dyDescent="0.3">
      <c r="A18" s="19" t="s">
        <v>32</v>
      </c>
      <c r="B18" s="1">
        <f>B332</f>
        <v>0</v>
      </c>
      <c r="C18" s="1">
        <f>C332</f>
        <v>0</v>
      </c>
      <c r="D18" s="1">
        <f>D332</f>
        <v>-437</v>
      </c>
      <c r="E18" s="16">
        <f t="shared" si="4"/>
        <v>-437</v>
      </c>
      <c r="F18" s="1">
        <f>F332</f>
        <v>-1292</v>
      </c>
      <c r="G18" s="1">
        <f>G332</f>
        <v>-16465</v>
      </c>
      <c r="H18" s="1">
        <f>H332</f>
        <v>-103469</v>
      </c>
      <c r="I18" s="16">
        <f t="shared" si="0"/>
        <v>-121226</v>
      </c>
      <c r="J18" s="1">
        <f>J332</f>
        <v>-80046</v>
      </c>
      <c r="K18" s="1">
        <f>K332</f>
        <v>-76446</v>
      </c>
      <c r="L18" s="1">
        <f>L332</f>
        <v>-8333</v>
      </c>
      <c r="M18" s="16">
        <f t="shared" si="1"/>
        <v>-164825</v>
      </c>
      <c r="N18" s="1">
        <f>N332</f>
        <v>0</v>
      </c>
      <c r="O18" s="1">
        <f>O332</f>
        <v>0</v>
      </c>
      <c r="P18" s="1">
        <f>P332</f>
        <v>0</v>
      </c>
      <c r="Q18" s="17">
        <f t="shared" si="2"/>
        <v>0</v>
      </c>
      <c r="R18" s="16">
        <f t="shared" si="3"/>
        <v>-286488</v>
      </c>
    </row>
    <row r="19" spans="1:20" ht="16.5" customHeight="1" thickBot="1" x14ac:dyDescent="0.35">
      <c r="A19" s="20" t="s">
        <v>33</v>
      </c>
      <c r="B19" s="21">
        <f>(B29)</f>
        <v>121163</v>
      </c>
      <c r="C19" s="21">
        <f>(C29)</f>
        <v>110478</v>
      </c>
      <c r="D19" s="21">
        <f>(D29)</f>
        <v>148394</v>
      </c>
      <c r="E19" s="22">
        <f t="shared" si="4"/>
        <v>380035</v>
      </c>
      <c r="F19" s="21">
        <f>(F29)</f>
        <v>162943</v>
      </c>
      <c r="G19" s="21">
        <f>(G29)</f>
        <v>167634</v>
      </c>
      <c r="H19" s="21">
        <f>(H29)</f>
        <v>89965</v>
      </c>
      <c r="I19" s="22">
        <f t="shared" si="0"/>
        <v>420542</v>
      </c>
      <c r="J19" s="21">
        <f>(J29)</f>
        <v>57356</v>
      </c>
      <c r="K19" s="21">
        <f>(K29)</f>
        <v>50715</v>
      </c>
      <c r="L19" s="21">
        <f>(L29)</f>
        <v>107550</v>
      </c>
      <c r="M19" s="22">
        <f t="shared" si="1"/>
        <v>215621</v>
      </c>
      <c r="N19" s="21">
        <f>(N29)</f>
        <v>139103</v>
      </c>
      <c r="O19" s="21">
        <f>(O29)</f>
        <v>123440</v>
      </c>
      <c r="P19" s="21">
        <f>(P29)</f>
        <v>85832</v>
      </c>
      <c r="Q19" s="23">
        <f t="shared" si="2"/>
        <v>348375</v>
      </c>
      <c r="R19" s="22">
        <f t="shared" si="3"/>
        <v>1364573</v>
      </c>
    </row>
    <row r="20" spans="1:20" ht="16.5" customHeight="1" thickBot="1" x14ac:dyDescent="0.35">
      <c r="A20" s="20" t="s">
        <v>36</v>
      </c>
      <c r="B20" s="21">
        <v>123894</v>
      </c>
      <c r="C20" s="21">
        <v>111176</v>
      </c>
      <c r="D20" s="21">
        <v>148654</v>
      </c>
      <c r="E20" s="22">
        <f>SUM(B20:D20)</f>
        <v>383724</v>
      </c>
      <c r="F20" s="21">
        <v>163175</v>
      </c>
      <c r="G20" s="21">
        <v>167846</v>
      </c>
      <c r="H20" s="21">
        <v>86402</v>
      </c>
      <c r="I20" s="22">
        <f>SUM(F20:H20)</f>
        <v>417423</v>
      </c>
      <c r="J20" s="21">
        <v>51780</v>
      </c>
      <c r="K20" s="21">
        <v>48306</v>
      </c>
      <c r="L20" s="21">
        <v>106368</v>
      </c>
      <c r="M20" s="22">
        <f t="shared" si="1"/>
        <v>206454</v>
      </c>
      <c r="N20" s="21">
        <v>138794</v>
      </c>
      <c r="O20" s="21">
        <v>124347</v>
      </c>
      <c r="P20" s="21">
        <f>+P19</f>
        <v>85832</v>
      </c>
      <c r="Q20" s="23">
        <f>SUM(N20:P20)</f>
        <v>348973</v>
      </c>
      <c r="R20" s="22">
        <f t="shared" si="3"/>
        <v>1356574</v>
      </c>
    </row>
    <row r="21" spans="1:20" ht="15.75" customHeight="1" x14ac:dyDescent="0.3">
      <c r="A21" s="1"/>
      <c r="B21" s="1"/>
      <c r="C21" s="1"/>
      <c r="D21" s="1"/>
      <c r="E21" s="1"/>
      <c r="F21" s="1"/>
      <c r="G21" s="1"/>
      <c r="H21" s="1"/>
      <c r="I21" s="1"/>
      <c r="J21" s="1"/>
      <c r="K21" s="1"/>
      <c r="L21" s="1"/>
      <c r="M21" s="1"/>
      <c r="N21" s="1"/>
      <c r="O21" s="1"/>
      <c r="P21" s="1"/>
      <c r="Q21" s="1"/>
      <c r="R21" s="2"/>
    </row>
    <row r="22" spans="1:20" ht="15.75" customHeight="1" thickBot="1" x14ac:dyDescent="0.35">
      <c r="A22" s="1"/>
      <c r="B22" s="1"/>
      <c r="C22" s="1"/>
      <c r="D22" s="1"/>
      <c r="E22" s="1"/>
      <c r="F22" s="27" t="s">
        <v>7</v>
      </c>
      <c r="G22" s="27" t="s">
        <v>7</v>
      </c>
      <c r="H22" s="1"/>
      <c r="I22" s="1"/>
      <c r="J22" s="1"/>
      <c r="K22" s="1"/>
      <c r="L22" s="1"/>
      <c r="M22" s="1"/>
      <c r="N22" s="27" t="s">
        <v>7</v>
      </c>
      <c r="O22" s="27" t="s">
        <v>7</v>
      </c>
      <c r="P22" s="27" t="s">
        <v>7</v>
      </c>
      <c r="Q22" s="27"/>
      <c r="R22" s="28" t="s">
        <v>7</v>
      </c>
    </row>
    <row r="23" spans="1:20" ht="16.5" customHeight="1" thickBot="1" x14ac:dyDescent="0.35">
      <c r="A23" s="29" t="s">
        <v>39</v>
      </c>
      <c r="B23" s="30" t="s">
        <v>8</v>
      </c>
      <c r="C23" s="31" t="s">
        <v>9</v>
      </c>
      <c r="D23" s="31" t="s">
        <v>10</v>
      </c>
      <c r="E23" s="32" t="s">
        <v>11</v>
      </c>
      <c r="F23" s="31" t="s">
        <v>12</v>
      </c>
      <c r="G23" s="31" t="s">
        <v>13</v>
      </c>
      <c r="H23" s="31" t="s">
        <v>14</v>
      </c>
      <c r="I23" s="33" t="s">
        <v>15</v>
      </c>
      <c r="J23" s="31" t="s">
        <v>16</v>
      </c>
      <c r="K23" s="31" t="s">
        <v>17</v>
      </c>
      <c r="L23" s="31" t="s">
        <v>18</v>
      </c>
      <c r="M23" s="33" t="s">
        <v>19</v>
      </c>
      <c r="N23" s="31" t="s">
        <v>20</v>
      </c>
      <c r="O23" s="31" t="s">
        <v>21</v>
      </c>
      <c r="P23" s="31" t="s">
        <v>22</v>
      </c>
      <c r="Q23" s="33" t="s">
        <v>23</v>
      </c>
      <c r="R23" s="34" t="s">
        <v>24</v>
      </c>
    </row>
    <row r="24" spans="1:20" ht="16.5" customHeight="1" thickBot="1" x14ac:dyDescent="0.35">
      <c r="A24" s="35"/>
      <c r="B24" s="36"/>
      <c r="C24" s="36"/>
      <c r="D24" s="36"/>
      <c r="E24" s="37"/>
      <c r="F24" s="36"/>
      <c r="G24" s="36"/>
      <c r="H24" s="36"/>
      <c r="I24" s="37"/>
      <c r="J24" s="36"/>
      <c r="K24" s="36"/>
      <c r="L24" s="36"/>
      <c r="M24" s="37"/>
      <c r="N24" s="36"/>
      <c r="O24" s="36"/>
      <c r="P24" s="36"/>
      <c r="Q24" s="37"/>
      <c r="R24" s="38"/>
    </row>
    <row r="25" spans="1:20" ht="16.5" customHeight="1" thickBot="1" x14ac:dyDescent="0.35">
      <c r="A25" s="39" t="s">
        <v>40</v>
      </c>
      <c r="B25" s="21">
        <v>97</v>
      </c>
      <c r="C25" s="21">
        <v>148</v>
      </c>
      <c r="D25" s="21">
        <v>274</v>
      </c>
      <c r="E25" s="40">
        <f>SUM(B25:D25)</f>
        <v>519</v>
      </c>
      <c r="F25" s="21">
        <v>367</v>
      </c>
      <c r="G25" s="21">
        <v>425</v>
      </c>
      <c r="H25" s="21">
        <v>417</v>
      </c>
      <c r="I25" s="40">
        <f>SUM(F25:H25)</f>
        <v>1209</v>
      </c>
      <c r="J25" s="21">
        <v>416</v>
      </c>
      <c r="K25" s="21">
        <v>334</v>
      </c>
      <c r="L25" s="21">
        <v>316</v>
      </c>
      <c r="M25" s="40">
        <f>SUM(J25:L25)</f>
        <v>1066</v>
      </c>
      <c r="N25" s="21">
        <v>285</v>
      </c>
      <c r="O25" s="21">
        <v>235</v>
      </c>
      <c r="P25" s="21">
        <v>186</v>
      </c>
      <c r="Q25" s="40">
        <f>SUM(N25:P25)</f>
        <v>706</v>
      </c>
      <c r="R25" s="22">
        <f>+E25+I25+M25+Q25</f>
        <v>3500</v>
      </c>
    </row>
    <row r="26" spans="1:20" ht="17.25" customHeight="1" thickBot="1" x14ac:dyDescent="0.35">
      <c r="A26" s="41"/>
      <c r="B26" s="36"/>
      <c r="C26" s="36"/>
      <c r="D26" s="36"/>
      <c r="E26" s="42"/>
      <c r="F26" s="36"/>
      <c r="G26" s="36"/>
      <c r="H26" s="36"/>
      <c r="I26" s="42"/>
      <c r="J26" s="36"/>
      <c r="K26" s="36"/>
      <c r="L26" s="36"/>
      <c r="M26" s="42"/>
      <c r="N26" s="36"/>
      <c r="O26" s="36"/>
      <c r="P26" s="36"/>
      <c r="Q26" s="42"/>
      <c r="R26" s="43"/>
    </row>
    <row r="27" spans="1:20" ht="15.75" customHeight="1" x14ac:dyDescent="0.3">
      <c r="A27" s="15" t="s">
        <v>41</v>
      </c>
      <c r="B27" s="1">
        <f>B25</f>
        <v>97</v>
      </c>
      <c r="C27" s="1">
        <f>C25</f>
        <v>148</v>
      </c>
      <c r="D27" s="1">
        <f>D25</f>
        <v>274</v>
      </c>
      <c r="E27" s="40">
        <f>SUM(B27:D27)</f>
        <v>519</v>
      </c>
      <c r="F27" s="1">
        <f>F25</f>
        <v>367</v>
      </c>
      <c r="G27" s="1">
        <f>G25</f>
        <v>425</v>
      </c>
      <c r="H27" s="1">
        <f>H25</f>
        <v>417</v>
      </c>
      <c r="I27" s="40">
        <f>SUM(F27:H27)</f>
        <v>1209</v>
      </c>
      <c r="J27" s="1">
        <f>J25</f>
        <v>416</v>
      </c>
      <c r="K27" s="1">
        <f>K25</f>
        <v>334</v>
      </c>
      <c r="L27" s="1">
        <f>L25</f>
        <v>316</v>
      </c>
      <c r="M27" s="40">
        <f>SUM(J27:L27)</f>
        <v>1066</v>
      </c>
      <c r="N27" s="1">
        <f>N25</f>
        <v>285</v>
      </c>
      <c r="O27" s="1">
        <f>O25</f>
        <v>235</v>
      </c>
      <c r="P27" s="1">
        <f>P25</f>
        <v>186</v>
      </c>
      <c r="Q27" s="44">
        <f>SUM(N27:P27)</f>
        <v>706</v>
      </c>
      <c r="R27" s="40">
        <f>+E27+I27+M27+Q27</f>
        <v>3500</v>
      </c>
    </row>
    <row r="28" spans="1:20" ht="15.75" customHeight="1" x14ac:dyDescent="0.3">
      <c r="A28" s="15" t="s">
        <v>42</v>
      </c>
      <c r="B28" s="1">
        <f>(B27/B10)/1.983</f>
        <v>1.5779285214647079</v>
      </c>
      <c r="C28" s="1">
        <f>(C27/C10)/1.983</f>
        <v>2.6655140119587926</v>
      </c>
      <c r="D28" s="1">
        <f>(D27/D10)/1.983</f>
        <v>4.457241390529175</v>
      </c>
      <c r="E28" s="16"/>
      <c r="F28" s="1">
        <f>(F27/F10)/1.983</f>
        <v>6.1691040511010247</v>
      </c>
      <c r="G28" s="1">
        <f>(G27/G10)/1.983</f>
        <v>6.9136043466237203</v>
      </c>
      <c r="H28" s="1">
        <f>(H27/H10)/1.983</f>
        <v>7.0095814422592033</v>
      </c>
      <c r="I28" s="16"/>
      <c r="J28" s="1">
        <f>(J27/J10)/1.983</f>
        <v>6.7671986075187478</v>
      </c>
      <c r="K28" s="1">
        <f>(K27/K10)/1.983</f>
        <v>5.433279651228994</v>
      </c>
      <c r="L28" s="1">
        <f>(L27/L10)/1.983</f>
        <v>5.3118171121196838</v>
      </c>
      <c r="M28" s="16"/>
      <c r="N28" s="1">
        <f>(N27/N10)/1.983</f>
        <v>4.6361817383241419</v>
      </c>
      <c r="O28" s="1">
        <f>(O27/O10)/1.983</f>
        <v>3.9502437384434357</v>
      </c>
      <c r="P28" s="1">
        <f>(P27/P10)/1.983</f>
        <v>3.02571860816944</v>
      </c>
      <c r="Q28" s="17"/>
      <c r="R28" s="16"/>
    </row>
    <row r="29" spans="1:20" ht="15.75" customHeight="1" x14ac:dyDescent="0.3">
      <c r="A29" s="15" t="s">
        <v>43</v>
      </c>
      <c r="B29" s="1">
        <f>B27+B64</f>
        <v>121163</v>
      </c>
      <c r="C29" s="1">
        <f>C27+C64</f>
        <v>110478</v>
      </c>
      <c r="D29" s="1">
        <f>D27+D64</f>
        <v>148394</v>
      </c>
      <c r="E29" s="16">
        <f>SUM(B29:D29)</f>
        <v>380035</v>
      </c>
      <c r="F29" s="1">
        <f>F27+F64</f>
        <v>162943</v>
      </c>
      <c r="G29" s="1">
        <f>G27+G64</f>
        <v>167634</v>
      </c>
      <c r="H29" s="1">
        <f>H27+H64</f>
        <v>89965</v>
      </c>
      <c r="I29" s="16">
        <f>SUM(F29:H29)</f>
        <v>420542</v>
      </c>
      <c r="J29" s="1">
        <f>J27+J64</f>
        <v>57356</v>
      </c>
      <c r="K29" s="1">
        <f>K27+K64</f>
        <v>50715</v>
      </c>
      <c r="L29" s="1">
        <f>L27+L64</f>
        <v>107550</v>
      </c>
      <c r="M29" s="16">
        <f>SUM(J29:L29)</f>
        <v>215621</v>
      </c>
      <c r="N29" s="1">
        <f>N27+N64</f>
        <v>139103</v>
      </c>
      <c r="O29" s="1">
        <f>O27+O64</f>
        <v>123440</v>
      </c>
      <c r="P29" s="1">
        <f>P27+P64</f>
        <v>85832</v>
      </c>
      <c r="Q29" s="17">
        <f>SUM(N29:P29)</f>
        <v>348375</v>
      </c>
      <c r="R29" s="16">
        <f>+E29+I29+M29+Q29</f>
        <v>1364573</v>
      </c>
    </row>
    <row r="30" spans="1:20" s="344" customFormat="1" ht="16.5" customHeight="1" thickBot="1" x14ac:dyDescent="0.35">
      <c r="A30" s="340" t="s">
        <v>44</v>
      </c>
      <c r="B30" s="341">
        <f>(B29/B10)/1.983</f>
        <v>1970.9953963528703</v>
      </c>
      <c r="C30" s="341">
        <f>(C29/C10)/1.983</f>
        <v>1989.7341690079966</v>
      </c>
      <c r="D30" s="341">
        <f>(D29/D10)/1.983</f>
        <v>2413.9703609714834</v>
      </c>
      <c r="E30" s="342"/>
      <c r="F30" s="341">
        <f>(F29/F10)/1.983</f>
        <v>2738.9981509497393</v>
      </c>
      <c r="G30" s="341">
        <f>(G29/G10)/1.983</f>
        <v>2726.9532965692256</v>
      </c>
      <c r="H30" s="341">
        <f>(H29/H10)/1.983</f>
        <v>1512.2709699109093</v>
      </c>
      <c r="I30" s="342"/>
      <c r="J30" s="341">
        <f>(J29/J10)/1.983</f>
        <v>933.02750801164734</v>
      </c>
      <c r="K30" s="341">
        <f>(K29/K10)/1.983</f>
        <v>824.99633985652235</v>
      </c>
      <c r="L30" s="341">
        <f>(L29/L10)/1.983</f>
        <v>1807.8668683812405</v>
      </c>
      <c r="M30" s="342"/>
      <c r="N30" s="341">
        <f>(N29/N10)/1.983</f>
        <v>2262.830836302116</v>
      </c>
      <c r="O30" s="341">
        <f>(O29/O10)/1.983</f>
        <v>2074.9705832913096</v>
      </c>
      <c r="P30" s="341">
        <f>(P29/P10)/1.983</f>
        <v>1396.2552665397818</v>
      </c>
      <c r="Q30" s="343"/>
      <c r="R30" s="342"/>
      <c r="T30" s="345" t="s">
        <v>45</v>
      </c>
    </row>
    <row r="31" spans="1:20" ht="15.75" customHeight="1" x14ac:dyDescent="0.3">
      <c r="A31" s="2"/>
      <c r="B31" s="1"/>
      <c r="C31" s="1"/>
      <c r="D31" s="1"/>
      <c r="E31" s="1"/>
      <c r="F31" s="1"/>
      <c r="G31" s="1"/>
      <c r="H31" s="1"/>
      <c r="I31" s="1"/>
      <c r="J31" s="1"/>
      <c r="K31" s="1"/>
      <c r="L31" s="1"/>
      <c r="M31" s="1"/>
      <c r="N31" s="1"/>
      <c r="O31" s="1"/>
      <c r="P31" s="1"/>
      <c r="Q31" s="1"/>
      <c r="R31" s="2"/>
      <c r="T31" s="45" t="s">
        <v>46</v>
      </c>
    </row>
    <row r="32" spans="1:20" ht="15.75" customHeight="1" thickBot="1" x14ac:dyDescent="0.35">
      <c r="A32" s="2"/>
      <c r="B32" s="1"/>
      <c r="C32" s="1"/>
      <c r="D32" s="1"/>
      <c r="E32" s="1"/>
      <c r="F32" s="1"/>
      <c r="G32" s="1"/>
      <c r="H32" s="1"/>
      <c r="I32" s="1"/>
      <c r="J32" s="1"/>
      <c r="K32" s="1"/>
      <c r="L32" s="1"/>
      <c r="M32" s="1"/>
      <c r="N32" s="1"/>
      <c r="O32" s="1"/>
      <c r="P32" s="1"/>
      <c r="Q32" s="1"/>
      <c r="R32" s="2"/>
    </row>
    <row r="33" spans="1:18" ht="15.75" customHeight="1" thickBot="1" x14ac:dyDescent="0.35">
      <c r="A33" s="46" t="s">
        <v>47</v>
      </c>
      <c r="B33" s="47" t="s">
        <v>8</v>
      </c>
      <c r="C33" s="48" t="s">
        <v>9</v>
      </c>
      <c r="D33" s="48" t="s">
        <v>10</v>
      </c>
      <c r="E33" s="32" t="s">
        <v>11</v>
      </c>
      <c r="F33" s="48" t="s">
        <v>12</v>
      </c>
      <c r="G33" s="48" t="s">
        <v>13</v>
      </c>
      <c r="H33" s="48" t="s">
        <v>14</v>
      </c>
      <c r="I33" s="32" t="s">
        <v>15</v>
      </c>
      <c r="J33" s="48" t="s">
        <v>16</v>
      </c>
      <c r="K33" s="48" t="s">
        <v>17</v>
      </c>
      <c r="L33" s="48" t="s">
        <v>18</v>
      </c>
      <c r="M33" s="32" t="s">
        <v>19</v>
      </c>
      <c r="N33" s="48" t="s">
        <v>20</v>
      </c>
      <c r="O33" s="48" t="s">
        <v>21</v>
      </c>
      <c r="P33" s="48" t="s">
        <v>22</v>
      </c>
      <c r="Q33" s="32" t="s">
        <v>23</v>
      </c>
      <c r="R33" s="49" t="s">
        <v>24</v>
      </c>
    </row>
    <row r="34" spans="1:18" ht="16.5" customHeight="1" thickBot="1" x14ac:dyDescent="0.35">
      <c r="A34" s="42"/>
      <c r="B34" s="50"/>
      <c r="C34" s="51"/>
      <c r="D34" s="51"/>
      <c r="E34" s="52"/>
      <c r="F34" s="51"/>
      <c r="G34" s="51"/>
      <c r="H34" s="51"/>
      <c r="I34" s="52"/>
      <c r="J34" s="51"/>
      <c r="K34" s="51"/>
      <c r="L34" s="51"/>
      <c r="M34" s="52"/>
      <c r="N34" s="51"/>
      <c r="O34" s="51"/>
      <c r="P34" s="51"/>
      <c r="Q34" s="52"/>
      <c r="R34" s="53"/>
    </row>
    <row r="35" spans="1:18" ht="15.75" customHeight="1" x14ac:dyDescent="0.3">
      <c r="A35" s="54" t="s">
        <v>48</v>
      </c>
      <c r="B35" s="28"/>
      <c r="C35" s="28"/>
      <c r="D35" s="28"/>
      <c r="E35" s="55" t="s">
        <v>7</v>
      </c>
      <c r="F35" s="28"/>
      <c r="G35" s="28"/>
      <c r="H35" s="28"/>
      <c r="I35" s="55" t="s">
        <v>7</v>
      </c>
      <c r="J35" s="28"/>
      <c r="K35" s="28"/>
      <c r="L35" s="28"/>
      <c r="M35" s="55" t="s">
        <v>7</v>
      </c>
      <c r="N35" s="28"/>
      <c r="O35" s="28"/>
      <c r="P35" s="28"/>
      <c r="Q35" s="55" t="s">
        <v>7</v>
      </c>
      <c r="R35" s="55" t="s">
        <v>7</v>
      </c>
    </row>
    <row r="36" spans="1:18" ht="15.75" customHeight="1" x14ac:dyDescent="0.3">
      <c r="A36" s="18" t="s">
        <v>49</v>
      </c>
      <c r="B36" s="28" t="s">
        <v>7</v>
      </c>
      <c r="C36" s="56"/>
      <c r="D36" s="56"/>
      <c r="E36" s="55" t="s">
        <v>7</v>
      </c>
      <c r="F36" s="56"/>
      <c r="G36" s="56"/>
      <c r="H36" s="56"/>
      <c r="I36" s="55" t="s">
        <v>7</v>
      </c>
      <c r="J36" s="56"/>
      <c r="K36" s="56"/>
      <c r="L36" s="56"/>
      <c r="M36" s="55" t="s">
        <v>7</v>
      </c>
      <c r="N36" s="56"/>
      <c r="O36" s="56"/>
      <c r="P36" s="56"/>
      <c r="Q36" s="55" t="s">
        <v>7</v>
      </c>
      <c r="R36" s="55" t="s">
        <v>7</v>
      </c>
    </row>
    <row r="37" spans="1:18" ht="15.75" customHeight="1" x14ac:dyDescent="0.3">
      <c r="A37" s="18" t="s">
        <v>50</v>
      </c>
      <c r="B37" s="28"/>
      <c r="C37" s="28"/>
      <c r="D37" s="28"/>
      <c r="E37" s="55" t="s">
        <v>7</v>
      </c>
      <c r="F37" s="28"/>
      <c r="G37" s="28"/>
      <c r="H37" s="28"/>
      <c r="I37" s="55" t="s">
        <v>7</v>
      </c>
      <c r="J37" s="28"/>
      <c r="K37" s="28"/>
      <c r="L37" s="28"/>
      <c r="M37" s="55" t="s">
        <v>7</v>
      </c>
      <c r="N37" s="28"/>
      <c r="O37" s="28"/>
      <c r="P37" s="28"/>
      <c r="Q37" s="55" t="s">
        <v>7</v>
      </c>
      <c r="R37" s="55" t="s">
        <v>7</v>
      </c>
    </row>
    <row r="38" spans="1:18" ht="15.75" customHeight="1" x14ac:dyDescent="0.3">
      <c r="A38" s="61" t="s">
        <v>797</v>
      </c>
      <c r="B38" s="1"/>
      <c r="C38" s="1"/>
      <c r="D38" s="1"/>
      <c r="E38" s="55">
        <f>SUM(B38:D38)</f>
        <v>0</v>
      </c>
      <c r="F38" s="1"/>
      <c r="G38" s="1"/>
      <c r="H38" s="1"/>
      <c r="I38" s="55">
        <f>SUM(F38:H38)</f>
        <v>0</v>
      </c>
      <c r="J38" s="1"/>
      <c r="K38" s="1"/>
      <c r="L38" s="1"/>
      <c r="M38" s="55">
        <f>SUM(J38:L38)</f>
        <v>0</v>
      </c>
      <c r="N38" s="1"/>
      <c r="O38" s="1"/>
      <c r="P38" s="1"/>
      <c r="Q38" s="55">
        <f>SUM(N38:P38)</f>
        <v>0</v>
      </c>
      <c r="R38" s="55">
        <f>+E38+I38+M38+Q38</f>
        <v>0</v>
      </c>
    </row>
    <row r="39" spans="1:18" ht="15.75" customHeight="1" x14ac:dyDescent="0.3">
      <c r="A39" s="18" t="s">
        <v>1186</v>
      </c>
      <c r="B39" s="28"/>
      <c r="C39" s="28"/>
      <c r="D39" s="28"/>
      <c r="E39" s="55" t="s">
        <v>52</v>
      </c>
      <c r="F39" s="28"/>
      <c r="G39" s="28"/>
      <c r="H39" s="28"/>
      <c r="I39" s="55" t="s">
        <v>52</v>
      </c>
      <c r="J39" s="28"/>
      <c r="K39" s="28"/>
      <c r="L39" s="28"/>
      <c r="M39" s="55" t="s">
        <v>52</v>
      </c>
      <c r="N39" s="28"/>
      <c r="O39" s="28"/>
      <c r="P39" s="28"/>
      <c r="Q39" s="55" t="s">
        <v>52</v>
      </c>
      <c r="R39" s="55" t="s">
        <v>52</v>
      </c>
    </row>
    <row r="40" spans="1:18" ht="15.75" customHeight="1" thickBot="1" x14ac:dyDescent="0.35">
      <c r="A40" s="18" t="s">
        <v>53</v>
      </c>
      <c r="B40" s="56"/>
      <c r="C40" s="56"/>
      <c r="D40" s="56"/>
      <c r="E40" s="55" t="s">
        <v>7</v>
      </c>
      <c r="F40" s="56"/>
      <c r="G40" s="56"/>
      <c r="H40" s="56"/>
      <c r="I40" s="55" t="s">
        <v>7</v>
      </c>
      <c r="J40" s="56"/>
      <c r="K40" s="56"/>
      <c r="L40" s="56"/>
      <c r="M40" s="55" t="s">
        <v>7</v>
      </c>
      <c r="N40" s="56"/>
      <c r="O40" s="56"/>
      <c r="P40" s="56"/>
      <c r="Q40" s="55" t="s">
        <v>7</v>
      </c>
      <c r="R40" s="55" t="s">
        <v>7</v>
      </c>
    </row>
    <row r="41" spans="1:18" ht="16.5" customHeight="1" thickBot="1" x14ac:dyDescent="0.35">
      <c r="A41" s="57" t="s">
        <v>54</v>
      </c>
      <c r="B41" s="58">
        <f>SUM(B35:B40)</f>
        <v>0</v>
      </c>
      <c r="C41" s="58">
        <f>SUM(C35:C40)</f>
        <v>0</v>
      </c>
      <c r="D41" s="58">
        <f>SUM(D35:D40)</f>
        <v>0</v>
      </c>
      <c r="E41" s="59">
        <f>SUM(B41:D41)</f>
        <v>0</v>
      </c>
      <c r="F41" s="58">
        <f>SUM(F35:F40)</f>
        <v>0</v>
      </c>
      <c r="G41" s="58">
        <f>SUM(G35:G40)</f>
        <v>0</v>
      </c>
      <c r="H41" s="58">
        <f>SUM(H35:H40)</f>
        <v>0</v>
      </c>
      <c r="I41" s="59">
        <f>SUM(F41:H41)</f>
        <v>0</v>
      </c>
      <c r="J41" s="58">
        <f>SUM(J35:J40)</f>
        <v>0</v>
      </c>
      <c r="K41" s="58">
        <f>SUM(K35:K40)</f>
        <v>0</v>
      </c>
      <c r="L41" s="58">
        <f>SUM(L35:L40)</f>
        <v>0</v>
      </c>
      <c r="M41" s="59">
        <f>SUM(J41:L41)</f>
        <v>0</v>
      </c>
      <c r="N41" s="58">
        <f>SUM(N35:N40)</f>
        <v>0</v>
      </c>
      <c r="O41" s="58">
        <f>SUM(O35:O40)</f>
        <v>0</v>
      </c>
      <c r="P41" s="58">
        <f>SUM(P35:P40)</f>
        <v>0</v>
      </c>
      <c r="Q41" s="59">
        <f>SUM(N41:P41)</f>
        <v>0</v>
      </c>
      <c r="R41" s="59">
        <f>+E41+I41+M41+Q41</f>
        <v>0</v>
      </c>
    </row>
    <row r="42" spans="1:18" ht="15.75" customHeight="1" x14ac:dyDescent="0.3">
      <c r="A42" s="18" t="s">
        <v>55</v>
      </c>
      <c r="B42" s="56"/>
      <c r="C42" s="56"/>
      <c r="D42" s="56"/>
      <c r="E42" s="55" t="s">
        <v>7</v>
      </c>
      <c r="F42" s="56"/>
      <c r="G42" s="56"/>
      <c r="H42" s="56"/>
      <c r="I42" s="55" t="s">
        <v>7</v>
      </c>
      <c r="J42" s="56"/>
      <c r="K42" s="56"/>
      <c r="L42" s="56"/>
      <c r="M42" s="55" t="s">
        <v>7</v>
      </c>
      <c r="N42" s="56"/>
      <c r="O42" s="56"/>
      <c r="P42" s="56"/>
      <c r="Q42" s="55" t="s">
        <v>7</v>
      </c>
      <c r="R42" s="60" t="s">
        <v>7</v>
      </c>
    </row>
    <row r="43" spans="1:18" ht="15.75" customHeight="1" x14ac:dyDescent="0.3">
      <c r="A43" s="18" t="s">
        <v>56</v>
      </c>
      <c r="B43" s="56"/>
      <c r="C43" s="56"/>
      <c r="D43" s="56"/>
      <c r="E43" s="55"/>
      <c r="F43" s="56"/>
      <c r="G43" s="56"/>
      <c r="H43" s="56"/>
      <c r="I43" s="55"/>
      <c r="J43" s="56"/>
      <c r="K43" s="56"/>
      <c r="L43" s="56"/>
      <c r="M43" s="55"/>
      <c r="N43" s="56"/>
      <c r="O43" s="56"/>
      <c r="P43" s="56"/>
      <c r="Q43" s="55"/>
      <c r="R43" s="55"/>
    </row>
    <row r="44" spans="1:18" ht="15.75" customHeight="1" x14ac:dyDescent="0.3">
      <c r="A44" s="18" t="s">
        <v>57</v>
      </c>
      <c r="B44" s="56"/>
      <c r="C44" s="56"/>
      <c r="D44" s="56"/>
      <c r="E44" s="55" t="s">
        <v>7</v>
      </c>
      <c r="F44" s="56"/>
      <c r="G44" s="56"/>
      <c r="H44" s="56"/>
      <c r="I44" s="55" t="s">
        <v>7</v>
      </c>
      <c r="J44" s="56"/>
      <c r="K44" s="56"/>
      <c r="L44" s="56"/>
      <c r="M44" s="55" t="s">
        <v>7</v>
      </c>
      <c r="N44" s="56"/>
      <c r="O44" s="56"/>
      <c r="P44" s="56"/>
      <c r="Q44" s="55" t="s">
        <v>7</v>
      </c>
      <c r="R44" s="55" t="s">
        <v>7</v>
      </c>
    </row>
    <row r="45" spans="1:18" ht="15.75" customHeight="1" thickBot="1" x14ac:dyDescent="0.35">
      <c r="A45" s="18" t="s">
        <v>58</v>
      </c>
      <c r="B45" s="56"/>
      <c r="C45" s="56"/>
      <c r="D45" s="56"/>
      <c r="E45" s="55" t="s">
        <v>7</v>
      </c>
      <c r="F45" s="56"/>
      <c r="G45" s="56"/>
      <c r="H45" s="56"/>
      <c r="I45" s="55" t="s">
        <v>7</v>
      </c>
      <c r="J45" s="56"/>
      <c r="K45" s="56"/>
      <c r="L45" s="56"/>
      <c r="M45" s="55" t="s">
        <v>7</v>
      </c>
      <c r="N45" s="56"/>
      <c r="O45" s="56"/>
      <c r="P45" s="56"/>
      <c r="Q45" s="55" t="s">
        <v>7</v>
      </c>
      <c r="R45" s="55" t="s">
        <v>7</v>
      </c>
    </row>
    <row r="46" spans="1:18" ht="16.5" customHeight="1" thickBot="1" x14ac:dyDescent="0.35">
      <c r="A46" s="57" t="s">
        <v>59</v>
      </c>
      <c r="B46" s="58">
        <f>SUM(B42:B45)</f>
        <v>0</v>
      </c>
      <c r="C46" s="58">
        <f>SUM(C42:C45)</f>
        <v>0</v>
      </c>
      <c r="D46" s="58">
        <f>SUM(D42:D45)</f>
        <v>0</v>
      </c>
      <c r="E46" s="59">
        <f>SUM(B46:D46)</f>
        <v>0</v>
      </c>
      <c r="F46" s="58">
        <f>SUM(F42:F45)</f>
        <v>0</v>
      </c>
      <c r="G46" s="58">
        <f>SUM(G42:G45)</f>
        <v>0</v>
      </c>
      <c r="H46" s="58">
        <f>SUM(H42:H45)</f>
        <v>0</v>
      </c>
      <c r="I46" s="59">
        <f>SUM(F46:H46)</f>
        <v>0</v>
      </c>
      <c r="J46" s="58">
        <f>SUM(J42:J45)</f>
        <v>0</v>
      </c>
      <c r="K46" s="58">
        <f>SUM(K42:K45)</f>
        <v>0</v>
      </c>
      <c r="L46" s="58">
        <f>SUM(L42:L45)</f>
        <v>0</v>
      </c>
      <c r="M46" s="59">
        <f>SUM(J46:L46)</f>
        <v>0</v>
      </c>
      <c r="N46" s="58">
        <f>SUM(N42:N45)</f>
        <v>0</v>
      </c>
      <c r="O46" s="58">
        <f>SUM(O42:O45)</f>
        <v>0</v>
      </c>
      <c r="P46" s="58">
        <f>SUM(P42:P45)</f>
        <v>0</v>
      </c>
      <c r="Q46" s="59">
        <f>SUM(N46:P46)</f>
        <v>0</v>
      </c>
      <c r="R46" s="59">
        <f>+E46+I46+M46+Q46</f>
        <v>0</v>
      </c>
    </row>
    <row r="47" spans="1:18" ht="15.75" customHeight="1" x14ac:dyDescent="0.3">
      <c r="A47" s="18" t="s">
        <v>60</v>
      </c>
      <c r="B47" s="56"/>
      <c r="C47" s="56"/>
      <c r="D47" s="56"/>
      <c r="E47" s="55" t="s">
        <v>7</v>
      </c>
      <c r="F47" s="56"/>
      <c r="G47" s="56"/>
      <c r="H47" s="56"/>
      <c r="I47" s="55" t="s">
        <v>7</v>
      </c>
      <c r="J47" s="56"/>
      <c r="K47" s="56"/>
      <c r="L47" s="56"/>
      <c r="M47" s="55" t="s">
        <v>7</v>
      </c>
      <c r="N47" s="56"/>
      <c r="O47" s="56"/>
      <c r="P47" s="56"/>
      <c r="Q47" s="55" t="s">
        <v>7</v>
      </c>
      <c r="R47" s="55" t="s">
        <v>7</v>
      </c>
    </row>
    <row r="48" spans="1:18" ht="15.75" customHeight="1" x14ac:dyDescent="0.3">
      <c r="A48" s="18" t="s">
        <v>61</v>
      </c>
      <c r="B48" s="56"/>
      <c r="C48" s="56"/>
      <c r="D48" s="56"/>
      <c r="E48" s="55" t="s">
        <v>7</v>
      </c>
      <c r="F48" s="56"/>
      <c r="G48" s="56"/>
      <c r="H48" s="56"/>
      <c r="I48" s="55" t="s">
        <v>7</v>
      </c>
      <c r="J48" s="56"/>
      <c r="K48" s="56"/>
      <c r="L48" s="56"/>
      <c r="M48" s="55" t="s">
        <v>7</v>
      </c>
      <c r="N48" s="56"/>
      <c r="O48" s="56"/>
      <c r="P48" s="56"/>
      <c r="Q48" s="55" t="s">
        <v>7</v>
      </c>
      <c r="R48" s="55" t="s">
        <v>7</v>
      </c>
    </row>
    <row r="49" spans="1:18" ht="15.75" customHeight="1" thickBot="1" x14ac:dyDescent="0.35">
      <c r="A49" s="18" t="s">
        <v>62</v>
      </c>
      <c r="B49" s="56"/>
      <c r="C49" s="56"/>
      <c r="D49" s="56"/>
      <c r="E49" s="55"/>
      <c r="F49" s="56"/>
      <c r="G49" s="56"/>
      <c r="H49" s="56"/>
      <c r="I49" s="55"/>
      <c r="J49" s="56"/>
      <c r="K49" s="56"/>
      <c r="L49" s="56"/>
      <c r="M49" s="55"/>
      <c r="N49" s="56"/>
      <c r="O49" s="56"/>
      <c r="P49" s="56"/>
      <c r="Q49" s="55"/>
      <c r="R49" s="55"/>
    </row>
    <row r="50" spans="1:18" ht="16.5" customHeight="1" thickBot="1" x14ac:dyDescent="0.35">
      <c r="A50" s="57" t="s">
        <v>63</v>
      </c>
      <c r="B50" s="58">
        <f>SUM(B47:B49)</f>
        <v>0</v>
      </c>
      <c r="C50" s="58">
        <f>SUM(C47:C49)</f>
        <v>0</v>
      </c>
      <c r="D50" s="58">
        <f>SUM(D47:D49)</f>
        <v>0</v>
      </c>
      <c r="E50" s="59">
        <f>SUM(B50:D50)</f>
        <v>0</v>
      </c>
      <c r="F50" s="58">
        <f>SUM(F47:F49)</f>
        <v>0</v>
      </c>
      <c r="G50" s="58">
        <f>SUM(G47:G49)</f>
        <v>0</v>
      </c>
      <c r="H50" s="58">
        <f>SUM(H47:H49)</f>
        <v>0</v>
      </c>
      <c r="I50" s="59">
        <f>SUM(F50:H50)</f>
        <v>0</v>
      </c>
      <c r="J50" s="58">
        <f>SUM(J47:J49)</f>
        <v>0</v>
      </c>
      <c r="K50" s="58">
        <f>SUM(K47:K49)</f>
        <v>0</v>
      </c>
      <c r="L50" s="58">
        <f>SUM(L47:L49)</f>
        <v>0</v>
      </c>
      <c r="M50" s="59">
        <f>SUM(J50:L50)</f>
        <v>0</v>
      </c>
      <c r="N50" s="58">
        <f>SUM(N47:N49)</f>
        <v>0</v>
      </c>
      <c r="O50" s="58">
        <f>SUM(O47:O49)</f>
        <v>0</v>
      </c>
      <c r="P50" s="58">
        <f>SUM(P47:P49)</f>
        <v>0</v>
      </c>
      <c r="Q50" s="59">
        <f>SUM(N50:P50)</f>
        <v>0</v>
      </c>
      <c r="R50" s="59">
        <f>+E50+I50+M50+Q50</f>
        <v>0</v>
      </c>
    </row>
    <row r="51" spans="1:18" ht="15.75" customHeight="1" x14ac:dyDescent="0.3">
      <c r="A51" s="18" t="s">
        <v>64</v>
      </c>
      <c r="B51" s="56"/>
      <c r="C51" s="56"/>
      <c r="D51" s="56"/>
      <c r="E51" s="55" t="s">
        <v>7</v>
      </c>
      <c r="F51" s="56"/>
      <c r="G51" s="56"/>
      <c r="H51" s="56"/>
      <c r="I51" s="55" t="s">
        <v>7</v>
      </c>
      <c r="J51" s="56"/>
      <c r="K51" s="56"/>
      <c r="L51" s="56"/>
      <c r="M51" s="55" t="s">
        <v>7</v>
      </c>
      <c r="N51" s="56"/>
      <c r="O51" s="56"/>
      <c r="P51" s="56"/>
      <c r="Q51" s="55" t="s">
        <v>7</v>
      </c>
      <c r="R51" s="55" t="s">
        <v>7</v>
      </c>
    </row>
    <row r="52" spans="1:18" ht="15.75" customHeight="1" x14ac:dyDescent="0.3">
      <c r="A52" s="18" t="s">
        <v>594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67</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61" t="s">
        <v>685</v>
      </c>
      <c r="B54" s="1"/>
      <c r="C54" s="1"/>
      <c r="D54" s="1"/>
      <c r="E54" s="55">
        <f>SUM(B54:D54)</f>
        <v>0</v>
      </c>
      <c r="F54" s="1"/>
      <c r="G54" s="1"/>
      <c r="H54" s="1"/>
      <c r="I54" s="55">
        <f>SUM(F54:H54)</f>
        <v>0</v>
      </c>
      <c r="J54" s="1"/>
      <c r="K54" s="1"/>
      <c r="L54" s="1"/>
      <c r="M54" s="55">
        <f>SUM(J54:L54)</f>
        <v>0</v>
      </c>
      <c r="N54" s="1"/>
      <c r="O54" s="1"/>
      <c r="P54" s="1"/>
      <c r="Q54" s="55">
        <f>SUM(N54:P54)</f>
        <v>0</v>
      </c>
      <c r="R54" s="55">
        <f>+E54+I54+M54+Q54</f>
        <v>0</v>
      </c>
    </row>
    <row r="55" spans="1:18" ht="15.75" customHeight="1" x14ac:dyDescent="0.3">
      <c r="A55" s="18" t="s">
        <v>600</v>
      </c>
      <c r="B55" s="56"/>
      <c r="C55" s="56"/>
      <c r="D55" s="56"/>
      <c r="E55" s="55" t="s">
        <v>7</v>
      </c>
      <c r="F55" s="56"/>
      <c r="G55" s="56"/>
      <c r="H55" s="56"/>
      <c r="I55" s="55" t="s">
        <v>7</v>
      </c>
      <c r="J55" s="56"/>
      <c r="K55" s="56"/>
      <c r="L55" s="56"/>
      <c r="M55" s="55" t="s">
        <v>7</v>
      </c>
      <c r="N55" s="56"/>
      <c r="O55" s="56"/>
      <c r="P55" s="56"/>
      <c r="Q55" s="55" t="s">
        <v>7</v>
      </c>
      <c r="R55" s="55" t="s">
        <v>7</v>
      </c>
    </row>
    <row r="56" spans="1:18" ht="15.75" customHeight="1" thickBot="1" x14ac:dyDescent="0.35">
      <c r="A56" s="18" t="s">
        <v>70</v>
      </c>
      <c r="B56" s="56"/>
      <c r="C56" s="56"/>
      <c r="D56" s="56"/>
      <c r="E56" s="55" t="s">
        <v>7</v>
      </c>
      <c r="F56" s="56"/>
      <c r="G56" s="56"/>
      <c r="H56" s="56"/>
      <c r="I56" s="55" t="s">
        <v>7</v>
      </c>
      <c r="J56" s="56"/>
      <c r="K56" s="56"/>
      <c r="L56" s="56"/>
      <c r="M56" s="55" t="s">
        <v>7</v>
      </c>
      <c r="N56" s="56"/>
      <c r="O56" s="56"/>
      <c r="P56" s="56"/>
      <c r="Q56" s="55" t="s">
        <v>7</v>
      </c>
      <c r="R56" s="55" t="s">
        <v>7</v>
      </c>
    </row>
    <row r="57" spans="1:18" ht="16.5" customHeight="1" thickBot="1" x14ac:dyDescent="0.35">
      <c r="A57" s="57" t="s">
        <v>71</v>
      </c>
      <c r="B57" s="58">
        <f>SUM(B55:B56)</f>
        <v>0</v>
      </c>
      <c r="C57" s="58">
        <f>SUM(C55:C56)</f>
        <v>0</v>
      </c>
      <c r="D57" s="58">
        <f>SUM(D55:D56)</f>
        <v>0</v>
      </c>
      <c r="E57" s="60">
        <f>SUM(B57:D57)</f>
        <v>0</v>
      </c>
      <c r="F57" s="58">
        <f>SUM(F55:F56)</f>
        <v>0</v>
      </c>
      <c r="G57" s="58">
        <f>SUM(G55:G56)</f>
        <v>0</v>
      </c>
      <c r="H57" s="58">
        <f>SUM(H55:H56)</f>
        <v>0</v>
      </c>
      <c r="I57" s="60">
        <f>SUM(F57:H57)</f>
        <v>0</v>
      </c>
      <c r="J57" s="58">
        <f>SUM(J55:J56)</f>
        <v>0</v>
      </c>
      <c r="K57" s="58">
        <f>SUM(K55:K56)</f>
        <v>0</v>
      </c>
      <c r="L57" s="58">
        <f>SUM(L55:L56)</f>
        <v>0</v>
      </c>
      <c r="M57" s="60">
        <f>SUM(J57:L57)</f>
        <v>0</v>
      </c>
      <c r="N57" s="58">
        <f>SUM(N55:N56)</f>
        <v>0</v>
      </c>
      <c r="O57" s="58">
        <f>SUM(O55:O56)</f>
        <v>0</v>
      </c>
      <c r="P57" s="58">
        <f>SUM(P55:P56)</f>
        <v>0</v>
      </c>
      <c r="Q57" s="60">
        <f>SUM(N57:P57)</f>
        <v>0</v>
      </c>
      <c r="R57" s="59">
        <f>+E57+I57+M57+Q57</f>
        <v>0</v>
      </c>
    </row>
    <row r="58" spans="1:18" ht="16.5" customHeight="1" thickBot="1" x14ac:dyDescent="0.35">
      <c r="A58" s="57" t="s">
        <v>72</v>
      </c>
      <c r="B58" s="58">
        <f>SUM(B51:B56)</f>
        <v>0</v>
      </c>
      <c r="C58" s="58">
        <f>SUM(C51:C56)</f>
        <v>0</v>
      </c>
      <c r="D58" s="58">
        <f>SUM(D51:D56)</f>
        <v>0</v>
      </c>
      <c r="E58" s="60">
        <f>SUM(B58:D58)</f>
        <v>0</v>
      </c>
      <c r="F58" s="58">
        <f>SUM(F51:F56)</f>
        <v>0</v>
      </c>
      <c r="G58" s="58">
        <f>SUM(G51:G56)</f>
        <v>0</v>
      </c>
      <c r="H58" s="58">
        <f>SUM(H51:H56)</f>
        <v>0</v>
      </c>
      <c r="I58" s="60">
        <f>SUM(F58:H58)</f>
        <v>0</v>
      </c>
      <c r="J58" s="58">
        <f>SUM(J51:J56)</f>
        <v>0</v>
      </c>
      <c r="K58" s="58">
        <f>SUM(K51:K56)</f>
        <v>0</v>
      </c>
      <c r="L58" s="58">
        <f>SUM(L51:L56)</f>
        <v>0</v>
      </c>
      <c r="M58" s="60">
        <f>SUM(J58:L58)</f>
        <v>0</v>
      </c>
      <c r="N58" s="58">
        <f>SUM(N51:N56)</f>
        <v>0</v>
      </c>
      <c r="O58" s="58">
        <f>SUM(O51:O56)</f>
        <v>0</v>
      </c>
      <c r="P58" s="58">
        <f>SUM(P51:P56)</f>
        <v>0</v>
      </c>
      <c r="Q58" s="60">
        <f>SUM(N58:P58)</f>
        <v>0</v>
      </c>
      <c r="R58" s="59">
        <f>+E58+I58+M58+Q58</f>
        <v>0</v>
      </c>
    </row>
    <row r="59" spans="1:18" ht="16.5" customHeight="1" thickBot="1" x14ac:dyDescent="0.35">
      <c r="A59" s="57" t="s">
        <v>73</v>
      </c>
      <c r="B59" s="58">
        <f>+B41+B46+B50+B58</f>
        <v>0</v>
      </c>
      <c r="C59" s="58">
        <f>+C41+C46+C50+C58</f>
        <v>0</v>
      </c>
      <c r="D59" s="58">
        <f>+D41+D46+D50+D58</f>
        <v>0</v>
      </c>
      <c r="E59" s="59">
        <f>SUM(B59:D59)</f>
        <v>0</v>
      </c>
      <c r="F59" s="58">
        <f>+F41+F46+F50+F58</f>
        <v>0</v>
      </c>
      <c r="G59" s="58">
        <f>+G41+G46+G50+G58</f>
        <v>0</v>
      </c>
      <c r="H59" s="58">
        <f>+H41+H46+H50+H58</f>
        <v>0</v>
      </c>
      <c r="I59" s="59">
        <f>SUM(F59:H59)</f>
        <v>0</v>
      </c>
      <c r="J59" s="58">
        <f>+J41+J46+J50+J58</f>
        <v>0</v>
      </c>
      <c r="K59" s="58">
        <f>+K41+K46+K50+K58</f>
        <v>0</v>
      </c>
      <c r="L59" s="58">
        <f>+L41+L46+L50+L58</f>
        <v>0</v>
      </c>
      <c r="M59" s="59">
        <f>SUM(J59:L59)</f>
        <v>0</v>
      </c>
      <c r="N59" s="58">
        <f>+N41+N46+N50+N58</f>
        <v>0</v>
      </c>
      <c r="O59" s="58">
        <f>+O41+O46+O50+O58</f>
        <v>0</v>
      </c>
      <c r="P59" s="58">
        <f>+P41+P46+P50+P58</f>
        <v>0</v>
      </c>
      <c r="Q59" s="59">
        <f>SUM(N59:P59)</f>
        <v>0</v>
      </c>
      <c r="R59" s="59">
        <f>+E59+I59+M59+Q59</f>
        <v>0</v>
      </c>
    </row>
    <row r="60" spans="1:18" ht="16.5" customHeight="1" thickBot="1" x14ac:dyDescent="0.35">
      <c r="A60" s="62" t="s">
        <v>40</v>
      </c>
      <c r="B60" s="63">
        <v>96</v>
      </c>
      <c r="C60" s="63">
        <v>145</v>
      </c>
      <c r="D60" s="63">
        <v>261</v>
      </c>
      <c r="E60" s="42">
        <f>SUM(B60:D60)</f>
        <v>502</v>
      </c>
      <c r="F60" s="63">
        <v>350</v>
      </c>
      <c r="G60" s="63">
        <v>402</v>
      </c>
      <c r="H60" s="63">
        <v>396</v>
      </c>
      <c r="I60" s="42">
        <f>SUM(F60:H60)</f>
        <v>1148</v>
      </c>
      <c r="J60" s="63">
        <v>394</v>
      </c>
      <c r="K60" s="63">
        <v>318</v>
      </c>
      <c r="L60" s="63">
        <v>301</v>
      </c>
      <c r="M60" s="42">
        <f>SUM(J60:L60)</f>
        <v>1013</v>
      </c>
      <c r="N60" s="63">
        <v>272</v>
      </c>
      <c r="O60" s="63">
        <v>226</v>
      </c>
      <c r="P60" s="63">
        <v>179</v>
      </c>
      <c r="Q60" s="42">
        <f>SUM(N60:P60)</f>
        <v>677</v>
      </c>
      <c r="R60" s="42">
        <f>+E60+I60+M60+Q60</f>
        <v>3340</v>
      </c>
    </row>
    <row r="61" spans="1:18" ht="16.5" customHeight="1" thickBot="1" x14ac:dyDescent="0.35">
      <c r="A61" s="41"/>
      <c r="B61" s="36"/>
      <c r="C61" s="36"/>
      <c r="D61" s="36"/>
      <c r="E61" s="22"/>
      <c r="F61" s="36"/>
      <c r="G61" s="36"/>
      <c r="H61" s="36"/>
      <c r="I61" s="22"/>
      <c r="J61" s="36"/>
      <c r="K61" s="36"/>
      <c r="L61" s="36"/>
      <c r="M61" s="22"/>
      <c r="N61" s="36"/>
      <c r="O61" s="36"/>
      <c r="P61" s="36"/>
      <c r="Q61" s="22"/>
      <c r="R61" s="41"/>
    </row>
    <row r="62" spans="1:18" ht="15.75" customHeight="1" x14ac:dyDescent="0.3">
      <c r="A62" s="15" t="s">
        <v>41</v>
      </c>
      <c r="B62" s="1">
        <f>+B59+B60</f>
        <v>96</v>
      </c>
      <c r="C62" s="1">
        <f>+C59+C60</f>
        <v>145</v>
      </c>
      <c r="D62" s="1">
        <f>+D59+D60</f>
        <v>261</v>
      </c>
      <c r="E62" s="40">
        <f>SUM(B62:D62)</f>
        <v>502</v>
      </c>
      <c r="F62" s="1">
        <f>+F59+F60</f>
        <v>350</v>
      </c>
      <c r="G62" s="1">
        <f>+G59+G60</f>
        <v>402</v>
      </c>
      <c r="H62" s="1">
        <f>+H59+H60</f>
        <v>396</v>
      </c>
      <c r="I62" s="40">
        <f>SUM(F62:H62)</f>
        <v>1148</v>
      </c>
      <c r="J62" s="1">
        <f>+J59+J60</f>
        <v>394</v>
      </c>
      <c r="K62" s="1">
        <f>+K59+K60</f>
        <v>318</v>
      </c>
      <c r="L62" s="1">
        <f>+L59+L60</f>
        <v>301</v>
      </c>
      <c r="M62" s="40">
        <f>SUM(J62:L62)</f>
        <v>1013</v>
      </c>
      <c r="N62" s="1">
        <f>+N59+N60</f>
        <v>272</v>
      </c>
      <c r="O62" s="1">
        <f>+O59+O60</f>
        <v>226</v>
      </c>
      <c r="P62" s="1">
        <f>+P59+P60</f>
        <v>179</v>
      </c>
      <c r="Q62" s="44">
        <f>SUM(N62:P62)</f>
        <v>677</v>
      </c>
      <c r="R62" s="16">
        <f>+E62+I62+M62+Q62</f>
        <v>3340</v>
      </c>
    </row>
    <row r="63" spans="1:18" ht="15.75" customHeight="1" x14ac:dyDescent="0.3">
      <c r="A63" s="15" t="s">
        <v>42</v>
      </c>
      <c r="B63" s="1">
        <f>(B62/B10)/1.983</f>
        <v>1.5616612171197111</v>
      </c>
      <c r="C63" s="1">
        <f>(C62/C10)/1.983</f>
        <v>2.6114833225271954</v>
      </c>
      <c r="D63" s="1">
        <f>(D62/D10)/1.983</f>
        <v>4.2457664340442145</v>
      </c>
      <c r="E63" s="16"/>
      <c r="F63" s="1">
        <f>(F62/F10)/1.983</f>
        <v>5.8833417381072444</v>
      </c>
      <c r="G63" s="1">
        <f>(G62/G10)/1.983</f>
        <v>6.5394563466887892</v>
      </c>
      <c r="H63" s="1">
        <f>(H62/H10)/1.983</f>
        <v>6.6565809379727678</v>
      </c>
      <c r="I63" s="16"/>
      <c r="J63" s="1">
        <f>(J62/J10)/1.983</f>
        <v>6.4093179119288139</v>
      </c>
      <c r="K63" s="1">
        <f>(K62/K10)/1.983</f>
        <v>5.1730027817090427</v>
      </c>
      <c r="L63" s="1">
        <f>(L62/L10)/1.983</f>
        <v>5.0596738947722306</v>
      </c>
      <c r="M63" s="16"/>
      <c r="N63" s="1">
        <f>(N62/N10)/1.983</f>
        <v>4.4247067818391805</v>
      </c>
      <c r="O63" s="1">
        <f>(O62/O10)/1.983</f>
        <v>3.7989578080349635</v>
      </c>
      <c r="P63" s="1">
        <f>(P62/P10)/1.983</f>
        <v>2.9118474777544612</v>
      </c>
      <c r="Q63" s="17"/>
      <c r="R63" s="64"/>
    </row>
    <row r="64" spans="1:18" ht="15.75" customHeight="1" x14ac:dyDescent="0.3">
      <c r="A64" s="15" t="s">
        <v>74</v>
      </c>
      <c r="B64" s="1">
        <f>B62+B135</f>
        <v>121066</v>
      </c>
      <c r="C64" s="1">
        <f>C62+C135</f>
        <v>110330</v>
      </c>
      <c r="D64" s="1">
        <f>D62+D135</f>
        <v>148120</v>
      </c>
      <c r="E64" s="16">
        <f>SUM(B64:D64)</f>
        <v>379516</v>
      </c>
      <c r="F64" s="1">
        <f>F62+F135</f>
        <v>162576</v>
      </c>
      <c r="G64" s="1">
        <f>G62+G135</f>
        <v>167209</v>
      </c>
      <c r="H64" s="1">
        <f>H62+H135</f>
        <v>89548</v>
      </c>
      <c r="I64" s="16">
        <f>SUM(F64:H64)</f>
        <v>419333</v>
      </c>
      <c r="J64" s="1">
        <f>J62+J135</f>
        <v>56940</v>
      </c>
      <c r="K64" s="1">
        <f>K62+K135</f>
        <v>50381</v>
      </c>
      <c r="L64" s="1">
        <f>L62+L135</f>
        <v>107234</v>
      </c>
      <c r="M64" s="16">
        <f>SUM(J64:L64)</f>
        <v>214555</v>
      </c>
      <c r="N64" s="1">
        <f>N62+N135</f>
        <v>138818</v>
      </c>
      <c r="O64" s="1">
        <f>O62+O135</f>
        <v>123205</v>
      </c>
      <c r="P64" s="1">
        <f>P62+P135</f>
        <v>85646</v>
      </c>
      <c r="Q64" s="17">
        <f>SUM(N64:P64)</f>
        <v>347669</v>
      </c>
      <c r="R64" s="16">
        <f>+E64+I64+M64+Q64</f>
        <v>1361073</v>
      </c>
    </row>
    <row r="65" spans="1:20" ht="16.5" customHeight="1" thickBot="1" x14ac:dyDescent="0.35">
      <c r="A65" s="20" t="s">
        <v>75</v>
      </c>
      <c r="B65" s="21">
        <f>(B64/B10)/1.983</f>
        <v>1969.4174678314057</v>
      </c>
      <c r="C65" s="21">
        <f>(C64/C10)/1.983</f>
        <v>1987.0686549960376</v>
      </c>
      <c r="D65" s="21">
        <f>(D64/D10)/1.983</f>
        <v>2409.513119580954</v>
      </c>
      <c r="E65" s="22"/>
      <c r="F65" s="21">
        <f>(F64/F10)/1.983</f>
        <v>2732.8290468986384</v>
      </c>
      <c r="G65" s="21">
        <f>(G64/G10)/1.983</f>
        <v>2720.0396922226018</v>
      </c>
      <c r="H65" s="21">
        <f>(H64/H10)/1.983</f>
        <v>1505.2613884686502</v>
      </c>
      <c r="I65" s="22"/>
      <c r="J65" s="21">
        <f>(J64/J10)/1.983</f>
        <v>926.26030940412863</v>
      </c>
      <c r="K65" s="21">
        <f>(K64/K10)/1.983</f>
        <v>819.56306020529337</v>
      </c>
      <c r="L65" s="21">
        <f>(L64/L10)/1.983</f>
        <v>1802.5550512691209</v>
      </c>
      <c r="M65" s="22"/>
      <c r="N65" s="21">
        <f>(N64/N10)/1.983</f>
        <v>2258.194654563792</v>
      </c>
      <c r="O65" s="21">
        <f>(O64/O10)/1.983</f>
        <v>2071.0203395528656</v>
      </c>
      <c r="P65" s="21">
        <f>(P64/P10)/1.983</f>
        <v>1393.2295479316124</v>
      </c>
      <c r="Q65" s="23"/>
      <c r="R65" s="65" t="s">
        <v>7</v>
      </c>
    </row>
    <row r="66" spans="1:20" ht="15.75" customHeight="1" x14ac:dyDescent="0.3">
      <c r="A66" s="2"/>
      <c r="B66" s="1"/>
      <c r="C66" s="1"/>
      <c r="D66" s="1"/>
      <c r="E66" s="1"/>
      <c r="F66" s="1"/>
      <c r="G66" s="1"/>
      <c r="H66" s="1"/>
      <c r="I66" s="1"/>
      <c r="J66" s="1"/>
      <c r="K66" s="1"/>
      <c r="L66" s="1"/>
      <c r="M66" s="1"/>
      <c r="N66" s="1"/>
      <c r="O66" s="1"/>
      <c r="P66" s="1"/>
      <c r="Q66" s="1"/>
      <c r="R66" s="2"/>
    </row>
    <row r="67" spans="1:20" ht="15.75" customHeight="1" thickBot="1" x14ac:dyDescent="0.35">
      <c r="A67" s="2"/>
      <c r="B67" s="1"/>
      <c r="C67" s="1"/>
      <c r="D67" s="1"/>
      <c r="E67" s="1"/>
      <c r="F67" s="1"/>
      <c r="G67" s="1"/>
      <c r="H67" s="1"/>
      <c r="I67" s="1"/>
      <c r="J67" s="1"/>
      <c r="K67" s="1"/>
      <c r="L67" s="1"/>
      <c r="M67" s="1"/>
      <c r="N67" s="1"/>
      <c r="O67" s="1"/>
      <c r="P67" s="1"/>
      <c r="Q67" s="1"/>
      <c r="R67" s="2"/>
    </row>
    <row r="68" spans="1:20" ht="16.5" customHeight="1" thickBot="1" x14ac:dyDescent="0.35">
      <c r="A68" s="29" t="s">
        <v>76</v>
      </c>
      <c r="B68" s="30" t="s">
        <v>8</v>
      </c>
      <c r="C68" s="31" t="s">
        <v>9</v>
      </c>
      <c r="D68" s="31" t="s">
        <v>10</v>
      </c>
      <c r="E68" s="32" t="s">
        <v>11</v>
      </c>
      <c r="F68" s="31" t="s">
        <v>12</v>
      </c>
      <c r="G68" s="31" t="s">
        <v>13</v>
      </c>
      <c r="H68" s="31" t="s">
        <v>14</v>
      </c>
      <c r="I68" s="33" t="s">
        <v>15</v>
      </c>
      <c r="J68" s="31" t="s">
        <v>16</v>
      </c>
      <c r="K68" s="31" t="s">
        <v>17</v>
      </c>
      <c r="L68" s="31" t="s">
        <v>18</v>
      </c>
      <c r="M68" s="33" t="s">
        <v>19</v>
      </c>
      <c r="N68" s="31" t="s">
        <v>20</v>
      </c>
      <c r="O68" s="31" t="s">
        <v>21</v>
      </c>
      <c r="P68" s="31" t="s">
        <v>22</v>
      </c>
      <c r="Q68" s="33" t="s">
        <v>23</v>
      </c>
      <c r="R68" s="34" t="s">
        <v>24</v>
      </c>
    </row>
    <row r="69" spans="1:20" ht="16.5" customHeight="1" thickBot="1" x14ac:dyDescent="0.35">
      <c r="A69" s="66"/>
      <c r="B69" s="67"/>
      <c r="C69" s="68"/>
      <c r="D69" s="68"/>
      <c r="E69" s="69"/>
      <c r="F69" s="68"/>
      <c r="G69" s="68"/>
      <c r="H69" s="68"/>
      <c r="I69" s="69"/>
      <c r="J69" s="68"/>
      <c r="K69" s="68"/>
      <c r="L69" s="68"/>
      <c r="M69" s="69"/>
      <c r="N69" s="68"/>
      <c r="O69" s="68"/>
      <c r="P69" s="70"/>
      <c r="Q69" s="69"/>
      <c r="R69" s="59"/>
    </row>
    <row r="70" spans="1:20" ht="15.75" customHeight="1" x14ac:dyDescent="0.3">
      <c r="A70" s="54" t="s">
        <v>48</v>
      </c>
      <c r="B70" s="28"/>
      <c r="C70" s="28"/>
      <c r="D70" s="28"/>
      <c r="E70" s="55" t="s">
        <v>7</v>
      </c>
      <c r="F70" s="28"/>
      <c r="G70" s="28"/>
      <c r="H70" s="28"/>
      <c r="I70" s="55" t="s">
        <v>7</v>
      </c>
      <c r="J70" s="28"/>
      <c r="K70" s="28"/>
      <c r="L70" s="28"/>
      <c r="M70" s="55" t="s">
        <v>7</v>
      </c>
      <c r="N70" s="28"/>
      <c r="O70" s="28"/>
      <c r="P70" s="28"/>
      <c r="Q70" s="55" t="s">
        <v>7</v>
      </c>
      <c r="R70" s="55" t="s">
        <v>7</v>
      </c>
    </row>
    <row r="71" spans="1:20" ht="15.75" customHeight="1" x14ac:dyDescent="0.3">
      <c r="A71" s="18" t="s">
        <v>49</v>
      </c>
      <c r="B71" s="28"/>
      <c r="C71" s="56"/>
      <c r="D71" s="56"/>
      <c r="E71" s="55" t="s">
        <v>7</v>
      </c>
      <c r="F71" s="56"/>
      <c r="G71" s="56"/>
      <c r="H71" s="56"/>
      <c r="I71" s="55" t="s">
        <v>7</v>
      </c>
      <c r="J71" s="56"/>
      <c r="K71" s="56"/>
      <c r="L71" s="56"/>
      <c r="M71" s="55" t="s">
        <v>7</v>
      </c>
      <c r="N71" s="56"/>
      <c r="O71" s="56"/>
      <c r="P71" s="56"/>
      <c r="Q71" s="55" t="s">
        <v>7</v>
      </c>
      <c r="R71" s="55" t="s">
        <v>7</v>
      </c>
    </row>
    <row r="72" spans="1:20" ht="15.75" customHeight="1" x14ac:dyDescent="0.3">
      <c r="A72" s="71" t="s">
        <v>798</v>
      </c>
      <c r="B72" s="1"/>
      <c r="C72" s="1"/>
      <c r="D72" s="1"/>
      <c r="E72" s="55">
        <f t="shared" ref="E72:E82" si="5">SUM(B72:D72)</f>
        <v>0</v>
      </c>
      <c r="F72" s="1"/>
      <c r="G72" s="1"/>
      <c r="H72" s="1"/>
      <c r="I72" s="55">
        <f t="shared" ref="I72:I82" si="6">SUM(F72:H72)</f>
        <v>0</v>
      </c>
      <c r="J72" s="1"/>
      <c r="K72" s="1"/>
      <c r="L72" s="1"/>
      <c r="M72" s="55">
        <f t="shared" ref="M72:M82" si="7">SUM(J72:L72)</f>
        <v>0</v>
      </c>
      <c r="N72" s="1"/>
      <c r="O72" s="1"/>
      <c r="P72" s="1"/>
      <c r="Q72" s="55">
        <f t="shared" ref="Q72:Q82" si="8">SUM(N72:P72)</f>
        <v>0</v>
      </c>
      <c r="R72" s="55">
        <f t="shared" ref="R72:R82" si="9">+E72+I72+M72+Q72</f>
        <v>0</v>
      </c>
    </row>
    <row r="73" spans="1:20" ht="15.75" customHeight="1" x14ac:dyDescent="0.3">
      <c r="A73" s="71" t="s">
        <v>799</v>
      </c>
      <c r="B73" s="1"/>
      <c r="C73" s="1"/>
      <c r="D73" s="1"/>
      <c r="E73" s="55">
        <f>SUM(B73:D73)</f>
        <v>0</v>
      </c>
      <c r="F73" s="1"/>
      <c r="G73" s="1"/>
      <c r="H73" s="1"/>
      <c r="I73" s="55">
        <f>SUM(F73:H73)</f>
        <v>0</v>
      </c>
      <c r="J73" s="1"/>
      <c r="K73" s="1"/>
      <c r="L73" s="1"/>
      <c r="M73" s="55">
        <f>SUM(J73:L73)</f>
        <v>0</v>
      </c>
      <c r="N73" s="1"/>
      <c r="O73" s="1"/>
      <c r="P73" s="1"/>
      <c r="Q73" s="55">
        <f>SUM(N73:P73)</f>
        <v>0</v>
      </c>
      <c r="R73" s="55">
        <f>+E73+I73+M73+Q73</f>
        <v>0</v>
      </c>
    </row>
    <row r="74" spans="1:20" ht="15.75" customHeight="1" x14ac:dyDescent="0.3">
      <c r="A74" s="71" t="s">
        <v>524</v>
      </c>
      <c r="B74" s="1"/>
      <c r="C74" s="1"/>
      <c r="D74" s="1"/>
      <c r="E74" s="55">
        <f t="shared" si="5"/>
        <v>0</v>
      </c>
      <c r="F74" s="1"/>
      <c r="G74" s="1"/>
      <c r="H74" s="1"/>
      <c r="I74" s="55">
        <f t="shared" si="6"/>
        <v>0</v>
      </c>
      <c r="J74" s="1"/>
      <c r="K74" s="1"/>
      <c r="L74" s="1"/>
      <c r="M74" s="55">
        <f t="shared" si="7"/>
        <v>0</v>
      </c>
      <c r="N74" s="1"/>
      <c r="O74" s="1"/>
      <c r="P74" s="1"/>
      <c r="Q74" s="55">
        <f t="shared" si="8"/>
        <v>0</v>
      </c>
      <c r="R74" s="55">
        <f t="shared" si="9"/>
        <v>0</v>
      </c>
    </row>
    <row r="75" spans="1:20" ht="15.75" customHeight="1" x14ac:dyDescent="0.3">
      <c r="A75" s="71" t="s">
        <v>800</v>
      </c>
      <c r="B75" s="1"/>
      <c r="C75" s="1"/>
      <c r="D75" s="1"/>
      <c r="E75" s="55">
        <f t="shared" si="5"/>
        <v>0</v>
      </c>
      <c r="F75" s="1"/>
      <c r="G75" s="1"/>
      <c r="H75" s="1"/>
      <c r="I75" s="55">
        <f t="shared" si="6"/>
        <v>0</v>
      </c>
      <c r="K75" s="1"/>
      <c r="L75" s="1"/>
      <c r="M75" s="55">
        <f t="shared" si="7"/>
        <v>0</v>
      </c>
      <c r="N75" s="1"/>
      <c r="O75" s="1"/>
      <c r="P75" s="1"/>
      <c r="Q75" s="55">
        <f t="shared" si="8"/>
        <v>0</v>
      </c>
      <c r="R75" s="55">
        <f t="shared" si="9"/>
        <v>0</v>
      </c>
      <c r="T75" s="4" t="s">
        <v>801</v>
      </c>
    </row>
    <row r="76" spans="1:20" ht="15.75" customHeight="1" x14ac:dyDescent="0.3">
      <c r="A76" s="71" t="s">
        <v>1256</v>
      </c>
      <c r="B76" s="1"/>
      <c r="C76" s="1"/>
      <c r="D76" s="1"/>
      <c r="E76" s="55">
        <f t="shared" si="5"/>
        <v>0</v>
      </c>
      <c r="F76" s="1"/>
      <c r="G76" s="1"/>
      <c r="H76" s="1"/>
      <c r="I76" s="55">
        <f t="shared" si="6"/>
        <v>0</v>
      </c>
      <c r="J76" s="1"/>
      <c r="K76" s="1"/>
      <c r="L76" s="1"/>
      <c r="M76" s="55">
        <f t="shared" si="7"/>
        <v>0</v>
      </c>
      <c r="N76" s="1"/>
      <c r="O76" s="1"/>
      <c r="P76" s="1"/>
      <c r="Q76" s="55">
        <f t="shared" si="8"/>
        <v>0</v>
      </c>
      <c r="R76" s="55">
        <f t="shared" si="9"/>
        <v>0</v>
      </c>
      <c r="S76" s="477" t="s">
        <v>1257</v>
      </c>
      <c r="T76" s="4" t="s">
        <v>801</v>
      </c>
    </row>
    <row r="77" spans="1:20" ht="15.75" customHeight="1" x14ac:dyDescent="0.3">
      <c r="A77" s="71" t="s">
        <v>78</v>
      </c>
      <c r="B77" s="1"/>
      <c r="C77" s="1"/>
      <c r="D77" s="1"/>
      <c r="E77" s="55">
        <f t="shared" si="5"/>
        <v>0</v>
      </c>
      <c r="F77" s="1"/>
      <c r="G77" s="1"/>
      <c r="H77" s="1"/>
      <c r="I77" s="55">
        <f t="shared" si="6"/>
        <v>0</v>
      </c>
      <c r="J77" s="1"/>
      <c r="K77" s="1"/>
      <c r="L77" s="1"/>
      <c r="M77" s="55">
        <f t="shared" si="7"/>
        <v>0</v>
      </c>
      <c r="N77" s="1"/>
      <c r="O77" s="1"/>
      <c r="P77" s="1"/>
      <c r="Q77" s="55">
        <f t="shared" si="8"/>
        <v>0</v>
      </c>
      <c r="R77" s="55">
        <f t="shared" si="9"/>
        <v>0</v>
      </c>
    </row>
    <row r="78" spans="1:20" ht="15.75" customHeight="1" x14ac:dyDescent="0.3">
      <c r="A78" s="71" t="s">
        <v>525</v>
      </c>
      <c r="B78" s="1"/>
      <c r="C78" s="1"/>
      <c r="D78" s="1"/>
      <c r="E78" s="55">
        <f t="shared" si="5"/>
        <v>0</v>
      </c>
      <c r="F78" s="1"/>
      <c r="G78" s="1"/>
      <c r="H78" s="1"/>
      <c r="I78" s="55">
        <f t="shared" si="6"/>
        <v>0</v>
      </c>
      <c r="J78" s="1"/>
      <c r="K78" s="1"/>
      <c r="L78" s="1"/>
      <c r="M78" s="55">
        <f t="shared" si="7"/>
        <v>0</v>
      </c>
      <c r="N78" s="1"/>
      <c r="O78" s="1"/>
      <c r="P78" s="1"/>
      <c r="Q78" s="55">
        <f t="shared" si="8"/>
        <v>0</v>
      </c>
      <c r="R78" s="55">
        <f t="shared" si="9"/>
        <v>0</v>
      </c>
      <c r="T78" s="4" t="s">
        <v>803</v>
      </c>
    </row>
    <row r="79" spans="1:20" ht="15.75" customHeight="1" x14ac:dyDescent="0.3">
      <c r="A79" s="72" t="s">
        <v>1187</v>
      </c>
      <c r="B79" s="1"/>
      <c r="C79" s="1"/>
      <c r="D79" s="1"/>
      <c r="E79" s="55">
        <f t="shared" si="5"/>
        <v>0</v>
      </c>
      <c r="F79" s="1"/>
      <c r="G79" s="1">
        <v>512</v>
      </c>
      <c r="H79" s="1">
        <v>512</v>
      </c>
      <c r="I79" s="55">
        <f t="shared" si="6"/>
        <v>1024</v>
      </c>
      <c r="J79" s="1">
        <v>512</v>
      </c>
      <c r="K79" s="1">
        <v>512</v>
      </c>
      <c r="L79" s="1"/>
      <c r="M79" s="55">
        <f t="shared" si="7"/>
        <v>1024</v>
      </c>
      <c r="N79" s="1"/>
      <c r="O79" s="1"/>
      <c r="P79" s="1"/>
      <c r="Q79" s="55">
        <f t="shared" si="8"/>
        <v>0</v>
      </c>
      <c r="R79" s="55">
        <f t="shared" si="9"/>
        <v>2048</v>
      </c>
    </row>
    <row r="80" spans="1:20" ht="15.75" customHeight="1" x14ac:dyDescent="0.3">
      <c r="A80" s="72" t="s">
        <v>79</v>
      </c>
      <c r="B80" s="1"/>
      <c r="C80" s="1"/>
      <c r="D80" s="1"/>
      <c r="E80" s="55">
        <f t="shared" si="5"/>
        <v>0</v>
      </c>
      <c r="F80" s="1"/>
      <c r="G80" s="1"/>
      <c r="H80" s="1"/>
      <c r="I80" s="55">
        <f t="shared" si="6"/>
        <v>0</v>
      </c>
      <c r="J80" s="1"/>
      <c r="K80" s="1"/>
      <c r="L80" s="1"/>
      <c r="M80" s="55">
        <f t="shared" si="7"/>
        <v>0</v>
      </c>
      <c r="N80" s="1"/>
      <c r="O80" s="1"/>
      <c r="P80" s="1"/>
      <c r="Q80" s="55">
        <f t="shared" si="8"/>
        <v>0</v>
      </c>
      <c r="R80" s="55">
        <f t="shared" si="9"/>
        <v>0</v>
      </c>
    </row>
    <row r="81" spans="1:20" ht="15.75" customHeight="1" x14ac:dyDescent="0.3">
      <c r="A81" s="72" t="s">
        <v>804</v>
      </c>
      <c r="B81" s="1"/>
      <c r="C81" s="1"/>
      <c r="D81" s="1"/>
      <c r="E81" s="55">
        <f>SUM(B81:D81)</f>
        <v>0</v>
      </c>
      <c r="F81" s="1"/>
      <c r="G81" s="1"/>
      <c r="H81" s="1"/>
      <c r="I81" s="55">
        <f>SUM(F81:H81)</f>
        <v>0</v>
      </c>
      <c r="J81" s="1"/>
      <c r="K81" s="1"/>
      <c r="L81" s="1"/>
      <c r="M81" s="55">
        <f>SUM(J81:L81)</f>
        <v>0</v>
      </c>
      <c r="N81" s="1"/>
      <c r="O81" s="1"/>
      <c r="P81" s="1"/>
      <c r="Q81" s="55">
        <f>SUM(N81:P81)</f>
        <v>0</v>
      </c>
      <c r="R81" s="55">
        <f t="shared" si="9"/>
        <v>0</v>
      </c>
    </row>
    <row r="82" spans="1:20" ht="15.75" customHeight="1" x14ac:dyDescent="0.3">
      <c r="A82" s="72" t="s">
        <v>80</v>
      </c>
      <c r="B82" s="1"/>
      <c r="C82" s="1"/>
      <c r="D82" s="1"/>
      <c r="E82" s="55">
        <f t="shared" si="5"/>
        <v>0</v>
      </c>
      <c r="F82" s="1"/>
      <c r="G82" s="1"/>
      <c r="H82" s="1"/>
      <c r="I82" s="55">
        <f t="shared" si="6"/>
        <v>0</v>
      </c>
      <c r="J82" s="1"/>
      <c r="K82" s="1"/>
      <c r="L82" s="1"/>
      <c r="M82" s="55">
        <f t="shared" si="7"/>
        <v>0</v>
      </c>
      <c r="N82" s="1"/>
      <c r="O82" s="1"/>
      <c r="P82" s="1"/>
      <c r="Q82" s="55">
        <f t="shared" si="8"/>
        <v>0</v>
      </c>
      <c r="R82" s="55">
        <f t="shared" si="9"/>
        <v>0</v>
      </c>
      <c r="S82" s="4">
        <f>SUM(R72:R82)</f>
        <v>2048</v>
      </c>
    </row>
    <row r="83" spans="1:20" ht="15.75" customHeight="1" x14ac:dyDescent="0.3">
      <c r="A83" s="18" t="s">
        <v>50</v>
      </c>
      <c r="B83" s="28"/>
      <c r="C83" s="28"/>
      <c r="D83" s="28"/>
      <c r="E83" s="55" t="s">
        <v>7</v>
      </c>
      <c r="F83" s="28"/>
      <c r="G83" s="28"/>
      <c r="H83" s="28"/>
      <c r="I83" s="55" t="s">
        <v>7</v>
      </c>
      <c r="J83" s="28"/>
      <c r="K83" s="28"/>
      <c r="L83" s="28"/>
      <c r="M83" s="55" t="s">
        <v>7</v>
      </c>
      <c r="N83" s="28"/>
      <c r="O83" s="28"/>
      <c r="P83" s="28"/>
      <c r="Q83" s="55" t="s">
        <v>7</v>
      </c>
      <c r="R83" s="55" t="s">
        <v>7</v>
      </c>
    </row>
    <row r="84" spans="1:20" ht="15.75" customHeight="1" x14ac:dyDescent="0.3">
      <c r="A84" s="72" t="s">
        <v>83</v>
      </c>
      <c r="B84" s="1"/>
      <c r="C84" s="1"/>
      <c r="D84" s="1"/>
      <c r="E84" s="55">
        <f>SUM(B84:D84)</f>
        <v>0</v>
      </c>
      <c r="F84" s="1"/>
      <c r="G84" s="1"/>
      <c r="H84" s="1"/>
      <c r="I84" s="55">
        <f>SUM(F84:H84)</f>
        <v>0</v>
      </c>
      <c r="J84" s="1"/>
      <c r="K84" s="1"/>
      <c r="L84" s="1"/>
      <c r="M84" s="55">
        <f>SUM(J84:L84)</f>
        <v>0</v>
      </c>
      <c r="N84" s="1"/>
      <c r="O84" s="1"/>
      <c r="P84" s="1"/>
      <c r="Q84" s="55">
        <f>SUM(N84:P84)</f>
        <v>0</v>
      </c>
      <c r="R84" s="55">
        <f>+E84+I84+M84+Q84</f>
        <v>0</v>
      </c>
    </row>
    <row r="85" spans="1:20" ht="15.75" customHeight="1" x14ac:dyDescent="0.3">
      <c r="A85" s="18" t="s">
        <v>1186</v>
      </c>
      <c r="B85" s="28"/>
      <c r="C85" s="28"/>
      <c r="D85" s="28"/>
      <c r="E85" s="55" t="s">
        <v>52</v>
      </c>
      <c r="F85" s="28"/>
      <c r="G85" s="28"/>
      <c r="H85" s="28"/>
      <c r="I85" s="55" t="s">
        <v>52</v>
      </c>
      <c r="J85" s="28"/>
      <c r="K85" s="28"/>
      <c r="L85" s="28"/>
      <c r="M85" s="55" t="s">
        <v>52</v>
      </c>
      <c r="N85" s="28"/>
      <c r="O85" s="28"/>
      <c r="P85" s="28"/>
      <c r="Q85" s="55" t="s">
        <v>52</v>
      </c>
      <c r="R85" s="55" t="s">
        <v>52</v>
      </c>
    </row>
    <row r="86" spans="1:20" ht="15.75" customHeight="1" x14ac:dyDescent="0.3">
      <c r="A86" s="61" t="s">
        <v>1258</v>
      </c>
      <c r="B86" s="1"/>
      <c r="C86" s="1"/>
      <c r="D86" s="1"/>
      <c r="E86" s="55">
        <f>SUM(B86:D86)</f>
        <v>0</v>
      </c>
      <c r="F86" s="1"/>
      <c r="G86" s="1"/>
      <c r="H86" s="1"/>
      <c r="I86" s="55">
        <f>SUM(F86:H86)</f>
        <v>0</v>
      </c>
      <c r="J86" s="1"/>
      <c r="K86" s="1"/>
      <c r="L86" s="1"/>
      <c r="M86" s="55">
        <f>SUM(J86:L86)</f>
        <v>0</v>
      </c>
      <c r="N86" s="1"/>
      <c r="O86" s="1"/>
      <c r="P86" s="1"/>
      <c r="Q86" s="55">
        <f>SUM(N86:P86)</f>
        <v>0</v>
      </c>
      <c r="R86" s="55">
        <f>+E86+I86+M86+Q86</f>
        <v>0</v>
      </c>
      <c r="S86" s="478" t="s">
        <v>1259</v>
      </c>
    </row>
    <row r="87" spans="1:20" ht="15.75" customHeight="1" x14ac:dyDescent="0.3">
      <c r="A87" s="61" t="s">
        <v>1260</v>
      </c>
      <c r="B87" s="1"/>
      <c r="C87" s="1"/>
      <c r="D87" s="1"/>
      <c r="E87" s="55">
        <f>SUM(B87:D87)</f>
        <v>0</v>
      </c>
      <c r="F87" s="1"/>
      <c r="G87" s="1"/>
      <c r="H87" s="1"/>
      <c r="I87" s="55">
        <f>SUM(F87:H87)</f>
        <v>0</v>
      </c>
      <c r="J87" s="1"/>
      <c r="K87" s="1"/>
      <c r="L87" s="1"/>
      <c r="M87" s="55">
        <f>SUM(J87:L87)</f>
        <v>0</v>
      </c>
      <c r="N87" s="1"/>
      <c r="O87" s="1"/>
      <c r="P87" s="1"/>
      <c r="Q87" s="55">
        <f>SUM(N87:P87)</f>
        <v>0</v>
      </c>
      <c r="R87" s="55">
        <f>+E87+I87+M87+Q87</f>
        <v>0</v>
      </c>
      <c r="S87" s="478" t="s">
        <v>1259</v>
      </c>
      <c r="T87" s="4" t="s">
        <v>801</v>
      </c>
    </row>
    <row r="88" spans="1:20" ht="15.75" customHeight="1" thickBot="1" x14ac:dyDescent="0.35">
      <c r="A88" s="18" t="s">
        <v>53</v>
      </c>
      <c r="B88" s="56"/>
      <c r="C88" s="56"/>
      <c r="D88" s="56"/>
      <c r="E88" s="55" t="s">
        <v>7</v>
      </c>
      <c r="F88" s="56"/>
      <c r="G88" s="56"/>
      <c r="H88" s="56"/>
      <c r="I88" s="55" t="s">
        <v>7</v>
      </c>
      <c r="J88" s="56"/>
      <c r="K88" s="56"/>
      <c r="L88" s="56"/>
      <c r="M88" s="55" t="s">
        <v>7</v>
      </c>
      <c r="N88" s="56"/>
      <c r="O88" s="56"/>
      <c r="P88" s="56"/>
      <c r="Q88" s="55" t="s">
        <v>7</v>
      </c>
      <c r="R88" s="55" t="s">
        <v>7</v>
      </c>
    </row>
    <row r="89" spans="1:20" ht="16.5" customHeight="1" thickBot="1" x14ac:dyDescent="0.35">
      <c r="A89" s="57" t="s">
        <v>54</v>
      </c>
      <c r="B89" s="58">
        <f>SUM(B70:B88)</f>
        <v>0</v>
      </c>
      <c r="C89" s="58">
        <f>SUM(C70:C88)</f>
        <v>0</v>
      </c>
      <c r="D89" s="58">
        <f>SUM(D70:D88)</f>
        <v>0</v>
      </c>
      <c r="E89" s="59">
        <f>SUM(B89:D89)</f>
        <v>0</v>
      </c>
      <c r="F89" s="58">
        <f>SUM(F70:F88)</f>
        <v>0</v>
      </c>
      <c r="G89" s="58">
        <f>SUM(G70:G88)</f>
        <v>512</v>
      </c>
      <c r="H89" s="58">
        <f>SUM(H70:H88)</f>
        <v>512</v>
      </c>
      <c r="I89" s="59">
        <f>SUM(F89:H89)</f>
        <v>1024</v>
      </c>
      <c r="J89" s="58">
        <f>SUM(J70:J88)</f>
        <v>512</v>
      </c>
      <c r="K89" s="58">
        <f>SUM(K70:K88)</f>
        <v>512</v>
      </c>
      <c r="L89" s="58">
        <f>SUM(L70:L88)</f>
        <v>0</v>
      </c>
      <c r="M89" s="59">
        <f>SUM(J89:L89)</f>
        <v>1024</v>
      </c>
      <c r="N89" s="58">
        <f>SUM(N70:N88)</f>
        <v>0</v>
      </c>
      <c r="O89" s="58">
        <f>SUM(O70:O88)</f>
        <v>0</v>
      </c>
      <c r="P89" s="58">
        <f>SUM(P70:P88)</f>
        <v>0</v>
      </c>
      <c r="Q89" s="59">
        <f>SUM(N89:P89)</f>
        <v>0</v>
      </c>
      <c r="R89" s="59">
        <f>+E89+I89+M89+Q89</f>
        <v>2048</v>
      </c>
    </row>
    <row r="90" spans="1:20" ht="15.75" customHeight="1" x14ac:dyDescent="0.3">
      <c r="A90" s="18" t="s">
        <v>55</v>
      </c>
      <c r="B90" s="56"/>
      <c r="C90" s="56"/>
      <c r="D90" s="56"/>
      <c r="E90" s="55" t="s">
        <v>7</v>
      </c>
      <c r="F90" s="56"/>
      <c r="G90" s="56"/>
      <c r="H90" s="56"/>
      <c r="I90" s="55" t="s">
        <v>7</v>
      </c>
      <c r="J90" s="56"/>
      <c r="K90" s="56"/>
      <c r="L90" s="56"/>
      <c r="M90" s="55" t="s">
        <v>7</v>
      </c>
      <c r="N90" s="56"/>
      <c r="O90" s="56"/>
      <c r="P90" s="56"/>
      <c r="Q90" s="55" t="s">
        <v>7</v>
      </c>
      <c r="R90" s="60" t="s">
        <v>7</v>
      </c>
    </row>
    <row r="91" spans="1:20" ht="15.75" customHeight="1" x14ac:dyDescent="0.3">
      <c r="A91" s="18" t="s">
        <v>56</v>
      </c>
      <c r="B91" s="56"/>
      <c r="C91" s="56"/>
      <c r="D91" s="56"/>
      <c r="E91" s="55" t="s">
        <v>7</v>
      </c>
      <c r="F91" s="56"/>
      <c r="G91" s="56"/>
      <c r="H91" s="56"/>
      <c r="I91" s="55" t="s">
        <v>7</v>
      </c>
      <c r="J91" s="56"/>
      <c r="K91" s="56"/>
      <c r="L91" s="56"/>
      <c r="M91" s="55" t="s">
        <v>7</v>
      </c>
      <c r="N91" s="56"/>
      <c r="O91" s="56"/>
      <c r="P91" s="56"/>
      <c r="Q91" s="55" t="s">
        <v>7</v>
      </c>
      <c r="R91" s="55" t="s">
        <v>7</v>
      </c>
    </row>
    <row r="92" spans="1:20" ht="15.75" customHeight="1" x14ac:dyDescent="0.3">
      <c r="A92" s="18" t="s">
        <v>57</v>
      </c>
      <c r="B92" s="56"/>
      <c r="C92" s="56"/>
      <c r="D92" s="56"/>
      <c r="E92" s="55" t="s">
        <v>7</v>
      </c>
      <c r="F92" s="56"/>
      <c r="G92" s="56"/>
      <c r="H92" s="56"/>
      <c r="I92" s="55" t="s">
        <v>7</v>
      </c>
      <c r="J92" s="56"/>
      <c r="K92" s="56"/>
      <c r="L92" s="56"/>
      <c r="M92" s="55" t="s">
        <v>7</v>
      </c>
      <c r="N92" s="56"/>
      <c r="O92" s="56"/>
      <c r="P92" s="56"/>
      <c r="Q92" s="55" t="s">
        <v>7</v>
      </c>
      <c r="R92" s="55" t="s">
        <v>7</v>
      </c>
    </row>
    <row r="93" spans="1:20" ht="15.75" customHeight="1" x14ac:dyDescent="0.3">
      <c r="A93" s="72" t="s">
        <v>81</v>
      </c>
      <c r="B93" s="1">
        <v>207</v>
      </c>
      <c r="C93" s="1">
        <v>376</v>
      </c>
      <c r="D93" s="1">
        <v>1222</v>
      </c>
      <c r="E93" s="55">
        <f>SUM(B93:D93)</f>
        <v>1805</v>
      </c>
      <c r="F93" s="1">
        <v>2410</v>
      </c>
      <c r="G93" s="1">
        <v>3702</v>
      </c>
      <c r="H93" s="1">
        <v>3734</v>
      </c>
      <c r="I93" s="55">
        <f>SUM(F93:H93)</f>
        <v>9846</v>
      </c>
      <c r="J93" s="1">
        <v>4513</v>
      </c>
      <c r="K93" s="1">
        <v>3354</v>
      </c>
      <c r="L93" s="1">
        <v>1723</v>
      </c>
      <c r="M93" s="55">
        <f>SUM(J93:L93)</f>
        <v>9590</v>
      </c>
      <c r="N93" s="1">
        <v>1385</v>
      </c>
      <c r="O93" s="1">
        <v>1244</v>
      </c>
      <c r="P93" s="1">
        <v>1642</v>
      </c>
      <c r="Q93" s="55">
        <f>SUM(N93:P93)</f>
        <v>4271</v>
      </c>
      <c r="R93" s="55">
        <f>+E93+I93+M93+Q93</f>
        <v>25512</v>
      </c>
      <c r="T93" s="4" t="s">
        <v>805</v>
      </c>
    </row>
    <row r="94" spans="1:20" ht="15.75" customHeight="1" x14ac:dyDescent="0.3">
      <c r="A94" s="72" t="s">
        <v>87</v>
      </c>
      <c r="B94" s="1">
        <v>100</v>
      </c>
      <c r="C94" s="1">
        <v>100</v>
      </c>
      <c r="D94" s="1">
        <v>168</v>
      </c>
      <c r="E94" s="55">
        <f>SUM(B94:D94)</f>
        <v>368</v>
      </c>
      <c r="F94" s="1">
        <v>213</v>
      </c>
      <c r="G94" s="1">
        <v>431</v>
      </c>
      <c r="H94" s="1">
        <v>424</v>
      </c>
      <c r="I94" s="55">
        <f>SUM(F94:H94)</f>
        <v>1068</v>
      </c>
      <c r="J94" s="1">
        <v>417</v>
      </c>
      <c r="K94" s="1">
        <v>523</v>
      </c>
      <c r="L94" s="1">
        <v>843</v>
      </c>
      <c r="M94" s="55">
        <f>SUM(J94:L94)</f>
        <v>1783</v>
      </c>
      <c r="N94" s="1">
        <v>834</v>
      </c>
      <c r="O94" s="1"/>
      <c r="P94" s="1">
        <v>217</v>
      </c>
      <c r="Q94" s="55">
        <f>SUM(N94:P94)</f>
        <v>1051</v>
      </c>
      <c r="R94" s="55">
        <f>+E94+I94+M94+Q94</f>
        <v>4270</v>
      </c>
      <c r="T94" s="4" t="s">
        <v>801</v>
      </c>
    </row>
    <row r="95" spans="1:20" ht="15.75" customHeight="1" thickBot="1" x14ac:dyDescent="0.35">
      <c r="A95" s="18" t="s">
        <v>58</v>
      </c>
      <c r="B95" s="56"/>
      <c r="C95" s="56"/>
      <c r="D95" s="56"/>
      <c r="E95" s="55" t="s">
        <v>7</v>
      </c>
      <c r="F95" s="56"/>
      <c r="G95" s="56"/>
      <c r="H95" s="56"/>
      <c r="I95" s="55" t="s">
        <v>7</v>
      </c>
      <c r="J95" s="56"/>
      <c r="K95" s="56"/>
      <c r="L95" s="56"/>
      <c r="M95" s="55" t="s">
        <v>7</v>
      </c>
      <c r="N95" s="56"/>
      <c r="O95" s="56"/>
      <c r="P95" s="56"/>
      <c r="Q95" s="55" t="s">
        <v>7</v>
      </c>
      <c r="R95" s="55" t="s">
        <v>7</v>
      </c>
    </row>
    <row r="96" spans="1:20" ht="16.5" customHeight="1" thickBot="1" x14ac:dyDescent="0.35">
      <c r="A96" s="57" t="s">
        <v>59</v>
      </c>
      <c r="B96" s="58">
        <f>SUM(B90:B95)</f>
        <v>307</v>
      </c>
      <c r="C96" s="58">
        <f>SUM(C90:C95)</f>
        <v>476</v>
      </c>
      <c r="D96" s="58">
        <f>SUM(D90:D95)</f>
        <v>1390</v>
      </c>
      <c r="E96" s="59">
        <f>SUM(B96:D96)</f>
        <v>2173</v>
      </c>
      <c r="F96" s="58">
        <f>SUM(F90:F95)</f>
        <v>2623</v>
      </c>
      <c r="G96" s="58">
        <f>SUM(G90:G95)</f>
        <v>4133</v>
      </c>
      <c r="H96" s="58">
        <f>SUM(H90:H95)</f>
        <v>4158</v>
      </c>
      <c r="I96" s="59">
        <f>SUM(F96:H96)</f>
        <v>10914</v>
      </c>
      <c r="J96" s="58">
        <f>SUM(J90:J95)</f>
        <v>4930</v>
      </c>
      <c r="K96" s="58">
        <f>SUM(K90:K95)</f>
        <v>3877</v>
      </c>
      <c r="L96" s="58">
        <f>SUM(L90:L95)</f>
        <v>2566</v>
      </c>
      <c r="M96" s="59">
        <f>SUM(J96:L96)</f>
        <v>11373</v>
      </c>
      <c r="N96" s="58">
        <f>SUM(N90:N95)</f>
        <v>2219</v>
      </c>
      <c r="O96" s="58">
        <f>SUM(O90:O95)</f>
        <v>1244</v>
      </c>
      <c r="P96" s="58">
        <f>SUM(P90:P95)</f>
        <v>1859</v>
      </c>
      <c r="Q96" s="59">
        <f>SUM(N96:P96)</f>
        <v>5322</v>
      </c>
      <c r="R96" s="59">
        <f>+E96+I96+M96+Q96</f>
        <v>29782</v>
      </c>
    </row>
    <row r="97" spans="1:20" ht="15.75" customHeight="1" x14ac:dyDescent="0.3">
      <c r="A97" s="18" t="s">
        <v>60</v>
      </c>
      <c r="B97" s="56"/>
      <c r="C97" s="56"/>
      <c r="D97" s="56"/>
      <c r="E97" s="55" t="s">
        <v>7</v>
      </c>
      <c r="F97" s="56"/>
      <c r="G97" s="56"/>
      <c r="H97" s="56"/>
      <c r="I97" s="55" t="s">
        <v>7</v>
      </c>
      <c r="J97" s="56"/>
      <c r="K97" s="56"/>
      <c r="L97" s="56"/>
      <c r="M97" s="55" t="s">
        <v>7</v>
      </c>
      <c r="N97" s="56"/>
      <c r="O97" s="56"/>
      <c r="P97" s="56"/>
      <c r="Q97" s="55" t="s">
        <v>7</v>
      </c>
      <c r="R97" s="55" t="s">
        <v>7</v>
      </c>
    </row>
    <row r="98" spans="1:20" ht="15.75" customHeight="1" x14ac:dyDescent="0.3">
      <c r="A98" s="18" t="s">
        <v>61</v>
      </c>
      <c r="B98" s="56"/>
      <c r="C98" s="56"/>
      <c r="D98" s="56"/>
      <c r="E98" s="55" t="s">
        <v>7</v>
      </c>
      <c r="F98" s="56"/>
      <c r="G98" s="56"/>
      <c r="H98" s="56"/>
      <c r="I98" s="55" t="s">
        <v>7</v>
      </c>
      <c r="J98" s="56"/>
      <c r="K98" s="56"/>
      <c r="L98" s="56"/>
      <c r="M98" s="55" t="s">
        <v>7</v>
      </c>
      <c r="N98" s="56"/>
      <c r="O98" s="56"/>
      <c r="P98" s="56"/>
      <c r="Q98" s="55" t="s">
        <v>7</v>
      </c>
      <c r="R98" s="55" t="s">
        <v>7</v>
      </c>
    </row>
    <row r="99" spans="1:20" ht="15.75" customHeight="1" x14ac:dyDescent="0.3">
      <c r="A99" s="18" t="s">
        <v>62</v>
      </c>
      <c r="B99" s="56"/>
      <c r="C99" s="56"/>
      <c r="D99" s="56"/>
      <c r="E99" s="55"/>
      <c r="F99" s="56"/>
      <c r="G99" s="56"/>
      <c r="H99" s="56"/>
      <c r="I99" s="55"/>
      <c r="J99" s="56"/>
      <c r="K99" s="56"/>
      <c r="L99" s="56"/>
      <c r="M99" s="55"/>
      <c r="N99" s="56"/>
      <c r="O99" s="56"/>
      <c r="P99" s="56"/>
      <c r="Q99" s="55"/>
      <c r="R99" s="55"/>
    </row>
    <row r="100" spans="1:20" ht="15.75" customHeight="1" x14ac:dyDescent="0.3">
      <c r="A100" s="72" t="s">
        <v>88</v>
      </c>
      <c r="B100" s="1"/>
      <c r="C100" s="1"/>
      <c r="D100" s="1"/>
      <c r="E100" s="55">
        <f t="shared" ref="E100:E109" si="10">SUM(B100:D100)</f>
        <v>0</v>
      </c>
      <c r="F100" s="1"/>
      <c r="G100" s="1"/>
      <c r="H100" s="1"/>
      <c r="I100" s="55">
        <f t="shared" ref="I100:I109" si="11">SUM(F100:H100)</f>
        <v>0</v>
      </c>
      <c r="J100" s="1"/>
      <c r="K100" s="1"/>
      <c r="L100" s="1"/>
      <c r="M100" s="55">
        <f t="shared" ref="M100:M109" si="12">SUM(J100:L100)</f>
        <v>0</v>
      </c>
      <c r="N100" s="1"/>
      <c r="O100" s="1"/>
      <c r="P100" s="1"/>
      <c r="Q100" s="55">
        <f t="shared" ref="Q100:Q109" si="13">SUM(N100:P100)</f>
        <v>0</v>
      </c>
      <c r="R100" s="55">
        <f t="shared" ref="R100:R109" si="14">+E100+I100+M100+Q100</f>
        <v>0</v>
      </c>
    </row>
    <row r="101" spans="1:20" ht="15.75" customHeight="1" x14ac:dyDescent="0.3">
      <c r="A101" s="72" t="s">
        <v>89</v>
      </c>
      <c r="B101" s="1"/>
      <c r="C101" s="1"/>
      <c r="D101" s="1"/>
      <c r="E101" s="55">
        <f t="shared" si="10"/>
        <v>0</v>
      </c>
      <c r="F101" s="1"/>
      <c r="G101" s="1"/>
      <c r="H101" s="1"/>
      <c r="I101" s="55">
        <f t="shared" si="11"/>
        <v>0</v>
      </c>
      <c r="J101" s="1"/>
      <c r="K101" s="1"/>
      <c r="L101" s="1"/>
      <c r="M101" s="55">
        <f t="shared" si="12"/>
        <v>0</v>
      </c>
      <c r="N101" s="1"/>
      <c r="O101" s="1"/>
      <c r="P101" s="1"/>
      <c r="Q101" s="55">
        <f t="shared" si="13"/>
        <v>0</v>
      </c>
      <c r="R101" s="55">
        <f t="shared" si="14"/>
        <v>0</v>
      </c>
    </row>
    <row r="102" spans="1:20" ht="15.75" customHeight="1" x14ac:dyDescent="0.3">
      <c r="A102" s="72" t="s">
        <v>1437</v>
      </c>
      <c r="B102" s="1"/>
      <c r="C102" s="1"/>
      <c r="D102" s="1"/>
      <c r="E102" s="55">
        <f t="shared" si="10"/>
        <v>0</v>
      </c>
      <c r="F102" s="1"/>
      <c r="G102" s="1"/>
      <c r="H102" s="1"/>
      <c r="I102" s="55">
        <f t="shared" si="11"/>
        <v>0</v>
      </c>
      <c r="J102" s="1"/>
      <c r="K102" s="1"/>
      <c r="L102" s="1"/>
      <c r="M102" s="55">
        <f t="shared" si="12"/>
        <v>0</v>
      </c>
      <c r="N102" s="1"/>
      <c r="O102" s="1">
        <v>619</v>
      </c>
      <c r="P102" s="1">
        <v>381</v>
      </c>
      <c r="Q102" s="55">
        <f t="shared" ref="Q102" si="15">SUM(N102:P102)</f>
        <v>1000</v>
      </c>
      <c r="R102" s="55">
        <f t="shared" si="14"/>
        <v>1000</v>
      </c>
    </row>
    <row r="103" spans="1:20" ht="15.75" customHeight="1" x14ac:dyDescent="0.3">
      <c r="A103" s="72" t="s">
        <v>1261</v>
      </c>
      <c r="B103" s="1"/>
      <c r="C103" s="1"/>
      <c r="D103" s="1"/>
      <c r="E103" s="55">
        <f>SUM(B103:D103)</f>
        <v>0</v>
      </c>
      <c r="F103" s="1"/>
      <c r="G103" s="1"/>
      <c r="H103" s="1"/>
      <c r="I103" s="55">
        <f>SUM(F103:H103)</f>
        <v>0</v>
      </c>
      <c r="J103" s="1"/>
      <c r="K103" s="1"/>
      <c r="L103" s="1"/>
      <c r="M103" s="55">
        <f>SUM(J103:L103)</f>
        <v>0</v>
      </c>
      <c r="N103" s="1"/>
      <c r="O103" s="1"/>
      <c r="P103" s="1"/>
      <c r="Q103" s="55">
        <f>SUM(N103:P103)</f>
        <v>0</v>
      </c>
      <c r="R103" s="55">
        <f>+E103+I103+M103+Q103</f>
        <v>0</v>
      </c>
    </row>
    <row r="104" spans="1:20" ht="15.75" customHeight="1" x14ac:dyDescent="0.3">
      <c r="A104" s="72" t="s">
        <v>1188</v>
      </c>
      <c r="B104" s="1"/>
      <c r="C104" s="1"/>
      <c r="D104" s="1"/>
      <c r="E104" s="55">
        <f>SUM(B104:D104)</f>
        <v>0</v>
      </c>
      <c r="F104" s="1"/>
      <c r="G104" s="1"/>
      <c r="H104" s="1"/>
      <c r="I104" s="55">
        <f>SUM(F104:H104)</f>
        <v>0</v>
      </c>
      <c r="J104" s="1"/>
      <c r="K104" s="1"/>
      <c r="L104" s="1"/>
      <c r="M104" s="55">
        <f>SUM(J104:L104)</f>
        <v>0</v>
      </c>
      <c r="N104" s="1"/>
      <c r="O104" s="1"/>
      <c r="P104" s="1"/>
      <c r="Q104" s="55">
        <f>SUM(N104:P104)</f>
        <v>0</v>
      </c>
      <c r="R104" s="55">
        <f>+E104+I104+M104+Q104</f>
        <v>0</v>
      </c>
      <c r="T104" s="4" t="s">
        <v>803</v>
      </c>
    </row>
    <row r="105" spans="1:20" ht="15.75" customHeight="1" x14ac:dyDescent="0.3">
      <c r="A105" s="72" t="s">
        <v>528</v>
      </c>
      <c r="B105" s="1"/>
      <c r="C105" s="1"/>
      <c r="D105" s="1"/>
      <c r="E105" s="55">
        <f>SUM(B105:D105)</f>
        <v>0</v>
      </c>
      <c r="F105" s="1"/>
      <c r="G105" s="1"/>
      <c r="H105" s="1"/>
      <c r="I105" s="55">
        <f>SUM(F105:H105)</f>
        <v>0</v>
      </c>
      <c r="J105" s="1"/>
      <c r="K105" s="1"/>
      <c r="L105" s="1"/>
      <c r="M105" s="55">
        <f>SUM(J105:L105)</f>
        <v>0</v>
      </c>
      <c r="N105" s="1"/>
      <c r="O105" s="1"/>
      <c r="P105" s="1"/>
      <c r="Q105" s="55">
        <f>SUM(N105:P105)</f>
        <v>0</v>
      </c>
      <c r="R105" s="55">
        <f>+E105+I105+M105+Q105</f>
        <v>0</v>
      </c>
    </row>
    <row r="106" spans="1:20" ht="15.75" customHeight="1" x14ac:dyDescent="0.3">
      <c r="A106" s="72" t="s">
        <v>1262</v>
      </c>
      <c r="B106" s="1"/>
      <c r="C106" s="1"/>
      <c r="D106" s="1"/>
      <c r="E106" s="55">
        <f t="shared" si="10"/>
        <v>0</v>
      </c>
      <c r="F106" s="1"/>
      <c r="G106" s="1"/>
      <c r="H106" s="1"/>
      <c r="I106" s="55">
        <f t="shared" si="11"/>
        <v>0</v>
      </c>
      <c r="J106" s="1"/>
      <c r="K106" s="1"/>
      <c r="L106" s="1"/>
      <c r="M106" s="55">
        <f t="shared" si="12"/>
        <v>0</v>
      </c>
      <c r="N106" s="1"/>
      <c r="O106" s="1"/>
      <c r="P106" s="1"/>
      <c r="Q106" s="55">
        <f t="shared" si="13"/>
        <v>0</v>
      </c>
      <c r="R106" s="55">
        <f t="shared" si="14"/>
        <v>0</v>
      </c>
    </row>
    <row r="107" spans="1:20" ht="15.75" customHeight="1" x14ac:dyDescent="0.3">
      <c r="A107" s="72" t="s">
        <v>95</v>
      </c>
      <c r="B107" s="1"/>
      <c r="C107" s="1"/>
      <c r="D107" s="1"/>
      <c r="E107" s="55">
        <f t="shared" si="10"/>
        <v>0</v>
      </c>
      <c r="F107" s="1"/>
      <c r="G107" s="1"/>
      <c r="H107" s="1"/>
      <c r="I107" s="55">
        <f t="shared" si="11"/>
        <v>0</v>
      </c>
      <c r="J107" s="1"/>
      <c r="K107" s="1"/>
      <c r="L107" s="1"/>
      <c r="M107" s="55">
        <f t="shared" si="12"/>
        <v>0</v>
      </c>
      <c r="N107" s="1"/>
      <c r="O107" s="1"/>
      <c r="P107" s="1"/>
      <c r="Q107" s="55">
        <f t="shared" ref="Q107" si="16">SUM(N107:P107)</f>
        <v>0</v>
      </c>
      <c r="R107" s="55">
        <f t="shared" si="14"/>
        <v>0</v>
      </c>
    </row>
    <row r="108" spans="1:20" ht="15.75" customHeight="1" thickBot="1" x14ac:dyDescent="0.35">
      <c r="A108" s="72" t="s">
        <v>1380</v>
      </c>
      <c r="B108" s="1">
        <v>161</v>
      </c>
      <c r="C108" s="1">
        <v>228</v>
      </c>
      <c r="D108" s="1">
        <v>1111</v>
      </c>
      <c r="E108" s="55">
        <f t="shared" si="10"/>
        <v>1500</v>
      </c>
      <c r="F108" s="1">
        <v>1800</v>
      </c>
      <c r="G108" s="1">
        <v>1292</v>
      </c>
      <c r="H108" s="1">
        <v>1224</v>
      </c>
      <c r="I108" s="55">
        <f t="shared" si="11"/>
        <v>4316</v>
      </c>
      <c r="J108" s="1">
        <v>856</v>
      </c>
      <c r="K108" s="1">
        <v>1294</v>
      </c>
      <c r="L108" s="1">
        <v>1082</v>
      </c>
      <c r="M108" s="55">
        <f t="shared" si="12"/>
        <v>3232</v>
      </c>
      <c r="N108" s="1">
        <v>380</v>
      </c>
      <c r="O108" s="1">
        <v>72</v>
      </c>
      <c r="P108" s="1"/>
      <c r="Q108" s="55">
        <f t="shared" si="13"/>
        <v>452</v>
      </c>
      <c r="R108" s="55">
        <f t="shared" si="14"/>
        <v>9500</v>
      </c>
    </row>
    <row r="109" spans="1:20" ht="16.5" customHeight="1" thickBot="1" x14ac:dyDescent="0.35">
      <c r="A109" s="57" t="s">
        <v>63</v>
      </c>
      <c r="B109" s="58">
        <f>SUM(B97:B108)</f>
        <v>161</v>
      </c>
      <c r="C109" s="58">
        <f>SUM(C97:C108)</f>
        <v>228</v>
      </c>
      <c r="D109" s="58">
        <f>SUM(D97:D108)</f>
        <v>1111</v>
      </c>
      <c r="E109" s="59">
        <f t="shared" si="10"/>
        <v>1500</v>
      </c>
      <c r="F109" s="58">
        <f>SUM(F97:F108)</f>
        <v>1800</v>
      </c>
      <c r="G109" s="58">
        <f>SUM(G97:G108)</f>
        <v>1292</v>
      </c>
      <c r="H109" s="58">
        <f>SUM(H97:H108)</f>
        <v>1224</v>
      </c>
      <c r="I109" s="59">
        <f t="shared" si="11"/>
        <v>4316</v>
      </c>
      <c r="J109" s="58">
        <f>SUM(J97:J108)</f>
        <v>856</v>
      </c>
      <c r="K109" s="58">
        <f>SUM(K97:K108)</f>
        <v>1294</v>
      </c>
      <c r="L109" s="58">
        <f>SUM(L97:L108)</f>
        <v>1082</v>
      </c>
      <c r="M109" s="59">
        <f t="shared" si="12"/>
        <v>3232</v>
      </c>
      <c r="N109" s="58">
        <f>SUM(N97:N108)</f>
        <v>380</v>
      </c>
      <c r="O109" s="58">
        <f>SUM(O97:O108)</f>
        <v>691</v>
      </c>
      <c r="P109" s="58">
        <f>SUM(P97:P108)</f>
        <v>381</v>
      </c>
      <c r="Q109" s="59">
        <f t="shared" si="13"/>
        <v>1452</v>
      </c>
      <c r="R109" s="59">
        <f t="shared" si="14"/>
        <v>10500</v>
      </c>
    </row>
    <row r="110" spans="1:20" ht="15.75" customHeight="1" x14ac:dyDescent="0.3">
      <c r="A110" s="18" t="s">
        <v>64</v>
      </c>
      <c r="B110" s="56"/>
      <c r="C110" s="56"/>
      <c r="D110" s="56"/>
      <c r="E110" s="55" t="s">
        <v>7</v>
      </c>
      <c r="F110" s="56"/>
      <c r="G110" s="56"/>
      <c r="H110" s="56"/>
      <c r="I110" s="55" t="s">
        <v>7</v>
      </c>
      <c r="J110" s="56"/>
      <c r="K110" s="56"/>
      <c r="L110" s="56"/>
      <c r="M110" s="55" t="s">
        <v>7</v>
      </c>
      <c r="N110" s="56"/>
      <c r="O110" s="56"/>
      <c r="P110" s="56"/>
      <c r="Q110" s="55" t="s">
        <v>7</v>
      </c>
      <c r="R110" s="55" t="s">
        <v>7</v>
      </c>
    </row>
    <row r="111" spans="1:20" ht="15.75" customHeight="1" x14ac:dyDescent="0.3">
      <c r="A111" s="18" t="s">
        <v>594</v>
      </c>
      <c r="B111" s="56"/>
      <c r="C111" s="56"/>
      <c r="D111" s="56"/>
      <c r="E111" s="55" t="s">
        <v>7</v>
      </c>
      <c r="F111" s="56"/>
      <c r="G111" s="56"/>
      <c r="H111" s="56"/>
      <c r="I111" s="55" t="s">
        <v>7</v>
      </c>
      <c r="J111" s="56"/>
      <c r="K111" s="56"/>
      <c r="L111" s="56"/>
      <c r="M111" s="55" t="s">
        <v>7</v>
      </c>
      <c r="N111" s="56"/>
      <c r="O111" s="56"/>
      <c r="P111" s="56"/>
      <c r="Q111" s="55" t="s">
        <v>7</v>
      </c>
      <c r="R111" s="55" t="s">
        <v>7</v>
      </c>
    </row>
    <row r="112" spans="1:20" ht="15.75" customHeight="1" x14ac:dyDescent="0.3">
      <c r="A112" s="61" t="s">
        <v>806</v>
      </c>
      <c r="B112" s="1"/>
      <c r="C112" s="1"/>
      <c r="D112" s="1"/>
      <c r="E112" s="55">
        <f t="shared" ref="E112:E117" si="17">SUM(B112:D112)</f>
        <v>0</v>
      </c>
      <c r="F112" s="1"/>
      <c r="G112" s="1"/>
      <c r="H112" s="1"/>
      <c r="I112" s="55">
        <f t="shared" ref="I112:I117" si="18">SUM(F112:H112)</f>
        <v>0</v>
      </c>
      <c r="J112" s="1"/>
      <c r="K112" s="1"/>
      <c r="L112" s="1"/>
      <c r="M112" s="55">
        <f t="shared" ref="M112:M117" si="19">SUM(J112:L112)</f>
        <v>0</v>
      </c>
      <c r="N112" s="1"/>
      <c r="O112" s="1"/>
      <c r="P112" s="1"/>
      <c r="Q112" s="55">
        <f t="shared" ref="Q112:Q117" si="20">SUM(N112:P112)</f>
        <v>0</v>
      </c>
      <c r="R112" s="55">
        <f t="shared" ref="R112:R117" si="21">+E112+I112+M112+Q112</f>
        <v>0</v>
      </c>
    </row>
    <row r="113" spans="1:20" ht="15.75" customHeight="1" x14ac:dyDescent="0.3">
      <c r="A113" s="61" t="s">
        <v>1263</v>
      </c>
      <c r="B113" s="1"/>
      <c r="C113" s="1"/>
      <c r="D113" s="1"/>
      <c r="E113" s="55">
        <f t="shared" si="17"/>
        <v>0</v>
      </c>
      <c r="F113" s="1"/>
      <c r="G113" s="1"/>
      <c r="H113" s="1"/>
      <c r="I113" s="55">
        <f t="shared" si="18"/>
        <v>0</v>
      </c>
      <c r="J113" s="1"/>
      <c r="K113" s="1"/>
      <c r="L113" s="1"/>
      <c r="M113" s="55">
        <f t="shared" si="19"/>
        <v>0</v>
      </c>
      <c r="N113" s="1"/>
      <c r="O113" s="1"/>
      <c r="P113" s="1"/>
      <c r="Q113" s="55">
        <f t="shared" si="20"/>
        <v>0</v>
      </c>
      <c r="R113" s="55">
        <f t="shared" si="21"/>
        <v>0</v>
      </c>
    </row>
    <row r="114" spans="1:20" ht="15.75" customHeight="1" x14ac:dyDescent="0.3">
      <c r="A114" s="61" t="s">
        <v>692</v>
      </c>
      <c r="B114" s="1"/>
      <c r="C114" s="1"/>
      <c r="D114" s="1"/>
      <c r="E114" s="55">
        <f t="shared" si="17"/>
        <v>0</v>
      </c>
      <c r="F114" s="1"/>
      <c r="G114" s="1"/>
      <c r="H114" s="1"/>
      <c r="I114" s="55">
        <f t="shared" si="18"/>
        <v>0</v>
      </c>
      <c r="J114" s="1"/>
      <c r="K114" s="1"/>
      <c r="L114" s="1"/>
      <c r="M114" s="55">
        <f t="shared" si="19"/>
        <v>0</v>
      </c>
      <c r="N114" s="1"/>
      <c r="O114" s="1"/>
      <c r="P114" s="1"/>
      <c r="Q114" s="55">
        <f t="shared" si="20"/>
        <v>0</v>
      </c>
      <c r="R114" s="55">
        <f t="shared" si="21"/>
        <v>0</v>
      </c>
    </row>
    <row r="115" spans="1:20" ht="15.75" customHeight="1" x14ac:dyDescent="0.3">
      <c r="A115" s="61" t="s">
        <v>530</v>
      </c>
      <c r="B115" s="1"/>
      <c r="C115" s="1"/>
      <c r="D115" s="1"/>
      <c r="E115" s="55">
        <f t="shared" si="17"/>
        <v>0</v>
      </c>
      <c r="F115" s="1"/>
      <c r="G115" s="1"/>
      <c r="H115" s="1"/>
      <c r="I115" s="55">
        <f t="shared" si="18"/>
        <v>0</v>
      </c>
      <c r="J115" s="1"/>
      <c r="K115" s="1"/>
      <c r="L115" s="1"/>
      <c r="M115" s="55">
        <f t="shared" si="19"/>
        <v>0</v>
      </c>
      <c r="N115" s="1"/>
      <c r="O115" s="1"/>
      <c r="P115" s="1"/>
      <c r="Q115" s="55">
        <f t="shared" si="20"/>
        <v>0</v>
      </c>
      <c r="R115" s="55">
        <f t="shared" si="21"/>
        <v>0</v>
      </c>
    </row>
    <row r="116" spans="1:20" ht="15.75" customHeight="1" x14ac:dyDescent="0.3">
      <c r="A116" s="61" t="s">
        <v>597</v>
      </c>
      <c r="B116" s="1"/>
      <c r="C116" s="1"/>
      <c r="D116" s="1"/>
      <c r="E116" s="55">
        <f t="shared" si="17"/>
        <v>0</v>
      </c>
      <c r="F116" s="1"/>
      <c r="G116" s="1"/>
      <c r="H116" s="1"/>
      <c r="I116" s="55">
        <f t="shared" si="18"/>
        <v>0</v>
      </c>
      <c r="J116" s="1"/>
      <c r="K116" s="1"/>
      <c r="L116" s="1"/>
      <c r="M116" s="55">
        <f t="shared" si="19"/>
        <v>0</v>
      </c>
      <c r="N116" s="1"/>
      <c r="O116" s="1"/>
      <c r="P116" s="1"/>
      <c r="Q116" s="55">
        <f t="shared" si="20"/>
        <v>0</v>
      </c>
      <c r="R116" s="55">
        <f t="shared" si="21"/>
        <v>0</v>
      </c>
    </row>
    <row r="117" spans="1:20" ht="15.75" customHeight="1" x14ac:dyDescent="0.3">
      <c r="A117" s="61" t="s">
        <v>807</v>
      </c>
      <c r="B117" s="1"/>
      <c r="C117" s="1"/>
      <c r="D117" s="1"/>
      <c r="E117" s="55">
        <f t="shared" si="17"/>
        <v>0</v>
      </c>
      <c r="F117" s="1"/>
      <c r="G117" s="1"/>
      <c r="H117" s="1"/>
      <c r="I117" s="55">
        <f t="shared" si="18"/>
        <v>0</v>
      </c>
      <c r="J117" s="1"/>
      <c r="K117" s="1"/>
      <c r="L117" s="1"/>
      <c r="M117" s="55">
        <f t="shared" si="19"/>
        <v>0</v>
      </c>
      <c r="N117" s="1"/>
      <c r="O117" s="1"/>
      <c r="P117" s="1"/>
      <c r="Q117" s="55">
        <f t="shared" si="20"/>
        <v>0</v>
      </c>
      <c r="R117" s="55">
        <f t="shared" si="21"/>
        <v>0</v>
      </c>
    </row>
    <row r="118" spans="1:20" ht="15.75" customHeight="1" x14ac:dyDescent="0.3">
      <c r="A118" s="61" t="s">
        <v>808</v>
      </c>
      <c r="B118" s="1"/>
      <c r="C118" s="1"/>
      <c r="D118" s="1"/>
      <c r="E118" s="55">
        <f>SUM(B118:D118)</f>
        <v>0</v>
      </c>
      <c r="F118" s="1"/>
      <c r="G118" s="1"/>
      <c r="H118" s="1"/>
      <c r="I118" s="55">
        <f>SUM(F118:H118)</f>
        <v>0</v>
      </c>
      <c r="J118" s="1"/>
      <c r="K118" s="1"/>
      <c r="L118" s="1"/>
      <c r="M118" s="55">
        <f>SUM(J118:L118)</f>
        <v>0</v>
      </c>
      <c r="N118" s="1"/>
      <c r="O118" s="1"/>
      <c r="P118" s="1"/>
      <c r="Q118" s="55">
        <f>SUM(N118:P118)</f>
        <v>0</v>
      </c>
      <c r="R118" s="55">
        <f>+E118+I118+M118+Q118</f>
        <v>0</v>
      </c>
    </row>
    <row r="119" spans="1:20" ht="15.75" customHeight="1" x14ac:dyDescent="0.3">
      <c r="A119" s="346" t="s">
        <v>702</v>
      </c>
      <c r="B119" s="1"/>
      <c r="C119" s="1"/>
      <c r="D119" s="1"/>
      <c r="E119" s="55">
        <f>SUM(B119:D119)</f>
        <v>0</v>
      </c>
      <c r="F119" s="1"/>
      <c r="G119" s="1"/>
      <c r="H119" s="1"/>
      <c r="I119" s="55">
        <f>SUM(F119:H119)</f>
        <v>0</v>
      </c>
      <c r="J119" s="1"/>
      <c r="K119" s="1"/>
      <c r="L119" s="1"/>
      <c r="M119" s="55">
        <f>SUM(J119:L119)</f>
        <v>0</v>
      </c>
      <c r="N119" s="1"/>
      <c r="O119" s="1"/>
      <c r="P119" s="1"/>
      <c r="Q119" s="55">
        <f>SUM(N119:P119)</f>
        <v>0</v>
      </c>
      <c r="R119" s="55">
        <f>+E119+I119+M119+Q119</f>
        <v>0</v>
      </c>
      <c r="T119" s="4" t="s">
        <v>809</v>
      </c>
    </row>
    <row r="120" spans="1:20" ht="15.75" customHeight="1" x14ac:dyDescent="0.3">
      <c r="A120" s="18" t="s">
        <v>67</v>
      </c>
      <c r="B120" s="56"/>
      <c r="C120" s="56"/>
      <c r="D120" s="56"/>
      <c r="E120" s="55" t="s">
        <v>7</v>
      </c>
      <c r="F120" s="56"/>
      <c r="G120" s="56"/>
      <c r="H120" s="56"/>
      <c r="I120" s="55" t="s">
        <v>7</v>
      </c>
      <c r="J120" s="56"/>
      <c r="K120" s="56"/>
      <c r="L120" s="56"/>
      <c r="M120" s="55" t="s">
        <v>7</v>
      </c>
      <c r="N120" s="56"/>
      <c r="O120" s="56"/>
      <c r="P120" s="56"/>
      <c r="Q120" s="55" t="s">
        <v>7</v>
      </c>
      <c r="R120" s="55" t="s">
        <v>7</v>
      </c>
    </row>
    <row r="121" spans="1:20" ht="15.75" customHeight="1" x14ac:dyDescent="0.3">
      <c r="A121" s="61" t="s">
        <v>810</v>
      </c>
      <c r="B121" s="1"/>
      <c r="C121" s="1"/>
      <c r="D121" s="1"/>
      <c r="E121" s="55">
        <f>SUM(B121:D121)</f>
        <v>0</v>
      </c>
      <c r="F121" s="1"/>
      <c r="G121" s="1"/>
      <c r="H121" s="1"/>
      <c r="I121" s="55">
        <f>SUM(F121:H121)</f>
        <v>0</v>
      </c>
      <c r="J121" s="1"/>
      <c r="K121" s="1"/>
      <c r="L121" s="1"/>
      <c r="M121" s="55">
        <f>SUM(J121:L121)</f>
        <v>0</v>
      </c>
      <c r="N121" s="1"/>
      <c r="O121" s="1"/>
      <c r="P121" s="1"/>
      <c r="Q121" s="55">
        <f>SUM(N121:P121)</f>
        <v>0</v>
      </c>
      <c r="R121" s="55">
        <f>+E121+I121+M121+Q121</f>
        <v>0</v>
      </c>
    </row>
    <row r="122" spans="1:20" ht="15.75" customHeight="1" x14ac:dyDescent="0.3">
      <c r="A122" s="61" t="s">
        <v>695</v>
      </c>
      <c r="B122" s="1"/>
      <c r="C122" s="1"/>
      <c r="D122" s="1"/>
      <c r="E122" s="55">
        <f>SUM(B122:D122)</f>
        <v>0</v>
      </c>
      <c r="F122" s="1"/>
      <c r="G122" s="1"/>
      <c r="H122" s="1"/>
      <c r="I122" s="55">
        <f>SUM(F122:H122)</f>
        <v>0</v>
      </c>
      <c r="J122" s="1"/>
      <c r="K122" s="1"/>
      <c r="L122" s="1"/>
      <c r="M122" s="55">
        <f>SUM(J122:L122)</f>
        <v>0</v>
      </c>
      <c r="N122" s="1"/>
      <c r="O122" s="1"/>
      <c r="P122" s="1"/>
      <c r="Q122" s="55">
        <f>SUM(N122:P122)</f>
        <v>0</v>
      </c>
      <c r="R122" s="55">
        <f>+E122+I122+M122+Q122</f>
        <v>0</v>
      </c>
    </row>
    <row r="123" spans="1:20" ht="15.75" customHeight="1" x14ac:dyDescent="0.3">
      <c r="A123" s="18" t="s">
        <v>600</v>
      </c>
      <c r="B123" s="56"/>
      <c r="C123" s="56"/>
      <c r="D123" s="56"/>
      <c r="E123" s="55" t="s">
        <v>7</v>
      </c>
      <c r="F123" s="56"/>
      <c r="G123" s="56"/>
      <c r="H123" s="56"/>
      <c r="I123" s="55" t="s">
        <v>7</v>
      </c>
      <c r="J123" s="56"/>
      <c r="K123" s="56"/>
      <c r="L123" s="56"/>
      <c r="M123" s="55" t="s">
        <v>7</v>
      </c>
      <c r="N123" s="56"/>
      <c r="O123" s="56"/>
      <c r="P123" s="56"/>
      <c r="Q123" s="55" t="s">
        <v>7</v>
      </c>
      <c r="R123" s="55" t="s">
        <v>7</v>
      </c>
    </row>
    <row r="124" spans="1:20" ht="15.75" customHeight="1" x14ac:dyDescent="0.3">
      <c r="A124" s="61" t="s">
        <v>1265</v>
      </c>
      <c r="B124" s="1"/>
      <c r="C124" s="1"/>
      <c r="D124" s="1"/>
      <c r="E124" s="55">
        <f>SUM(B124:D124)</f>
        <v>0</v>
      </c>
      <c r="F124" s="1"/>
      <c r="G124" s="1"/>
      <c r="H124" s="1"/>
      <c r="I124" s="55">
        <f>SUM(F124:H124)</f>
        <v>0</v>
      </c>
      <c r="J124" s="1"/>
      <c r="K124" s="1"/>
      <c r="L124" s="1"/>
      <c r="M124" s="55">
        <f>SUM(J124:L124)</f>
        <v>0</v>
      </c>
      <c r="N124" s="1"/>
      <c r="O124" s="1"/>
      <c r="P124" s="1"/>
      <c r="Q124" s="55">
        <f>SUM(N124:P124)</f>
        <v>0</v>
      </c>
      <c r="R124" s="55">
        <f>+E124+I124+M124+Q124</f>
        <v>0</v>
      </c>
      <c r="T124" s="4" t="s">
        <v>801</v>
      </c>
    </row>
    <row r="125" spans="1:20" ht="15.75" customHeight="1" x14ac:dyDescent="0.3">
      <c r="A125" s="18" t="s">
        <v>70</v>
      </c>
      <c r="B125" s="56"/>
      <c r="C125" s="56"/>
      <c r="D125" s="56"/>
      <c r="E125" s="55" t="s">
        <v>7</v>
      </c>
      <c r="F125" s="56"/>
      <c r="G125" s="56"/>
      <c r="H125" s="56"/>
      <c r="I125" s="55" t="s">
        <v>7</v>
      </c>
      <c r="J125" s="56"/>
      <c r="K125" s="56"/>
      <c r="L125" s="56"/>
      <c r="M125" s="55" t="s">
        <v>7</v>
      </c>
      <c r="N125" s="56"/>
      <c r="O125" s="56"/>
      <c r="P125" s="56"/>
      <c r="Q125" s="55" t="s">
        <v>7</v>
      </c>
      <c r="R125" s="55" t="s">
        <v>7</v>
      </c>
    </row>
    <row r="126" spans="1:20" ht="15.75" customHeight="1" x14ac:dyDescent="0.3">
      <c r="A126" s="61" t="s">
        <v>1266</v>
      </c>
      <c r="B126" s="1"/>
      <c r="C126" s="1"/>
      <c r="D126" s="1"/>
      <c r="E126" s="55">
        <f t="shared" ref="E126:E131" si="22">SUM(B126:D126)</f>
        <v>0</v>
      </c>
      <c r="F126" s="1"/>
      <c r="G126" s="1"/>
      <c r="H126" s="1"/>
      <c r="I126" s="55">
        <f t="shared" ref="I126:I131" si="23">SUM(F126:H126)</f>
        <v>0</v>
      </c>
      <c r="J126" s="1"/>
      <c r="K126" s="1"/>
      <c r="L126" s="1"/>
      <c r="M126" s="55">
        <f t="shared" ref="M126:M131" si="24">SUM(J126:L126)</f>
        <v>0</v>
      </c>
      <c r="N126" s="1"/>
      <c r="O126" s="1"/>
      <c r="P126" s="1"/>
      <c r="Q126" s="55">
        <f t="shared" ref="Q126:Q131" si="25">SUM(N126:P126)</f>
        <v>0</v>
      </c>
      <c r="R126" s="55">
        <f t="shared" ref="R126:R131" si="26">+E126+I126+M126+Q126</f>
        <v>0</v>
      </c>
    </row>
    <row r="127" spans="1:20" ht="15.75" customHeight="1" thickBot="1" x14ac:dyDescent="0.35">
      <c r="A127" s="61" t="s">
        <v>1267</v>
      </c>
      <c r="B127" s="1"/>
      <c r="C127" s="1"/>
      <c r="D127" s="1"/>
      <c r="E127" s="55">
        <f t="shared" si="22"/>
        <v>0</v>
      </c>
      <c r="F127" s="1"/>
      <c r="G127" s="1"/>
      <c r="H127" s="1"/>
      <c r="I127" s="55">
        <f t="shared" si="23"/>
        <v>0</v>
      </c>
      <c r="J127" s="1"/>
      <c r="K127" s="1"/>
      <c r="L127" s="1"/>
      <c r="M127" s="55">
        <f t="shared" si="24"/>
        <v>0</v>
      </c>
      <c r="N127" s="1"/>
      <c r="O127" s="1"/>
      <c r="P127" s="1"/>
      <c r="Q127" s="55">
        <f t="shared" si="25"/>
        <v>0</v>
      </c>
      <c r="R127" s="55">
        <f t="shared" si="26"/>
        <v>0</v>
      </c>
    </row>
    <row r="128" spans="1:20" ht="16.5" customHeight="1" thickBot="1" x14ac:dyDescent="0.35">
      <c r="A128" s="57" t="s">
        <v>71</v>
      </c>
      <c r="B128" s="58">
        <f>SUM(B123:B127)</f>
        <v>0</v>
      </c>
      <c r="C128" s="58">
        <f>SUM(C123:C127)</f>
        <v>0</v>
      </c>
      <c r="D128" s="58">
        <f>SUM(D123:D127)</f>
        <v>0</v>
      </c>
      <c r="E128" s="60">
        <f t="shared" si="22"/>
        <v>0</v>
      </c>
      <c r="F128" s="58">
        <f>SUM(F123:F127)</f>
        <v>0</v>
      </c>
      <c r="G128" s="58">
        <f>SUM(G123:G127)</f>
        <v>0</v>
      </c>
      <c r="H128" s="58">
        <f>SUM(H123:H127)</f>
        <v>0</v>
      </c>
      <c r="I128" s="60">
        <f t="shared" si="23"/>
        <v>0</v>
      </c>
      <c r="J128" s="58">
        <f>SUM(J123:J127)</f>
        <v>0</v>
      </c>
      <c r="K128" s="58">
        <f>SUM(K123:K127)</f>
        <v>0</v>
      </c>
      <c r="L128" s="58">
        <f>SUM(L123:L127)</f>
        <v>0</v>
      </c>
      <c r="M128" s="60">
        <f t="shared" si="24"/>
        <v>0</v>
      </c>
      <c r="N128" s="58">
        <f>SUM(N123:N127)</f>
        <v>0</v>
      </c>
      <c r="O128" s="58">
        <f>SUM(O123:O127)</f>
        <v>0</v>
      </c>
      <c r="P128" s="58">
        <f>SUM(P123:P127)</f>
        <v>0</v>
      </c>
      <c r="Q128" s="60">
        <f t="shared" si="25"/>
        <v>0</v>
      </c>
      <c r="R128" s="59">
        <f t="shared" si="26"/>
        <v>0</v>
      </c>
    </row>
    <row r="129" spans="1:20" ht="16.5" customHeight="1" thickBot="1" x14ac:dyDescent="0.35">
      <c r="A129" s="57" t="s">
        <v>72</v>
      </c>
      <c r="B129" s="58">
        <f>SUM(B110:B127)</f>
        <v>0</v>
      </c>
      <c r="C129" s="58">
        <f>SUM(C110:C127)</f>
        <v>0</v>
      </c>
      <c r="D129" s="58">
        <f>SUM(D110:D127)</f>
        <v>0</v>
      </c>
      <c r="E129" s="60">
        <f t="shared" si="22"/>
        <v>0</v>
      </c>
      <c r="F129" s="58">
        <f>SUM(F110:F127)</f>
        <v>0</v>
      </c>
      <c r="G129" s="58">
        <f>SUM(G110:G127)</f>
        <v>0</v>
      </c>
      <c r="H129" s="58">
        <f>SUM(H110:H127)</f>
        <v>0</v>
      </c>
      <c r="I129" s="60">
        <f t="shared" si="23"/>
        <v>0</v>
      </c>
      <c r="J129" s="58">
        <f>SUM(J110:J127)</f>
        <v>0</v>
      </c>
      <c r="K129" s="58">
        <f>SUM(K110:K127)</f>
        <v>0</v>
      </c>
      <c r="L129" s="58">
        <f>SUM(L110:L127)</f>
        <v>0</v>
      </c>
      <c r="M129" s="60">
        <f t="shared" si="24"/>
        <v>0</v>
      </c>
      <c r="N129" s="58">
        <f>SUM(N110:N127)</f>
        <v>0</v>
      </c>
      <c r="O129" s="58">
        <f>SUM(O110:O127)</f>
        <v>0</v>
      </c>
      <c r="P129" s="58">
        <f>SUM(P110:P127)</f>
        <v>0</v>
      </c>
      <c r="Q129" s="60">
        <f t="shared" si="25"/>
        <v>0</v>
      </c>
      <c r="R129" s="59">
        <f t="shared" si="26"/>
        <v>0</v>
      </c>
    </row>
    <row r="130" spans="1:20" ht="16.5" customHeight="1" thickBot="1" x14ac:dyDescent="0.35">
      <c r="A130" s="57" t="s">
        <v>73</v>
      </c>
      <c r="B130" s="58">
        <f>+B89+B96+B109+B129</f>
        <v>468</v>
      </c>
      <c r="C130" s="58">
        <f>+C89+C96+C109+C129</f>
        <v>704</v>
      </c>
      <c r="D130" s="58">
        <f>+D89+D96+D109+D129</f>
        <v>2501</v>
      </c>
      <c r="E130" s="59">
        <f t="shared" si="22"/>
        <v>3673</v>
      </c>
      <c r="F130" s="58">
        <f>+F89+F96+F109+F129</f>
        <v>4423</v>
      </c>
      <c r="G130" s="58">
        <f>+G89+G96+G109+G129</f>
        <v>5937</v>
      </c>
      <c r="H130" s="58">
        <f>+H89+H96+H109+H129</f>
        <v>5894</v>
      </c>
      <c r="I130" s="59">
        <f t="shared" si="23"/>
        <v>16254</v>
      </c>
      <c r="J130" s="58">
        <f>+J89+J96+J109+J129</f>
        <v>6298</v>
      </c>
      <c r="K130" s="58">
        <f>+K89+K96+K109+K129</f>
        <v>5683</v>
      </c>
      <c r="L130" s="58">
        <f>+L89+L96+L109+L129</f>
        <v>3648</v>
      </c>
      <c r="M130" s="59">
        <f t="shared" si="24"/>
        <v>15629</v>
      </c>
      <c r="N130" s="58">
        <f>+N89+N96+N109+N129</f>
        <v>2599</v>
      </c>
      <c r="O130" s="58">
        <f>+O89+O96+O109+O129</f>
        <v>1935</v>
      </c>
      <c r="P130" s="58">
        <f>+P89+P96+P109+P129</f>
        <v>2240</v>
      </c>
      <c r="Q130" s="59">
        <f t="shared" si="25"/>
        <v>6774</v>
      </c>
      <c r="R130" s="59">
        <f t="shared" si="26"/>
        <v>42330</v>
      </c>
    </row>
    <row r="131" spans="1:20" ht="16.5" customHeight="1" thickBot="1" x14ac:dyDescent="0.35">
      <c r="A131" s="73" t="s">
        <v>40</v>
      </c>
      <c r="B131" s="21">
        <v>173</v>
      </c>
      <c r="C131" s="21">
        <v>260</v>
      </c>
      <c r="D131" s="21">
        <v>471</v>
      </c>
      <c r="E131" s="55">
        <f t="shared" si="22"/>
        <v>904</v>
      </c>
      <c r="F131" s="21">
        <v>629</v>
      </c>
      <c r="G131" s="21">
        <v>725</v>
      </c>
      <c r="H131" s="21">
        <v>712</v>
      </c>
      <c r="I131" s="55">
        <f t="shared" si="23"/>
        <v>2066</v>
      </c>
      <c r="J131" s="21">
        <v>711</v>
      </c>
      <c r="K131" s="21">
        <v>573</v>
      </c>
      <c r="L131" s="21">
        <v>542</v>
      </c>
      <c r="M131" s="55">
        <f t="shared" si="24"/>
        <v>1826</v>
      </c>
      <c r="N131" s="21">
        <v>490</v>
      </c>
      <c r="O131" s="21">
        <v>407</v>
      </c>
      <c r="P131" s="21">
        <v>323</v>
      </c>
      <c r="Q131" s="55">
        <f t="shared" si="25"/>
        <v>1220</v>
      </c>
      <c r="R131" s="55">
        <f t="shared" si="26"/>
        <v>6016</v>
      </c>
    </row>
    <row r="132" spans="1:20" ht="16.5" customHeight="1" thickBot="1" x14ac:dyDescent="0.35">
      <c r="A132" s="74"/>
      <c r="B132" s="75"/>
      <c r="C132" s="75"/>
      <c r="D132" s="75"/>
      <c r="E132" s="59" t="s">
        <v>7</v>
      </c>
      <c r="F132" s="75"/>
      <c r="G132" s="75"/>
      <c r="H132" s="75"/>
      <c r="I132" s="59" t="s">
        <v>7</v>
      </c>
      <c r="J132" s="75"/>
      <c r="K132" s="75"/>
      <c r="L132" s="75"/>
      <c r="M132" s="59" t="s">
        <v>7</v>
      </c>
      <c r="N132" s="75"/>
      <c r="O132" s="75"/>
      <c r="P132" s="75"/>
      <c r="Q132" s="59" t="s">
        <v>7</v>
      </c>
      <c r="R132" s="59" t="s">
        <v>7</v>
      </c>
    </row>
    <row r="133" spans="1:20" ht="15.75" customHeight="1" x14ac:dyDescent="0.3">
      <c r="A133" s="76" t="s">
        <v>41</v>
      </c>
      <c r="B133" s="77">
        <f>+B130+B131</f>
        <v>641</v>
      </c>
      <c r="C133" s="77">
        <f>+C130+C131</f>
        <v>964</v>
      </c>
      <c r="D133" s="77">
        <f>+D130+D131</f>
        <v>2972</v>
      </c>
      <c r="E133" s="55">
        <f>SUM(B133:D133)</f>
        <v>4577</v>
      </c>
      <c r="F133" s="77">
        <f>+F130+F131</f>
        <v>5052</v>
      </c>
      <c r="G133" s="77">
        <f>+G130+G131</f>
        <v>6662</v>
      </c>
      <c r="H133" s="77">
        <f>+H130+H131</f>
        <v>6606</v>
      </c>
      <c r="I133" s="55">
        <f>SUM(F133:H133)</f>
        <v>18320</v>
      </c>
      <c r="J133" s="77">
        <f>+J130+J131</f>
        <v>7009</v>
      </c>
      <c r="K133" s="77">
        <f>+K130+K131</f>
        <v>6256</v>
      </c>
      <c r="L133" s="77">
        <f>+L130+L131</f>
        <v>4190</v>
      </c>
      <c r="M133" s="55">
        <f>SUM(J133:L133)</f>
        <v>17455</v>
      </c>
      <c r="N133" s="77">
        <f>+N130+N131</f>
        <v>3089</v>
      </c>
      <c r="O133" s="77">
        <f>+O130+O131</f>
        <v>2342</v>
      </c>
      <c r="P133" s="77">
        <f>+P130+P131</f>
        <v>2563</v>
      </c>
      <c r="Q133" s="55">
        <f>SUM(N133:P133)</f>
        <v>7994</v>
      </c>
      <c r="R133" s="55">
        <f>+E133+I133+M133+Q133</f>
        <v>48346</v>
      </c>
    </row>
    <row r="134" spans="1:20" ht="15.75" customHeight="1" x14ac:dyDescent="0.3">
      <c r="A134" s="78" t="s">
        <v>42</v>
      </c>
      <c r="B134" s="1">
        <f>(B133/B10)/1.983</f>
        <v>10.427342085143069</v>
      </c>
      <c r="C134" s="1">
        <f>(C133/C10)/1.983</f>
        <v>17.361861537353217</v>
      </c>
      <c r="D134" s="1">
        <f>(D133/D10)/1.983</f>
        <v>48.346428513331055</v>
      </c>
      <c r="E134" s="55" t="s">
        <v>7</v>
      </c>
      <c r="F134" s="1">
        <f>(F133/F10)/1.983</f>
        <v>84.921835602622295</v>
      </c>
      <c r="G134" s="1">
        <f>(G133/G10)/1.983</f>
        <v>108.37278154636995</v>
      </c>
      <c r="H134" s="1">
        <f>(H133/H10)/1.983</f>
        <v>111.04387291981844</v>
      </c>
      <c r="I134" s="55" t="s">
        <v>7</v>
      </c>
      <c r="J134" s="1">
        <f>(J133/J10)/1.983</f>
        <v>114.0175361540839</v>
      </c>
      <c r="K134" s="1">
        <f>(K133/K10)/1.983</f>
        <v>101.76825598230117</v>
      </c>
      <c r="L134" s="1">
        <f>(L133/L10)/1.983</f>
        <v>70.432005379055298</v>
      </c>
      <c r="M134" s="55" t="s">
        <v>7</v>
      </c>
      <c r="N134" s="1">
        <f>(N133/N10)/1.983</f>
        <v>50.249703121695703</v>
      </c>
      <c r="O134" s="1">
        <f>(O133/O10)/1.983</f>
        <v>39.367961001849046</v>
      </c>
      <c r="P134" s="1">
        <f>(P133/P10)/1.983</f>
        <v>41.693101036227283</v>
      </c>
      <c r="Q134" s="55" t="s">
        <v>7</v>
      </c>
      <c r="R134" s="55" t="s">
        <v>7</v>
      </c>
    </row>
    <row r="135" spans="1:20" ht="15.75" customHeight="1" x14ac:dyDescent="0.3">
      <c r="A135" s="79" t="s">
        <v>106</v>
      </c>
      <c r="B135" s="1">
        <f>B133+B325</f>
        <v>120970</v>
      </c>
      <c r="C135" s="1">
        <f>C133+C325</f>
        <v>110185</v>
      </c>
      <c r="D135" s="1">
        <f>D133+D325</f>
        <v>147859</v>
      </c>
      <c r="E135" s="55">
        <f>SUM(B135:D135)</f>
        <v>379014</v>
      </c>
      <c r="F135" s="1">
        <f>F133+F325</f>
        <v>162226</v>
      </c>
      <c r="G135" s="1">
        <f>G133+G325</f>
        <v>166807</v>
      </c>
      <c r="H135" s="1">
        <f>H133+H325</f>
        <v>89152</v>
      </c>
      <c r="I135" s="55">
        <f>SUM(F135:H135)</f>
        <v>418185</v>
      </c>
      <c r="J135" s="1">
        <f>J133+J325</f>
        <v>56546</v>
      </c>
      <c r="K135" s="1">
        <f>K133+K325</f>
        <v>50063</v>
      </c>
      <c r="L135" s="1">
        <f>L133+L325</f>
        <v>106933</v>
      </c>
      <c r="M135" s="55">
        <f>SUM(J135:L135)</f>
        <v>213542</v>
      </c>
      <c r="N135" s="1">
        <f>N133+N325</f>
        <v>138546</v>
      </c>
      <c r="O135" s="1">
        <f>O133+O325</f>
        <v>122979</v>
      </c>
      <c r="P135" s="1">
        <f>P133+P325</f>
        <v>85467</v>
      </c>
      <c r="Q135" s="55">
        <f>SUM(N135:P135)</f>
        <v>346992</v>
      </c>
      <c r="R135" s="55">
        <f>+E135+I135+M135+Q135</f>
        <v>1357733</v>
      </c>
    </row>
    <row r="136" spans="1:20" ht="16.5" customHeight="1" thickBot="1" x14ac:dyDescent="0.35">
      <c r="A136" s="80" t="s">
        <v>107</v>
      </c>
      <c r="B136" s="25">
        <f>(B135/B10)/1.983</f>
        <v>1967.8558066142859</v>
      </c>
      <c r="C136" s="25">
        <f>(C135/C10)/1.983</f>
        <v>1984.4571716735106</v>
      </c>
      <c r="D136" s="25">
        <f>(D135/D10)/1.983</f>
        <v>2405.26735314691</v>
      </c>
      <c r="E136" s="81" t="s">
        <v>7</v>
      </c>
      <c r="F136" s="25">
        <f>(F135/F10)/1.983</f>
        <v>2726.9457051605314</v>
      </c>
      <c r="G136" s="25">
        <f>(G135/G10)/1.983</f>
        <v>2713.5002358759129</v>
      </c>
      <c r="H136" s="25">
        <f>(H135/H10)/1.983</f>
        <v>1498.6048075306771</v>
      </c>
      <c r="I136" s="81" t="s">
        <v>7</v>
      </c>
      <c r="J136" s="25">
        <f>(J135/J10)/1.983</f>
        <v>919.8509914921998</v>
      </c>
      <c r="K136" s="25">
        <f>(K135/K10)/1.983</f>
        <v>814.39005742358438</v>
      </c>
      <c r="L136" s="25">
        <f>(L135/L10)/1.983</f>
        <v>1797.4953773743487</v>
      </c>
      <c r="M136" s="81" t="s">
        <v>7</v>
      </c>
      <c r="N136" s="25">
        <f>(N135/N10)/1.983</f>
        <v>2253.7699477819529</v>
      </c>
      <c r="O136" s="25">
        <f>(O135/O10)/1.983</f>
        <v>2067.221381744831</v>
      </c>
      <c r="P136" s="25">
        <f>(P135/P10)/1.983</f>
        <v>1390.3177004538577</v>
      </c>
      <c r="Q136" s="81" t="s">
        <v>7</v>
      </c>
      <c r="R136" s="81" t="s">
        <v>7</v>
      </c>
    </row>
    <row r="137" spans="1:20" ht="15.75" customHeight="1" x14ac:dyDescent="0.3">
      <c r="A137" s="28"/>
      <c r="B137" s="1"/>
      <c r="C137" s="1"/>
      <c r="D137" s="1"/>
      <c r="E137" s="1"/>
      <c r="F137" s="1"/>
      <c r="G137" s="1"/>
      <c r="H137" s="1"/>
      <c r="I137" s="1"/>
      <c r="J137" s="1"/>
      <c r="K137" s="1"/>
      <c r="L137" s="1"/>
      <c r="M137" s="1"/>
      <c r="N137" s="1"/>
      <c r="O137" s="1"/>
      <c r="P137" s="1"/>
      <c r="Q137" s="1"/>
      <c r="R137" s="2"/>
    </row>
    <row r="138" spans="1:20" ht="15.75" customHeight="1" thickBot="1" x14ac:dyDescent="0.35">
      <c r="A138" s="28" t="s">
        <v>7</v>
      </c>
      <c r="B138" s="1"/>
      <c r="C138" s="1"/>
      <c r="D138" s="1"/>
      <c r="E138" s="1"/>
      <c r="F138" s="1"/>
      <c r="G138" s="1"/>
      <c r="H138" s="1"/>
      <c r="I138" s="1"/>
      <c r="J138" s="1"/>
      <c r="K138" s="1"/>
      <c r="L138" s="1"/>
      <c r="M138" s="1"/>
      <c r="N138" s="1"/>
      <c r="O138" s="1"/>
      <c r="P138" s="1"/>
      <c r="Q138" s="1"/>
      <c r="R138" s="2"/>
    </row>
    <row r="139" spans="1:20" ht="16.5" customHeight="1" thickBot="1" x14ac:dyDescent="0.35">
      <c r="A139" s="29" t="s">
        <v>108</v>
      </c>
      <c r="B139" s="30" t="s">
        <v>8</v>
      </c>
      <c r="C139" s="31" t="s">
        <v>9</v>
      </c>
      <c r="D139" s="31" t="s">
        <v>10</v>
      </c>
      <c r="E139" s="32" t="s">
        <v>11</v>
      </c>
      <c r="F139" s="31" t="s">
        <v>12</v>
      </c>
      <c r="G139" s="31" t="s">
        <v>13</v>
      </c>
      <c r="H139" s="31" t="s">
        <v>14</v>
      </c>
      <c r="I139" s="33" t="s">
        <v>15</v>
      </c>
      <c r="J139" s="31" t="s">
        <v>16</v>
      </c>
      <c r="K139" s="31" t="s">
        <v>17</v>
      </c>
      <c r="L139" s="31" t="s">
        <v>18</v>
      </c>
      <c r="M139" s="33" t="s">
        <v>19</v>
      </c>
      <c r="N139" s="31" t="s">
        <v>20</v>
      </c>
      <c r="O139" s="31" t="s">
        <v>21</v>
      </c>
      <c r="P139" s="31" t="s">
        <v>22</v>
      </c>
      <c r="Q139" s="33" t="s">
        <v>23</v>
      </c>
      <c r="R139" s="34" t="s">
        <v>24</v>
      </c>
    </row>
    <row r="140" spans="1:20" ht="16.5" customHeight="1" thickBot="1" x14ac:dyDescent="0.35">
      <c r="A140" s="74"/>
      <c r="B140" s="75"/>
      <c r="C140" s="75"/>
      <c r="D140" s="75"/>
      <c r="E140" s="82"/>
      <c r="F140" s="75"/>
      <c r="G140" s="75"/>
      <c r="H140" s="75"/>
      <c r="I140" s="82"/>
      <c r="J140" s="75"/>
      <c r="K140" s="75"/>
      <c r="L140" s="75"/>
      <c r="M140" s="82"/>
      <c r="N140" s="75"/>
      <c r="O140" s="75"/>
      <c r="P140" s="75"/>
      <c r="Q140" s="82"/>
      <c r="R140" s="74"/>
    </row>
    <row r="141" spans="1:20" ht="15.75" customHeight="1" x14ac:dyDescent="0.3">
      <c r="A141" s="15" t="s">
        <v>48</v>
      </c>
      <c r="B141" s="1" t="s">
        <v>7</v>
      </c>
      <c r="C141" s="1" t="s">
        <v>7</v>
      </c>
      <c r="D141" s="1" t="s">
        <v>7</v>
      </c>
      <c r="E141" s="55" t="s">
        <v>7</v>
      </c>
      <c r="F141" s="1" t="s">
        <v>7</v>
      </c>
      <c r="G141" s="1" t="s">
        <v>7</v>
      </c>
      <c r="H141" s="1" t="s">
        <v>7</v>
      </c>
      <c r="I141" s="55" t="s">
        <v>7</v>
      </c>
      <c r="J141" s="1" t="s">
        <v>7</v>
      </c>
      <c r="K141" s="1" t="s">
        <v>7</v>
      </c>
      <c r="L141" s="1" t="s">
        <v>7</v>
      </c>
      <c r="M141" s="55" t="s">
        <v>7</v>
      </c>
      <c r="N141" s="1" t="s">
        <v>7</v>
      </c>
      <c r="O141" s="1" t="s">
        <v>7</v>
      </c>
      <c r="P141" s="1" t="s">
        <v>7</v>
      </c>
      <c r="Q141" s="55" t="s">
        <v>7</v>
      </c>
      <c r="R141" s="83" t="s">
        <v>7</v>
      </c>
    </row>
    <row r="142" spans="1:20" ht="15.75" customHeight="1" x14ac:dyDescent="0.3">
      <c r="A142" s="15" t="s">
        <v>49</v>
      </c>
      <c r="B142" s="1"/>
      <c r="C142" s="1"/>
      <c r="D142" s="1"/>
      <c r="E142" s="55" t="s">
        <v>7</v>
      </c>
      <c r="F142" s="1"/>
      <c r="G142" s="1"/>
      <c r="H142" s="1"/>
      <c r="I142" s="55" t="s">
        <v>7</v>
      </c>
      <c r="J142" s="1"/>
      <c r="K142" s="1"/>
      <c r="L142" s="1"/>
      <c r="M142" s="55" t="s">
        <v>7</v>
      </c>
      <c r="N142" s="1"/>
      <c r="O142" s="1"/>
      <c r="P142" s="1"/>
      <c r="Q142" s="55" t="s">
        <v>7</v>
      </c>
      <c r="R142" s="83"/>
    </row>
    <row r="143" spans="1:20" ht="15.75" customHeight="1" x14ac:dyDescent="0.3">
      <c r="A143" s="84" t="s">
        <v>811</v>
      </c>
      <c r="B143" s="1"/>
      <c r="C143" s="1"/>
      <c r="D143" s="1"/>
      <c r="E143" s="55">
        <f t="shared" ref="E143:E147" si="27">SUM(B143:D143)</f>
        <v>0</v>
      </c>
      <c r="F143" s="1">
        <v>582</v>
      </c>
      <c r="G143" s="1">
        <v>652</v>
      </c>
      <c r="H143" s="1">
        <v>555</v>
      </c>
      <c r="I143" s="55">
        <f t="shared" ref="I143:I192" si="28">SUM(F143:H143)</f>
        <v>1789</v>
      </c>
      <c r="J143" s="1">
        <v>543</v>
      </c>
      <c r="K143" s="1">
        <v>330</v>
      </c>
      <c r="L143" s="1">
        <v>462</v>
      </c>
      <c r="M143" s="55">
        <f t="shared" ref="M143:M192" si="29">SUM(J143:L143)</f>
        <v>1335</v>
      </c>
      <c r="N143" s="1">
        <v>810</v>
      </c>
      <c r="O143" s="1"/>
      <c r="P143" s="1"/>
      <c r="Q143" s="55">
        <f t="shared" ref="Q143:Q198" si="30">SUM(N143:P143)</f>
        <v>810</v>
      </c>
      <c r="R143" s="55">
        <f>+E143+I143+M143+Q143</f>
        <v>3934</v>
      </c>
      <c r="T143" s="4" t="s">
        <v>812</v>
      </c>
    </row>
    <row r="144" spans="1:20" ht="15.75" customHeight="1" x14ac:dyDescent="0.3">
      <c r="A144" s="84" t="s">
        <v>813</v>
      </c>
      <c r="B144" s="1"/>
      <c r="C144" s="1">
        <v>244</v>
      </c>
      <c r="D144" s="1">
        <v>1060</v>
      </c>
      <c r="E144" s="55">
        <f t="shared" si="27"/>
        <v>1304</v>
      </c>
      <c r="F144" s="1">
        <v>1713</v>
      </c>
      <c r="G144" s="1">
        <v>1910</v>
      </c>
      <c r="H144" s="1">
        <v>2084</v>
      </c>
      <c r="I144" s="55">
        <f t="shared" si="28"/>
        <v>5707</v>
      </c>
      <c r="J144" s="1">
        <v>1865</v>
      </c>
      <c r="K144" s="1">
        <v>1806</v>
      </c>
      <c r="L144" s="1">
        <v>411</v>
      </c>
      <c r="M144" s="55">
        <f>SUM(J144:L144)</f>
        <v>4082</v>
      </c>
      <c r="N144" s="1"/>
      <c r="O144" s="1"/>
      <c r="P144" s="1"/>
      <c r="Q144" s="55">
        <f t="shared" si="30"/>
        <v>0</v>
      </c>
      <c r="R144" s="55">
        <f t="shared" ref="R144:R195" si="31">+E144+I144+M144+Q144</f>
        <v>11093</v>
      </c>
      <c r="S144" s="344"/>
      <c r="T144" s="4" t="s">
        <v>812</v>
      </c>
    </row>
    <row r="145" spans="1:20" ht="15.75" customHeight="1" x14ac:dyDescent="0.3">
      <c r="A145" s="84" t="s">
        <v>814</v>
      </c>
      <c r="B145" s="1"/>
      <c r="C145" s="1"/>
      <c r="D145" s="1"/>
      <c r="E145" s="55">
        <f t="shared" si="27"/>
        <v>0</v>
      </c>
      <c r="F145" s="1">
        <v>328</v>
      </c>
      <c r="G145" s="1">
        <v>368</v>
      </c>
      <c r="H145" s="1">
        <v>314</v>
      </c>
      <c r="I145" s="55">
        <f t="shared" si="28"/>
        <v>1010</v>
      </c>
      <c r="J145" s="1">
        <v>306</v>
      </c>
      <c r="K145" s="1">
        <v>200</v>
      </c>
      <c r="L145" s="1">
        <v>260</v>
      </c>
      <c r="M145" s="55">
        <f t="shared" si="29"/>
        <v>766</v>
      </c>
      <c r="N145" s="1">
        <v>453</v>
      </c>
      <c r="O145" s="1"/>
      <c r="P145" s="1"/>
      <c r="Q145" s="55">
        <f t="shared" si="30"/>
        <v>453</v>
      </c>
      <c r="R145" s="55">
        <f t="shared" si="31"/>
        <v>2229</v>
      </c>
      <c r="T145" s="4" t="s">
        <v>812</v>
      </c>
    </row>
    <row r="146" spans="1:20" ht="15.75" customHeight="1" x14ac:dyDescent="0.3">
      <c r="A146" s="84" t="s">
        <v>815</v>
      </c>
      <c r="B146" s="1"/>
      <c r="C146" s="1"/>
      <c r="D146" s="1"/>
      <c r="E146" s="55">
        <f t="shared" si="27"/>
        <v>0</v>
      </c>
      <c r="F146" s="1">
        <v>362</v>
      </c>
      <c r="G146" s="1">
        <v>405</v>
      </c>
      <c r="H146" s="1">
        <v>345</v>
      </c>
      <c r="I146" s="55">
        <f t="shared" si="28"/>
        <v>1112</v>
      </c>
      <c r="J146" s="1">
        <v>337</v>
      </c>
      <c r="K146" s="1">
        <v>220</v>
      </c>
      <c r="L146" s="1">
        <v>285</v>
      </c>
      <c r="M146" s="55">
        <f t="shared" si="29"/>
        <v>842</v>
      </c>
      <c r="N146" s="1">
        <v>499</v>
      </c>
      <c r="O146" s="1"/>
      <c r="P146" s="1"/>
      <c r="Q146" s="55">
        <f t="shared" si="30"/>
        <v>499</v>
      </c>
      <c r="R146" s="55">
        <f t="shared" si="31"/>
        <v>2453</v>
      </c>
      <c r="T146" s="4" t="s">
        <v>812</v>
      </c>
    </row>
    <row r="147" spans="1:20" ht="15.75" customHeight="1" x14ac:dyDescent="0.3">
      <c r="A147" s="84" t="s">
        <v>1381</v>
      </c>
      <c r="B147" s="1"/>
      <c r="C147" s="1"/>
      <c r="D147" s="1"/>
      <c r="E147" s="55">
        <f t="shared" si="27"/>
        <v>0</v>
      </c>
      <c r="F147" s="1"/>
      <c r="G147" s="1"/>
      <c r="H147" s="1"/>
      <c r="I147" s="55">
        <f t="shared" si="28"/>
        <v>0</v>
      </c>
      <c r="J147" s="1"/>
      <c r="K147" s="1"/>
      <c r="L147" s="1"/>
      <c r="M147" s="55">
        <f t="shared" si="29"/>
        <v>0</v>
      </c>
      <c r="N147" s="1"/>
      <c r="O147" s="1"/>
      <c r="P147" s="1"/>
      <c r="Q147" s="55">
        <f t="shared" ref="Q147" si="32">SUM(N147:P147)</f>
        <v>0</v>
      </c>
      <c r="R147" s="55">
        <f t="shared" si="31"/>
        <v>0</v>
      </c>
    </row>
    <row r="148" spans="1:20" ht="15.75" customHeight="1" x14ac:dyDescent="0.3">
      <c r="A148" s="71" t="s">
        <v>111</v>
      </c>
      <c r="B148" s="1">
        <v>66</v>
      </c>
      <c r="C148" s="1">
        <v>61</v>
      </c>
      <c r="D148" s="1">
        <v>60</v>
      </c>
      <c r="E148" s="55">
        <f t="shared" ref="E148:E149" si="33">SUM(B148:D148)</f>
        <v>187</v>
      </c>
      <c r="F148" s="1">
        <v>67</v>
      </c>
      <c r="G148" s="1">
        <v>70</v>
      </c>
      <c r="H148" s="1">
        <v>5</v>
      </c>
      <c r="I148" s="55">
        <f t="shared" si="28"/>
        <v>142</v>
      </c>
      <c r="J148" s="1">
        <v>107</v>
      </c>
      <c r="K148" s="1">
        <v>15</v>
      </c>
      <c r="L148" s="1">
        <v>26</v>
      </c>
      <c r="M148" s="55">
        <f t="shared" si="29"/>
        <v>148</v>
      </c>
      <c r="N148" s="1">
        <v>26</v>
      </c>
      <c r="O148" s="1">
        <v>19</v>
      </c>
      <c r="P148" s="1">
        <v>15</v>
      </c>
      <c r="Q148" s="55">
        <f t="shared" si="30"/>
        <v>60</v>
      </c>
      <c r="R148" s="55">
        <f t="shared" si="31"/>
        <v>537</v>
      </c>
      <c r="T148" s="4" t="s">
        <v>406</v>
      </c>
    </row>
    <row r="149" spans="1:20" ht="15.75" customHeight="1" x14ac:dyDescent="0.3">
      <c r="A149" s="71" t="s">
        <v>1268</v>
      </c>
      <c r="B149" s="1"/>
      <c r="C149" s="1"/>
      <c r="D149" s="1"/>
      <c r="E149" s="55">
        <f t="shared" si="33"/>
        <v>0</v>
      </c>
      <c r="F149" s="1"/>
      <c r="G149" s="1"/>
      <c r="H149" s="1"/>
      <c r="I149" s="55">
        <f t="shared" si="28"/>
        <v>0</v>
      </c>
      <c r="J149" s="1"/>
      <c r="K149" s="1"/>
      <c r="L149" s="1"/>
      <c r="M149" s="55">
        <f t="shared" si="29"/>
        <v>0</v>
      </c>
      <c r="N149" s="1"/>
      <c r="O149" s="1"/>
      <c r="P149" s="1"/>
      <c r="Q149" s="55">
        <f t="shared" si="30"/>
        <v>0</v>
      </c>
      <c r="R149" s="55">
        <f t="shared" si="31"/>
        <v>0</v>
      </c>
    </row>
    <row r="150" spans="1:20" ht="15.75" customHeight="1" x14ac:dyDescent="0.3">
      <c r="A150" s="84" t="s">
        <v>816</v>
      </c>
      <c r="C150" s="1"/>
      <c r="D150" s="1"/>
      <c r="E150" s="55">
        <f>SUM(C150:D150)</f>
        <v>0</v>
      </c>
      <c r="F150" s="1"/>
      <c r="G150" s="1"/>
      <c r="H150" s="1">
        <v>718</v>
      </c>
      <c r="I150" s="55">
        <f t="shared" si="28"/>
        <v>718</v>
      </c>
      <c r="J150" s="1">
        <v>38</v>
      </c>
      <c r="K150" s="1">
        <v>59</v>
      </c>
      <c r="L150" s="1">
        <v>49</v>
      </c>
      <c r="M150" s="55">
        <f t="shared" si="29"/>
        <v>146</v>
      </c>
      <c r="N150" s="1">
        <v>57</v>
      </c>
      <c r="O150" s="1">
        <v>47</v>
      </c>
      <c r="P150" s="1"/>
      <c r="Q150" s="55">
        <f t="shared" si="30"/>
        <v>104</v>
      </c>
      <c r="R150" s="55">
        <f t="shared" si="31"/>
        <v>968</v>
      </c>
      <c r="T150" s="4" t="s">
        <v>812</v>
      </c>
    </row>
    <row r="151" spans="1:20" ht="15.75" customHeight="1" x14ac:dyDescent="0.3">
      <c r="A151" s="71" t="s">
        <v>1347</v>
      </c>
      <c r="C151" s="1"/>
      <c r="D151" s="1"/>
      <c r="E151" s="55">
        <f>SUM(C151:D151)</f>
        <v>0</v>
      </c>
      <c r="F151" s="1">
        <v>4462</v>
      </c>
      <c r="G151" s="1">
        <v>3861</v>
      </c>
      <c r="H151" s="1">
        <v>3804</v>
      </c>
      <c r="I151" s="55">
        <f t="shared" si="28"/>
        <v>12127</v>
      </c>
      <c r="J151" s="1">
        <v>3745</v>
      </c>
      <c r="K151" s="1">
        <v>3643</v>
      </c>
      <c r="L151" s="1">
        <v>1485</v>
      </c>
      <c r="M151" s="55">
        <f t="shared" si="29"/>
        <v>8873</v>
      </c>
      <c r="N151" s="1"/>
      <c r="O151" s="1"/>
      <c r="P151" s="1"/>
      <c r="Q151" s="55">
        <f t="shared" si="30"/>
        <v>0</v>
      </c>
      <c r="R151" s="55">
        <f t="shared" si="31"/>
        <v>21000</v>
      </c>
    </row>
    <row r="152" spans="1:20" ht="15.75" customHeight="1" x14ac:dyDescent="0.3">
      <c r="A152" s="84" t="s">
        <v>817</v>
      </c>
      <c r="B152" s="1"/>
      <c r="C152" s="1"/>
      <c r="D152" s="1"/>
      <c r="E152" s="55">
        <f t="shared" ref="E152:E191" si="34">SUM(B152:D152)</f>
        <v>0</v>
      </c>
      <c r="F152" s="1"/>
      <c r="G152" s="1"/>
      <c r="H152" s="1"/>
      <c r="I152" s="55">
        <f t="shared" si="28"/>
        <v>0</v>
      </c>
      <c r="J152" s="1"/>
      <c r="K152" s="1"/>
      <c r="L152" s="1"/>
      <c r="M152" s="55">
        <f t="shared" si="29"/>
        <v>0</v>
      </c>
      <c r="N152" s="1"/>
      <c r="O152" s="1"/>
      <c r="P152" s="1"/>
      <c r="Q152" s="55">
        <f t="shared" si="30"/>
        <v>0</v>
      </c>
      <c r="R152" s="55">
        <f t="shared" si="31"/>
        <v>0</v>
      </c>
      <c r="T152" s="4" t="s">
        <v>818</v>
      </c>
    </row>
    <row r="153" spans="1:20" ht="15.75" customHeight="1" x14ac:dyDescent="0.3">
      <c r="A153" s="84" t="s">
        <v>112</v>
      </c>
      <c r="B153" s="1">
        <v>6</v>
      </c>
      <c r="C153" s="1">
        <v>1124</v>
      </c>
      <c r="D153" s="1">
        <v>1143</v>
      </c>
      <c r="E153" s="55">
        <f t="shared" si="34"/>
        <v>2273</v>
      </c>
      <c r="F153" s="1">
        <v>1500</v>
      </c>
      <c r="G153" s="1">
        <v>183</v>
      </c>
      <c r="H153" s="1"/>
      <c r="I153" s="55">
        <f t="shared" si="28"/>
        <v>1683</v>
      </c>
      <c r="J153" s="1"/>
      <c r="K153" s="1"/>
      <c r="L153" s="1"/>
      <c r="M153" s="55">
        <f t="shared" si="29"/>
        <v>0</v>
      </c>
      <c r="N153" s="1"/>
      <c r="O153" s="1"/>
      <c r="P153" s="1"/>
      <c r="Q153" s="55">
        <f t="shared" si="30"/>
        <v>0</v>
      </c>
      <c r="R153" s="55">
        <f t="shared" si="31"/>
        <v>3956</v>
      </c>
      <c r="T153" s="4" t="s">
        <v>819</v>
      </c>
    </row>
    <row r="154" spans="1:20" ht="15.75" customHeight="1" x14ac:dyDescent="0.3">
      <c r="A154" s="71" t="s">
        <v>820</v>
      </c>
      <c r="B154" s="1">
        <v>124</v>
      </c>
      <c r="C154" s="1">
        <v>112</v>
      </c>
      <c r="D154" s="1">
        <v>124</v>
      </c>
      <c r="E154" s="55">
        <f t="shared" si="34"/>
        <v>360</v>
      </c>
      <c r="F154" s="1">
        <v>120</v>
      </c>
      <c r="G154" s="1">
        <v>124</v>
      </c>
      <c r="H154" s="1">
        <v>120</v>
      </c>
      <c r="I154" s="55">
        <f t="shared" si="28"/>
        <v>364</v>
      </c>
      <c r="J154" s="1">
        <v>124</v>
      </c>
      <c r="K154" s="1">
        <v>124</v>
      </c>
      <c r="L154" s="1">
        <v>120</v>
      </c>
      <c r="M154" s="55">
        <f t="shared" si="29"/>
        <v>368</v>
      </c>
      <c r="N154" s="1">
        <v>124</v>
      </c>
      <c r="O154" s="1">
        <v>120</v>
      </c>
      <c r="P154" s="1">
        <v>124</v>
      </c>
      <c r="Q154" s="55">
        <f t="shared" si="30"/>
        <v>368</v>
      </c>
      <c r="R154" s="55">
        <f t="shared" si="31"/>
        <v>1460</v>
      </c>
      <c r="S154" s="4" t="s">
        <v>821</v>
      </c>
      <c r="T154" s="4" t="s">
        <v>822</v>
      </c>
    </row>
    <row r="155" spans="1:20" ht="15.75" customHeight="1" x14ac:dyDescent="0.3">
      <c r="A155" s="72" t="s">
        <v>1269</v>
      </c>
      <c r="B155" s="1">
        <v>25</v>
      </c>
      <c r="C155" s="1">
        <v>30</v>
      </c>
      <c r="D155" s="1">
        <v>23</v>
      </c>
      <c r="E155" s="55">
        <f>SUM(B155:D155)</f>
        <v>78</v>
      </c>
      <c r="F155" s="1">
        <v>34</v>
      </c>
      <c r="G155" s="1">
        <v>109</v>
      </c>
      <c r="H155" s="1">
        <v>30</v>
      </c>
      <c r="I155" s="55">
        <f>SUM(F155:H155)</f>
        <v>173</v>
      </c>
      <c r="K155" s="1"/>
      <c r="L155" s="1"/>
      <c r="M155" s="55">
        <f>SUM(J155:L155)</f>
        <v>0</v>
      </c>
      <c r="N155" s="1"/>
      <c r="O155" s="1"/>
      <c r="P155" s="1"/>
      <c r="Q155" s="55">
        <f>SUM(N155:P155)</f>
        <v>0</v>
      </c>
      <c r="R155" s="55">
        <f>+E155+I155+M155+Q155</f>
        <v>251</v>
      </c>
      <c r="S155" s="465"/>
    </row>
    <row r="156" spans="1:20" ht="15.75" customHeight="1" x14ac:dyDescent="0.3">
      <c r="A156" s="84" t="s">
        <v>1270</v>
      </c>
      <c r="B156" s="1">
        <v>604</v>
      </c>
      <c r="C156" s="1">
        <v>340</v>
      </c>
      <c r="D156" s="1"/>
      <c r="E156" s="55">
        <f t="shared" si="34"/>
        <v>944</v>
      </c>
      <c r="F156" s="1"/>
      <c r="G156" s="1"/>
      <c r="H156" s="1"/>
      <c r="I156" s="55">
        <f t="shared" si="28"/>
        <v>0</v>
      </c>
      <c r="J156" s="1"/>
      <c r="K156" s="1"/>
      <c r="L156" s="1"/>
      <c r="M156" s="55">
        <f t="shared" si="29"/>
        <v>0</v>
      </c>
      <c r="N156" s="1"/>
      <c r="O156" s="1">
        <v>236</v>
      </c>
      <c r="P156" s="1">
        <f>1250+399</f>
        <v>1649</v>
      </c>
      <c r="Q156" s="55">
        <f t="shared" si="30"/>
        <v>1885</v>
      </c>
      <c r="R156" s="55">
        <f t="shared" si="31"/>
        <v>2829</v>
      </c>
      <c r="S156" s="477" t="s">
        <v>1257</v>
      </c>
      <c r="T156" s="4" t="s">
        <v>818</v>
      </c>
    </row>
    <row r="157" spans="1:20" ht="15.75" customHeight="1" x14ac:dyDescent="0.3">
      <c r="A157" s="84" t="s">
        <v>1271</v>
      </c>
      <c r="B157" s="1"/>
      <c r="C157" s="1">
        <v>157</v>
      </c>
      <c r="E157" s="55">
        <f t="shared" si="34"/>
        <v>157</v>
      </c>
      <c r="F157" s="1"/>
      <c r="G157" s="1"/>
      <c r="H157" s="1"/>
      <c r="I157" s="55">
        <f t="shared" si="28"/>
        <v>0</v>
      </c>
      <c r="J157" s="1"/>
      <c r="K157" s="1"/>
      <c r="L157" s="1"/>
      <c r="M157" s="55">
        <f t="shared" si="29"/>
        <v>0</v>
      </c>
      <c r="N157" s="1"/>
      <c r="O157" s="1"/>
      <c r="P157" s="1"/>
      <c r="Q157" s="55">
        <f t="shared" si="30"/>
        <v>0</v>
      </c>
      <c r="R157" s="55">
        <f t="shared" si="31"/>
        <v>157</v>
      </c>
      <c r="S157" s="477" t="s">
        <v>1257</v>
      </c>
      <c r="T157" s="4" t="s">
        <v>819</v>
      </c>
    </row>
    <row r="158" spans="1:20" ht="15.75" customHeight="1" x14ac:dyDescent="0.3">
      <c r="A158" s="84" t="s">
        <v>1272</v>
      </c>
      <c r="B158" s="1"/>
      <c r="C158" s="1"/>
      <c r="D158" s="1"/>
      <c r="E158" s="55">
        <f t="shared" si="34"/>
        <v>0</v>
      </c>
      <c r="F158" s="1"/>
      <c r="G158" s="1"/>
      <c r="H158" s="1"/>
      <c r="I158" s="55">
        <f t="shared" si="28"/>
        <v>0</v>
      </c>
      <c r="J158" s="1"/>
      <c r="K158" s="1"/>
      <c r="L158" s="1"/>
      <c r="M158" s="55">
        <f t="shared" si="29"/>
        <v>0</v>
      </c>
      <c r="N158" s="1"/>
      <c r="O158" s="1"/>
      <c r="P158" s="1"/>
      <c r="Q158" s="55">
        <f t="shared" si="30"/>
        <v>0</v>
      </c>
      <c r="R158" s="55">
        <f t="shared" si="31"/>
        <v>0</v>
      </c>
      <c r="S158" s="477" t="s">
        <v>1257</v>
      </c>
      <c r="T158" s="4" t="s">
        <v>812</v>
      </c>
    </row>
    <row r="159" spans="1:20" ht="15.75" customHeight="1" x14ac:dyDescent="0.3">
      <c r="A159" s="71" t="s">
        <v>114</v>
      </c>
      <c r="B159" s="1">
        <v>47</v>
      </c>
      <c r="C159" s="1">
        <v>35</v>
      </c>
      <c r="D159" s="1">
        <v>45</v>
      </c>
      <c r="E159" s="55">
        <f t="shared" si="34"/>
        <v>127</v>
      </c>
      <c r="F159" s="1">
        <v>59</v>
      </c>
      <c r="G159" s="1">
        <v>61</v>
      </c>
      <c r="H159" s="1">
        <v>67</v>
      </c>
      <c r="I159" s="55">
        <f t="shared" si="28"/>
        <v>187</v>
      </c>
      <c r="J159" s="1">
        <v>69</v>
      </c>
      <c r="K159" s="1">
        <v>68</v>
      </c>
      <c r="L159" s="1">
        <v>65</v>
      </c>
      <c r="M159" s="55">
        <f t="shared" si="29"/>
        <v>202</v>
      </c>
      <c r="N159" s="1">
        <v>51</v>
      </c>
      <c r="O159" s="1">
        <v>51</v>
      </c>
      <c r="P159" s="1">
        <v>43</v>
      </c>
      <c r="Q159" s="55">
        <f t="shared" si="30"/>
        <v>145</v>
      </c>
      <c r="R159" s="55">
        <f t="shared" si="31"/>
        <v>661</v>
      </c>
      <c r="T159" s="4" t="s">
        <v>824</v>
      </c>
    </row>
    <row r="160" spans="1:20" ht="15.75" customHeight="1" x14ac:dyDescent="0.3">
      <c r="A160" s="71" t="s">
        <v>115</v>
      </c>
      <c r="B160" s="1">
        <v>130</v>
      </c>
      <c r="C160" s="1">
        <v>118</v>
      </c>
      <c r="D160" s="1">
        <v>139</v>
      </c>
      <c r="E160" s="55">
        <f t="shared" si="34"/>
        <v>387</v>
      </c>
      <c r="F160" s="1">
        <v>149</v>
      </c>
      <c r="G160" s="1">
        <v>195</v>
      </c>
      <c r="H160" s="1">
        <v>236</v>
      </c>
      <c r="I160" s="55">
        <f t="shared" si="28"/>
        <v>580</v>
      </c>
      <c r="J160" s="1">
        <v>198</v>
      </c>
      <c r="K160" s="1">
        <v>197</v>
      </c>
      <c r="L160" s="1">
        <v>187</v>
      </c>
      <c r="M160" s="55">
        <f t="shared" si="29"/>
        <v>582</v>
      </c>
      <c r="N160" s="1">
        <v>186</v>
      </c>
      <c r="O160" s="1">
        <v>173</v>
      </c>
      <c r="P160" s="1">
        <v>136</v>
      </c>
      <c r="Q160" s="55">
        <f t="shared" si="30"/>
        <v>495</v>
      </c>
      <c r="R160" s="55">
        <f t="shared" si="31"/>
        <v>2044</v>
      </c>
      <c r="T160" s="4" t="s">
        <v>825</v>
      </c>
    </row>
    <row r="161" spans="1:20" ht="15.75" customHeight="1" x14ac:dyDescent="0.3">
      <c r="A161" s="84" t="s">
        <v>1382</v>
      </c>
      <c r="B161" s="1"/>
      <c r="C161" s="1"/>
      <c r="D161" s="1"/>
      <c r="E161" s="55">
        <f t="shared" si="34"/>
        <v>0</v>
      </c>
      <c r="F161" s="1"/>
      <c r="G161" s="1"/>
      <c r="H161" s="1"/>
      <c r="I161" s="55">
        <f t="shared" si="28"/>
        <v>0</v>
      </c>
      <c r="J161" s="1"/>
      <c r="K161" s="1"/>
      <c r="L161" s="1"/>
      <c r="M161" s="55">
        <f t="shared" si="29"/>
        <v>0</v>
      </c>
      <c r="N161" s="1"/>
      <c r="O161" s="1"/>
      <c r="P161" s="1"/>
      <c r="Q161" s="55">
        <f t="shared" ref="Q161" si="35">SUM(N161:P161)</f>
        <v>0</v>
      </c>
      <c r="R161" s="55">
        <f t="shared" si="31"/>
        <v>0</v>
      </c>
    </row>
    <row r="162" spans="1:20" ht="15.75" customHeight="1" x14ac:dyDescent="0.3">
      <c r="A162" s="71" t="s">
        <v>826</v>
      </c>
      <c r="B162" s="1"/>
      <c r="C162" s="1"/>
      <c r="D162" s="1"/>
      <c r="E162" s="55">
        <f t="shared" si="34"/>
        <v>0</v>
      </c>
      <c r="F162" s="1"/>
      <c r="G162" s="1"/>
      <c r="H162" s="1">
        <v>500</v>
      </c>
      <c r="I162" s="55">
        <f t="shared" si="28"/>
        <v>500</v>
      </c>
      <c r="J162" s="1"/>
      <c r="K162" s="1">
        <v>500</v>
      </c>
      <c r="L162" s="1"/>
      <c r="M162" s="55">
        <f t="shared" si="29"/>
        <v>500</v>
      </c>
      <c r="N162" s="1"/>
      <c r="O162" s="1">
        <v>800</v>
      </c>
      <c r="P162" s="1"/>
      <c r="Q162" s="55">
        <f t="shared" si="30"/>
        <v>800</v>
      </c>
      <c r="R162" s="55">
        <f t="shared" si="31"/>
        <v>1800</v>
      </c>
      <c r="S162" s="4" t="s">
        <v>821</v>
      </c>
    </row>
    <row r="163" spans="1:20" ht="15.75" customHeight="1" x14ac:dyDescent="0.3">
      <c r="A163" s="84" t="s">
        <v>1348</v>
      </c>
      <c r="B163" s="1"/>
      <c r="C163" s="1">
        <v>56</v>
      </c>
      <c r="D163" s="1">
        <v>181</v>
      </c>
      <c r="E163" s="55">
        <f>SUM(B163:D163)</f>
        <v>237</v>
      </c>
      <c r="F163" s="1">
        <v>475</v>
      </c>
      <c r="G163" s="1">
        <v>532</v>
      </c>
      <c r="H163" s="1">
        <v>453</v>
      </c>
      <c r="I163" s="55">
        <f t="shared" si="28"/>
        <v>1460</v>
      </c>
      <c r="J163" s="1">
        <v>443</v>
      </c>
      <c r="K163" s="1">
        <v>273</v>
      </c>
      <c r="L163" s="1">
        <v>343</v>
      </c>
      <c r="M163" s="55">
        <f t="shared" si="29"/>
        <v>1059</v>
      </c>
      <c r="N163" s="1">
        <v>684</v>
      </c>
      <c r="O163" s="1"/>
      <c r="P163" s="1"/>
      <c r="Q163" s="55">
        <f t="shared" si="30"/>
        <v>684</v>
      </c>
      <c r="R163" s="55">
        <f t="shared" si="31"/>
        <v>3440</v>
      </c>
      <c r="T163" s="4" t="s">
        <v>812</v>
      </c>
    </row>
    <row r="164" spans="1:20" ht="15.75" customHeight="1" x14ac:dyDescent="0.3">
      <c r="A164" s="71" t="s">
        <v>1349</v>
      </c>
      <c r="B164" s="1">
        <v>376</v>
      </c>
      <c r="C164" s="1">
        <v>346</v>
      </c>
      <c r="D164" s="1">
        <v>390</v>
      </c>
      <c r="E164" s="55">
        <f t="shared" si="34"/>
        <v>1112</v>
      </c>
      <c r="F164" s="1">
        <v>366</v>
      </c>
      <c r="G164" s="1">
        <v>301</v>
      </c>
      <c r="H164" s="1">
        <v>326</v>
      </c>
      <c r="I164" s="55">
        <f t="shared" si="28"/>
        <v>993</v>
      </c>
      <c r="J164" s="1">
        <v>387</v>
      </c>
      <c r="K164" s="1">
        <v>226</v>
      </c>
      <c r="L164" s="1">
        <v>241</v>
      </c>
      <c r="M164" s="55">
        <f t="shared" si="29"/>
        <v>854</v>
      </c>
      <c r="N164" s="1">
        <v>267</v>
      </c>
      <c r="O164" s="1">
        <v>224</v>
      </c>
      <c r="P164" s="1">
        <v>160</v>
      </c>
      <c r="Q164" s="55">
        <f t="shared" si="30"/>
        <v>651</v>
      </c>
      <c r="R164" s="55">
        <f t="shared" si="31"/>
        <v>3610</v>
      </c>
      <c r="T164" s="4" t="s">
        <v>829</v>
      </c>
    </row>
    <row r="165" spans="1:20" ht="15.75" customHeight="1" x14ac:dyDescent="0.3">
      <c r="A165" s="71" t="s">
        <v>1383</v>
      </c>
      <c r="B165" s="1">
        <v>14</v>
      </c>
      <c r="C165" s="1">
        <v>18</v>
      </c>
      <c r="D165" s="1">
        <v>39</v>
      </c>
      <c r="E165" s="55">
        <f t="shared" si="34"/>
        <v>71</v>
      </c>
      <c r="F165" s="1">
        <v>64</v>
      </c>
      <c r="G165" s="1">
        <v>83</v>
      </c>
      <c r="H165" s="1">
        <v>93</v>
      </c>
      <c r="I165" s="55">
        <f t="shared" si="28"/>
        <v>240</v>
      </c>
      <c r="J165" s="1">
        <v>82</v>
      </c>
      <c r="K165" s="1">
        <v>73</v>
      </c>
      <c r="L165" s="1">
        <v>56</v>
      </c>
      <c r="M165" s="55">
        <f t="shared" si="29"/>
        <v>211</v>
      </c>
      <c r="N165" s="1">
        <v>58</v>
      </c>
      <c r="O165" s="1">
        <v>27</v>
      </c>
      <c r="P165" s="1">
        <v>13</v>
      </c>
      <c r="Q165" s="55">
        <f t="shared" si="30"/>
        <v>98</v>
      </c>
      <c r="R165" s="55">
        <f t="shared" si="31"/>
        <v>620</v>
      </c>
    </row>
    <row r="166" spans="1:20" ht="15.75" customHeight="1" x14ac:dyDescent="0.3">
      <c r="A166" s="84" t="s">
        <v>830</v>
      </c>
      <c r="B166" s="1"/>
      <c r="C166" s="1"/>
      <c r="D166" s="1"/>
      <c r="E166" s="55">
        <f t="shared" si="34"/>
        <v>0</v>
      </c>
      <c r="F166" s="1"/>
      <c r="G166" s="1"/>
      <c r="H166" s="1"/>
      <c r="I166" s="55">
        <f t="shared" si="28"/>
        <v>0</v>
      </c>
      <c r="J166" s="1"/>
      <c r="K166" s="1">
        <v>508</v>
      </c>
      <c r="L166" s="1"/>
      <c r="M166" s="55">
        <f t="shared" si="29"/>
        <v>508</v>
      </c>
      <c r="N166" s="1"/>
      <c r="O166" s="1"/>
      <c r="P166" s="1"/>
      <c r="Q166" s="55">
        <f t="shared" si="30"/>
        <v>0</v>
      </c>
      <c r="R166" s="55">
        <f t="shared" si="31"/>
        <v>508</v>
      </c>
      <c r="T166" s="4" t="s">
        <v>819</v>
      </c>
    </row>
    <row r="167" spans="1:20" ht="15.75" customHeight="1" x14ac:dyDescent="0.3">
      <c r="A167" s="72" t="s">
        <v>1273</v>
      </c>
      <c r="B167" s="1"/>
      <c r="C167" s="1"/>
      <c r="D167" s="1"/>
      <c r="E167" s="55">
        <f t="shared" ref="E167" si="36">SUM(B167:D167)</f>
        <v>0</v>
      </c>
      <c r="F167" s="1"/>
      <c r="G167" s="1"/>
      <c r="H167" s="1"/>
      <c r="I167" s="55">
        <f t="shared" si="28"/>
        <v>0</v>
      </c>
      <c r="J167" s="1"/>
      <c r="K167" s="1"/>
      <c r="L167" s="1"/>
      <c r="M167" s="55">
        <f t="shared" si="29"/>
        <v>0</v>
      </c>
      <c r="N167" s="1"/>
      <c r="O167" s="1"/>
      <c r="P167" s="1"/>
      <c r="Q167" s="55">
        <f t="shared" si="30"/>
        <v>0</v>
      </c>
      <c r="R167" s="55">
        <f t="shared" si="31"/>
        <v>0</v>
      </c>
    </row>
    <row r="168" spans="1:20" ht="15.75" customHeight="1" x14ac:dyDescent="0.3">
      <c r="A168" s="72" t="s">
        <v>1384</v>
      </c>
      <c r="B168" s="1"/>
      <c r="C168" s="1"/>
      <c r="D168" s="1"/>
      <c r="E168" s="55">
        <f t="shared" si="34"/>
        <v>0</v>
      </c>
      <c r="F168" s="1"/>
      <c r="G168" s="1"/>
      <c r="H168" s="1"/>
      <c r="I168" s="55">
        <f t="shared" si="28"/>
        <v>0</v>
      </c>
      <c r="J168" s="1"/>
      <c r="K168" s="1"/>
      <c r="L168" s="1"/>
      <c r="M168" s="55">
        <f t="shared" si="29"/>
        <v>0</v>
      </c>
      <c r="N168" s="1"/>
      <c r="O168" s="1"/>
      <c r="P168" s="1"/>
      <c r="Q168" s="55">
        <f t="shared" si="30"/>
        <v>0</v>
      </c>
      <c r="R168" s="55">
        <f t="shared" si="31"/>
        <v>0</v>
      </c>
    </row>
    <row r="169" spans="1:20" ht="15.75" customHeight="1" x14ac:dyDescent="0.3">
      <c r="A169" s="71" t="s">
        <v>831</v>
      </c>
      <c r="B169" s="1"/>
      <c r="C169" s="1"/>
      <c r="D169" s="1"/>
      <c r="E169" s="55">
        <f t="shared" si="34"/>
        <v>0</v>
      </c>
      <c r="F169" s="1"/>
      <c r="G169" s="1"/>
      <c r="H169" s="1"/>
      <c r="I169" s="55">
        <f t="shared" si="28"/>
        <v>0</v>
      </c>
      <c r="J169" s="1"/>
      <c r="K169" s="1"/>
      <c r="L169" s="1"/>
      <c r="M169" s="55">
        <f t="shared" si="29"/>
        <v>0</v>
      </c>
      <c r="N169" s="1"/>
      <c r="O169" s="1"/>
      <c r="P169" s="1"/>
      <c r="Q169" s="55">
        <f t="shared" si="30"/>
        <v>0</v>
      </c>
      <c r="R169" s="55">
        <f t="shared" si="31"/>
        <v>0</v>
      </c>
      <c r="S169" s="4" t="s">
        <v>821</v>
      </c>
      <c r="T169" s="4" t="s">
        <v>822</v>
      </c>
    </row>
    <row r="170" spans="1:20" s="123" customFormat="1" ht="15.75" customHeight="1" x14ac:dyDescent="0.3">
      <c r="A170" s="289" t="s">
        <v>697</v>
      </c>
      <c r="B170" s="301"/>
      <c r="C170" s="301"/>
      <c r="D170" s="301"/>
      <c r="E170" s="113">
        <f t="shared" si="34"/>
        <v>0</v>
      </c>
      <c r="F170" s="301"/>
      <c r="G170" s="301"/>
      <c r="H170" s="301"/>
      <c r="I170" s="113">
        <f t="shared" si="28"/>
        <v>0</v>
      </c>
      <c r="J170" s="301"/>
      <c r="K170" s="301"/>
      <c r="L170" s="301"/>
      <c r="M170" s="113">
        <f t="shared" si="29"/>
        <v>0</v>
      </c>
      <c r="N170" s="301"/>
      <c r="O170" s="301"/>
      <c r="P170" s="301"/>
      <c r="Q170" s="113">
        <f t="shared" si="30"/>
        <v>0</v>
      </c>
      <c r="R170" s="113">
        <f t="shared" si="31"/>
        <v>0</v>
      </c>
    </row>
    <row r="171" spans="1:20" ht="15.75" customHeight="1" x14ac:dyDescent="0.3">
      <c r="A171" s="71" t="s">
        <v>698</v>
      </c>
      <c r="B171" s="1"/>
      <c r="C171" s="1"/>
      <c r="D171" s="1">
        <v>181</v>
      </c>
      <c r="E171" s="55">
        <f t="shared" si="34"/>
        <v>181</v>
      </c>
      <c r="F171" s="1">
        <v>2192</v>
      </c>
      <c r="G171" s="1">
        <v>2035</v>
      </c>
      <c r="H171" s="1">
        <v>2138</v>
      </c>
      <c r="I171" s="55">
        <f t="shared" si="28"/>
        <v>6365</v>
      </c>
      <c r="J171" s="1">
        <v>1736</v>
      </c>
      <c r="K171" s="1">
        <v>1916</v>
      </c>
      <c r="L171" s="1">
        <v>1492</v>
      </c>
      <c r="M171" s="55">
        <f t="shared" si="29"/>
        <v>5144</v>
      </c>
      <c r="N171" s="1">
        <v>1630</v>
      </c>
      <c r="O171" s="1">
        <v>1280</v>
      </c>
      <c r="P171" s="1">
        <v>1864</v>
      </c>
      <c r="Q171" s="55">
        <f t="shared" si="30"/>
        <v>4774</v>
      </c>
      <c r="R171" s="55">
        <f>+E171+I171+M171+Q171</f>
        <v>16464</v>
      </c>
      <c r="T171" s="4" t="s">
        <v>832</v>
      </c>
    </row>
    <row r="172" spans="1:20" ht="15.75" customHeight="1" x14ac:dyDescent="0.3">
      <c r="A172" s="84" t="s">
        <v>833</v>
      </c>
      <c r="B172" s="1"/>
      <c r="C172" s="1"/>
      <c r="D172" s="1"/>
      <c r="E172" s="55">
        <f t="shared" si="34"/>
        <v>0</v>
      </c>
      <c r="F172" s="1"/>
      <c r="G172" s="1"/>
      <c r="H172" s="1"/>
      <c r="I172" s="55">
        <f t="shared" si="28"/>
        <v>0</v>
      </c>
      <c r="J172" s="1"/>
      <c r="K172" s="1"/>
      <c r="L172" s="1">
        <v>500</v>
      </c>
      <c r="M172" s="55">
        <f t="shared" si="29"/>
        <v>500</v>
      </c>
      <c r="N172" s="1"/>
      <c r="O172" s="1"/>
      <c r="P172" s="1"/>
      <c r="Q172" s="55">
        <f t="shared" si="30"/>
        <v>0</v>
      </c>
      <c r="R172" s="55">
        <f t="shared" ref="R172:R178" si="37">+E172+I172+M172+Q172</f>
        <v>500</v>
      </c>
      <c r="T172" s="4" t="s">
        <v>812</v>
      </c>
    </row>
    <row r="173" spans="1:20" ht="15.75" customHeight="1" x14ac:dyDescent="0.3">
      <c r="A173" s="84" t="s">
        <v>834</v>
      </c>
      <c r="B173" s="1"/>
      <c r="C173" s="1"/>
      <c r="D173" s="1"/>
      <c r="E173" s="55">
        <f t="shared" si="34"/>
        <v>0</v>
      </c>
      <c r="F173" s="1"/>
      <c r="G173" s="1"/>
      <c r="H173" s="1"/>
      <c r="I173" s="55">
        <f t="shared" si="28"/>
        <v>0</v>
      </c>
      <c r="J173" s="1"/>
      <c r="K173" s="1"/>
      <c r="L173" s="1"/>
      <c r="M173" s="55">
        <f t="shared" si="29"/>
        <v>0</v>
      </c>
      <c r="N173" s="1"/>
      <c r="O173" s="1"/>
      <c r="P173" s="1"/>
      <c r="Q173" s="55">
        <f t="shared" si="30"/>
        <v>0</v>
      </c>
      <c r="R173" s="55">
        <f t="shared" si="37"/>
        <v>0</v>
      </c>
      <c r="T173" s="4" t="s">
        <v>819</v>
      </c>
    </row>
    <row r="174" spans="1:20" ht="15.75" customHeight="1" x14ac:dyDescent="0.3">
      <c r="A174" s="71" t="s">
        <v>835</v>
      </c>
      <c r="B174" s="1"/>
      <c r="C174" s="1"/>
      <c r="D174" s="1"/>
      <c r="E174" s="55">
        <f t="shared" si="34"/>
        <v>0</v>
      </c>
      <c r="F174" s="1"/>
      <c r="G174" s="1"/>
      <c r="H174" s="1"/>
      <c r="I174" s="55">
        <f t="shared" si="28"/>
        <v>0</v>
      </c>
      <c r="J174" s="1"/>
      <c r="K174" s="1"/>
      <c r="L174" s="1"/>
      <c r="M174" s="55">
        <f t="shared" si="29"/>
        <v>0</v>
      </c>
      <c r="N174" s="1"/>
      <c r="O174" s="1"/>
      <c r="P174" s="1"/>
      <c r="Q174" s="55">
        <f t="shared" si="30"/>
        <v>0</v>
      </c>
      <c r="R174" s="55">
        <f t="shared" si="37"/>
        <v>0</v>
      </c>
      <c r="S174" s="465" t="s">
        <v>821</v>
      </c>
      <c r="T174" s="4" t="s">
        <v>836</v>
      </c>
    </row>
    <row r="175" spans="1:20" ht="15.75" customHeight="1" x14ac:dyDescent="0.3">
      <c r="A175" s="71" t="s">
        <v>1385</v>
      </c>
      <c r="B175" s="1"/>
      <c r="C175" s="1"/>
      <c r="D175" s="1"/>
      <c r="E175" s="55">
        <f t="shared" si="34"/>
        <v>0</v>
      </c>
      <c r="F175" s="1"/>
      <c r="G175" s="1"/>
      <c r="H175" s="1">
        <v>529</v>
      </c>
      <c r="I175" s="55">
        <f t="shared" si="28"/>
        <v>529</v>
      </c>
      <c r="J175" s="1">
        <v>2358</v>
      </c>
      <c r="K175" s="1">
        <v>2358</v>
      </c>
      <c r="L175" s="1">
        <v>4497</v>
      </c>
      <c r="M175" s="55">
        <f t="shared" si="29"/>
        <v>9213</v>
      </c>
      <c r="N175" s="1">
        <v>73</v>
      </c>
      <c r="O175" s="1">
        <v>469</v>
      </c>
      <c r="P175" s="1">
        <v>400</v>
      </c>
      <c r="Q175" s="55">
        <f t="shared" ref="Q175" si="38">SUM(N175:P175)</f>
        <v>942</v>
      </c>
      <c r="R175" s="55">
        <f t="shared" si="37"/>
        <v>10684</v>
      </c>
      <c r="S175" s="465"/>
    </row>
    <row r="176" spans="1:20" ht="15.75" customHeight="1" x14ac:dyDescent="0.3">
      <c r="A176" s="84" t="s">
        <v>837</v>
      </c>
      <c r="B176" s="1"/>
      <c r="C176" s="1"/>
      <c r="D176" s="1"/>
      <c r="E176" s="55">
        <f t="shared" si="34"/>
        <v>0</v>
      </c>
      <c r="F176" s="1"/>
      <c r="G176" s="1"/>
      <c r="H176" s="1"/>
      <c r="I176" s="55">
        <f t="shared" si="28"/>
        <v>0</v>
      </c>
      <c r="J176" s="1"/>
      <c r="K176" s="1"/>
      <c r="L176" s="1"/>
      <c r="M176" s="55">
        <f t="shared" si="29"/>
        <v>0</v>
      </c>
      <c r="N176" s="1"/>
      <c r="O176" s="1"/>
      <c r="P176" s="1"/>
      <c r="Q176" s="55">
        <f t="shared" si="30"/>
        <v>0</v>
      </c>
      <c r="R176" s="55">
        <f t="shared" si="37"/>
        <v>0</v>
      </c>
      <c r="T176" s="4" t="s">
        <v>818</v>
      </c>
    </row>
    <row r="177" spans="1:21" ht="15.75" customHeight="1" x14ac:dyDescent="0.3">
      <c r="A177" s="84" t="s">
        <v>838</v>
      </c>
      <c r="B177" s="1"/>
      <c r="C177" s="1"/>
      <c r="D177" s="1"/>
      <c r="E177" s="55">
        <f t="shared" si="34"/>
        <v>0</v>
      </c>
      <c r="F177" s="1"/>
      <c r="G177" s="1"/>
      <c r="H177" s="1"/>
      <c r="I177" s="55">
        <f t="shared" si="28"/>
        <v>0</v>
      </c>
      <c r="J177" s="1"/>
      <c r="K177" s="1"/>
      <c r="L177" s="1"/>
      <c r="M177" s="55">
        <f t="shared" si="29"/>
        <v>0</v>
      </c>
      <c r="N177" s="1"/>
      <c r="O177" s="1"/>
      <c r="P177" s="1"/>
      <c r="Q177" s="55">
        <f t="shared" si="30"/>
        <v>0</v>
      </c>
      <c r="R177" s="55">
        <f t="shared" si="37"/>
        <v>0</v>
      </c>
      <c r="T177" s="4" t="s">
        <v>819</v>
      </c>
    </row>
    <row r="178" spans="1:21" ht="15.75" customHeight="1" x14ac:dyDescent="0.3">
      <c r="A178" s="71" t="s">
        <v>120</v>
      </c>
      <c r="B178" s="1">
        <v>21</v>
      </c>
      <c r="C178" s="1">
        <v>27</v>
      </c>
      <c r="D178" s="1">
        <v>34</v>
      </c>
      <c r="E178" s="55">
        <f t="shared" si="34"/>
        <v>82</v>
      </c>
      <c r="F178" s="1">
        <v>59</v>
      </c>
      <c r="G178" s="1">
        <v>72</v>
      </c>
      <c r="H178" s="1">
        <v>73</v>
      </c>
      <c r="I178" s="55">
        <f t="shared" si="28"/>
        <v>204</v>
      </c>
      <c r="J178" s="1">
        <v>57</v>
      </c>
      <c r="K178" s="1">
        <v>35</v>
      </c>
      <c r="L178" s="1">
        <v>50</v>
      </c>
      <c r="M178" s="55">
        <f t="shared" si="29"/>
        <v>142</v>
      </c>
      <c r="N178" s="1">
        <v>63</v>
      </c>
      <c r="O178" s="1">
        <v>35</v>
      </c>
      <c r="P178" s="1">
        <v>15</v>
      </c>
      <c r="Q178" s="55">
        <f t="shared" si="30"/>
        <v>113</v>
      </c>
      <c r="R178" s="55">
        <f t="shared" si="37"/>
        <v>541</v>
      </c>
      <c r="T178" s="4" t="s">
        <v>406</v>
      </c>
    </row>
    <row r="179" spans="1:21" ht="15.75" customHeight="1" x14ac:dyDescent="0.3">
      <c r="A179" s="84" t="s">
        <v>839</v>
      </c>
      <c r="B179" s="1"/>
      <c r="C179" s="1"/>
      <c r="D179" s="1"/>
      <c r="E179" s="55">
        <f t="shared" si="34"/>
        <v>0</v>
      </c>
      <c r="F179" s="1">
        <v>1810</v>
      </c>
      <c r="G179" s="1">
        <v>2716</v>
      </c>
      <c r="H179" s="1"/>
      <c r="I179" s="55">
        <f t="shared" si="28"/>
        <v>4526</v>
      </c>
      <c r="J179" s="1">
        <v>1390</v>
      </c>
      <c r="K179" s="1">
        <v>2165</v>
      </c>
      <c r="L179" s="1">
        <f>812+785</f>
        <v>1597</v>
      </c>
      <c r="M179" s="55">
        <f t="shared" si="29"/>
        <v>5152</v>
      </c>
      <c r="N179" s="1">
        <f>1274+980</f>
        <v>2254</v>
      </c>
      <c r="O179" s="1">
        <f>724+334</f>
        <v>1058</v>
      </c>
      <c r="P179" s="1"/>
      <c r="Q179" s="55">
        <f t="shared" si="30"/>
        <v>3312</v>
      </c>
      <c r="R179" s="55">
        <f t="shared" si="31"/>
        <v>12990</v>
      </c>
      <c r="T179" s="4" t="s">
        <v>818</v>
      </c>
    </row>
    <row r="180" spans="1:21" ht="15.75" customHeight="1" x14ac:dyDescent="0.3">
      <c r="A180" s="84" t="s">
        <v>840</v>
      </c>
      <c r="B180" s="1"/>
      <c r="C180" s="1"/>
      <c r="D180" s="1"/>
      <c r="E180" s="55">
        <f t="shared" si="34"/>
        <v>0</v>
      </c>
      <c r="F180" s="1"/>
      <c r="G180" s="1"/>
      <c r="H180" s="1"/>
      <c r="I180" s="55">
        <f t="shared" si="28"/>
        <v>0</v>
      </c>
      <c r="J180" s="1"/>
      <c r="K180" s="1"/>
      <c r="L180" s="1"/>
      <c r="M180" s="55">
        <f t="shared" si="29"/>
        <v>0</v>
      </c>
      <c r="N180" s="1"/>
      <c r="O180" s="1"/>
      <c r="P180" s="1"/>
      <c r="Q180" s="55">
        <f t="shared" si="30"/>
        <v>0</v>
      </c>
      <c r="R180" s="55">
        <f t="shared" si="31"/>
        <v>0</v>
      </c>
      <c r="T180" s="4" t="s">
        <v>819</v>
      </c>
    </row>
    <row r="181" spans="1:21" ht="15.75" customHeight="1" x14ac:dyDescent="0.3">
      <c r="A181" s="84" t="s">
        <v>841</v>
      </c>
      <c r="B181" s="1">
        <v>19</v>
      </c>
      <c r="C181" s="1">
        <v>27</v>
      </c>
      <c r="D181" s="1">
        <v>38</v>
      </c>
      <c r="E181" s="55">
        <f t="shared" si="34"/>
        <v>84</v>
      </c>
      <c r="F181" s="1">
        <v>56</v>
      </c>
      <c r="G181" s="1">
        <v>70</v>
      </c>
      <c r="H181" s="1">
        <v>82</v>
      </c>
      <c r="I181" s="55">
        <f>SUM(F181:H181)</f>
        <v>208</v>
      </c>
      <c r="J181" s="1">
        <v>63</v>
      </c>
      <c r="K181" s="1">
        <v>52</v>
      </c>
      <c r="L181" s="1">
        <v>58</v>
      </c>
      <c r="M181" s="55">
        <f t="shared" si="29"/>
        <v>173</v>
      </c>
      <c r="N181" s="1">
        <v>55</v>
      </c>
      <c r="O181" s="1">
        <v>42</v>
      </c>
      <c r="P181" s="1">
        <v>32</v>
      </c>
      <c r="Q181" s="55">
        <f t="shared" si="30"/>
        <v>129</v>
      </c>
      <c r="R181" s="55">
        <f t="shared" si="31"/>
        <v>594</v>
      </c>
      <c r="T181" s="4" t="s">
        <v>842</v>
      </c>
    </row>
    <row r="182" spans="1:21" ht="15.75" customHeight="1" x14ac:dyDescent="0.3">
      <c r="A182" s="84" t="s">
        <v>843</v>
      </c>
      <c r="B182" s="1"/>
      <c r="C182" s="1">
        <v>1</v>
      </c>
      <c r="D182" s="1">
        <v>7</v>
      </c>
      <c r="E182" s="55">
        <f t="shared" si="34"/>
        <v>8</v>
      </c>
      <c r="F182" s="1">
        <v>32</v>
      </c>
      <c r="G182" s="1">
        <v>70</v>
      </c>
      <c r="H182" s="1">
        <v>113</v>
      </c>
      <c r="I182" s="55">
        <f t="shared" si="28"/>
        <v>215</v>
      </c>
      <c r="J182" s="1">
        <v>62</v>
      </c>
      <c r="K182" s="1">
        <v>56</v>
      </c>
      <c r="L182" s="1">
        <v>46</v>
      </c>
      <c r="M182" s="55">
        <f t="shared" si="29"/>
        <v>164</v>
      </c>
      <c r="N182" s="1">
        <v>120</v>
      </c>
      <c r="O182" s="1">
        <v>8</v>
      </c>
      <c r="P182" s="1"/>
      <c r="Q182" s="55">
        <f t="shared" si="30"/>
        <v>128</v>
      </c>
      <c r="R182" s="55">
        <f t="shared" si="31"/>
        <v>515</v>
      </c>
      <c r="T182" s="4" t="s">
        <v>406</v>
      </c>
    </row>
    <row r="183" spans="1:21" ht="15.75" customHeight="1" x14ac:dyDescent="0.3">
      <c r="A183" s="84" t="s">
        <v>844</v>
      </c>
      <c r="B183" s="1"/>
      <c r="C183" s="1"/>
      <c r="D183" s="1"/>
      <c r="E183" s="55">
        <f t="shared" si="34"/>
        <v>0</v>
      </c>
      <c r="F183" s="1"/>
      <c r="G183" s="1"/>
      <c r="H183" s="1">
        <v>6</v>
      </c>
      <c r="I183" s="55">
        <f t="shared" si="28"/>
        <v>6</v>
      </c>
      <c r="J183" s="1">
        <v>3</v>
      </c>
      <c r="K183" s="1">
        <v>3</v>
      </c>
      <c r="L183" s="1">
        <v>1</v>
      </c>
      <c r="M183" s="55">
        <f t="shared" si="29"/>
        <v>7</v>
      </c>
      <c r="N183" s="1">
        <v>6</v>
      </c>
      <c r="O183" s="1">
        <v>1</v>
      </c>
      <c r="P183" s="1">
        <v>1</v>
      </c>
      <c r="Q183" s="55">
        <f t="shared" si="30"/>
        <v>8</v>
      </c>
      <c r="R183" s="55">
        <f t="shared" si="31"/>
        <v>21</v>
      </c>
      <c r="S183" s="344"/>
      <c r="T183" s="4" t="s">
        <v>812</v>
      </c>
    </row>
    <row r="184" spans="1:21" ht="15.75" customHeight="1" x14ac:dyDescent="0.3">
      <c r="A184" s="71" t="s">
        <v>845</v>
      </c>
      <c r="B184" s="1">
        <v>830</v>
      </c>
      <c r="C184" s="1">
        <v>776</v>
      </c>
      <c r="D184" s="1">
        <v>871</v>
      </c>
      <c r="E184" s="55">
        <f t="shared" si="34"/>
        <v>2477</v>
      </c>
      <c r="F184" s="1">
        <v>936</v>
      </c>
      <c r="G184" s="1">
        <v>1047</v>
      </c>
      <c r="H184" s="1">
        <v>972</v>
      </c>
      <c r="I184" s="55">
        <f t="shared" si="28"/>
        <v>2955</v>
      </c>
      <c r="J184" s="1">
        <v>1006</v>
      </c>
      <c r="K184" s="1">
        <v>1018</v>
      </c>
      <c r="L184" s="1">
        <v>916</v>
      </c>
      <c r="M184" s="55">
        <f t="shared" si="29"/>
        <v>2940</v>
      </c>
      <c r="N184" s="1">
        <v>922</v>
      </c>
      <c r="O184" s="1">
        <v>905</v>
      </c>
      <c r="P184" s="1">
        <v>861</v>
      </c>
      <c r="Q184" s="55">
        <f t="shared" si="30"/>
        <v>2688</v>
      </c>
      <c r="R184" s="55">
        <f t="shared" si="31"/>
        <v>11060</v>
      </c>
      <c r="T184" s="4" t="s">
        <v>832</v>
      </c>
    </row>
    <row r="185" spans="1:21" ht="15.75" customHeight="1" x14ac:dyDescent="0.3">
      <c r="A185" s="71" t="s">
        <v>846</v>
      </c>
      <c r="B185" s="1"/>
      <c r="C185" s="1"/>
      <c r="D185" s="1"/>
      <c r="E185" s="55">
        <f t="shared" si="34"/>
        <v>0</v>
      </c>
      <c r="F185" s="1"/>
      <c r="G185" s="1"/>
      <c r="H185" s="1"/>
      <c r="I185" s="55">
        <f t="shared" si="28"/>
        <v>0</v>
      </c>
      <c r="J185" s="1"/>
      <c r="K185" s="1"/>
      <c r="L185" s="1"/>
      <c r="M185" s="55">
        <f t="shared" si="29"/>
        <v>0</v>
      </c>
      <c r="N185" s="1"/>
      <c r="O185" s="1"/>
      <c r="P185" s="1"/>
      <c r="Q185" s="55">
        <f t="shared" si="30"/>
        <v>0</v>
      </c>
      <c r="R185" s="55">
        <f t="shared" si="31"/>
        <v>0</v>
      </c>
      <c r="S185" s="465" t="s">
        <v>821</v>
      </c>
      <c r="T185" s="4" t="s">
        <v>822</v>
      </c>
    </row>
    <row r="186" spans="1:21" ht="15.75" customHeight="1" x14ac:dyDescent="0.3">
      <c r="A186" s="71" t="s">
        <v>847</v>
      </c>
      <c r="B186" s="1"/>
      <c r="C186" s="1"/>
      <c r="D186" s="1"/>
      <c r="E186" s="55">
        <f t="shared" si="34"/>
        <v>0</v>
      </c>
      <c r="F186" s="1"/>
      <c r="G186" s="1"/>
      <c r="H186" s="1"/>
      <c r="I186" s="55">
        <f t="shared" si="28"/>
        <v>0</v>
      </c>
      <c r="J186" s="1"/>
      <c r="K186" s="1"/>
      <c r="L186" s="1"/>
      <c r="M186" s="55">
        <f t="shared" si="29"/>
        <v>0</v>
      </c>
      <c r="N186" s="1"/>
      <c r="O186" s="1"/>
      <c r="P186" s="1"/>
      <c r="Q186" s="55">
        <f t="shared" si="30"/>
        <v>0</v>
      </c>
      <c r="R186" s="55">
        <f t="shared" si="31"/>
        <v>0</v>
      </c>
      <c r="T186" s="4" t="s">
        <v>822</v>
      </c>
    </row>
    <row r="187" spans="1:21" ht="15.75" customHeight="1" x14ac:dyDescent="0.3">
      <c r="A187" s="71" t="s">
        <v>122</v>
      </c>
      <c r="B187" s="1">
        <f>1+2546+7554</f>
        <v>10101</v>
      </c>
      <c r="C187" s="1">
        <f>1+2287+6243</f>
        <v>8531</v>
      </c>
      <c r="D187" s="1">
        <f>1+1740+6924+1+36</f>
        <v>8702</v>
      </c>
      <c r="E187" s="55">
        <f t="shared" si="34"/>
        <v>27334</v>
      </c>
      <c r="F187" s="1">
        <f>7945+721+1+1+63</f>
        <v>8731</v>
      </c>
      <c r="G187" s="1">
        <f>1+2677+7699+1+85</f>
        <v>10463</v>
      </c>
      <c r="H187" s="1">
        <f>1+2520+9776+1+91</f>
        <v>12389</v>
      </c>
      <c r="I187" s="55">
        <f t="shared" si="28"/>
        <v>31583</v>
      </c>
      <c r="J187" s="1">
        <f>8729+2560+1+1+38</f>
        <v>11329</v>
      </c>
      <c r="K187" s="1">
        <f>8446+1+2499+40+1</f>
        <v>10987</v>
      </c>
      <c r="L187" s="1">
        <f>1+2420+5764</f>
        <v>8185</v>
      </c>
      <c r="M187" s="55">
        <f t="shared" si="29"/>
        <v>30501</v>
      </c>
      <c r="N187" s="1">
        <f>5729+2907+1</f>
        <v>8637</v>
      </c>
      <c r="O187" s="1">
        <f>5348+2587+1</f>
        <v>7936</v>
      </c>
      <c r="P187" s="1">
        <f>4405+2596+1</f>
        <v>7002</v>
      </c>
      <c r="Q187" s="55">
        <f t="shared" si="30"/>
        <v>23575</v>
      </c>
      <c r="R187" s="55">
        <f t="shared" si="31"/>
        <v>112993</v>
      </c>
      <c r="S187" s="4" t="s">
        <v>821</v>
      </c>
      <c r="U187" s="4">
        <f>122204-R187</f>
        <v>9211</v>
      </c>
    </row>
    <row r="188" spans="1:21" ht="15.75" customHeight="1" x14ac:dyDescent="0.3">
      <c r="A188" s="71" t="s">
        <v>848</v>
      </c>
      <c r="B188" s="1"/>
      <c r="C188" s="1">
        <f>311+983</f>
        <v>1294</v>
      </c>
      <c r="D188" s="1">
        <f>516+4017</f>
        <v>4533</v>
      </c>
      <c r="E188" s="55">
        <f t="shared" si="34"/>
        <v>5827</v>
      </c>
      <c r="F188" s="1">
        <v>575</v>
      </c>
      <c r="G188" s="1">
        <f>492+225</f>
        <v>717</v>
      </c>
      <c r="H188" s="1">
        <v>462</v>
      </c>
      <c r="I188" s="55">
        <f t="shared" si="28"/>
        <v>1754</v>
      </c>
      <c r="J188" s="1">
        <v>439</v>
      </c>
      <c r="K188" s="1">
        <v>439</v>
      </c>
      <c r="L188" s="1"/>
      <c r="M188" s="55">
        <f t="shared" si="29"/>
        <v>878</v>
      </c>
      <c r="N188" s="1"/>
      <c r="O188" s="1">
        <f>1292</f>
        <v>1292</v>
      </c>
      <c r="P188" s="1">
        <f>3278</f>
        <v>3278</v>
      </c>
      <c r="Q188" s="55">
        <f t="shared" si="30"/>
        <v>4570</v>
      </c>
      <c r="R188" s="55">
        <f>+E188+I188+M188+Q188</f>
        <v>13029</v>
      </c>
      <c r="S188" s="465"/>
      <c r="T188" s="4" t="s">
        <v>822</v>
      </c>
    </row>
    <row r="189" spans="1:21" ht="15.75" customHeight="1" x14ac:dyDescent="0.3">
      <c r="A189" s="71" t="s">
        <v>1386</v>
      </c>
      <c r="B189" s="1">
        <v>45</v>
      </c>
      <c r="C189" s="1">
        <v>50</v>
      </c>
      <c r="D189" s="1">
        <v>60</v>
      </c>
      <c r="E189" s="55">
        <f t="shared" si="34"/>
        <v>155</v>
      </c>
      <c r="F189" s="1">
        <v>65</v>
      </c>
      <c r="G189" s="1">
        <v>65</v>
      </c>
      <c r="H189" s="1">
        <v>65</v>
      </c>
      <c r="I189" s="55">
        <f t="shared" si="28"/>
        <v>195</v>
      </c>
      <c r="J189" s="1">
        <v>167</v>
      </c>
      <c r="K189" s="1">
        <v>75</v>
      </c>
      <c r="L189" s="1">
        <v>60</v>
      </c>
      <c r="M189" s="55">
        <f t="shared" si="29"/>
        <v>302</v>
      </c>
      <c r="N189" s="1">
        <v>60</v>
      </c>
      <c r="O189" s="1">
        <v>50</v>
      </c>
      <c r="P189" s="1">
        <v>50</v>
      </c>
      <c r="Q189" s="55">
        <f t="shared" si="30"/>
        <v>160</v>
      </c>
      <c r="R189" s="55">
        <f t="shared" si="31"/>
        <v>812</v>
      </c>
      <c r="S189" s="4" t="s">
        <v>821</v>
      </c>
      <c r="T189" s="4" t="s">
        <v>822</v>
      </c>
    </row>
    <row r="190" spans="1:21" ht="15.75" customHeight="1" x14ac:dyDescent="0.3">
      <c r="A190" s="84" t="s">
        <v>1387</v>
      </c>
      <c r="B190" s="1"/>
      <c r="C190" s="1"/>
      <c r="D190" s="1"/>
      <c r="E190" s="55">
        <f t="shared" si="34"/>
        <v>0</v>
      </c>
      <c r="F190" s="1"/>
      <c r="G190" s="1"/>
      <c r="H190" s="1">
        <v>500</v>
      </c>
      <c r="I190" s="55">
        <f t="shared" si="28"/>
        <v>500</v>
      </c>
      <c r="J190" s="1"/>
      <c r="K190" s="1"/>
      <c r="L190" s="1"/>
      <c r="M190" s="55">
        <f t="shared" si="29"/>
        <v>0</v>
      </c>
      <c r="N190" s="1"/>
      <c r="O190" s="1"/>
      <c r="P190" s="1"/>
      <c r="Q190" s="55">
        <f t="shared" ref="Q190" si="39">SUM(N190:P190)</f>
        <v>0</v>
      </c>
      <c r="R190" s="55">
        <f t="shared" si="31"/>
        <v>500</v>
      </c>
    </row>
    <row r="191" spans="1:21" ht="15.75" customHeight="1" x14ac:dyDescent="0.3">
      <c r="A191" s="71" t="s">
        <v>124</v>
      </c>
      <c r="B191" s="1">
        <v>3283</v>
      </c>
      <c r="C191" s="1"/>
      <c r="D191" s="1"/>
      <c r="E191" s="55">
        <f t="shared" si="34"/>
        <v>3283</v>
      </c>
      <c r="F191" s="1"/>
      <c r="G191" s="1">
        <v>1120</v>
      </c>
      <c r="H191" s="1">
        <v>7256</v>
      </c>
      <c r="I191" s="55">
        <f t="shared" si="28"/>
        <v>8376</v>
      </c>
      <c r="J191" s="1">
        <v>6230</v>
      </c>
      <c r="K191" s="1">
        <v>5931</v>
      </c>
      <c r="L191" s="1">
        <f>26+5151+430+75</f>
        <v>5682</v>
      </c>
      <c r="M191" s="55">
        <f t="shared" si="29"/>
        <v>17843</v>
      </c>
      <c r="N191" s="1">
        <v>6085</v>
      </c>
      <c r="O191" s="1">
        <v>5465</v>
      </c>
      <c r="P191" s="1">
        <v>4424</v>
      </c>
      <c r="Q191" s="55">
        <f t="shared" si="30"/>
        <v>15974</v>
      </c>
      <c r="R191" s="55">
        <f>+E191+I191+M191+Q191</f>
        <v>45476</v>
      </c>
    </row>
    <row r="192" spans="1:21" ht="15.75" customHeight="1" x14ac:dyDescent="0.3">
      <c r="A192" s="71" t="s">
        <v>850</v>
      </c>
      <c r="B192" s="1"/>
      <c r="C192" s="1"/>
      <c r="D192" s="1"/>
      <c r="E192" s="55">
        <f t="shared" ref="E192" si="40">SUM(B192:D192)</f>
        <v>0</v>
      </c>
      <c r="F192" s="1"/>
      <c r="G192" s="1"/>
      <c r="H192" s="1">
        <v>98</v>
      </c>
      <c r="I192" s="55">
        <f t="shared" si="28"/>
        <v>98</v>
      </c>
      <c r="J192" s="1">
        <f>98+500</f>
        <v>598</v>
      </c>
      <c r="K192" s="1">
        <v>98</v>
      </c>
      <c r="L192" s="1">
        <v>98</v>
      </c>
      <c r="M192" s="55">
        <f t="shared" si="29"/>
        <v>794</v>
      </c>
      <c r="N192" s="1">
        <v>98</v>
      </c>
      <c r="O192" s="1">
        <v>98</v>
      </c>
      <c r="P192" s="1">
        <v>98</v>
      </c>
      <c r="Q192" s="55">
        <f t="shared" si="30"/>
        <v>294</v>
      </c>
      <c r="R192" s="55">
        <f t="shared" si="31"/>
        <v>1186</v>
      </c>
      <c r="S192" s="4" t="s">
        <v>821</v>
      </c>
    </row>
    <row r="193" spans="1:20" ht="15.75" customHeight="1" x14ac:dyDescent="0.3">
      <c r="A193" s="84" t="s">
        <v>851</v>
      </c>
      <c r="B193" s="1"/>
      <c r="C193" s="1"/>
      <c r="D193" s="1"/>
      <c r="E193" s="55">
        <f t="shared" ref="E193:E198" si="41">SUM(B193:D193)</f>
        <v>0</v>
      </c>
      <c r="F193" s="1"/>
      <c r="G193" s="1"/>
      <c r="H193" s="1"/>
      <c r="I193" s="55">
        <f t="shared" ref="I193:I198" si="42">SUM(F193:H193)</f>
        <v>0</v>
      </c>
      <c r="J193" s="1"/>
      <c r="K193" s="1"/>
      <c r="L193" s="1"/>
      <c r="M193" s="55">
        <f t="shared" ref="M193:M198" si="43">SUM(J193:L193)</f>
        <v>0</v>
      </c>
      <c r="N193" s="1"/>
      <c r="O193" s="1"/>
      <c r="P193" s="1"/>
      <c r="Q193" s="55">
        <f t="shared" si="30"/>
        <v>0</v>
      </c>
      <c r="R193" s="55">
        <f t="shared" si="31"/>
        <v>0</v>
      </c>
      <c r="T193" s="4" t="s">
        <v>818</v>
      </c>
    </row>
    <row r="194" spans="1:20" ht="15.75" customHeight="1" x14ac:dyDescent="0.3">
      <c r="A194" s="84" t="s">
        <v>852</v>
      </c>
      <c r="B194" s="1"/>
      <c r="C194" s="1"/>
      <c r="D194" s="1"/>
      <c r="E194" s="55">
        <f t="shared" si="41"/>
        <v>0</v>
      </c>
      <c r="F194" s="1"/>
      <c r="G194" s="1"/>
      <c r="H194" s="1"/>
      <c r="I194" s="55">
        <f t="shared" si="42"/>
        <v>0</v>
      </c>
      <c r="J194" s="1"/>
      <c r="K194" s="1"/>
      <c r="L194" s="1"/>
      <c r="M194" s="55">
        <f t="shared" si="43"/>
        <v>0</v>
      </c>
      <c r="N194" s="1"/>
      <c r="O194" s="1"/>
      <c r="P194" s="1"/>
      <c r="Q194" s="55">
        <f t="shared" si="30"/>
        <v>0</v>
      </c>
      <c r="R194" s="55">
        <f>+E194+I194+M194+Q194</f>
        <v>0</v>
      </c>
    </row>
    <row r="195" spans="1:20" ht="15.75" customHeight="1" x14ac:dyDescent="0.3">
      <c r="A195" s="84" t="s">
        <v>853</v>
      </c>
      <c r="B195" s="1"/>
      <c r="C195" s="1"/>
      <c r="D195" s="1"/>
      <c r="E195" s="55">
        <f t="shared" si="41"/>
        <v>0</v>
      </c>
      <c r="F195" s="1">
        <v>1000</v>
      </c>
      <c r="G195" s="1">
        <v>1000</v>
      </c>
      <c r="H195" s="1">
        <v>1000</v>
      </c>
      <c r="I195" s="55">
        <f t="shared" si="42"/>
        <v>3000</v>
      </c>
      <c r="J195" s="1">
        <v>1000</v>
      </c>
      <c r="K195" s="1">
        <v>799</v>
      </c>
      <c r="L195" s="1">
        <v>201</v>
      </c>
      <c r="M195" s="55">
        <f t="shared" si="43"/>
        <v>2000</v>
      </c>
      <c r="N195" s="1"/>
      <c r="O195" s="1"/>
      <c r="P195" s="1"/>
      <c r="Q195" s="55">
        <f t="shared" si="30"/>
        <v>0</v>
      </c>
      <c r="R195" s="55">
        <f t="shared" si="31"/>
        <v>5000</v>
      </c>
    </row>
    <row r="196" spans="1:20" ht="15.75" customHeight="1" x14ac:dyDescent="0.3">
      <c r="A196" s="71" t="s">
        <v>854</v>
      </c>
      <c r="B196" s="1">
        <v>122</v>
      </c>
      <c r="C196" s="1">
        <v>300</v>
      </c>
      <c r="D196" s="1">
        <v>350</v>
      </c>
      <c r="E196" s="55">
        <f t="shared" si="41"/>
        <v>772</v>
      </c>
      <c r="F196" s="1">
        <v>350</v>
      </c>
      <c r="G196" s="1">
        <v>400</v>
      </c>
      <c r="H196" s="1">
        <v>450</v>
      </c>
      <c r="I196" s="55">
        <f t="shared" si="42"/>
        <v>1200</v>
      </c>
      <c r="J196" s="1">
        <v>493</v>
      </c>
      <c r="K196" s="1">
        <v>500</v>
      </c>
      <c r="L196" s="1">
        <v>400</v>
      </c>
      <c r="M196" s="55">
        <f t="shared" si="43"/>
        <v>1393</v>
      </c>
      <c r="N196" s="1">
        <v>400</v>
      </c>
      <c r="O196" s="1">
        <v>300</v>
      </c>
      <c r="P196" s="1">
        <v>250</v>
      </c>
      <c r="Q196" s="55">
        <f t="shared" si="30"/>
        <v>950</v>
      </c>
      <c r="R196" s="55">
        <f>+E196+I196+M196+Q196</f>
        <v>4315</v>
      </c>
      <c r="S196" s="4" t="s">
        <v>821</v>
      </c>
      <c r="T196" s="4" t="s">
        <v>822</v>
      </c>
    </row>
    <row r="197" spans="1:20" ht="15.75" customHeight="1" x14ac:dyDescent="0.3">
      <c r="A197" s="71" t="s">
        <v>700</v>
      </c>
      <c r="B197" s="1">
        <v>2</v>
      </c>
      <c r="C197" s="1">
        <v>2</v>
      </c>
      <c r="D197" s="1">
        <v>3</v>
      </c>
      <c r="E197" s="55">
        <f t="shared" si="41"/>
        <v>7</v>
      </c>
      <c r="F197" s="1">
        <v>4</v>
      </c>
      <c r="G197" s="1">
        <v>4</v>
      </c>
      <c r="H197" s="1">
        <v>5</v>
      </c>
      <c r="I197" s="55">
        <f t="shared" si="42"/>
        <v>13</v>
      </c>
      <c r="J197" s="1">
        <v>4</v>
      </c>
      <c r="K197" s="1">
        <v>3</v>
      </c>
      <c r="L197" s="1">
        <v>3</v>
      </c>
      <c r="M197" s="55">
        <f t="shared" si="43"/>
        <v>10</v>
      </c>
      <c r="N197" s="1">
        <v>3</v>
      </c>
      <c r="O197" s="1">
        <v>3</v>
      </c>
      <c r="P197" s="1">
        <v>3</v>
      </c>
      <c r="Q197" s="55">
        <f t="shared" si="30"/>
        <v>9</v>
      </c>
      <c r="R197" s="55">
        <f>+E197+I197+M197+Q197</f>
        <v>39</v>
      </c>
      <c r="S197" s="4">
        <f>SUM(R143:R197)</f>
        <v>300269</v>
      </c>
    </row>
    <row r="198" spans="1:20" ht="15.75" customHeight="1" x14ac:dyDescent="0.3">
      <c r="A198" s="71" t="s">
        <v>855</v>
      </c>
      <c r="B198" s="1"/>
      <c r="C198" s="1"/>
      <c r="D198" s="1"/>
      <c r="E198" s="55">
        <f t="shared" si="41"/>
        <v>0</v>
      </c>
      <c r="F198" s="1"/>
      <c r="G198" s="1"/>
      <c r="H198" s="1"/>
      <c r="I198" s="55">
        <f t="shared" si="42"/>
        <v>0</v>
      </c>
      <c r="J198" s="1"/>
      <c r="K198" s="1"/>
      <c r="L198" s="1"/>
      <c r="M198" s="55">
        <f t="shared" si="43"/>
        <v>0</v>
      </c>
      <c r="N198" s="1"/>
      <c r="O198" s="1"/>
      <c r="P198" s="1"/>
      <c r="Q198" s="55">
        <f t="shared" si="30"/>
        <v>0</v>
      </c>
      <c r="R198" s="55">
        <f>+E198+I198+M198+Q198</f>
        <v>0</v>
      </c>
      <c r="S198" s="465" t="s">
        <v>821</v>
      </c>
      <c r="T198" s="4" t="s">
        <v>822</v>
      </c>
    </row>
    <row r="199" spans="1:20" ht="15.75" customHeight="1" x14ac:dyDescent="0.3">
      <c r="A199" s="15" t="s">
        <v>50</v>
      </c>
      <c r="B199" s="1"/>
      <c r="C199" s="1"/>
      <c r="D199" s="1"/>
      <c r="E199" s="55" t="s">
        <v>7</v>
      </c>
      <c r="F199" s="1"/>
      <c r="G199" s="1"/>
      <c r="H199" s="1"/>
      <c r="I199" s="55" t="s">
        <v>7</v>
      </c>
      <c r="J199" s="1"/>
      <c r="K199" s="1"/>
      <c r="L199" s="1"/>
      <c r="M199" s="55" t="s">
        <v>7</v>
      </c>
      <c r="N199" s="1"/>
      <c r="O199" s="1"/>
      <c r="P199" s="1"/>
      <c r="Q199" s="55" t="s">
        <v>7</v>
      </c>
      <c r="R199" s="55" t="s">
        <v>7</v>
      </c>
    </row>
    <row r="200" spans="1:20" ht="15.75" customHeight="1" x14ac:dyDescent="0.3">
      <c r="A200" s="71" t="s">
        <v>701</v>
      </c>
      <c r="B200" s="1"/>
      <c r="C200" s="1"/>
      <c r="D200" s="1"/>
      <c r="E200" s="55">
        <f t="shared" ref="E200:E209" si="44">SUM(B200:D200)</f>
        <v>0</v>
      </c>
      <c r="F200" s="1"/>
      <c r="G200" s="1"/>
      <c r="H200" s="1"/>
      <c r="I200" s="55">
        <f t="shared" ref="I200:I209" si="45">SUM(F200:H200)</f>
        <v>0</v>
      </c>
      <c r="J200" s="1"/>
      <c r="K200" s="1"/>
      <c r="L200" s="1"/>
      <c r="M200" s="55">
        <f t="shared" ref="M200:M209" si="46">SUM(J200:L200)</f>
        <v>0</v>
      </c>
      <c r="N200" s="1"/>
      <c r="O200" s="1"/>
      <c r="P200" s="1"/>
      <c r="Q200" s="55">
        <f t="shared" ref="Q200:Q209" si="47">SUM(N200:P200)</f>
        <v>0</v>
      </c>
      <c r="R200" s="55">
        <f t="shared" ref="R200:R209" si="48">+E200+I200+M200+Q200</f>
        <v>0</v>
      </c>
    </row>
    <row r="201" spans="1:20" ht="15.75" customHeight="1" x14ac:dyDescent="0.3">
      <c r="A201" s="71" t="s">
        <v>127</v>
      </c>
      <c r="B201" s="1"/>
      <c r="C201" s="1"/>
      <c r="D201" s="1"/>
      <c r="E201" s="55">
        <f>SUM(B201:D201)</f>
        <v>0</v>
      </c>
      <c r="F201" s="1"/>
      <c r="G201" s="1"/>
      <c r="H201" s="1"/>
      <c r="I201" s="55">
        <f>SUM(F201:H201)</f>
        <v>0</v>
      </c>
      <c r="J201" s="1"/>
      <c r="K201" s="1"/>
      <c r="L201" s="1"/>
      <c r="M201" s="55">
        <f>SUM(J201:L201)</f>
        <v>0</v>
      </c>
      <c r="N201" s="1"/>
      <c r="O201" s="1"/>
      <c r="P201" s="1"/>
      <c r="Q201" s="55">
        <f>SUM(N201:P201)</f>
        <v>0</v>
      </c>
      <c r="R201" s="55">
        <f>+E201+I201+M201+Q201</f>
        <v>0</v>
      </c>
      <c r="T201" s="4" t="s">
        <v>406</v>
      </c>
    </row>
    <row r="202" spans="1:20" ht="15.75" customHeight="1" x14ac:dyDescent="0.3">
      <c r="A202" s="71" t="s">
        <v>128</v>
      </c>
      <c r="B202" s="1"/>
      <c r="C202" s="1"/>
      <c r="D202" s="1"/>
      <c r="E202" s="55">
        <f t="shared" si="44"/>
        <v>0</v>
      </c>
      <c r="F202" s="1"/>
      <c r="G202" s="1"/>
      <c r="H202" s="1"/>
      <c r="I202" s="55">
        <f t="shared" si="45"/>
        <v>0</v>
      </c>
      <c r="J202" s="1"/>
      <c r="K202" s="1"/>
      <c r="L202" s="1"/>
      <c r="M202" s="55">
        <f t="shared" si="46"/>
        <v>0</v>
      </c>
      <c r="N202" s="1"/>
      <c r="O202" s="1"/>
      <c r="P202" s="1"/>
      <c r="Q202" s="55">
        <f t="shared" si="47"/>
        <v>0</v>
      </c>
      <c r="R202" s="55">
        <f t="shared" si="48"/>
        <v>0</v>
      </c>
    </row>
    <row r="203" spans="1:20" ht="15.75" customHeight="1" x14ac:dyDescent="0.3">
      <c r="A203" s="71" t="s">
        <v>856</v>
      </c>
      <c r="B203" s="1"/>
      <c r="C203" s="1"/>
      <c r="D203" s="1"/>
      <c r="E203" s="55">
        <f t="shared" si="44"/>
        <v>0</v>
      </c>
      <c r="F203" s="1"/>
      <c r="G203" s="1"/>
      <c r="H203" s="1"/>
      <c r="I203" s="55">
        <f t="shared" si="45"/>
        <v>0</v>
      </c>
      <c r="J203" s="1"/>
      <c r="K203" s="1"/>
      <c r="L203" s="1"/>
      <c r="M203" s="55">
        <f t="shared" si="46"/>
        <v>0</v>
      </c>
      <c r="N203" s="1"/>
      <c r="O203" s="1"/>
      <c r="P203" s="1"/>
      <c r="Q203" s="55">
        <f t="shared" si="47"/>
        <v>0</v>
      </c>
      <c r="R203" s="55">
        <f t="shared" si="48"/>
        <v>0</v>
      </c>
      <c r="T203" s="4" t="s">
        <v>822</v>
      </c>
    </row>
    <row r="204" spans="1:20" ht="15.75" customHeight="1" x14ac:dyDescent="0.3">
      <c r="A204" s="71" t="s">
        <v>540</v>
      </c>
      <c r="B204" s="1"/>
      <c r="C204" s="1"/>
      <c r="D204" s="1"/>
      <c r="E204" s="55">
        <f t="shared" si="44"/>
        <v>0</v>
      </c>
      <c r="F204" s="1"/>
      <c r="G204" s="1"/>
      <c r="H204" s="1"/>
      <c r="I204" s="55">
        <f t="shared" si="45"/>
        <v>0</v>
      </c>
      <c r="J204" s="1"/>
      <c r="K204" s="1"/>
      <c r="L204" s="1"/>
      <c r="M204" s="55">
        <f t="shared" si="46"/>
        <v>0</v>
      </c>
      <c r="N204" s="1"/>
      <c r="O204" s="1"/>
      <c r="P204" s="1"/>
      <c r="Q204" s="55">
        <f t="shared" si="47"/>
        <v>0</v>
      </c>
      <c r="R204" s="55">
        <f t="shared" si="48"/>
        <v>0</v>
      </c>
    </row>
    <row r="205" spans="1:20" ht="15.75" customHeight="1" x14ac:dyDescent="0.3">
      <c r="A205" s="71" t="s">
        <v>132</v>
      </c>
      <c r="B205" s="1"/>
      <c r="C205" s="1"/>
      <c r="D205" s="1"/>
      <c r="E205" s="55">
        <f t="shared" si="44"/>
        <v>0</v>
      </c>
      <c r="F205" s="1"/>
      <c r="G205" s="1"/>
      <c r="H205" s="1"/>
      <c r="I205" s="55">
        <f t="shared" si="45"/>
        <v>0</v>
      </c>
      <c r="J205" s="1"/>
      <c r="K205" s="1"/>
      <c r="L205" s="1"/>
      <c r="M205" s="55">
        <f t="shared" si="46"/>
        <v>0</v>
      </c>
      <c r="N205" s="1"/>
      <c r="O205" s="1"/>
      <c r="P205" s="1"/>
      <c r="Q205" s="55">
        <f t="shared" si="47"/>
        <v>0</v>
      </c>
      <c r="R205" s="55">
        <f t="shared" si="48"/>
        <v>0</v>
      </c>
    </row>
    <row r="206" spans="1:20" ht="15.75" customHeight="1" x14ac:dyDescent="0.3">
      <c r="A206" s="84" t="s">
        <v>614</v>
      </c>
      <c r="B206" s="1"/>
      <c r="C206" s="1"/>
      <c r="D206" s="1"/>
      <c r="E206" s="55">
        <f t="shared" si="44"/>
        <v>0</v>
      </c>
      <c r="F206" s="1"/>
      <c r="G206" s="1"/>
      <c r="H206" s="1"/>
      <c r="I206" s="55">
        <f t="shared" si="45"/>
        <v>0</v>
      </c>
      <c r="J206" s="1"/>
      <c r="K206" s="1"/>
      <c r="L206" s="1"/>
      <c r="M206" s="55">
        <f t="shared" si="46"/>
        <v>0</v>
      </c>
      <c r="N206" s="1"/>
      <c r="O206" s="1"/>
      <c r="P206" s="1"/>
      <c r="Q206" s="55">
        <f t="shared" si="47"/>
        <v>0</v>
      </c>
      <c r="R206" s="55">
        <f t="shared" si="48"/>
        <v>0</v>
      </c>
      <c r="T206" s="4" t="s">
        <v>812</v>
      </c>
    </row>
    <row r="207" spans="1:20" ht="15.75" customHeight="1" x14ac:dyDescent="0.3">
      <c r="A207" s="71" t="s">
        <v>857</v>
      </c>
      <c r="B207" s="1"/>
      <c r="C207" s="1"/>
      <c r="D207" s="1"/>
      <c r="E207" s="55">
        <f t="shared" si="44"/>
        <v>0</v>
      </c>
      <c r="F207" s="1"/>
      <c r="G207" s="1"/>
      <c r="H207" s="1"/>
      <c r="I207" s="55">
        <f t="shared" si="45"/>
        <v>0</v>
      </c>
      <c r="J207" s="1"/>
      <c r="K207" s="1"/>
      <c r="L207" s="1"/>
      <c r="M207" s="55">
        <f t="shared" si="46"/>
        <v>0</v>
      </c>
      <c r="N207" s="1"/>
      <c r="O207" s="1"/>
      <c r="P207" s="1"/>
      <c r="Q207" s="55">
        <f t="shared" si="47"/>
        <v>0</v>
      </c>
      <c r="R207" s="55">
        <f t="shared" si="48"/>
        <v>0</v>
      </c>
      <c r="T207" s="4" t="s">
        <v>822</v>
      </c>
    </row>
    <row r="208" spans="1:20" ht="15.75" customHeight="1" x14ac:dyDescent="0.3">
      <c r="A208" s="71" t="s">
        <v>858</v>
      </c>
      <c r="B208" s="1"/>
      <c r="C208" s="1"/>
      <c r="D208" s="1"/>
      <c r="E208" s="55">
        <f t="shared" si="44"/>
        <v>0</v>
      </c>
      <c r="F208" s="1"/>
      <c r="G208" s="1"/>
      <c r="H208" s="1"/>
      <c r="I208" s="55">
        <f t="shared" si="45"/>
        <v>0</v>
      </c>
      <c r="J208" s="1"/>
      <c r="K208" s="1"/>
      <c r="L208" s="1"/>
      <c r="M208" s="55">
        <f t="shared" si="46"/>
        <v>0</v>
      </c>
      <c r="N208" s="1"/>
      <c r="O208" s="1"/>
      <c r="P208" s="1"/>
      <c r="Q208" s="55">
        <f t="shared" si="47"/>
        <v>0</v>
      </c>
      <c r="R208" s="55">
        <f t="shared" si="48"/>
        <v>0</v>
      </c>
      <c r="T208" s="4" t="s">
        <v>859</v>
      </c>
    </row>
    <row r="209" spans="1:20" ht="15.75" customHeight="1" x14ac:dyDescent="0.3">
      <c r="A209" s="84" t="s">
        <v>135</v>
      </c>
      <c r="B209" s="1"/>
      <c r="C209" s="1"/>
      <c r="D209" s="1"/>
      <c r="E209" s="55">
        <f t="shared" si="44"/>
        <v>0</v>
      </c>
      <c r="F209" s="1"/>
      <c r="G209" s="1"/>
      <c r="H209" s="1"/>
      <c r="I209" s="55">
        <f t="shared" si="45"/>
        <v>0</v>
      </c>
      <c r="J209" s="1"/>
      <c r="K209" s="1"/>
      <c r="L209" s="1"/>
      <c r="M209" s="55">
        <f t="shared" si="46"/>
        <v>0</v>
      </c>
      <c r="N209" s="1"/>
      <c r="O209" s="1"/>
      <c r="P209" s="1"/>
      <c r="Q209" s="55">
        <f t="shared" si="47"/>
        <v>0</v>
      </c>
      <c r="R209" s="55">
        <f t="shared" si="48"/>
        <v>0</v>
      </c>
    </row>
    <row r="210" spans="1:20" ht="15.75" customHeight="1" x14ac:dyDescent="0.3">
      <c r="A210" s="15" t="s">
        <v>1186</v>
      </c>
      <c r="B210" s="1"/>
      <c r="C210" s="1"/>
      <c r="D210" s="1"/>
      <c r="E210" s="55" t="s">
        <v>7</v>
      </c>
      <c r="F210" s="1"/>
      <c r="G210" s="1"/>
      <c r="H210" s="1"/>
      <c r="I210" s="55" t="s">
        <v>7</v>
      </c>
      <c r="J210" s="1"/>
      <c r="K210" s="1"/>
      <c r="L210" s="1"/>
      <c r="M210" s="55" t="s">
        <v>7</v>
      </c>
      <c r="N210" s="1"/>
      <c r="O210" s="1"/>
      <c r="P210" s="1"/>
      <c r="Q210" s="55" t="s">
        <v>7</v>
      </c>
      <c r="R210" s="55" t="s">
        <v>7</v>
      </c>
    </row>
    <row r="211" spans="1:20" ht="15.75" customHeight="1" x14ac:dyDescent="0.3">
      <c r="A211" s="85" t="s">
        <v>1276</v>
      </c>
      <c r="B211" s="1"/>
      <c r="C211" s="1"/>
      <c r="D211" s="1"/>
      <c r="E211" s="55">
        <f>SUM(B211:D211)</f>
        <v>0</v>
      </c>
      <c r="F211" s="1"/>
      <c r="G211" s="1"/>
      <c r="H211" s="1"/>
      <c r="I211" s="55">
        <f>SUM(F211:H211)</f>
        <v>0</v>
      </c>
      <c r="J211" s="1"/>
      <c r="K211" s="1"/>
      <c r="L211" s="1"/>
      <c r="M211" s="55">
        <f>SUM(J211:L211)</f>
        <v>0</v>
      </c>
      <c r="N211" s="1"/>
      <c r="O211" s="1"/>
      <c r="P211" s="1"/>
      <c r="Q211" s="55">
        <f>SUM(N211:P211)</f>
        <v>0</v>
      </c>
      <c r="R211" s="55">
        <f>+E211+I211+M211+Q211</f>
        <v>0</v>
      </c>
      <c r="S211" s="478" t="s">
        <v>1259</v>
      </c>
      <c r="T211" s="4" t="s">
        <v>818</v>
      </c>
    </row>
    <row r="212" spans="1:20" ht="15.75" customHeight="1" x14ac:dyDescent="0.3">
      <c r="A212" s="85" t="s">
        <v>1277</v>
      </c>
      <c r="B212" s="1"/>
      <c r="C212" s="1"/>
      <c r="D212" s="1"/>
      <c r="E212" s="55">
        <f>SUM(B212:D212)</f>
        <v>0</v>
      </c>
      <c r="F212" s="1"/>
      <c r="G212" s="1"/>
      <c r="H212" s="1"/>
      <c r="I212" s="55">
        <f>SUM(F212:H212)</f>
        <v>0</v>
      </c>
      <c r="J212" s="1"/>
      <c r="K212" s="1"/>
      <c r="L212" s="1"/>
      <c r="M212" s="55">
        <f>SUM(J212:L212)</f>
        <v>0</v>
      </c>
      <c r="N212" s="1"/>
      <c r="O212" s="1"/>
      <c r="P212" s="1"/>
      <c r="Q212" s="55">
        <f>SUM(N212:P212)</f>
        <v>0</v>
      </c>
      <c r="R212" s="55">
        <f>+E212+I212+M212+Q212</f>
        <v>0</v>
      </c>
      <c r="S212" s="478" t="s">
        <v>1259</v>
      </c>
      <c r="T212" s="4" t="s">
        <v>819</v>
      </c>
    </row>
    <row r="213" spans="1:20" ht="15.75" customHeight="1" x14ac:dyDescent="0.3">
      <c r="A213" s="61" t="s">
        <v>1278</v>
      </c>
      <c r="B213" s="1"/>
      <c r="C213" s="1"/>
      <c r="D213" s="1"/>
      <c r="E213" s="55">
        <f>SUM(B213:D213)</f>
        <v>0</v>
      </c>
      <c r="F213" s="1"/>
      <c r="G213" s="1"/>
      <c r="H213" s="1"/>
      <c r="I213" s="55">
        <f>SUM(F213:H213)</f>
        <v>0</v>
      </c>
      <c r="J213" s="1"/>
      <c r="K213" s="1"/>
      <c r="L213" s="1"/>
      <c r="M213" s="55">
        <f>SUM(J213:L213)</f>
        <v>0</v>
      </c>
      <c r="N213" s="1"/>
      <c r="O213" s="1"/>
      <c r="P213" s="1"/>
      <c r="Q213" s="55">
        <f>SUM(N213:P213)</f>
        <v>0</v>
      </c>
      <c r="R213" s="55">
        <f>+E213+I213+M213+Q213</f>
        <v>0</v>
      </c>
      <c r="S213" s="478" t="s">
        <v>1259</v>
      </c>
      <c r="T213" s="4" t="s">
        <v>862</v>
      </c>
    </row>
    <row r="214" spans="1:20" ht="15.75" customHeight="1" thickBot="1" x14ac:dyDescent="0.35">
      <c r="A214" s="15" t="s">
        <v>53</v>
      </c>
      <c r="B214" s="1"/>
      <c r="C214" s="1"/>
      <c r="D214" s="1"/>
      <c r="E214" s="55" t="s">
        <v>7</v>
      </c>
      <c r="F214" s="1"/>
      <c r="G214" s="1"/>
      <c r="H214" s="1"/>
      <c r="I214" s="55" t="s">
        <v>7</v>
      </c>
      <c r="J214" s="1"/>
      <c r="K214" s="1"/>
      <c r="L214" s="1"/>
      <c r="M214" s="55" t="s">
        <v>7</v>
      </c>
      <c r="N214" s="1"/>
      <c r="O214" s="1"/>
      <c r="P214" s="1"/>
      <c r="Q214" s="55" t="s">
        <v>7</v>
      </c>
      <c r="R214" s="55" t="s">
        <v>7</v>
      </c>
    </row>
    <row r="215" spans="1:20" ht="16.5" customHeight="1" thickBot="1" x14ac:dyDescent="0.35">
      <c r="A215" s="57" t="s">
        <v>54</v>
      </c>
      <c r="B215" s="86">
        <f>SUM(B141:B214)</f>
        <v>15815</v>
      </c>
      <c r="C215" s="87">
        <f>SUM(C141:C214)</f>
        <v>13649</v>
      </c>
      <c r="D215" s="87">
        <f>SUM(D141:D214)</f>
        <v>17983</v>
      </c>
      <c r="E215" s="59">
        <f>SUM(B215:D215)</f>
        <v>47447</v>
      </c>
      <c r="F215" s="87">
        <f>SUM(F141:F214)</f>
        <v>26091</v>
      </c>
      <c r="G215" s="87">
        <f t="shared" ref="G215:H215" si="49">SUM(G141:G214)</f>
        <v>28633</v>
      </c>
      <c r="H215" s="87">
        <f t="shared" si="49"/>
        <v>35788</v>
      </c>
      <c r="I215" s="59">
        <f>SUM(F215:H215)</f>
        <v>90512</v>
      </c>
      <c r="J215" s="87">
        <f>SUM(J141:J214)</f>
        <v>35179</v>
      </c>
      <c r="K215" s="87">
        <f>SUM(K141:K214)</f>
        <v>34677</v>
      </c>
      <c r="L215" s="87">
        <f>SUM(L141:L214)</f>
        <v>27776</v>
      </c>
      <c r="M215" s="59">
        <f>SUM(J215:L215)</f>
        <v>97632</v>
      </c>
      <c r="N215" s="87">
        <f>SUM(N141:N214)</f>
        <v>23621</v>
      </c>
      <c r="O215" s="87">
        <f>SUM(O141:O214)</f>
        <v>20639</v>
      </c>
      <c r="P215" s="87">
        <f>SUM(P141:P214)</f>
        <v>20418</v>
      </c>
      <c r="Q215" s="59">
        <f>SUM(N215:P215)</f>
        <v>64678</v>
      </c>
      <c r="R215" s="59">
        <f>+E215+I215+M215+Q215</f>
        <v>300269</v>
      </c>
    </row>
    <row r="216" spans="1:20" ht="15.75" customHeight="1" x14ac:dyDescent="0.3">
      <c r="A216" s="15" t="s">
        <v>55</v>
      </c>
      <c r="B216" s="1"/>
      <c r="C216" s="1"/>
      <c r="D216" s="1"/>
      <c r="E216" s="55" t="s">
        <v>7</v>
      </c>
      <c r="F216" s="1"/>
      <c r="G216" s="1"/>
      <c r="H216" s="1"/>
      <c r="I216" s="55" t="s">
        <v>7</v>
      </c>
      <c r="J216" s="1"/>
      <c r="K216" s="1"/>
      <c r="L216" s="1"/>
      <c r="M216" s="55" t="s">
        <v>7</v>
      </c>
      <c r="N216" s="1"/>
      <c r="O216" s="1"/>
      <c r="P216" s="1"/>
      <c r="Q216" s="55" t="s">
        <v>7</v>
      </c>
      <c r="R216" s="55" t="s">
        <v>7</v>
      </c>
    </row>
    <row r="217" spans="1:20" ht="15.75" customHeight="1" x14ac:dyDescent="0.3">
      <c r="A217" s="15" t="s">
        <v>56</v>
      </c>
      <c r="B217" s="1"/>
      <c r="C217" s="1"/>
      <c r="D217" s="1"/>
      <c r="E217" s="55" t="s">
        <v>7</v>
      </c>
      <c r="F217" s="1"/>
      <c r="G217" s="1"/>
      <c r="H217" s="1"/>
      <c r="I217" s="55" t="s">
        <v>7</v>
      </c>
      <c r="J217" s="1"/>
      <c r="K217" s="1"/>
      <c r="L217" s="1"/>
      <c r="M217" s="55" t="s">
        <v>7</v>
      </c>
      <c r="N217" s="1"/>
      <c r="O217" s="1"/>
      <c r="P217" s="1"/>
      <c r="Q217" s="55" t="s">
        <v>7</v>
      </c>
      <c r="R217" s="55" t="s">
        <v>7</v>
      </c>
    </row>
    <row r="218" spans="1:20" ht="15.75" customHeight="1" x14ac:dyDescent="0.3">
      <c r="A218" s="15" t="s">
        <v>57</v>
      </c>
      <c r="B218" s="1"/>
      <c r="C218" s="1"/>
      <c r="D218" s="1"/>
      <c r="E218" s="55" t="s">
        <v>7</v>
      </c>
      <c r="F218" s="1"/>
      <c r="G218" s="1"/>
      <c r="H218" s="1"/>
      <c r="I218" s="55" t="s">
        <v>7</v>
      </c>
      <c r="J218" s="1"/>
      <c r="K218" s="1"/>
      <c r="L218" s="1"/>
      <c r="M218" s="55" t="s">
        <v>7</v>
      </c>
      <c r="N218" s="1"/>
      <c r="O218" s="1"/>
      <c r="P218" s="1"/>
      <c r="Q218" s="55" t="s">
        <v>7</v>
      </c>
      <c r="R218" s="55" t="s">
        <v>7</v>
      </c>
    </row>
    <row r="219" spans="1:20" ht="15.75" customHeight="1" x14ac:dyDescent="0.3">
      <c r="A219" s="85" t="s">
        <v>616</v>
      </c>
      <c r="B219" s="1"/>
      <c r="C219" s="1"/>
      <c r="D219" s="1"/>
      <c r="E219" s="55">
        <f>SUM(B219:D219)</f>
        <v>0</v>
      </c>
      <c r="F219" s="1"/>
      <c r="G219" s="1"/>
      <c r="H219" s="1"/>
      <c r="I219" s="55">
        <f>SUM(F219:H219)</f>
        <v>0</v>
      </c>
      <c r="J219" s="1"/>
      <c r="K219" s="1"/>
      <c r="L219" s="1"/>
      <c r="M219" s="55">
        <f>SUM(J219:L219)</f>
        <v>0</v>
      </c>
      <c r="N219" s="1"/>
      <c r="O219" s="1"/>
      <c r="P219" s="1"/>
      <c r="Q219" s="55">
        <f>SUM(N219:P219)</f>
        <v>0</v>
      </c>
      <c r="R219" s="55">
        <f>+E219+I219+M219+Q219</f>
        <v>0</v>
      </c>
      <c r="T219" s="4" t="s">
        <v>812</v>
      </c>
    </row>
    <row r="220" spans="1:20" ht="15.75" customHeight="1" x14ac:dyDescent="0.3">
      <c r="A220" s="72" t="s">
        <v>863</v>
      </c>
      <c r="B220" s="1"/>
      <c r="C220" s="1"/>
      <c r="D220" s="1"/>
      <c r="E220" s="55">
        <f>SUM(B220:D220)</f>
        <v>0</v>
      </c>
      <c r="F220" s="1"/>
      <c r="G220" s="1"/>
      <c r="H220" s="1"/>
      <c r="I220" s="55">
        <f>SUM(F220:H220)</f>
        <v>0</v>
      </c>
      <c r="J220" s="1"/>
      <c r="K220" s="1"/>
      <c r="L220" s="1"/>
      <c r="M220" s="55">
        <f>SUM(J220:L220)</f>
        <v>0</v>
      </c>
      <c r="N220" s="1"/>
      <c r="O220" s="1"/>
      <c r="P220" s="1"/>
      <c r="Q220" s="55">
        <f>SUM(N220:P220)</f>
        <v>0</v>
      </c>
      <c r="R220" s="55">
        <f>+E220+I220+M220+Q220</f>
        <v>0</v>
      </c>
      <c r="S220" s="4" t="s">
        <v>821</v>
      </c>
      <c r="T220" s="4" t="s">
        <v>822</v>
      </c>
    </row>
    <row r="221" spans="1:20" ht="15.75" customHeight="1" thickBot="1" x14ac:dyDescent="0.35">
      <c r="A221" s="15" t="s">
        <v>58</v>
      </c>
      <c r="B221" s="1"/>
      <c r="C221" s="1"/>
      <c r="D221" s="1"/>
      <c r="E221" s="55" t="s">
        <v>7</v>
      </c>
      <c r="F221" s="1"/>
      <c r="G221" s="1"/>
      <c r="H221" s="1"/>
      <c r="I221" s="55" t="s">
        <v>7</v>
      </c>
      <c r="J221" s="1"/>
      <c r="K221" s="1"/>
      <c r="L221" s="1"/>
      <c r="M221" s="55" t="s">
        <v>7</v>
      </c>
      <c r="N221" s="1"/>
      <c r="O221" s="1"/>
      <c r="P221" s="1"/>
      <c r="Q221" s="55" t="s">
        <v>7</v>
      </c>
      <c r="R221" s="55" t="s">
        <v>7</v>
      </c>
    </row>
    <row r="222" spans="1:20" ht="16.5" customHeight="1" thickBot="1" x14ac:dyDescent="0.35">
      <c r="A222" s="57" t="s">
        <v>59</v>
      </c>
      <c r="B222" s="86">
        <f>SUM(B216:B221)</f>
        <v>0</v>
      </c>
      <c r="C222" s="87">
        <f>SUM(C216:C221)</f>
        <v>0</v>
      </c>
      <c r="D222" s="87">
        <f>SUM(D216:D221)</f>
        <v>0</v>
      </c>
      <c r="E222" s="59">
        <f>SUM(B222:D222)</f>
        <v>0</v>
      </c>
      <c r="F222" s="87"/>
      <c r="G222" s="87"/>
      <c r="H222" s="87"/>
      <c r="I222" s="59">
        <f>SUM(F222:H222)</f>
        <v>0</v>
      </c>
      <c r="J222" s="87">
        <f>SUM(J216:J221)</f>
        <v>0</v>
      </c>
      <c r="K222" s="87">
        <f>SUM(K216:K221)</f>
        <v>0</v>
      </c>
      <c r="L222" s="87">
        <f>SUM(L216:L221)</f>
        <v>0</v>
      </c>
      <c r="M222" s="59">
        <f>SUM(J222:L222)</f>
        <v>0</v>
      </c>
      <c r="N222" s="87">
        <f>SUM(N216:N221)</f>
        <v>0</v>
      </c>
      <c r="O222" s="87">
        <f>SUM(O216:O221)</f>
        <v>0</v>
      </c>
      <c r="P222" s="87">
        <f>SUM(P216:P221)</f>
        <v>0</v>
      </c>
      <c r="Q222" s="59">
        <f>SUM(N222:P222)</f>
        <v>0</v>
      </c>
      <c r="R222" s="59">
        <f>+E222+I222+M222+Q222</f>
        <v>0</v>
      </c>
    </row>
    <row r="223" spans="1:20" ht="15.75" customHeight="1" x14ac:dyDescent="0.3">
      <c r="A223" s="15" t="s">
        <v>60</v>
      </c>
      <c r="B223" s="1"/>
      <c r="C223" s="1"/>
      <c r="D223" s="1"/>
      <c r="E223" s="55" t="s">
        <v>7</v>
      </c>
      <c r="F223" s="1"/>
      <c r="G223" s="1"/>
      <c r="H223" s="1"/>
      <c r="I223" s="55" t="s">
        <v>7</v>
      </c>
      <c r="J223" s="1"/>
      <c r="K223" s="1"/>
      <c r="L223" s="1"/>
      <c r="M223" s="55" t="s">
        <v>7</v>
      </c>
      <c r="N223" s="1"/>
      <c r="O223" s="1"/>
      <c r="P223" s="1"/>
      <c r="Q223" s="55" t="s">
        <v>7</v>
      </c>
      <c r="R223" s="55" t="s">
        <v>7</v>
      </c>
    </row>
    <row r="224" spans="1:20" ht="15.75" customHeight="1" x14ac:dyDescent="0.3">
      <c r="A224" s="15" t="s">
        <v>61</v>
      </c>
      <c r="B224" s="1"/>
      <c r="C224" s="1"/>
      <c r="D224" s="1"/>
      <c r="E224" s="55" t="s">
        <v>7</v>
      </c>
      <c r="F224" s="1"/>
      <c r="G224" s="1"/>
      <c r="H224" s="1"/>
      <c r="I224" s="55" t="s">
        <v>7</v>
      </c>
      <c r="J224" s="1"/>
      <c r="K224" s="1"/>
      <c r="L224" s="1"/>
      <c r="M224" s="55" t="s">
        <v>7</v>
      </c>
      <c r="N224" s="1"/>
      <c r="O224" s="1"/>
      <c r="P224" s="1"/>
      <c r="Q224" s="55" t="s">
        <v>7</v>
      </c>
      <c r="R224" s="55" t="s">
        <v>7</v>
      </c>
    </row>
    <row r="225" spans="1:20" ht="15.75" customHeight="1" x14ac:dyDescent="0.3">
      <c r="A225" s="15" t="s">
        <v>62</v>
      </c>
      <c r="B225" s="1"/>
      <c r="C225" s="1"/>
      <c r="D225" s="1"/>
      <c r="E225" s="55" t="s">
        <v>7</v>
      </c>
      <c r="F225" s="1"/>
      <c r="G225" s="1"/>
      <c r="H225" s="1"/>
      <c r="I225" s="55" t="s">
        <v>7</v>
      </c>
      <c r="J225" s="1"/>
      <c r="K225" s="1"/>
      <c r="L225" s="1"/>
      <c r="M225" s="55" t="s">
        <v>7</v>
      </c>
      <c r="N225" s="1"/>
      <c r="O225" s="1"/>
      <c r="P225" s="1"/>
      <c r="Q225" s="55" t="s">
        <v>7</v>
      </c>
      <c r="R225" s="55" t="s">
        <v>7</v>
      </c>
    </row>
    <row r="226" spans="1:20" ht="15.75" customHeight="1" x14ac:dyDescent="0.3">
      <c r="A226" s="88" t="s">
        <v>142</v>
      </c>
      <c r="B226" s="1">
        <v>374</v>
      </c>
      <c r="C226" s="1">
        <v>256</v>
      </c>
      <c r="D226" s="1">
        <v>350</v>
      </c>
      <c r="E226" s="55">
        <f t="shared" ref="E226:E233" si="50">SUM(B226:D226)</f>
        <v>980</v>
      </c>
      <c r="F226" s="1">
        <v>422</v>
      </c>
      <c r="G226" s="1">
        <v>482</v>
      </c>
      <c r="H226" s="1">
        <v>568</v>
      </c>
      <c r="I226" s="55">
        <f t="shared" ref="I226:I233" si="51">SUM(F226:H226)</f>
        <v>1472</v>
      </c>
      <c r="J226" s="1">
        <v>462</v>
      </c>
      <c r="K226" s="1">
        <v>428</v>
      </c>
      <c r="L226" s="1">
        <v>390</v>
      </c>
      <c r="M226" s="55">
        <f t="shared" ref="M226:M233" si="52">SUM(J226:L226)</f>
        <v>1280</v>
      </c>
      <c r="N226" s="1">
        <v>425</v>
      </c>
      <c r="O226" s="1">
        <v>373</v>
      </c>
      <c r="P226" s="1">
        <v>308</v>
      </c>
      <c r="Q226" s="55">
        <f t="shared" ref="Q226:Q232" si="53">SUM(N226:P226)</f>
        <v>1106</v>
      </c>
      <c r="R226" s="55">
        <f t="shared" ref="R226:R295" si="54">+E226+I226+M226+Q226</f>
        <v>4838</v>
      </c>
      <c r="T226" s="4" t="s">
        <v>865</v>
      </c>
    </row>
    <row r="227" spans="1:20" ht="15.75" customHeight="1" x14ac:dyDescent="0.3">
      <c r="A227" s="88" t="s">
        <v>143</v>
      </c>
      <c r="B227" s="1"/>
      <c r="C227" s="1"/>
      <c r="D227" s="1">
        <v>357</v>
      </c>
      <c r="E227" s="55">
        <f t="shared" si="50"/>
        <v>357</v>
      </c>
      <c r="F227" s="1"/>
      <c r="G227" s="1"/>
      <c r="H227" s="1"/>
      <c r="I227" s="55">
        <f t="shared" si="51"/>
        <v>0</v>
      </c>
      <c r="J227" s="1"/>
      <c r="K227" s="1"/>
      <c r="L227" s="1"/>
      <c r="M227" s="55">
        <f t="shared" si="52"/>
        <v>0</v>
      </c>
      <c r="N227" s="1"/>
      <c r="O227" s="1"/>
      <c r="P227" s="1"/>
      <c r="Q227" s="55">
        <f t="shared" si="53"/>
        <v>0</v>
      </c>
      <c r="R227" s="55">
        <f t="shared" si="54"/>
        <v>357</v>
      </c>
      <c r="T227" s="4" t="s">
        <v>812</v>
      </c>
    </row>
    <row r="228" spans="1:20" ht="15.75" customHeight="1" x14ac:dyDescent="0.3">
      <c r="A228" s="72" t="s">
        <v>1194</v>
      </c>
      <c r="B228" s="1"/>
      <c r="C228" s="1"/>
      <c r="D228" s="1"/>
      <c r="E228" s="55">
        <f t="shared" si="50"/>
        <v>0</v>
      </c>
      <c r="F228" s="1"/>
      <c r="G228" s="1"/>
      <c r="H228" s="1"/>
      <c r="I228" s="55">
        <f t="shared" si="51"/>
        <v>0</v>
      </c>
      <c r="J228" s="1"/>
      <c r="K228" s="1"/>
      <c r="L228" s="1"/>
      <c r="M228" s="55">
        <f t="shared" si="52"/>
        <v>0</v>
      </c>
      <c r="N228" s="1"/>
      <c r="O228" s="1"/>
      <c r="P228" s="1"/>
      <c r="Q228" s="55">
        <f t="shared" si="53"/>
        <v>0</v>
      </c>
      <c r="R228" s="55">
        <f t="shared" si="54"/>
        <v>0</v>
      </c>
    </row>
    <row r="229" spans="1:20" ht="15.75" customHeight="1" x14ac:dyDescent="0.3">
      <c r="A229" s="88" t="s">
        <v>1279</v>
      </c>
      <c r="B229" s="1">
        <v>7</v>
      </c>
      <c r="C229" s="1"/>
      <c r="D229" s="1">
        <v>1</v>
      </c>
      <c r="E229" s="55">
        <f t="shared" si="50"/>
        <v>8</v>
      </c>
      <c r="F229" s="1">
        <v>15</v>
      </c>
      <c r="G229" s="1">
        <v>44</v>
      </c>
      <c r="H229" s="1">
        <f>39+51</f>
        <v>90</v>
      </c>
      <c r="I229" s="55">
        <f t="shared" si="51"/>
        <v>149</v>
      </c>
      <c r="J229" s="1">
        <f>53+40</f>
        <v>93</v>
      </c>
      <c r="K229" s="1">
        <f>106+36</f>
        <v>142</v>
      </c>
      <c r="L229" s="1">
        <f>38+50</f>
        <v>88</v>
      </c>
      <c r="M229" s="55">
        <f t="shared" si="52"/>
        <v>323</v>
      </c>
      <c r="N229" s="1">
        <f>35+28</f>
        <v>63</v>
      </c>
      <c r="O229" s="1">
        <f>65+15</f>
        <v>80</v>
      </c>
      <c r="P229" s="1">
        <f>26</f>
        <v>26</v>
      </c>
      <c r="Q229" s="55">
        <f t="shared" si="53"/>
        <v>169</v>
      </c>
      <c r="R229" s="55">
        <f t="shared" si="54"/>
        <v>649</v>
      </c>
      <c r="T229" s="4" t="s">
        <v>406</v>
      </c>
    </row>
    <row r="230" spans="1:20" ht="15.75" customHeight="1" x14ac:dyDescent="0.3">
      <c r="A230" s="88" t="s">
        <v>866</v>
      </c>
      <c r="B230" s="1"/>
      <c r="C230" s="1"/>
      <c r="D230" s="1"/>
      <c r="E230" s="55">
        <f t="shared" si="50"/>
        <v>0</v>
      </c>
      <c r="F230" s="1"/>
      <c r="G230" s="1"/>
      <c r="H230" s="1"/>
      <c r="I230" s="55">
        <f t="shared" si="51"/>
        <v>0</v>
      </c>
      <c r="J230" s="1"/>
      <c r="K230" s="1"/>
      <c r="L230" s="1"/>
      <c r="M230" s="55">
        <f t="shared" si="52"/>
        <v>0</v>
      </c>
      <c r="N230" s="1"/>
      <c r="O230" s="1">
        <v>182</v>
      </c>
      <c r="P230" s="1"/>
      <c r="Q230" s="55">
        <f t="shared" si="53"/>
        <v>182</v>
      </c>
      <c r="R230" s="55">
        <f>+E230+I230+M230+Q230</f>
        <v>182</v>
      </c>
      <c r="T230" s="4" t="s">
        <v>819</v>
      </c>
    </row>
    <row r="231" spans="1:20" ht="15.75" customHeight="1" x14ac:dyDescent="0.3">
      <c r="A231" s="88" t="s">
        <v>864</v>
      </c>
      <c r="B231" s="1"/>
      <c r="C231" s="1"/>
      <c r="D231" s="1"/>
      <c r="E231" s="55">
        <f t="shared" si="50"/>
        <v>0</v>
      </c>
      <c r="F231" s="1"/>
      <c r="G231" s="1"/>
      <c r="H231" s="1"/>
      <c r="I231" s="55">
        <f t="shared" si="51"/>
        <v>0</v>
      </c>
      <c r="J231" s="1"/>
      <c r="K231" s="1"/>
      <c r="L231" s="1">
        <v>466</v>
      </c>
      <c r="M231" s="55">
        <f t="shared" si="52"/>
        <v>466</v>
      </c>
      <c r="N231" s="1">
        <v>2612</v>
      </c>
      <c r="O231" s="1">
        <v>1922</v>
      </c>
      <c r="P231" s="1"/>
      <c r="Q231" s="55">
        <f t="shared" si="53"/>
        <v>4534</v>
      </c>
      <c r="R231" s="55">
        <f>+E231+I231+M231+Q231</f>
        <v>5000</v>
      </c>
      <c r="T231" s="4" t="s">
        <v>819</v>
      </c>
    </row>
    <row r="232" spans="1:20" ht="15.75" customHeight="1" x14ac:dyDescent="0.3">
      <c r="A232" s="72" t="s">
        <v>867</v>
      </c>
      <c r="B232" s="1"/>
      <c r="C232" s="1"/>
      <c r="D232" s="1"/>
      <c r="E232" s="55">
        <f t="shared" si="50"/>
        <v>0</v>
      </c>
      <c r="F232" s="1"/>
      <c r="G232" s="1"/>
      <c r="H232" s="1"/>
      <c r="I232" s="55">
        <f t="shared" si="51"/>
        <v>0</v>
      </c>
      <c r="J232" s="1"/>
      <c r="K232" s="1"/>
      <c r="L232" s="1"/>
      <c r="M232" s="55">
        <f t="shared" si="52"/>
        <v>0</v>
      </c>
      <c r="N232" s="1"/>
      <c r="O232" s="1"/>
      <c r="P232" s="1"/>
      <c r="Q232" s="55">
        <f t="shared" si="53"/>
        <v>0</v>
      </c>
      <c r="R232" s="55">
        <f>+E232+I232+M232+Q232</f>
        <v>0</v>
      </c>
      <c r="S232" s="465"/>
      <c r="T232" s="4" t="s">
        <v>822</v>
      </c>
    </row>
    <row r="233" spans="1:20" ht="15.75" customHeight="1" x14ac:dyDescent="0.3">
      <c r="A233" s="72" t="s">
        <v>1354</v>
      </c>
      <c r="B233" s="1"/>
      <c r="C233" s="1"/>
      <c r="D233" s="1"/>
      <c r="E233" s="55">
        <f t="shared" si="50"/>
        <v>0</v>
      </c>
      <c r="F233" s="1"/>
      <c r="G233" s="1"/>
      <c r="H233" s="1"/>
      <c r="I233" s="55">
        <f t="shared" si="51"/>
        <v>0</v>
      </c>
      <c r="J233" s="1"/>
      <c r="K233" s="1"/>
      <c r="L233" s="1"/>
      <c r="M233" s="55">
        <f t="shared" si="52"/>
        <v>0</v>
      </c>
      <c r="N233" s="1"/>
      <c r="O233" s="1"/>
      <c r="P233" s="1"/>
      <c r="Q233" s="55">
        <f t="shared" ref="Q233" si="55">SUM(N233:P233)</f>
        <v>0</v>
      </c>
      <c r="R233" s="55">
        <f>+E233+I233+M233+Q233</f>
        <v>0</v>
      </c>
      <c r="S233" s="465"/>
    </row>
    <row r="234" spans="1:20" ht="15.75" customHeight="1" x14ac:dyDescent="0.3">
      <c r="A234" s="72" t="s">
        <v>868</v>
      </c>
      <c r="B234" s="1">
        <v>800</v>
      </c>
      <c r="C234" s="1"/>
      <c r="D234" s="1"/>
      <c r="E234" s="55">
        <f>SUM(B234:D234)</f>
        <v>800</v>
      </c>
      <c r="F234" s="1"/>
      <c r="G234" s="1"/>
      <c r="H234" s="1"/>
      <c r="I234" s="55">
        <f t="shared" ref="I234:I293" si="56">SUM(F234:H234)</f>
        <v>0</v>
      </c>
      <c r="J234" s="1"/>
      <c r="K234" s="1"/>
      <c r="L234" s="1"/>
      <c r="M234" s="55">
        <f t="shared" ref="M234:M293" si="57">SUM(J234:L234)</f>
        <v>0</v>
      </c>
      <c r="N234" s="1"/>
      <c r="O234" s="1"/>
      <c r="P234" s="1"/>
      <c r="Q234" s="55">
        <f t="shared" ref="Q234:Q293" si="58">SUM(N234:P234)</f>
        <v>0</v>
      </c>
      <c r="R234" s="55">
        <f t="shared" si="54"/>
        <v>800</v>
      </c>
      <c r="S234" s="4" t="s">
        <v>821</v>
      </c>
    </row>
    <row r="235" spans="1:20" ht="15.75" customHeight="1" x14ac:dyDescent="0.3">
      <c r="A235" s="359" t="s">
        <v>1119</v>
      </c>
      <c r="B235" s="1"/>
      <c r="C235" s="1"/>
      <c r="D235" s="1"/>
      <c r="E235" s="55">
        <f t="shared" ref="E235" si="59">SUM(B235:D235)</f>
        <v>0</v>
      </c>
      <c r="F235" s="1"/>
      <c r="G235" s="1"/>
      <c r="H235" s="1"/>
      <c r="I235" s="55">
        <f t="shared" si="56"/>
        <v>0</v>
      </c>
      <c r="J235" s="1"/>
      <c r="K235" s="1"/>
      <c r="L235" s="1"/>
      <c r="M235" s="55">
        <f t="shared" si="57"/>
        <v>0</v>
      </c>
      <c r="N235" s="1"/>
      <c r="O235" s="1"/>
      <c r="P235" s="1"/>
      <c r="Q235" s="55">
        <f t="shared" si="58"/>
        <v>0</v>
      </c>
      <c r="R235" s="55">
        <f>+E235+I235+M235+Q235</f>
        <v>0</v>
      </c>
      <c r="T235" s="4" t="s">
        <v>919</v>
      </c>
    </row>
    <row r="236" spans="1:20" ht="15.75" customHeight="1" x14ac:dyDescent="0.3">
      <c r="A236" s="72" t="s">
        <v>148</v>
      </c>
      <c r="B236" s="1">
        <v>682</v>
      </c>
      <c r="C236" s="1"/>
      <c r="D236" s="1"/>
      <c r="E236" s="55">
        <f>SUM(B236:D236)</f>
        <v>682</v>
      </c>
      <c r="F236" s="1"/>
      <c r="G236" s="1"/>
      <c r="H236" s="1"/>
      <c r="I236" s="55">
        <f>SUM(F236:H236)</f>
        <v>0</v>
      </c>
      <c r="J236" s="1"/>
      <c r="K236" s="1"/>
      <c r="L236" s="1"/>
      <c r="M236" s="55">
        <f>SUM(J236:L236)</f>
        <v>0</v>
      </c>
      <c r="N236" s="1"/>
      <c r="O236" s="1"/>
      <c r="P236" s="1"/>
      <c r="Q236" s="55">
        <f>SUM(N236:P236)</f>
        <v>0</v>
      </c>
      <c r="R236" s="55">
        <f t="shared" si="54"/>
        <v>682</v>
      </c>
      <c r="T236" s="4" t="s">
        <v>832</v>
      </c>
    </row>
    <row r="237" spans="1:20" ht="15.75" customHeight="1" x14ac:dyDescent="0.3">
      <c r="A237" s="88" t="s">
        <v>1280</v>
      </c>
      <c r="B237" s="1"/>
      <c r="C237" s="1"/>
      <c r="D237" s="1"/>
      <c r="E237" s="55">
        <f>SUM(B237:D237)</f>
        <v>0</v>
      </c>
      <c r="F237" s="1"/>
      <c r="G237" s="1"/>
      <c r="H237" s="1"/>
      <c r="I237" s="55">
        <f>SUM(F237:H237)</f>
        <v>0</v>
      </c>
      <c r="J237" s="1"/>
      <c r="K237" s="1"/>
      <c r="L237" s="1"/>
      <c r="M237" s="55">
        <f>SUM(J237:L237)</f>
        <v>0</v>
      </c>
      <c r="N237" s="1"/>
      <c r="O237" s="1"/>
      <c r="P237" s="1"/>
      <c r="Q237" s="55">
        <f>SUM(N237:P237)</f>
        <v>0</v>
      </c>
      <c r="R237" s="55">
        <f t="shared" si="54"/>
        <v>0</v>
      </c>
    </row>
    <row r="238" spans="1:20" ht="15.75" customHeight="1" x14ac:dyDescent="0.3">
      <c r="A238" s="72" t="s">
        <v>150</v>
      </c>
      <c r="B238" s="1">
        <f>1+9</f>
        <v>10</v>
      </c>
      <c r="C238" s="1">
        <f>1+20</f>
        <v>21</v>
      </c>
      <c r="D238" s="1"/>
      <c r="E238" s="55">
        <f t="shared" ref="E238:E281" si="60">SUM(B238:D238)</f>
        <v>31</v>
      </c>
      <c r="F238" s="1"/>
      <c r="G238" s="1"/>
      <c r="H238" s="1"/>
      <c r="I238" s="55">
        <f t="shared" si="56"/>
        <v>0</v>
      </c>
      <c r="J238" s="1"/>
      <c r="K238" s="1"/>
      <c r="L238" s="1"/>
      <c r="M238" s="55">
        <f t="shared" si="57"/>
        <v>0</v>
      </c>
      <c r="N238" s="1"/>
      <c r="O238" s="1"/>
      <c r="P238" s="1"/>
      <c r="Q238" s="55">
        <f t="shared" si="58"/>
        <v>0</v>
      </c>
      <c r="R238" s="55">
        <f t="shared" si="54"/>
        <v>31</v>
      </c>
    </row>
    <row r="239" spans="1:20" ht="15.75" customHeight="1" x14ac:dyDescent="0.3">
      <c r="A239" s="72" t="s">
        <v>1438</v>
      </c>
      <c r="B239" s="1">
        <v>104</v>
      </c>
      <c r="C239" s="1"/>
      <c r="D239" s="1"/>
      <c r="E239" s="55">
        <f t="shared" si="60"/>
        <v>104</v>
      </c>
      <c r="F239" s="1"/>
      <c r="G239" s="1"/>
      <c r="H239" s="1"/>
      <c r="I239" s="55">
        <f t="shared" si="56"/>
        <v>0</v>
      </c>
      <c r="J239" s="1"/>
      <c r="K239" s="1"/>
      <c r="L239" s="1"/>
      <c r="M239" s="55">
        <f t="shared" si="57"/>
        <v>0</v>
      </c>
      <c r="N239" s="1"/>
      <c r="O239" s="1"/>
      <c r="P239" s="1"/>
      <c r="Q239" s="55">
        <f t="shared" ref="Q239" si="61">SUM(N239:P239)</f>
        <v>0</v>
      </c>
      <c r="R239" s="55">
        <f t="shared" si="54"/>
        <v>104</v>
      </c>
    </row>
    <row r="240" spans="1:20" ht="15.75" customHeight="1" x14ac:dyDescent="0.3">
      <c r="A240" s="72" t="s">
        <v>151</v>
      </c>
      <c r="B240" s="1">
        <v>23</v>
      </c>
      <c r="C240" s="1"/>
      <c r="D240" s="1"/>
      <c r="E240" s="55">
        <f t="shared" si="60"/>
        <v>23</v>
      </c>
      <c r="F240" s="1"/>
      <c r="G240" s="1"/>
      <c r="H240" s="1"/>
      <c r="I240" s="55">
        <f t="shared" si="56"/>
        <v>0</v>
      </c>
      <c r="J240" s="1"/>
      <c r="K240" s="1"/>
      <c r="L240" s="1"/>
      <c r="M240" s="55">
        <f t="shared" si="57"/>
        <v>0</v>
      </c>
      <c r="N240" s="1"/>
      <c r="O240" s="1"/>
      <c r="P240" s="1"/>
      <c r="Q240" s="55">
        <f t="shared" si="58"/>
        <v>0</v>
      </c>
      <c r="R240" s="55">
        <f t="shared" si="54"/>
        <v>23</v>
      </c>
    </row>
    <row r="241" spans="1:20" ht="15.75" customHeight="1" x14ac:dyDescent="0.3">
      <c r="A241" s="72" t="s">
        <v>870</v>
      </c>
      <c r="B241" s="1">
        <v>23</v>
      </c>
      <c r="C241" s="1"/>
      <c r="D241" s="1"/>
      <c r="E241" s="55">
        <f t="shared" si="60"/>
        <v>23</v>
      </c>
      <c r="F241" s="1"/>
      <c r="G241" s="1"/>
      <c r="H241" s="1"/>
      <c r="I241" s="55">
        <f t="shared" si="56"/>
        <v>0</v>
      </c>
      <c r="J241" s="1"/>
      <c r="K241" s="1"/>
      <c r="L241" s="1"/>
      <c r="M241" s="55">
        <f t="shared" si="57"/>
        <v>0</v>
      </c>
      <c r="N241" s="1"/>
      <c r="O241" s="1"/>
      <c r="P241" s="1"/>
      <c r="Q241" s="55">
        <f t="shared" si="58"/>
        <v>0</v>
      </c>
      <c r="R241" s="55">
        <f t="shared" si="54"/>
        <v>23</v>
      </c>
      <c r="S241" s="4" t="s">
        <v>821</v>
      </c>
      <c r="T241" s="4" t="s">
        <v>822</v>
      </c>
    </row>
    <row r="242" spans="1:20" ht="15.75" customHeight="1" x14ac:dyDescent="0.3">
      <c r="A242" s="72" t="s">
        <v>1195</v>
      </c>
      <c r="B242" s="1"/>
      <c r="C242" s="1"/>
      <c r="D242" s="1"/>
      <c r="E242" s="55">
        <f t="shared" si="60"/>
        <v>0</v>
      </c>
      <c r="F242" s="1"/>
      <c r="G242" s="1"/>
      <c r="H242" s="1"/>
      <c r="I242" s="55">
        <f t="shared" si="56"/>
        <v>0</v>
      </c>
      <c r="J242" s="1"/>
      <c r="K242" s="1"/>
      <c r="L242" s="1"/>
      <c r="M242" s="55">
        <f t="shared" si="57"/>
        <v>0</v>
      </c>
      <c r="N242" s="1"/>
      <c r="O242" s="1"/>
      <c r="P242" s="1"/>
      <c r="Q242" s="55">
        <f t="shared" si="58"/>
        <v>0</v>
      </c>
      <c r="R242" s="55">
        <f t="shared" si="54"/>
        <v>0</v>
      </c>
      <c r="S242" s="4" t="s">
        <v>821</v>
      </c>
      <c r="T242" s="4" t="s">
        <v>822</v>
      </c>
    </row>
    <row r="243" spans="1:20" ht="15.75" customHeight="1" x14ac:dyDescent="0.3">
      <c r="A243" s="72" t="s">
        <v>1196</v>
      </c>
      <c r="B243" s="1"/>
      <c r="C243" s="1"/>
      <c r="D243" s="1"/>
      <c r="E243" s="55">
        <f t="shared" si="60"/>
        <v>0</v>
      </c>
      <c r="F243" s="1"/>
      <c r="G243" s="1"/>
      <c r="H243" s="1"/>
      <c r="I243" s="55">
        <f t="shared" si="56"/>
        <v>0</v>
      </c>
      <c r="J243" s="1"/>
      <c r="K243" s="1"/>
      <c r="L243" s="1"/>
      <c r="M243" s="55">
        <f t="shared" si="57"/>
        <v>0</v>
      </c>
      <c r="N243" s="1"/>
      <c r="O243" s="1"/>
      <c r="P243" s="1">
        <f>408+523</f>
        <v>931</v>
      </c>
      <c r="Q243" s="55">
        <f t="shared" si="58"/>
        <v>931</v>
      </c>
      <c r="R243" s="55">
        <f t="shared" si="54"/>
        <v>931</v>
      </c>
    </row>
    <row r="244" spans="1:20" ht="15.75" customHeight="1" x14ac:dyDescent="0.3">
      <c r="A244" s="72" t="s">
        <v>1197</v>
      </c>
      <c r="B244" s="1"/>
      <c r="C244" s="1"/>
      <c r="D244" s="1"/>
      <c r="E244" s="55">
        <f t="shared" si="60"/>
        <v>0</v>
      </c>
      <c r="F244" s="1"/>
      <c r="H244" s="1"/>
      <c r="I244" s="55">
        <f t="shared" si="56"/>
        <v>0</v>
      </c>
      <c r="J244" s="1"/>
      <c r="K244" s="1"/>
      <c r="L244" s="1"/>
      <c r="M244" s="55">
        <f t="shared" si="57"/>
        <v>0</v>
      </c>
      <c r="N244" s="1"/>
      <c r="O244" s="1"/>
      <c r="P244" s="1">
        <f>8+1</f>
        <v>9</v>
      </c>
      <c r="Q244" s="55">
        <f t="shared" si="58"/>
        <v>9</v>
      </c>
      <c r="R244" s="55">
        <f t="shared" si="54"/>
        <v>9</v>
      </c>
    </row>
    <row r="245" spans="1:20" ht="15.75" customHeight="1" x14ac:dyDescent="0.3">
      <c r="A245" s="88" t="s">
        <v>872</v>
      </c>
      <c r="B245" s="1"/>
      <c r="C245" s="1"/>
      <c r="D245" s="1"/>
      <c r="E245" s="55">
        <f t="shared" si="60"/>
        <v>0</v>
      </c>
      <c r="F245" s="1"/>
      <c r="G245" s="1"/>
      <c r="H245" s="1"/>
      <c r="I245" s="55">
        <f t="shared" si="56"/>
        <v>0</v>
      </c>
      <c r="J245" s="1"/>
      <c r="K245" s="1"/>
      <c r="L245" s="1"/>
      <c r="M245" s="55">
        <f t="shared" si="57"/>
        <v>0</v>
      </c>
      <c r="N245" s="1"/>
      <c r="O245" s="1"/>
      <c r="P245" s="1"/>
      <c r="Q245" s="55">
        <f t="shared" si="58"/>
        <v>0</v>
      </c>
      <c r="R245" s="55">
        <f t="shared" si="54"/>
        <v>0</v>
      </c>
      <c r="T245" s="4" t="s">
        <v>812</v>
      </c>
    </row>
    <row r="246" spans="1:20" ht="15.75" customHeight="1" x14ac:dyDescent="0.3">
      <c r="A246" s="72" t="s">
        <v>873</v>
      </c>
      <c r="B246" s="1"/>
      <c r="C246" s="1"/>
      <c r="D246" s="1"/>
      <c r="E246" s="55">
        <f t="shared" si="60"/>
        <v>0</v>
      </c>
      <c r="F246" s="1"/>
      <c r="G246" s="1"/>
      <c r="H246" s="1"/>
      <c r="I246" s="55">
        <f t="shared" si="56"/>
        <v>0</v>
      </c>
      <c r="J246" s="1"/>
      <c r="K246" s="1"/>
      <c r="L246" s="1"/>
      <c r="M246" s="55">
        <f t="shared" si="57"/>
        <v>0</v>
      </c>
      <c r="N246" s="1"/>
      <c r="O246" s="1"/>
      <c r="P246" s="1"/>
      <c r="Q246" s="55">
        <f>SUM(N246:P246)</f>
        <v>0</v>
      </c>
      <c r="R246" s="55">
        <f>+E246+I246+M246+Q246</f>
        <v>0</v>
      </c>
      <c r="S246" s="465"/>
      <c r="T246" s="4" t="s">
        <v>822</v>
      </c>
    </row>
    <row r="247" spans="1:20" ht="15.75" customHeight="1" x14ac:dyDescent="0.3">
      <c r="A247" s="88" t="s">
        <v>874</v>
      </c>
      <c r="B247" s="1"/>
      <c r="C247" s="1"/>
      <c r="D247" s="1"/>
      <c r="E247" s="55">
        <f>SUM(B247:D247)</f>
        <v>0</v>
      </c>
      <c r="F247" s="1"/>
      <c r="G247" s="1"/>
      <c r="H247" s="1"/>
      <c r="I247" s="55">
        <f t="shared" si="56"/>
        <v>0</v>
      </c>
      <c r="J247" s="1"/>
      <c r="K247" s="1"/>
      <c r="L247" s="1"/>
      <c r="M247" s="55">
        <f t="shared" si="57"/>
        <v>0</v>
      </c>
      <c r="N247" s="1"/>
      <c r="O247" s="1"/>
      <c r="P247" s="1"/>
      <c r="Q247" s="55">
        <f t="shared" si="58"/>
        <v>0</v>
      </c>
      <c r="R247" s="55">
        <f t="shared" si="54"/>
        <v>0</v>
      </c>
    </row>
    <row r="248" spans="1:20" ht="15.75" customHeight="1" x14ac:dyDescent="0.3">
      <c r="A248" s="88" t="s">
        <v>875</v>
      </c>
      <c r="B248" s="1"/>
      <c r="C248" s="1"/>
      <c r="D248" s="1"/>
      <c r="E248" s="55">
        <f t="shared" si="60"/>
        <v>0</v>
      </c>
      <c r="F248" s="1"/>
      <c r="G248" s="1"/>
      <c r="H248" s="1"/>
      <c r="I248" s="55">
        <f t="shared" si="56"/>
        <v>0</v>
      </c>
      <c r="J248" s="1"/>
      <c r="K248" s="1"/>
      <c r="L248" s="1"/>
      <c r="M248" s="55">
        <f t="shared" si="57"/>
        <v>0</v>
      </c>
      <c r="N248" s="1"/>
      <c r="O248" s="1"/>
      <c r="P248" s="1"/>
      <c r="Q248" s="55">
        <f t="shared" si="58"/>
        <v>0</v>
      </c>
      <c r="R248" s="55">
        <f t="shared" si="54"/>
        <v>0</v>
      </c>
    </row>
    <row r="249" spans="1:20" ht="15.75" customHeight="1" x14ac:dyDescent="0.3">
      <c r="A249" s="72" t="s">
        <v>1388</v>
      </c>
      <c r="B249" s="1"/>
      <c r="C249" s="1"/>
      <c r="D249" s="1">
        <v>1524</v>
      </c>
      <c r="E249" s="55">
        <f t="shared" si="60"/>
        <v>1524</v>
      </c>
      <c r="F249" s="1">
        <v>1365</v>
      </c>
      <c r="G249" s="1">
        <v>2358</v>
      </c>
      <c r="H249" s="1">
        <v>1753</v>
      </c>
      <c r="I249" s="55">
        <f t="shared" si="56"/>
        <v>5476</v>
      </c>
      <c r="J249" s="1"/>
      <c r="K249" s="1"/>
      <c r="L249" s="1"/>
      <c r="M249" s="55">
        <f t="shared" si="57"/>
        <v>0</v>
      </c>
      <c r="N249" s="1"/>
      <c r="O249" s="1"/>
      <c r="P249" s="1"/>
      <c r="Q249" s="55">
        <f t="shared" ref="Q249" si="62">SUM(N249:P249)</f>
        <v>0</v>
      </c>
      <c r="R249" s="55">
        <f t="shared" si="54"/>
        <v>7000</v>
      </c>
    </row>
    <row r="250" spans="1:20" ht="15.75" customHeight="1" x14ac:dyDescent="0.3">
      <c r="A250" s="88" t="s">
        <v>876</v>
      </c>
      <c r="B250" s="1">
        <v>520</v>
      </c>
      <c r="C250" s="1">
        <v>911</v>
      </c>
      <c r="D250" s="1">
        <v>2492</v>
      </c>
      <c r="E250" s="55">
        <f t="shared" ref="E250:E251" si="63">SUM(B250:D250)</f>
        <v>3923</v>
      </c>
      <c r="F250" s="1"/>
      <c r="G250" s="1"/>
      <c r="H250" s="1">
        <v>2567</v>
      </c>
      <c r="I250" s="55">
        <f t="shared" si="56"/>
        <v>2567</v>
      </c>
      <c r="J250" s="1">
        <v>510</v>
      </c>
      <c r="K250" s="1"/>
      <c r="L250" s="1"/>
      <c r="M250" s="55">
        <f t="shared" si="57"/>
        <v>510</v>
      </c>
      <c r="N250" s="1"/>
      <c r="O250" s="1"/>
      <c r="P250" s="1"/>
      <c r="Q250" s="55">
        <f t="shared" si="58"/>
        <v>0</v>
      </c>
      <c r="R250" s="55">
        <f t="shared" si="54"/>
        <v>7000</v>
      </c>
    </row>
    <row r="251" spans="1:20" ht="15.75" customHeight="1" x14ac:dyDescent="0.3">
      <c r="A251" s="88" t="s">
        <v>877</v>
      </c>
      <c r="B251" s="1"/>
      <c r="C251" s="1"/>
      <c r="D251" s="1"/>
      <c r="E251" s="55">
        <f t="shared" si="63"/>
        <v>0</v>
      </c>
      <c r="F251" s="1"/>
      <c r="G251" s="1"/>
      <c r="H251" s="1"/>
      <c r="I251" s="55">
        <f t="shared" si="56"/>
        <v>0</v>
      </c>
      <c r="J251" s="1"/>
      <c r="K251" s="1"/>
      <c r="L251" s="1"/>
      <c r="M251" s="55">
        <f t="shared" si="57"/>
        <v>0</v>
      </c>
      <c r="N251" s="1"/>
      <c r="O251" s="1"/>
      <c r="P251" s="1"/>
      <c r="Q251" s="55">
        <f t="shared" si="58"/>
        <v>0</v>
      </c>
      <c r="R251" s="55">
        <f t="shared" si="54"/>
        <v>0</v>
      </c>
    </row>
    <row r="252" spans="1:20" ht="15.75" customHeight="1" x14ac:dyDescent="0.3">
      <c r="A252" s="72" t="s">
        <v>878</v>
      </c>
      <c r="B252" s="1"/>
      <c r="C252" s="1"/>
      <c r="D252" s="1"/>
      <c r="E252" s="55">
        <f>SUM(B252:D252)</f>
        <v>0</v>
      </c>
      <c r="F252" s="1"/>
      <c r="G252" s="1"/>
      <c r="H252" s="1"/>
      <c r="I252" s="55">
        <f t="shared" ref="I252" si="64">SUM(F252:H252)</f>
        <v>0</v>
      </c>
      <c r="J252" s="1"/>
      <c r="K252" s="1"/>
      <c r="L252" s="1"/>
      <c r="M252" s="55">
        <f t="shared" si="57"/>
        <v>0</v>
      </c>
      <c r="N252" s="1"/>
      <c r="O252" s="1"/>
      <c r="P252" s="1"/>
      <c r="Q252" s="55">
        <f t="shared" si="58"/>
        <v>0</v>
      </c>
      <c r="R252" s="55">
        <f t="shared" si="54"/>
        <v>0</v>
      </c>
    </row>
    <row r="253" spans="1:20" ht="15.75" customHeight="1" x14ac:dyDescent="0.3">
      <c r="A253" s="84" t="s">
        <v>879</v>
      </c>
      <c r="B253" s="1"/>
      <c r="C253" s="1"/>
      <c r="D253" s="1"/>
      <c r="E253" s="55">
        <f>SUM(B253:D253)</f>
        <v>0</v>
      </c>
      <c r="F253" s="1"/>
      <c r="G253" s="1"/>
      <c r="H253" s="1"/>
      <c r="I253" s="55">
        <f t="shared" si="56"/>
        <v>0</v>
      </c>
      <c r="J253" s="1"/>
      <c r="K253" s="1"/>
      <c r="L253" s="1"/>
      <c r="M253" s="55">
        <f t="shared" si="57"/>
        <v>0</v>
      </c>
      <c r="N253" s="1"/>
      <c r="O253" s="1"/>
      <c r="P253" s="1"/>
      <c r="Q253" s="55">
        <f t="shared" si="58"/>
        <v>0</v>
      </c>
      <c r="R253" s="55">
        <f t="shared" si="54"/>
        <v>0</v>
      </c>
    </row>
    <row r="254" spans="1:20" ht="15.75" customHeight="1" x14ac:dyDescent="0.3">
      <c r="A254" s="84" t="s">
        <v>880</v>
      </c>
      <c r="B254" s="1"/>
      <c r="C254" s="1"/>
      <c r="D254" s="1"/>
      <c r="E254" s="55">
        <f>SUM(B254:D254)</f>
        <v>0</v>
      </c>
      <c r="F254" s="1"/>
      <c r="G254" s="1"/>
      <c r="H254" s="1"/>
      <c r="I254" s="55">
        <f t="shared" si="56"/>
        <v>0</v>
      </c>
      <c r="J254" s="1"/>
      <c r="K254" s="1"/>
      <c r="L254" s="1"/>
      <c r="M254" s="55">
        <f t="shared" si="57"/>
        <v>0</v>
      </c>
      <c r="N254" s="1"/>
      <c r="O254" s="1"/>
      <c r="P254" s="1"/>
      <c r="Q254" s="55">
        <f t="shared" si="58"/>
        <v>0</v>
      </c>
      <c r="R254" s="55">
        <f t="shared" si="54"/>
        <v>0</v>
      </c>
    </row>
    <row r="255" spans="1:20" ht="15.75" customHeight="1" x14ac:dyDescent="0.3">
      <c r="A255" s="84" t="s">
        <v>881</v>
      </c>
      <c r="B255" s="1"/>
      <c r="C255" s="1"/>
      <c r="D255" s="1"/>
      <c r="E255" s="55">
        <f>SUM(B255:D255)</f>
        <v>0</v>
      </c>
      <c r="F255" s="1"/>
      <c r="G255" s="1"/>
      <c r="H255" s="1"/>
      <c r="I255" s="55">
        <f t="shared" si="56"/>
        <v>0</v>
      </c>
      <c r="J255" s="1"/>
      <c r="K255" s="1"/>
      <c r="L255" s="1"/>
      <c r="M255" s="55">
        <f t="shared" si="57"/>
        <v>0</v>
      </c>
      <c r="N255" s="1"/>
      <c r="O255" s="1"/>
      <c r="P255" s="1"/>
      <c r="Q255" s="55">
        <f t="shared" si="58"/>
        <v>0</v>
      </c>
      <c r="R255" s="55">
        <f t="shared" si="54"/>
        <v>0</v>
      </c>
      <c r="T255" s="4" t="s">
        <v>812</v>
      </c>
    </row>
    <row r="256" spans="1:20" s="493" customFormat="1" ht="15.75" customHeight="1" x14ac:dyDescent="0.3">
      <c r="A256" s="72" t="s">
        <v>1198</v>
      </c>
      <c r="B256" s="1"/>
      <c r="C256" s="1"/>
      <c r="D256" s="1"/>
      <c r="E256" s="55">
        <f t="shared" ref="E256:E259" si="65">SUM(B256:D256)</f>
        <v>0</v>
      </c>
      <c r="F256" s="1"/>
      <c r="G256" s="1"/>
      <c r="H256" s="1"/>
      <c r="I256" s="55">
        <f>SUM(F256:H256)</f>
        <v>0</v>
      </c>
      <c r="J256" s="1"/>
      <c r="K256" s="1"/>
      <c r="L256" s="1">
        <v>445</v>
      </c>
      <c r="M256" s="55">
        <f t="shared" ref="M256:M257" si="66">SUM(J256:L256)</f>
        <v>445</v>
      </c>
      <c r="N256" s="1">
        <v>439</v>
      </c>
      <c r="O256" s="1">
        <f>1185+476</f>
        <v>1661</v>
      </c>
      <c r="P256" s="1"/>
      <c r="Q256" s="55">
        <f t="shared" ref="Q256:Q257" si="67">SUM(N256:P256)</f>
        <v>2100</v>
      </c>
      <c r="R256" s="55">
        <f t="shared" si="54"/>
        <v>2545</v>
      </c>
      <c r="S256" s="492" t="s">
        <v>821</v>
      </c>
    </row>
    <row r="257" spans="1:21" s="493" customFormat="1" ht="15.75" customHeight="1" x14ac:dyDescent="0.3">
      <c r="A257" s="72" t="s">
        <v>621</v>
      </c>
      <c r="B257" s="1"/>
      <c r="C257" s="1"/>
      <c r="D257" s="1"/>
      <c r="E257" s="55">
        <f t="shared" si="65"/>
        <v>0</v>
      </c>
      <c r="F257" s="1"/>
      <c r="G257" s="1"/>
      <c r="H257" s="1"/>
      <c r="I257" s="55">
        <f>SUM(F257:H257)</f>
        <v>0</v>
      </c>
      <c r="J257" s="1"/>
      <c r="K257" s="1"/>
      <c r="L257" s="1">
        <f>54+2</f>
        <v>56</v>
      </c>
      <c r="M257" s="55">
        <f t="shared" si="66"/>
        <v>56</v>
      </c>
      <c r="N257" s="1">
        <f>58+1</f>
        <v>59</v>
      </c>
      <c r="O257" s="1">
        <f>38+1</f>
        <v>39</v>
      </c>
      <c r="P257" s="1"/>
      <c r="Q257" s="55">
        <f t="shared" si="67"/>
        <v>98</v>
      </c>
      <c r="R257" s="55">
        <f t="shared" si="54"/>
        <v>154</v>
      </c>
      <c r="S257" s="493" t="s">
        <v>821</v>
      </c>
    </row>
    <row r="258" spans="1:21" ht="15.75" customHeight="1" x14ac:dyDescent="0.3">
      <c r="A258" s="72" t="s">
        <v>622</v>
      </c>
      <c r="B258" s="1"/>
      <c r="C258" s="1"/>
      <c r="D258" s="1"/>
      <c r="E258" s="55">
        <f t="shared" si="65"/>
        <v>0</v>
      </c>
      <c r="F258" s="1">
        <v>3583</v>
      </c>
      <c r="G258" s="1">
        <v>6174</v>
      </c>
      <c r="H258" s="1"/>
      <c r="I258" s="55">
        <f t="shared" si="56"/>
        <v>9757</v>
      </c>
      <c r="J258" s="1"/>
      <c r="K258" s="1"/>
      <c r="L258" s="1"/>
      <c r="M258" s="55">
        <f t="shared" si="57"/>
        <v>0</v>
      </c>
      <c r="N258" s="1"/>
      <c r="O258" s="1"/>
      <c r="P258" s="1"/>
      <c r="Q258" s="55">
        <f t="shared" si="58"/>
        <v>0</v>
      </c>
      <c r="R258" s="55">
        <f t="shared" si="54"/>
        <v>9757</v>
      </c>
      <c r="S258" s="4" t="s">
        <v>821</v>
      </c>
    </row>
    <row r="259" spans="1:21" ht="15.75" customHeight="1" x14ac:dyDescent="0.3">
      <c r="A259" s="72" t="s">
        <v>882</v>
      </c>
      <c r="B259" s="1"/>
      <c r="C259" s="1"/>
      <c r="D259" s="1"/>
      <c r="E259" s="55">
        <f t="shared" si="65"/>
        <v>0</v>
      </c>
      <c r="F259" s="1"/>
      <c r="G259" s="1">
        <v>98</v>
      </c>
      <c r="H259" s="1"/>
      <c r="I259" s="55">
        <f t="shared" si="56"/>
        <v>98</v>
      </c>
      <c r="J259" s="1"/>
      <c r="K259" s="1"/>
      <c r="L259" s="1"/>
      <c r="M259" s="55">
        <f t="shared" si="57"/>
        <v>0</v>
      </c>
      <c r="N259" s="1"/>
      <c r="O259" s="1"/>
      <c r="P259" s="1"/>
      <c r="Q259" s="55">
        <f>SUM(N259:P259)</f>
        <v>0</v>
      </c>
      <c r="R259" s="55">
        <f t="shared" si="54"/>
        <v>98</v>
      </c>
    </row>
    <row r="260" spans="1:21" ht="15.75" customHeight="1" x14ac:dyDescent="0.3">
      <c r="A260" s="72" t="s">
        <v>883</v>
      </c>
      <c r="B260" s="1"/>
      <c r="C260" s="1"/>
      <c r="D260" s="1"/>
      <c r="E260" s="55">
        <f>SUM(B260:D260)</f>
        <v>0</v>
      </c>
      <c r="F260" s="1"/>
      <c r="G260" s="1"/>
      <c r="H260" s="1"/>
      <c r="I260" s="55">
        <f t="shared" si="56"/>
        <v>0</v>
      </c>
      <c r="J260" s="1"/>
      <c r="K260" s="1"/>
      <c r="L260" s="1"/>
      <c r="M260" s="55">
        <f t="shared" si="57"/>
        <v>0</v>
      </c>
      <c r="N260" s="1"/>
      <c r="O260" s="1"/>
      <c r="P260" s="1"/>
      <c r="Q260" s="55">
        <f t="shared" si="58"/>
        <v>0</v>
      </c>
      <c r="R260" s="55">
        <f t="shared" si="54"/>
        <v>0</v>
      </c>
      <c r="S260" s="4" t="s">
        <v>821</v>
      </c>
      <c r="T260" s="4" t="s">
        <v>822</v>
      </c>
    </row>
    <row r="261" spans="1:21" ht="15.75" customHeight="1" x14ac:dyDescent="0.3">
      <c r="A261" s="72" t="s">
        <v>1439</v>
      </c>
      <c r="B261" s="1"/>
      <c r="C261" s="1"/>
      <c r="D261" s="1"/>
      <c r="E261" s="55">
        <f>SUM(B261:D261)</f>
        <v>0</v>
      </c>
      <c r="F261" s="1"/>
      <c r="G261" s="1"/>
      <c r="H261" s="1"/>
      <c r="I261" s="55">
        <f t="shared" si="56"/>
        <v>0</v>
      </c>
      <c r="J261" s="1"/>
      <c r="K261" s="1"/>
      <c r="L261" s="1">
        <v>904</v>
      </c>
      <c r="M261" s="55">
        <f t="shared" si="57"/>
        <v>904</v>
      </c>
      <c r="N261" s="1"/>
      <c r="O261" s="1"/>
      <c r="P261" s="1"/>
      <c r="Q261" s="55">
        <f t="shared" ref="Q261" si="68">SUM(N261:P261)</f>
        <v>0</v>
      </c>
      <c r="R261" s="55">
        <f t="shared" si="54"/>
        <v>904</v>
      </c>
    </row>
    <row r="262" spans="1:21" ht="15.75" customHeight="1" x14ac:dyDescent="0.3">
      <c r="A262" s="72" t="s">
        <v>884</v>
      </c>
      <c r="B262" s="1"/>
      <c r="C262" s="1"/>
      <c r="D262" s="1"/>
      <c r="E262" s="55">
        <f t="shared" ref="E262" si="69">SUM(B262:D262)</f>
        <v>0</v>
      </c>
      <c r="F262" s="1"/>
      <c r="G262" s="1"/>
      <c r="H262" s="1"/>
      <c r="I262" s="55">
        <f t="shared" si="56"/>
        <v>0</v>
      </c>
      <c r="J262" s="1"/>
      <c r="K262" s="1"/>
      <c r="L262" s="1"/>
      <c r="M262" s="55">
        <f t="shared" si="57"/>
        <v>0</v>
      </c>
      <c r="N262" s="1"/>
      <c r="O262" s="1"/>
      <c r="P262" s="1"/>
      <c r="Q262" s="55">
        <f t="shared" si="58"/>
        <v>0</v>
      </c>
      <c r="R262" s="55">
        <f t="shared" si="54"/>
        <v>0</v>
      </c>
      <c r="S262" s="89" t="s">
        <v>821</v>
      </c>
      <c r="T262" s="89" t="s">
        <v>822</v>
      </c>
      <c r="U262" s="89"/>
    </row>
    <row r="263" spans="1:21" ht="15.75" customHeight="1" x14ac:dyDescent="0.3">
      <c r="A263" s="72" t="s">
        <v>161</v>
      </c>
      <c r="B263" s="1"/>
      <c r="C263" s="1">
        <v>5</v>
      </c>
      <c r="D263" s="1">
        <v>1809</v>
      </c>
      <c r="E263" s="55">
        <f>SUM(B263:D263)</f>
        <v>1814</v>
      </c>
      <c r="F263" s="1"/>
      <c r="G263" s="1"/>
      <c r="H263" s="1"/>
      <c r="I263" s="55">
        <f>SUM(F263:H263)</f>
        <v>0</v>
      </c>
      <c r="J263" s="1"/>
      <c r="K263" s="1"/>
      <c r="L263" s="1"/>
      <c r="M263" s="55">
        <f t="shared" si="57"/>
        <v>0</v>
      </c>
      <c r="N263" s="1"/>
      <c r="O263" s="1"/>
      <c r="P263" s="1"/>
      <c r="Q263" s="55">
        <f t="shared" si="58"/>
        <v>0</v>
      </c>
      <c r="R263" s="55">
        <f t="shared" si="54"/>
        <v>1814</v>
      </c>
      <c r="T263" s="4" t="s">
        <v>885</v>
      </c>
    </row>
    <row r="264" spans="1:21" ht="15.75" customHeight="1" x14ac:dyDescent="0.3">
      <c r="A264" s="84" t="s">
        <v>886</v>
      </c>
      <c r="B264" s="1"/>
      <c r="C264" s="1"/>
      <c r="D264" s="1"/>
      <c r="E264" s="55">
        <f>SUM(B264:D264)</f>
        <v>0</v>
      </c>
      <c r="F264" s="1"/>
      <c r="G264" s="1"/>
      <c r="H264" s="1"/>
      <c r="I264" s="55">
        <f>SUM(F264:H264)</f>
        <v>0</v>
      </c>
      <c r="J264" s="1"/>
      <c r="K264" s="1"/>
      <c r="L264" s="1"/>
      <c r="M264" s="55">
        <f t="shared" si="57"/>
        <v>0</v>
      </c>
      <c r="N264" s="1"/>
      <c r="O264" s="1"/>
      <c r="P264" s="1"/>
      <c r="Q264" s="55">
        <f>SUM(N264:P264)</f>
        <v>0</v>
      </c>
      <c r="R264" s="55">
        <f>+E264+I264+M264+Q264</f>
        <v>0</v>
      </c>
      <c r="T264" s="4" t="s">
        <v>819</v>
      </c>
    </row>
    <row r="265" spans="1:21" ht="15.75" customHeight="1" x14ac:dyDescent="0.3">
      <c r="A265" s="72" t="s">
        <v>163</v>
      </c>
      <c r="B265" s="1"/>
      <c r="C265" s="1"/>
      <c r="D265" s="1"/>
      <c r="E265" s="55">
        <f t="shared" si="60"/>
        <v>0</v>
      </c>
      <c r="F265" s="1"/>
      <c r="G265" s="1"/>
      <c r="H265" s="1"/>
      <c r="I265" s="55">
        <f t="shared" si="56"/>
        <v>0</v>
      </c>
      <c r="J265" s="1"/>
      <c r="K265" s="1"/>
      <c r="L265" s="1"/>
      <c r="M265" s="55">
        <f t="shared" si="57"/>
        <v>0</v>
      </c>
      <c r="N265" s="1"/>
      <c r="O265" s="1"/>
      <c r="P265" s="1"/>
      <c r="Q265" s="55">
        <f t="shared" si="58"/>
        <v>0</v>
      </c>
      <c r="R265" s="55">
        <f t="shared" si="54"/>
        <v>0</v>
      </c>
    </row>
    <row r="266" spans="1:21" ht="15.75" customHeight="1" x14ac:dyDescent="0.3">
      <c r="A266" s="72" t="s">
        <v>1199</v>
      </c>
      <c r="B266" s="1"/>
      <c r="C266" s="1"/>
      <c r="D266" s="1"/>
      <c r="E266" s="55">
        <f t="shared" si="60"/>
        <v>0</v>
      </c>
      <c r="F266" s="1"/>
      <c r="G266" s="1"/>
      <c r="H266" s="1"/>
      <c r="I266" s="55">
        <f t="shared" si="56"/>
        <v>0</v>
      </c>
      <c r="J266" s="1"/>
      <c r="K266" s="1"/>
      <c r="L266" s="1"/>
      <c r="M266" s="55">
        <f t="shared" si="57"/>
        <v>0</v>
      </c>
      <c r="N266" s="1"/>
      <c r="O266" s="1"/>
      <c r="P266" s="1">
        <v>1767</v>
      </c>
      <c r="Q266" s="55">
        <f t="shared" si="58"/>
        <v>1767</v>
      </c>
      <c r="R266" s="55">
        <f t="shared" si="54"/>
        <v>1767</v>
      </c>
    </row>
    <row r="267" spans="1:21" ht="15.75" customHeight="1" x14ac:dyDescent="0.3">
      <c r="A267" s="72" t="s">
        <v>164</v>
      </c>
      <c r="B267" s="1">
        <v>60</v>
      </c>
      <c r="C267" s="1"/>
      <c r="D267" s="1"/>
      <c r="E267" s="55">
        <f t="shared" si="60"/>
        <v>60</v>
      </c>
      <c r="F267" s="1"/>
      <c r="G267" s="1"/>
      <c r="H267" s="1"/>
      <c r="I267" s="55">
        <f t="shared" si="56"/>
        <v>0</v>
      </c>
      <c r="J267" s="1"/>
      <c r="K267" s="1"/>
      <c r="L267" s="1"/>
      <c r="M267" s="55">
        <f t="shared" si="57"/>
        <v>0</v>
      </c>
      <c r="N267" s="1"/>
      <c r="O267" s="1"/>
      <c r="P267" s="1"/>
      <c r="Q267" s="55">
        <f t="shared" si="58"/>
        <v>0</v>
      </c>
      <c r="R267" s="55">
        <f t="shared" si="54"/>
        <v>60</v>
      </c>
    </row>
    <row r="268" spans="1:21" ht="15.75" customHeight="1" x14ac:dyDescent="0.3">
      <c r="A268" s="72" t="s">
        <v>887</v>
      </c>
      <c r="B268" s="1">
        <v>60</v>
      </c>
      <c r="C268" s="1"/>
      <c r="D268" s="1"/>
      <c r="E268" s="55">
        <f t="shared" si="60"/>
        <v>60</v>
      </c>
      <c r="F268" s="1"/>
      <c r="G268" s="1"/>
      <c r="H268" s="1"/>
      <c r="I268" s="55">
        <f t="shared" si="56"/>
        <v>0</v>
      </c>
      <c r="J268" s="1"/>
      <c r="K268" s="1"/>
      <c r="L268" s="1"/>
      <c r="M268" s="55">
        <f t="shared" si="57"/>
        <v>0</v>
      </c>
      <c r="N268" s="1"/>
      <c r="O268" s="1"/>
      <c r="P268" s="1"/>
      <c r="Q268" s="55">
        <f t="shared" si="58"/>
        <v>0</v>
      </c>
      <c r="R268" s="55">
        <f t="shared" si="54"/>
        <v>60</v>
      </c>
      <c r="S268" s="4" t="s">
        <v>821</v>
      </c>
      <c r="T268" s="4" t="s">
        <v>822</v>
      </c>
    </row>
    <row r="269" spans="1:21" ht="15.75" customHeight="1" x14ac:dyDescent="0.3">
      <c r="A269" s="72" t="s">
        <v>1200</v>
      </c>
      <c r="B269" s="1"/>
      <c r="C269" s="1"/>
      <c r="D269" s="1"/>
      <c r="E269" s="55">
        <f t="shared" si="60"/>
        <v>0</v>
      </c>
      <c r="F269" s="1"/>
      <c r="G269" s="1"/>
      <c r="H269" s="1"/>
      <c r="I269" s="55">
        <f t="shared" si="56"/>
        <v>0</v>
      </c>
      <c r="J269" s="1"/>
      <c r="K269" s="1"/>
      <c r="L269" s="1"/>
      <c r="M269" s="55">
        <f t="shared" si="57"/>
        <v>0</v>
      </c>
      <c r="N269" s="1"/>
      <c r="O269" s="1"/>
      <c r="P269" s="1"/>
      <c r="Q269" s="55">
        <f t="shared" si="58"/>
        <v>0</v>
      </c>
      <c r="R269" s="55">
        <f t="shared" si="54"/>
        <v>0</v>
      </c>
      <c r="T269" s="4" t="s">
        <v>822</v>
      </c>
    </row>
    <row r="270" spans="1:21" ht="15.75" customHeight="1" x14ac:dyDescent="0.3">
      <c r="A270" s="72" t="s">
        <v>1281</v>
      </c>
      <c r="B270" s="1"/>
      <c r="C270" s="1"/>
      <c r="D270" s="1"/>
      <c r="E270" s="55">
        <f t="shared" ref="E270" si="70">SUM(B270:D270)</f>
        <v>0</v>
      </c>
      <c r="F270" s="1"/>
      <c r="G270" s="1">
        <v>518</v>
      </c>
      <c r="H270" s="1">
        <v>518</v>
      </c>
      <c r="I270" s="55">
        <f t="shared" ref="I270:I271" si="71">SUM(F270:H270)</f>
        <v>1036</v>
      </c>
      <c r="J270" s="1">
        <v>518</v>
      </c>
      <c r="K270" s="1">
        <v>518</v>
      </c>
      <c r="L270" s="1"/>
      <c r="M270" s="55">
        <f t="shared" ref="M270:M271" si="72">SUM(J270:L270)</f>
        <v>1036</v>
      </c>
      <c r="N270" s="1"/>
      <c r="O270" s="1"/>
      <c r="P270" s="1"/>
      <c r="Q270" s="55">
        <f t="shared" ref="Q270" si="73">SUM(N270:P270)</f>
        <v>0</v>
      </c>
      <c r="R270" s="55">
        <f t="shared" si="54"/>
        <v>2072</v>
      </c>
      <c r="S270" s="4" t="s">
        <v>821</v>
      </c>
      <c r="T270" s="4" t="s">
        <v>822</v>
      </c>
    </row>
    <row r="271" spans="1:21" ht="15.75" customHeight="1" x14ac:dyDescent="0.3">
      <c r="A271" s="72" t="s">
        <v>890</v>
      </c>
      <c r="B271" s="1"/>
      <c r="C271" s="1"/>
      <c r="D271" s="1"/>
      <c r="E271" s="55">
        <f t="shared" si="60"/>
        <v>0</v>
      </c>
      <c r="F271" s="1"/>
      <c r="G271" s="1"/>
      <c r="H271" s="1">
        <v>400</v>
      </c>
      <c r="I271" s="55">
        <f t="shared" si="71"/>
        <v>400</v>
      </c>
      <c r="J271" s="1">
        <v>400</v>
      </c>
      <c r="K271" s="1">
        <v>400</v>
      </c>
      <c r="L271" s="1"/>
      <c r="M271" s="55">
        <f t="shared" si="72"/>
        <v>800</v>
      </c>
      <c r="N271" s="1"/>
      <c r="O271" s="1"/>
      <c r="P271" s="1"/>
      <c r="Q271" s="55">
        <f t="shared" si="58"/>
        <v>0</v>
      </c>
      <c r="R271" s="55">
        <f>+E271+I271+M271+Q271</f>
        <v>1200</v>
      </c>
      <c r="S271" s="465" t="s">
        <v>821</v>
      </c>
      <c r="T271" s="4" t="s">
        <v>822</v>
      </c>
    </row>
    <row r="272" spans="1:21" ht="15.75" customHeight="1" x14ac:dyDescent="0.3">
      <c r="A272" s="84" t="s">
        <v>891</v>
      </c>
      <c r="B272" s="1"/>
      <c r="C272" s="1"/>
      <c r="D272" s="1"/>
      <c r="E272" s="55">
        <f t="shared" si="60"/>
        <v>0</v>
      </c>
      <c r="F272" s="1"/>
      <c r="G272" s="1"/>
      <c r="H272" s="1"/>
      <c r="I272" s="55">
        <f t="shared" si="56"/>
        <v>0</v>
      </c>
      <c r="J272" s="1"/>
      <c r="K272" s="1"/>
      <c r="L272" s="1"/>
      <c r="M272" s="55">
        <f t="shared" si="57"/>
        <v>0</v>
      </c>
      <c r="N272" s="1"/>
      <c r="O272" s="1"/>
      <c r="P272" s="1">
        <v>405</v>
      </c>
      <c r="Q272" s="55">
        <f>SUM(N272:P272)</f>
        <v>405</v>
      </c>
      <c r="R272" s="55">
        <f t="shared" si="54"/>
        <v>405</v>
      </c>
      <c r="T272" s="4" t="s">
        <v>818</v>
      </c>
    </row>
    <row r="273" spans="1:20" ht="15.75" customHeight="1" x14ac:dyDescent="0.3">
      <c r="A273" s="84" t="s">
        <v>892</v>
      </c>
      <c r="B273" s="1"/>
      <c r="C273" s="1">
        <v>329</v>
      </c>
      <c r="D273" s="1">
        <v>2125</v>
      </c>
      <c r="E273" s="55">
        <f>SUM(B273:D273)</f>
        <v>2454</v>
      </c>
      <c r="F273" s="1">
        <v>2606</v>
      </c>
      <c r="G273" s="1">
        <f>1120+2771</f>
        <v>3891</v>
      </c>
      <c r="H273" s="1">
        <v>427</v>
      </c>
      <c r="I273" s="55">
        <f t="shared" ref="I273:I274" si="74">SUM(F273:H273)</f>
        <v>6924</v>
      </c>
      <c r="J273" s="1"/>
      <c r="K273" s="1">
        <f>253+2</f>
        <v>255</v>
      </c>
      <c r="L273" s="1">
        <v>1747</v>
      </c>
      <c r="M273" s="55">
        <f t="shared" ref="M273" si="75">SUM(J273:L273)</f>
        <v>2002</v>
      </c>
      <c r="N273" s="1">
        <v>1647</v>
      </c>
      <c r="O273" s="1">
        <v>74</v>
      </c>
      <c r="P273" s="1">
        <v>1145</v>
      </c>
      <c r="Q273" s="55">
        <f>SUM(N273:P273)</f>
        <v>2866</v>
      </c>
      <c r="R273" s="55">
        <f t="shared" si="54"/>
        <v>14246</v>
      </c>
      <c r="T273" s="4" t="s">
        <v>819</v>
      </c>
    </row>
    <row r="274" spans="1:20" ht="15.75" customHeight="1" x14ac:dyDescent="0.3">
      <c r="A274" s="72" t="s">
        <v>1282</v>
      </c>
      <c r="B274" s="1"/>
      <c r="C274" s="1">
        <v>800</v>
      </c>
      <c r="D274" s="1"/>
      <c r="E274" s="55">
        <f>SUM(B274:D274)</f>
        <v>800</v>
      </c>
      <c r="F274" s="1">
        <v>800</v>
      </c>
      <c r="G274" s="1"/>
      <c r="H274" s="1"/>
      <c r="I274" s="55">
        <f t="shared" si="74"/>
        <v>800</v>
      </c>
      <c r="J274" s="1"/>
      <c r="K274" s="1"/>
      <c r="L274" s="1"/>
      <c r="M274" s="55">
        <f>SUM(J274:L274)</f>
        <v>0</v>
      </c>
      <c r="N274" s="1"/>
      <c r="O274" s="1"/>
      <c r="P274" s="1"/>
      <c r="Q274" s="55">
        <f t="shared" si="58"/>
        <v>0</v>
      </c>
      <c r="R274" s="55">
        <f t="shared" si="54"/>
        <v>1600</v>
      </c>
      <c r="S274" s="4" t="s">
        <v>821</v>
      </c>
      <c r="T274" s="4" t="s">
        <v>822</v>
      </c>
    </row>
    <row r="275" spans="1:20" ht="15.75" customHeight="1" x14ac:dyDescent="0.3">
      <c r="A275" s="72" t="s">
        <v>1283</v>
      </c>
      <c r="B275" s="1"/>
      <c r="C275" s="1"/>
      <c r="D275" s="1"/>
      <c r="E275" s="55">
        <f t="shared" ref="E275:E276" si="76">SUM(B275:D275)</f>
        <v>0</v>
      </c>
      <c r="F275" s="1"/>
      <c r="G275" s="1"/>
      <c r="H275" s="1"/>
      <c r="I275" s="55">
        <f t="shared" si="56"/>
        <v>0</v>
      </c>
      <c r="J275" s="1"/>
      <c r="K275" s="1"/>
      <c r="L275" s="1"/>
      <c r="M275" s="55">
        <f t="shared" si="57"/>
        <v>0</v>
      </c>
      <c r="N275" s="1"/>
      <c r="O275" s="1"/>
      <c r="P275" s="1"/>
      <c r="Q275" s="55">
        <f t="shared" si="58"/>
        <v>0</v>
      </c>
      <c r="R275" s="55">
        <f t="shared" si="54"/>
        <v>0</v>
      </c>
      <c r="T275" s="4" t="s">
        <v>822</v>
      </c>
    </row>
    <row r="276" spans="1:20" ht="15.75" customHeight="1" x14ac:dyDescent="0.3">
      <c r="A276" s="84" t="s">
        <v>1284</v>
      </c>
      <c r="B276" s="1"/>
      <c r="C276" s="1"/>
      <c r="D276" s="1"/>
      <c r="E276" s="55">
        <f t="shared" si="76"/>
        <v>0</v>
      </c>
      <c r="F276" s="1"/>
      <c r="G276" s="1"/>
      <c r="H276" s="1"/>
      <c r="I276" s="55">
        <f t="shared" si="56"/>
        <v>0</v>
      </c>
      <c r="J276" s="1"/>
      <c r="K276" s="1"/>
      <c r="L276" s="1"/>
      <c r="M276" s="55">
        <f t="shared" si="57"/>
        <v>0</v>
      </c>
      <c r="N276" s="1"/>
      <c r="O276" s="1"/>
      <c r="P276" s="1"/>
      <c r="Q276" s="55">
        <f t="shared" ref="Q276" si="77">SUM(N276:P276)</f>
        <v>0</v>
      </c>
      <c r="R276" s="55">
        <f t="shared" si="54"/>
        <v>0</v>
      </c>
    </row>
    <row r="277" spans="1:20" ht="15.75" customHeight="1" x14ac:dyDescent="0.3">
      <c r="A277" s="72" t="s">
        <v>1285</v>
      </c>
      <c r="B277" s="1">
        <v>1145</v>
      </c>
      <c r="C277" s="1">
        <v>1705</v>
      </c>
      <c r="D277" s="1"/>
      <c r="E277" s="55">
        <f t="shared" si="60"/>
        <v>2850</v>
      </c>
      <c r="F277" s="1"/>
      <c r="G277" s="1"/>
      <c r="H277" s="1"/>
      <c r="I277" s="55">
        <f t="shared" si="56"/>
        <v>0</v>
      </c>
      <c r="J277" s="1"/>
      <c r="K277" s="1"/>
      <c r="L277" s="1"/>
      <c r="M277" s="55">
        <f t="shared" si="57"/>
        <v>0</v>
      </c>
      <c r="N277" s="1"/>
      <c r="O277" s="1"/>
      <c r="P277" s="1"/>
      <c r="Q277" s="55">
        <f t="shared" si="58"/>
        <v>0</v>
      </c>
      <c r="R277" s="55">
        <f t="shared" si="54"/>
        <v>2850</v>
      </c>
      <c r="T277" s="4" t="s">
        <v>832</v>
      </c>
    </row>
    <row r="278" spans="1:20" ht="15.75" customHeight="1" x14ac:dyDescent="0.3">
      <c r="A278" s="72" t="s">
        <v>1287</v>
      </c>
      <c r="B278" s="1"/>
      <c r="C278" s="1"/>
      <c r="D278" s="1"/>
      <c r="E278" s="55">
        <f t="shared" si="60"/>
        <v>0</v>
      </c>
      <c r="F278" s="1"/>
      <c r="G278" s="1"/>
      <c r="H278" s="1"/>
      <c r="I278" s="55">
        <f>SUM(F278:H278)</f>
        <v>0</v>
      </c>
      <c r="J278" s="1"/>
      <c r="K278" s="1"/>
      <c r="L278" s="1"/>
      <c r="M278" s="55">
        <f t="shared" si="57"/>
        <v>0</v>
      </c>
      <c r="N278" s="1"/>
      <c r="O278" s="1"/>
      <c r="P278" s="1"/>
      <c r="Q278" s="55">
        <f t="shared" si="58"/>
        <v>0</v>
      </c>
      <c r="R278" s="55">
        <f t="shared" si="54"/>
        <v>0</v>
      </c>
      <c r="S278" s="4" t="s">
        <v>821</v>
      </c>
    </row>
    <row r="279" spans="1:20" ht="15.75" customHeight="1" x14ac:dyDescent="0.3">
      <c r="A279" s="72" t="s">
        <v>1288</v>
      </c>
      <c r="B279" s="1"/>
      <c r="C279" s="1"/>
      <c r="D279" s="1"/>
      <c r="E279" s="55">
        <f t="shared" si="60"/>
        <v>0</v>
      </c>
      <c r="F279" s="1"/>
      <c r="G279" s="1"/>
      <c r="H279" s="1"/>
      <c r="I279" s="55">
        <f>SUM(F279:H279)</f>
        <v>0</v>
      </c>
      <c r="J279" s="1"/>
      <c r="K279" s="1"/>
      <c r="L279" s="1"/>
      <c r="M279" s="55">
        <f t="shared" si="57"/>
        <v>0</v>
      </c>
      <c r="N279" s="1"/>
      <c r="O279" s="1"/>
      <c r="P279" s="1"/>
      <c r="Q279" s="55">
        <f t="shared" ref="Q279" si="78">SUM(N279:P279)</f>
        <v>0</v>
      </c>
      <c r="R279" s="55">
        <f t="shared" si="54"/>
        <v>0</v>
      </c>
    </row>
    <row r="280" spans="1:20" ht="15.75" customHeight="1" x14ac:dyDescent="0.3">
      <c r="A280" s="72" t="s">
        <v>1289</v>
      </c>
      <c r="B280" s="1">
        <v>95</v>
      </c>
      <c r="C280" s="1"/>
      <c r="D280" s="1"/>
      <c r="E280" s="55">
        <f t="shared" si="60"/>
        <v>95</v>
      </c>
      <c r="F280" s="1"/>
      <c r="G280" s="1"/>
      <c r="H280" s="1"/>
      <c r="I280" s="55">
        <f t="shared" si="56"/>
        <v>0</v>
      </c>
      <c r="J280" s="1"/>
      <c r="K280" s="1"/>
      <c r="L280" s="1"/>
      <c r="M280" s="55">
        <f t="shared" si="57"/>
        <v>0</v>
      </c>
      <c r="N280" s="1"/>
      <c r="O280" s="1"/>
      <c r="P280" s="1"/>
      <c r="Q280" s="55">
        <f t="shared" si="58"/>
        <v>0</v>
      </c>
      <c r="R280" s="55">
        <f t="shared" si="54"/>
        <v>95</v>
      </c>
    </row>
    <row r="281" spans="1:20" ht="15.75" customHeight="1" x14ac:dyDescent="0.3">
      <c r="A281" s="72" t="s">
        <v>1290</v>
      </c>
      <c r="B281" s="1">
        <v>95</v>
      </c>
      <c r="C281" s="1"/>
      <c r="D281" s="1"/>
      <c r="E281" s="55">
        <f t="shared" si="60"/>
        <v>95</v>
      </c>
      <c r="F281" s="1"/>
      <c r="G281" s="1"/>
      <c r="H281" s="1"/>
      <c r="I281" s="55">
        <f t="shared" si="56"/>
        <v>0</v>
      </c>
      <c r="J281" s="1"/>
      <c r="K281" s="1"/>
      <c r="L281" s="1"/>
      <c r="M281" s="55">
        <f t="shared" si="57"/>
        <v>0</v>
      </c>
      <c r="N281" s="1"/>
      <c r="O281" s="1"/>
      <c r="P281" s="1"/>
      <c r="Q281" s="55">
        <f t="shared" si="58"/>
        <v>0</v>
      </c>
      <c r="R281" s="55">
        <f t="shared" si="54"/>
        <v>95</v>
      </c>
      <c r="S281" s="4" t="s">
        <v>821</v>
      </c>
      <c r="T281" s="4" t="s">
        <v>822</v>
      </c>
    </row>
    <row r="282" spans="1:20" ht="15.75" customHeight="1" x14ac:dyDescent="0.3">
      <c r="A282" s="72" t="s">
        <v>889</v>
      </c>
      <c r="B282" s="1"/>
      <c r="C282" s="1">
        <v>1700</v>
      </c>
      <c r="D282" s="1">
        <v>1900</v>
      </c>
      <c r="E282" s="55">
        <f>SUM(B282:D282)</f>
        <v>3600</v>
      </c>
      <c r="F282" s="1">
        <v>1200</v>
      </c>
      <c r="G282" s="1">
        <v>1100</v>
      </c>
      <c r="H282" s="1">
        <v>200</v>
      </c>
      <c r="I282" s="55">
        <f>SUM(F282:H282)</f>
        <v>2500</v>
      </c>
      <c r="J282" s="1">
        <v>200</v>
      </c>
      <c r="K282" s="1">
        <v>700</v>
      </c>
      <c r="L282" s="1">
        <v>900</v>
      </c>
      <c r="M282" s="55">
        <f>SUM(J282:L282)</f>
        <v>1800</v>
      </c>
      <c r="N282" s="1">
        <v>1100</v>
      </c>
      <c r="O282" s="1">
        <v>1000</v>
      </c>
      <c r="P282" s="1">
        <v>1300</v>
      </c>
      <c r="Q282" s="55">
        <f>SUM(N282:P282)</f>
        <v>3400</v>
      </c>
      <c r="R282" s="55">
        <f t="shared" si="54"/>
        <v>11300</v>
      </c>
      <c r="S282" s="4" t="s">
        <v>821</v>
      </c>
      <c r="T282" s="4" t="s">
        <v>822</v>
      </c>
    </row>
    <row r="283" spans="1:20" ht="15.75" customHeight="1" x14ac:dyDescent="0.3">
      <c r="A283" s="72" t="s">
        <v>1390</v>
      </c>
      <c r="B283" s="1"/>
      <c r="C283" s="1"/>
      <c r="D283" s="1"/>
      <c r="E283" s="55">
        <f>SUM(B283:D283)</f>
        <v>0</v>
      </c>
      <c r="F283" s="1"/>
      <c r="G283" s="1"/>
      <c r="H283" s="1">
        <v>2700</v>
      </c>
      <c r="I283" s="55">
        <f>SUM(F283:H283)</f>
        <v>2700</v>
      </c>
      <c r="J283" s="1">
        <v>794</v>
      </c>
      <c r="K283" s="1">
        <v>3455</v>
      </c>
      <c r="L283" s="1">
        <v>1751</v>
      </c>
      <c r="M283" s="55">
        <f>SUM(J283:L283)</f>
        <v>6000</v>
      </c>
      <c r="N283" s="1"/>
      <c r="O283" s="1"/>
      <c r="P283" s="1"/>
      <c r="Q283" s="55">
        <f>SUM(N283:P283)</f>
        <v>0</v>
      </c>
      <c r="R283" s="55">
        <f t="shared" si="54"/>
        <v>8700</v>
      </c>
    </row>
    <row r="284" spans="1:20" ht="15.75" customHeight="1" x14ac:dyDescent="0.3">
      <c r="A284" s="72" t="s">
        <v>1291</v>
      </c>
      <c r="B284" s="1"/>
      <c r="C284" s="1"/>
      <c r="D284" s="1"/>
      <c r="E284" s="55">
        <f>SUM(B284:D284)</f>
        <v>0</v>
      </c>
      <c r="F284" s="1"/>
      <c r="G284" s="1"/>
      <c r="H284" s="1"/>
      <c r="I284" s="55">
        <f>SUM(F284:H284)</f>
        <v>0</v>
      </c>
      <c r="J284" s="1"/>
      <c r="K284" s="1"/>
      <c r="L284" s="1"/>
      <c r="M284" s="55">
        <f>SUM(J284:L284)</f>
        <v>0</v>
      </c>
      <c r="N284" s="1"/>
      <c r="O284" s="1"/>
      <c r="P284" s="1"/>
      <c r="Q284" s="55">
        <f t="shared" ref="Q284:Q287" si="79">SUM(N284:P284)</f>
        <v>0</v>
      </c>
      <c r="R284" s="55">
        <f t="shared" si="54"/>
        <v>0</v>
      </c>
      <c r="T284" s="4" t="s">
        <v>822</v>
      </c>
    </row>
    <row r="285" spans="1:20" ht="15.75" customHeight="1" x14ac:dyDescent="0.3">
      <c r="A285" s="72" t="s">
        <v>1292</v>
      </c>
      <c r="B285" s="1"/>
      <c r="C285" s="1"/>
      <c r="D285" s="1"/>
      <c r="E285" s="55">
        <f t="shared" ref="E285:E288" si="80">SUM(B285:D285)</f>
        <v>0</v>
      </c>
      <c r="F285" s="1"/>
      <c r="G285" s="1"/>
      <c r="H285" s="1"/>
      <c r="I285" s="55">
        <f t="shared" ref="I285:I288" si="81">SUM(F285:H285)</f>
        <v>0</v>
      </c>
      <c r="J285" s="1"/>
      <c r="K285" s="1"/>
      <c r="L285" s="1"/>
      <c r="M285" s="55">
        <f t="shared" ref="M285:M288" si="82">SUM(J285:L285)</f>
        <v>0</v>
      </c>
      <c r="N285" s="1"/>
      <c r="O285" s="1"/>
      <c r="P285" s="1"/>
      <c r="Q285" s="55">
        <f t="shared" si="79"/>
        <v>0</v>
      </c>
      <c r="R285" s="55">
        <f t="shared" si="54"/>
        <v>0</v>
      </c>
      <c r="T285" s="4" t="s">
        <v>822</v>
      </c>
    </row>
    <row r="286" spans="1:20" ht="15.75" customHeight="1" x14ac:dyDescent="0.3">
      <c r="A286" s="84" t="s">
        <v>1391</v>
      </c>
      <c r="B286" s="1"/>
      <c r="C286" s="1"/>
      <c r="D286" s="1"/>
      <c r="E286" s="55">
        <f t="shared" si="80"/>
        <v>0</v>
      </c>
      <c r="F286" s="1"/>
      <c r="G286" s="1"/>
      <c r="H286" s="1"/>
      <c r="I286" s="55">
        <f t="shared" si="81"/>
        <v>0</v>
      </c>
      <c r="J286" s="1"/>
      <c r="K286" s="1"/>
      <c r="L286" s="1"/>
      <c r="M286" s="55">
        <f t="shared" si="82"/>
        <v>0</v>
      </c>
      <c r="N286" s="1"/>
      <c r="O286" s="1"/>
      <c r="P286" s="1"/>
      <c r="Q286" s="55">
        <f t="shared" si="79"/>
        <v>0</v>
      </c>
      <c r="R286" s="55">
        <f t="shared" si="54"/>
        <v>0</v>
      </c>
    </row>
    <row r="287" spans="1:20" ht="15.75" customHeight="1" x14ac:dyDescent="0.3">
      <c r="A287" s="72" t="s">
        <v>1392</v>
      </c>
      <c r="B287" s="1"/>
      <c r="C287" s="1"/>
      <c r="D287" s="1"/>
      <c r="E287" s="55">
        <f t="shared" si="80"/>
        <v>0</v>
      </c>
      <c r="F287" s="1"/>
      <c r="G287" s="1"/>
      <c r="H287" s="1"/>
      <c r="I287" s="55">
        <f t="shared" si="81"/>
        <v>0</v>
      </c>
      <c r="J287" s="1"/>
      <c r="K287" s="1"/>
      <c r="L287" s="1"/>
      <c r="M287" s="55">
        <f t="shared" si="82"/>
        <v>0</v>
      </c>
      <c r="N287" s="1"/>
      <c r="O287" s="1"/>
      <c r="P287" s="1"/>
      <c r="Q287" s="55">
        <f t="shared" si="79"/>
        <v>0</v>
      </c>
      <c r="R287" s="55">
        <f t="shared" si="54"/>
        <v>0</v>
      </c>
    </row>
    <row r="288" spans="1:20" ht="15.75" customHeight="1" x14ac:dyDescent="0.3">
      <c r="A288" s="72" t="s">
        <v>1393</v>
      </c>
      <c r="B288" s="1"/>
      <c r="C288" s="1"/>
      <c r="D288" s="1"/>
      <c r="E288" s="55">
        <f t="shared" si="80"/>
        <v>0</v>
      </c>
      <c r="F288" s="1"/>
      <c r="G288" s="1">
        <v>570</v>
      </c>
      <c r="H288" s="1">
        <v>570</v>
      </c>
      <c r="I288" s="55">
        <f t="shared" si="81"/>
        <v>1140</v>
      </c>
      <c r="J288" s="1">
        <v>951</v>
      </c>
      <c r="K288" s="1">
        <v>951</v>
      </c>
      <c r="L288" s="1">
        <v>951</v>
      </c>
      <c r="M288" s="55">
        <f t="shared" si="82"/>
        <v>2853</v>
      </c>
      <c r="N288" s="1">
        <v>761</v>
      </c>
      <c r="O288" s="1">
        <v>761</v>
      </c>
      <c r="P288" s="1">
        <v>285</v>
      </c>
      <c r="Q288" s="55">
        <f t="shared" si="58"/>
        <v>1807</v>
      </c>
      <c r="R288" s="55">
        <f t="shared" si="54"/>
        <v>5800</v>
      </c>
      <c r="S288" s="4" t="s">
        <v>821</v>
      </c>
    </row>
    <row r="289" spans="1:20" ht="15.75" customHeight="1" x14ac:dyDescent="0.3">
      <c r="A289" s="72" t="s">
        <v>709</v>
      </c>
      <c r="B289" s="1">
        <v>460</v>
      </c>
      <c r="C289" s="1">
        <v>3789</v>
      </c>
      <c r="D289" s="1">
        <v>5305</v>
      </c>
      <c r="E289" s="55">
        <f>SUM(B289:D289)</f>
        <v>9554</v>
      </c>
      <c r="F289" s="1">
        <v>2946</v>
      </c>
      <c r="G289" s="1"/>
      <c r="H289" s="1"/>
      <c r="I289" s="55">
        <f>SUM(F289:H289)</f>
        <v>2946</v>
      </c>
      <c r="J289" s="1"/>
      <c r="K289" s="1"/>
      <c r="L289" s="1"/>
      <c r="M289" s="55">
        <f>SUM(J289:L289)</f>
        <v>0</v>
      </c>
      <c r="N289" s="1"/>
      <c r="O289" s="1"/>
      <c r="P289" s="1"/>
      <c r="Q289" s="55">
        <f>SUM(N289:P289)</f>
        <v>0</v>
      </c>
      <c r="R289" s="55">
        <f>+E289+I289+M289+Q289</f>
        <v>12500</v>
      </c>
      <c r="S289" s="4" t="s">
        <v>821</v>
      </c>
    </row>
    <row r="290" spans="1:20" ht="15.75" customHeight="1" x14ac:dyDescent="0.3">
      <c r="A290" s="72" t="s">
        <v>897</v>
      </c>
      <c r="B290" s="1"/>
      <c r="C290" s="1"/>
      <c r="D290" s="1"/>
      <c r="E290" s="55">
        <f>SUM(B290:D290)</f>
        <v>0</v>
      </c>
      <c r="F290" s="1"/>
      <c r="G290" s="1"/>
      <c r="H290" s="1"/>
      <c r="I290" s="55">
        <f>SUM(F290:H290)</f>
        <v>0</v>
      </c>
      <c r="J290" s="1"/>
      <c r="K290" s="1"/>
      <c r="L290" s="1"/>
      <c r="M290" s="55">
        <f>SUM(J290:L290)</f>
        <v>0</v>
      </c>
      <c r="N290" s="1"/>
      <c r="O290" s="1"/>
      <c r="P290" s="1"/>
      <c r="Q290" s="55">
        <f>SUM(N290:P290)</f>
        <v>0</v>
      </c>
      <c r="R290" s="55">
        <f>+E290+I290+M290+Q290</f>
        <v>0</v>
      </c>
    </row>
    <row r="291" spans="1:20" ht="15.75" customHeight="1" x14ac:dyDescent="0.3">
      <c r="A291" s="72" t="s">
        <v>1205</v>
      </c>
      <c r="B291" s="1"/>
      <c r="C291" s="1"/>
      <c r="D291" s="1"/>
      <c r="E291" s="55">
        <f t="shared" ref="E291" si="83">SUM(B291:D291)</f>
        <v>0</v>
      </c>
      <c r="F291" s="1"/>
      <c r="G291" s="1"/>
      <c r="H291" s="1"/>
      <c r="I291" s="55">
        <f t="shared" ref="I291" si="84">SUM(F291:H291)</f>
        <v>0</v>
      </c>
      <c r="J291" s="1"/>
      <c r="K291" s="1"/>
      <c r="L291" s="1"/>
      <c r="M291" s="55">
        <f t="shared" ref="M291" si="85">SUM(J291:L291)</f>
        <v>0</v>
      </c>
      <c r="N291" s="1"/>
      <c r="O291" s="1"/>
      <c r="P291" s="1"/>
      <c r="Q291" s="55">
        <f t="shared" ref="Q291" si="86">SUM(N291:P291)</f>
        <v>0</v>
      </c>
      <c r="R291" s="55">
        <f t="shared" ref="R291" si="87">+E291+I291+M291+Q291</f>
        <v>0</v>
      </c>
    </row>
    <row r="292" spans="1:20" ht="15.75" customHeight="1" x14ac:dyDescent="0.3">
      <c r="A292" s="72" t="s">
        <v>175</v>
      </c>
      <c r="B292" s="1">
        <v>500</v>
      </c>
      <c r="C292" s="1"/>
      <c r="D292" s="1"/>
      <c r="E292" s="55">
        <f t="shared" ref="E292:E293" si="88">SUM(B292:D292)</f>
        <v>500</v>
      </c>
      <c r="F292" s="1"/>
      <c r="G292" s="1"/>
      <c r="H292" s="1"/>
      <c r="I292" s="55">
        <f t="shared" si="56"/>
        <v>0</v>
      </c>
      <c r="J292" s="1"/>
      <c r="K292" s="1"/>
      <c r="L292" s="1"/>
      <c r="M292" s="55">
        <f t="shared" si="57"/>
        <v>0</v>
      </c>
      <c r="N292" s="1"/>
      <c r="O292" s="1"/>
      <c r="P292" s="1"/>
      <c r="Q292" s="55">
        <f t="shared" si="58"/>
        <v>0</v>
      </c>
      <c r="R292" s="55">
        <f t="shared" si="54"/>
        <v>500</v>
      </c>
    </row>
    <row r="293" spans="1:20" ht="15.75" customHeight="1" x14ac:dyDescent="0.3">
      <c r="A293" s="72" t="s">
        <v>1394</v>
      </c>
      <c r="B293" s="1"/>
      <c r="C293" s="1"/>
      <c r="D293" s="1"/>
      <c r="E293" s="55">
        <f t="shared" si="88"/>
        <v>0</v>
      </c>
      <c r="F293" s="1"/>
      <c r="G293" s="1"/>
      <c r="H293" s="1"/>
      <c r="I293" s="55">
        <f t="shared" si="56"/>
        <v>0</v>
      </c>
      <c r="J293" s="1"/>
      <c r="K293" s="1"/>
      <c r="L293" s="1"/>
      <c r="M293" s="55">
        <f t="shared" si="57"/>
        <v>0</v>
      </c>
      <c r="N293" s="1"/>
      <c r="O293" s="1"/>
      <c r="P293" s="1"/>
      <c r="Q293" s="55">
        <f t="shared" si="58"/>
        <v>0</v>
      </c>
      <c r="R293" s="55">
        <f t="shared" si="54"/>
        <v>0</v>
      </c>
    </row>
    <row r="294" spans="1:20" ht="15.75" customHeight="1" thickBot="1" x14ac:dyDescent="0.35">
      <c r="A294" s="72" t="s">
        <v>898</v>
      </c>
      <c r="B294" s="1"/>
      <c r="C294" s="1"/>
      <c r="D294" s="1"/>
      <c r="E294" s="55">
        <f>SUM(B294:D294)</f>
        <v>0</v>
      </c>
      <c r="F294" s="1"/>
      <c r="G294" s="1"/>
      <c r="H294" s="1"/>
      <c r="I294" s="55">
        <f>SUM(F294:H294)</f>
        <v>0</v>
      </c>
      <c r="J294" s="1"/>
      <c r="K294" s="1"/>
      <c r="L294" s="1"/>
      <c r="M294" s="55">
        <f>SUM(J294:L294)</f>
        <v>0</v>
      </c>
      <c r="N294" s="1"/>
      <c r="O294" s="1"/>
      <c r="P294" s="1"/>
      <c r="Q294" s="55">
        <f>SUM(N294:P294)</f>
        <v>0</v>
      </c>
      <c r="R294" s="55">
        <f t="shared" si="54"/>
        <v>0</v>
      </c>
      <c r="S294" s="465" t="s">
        <v>821</v>
      </c>
    </row>
    <row r="295" spans="1:20" ht="16.5" customHeight="1" thickBot="1" x14ac:dyDescent="0.35">
      <c r="A295" s="57" t="s">
        <v>63</v>
      </c>
      <c r="B295" s="87">
        <f>SUM(B223:B294)</f>
        <v>4958</v>
      </c>
      <c r="C295" s="87">
        <f>SUM(C223:C294)</f>
        <v>9516</v>
      </c>
      <c r="D295" s="87">
        <f>SUM(D223:D294)</f>
        <v>15863</v>
      </c>
      <c r="E295" s="59">
        <f t="shared" ref="E295" si="89">SUM(B295:D295)</f>
        <v>30337</v>
      </c>
      <c r="F295" s="87">
        <f>SUM(F223:F294)</f>
        <v>12937</v>
      </c>
      <c r="G295" s="87">
        <f>SUM(G223:G294)</f>
        <v>15235</v>
      </c>
      <c r="H295" s="87">
        <f>SUM(H223:H294)</f>
        <v>9793</v>
      </c>
      <c r="I295" s="59">
        <f t="shared" ref="I295" si="90">SUM(F295:H295)</f>
        <v>37965</v>
      </c>
      <c r="J295" s="87">
        <f>SUM(J223:J294)</f>
        <v>3928</v>
      </c>
      <c r="K295" s="87">
        <f>SUM(K223:K294)</f>
        <v>6849</v>
      </c>
      <c r="L295" s="87">
        <f>SUM(L223:L294)</f>
        <v>7698</v>
      </c>
      <c r="M295" s="59">
        <f t="shared" ref="M295" si="91">SUM(J295:L295)</f>
        <v>18475</v>
      </c>
      <c r="N295" s="87">
        <f>SUM(N223:N294)</f>
        <v>7106</v>
      </c>
      <c r="O295" s="87">
        <f>SUM(O223:O294)</f>
        <v>6092</v>
      </c>
      <c r="P295" s="87">
        <f>SUM(P223:P294)</f>
        <v>6176</v>
      </c>
      <c r="Q295" s="59">
        <f t="shared" ref="Q295" si="92">SUM(N295:P295)</f>
        <v>19374</v>
      </c>
      <c r="R295" s="59">
        <f t="shared" si="54"/>
        <v>106151</v>
      </c>
    </row>
    <row r="296" spans="1:20" ht="15.75" customHeight="1" x14ac:dyDescent="0.3">
      <c r="A296" s="15" t="s">
        <v>64</v>
      </c>
      <c r="B296" s="1"/>
      <c r="C296" s="1"/>
      <c r="D296" s="1"/>
      <c r="E296" s="55" t="s">
        <v>7</v>
      </c>
      <c r="F296" s="1"/>
      <c r="G296" s="1"/>
      <c r="H296" s="1"/>
      <c r="I296" s="55" t="s">
        <v>7</v>
      </c>
      <c r="J296" s="1"/>
      <c r="K296" s="1"/>
      <c r="L296" s="1"/>
      <c r="M296" s="55" t="s">
        <v>7</v>
      </c>
      <c r="N296" s="1"/>
      <c r="O296" s="1"/>
      <c r="P296" s="1"/>
      <c r="Q296" s="55" t="s">
        <v>7</v>
      </c>
      <c r="R296" s="55" t="s">
        <v>7</v>
      </c>
    </row>
    <row r="297" spans="1:20" ht="15.75" customHeight="1" x14ac:dyDescent="0.3">
      <c r="A297" s="15" t="s">
        <v>594</v>
      </c>
      <c r="B297" s="1"/>
      <c r="C297" s="1"/>
      <c r="D297" s="1"/>
      <c r="E297" s="55" t="s">
        <v>7</v>
      </c>
      <c r="F297" s="1"/>
      <c r="G297" s="1"/>
      <c r="H297" s="1"/>
      <c r="I297" s="55" t="s">
        <v>7</v>
      </c>
      <c r="J297" s="1"/>
      <c r="K297" s="1"/>
      <c r="L297" s="1"/>
      <c r="M297" s="55" t="s">
        <v>7</v>
      </c>
      <c r="N297" s="1"/>
      <c r="O297" s="1"/>
      <c r="P297" s="1"/>
      <c r="Q297" s="55" t="s">
        <v>7</v>
      </c>
      <c r="R297" s="55" t="s">
        <v>7</v>
      </c>
    </row>
    <row r="298" spans="1:20" ht="15.75" customHeight="1" x14ac:dyDescent="0.3">
      <c r="A298" s="85" t="s">
        <v>1293</v>
      </c>
      <c r="B298" s="1"/>
      <c r="C298" s="1"/>
      <c r="D298" s="1"/>
      <c r="E298" s="55">
        <f>SUM(B298:D298)</f>
        <v>0</v>
      </c>
      <c r="F298" s="1"/>
      <c r="G298" s="1"/>
      <c r="H298" s="1"/>
      <c r="I298" s="55">
        <f>SUM(F298:H298)</f>
        <v>0</v>
      </c>
      <c r="J298" s="1"/>
      <c r="K298" s="1"/>
      <c r="L298" s="1"/>
      <c r="M298" s="55">
        <f>SUM(J298:L298)</f>
        <v>0</v>
      </c>
      <c r="N298" s="1"/>
      <c r="O298" s="1"/>
      <c r="P298" s="1"/>
      <c r="Q298" s="55">
        <f>SUM(N298:P298)</f>
        <v>0</v>
      </c>
      <c r="R298" s="55">
        <f>+E298+I298+M298+Q298</f>
        <v>0</v>
      </c>
      <c r="T298" s="4" t="s">
        <v>818</v>
      </c>
    </row>
    <row r="299" spans="1:20" ht="15.75" customHeight="1" x14ac:dyDescent="0.3">
      <c r="A299" s="85" t="s">
        <v>1294</v>
      </c>
      <c r="B299" s="1"/>
      <c r="C299" s="1"/>
      <c r="D299" s="1"/>
      <c r="E299" s="55">
        <f>SUM(B299:D299)</f>
        <v>0</v>
      </c>
      <c r="F299" s="1"/>
      <c r="G299" s="1"/>
      <c r="H299" s="1"/>
      <c r="I299" s="55">
        <f>SUM(F299:H299)</f>
        <v>0</v>
      </c>
      <c r="J299" s="1"/>
      <c r="K299" s="1"/>
      <c r="L299" s="1"/>
      <c r="M299" s="55">
        <f>SUM(J299:L299)</f>
        <v>0</v>
      </c>
      <c r="N299" s="1"/>
      <c r="O299" s="1"/>
      <c r="P299" s="1"/>
      <c r="Q299" s="55">
        <f>SUM(N299:P299)</f>
        <v>0</v>
      </c>
      <c r="R299" s="55">
        <f>+E299+I299+M299+Q299</f>
        <v>0</v>
      </c>
      <c r="T299" s="4" t="s">
        <v>819</v>
      </c>
    </row>
    <row r="300" spans="1:20" ht="15.75" customHeight="1" x14ac:dyDescent="0.3">
      <c r="A300" s="15" t="s">
        <v>67</v>
      </c>
      <c r="B300" s="1"/>
      <c r="C300" s="1"/>
      <c r="D300" s="1"/>
      <c r="E300" s="55" t="s">
        <v>7</v>
      </c>
      <c r="F300" s="1"/>
      <c r="G300" s="1"/>
      <c r="H300" s="1"/>
      <c r="I300" s="55" t="s">
        <v>7</v>
      </c>
      <c r="J300" s="1"/>
      <c r="K300" s="1"/>
      <c r="L300" s="1"/>
      <c r="M300" s="55" t="s">
        <v>7</v>
      </c>
      <c r="N300" s="1"/>
      <c r="O300" s="1"/>
      <c r="P300" s="1"/>
      <c r="Q300" s="55" t="s">
        <v>7</v>
      </c>
      <c r="R300" s="55" t="s">
        <v>7</v>
      </c>
    </row>
    <row r="301" spans="1:20" ht="15.75" customHeight="1" x14ac:dyDescent="0.3">
      <c r="A301" s="85" t="s">
        <v>900</v>
      </c>
      <c r="B301" s="1"/>
      <c r="C301" s="1"/>
      <c r="D301" s="1"/>
      <c r="E301" s="55">
        <f>SUM(B301:D301)</f>
        <v>0</v>
      </c>
      <c r="F301" s="1"/>
      <c r="G301" s="1"/>
      <c r="H301" s="1"/>
      <c r="I301" s="55">
        <f>SUM(F301:H301)</f>
        <v>0</v>
      </c>
      <c r="J301" s="1"/>
      <c r="K301" s="1"/>
      <c r="L301" s="1"/>
      <c r="M301" s="55">
        <f>SUM(J301:L301)</f>
        <v>0</v>
      </c>
      <c r="N301" s="1"/>
      <c r="O301" s="1"/>
      <c r="P301" s="1"/>
      <c r="Q301" s="55">
        <f>SUM(N301:P301)</f>
        <v>0</v>
      </c>
      <c r="R301" s="55">
        <f>+E301+I301+M301+Q301</f>
        <v>0</v>
      </c>
    </row>
    <row r="302" spans="1:20" ht="15.75" customHeight="1" x14ac:dyDescent="0.3">
      <c r="A302" s="85" t="s">
        <v>901</v>
      </c>
      <c r="B302" s="1"/>
      <c r="C302" s="1"/>
      <c r="D302" s="1"/>
      <c r="E302" s="55">
        <f>SUM(B302:D302)</f>
        <v>0</v>
      </c>
      <c r="F302" s="1"/>
      <c r="G302" s="1"/>
      <c r="H302" s="1"/>
      <c r="I302" s="55">
        <f>SUM(F302:H302)</f>
        <v>0</v>
      </c>
      <c r="J302" s="1"/>
      <c r="K302" s="1"/>
      <c r="L302" s="1"/>
      <c r="M302" s="55">
        <f>SUM(J302:L302)</f>
        <v>0</v>
      </c>
      <c r="N302" s="1"/>
      <c r="O302" s="1"/>
      <c r="P302" s="1"/>
      <c r="Q302" s="55">
        <f>SUM(N302:P302)</f>
        <v>0</v>
      </c>
      <c r="R302" s="55">
        <f>+E302+I302+M302+Q302</f>
        <v>0</v>
      </c>
      <c r="T302" s="4">
        <f>24000-SUM(R152,R156,R176,R179,R193,R211,R248,R250,R272,R298,R301,R302)</f>
        <v>776</v>
      </c>
    </row>
    <row r="303" spans="1:20" ht="15.75" customHeight="1" x14ac:dyDescent="0.3">
      <c r="A303" s="71" t="s">
        <v>902</v>
      </c>
      <c r="B303" s="1"/>
      <c r="C303" s="1"/>
      <c r="D303" s="1"/>
      <c r="E303" s="55">
        <f t="shared" ref="E303:E308" si="93">SUM(B303:D303)</f>
        <v>0</v>
      </c>
      <c r="F303" s="1"/>
      <c r="G303" s="1"/>
      <c r="H303" s="1"/>
      <c r="I303" s="55">
        <f t="shared" ref="I303:I308" si="94">SUM(F303:H303)</f>
        <v>0</v>
      </c>
      <c r="J303" s="1"/>
      <c r="K303" s="1"/>
      <c r="L303" s="1"/>
      <c r="M303" s="55">
        <f t="shared" ref="M303:M308" si="95">SUM(J303:L303)</f>
        <v>0</v>
      </c>
      <c r="N303" s="1"/>
      <c r="O303" s="1"/>
      <c r="P303" s="1"/>
      <c r="Q303" s="55">
        <f t="shared" ref="Q303:Q308" si="96">SUM(N303:P303)</f>
        <v>0</v>
      </c>
      <c r="R303" s="55">
        <f t="shared" ref="R303:R308" si="97">+E303+I303+M303+Q303</f>
        <v>0</v>
      </c>
      <c r="S303" s="4" t="s">
        <v>821</v>
      </c>
    </row>
    <row r="304" spans="1:20" ht="15.75" customHeight="1" x14ac:dyDescent="0.3">
      <c r="A304" s="71" t="s">
        <v>713</v>
      </c>
      <c r="B304" s="1"/>
      <c r="C304" s="1"/>
      <c r="D304" s="1"/>
      <c r="E304" s="55">
        <f t="shared" si="93"/>
        <v>0</v>
      </c>
      <c r="F304" s="1"/>
      <c r="G304" s="1"/>
      <c r="H304" s="1"/>
      <c r="I304" s="55">
        <f t="shared" si="94"/>
        <v>0</v>
      </c>
      <c r="J304" s="1"/>
      <c r="K304" s="1"/>
      <c r="L304" s="1"/>
      <c r="M304" s="55">
        <f t="shared" si="95"/>
        <v>0</v>
      </c>
      <c r="N304" s="1"/>
      <c r="O304" s="1"/>
      <c r="P304" s="1"/>
      <c r="Q304" s="55">
        <f t="shared" si="96"/>
        <v>0</v>
      </c>
      <c r="R304" s="55">
        <f t="shared" si="97"/>
        <v>0</v>
      </c>
    </row>
    <row r="305" spans="1:20" ht="15.75" customHeight="1" x14ac:dyDescent="0.3">
      <c r="A305" s="84" t="s">
        <v>903</v>
      </c>
      <c r="B305" s="1"/>
      <c r="C305" s="1"/>
      <c r="D305" s="1"/>
      <c r="E305" s="55">
        <f t="shared" si="93"/>
        <v>0</v>
      </c>
      <c r="F305" s="1"/>
      <c r="G305" s="1"/>
      <c r="H305" s="1"/>
      <c r="I305" s="55">
        <f t="shared" si="94"/>
        <v>0</v>
      </c>
      <c r="J305" s="1"/>
      <c r="K305" s="1"/>
      <c r="L305" s="1"/>
      <c r="M305" s="55">
        <f t="shared" si="95"/>
        <v>0</v>
      </c>
      <c r="N305" s="1"/>
      <c r="O305" s="1"/>
      <c r="P305" s="1"/>
      <c r="Q305" s="55">
        <f t="shared" si="96"/>
        <v>0</v>
      </c>
      <c r="R305" s="55">
        <f t="shared" si="97"/>
        <v>0</v>
      </c>
    </row>
    <row r="306" spans="1:20" ht="15.75" customHeight="1" x14ac:dyDescent="0.3">
      <c r="A306" s="84" t="s">
        <v>715</v>
      </c>
      <c r="B306" s="1"/>
      <c r="C306" s="1"/>
      <c r="D306" s="1"/>
      <c r="E306" s="55">
        <f t="shared" si="93"/>
        <v>0</v>
      </c>
      <c r="F306" s="1"/>
      <c r="G306" s="1"/>
      <c r="H306" s="1"/>
      <c r="I306" s="55">
        <f t="shared" si="94"/>
        <v>0</v>
      </c>
      <c r="J306" s="1"/>
      <c r="K306" s="1"/>
      <c r="L306" s="1"/>
      <c r="M306" s="55">
        <f t="shared" si="95"/>
        <v>0</v>
      </c>
      <c r="N306" s="1"/>
      <c r="O306" s="1"/>
      <c r="P306" s="1"/>
      <c r="Q306" s="55">
        <f t="shared" si="96"/>
        <v>0</v>
      </c>
      <c r="R306" s="55">
        <f t="shared" si="97"/>
        <v>0</v>
      </c>
    </row>
    <row r="307" spans="1:20" ht="15.75" customHeight="1" x14ac:dyDescent="0.3">
      <c r="A307" s="61" t="s">
        <v>716</v>
      </c>
      <c r="B307" s="1"/>
      <c r="C307" s="1"/>
      <c r="D307" s="1"/>
      <c r="E307" s="55">
        <f t="shared" si="93"/>
        <v>0</v>
      </c>
      <c r="F307" s="1"/>
      <c r="G307" s="1"/>
      <c r="H307" s="1"/>
      <c r="I307" s="55">
        <f t="shared" si="94"/>
        <v>0</v>
      </c>
      <c r="J307" s="1"/>
      <c r="K307" s="1"/>
      <c r="L307" s="1"/>
      <c r="M307" s="55">
        <f t="shared" si="95"/>
        <v>0</v>
      </c>
      <c r="N307" s="1"/>
      <c r="O307" s="1"/>
      <c r="P307" s="1"/>
      <c r="Q307" s="55">
        <f t="shared" si="96"/>
        <v>0</v>
      </c>
      <c r="R307" s="55">
        <f t="shared" si="97"/>
        <v>0</v>
      </c>
    </row>
    <row r="308" spans="1:20" ht="15.75" customHeight="1" x14ac:dyDescent="0.3">
      <c r="A308" s="61" t="s">
        <v>717</v>
      </c>
      <c r="B308" s="1"/>
      <c r="C308" s="1"/>
      <c r="D308" s="1"/>
      <c r="E308" s="55">
        <f t="shared" si="93"/>
        <v>0</v>
      </c>
      <c r="F308" s="1"/>
      <c r="G308" s="1"/>
      <c r="H308" s="1"/>
      <c r="I308" s="55">
        <f t="shared" si="94"/>
        <v>0</v>
      </c>
      <c r="J308" s="1"/>
      <c r="K308" s="1"/>
      <c r="L308" s="1"/>
      <c r="M308" s="55">
        <f t="shared" si="95"/>
        <v>0</v>
      </c>
      <c r="N308" s="1"/>
      <c r="O308" s="1"/>
      <c r="P308" s="1"/>
      <c r="Q308" s="55">
        <f t="shared" si="96"/>
        <v>0</v>
      </c>
      <c r="R308" s="55">
        <f t="shared" si="97"/>
        <v>0</v>
      </c>
    </row>
    <row r="309" spans="1:20" ht="15.75" customHeight="1" x14ac:dyDescent="0.3">
      <c r="A309" s="15" t="s">
        <v>600</v>
      </c>
      <c r="B309" s="1"/>
      <c r="C309" s="1"/>
      <c r="D309" s="1"/>
      <c r="E309" s="55" t="s">
        <v>7</v>
      </c>
      <c r="F309" s="1"/>
      <c r="G309" s="1"/>
      <c r="H309" s="1"/>
      <c r="I309" s="55" t="s">
        <v>7</v>
      </c>
      <c r="J309" s="1"/>
      <c r="K309" s="1"/>
      <c r="L309" s="1"/>
      <c r="M309" s="55" t="s">
        <v>7</v>
      </c>
      <c r="N309" s="1"/>
      <c r="O309" s="1"/>
      <c r="P309" s="1"/>
      <c r="Q309" s="55" t="s">
        <v>7</v>
      </c>
      <c r="R309" s="55" t="s">
        <v>7</v>
      </c>
    </row>
    <row r="310" spans="1:20" ht="15.75" customHeight="1" x14ac:dyDescent="0.3">
      <c r="A310" s="85" t="s">
        <v>1295</v>
      </c>
      <c r="B310" s="1"/>
      <c r="C310" s="1"/>
      <c r="D310" s="1"/>
      <c r="E310" s="55">
        <f t="shared" ref="E310" si="98">SUM(B310:D310)</f>
        <v>0</v>
      </c>
      <c r="F310" s="1"/>
      <c r="G310" s="1"/>
      <c r="H310" s="1"/>
      <c r="I310" s="55">
        <f t="shared" ref="I310" si="99">SUM(F310:H310)</f>
        <v>0</v>
      </c>
      <c r="J310" s="1"/>
      <c r="K310" s="1"/>
      <c r="L310" s="1"/>
      <c r="M310" s="55">
        <f t="shared" ref="M310" si="100">SUM(J310:L310)</f>
        <v>0</v>
      </c>
      <c r="N310" s="1"/>
      <c r="O310" s="1"/>
      <c r="P310" s="1"/>
      <c r="Q310" s="55">
        <f t="shared" ref="Q310" si="101">SUM(N310:P310)</f>
        <v>0</v>
      </c>
      <c r="R310" s="55">
        <f t="shared" ref="R310" si="102">+E310+I310+M310+Q310</f>
        <v>0</v>
      </c>
    </row>
    <row r="311" spans="1:20" ht="15.75" customHeight="1" x14ac:dyDescent="0.3">
      <c r="A311" s="15" t="s">
        <v>70</v>
      </c>
      <c r="B311" s="1"/>
      <c r="C311" s="1"/>
      <c r="D311" s="1"/>
      <c r="E311" s="55" t="s">
        <v>7</v>
      </c>
      <c r="F311" s="1"/>
      <c r="G311" s="1"/>
      <c r="H311" s="1"/>
      <c r="I311" s="55" t="s">
        <v>7</v>
      </c>
      <c r="J311" s="1"/>
      <c r="K311" s="1"/>
      <c r="L311" s="1"/>
      <c r="M311" s="55" t="s">
        <v>7</v>
      </c>
      <c r="N311" s="1"/>
      <c r="O311" s="1"/>
      <c r="P311" s="1"/>
      <c r="Q311" s="55" t="s">
        <v>7</v>
      </c>
      <c r="R311" s="55" t="s">
        <v>7</v>
      </c>
    </row>
    <row r="312" spans="1:20" ht="15.75" customHeight="1" thickBot="1" x14ac:dyDescent="0.35">
      <c r="A312" s="71" t="s">
        <v>904</v>
      </c>
      <c r="B312" s="1"/>
      <c r="C312" s="1"/>
      <c r="D312" s="1"/>
      <c r="E312" s="55">
        <f t="shared" ref="E312" si="103">SUM(B312:D312)</f>
        <v>0</v>
      </c>
      <c r="F312" s="1"/>
      <c r="G312" s="1"/>
      <c r="H312" s="1"/>
      <c r="I312" s="55">
        <f t="shared" ref="I312:I321" si="104">SUM(F312:H312)</f>
        <v>0</v>
      </c>
      <c r="J312" s="1"/>
      <c r="K312" s="1"/>
      <c r="L312" s="1"/>
      <c r="M312" s="55">
        <f t="shared" ref="M312:M321" si="105">SUM(J312:L312)</f>
        <v>0</v>
      </c>
      <c r="N312" s="1"/>
      <c r="O312" s="1"/>
      <c r="P312" s="1"/>
      <c r="Q312" s="55">
        <f t="shared" ref="Q312:Q321" si="106">SUM(N312:P312)</f>
        <v>0</v>
      </c>
      <c r="R312" s="55">
        <f t="shared" ref="R312:R321" si="107">+E312+I312+M312+Q312</f>
        <v>0</v>
      </c>
      <c r="S312" s="4" t="s">
        <v>821</v>
      </c>
    </row>
    <row r="313" spans="1:20" ht="16.5" customHeight="1" thickBot="1" x14ac:dyDescent="0.35">
      <c r="A313" s="57" t="s">
        <v>71</v>
      </c>
      <c r="B313" s="58">
        <f>SUM(B309:B312)</f>
        <v>0</v>
      </c>
      <c r="C313" s="58">
        <f>SUM(C309:C312)</f>
        <v>0</v>
      </c>
      <c r="D313" s="58">
        <f>SUM(D309:D312)</f>
        <v>0</v>
      </c>
      <c r="E313" s="60">
        <f t="shared" ref="E313:E318" si="108">SUM(B313:D313)</f>
        <v>0</v>
      </c>
      <c r="F313" s="58">
        <f>SUM(F309:F312)</f>
        <v>0</v>
      </c>
      <c r="G313" s="58">
        <f>SUM(G309:G312)</f>
        <v>0</v>
      </c>
      <c r="H313" s="58">
        <f>SUM(H309:H312)</f>
        <v>0</v>
      </c>
      <c r="I313" s="60">
        <f t="shared" si="104"/>
        <v>0</v>
      </c>
      <c r="J313" s="58">
        <f>SUM(J309:J312)</f>
        <v>0</v>
      </c>
      <c r="K313" s="58">
        <f>SUM(K309:K312)</f>
        <v>0</v>
      </c>
      <c r="L313" s="58">
        <f>SUM(L309:L312)</f>
        <v>0</v>
      </c>
      <c r="M313" s="60">
        <f t="shared" si="105"/>
        <v>0</v>
      </c>
      <c r="N313" s="58">
        <f>SUM(N309:N312)</f>
        <v>0</v>
      </c>
      <c r="O313" s="58">
        <f>SUM(O309:O312)</f>
        <v>0</v>
      </c>
      <c r="P313" s="58">
        <f>SUM(P309:P312)</f>
        <v>0</v>
      </c>
      <c r="Q313" s="60">
        <f t="shared" si="106"/>
        <v>0</v>
      </c>
      <c r="R313" s="59">
        <f t="shared" si="107"/>
        <v>0</v>
      </c>
    </row>
    <row r="314" spans="1:20" ht="16.5" customHeight="1" thickBot="1" x14ac:dyDescent="0.35">
      <c r="A314" s="57" t="s">
        <v>72</v>
      </c>
      <c r="B314" s="86">
        <f>SUM(B296:B312)</f>
        <v>0</v>
      </c>
      <c r="C314" s="87">
        <f>SUM(C296:C312)</f>
        <v>0</v>
      </c>
      <c r="D314" s="87">
        <f>SUM(D296:D312)</f>
        <v>0</v>
      </c>
      <c r="E314" s="59">
        <f t="shared" si="108"/>
        <v>0</v>
      </c>
      <c r="F314" s="87">
        <f>SUM(F296:F312)</f>
        <v>0</v>
      </c>
      <c r="G314" s="87">
        <f>SUM(G296:G312)</f>
        <v>0</v>
      </c>
      <c r="H314" s="87">
        <f>SUM(H296:H312)</f>
        <v>0</v>
      </c>
      <c r="I314" s="59">
        <f t="shared" si="104"/>
        <v>0</v>
      </c>
      <c r="J314" s="87">
        <f>SUM(J296:J312)</f>
        <v>0</v>
      </c>
      <c r="K314" s="87">
        <f>SUM(K296:K312)</f>
        <v>0</v>
      </c>
      <c r="L314" s="87">
        <f>SUM(L296:L312)</f>
        <v>0</v>
      </c>
      <c r="M314" s="59">
        <f t="shared" si="105"/>
        <v>0</v>
      </c>
      <c r="N314" s="87">
        <f>SUM(N296:N312)</f>
        <v>0</v>
      </c>
      <c r="O314" s="87">
        <f>SUM(O296:O312)</f>
        <v>0</v>
      </c>
      <c r="P314" s="87">
        <f>SUM(P296:P312)</f>
        <v>0</v>
      </c>
      <c r="Q314" s="59">
        <f t="shared" si="106"/>
        <v>0</v>
      </c>
      <c r="R314" s="59">
        <f t="shared" si="107"/>
        <v>0</v>
      </c>
    </row>
    <row r="315" spans="1:20" ht="16.5" customHeight="1" thickBot="1" x14ac:dyDescent="0.35">
      <c r="A315" s="57" t="s">
        <v>73</v>
      </c>
      <c r="B315" s="90">
        <f>+B215+B222+B295+B314</f>
        <v>20773</v>
      </c>
      <c r="C315" s="58">
        <f>+C215+C222+C295+C314</f>
        <v>23165</v>
      </c>
      <c r="D315" s="58">
        <f>+D215+D222+D295+D314</f>
        <v>33846</v>
      </c>
      <c r="E315" s="81">
        <f t="shared" si="108"/>
        <v>77784</v>
      </c>
      <c r="F315" s="58">
        <f>+F215+F222+F295+F314</f>
        <v>39028</v>
      </c>
      <c r="G315" s="58">
        <f>+G215+G222+G295+G314</f>
        <v>43868</v>
      </c>
      <c r="H315" s="58">
        <f>+H215+H222+H295+H314</f>
        <v>45581</v>
      </c>
      <c r="I315" s="81">
        <f t="shared" si="104"/>
        <v>128477</v>
      </c>
      <c r="J315" s="58">
        <f>+J215+J222+J295+J314</f>
        <v>39107</v>
      </c>
      <c r="K315" s="58">
        <f>+K215+K222+K295+K314</f>
        <v>41526</v>
      </c>
      <c r="L315" s="58">
        <f>+L215+L222+L295+L314</f>
        <v>35474</v>
      </c>
      <c r="M315" s="81">
        <f t="shared" si="105"/>
        <v>116107</v>
      </c>
      <c r="N315" s="58">
        <f>+N215+N222+N295+N314</f>
        <v>30727</v>
      </c>
      <c r="O315" s="58">
        <f>+O215+O222+O295+O314</f>
        <v>26731</v>
      </c>
      <c r="P315" s="58">
        <f>+P215+P222+P295+P314</f>
        <v>26594</v>
      </c>
      <c r="Q315" s="81">
        <f t="shared" si="106"/>
        <v>84052</v>
      </c>
      <c r="R315" s="81">
        <f t="shared" si="107"/>
        <v>406420</v>
      </c>
    </row>
    <row r="316" spans="1:20" ht="15.75" customHeight="1" x14ac:dyDescent="0.3">
      <c r="A316" s="88" t="s">
        <v>905</v>
      </c>
      <c r="B316" s="1"/>
      <c r="C316" s="1">
        <v>1500</v>
      </c>
      <c r="D316" s="1">
        <v>3973</v>
      </c>
      <c r="E316" s="55">
        <f t="shared" si="108"/>
        <v>5473</v>
      </c>
      <c r="F316" s="1">
        <v>2121</v>
      </c>
      <c r="G316" s="1">
        <v>2837</v>
      </c>
      <c r="H316" s="1">
        <v>3311</v>
      </c>
      <c r="I316" s="55">
        <f t="shared" si="104"/>
        <v>8269</v>
      </c>
      <c r="J316" s="1">
        <v>1027</v>
      </c>
      <c r="K316" s="1">
        <v>1135</v>
      </c>
      <c r="L316" s="1">
        <v>2874</v>
      </c>
      <c r="M316" s="55">
        <f t="shared" si="105"/>
        <v>5036</v>
      </c>
      <c r="N316" s="1">
        <v>3089</v>
      </c>
      <c r="O316" s="1">
        <v>4475</v>
      </c>
      <c r="P316" s="1">
        <v>2020</v>
      </c>
      <c r="Q316" s="55">
        <f t="shared" si="106"/>
        <v>9584</v>
      </c>
      <c r="R316" s="55">
        <f t="shared" si="107"/>
        <v>28362</v>
      </c>
      <c r="S316" s="344"/>
      <c r="T316" s="4" t="s">
        <v>812</v>
      </c>
    </row>
    <row r="317" spans="1:20" ht="15.75" customHeight="1" x14ac:dyDescent="0.3">
      <c r="A317" s="91" t="s">
        <v>193</v>
      </c>
      <c r="B317" s="1">
        <v>-2</v>
      </c>
      <c r="C317" s="1"/>
      <c r="D317" s="1">
        <v>3015</v>
      </c>
      <c r="E317" s="55">
        <f t="shared" si="108"/>
        <v>3013</v>
      </c>
      <c r="F317" s="1">
        <v>4981</v>
      </c>
      <c r="G317" s="1">
        <v>4060</v>
      </c>
      <c r="H317" s="1">
        <v>-8114</v>
      </c>
      <c r="I317" s="55">
        <f t="shared" si="104"/>
        <v>927</v>
      </c>
      <c r="J317" s="1">
        <v>-6021</v>
      </c>
      <c r="K317" s="1">
        <v>2362</v>
      </c>
      <c r="L317" s="1">
        <v>1</v>
      </c>
      <c r="M317" s="55">
        <f t="shared" si="105"/>
        <v>-3658</v>
      </c>
      <c r="N317" s="1">
        <v>-161</v>
      </c>
      <c r="O317" s="1">
        <v>-4569</v>
      </c>
      <c r="P317" s="1">
        <v>-6162</v>
      </c>
      <c r="Q317" s="55">
        <f t="shared" si="106"/>
        <v>-10892</v>
      </c>
      <c r="R317" s="55">
        <f t="shared" si="107"/>
        <v>-10610</v>
      </c>
    </row>
    <row r="318" spans="1:20" ht="15.75" customHeight="1" x14ac:dyDescent="0.3">
      <c r="A318" s="71" t="s">
        <v>718</v>
      </c>
      <c r="B318" s="1"/>
      <c r="C318" s="1"/>
      <c r="D318" s="1"/>
      <c r="E318" s="55">
        <f t="shared" si="108"/>
        <v>0</v>
      </c>
      <c r="F318" s="1"/>
      <c r="G318" s="1"/>
      <c r="H318" s="1"/>
      <c r="I318" s="55">
        <f t="shared" si="104"/>
        <v>0</v>
      </c>
      <c r="J318" s="1"/>
      <c r="K318" s="1"/>
      <c r="L318" s="1"/>
      <c r="M318" s="55">
        <f t="shared" si="105"/>
        <v>0</v>
      </c>
      <c r="N318" s="1"/>
      <c r="O318" s="1"/>
      <c r="P318" s="1"/>
      <c r="Q318" s="55">
        <f t="shared" si="106"/>
        <v>0</v>
      </c>
      <c r="R318" s="55">
        <f t="shared" si="107"/>
        <v>0</v>
      </c>
    </row>
    <row r="319" spans="1:20" ht="15.75" customHeight="1" x14ac:dyDescent="0.3">
      <c r="A319" s="91" t="s">
        <v>195</v>
      </c>
      <c r="B319" s="1">
        <v>47</v>
      </c>
      <c r="C319" s="1">
        <v>81</v>
      </c>
      <c r="D319" s="1">
        <v>34</v>
      </c>
      <c r="E319" s="55">
        <f>SUM(B319:D319)</f>
        <v>162</v>
      </c>
      <c r="F319" s="1">
        <v>81</v>
      </c>
      <c r="G319" s="1">
        <v>42</v>
      </c>
      <c r="H319" s="1">
        <v>118</v>
      </c>
      <c r="I319" s="55">
        <f>SUM(F319:H319)</f>
        <v>241</v>
      </c>
      <c r="J319" s="1">
        <v>104</v>
      </c>
      <c r="K319" s="1">
        <v>96</v>
      </c>
      <c r="L319" s="1">
        <v>52</v>
      </c>
      <c r="M319" s="55">
        <f>SUM(J319:L319)</f>
        <v>252</v>
      </c>
      <c r="N319" s="1">
        <v>38</v>
      </c>
      <c r="O319" s="1">
        <v>38</v>
      </c>
      <c r="P319" s="1"/>
      <c r="Q319" s="55">
        <f>SUM(N319:P319)</f>
        <v>76</v>
      </c>
      <c r="R319" s="55">
        <f t="shared" si="107"/>
        <v>731</v>
      </c>
    </row>
    <row r="320" spans="1:20" ht="15.75" customHeight="1" x14ac:dyDescent="0.3">
      <c r="A320" s="84" t="s">
        <v>196</v>
      </c>
      <c r="B320" s="1">
        <v>71569</v>
      </c>
      <c r="C320" s="1">
        <v>35134</v>
      </c>
      <c r="D320" s="1">
        <v>33356</v>
      </c>
      <c r="E320" s="55">
        <f t="shared" ref="E320" si="109">SUM(B320:D320)</f>
        <v>140059</v>
      </c>
      <c r="F320" s="1">
        <v>2171</v>
      </c>
      <c r="G320" s="1">
        <v>262</v>
      </c>
      <c r="H320" s="1"/>
      <c r="I320" s="55">
        <f t="shared" ref="I320" si="110">SUM(F320:H320)</f>
        <v>2433</v>
      </c>
      <c r="J320" s="1">
        <v>998</v>
      </c>
      <c r="K320" s="1"/>
      <c r="L320" s="1">
        <v>608</v>
      </c>
      <c r="M320" s="55">
        <f t="shared" ref="M320" si="111">SUM(J320:L320)</f>
        <v>1606</v>
      </c>
      <c r="N320" s="1">
        <v>53433</v>
      </c>
      <c r="O320" s="1">
        <v>66963</v>
      </c>
      <c r="P320" s="1">
        <v>17046</v>
      </c>
      <c r="Q320" s="55">
        <f t="shared" si="106"/>
        <v>137442</v>
      </c>
      <c r="R320" s="55">
        <f t="shared" si="107"/>
        <v>281540</v>
      </c>
    </row>
    <row r="321" spans="1:18" ht="16.5" customHeight="1" thickBot="1" x14ac:dyDescent="0.35">
      <c r="A321" s="39" t="s">
        <v>40</v>
      </c>
      <c r="B321" s="21">
        <v>104</v>
      </c>
      <c r="C321" s="21">
        <v>268</v>
      </c>
      <c r="D321" s="21">
        <v>474</v>
      </c>
      <c r="E321" s="55">
        <f>SUM(B321:D321)</f>
        <v>846</v>
      </c>
      <c r="F321" s="21">
        <v>647</v>
      </c>
      <c r="G321" s="21">
        <v>742</v>
      </c>
      <c r="H321" s="21">
        <v>781</v>
      </c>
      <c r="I321" s="55">
        <f t="shared" si="104"/>
        <v>2170</v>
      </c>
      <c r="J321" s="21">
        <v>774</v>
      </c>
      <c r="K321" s="21">
        <v>596</v>
      </c>
      <c r="L321" s="21">
        <v>546</v>
      </c>
      <c r="M321" s="55">
        <f t="shared" si="105"/>
        <v>1916</v>
      </c>
      <c r="N321" s="21">
        <v>517</v>
      </c>
      <c r="O321" s="21">
        <v>413</v>
      </c>
      <c r="P321" s="21">
        <v>302</v>
      </c>
      <c r="Q321" s="55">
        <f t="shared" si="106"/>
        <v>1232</v>
      </c>
      <c r="R321" s="55">
        <f t="shared" si="107"/>
        <v>6164</v>
      </c>
    </row>
    <row r="322" spans="1:18" ht="16.5" customHeight="1" thickBot="1" x14ac:dyDescent="0.35">
      <c r="A322" s="74"/>
      <c r="B322" s="75"/>
      <c r="C322" s="75"/>
      <c r="D322" s="75"/>
      <c r="E322" s="60"/>
      <c r="F322" s="75"/>
      <c r="G322" s="75"/>
      <c r="H322" s="75"/>
      <c r="I322" s="59"/>
      <c r="J322" s="75"/>
      <c r="K322" s="75"/>
      <c r="L322" s="75"/>
      <c r="M322" s="59"/>
      <c r="N322" s="75"/>
      <c r="O322" s="75"/>
      <c r="P322" s="75"/>
      <c r="Q322" s="59"/>
      <c r="R322" s="59" t="s">
        <v>7</v>
      </c>
    </row>
    <row r="323" spans="1:18" ht="15.75" customHeight="1" x14ac:dyDescent="0.3">
      <c r="A323" s="76" t="s">
        <v>41</v>
      </c>
      <c r="B323" s="77">
        <f>SUM(B315:B321)</f>
        <v>92491</v>
      </c>
      <c r="C323" s="77">
        <f>SUM(C315:C321)</f>
        <v>60148</v>
      </c>
      <c r="D323" s="77">
        <f>SUM(D315:D321)</f>
        <v>74698</v>
      </c>
      <c r="E323" s="60">
        <f>SUM(B323:D323)</f>
        <v>227337</v>
      </c>
      <c r="F323" s="77">
        <f>SUM(F315:F321)</f>
        <v>49029</v>
      </c>
      <c r="G323" s="77">
        <f>SUM(G315:G321)</f>
        <v>51811</v>
      </c>
      <c r="H323" s="77">
        <f>SUM(H315:H321)</f>
        <v>41677</v>
      </c>
      <c r="I323" s="60">
        <f>SUM(F323:H323)</f>
        <v>142517</v>
      </c>
      <c r="J323" s="77">
        <f>SUM(J315:J321)</f>
        <v>35989</v>
      </c>
      <c r="K323" s="77">
        <f>SUM(K315:K321)</f>
        <v>45715</v>
      </c>
      <c r="L323" s="77">
        <f>SUM(L315:L321)</f>
        <v>39555</v>
      </c>
      <c r="M323" s="60">
        <f>SUM(J323:L323)</f>
        <v>121259</v>
      </c>
      <c r="N323" s="77">
        <f>SUM(N315:N321)</f>
        <v>87643</v>
      </c>
      <c r="O323" s="77">
        <f>SUM(O315:O321)</f>
        <v>94051</v>
      </c>
      <c r="P323" s="77">
        <f>SUM(P315:P321)</f>
        <v>39800</v>
      </c>
      <c r="Q323" s="92">
        <f>SUM(N323:P323)</f>
        <v>221494</v>
      </c>
      <c r="R323" s="60">
        <f>+E323+I323+M323+Q323</f>
        <v>712607</v>
      </c>
    </row>
    <row r="324" spans="1:18" ht="15.75" customHeight="1" x14ac:dyDescent="0.3">
      <c r="A324" s="79" t="s">
        <v>42</v>
      </c>
      <c r="B324" s="1">
        <f>(B323/B10)/1.983</f>
        <v>1504.5792461731166</v>
      </c>
      <c r="C324" s="1">
        <f>(C323/C10)/1.983</f>
        <v>1083.2793026439017</v>
      </c>
      <c r="D324" s="1">
        <f>(D323/D10)/1.983</f>
        <v>1215.1350999625852</v>
      </c>
      <c r="E324" s="55" t="s">
        <v>7</v>
      </c>
      <c r="F324" s="1">
        <f>(F323/F10)/1.983</f>
        <v>824.15532022188597</v>
      </c>
      <c r="G324" s="1">
        <f>(G323/G10)/1.983</f>
        <v>842.825305418639</v>
      </c>
      <c r="H324" s="1">
        <f>(H323/H10)/1.983</f>
        <v>700.57152462598754</v>
      </c>
      <c r="I324" s="55" t="s">
        <v>7</v>
      </c>
      <c r="J324" s="1">
        <f>(J323/J10)/1.983</f>
        <v>585.4440160720967</v>
      </c>
      <c r="K324" s="1">
        <f>(K323/K10)/1.983</f>
        <v>743.65981813153746</v>
      </c>
      <c r="L324" s="1">
        <f>(L323/L10)/1.983</f>
        <v>664.90166414523446</v>
      </c>
      <c r="M324" s="55" t="s">
        <v>7</v>
      </c>
      <c r="N324" s="1">
        <f>(N323/N10)/1.983</f>
        <v>1425.7153547085711</v>
      </c>
      <c r="O324" s="1">
        <f>(O323/O10)/1.983</f>
        <v>1580.9547823163557</v>
      </c>
      <c r="P324" s="1">
        <f>(P323/P10)/1.983</f>
        <v>647.43871293088011</v>
      </c>
      <c r="Q324" s="93" t="s">
        <v>7</v>
      </c>
      <c r="R324" s="55" t="s">
        <v>7</v>
      </c>
    </row>
    <row r="325" spans="1:18" ht="15.75" customHeight="1" x14ac:dyDescent="0.3">
      <c r="A325" s="79" t="s">
        <v>197</v>
      </c>
      <c r="B325" s="1">
        <f>(+B323+B519)+B332</f>
        <v>120329</v>
      </c>
      <c r="C325" s="1">
        <f>(+C323+C519)+C332</f>
        <v>109221</v>
      </c>
      <c r="D325" s="1">
        <f>(+D323+D519)+D332</f>
        <v>144887</v>
      </c>
      <c r="E325" s="55">
        <f>SUM(B325:D325)</f>
        <v>374437</v>
      </c>
      <c r="F325" s="1">
        <f>(+F323+F519)+F332</f>
        <v>157174</v>
      </c>
      <c r="G325" s="1">
        <f>(+G323+G519)+G332</f>
        <v>160145</v>
      </c>
      <c r="H325" s="1">
        <f>(+H323+H519)+H332</f>
        <v>82546</v>
      </c>
      <c r="I325" s="55">
        <f>SUM(F325:H325)</f>
        <v>399865</v>
      </c>
      <c r="J325" s="1">
        <f>(+J323+J519)+J332</f>
        <v>49537</v>
      </c>
      <c r="K325" s="1">
        <f>(+K323+K519)+K332</f>
        <v>43807</v>
      </c>
      <c r="L325" s="1">
        <f>(+L323+L519)+L332</f>
        <v>102743</v>
      </c>
      <c r="M325" s="55">
        <f>SUM(J325:L325)</f>
        <v>196087</v>
      </c>
      <c r="N325" s="1">
        <f>(+N323+N519)+N332</f>
        <v>135457</v>
      </c>
      <c r="O325" s="1">
        <f>(+O323+O519)+O332</f>
        <v>120637</v>
      </c>
      <c r="P325" s="1">
        <f>(+P323+P519)+P332</f>
        <v>82904</v>
      </c>
      <c r="Q325" s="93">
        <f>SUM(N325:P325)</f>
        <v>338998</v>
      </c>
      <c r="R325" s="55">
        <f>+E325+I325+M325+Q325</f>
        <v>1309387</v>
      </c>
    </row>
    <row r="326" spans="1:18" ht="16.5" customHeight="1" thickBot="1" x14ac:dyDescent="0.35">
      <c r="A326" s="80" t="s">
        <v>198</v>
      </c>
      <c r="B326" s="25">
        <f>(B325/B10)/1.983</f>
        <v>1957.4284645291427</v>
      </c>
      <c r="C326" s="25">
        <f>(C325/C10)/1.983</f>
        <v>1967.0953101361572</v>
      </c>
      <c r="D326" s="25">
        <f>(D325/D10)/1.983</f>
        <v>2356.920924633579</v>
      </c>
      <c r="E326" s="81" t="s">
        <v>7</v>
      </c>
      <c r="F326" s="25">
        <f>(F325/F10)/1.983</f>
        <v>2642.0238695579087</v>
      </c>
      <c r="G326" s="25">
        <f>(G325/G10)/1.983</f>
        <v>2605.1274543295431</v>
      </c>
      <c r="H326" s="25">
        <f>(H325/H10)/1.983</f>
        <v>1387.5609346108588</v>
      </c>
      <c r="I326" s="81" t="s">
        <v>7</v>
      </c>
      <c r="J326" s="25">
        <f>(J325/J10)/1.983</f>
        <v>805.83345533811587</v>
      </c>
      <c r="K326" s="25">
        <f>(K325/K10)/1.983</f>
        <v>712.6218014412832</v>
      </c>
      <c r="L326" s="25">
        <f>(L325/L10)/1.983</f>
        <v>1727.0633719952934</v>
      </c>
      <c r="M326" s="81" t="s">
        <v>7</v>
      </c>
      <c r="N326" s="25">
        <f>(N325/N10)/1.983</f>
        <v>2203.5202446602575</v>
      </c>
      <c r="O326" s="25">
        <f>(O325/O10)/1.983</f>
        <v>2027.8534207429818</v>
      </c>
      <c r="P326" s="25">
        <f>(P325/P10)/1.983</f>
        <v>1348.6245994176306</v>
      </c>
      <c r="Q326" s="94" t="s">
        <v>7</v>
      </c>
      <c r="R326" s="81" t="s">
        <v>7</v>
      </c>
    </row>
    <row r="327" spans="1:18" ht="16.5" customHeight="1" thickBot="1" x14ac:dyDescent="0.35">
      <c r="A327" s="95" t="s">
        <v>199</v>
      </c>
      <c r="B327" s="96">
        <f>+(B325-(B143+B144+B145+B146+B147+B150+B152+B153+B156+B157+B158+B161+B163+B166++B172+B173+B176+B177+B179+B180+B181+B182+B183+B190+B193+B194+B195+B206+B209+B211+B212+B219+B226+B227+B229+B230+B231+B237+B245+B247+B248+B250+B251+B253+B254+B255+B264+B272+B273+B276+B286+B298+B299+B301+B302+B305+B306+B310+B316+B320+B328)-B332)/(B10*1.983)</f>
        <v>726.88822735184544</v>
      </c>
      <c r="C327" s="96">
        <f>+(C325-(C143+C144+C145+C146+C147+C150+C152+C153+C156+C157+C158+C161+C163+C166++C172+C173+C176+C177+C179+C180+C181+C182+C183+C190+C193+C194+C195+C206+C209+C211+C212+C219+C226+C227+C229+C230+C231+C237+C245+C247+C248+C250+C251+C253+C254+C255+C264+C272+C273+C276+C286+C298+C299+C301+C302+C305+C306+C310+C316+C320+C328)-C332)/(C10*1.983)</f>
        <v>1204.0739139831423</v>
      </c>
      <c r="D327" s="96">
        <f>+(D325-(D143+D144+D145+D146+D147+D150+D152+D153+D156+D157+D158+D161+D163+D166++D172+D173+D176+D177+D179+D180+D181+D182+D183+D190+D193+D194+D195+D206+D209+D211+D212+D219+D226+D227+D229+D230+D231+D237+D245+D247+D248+D250+D251+D253+D254+D255+D264+D272+D273+D276+D286+D298+D299+D301+D302+D305+D306+D310+D316+D320+D328)-D332)/(D10*1.983)</f>
        <v>1602.3457452865484</v>
      </c>
      <c r="E327" s="97"/>
      <c r="F327" s="96">
        <f>+(F325-(F143+F144+F145+F146+F147+F150+F152+F153+F156+F157+F158+F161+F163+F166++F172+F173+F176+F177+F179+F180+F181+F182+F183+F190+F193+F194+F195+F206+F209+F211+F212+F219+F226+F227+F229+F230+F231+F237+F245+F247+F248+F250+F251+F253+F254+F255+F264+F272+F273+F276+F286+F298+F299+F301+F302+F305+F306+F310+F316+F320+F328)-F332)/(F10*1.983)</f>
        <v>2396.2346612876113</v>
      </c>
      <c r="G327" s="96">
        <f>+(G325-(G143+G144+G145+G146+G147+G150+G152+G153+G156+G157+G158+G161+G163+G166++G172+G173+G176+G177+G179+G180+G181+G182+G183+G190+G193+G194+G195+G206+G209+G211+G212+G219+G226+G227+G229+G230+G231+G237+G245+G247+G248+G250+G251+G253+G254+G255+G264+G272+G273+G276+G286+G298+G299+G301+G302+G305+G306+G310+G316+G320+G328)-G332)/(G10*1.983)</f>
        <v>2578.5466790298178</v>
      </c>
      <c r="H327" s="96">
        <f>+(H325-(H143+H144+H145+H146+H147+H150+H152+H153+H156+H157+H158+H161+H163+H166++H172+H173+H176+H177+H179+H180+H181+H182+H183+H190+H193+H194+H195+H206+H209+H211+H212+H219+H226+H227+H229+H230+H231+H237+H245+H247+H248+H250+H251+H253+H254+H255+H264+H272+H273+H276+H286+H298+H299+H301+H302+H305+H306+H310+H316+H320+H328)-H332)/(H10*1.983)</f>
        <v>2863.7081862497898</v>
      </c>
      <c r="I327" s="97"/>
      <c r="J327" s="96">
        <f>+(J325-(J143+J144+J145+J146+J147+J150+J152+J153+J156+J157+J158+J161+J163+J166++J172+J173+J176+J177+J179+J180+J181+J182+J183+J190+J193+J194+J195+J206+J209+J211+J212+J219+J226+J227+J229+J230+J231+J237+J245+J247+J248+J250+J251+J253+J254+J255+J264+J272+J273+J276+J286+J298+J299+J301+J302+J305+J306+J310+J316+J320+J328)-J332)/(J10*1.983)</f>
        <v>1917.6386381012801</v>
      </c>
      <c r="K327" s="96">
        <f>+(K325-(K143+K144+K145+K146+K147+K150+K152+K153+K156+K157+K158+K161+K163+K166++K172+K173+K176+K177+K179+K180+K181+K182+K183+K190+K193+K194+K195+K206+K209+K211+K212+K219+K226+K227+K229+K230+K231+K237+K245+K247+K248+K250+K251+K253+K254+K255+K264+K272+K273+K276+K286+K298+K299+K301+K302+K305+K306+K310+K316+K320+K328)-K332)/(K10*1.983)</f>
        <v>1778.3905129081058</v>
      </c>
      <c r="L327" s="96">
        <f>+(L325-(L143+L144+L145+L146+L147+L150+L152+L153+L156+L157+L158+L161+L163+L166++L172+L173+L176+L177+L179+L180+L181+L182+L183+L190+L193+L194+L195+L206+L209+L211+L212+L219+L226+L227+L229+L230+L231+L237+L245+L247+L248+L250+L251+L253+L254+L255+L264+L272+L273+L276+L286+L298+L299+L301+L302+L305+L306+L310+L316+L320+L328)-L332)/(L10*1.983)</f>
        <v>1651.8742645822826</v>
      </c>
      <c r="M327" s="97"/>
      <c r="N327" s="96">
        <f>+(N325-(N143+N144+N145+N146+N147+N150+N152+N153+N156+N157+N158+N161+N163+N166++N172+N173+N176+N177+N179+N180+N181+N182+N183+N190+N193+N194+N195+N206+N209+N211+N212+N219+N226+N227+N229+N230+N231+N237+N245+N247+N248+N250+N251+N253+N254+N255+N264+N272+N273+N276+N286+N298+N299+N301+N302+N305+N306+N310+N316+N320+N328)-N332)/(N10*1.983)</f>
        <v>1079.2217721601353</v>
      </c>
      <c r="O327" s="96">
        <f>+(O325-(O143+O144+O145+O146+O147+O150+O152+O153+O156+O157+O158+O161+O163+O166++O172+O173+O176+O177+O179+O180+O181+O182+O183+O190+O193+O194+O195+O206+O209+O211+O212+O219+O226+O227+O229+O230+O231+O237+O245+O247+O248+O250+O251+O253+O254+O255+O264+O272+O273+O276+O286+O298+O299+O301+O302+O305+O306+O310+O316+O320+O328)-O332)/(O10*1.983)</f>
        <v>715.90183224071268</v>
      </c>
      <c r="P327" s="96">
        <f>+(P325-(P143+P144+P145+P146+P147+P150+P152+P153+P156+P157+P158+P161+P163+P166++P172+P173+P176+P177+P179+P180+P181+P182+P183+P190+P193+P194+P195+P206+P209+P211+P212+P219+P226+P227+P229+P230+P231+P237+P245+P247+P248+P250+P251+P253+P254+P255+P264+P272+P273+P276+P286+P298+P299+P301+P302+P305+P306+P310+P316+P320+P328)-P332)/(P10*1.983)</f>
        <v>938.23304540204629</v>
      </c>
      <c r="Q327" s="98"/>
      <c r="R327" s="97"/>
    </row>
    <row r="328" spans="1:18" ht="15.75" customHeight="1" x14ac:dyDescent="0.3">
      <c r="A328" s="299" t="s">
        <v>719</v>
      </c>
      <c r="B328" s="1">
        <v>2546</v>
      </c>
      <c r="C328" s="1">
        <v>2287</v>
      </c>
      <c r="D328" s="1">
        <v>1740</v>
      </c>
      <c r="E328" s="2">
        <f>SUM(B328:D328)</f>
        <v>6573</v>
      </c>
      <c r="F328" s="1">
        <v>721</v>
      </c>
      <c r="G328" s="1">
        <v>2677</v>
      </c>
      <c r="H328" s="1">
        <v>2520</v>
      </c>
      <c r="I328" s="2">
        <f>SUM(F328:H328)</f>
        <v>5918</v>
      </c>
      <c r="J328" s="1">
        <v>2560</v>
      </c>
      <c r="K328" s="1">
        <v>2499</v>
      </c>
      <c r="L328" s="1">
        <v>2420</v>
      </c>
      <c r="M328" s="2">
        <f t="shared" ref="M328" si="112">SUM(J328:L328)</f>
        <v>7479</v>
      </c>
      <c r="N328" s="1">
        <v>2907</v>
      </c>
      <c r="O328" s="1">
        <v>2587</v>
      </c>
      <c r="P328" s="1">
        <v>2596</v>
      </c>
      <c r="Q328" s="2">
        <f t="shared" ref="Q328" si="113">SUM(N328:P328)</f>
        <v>8090</v>
      </c>
      <c r="R328" s="2">
        <f t="shared" ref="R328" si="114">+E328+I328+M328+Q328</f>
        <v>28060</v>
      </c>
    </row>
    <row r="329" spans="1:18" ht="15.75" customHeight="1" thickBot="1" x14ac:dyDescent="0.35">
      <c r="A329" s="28"/>
      <c r="B329" s="1"/>
      <c r="C329" s="1"/>
      <c r="D329" s="1"/>
      <c r="E329" s="1"/>
      <c r="F329" s="1"/>
      <c r="G329" s="1"/>
      <c r="H329" s="1"/>
      <c r="I329" s="1"/>
      <c r="J329" s="1"/>
      <c r="K329" s="1"/>
      <c r="L329" s="1"/>
      <c r="M329" s="1"/>
      <c r="N329" s="1"/>
      <c r="O329" s="1"/>
      <c r="P329" s="1"/>
      <c r="Q329" s="1"/>
      <c r="R329" s="2"/>
    </row>
    <row r="330" spans="1:18" ht="16.5" customHeight="1" thickBot="1" x14ac:dyDescent="0.35">
      <c r="A330" s="29" t="s">
        <v>201</v>
      </c>
      <c r="B330" s="30" t="s">
        <v>8</v>
      </c>
      <c r="C330" s="31" t="s">
        <v>9</v>
      </c>
      <c r="D330" s="31" t="s">
        <v>10</v>
      </c>
      <c r="E330" s="32" t="s">
        <v>11</v>
      </c>
      <c r="F330" s="31" t="s">
        <v>12</v>
      </c>
      <c r="G330" s="31" t="s">
        <v>13</v>
      </c>
      <c r="H330" s="31" t="s">
        <v>14</v>
      </c>
      <c r="I330" s="33" t="s">
        <v>15</v>
      </c>
      <c r="J330" s="31" t="s">
        <v>16</v>
      </c>
      <c r="K330" s="31" t="s">
        <v>17</v>
      </c>
      <c r="L330" s="31" t="s">
        <v>18</v>
      </c>
      <c r="M330" s="33" t="s">
        <v>19</v>
      </c>
      <c r="N330" s="31" t="s">
        <v>20</v>
      </c>
      <c r="O330" s="31" t="s">
        <v>21</v>
      </c>
      <c r="P330" s="31" t="s">
        <v>22</v>
      </c>
      <c r="Q330" s="33" t="s">
        <v>23</v>
      </c>
      <c r="R330" s="34" t="s">
        <v>24</v>
      </c>
    </row>
    <row r="331" spans="1:18" ht="16.5" customHeight="1" thickBot="1" x14ac:dyDescent="0.35">
      <c r="A331" s="74"/>
      <c r="B331" s="75"/>
      <c r="C331" s="75"/>
      <c r="D331" s="75"/>
      <c r="E331" s="82"/>
      <c r="F331" s="75"/>
      <c r="G331" s="75"/>
      <c r="H331" s="75"/>
      <c r="I331" s="82"/>
      <c r="J331" s="75"/>
      <c r="K331" s="75"/>
      <c r="L331" s="75"/>
      <c r="M331" s="82"/>
      <c r="N331" s="75"/>
      <c r="O331" s="75"/>
      <c r="P331" s="75"/>
      <c r="Q331" s="82"/>
      <c r="R331" s="100"/>
    </row>
    <row r="332" spans="1:18" ht="15.75" customHeight="1" thickBot="1" x14ac:dyDescent="0.35">
      <c r="A332" s="71" t="s">
        <v>202</v>
      </c>
      <c r="B332" s="1"/>
      <c r="C332" s="1"/>
      <c r="D332" s="1">
        <v>-437</v>
      </c>
      <c r="E332" s="55">
        <f>SUM(B332:D332)</f>
        <v>-437</v>
      </c>
      <c r="F332" s="1">
        <v>-1292</v>
      </c>
      <c r="G332" s="1">
        <v>-16465</v>
      </c>
      <c r="H332" s="1">
        <v>-103469</v>
      </c>
      <c r="I332" s="55">
        <f>SUM(F332:H332)</f>
        <v>-121226</v>
      </c>
      <c r="J332" s="1">
        <v>-80046</v>
      </c>
      <c r="K332" s="1">
        <v>-76446</v>
      </c>
      <c r="L332" s="1">
        <v>-8333</v>
      </c>
      <c r="M332" s="55">
        <f>SUM(J332:L332)</f>
        <v>-164825</v>
      </c>
      <c r="N332" s="1"/>
      <c r="O332" s="1"/>
      <c r="P332" s="1"/>
      <c r="Q332" s="55">
        <f>SUM(N332:P332)</f>
        <v>0</v>
      </c>
      <c r="R332" s="55">
        <f>+E332+I332+M332+Q332</f>
        <v>-286488</v>
      </c>
    </row>
    <row r="333" spans="1:18" ht="16.5" customHeight="1" thickBot="1" x14ac:dyDescent="0.35">
      <c r="A333" s="101"/>
      <c r="B333" s="102"/>
      <c r="C333" s="102"/>
      <c r="D333" s="102"/>
      <c r="E333" s="103"/>
      <c r="F333" s="102"/>
      <c r="G333" s="102"/>
      <c r="H333" s="102"/>
      <c r="I333" s="103"/>
      <c r="J333" s="102"/>
      <c r="K333" s="102"/>
      <c r="L333" s="102"/>
      <c r="M333" s="103"/>
      <c r="N333" s="102"/>
      <c r="O333" s="102"/>
      <c r="P333" s="102"/>
      <c r="Q333" s="103"/>
      <c r="R333" s="104"/>
    </row>
    <row r="334" spans="1:18" ht="15.75" customHeight="1" x14ac:dyDescent="0.3">
      <c r="A334" s="15" t="s">
        <v>32</v>
      </c>
      <c r="B334" s="1">
        <f>B332</f>
        <v>0</v>
      </c>
      <c r="C334" s="1">
        <f>C332</f>
        <v>0</v>
      </c>
      <c r="D334" s="1">
        <f>D332</f>
        <v>-437</v>
      </c>
      <c r="E334" s="55">
        <f>SUM(B334:D334)</f>
        <v>-437</v>
      </c>
      <c r="F334" s="1">
        <f>F332</f>
        <v>-1292</v>
      </c>
      <c r="G334" s="1">
        <f>G332</f>
        <v>-16465</v>
      </c>
      <c r="H334" s="1">
        <f>H332</f>
        <v>-103469</v>
      </c>
      <c r="I334" s="55">
        <f>SUM(F334:H334)</f>
        <v>-121226</v>
      </c>
      <c r="J334" s="1">
        <f>J332</f>
        <v>-80046</v>
      </c>
      <c r="K334" s="1">
        <f>K332</f>
        <v>-76446</v>
      </c>
      <c r="L334" s="1">
        <f>L332</f>
        <v>-8333</v>
      </c>
      <c r="M334" s="55">
        <f>SUM(J334:L334)</f>
        <v>-164825</v>
      </c>
      <c r="N334" s="1">
        <f>N332</f>
        <v>0</v>
      </c>
      <c r="O334" s="1">
        <f>O332</f>
        <v>0</v>
      </c>
      <c r="P334" s="1">
        <f>P332</f>
        <v>0</v>
      </c>
      <c r="Q334" s="55">
        <f>SUM(N334:P334)</f>
        <v>0</v>
      </c>
      <c r="R334" s="105">
        <f>R332</f>
        <v>-286488</v>
      </c>
    </row>
    <row r="335" spans="1:18" ht="16.5" customHeight="1" thickBot="1" x14ac:dyDescent="0.35">
      <c r="A335" s="20" t="s">
        <v>42</v>
      </c>
      <c r="B335" s="21">
        <f>(B334/B10)/1.983</f>
        <v>0</v>
      </c>
      <c r="C335" s="21">
        <f>(C334/C10)/1.983</f>
        <v>0</v>
      </c>
      <c r="D335" s="21">
        <f>(D334/D10)/1.983</f>
        <v>-7.1088119987636853</v>
      </c>
      <c r="E335" s="81"/>
      <c r="F335" s="21">
        <f>(F334/F10)/1.983</f>
        <v>-21.717935787527317</v>
      </c>
      <c r="G335" s="21">
        <f>(G334/G10)/1.983</f>
        <v>-267.84116604037541</v>
      </c>
      <c r="H335" s="21">
        <f>(H334/H10)/1.983</f>
        <v>-1739.26710371491</v>
      </c>
      <c r="I335" s="81"/>
      <c r="J335" s="21">
        <f>(J334/J10)/1.983</f>
        <v>-1302.1326435996291</v>
      </c>
      <c r="K335" s="21">
        <f>(K334/K10)/1.983</f>
        <v>-1243.5703479576398</v>
      </c>
      <c r="L335" s="21">
        <f>(L334/L10)/1.983</f>
        <v>-140.07396201042189</v>
      </c>
      <c r="M335" s="81"/>
      <c r="N335" s="21">
        <f>(N334/N10)/1.983</f>
        <v>0</v>
      </c>
      <c r="O335" s="21">
        <f>(O334/O10)/1.983</f>
        <v>0</v>
      </c>
      <c r="P335" s="21">
        <f>(P334/P10)/1.983</f>
        <v>0</v>
      </c>
      <c r="Q335" s="81"/>
      <c r="R335" s="100" t="s">
        <v>7</v>
      </c>
    </row>
    <row r="336" spans="1:18" ht="15.75" customHeight="1" x14ac:dyDescent="0.3">
      <c r="A336" s="2"/>
      <c r="B336" s="1"/>
      <c r="C336" s="1"/>
      <c r="D336" s="1"/>
      <c r="E336" s="1"/>
      <c r="F336" s="1"/>
      <c r="G336" s="1"/>
      <c r="H336" s="1"/>
      <c r="I336" s="1"/>
      <c r="J336" s="1"/>
      <c r="K336" s="1"/>
      <c r="L336" s="1"/>
      <c r="M336" s="1"/>
      <c r="N336" s="1"/>
      <c r="O336" s="1"/>
      <c r="P336" s="1"/>
      <c r="Q336" s="1"/>
      <c r="R336" s="2"/>
    </row>
    <row r="337" spans="1:20" ht="16.5" customHeight="1" thickBot="1" x14ac:dyDescent="0.35">
      <c r="A337" s="106"/>
      <c r="B337" s="21"/>
      <c r="C337" s="21"/>
      <c r="D337" s="21"/>
      <c r="E337" s="21"/>
      <c r="F337" s="21"/>
      <c r="G337" s="21"/>
      <c r="H337" s="21"/>
      <c r="I337" s="21"/>
      <c r="J337" s="21"/>
      <c r="K337" s="21"/>
      <c r="L337" s="21"/>
      <c r="M337" s="21"/>
      <c r="N337" s="21"/>
      <c r="O337" s="21"/>
      <c r="P337" s="21"/>
      <c r="Q337" s="21"/>
      <c r="R337" s="106"/>
    </row>
    <row r="338" spans="1:20" ht="16.5" customHeight="1" thickBot="1" x14ac:dyDescent="0.35">
      <c r="A338" s="107" t="s">
        <v>203</v>
      </c>
      <c r="B338" s="30" t="s">
        <v>8</v>
      </c>
      <c r="C338" s="31" t="s">
        <v>9</v>
      </c>
      <c r="D338" s="31" t="s">
        <v>10</v>
      </c>
      <c r="E338" s="32" t="s">
        <v>11</v>
      </c>
      <c r="F338" s="31" t="s">
        <v>12</v>
      </c>
      <c r="G338" s="31" t="s">
        <v>13</v>
      </c>
      <c r="H338" s="31" t="s">
        <v>14</v>
      </c>
      <c r="I338" s="33" t="s">
        <v>15</v>
      </c>
      <c r="J338" s="31" t="s">
        <v>16</v>
      </c>
      <c r="K338" s="31" t="s">
        <v>17</v>
      </c>
      <c r="L338" s="31" t="s">
        <v>18</v>
      </c>
      <c r="M338" s="33" t="s">
        <v>19</v>
      </c>
      <c r="N338" s="31" t="s">
        <v>20</v>
      </c>
      <c r="O338" s="31" t="s">
        <v>21</v>
      </c>
      <c r="P338" s="31" t="s">
        <v>22</v>
      </c>
      <c r="Q338" s="33" t="s">
        <v>23</v>
      </c>
      <c r="R338" s="34" t="s">
        <v>24</v>
      </c>
    </row>
    <row r="339" spans="1:20" ht="16.5" customHeight="1" thickBot="1" x14ac:dyDescent="0.35">
      <c r="A339" s="59"/>
      <c r="B339" s="75"/>
      <c r="C339" s="75"/>
      <c r="D339" s="75"/>
      <c r="E339" s="69"/>
      <c r="F339" s="75"/>
      <c r="G339" s="75"/>
      <c r="H339" s="75"/>
      <c r="I339" s="82"/>
      <c r="J339" s="75"/>
      <c r="K339" s="75"/>
      <c r="L339" s="75"/>
      <c r="M339" s="82"/>
      <c r="N339" s="75"/>
      <c r="O339" s="75"/>
      <c r="P339" s="75"/>
      <c r="Q339" s="82"/>
      <c r="R339" s="105"/>
    </row>
    <row r="340" spans="1:20" ht="15.75" customHeight="1" x14ac:dyDescent="0.3">
      <c r="A340" s="15" t="s">
        <v>48</v>
      </c>
      <c r="B340" s="1"/>
      <c r="C340" s="1"/>
      <c r="D340" s="1"/>
      <c r="E340" s="55" t="s">
        <v>7</v>
      </c>
      <c r="F340" s="1" t="s">
        <v>7</v>
      </c>
      <c r="G340" s="1" t="s">
        <v>7</v>
      </c>
      <c r="H340" s="1" t="s">
        <v>7</v>
      </c>
      <c r="I340" s="55" t="s">
        <v>7</v>
      </c>
      <c r="J340" s="1" t="s">
        <v>7</v>
      </c>
      <c r="K340" s="1" t="s">
        <v>7</v>
      </c>
      <c r="L340" s="1" t="s">
        <v>7</v>
      </c>
      <c r="M340" s="55" t="s">
        <v>7</v>
      </c>
      <c r="N340" s="1" t="s">
        <v>7</v>
      </c>
      <c r="O340" s="1" t="s">
        <v>7</v>
      </c>
      <c r="P340" s="1" t="s">
        <v>7</v>
      </c>
      <c r="Q340" s="55" t="s">
        <v>7</v>
      </c>
      <c r="R340" s="60" t="s">
        <v>7</v>
      </c>
    </row>
    <row r="341" spans="1:20" ht="15.75" customHeight="1" x14ac:dyDescent="0.3">
      <c r="A341" s="15" t="s">
        <v>49</v>
      </c>
      <c r="B341" s="1"/>
      <c r="C341" s="1"/>
      <c r="D341" s="1"/>
      <c r="E341" s="55" t="s">
        <v>7</v>
      </c>
      <c r="F341" s="1"/>
      <c r="G341" s="1"/>
      <c r="H341" s="1"/>
      <c r="I341" s="55" t="s">
        <v>7</v>
      </c>
      <c r="J341" s="1"/>
      <c r="K341" s="1"/>
      <c r="L341" s="1"/>
      <c r="M341" s="55" t="s">
        <v>7</v>
      </c>
      <c r="N341" s="1"/>
      <c r="O341" s="1"/>
      <c r="P341" s="1"/>
      <c r="Q341" s="55" t="s">
        <v>7</v>
      </c>
      <c r="R341" s="55" t="s">
        <v>7</v>
      </c>
    </row>
    <row r="342" spans="1:20" ht="15.75" customHeight="1" x14ac:dyDescent="0.3">
      <c r="A342" s="72" t="s">
        <v>906</v>
      </c>
      <c r="B342" s="1"/>
      <c r="C342" s="1"/>
      <c r="D342" s="1"/>
      <c r="E342" s="55">
        <f t="shared" ref="E342:E374" si="115">SUM(B342:D342)</f>
        <v>0</v>
      </c>
      <c r="F342" s="1"/>
      <c r="G342" s="1"/>
      <c r="H342" s="1"/>
      <c r="I342" s="55">
        <f t="shared" ref="I342:I374" si="116">SUM(F342:H342)</f>
        <v>0</v>
      </c>
      <c r="J342" s="1"/>
      <c r="K342" s="1">
        <f>120-117+1+2</f>
        <v>6</v>
      </c>
      <c r="L342" s="1">
        <f>1+124</f>
        <v>125</v>
      </c>
      <c r="M342" s="55">
        <f t="shared" ref="M342:M374" si="117">SUM(J342:L342)</f>
        <v>131</v>
      </c>
      <c r="N342" s="1">
        <f>145+2</f>
        <v>147</v>
      </c>
      <c r="O342" s="1">
        <f>141+101</f>
        <v>242</v>
      </c>
      <c r="P342" s="1">
        <f>123+1+129</f>
        <v>253</v>
      </c>
      <c r="Q342" s="55">
        <f t="shared" ref="Q342:Q377" si="118">SUM(N342:P342)</f>
        <v>642</v>
      </c>
      <c r="R342" s="55">
        <f t="shared" ref="R342:R377" si="119">+E342+I342+M342+Q342</f>
        <v>773</v>
      </c>
      <c r="T342" s="4" t="s">
        <v>907</v>
      </c>
    </row>
    <row r="343" spans="1:20" ht="15.75" customHeight="1" x14ac:dyDescent="0.3">
      <c r="A343" s="72" t="s">
        <v>1395</v>
      </c>
      <c r="B343" s="1"/>
      <c r="C343" s="1"/>
      <c r="D343" s="1"/>
      <c r="E343" s="55">
        <f t="shared" si="115"/>
        <v>0</v>
      </c>
      <c r="F343" s="1"/>
      <c r="G343" s="1"/>
      <c r="H343" s="1"/>
      <c r="I343" s="55">
        <f t="shared" si="116"/>
        <v>0</v>
      </c>
      <c r="J343" s="1"/>
      <c r="K343" s="1"/>
      <c r="L343" s="1">
        <v>400</v>
      </c>
      <c r="M343" s="55">
        <f t="shared" si="117"/>
        <v>400</v>
      </c>
      <c r="N343" s="1"/>
      <c r="O343" s="1"/>
      <c r="P343" s="1"/>
      <c r="Q343" s="55">
        <f t="shared" ref="Q343" si="120">SUM(N343:P343)</f>
        <v>0</v>
      </c>
      <c r="R343" s="55">
        <f t="shared" si="119"/>
        <v>400</v>
      </c>
    </row>
    <row r="344" spans="1:20" ht="15.75" customHeight="1" x14ac:dyDescent="0.3">
      <c r="A344" s="72" t="s">
        <v>908</v>
      </c>
      <c r="B344" s="1"/>
      <c r="C344" s="1"/>
      <c r="D344" s="1"/>
      <c r="E344" s="55">
        <f t="shared" si="115"/>
        <v>0</v>
      </c>
      <c r="F344" s="1"/>
      <c r="G344" s="1"/>
      <c r="H344" s="1"/>
      <c r="I344" s="55">
        <f t="shared" si="116"/>
        <v>0</v>
      </c>
      <c r="J344" s="1"/>
      <c r="K344" s="1"/>
      <c r="L344" s="1">
        <v>600</v>
      </c>
      <c r="M344" s="55">
        <f t="shared" si="117"/>
        <v>600</v>
      </c>
      <c r="N344" s="1"/>
      <c r="O344" s="1"/>
      <c r="P344" s="1"/>
      <c r="Q344" s="55">
        <f t="shared" si="118"/>
        <v>0</v>
      </c>
      <c r="R344" s="55">
        <f t="shared" si="119"/>
        <v>600</v>
      </c>
    </row>
    <row r="345" spans="1:20" ht="15.75" customHeight="1" x14ac:dyDescent="0.3">
      <c r="A345" s="72" t="s">
        <v>208</v>
      </c>
      <c r="B345" s="1">
        <v>80</v>
      </c>
      <c r="C345" s="1">
        <v>122</v>
      </c>
      <c r="D345" s="1">
        <v>264</v>
      </c>
      <c r="E345" s="55">
        <f t="shared" si="115"/>
        <v>466</v>
      </c>
      <c r="F345" s="1">
        <v>163</v>
      </c>
      <c r="G345" s="1">
        <v>290</v>
      </c>
      <c r="H345" s="1">
        <v>228</v>
      </c>
      <c r="I345" s="55">
        <f t="shared" si="116"/>
        <v>681</v>
      </c>
      <c r="J345" s="1">
        <v>338</v>
      </c>
      <c r="K345" s="1">
        <v>267</v>
      </c>
      <c r="L345" s="1">
        <v>315</v>
      </c>
      <c r="M345" s="55">
        <f t="shared" si="117"/>
        <v>920</v>
      </c>
      <c r="N345" s="1">
        <v>321</v>
      </c>
      <c r="O345" s="1">
        <v>87</v>
      </c>
      <c r="P345" s="1">
        <v>65</v>
      </c>
      <c r="Q345" s="55">
        <f t="shared" si="118"/>
        <v>473</v>
      </c>
      <c r="R345" s="55">
        <f t="shared" si="119"/>
        <v>2540</v>
      </c>
      <c r="T345" s="4" t="s">
        <v>209</v>
      </c>
    </row>
    <row r="346" spans="1:20" ht="15.75" customHeight="1" x14ac:dyDescent="0.3">
      <c r="A346" s="72" t="s">
        <v>1296</v>
      </c>
      <c r="B346" s="1"/>
      <c r="C346" s="1">
        <v>89</v>
      </c>
      <c r="D346" s="1">
        <v>83</v>
      </c>
      <c r="E346" s="55">
        <f>SUM(B346:D346)</f>
        <v>172</v>
      </c>
      <c r="F346" s="1">
        <v>86</v>
      </c>
      <c r="G346" s="1">
        <v>40</v>
      </c>
      <c r="H346" s="1"/>
      <c r="I346" s="55">
        <f t="shared" ref="I346" si="121">SUM(F346:H346)</f>
        <v>126</v>
      </c>
      <c r="J346" s="1"/>
      <c r="K346" s="1"/>
      <c r="L346" s="1">
        <v>37</v>
      </c>
      <c r="M346" s="55">
        <f t="shared" ref="M346" si="122">SUM(J346:L346)</f>
        <v>37</v>
      </c>
      <c r="N346" s="1">
        <v>15</v>
      </c>
      <c r="O346" s="1"/>
      <c r="P346" s="1"/>
      <c r="Q346" s="55">
        <f t="shared" ref="Q346" si="123">SUM(N346:P346)</f>
        <v>15</v>
      </c>
      <c r="R346" s="55">
        <f t="shared" si="119"/>
        <v>350</v>
      </c>
      <c r="T346" s="4" t="s">
        <v>910</v>
      </c>
    </row>
    <row r="347" spans="1:20" ht="15.75" customHeight="1" x14ac:dyDescent="0.3">
      <c r="A347" s="72" t="s">
        <v>909</v>
      </c>
      <c r="B347" s="1"/>
      <c r="C347" s="1"/>
      <c r="D347" s="1"/>
      <c r="E347" s="55">
        <f t="shared" si="115"/>
        <v>0</v>
      </c>
      <c r="F347" s="1"/>
      <c r="G347" s="1"/>
      <c r="H347" s="1"/>
      <c r="I347" s="55">
        <f t="shared" si="116"/>
        <v>0</v>
      </c>
      <c r="J347" s="1">
        <v>384</v>
      </c>
      <c r="K347" s="1">
        <v>416</v>
      </c>
      <c r="L347" s="1"/>
      <c r="M347" s="55">
        <f t="shared" si="117"/>
        <v>800</v>
      </c>
      <c r="N347" s="1"/>
      <c r="O347" s="1"/>
      <c r="P347" s="1"/>
      <c r="Q347" s="55">
        <f t="shared" si="118"/>
        <v>0</v>
      </c>
      <c r="R347" s="55">
        <f t="shared" si="119"/>
        <v>800</v>
      </c>
      <c r="T347" s="4" t="s">
        <v>910</v>
      </c>
    </row>
    <row r="348" spans="1:20" ht="15.75" customHeight="1" x14ac:dyDescent="0.3">
      <c r="A348" s="72" t="s">
        <v>911</v>
      </c>
      <c r="C348" s="1"/>
      <c r="D348" s="1"/>
      <c r="E348" s="55">
        <f>SUM(B348:D348)</f>
        <v>0</v>
      </c>
      <c r="F348" s="1"/>
      <c r="G348" s="1"/>
      <c r="H348" s="1"/>
      <c r="I348" s="55">
        <f>SUM(F348:H348)</f>
        <v>0</v>
      </c>
      <c r="J348" s="1">
        <v>2467</v>
      </c>
      <c r="K348" s="1"/>
      <c r="L348" s="1"/>
      <c r="M348" s="55">
        <f t="shared" ref="M348:M355" si="124">SUM(J348:L348)</f>
        <v>2467</v>
      </c>
      <c r="N348" s="1"/>
      <c r="O348" s="1"/>
      <c r="P348" s="1"/>
      <c r="Q348" s="55">
        <f t="shared" ref="Q348:Q353" si="125">SUM(N348:P348)</f>
        <v>0</v>
      </c>
      <c r="R348" s="55">
        <f t="shared" si="119"/>
        <v>2467</v>
      </c>
      <c r="T348" s="4" t="s">
        <v>209</v>
      </c>
    </row>
    <row r="349" spans="1:20" ht="15.75" customHeight="1" x14ac:dyDescent="0.3">
      <c r="A349" s="72" t="s">
        <v>912</v>
      </c>
      <c r="B349" s="1"/>
      <c r="C349" s="1"/>
      <c r="D349" s="1"/>
      <c r="E349" s="55">
        <f t="shared" ref="E349:E355" si="126">SUM(B349:D349)</f>
        <v>0</v>
      </c>
      <c r="F349" s="1"/>
      <c r="G349" s="1"/>
      <c r="H349" s="1"/>
      <c r="I349" s="55">
        <f t="shared" ref="I349:I355" si="127">SUM(F349:H349)</f>
        <v>0</v>
      </c>
      <c r="J349" s="1">
        <v>384</v>
      </c>
      <c r="K349" s="1">
        <v>1466</v>
      </c>
      <c r="L349" s="1"/>
      <c r="M349" s="55">
        <f t="shared" si="124"/>
        <v>1850</v>
      </c>
      <c r="N349" s="1"/>
      <c r="O349" s="1"/>
      <c r="P349" s="1"/>
      <c r="Q349" s="55">
        <f t="shared" si="125"/>
        <v>0</v>
      </c>
      <c r="R349" s="55">
        <f t="shared" si="119"/>
        <v>1850</v>
      </c>
      <c r="T349" s="4" t="s">
        <v>910</v>
      </c>
    </row>
    <row r="350" spans="1:20" ht="15.75" customHeight="1" x14ac:dyDescent="0.3">
      <c r="A350" s="72" t="s">
        <v>1397</v>
      </c>
      <c r="B350" s="1"/>
      <c r="C350" s="1"/>
      <c r="D350" s="1"/>
      <c r="E350" s="55">
        <f t="shared" si="126"/>
        <v>0</v>
      </c>
      <c r="F350" s="1"/>
      <c r="G350" s="1"/>
      <c r="H350" s="1"/>
      <c r="I350" s="55">
        <f t="shared" si="127"/>
        <v>0</v>
      </c>
      <c r="J350" s="1"/>
      <c r="K350" s="1"/>
      <c r="L350" s="1"/>
      <c r="M350" s="55">
        <f t="shared" si="124"/>
        <v>0</v>
      </c>
      <c r="N350" s="1">
        <v>74</v>
      </c>
      <c r="O350" s="1">
        <v>74</v>
      </c>
      <c r="P350" s="1"/>
      <c r="Q350" s="55">
        <f t="shared" si="125"/>
        <v>148</v>
      </c>
      <c r="R350" s="55">
        <f t="shared" si="119"/>
        <v>148</v>
      </c>
    </row>
    <row r="351" spans="1:20" ht="15.75" customHeight="1" x14ac:dyDescent="0.3">
      <c r="A351" s="72" t="s">
        <v>913</v>
      </c>
      <c r="B351" s="1">
        <f>18+89</f>
        <v>107</v>
      </c>
      <c r="C351" s="1">
        <f>33+134</f>
        <v>167</v>
      </c>
      <c r="D351" s="1">
        <f>23+167</f>
        <v>190</v>
      </c>
      <c r="E351" s="55">
        <f t="shared" si="126"/>
        <v>464</v>
      </c>
      <c r="F351" s="1">
        <f>230+32</f>
        <v>262</v>
      </c>
      <c r="G351" s="1">
        <f>373+70</f>
        <v>443</v>
      </c>
      <c r="H351" s="1">
        <f>292+37</f>
        <v>329</v>
      </c>
      <c r="I351" s="55">
        <f t="shared" si="127"/>
        <v>1034</v>
      </c>
      <c r="J351" s="1">
        <f>292+31</f>
        <v>323</v>
      </c>
      <c r="K351" s="1">
        <f>142+35</f>
        <v>177</v>
      </c>
      <c r="L351" s="1">
        <f>25+161</f>
        <v>186</v>
      </c>
      <c r="M351" s="55">
        <f t="shared" si="124"/>
        <v>686</v>
      </c>
      <c r="N351" s="1">
        <f>306+51</f>
        <v>357</v>
      </c>
      <c r="O351" s="1">
        <f>197+38</f>
        <v>235</v>
      </c>
      <c r="P351" s="1">
        <f>64+14</f>
        <v>78</v>
      </c>
      <c r="Q351" s="55">
        <f t="shared" si="125"/>
        <v>670</v>
      </c>
      <c r="R351" s="55">
        <f>+E351+I351+M351+Q351</f>
        <v>2854</v>
      </c>
      <c r="T351" s="4" t="s">
        <v>914</v>
      </c>
    </row>
    <row r="352" spans="1:20" ht="15.75" customHeight="1" x14ac:dyDescent="0.3">
      <c r="A352" s="72" t="s">
        <v>1440</v>
      </c>
      <c r="B352" s="1">
        <v>1600</v>
      </c>
      <c r="C352" s="1"/>
      <c r="D352" s="1"/>
      <c r="E352" s="55">
        <f t="shared" si="126"/>
        <v>1600</v>
      </c>
      <c r="F352" s="1"/>
      <c r="G352" s="1"/>
      <c r="H352" s="1"/>
      <c r="I352" s="55">
        <f t="shared" si="127"/>
        <v>0</v>
      </c>
      <c r="J352" s="1"/>
      <c r="K352" s="1"/>
      <c r="L352" s="1"/>
      <c r="M352" s="55">
        <f t="shared" si="124"/>
        <v>0</v>
      </c>
      <c r="N352" s="1"/>
      <c r="O352" s="1"/>
      <c r="P352" s="1"/>
      <c r="Q352" s="55">
        <f t="shared" si="125"/>
        <v>0</v>
      </c>
      <c r="R352" s="55">
        <f>+E352+I352+M352+Q352</f>
        <v>1600</v>
      </c>
      <c r="T352" s="4" t="s">
        <v>241</v>
      </c>
    </row>
    <row r="353" spans="1:20" ht="15.75" customHeight="1" x14ac:dyDescent="0.3">
      <c r="A353" s="72" t="s">
        <v>915</v>
      </c>
      <c r="B353" s="1"/>
      <c r="C353" s="1"/>
      <c r="D353" s="1"/>
      <c r="E353" s="55">
        <f t="shared" si="126"/>
        <v>0</v>
      </c>
      <c r="F353" s="1"/>
      <c r="G353" s="1"/>
      <c r="H353" s="1"/>
      <c r="I353" s="55">
        <f t="shared" si="127"/>
        <v>0</v>
      </c>
      <c r="J353" s="1"/>
      <c r="K353" s="1"/>
      <c r="L353" s="1"/>
      <c r="M353" s="55">
        <f t="shared" si="124"/>
        <v>0</v>
      </c>
      <c r="N353" s="1">
        <v>1604</v>
      </c>
      <c r="O353" s="1"/>
      <c r="P353" s="1"/>
      <c r="Q353" s="55">
        <f t="shared" si="125"/>
        <v>1604</v>
      </c>
      <c r="R353" s="55">
        <f>+E353+I353+M353+Q353</f>
        <v>1604</v>
      </c>
      <c r="T353" s="4" t="s">
        <v>224</v>
      </c>
    </row>
    <row r="354" spans="1:20" ht="15.75" customHeight="1" x14ac:dyDescent="0.3">
      <c r="A354" s="72" t="s">
        <v>1207</v>
      </c>
      <c r="B354" s="1"/>
      <c r="C354" s="1"/>
      <c r="D354" s="1"/>
      <c r="E354" s="55">
        <f t="shared" si="126"/>
        <v>0</v>
      </c>
      <c r="F354" s="1"/>
      <c r="G354" s="1"/>
      <c r="H354" s="1"/>
      <c r="I354" s="55">
        <f t="shared" si="127"/>
        <v>0</v>
      </c>
      <c r="J354" s="1"/>
      <c r="K354" s="1"/>
      <c r="L354" s="1"/>
      <c r="M354" s="55">
        <f t="shared" si="124"/>
        <v>0</v>
      </c>
      <c r="N354" s="1"/>
      <c r="O354" s="1"/>
      <c r="P354" s="1"/>
      <c r="Q354" s="55">
        <f t="shared" ref="Q354" si="128">SUM(N354:P354)</f>
        <v>0</v>
      </c>
      <c r="R354" s="55">
        <f>+E354+I354+M354+Q354</f>
        <v>0</v>
      </c>
    </row>
    <row r="355" spans="1:20" ht="15.75" customHeight="1" x14ac:dyDescent="0.3">
      <c r="A355" s="72" t="s">
        <v>1297</v>
      </c>
      <c r="B355" s="1">
        <v>325</v>
      </c>
      <c r="C355" s="1"/>
      <c r="D355" s="1"/>
      <c r="E355" s="55">
        <f t="shared" si="126"/>
        <v>325</v>
      </c>
      <c r="F355" s="1"/>
      <c r="G355" s="1"/>
      <c r="H355" s="1"/>
      <c r="I355" s="55">
        <f t="shared" si="127"/>
        <v>0</v>
      </c>
      <c r="J355" s="1"/>
      <c r="K355" s="1"/>
      <c r="L355" s="1"/>
      <c r="M355" s="55">
        <f t="shared" si="124"/>
        <v>0</v>
      </c>
      <c r="N355" s="1"/>
      <c r="O355" s="1"/>
      <c r="P355" s="1"/>
      <c r="Q355" s="55">
        <f>SUM(N355:P355)</f>
        <v>0</v>
      </c>
      <c r="R355" s="55">
        <f>+E355+I355+M355+Q355</f>
        <v>325</v>
      </c>
      <c r="S355" s="477" t="s">
        <v>1257</v>
      </c>
    </row>
    <row r="356" spans="1:20" ht="15.75" customHeight="1" x14ac:dyDescent="0.3">
      <c r="A356" s="72" t="s">
        <v>1208</v>
      </c>
      <c r="B356" s="1"/>
      <c r="C356" s="1"/>
      <c r="D356" s="1"/>
      <c r="E356" s="55">
        <f>SUM(B356:D356)</f>
        <v>0</v>
      </c>
      <c r="F356" s="1"/>
      <c r="G356" s="1"/>
      <c r="H356" s="1">
        <v>278</v>
      </c>
      <c r="I356" s="55">
        <f t="shared" ref="I356:I357" si="129">SUM(F356:H356)</f>
        <v>278</v>
      </c>
      <c r="J356" s="1">
        <v>1200</v>
      </c>
      <c r="K356" s="1">
        <v>1000</v>
      </c>
      <c r="L356" s="1">
        <v>600</v>
      </c>
      <c r="M356" s="55">
        <f t="shared" ref="M356:M357" si="130">SUM(J356:L356)</f>
        <v>2800</v>
      </c>
      <c r="N356" s="1"/>
      <c r="O356" s="1"/>
      <c r="P356" s="1"/>
      <c r="Q356" s="55">
        <f t="shared" ref="Q356:Q357" si="131">SUM(N356:P356)</f>
        <v>0</v>
      </c>
      <c r="R356" s="55">
        <f t="shared" ref="R356:R357" si="132">+E356+I356+M356+Q356</f>
        <v>3078</v>
      </c>
    </row>
    <row r="357" spans="1:20" ht="15.75" customHeight="1" x14ac:dyDescent="0.3">
      <c r="A357" s="72" t="s">
        <v>917</v>
      </c>
      <c r="B357" s="1"/>
      <c r="C357" s="1"/>
      <c r="D357" s="1"/>
      <c r="E357" s="55">
        <f>SUM(B357:D357)</f>
        <v>0</v>
      </c>
      <c r="F357" s="1"/>
      <c r="G357" s="1"/>
      <c r="H357" s="1"/>
      <c r="I357" s="55">
        <f t="shared" si="129"/>
        <v>0</v>
      </c>
      <c r="J357" s="1"/>
      <c r="K357" s="1"/>
      <c r="L357" s="1"/>
      <c r="M357" s="55">
        <f t="shared" si="130"/>
        <v>0</v>
      </c>
      <c r="N357" s="1"/>
      <c r="O357" s="1"/>
      <c r="P357" s="1"/>
      <c r="Q357" s="55">
        <f t="shared" si="131"/>
        <v>0</v>
      </c>
      <c r="R357" s="55">
        <f t="shared" si="132"/>
        <v>0</v>
      </c>
      <c r="T357" s="4" t="s">
        <v>241</v>
      </c>
    </row>
    <row r="358" spans="1:20" ht="15.75" customHeight="1" x14ac:dyDescent="0.3">
      <c r="A358" s="72" t="s">
        <v>918</v>
      </c>
      <c r="B358" s="1"/>
      <c r="C358" s="1"/>
      <c r="D358" s="1"/>
      <c r="E358" s="55">
        <f t="shared" ref="E358" si="133">SUM(B358:D358)</f>
        <v>0</v>
      </c>
      <c r="F358" s="1"/>
      <c r="G358" s="1"/>
      <c r="H358" s="1"/>
      <c r="I358" s="55">
        <f t="shared" ref="I358" si="134">SUM(F358:H358)</f>
        <v>0</v>
      </c>
      <c r="J358" s="1"/>
      <c r="K358" s="1"/>
      <c r="L358" s="1">
        <v>745</v>
      </c>
      <c r="M358" s="55">
        <f t="shared" ref="M358:M360" si="135">SUM(J358:L358)</f>
        <v>745</v>
      </c>
      <c r="N358" s="1">
        <v>1628</v>
      </c>
      <c r="O358" s="1">
        <v>1251</v>
      </c>
      <c r="P358" s="1">
        <v>1270</v>
      </c>
      <c r="Q358" s="55">
        <f t="shared" si="118"/>
        <v>4149</v>
      </c>
      <c r="R358" s="55">
        <f t="shared" si="119"/>
        <v>4894</v>
      </c>
      <c r="T358" s="4" t="s">
        <v>919</v>
      </c>
    </row>
    <row r="359" spans="1:20" ht="15.75" customHeight="1" x14ac:dyDescent="0.3">
      <c r="A359" s="72" t="s">
        <v>211</v>
      </c>
      <c r="B359" s="1"/>
      <c r="C359" s="1"/>
      <c r="D359" s="1"/>
      <c r="E359" s="55">
        <f>SUM(B359:D359)</f>
        <v>0</v>
      </c>
      <c r="F359" s="1"/>
      <c r="G359" s="1"/>
      <c r="H359" s="1"/>
      <c r="I359" s="55">
        <f>SUM(F359:H359)</f>
        <v>0</v>
      </c>
      <c r="J359" s="1"/>
      <c r="K359" s="1"/>
      <c r="L359" s="1"/>
      <c r="M359" s="55">
        <f>SUM(J359:L359)</f>
        <v>0</v>
      </c>
      <c r="N359" s="1"/>
      <c r="O359" s="1"/>
      <c r="P359" s="1"/>
      <c r="Q359" s="55">
        <f t="shared" ref="Q359" si="136">SUM(N359:P359)</f>
        <v>0</v>
      </c>
      <c r="R359" s="55">
        <f t="shared" si="119"/>
        <v>0</v>
      </c>
    </row>
    <row r="360" spans="1:20" ht="15.75" customHeight="1" x14ac:dyDescent="0.3">
      <c r="A360" s="72" t="s">
        <v>1357</v>
      </c>
      <c r="B360" s="1">
        <v>200</v>
      </c>
      <c r="C360" s="1">
        <v>200</v>
      </c>
      <c r="D360" s="1">
        <v>200</v>
      </c>
      <c r="E360" s="55">
        <f>SUM(B360:D360)</f>
        <v>600</v>
      </c>
      <c r="F360" s="1">
        <v>200</v>
      </c>
      <c r="G360" s="1">
        <v>200</v>
      </c>
      <c r="H360" s="1">
        <v>200</v>
      </c>
      <c r="I360" s="55">
        <f>SUM(F360:H360)</f>
        <v>600</v>
      </c>
      <c r="J360" s="1">
        <v>200</v>
      </c>
      <c r="K360" s="1">
        <v>200</v>
      </c>
      <c r="L360" s="1">
        <v>200</v>
      </c>
      <c r="M360" s="55">
        <f t="shared" si="135"/>
        <v>600</v>
      </c>
      <c r="N360" s="1">
        <v>200</v>
      </c>
      <c r="O360" s="1">
        <v>70</v>
      </c>
      <c r="P360" s="1"/>
      <c r="Q360" s="55">
        <f t="shared" si="118"/>
        <v>270</v>
      </c>
      <c r="R360" s="55">
        <f t="shared" si="119"/>
        <v>2070</v>
      </c>
    </row>
    <row r="361" spans="1:20" ht="15.75" customHeight="1" x14ac:dyDescent="0.3">
      <c r="A361" s="72" t="s">
        <v>921</v>
      </c>
      <c r="B361" s="1"/>
      <c r="C361" s="1"/>
      <c r="D361" s="1"/>
      <c r="E361" s="55">
        <f t="shared" si="115"/>
        <v>0</v>
      </c>
      <c r="F361" s="1"/>
      <c r="G361" s="1"/>
      <c r="H361" s="1"/>
      <c r="I361" s="55">
        <f t="shared" si="116"/>
        <v>0</v>
      </c>
      <c r="J361" s="1"/>
      <c r="K361" s="1"/>
      <c r="L361" s="1"/>
      <c r="M361" s="55">
        <f t="shared" si="117"/>
        <v>0</v>
      </c>
      <c r="N361" s="1"/>
      <c r="O361" s="1"/>
      <c r="P361" s="1"/>
      <c r="Q361" s="55">
        <f t="shared" si="118"/>
        <v>0</v>
      </c>
      <c r="R361" s="55">
        <f t="shared" si="119"/>
        <v>0</v>
      </c>
      <c r="T361" s="4" t="s">
        <v>209</v>
      </c>
    </row>
    <row r="362" spans="1:20" ht="15.75" customHeight="1" x14ac:dyDescent="0.3">
      <c r="A362" s="72" t="s">
        <v>1209</v>
      </c>
      <c r="B362" s="1">
        <v>494</v>
      </c>
      <c r="C362" s="1">
        <v>1708</v>
      </c>
      <c r="D362" s="1">
        <v>704</v>
      </c>
      <c r="E362" s="55">
        <f t="shared" si="115"/>
        <v>2906</v>
      </c>
      <c r="F362" s="1"/>
      <c r="G362" s="1"/>
      <c r="H362" s="1"/>
      <c r="I362" s="55">
        <f t="shared" si="116"/>
        <v>0</v>
      </c>
      <c r="J362" s="1"/>
      <c r="K362" s="1"/>
      <c r="L362" s="1"/>
      <c r="M362" s="55">
        <f t="shared" si="117"/>
        <v>0</v>
      </c>
      <c r="N362" s="1"/>
      <c r="O362" s="1"/>
      <c r="P362" s="1"/>
      <c r="Q362" s="55">
        <f t="shared" si="118"/>
        <v>0</v>
      </c>
      <c r="R362" s="55">
        <f t="shared" si="119"/>
        <v>2906</v>
      </c>
    </row>
    <row r="363" spans="1:20" ht="15.75" customHeight="1" x14ac:dyDescent="0.3">
      <c r="A363" s="72" t="s">
        <v>922</v>
      </c>
      <c r="B363" s="1"/>
      <c r="C363" s="1"/>
      <c r="D363" s="1"/>
      <c r="E363" s="55">
        <f>SUM(B363:D363)</f>
        <v>0</v>
      </c>
      <c r="F363" s="1"/>
      <c r="G363" s="1"/>
      <c r="H363" s="1"/>
      <c r="I363" s="55">
        <f>SUM(F363:H363)</f>
        <v>0</v>
      </c>
      <c r="J363" s="1"/>
      <c r="K363" s="1"/>
      <c r="L363" s="1"/>
      <c r="M363" s="55">
        <f t="shared" si="117"/>
        <v>0</v>
      </c>
      <c r="N363" s="1"/>
      <c r="O363" s="1"/>
      <c r="P363" s="1"/>
      <c r="Q363" s="55">
        <f>SUM(N363:P363)</f>
        <v>0</v>
      </c>
      <c r="R363" s="55">
        <f t="shared" si="119"/>
        <v>0</v>
      </c>
      <c r="T363" s="4" t="s">
        <v>241</v>
      </c>
    </row>
    <row r="364" spans="1:20" ht="15.75" customHeight="1" x14ac:dyDescent="0.3">
      <c r="A364" s="72" t="s">
        <v>118</v>
      </c>
      <c r="B364" s="1"/>
      <c r="C364" s="1"/>
      <c r="D364" s="1"/>
      <c r="E364" s="55">
        <f t="shared" ref="E364" si="137">SUM(B364:D364)</f>
        <v>0</v>
      </c>
      <c r="F364" s="1"/>
      <c r="G364" s="1"/>
      <c r="H364" s="1"/>
      <c r="I364" s="55">
        <f t="shared" ref="I364" si="138">SUM(F364:H364)</f>
        <v>0</v>
      </c>
      <c r="J364" s="1">
        <v>1006</v>
      </c>
      <c r="K364" s="1">
        <v>2073</v>
      </c>
      <c r="L364" s="1">
        <v>1908</v>
      </c>
      <c r="M364" s="55">
        <f t="shared" si="117"/>
        <v>4987</v>
      </c>
      <c r="N364" s="1">
        <v>1968</v>
      </c>
      <c r="O364" s="1">
        <v>280</v>
      </c>
      <c r="P364" s="1"/>
      <c r="Q364" s="55">
        <f t="shared" si="118"/>
        <v>2248</v>
      </c>
      <c r="R364" s="55">
        <f t="shared" si="119"/>
        <v>7235</v>
      </c>
      <c r="T364" s="4" t="s">
        <v>919</v>
      </c>
    </row>
    <row r="365" spans="1:20" ht="15.75" customHeight="1" x14ac:dyDescent="0.3">
      <c r="A365" s="72" t="s">
        <v>923</v>
      </c>
      <c r="B365" s="1"/>
      <c r="C365" s="1"/>
      <c r="D365" s="1"/>
      <c r="E365" s="55">
        <f>SUM(B365:D365)</f>
        <v>0</v>
      </c>
      <c r="F365" s="1"/>
      <c r="G365" s="1"/>
      <c r="H365" s="1"/>
      <c r="I365" s="55">
        <f>SUM(F365:H365)</f>
        <v>0</v>
      </c>
      <c r="J365" s="1"/>
      <c r="K365" s="1"/>
      <c r="L365" s="1"/>
      <c r="M365" s="55">
        <f>SUM(J365:L365)</f>
        <v>0</v>
      </c>
      <c r="N365" s="1"/>
      <c r="O365" s="1"/>
      <c r="P365" s="1"/>
      <c r="Q365" s="55">
        <f>SUM(N365:P365)</f>
        <v>0</v>
      </c>
      <c r="R365" s="55">
        <f t="shared" si="119"/>
        <v>0</v>
      </c>
      <c r="T365" s="4" t="s">
        <v>241</v>
      </c>
    </row>
    <row r="366" spans="1:20" ht="15.75" customHeight="1" x14ac:dyDescent="0.3">
      <c r="A366" s="72" t="s">
        <v>924</v>
      </c>
      <c r="B366" s="1"/>
      <c r="C366" s="1"/>
      <c r="D366" s="1"/>
      <c r="E366" s="55">
        <f t="shared" si="115"/>
        <v>0</v>
      </c>
      <c r="F366" s="1"/>
      <c r="G366" s="1"/>
      <c r="H366" s="1"/>
      <c r="I366" s="55">
        <f t="shared" si="116"/>
        <v>0</v>
      </c>
      <c r="J366" s="1"/>
      <c r="K366" s="1"/>
      <c r="L366" s="1"/>
      <c r="M366" s="55">
        <f t="shared" si="117"/>
        <v>0</v>
      </c>
      <c r="N366" s="1"/>
      <c r="O366" s="1"/>
      <c r="P366" s="1"/>
      <c r="Q366" s="55">
        <f t="shared" si="118"/>
        <v>0</v>
      </c>
      <c r="R366" s="55">
        <f t="shared" si="119"/>
        <v>0</v>
      </c>
      <c r="S366" s="300"/>
      <c r="T366" s="4" t="s">
        <v>214</v>
      </c>
    </row>
    <row r="367" spans="1:20" ht="15.75" customHeight="1" x14ac:dyDescent="0.3">
      <c r="A367" s="72" t="s">
        <v>925</v>
      </c>
      <c r="B367" s="1">
        <v>17</v>
      </c>
      <c r="C367" s="1">
        <v>28</v>
      </c>
      <c r="D367" s="1">
        <v>43</v>
      </c>
      <c r="E367" s="55">
        <f t="shared" si="115"/>
        <v>88</v>
      </c>
      <c r="F367" s="1">
        <v>52</v>
      </c>
      <c r="G367" s="1"/>
      <c r="H367" s="1"/>
      <c r="I367" s="55">
        <f>SUM(F367:H367)</f>
        <v>52</v>
      </c>
      <c r="J367" s="1">
        <v>50</v>
      </c>
      <c r="K367" s="1">
        <v>39</v>
      </c>
      <c r="L367" s="1">
        <v>34</v>
      </c>
      <c r="M367" s="55">
        <f>SUM(J367:L367)</f>
        <v>123</v>
      </c>
      <c r="N367" s="1">
        <v>46</v>
      </c>
      <c r="O367" s="1">
        <v>28</v>
      </c>
      <c r="P367" s="1">
        <v>12</v>
      </c>
      <c r="Q367" s="55">
        <f>SUM(N367:P367)</f>
        <v>86</v>
      </c>
      <c r="R367" s="55">
        <f>+E367+I367+M367+Q367</f>
        <v>349</v>
      </c>
      <c r="T367" s="4" t="s">
        <v>406</v>
      </c>
    </row>
    <row r="368" spans="1:20" ht="15.75" customHeight="1" x14ac:dyDescent="0.3">
      <c r="A368" s="72" t="s">
        <v>215</v>
      </c>
      <c r="B368" s="1">
        <v>1788</v>
      </c>
      <c r="C368" s="1">
        <f>392+578</f>
        <v>970</v>
      </c>
      <c r="D368" s="1">
        <f>204</f>
        <v>204</v>
      </c>
      <c r="E368" s="55">
        <f t="shared" ref="E368" si="139">SUM(B368:D368)</f>
        <v>2962</v>
      </c>
      <c r="F368" s="1">
        <v>1390</v>
      </c>
      <c r="G368" s="1">
        <v>217</v>
      </c>
      <c r="H368" s="1">
        <v>1600</v>
      </c>
      <c r="I368" s="55">
        <f t="shared" ref="I368" si="140">SUM(F368:H368)</f>
        <v>3207</v>
      </c>
      <c r="J368" s="1">
        <v>4159</v>
      </c>
      <c r="K368" s="1">
        <v>3948</v>
      </c>
      <c r="L368" s="1">
        <v>5687</v>
      </c>
      <c r="M368" s="55">
        <f t="shared" ref="M368" si="141">SUM(J368:L368)</f>
        <v>13794</v>
      </c>
      <c r="N368" s="1">
        <f>1804+4316</f>
        <v>6120</v>
      </c>
      <c r="O368" s="1">
        <f>3711+1748</f>
        <v>5459</v>
      </c>
      <c r="P368" s="1">
        <f>3085+1612</f>
        <v>4697</v>
      </c>
      <c r="Q368" s="55">
        <f t="shared" si="118"/>
        <v>16276</v>
      </c>
      <c r="R368" s="55">
        <f t="shared" si="119"/>
        <v>36239</v>
      </c>
      <c r="T368" s="4" t="s">
        <v>210</v>
      </c>
    </row>
    <row r="369" spans="1:20" ht="15.75" customHeight="1" x14ac:dyDescent="0.3">
      <c r="A369" s="72" t="s">
        <v>1211</v>
      </c>
      <c r="B369" s="1"/>
      <c r="C369" s="1"/>
      <c r="D369" s="1"/>
      <c r="E369" s="55">
        <f t="shared" si="115"/>
        <v>0</v>
      </c>
      <c r="F369" s="1"/>
      <c r="G369" s="1"/>
      <c r="H369" s="1"/>
      <c r="I369" s="55">
        <f t="shared" si="116"/>
        <v>0</v>
      </c>
      <c r="J369" s="1"/>
      <c r="K369" s="1"/>
      <c r="L369" s="1"/>
      <c r="M369" s="55">
        <f t="shared" si="117"/>
        <v>0</v>
      </c>
      <c r="N369" s="1"/>
      <c r="O369" s="1"/>
      <c r="P369" s="1"/>
      <c r="Q369" s="55">
        <f t="shared" si="118"/>
        <v>0</v>
      </c>
      <c r="R369" s="55">
        <f t="shared" si="119"/>
        <v>0</v>
      </c>
      <c r="T369" s="4" t="s">
        <v>256</v>
      </c>
    </row>
    <row r="370" spans="1:20" ht="15.75" customHeight="1" x14ac:dyDescent="0.3">
      <c r="A370" s="72" t="s">
        <v>1398</v>
      </c>
      <c r="B370" s="1"/>
      <c r="C370" s="1"/>
      <c r="D370" s="1"/>
      <c r="E370" s="55">
        <f t="shared" si="115"/>
        <v>0</v>
      </c>
      <c r="F370" s="1">
        <v>1000</v>
      </c>
      <c r="G370" s="1">
        <v>1000</v>
      </c>
      <c r="H370" s="1">
        <f>350+650</f>
        <v>1000</v>
      </c>
      <c r="I370" s="55">
        <f t="shared" si="116"/>
        <v>3000</v>
      </c>
      <c r="J370" s="1">
        <v>1000</v>
      </c>
      <c r="K370" s="1">
        <v>1000</v>
      </c>
      <c r="L370" s="1"/>
      <c r="M370" s="55">
        <f t="shared" si="117"/>
        <v>2000</v>
      </c>
      <c r="N370" s="1"/>
      <c r="O370" s="1"/>
      <c r="P370" s="1"/>
      <c r="Q370" s="55">
        <f t="shared" ref="Q370:Q371" si="142">SUM(N370:P370)</f>
        <v>0</v>
      </c>
      <c r="R370" s="55">
        <f t="shared" si="119"/>
        <v>5000</v>
      </c>
    </row>
    <row r="371" spans="1:20" ht="15.75" customHeight="1" x14ac:dyDescent="0.3">
      <c r="A371" s="72" t="s">
        <v>1399</v>
      </c>
      <c r="B371" s="1"/>
      <c r="C371" s="1">
        <v>4</v>
      </c>
      <c r="D371" s="1">
        <v>65</v>
      </c>
      <c r="E371" s="55">
        <f t="shared" si="115"/>
        <v>69</v>
      </c>
      <c r="F371" s="1">
        <v>16</v>
      </c>
      <c r="G371" s="1">
        <v>32</v>
      </c>
      <c r="H371" s="1"/>
      <c r="I371" s="55">
        <f t="shared" si="116"/>
        <v>48</v>
      </c>
      <c r="J371" s="1"/>
      <c r="K371" s="1"/>
      <c r="L371" s="1"/>
      <c r="M371" s="55">
        <f t="shared" si="117"/>
        <v>0</v>
      </c>
      <c r="N371" s="1"/>
      <c r="O371" s="1"/>
      <c r="P371" s="1"/>
      <c r="Q371" s="55">
        <f t="shared" si="142"/>
        <v>0</v>
      </c>
      <c r="R371" s="55">
        <f t="shared" si="119"/>
        <v>117</v>
      </c>
    </row>
    <row r="372" spans="1:20" ht="15.75" customHeight="1" x14ac:dyDescent="0.3">
      <c r="A372" s="72" t="s">
        <v>1212</v>
      </c>
      <c r="B372" s="1"/>
      <c r="C372" s="1"/>
      <c r="D372" s="1"/>
      <c r="E372" s="55">
        <f t="shared" si="115"/>
        <v>0</v>
      </c>
      <c r="F372" s="1"/>
      <c r="G372" s="1"/>
      <c r="H372" s="1"/>
      <c r="I372" s="55">
        <f t="shared" si="116"/>
        <v>0</v>
      </c>
      <c r="J372" s="1"/>
      <c r="K372" s="1">
        <v>2249</v>
      </c>
      <c r="L372" s="1">
        <v>1000</v>
      </c>
      <c r="M372" s="55">
        <f t="shared" si="117"/>
        <v>3249</v>
      </c>
      <c r="N372" s="1">
        <v>1000</v>
      </c>
      <c r="O372" s="1">
        <v>1000</v>
      </c>
      <c r="P372" s="1"/>
      <c r="Q372" s="55">
        <f t="shared" si="118"/>
        <v>2000</v>
      </c>
      <c r="R372" s="55">
        <f t="shared" si="119"/>
        <v>5249</v>
      </c>
    </row>
    <row r="373" spans="1:20" ht="15.75" customHeight="1" x14ac:dyDescent="0.3">
      <c r="A373" s="72" t="s">
        <v>1298</v>
      </c>
      <c r="B373" s="1"/>
      <c r="C373" s="1"/>
      <c r="D373" s="1"/>
      <c r="E373" s="55">
        <f t="shared" si="115"/>
        <v>0</v>
      </c>
      <c r="F373" s="1"/>
      <c r="G373" s="1">
        <f>100+1716</f>
        <v>1816</v>
      </c>
      <c r="H373" s="1">
        <v>2000</v>
      </c>
      <c r="I373" s="55">
        <f t="shared" si="116"/>
        <v>3816</v>
      </c>
      <c r="J373" s="1">
        <v>1184</v>
      </c>
      <c r="K373" s="1"/>
      <c r="L373" s="1"/>
      <c r="M373" s="55">
        <f t="shared" si="117"/>
        <v>1184</v>
      </c>
      <c r="N373" s="1"/>
      <c r="O373" s="1"/>
      <c r="P373" s="1"/>
      <c r="Q373" s="55">
        <f t="shared" si="118"/>
        <v>0</v>
      </c>
      <c r="R373" s="55">
        <f t="shared" si="119"/>
        <v>5000</v>
      </c>
      <c r="S373" s="477" t="s">
        <v>1257</v>
      </c>
    </row>
    <row r="374" spans="1:20" ht="15.75" customHeight="1" x14ac:dyDescent="0.3">
      <c r="A374" s="72" t="s">
        <v>926</v>
      </c>
      <c r="B374" s="1"/>
      <c r="C374" s="1"/>
      <c r="D374" s="1"/>
      <c r="E374" s="55">
        <f t="shared" si="115"/>
        <v>0</v>
      </c>
      <c r="F374" s="1"/>
      <c r="G374" s="1"/>
      <c r="H374" s="1">
        <v>355</v>
      </c>
      <c r="I374" s="55">
        <f t="shared" si="116"/>
        <v>355</v>
      </c>
      <c r="J374" s="1"/>
      <c r="K374" s="1"/>
      <c r="L374" s="1"/>
      <c r="M374" s="55">
        <f t="shared" si="117"/>
        <v>0</v>
      </c>
      <c r="N374" s="1"/>
      <c r="O374" s="1"/>
      <c r="P374" s="1"/>
      <c r="Q374" s="55">
        <f>SUM(N374:P374)</f>
        <v>0</v>
      </c>
      <c r="R374" s="55">
        <f>+E374+I374+M374+Q374</f>
        <v>355</v>
      </c>
      <c r="T374" s="4" t="s">
        <v>241</v>
      </c>
    </row>
    <row r="375" spans="1:20" ht="15.75" customHeight="1" x14ac:dyDescent="0.3">
      <c r="A375" s="72" t="s">
        <v>927</v>
      </c>
      <c r="B375" s="1">
        <v>18</v>
      </c>
      <c r="C375" s="1">
        <v>46</v>
      </c>
      <c r="D375" s="1">
        <v>37</v>
      </c>
      <c r="E375" s="55">
        <f>SUM(B375:D375)</f>
        <v>101</v>
      </c>
      <c r="F375" s="1">
        <v>59</v>
      </c>
      <c r="G375" s="1"/>
      <c r="H375" s="1"/>
      <c r="I375" s="55">
        <f>SUM(F375:H375)</f>
        <v>59</v>
      </c>
      <c r="J375" s="1">
        <v>51</v>
      </c>
      <c r="K375" s="1">
        <v>48</v>
      </c>
      <c r="L375" s="1">
        <v>36</v>
      </c>
      <c r="M375" s="55">
        <f>SUM(J375:L375)</f>
        <v>135</v>
      </c>
      <c r="N375" s="1">
        <v>69</v>
      </c>
      <c r="O375" s="1">
        <v>74</v>
      </c>
      <c r="P375" s="1">
        <v>36</v>
      </c>
      <c r="Q375" s="55">
        <f>SUM(N375:P375)</f>
        <v>179</v>
      </c>
      <c r="R375" s="55">
        <f>+E375+I375+M375+Q375</f>
        <v>474</v>
      </c>
      <c r="T375" s="4" t="s">
        <v>406</v>
      </c>
    </row>
    <row r="376" spans="1:20" ht="15.75" customHeight="1" x14ac:dyDescent="0.3">
      <c r="A376" s="71" t="s">
        <v>929</v>
      </c>
      <c r="B376" s="1"/>
      <c r="C376" s="1"/>
      <c r="D376" s="1"/>
      <c r="E376" s="55">
        <f>SUM(B376:D376)</f>
        <v>0</v>
      </c>
      <c r="F376" s="1"/>
      <c r="G376" s="1"/>
      <c r="H376" s="1"/>
      <c r="I376" s="55">
        <f>SUM(F376:H376)</f>
        <v>0</v>
      </c>
      <c r="J376" s="1"/>
      <c r="K376" s="1"/>
      <c r="L376" s="1">
        <v>27</v>
      </c>
      <c r="M376" s="55">
        <f>SUM(J376:L376)</f>
        <v>27</v>
      </c>
      <c r="N376" s="1"/>
      <c r="O376" s="1"/>
      <c r="P376" s="1"/>
      <c r="Q376" s="55">
        <f>SUM(N376:P376)</f>
        <v>0</v>
      </c>
      <c r="R376" s="55">
        <f t="shared" si="119"/>
        <v>27</v>
      </c>
    </row>
    <row r="377" spans="1:20" ht="15.75" customHeight="1" x14ac:dyDescent="0.3">
      <c r="A377" s="72" t="s">
        <v>930</v>
      </c>
      <c r="B377" s="1">
        <v>20</v>
      </c>
      <c r="C377" s="1">
        <v>20</v>
      </c>
      <c r="D377" s="1">
        <v>38</v>
      </c>
      <c r="E377" s="55">
        <f t="shared" ref="E377" si="143">SUM(B377:D377)</f>
        <v>78</v>
      </c>
      <c r="F377" s="1">
        <v>67</v>
      </c>
      <c r="G377" s="1">
        <v>89</v>
      </c>
      <c r="H377" s="1">
        <v>117</v>
      </c>
      <c r="I377" s="55">
        <f t="shared" ref="I377" si="144">SUM(F377:H377)</f>
        <v>273</v>
      </c>
      <c r="J377" s="1">
        <v>112</v>
      </c>
      <c r="K377" s="1">
        <v>32</v>
      </c>
      <c r="L377" s="1"/>
      <c r="M377" s="55">
        <f t="shared" ref="M377" si="145">SUM(J377:L377)</f>
        <v>144</v>
      </c>
      <c r="N377" s="1"/>
      <c r="O377" s="1"/>
      <c r="P377" s="1"/>
      <c r="Q377" s="55">
        <f t="shared" si="118"/>
        <v>0</v>
      </c>
      <c r="R377" s="55">
        <f t="shared" si="119"/>
        <v>495</v>
      </c>
      <c r="S377" s="4">
        <f>SUM(R342:R377)</f>
        <v>89799</v>
      </c>
      <c r="T377" s="4" t="s">
        <v>214</v>
      </c>
    </row>
    <row r="378" spans="1:20" ht="15.75" customHeight="1" x14ac:dyDescent="0.3">
      <c r="A378" s="72" t="s">
        <v>931</v>
      </c>
      <c r="B378" s="1">
        <v>2</v>
      </c>
      <c r="C378" s="1">
        <v>3</v>
      </c>
      <c r="D378" s="1">
        <v>3</v>
      </c>
      <c r="E378" s="55">
        <f>SUM(B378:D378)</f>
        <v>8</v>
      </c>
      <c r="F378" s="1">
        <v>47</v>
      </c>
      <c r="G378" s="1"/>
      <c r="H378" s="1"/>
      <c r="I378" s="55">
        <f>SUM(F378:H378)</f>
        <v>47</v>
      </c>
      <c r="J378" s="1">
        <v>41</v>
      </c>
      <c r="K378" s="1">
        <v>37</v>
      </c>
      <c r="L378" s="1">
        <v>29</v>
      </c>
      <c r="M378" s="55">
        <f>SUM(J378:L378)</f>
        <v>107</v>
      </c>
      <c r="N378" s="1">
        <v>70</v>
      </c>
      <c r="O378" s="1">
        <v>40</v>
      </c>
      <c r="P378" s="1">
        <v>12</v>
      </c>
      <c r="Q378" s="55">
        <f>SUM(N378:P378)</f>
        <v>122</v>
      </c>
      <c r="R378" s="55">
        <f>+E378+I378+M378+Q378</f>
        <v>284</v>
      </c>
      <c r="T378" s="4" t="s">
        <v>406</v>
      </c>
    </row>
    <row r="379" spans="1:20" ht="15.75" customHeight="1" x14ac:dyDescent="0.3">
      <c r="A379" s="15" t="s">
        <v>50</v>
      </c>
      <c r="B379" s="1"/>
      <c r="C379" s="1"/>
      <c r="D379" s="1"/>
      <c r="E379" s="55" t="s">
        <v>7</v>
      </c>
      <c r="F379" s="1"/>
      <c r="G379" s="1"/>
      <c r="H379" s="1"/>
      <c r="I379" s="55" t="s">
        <v>7</v>
      </c>
      <c r="J379" s="1"/>
      <c r="K379" s="1"/>
      <c r="L379" s="1"/>
      <c r="M379" s="55" t="s">
        <v>7</v>
      </c>
      <c r="N379" s="1"/>
      <c r="O379" s="1"/>
      <c r="P379" s="1"/>
      <c r="Q379" s="55" t="s">
        <v>7</v>
      </c>
      <c r="R379" s="55" t="s">
        <v>7</v>
      </c>
    </row>
    <row r="380" spans="1:20" ht="15.75" customHeight="1" x14ac:dyDescent="0.3">
      <c r="A380" s="72" t="s">
        <v>217</v>
      </c>
      <c r="B380" s="1"/>
      <c r="C380" s="1"/>
      <c r="D380" s="1"/>
      <c r="E380" s="55">
        <f t="shared" ref="E380:E390" si="146">SUM(B380:D380)</f>
        <v>0</v>
      </c>
      <c r="F380" s="1"/>
      <c r="G380" s="1"/>
      <c r="H380" s="1"/>
      <c r="I380" s="55">
        <f t="shared" ref="I380:I390" si="147">SUM(F380:H380)</f>
        <v>0</v>
      </c>
      <c r="J380" s="1"/>
      <c r="K380" s="1"/>
      <c r="L380" s="1"/>
      <c r="M380" s="55">
        <f t="shared" ref="M380:M390" si="148">SUM(J380:L380)</f>
        <v>0</v>
      </c>
      <c r="N380" s="1"/>
      <c r="O380" s="1"/>
      <c r="P380" s="1"/>
      <c r="Q380" s="55">
        <f t="shared" ref="Q380:Q390" si="149">SUM(N380:P380)</f>
        <v>0</v>
      </c>
      <c r="R380" s="55">
        <f t="shared" ref="R380:R390" si="150">+E380+I380+M380+Q380</f>
        <v>0</v>
      </c>
    </row>
    <row r="381" spans="1:20" ht="15.75" customHeight="1" x14ac:dyDescent="0.3">
      <c r="A381" s="72" t="s">
        <v>932</v>
      </c>
      <c r="B381" s="1"/>
      <c r="C381" s="1"/>
      <c r="D381" s="1"/>
      <c r="E381" s="55">
        <f>SUM(B381:D381)</f>
        <v>0</v>
      </c>
      <c r="F381" s="1"/>
      <c r="G381" s="1"/>
      <c r="H381" s="1"/>
      <c r="I381" s="55">
        <f>SUM(F381:H381)</f>
        <v>0</v>
      </c>
      <c r="J381" s="1"/>
      <c r="K381" s="1"/>
      <c r="L381" s="1"/>
      <c r="M381" s="55">
        <f>SUM(J381:L381)</f>
        <v>0</v>
      </c>
      <c r="N381" s="1"/>
      <c r="O381" s="1"/>
      <c r="P381" s="1"/>
      <c r="Q381" s="55">
        <f>SUM(N381:P381)</f>
        <v>0</v>
      </c>
      <c r="R381" s="55">
        <f>+E381+I381+M381+Q381</f>
        <v>0</v>
      </c>
      <c r="T381" s="4" t="s">
        <v>220</v>
      </c>
    </row>
    <row r="382" spans="1:20" ht="15.75" customHeight="1" x14ac:dyDescent="0.3">
      <c r="A382" s="72" t="s">
        <v>643</v>
      </c>
      <c r="B382" s="1"/>
      <c r="C382" s="1"/>
      <c r="D382" s="1"/>
      <c r="E382" s="55">
        <f>SUM(B382:D382)</f>
        <v>0</v>
      </c>
      <c r="F382" s="1"/>
      <c r="G382" s="1"/>
      <c r="H382" s="1"/>
      <c r="I382" s="55">
        <f>SUM(F382:H382)</f>
        <v>0</v>
      </c>
      <c r="J382" s="1"/>
      <c r="K382" s="1"/>
      <c r="L382" s="1"/>
      <c r="M382" s="55">
        <f>SUM(J382:L382)</f>
        <v>0</v>
      </c>
      <c r="N382" s="1"/>
      <c r="O382" s="1"/>
      <c r="P382" s="1"/>
      <c r="Q382" s="55">
        <f>SUM(N382:P382)</f>
        <v>0</v>
      </c>
      <c r="R382" s="55">
        <f>+E382+I382+M382+Q382</f>
        <v>0</v>
      </c>
      <c r="T382" s="4" t="s">
        <v>256</v>
      </c>
    </row>
    <row r="383" spans="1:20" ht="15.75" customHeight="1" x14ac:dyDescent="0.3">
      <c r="A383" s="72" t="s">
        <v>924</v>
      </c>
      <c r="B383" s="1"/>
      <c r="C383" s="1"/>
      <c r="D383" s="1"/>
      <c r="E383" s="55">
        <f t="shared" si="146"/>
        <v>0</v>
      </c>
      <c r="F383" s="1"/>
      <c r="G383" s="1"/>
      <c r="H383" s="1"/>
      <c r="I383" s="55">
        <f t="shared" si="147"/>
        <v>0</v>
      </c>
      <c r="J383" s="1"/>
      <c r="K383" s="1"/>
      <c r="L383" s="1"/>
      <c r="M383" s="55">
        <f t="shared" si="148"/>
        <v>0</v>
      </c>
      <c r="N383" s="1"/>
      <c r="O383" s="1"/>
      <c r="P383" s="1"/>
      <c r="Q383" s="55">
        <f t="shared" si="149"/>
        <v>0</v>
      </c>
      <c r="R383" s="55">
        <f>+E383+I383+M383+Q383</f>
        <v>0</v>
      </c>
      <c r="T383" s="4" t="s">
        <v>214</v>
      </c>
    </row>
    <row r="384" spans="1:20" ht="15.75" customHeight="1" x14ac:dyDescent="0.3">
      <c r="A384" s="72" t="s">
        <v>721</v>
      </c>
      <c r="B384" s="1"/>
      <c r="C384" s="1"/>
      <c r="D384" s="1"/>
      <c r="E384" s="55">
        <f>SUM(B384:D384)</f>
        <v>0</v>
      </c>
      <c r="F384" s="1"/>
      <c r="G384" s="1"/>
      <c r="H384" s="1"/>
      <c r="I384" s="55">
        <f>SUM(F384:H384)</f>
        <v>0</v>
      </c>
      <c r="J384" s="1"/>
      <c r="K384" s="1"/>
      <c r="L384" s="1"/>
      <c r="M384" s="55">
        <f>SUM(J384:L384)</f>
        <v>0</v>
      </c>
      <c r="N384" s="1"/>
      <c r="O384" s="1"/>
      <c r="P384" s="1"/>
      <c r="Q384" s="55">
        <f>SUM(N384:P384)</f>
        <v>0</v>
      </c>
      <c r="R384" s="55">
        <f>+E384+I384+M384+Q384</f>
        <v>0</v>
      </c>
      <c r="T384" s="4" t="s">
        <v>218</v>
      </c>
    </row>
    <row r="385" spans="1:23" ht="15.75" customHeight="1" x14ac:dyDescent="0.3">
      <c r="A385" s="72" t="s">
        <v>222</v>
      </c>
      <c r="B385" s="1"/>
      <c r="C385" s="1"/>
      <c r="D385" s="1"/>
      <c r="E385" s="55">
        <f t="shared" si="146"/>
        <v>0</v>
      </c>
      <c r="F385" s="1"/>
      <c r="G385" s="1"/>
      <c r="H385" s="1"/>
      <c r="I385" s="55">
        <f t="shared" si="147"/>
        <v>0</v>
      </c>
      <c r="J385" s="1"/>
      <c r="K385" s="1"/>
      <c r="L385" s="1"/>
      <c r="M385" s="55">
        <f t="shared" si="148"/>
        <v>0</v>
      </c>
      <c r="N385" s="1"/>
      <c r="O385" s="1"/>
      <c r="P385" s="1"/>
      <c r="Q385" s="55">
        <f t="shared" si="149"/>
        <v>0</v>
      </c>
      <c r="R385" s="55">
        <f t="shared" si="150"/>
        <v>0</v>
      </c>
    </row>
    <row r="386" spans="1:23" ht="15.75" customHeight="1" x14ac:dyDescent="0.3">
      <c r="A386" s="72" t="s">
        <v>933</v>
      </c>
      <c r="B386" s="1"/>
      <c r="C386" s="1"/>
      <c r="D386" s="1"/>
      <c r="E386" s="55">
        <f t="shared" si="146"/>
        <v>0</v>
      </c>
      <c r="F386" s="1"/>
      <c r="G386" s="1"/>
      <c r="H386" s="1"/>
      <c r="I386" s="55">
        <f t="shared" si="147"/>
        <v>0</v>
      </c>
      <c r="J386" s="1"/>
      <c r="K386" s="1"/>
      <c r="L386" s="1"/>
      <c r="M386" s="55">
        <f t="shared" si="148"/>
        <v>0</v>
      </c>
      <c r="N386" s="1"/>
      <c r="O386" s="1"/>
      <c r="P386" s="1"/>
      <c r="Q386" s="55">
        <f t="shared" si="149"/>
        <v>0</v>
      </c>
      <c r="R386" s="55">
        <f t="shared" si="150"/>
        <v>0</v>
      </c>
      <c r="T386" s="4" t="s">
        <v>226</v>
      </c>
    </row>
    <row r="387" spans="1:23" ht="15.75" customHeight="1" x14ac:dyDescent="0.3">
      <c r="A387" s="72" t="s">
        <v>227</v>
      </c>
      <c r="B387" s="1"/>
      <c r="C387" s="1"/>
      <c r="D387" s="1"/>
      <c r="E387" s="55">
        <f t="shared" si="146"/>
        <v>0</v>
      </c>
      <c r="F387" s="1"/>
      <c r="G387" s="1"/>
      <c r="H387" s="1"/>
      <c r="I387" s="55">
        <f t="shared" si="147"/>
        <v>0</v>
      </c>
      <c r="J387" s="1"/>
      <c r="K387" s="1"/>
      <c r="L387" s="1"/>
      <c r="M387" s="55">
        <f t="shared" si="148"/>
        <v>0</v>
      </c>
      <c r="N387" s="1"/>
      <c r="O387" s="1"/>
      <c r="P387" s="1"/>
      <c r="Q387" s="55">
        <f t="shared" si="149"/>
        <v>0</v>
      </c>
      <c r="R387" s="55">
        <f t="shared" si="150"/>
        <v>0</v>
      </c>
      <c r="T387" s="4" t="s">
        <v>226</v>
      </c>
    </row>
    <row r="388" spans="1:23" ht="15.75" customHeight="1" x14ac:dyDescent="0.3">
      <c r="A388" s="72" t="s">
        <v>934</v>
      </c>
      <c r="B388" s="1"/>
      <c r="C388" s="1"/>
      <c r="D388" s="1"/>
      <c r="E388" s="55">
        <f t="shared" si="146"/>
        <v>0</v>
      </c>
      <c r="F388" s="1"/>
      <c r="G388" s="1"/>
      <c r="H388" s="1"/>
      <c r="I388" s="55">
        <f t="shared" si="147"/>
        <v>0</v>
      </c>
      <c r="J388" s="1"/>
      <c r="K388" s="1"/>
      <c r="L388" s="1"/>
      <c r="M388" s="55">
        <f t="shared" si="148"/>
        <v>0</v>
      </c>
      <c r="N388" s="1"/>
      <c r="O388" s="1"/>
      <c r="P388" s="1"/>
      <c r="Q388" s="55">
        <f t="shared" si="149"/>
        <v>0</v>
      </c>
      <c r="R388" s="55">
        <f t="shared" si="150"/>
        <v>0</v>
      </c>
      <c r="T388" s="4" t="s">
        <v>406</v>
      </c>
    </row>
    <row r="389" spans="1:23" ht="15.75" customHeight="1" x14ac:dyDescent="0.3">
      <c r="A389" s="72" t="s">
        <v>634</v>
      </c>
      <c r="B389" s="1"/>
      <c r="C389" s="1"/>
      <c r="D389" s="1"/>
      <c r="E389" s="55">
        <f>SUM(B389:D389)</f>
        <v>0</v>
      </c>
      <c r="F389" s="1"/>
      <c r="G389" s="1"/>
      <c r="H389" s="1"/>
      <c r="I389" s="55">
        <f>SUM(F389:H389)</f>
        <v>0</v>
      </c>
      <c r="J389" s="1"/>
      <c r="K389" s="1"/>
      <c r="L389" s="1"/>
      <c r="M389" s="55">
        <f>SUM(J389:L389)</f>
        <v>0</v>
      </c>
      <c r="N389" s="1"/>
      <c r="O389" s="1"/>
      <c r="P389" s="1"/>
      <c r="Q389" s="55">
        <f>SUM(N389:P389)</f>
        <v>0</v>
      </c>
      <c r="R389" s="55">
        <f>+E389+I389+M389+Q389</f>
        <v>0</v>
      </c>
      <c r="T389" s="4" t="s">
        <v>406</v>
      </c>
    </row>
    <row r="390" spans="1:23" ht="15.75" customHeight="1" x14ac:dyDescent="0.3">
      <c r="A390" s="72" t="s">
        <v>635</v>
      </c>
      <c r="B390" s="1"/>
      <c r="C390" s="1"/>
      <c r="D390" s="1"/>
      <c r="E390" s="55">
        <f t="shared" si="146"/>
        <v>0</v>
      </c>
      <c r="F390" s="1"/>
      <c r="G390" s="1"/>
      <c r="H390" s="1"/>
      <c r="I390" s="55">
        <f t="shared" si="147"/>
        <v>0</v>
      </c>
      <c r="J390" s="1"/>
      <c r="K390" s="1"/>
      <c r="L390" s="1"/>
      <c r="M390" s="55">
        <f t="shared" si="148"/>
        <v>0</v>
      </c>
      <c r="N390" s="1"/>
      <c r="O390" s="1"/>
      <c r="P390" s="1"/>
      <c r="Q390" s="55">
        <f t="shared" si="149"/>
        <v>0</v>
      </c>
      <c r="R390" s="55">
        <f t="shared" si="150"/>
        <v>0</v>
      </c>
      <c r="T390" s="4" t="s">
        <v>232</v>
      </c>
    </row>
    <row r="391" spans="1:23" ht="15.75" customHeight="1" x14ac:dyDescent="0.3">
      <c r="A391" s="15" t="s">
        <v>1186</v>
      </c>
      <c r="B391" s="1"/>
      <c r="C391" s="1"/>
      <c r="D391" s="1"/>
      <c r="E391" s="55" t="s">
        <v>7</v>
      </c>
      <c r="F391" s="1"/>
      <c r="G391" s="1"/>
      <c r="H391" s="1"/>
      <c r="I391" s="55" t="s">
        <v>7</v>
      </c>
      <c r="J391" s="1"/>
      <c r="K391" s="1"/>
      <c r="L391" s="1"/>
      <c r="M391" s="55" t="s">
        <v>7</v>
      </c>
      <c r="N391" s="1"/>
      <c r="O391" s="1"/>
      <c r="P391" s="1"/>
      <c r="Q391" s="55" t="s">
        <v>7</v>
      </c>
      <c r="R391" s="55" t="s">
        <v>7</v>
      </c>
    </row>
    <row r="392" spans="1:23" ht="15.75" customHeight="1" x14ac:dyDescent="0.3">
      <c r="A392" s="72" t="s">
        <v>1299</v>
      </c>
      <c r="B392" s="1"/>
      <c r="C392" s="1"/>
      <c r="D392" s="1"/>
      <c r="E392" s="55">
        <f>SUM(B392:D392)</f>
        <v>0</v>
      </c>
      <c r="F392" s="1"/>
      <c r="G392" s="1"/>
      <c r="H392" s="1"/>
      <c r="I392" s="55">
        <f>SUM(F392:H392)</f>
        <v>0</v>
      </c>
      <c r="J392" s="1"/>
      <c r="K392" s="1"/>
      <c r="L392" s="1"/>
      <c r="M392" s="55">
        <f>SUM(J392:L392)</f>
        <v>0</v>
      </c>
      <c r="N392" s="1"/>
      <c r="O392" s="1"/>
      <c r="P392" s="1"/>
      <c r="Q392" s="55">
        <f>SUM(N392:P392)</f>
        <v>0</v>
      </c>
      <c r="R392" s="55">
        <f>+E392+I392+M392+Q392</f>
        <v>0</v>
      </c>
      <c r="S392" s="478" t="s">
        <v>1259</v>
      </c>
      <c r="T392" s="4" t="s">
        <v>209</v>
      </c>
    </row>
    <row r="393" spans="1:23" ht="15.75" customHeight="1" x14ac:dyDescent="0.3">
      <c r="A393" s="72" t="s">
        <v>1300</v>
      </c>
      <c r="B393" s="1"/>
      <c r="C393" s="1"/>
      <c r="D393" s="1"/>
      <c r="E393" s="55">
        <f>SUM(B393:D393)</f>
        <v>0</v>
      </c>
      <c r="F393" s="1"/>
      <c r="G393" s="1"/>
      <c r="H393" s="1"/>
      <c r="I393" s="55">
        <f>SUM(F393:H393)</f>
        <v>0</v>
      </c>
      <c r="J393" s="1"/>
      <c r="K393" s="1"/>
      <c r="L393" s="1"/>
      <c r="M393" s="55">
        <f>SUM(J393:L393)</f>
        <v>0</v>
      </c>
      <c r="N393" s="1"/>
      <c r="O393" s="1"/>
      <c r="P393" s="1"/>
      <c r="Q393" s="55">
        <f>SUM(N393:P393)</f>
        <v>0</v>
      </c>
      <c r="R393" s="55">
        <f>+E393+I393+M393+Q393</f>
        <v>0</v>
      </c>
      <c r="S393" s="478" t="s">
        <v>1259</v>
      </c>
    </row>
    <row r="394" spans="1:23" ht="15.75" customHeight="1" x14ac:dyDescent="0.3">
      <c r="A394" s="72" t="s">
        <v>1301</v>
      </c>
      <c r="B394" s="1"/>
      <c r="C394" s="1"/>
      <c r="D394" s="1"/>
      <c r="E394" s="55">
        <f>SUM(B394:D394)</f>
        <v>0</v>
      </c>
      <c r="F394" s="1"/>
      <c r="G394" s="1"/>
      <c r="H394" s="1"/>
      <c r="I394" s="55">
        <f>SUM(F394:H394)</f>
        <v>0</v>
      </c>
      <c r="J394" s="1"/>
      <c r="K394" s="1"/>
      <c r="L394" s="1"/>
      <c r="M394" s="55">
        <f>SUM(J394:L394)</f>
        <v>0</v>
      </c>
      <c r="N394" s="1"/>
      <c r="O394" s="1"/>
      <c r="P394" s="1"/>
      <c r="Q394" s="55">
        <f>SUM(N394:P394)</f>
        <v>0</v>
      </c>
      <c r="R394" s="55">
        <f>+E394+I394+M394+Q394</f>
        <v>0</v>
      </c>
      <c r="S394" s="478" t="s">
        <v>1259</v>
      </c>
      <c r="T394" s="4" t="s">
        <v>214</v>
      </c>
    </row>
    <row r="395" spans="1:23" ht="15.75" customHeight="1" x14ac:dyDescent="0.3">
      <c r="A395" s="72" t="s">
        <v>1302</v>
      </c>
      <c r="B395" s="1"/>
      <c r="C395" s="1"/>
      <c r="D395" s="1"/>
      <c r="E395" s="55">
        <f>SUM(B395:D395)</f>
        <v>0</v>
      </c>
      <c r="F395" s="1"/>
      <c r="G395" s="1"/>
      <c r="H395" s="1"/>
      <c r="I395" s="55">
        <f>SUM(F395:H395)</f>
        <v>0</v>
      </c>
      <c r="J395" s="1"/>
      <c r="K395" s="1"/>
      <c r="L395" s="1"/>
      <c r="M395" s="55">
        <f>SUM(J395:L395)</f>
        <v>0</v>
      </c>
      <c r="N395" s="1"/>
      <c r="O395" s="1"/>
      <c r="P395" s="1"/>
      <c r="Q395" s="55">
        <f>SUM(N395:P395)</f>
        <v>0</v>
      </c>
      <c r="R395" s="55">
        <f>+E395+I395+M395+Q395</f>
        <v>0</v>
      </c>
      <c r="S395" s="478" t="s">
        <v>1259</v>
      </c>
      <c r="T395" s="4" t="s">
        <v>241</v>
      </c>
    </row>
    <row r="396" spans="1:23" ht="16.5" customHeight="1" thickBot="1" x14ac:dyDescent="0.35">
      <c r="A396" s="15" t="s">
        <v>53</v>
      </c>
      <c r="B396" s="1"/>
      <c r="C396" s="1"/>
      <c r="D396" s="1"/>
      <c r="E396" s="55" t="s">
        <v>7</v>
      </c>
      <c r="F396" s="1"/>
      <c r="G396" s="1"/>
      <c r="H396" s="1"/>
      <c r="I396" s="55" t="s">
        <v>7</v>
      </c>
      <c r="J396" s="1"/>
      <c r="K396" s="1"/>
      <c r="L396" s="1"/>
      <c r="M396" s="55" t="s">
        <v>7</v>
      </c>
      <c r="N396" s="1"/>
      <c r="O396" s="1"/>
      <c r="P396" s="1"/>
      <c r="Q396" s="55" t="s">
        <v>7</v>
      </c>
      <c r="R396" s="81" t="s">
        <v>7</v>
      </c>
      <c r="V396" s="4" t="s">
        <v>936</v>
      </c>
      <c r="W396" s="4" t="s">
        <v>937</v>
      </c>
    </row>
    <row r="397" spans="1:23" ht="16.5" customHeight="1" thickBot="1" x14ac:dyDescent="0.35">
      <c r="A397" s="109" t="s">
        <v>54</v>
      </c>
      <c r="B397" s="86">
        <f>SUM(B340:B396)</f>
        <v>4651</v>
      </c>
      <c r="C397" s="87">
        <f>SUM(C340:C396)</f>
        <v>3357</v>
      </c>
      <c r="D397" s="87">
        <f>SUM(D340:D396)</f>
        <v>1831</v>
      </c>
      <c r="E397" s="59">
        <f>SUM(B397:D397)</f>
        <v>9839</v>
      </c>
      <c r="F397" s="87">
        <f>SUM(F340:F396)</f>
        <v>3342</v>
      </c>
      <c r="G397" s="87">
        <f>SUM(G340:G396)</f>
        <v>4127</v>
      </c>
      <c r="H397" s="87">
        <f>SUM(H340:H396)</f>
        <v>6107</v>
      </c>
      <c r="I397" s="59">
        <f>SUM(F397:H397)</f>
        <v>13576</v>
      </c>
      <c r="J397" s="87">
        <f>SUM(J340:J396)</f>
        <v>12899</v>
      </c>
      <c r="K397" s="87">
        <f>SUM(K340:K396)</f>
        <v>12958</v>
      </c>
      <c r="L397" s="87">
        <f>SUM(L340:L396)</f>
        <v>11929</v>
      </c>
      <c r="M397" s="59">
        <f>SUM(J397:L397)</f>
        <v>37786</v>
      </c>
      <c r="N397" s="87">
        <f>SUM(N340:N396)</f>
        <v>13619</v>
      </c>
      <c r="O397" s="87">
        <f>SUM(O340:O396)</f>
        <v>8840</v>
      </c>
      <c r="P397" s="87">
        <f>SUM(P340:P396)</f>
        <v>6423</v>
      </c>
      <c r="Q397" s="59">
        <f>SUM(N397:P397)</f>
        <v>28882</v>
      </c>
      <c r="R397" s="59">
        <f>+E397+I397+M397+Q397</f>
        <v>90083</v>
      </c>
      <c r="T397" s="89"/>
      <c r="V397" s="4" t="s">
        <v>209</v>
      </c>
      <c r="W397" s="348">
        <v>0.18</v>
      </c>
    </row>
    <row r="398" spans="1:23" ht="15.75" customHeight="1" x14ac:dyDescent="0.3">
      <c r="A398" s="15" t="s">
        <v>55</v>
      </c>
      <c r="B398" s="1"/>
      <c r="C398" s="1"/>
      <c r="D398" s="1"/>
      <c r="E398" s="55" t="s">
        <v>7</v>
      </c>
      <c r="F398" s="1"/>
      <c r="G398" s="1"/>
      <c r="H398" s="1"/>
      <c r="I398" s="55" t="s">
        <v>7</v>
      </c>
      <c r="J398" s="1"/>
      <c r="K398" s="1"/>
      <c r="L398" s="1"/>
      <c r="M398" s="55" t="s">
        <v>7</v>
      </c>
      <c r="N398" s="1"/>
      <c r="O398" s="1"/>
      <c r="P398" s="1"/>
      <c r="Q398" s="55" t="s">
        <v>7</v>
      </c>
      <c r="R398" s="55" t="s">
        <v>7</v>
      </c>
      <c r="V398" s="4" t="s">
        <v>938</v>
      </c>
      <c r="W398" s="348">
        <v>0.52</v>
      </c>
    </row>
    <row r="399" spans="1:23" ht="15.75" customHeight="1" x14ac:dyDescent="0.3">
      <c r="A399" s="15" t="s">
        <v>242</v>
      </c>
      <c r="B399" s="1"/>
      <c r="C399" s="1"/>
      <c r="D399" s="1"/>
      <c r="E399" s="55"/>
      <c r="F399" s="1"/>
      <c r="G399" s="1"/>
      <c r="H399" s="1"/>
      <c r="I399" s="55"/>
      <c r="J399" s="1"/>
      <c r="K399" s="1"/>
      <c r="L399" s="1"/>
      <c r="M399" s="55"/>
      <c r="N399" s="1"/>
      <c r="O399" s="1"/>
      <c r="P399" s="1"/>
      <c r="Q399" s="55"/>
      <c r="R399" s="55"/>
      <c r="V399" s="4" t="s">
        <v>939</v>
      </c>
      <c r="W399" s="348">
        <v>0.3</v>
      </c>
    </row>
    <row r="400" spans="1:23" ht="15.75" customHeight="1" x14ac:dyDescent="0.3">
      <c r="A400" s="15" t="s">
        <v>57</v>
      </c>
      <c r="B400" s="1"/>
      <c r="C400" s="1"/>
      <c r="D400" s="1"/>
      <c r="E400" s="55" t="s">
        <v>7</v>
      </c>
      <c r="F400" s="1"/>
      <c r="G400" s="1"/>
      <c r="H400" s="1"/>
      <c r="I400" s="55" t="s">
        <v>7</v>
      </c>
      <c r="J400" s="1"/>
      <c r="K400" s="1"/>
      <c r="L400" s="1"/>
      <c r="M400" s="55" t="s">
        <v>7</v>
      </c>
      <c r="N400" s="1"/>
      <c r="O400" s="1"/>
      <c r="P400" s="1"/>
      <c r="Q400" s="55" t="s">
        <v>7</v>
      </c>
      <c r="R400" s="55" t="s">
        <v>7</v>
      </c>
      <c r="W400" s="349">
        <f>+SUM(W397:W399)</f>
        <v>1</v>
      </c>
    </row>
    <row r="401" spans="1:39" ht="15.75" customHeight="1" x14ac:dyDescent="0.3">
      <c r="A401" s="72" t="s">
        <v>553</v>
      </c>
      <c r="B401" s="1">
        <v>73</v>
      </c>
      <c r="C401" s="1">
        <v>32</v>
      </c>
      <c r="D401" s="1">
        <v>354</v>
      </c>
      <c r="E401" s="55">
        <f>SUM(B401:D401)</f>
        <v>459</v>
      </c>
      <c r="F401" s="1">
        <v>2166</v>
      </c>
      <c r="G401" s="1">
        <v>1128</v>
      </c>
      <c r="H401" s="1">
        <v>3204</v>
      </c>
      <c r="I401" s="55">
        <f>SUM(F401:H401)</f>
        <v>6498</v>
      </c>
      <c r="J401" s="1">
        <v>1931</v>
      </c>
      <c r="K401" s="1">
        <v>1744</v>
      </c>
      <c r="L401" s="1">
        <v>1593</v>
      </c>
      <c r="M401" s="55">
        <f>SUM(J401:L401)</f>
        <v>5268</v>
      </c>
      <c r="N401" s="1">
        <v>135</v>
      </c>
      <c r="O401" s="1">
        <v>363</v>
      </c>
      <c r="P401" s="1">
        <v>378</v>
      </c>
      <c r="Q401" s="55">
        <f>SUM(N401:P401)</f>
        <v>876</v>
      </c>
      <c r="R401" s="55">
        <f t="shared" ref="R401:R409" si="151">+E401+I401+M401+Q401</f>
        <v>13101</v>
      </c>
      <c r="T401" s="4" t="s">
        <v>209</v>
      </c>
      <c r="V401" s="351" t="s">
        <v>729</v>
      </c>
      <c r="W401" s="28" t="s">
        <v>8</v>
      </c>
      <c r="X401" s="338" t="s">
        <v>9</v>
      </c>
      <c r="Y401" s="338" t="s">
        <v>10</v>
      </c>
      <c r="Z401" s="352" t="s">
        <v>11</v>
      </c>
      <c r="AA401" s="338" t="s">
        <v>12</v>
      </c>
      <c r="AB401" s="338" t="s">
        <v>13</v>
      </c>
      <c r="AC401" s="338" t="s">
        <v>14</v>
      </c>
      <c r="AD401" s="352" t="s">
        <v>15</v>
      </c>
      <c r="AE401" s="338" t="s">
        <v>16</v>
      </c>
      <c r="AF401" s="338" t="s">
        <v>17</v>
      </c>
      <c r="AG401" s="338" t="s">
        <v>18</v>
      </c>
      <c r="AH401" s="352" t="s">
        <v>19</v>
      </c>
      <c r="AI401" s="338" t="s">
        <v>20</v>
      </c>
      <c r="AJ401" s="338" t="s">
        <v>21</v>
      </c>
      <c r="AK401" s="338" t="s">
        <v>22</v>
      </c>
      <c r="AL401" s="352" t="s">
        <v>23</v>
      </c>
      <c r="AM401" s="480" t="s">
        <v>24</v>
      </c>
    </row>
    <row r="402" spans="1:39" ht="15.75" customHeight="1" x14ac:dyDescent="0.3">
      <c r="A402" s="72" t="s">
        <v>244</v>
      </c>
      <c r="B402" s="1"/>
      <c r="C402" s="1"/>
      <c r="D402" s="1"/>
      <c r="E402" s="55">
        <f>SUM(B402:D402)</f>
        <v>0</v>
      </c>
      <c r="F402" s="1"/>
      <c r="G402" s="1">
        <v>16</v>
      </c>
      <c r="H402" s="1">
        <v>12</v>
      </c>
      <c r="I402" s="55">
        <f>SUM(F402:H402)</f>
        <v>28</v>
      </c>
      <c r="J402" s="1"/>
      <c r="K402" s="1"/>
      <c r="L402" s="1"/>
      <c r="M402" s="55">
        <f>SUM(J402:L402)</f>
        <v>0</v>
      </c>
      <c r="N402" s="1"/>
      <c r="O402" s="1"/>
      <c r="P402" s="1"/>
      <c r="Q402" s="55">
        <f>SUM(N402:P402)</f>
        <v>0</v>
      </c>
      <c r="R402" s="55">
        <f t="shared" si="151"/>
        <v>28</v>
      </c>
      <c r="T402" s="4" t="s">
        <v>214</v>
      </c>
      <c r="V402" s="306" t="s">
        <v>942</v>
      </c>
      <c r="W402" s="354">
        <v>1500</v>
      </c>
      <c r="X402" s="354">
        <v>1500</v>
      </c>
      <c r="Y402" s="354">
        <v>6800</v>
      </c>
      <c r="Z402" s="4">
        <f>+SUM(W402:Y402)</f>
        <v>9800</v>
      </c>
      <c r="AA402" s="354">
        <f>8000+1500</f>
        <v>9500</v>
      </c>
      <c r="AB402" s="354">
        <f>10000+2000</f>
        <v>12000</v>
      </c>
      <c r="AC402" s="354">
        <f>12000+1500</f>
        <v>13500</v>
      </c>
      <c r="AD402" s="4">
        <f>+SUM(AA402:AC402)</f>
        <v>35000</v>
      </c>
      <c r="AE402" s="354">
        <v>25500</v>
      </c>
      <c r="AF402" s="354">
        <v>19000</v>
      </c>
      <c r="AG402" s="354">
        <v>4000</v>
      </c>
      <c r="AH402" s="4">
        <f>+SUM(AE402:AG402)</f>
        <v>48500</v>
      </c>
      <c r="AI402" s="354">
        <v>1500</v>
      </c>
      <c r="AJ402" s="354">
        <v>1000</v>
      </c>
      <c r="AK402" s="354">
        <v>1069</v>
      </c>
      <c r="AL402" s="4">
        <f>+SUM(AI402:AK402)</f>
        <v>3569</v>
      </c>
      <c r="AM402" s="481">
        <f>+Z402+AD402+AH402+AL402</f>
        <v>96869</v>
      </c>
    </row>
    <row r="403" spans="1:39" ht="15.75" customHeight="1" x14ac:dyDescent="0.3">
      <c r="A403" s="72" t="s">
        <v>245</v>
      </c>
      <c r="B403" s="1">
        <v>199</v>
      </c>
      <c r="C403" s="1">
        <v>939</v>
      </c>
      <c r="D403" s="1">
        <v>2359</v>
      </c>
      <c r="E403" s="55">
        <f t="shared" ref="E403:E404" si="152">SUM(B403:D403)</f>
        <v>3497</v>
      </c>
      <c r="F403" s="1">
        <v>5364</v>
      </c>
      <c r="G403" s="1">
        <v>6058</v>
      </c>
      <c r="H403" s="1">
        <v>8764</v>
      </c>
      <c r="I403" s="55">
        <f t="shared" ref="I403:I408" si="153">SUM(F403:H403)</f>
        <v>20186</v>
      </c>
      <c r="J403" s="1">
        <v>6223</v>
      </c>
      <c r="K403" s="1"/>
      <c r="L403" s="1"/>
      <c r="M403" s="55">
        <f t="shared" ref="M403:M408" si="154">SUM(J403:L403)</f>
        <v>6223</v>
      </c>
      <c r="N403" s="1"/>
      <c r="O403" s="1"/>
      <c r="P403" s="1">
        <v>536</v>
      </c>
      <c r="Q403" s="55">
        <f t="shared" ref="Q403:Q409" si="155">SUM(N403:P403)</f>
        <v>536</v>
      </c>
      <c r="R403" s="55">
        <f t="shared" si="151"/>
        <v>30442</v>
      </c>
      <c r="T403" s="4" t="s">
        <v>910</v>
      </c>
      <c r="V403" s="306" t="s">
        <v>209</v>
      </c>
      <c r="W403" s="4">
        <f>+$W$397*W402</f>
        <v>270</v>
      </c>
      <c r="X403" s="4">
        <f>+$W$397*X402</f>
        <v>270</v>
      </c>
      <c r="Y403" s="4">
        <f>+$W$397*Y402</f>
        <v>1224</v>
      </c>
      <c r="Z403" s="4">
        <f>+SUM(W403:Y403)</f>
        <v>1764</v>
      </c>
      <c r="AA403" s="4">
        <f>+$W$397*AA402</f>
        <v>1710</v>
      </c>
      <c r="AB403" s="4">
        <f>+$W$397*AB402</f>
        <v>2160</v>
      </c>
      <c r="AC403" s="4">
        <f>+$W$397*AC402</f>
        <v>2430</v>
      </c>
      <c r="AD403" s="4">
        <f>+SUM(AA403:AC403)</f>
        <v>6300</v>
      </c>
      <c r="AE403" s="4">
        <f>+$W$397*AE402</f>
        <v>4590</v>
      </c>
      <c r="AF403" s="4">
        <f>+$W$397*AF402</f>
        <v>3420</v>
      </c>
      <c r="AG403" s="4">
        <f>+$W$397*AG402</f>
        <v>720</v>
      </c>
      <c r="AH403" s="4">
        <f>+SUM(AE403:AG403)</f>
        <v>8730</v>
      </c>
      <c r="AI403" s="4">
        <f>+$W$397*AI402</f>
        <v>270</v>
      </c>
      <c r="AJ403" s="4">
        <f>+$W$397*AJ402</f>
        <v>180</v>
      </c>
      <c r="AK403" s="4">
        <f>+$W$397*AK402</f>
        <v>192.42</v>
      </c>
      <c r="AL403" s="4">
        <f>+SUM(AI403:AK403)</f>
        <v>642.41999999999996</v>
      </c>
      <c r="AM403" s="481">
        <f>+Z403+AD403+AH403+AL403</f>
        <v>17436.419999999998</v>
      </c>
    </row>
    <row r="404" spans="1:39" ht="15.75" customHeight="1" x14ac:dyDescent="0.3">
      <c r="A404" s="72" t="s">
        <v>727</v>
      </c>
      <c r="B404" s="1">
        <v>2858</v>
      </c>
      <c r="C404" s="1">
        <v>7556</v>
      </c>
      <c r="D404" s="1">
        <v>6129</v>
      </c>
      <c r="E404" s="55">
        <f t="shared" si="152"/>
        <v>16543</v>
      </c>
      <c r="F404" s="1">
        <v>17078</v>
      </c>
      <c r="G404" s="1">
        <v>20310</v>
      </c>
      <c r="H404" s="1">
        <v>25561</v>
      </c>
      <c r="I404" s="55">
        <f t="shared" ref="I404" si="156">SUM(F404:H404)</f>
        <v>62949</v>
      </c>
      <c r="J404" s="1">
        <v>1379</v>
      </c>
      <c r="K404" s="1">
        <v>5914</v>
      </c>
      <c r="L404" s="1">
        <v>6675</v>
      </c>
      <c r="M404" s="55">
        <f t="shared" ref="M404" si="157">SUM(J404:L404)</f>
        <v>13968</v>
      </c>
      <c r="N404" s="1">
        <v>2008</v>
      </c>
      <c r="O404" s="1">
        <v>3515</v>
      </c>
      <c r="P404" s="1">
        <v>5621</v>
      </c>
      <c r="Q404" s="55">
        <f t="shared" si="155"/>
        <v>11144</v>
      </c>
      <c r="R404" s="55">
        <f t="shared" si="151"/>
        <v>104604</v>
      </c>
      <c r="T404" s="4" t="s">
        <v>209</v>
      </c>
      <c r="V404" s="306" t="s">
        <v>938</v>
      </c>
      <c r="W404" s="4">
        <f>+$W$398*W402</f>
        <v>780</v>
      </c>
      <c r="X404" s="4">
        <f>+$W$398*X402</f>
        <v>780</v>
      </c>
      <c r="Y404" s="4">
        <f>+$W$398*Y402</f>
        <v>3536</v>
      </c>
      <c r="Z404" s="4">
        <f>+SUM(W404:Y404)</f>
        <v>5096</v>
      </c>
      <c r="AA404" s="4">
        <f>+$W$398*AA402</f>
        <v>4940</v>
      </c>
      <c r="AB404" s="4">
        <f>+$W$398*AB402</f>
        <v>6240</v>
      </c>
      <c r="AC404" s="4">
        <f>+$W$398*AC402</f>
        <v>7020</v>
      </c>
      <c r="AD404" s="4">
        <f>+SUM(AA404:AC404)</f>
        <v>18200</v>
      </c>
      <c r="AE404" s="4">
        <f>+$W$398*AE402</f>
        <v>13260</v>
      </c>
      <c r="AF404" s="4">
        <f>+$W$398*AF402</f>
        <v>9880</v>
      </c>
      <c r="AG404" s="4">
        <f>+$W$398*AG402</f>
        <v>2080</v>
      </c>
      <c r="AH404" s="4">
        <f>+SUM(AE404:AG404)</f>
        <v>25220</v>
      </c>
      <c r="AI404" s="4">
        <f>+$W$398*AI402</f>
        <v>780</v>
      </c>
      <c r="AJ404" s="4">
        <f>+$W$398*AJ402</f>
        <v>520</v>
      </c>
      <c r="AK404" s="4">
        <f>+$W$398*AK402</f>
        <v>555.88</v>
      </c>
      <c r="AL404" s="4">
        <f>+SUM(AI404:AK404)</f>
        <v>1855.88</v>
      </c>
      <c r="AM404" s="481">
        <f>+Z404+AD404+AH404+AL404</f>
        <v>50371.88</v>
      </c>
    </row>
    <row r="405" spans="1:39" ht="15.75" customHeight="1" x14ac:dyDescent="0.3">
      <c r="A405" s="72" t="s">
        <v>943</v>
      </c>
      <c r="B405" s="1"/>
      <c r="C405" s="1"/>
      <c r="D405" s="1"/>
      <c r="E405" s="55">
        <f t="shared" ref="E405:E408" si="158">SUM(B405:D405)</f>
        <v>0</v>
      </c>
      <c r="F405" s="1"/>
      <c r="G405" s="1"/>
      <c r="H405" s="1"/>
      <c r="I405" s="55">
        <f t="shared" si="153"/>
        <v>0</v>
      </c>
      <c r="J405" s="1"/>
      <c r="K405" s="1"/>
      <c r="L405" s="1"/>
      <c r="M405" s="55">
        <f t="shared" si="154"/>
        <v>0</v>
      </c>
      <c r="N405" s="1"/>
      <c r="O405" s="1"/>
      <c r="P405" s="1"/>
      <c r="Q405" s="55">
        <f t="shared" si="155"/>
        <v>0</v>
      </c>
      <c r="R405" s="55">
        <f t="shared" si="151"/>
        <v>0</v>
      </c>
      <c r="T405" s="4" t="s">
        <v>944</v>
      </c>
      <c r="V405" s="306" t="s">
        <v>939</v>
      </c>
      <c r="W405" s="4">
        <f>+$W$399*W402</f>
        <v>450</v>
      </c>
      <c r="X405" s="4">
        <f>+$W$399*X402</f>
        <v>450</v>
      </c>
      <c r="Y405" s="4">
        <f>+$W$399*Y402</f>
        <v>2040</v>
      </c>
      <c r="Z405" s="4">
        <f>+SUM(W405:Y405)</f>
        <v>2940</v>
      </c>
      <c r="AA405" s="4">
        <f>+$W$399*AA402</f>
        <v>2850</v>
      </c>
      <c r="AB405" s="4">
        <f>+$W$399*AB402</f>
        <v>3600</v>
      </c>
      <c r="AC405" s="4">
        <f>+$W$399*AC402</f>
        <v>4050</v>
      </c>
      <c r="AD405" s="4">
        <f>+SUM(AA405:AC405)</f>
        <v>10500</v>
      </c>
      <c r="AE405" s="4">
        <f>+$W$399*AE402</f>
        <v>7650</v>
      </c>
      <c r="AF405" s="4">
        <f>+$W$399*AF402</f>
        <v>5700</v>
      </c>
      <c r="AG405" s="4">
        <f>+$W$399*AG402</f>
        <v>1200</v>
      </c>
      <c r="AH405" s="4">
        <f>+SUM(AE405:AG405)</f>
        <v>14550</v>
      </c>
      <c r="AI405" s="4">
        <f>+$W$399*AI402</f>
        <v>450</v>
      </c>
      <c r="AJ405" s="4">
        <f>+$W$399*AJ402</f>
        <v>300</v>
      </c>
      <c r="AK405" s="4">
        <f>+$W$399*AK402</f>
        <v>320.7</v>
      </c>
      <c r="AL405" s="4">
        <f>+$W$399*AL402</f>
        <v>1070.7</v>
      </c>
      <c r="AM405" s="481">
        <f>+Z405+AD405+AH405+AL405</f>
        <v>29060.7</v>
      </c>
    </row>
    <row r="406" spans="1:39" ht="15.75" customHeight="1" thickBot="1" x14ac:dyDescent="0.35">
      <c r="A406" s="72" t="s">
        <v>945</v>
      </c>
      <c r="B406" s="1"/>
      <c r="C406" s="1"/>
      <c r="D406" s="1"/>
      <c r="E406" s="55">
        <f t="shared" ref="E406" si="159">SUM(B406:D406)</f>
        <v>0</v>
      </c>
      <c r="F406" s="1"/>
      <c r="G406" s="1"/>
      <c r="H406" s="1"/>
      <c r="I406" s="55">
        <f t="shared" ref="I406" si="160">SUM(F406:H406)</f>
        <v>0</v>
      </c>
      <c r="J406" s="1"/>
      <c r="K406" s="1"/>
      <c r="L406" s="1"/>
      <c r="M406" s="55">
        <f t="shared" ref="M406" si="161">SUM(J406:L406)</f>
        <v>0</v>
      </c>
      <c r="N406" s="1"/>
      <c r="O406" s="1"/>
      <c r="P406" s="1"/>
      <c r="Q406" s="55">
        <f t="shared" si="155"/>
        <v>0</v>
      </c>
      <c r="R406" s="55">
        <f t="shared" si="151"/>
        <v>0</v>
      </c>
      <c r="T406" s="4" t="s">
        <v>214</v>
      </c>
      <c r="V406" s="311"/>
      <c r="W406" s="312"/>
      <c r="X406" s="312"/>
      <c r="Y406" s="312"/>
      <c r="Z406" s="312"/>
      <c r="AA406" s="312"/>
      <c r="AB406" s="312"/>
      <c r="AC406" s="312"/>
      <c r="AD406" s="312"/>
      <c r="AE406" s="312"/>
      <c r="AF406" s="312"/>
      <c r="AG406" s="312"/>
      <c r="AH406" s="312"/>
      <c r="AI406" s="312"/>
      <c r="AJ406" s="312"/>
      <c r="AK406" s="312"/>
      <c r="AL406" s="312"/>
      <c r="AM406" s="313"/>
    </row>
    <row r="407" spans="1:39" s="355" customFormat="1" ht="15.75" customHeight="1" x14ac:dyDescent="0.3">
      <c r="A407" s="467" t="s">
        <v>1215</v>
      </c>
      <c r="B407" s="301"/>
      <c r="C407" s="301"/>
      <c r="D407" s="301"/>
      <c r="E407" s="302">
        <f t="shared" si="158"/>
        <v>0</v>
      </c>
      <c r="F407" s="301"/>
      <c r="G407" s="301"/>
      <c r="H407" s="301"/>
      <c r="I407" s="302">
        <f t="shared" si="153"/>
        <v>0</v>
      </c>
      <c r="J407" s="301"/>
      <c r="K407" s="301"/>
      <c r="L407" s="301"/>
      <c r="M407" s="302">
        <f t="shared" si="154"/>
        <v>0</v>
      </c>
      <c r="N407" s="301"/>
      <c r="O407" s="301"/>
      <c r="P407" s="301"/>
      <c r="Q407" s="302">
        <f t="shared" ref="Q407" si="162">SUM(N407:P407)</f>
        <v>0</v>
      </c>
      <c r="R407" s="302">
        <f t="shared" si="151"/>
        <v>0</v>
      </c>
    </row>
    <row r="408" spans="1:39" ht="15.75" customHeight="1" x14ac:dyDescent="0.3">
      <c r="A408" s="72" t="s">
        <v>946</v>
      </c>
      <c r="B408" s="1"/>
      <c r="C408" s="1"/>
      <c r="D408" s="1"/>
      <c r="E408" s="55">
        <f t="shared" si="158"/>
        <v>0</v>
      </c>
      <c r="F408" s="1"/>
      <c r="G408" s="1"/>
      <c r="H408" s="1"/>
      <c r="I408" s="55">
        <f t="shared" si="153"/>
        <v>0</v>
      </c>
      <c r="J408" s="1"/>
      <c r="K408" s="1"/>
      <c r="L408" s="1"/>
      <c r="M408" s="55">
        <f t="shared" si="154"/>
        <v>0</v>
      </c>
      <c r="N408" s="1"/>
      <c r="O408" s="1"/>
      <c r="P408" s="1">
        <v>1</v>
      </c>
      <c r="Q408" s="55">
        <f t="shared" si="155"/>
        <v>1</v>
      </c>
      <c r="R408" s="55">
        <f t="shared" si="151"/>
        <v>1</v>
      </c>
      <c r="T408" s="4" t="s">
        <v>224</v>
      </c>
    </row>
    <row r="409" spans="1:39" ht="15.75" customHeight="1" x14ac:dyDescent="0.3">
      <c r="A409" s="72" t="s">
        <v>252</v>
      </c>
      <c r="B409" s="1"/>
      <c r="C409" s="1"/>
      <c r="D409" s="1"/>
      <c r="E409" s="55">
        <f t="shared" ref="E409" si="163">SUM(B409:D409)</f>
        <v>0</v>
      </c>
      <c r="F409" s="1">
        <v>571</v>
      </c>
      <c r="G409" s="1">
        <v>1944</v>
      </c>
      <c r="H409" s="1">
        <v>2080</v>
      </c>
      <c r="I409" s="55">
        <f t="shared" ref="I409" si="164">SUM(F409:H409)</f>
        <v>4595</v>
      </c>
      <c r="J409" s="1">
        <v>1834</v>
      </c>
      <c r="K409" s="1">
        <v>897</v>
      </c>
      <c r="L409" s="1">
        <v>1093</v>
      </c>
      <c r="M409" s="55">
        <f t="shared" ref="M409" si="165">SUM(J409:L409)</f>
        <v>3824</v>
      </c>
      <c r="N409" s="1">
        <v>19</v>
      </c>
      <c r="O409" s="1">
        <v>443</v>
      </c>
      <c r="P409" s="1">
        <v>182</v>
      </c>
      <c r="Q409" s="55">
        <f t="shared" si="155"/>
        <v>644</v>
      </c>
      <c r="R409" s="55">
        <f t="shared" si="151"/>
        <v>9063</v>
      </c>
    </row>
    <row r="410" spans="1:39" ht="15.75" customHeight="1" thickBot="1" x14ac:dyDescent="0.35">
      <c r="A410" s="15" t="s">
        <v>58</v>
      </c>
      <c r="B410" s="1"/>
      <c r="C410" s="1"/>
      <c r="D410" s="1"/>
      <c r="E410" s="55" t="s">
        <v>7</v>
      </c>
      <c r="F410" s="1"/>
      <c r="G410" s="1"/>
      <c r="H410" s="1"/>
      <c r="I410" s="55" t="s">
        <v>7</v>
      </c>
      <c r="J410" s="1"/>
      <c r="K410" s="1"/>
      <c r="L410" s="1"/>
      <c r="M410" s="55" t="s">
        <v>7</v>
      </c>
      <c r="N410" s="1"/>
      <c r="O410" s="1"/>
      <c r="P410" s="1"/>
      <c r="Q410" s="55" t="s">
        <v>7</v>
      </c>
      <c r="R410" s="55" t="s">
        <v>7</v>
      </c>
    </row>
    <row r="411" spans="1:39" ht="16.5" customHeight="1" thickBot="1" x14ac:dyDescent="0.35">
      <c r="A411" s="57" t="s">
        <v>59</v>
      </c>
      <c r="B411" s="86">
        <f>SUM(B398:B410)</f>
        <v>3130</v>
      </c>
      <c r="C411" s="87">
        <f>SUM(C398:C410)</f>
        <v>8527</v>
      </c>
      <c r="D411" s="87">
        <f>SUM(D398:D410)</f>
        <v>8842</v>
      </c>
      <c r="E411" s="59">
        <f>SUM(B411:D411)</f>
        <v>20499</v>
      </c>
      <c r="F411" s="87">
        <f>SUM(F398:F410)</f>
        <v>25179</v>
      </c>
      <c r="G411" s="87">
        <f>SUM(G398:G410)</f>
        <v>29456</v>
      </c>
      <c r="H411" s="87">
        <f>SUM(H398:H410)</f>
        <v>39621</v>
      </c>
      <c r="I411" s="59">
        <f>SUM(F411:H411)</f>
        <v>94256</v>
      </c>
      <c r="J411" s="87">
        <f>SUM(J398:J410)</f>
        <v>11367</v>
      </c>
      <c r="K411" s="87">
        <f>SUM(K398:K410)</f>
        <v>8555</v>
      </c>
      <c r="L411" s="87">
        <f>SUM(L398:L410)</f>
        <v>9361</v>
      </c>
      <c r="M411" s="59">
        <f>SUM(J411:L411)</f>
        <v>29283</v>
      </c>
      <c r="N411" s="87">
        <f>SUM(N398:N410)</f>
        <v>2162</v>
      </c>
      <c r="O411" s="87">
        <f>SUM(O398:O410)</f>
        <v>4321</v>
      </c>
      <c r="P411" s="87">
        <f>SUM(P398:P410)</f>
        <v>6718</v>
      </c>
      <c r="Q411" s="59">
        <f>SUM(N411:P411)</f>
        <v>13201</v>
      </c>
      <c r="R411" s="59">
        <f>+E411+I411+M411+Q411</f>
        <v>157239</v>
      </c>
    </row>
    <row r="412" spans="1:39" ht="15.75" customHeight="1" x14ac:dyDescent="0.3">
      <c r="A412" s="15" t="s">
        <v>60</v>
      </c>
      <c r="B412" s="1"/>
      <c r="C412" s="1"/>
      <c r="D412" s="1"/>
      <c r="E412" s="55" t="s">
        <v>7</v>
      </c>
      <c r="F412" s="1"/>
      <c r="G412" s="1"/>
      <c r="H412" s="1"/>
      <c r="I412" s="55" t="s">
        <v>7</v>
      </c>
      <c r="J412" s="1"/>
      <c r="K412" s="1"/>
      <c r="L412" s="1"/>
      <c r="M412" s="55" t="s">
        <v>7</v>
      </c>
      <c r="N412" s="1"/>
      <c r="O412" s="1"/>
      <c r="P412" s="1"/>
      <c r="Q412" s="55" t="s">
        <v>7</v>
      </c>
      <c r="R412" s="55" t="s">
        <v>7</v>
      </c>
    </row>
    <row r="413" spans="1:39" ht="15.75" customHeight="1" x14ac:dyDescent="0.3">
      <c r="A413" s="15" t="s">
        <v>61</v>
      </c>
      <c r="B413" s="1"/>
      <c r="C413" s="1"/>
      <c r="D413" s="1"/>
      <c r="E413" s="55" t="s">
        <v>7</v>
      </c>
      <c r="F413" s="1"/>
      <c r="G413" s="1"/>
      <c r="H413" s="1"/>
      <c r="I413" s="55" t="s">
        <v>7</v>
      </c>
      <c r="J413" s="1"/>
      <c r="K413" s="1"/>
      <c r="L413" s="1"/>
      <c r="M413" s="55" t="s">
        <v>7</v>
      </c>
      <c r="N413" s="1"/>
      <c r="O413" s="1"/>
      <c r="P413" s="1"/>
      <c r="Q413" s="55" t="s">
        <v>7</v>
      </c>
      <c r="R413" s="55" t="s">
        <v>7</v>
      </c>
    </row>
    <row r="414" spans="1:39" ht="15.75" customHeight="1" x14ac:dyDescent="0.3">
      <c r="A414" s="72" t="s">
        <v>254</v>
      </c>
      <c r="B414" s="1">
        <v>429</v>
      </c>
      <c r="C414" s="1">
        <v>4943</v>
      </c>
      <c r="D414" s="1">
        <v>4462</v>
      </c>
      <c r="E414" s="55">
        <f>SUM(B414:D414)</f>
        <v>9834</v>
      </c>
      <c r="F414" s="1">
        <v>9024</v>
      </c>
      <c r="G414" s="1">
        <v>11879</v>
      </c>
      <c r="H414" s="1">
        <v>12217</v>
      </c>
      <c r="I414" s="55">
        <f>SUM(F414:H414)</f>
        <v>33120</v>
      </c>
      <c r="J414" s="1">
        <v>6941</v>
      </c>
      <c r="K414" s="1">
        <v>6033</v>
      </c>
      <c r="L414" s="1">
        <v>3826</v>
      </c>
      <c r="M414" s="55">
        <f>SUM(J414:L414)</f>
        <v>16800</v>
      </c>
      <c r="N414" s="1">
        <v>3415</v>
      </c>
      <c r="O414" s="1">
        <v>1350</v>
      </c>
      <c r="P414" s="1">
        <v>3070</v>
      </c>
      <c r="Q414" s="55">
        <f>SUM(N414:P414)</f>
        <v>7835</v>
      </c>
      <c r="R414" s="55">
        <f>+E414+I414+M414+Q414</f>
        <v>67589</v>
      </c>
      <c r="T414" s="4" t="s">
        <v>209</v>
      </c>
    </row>
    <row r="415" spans="1:39" ht="15.75" customHeight="1" x14ac:dyDescent="0.3">
      <c r="A415" s="72" t="s">
        <v>947</v>
      </c>
      <c r="B415" s="301"/>
      <c r="C415" s="1">
        <v>157</v>
      </c>
      <c r="D415" s="1">
        <v>252</v>
      </c>
      <c r="E415" s="55">
        <f>SUM(B415:D415)</f>
        <v>409</v>
      </c>
      <c r="F415" s="1">
        <v>3782</v>
      </c>
      <c r="G415" s="1">
        <v>4499</v>
      </c>
      <c r="H415" s="1">
        <v>5328</v>
      </c>
      <c r="I415" s="55">
        <f>SUM(F415:H415)</f>
        <v>13609</v>
      </c>
      <c r="J415" s="1">
        <v>3969</v>
      </c>
      <c r="K415" s="1">
        <v>3154</v>
      </c>
      <c r="L415" s="1">
        <v>1265</v>
      </c>
      <c r="M415" s="55">
        <f>SUM(J415:L415)</f>
        <v>8388</v>
      </c>
      <c r="N415" s="1">
        <v>199</v>
      </c>
      <c r="O415" s="1">
        <v>129</v>
      </c>
      <c r="P415" s="1"/>
      <c r="Q415" s="55">
        <f>SUM(N415:P415)</f>
        <v>328</v>
      </c>
      <c r="R415" s="55">
        <f>+E415+I415+M415+Q415</f>
        <v>22734</v>
      </c>
    </row>
    <row r="416" spans="1:39" ht="15.75" customHeight="1" x14ac:dyDescent="0.3">
      <c r="A416" s="467" t="s">
        <v>1441</v>
      </c>
      <c r="B416" s="301"/>
      <c r="C416" s="301"/>
      <c r="D416" s="301"/>
      <c r="E416" s="302">
        <f>SUM(B416:D416)</f>
        <v>0</v>
      </c>
      <c r="F416" s="301"/>
      <c r="G416" s="301"/>
      <c r="H416" s="301"/>
      <c r="I416" s="302">
        <f>SUM(F416:H416)</f>
        <v>0</v>
      </c>
      <c r="J416" s="301"/>
      <c r="K416" s="301"/>
      <c r="L416" s="301"/>
      <c r="M416" s="302">
        <f>SUM(J416:L416)</f>
        <v>0</v>
      </c>
      <c r="N416" s="301"/>
      <c r="O416" s="301"/>
      <c r="P416" s="301"/>
      <c r="Q416" s="302">
        <f>SUM(N416:P416)</f>
        <v>0</v>
      </c>
      <c r="R416" s="302">
        <f>+E416+I416+M416+Q416</f>
        <v>0</v>
      </c>
    </row>
    <row r="417" spans="1:20" ht="15.75" customHeight="1" x14ac:dyDescent="0.3">
      <c r="A417" s="72" t="s">
        <v>1442</v>
      </c>
      <c r="B417" s="1"/>
      <c r="C417" s="1">
        <f>336+621</f>
        <v>957</v>
      </c>
      <c r="D417" s="1">
        <f>866</f>
        <v>866</v>
      </c>
      <c r="E417" s="55">
        <f>SUM(B417:D417)</f>
        <v>1823</v>
      </c>
      <c r="F417" s="1">
        <f>1366+1132</f>
        <v>2498</v>
      </c>
      <c r="G417" s="1">
        <f>734</f>
        <v>734</v>
      </c>
      <c r="H417" s="1">
        <v>1249</v>
      </c>
      <c r="I417" s="55">
        <f>SUM(F417:H417)</f>
        <v>4481</v>
      </c>
      <c r="J417" s="1">
        <f>1121+119</f>
        <v>1240</v>
      </c>
      <c r="K417" s="1">
        <f>542+341</f>
        <v>883</v>
      </c>
      <c r="L417" s="1">
        <f>1305+904</f>
        <v>2209</v>
      </c>
      <c r="M417" s="55">
        <f>SUM(J417:L417)</f>
        <v>4332</v>
      </c>
      <c r="N417" s="1">
        <f>846</f>
        <v>846</v>
      </c>
      <c r="O417" s="1">
        <f>840+29</f>
        <v>869</v>
      </c>
      <c r="P417" s="1">
        <f>162+575</f>
        <v>737</v>
      </c>
      <c r="Q417" s="55">
        <f>SUM(N417:P417)</f>
        <v>2452</v>
      </c>
      <c r="R417" s="55">
        <f>+E417+I417+M417+Q417</f>
        <v>13088</v>
      </c>
    </row>
    <row r="418" spans="1:20" ht="15.75" customHeight="1" x14ac:dyDescent="0.3">
      <c r="A418" s="15" t="s">
        <v>62</v>
      </c>
      <c r="B418" s="1"/>
      <c r="C418" s="1"/>
      <c r="D418" s="1"/>
      <c r="E418" s="55" t="s">
        <v>7</v>
      </c>
      <c r="F418" s="1"/>
      <c r="G418" s="1"/>
      <c r="H418" s="1"/>
      <c r="I418" s="55" t="s">
        <v>7</v>
      </c>
      <c r="J418" s="1"/>
      <c r="K418" s="1"/>
      <c r="L418" s="1"/>
      <c r="M418" s="55" t="s">
        <v>7</v>
      </c>
      <c r="N418" s="1"/>
      <c r="O418" s="1"/>
      <c r="P418" s="1"/>
      <c r="Q418" s="55" t="s">
        <v>7</v>
      </c>
      <c r="R418" s="55" t="s">
        <v>7</v>
      </c>
    </row>
    <row r="419" spans="1:20" ht="15.75" customHeight="1" x14ac:dyDescent="0.3">
      <c r="A419" s="72" t="s">
        <v>1216</v>
      </c>
      <c r="B419" s="1"/>
      <c r="C419" s="1"/>
      <c r="D419" s="1"/>
      <c r="E419" s="55">
        <f>SUM(B419:D419)</f>
        <v>0</v>
      </c>
      <c r="F419" s="1"/>
      <c r="G419" s="1"/>
      <c r="H419" s="1"/>
      <c r="I419" s="55">
        <f t="shared" ref="I419:I420" si="166">SUM(F419:H419)</f>
        <v>0</v>
      </c>
      <c r="J419" s="1"/>
      <c r="K419" s="1"/>
      <c r="L419" s="1">
        <v>2679</v>
      </c>
      <c r="M419" s="55">
        <f>SUM(J419:L419)</f>
        <v>2679</v>
      </c>
      <c r="N419" s="1">
        <v>2050</v>
      </c>
      <c r="O419" s="1">
        <v>238</v>
      </c>
      <c r="P419" s="1">
        <v>33</v>
      </c>
      <c r="Q419" s="55">
        <f>SUM(N419:P419)</f>
        <v>2321</v>
      </c>
      <c r="R419" s="55">
        <f t="shared" ref="R419:R484" si="167">+E419+I419+M419+Q419</f>
        <v>5000</v>
      </c>
    </row>
    <row r="420" spans="1:20" ht="15.75" customHeight="1" x14ac:dyDescent="0.3">
      <c r="A420" s="72" t="s">
        <v>1360</v>
      </c>
      <c r="B420" s="1"/>
      <c r="C420" s="1"/>
      <c r="D420" s="1"/>
      <c r="E420" s="55">
        <f>SUM(B420:D420)</f>
        <v>0</v>
      </c>
      <c r="F420" s="1"/>
      <c r="G420" s="1">
        <v>1062</v>
      </c>
      <c r="H420" s="1"/>
      <c r="I420" s="55">
        <f t="shared" si="166"/>
        <v>1062</v>
      </c>
      <c r="J420" s="1"/>
      <c r="K420" s="1"/>
      <c r="L420" s="1"/>
      <c r="M420" s="55">
        <f>SUM(J420:L420)</f>
        <v>0</v>
      </c>
      <c r="N420" s="1"/>
      <c r="O420" s="1"/>
      <c r="P420" s="1"/>
      <c r="Q420" s="55">
        <f>SUM(N420:P420)</f>
        <v>0</v>
      </c>
      <c r="R420" s="55">
        <f t="shared" si="167"/>
        <v>1062</v>
      </c>
    </row>
    <row r="421" spans="1:20" ht="15.75" customHeight="1" x14ac:dyDescent="0.3">
      <c r="A421" s="72" t="s">
        <v>1403</v>
      </c>
      <c r="B421" s="1"/>
      <c r="C421" s="1"/>
      <c r="D421" s="1"/>
      <c r="E421" s="55">
        <f>SUM(B421:D421)</f>
        <v>0</v>
      </c>
      <c r="F421" s="1"/>
      <c r="G421" s="1"/>
      <c r="H421" s="1"/>
      <c r="I421" s="55">
        <f>SUM(F421:H421)</f>
        <v>0</v>
      </c>
      <c r="J421" s="1"/>
      <c r="K421" s="1"/>
      <c r="L421" s="1"/>
      <c r="M421" s="55">
        <f>SUM(J421:L421)</f>
        <v>0</v>
      </c>
      <c r="N421" s="1"/>
      <c r="O421" s="1"/>
      <c r="P421" s="1"/>
      <c r="Q421" s="55">
        <f>SUM(N421:P421)</f>
        <v>0</v>
      </c>
      <c r="R421" s="55">
        <f t="shared" si="167"/>
        <v>0</v>
      </c>
    </row>
    <row r="422" spans="1:20" ht="15.75" customHeight="1" x14ac:dyDescent="0.3">
      <c r="A422" s="72" t="s">
        <v>1443</v>
      </c>
      <c r="B422" s="1"/>
      <c r="C422" s="1"/>
      <c r="D422" s="1">
        <v>1395</v>
      </c>
      <c r="E422" s="55">
        <f>SUM(B422:D422)</f>
        <v>1395</v>
      </c>
      <c r="F422" s="1"/>
      <c r="G422" s="1">
        <v>1376</v>
      </c>
      <c r="H422" s="1">
        <v>1321</v>
      </c>
      <c r="I422" s="55">
        <f>SUM(F422:H422)</f>
        <v>2697</v>
      </c>
      <c r="J422" s="1">
        <v>1552</v>
      </c>
      <c r="K422" s="1">
        <v>1060</v>
      </c>
      <c r="L422" s="1">
        <v>1462</v>
      </c>
      <c r="M422" s="55">
        <f>SUM(J422:L422)</f>
        <v>4074</v>
      </c>
      <c r="N422" s="1">
        <v>2965</v>
      </c>
      <c r="O422" s="1">
        <v>2869</v>
      </c>
      <c r="P422" s="1"/>
      <c r="Q422" s="55">
        <f>SUM(N422:P422)</f>
        <v>5834</v>
      </c>
      <c r="R422" s="55">
        <f>+E422+I422+M422+Q422</f>
        <v>14000</v>
      </c>
      <c r="T422" s="4" t="s">
        <v>256</v>
      </c>
    </row>
    <row r="423" spans="1:20" ht="15.75" customHeight="1" x14ac:dyDescent="0.3">
      <c r="A423" s="72" t="s">
        <v>1217</v>
      </c>
      <c r="B423" s="1"/>
      <c r="C423" s="1"/>
      <c r="D423" s="1"/>
      <c r="E423" s="55">
        <f t="shared" ref="E423:E484" si="168">SUM(B423:D423)</f>
        <v>0</v>
      </c>
      <c r="F423" s="1"/>
      <c r="G423" s="1"/>
      <c r="H423" s="1"/>
      <c r="I423" s="55">
        <f t="shared" ref="I423:I484" si="169">SUM(F423:H423)</f>
        <v>0</v>
      </c>
      <c r="J423" s="1"/>
      <c r="K423" s="1"/>
      <c r="L423" s="1"/>
      <c r="M423" s="55">
        <f t="shared" ref="M423:M484" si="170">SUM(J423:L423)</f>
        <v>0</v>
      </c>
      <c r="N423" s="1"/>
      <c r="O423" s="1"/>
      <c r="P423" s="1"/>
      <c r="Q423" s="55">
        <f t="shared" ref="Q423:Q485" si="171">SUM(N423:P423)</f>
        <v>0</v>
      </c>
      <c r="R423" s="55">
        <f t="shared" si="167"/>
        <v>0</v>
      </c>
    </row>
    <row r="424" spans="1:20" ht="15.75" customHeight="1" x14ac:dyDescent="0.3">
      <c r="A424" s="72" t="s">
        <v>948</v>
      </c>
      <c r="B424" s="1">
        <v>172</v>
      </c>
      <c r="C424" s="1"/>
      <c r="D424" s="1"/>
      <c r="E424" s="55">
        <f t="shared" si="168"/>
        <v>172</v>
      </c>
      <c r="F424" s="1"/>
      <c r="G424" s="1"/>
      <c r="H424" s="1"/>
      <c r="I424" s="55">
        <f t="shared" si="169"/>
        <v>0</v>
      </c>
      <c r="J424" s="1"/>
      <c r="K424" s="1"/>
      <c r="L424" s="1"/>
      <c r="M424" s="55">
        <f t="shared" si="170"/>
        <v>0</v>
      </c>
      <c r="N424" s="1"/>
      <c r="O424" s="1"/>
      <c r="P424" s="1"/>
      <c r="Q424" s="55">
        <f t="shared" si="171"/>
        <v>0</v>
      </c>
      <c r="R424" s="55">
        <f t="shared" si="167"/>
        <v>172</v>
      </c>
      <c r="T424" s="4" t="s">
        <v>241</v>
      </c>
    </row>
    <row r="425" spans="1:20" ht="15.75" customHeight="1" x14ac:dyDescent="0.3">
      <c r="A425" s="72" t="s">
        <v>1404</v>
      </c>
      <c r="B425" s="1"/>
      <c r="C425" s="1"/>
      <c r="D425" s="1"/>
      <c r="E425" s="55">
        <f t="shared" si="168"/>
        <v>0</v>
      </c>
      <c r="F425" s="1"/>
      <c r="G425" s="1"/>
      <c r="H425" s="1"/>
      <c r="I425" s="55">
        <f t="shared" si="169"/>
        <v>0</v>
      </c>
      <c r="J425" s="1"/>
      <c r="K425" s="1">
        <v>1618</v>
      </c>
      <c r="L425" s="1">
        <v>832</v>
      </c>
      <c r="M425" s="55">
        <f t="shared" si="170"/>
        <v>2450</v>
      </c>
      <c r="N425" s="1"/>
      <c r="O425" s="1"/>
      <c r="P425" s="1"/>
      <c r="Q425" s="55">
        <f t="shared" si="171"/>
        <v>0</v>
      </c>
      <c r="R425" s="55">
        <f t="shared" si="167"/>
        <v>2450</v>
      </c>
    </row>
    <row r="426" spans="1:20" ht="15.75" customHeight="1" x14ac:dyDescent="0.3">
      <c r="A426" s="72" t="s">
        <v>949</v>
      </c>
      <c r="B426" s="1">
        <v>1537</v>
      </c>
      <c r="C426" s="1"/>
      <c r="D426" s="1"/>
      <c r="E426" s="55">
        <f t="shared" si="168"/>
        <v>1537</v>
      </c>
      <c r="F426" s="1"/>
      <c r="G426" s="1"/>
      <c r="H426" s="1"/>
      <c r="I426" s="55">
        <f t="shared" si="169"/>
        <v>0</v>
      </c>
      <c r="J426" s="1"/>
      <c r="K426" s="1"/>
      <c r="L426" s="1"/>
      <c r="M426" s="55">
        <f t="shared" si="170"/>
        <v>0</v>
      </c>
      <c r="N426" s="1"/>
      <c r="O426" s="1"/>
      <c r="P426" s="1"/>
      <c r="Q426" s="55">
        <f t="shared" si="171"/>
        <v>0</v>
      </c>
      <c r="R426" s="55">
        <f t="shared" si="167"/>
        <v>1537</v>
      </c>
      <c r="T426" s="4" t="s">
        <v>919</v>
      </c>
    </row>
    <row r="427" spans="1:20" ht="15.75" customHeight="1" x14ac:dyDescent="0.3">
      <c r="A427" s="72" t="s">
        <v>950</v>
      </c>
      <c r="B427" s="1"/>
      <c r="C427" s="1"/>
      <c r="D427" s="1"/>
      <c r="E427" s="55">
        <f t="shared" si="168"/>
        <v>0</v>
      </c>
      <c r="F427" s="1"/>
      <c r="G427" s="1"/>
      <c r="H427" s="1"/>
      <c r="I427" s="55">
        <f t="shared" si="169"/>
        <v>0</v>
      </c>
      <c r="J427" s="1"/>
      <c r="K427" s="1"/>
      <c r="L427" s="1"/>
      <c r="M427" s="55">
        <f t="shared" si="170"/>
        <v>0</v>
      </c>
      <c r="N427" s="1"/>
      <c r="O427" s="1"/>
      <c r="P427" s="1"/>
      <c r="Q427" s="55">
        <f t="shared" si="171"/>
        <v>0</v>
      </c>
      <c r="R427" s="55">
        <f t="shared" si="167"/>
        <v>0</v>
      </c>
      <c r="T427" s="4" t="s">
        <v>241</v>
      </c>
    </row>
    <row r="428" spans="1:20" ht="15.75" customHeight="1" x14ac:dyDescent="0.3">
      <c r="A428" s="72" t="s">
        <v>149</v>
      </c>
      <c r="B428" s="1"/>
      <c r="C428" s="1"/>
      <c r="D428" s="1"/>
      <c r="E428" s="55">
        <f t="shared" si="168"/>
        <v>0</v>
      </c>
      <c r="F428" s="1"/>
      <c r="G428" s="1">
        <v>627</v>
      </c>
      <c r="H428" s="1"/>
      <c r="I428" s="55">
        <f t="shared" si="169"/>
        <v>627</v>
      </c>
      <c r="J428" s="1"/>
      <c r="K428" s="1"/>
      <c r="L428" s="1"/>
      <c r="M428" s="55">
        <f t="shared" si="170"/>
        <v>0</v>
      </c>
      <c r="N428" s="1"/>
      <c r="O428" s="1"/>
      <c r="P428" s="1"/>
      <c r="Q428" s="55">
        <f t="shared" si="171"/>
        <v>0</v>
      </c>
      <c r="R428" s="55">
        <f t="shared" si="167"/>
        <v>627</v>
      </c>
    </row>
    <row r="429" spans="1:20" ht="15.75" customHeight="1" x14ac:dyDescent="0.3">
      <c r="A429" s="72" t="s">
        <v>1303</v>
      </c>
      <c r="B429" s="1"/>
      <c r="C429" s="1"/>
      <c r="D429" s="1"/>
      <c r="E429" s="55">
        <f t="shared" si="168"/>
        <v>0</v>
      </c>
      <c r="F429" s="1"/>
      <c r="G429" s="1"/>
      <c r="H429" s="1"/>
      <c r="I429" s="55">
        <f t="shared" si="169"/>
        <v>0</v>
      </c>
      <c r="J429" s="1"/>
      <c r="K429" s="1"/>
      <c r="L429" s="1"/>
      <c r="M429" s="55">
        <f t="shared" si="170"/>
        <v>0</v>
      </c>
      <c r="N429" s="1"/>
      <c r="O429" s="1"/>
      <c r="P429" s="1"/>
      <c r="Q429" s="55">
        <f t="shared" si="171"/>
        <v>0</v>
      </c>
      <c r="R429" s="55">
        <f t="shared" si="167"/>
        <v>0</v>
      </c>
    </row>
    <row r="430" spans="1:20" ht="15.75" customHeight="1" x14ac:dyDescent="0.3">
      <c r="A430" s="72" t="s">
        <v>951</v>
      </c>
      <c r="B430" s="1"/>
      <c r="C430" s="1"/>
      <c r="D430" s="1"/>
      <c r="E430" s="55">
        <f t="shared" si="168"/>
        <v>0</v>
      </c>
      <c r="F430" s="1"/>
      <c r="G430" s="1"/>
      <c r="H430" s="1"/>
      <c r="I430" s="55">
        <f t="shared" si="169"/>
        <v>0</v>
      </c>
      <c r="J430" s="1"/>
      <c r="K430" s="1"/>
      <c r="L430" s="1"/>
      <c r="M430" s="55">
        <f t="shared" si="170"/>
        <v>0</v>
      </c>
      <c r="N430" s="1"/>
      <c r="O430" s="1"/>
      <c r="P430" s="1"/>
      <c r="Q430" s="55">
        <f t="shared" si="171"/>
        <v>0</v>
      </c>
      <c r="R430" s="55">
        <f>+E430+I430+M430+Q430</f>
        <v>0</v>
      </c>
      <c r="T430" s="4" t="s">
        <v>224</v>
      </c>
    </row>
    <row r="431" spans="1:20" ht="15.75" customHeight="1" x14ac:dyDescent="0.3">
      <c r="A431" s="72" t="s">
        <v>952</v>
      </c>
      <c r="B431" s="1"/>
      <c r="C431" s="1"/>
      <c r="D431" s="1"/>
      <c r="E431" s="55">
        <f t="shared" si="168"/>
        <v>0</v>
      </c>
      <c r="F431" s="1"/>
      <c r="G431" s="1"/>
      <c r="H431" s="1"/>
      <c r="I431" s="55">
        <f t="shared" si="169"/>
        <v>0</v>
      </c>
      <c r="J431" s="1"/>
      <c r="K431" s="1"/>
      <c r="L431" s="1"/>
      <c r="M431" s="55">
        <f t="shared" si="170"/>
        <v>0</v>
      </c>
      <c r="N431" s="1"/>
      <c r="O431" s="1"/>
      <c r="P431" s="1"/>
      <c r="Q431" s="55">
        <f t="shared" si="171"/>
        <v>0</v>
      </c>
      <c r="R431" s="55">
        <f t="shared" si="167"/>
        <v>0</v>
      </c>
      <c r="T431" s="4" t="s">
        <v>209</v>
      </c>
    </row>
    <row r="432" spans="1:20" ht="15.75" customHeight="1" x14ac:dyDescent="0.3">
      <c r="A432" s="72" t="s">
        <v>953</v>
      </c>
      <c r="B432" s="1"/>
      <c r="C432" s="1">
        <f>316+510+67+107</f>
        <v>1000</v>
      </c>
      <c r="D432" s="1">
        <f>741+1259</f>
        <v>2000</v>
      </c>
      <c r="E432" s="55">
        <f t="shared" si="168"/>
        <v>3000</v>
      </c>
      <c r="F432" s="1">
        <v>3000</v>
      </c>
      <c r="G432" s="1">
        <v>2000</v>
      </c>
      <c r="H432" s="1">
        <v>2000</v>
      </c>
      <c r="I432" s="55">
        <f t="shared" si="169"/>
        <v>7000</v>
      </c>
      <c r="J432" s="1"/>
      <c r="K432" s="1"/>
      <c r="L432" s="1"/>
      <c r="M432" s="55">
        <f t="shared" si="170"/>
        <v>0</v>
      </c>
      <c r="N432" s="1"/>
      <c r="O432" s="1"/>
      <c r="P432" s="1"/>
      <c r="Q432" s="55">
        <f t="shared" si="171"/>
        <v>0</v>
      </c>
      <c r="R432" s="55">
        <f t="shared" si="167"/>
        <v>10000</v>
      </c>
    </row>
    <row r="433" spans="1:20" ht="15.75" customHeight="1" x14ac:dyDescent="0.3">
      <c r="A433" s="72" t="s">
        <v>641</v>
      </c>
      <c r="B433" s="1"/>
      <c r="C433" s="1"/>
      <c r="D433" s="1"/>
      <c r="E433" s="55">
        <f t="shared" si="168"/>
        <v>0</v>
      </c>
      <c r="F433" s="1"/>
      <c r="G433" s="1">
        <v>5000</v>
      </c>
      <c r="H433" s="1">
        <v>5000</v>
      </c>
      <c r="I433" s="55">
        <f t="shared" si="169"/>
        <v>10000</v>
      </c>
      <c r="J433" s="1">
        <v>5000</v>
      </c>
      <c r="K433" s="1"/>
      <c r="L433" s="1"/>
      <c r="M433" s="55">
        <f t="shared" si="170"/>
        <v>5000</v>
      </c>
      <c r="N433" s="1"/>
      <c r="O433" s="1"/>
      <c r="P433" s="1"/>
      <c r="Q433" s="55">
        <f t="shared" si="171"/>
        <v>0</v>
      </c>
      <c r="R433" s="55">
        <f t="shared" si="167"/>
        <v>15000</v>
      </c>
      <c r="T433" s="4" t="s">
        <v>209</v>
      </c>
    </row>
    <row r="434" spans="1:20" ht="15.75" customHeight="1" x14ac:dyDescent="0.3">
      <c r="A434" s="72" t="s">
        <v>640</v>
      </c>
      <c r="B434" s="1"/>
      <c r="C434" s="1"/>
      <c r="D434" s="1"/>
      <c r="E434" s="55">
        <f t="shared" si="168"/>
        <v>0</v>
      </c>
      <c r="F434" s="1"/>
      <c r="G434" s="1"/>
      <c r="H434" s="1"/>
      <c r="I434" s="55">
        <f t="shared" si="169"/>
        <v>0</v>
      </c>
      <c r="J434" s="1"/>
      <c r="K434" s="1">
        <v>4014</v>
      </c>
      <c r="L434" s="1">
        <f>4094+641</f>
        <v>4735</v>
      </c>
      <c r="M434" s="55">
        <f t="shared" si="170"/>
        <v>8749</v>
      </c>
      <c r="N434" s="1">
        <f>2369+96</f>
        <v>2465</v>
      </c>
      <c r="O434" s="1">
        <f>1487+241</f>
        <v>1728</v>
      </c>
      <c r="P434" s="1">
        <f>1708+350</f>
        <v>2058</v>
      </c>
      <c r="Q434" s="55">
        <f t="shared" si="171"/>
        <v>6251</v>
      </c>
      <c r="R434" s="55">
        <f t="shared" si="167"/>
        <v>15000</v>
      </c>
    </row>
    <row r="435" spans="1:20" ht="15.75" customHeight="1" x14ac:dyDescent="0.3">
      <c r="A435" s="72" t="s">
        <v>1405</v>
      </c>
      <c r="B435" s="1"/>
      <c r="C435" s="1">
        <v>325</v>
      </c>
      <c r="D435" s="1">
        <v>147</v>
      </c>
      <c r="E435" s="55">
        <f t="shared" si="168"/>
        <v>472</v>
      </c>
      <c r="F435" s="1">
        <v>1887</v>
      </c>
      <c r="G435" s="1">
        <v>731</v>
      </c>
      <c r="H435" s="1"/>
      <c r="I435" s="55">
        <f t="shared" si="169"/>
        <v>2618</v>
      </c>
      <c r="J435" s="1">
        <v>261</v>
      </c>
      <c r="K435" s="1">
        <v>942</v>
      </c>
      <c r="L435" s="1">
        <v>707</v>
      </c>
      <c r="M435" s="55">
        <f t="shared" si="170"/>
        <v>1910</v>
      </c>
      <c r="N435" s="1"/>
      <c r="O435" s="1"/>
      <c r="P435" s="1"/>
      <c r="Q435" s="55">
        <f t="shared" ref="Q435" si="172">SUM(N435:P435)</f>
        <v>0</v>
      </c>
      <c r="R435" s="55">
        <f t="shared" si="167"/>
        <v>5000</v>
      </c>
    </row>
    <row r="436" spans="1:20" ht="15.75" customHeight="1" x14ac:dyDescent="0.3">
      <c r="A436" s="72" t="s">
        <v>1406</v>
      </c>
      <c r="B436" s="1"/>
      <c r="C436" s="1"/>
      <c r="D436" s="1"/>
      <c r="E436" s="55">
        <f t="shared" si="168"/>
        <v>0</v>
      </c>
      <c r="F436" s="1"/>
      <c r="G436" s="1">
        <v>184</v>
      </c>
      <c r="H436" s="1"/>
      <c r="I436" s="55">
        <f t="shared" si="169"/>
        <v>184</v>
      </c>
      <c r="J436" s="1">
        <v>912</v>
      </c>
      <c r="K436" s="1"/>
      <c r="L436" s="1"/>
      <c r="M436" s="55">
        <f t="shared" si="170"/>
        <v>912</v>
      </c>
      <c r="N436" s="1"/>
      <c r="O436" s="1"/>
      <c r="P436" s="1"/>
      <c r="Q436" s="55">
        <f t="shared" ref="Q436:Q440" si="173">SUM(N436:P436)</f>
        <v>0</v>
      </c>
      <c r="R436" s="55">
        <f t="shared" si="167"/>
        <v>1096</v>
      </c>
    </row>
    <row r="437" spans="1:20" ht="15.75" customHeight="1" x14ac:dyDescent="0.3">
      <c r="A437" s="72" t="s">
        <v>1407</v>
      </c>
      <c r="B437" s="1">
        <v>8</v>
      </c>
      <c r="C437" s="1"/>
      <c r="D437" s="1"/>
      <c r="E437" s="55">
        <f t="shared" si="168"/>
        <v>8</v>
      </c>
      <c r="F437" s="1">
        <v>20</v>
      </c>
      <c r="G437" s="1">
        <v>4</v>
      </c>
      <c r="H437" s="1">
        <v>100</v>
      </c>
      <c r="I437" s="55">
        <f t="shared" si="169"/>
        <v>124</v>
      </c>
      <c r="J437" s="1">
        <v>27</v>
      </c>
      <c r="K437" s="1">
        <v>28</v>
      </c>
      <c r="L437" s="1">
        <v>788</v>
      </c>
      <c r="M437" s="55">
        <f t="shared" si="170"/>
        <v>843</v>
      </c>
      <c r="N437" s="1">
        <f>498+7</f>
        <v>505</v>
      </c>
      <c r="O437" s="1">
        <v>17</v>
      </c>
      <c r="P437" s="1">
        <v>3</v>
      </c>
      <c r="Q437" s="55">
        <f t="shared" si="173"/>
        <v>525</v>
      </c>
      <c r="R437" s="55">
        <f t="shared" si="167"/>
        <v>1500</v>
      </c>
    </row>
    <row r="438" spans="1:20" ht="15.75" customHeight="1" x14ac:dyDescent="0.3">
      <c r="A438" s="72" t="s">
        <v>1444</v>
      </c>
      <c r="B438" s="1">
        <v>604</v>
      </c>
      <c r="C438" s="1">
        <v>314</v>
      </c>
      <c r="D438" s="1">
        <v>1267</v>
      </c>
      <c r="E438" s="55">
        <f t="shared" si="168"/>
        <v>2185</v>
      </c>
      <c r="F438" s="1"/>
      <c r="G438" s="1"/>
      <c r="H438" s="1"/>
      <c r="I438" s="55">
        <f t="shared" si="169"/>
        <v>0</v>
      </c>
      <c r="J438" s="1"/>
      <c r="K438" s="1"/>
      <c r="L438" s="1"/>
      <c r="M438" s="55">
        <f t="shared" si="170"/>
        <v>0</v>
      </c>
      <c r="N438" s="1"/>
      <c r="O438" s="1"/>
      <c r="P438" s="1"/>
      <c r="Q438" s="55">
        <f t="shared" si="173"/>
        <v>0</v>
      </c>
      <c r="R438" s="55">
        <f t="shared" si="167"/>
        <v>2185</v>
      </c>
    </row>
    <row r="439" spans="1:20" ht="15.75" customHeight="1" x14ac:dyDescent="0.3">
      <c r="A439" s="72" t="s">
        <v>954</v>
      </c>
      <c r="B439" s="1"/>
      <c r="C439" s="1"/>
      <c r="D439" s="1">
        <v>2328</v>
      </c>
      <c r="E439" s="55">
        <f t="shared" si="168"/>
        <v>2328</v>
      </c>
      <c r="F439" s="1">
        <v>3908</v>
      </c>
      <c r="G439" s="1">
        <v>5566</v>
      </c>
      <c r="H439" s="1">
        <v>2473</v>
      </c>
      <c r="I439" s="55">
        <f t="shared" si="169"/>
        <v>11947</v>
      </c>
      <c r="J439" s="1">
        <v>1225</v>
      </c>
      <c r="K439" s="1"/>
      <c r="L439" s="1"/>
      <c r="M439" s="55">
        <f t="shared" si="170"/>
        <v>1225</v>
      </c>
      <c r="N439" s="1"/>
      <c r="O439" s="1"/>
      <c r="P439" s="1"/>
      <c r="Q439" s="55">
        <f t="shared" si="173"/>
        <v>0</v>
      </c>
      <c r="R439" s="55">
        <f t="shared" si="167"/>
        <v>15500</v>
      </c>
    </row>
    <row r="440" spans="1:20" ht="15.75" customHeight="1" x14ac:dyDescent="0.3">
      <c r="A440" s="72" t="s">
        <v>1218</v>
      </c>
      <c r="B440" s="1"/>
      <c r="C440" s="1"/>
      <c r="D440" s="1"/>
      <c r="E440" s="55">
        <f t="shared" si="168"/>
        <v>0</v>
      </c>
      <c r="F440" s="1"/>
      <c r="G440" s="1"/>
      <c r="H440" s="1"/>
      <c r="I440" s="55">
        <f t="shared" si="169"/>
        <v>0</v>
      </c>
      <c r="J440" s="1"/>
      <c r="K440" s="1"/>
      <c r="L440" s="1"/>
      <c r="M440" s="55">
        <f t="shared" si="170"/>
        <v>0</v>
      </c>
      <c r="N440" s="1"/>
      <c r="O440" s="1"/>
      <c r="P440" s="1"/>
      <c r="Q440" s="55">
        <f t="shared" si="173"/>
        <v>0</v>
      </c>
      <c r="R440" s="55">
        <f t="shared" si="167"/>
        <v>0</v>
      </c>
    </row>
    <row r="441" spans="1:20" ht="15.75" customHeight="1" x14ac:dyDescent="0.3">
      <c r="A441" s="72" t="s">
        <v>955</v>
      </c>
      <c r="B441" s="1">
        <v>117</v>
      </c>
      <c r="C441" s="1">
        <f>103+2</f>
        <v>105</v>
      </c>
      <c r="D441" s="1">
        <f>123+1</f>
        <v>124</v>
      </c>
      <c r="E441" s="55">
        <f t="shared" si="168"/>
        <v>346</v>
      </c>
      <c r="F441" s="1">
        <f>124+1</f>
        <v>125</v>
      </c>
      <c r="G441" s="1">
        <f>129+2</f>
        <v>131</v>
      </c>
      <c r="H441" s="1">
        <f>143+2</f>
        <v>145</v>
      </c>
      <c r="I441" s="55">
        <f t="shared" si="169"/>
        <v>401</v>
      </c>
      <c r="J441" s="1">
        <f>135+1</f>
        <v>136</v>
      </c>
      <c r="K441" s="1">
        <v>117</v>
      </c>
      <c r="L441" s="1"/>
      <c r="M441" s="55">
        <f t="shared" si="170"/>
        <v>253</v>
      </c>
      <c r="N441" s="1"/>
      <c r="O441" s="1"/>
      <c r="P441" s="1"/>
      <c r="Q441" s="55">
        <f t="shared" si="171"/>
        <v>0</v>
      </c>
      <c r="R441" s="55">
        <f t="shared" si="167"/>
        <v>1000</v>
      </c>
    </row>
    <row r="442" spans="1:20" ht="15.75" customHeight="1" x14ac:dyDescent="0.3">
      <c r="A442" s="72" t="s">
        <v>956</v>
      </c>
      <c r="B442" s="1">
        <v>1500</v>
      </c>
      <c r="C442" s="1">
        <v>3396</v>
      </c>
      <c r="D442" s="1">
        <v>5939</v>
      </c>
      <c r="E442" s="55">
        <f t="shared" si="168"/>
        <v>10835</v>
      </c>
      <c r="F442" s="1">
        <v>1733</v>
      </c>
      <c r="G442" s="1">
        <v>2432</v>
      </c>
      <c r="H442" s="1"/>
      <c r="I442" s="55">
        <f t="shared" si="169"/>
        <v>4165</v>
      </c>
      <c r="J442" s="1"/>
      <c r="K442" s="1"/>
      <c r="L442" s="1"/>
      <c r="M442" s="55">
        <f t="shared" si="170"/>
        <v>0</v>
      </c>
      <c r="N442" s="1"/>
      <c r="O442" s="1"/>
      <c r="P442" s="1"/>
      <c r="Q442" s="55">
        <f t="shared" si="171"/>
        <v>0</v>
      </c>
      <c r="R442" s="55">
        <f t="shared" si="167"/>
        <v>15000</v>
      </c>
      <c r="T442" s="4" t="s">
        <v>241</v>
      </c>
    </row>
    <row r="443" spans="1:20" ht="15.75" customHeight="1" x14ac:dyDescent="0.3">
      <c r="A443" s="72" t="s">
        <v>1445</v>
      </c>
      <c r="B443" s="1"/>
      <c r="C443" s="1"/>
      <c r="D443" s="1"/>
      <c r="E443" s="55">
        <f t="shared" si="168"/>
        <v>0</v>
      </c>
      <c r="F443" s="1"/>
      <c r="G443" s="1"/>
      <c r="H443" s="1"/>
      <c r="I443" s="55">
        <f t="shared" si="169"/>
        <v>0</v>
      </c>
      <c r="J443" s="1"/>
      <c r="K443" s="1"/>
      <c r="L443" s="1"/>
      <c r="M443" s="55">
        <f t="shared" si="170"/>
        <v>0</v>
      </c>
      <c r="N443" s="1">
        <v>1002</v>
      </c>
      <c r="O443" s="1">
        <v>998</v>
      </c>
      <c r="P443" s="1"/>
      <c r="Q443" s="55">
        <f t="shared" ref="Q443" si="174">SUM(N443:P443)</f>
        <v>2000</v>
      </c>
      <c r="R443" s="55">
        <f t="shared" si="167"/>
        <v>2000</v>
      </c>
    </row>
    <row r="444" spans="1:20" ht="15.75" customHeight="1" x14ac:dyDescent="0.3">
      <c r="A444" s="72" t="s">
        <v>957</v>
      </c>
      <c r="B444" s="1">
        <v>12</v>
      </c>
      <c r="C444" s="1">
        <v>3</v>
      </c>
      <c r="D444" s="1">
        <v>24</v>
      </c>
      <c r="E444" s="55">
        <f>SUM(B444:D444)</f>
        <v>39</v>
      </c>
      <c r="F444" s="1">
        <v>27</v>
      </c>
      <c r="G444" s="1">
        <v>18</v>
      </c>
      <c r="H444" s="1">
        <v>24</v>
      </c>
      <c r="I444" s="55">
        <f t="shared" si="169"/>
        <v>69</v>
      </c>
      <c r="J444" s="1">
        <v>42</v>
      </c>
      <c r="K444" s="1">
        <v>18</v>
      </c>
      <c r="L444" s="1">
        <v>18</v>
      </c>
      <c r="M444" s="55">
        <f t="shared" si="170"/>
        <v>78</v>
      </c>
      <c r="N444" s="1">
        <v>24</v>
      </c>
      <c r="O444" s="1"/>
      <c r="P444" s="1"/>
      <c r="Q444" s="55">
        <f t="shared" si="171"/>
        <v>24</v>
      </c>
      <c r="R444" s="55">
        <f t="shared" si="167"/>
        <v>210</v>
      </c>
      <c r="T444" s="4" t="s">
        <v>220</v>
      </c>
    </row>
    <row r="445" spans="1:20" ht="15.75" customHeight="1" x14ac:dyDescent="0.3">
      <c r="A445" s="72" t="s">
        <v>958</v>
      </c>
      <c r="B445" s="1">
        <v>1529</v>
      </c>
      <c r="C445" s="1">
        <v>1218</v>
      </c>
      <c r="D445" s="1">
        <v>1622</v>
      </c>
      <c r="E445" s="55">
        <f t="shared" si="168"/>
        <v>4369</v>
      </c>
      <c r="F445" s="1">
        <v>1582</v>
      </c>
      <c r="G445" s="1">
        <v>1635</v>
      </c>
      <c r="H445" s="1">
        <v>1581</v>
      </c>
      <c r="I445" s="55">
        <f t="shared" si="169"/>
        <v>4798</v>
      </c>
      <c r="J445" s="1">
        <v>1816</v>
      </c>
      <c r="K445" s="1">
        <v>201</v>
      </c>
      <c r="L445" s="1"/>
      <c r="M445" s="55">
        <f t="shared" si="170"/>
        <v>2017</v>
      </c>
      <c r="N445" s="1"/>
      <c r="O445" s="1"/>
      <c r="P445" s="1"/>
      <c r="Q445" s="55">
        <f t="shared" si="171"/>
        <v>0</v>
      </c>
      <c r="R445" s="55">
        <f t="shared" si="167"/>
        <v>11184</v>
      </c>
      <c r="T445" s="4" t="s">
        <v>919</v>
      </c>
    </row>
    <row r="446" spans="1:20" ht="15.75" customHeight="1" x14ac:dyDescent="0.3">
      <c r="A446" s="72" t="s">
        <v>642</v>
      </c>
      <c r="B446" s="1">
        <v>211</v>
      </c>
      <c r="C446" s="1">
        <v>963</v>
      </c>
      <c r="D446" s="1">
        <v>1933</v>
      </c>
      <c r="E446" s="55">
        <f t="shared" si="168"/>
        <v>3107</v>
      </c>
      <c r="F446" s="1">
        <v>1076</v>
      </c>
      <c r="G446" s="1">
        <v>1949</v>
      </c>
      <c r="H446" s="1">
        <v>542</v>
      </c>
      <c r="I446" s="55">
        <f t="shared" si="169"/>
        <v>3567</v>
      </c>
      <c r="J446" s="1"/>
      <c r="K446" s="1"/>
      <c r="L446" s="1"/>
      <c r="M446" s="55">
        <f t="shared" si="170"/>
        <v>0</v>
      </c>
      <c r="N446" s="1"/>
      <c r="O446" s="1"/>
      <c r="P446" s="1"/>
      <c r="Q446" s="55">
        <f t="shared" si="171"/>
        <v>0</v>
      </c>
      <c r="R446" s="55">
        <f>+E446+I446+M446+Q446</f>
        <v>6674</v>
      </c>
    </row>
    <row r="447" spans="1:20" ht="15.75" customHeight="1" x14ac:dyDescent="0.3">
      <c r="A447" s="72" t="s">
        <v>737</v>
      </c>
      <c r="B447" s="1"/>
      <c r="C447" s="1"/>
      <c r="D447" s="1"/>
      <c r="E447" s="55">
        <f t="shared" si="168"/>
        <v>0</v>
      </c>
      <c r="F447" s="1"/>
      <c r="G447" s="1"/>
      <c r="H447" s="1"/>
      <c r="I447" s="55">
        <f t="shared" si="169"/>
        <v>0</v>
      </c>
      <c r="J447" s="1"/>
      <c r="K447" s="1"/>
      <c r="L447" s="1"/>
      <c r="M447" s="55">
        <f t="shared" si="170"/>
        <v>0</v>
      </c>
      <c r="N447" s="1"/>
      <c r="O447" s="1"/>
      <c r="P447" s="1"/>
      <c r="Q447" s="55">
        <f t="shared" si="171"/>
        <v>0</v>
      </c>
      <c r="R447" s="55">
        <f>+E447+I447+M447+Q447</f>
        <v>0</v>
      </c>
    </row>
    <row r="448" spans="1:20" ht="15.75" customHeight="1" x14ac:dyDescent="0.3">
      <c r="A448" s="72" t="s">
        <v>1219</v>
      </c>
      <c r="B448" s="1"/>
      <c r="C448" s="1"/>
      <c r="D448" s="1"/>
      <c r="E448" s="55">
        <f t="shared" si="168"/>
        <v>0</v>
      </c>
      <c r="F448" s="1"/>
      <c r="G448" s="1"/>
      <c r="H448" s="1"/>
      <c r="I448" s="55">
        <f t="shared" si="169"/>
        <v>0</v>
      </c>
      <c r="J448" s="1"/>
      <c r="K448" s="1"/>
      <c r="L448" s="1"/>
      <c r="M448" s="55">
        <f t="shared" si="170"/>
        <v>0</v>
      </c>
      <c r="N448" s="1"/>
      <c r="O448" s="1"/>
      <c r="P448" s="1"/>
      <c r="Q448" s="55">
        <f t="shared" si="171"/>
        <v>0</v>
      </c>
      <c r="R448" s="55">
        <f>+E448+I448+M448+Q448</f>
        <v>0</v>
      </c>
    </row>
    <row r="449" spans="1:20" ht="15.75" customHeight="1" x14ac:dyDescent="0.3">
      <c r="A449" s="72" t="s">
        <v>1220</v>
      </c>
      <c r="B449" s="1"/>
      <c r="C449" s="1"/>
      <c r="D449" s="1"/>
      <c r="E449" s="55">
        <f t="shared" si="168"/>
        <v>0</v>
      </c>
      <c r="F449" s="1"/>
      <c r="G449" s="1"/>
      <c r="H449" s="1"/>
      <c r="I449" s="55">
        <f t="shared" si="169"/>
        <v>0</v>
      </c>
      <c r="J449" s="1"/>
      <c r="K449" s="1"/>
      <c r="L449" s="1"/>
      <c r="M449" s="55">
        <f t="shared" si="170"/>
        <v>0</v>
      </c>
      <c r="N449" s="1"/>
      <c r="O449" s="1"/>
      <c r="P449" s="1"/>
      <c r="Q449" s="55">
        <f t="shared" si="171"/>
        <v>0</v>
      </c>
      <c r="R449" s="55">
        <f>+E449+I449+M449+Q449</f>
        <v>0</v>
      </c>
      <c r="T449" s="4" t="s">
        <v>241</v>
      </c>
    </row>
    <row r="450" spans="1:20" ht="15.75" customHeight="1" x14ac:dyDescent="0.3">
      <c r="A450" s="72" t="s">
        <v>1221</v>
      </c>
      <c r="B450" s="1"/>
      <c r="C450" s="1"/>
      <c r="D450" s="1"/>
      <c r="E450" s="55">
        <f t="shared" ref="E450" si="175">SUM(B450:D450)</f>
        <v>0</v>
      </c>
      <c r="F450" s="1"/>
      <c r="G450" s="1"/>
      <c r="H450" s="1"/>
      <c r="I450" s="55">
        <f t="shared" ref="I450" si="176">SUM(F450:H450)</f>
        <v>0</v>
      </c>
      <c r="J450" s="1"/>
      <c r="K450" s="1"/>
      <c r="L450" s="1"/>
      <c r="M450" s="55">
        <f t="shared" ref="M450" si="177">SUM(J450:L450)</f>
        <v>0</v>
      </c>
      <c r="N450" s="1"/>
      <c r="O450" s="1"/>
      <c r="P450" s="1"/>
      <c r="Q450" s="55">
        <f t="shared" ref="Q450" si="178">SUM(N450:P450)</f>
        <v>0</v>
      </c>
      <c r="R450" s="55">
        <f t="shared" ref="R450:R451" si="179">+E450+I450+M450+Q450</f>
        <v>0</v>
      </c>
      <c r="T450" s="4" t="s">
        <v>224</v>
      </c>
    </row>
    <row r="451" spans="1:20" ht="16.5" customHeight="1" x14ac:dyDescent="0.3">
      <c r="A451" s="72" t="s">
        <v>1409</v>
      </c>
      <c r="B451" s="1"/>
      <c r="C451" s="1">
        <v>300</v>
      </c>
      <c r="D451" s="1">
        <v>800</v>
      </c>
      <c r="E451" s="55">
        <f t="shared" si="168"/>
        <v>1100</v>
      </c>
      <c r="F451" s="1">
        <v>700</v>
      </c>
      <c r="G451" s="1">
        <v>800</v>
      </c>
      <c r="H451" s="1">
        <v>800</v>
      </c>
      <c r="I451" s="55">
        <f t="shared" si="169"/>
        <v>2300</v>
      </c>
      <c r="J451" s="1">
        <v>800</v>
      </c>
      <c r="K451" s="1"/>
      <c r="L451" s="1"/>
      <c r="M451" s="55">
        <f t="shared" si="170"/>
        <v>800</v>
      </c>
      <c r="N451" s="1"/>
      <c r="O451" s="1"/>
      <c r="P451" s="1"/>
      <c r="Q451" s="55">
        <f t="shared" ref="Q451" si="180">SUM(N451:P451)</f>
        <v>0</v>
      </c>
      <c r="R451" s="55">
        <f t="shared" si="179"/>
        <v>4200</v>
      </c>
      <c r="T451" s="4" t="s">
        <v>944</v>
      </c>
    </row>
    <row r="452" spans="1:20" ht="15.75" customHeight="1" x14ac:dyDescent="0.3">
      <c r="A452" s="72" t="s">
        <v>1222</v>
      </c>
      <c r="B452" s="1"/>
      <c r="C452" s="1"/>
      <c r="D452" s="1"/>
      <c r="E452" s="55">
        <f t="shared" si="168"/>
        <v>0</v>
      </c>
      <c r="F452" s="1"/>
      <c r="G452" s="1"/>
      <c r="H452" s="1"/>
      <c r="I452" s="55">
        <f t="shared" si="169"/>
        <v>0</v>
      </c>
      <c r="J452" s="1"/>
      <c r="K452" s="1"/>
      <c r="L452" s="1"/>
      <c r="M452" s="55">
        <f t="shared" si="170"/>
        <v>0</v>
      </c>
      <c r="N452" s="1"/>
      <c r="O452" s="1"/>
      <c r="P452" s="1"/>
      <c r="Q452" s="55">
        <f t="shared" ref="Q452" si="181">SUM(N452:P452)</f>
        <v>0</v>
      </c>
      <c r="R452" s="55">
        <f t="shared" si="167"/>
        <v>0</v>
      </c>
      <c r="T452" s="4" t="s">
        <v>214</v>
      </c>
    </row>
    <row r="453" spans="1:20" ht="15.75" customHeight="1" x14ac:dyDescent="0.3">
      <c r="A453" s="72" t="s">
        <v>1410</v>
      </c>
      <c r="B453" s="1"/>
      <c r="C453" s="1"/>
      <c r="D453" s="1"/>
      <c r="E453" s="55">
        <f t="shared" si="168"/>
        <v>0</v>
      </c>
      <c r="F453" s="1"/>
      <c r="G453" s="1"/>
      <c r="H453" s="1">
        <v>2061</v>
      </c>
      <c r="I453" s="55">
        <f t="shared" si="169"/>
        <v>2061</v>
      </c>
      <c r="J453" s="1">
        <v>1239</v>
      </c>
      <c r="K453" s="1"/>
      <c r="L453" s="1"/>
      <c r="M453" s="55">
        <f t="shared" si="170"/>
        <v>1239</v>
      </c>
      <c r="N453" s="1"/>
      <c r="O453" s="1"/>
      <c r="P453" s="1"/>
      <c r="Q453" s="55">
        <f t="shared" si="171"/>
        <v>0</v>
      </c>
      <c r="R453" s="55">
        <f t="shared" si="167"/>
        <v>3300</v>
      </c>
      <c r="T453" s="4" t="s">
        <v>214</v>
      </c>
    </row>
    <row r="454" spans="1:20" ht="15.75" customHeight="1" x14ac:dyDescent="0.3">
      <c r="A454" s="72" t="s">
        <v>1362</v>
      </c>
      <c r="B454" s="1"/>
      <c r="C454" s="1"/>
      <c r="D454" s="1"/>
      <c r="E454" s="55">
        <f t="shared" si="168"/>
        <v>0</v>
      </c>
      <c r="F454" s="1"/>
      <c r="G454" s="1"/>
      <c r="H454" s="1"/>
      <c r="I454" s="55">
        <f t="shared" si="169"/>
        <v>0</v>
      </c>
      <c r="J454" s="1"/>
      <c r="K454" s="1"/>
      <c r="L454" s="1"/>
      <c r="M454" s="55">
        <f t="shared" si="170"/>
        <v>0</v>
      </c>
      <c r="N454" s="1"/>
      <c r="O454" s="1"/>
      <c r="P454" s="1">
        <v>125</v>
      </c>
      <c r="Q454" s="55">
        <f t="shared" si="171"/>
        <v>125</v>
      </c>
      <c r="R454" s="55">
        <f t="shared" si="167"/>
        <v>125</v>
      </c>
      <c r="T454" s="4" t="s">
        <v>919</v>
      </c>
    </row>
    <row r="455" spans="1:20" ht="15.75" customHeight="1" x14ac:dyDescent="0.3">
      <c r="A455" s="72" t="s">
        <v>1446</v>
      </c>
      <c r="B455" s="1"/>
      <c r="C455" s="1"/>
      <c r="D455" s="1"/>
      <c r="E455" s="55">
        <f t="shared" si="168"/>
        <v>0</v>
      </c>
      <c r="F455" s="1"/>
      <c r="G455" s="1"/>
      <c r="H455" s="1"/>
      <c r="I455" s="55">
        <f t="shared" si="169"/>
        <v>0</v>
      </c>
      <c r="J455" s="1"/>
      <c r="K455" s="1"/>
      <c r="L455" s="1"/>
      <c r="M455" s="55">
        <f t="shared" si="170"/>
        <v>0</v>
      </c>
      <c r="N455" s="1"/>
      <c r="O455" s="1">
        <v>1241</v>
      </c>
      <c r="P455" s="1">
        <v>1021</v>
      </c>
      <c r="Q455" s="55">
        <f t="shared" si="171"/>
        <v>2262</v>
      </c>
      <c r="R455" s="55">
        <f t="shared" si="167"/>
        <v>2262</v>
      </c>
      <c r="T455" s="4" t="s">
        <v>919</v>
      </c>
    </row>
    <row r="456" spans="1:20" ht="15.75" customHeight="1" x14ac:dyDescent="0.3">
      <c r="A456" s="72" t="s">
        <v>1412</v>
      </c>
      <c r="B456" s="1"/>
      <c r="C456" s="1"/>
      <c r="D456" s="1"/>
      <c r="E456" s="55">
        <f t="shared" si="168"/>
        <v>0</v>
      </c>
      <c r="F456" s="1"/>
      <c r="G456" s="1"/>
      <c r="H456" s="1">
        <v>1653</v>
      </c>
      <c r="I456" s="55">
        <f t="shared" si="169"/>
        <v>1653</v>
      </c>
      <c r="J456" s="1"/>
      <c r="K456" s="1"/>
      <c r="L456" s="1"/>
      <c r="M456" s="55">
        <f t="shared" si="170"/>
        <v>0</v>
      </c>
      <c r="N456" s="1"/>
      <c r="O456" s="1"/>
      <c r="P456" s="1"/>
      <c r="Q456" s="55">
        <f t="shared" si="171"/>
        <v>0</v>
      </c>
      <c r="R456" s="55">
        <f t="shared" si="167"/>
        <v>1653</v>
      </c>
      <c r="T456" s="4" t="s">
        <v>241</v>
      </c>
    </row>
    <row r="457" spans="1:20" ht="15.75" customHeight="1" x14ac:dyDescent="0.3">
      <c r="A457" s="72" t="s">
        <v>1304</v>
      </c>
      <c r="B457" s="1"/>
      <c r="C457" s="1"/>
      <c r="D457" s="1"/>
      <c r="E457" s="55">
        <f t="shared" si="168"/>
        <v>0</v>
      </c>
      <c r="F457" s="1"/>
      <c r="G457" s="1"/>
      <c r="H457" s="1"/>
      <c r="I457" s="55">
        <f t="shared" si="169"/>
        <v>0</v>
      </c>
      <c r="J457" s="1"/>
      <c r="K457" s="1"/>
      <c r="L457" s="1"/>
      <c r="M457" s="55">
        <f t="shared" si="170"/>
        <v>0</v>
      </c>
      <c r="N457" s="1"/>
      <c r="O457" s="1"/>
      <c r="P457" s="1"/>
      <c r="Q457" s="55">
        <f t="shared" si="171"/>
        <v>0</v>
      </c>
      <c r="R457" s="55">
        <f t="shared" si="167"/>
        <v>0</v>
      </c>
    </row>
    <row r="458" spans="1:20" ht="15.75" customHeight="1" x14ac:dyDescent="0.3">
      <c r="A458" s="72" t="s">
        <v>1416</v>
      </c>
      <c r="B458" s="1"/>
      <c r="C458" s="1"/>
      <c r="D458" s="1"/>
      <c r="E458" s="55">
        <f t="shared" si="168"/>
        <v>0</v>
      </c>
      <c r="F458" s="1"/>
      <c r="G458" s="1"/>
      <c r="H458" s="1"/>
      <c r="I458" s="55">
        <f t="shared" si="169"/>
        <v>0</v>
      </c>
      <c r="J458" s="1"/>
      <c r="K458" s="1"/>
      <c r="L458" s="1"/>
      <c r="M458" s="55">
        <f t="shared" si="170"/>
        <v>0</v>
      </c>
      <c r="N458" s="1"/>
      <c r="O458" s="1"/>
      <c r="P458" s="1"/>
      <c r="Q458" s="55">
        <f t="shared" si="171"/>
        <v>0</v>
      </c>
      <c r="R458" s="55">
        <f t="shared" si="167"/>
        <v>0</v>
      </c>
    </row>
    <row r="459" spans="1:20" ht="15.75" customHeight="1" x14ac:dyDescent="0.3">
      <c r="A459" s="72" t="s">
        <v>1417</v>
      </c>
      <c r="B459" s="1"/>
      <c r="C459" s="1"/>
      <c r="D459" s="1"/>
      <c r="E459" s="55">
        <f t="shared" si="168"/>
        <v>0</v>
      </c>
      <c r="F459" s="1"/>
      <c r="G459" s="1"/>
      <c r="H459" s="1"/>
      <c r="I459" s="55">
        <f t="shared" si="169"/>
        <v>0</v>
      </c>
      <c r="J459" s="1"/>
      <c r="K459" s="1"/>
      <c r="L459" s="1"/>
      <c r="M459" s="55">
        <f t="shared" si="170"/>
        <v>0</v>
      </c>
      <c r="N459" s="1"/>
      <c r="O459" s="1"/>
      <c r="P459" s="1">
        <v>709</v>
      </c>
      <c r="Q459" s="55">
        <f t="shared" si="171"/>
        <v>709</v>
      </c>
      <c r="R459" s="55">
        <f t="shared" si="167"/>
        <v>709</v>
      </c>
    </row>
    <row r="460" spans="1:20" s="493" customFormat="1" ht="15.75" customHeight="1" x14ac:dyDescent="0.3">
      <c r="A460" s="72" t="s">
        <v>1418</v>
      </c>
      <c r="B460" s="1"/>
      <c r="C460" s="1"/>
      <c r="D460" s="1"/>
      <c r="E460" s="55">
        <f t="shared" si="168"/>
        <v>0</v>
      </c>
      <c r="F460" s="1"/>
      <c r="G460" s="1"/>
      <c r="H460" s="1"/>
      <c r="I460" s="55">
        <f t="shared" si="169"/>
        <v>0</v>
      </c>
      <c r="J460" s="1"/>
      <c r="K460" s="1"/>
      <c r="L460" s="1"/>
      <c r="M460" s="55">
        <f t="shared" si="170"/>
        <v>0</v>
      </c>
      <c r="N460" s="1"/>
      <c r="O460" s="1"/>
      <c r="P460" s="1"/>
      <c r="Q460" s="55">
        <f t="shared" si="171"/>
        <v>0</v>
      </c>
      <c r="R460" s="55">
        <f t="shared" si="167"/>
        <v>0</v>
      </c>
    </row>
    <row r="461" spans="1:20" s="493" customFormat="1" ht="15.75" customHeight="1" x14ac:dyDescent="0.3">
      <c r="A461" s="72" t="s">
        <v>1419</v>
      </c>
      <c r="B461" s="1"/>
      <c r="C461" s="1"/>
      <c r="D461" s="1"/>
      <c r="E461" s="55">
        <f t="shared" si="168"/>
        <v>0</v>
      </c>
      <c r="F461" s="1"/>
      <c r="G461" s="1"/>
      <c r="H461" s="1"/>
      <c r="I461" s="55">
        <f t="shared" si="169"/>
        <v>0</v>
      </c>
      <c r="J461" s="1"/>
      <c r="K461" s="1"/>
      <c r="L461" s="1"/>
      <c r="M461" s="55">
        <f t="shared" si="170"/>
        <v>0</v>
      </c>
      <c r="N461" s="1">
        <v>546</v>
      </c>
      <c r="O461" s="1">
        <v>874</v>
      </c>
      <c r="P461" s="1"/>
      <c r="Q461" s="55">
        <f t="shared" si="171"/>
        <v>1420</v>
      </c>
      <c r="R461" s="55">
        <f t="shared" si="167"/>
        <v>1420</v>
      </c>
    </row>
    <row r="462" spans="1:20" ht="15.75" customHeight="1" x14ac:dyDescent="0.3">
      <c r="A462" s="72" t="s">
        <v>1420</v>
      </c>
      <c r="B462" s="1"/>
      <c r="C462" s="1"/>
      <c r="D462" s="1"/>
      <c r="E462" s="55">
        <f t="shared" si="168"/>
        <v>0</v>
      </c>
      <c r="F462" s="1"/>
      <c r="G462" s="1"/>
      <c r="H462" s="1"/>
      <c r="I462" s="55">
        <f t="shared" si="169"/>
        <v>0</v>
      </c>
      <c r="J462" s="1"/>
      <c r="K462" s="1"/>
      <c r="L462" s="1"/>
      <c r="M462" s="55">
        <f t="shared" si="170"/>
        <v>0</v>
      </c>
      <c r="N462" s="1"/>
      <c r="O462" s="1"/>
      <c r="P462" s="1"/>
      <c r="Q462" s="55">
        <f t="shared" si="171"/>
        <v>0</v>
      </c>
      <c r="R462" s="55">
        <f t="shared" si="167"/>
        <v>0</v>
      </c>
    </row>
    <row r="463" spans="1:20" ht="15.75" customHeight="1" x14ac:dyDescent="0.3">
      <c r="A463" s="72" t="s">
        <v>1421</v>
      </c>
      <c r="B463" s="1"/>
      <c r="C463" s="1"/>
      <c r="D463" s="1"/>
      <c r="E463" s="55">
        <f t="shared" si="168"/>
        <v>0</v>
      </c>
      <c r="F463" s="1"/>
      <c r="G463" s="1"/>
      <c r="H463" s="1"/>
      <c r="I463" s="55">
        <f t="shared" si="169"/>
        <v>0</v>
      </c>
      <c r="J463" s="1"/>
      <c r="K463" s="1"/>
      <c r="L463" s="1"/>
      <c r="M463" s="55">
        <f t="shared" si="170"/>
        <v>0</v>
      </c>
      <c r="N463" s="1"/>
      <c r="O463" s="1"/>
      <c r="P463" s="1"/>
      <c r="Q463" s="55">
        <f t="shared" si="171"/>
        <v>0</v>
      </c>
      <c r="R463" s="55">
        <f t="shared" si="167"/>
        <v>0</v>
      </c>
    </row>
    <row r="464" spans="1:20" ht="15.75" customHeight="1" x14ac:dyDescent="0.3">
      <c r="A464" s="72" t="s">
        <v>965</v>
      </c>
      <c r="B464" s="1"/>
      <c r="C464" s="1"/>
      <c r="D464" s="1"/>
      <c r="E464" s="55">
        <f t="shared" si="168"/>
        <v>0</v>
      </c>
      <c r="F464" s="1"/>
      <c r="G464" s="1">
        <v>2145</v>
      </c>
      <c r="H464" s="1"/>
      <c r="I464" s="55">
        <f t="shared" si="169"/>
        <v>2145</v>
      </c>
      <c r="J464" s="1"/>
      <c r="K464" s="1"/>
      <c r="L464" s="1"/>
      <c r="M464" s="55">
        <f t="shared" si="170"/>
        <v>0</v>
      </c>
      <c r="N464" s="1"/>
      <c r="O464" s="1"/>
      <c r="P464" s="1"/>
      <c r="Q464" s="55">
        <f>SUM(N464:P464)</f>
        <v>0</v>
      </c>
      <c r="R464" s="55">
        <f t="shared" si="167"/>
        <v>2145</v>
      </c>
    </row>
    <row r="465" spans="1:20" ht="15.75" customHeight="1" x14ac:dyDescent="0.3">
      <c r="A465" s="72" t="s">
        <v>966</v>
      </c>
      <c r="B465" s="1"/>
      <c r="C465" s="1"/>
      <c r="D465" s="1"/>
      <c r="E465" s="55">
        <f t="shared" si="168"/>
        <v>0</v>
      </c>
      <c r="F465" s="1"/>
      <c r="G465" s="1"/>
      <c r="H465" s="1"/>
      <c r="I465" s="55">
        <f t="shared" si="169"/>
        <v>0</v>
      </c>
      <c r="J465" s="1"/>
      <c r="K465" s="1"/>
      <c r="L465" s="1"/>
      <c r="M465" s="55">
        <f t="shared" si="170"/>
        <v>0</v>
      </c>
      <c r="N465" s="1"/>
      <c r="O465" s="1"/>
      <c r="P465" s="1"/>
      <c r="Q465" s="55">
        <f t="shared" si="171"/>
        <v>0</v>
      </c>
      <c r="R465" s="55">
        <f t="shared" si="167"/>
        <v>0</v>
      </c>
    </row>
    <row r="466" spans="1:20" ht="15.75" customHeight="1" x14ac:dyDescent="0.3">
      <c r="A466" s="72" t="s">
        <v>1422</v>
      </c>
      <c r="B466" s="1"/>
      <c r="C466" s="1"/>
      <c r="D466" s="1"/>
      <c r="E466" s="55">
        <f t="shared" si="168"/>
        <v>0</v>
      </c>
      <c r="F466" s="1"/>
      <c r="G466" s="1"/>
      <c r="H466" s="1"/>
      <c r="I466" s="55">
        <f t="shared" si="169"/>
        <v>0</v>
      </c>
      <c r="J466" s="1"/>
      <c r="K466" s="1"/>
      <c r="L466" s="1"/>
      <c r="M466" s="55">
        <f t="shared" si="170"/>
        <v>0</v>
      </c>
      <c r="N466" s="1"/>
      <c r="O466" s="1"/>
      <c r="P466" s="1"/>
      <c r="Q466" s="55">
        <f t="shared" si="171"/>
        <v>0</v>
      </c>
      <c r="R466" s="55">
        <f t="shared" si="167"/>
        <v>0</v>
      </c>
    </row>
    <row r="467" spans="1:20" ht="15.75" customHeight="1" x14ac:dyDescent="0.3">
      <c r="A467" s="72" t="s">
        <v>1423</v>
      </c>
      <c r="B467" s="1"/>
      <c r="C467" s="1"/>
      <c r="D467" s="1"/>
      <c r="E467" s="55">
        <f t="shared" si="168"/>
        <v>0</v>
      </c>
      <c r="F467" s="1"/>
      <c r="G467" s="1"/>
      <c r="H467" s="1"/>
      <c r="I467" s="55">
        <f t="shared" si="169"/>
        <v>0</v>
      </c>
      <c r="J467" s="1"/>
      <c r="K467" s="1"/>
      <c r="L467" s="1"/>
      <c r="M467" s="55">
        <f t="shared" si="170"/>
        <v>0</v>
      </c>
      <c r="N467" s="1"/>
      <c r="O467" s="1"/>
      <c r="P467" s="1"/>
      <c r="Q467" s="55">
        <f t="shared" si="171"/>
        <v>0</v>
      </c>
      <c r="R467" s="55">
        <f t="shared" si="167"/>
        <v>0</v>
      </c>
    </row>
    <row r="468" spans="1:20" ht="15.75" customHeight="1" x14ac:dyDescent="0.3">
      <c r="A468" s="72" t="s">
        <v>1306</v>
      </c>
      <c r="B468" s="1"/>
      <c r="C468" s="1"/>
      <c r="D468" s="1"/>
      <c r="E468" s="55">
        <f t="shared" si="168"/>
        <v>0</v>
      </c>
      <c r="F468" s="1"/>
      <c r="G468" s="1"/>
      <c r="H468" s="1"/>
      <c r="I468" s="55">
        <f t="shared" si="169"/>
        <v>0</v>
      </c>
      <c r="J468" s="1"/>
      <c r="K468" s="1"/>
      <c r="L468" s="1"/>
      <c r="M468" s="55">
        <f t="shared" si="170"/>
        <v>0</v>
      </c>
      <c r="N468" s="1"/>
      <c r="O468" s="1"/>
      <c r="P468" s="1"/>
      <c r="Q468" s="55">
        <f t="shared" si="171"/>
        <v>0</v>
      </c>
      <c r="R468" s="55">
        <f t="shared" si="167"/>
        <v>0</v>
      </c>
      <c r="T468" s="4" t="s">
        <v>919</v>
      </c>
    </row>
    <row r="469" spans="1:20" ht="15.75" customHeight="1" x14ac:dyDescent="0.3">
      <c r="A469" s="72" t="s">
        <v>967</v>
      </c>
      <c r="B469" s="1"/>
      <c r="C469" s="1"/>
      <c r="D469" s="1"/>
      <c r="E469" s="55">
        <f t="shared" si="168"/>
        <v>0</v>
      </c>
      <c r="F469" s="1"/>
      <c r="G469" s="1"/>
      <c r="H469" s="1"/>
      <c r="I469" s="55">
        <f t="shared" si="169"/>
        <v>0</v>
      </c>
      <c r="J469" s="1"/>
      <c r="K469" s="1"/>
      <c r="L469" s="1"/>
      <c r="M469" s="55">
        <f t="shared" si="170"/>
        <v>0</v>
      </c>
      <c r="N469" s="1"/>
      <c r="O469" s="1"/>
      <c r="P469" s="1"/>
      <c r="Q469" s="55">
        <f t="shared" si="171"/>
        <v>0</v>
      </c>
      <c r="R469" s="55">
        <f t="shared" si="167"/>
        <v>0</v>
      </c>
      <c r="T469" s="4" t="s">
        <v>919</v>
      </c>
    </row>
    <row r="470" spans="1:20" ht="15.75" customHeight="1" x14ac:dyDescent="0.3">
      <c r="A470" s="72" t="s">
        <v>968</v>
      </c>
      <c r="B470" s="1"/>
      <c r="C470" s="1"/>
      <c r="D470" s="1"/>
      <c r="E470" s="55">
        <f t="shared" si="168"/>
        <v>0</v>
      </c>
      <c r="F470" s="1"/>
      <c r="G470" s="1">
        <v>693</v>
      </c>
      <c r="H470" s="1">
        <v>2205</v>
      </c>
      <c r="I470" s="55">
        <f t="shared" si="169"/>
        <v>2898</v>
      </c>
      <c r="J470" s="1">
        <v>1190</v>
      </c>
      <c r="K470" s="1"/>
      <c r="L470" s="1"/>
      <c r="M470" s="55">
        <f t="shared" si="170"/>
        <v>1190</v>
      </c>
      <c r="N470" s="1"/>
      <c r="O470" s="1"/>
      <c r="P470" s="1"/>
      <c r="Q470" s="55">
        <f t="shared" si="171"/>
        <v>0</v>
      </c>
      <c r="R470" s="55">
        <f t="shared" si="167"/>
        <v>4088</v>
      </c>
      <c r="T470" s="4" t="s">
        <v>919</v>
      </c>
    </row>
    <row r="471" spans="1:20" ht="15.75" customHeight="1" x14ac:dyDescent="0.3">
      <c r="A471" s="72" t="s">
        <v>969</v>
      </c>
      <c r="B471" s="1"/>
      <c r="C471" s="1"/>
      <c r="D471" s="1"/>
      <c r="E471" s="55">
        <f t="shared" si="168"/>
        <v>0</v>
      </c>
      <c r="F471" s="1"/>
      <c r="G471" s="1"/>
      <c r="H471" s="1"/>
      <c r="I471" s="55">
        <f t="shared" si="169"/>
        <v>0</v>
      </c>
      <c r="J471" s="1"/>
      <c r="K471" s="1"/>
      <c r="L471" s="1"/>
      <c r="M471" s="55">
        <f t="shared" si="170"/>
        <v>0</v>
      </c>
      <c r="N471" s="1"/>
      <c r="O471" s="1"/>
      <c r="P471" s="1"/>
      <c r="Q471" s="55">
        <f t="shared" si="171"/>
        <v>0</v>
      </c>
      <c r="R471" s="55">
        <f t="shared" si="167"/>
        <v>0</v>
      </c>
      <c r="T471" s="4" t="s">
        <v>241</v>
      </c>
    </row>
    <row r="472" spans="1:20" ht="15.75" customHeight="1" x14ac:dyDescent="0.3">
      <c r="A472" s="72" t="s">
        <v>162</v>
      </c>
      <c r="B472" s="1"/>
      <c r="C472" s="1"/>
      <c r="D472" s="1"/>
      <c r="E472" s="55">
        <f t="shared" si="168"/>
        <v>0</v>
      </c>
      <c r="F472" s="1"/>
      <c r="G472" s="1">
        <v>1135</v>
      </c>
      <c r="H472" s="1">
        <v>93</v>
      </c>
      <c r="I472" s="55">
        <f t="shared" si="169"/>
        <v>1228</v>
      </c>
      <c r="J472" s="1"/>
      <c r="K472" s="1"/>
      <c r="L472" s="1"/>
      <c r="M472" s="55">
        <f t="shared" si="170"/>
        <v>0</v>
      </c>
      <c r="N472" s="1"/>
      <c r="O472" s="1"/>
      <c r="P472" s="1"/>
      <c r="Q472" s="55">
        <f t="shared" si="171"/>
        <v>0</v>
      </c>
      <c r="R472" s="55">
        <f t="shared" si="167"/>
        <v>1228</v>
      </c>
    </row>
    <row r="473" spans="1:20" ht="15.75" customHeight="1" x14ac:dyDescent="0.3">
      <c r="A473" s="72" t="s">
        <v>1425</v>
      </c>
      <c r="B473" s="1"/>
      <c r="C473" s="1"/>
      <c r="D473" s="1"/>
      <c r="E473" s="55">
        <f t="shared" si="168"/>
        <v>0</v>
      </c>
      <c r="F473" s="1"/>
      <c r="G473" s="1"/>
      <c r="H473" s="1"/>
      <c r="I473" s="55">
        <f t="shared" si="169"/>
        <v>0</v>
      </c>
      <c r="J473" s="1"/>
      <c r="K473" s="1"/>
      <c r="L473" s="1"/>
      <c r="M473" s="55">
        <f t="shared" si="170"/>
        <v>0</v>
      </c>
      <c r="N473" s="1"/>
      <c r="O473" s="1"/>
      <c r="P473" s="1"/>
      <c r="Q473" s="55">
        <f t="shared" si="171"/>
        <v>0</v>
      </c>
      <c r="R473" s="55">
        <f t="shared" si="167"/>
        <v>0</v>
      </c>
      <c r="T473" s="4" t="s">
        <v>241</v>
      </c>
    </row>
    <row r="474" spans="1:20" ht="15.75" customHeight="1" x14ac:dyDescent="0.3">
      <c r="A474" s="72" t="s">
        <v>1424</v>
      </c>
      <c r="B474" s="1">
        <v>1061</v>
      </c>
      <c r="C474" s="1">
        <v>1525</v>
      </c>
      <c r="D474" s="1"/>
      <c r="E474" s="55">
        <f t="shared" si="168"/>
        <v>2586</v>
      </c>
      <c r="F474" s="1"/>
      <c r="G474" s="1"/>
      <c r="H474" s="1"/>
      <c r="I474" s="55">
        <f t="shared" si="169"/>
        <v>0</v>
      </c>
      <c r="J474" s="1"/>
      <c r="K474" s="1"/>
      <c r="L474" s="1"/>
      <c r="M474" s="55">
        <f t="shared" si="170"/>
        <v>0</v>
      </c>
      <c r="N474" s="1"/>
      <c r="O474" s="1"/>
      <c r="P474" s="1"/>
      <c r="Q474" s="55">
        <f t="shared" si="171"/>
        <v>0</v>
      </c>
      <c r="R474" s="55">
        <f t="shared" si="167"/>
        <v>2586</v>
      </c>
    </row>
    <row r="475" spans="1:20" ht="15.75" customHeight="1" x14ac:dyDescent="0.3">
      <c r="A475" s="72" t="s">
        <v>1307</v>
      </c>
      <c r="B475" s="1"/>
      <c r="C475" s="1"/>
      <c r="D475" s="1"/>
      <c r="E475" s="55">
        <f t="shared" si="168"/>
        <v>0</v>
      </c>
      <c r="F475" s="1"/>
      <c r="G475" s="1"/>
      <c r="H475" s="1"/>
      <c r="I475" s="55">
        <f t="shared" si="169"/>
        <v>0</v>
      </c>
      <c r="J475" s="1"/>
      <c r="K475" s="1"/>
      <c r="L475" s="1"/>
      <c r="M475" s="55">
        <f t="shared" si="170"/>
        <v>0</v>
      </c>
      <c r="N475" s="1"/>
      <c r="O475" s="1"/>
      <c r="P475" s="1"/>
      <c r="Q475" s="55">
        <f t="shared" si="171"/>
        <v>0</v>
      </c>
      <c r="R475" s="55">
        <f t="shared" si="167"/>
        <v>0</v>
      </c>
      <c r="T475" s="4" t="s">
        <v>919</v>
      </c>
    </row>
    <row r="476" spans="1:20" ht="15.75" customHeight="1" x14ac:dyDescent="0.3">
      <c r="A476" s="72" t="s">
        <v>1308</v>
      </c>
      <c r="B476" s="1"/>
      <c r="C476" s="1"/>
      <c r="D476" s="1"/>
      <c r="E476" s="55">
        <f t="shared" si="168"/>
        <v>0</v>
      </c>
      <c r="F476" s="1"/>
      <c r="G476" s="1">
        <v>1000</v>
      </c>
      <c r="H476" s="1">
        <v>922</v>
      </c>
      <c r="I476" s="55">
        <f t="shared" si="169"/>
        <v>1922</v>
      </c>
      <c r="J476" s="1"/>
      <c r="K476" s="1"/>
      <c r="L476" s="1"/>
      <c r="M476" s="55">
        <f t="shared" si="170"/>
        <v>0</v>
      </c>
      <c r="N476" s="1"/>
      <c r="O476" s="1"/>
      <c r="P476" s="1"/>
      <c r="Q476" s="55">
        <f t="shared" si="171"/>
        <v>0</v>
      </c>
      <c r="R476" s="55">
        <f>+E476+I476+M476+Q476</f>
        <v>1922</v>
      </c>
    </row>
    <row r="477" spans="1:20" ht="15.75" customHeight="1" x14ac:dyDescent="0.3">
      <c r="A477" s="72" t="s">
        <v>1309</v>
      </c>
      <c r="B477" s="1"/>
      <c r="C477" s="1">
        <v>542</v>
      </c>
      <c r="D477" s="1"/>
      <c r="E477" s="55">
        <f t="shared" si="168"/>
        <v>542</v>
      </c>
      <c r="F477" s="1"/>
      <c r="G477" s="1"/>
      <c r="H477" s="1"/>
      <c r="I477" s="55">
        <f t="shared" si="169"/>
        <v>0</v>
      </c>
      <c r="J477" s="1"/>
      <c r="K477" s="1"/>
      <c r="L477" s="1"/>
      <c r="M477" s="55">
        <f t="shared" si="170"/>
        <v>0</v>
      </c>
      <c r="N477" s="1"/>
      <c r="O477" s="1"/>
      <c r="P477" s="1"/>
      <c r="Q477" s="55">
        <f t="shared" si="171"/>
        <v>0</v>
      </c>
      <c r="R477" s="55">
        <f>+E477+I477+M477+Q477</f>
        <v>542</v>
      </c>
      <c r="T477" s="4" t="s">
        <v>241</v>
      </c>
    </row>
    <row r="478" spans="1:20" ht="15.75" customHeight="1" x14ac:dyDescent="0.3">
      <c r="A478" s="72" t="s">
        <v>1310</v>
      </c>
      <c r="B478" s="1">
        <v>96</v>
      </c>
      <c r="C478" s="1">
        <v>1408</v>
      </c>
      <c r="D478" s="1">
        <v>1709</v>
      </c>
      <c r="E478" s="55">
        <f t="shared" si="168"/>
        <v>3213</v>
      </c>
      <c r="F478" s="1">
        <v>1827</v>
      </c>
      <c r="G478" s="1">
        <v>1384</v>
      </c>
      <c r="H478" s="1"/>
      <c r="I478" s="55">
        <f t="shared" si="169"/>
        <v>3211</v>
      </c>
      <c r="J478" s="1"/>
      <c r="K478" s="1"/>
      <c r="L478" s="1"/>
      <c r="M478" s="55">
        <f t="shared" si="170"/>
        <v>0</v>
      </c>
      <c r="N478" s="1"/>
      <c r="O478" s="1"/>
      <c r="P478" s="1"/>
      <c r="Q478" s="55">
        <f t="shared" si="171"/>
        <v>0</v>
      </c>
      <c r="R478" s="55">
        <f t="shared" si="167"/>
        <v>6424</v>
      </c>
      <c r="T478" s="4" t="s">
        <v>919</v>
      </c>
    </row>
    <row r="479" spans="1:20" ht="15.75" customHeight="1" x14ac:dyDescent="0.3">
      <c r="A479" s="72" t="s">
        <v>1311</v>
      </c>
      <c r="B479" s="1"/>
      <c r="C479" s="1"/>
      <c r="D479" s="1"/>
      <c r="E479" s="55">
        <f t="shared" si="168"/>
        <v>0</v>
      </c>
      <c r="F479" s="1"/>
      <c r="G479" s="1"/>
      <c r="H479" s="1"/>
      <c r="I479" s="55">
        <f t="shared" si="169"/>
        <v>0</v>
      </c>
      <c r="J479" s="1"/>
      <c r="K479" s="1"/>
      <c r="L479" s="1"/>
      <c r="M479" s="55">
        <f t="shared" si="170"/>
        <v>0</v>
      </c>
      <c r="N479" s="1"/>
      <c r="O479" s="1"/>
      <c r="P479" s="1"/>
      <c r="Q479" s="55">
        <f t="shared" si="171"/>
        <v>0</v>
      </c>
      <c r="R479" s="55">
        <f t="shared" si="167"/>
        <v>0</v>
      </c>
      <c r="T479" s="4" t="s">
        <v>241</v>
      </c>
    </row>
    <row r="480" spans="1:20" ht="15.75" customHeight="1" x14ac:dyDescent="0.3">
      <c r="A480" s="72" t="s">
        <v>1426</v>
      </c>
      <c r="B480" s="1"/>
      <c r="C480" s="1"/>
      <c r="D480" s="1"/>
      <c r="E480" s="55">
        <f t="shared" ref="E480:E481" si="182">SUM(B480:D480)</f>
        <v>0</v>
      </c>
      <c r="F480" s="1"/>
      <c r="G480" s="1">
        <v>76</v>
      </c>
      <c r="H480" s="1">
        <v>67</v>
      </c>
      <c r="I480" s="55">
        <f t="shared" ref="I480:I482" si="183">SUM(F480:H480)</f>
        <v>143</v>
      </c>
      <c r="J480" s="1"/>
      <c r="K480" s="1"/>
      <c r="L480" s="1"/>
      <c r="M480" s="55">
        <f t="shared" ref="M480:M482" si="184">SUM(J480:L480)</f>
        <v>0</v>
      </c>
      <c r="N480" s="1"/>
      <c r="O480" s="1"/>
      <c r="P480" s="1"/>
      <c r="Q480" s="55">
        <f t="shared" ref="Q480:Q482" si="185">SUM(N480:P480)</f>
        <v>0</v>
      </c>
      <c r="R480" s="55">
        <f t="shared" si="167"/>
        <v>143</v>
      </c>
    </row>
    <row r="481" spans="1:21" ht="15.75" customHeight="1" x14ac:dyDescent="0.3">
      <c r="A481" s="72" t="s">
        <v>1427</v>
      </c>
      <c r="B481" s="1"/>
      <c r="C481" s="1"/>
      <c r="D481" s="1"/>
      <c r="E481" s="55">
        <f t="shared" si="182"/>
        <v>0</v>
      </c>
      <c r="F481" s="1"/>
      <c r="G481" s="1">
        <v>82</v>
      </c>
      <c r="H481" s="1">
        <v>61</v>
      </c>
      <c r="I481" s="55">
        <f t="shared" si="183"/>
        <v>143</v>
      </c>
      <c r="J481" s="1"/>
      <c r="K481" s="1"/>
      <c r="L481" s="1"/>
      <c r="M481" s="55">
        <f t="shared" si="184"/>
        <v>0</v>
      </c>
      <c r="N481" s="1"/>
      <c r="O481" s="1"/>
      <c r="P481" s="1"/>
      <c r="Q481" s="55">
        <f t="shared" si="185"/>
        <v>0</v>
      </c>
      <c r="R481" s="55">
        <f>+E481+I481+M481+Q481</f>
        <v>143</v>
      </c>
    </row>
    <row r="482" spans="1:21" ht="15.75" customHeight="1" x14ac:dyDescent="0.3">
      <c r="A482" s="72" t="s">
        <v>1428</v>
      </c>
      <c r="B482" s="1"/>
      <c r="C482" s="1"/>
      <c r="D482" s="1"/>
      <c r="E482" s="55">
        <f>SUM(B482:D482)</f>
        <v>0</v>
      </c>
      <c r="F482" s="1"/>
      <c r="G482" s="1">
        <v>85</v>
      </c>
      <c r="H482" s="1">
        <v>70</v>
      </c>
      <c r="I482" s="55">
        <f t="shared" si="183"/>
        <v>155</v>
      </c>
      <c r="J482" s="1"/>
      <c r="K482" s="1"/>
      <c r="L482" s="1"/>
      <c r="M482" s="55">
        <f t="shared" si="184"/>
        <v>0</v>
      </c>
      <c r="N482" s="1"/>
      <c r="O482" s="1"/>
      <c r="P482" s="1"/>
      <c r="Q482" s="55">
        <f t="shared" si="185"/>
        <v>0</v>
      </c>
      <c r="R482" s="55">
        <f t="shared" si="167"/>
        <v>155</v>
      </c>
    </row>
    <row r="483" spans="1:21" ht="15.75" customHeight="1" x14ac:dyDescent="0.3">
      <c r="A483" s="72" t="s">
        <v>1286</v>
      </c>
      <c r="B483" s="1"/>
      <c r="C483" s="1"/>
      <c r="D483" s="1"/>
      <c r="E483" s="55">
        <f t="shared" si="168"/>
        <v>0</v>
      </c>
      <c r="F483" s="1"/>
      <c r="G483" s="1"/>
      <c r="H483" s="1">
        <v>2622</v>
      </c>
      <c r="I483" s="55">
        <f t="shared" si="169"/>
        <v>2622</v>
      </c>
      <c r="J483" s="1"/>
      <c r="K483" s="1"/>
      <c r="L483" s="1"/>
      <c r="M483" s="55">
        <f t="shared" si="170"/>
        <v>0</v>
      </c>
      <c r="N483" s="1"/>
      <c r="O483" s="1"/>
      <c r="P483" s="1"/>
      <c r="Q483" s="55">
        <f t="shared" si="171"/>
        <v>0</v>
      </c>
      <c r="R483" s="55">
        <f t="shared" si="167"/>
        <v>2622</v>
      </c>
    </row>
    <row r="484" spans="1:21" ht="15.75" customHeight="1" thickBot="1" x14ac:dyDescent="0.35">
      <c r="A484" s="72" t="s">
        <v>975</v>
      </c>
      <c r="B484" s="1">
        <f>281+143+31+579</f>
        <v>1034</v>
      </c>
      <c r="C484" s="1">
        <f>353</f>
        <v>353</v>
      </c>
      <c r="D484" s="1">
        <f>399+100+2957</f>
        <v>3456</v>
      </c>
      <c r="E484" s="55">
        <f t="shared" si="168"/>
        <v>4843</v>
      </c>
      <c r="F484" s="1">
        <f>745+259+841</f>
        <v>1845</v>
      </c>
      <c r="G484" s="1">
        <f>1117</f>
        <v>1117</v>
      </c>
      <c r="H484" s="1">
        <f>1034+1640</f>
        <v>2674</v>
      </c>
      <c r="I484" s="55">
        <f t="shared" si="169"/>
        <v>5636</v>
      </c>
      <c r="J484" s="1"/>
      <c r="K484" s="1">
        <f>304+895</f>
        <v>1199</v>
      </c>
      <c r="L484" s="1">
        <f>1878+1659+49+271</f>
        <v>3857</v>
      </c>
      <c r="M484" s="55">
        <f t="shared" si="170"/>
        <v>5056</v>
      </c>
      <c r="N484" s="1">
        <f>1254+970+1115</f>
        <v>3339</v>
      </c>
      <c r="O484" s="1">
        <f>526+641+699</f>
        <v>1866</v>
      </c>
      <c r="P484" s="1">
        <f>829+683+387+327</f>
        <v>2226</v>
      </c>
      <c r="Q484" s="55">
        <f t="shared" si="171"/>
        <v>7431</v>
      </c>
      <c r="R484" s="55">
        <f t="shared" si="167"/>
        <v>22966</v>
      </c>
    </row>
    <row r="485" spans="1:21" ht="16.5" customHeight="1" thickBot="1" x14ac:dyDescent="0.35">
      <c r="A485" s="114" t="s">
        <v>63</v>
      </c>
      <c r="B485" s="90">
        <f>SUM(B412:B484)</f>
        <v>8310</v>
      </c>
      <c r="C485" s="58">
        <f>SUM(C412:C484)</f>
        <v>17509</v>
      </c>
      <c r="D485" s="58">
        <f>SUM(D412:D484)</f>
        <v>28324</v>
      </c>
      <c r="E485" s="59">
        <f t="shared" ref="E485" si="186">SUM(B485:D485)</f>
        <v>54143</v>
      </c>
      <c r="F485" s="58">
        <f>SUM(F412:F484)</f>
        <v>33034</v>
      </c>
      <c r="G485" s="58">
        <f>SUM(G412:G484)</f>
        <v>48344</v>
      </c>
      <c r="H485" s="58">
        <f>SUM(H412:H484)</f>
        <v>45208</v>
      </c>
      <c r="I485" s="59">
        <f t="shared" ref="I485" si="187">SUM(F485:H485)</f>
        <v>126586</v>
      </c>
      <c r="J485" s="58">
        <f>SUM(J412:J484)</f>
        <v>26350</v>
      </c>
      <c r="K485" s="58">
        <f>SUM(K412:K484)</f>
        <v>19267</v>
      </c>
      <c r="L485" s="58">
        <f>SUM(L412:L484)</f>
        <v>22378</v>
      </c>
      <c r="M485" s="59">
        <f t="shared" ref="M485" si="188">SUM(J485:L485)</f>
        <v>67995</v>
      </c>
      <c r="N485" s="58">
        <f>SUM(N412:N484)</f>
        <v>17356</v>
      </c>
      <c r="O485" s="58">
        <f>SUM(O412:O484)</f>
        <v>12179</v>
      </c>
      <c r="P485" s="58">
        <f>SUM(P412:P484)</f>
        <v>9982</v>
      </c>
      <c r="Q485" s="59">
        <f t="shared" si="171"/>
        <v>39517</v>
      </c>
      <c r="R485" s="59">
        <f>+E485+I485+M485+Q485</f>
        <v>288241</v>
      </c>
      <c r="T485" s="89"/>
    </row>
    <row r="486" spans="1:21" ht="15.75" customHeight="1" x14ac:dyDescent="0.3">
      <c r="A486" s="15" t="s">
        <v>64</v>
      </c>
      <c r="B486" s="1"/>
      <c r="C486" s="1"/>
      <c r="D486" s="1"/>
      <c r="E486" s="55" t="s">
        <v>7</v>
      </c>
      <c r="F486" s="1"/>
      <c r="G486" s="1"/>
      <c r="H486" s="1"/>
      <c r="I486" s="55" t="s">
        <v>7</v>
      </c>
      <c r="J486" s="1"/>
      <c r="K486" s="1"/>
      <c r="L486" s="1"/>
      <c r="M486" s="55" t="s">
        <v>7</v>
      </c>
      <c r="N486" s="1"/>
      <c r="O486" s="1"/>
      <c r="P486" s="1"/>
      <c r="Q486" s="55" t="s">
        <v>7</v>
      </c>
      <c r="R486" s="55" t="s">
        <v>7</v>
      </c>
    </row>
    <row r="487" spans="1:21" ht="15.75" customHeight="1" x14ac:dyDescent="0.3">
      <c r="A487" s="15" t="s">
        <v>594</v>
      </c>
      <c r="B487" s="1"/>
      <c r="C487" s="1"/>
      <c r="D487" s="1"/>
      <c r="E487" s="55" t="s">
        <v>7</v>
      </c>
      <c r="F487" s="1"/>
      <c r="G487" s="1"/>
      <c r="H487" s="1"/>
      <c r="I487" s="55" t="s">
        <v>7</v>
      </c>
      <c r="J487" s="1"/>
      <c r="K487" s="1"/>
      <c r="L487" s="1"/>
      <c r="M487" s="55" t="s">
        <v>7</v>
      </c>
      <c r="N487" s="1"/>
      <c r="O487" s="1"/>
      <c r="P487" s="1"/>
      <c r="Q487" s="55" t="s">
        <v>7</v>
      </c>
      <c r="R487" s="55" t="s">
        <v>7</v>
      </c>
    </row>
    <row r="488" spans="1:21" ht="15.75" customHeight="1" x14ac:dyDescent="0.3">
      <c r="A488" s="72" t="s">
        <v>1315</v>
      </c>
      <c r="B488" s="1"/>
      <c r="C488" s="1"/>
      <c r="D488" s="1"/>
      <c r="E488" s="55">
        <f>SUM(B488:D488)</f>
        <v>0</v>
      </c>
      <c r="F488" s="1"/>
      <c r="G488" s="1"/>
      <c r="H488" s="1"/>
      <c r="I488" s="55">
        <f>SUM(F488:H488)</f>
        <v>0</v>
      </c>
      <c r="J488" s="1"/>
      <c r="K488" s="1"/>
      <c r="L488" s="1"/>
      <c r="M488" s="55">
        <f>SUM(J488:L488)</f>
        <v>0</v>
      </c>
      <c r="N488" s="1"/>
      <c r="O488" s="1"/>
      <c r="P488" s="1"/>
      <c r="Q488" s="55">
        <f>SUM(N488:P488)</f>
        <v>0</v>
      </c>
      <c r="R488" s="55">
        <f>+E488+I488+M488+Q488</f>
        <v>0</v>
      </c>
      <c r="U488" s="355"/>
    </row>
    <row r="489" spans="1:21" ht="15.75" customHeight="1" x14ac:dyDescent="0.3">
      <c r="A489" s="15" t="s">
        <v>67</v>
      </c>
      <c r="B489" s="1"/>
      <c r="C489" s="1"/>
      <c r="D489" s="1"/>
      <c r="E489" s="55" t="s">
        <v>7</v>
      </c>
      <c r="F489" s="1"/>
      <c r="G489" s="1"/>
      <c r="H489" s="1"/>
      <c r="I489" s="55" t="s">
        <v>7</v>
      </c>
      <c r="J489" s="1"/>
      <c r="K489" s="1"/>
      <c r="L489" s="1"/>
      <c r="M489" s="55" t="s">
        <v>7</v>
      </c>
      <c r="N489" s="1"/>
      <c r="O489" s="1"/>
      <c r="P489" s="1"/>
      <c r="Q489" s="55" t="s">
        <v>7</v>
      </c>
      <c r="R489" s="55" t="s">
        <v>7</v>
      </c>
    </row>
    <row r="490" spans="1:21" ht="15.75" customHeight="1" x14ac:dyDescent="0.3">
      <c r="A490" s="72" t="s">
        <v>744</v>
      </c>
      <c r="B490" s="1"/>
      <c r="C490" s="1"/>
      <c r="D490" s="1"/>
      <c r="E490" s="55">
        <f>SUM(B490:D490)</f>
        <v>0</v>
      </c>
      <c r="F490" s="1"/>
      <c r="G490" s="1"/>
      <c r="H490" s="1"/>
      <c r="I490" s="55">
        <f>SUM(F490:H490)</f>
        <v>0</v>
      </c>
      <c r="J490" s="1"/>
      <c r="K490" s="1"/>
      <c r="L490" s="1"/>
      <c r="M490" s="55">
        <f>SUM(J490:L490)</f>
        <v>0</v>
      </c>
      <c r="N490" s="1"/>
      <c r="O490" s="1"/>
      <c r="P490" s="1"/>
      <c r="Q490" s="55">
        <f>SUM(N490:P490)</f>
        <v>0</v>
      </c>
      <c r="R490" s="55">
        <f>+E490+I490+M490+Q490</f>
        <v>0</v>
      </c>
    </row>
    <row r="491" spans="1:21" ht="15.75" customHeight="1" x14ac:dyDescent="0.3">
      <c r="A491" s="72" t="s">
        <v>745</v>
      </c>
      <c r="B491" s="1"/>
      <c r="C491" s="1"/>
      <c r="D491" s="1"/>
      <c r="E491" s="55">
        <f>SUM(B491:D491)</f>
        <v>0</v>
      </c>
      <c r="F491" s="1"/>
      <c r="G491" s="1"/>
      <c r="H491" s="1"/>
      <c r="I491" s="55">
        <f>SUM(F491:H491)</f>
        <v>0</v>
      </c>
      <c r="J491" s="1"/>
      <c r="K491" s="1"/>
      <c r="L491" s="1"/>
      <c r="M491" s="55">
        <f>SUM(J491:L491)</f>
        <v>0</v>
      </c>
      <c r="N491" s="1"/>
      <c r="O491" s="1"/>
      <c r="P491" s="1"/>
      <c r="Q491" s="55">
        <f>SUM(N491:P491)</f>
        <v>0</v>
      </c>
      <c r="R491" s="55">
        <f>+E491+I491+M491+Q491</f>
        <v>0</v>
      </c>
    </row>
    <row r="492" spans="1:21" ht="15.75" customHeight="1" x14ac:dyDescent="0.3">
      <c r="A492" s="15" t="s">
        <v>600</v>
      </c>
      <c r="B492" s="1"/>
      <c r="C492" s="1"/>
      <c r="D492" s="1"/>
      <c r="E492" s="55" t="s">
        <v>7</v>
      </c>
      <c r="F492" s="1"/>
      <c r="G492" s="1"/>
      <c r="H492" s="1"/>
      <c r="I492" s="55" t="s">
        <v>7</v>
      </c>
      <c r="J492" s="1"/>
      <c r="K492" s="1"/>
      <c r="L492" s="1"/>
      <c r="M492" s="55" t="s">
        <v>7</v>
      </c>
      <c r="N492" s="1"/>
      <c r="O492" s="1"/>
      <c r="P492" s="1"/>
      <c r="Q492" s="55" t="s">
        <v>7</v>
      </c>
      <c r="R492" s="55" t="s">
        <v>7</v>
      </c>
    </row>
    <row r="493" spans="1:21" ht="15.75" customHeight="1" x14ac:dyDescent="0.3">
      <c r="A493" s="72" t="s">
        <v>270</v>
      </c>
      <c r="B493" s="1"/>
      <c r="C493" s="1"/>
      <c r="D493" s="1"/>
      <c r="E493" s="55">
        <f t="shared" ref="E493:E498" si="189">SUM(B493:D493)</f>
        <v>0</v>
      </c>
      <c r="F493" s="1"/>
      <c r="G493" s="1"/>
      <c r="H493" s="1"/>
      <c r="I493" s="55">
        <f t="shared" ref="I493:I498" si="190">SUM(F493:H493)</f>
        <v>0</v>
      </c>
      <c r="J493" s="1"/>
      <c r="K493" s="1"/>
      <c r="L493" s="1"/>
      <c r="M493" s="55">
        <f t="shared" ref="M493:M498" si="191">SUM(J493:L493)</f>
        <v>0</v>
      </c>
      <c r="N493" s="1"/>
      <c r="O493" s="1"/>
      <c r="P493" s="1"/>
      <c r="Q493" s="55">
        <f t="shared" ref="Q493:Q498" si="192">SUM(N493:P493)</f>
        <v>0</v>
      </c>
      <c r="R493" s="55">
        <f t="shared" ref="R493:R498" si="193">+E493+I493+M493+Q493</f>
        <v>0</v>
      </c>
      <c r="T493" s="4" t="s">
        <v>224</v>
      </c>
    </row>
    <row r="494" spans="1:21" ht="15.75" customHeight="1" x14ac:dyDescent="0.3">
      <c r="A494" s="72" t="s">
        <v>646</v>
      </c>
      <c r="B494" s="1"/>
      <c r="C494" s="1"/>
      <c r="D494" s="1"/>
      <c r="E494" s="55">
        <f t="shared" ref="E494" si="194">SUM(B494:D494)</f>
        <v>0</v>
      </c>
      <c r="F494" s="1"/>
      <c r="G494" s="1"/>
      <c r="H494" s="1"/>
      <c r="I494" s="55">
        <f t="shared" si="190"/>
        <v>0</v>
      </c>
      <c r="J494" s="1"/>
      <c r="K494" s="1"/>
      <c r="L494" s="1"/>
      <c r="M494" s="55">
        <f t="shared" si="191"/>
        <v>0</v>
      </c>
      <c r="N494" s="1"/>
      <c r="O494" s="1"/>
      <c r="P494" s="1"/>
      <c r="Q494" s="55">
        <f t="shared" si="192"/>
        <v>0</v>
      </c>
      <c r="R494" s="55">
        <f t="shared" si="193"/>
        <v>0</v>
      </c>
      <c r="T494" s="4" t="s">
        <v>224</v>
      </c>
    </row>
    <row r="495" spans="1:21" ht="15.75" customHeight="1" x14ac:dyDescent="0.3">
      <c r="A495" s="72" t="s">
        <v>1316</v>
      </c>
      <c r="B495" s="1"/>
      <c r="C495" s="1"/>
      <c r="D495" s="1"/>
      <c r="E495" s="55">
        <f t="shared" si="189"/>
        <v>0</v>
      </c>
      <c r="F495" s="1"/>
      <c r="G495" s="1"/>
      <c r="H495" s="1"/>
      <c r="I495" s="55">
        <f t="shared" si="190"/>
        <v>0</v>
      </c>
      <c r="J495" s="1"/>
      <c r="K495" s="1"/>
      <c r="L495" s="1"/>
      <c r="M495" s="55">
        <f t="shared" si="191"/>
        <v>0</v>
      </c>
      <c r="N495" s="1"/>
      <c r="O495" s="1"/>
      <c r="P495" s="1"/>
      <c r="Q495" s="55">
        <f t="shared" si="192"/>
        <v>0</v>
      </c>
      <c r="R495" s="55">
        <f t="shared" si="193"/>
        <v>0</v>
      </c>
      <c r="T495" s="4" t="s">
        <v>214</v>
      </c>
    </row>
    <row r="496" spans="1:21" ht="15.75" customHeight="1" x14ac:dyDescent="0.3">
      <c r="A496" s="72" t="s">
        <v>1317</v>
      </c>
      <c r="B496" s="1"/>
      <c r="C496" s="1"/>
      <c r="D496" s="1"/>
      <c r="E496" s="55">
        <f t="shared" si="189"/>
        <v>0</v>
      </c>
      <c r="F496" s="1"/>
      <c r="G496" s="1"/>
      <c r="H496" s="1"/>
      <c r="I496" s="55">
        <f t="shared" si="190"/>
        <v>0</v>
      </c>
      <c r="J496" s="1"/>
      <c r="K496" s="1"/>
      <c r="L496" s="1"/>
      <c r="M496" s="55">
        <f t="shared" si="191"/>
        <v>0</v>
      </c>
      <c r="N496" s="1"/>
      <c r="O496" s="1"/>
      <c r="P496" s="1"/>
      <c r="Q496" s="55">
        <f t="shared" si="192"/>
        <v>0</v>
      </c>
      <c r="R496" s="55">
        <f t="shared" si="193"/>
        <v>0</v>
      </c>
    </row>
    <row r="497" spans="1:21" ht="15.75" customHeight="1" x14ac:dyDescent="0.3">
      <c r="A497" s="72" t="s">
        <v>652</v>
      </c>
      <c r="B497" s="1"/>
      <c r="C497" s="1"/>
      <c r="D497" s="1"/>
      <c r="E497" s="55">
        <f t="shared" si="189"/>
        <v>0</v>
      </c>
      <c r="F497" s="1"/>
      <c r="G497" s="1"/>
      <c r="H497" s="1"/>
      <c r="I497" s="55">
        <f t="shared" si="190"/>
        <v>0</v>
      </c>
      <c r="J497" s="1"/>
      <c r="K497" s="1"/>
      <c r="L497" s="1"/>
      <c r="M497" s="55">
        <f t="shared" si="191"/>
        <v>0</v>
      </c>
      <c r="N497" s="1"/>
      <c r="O497" s="1"/>
      <c r="P497" s="1"/>
      <c r="Q497" s="55">
        <f t="shared" si="192"/>
        <v>0</v>
      </c>
      <c r="R497" s="55">
        <f t="shared" si="193"/>
        <v>0</v>
      </c>
    </row>
    <row r="498" spans="1:21" ht="15.75" customHeight="1" x14ac:dyDescent="0.3">
      <c r="A498" s="72" t="s">
        <v>746</v>
      </c>
      <c r="B498" s="1"/>
      <c r="C498" s="1"/>
      <c r="D498" s="1"/>
      <c r="E498" s="55">
        <f t="shared" si="189"/>
        <v>0</v>
      </c>
      <c r="F498" s="1"/>
      <c r="G498" s="1"/>
      <c r="H498" s="1"/>
      <c r="I498" s="55">
        <f t="shared" si="190"/>
        <v>0</v>
      </c>
      <c r="J498" s="1"/>
      <c r="K498" s="1"/>
      <c r="L498" s="1"/>
      <c r="M498" s="55">
        <f t="shared" si="191"/>
        <v>0</v>
      </c>
      <c r="N498" s="1"/>
      <c r="O498" s="1"/>
      <c r="P498" s="1"/>
      <c r="Q498" s="55">
        <f t="shared" si="192"/>
        <v>0</v>
      </c>
      <c r="R498" s="55">
        <f t="shared" si="193"/>
        <v>0</v>
      </c>
      <c r="T498" s="4" t="s">
        <v>224</v>
      </c>
    </row>
    <row r="499" spans="1:21" ht="15.75" customHeight="1" x14ac:dyDescent="0.3">
      <c r="A499" s="15" t="s">
        <v>70</v>
      </c>
      <c r="B499" s="1"/>
      <c r="C499" s="1"/>
      <c r="D499" s="1"/>
      <c r="E499" s="55" t="s">
        <v>7</v>
      </c>
      <c r="F499" s="1"/>
      <c r="G499" s="1"/>
      <c r="H499" s="1"/>
      <c r="I499" s="55" t="s">
        <v>7</v>
      </c>
      <c r="J499" s="1"/>
      <c r="K499" s="1"/>
      <c r="L499" s="1"/>
      <c r="M499" s="55" t="s">
        <v>7</v>
      </c>
      <c r="N499" s="1"/>
      <c r="O499" s="1"/>
      <c r="P499" s="1"/>
      <c r="Q499" s="55" t="s">
        <v>7</v>
      </c>
      <c r="R499" s="55" t="s">
        <v>7</v>
      </c>
    </row>
    <row r="500" spans="1:21" ht="15.75" customHeight="1" x14ac:dyDescent="0.3">
      <c r="A500" s="72" t="s">
        <v>977</v>
      </c>
      <c r="B500" s="1"/>
      <c r="C500" s="1"/>
      <c r="D500" s="1"/>
      <c r="E500" s="55">
        <f>SUM(B500:D500)</f>
        <v>0</v>
      </c>
      <c r="F500" s="1"/>
      <c r="G500" s="1"/>
      <c r="H500" s="1"/>
      <c r="I500" s="55">
        <f>SUM(F500:H500)</f>
        <v>0</v>
      </c>
      <c r="J500" s="1"/>
      <c r="K500" s="1"/>
      <c r="L500" s="1"/>
      <c r="M500" s="55">
        <f>SUM(J500:L500)</f>
        <v>0</v>
      </c>
      <c r="N500" s="1"/>
      <c r="O500" s="1"/>
      <c r="P500" s="1"/>
      <c r="Q500" s="55">
        <f>SUM(N500:P500)</f>
        <v>0</v>
      </c>
      <c r="R500" s="55">
        <f>+E500+I500+M500+Q500</f>
        <v>0</v>
      </c>
      <c r="T500" s="4" t="s">
        <v>209</v>
      </c>
    </row>
    <row r="501" spans="1:21" ht="15.75" customHeight="1" x14ac:dyDescent="0.3">
      <c r="A501" s="72" t="s">
        <v>978</v>
      </c>
      <c r="B501" s="1"/>
      <c r="C501" s="1"/>
      <c r="D501" s="1"/>
      <c r="E501" s="55">
        <f>SUM(B501:D501)</f>
        <v>0</v>
      </c>
      <c r="F501" s="1"/>
      <c r="G501" s="1"/>
      <c r="H501" s="1"/>
      <c r="I501" s="55">
        <f>SUM(F501:H501)</f>
        <v>0</v>
      </c>
      <c r="J501" s="1"/>
      <c r="K501" s="1"/>
      <c r="L501" s="1"/>
      <c r="M501" s="55">
        <f>SUM(J501:L501)</f>
        <v>0</v>
      </c>
      <c r="N501" s="1"/>
      <c r="O501" s="1"/>
      <c r="P501" s="1"/>
      <c r="Q501" s="55">
        <f>SUM(N501:P501)</f>
        <v>0</v>
      </c>
      <c r="R501" s="55">
        <f>+E501+I501+M501+Q501</f>
        <v>0</v>
      </c>
      <c r="T501" s="4" t="s">
        <v>209</v>
      </c>
    </row>
    <row r="502" spans="1:21" ht="15.75" customHeight="1" x14ac:dyDescent="0.3">
      <c r="A502" s="72" t="s">
        <v>1318</v>
      </c>
      <c r="B502" s="1"/>
      <c r="C502" s="1"/>
      <c r="D502" s="1"/>
      <c r="E502" s="55">
        <f>SUM(B502:D502)</f>
        <v>0</v>
      </c>
      <c r="F502" s="1"/>
      <c r="G502" s="1"/>
      <c r="H502" s="1"/>
      <c r="I502" s="55">
        <f>SUM(F502:H502)</f>
        <v>0</v>
      </c>
      <c r="J502" s="1"/>
      <c r="K502" s="1"/>
      <c r="L502" s="1"/>
      <c r="M502" s="55">
        <f>SUM(J502:L502)</f>
        <v>0</v>
      </c>
      <c r="N502" s="1"/>
      <c r="O502" s="1"/>
      <c r="P502" s="1"/>
      <c r="Q502" s="55">
        <f>SUM(N502:P502)</f>
        <v>0</v>
      </c>
      <c r="R502" s="55">
        <f>+E502+I502+M502+Q502</f>
        <v>0</v>
      </c>
    </row>
    <row r="503" spans="1:21" ht="15.75" customHeight="1" x14ac:dyDescent="0.3">
      <c r="A503" s="72" t="s">
        <v>750</v>
      </c>
      <c r="B503" s="1"/>
      <c r="C503" s="1"/>
      <c r="D503" s="1"/>
      <c r="E503" s="55">
        <f>SUM(B503:D503)</f>
        <v>0</v>
      </c>
      <c r="F503" s="1"/>
      <c r="G503" s="1"/>
      <c r="H503" s="1"/>
      <c r="I503" s="55">
        <f>SUM(F503:H503)</f>
        <v>0</v>
      </c>
      <c r="J503" s="1"/>
      <c r="K503" s="1"/>
      <c r="L503" s="1"/>
      <c r="M503" s="55">
        <f>SUM(J503:L503)</f>
        <v>0</v>
      </c>
      <c r="N503" s="1"/>
      <c r="O503" s="1"/>
      <c r="P503" s="1"/>
      <c r="Q503" s="55">
        <f>SUM(N503:P503)</f>
        <v>0</v>
      </c>
      <c r="R503" s="55">
        <f>+E503+I503+M503+Q503</f>
        <v>0</v>
      </c>
    </row>
    <row r="504" spans="1:21" ht="15.75" customHeight="1" x14ac:dyDescent="0.3">
      <c r="A504" s="72" t="s">
        <v>751</v>
      </c>
      <c r="B504" s="1"/>
      <c r="C504" s="1"/>
      <c r="D504" s="1"/>
      <c r="E504" s="55">
        <f t="shared" ref="E504" si="195">SUM(B504:D504)</f>
        <v>0</v>
      </c>
      <c r="F504" s="1"/>
      <c r="G504" s="1"/>
      <c r="H504" s="1"/>
      <c r="I504" s="55">
        <f t="shared" ref="I504" si="196">SUM(F504:H504)</f>
        <v>0</v>
      </c>
      <c r="J504" s="1"/>
      <c r="K504" s="1"/>
      <c r="L504" s="1"/>
      <c r="M504" s="55">
        <f t="shared" ref="M504" si="197">SUM(J504:L504)</f>
        <v>0</v>
      </c>
      <c r="N504" s="1"/>
      <c r="O504" s="1"/>
      <c r="P504" s="1"/>
      <c r="Q504" s="55">
        <f t="shared" ref="Q504:Q515" si="198">SUM(N504:P504)</f>
        <v>0</v>
      </c>
      <c r="R504" s="55">
        <f t="shared" ref="R504:R515" si="199">+E504+I504+M504+Q504</f>
        <v>0</v>
      </c>
    </row>
    <row r="505" spans="1:21" ht="15.75" customHeight="1" x14ac:dyDescent="0.3">
      <c r="A505" s="72" t="s">
        <v>752</v>
      </c>
      <c r="B505" s="1"/>
      <c r="C505" s="1"/>
      <c r="D505" s="1"/>
      <c r="E505" s="55">
        <f>SUM(B505:D505)</f>
        <v>0</v>
      </c>
      <c r="F505" s="1"/>
      <c r="G505" s="1"/>
      <c r="H505" s="1"/>
      <c r="I505" s="55">
        <f>SUM(F505:H505)</f>
        <v>0</v>
      </c>
      <c r="J505" s="1"/>
      <c r="K505" s="1"/>
      <c r="L505" s="1"/>
      <c r="M505" s="55">
        <f>SUM(J505:L505)</f>
        <v>0</v>
      </c>
      <c r="N505" s="1"/>
      <c r="O505" s="1"/>
      <c r="P505" s="1"/>
      <c r="Q505" s="55">
        <f>SUM(N505:P505)</f>
        <v>0</v>
      </c>
      <c r="R505" s="55">
        <f>+E505+I505+M505+Q505</f>
        <v>0</v>
      </c>
    </row>
    <row r="506" spans="1:21" ht="15.75" customHeight="1" x14ac:dyDescent="0.3">
      <c r="A506" s="72" t="s">
        <v>753</v>
      </c>
      <c r="B506" s="1"/>
      <c r="C506" s="1"/>
      <c r="D506" s="1"/>
      <c r="E506" s="55">
        <f>SUM(B506:D506)</f>
        <v>0</v>
      </c>
      <c r="F506" s="1"/>
      <c r="G506" s="1"/>
      <c r="H506" s="1"/>
      <c r="I506" s="55">
        <f>SUM(F506:H506)</f>
        <v>0</v>
      </c>
      <c r="J506" s="1"/>
      <c r="K506" s="1"/>
      <c r="L506" s="1"/>
      <c r="M506" s="55">
        <f>SUM(J506:L506)</f>
        <v>0</v>
      </c>
      <c r="N506" s="1"/>
      <c r="O506" s="1"/>
      <c r="P506" s="1"/>
      <c r="Q506" s="55">
        <f>SUM(N506:P506)</f>
        <v>0</v>
      </c>
      <c r="R506" s="55">
        <f>+E506+I506+M506+Q506</f>
        <v>0</v>
      </c>
      <c r="T506" s="4" t="s">
        <v>209</v>
      </c>
      <c r="U506" s="355"/>
    </row>
    <row r="507" spans="1:21" ht="15.75" customHeight="1" x14ac:dyDescent="0.3">
      <c r="A507" s="72" t="s">
        <v>754</v>
      </c>
      <c r="B507" s="1"/>
      <c r="C507" s="1"/>
      <c r="D507" s="1"/>
      <c r="E507" s="55">
        <f>SUM(B507:D507)</f>
        <v>0</v>
      </c>
      <c r="F507" s="1"/>
      <c r="G507" s="1"/>
      <c r="H507" s="1"/>
      <c r="I507" s="55">
        <f>SUM(F507:H507)</f>
        <v>0</v>
      </c>
      <c r="J507" s="1"/>
      <c r="K507" s="1"/>
      <c r="L507" s="1"/>
      <c r="M507" s="55">
        <f>SUM(J507:L507)</f>
        <v>0</v>
      </c>
      <c r="N507" s="1"/>
      <c r="O507" s="1"/>
      <c r="P507" s="1"/>
      <c r="Q507" s="55">
        <f>SUM(N507:P507)</f>
        <v>0</v>
      </c>
      <c r="R507" s="55">
        <f>+E507+I507+M507+Q507</f>
        <v>0</v>
      </c>
    </row>
    <row r="508" spans="1:21" ht="15.75" customHeight="1" x14ac:dyDescent="0.3">
      <c r="A508" s="72" t="s">
        <v>1319</v>
      </c>
      <c r="B508" s="1"/>
      <c r="C508" s="1"/>
      <c r="D508" s="1"/>
      <c r="E508" s="55">
        <f>SUM(B508:D508)</f>
        <v>0</v>
      </c>
      <c r="F508" s="1"/>
      <c r="G508" s="1"/>
      <c r="H508" s="1"/>
      <c r="I508" s="55">
        <f>SUM(F508:H508)</f>
        <v>0</v>
      </c>
      <c r="J508" s="1"/>
      <c r="K508" s="1"/>
      <c r="L508" s="1"/>
      <c r="M508" s="55">
        <f>SUM(J508:L508)</f>
        <v>0</v>
      </c>
      <c r="N508" s="1"/>
      <c r="O508" s="1"/>
      <c r="P508" s="1"/>
      <c r="Q508" s="55">
        <f>SUM(N508:P508)</f>
        <v>0</v>
      </c>
      <c r="R508" s="55">
        <f>+E508+I508+M508+Q508</f>
        <v>0</v>
      </c>
      <c r="T508" s="4" t="s">
        <v>214</v>
      </c>
    </row>
    <row r="509" spans="1:21" ht="15.75" customHeight="1" thickBot="1" x14ac:dyDescent="0.35">
      <c r="A509" s="72" t="s">
        <v>755</v>
      </c>
      <c r="B509" s="1"/>
      <c r="C509" s="1"/>
      <c r="D509" s="1"/>
      <c r="E509" s="55">
        <f>SUM(B509:D509)</f>
        <v>0</v>
      </c>
      <c r="F509" s="1"/>
      <c r="G509" s="1"/>
      <c r="H509" s="1"/>
      <c r="I509" s="55">
        <f>SUM(F509:H509)</f>
        <v>0</v>
      </c>
      <c r="J509" s="1"/>
      <c r="K509" s="1"/>
      <c r="L509" s="1"/>
      <c r="M509" s="55">
        <f>SUM(J509:L509)</f>
        <v>0</v>
      </c>
      <c r="N509" s="1"/>
      <c r="O509" s="1"/>
      <c r="P509" s="1"/>
      <c r="Q509" s="55">
        <f>SUM(N509:P509)</f>
        <v>0</v>
      </c>
      <c r="R509" s="55">
        <f>+E509+I509+M509+Q509</f>
        <v>0</v>
      </c>
      <c r="T509" s="4" t="s">
        <v>214</v>
      </c>
    </row>
    <row r="510" spans="1:21" ht="16.5" customHeight="1" thickBot="1" x14ac:dyDescent="0.35">
      <c r="A510" s="57" t="s">
        <v>71</v>
      </c>
      <c r="B510" s="58">
        <f>SUM(B492:B509)</f>
        <v>0</v>
      </c>
      <c r="C510" s="58">
        <f>SUM(C492:C509)</f>
        <v>0</v>
      </c>
      <c r="D510" s="58">
        <f>SUM(D492:D509)</f>
        <v>0</v>
      </c>
      <c r="E510" s="60">
        <f t="shared" ref="E510:E515" si="200">SUM(B510:D510)</f>
        <v>0</v>
      </c>
      <c r="F510" s="58">
        <f>SUM(F492:F509)</f>
        <v>0</v>
      </c>
      <c r="G510" s="58">
        <f>SUM(G492:G509)</f>
        <v>0</v>
      </c>
      <c r="H510" s="58">
        <f>SUM(H492:H509)</f>
        <v>0</v>
      </c>
      <c r="I510" s="60">
        <f t="shared" ref="I510:I515" si="201">SUM(F510:H510)</f>
        <v>0</v>
      </c>
      <c r="J510" s="58">
        <f>SUM(J492:J509)</f>
        <v>0</v>
      </c>
      <c r="K510" s="58">
        <f>SUM(K492:K509)</f>
        <v>0</v>
      </c>
      <c r="L510" s="58">
        <f>SUM(L492:L509)</f>
        <v>0</v>
      </c>
      <c r="M510" s="60">
        <f t="shared" ref="M510:M515" si="202">SUM(J510:L510)</f>
        <v>0</v>
      </c>
      <c r="N510" s="58">
        <f>SUM(N492:N509)</f>
        <v>0</v>
      </c>
      <c r="O510" s="58">
        <f>SUM(O492:O509)</f>
        <v>0</v>
      </c>
      <c r="P510" s="58">
        <f>SUM(P492:P509)</f>
        <v>0</v>
      </c>
      <c r="Q510" s="60">
        <f t="shared" si="198"/>
        <v>0</v>
      </c>
      <c r="R510" s="59">
        <f t="shared" si="199"/>
        <v>0</v>
      </c>
    </row>
    <row r="511" spans="1:21" ht="16.5" customHeight="1" thickBot="1" x14ac:dyDescent="0.35">
      <c r="A511" s="114" t="s">
        <v>72</v>
      </c>
      <c r="B511" s="86">
        <f>SUM(B486:B509)</f>
        <v>0</v>
      </c>
      <c r="C511" s="87">
        <f>SUM(C486:C509)</f>
        <v>0</v>
      </c>
      <c r="D511" s="118">
        <f>SUM(D486:D509)</f>
        <v>0</v>
      </c>
      <c r="E511" s="60">
        <f t="shared" si="200"/>
        <v>0</v>
      </c>
      <c r="F511" s="87">
        <f>SUM(F486:F509)</f>
        <v>0</v>
      </c>
      <c r="G511" s="87">
        <f>SUM(G486:G509)</f>
        <v>0</v>
      </c>
      <c r="H511" s="87">
        <f>SUM(H486:H509)</f>
        <v>0</v>
      </c>
      <c r="I511" s="60">
        <f t="shared" si="201"/>
        <v>0</v>
      </c>
      <c r="J511" s="87">
        <f>SUM(J486:J509)</f>
        <v>0</v>
      </c>
      <c r="K511" s="87">
        <f>SUM(K486:K509)</f>
        <v>0</v>
      </c>
      <c r="L511" s="87">
        <f>SUM(L486:L509)</f>
        <v>0</v>
      </c>
      <c r="M511" s="60">
        <f t="shared" si="202"/>
        <v>0</v>
      </c>
      <c r="N511" s="87">
        <f>SUM(N486:N509)</f>
        <v>0</v>
      </c>
      <c r="O511" s="87">
        <f>SUM(O486:O509)</f>
        <v>0</v>
      </c>
      <c r="P511" s="87">
        <f>SUM(P486:P509)</f>
        <v>0</v>
      </c>
      <c r="Q511" s="60">
        <f t="shared" si="198"/>
        <v>0</v>
      </c>
      <c r="R511" s="59">
        <f t="shared" si="199"/>
        <v>0</v>
      </c>
    </row>
    <row r="512" spans="1:21" ht="16.5" customHeight="1" thickBot="1" x14ac:dyDescent="0.35">
      <c r="A512" s="57" t="s">
        <v>73</v>
      </c>
      <c r="B512" s="90">
        <f>+B397+B411+B485+B511</f>
        <v>16091</v>
      </c>
      <c r="C512" s="58">
        <f>+C397+C411+C485+C511</f>
        <v>29393</v>
      </c>
      <c r="D512" s="58">
        <f>+D397+D411+D485+D511</f>
        <v>38997</v>
      </c>
      <c r="E512" s="59">
        <f t="shared" si="200"/>
        <v>84481</v>
      </c>
      <c r="F512" s="58">
        <f>+F397+F411+F485+F511</f>
        <v>61555</v>
      </c>
      <c r="G512" s="58">
        <f>+G397+G411+G485+G511</f>
        <v>81927</v>
      </c>
      <c r="H512" s="58">
        <f>+H397+H411+H485+H511</f>
        <v>90936</v>
      </c>
      <c r="I512" s="59">
        <f t="shared" si="201"/>
        <v>234418</v>
      </c>
      <c r="J512" s="58">
        <f>+J397+J411+J485+J511</f>
        <v>50616</v>
      </c>
      <c r="K512" s="58">
        <f>+K397+K411+K485+K511</f>
        <v>40780</v>
      </c>
      <c r="L512" s="58">
        <f>+L397+L411+L485+L511</f>
        <v>43668</v>
      </c>
      <c r="M512" s="59">
        <f t="shared" si="202"/>
        <v>135064</v>
      </c>
      <c r="N512" s="58">
        <f>+N397+N411+N485+N511</f>
        <v>33137</v>
      </c>
      <c r="O512" s="58">
        <f>+O397+O411+O485+O511</f>
        <v>25340</v>
      </c>
      <c r="P512" s="58">
        <f>+P397+P411+P485+P511</f>
        <v>23123</v>
      </c>
      <c r="Q512" s="59">
        <f t="shared" si="198"/>
        <v>81600</v>
      </c>
      <c r="R512" s="81">
        <f t="shared" si="199"/>
        <v>535563</v>
      </c>
    </row>
    <row r="513" spans="1:18" ht="15.75" customHeight="1" x14ac:dyDescent="0.3">
      <c r="A513" s="71" t="s">
        <v>756</v>
      </c>
      <c r="B513" s="1"/>
      <c r="C513" s="1"/>
      <c r="D513" s="1"/>
      <c r="E513" s="55">
        <f t="shared" si="200"/>
        <v>0</v>
      </c>
      <c r="F513" s="1"/>
      <c r="G513" s="1"/>
      <c r="H513" s="1"/>
      <c r="I513" s="55">
        <f t="shared" si="201"/>
        <v>0</v>
      </c>
      <c r="J513" s="1"/>
      <c r="K513" s="1"/>
      <c r="L513" s="1"/>
      <c r="M513" s="55">
        <f t="shared" si="202"/>
        <v>0</v>
      </c>
      <c r="N513" s="1"/>
      <c r="O513" s="1"/>
      <c r="P513" s="1"/>
      <c r="Q513" s="55">
        <f t="shared" si="198"/>
        <v>0</v>
      </c>
      <c r="R513" s="55">
        <f t="shared" si="199"/>
        <v>0</v>
      </c>
    </row>
    <row r="514" spans="1:18" ht="15.75" customHeight="1" x14ac:dyDescent="0.3">
      <c r="A514" s="71" t="s">
        <v>757</v>
      </c>
      <c r="B514" s="1"/>
      <c r="C514" s="1"/>
      <c r="D514" s="1"/>
      <c r="E514" s="55">
        <f t="shared" si="200"/>
        <v>0</v>
      </c>
      <c r="F514" s="1"/>
      <c r="G514" s="1"/>
      <c r="H514" s="1"/>
      <c r="I514" s="55">
        <f t="shared" si="201"/>
        <v>0</v>
      </c>
      <c r="J514" s="1"/>
      <c r="K514" s="1"/>
      <c r="L514" s="1"/>
      <c r="M514" s="55">
        <f t="shared" si="202"/>
        <v>0</v>
      </c>
      <c r="N514" s="1"/>
      <c r="O514" s="1"/>
      <c r="P514" s="1"/>
      <c r="Q514" s="55">
        <f t="shared" si="198"/>
        <v>0</v>
      </c>
      <c r="R514" s="55">
        <f t="shared" si="199"/>
        <v>0</v>
      </c>
    </row>
    <row r="515" spans="1:18" ht="16.5" customHeight="1" thickBot="1" x14ac:dyDescent="0.35">
      <c r="A515" s="73" t="s">
        <v>40</v>
      </c>
      <c r="B515" s="21">
        <v>155</v>
      </c>
      <c r="C515" s="21">
        <v>283</v>
      </c>
      <c r="D515" s="21">
        <v>435</v>
      </c>
      <c r="E515" s="81">
        <f t="shared" si="200"/>
        <v>873</v>
      </c>
      <c r="F515" s="21">
        <v>602</v>
      </c>
      <c r="G515" s="21">
        <v>711</v>
      </c>
      <c r="H515" s="21">
        <v>722</v>
      </c>
      <c r="I515" s="81">
        <f t="shared" si="201"/>
        <v>2035</v>
      </c>
      <c r="J515" s="21">
        <v>686</v>
      </c>
      <c r="K515" s="21">
        <v>519</v>
      </c>
      <c r="L515" s="21">
        <v>531</v>
      </c>
      <c r="M515" s="81">
        <f t="shared" si="202"/>
        <v>1736</v>
      </c>
      <c r="N515" s="21">
        <v>489</v>
      </c>
      <c r="O515" s="21">
        <v>389</v>
      </c>
      <c r="P515" s="21">
        <v>275</v>
      </c>
      <c r="Q515" s="81">
        <f t="shared" si="198"/>
        <v>1153</v>
      </c>
      <c r="R515" s="55">
        <f t="shared" si="199"/>
        <v>5797</v>
      </c>
    </row>
    <row r="516" spans="1:18" ht="16.5" customHeight="1" thickBot="1" x14ac:dyDescent="0.35">
      <c r="A516" s="74"/>
      <c r="B516" s="75"/>
      <c r="C516" s="75"/>
      <c r="D516" s="75"/>
      <c r="E516" s="59"/>
      <c r="F516" s="75"/>
      <c r="G516" s="75"/>
      <c r="H516" s="75"/>
      <c r="I516" s="59"/>
      <c r="J516" s="75"/>
      <c r="K516" s="75"/>
      <c r="L516" s="75"/>
      <c r="M516" s="59"/>
      <c r="N516" s="75"/>
      <c r="O516" s="75"/>
      <c r="P516" s="75"/>
      <c r="Q516" s="59"/>
      <c r="R516" s="59" t="s">
        <v>7</v>
      </c>
    </row>
    <row r="517" spans="1:18" ht="15.75" customHeight="1" x14ac:dyDescent="0.3">
      <c r="A517" s="76" t="s">
        <v>41</v>
      </c>
      <c r="B517" s="77">
        <f>SUM(B512:B515)</f>
        <v>16246</v>
      </c>
      <c r="C517" s="77">
        <f>SUM(C512:C515)</f>
        <v>29676</v>
      </c>
      <c r="D517" s="77">
        <f>SUM(D512:D515)</f>
        <v>39432</v>
      </c>
      <c r="E517" s="60">
        <f>SUM(B517:D517)</f>
        <v>85354</v>
      </c>
      <c r="F517" s="77">
        <f>SUM(F512:F515)</f>
        <v>62157</v>
      </c>
      <c r="G517" s="77">
        <f>SUM(G512:G515)</f>
        <v>82638</v>
      </c>
      <c r="H517" s="77">
        <f>SUM(H512:H515)</f>
        <v>91658</v>
      </c>
      <c r="I517" s="60">
        <f>SUM(F517:H517)</f>
        <v>236453</v>
      </c>
      <c r="J517" s="77">
        <f>SUM(J512:J515)</f>
        <v>51302</v>
      </c>
      <c r="K517" s="77">
        <f>SUM(K512:K515)</f>
        <v>41299</v>
      </c>
      <c r="L517" s="77">
        <f>SUM(L512:L515)</f>
        <v>44199</v>
      </c>
      <c r="M517" s="60">
        <f>SUM(J517:L517)</f>
        <v>136800</v>
      </c>
      <c r="N517" s="77">
        <f>SUM(N512:N515)</f>
        <v>33626</v>
      </c>
      <c r="O517" s="77">
        <f>SUM(O512:O515)</f>
        <v>25729</v>
      </c>
      <c r="P517" s="77">
        <f>SUM(P512:P515)</f>
        <v>23398</v>
      </c>
      <c r="Q517" s="60">
        <f>SUM(N517:P517)</f>
        <v>82753</v>
      </c>
      <c r="R517" s="60">
        <f>+E517+I517+M517+Q517</f>
        <v>541360</v>
      </c>
    </row>
    <row r="518" spans="1:18" ht="15.75" customHeight="1" x14ac:dyDescent="0.3">
      <c r="A518" s="79" t="s">
        <v>42</v>
      </c>
      <c r="B518" s="1">
        <f>(B517/B10)/1.983</f>
        <v>264.27862638882112</v>
      </c>
      <c r="C518" s="1">
        <f>(C517/C10)/1.983</f>
        <v>534.47157985735896</v>
      </c>
      <c r="D518" s="1">
        <f>(D517/D10)/1.983</f>
        <v>641.45234493192129</v>
      </c>
      <c r="E518" s="55" t="s">
        <v>7</v>
      </c>
      <c r="F518" s="1">
        <f>(F517/F10)/1.983</f>
        <v>1044.8310640443772</v>
      </c>
      <c r="G518" s="1">
        <f>(G517/G10)/1.983</f>
        <v>1344.2974964618611</v>
      </c>
      <c r="H518" s="1">
        <f>(H517/H10)/1.983</f>
        <v>1540.7295343755254</v>
      </c>
      <c r="I518" s="55" t="s">
        <v>7</v>
      </c>
      <c r="J518" s="1">
        <f>(J517/J10)/1.983</f>
        <v>834.54524750703558</v>
      </c>
      <c r="K518" s="1">
        <f>(K517/K10)/1.983</f>
        <v>671.82340214403064</v>
      </c>
      <c r="L518" s="1">
        <f>(L517/L10)/1.983</f>
        <v>742.965204236006</v>
      </c>
      <c r="M518" s="55" t="s">
        <v>7</v>
      </c>
      <c r="N518" s="1">
        <f>(N517/N10)/1.983</f>
        <v>547.00437590486877</v>
      </c>
      <c r="O518" s="1">
        <f>(O517/O10)/1.983</f>
        <v>432.49285594217514</v>
      </c>
      <c r="P518" s="1">
        <f>(P517/P10)/1.983</f>
        <v>380.62238706423955</v>
      </c>
      <c r="Q518" s="55" t="s">
        <v>7</v>
      </c>
      <c r="R518" s="55" t="s">
        <v>7</v>
      </c>
    </row>
    <row r="519" spans="1:18" ht="15.75" customHeight="1" x14ac:dyDescent="0.3">
      <c r="A519" s="79" t="s">
        <v>289</v>
      </c>
      <c r="B519" s="1">
        <f>B517+B570</f>
        <v>27838</v>
      </c>
      <c r="C519" s="1">
        <f>C517+C570</f>
        <v>49073</v>
      </c>
      <c r="D519" s="1">
        <f>D517+D570</f>
        <v>70626</v>
      </c>
      <c r="E519" s="55">
        <f>SUM(B519:D519)</f>
        <v>147537</v>
      </c>
      <c r="F519" s="1">
        <f>F517+F570</f>
        <v>109437</v>
      </c>
      <c r="G519" s="1">
        <f>G517+G570</f>
        <v>124799</v>
      </c>
      <c r="H519" s="1">
        <f>H517+H570</f>
        <v>144338</v>
      </c>
      <c r="I519" s="55">
        <f>SUM(F519:H519)</f>
        <v>378574</v>
      </c>
      <c r="J519" s="1">
        <f>J517+J570</f>
        <v>93594</v>
      </c>
      <c r="K519" s="1">
        <f>K517+K570</f>
        <v>74538</v>
      </c>
      <c r="L519" s="1">
        <f>L517+L570</f>
        <v>71521</v>
      </c>
      <c r="M519" s="55">
        <f>SUM(J519:L519)</f>
        <v>239653</v>
      </c>
      <c r="N519" s="1">
        <f>N517+N570</f>
        <v>47814</v>
      </c>
      <c r="O519" s="1">
        <f>O517+O570</f>
        <v>26586</v>
      </c>
      <c r="P519" s="1">
        <f>P517+P570</f>
        <v>43104</v>
      </c>
      <c r="Q519" s="55">
        <f>SUM(N519:P519)</f>
        <v>117504</v>
      </c>
      <c r="R519" s="55">
        <f>+E519+I519+M519+Q519</f>
        <v>883268</v>
      </c>
    </row>
    <row r="520" spans="1:18" s="344" customFormat="1" ht="16.5" customHeight="1" thickBot="1" x14ac:dyDescent="0.35">
      <c r="A520" s="356" t="s">
        <v>290</v>
      </c>
      <c r="B520" s="357">
        <f>(B519/B10)/1.983</f>
        <v>452.8492183560262</v>
      </c>
      <c r="C520" s="357">
        <f>(C519/C10)/1.983</f>
        <v>883.81600749225561</v>
      </c>
      <c r="D520" s="357">
        <f>(D519/D10)/1.983</f>
        <v>1148.8946366697576</v>
      </c>
      <c r="E520" s="358" t="s">
        <v>7</v>
      </c>
      <c r="F520" s="357">
        <f>(F519/F10)/1.983</f>
        <v>1839.5864851235501</v>
      </c>
      <c r="G520" s="357">
        <f>(G519/G10)/1.983</f>
        <v>2030.1433149512795</v>
      </c>
      <c r="H520" s="357">
        <f>(H519/H10)/1.983</f>
        <v>2426.2565136997814</v>
      </c>
      <c r="I520" s="358" t="s">
        <v>7</v>
      </c>
      <c r="J520" s="357">
        <f>(J519/J10)/1.983</f>
        <v>1522.5220828656481</v>
      </c>
      <c r="K520" s="357">
        <f>(K519/K10)/1.983</f>
        <v>1212.5323312673856</v>
      </c>
      <c r="L520" s="357">
        <f>(L519/L10)/1.983</f>
        <v>1202.2356698604806</v>
      </c>
      <c r="M520" s="358" t="s">
        <v>7</v>
      </c>
      <c r="N520" s="357">
        <f>(N519/N10)/1.983</f>
        <v>777.80488995168616</v>
      </c>
      <c r="O520" s="357">
        <f>(O519/O10)/1.983</f>
        <v>446.89863842662635</v>
      </c>
      <c r="P520" s="357">
        <f>(P519/P10)/1.983</f>
        <v>701.18588648675029</v>
      </c>
      <c r="Q520" s="358" t="s">
        <v>7</v>
      </c>
      <c r="R520" s="358" t="s">
        <v>7</v>
      </c>
    </row>
    <row r="521" spans="1:18" ht="15.75" customHeight="1" x14ac:dyDescent="0.3">
      <c r="A521" s="120" t="s">
        <v>291</v>
      </c>
      <c r="B521" s="121">
        <f>B$522+(SUMIF($T$333:$T$496,"FLG",B$340:B$514)/B10/1.98)+(SUMIF($T$333:$T$496,"FCA",B$340:B$514)/B10/1.98)+(SUMIF($T$333:$T$496,"NSC",B$340:B$514)/B10/1.98)</f>
        <v>309.89675684175705</v>
      </c>
      <c r="C521" s="121">
        <f>C$522+(SUMIF($T$333:$T$496,"FLG",C$340:C$514)/C10/1.98)+(SUMIF($T$333:$T$496,"FCA",C$340:C$514)/C10/1.98)+(SUMIF($T$333:$T$496,"NSC",C$340:C$514)/C10/1.98)</f>
        <v>531.7217725122415</v>
      </c>
      <c r="D521" s="121">
        <f>D$522+(SUMIF($T$333:$T$496,"FLG",D$340:D$514)/D10/1.98)+(SUMIF($T$333:$T$496,"FCA",D$340:D$514)/D10/1.98)+(SUMIF($T$333:$T$496,"NSC",D$340:D$514)/D10/1.98)</f>
        <v>688.49475182255424</v>
      </c>
      <c r="E521" s="122"/>
      <c r="F521" s="121">
        <f>F$522+(SUMIF($T$333:$T$496,"FLG",F$340:F$514)/F10/1.98)+(SUMIF($T$333:$T$496,"FCA",F$340:F$514)/F10/1.98)+(SUMIF($T$333:$T$496,"NSC",F$340:F$514)/F10/1.98)</f>
        <v>1253.8294951532471</v>
      </c>
      <c r="G521" s="121">
        <f>G$522+(SUMIF($T$333:$T$496,"FLG",G$340:G$514)/G10/1.98)+(SUMIF($T$333:$T$496,"FCA",G$340:G$514)/G10/1.98)+(SUMIF($T$333:$T$496,"NSC",G$340:G$514)/G10/1.98)</f>
        <v>1182.3104649540644</v>
      </c>
      <c r="H521" s="121">
        <f>H$522+(SUMIF($T$333:$T$496,"FLG",H$340:H$514)/H10/1.98)+(SUMIF($T$333:$T$496,"FCA",H$340:H$514)/H10/1.98)+(SUMIF($T$333:$T$496,"NSC",H$340:H$514)/H10/1.98)</f>
        <v>1592.9512217484985</v>
      </c>
      <c r="I521" s="45"/>
      <c r="J521" s="121">
        <f>J$522+(SUMIF($T$333:$T$496,"FLG",J$340:J$514)/J10/1.98)+(SUMIF($T$333:$T$496,"FCA",J$340:J$514)/J10/1.98)+(SUMIF($T$333:$T$496,"NSC",J$340:J$514)/J10/1.98)</f>
        <v>953.9592400506948</v>
      </c>
      <c r="K521" s="121">
        <f>K$522+(SUMIF($T$333:$T$496,"FLG",K$340:K$514)/K10/1.98)+(SUMIF($T$333:$T$496,"FCA",K$340:K$514)/K10/1.98)+(SUMIF($T$333:$T$496,"NSC",K$340:K$514)/K10/1.98)</f>
        <v>744.40720217646674</v>
      </c>
      <c r="L521" s="121">
        <f>L$522+(SUMIF($T$333:$T$496,"FLG",L$340:L$514)/L10/1.98)+(SUMIF($T$333:$T$496,"FCA",L$340:L$514)/L10/1.98)+(SUMIF($T$333:$T$496,"NSC",L$340:L$514)/L10/1.98)</f>
        <v>713.05834441235356</v>
      </c>
      <c r="M521" s="45"/>
      <c r="N521" s="121">
        <f>N$522+(SUMIF($T$333:$T$496,"FLG",N$340:N$514)/N10/1.98)+(SUMIF($T$333:$T$496,"FCA",N$340:N$514)/N10/1.98)+(SUMIF($T$333:$T$496,"NSC",N$340:N$514)/N10/1.98)</f>
        <v>365.73045865418123</v>
      </c>
      <c r="O521" s="121">
        <f>O$522+(SUMIF($T$333:$T$496,"FLG",O$340:O$514)/O10/1.98)+(SUMIF($T$333:$T$496,"FCA",O$340:O$514)/O10/1.98)+(SUMIF($T$333:$T$496,"NSC",O$340:O$514)/O10/1.98)</f>
        <v>179.05224713091582</v>
      </c>
      <c r="P521" s="121">
        <f>P$522+(SUMIF($T$333:$T$496,"FLG",P$340:P$514)/P10/1.98)+(SUMIF($T$333:$T$496,"FCA",P$340:P$514)/P10/1.98)+(SUMIF($T$333:$T$496,"NSC",P$340:P$514)/P10/1.98)</f>
        <v>506.55242089530304</v>
      </c>
      <c r="Q521" s="45"/>
      <c r="R521" s="45"/>
    </row>
    <row r="522" spans="1:18" ht="15.75" customHeight="1" x14ac:dyDescent="0.3">
      <c r="A522" s="120" t="s">
        <v>292</v>
      </c>
      <c r="B522" s="121">
        <f>B$523+(SUMIF($T$333:$T$496,"FCI",B$340:B$514)/B10/1.98)+(SUMIF($T$333:$T$496,"FCC",B$340:B$514)/B10/1.98)</f>
        <v>309.89675684175705</v>
      </c>
      <c r="C522" s="121">
        <f>C$523+(SUMIF($T$333:$T$496,"FCI",C$340:C$514)/C10/1.98)+(SUMIF($T$333:$T$496,"FCC",C$340:C$514)/C10/1.98)</f>
        <v>531.7217725122415</v>
      </c>
      <c r="D522" s="121">
        <f>D$523+(SUMIF($T$333:$T$496,"FCI",D$340:D$514)/D10/1.98)+(SUMIF($T$333:$T$496,"FCC",D$340:D$514)/D10/1.98)</f>
        <v>688.49475182255424</v>
      </c>
      <c r="E522" s="122"/>
      <c r="F522" s="121">
        <f>F$523+(SUMIF($T$333:$T$496,"FCI",F$340:F$514)/F10/1.98)+(SUMIF($T$333:$T$496,"FCC",F$340:F$514)/F10/1.98)</f>
        <v>1253.8294951532471</v>
      </c>
      <c r="G522" s="121">
        <f>G$523+(SUMIF($T$333:$T$496,"FCI",G$340:G$514)/G10/1.98)+(SUMIF($T$333:$T$496,"FCC",G$340:G$514)/G10/1.98)</f>
        <v>1182.3104649540644</v>
      </c>
      <c r="H522" s="121">
        <f>H$523+(SUMIF($T$333:$T$496,"FCI",H$340:H$514)/H10/1.98)+(SUMIF($T$333:$T$496,"FCC",H$340:H$514)/H10/1.98)</f>
        <v>1592.9512217484985</v>
      </c>
      <c r="I522" s="45"/>
      <c r="J522" s="121">
        <f>J$523+(SUMIF($T$333:$T$496,"FCI",J$340:J$514)/J10/1.98)+(SUMIF($T$333:$T$496,"FCC",J$340:J$514)/J10/1.98)</f>
        <v>953.9592400506948</v>
      </c>
      <c r="K522" s="121">
        <f>K$523+(SUMIF($T$333:$T$496,"FCI",K$340:K$514)/K10/1.98)+(SUMIF($T$333:$T$496,"FCC",K$340:K$514)/K10/1.98)</f>
        <v>744.40720217646674</v>
      </c>
      <c r="L522" s="121">
        <f>L$523+(SUMIF($T$333:$T$496,"FCI",L$340:L$514)/L10/1.98)+(SUMIF($T$333:$T$496,"FCC",L$340:L$514)/L10/1.98)</f>
        <v>713.05834441235356</v>
      </c>
      <c r="M522" s="45"/>
      <c r="N522" s="121">
        <f>N$523+(SUMIF($T$333:$T$496,"FCI",N$340:N$514)/N10/1.98)+(SUMIF($T$333:$T$496,"FCC",N$340:N$514)/N10/1.98)</f>
        <v>365.73045865418123</v>
      </c>
      <c r="O522" s="121">
        <f>O$523+(SUMIF($T$333:$T$496,"FCI",O$340:O$514)/O10/1.98)+(SUMIF($T$333:$T$496,"FCC",O$340:O$514)/O10/1.98)</f>
        <v>179.05224713091582</v>
      </c>
      <c r="P522" s="121">
        <f>P$523+(SUMIF($T$333:$T$496,"FCI",P$340:P$514)/P10/1.98)+(SUMIF($T$333:$T$496,"FCC",P$340:P$514)/P10/1.98)</f>
        <v>506.55242089530304</v>
      </c>
      <c r="Q522" s="45"/>
      <c r="R522" s="45"/>
    </row>
    <row r="523" spans="1:18" ht="15.75" customHeight="1" x14ac:dyDescent="0.3">
      <c r="A523" s="120" t="s">
        <v>293</v>
      </c>
      <c r="B523" s="121">
        <f>B$524+(SUMIF($T$333:$T$496,"PIL",B$340:B$514)/B10/1.98)+(SUMIF($T$333:$T$496,"KLK",B$340:B$514)/B10/1.98)</f>
        <v>309.89675684175705</v>
      </c>
      <c r="C523" s="121">
        <f>C$524+(SUMIF($T$333:$T$496,"PIL",C$340:C$514)/C10/1.98)+(SUMIF($T$333:$T$496,"KLK",C$340:C$514)/C10/1.98)</f>
        <v>531.7217725122415</v>
      </c>
      <c r="D523" s="121">
        <f>D$524+(SUMIF($T$333:$T$496,"PIL",D$340:D$514)/D10/1.98)+(SUMIF($T$333:$T$496,"KLK",D$340:D$514)/D10/1.98)</f>
        <v>688.49475182255424</v>
      </c>
      <c r="E523" s="122"/>
      <c r="F523" s="121">
        <f>F$524+(SUMIF($T$333:$T$496,"PIL",F$340:F$514)/F10/1.98)+(SUMIF($T$333:$T$496,"KLK",F$340:F$514)/F10/1.98)</f>
        <v>1253.8294951532471</v>
      </c>
      <c r="G523" s="121">
        <f>G$524+(SUMIF($T$333:$T$496,"PIL",G$340:G$514)/G10/1.98)+(SUMIF($T$333:$T$496,"KLK",G$340:G$514)/G10/1.98)</f>
        <v>1182.3104649540644</v>
      </c>
      <c r="H523" s="121">
        <f>H$524+(SUMIF($T$333:$T$496,"PIL",H$340:H$514)/H10/1.98)+(SUMIF($T$333:$T$496,"KLK",H$340:H$514)/H10/1.98)</f>
        <v>1592.9512217484985</v>
      </c>
      <c r="I523" s="45"/>
      <c r="J523" s="121">
        <f>J$524+(SUMIF($T$333:$T$496,"PIL",J$340:J$514)/J10/1.98)+(SUMIF($T$333:$T$496,"KLK",J$340:J$514)/J10/1.98)</f>
        <v>953.9592400506948</v>
      </c>
      <c r="K523" s="121">
        <f>K$524+(SUMIF($T$333:$T$496,"PIL",K$340:K$514)/K10/1.98)+(SUMIF($T$333:$T$496,"KLK",K$340:K$514)/K10/1.98)</f>
        <v>744.40720217646674</v>
      </c>
      <c r="L523" s="121">
        <f>L$524+(SUMIF($T$333:$T$496,"PIL",L$340:L$514)/L10/1.98)+(SUMIF($T$333:$T$496,"KLK",L$340:L$514)/L10/1.98)</f>
        <v>713.05834441235356</v>
      </c>
      <c r="M523" s="45"/>
      <c r="N523" s="121">
        <f>N$524+(SUMIF($T$333:$T$496,"PIL",N$340:N$514)/N10/1.98)+(SUMIF($T$333:$T$496,"KLK",N$340:N$514)/N10/1.98)</f>
        <v>365.73045865418123</v>
      </c>
      <c r="O523" s="121">
        <f>O$524+(SUMIF($T$333:$T$496,"PIL",O$340:O$514)/O10/1.98)+(SUMIF($T$333:$T$496,"KLK",O$340:O$514)/O10/1.98)</f>
        <v>179.05224713091582</v>
      </c>
      <c r="P523" s="121">
        <f>P$524+(SUMIF($T$333:$T$496,"PIL",P$340:P$514)/P10/1.98)+(SUMIF($T$333:$T$496,"KLK",P$340:P$514)/P10/1.98)</f>
        <v>506.55242089530304</v>
      </c>
      <c r="Q523" s="45"/>
      <c r="R523" s="45"/>
    </row>
    <row r="524" spans="1:18" ht="15.75" customHeight="1" x14ac:dyDescent="0.3">
      <c r="A524" s="120" t="s">
        <v>294</v>
      </c>
      <c r="B524" s="121">
        <f>B$525+(SUMIF($T$333:$T$496,"CGE",B$340:B$514)/B10/1.98)</f>
        <v>309.89675684175705</v>
      </c>
      <c r="C524" s="121">
        <f>C$525+(SUMIF($T$333:$T$496,"CGE",C$340:C$514)/C10/1.98)</f>
        <v>531.7217725122415</v>
      </c>
      <c r="D524" s="121">
        <f>D$525+(SUMIF($T$333:$T$496,"CGE",D$340:D$514)/D10/1.98)</f>
        <v>688.49475182255424</v>
      </c>
      <c r="E524" s="122"/>
      <c r="F524" s="121">
        <f>F$525+(SUMIF($T$333:$T$496,"CGE",F$340:F$514)/F10/1.98)</f>
        <v>1253.8294951532471</v>
      </c>
      <c r="G524" s="121">
        <f>G$525+(SUMIF($T$333:$T$496,"CGE",G$340:G$514)/G10/1.98)</f>
        <v>1182.3104649540644</v>
      </c>
      <c r="H524" s="121">
        <f>H$525+(SUMIF($T$333:$T$496,"CGE",H$340:H$514)/H10/1.98)</f>
        <v>1592.9512217484985</v>
      </c>
      <c r="I524" s="45"/>
      <c r="J524" s="121">
        <f>J$525+(SUMIF($T$333:$T$496,"CGE",J$340:J$514)/J10/1.98)</f>
        <v>953.9592400506948</v>
      </c>
      <c r="K524" s="121">
        <f>K$525+(SUMIF($T$333:$T$496,"CGE",K$340:K$514)/K10/1.98)</f>
        <v>744.40720217646674</v>
      </c>
      <c r="L524" s="121">
        <f>L$525+(SUMIF($T$333:$T$496,"CGE",L$340:L$514)/L10/1.98)</f>
        <v>712.60379895780807</v>
      </c>
      <c r="M524" s="45"/>
      <c r="N524" s="121">
        <f>N$525+(SUMIF($T$333:$T$496,"CGE",N$340:N$514)/N10/1.98)</f>
        <v>365.73045865418123</v>
      </c>
      <c r="O524" s="121">
        <f>O$525+(SUMIF($T$333:$T$496,"CGE",O$340:O$514)/O10/1.98)</f>
        <v>179.05224713091582</v>
      </c>
      <c r="P524" s="121">
        <f>P$525+(SUMIF($T$333:$T$496,"CGE",P$340:P$514)/P10/1.98)</f>
        <v>506.55242089530304</v>
      </c>
      <c r="Q524" s="45"/>
      <c r="R524" s="45"/>
    </row>
    <row r="525" spans="1:18" ht="15.75" customHeight="1" x14ac:dyDescent="0.3">
      <c r="A525" s="120" t="s">
        <v>295</v>
      </c>
      <c r="B525" s="121">
        <f>B$526+(SUMIF($T$333:$T$496,"SRO",B$340:B$514)/B10/1.98)</f>
        <v>309.89675684175705</v>
      </c>
      <c r="C525" s="121">
        <f>C$526+(SUMIF($T$333:$T$496,"SRO",C$340:C$514)/C10/1.98)</f>
        <v>526.31051710098609</v>
      </c>
      <c r="D525" s="121">
        <f>D$526+(SUMIF($T$333:$T$496,"SRO",D$340:D$514)/D10/1.98)</f>
        <v>675.46119040189603</v>
      </c>
      <c r="E525" s="122"/>
      <c r="F525" s="121">
        <f>F$526+(SUMIF($T$333:$T$496,"SRO",F$340:F$514)/F10/1.98)</f>
        <v>1242.0449833687353</v>
      </c>
      <c r="G525" s="121">
        <f>G$526+(SUMIF($T$333:$T$496,"SRO",G$340:G$514)/G10/1.98)</f>
        <v>1169.2769035334063</v>
      </c>
      <c r="H525" s="121">
        <f>H$526+(SUMIF($T$333:$T$496,"SRO",H$340:H$514)/H10/1.98)</f>
        <v>1579.4832082804851</v>
      </c>
      <c r="I525" s="45"/>
      <c r="J525" s="121">
        <f>J$526+(SUMIF($T$333:$T$496,"SRO",J$340:J$514)/J10/1.98)</f>
        <v>940.9256786300366</v>
      </c>
      <c r="K525" s="121">
        <f>K$526+(SUMIF($T$333:$T$496,"SRO",K$340:K$514)/K10/1.98)</f>
        <v>744.40720217646674</v>
      </c>
      <c r="L525" s="121">
        <f>L$526+(SUMIF($T$333:$T$496,"SRO",L$340:L$514)/L10/1.98)</f>
        <v>712.60379895780807</v>
      </c>
      <c r="M525" s="45"/>
      <c r="N525" s="121">
        <f>N$526+(SUMIF($T$333:$T$496,"SRO",N$340:N$514)/N10/1.98)</f>
        <v>365.73045865418123</v>
      </c>
      <c r="O525" s="121">
        <f>O$526+(SUMIF($T$333:$T$496,"SRO",O$340:O$514)/O10/1.98)</f>
        <v>179.05224713091582</v>
      </c>
      <c r="P525" s="121">
        <f>P$526+(SUMIF($T$333:$T$496,"SRO",P$340:P$514)/P10/1.98)</f>
        <v>506.55242089530304</v>
      </c>
      <c r="Q525" s="45"/>
      <c r="R525" s="45"/>
    </row>
    <row r="526" spans="1:18" ht="15.75" customHeight="1" x14ac:dyDescent="0.3">
      <c r="A526" s="120" t="s">
        <v>296</v>
      </c>
      <c r="B526" s="121">
        <f>B$570/B10/1.983</f>
        <v>188.5705919672051</v>
      </c>
      <c r="C526" s="121">
        <f>C$570/C10/1.983</f>
        <v>349.34442763489659</v>
      </c>
      <c r="D526" s="121">
        <f>D$570/D10/1.983</f>
        <v>507.44229173783611</v>
      </c>
      <c r="E526" s="123"/>
      <c r="F526" s="121">
        <f>F$570/F10/1.983</f>
        <v>794.75542107917295</v>
      </c>
      <c r="G526" s="121">
        <f>G$570/G10/1.983</f>
        <v>685.84581848941809</v>
      </c>
      <c r="H526" s="121">
        <f>H$570/H10/1.983</f>
        <v>885.5269793242561</v>
      </c>
      <c r="I526" s="1"/>
      <c r="J526" s="121">
        <f>J$570/J10/1.983</f>
        <v>687.97683535861268</v>
      </c>
      <c r="K526" s="121">
        <f>K$570/K10/1.983</f>
        <v>540.70892912335501</v>
      </c>
      <c r="L526" s="121">
        <f>L$570/L10/1.983</f>
        <v>459.2704656244747</v>
      </c>
      <c r="N526" s="121">
        <f>N$570/N10/1.983</f>
        <v>230.80051404681728</v>
      </c>
      <c r="O526" s="121">
        <f>O$570/O10/1.983</f>
        <v>14.405782484451167</v>
      </c>
      <c r="P526" s="121">
        <f>P$570/P10/1.983</f>
        <v>320.56349942251063</v>
      </c>
      <c r="R526" s="45"/>
    </row>
    <row r="527" spans="1:18" ht="15.75" customHeight="1" x14ac:dyDescent="0.3">
      <c r="A527" s="120"/>
      <c r="B527" s="121"/>
      <c r="C527" s="121"/>
      <c r="D527" s="121"/>
      <c r="E527" s="123"/>
      <c r="F527" s="121"/>
      <c r="G527" s="121"/>
      <c r="H527" s="121"/>
      <c r="I527" s="1"/>
      <c r="J527" s="121"/>
      <c r="K527" s="121"/>
      <c r="L527" s="121"/>
      <c r="N527" s="121"/>
      <c r="O527" s="121"/>
      <c r="P527" s="121"/>
      <c r="R527" s="45"/>
    </row>
    <row r="528" spans="1:18" ht="15.75" customHeight="1" thickBot="1" x14ac:dyDescent="0.35">
      <c r="A528" s="28"/>
      <c r="B528" s="1"/>
      <c r="C528" s="1"/>
      <c r="D528" s="1"/>
      <c r="E528" s="1"/>
      <c r="F528" s="1"/>
      <c r="G528" s="1"/>
      <c r="H528" s="1"/>
      <c r="I528" s="1"/>
      <c r="J528" s="1"/>
      <c r="K528" s="1"/>
      <c r="L528" s="1"/>
      <c r="M528" s="1"/>
      <c r="N528" s="1"/>
      <c r="O528" s="1"/>
      <c r="P528" s="1"/>
      <c r="Q528" s="1"/>
      <c r="R528" s="2"/>
    </row>
    <row r="529" spans="1:20" ht="16.5" customHeight="1" thickBot="1" x14ac:dyDescent="0.35">
      <c r="A529" s="29" t="s">
        <v>297</v>
      </c>
      <c r="B529" s="30" t="s">
        <v>8</v>
      </c>
      <c r="C529" s="31" t="s">
        <v>9</v>
      </c>
      <c r="D529" s="31" t="s">
        <v>10</v>
      </c>
      <c r="E529" s="32" t="s">
        <v>11</v>
      </c>
      <c r="F529" s="31" t="s">
        <v>12</v>
      </c>
      <c r="G529" s="31" t="s">
        <v>13</v>
      </c>
      <c r="H529" s="31" t="s">
        <v>14</v>
      </c>
      <c r="I529" s="33" t="s">
        <v>15</v>
      </c>
      <c r="J529" s="31" t="s">
        <v>16</v>
      </c>
      <c r="K529" s="31" t="s">
        <v>17</v>
      </c>
      <c r="L529" s="31" t="s">
        <v>18</v>
      </c>
      <c r="M529" s="33" t="s">
        <v>19</v>
      </c>
      <c r="N529" s="31" t="s">
        <v>20</v>
      </c>
      <c r="O529" s="31" t="s">
        <v>21</v>
      </c>
      <c r="P529" s="31" t="s">
        <v>22</v>
      </c>
      <c r="Q529" s="33" t="s">
        <v>23</v>
      </c>
      <c r="R529" s="34" t="s">
        <v>24</v>
      </c>
    </row>
    <row r="530" spans="1:20" ht="16.5" customHeight="1" thickBot="1" x14ac:dyDescent="0.35">
      <c r="A530" s="59"/>
      <c r="B530" s="75"/>
      <c r="C530" s="75"/>
      <c r="D530" s="75"/>
      <c r="E530" s="69"/>
      <c r="F530" s="75"/>
      <c r="G530" s="75"/>
      <c r="H530" s="75"/>
      <c r="I530" s="82"/>
      <c r="J530" s="75"/>
      <c r="K530" s="75"/>
      <c r="L530" s="75"/>
      <c r="M530" s="82"/>
      <c r="N530" s="75"/>
      <c r="O530" s="75"/>
      <c r="P530" s="75"/>
      <c r="Q530" s="82"/>
      <c r="R530" s="100"/>
    </row>
    <row r="531" spans="1:20" ht="15.75" customHeight="1" x14ac:dyDescent="0.3">
      <c r="A531" s="15" t="s">
        <v>48</v>
      </c>
      <c r="B531" s="1" t="s">
        <v>7</v>
      </c>
      <c r="C531" s="1" t="s">
        <v>7</v>
      </c>
      <c r="D531" s="1" t="s">
        <v>7</v>
      </c>
      <c r="E531" s="55" t="s">
        <v>7</v>
      </c>
      <c r="F531" s="1"/>
      <c r="G531" s="1"/>
      <c r="H531" s="1"/>
      <c r="I531" s="55" t="s">
        <v>7</v>
      </c>
      <c r="J531" s="1" t="s">
        <v>7</v>
      </c>
      <c r="K531" s="1" t="s">
        <v>7</v>
      </c>
      <c r="L531" s="1" t="s">
        <v>7</v>
      </c>
      <c r="M531" s="55" t="s">
        <v>7</v>
      </c>
      <c r="N531" s="1" t="s">
        <v>7</v>
      </c>
      <c r="O531" s="1" t="s">
        <v>7</v>
      </c>
      <c r="P531" s="1" t="s">
        <v>7</v>
      </c>
      <c r="Q531" s="55" t="s">
        <v>7</v>
      </c>
      <c r="R531" s="55" t="s">
        <v>7</v>
      </c>
    </row>
    <row r="532" spans="1:20" ht="15.75" customHeight="1" x14ac:dyDescent="0.3">
      <c r="A532" s="15" t="s">
        <v>49</v>
      </c>
      <c r="B532" s="1"/>
      <c r="C532" s="1"/>
      <c r="D532" s="1"/>
      <c r="E532" s="55" t="s">
        <v>7</v>
      </c>
      <c r="F532" s="1"/>
      <c r="G532" s="1"/>
      <c r="H532" s="1"/>
      <c r="I532" s="55" t="s">
        <v>7</v>
      </c>
      <c r="J532" s="1"/>
      <c r="K532" s="1"/>
      <c r="L532" s="1"/>
      <c r="M532" s="55" t="s">
        <v>7</v>
      </c>
      <c r="N532" s="1"/>
      <c r="O532" s="1"/>
      <c r="P532" s="1"/>
      <c r="Q532" s="55" t="s">
        <v>7</v>
      </c>
      <c r="R532" s="55" t="s">
        <v>7</v>
      </c>
    </row>
    <row r="533" spans="1:20" ht="15.75" customHeight="1" x14ac:dyDescent="0.3">
      <c r="A533" s="71" t="s">
        <v>1225</v>
      </c>
      <c r="B533" s="1"/>
      <c r="C533" s="1"/>
      <c r="D533" s="1">
        <v>8</v>
      </c>
      <c r="E533" s="55">
        <f t="shared" ref="E533:E537" si="203">SUM(B533:D533)</f>
        <v>8</v>
      </c>
      <c r="F533" s="1">
        <v>17</v>
      </c>
      <c r="G533" s="1">
        <v>16</v>
      </c>
      <c r="H533" s="1">
        <v>10</v>
      </c>
      <c r="I533" s="55">
        <f t="shared" ref="I533:I537" si="204">SUM(F533:H533)</f>
        <v>43</v>
      </c>
      <c r="J533" s="1">
        <v>4</v>
      </c>
      <c r="K533" s="1"/>
      <c r="L533" s="1">
        <v>2</v>
      </c>
      <c r="M533" s="55">
        <f t="shared" ref="M533:M537" si="205">SUM(J533:L533)</f>
        <v>6</v>
      </c>
      <c r="N533" s="1">
        <v>3</v>
      </c>
      <c r="O533" s="1"/>
      <c r="P533" s="1"/>
      <c r="Q533" s="55">
        <f t="shared" ref="Q533:Q537" si="206">SUM(N533:P533)</f>
        <v>3</v>
      </c>
      <c r="R533" s="55">
        <f t="shared" ref="R533:R537" si="207">+E533+I533+M533+Q533</f>
        <v>60</v>
      </c>
      <c r="T533" s="4" t="s">
        <v>938</v>
      </c>
    </row>
    <row r="534" spans="1:20" ht="15.75" customHeight="1" x14ac:dyDescent="0.3">
      <c r="A534" s="71" t="s">
        <v>1226</v>
      </c>
      <c r="B534" s="1"/>
      <c r="C534" s="1"/>
      <c r="D534" s="1"/>
      <c r="E534" s="55">
        <f>SUM(B534:D534)</f>
        <v>0</v>
      </c>
      <c r="F534" s="1"/>
      <c r="G534" s="1"/>
      <c r="H534" s="1"/>
      <c r="I534" s="55">
        <f>SUM(F534:H534)</f>
        <v>0</v>
      </c>
      <c r="J534" s="1"/>
      <c r="K534" s="1"/>
      <c r="L534" s="1"/>
      <c r="M534" s="55">
        <f t="shared" si="205"/>
        <v>0</v>
      </c>
      <c r="N534" s="1"/>
      <c r="O534" s="1"/>
      <c r="P534" s="1"/>
      <c r="Q534" s="55">
        <f t="shared" si="206"/>
        <v>0</v>
      </c>
      <c r="R534" s="55">
        <f t="shared" si="207"/>
        <v>0</v>
      </c>
      <c r="T534" s="4" t="s">
        <v>938</v>
      </c>
    </row>
    <row r="535" spans="1:20" ht="15.75" customHeight="1" x14ac:dyDescent="0.3">
      <c r="A535" s="71" t="s">
        <v>1429</v>
      </c>
      <c r="B535" s="1"/>
      <c r="C535" s="1"/>
      <c r="D535" s="1"/>
      <c r="E535" s="55">
        <f t="shared" si="203"/>
        <v>0</v>
      </c>
      <c r="F535" s="1"/>
      <c r="G535" s="1"/>
      <c r="H535" s="1"/>
      <c r="I535" s="55">
        <f t="shared" si="204"/>
        <v>0</v>
      </c>
      <c r="J535" s="1"/>
      <c r="K535" s="1"/>
      <c r="L535" s="1"/>
      <c r="M535" s="55">
        <f t="shared" si="205"/>
        <v>0</v>
      </c>
      <c r="N535" s="1"/>
      <c r="O535" s="1"/>
      <c r="P535" s="1"/>
      <c r="Q535" s="55">
        <f t="shared" si="206"/>
        <v>0</v>
      </c>
      <c r="R535" s="55">
        <f t="shared" si="207"/>
        <v>0</v>
      </c>
    </row>
    <row r="536" spans="1:20" ht="15.75" customHeight="1" x14ac:dyDescent="0.3">
      <c r="A536" s="71" t="s">
        <v>980</v>
      </c>
      <c r="C536" s="1"/>
      <c r="D536" s="1"/>
      <c r="E536" s="55">
        <f t="shared" si="203"/>
        <v>0</v>
      </c>
      <c r="F536" s="1"/>
      <c r="G536" s="1"/>
      <c r="H536" s="1">
        <v>2467</v>
      </c>
      <c r="I536" s="55">
        <f t="shared" si="204"/>
        <v>2467</v>
      </c>
      <c r="J536" s="1"/>
      <c r="K536" s="1"/>
      <c r="L536" s="1"/>
      <c r="M536" s="55">
        <f t="shared" si="205"/>
        <v>0</v>
      </c>
      <c r="N536" s="1"/>
      <c r="O536" s="1"/>
      <c r="P536" s="1"/>
      <c r="Q536" s="55">
        <f t="shared" si="206"/>
        <v>0</v>
      </c>
      <c r="R536" s="55">
        <f t="shared" si="207"/>
        <v>2467</v>
      </c>
      <c r="T536" s="4" t="s">
        <v>938</v>
      </c>
    </row>
    <row r="537" spans="1:20" ht="15.75" customHeight="1" x14ac:dyDescent="0.3">
      <c r="A537" s="72" t="s">
        <v>981</v>
      </c>
      <c r="B537" s="1"/>
      <c r="C537" s="1"/>
      <c r="D537" s="1"/>
      <c r="E537" s="55">
        <f t="shared" si="203"/>
        <v>0</v>
      </c>
      <c r="F537" s="1"/>
      <c r="G537" s="1"/>
      <c r="H537" s="1"/>
      <c r="I537" s="55">
        <f t="shared" si="204"/>
        <v>0</v>
      </c>
      <c r="J537" s="1"/>
      <c r="K537" s="1"/>
      <c r="L537" s="1"/>
      <c r="M537" s="55">
        <f t="shared" si="205"/>
        <v>0</v>
      </c>
      <c r="N537" s="1"/>
      <c r="O537" s="1"/>
      <c r="P537" s="1"/>
      <c r="Q537" s="55">
        <f t="shared" si="206"/>
        <v>0</v>
      </c>
      <c r="R537" s="55">
        <f t="shared" si="207"/>
        <v>0</v>
      </c>
      <c r="T537" s="4" t="s">
        <v>938</v>
      </c>
    </row>
    <row r="538" spans="1:20" ht="15.75" customHeight="1" x14ac:dyDescent="0.3">
      <c r="A538" s="15" t="s">
        <v>50</v>
      </c>
      <c r="B538" s="1"/>
      <c r="C538" s="1"/>
      <c r="D538" s="1"/>
      <c r="E538" s="55" t="s">
        <v>7</v>
      </c>
      <c r="F538" s="1"/>
      <c r="G538" s="1"/>
      <c r="H538" s="1"/>
      <c r="I538" s="55" t="s">
        <v>7</v>
      </c>
      <c r="J538" s="1"/>
      <c r="K538" s="1"/>
      <c r="L538" s="1"/>
      <c r="M538" s="55" t="s">
        <v>7</v>
      </c>
      <c r="N538" s="1"/>
      <c r="O538" s="1"/>
      <c r="P538" s="1"/>
      <c r="Q538" s="55" t="s">
        <v>7</v>
      </c>
      <c r="R538" s="55" t="s">
        <v>7</v>
      </c>
    </row>
    <row r="539" spans="1:20" ht="15.75" customHeight="1" x14ac:dyDescent="0.3">
      <c r="A539" s="71" t="s">
        <v>758</v>
      </c>
      <c r="B539" s="1"/>
      <c r="C539" s="1"/>
      <c r="D539" s="1"/>
      <c r="E539" s="55">
        <f>SUM(B539:D539)</f>
        <v>0</v>
      </c>
      <c r="F539" s="1"/>
      <c r="G539" s="1"/>
      <c r="H539" s="1"/>
      <c r="I539" s="55">
        <f>SUM(F539:H539)</f>
        <v>0</v>
      </c>
      <c r="J539" s="1"/>
      <c r="K539" s="1"/>
      <c r="L539" s="1"/>
      <c r="M539" s="55">
        <f>SUM(J539:L539)</f>
        <v>0</v>
      </c>
      <c r="N539" s="1"/>
      <c r="O539" s="1"/>
      <c r="P539" s="1"/>
      <c r="Q539" s="55">
        <f>SUM(N539:P539)</f>
        <v>0</v>
      </c>
      <c r="R539" s="55">
        <f>+E539+I539+M539+Q539</f>
        <v>0</v>
      </c>
    </row>
    <row r="540" spans="1:20" ht="15.75" customHeight="1" x14ac:dyDescent="0.3">
      <c r="A540" s="71" t="s">
        <v>298</v>
      </c>
      <c r="B540" s="1"/>
      <c r="C540" s="1"/>
      <c r="D540" s="1"/>
      <c r="E540" s="55">
        <f>SUM(B540:D540)</f>
        <v>0</v>
      </c>
      <c r="F540" s="1"/>
      <c r="G540" s="1"/>
      <c r="H540" s="1"/>
      <c r="I540" s="55">
        <f>SUM(F540:H540)</f>
        <v>0</v>
      </c>
      <c r="J540" s="1"/>
      <c r="K540" s="1"/>
      <c r="L540" s="1"/>
      <c r="M540" s="55">
        <f>SUM(J540:L540)</f>
        <v>0</v>
      </c>
      <c r="N540" s="1"/>
      <c r="O540" s="1"/>
      <c r="P540" s="1"/>
      <c r="Q540" s="55">
        <f>SUM(N540:P540)</f>
        <v>0</v>
      </c>
      <c r="R540" s="55">
        <f>+E540+I540+M540+Q540</f>
        <v>0</v>
      </c>
    </row>
    <row r="541" spans="1:20" ht="15.75" customHeight="1" x14ac:dyDescent="0.3">
      <c r="A541" s="15" t="s">
        <v>1186</v>
      </c>
      <c r="B541" s="1"/>
      <c r="C541" s="1"/>
      <c r="D541" s="1"/>
      <c r="E541" s="55" t="s">
        <v>7</v>
      </c>
      <c r="F541" s="1"/>
      <c r="G541" s="1"/>
      <c r="H541" s="1"/>
      <c r="I541" s="55" t="s">
        <v>7</v>
      </c>
      <c r="J541" s="1"/>
      <c r="K541" s="1"/>
      <c r="L541" s="1"/>
      <c r="M541" s="55" t="s">
        <v>7</v>
      </c>
      <c r="N541" s="1"/>
      <c r="O541" s="1"/>
      <c r="P541" s="1"/>
      <c r="Q541" s="55" t="s">
        <v>7</v>
      </c>
      <c r="R541" s="55" t="s">
        <v>7</v>
      </c>
    </row>
    <row r="542" spans="1:20" ht="15.75" customHeight="1" thickBot="1" x14ac:dyDescent="0.35">
      <c r="A542" s="15" t="s">
        <v>53</v>
      </c>
      <c r="B542" s="1"/>
      <c r="C542" s="1"/>
      <c r="D542" s="1"/>
      <c r="E542" s="55" t="s">
        <v>7</v>
      </c>
      <c r="F542" s="1"/>
      <c r="G542" s="1"/>
      <c r="H542" s="1"/>
      <c r="I542" s="55" t="s">
        <v>7</v>
      </c>
      <c r="J542" s="1"/>
      <c r="K542" s="1"/>
      <c r="L542" s="1"/>
      <c r="M542" s="55" t="s">
        <v>7</v>
      </c>
      <c r="N542" s="1"/>
      <c r="O542" s="1"/>
      <c r="P542" s="1"/>
      <c r="Q542" s="55" t="s">
        <v>7</v>
      </c>
      <c r="R542" s="55" t="s">
        <v>7</v>
      </c>
    </row>
    <row r="543" spans="1:20" ht="16.5" customHeight="1" thickBot="1" x14ac:dyDescent="0.35">
      <c r="A543" s="109" t="s">
        <v>54</v>
      </c>
      <c r="B543" s="86">
        <f>SUM(B531:B542)</f>
        <v>0</v>
      </c>
      <c r="C543" s="87">
        <f>SUM(C531:C542)</f>
        <v>0</v>
      </c>
      <c r="D543" s="87">
        <f>SUM(D531:D542)</f>
        <v>8</v>
      </c>
      <c r="E543" s="59">
        <f>SUM(B543:D543)</f>
        <v>8</v>
      </c>
      <c r="F543" s="87">
        <f>SUM(F531:F542)</f>
        <v>17</v>
      </c>
      <c r="G543" s="87">
        <f>SUM(G531:G542)</f>
        <v>16</v>
      </c>
      <c r="H543" s="87">
        <f>SUM(H531:H542)</f>
        <v>2477</v>
      </c>
      <c r="I543" s="59">
        <f>SUM(F543:H543)</f>
        <v>2510</v>
      </c>
      <c r="J543" s="87">
        <f>SUM(J531:J542)</f>
        <v>4</v>
      </c>
      <c r="K543" s="87">
        <f>SUM(K531:K542)</f>
        <v>0</v>
      </c>
      <c r="L543" s="87">
        <f>SUM(L531:L542)</f>
        <v>2</v>
      </c>
      <c r="M543" s="59">
        <f>SUM(J543:L543)</f>
        <v>6</v>
      </c>
      <c r="N543" s="87">
        <f>SUM(N531:N542)</f>
        <v>3</v>
      </c>
      <c r="O543" s="87">
        <f>SUM(O531:O542)</f>
        <v>0</v>
      </c>
      <c r="P543" s="87">
        <f>SUM(P531:P542)</f>
        <v>0</v>
      </c>
      <c r="Q543" s="59">
        <f>SUM(N543:P543)</f>
        <v>3</v>
      </c>
      <c r="R543" s="59">
        <f>+E543+I543+M543+Q543</f>
        <v>2527</v>
      </c>
    </row>
    <row r="544" spans="1:20" ht="15.75" customHeight="1" x14ac:dyDescent="0.3">
      <c r="A544" s="15" t="s">
        <v>55</v>
      </c>
      <c r="B544" s="1"/>
      <c r="C544" s="1"/>
      <c r="D544" s="1"/>
      <c r="E544" s="55" t="s">
        <v>7</v>
      </c>
      <c r="F544" s="1"/>
      <c r="G544" s="1"/>
      <c r="H544" s="1"/>
      <c r="I544" s="55" t="s">
        <v>7</v>
      </c>
      <c r="J544" s="1"/>
      <c r="K544" s="1"/>
      <c r="L544" s="1"/>
      <c r="M544" s="55" t="s">
        <v>7</v>
      </c>
      <c r="N544" s="1" t="s">
        <v>7</v>
      </c>
      <c r="O544" s="1"/>
      <c r="P544" s="1"/>
      <c r="Q544" s="55" t="s">
        <v>7</v>
      </c>
      <c r="R544" s="55" t="s">
        <v>7</v>
      </c>
    </row>
    <row r="545" spans="1:20" ht="15.75" customHeight="1" x14ac:dyDescent="0.3">
      <c r="A545" s="15" t="s">
        <v>57</v>
      </c>
      <c r="B545" s="1"/>
      <c r="C545" s="1"/>
      <c r="D545" s="1"/>
      <c r="E545" s="55" t="s">
        <v>7</v>
      </c>
      <c r="F545" s="1"/>
      <c r="G545" s="1"/>
      <c r="H545" s="1"/>
      <c r="I545" s="55" t="s">
        <v>7</v>
      </c>
      <c r="J545" s="1"/>
      <c r="K545" s="1"/>
      <c r="L545" s="1"/>
      <c r="M545" s="55" t="s">
        <v>7</v>
      </c>
      <c r="N545" s="1"/>
      <c r="O545" s="1"/>
      <c r="P545" s="1"/>
      <c r="Q545" s="55" t="s">
        <v>7</v>
      </c>
      <c r="R545" s="55" t="s">
        <v>7</v>
      </c>
    </row>
    <row r="546" spans="1:20" ht="15.75" customHeight="1" x14ac:dyDescent="0.3">
      <c r="A546" s="71" t="s">
        <v>565</v>
      </c>
      <c r="B546" s="1"/>
      <c r="C546" s="1">
        <v>645</v>
      </c>
      <c r="D546" s="1">
        <v>4062</v>
      </c>
      <c r="E546" s="55">
        <f>SUM(B546:D546)</f>
        <v>4707</v>
      </c>
      <c r="F546" s="1">
        <v>12469</v>
      </c>
      <c r="G546" s="1">
        <f>5565+2500</f>
        <v>8065</v>
      </c>
      <c r="H546" s="1">
        <v>5792</v>
      </c>
      <c r="I546" s="55">
        <f>SUM(F546:H546)</f>
        <v>26326</v>
      </c>
      <c r="J546" s="1"/>
      <c r="K546" s="1">
        <v>2897</v>
      </c>
      <c r="L546" s="1">
        <v>2868</v>
      </c>
      <c r="M546" s="55">
        <f>SUM(J546:L546)</f>
        <v>5765</v>
      </c>
      <c r="N546" s="1"/>
      <c r="O546" s="1">
        <v>33</v>
      </c>
      <c r="P546" s="1">
        <v>443</v>
      </c>
      <c r="Q546" s="55">
        <f>SUM(N546:P546)</f>
        <v>476</v>
      </c>
      <c r="R546" s="55">
        <f>+E546+I546+M546+Q546</f>
        <v>37274</v>
      </c>
    </row>
    <row r="547" spans="1:20" ht="15.75" customHeight="1" thickBot="1" x14ac:dyDescent="0.35">
      <c r="A547" s="15" t="s">
        <v>58</v>
      </c>
      <c r="B547" s="1"/>
      <c r="C547" s="1"/>
      <c r="D547" s="1"/>
      <c r="E547" s="55" t="s">
        <v>7</v>
      </c>
      <c r="F547" s="1"/>
      <c r="G547" s="1"/>
      <c r="H547" s="1"/>
      <c r="I547" s="55" t="s">
        <v>7</v>
      </c>
      <c r="J547" s="1"/>
      <c r="K547" s="1"/>
      <c r="L547" s="1"/>
      <c r="M547" s="55" t="s">
        <v>7</v>
      </c>
      <c r="N547" s="1"/>
      <c r="O547" s="1"/>
      <c r="P547" s="1"/>
      <c r="Q547" s="55" t="s">
        <v>7</v>
      </c>
      <c r="R547" s="55" t="s">
        <v>7</v>
      </c>
    </row>
    <row r="548" spans="1:20" ht="16.5" customHeight="1" thickBot="1" x14ac:dyDescent="0.35">
      <c r="A548" s="57" t="s">
        <v>59</v>
      </c>
      <c r="B548" s="86">
        <f>SUM(B544:B547)</f>
        <v>0</v>
      </c>
      <c r="C548" s="87">
        <f>SUM(C544:C547)</f>
        <v>645</v>
      </c>
      <c r="D548" s="87">
        <f>SUM(D544:D547)</f>
        <v>4062</v>
      </c>
      <c r="E548" s="59">
        <f>SUM(B548:D548)</f>
        <v>4707</v>
      </c>
      <c r="F548" s="87">
        <f>SUM(F544:F547)</f>
        <v>12469</v>
      </c>
      <c r="G548" s="87">
        <f>SUM(G544:G547)</f>
        <v>8065</v>
      </c>
      <c r="H548" s="87">
        <f>SUM(H544:H547)</f>
        <v>5792</v>
      </c>
      <c r="I548" s="59">
        <f>SUM(F548:H548)</f>
        <v>26326</v>
      </c>
      <c r="J548" s="87">
        <f>SUM(J544:J547)</f>
        <v>0</v>
      </c>
      <c r="K548" s="87">
        <f>SUM(K544:K547)</f>
        <v>2897</v>
      </c>
      <c r="L548" s="87">
        <f>SUM(L544:L547)</f>
        <v>2868</v>
      </c>
      <c r="M548" s="59">
        <f>SUM(J548:L548)</f>
        <v>5765</v>
      </c>
      <c r="N548" s="87">
        <f>SUM(N544:N547)</f>
        <v>0</v>
      </c>
      <c r="O548" s="87">
        <f>SUM(O544:O547)</f>
        <v>33</v>
      </c>
      <c r="P548" s="87">
        <f>SUM(P544:P547)</f>
        <v>443</v>
      </c>
      <c r="Q548" s="59">
        <f>SUM(N548:P548)</f>
        <v>476</v>
      </c>
      <c r="R548" s="59">
        <f>+E548+I548+M548+Q548</f>
        <v>37274</v>
      </c>
    </row>
    <row r="549" spans="1:20" ht="15.75" customHeight="1" x14ac:dyDescent="0.3">
      <c r="A549" s="15" t="s">
        <v>60</v>
      </c>
      <c r="B549" s="1"/>
      <c r="C549" s="1"/>
      <c r="D549" s="1"/>
      <c r="E549" s="55" t="s">
        <v>7</v>
      </c>
      <c r="F549" s="1"/>
      <c r="G549" s="1"/>
      <c r="H549" s="1"/>
      <c r="I549" s="55" t="s">
        <v>7</v>
      </c>
      <c r="J549" s="1"/>
      <c r="K549" s="1"/>
      <c r="L549" s="1"/>
      <c r="M549" s="55" t="s">
        <v>7</v>
      </c>
      <c r="N549" s="1"/>
      <c r="O549" s="1"/>
      <c r="P549" s="1"/>
      <c r="Q549" s="55" t="s">
        <v>7</v>
      </c>
      <c r="R549" s="55" t="s">
        <v>7</v>
      </c>
    </row>
    <row r="550" spans="1:20" ht="15.75" customHeight="1" x14ac:dyDescent="0.3">
      <c r="A550" s="15" t="s">
        <v>61</v>
      </c>
      <c r="B550" s="1"/>
      <c r="C550" s="1"/>
      <c r="D550" s="1"/>
      <c r="E550" s="55" t="s">
        <v>7</v>
      </c>
      <c r="F550" s="1"/>
      <c r="G550" s="1"/>
      <c r="H550" s="1"/>
      <c r="I550" s="55" t="s">
        <v>7</v>
      </c>
      <c r="J550" s="1"/>
      <c r="K550" s="1"/>
      <c r="L550" s="1"/>
      <c r="M550" s="55" t="s">
        <v>7</v>
      </c>
      <c r="N550" s="1"/>
      <c r="O550" s="1"/>
      <c r="P550" s="1"/>
      <c r="Q550" s="55" t="s">
        <v>7</v>
      </c>
      <c r="R550" s="55" t="s">
        <v>7</v>
      </c>
    </row>
    <row r="551" spans="1:20" ht="15.75" customHeight="1" x14ac:dyDescent="0.3">
      <c r="A551" s="15" t="s">
        <v>62</v>
      </c>
      <c r="B551" s="1"/>
      <c r="C551" s="1"/>
      <c r="D551" s="1"/>
      <c r="E551" s="55" t="s">
        <v>7</v>
      </c>
      <c r="F551" s="1"/>
      <c r="G551" s="1"/>
      <c r="H551" s="1"/>
      <c r="I551" s="55" t="s">
        <v>7</v>
      </c>
      <c r="J551" s="1"/>
      <c r="K551" s="1"/>
      <c r="L551" s="1"/>
      <c r="M551" s="55" t="s">
        <v>7</v>
      </c>
      <c r="N551" s="1"/>
      <c r="O551" s="1"/>
      <c r="P551" s="1"/>
      <c r="Q551" s="55" t="s">
        <v>7</v>
      </c>
      <c r="R551" s="55" t="s">
        <v>7</v>
      </c>
    </row>
    <row r="552" spans="1:20" ht="15.75" customHeight="1" x14ac:dyDescent="0.3">
      <c r="A552" s="71" t="s">
        <v>1430</v>
      </c>
      <c r="B552" s="1"/>
      <c r="C552" s="1"/>
      <c r="D552" s="1"/>
      <c r="E552" s="55">
        <f>SUM(B552:D552)</f>
        <v>0</v>
      </c>
      <c r="F552" s="1"/>
      <c r="G552" s="1"/>
      <c r="H552" s="1"/>
      <c r="I552" s="55">
        <f>SUM(F552:H552)</f>
        <v>0</v>
      </c>
      <c r="J552" s="1"/>
      <c r="K552" s="1"/>
      <c r="L552" s="1"/>
      <c r="M552" s="55">
        <f>SUM(J552:L552)</f>
        <v>0</v>
      </c>
      <c r="N552" s="1"/>
      <c r="O552" s="1"/>
      <c r="P552" s="1"/>
      <c r="Q552" s="55">
        <f>SUM(N552:P552)</f>
        <v>0</v>
      </c>
      <c r="R552" s="55">
        <f>+E552+I552+M552+Q552</f>
        <v>0</v>
      </c>
      <c r="T552" s="4" t="s">
        <v>938</v>
      </c>
    </row>
    <row r="553" spans="1:20" ht="15.75" customHeight="1" x14ac:dyDescent="0.3">
      <c r="A553" s="27" t="s">
        <v>1431</v>
      </c>
      <c r="B553" s="1"/>
      <c r="C553" s="1"/>
      <c r="D553" s="1"/>
      <c r="E553" s="55">
        <f>SUM(B553:D553)</f>
        <v>0</v>
      </c>
      <c r="F553" s="1"/>
      <c r="G553" s="1"/>
      <c r="H553" s="1"/>
      <c r="I553" s="55">
        <f>SUM(F553:H553)</f>
        <v>0</v>
      </c>
      <c r="J553" s="1">
        <v>3500</v>
      </c>
      <c r="K553" s="1">
        <v>2000</v>
      </c>
      <c r="L553" s="1"/>
      <c r="M553" s="55">
        <f>SUM(J553:L553)</f>
        <v>5500</v>
      </c>
      <c r="N553" s="1"/>
      <c r="O553" s="1"/>
      <c r="P553" s="1"/>
      <c r="Q553" s="55">
        <f>SUM(N553:P553)</f>
        <v>0</v>
      </c>
      <c r="R553" s="55">
        <f>+E553+I553+M553+Q553</f>
        <v>5500</v>
      </c>
    </row>
    <row r="554" spans="1:20" ht="15.75" customHeight="1" thickBot="1" x14ac:dyDescent="0.35">
      <c r="A554" s="359" t="s">
        <v>952</v>
      </c>
      <c r="B554" s="1"/>
      <c r="C554" s="1"/>
      <c r="E554" s="55">
        <f>SUM(B554:D554)</f>
        <v>0</v>
      </c>
      <c r="F554" s="1"/>
      <c r="G554" s="1"/>
      <c r="H554" s="1">
        <v>7500</v>
      </c>
      <c r="I554" s="55">
        <f>SUM(F554:H554)</f>
        <v>7500</v>
      </c>
      <c r="J554" s="1">
        <v>7500</v>
      </c>
      <c r="K554" s="1"/>
      <c r="L554" s="1"/>
      <c r="M554" s="55">
        <f>SUM(J554:L554)</f>
        <v>7500</v>
      </c>
      <c r="N554" s="1"/>
      <c r="O554" s="1"/>
      <c r="P554" s="1"/>
      <c r="Q554" s="55">
        <f>SUM(N554:P554)</f>
        <v>0</v>
      </c>
      <c r="R554" s="55">
        <f>+E554+I554+M554+Q554</f>
        <v>15000</v>
      </c>
      <c r="T554" s="4" t="s">
        <v>938</v>
      </c>
    </row>
    <row r="555" spans="1:20" ht="16.5" customHeight="1" thickBot="1" x14ac:dyDescent="0.35">
      <c r="A555" s="114" t="s">
        <v>63</v>
      </c>
      <c r="B555" s="86">
        <f>SUM(B549:B554)</f>
        <v>0</v>
      </c>
      <c r="C555" s="87">
        <f>SUM(C549:C554)</f>
        <v>0</v>
      </c>
      <c r="D555" s="87">
        <f>SUM(D549:D554)</f>
        <v>0</v>
      </c>
      <c r="E555" s="59">
        <f>SUM(B555:D555)</f>
        <v>0</v>
      </c>
      <c r="F555" s="87">
        <f>SUM(F549:F554)</f>
        <v>0</v>
      </c>
      <c r="G555" s="87">
        <f>SUM(G549:G554)</f>
        <v>0</v>
      </c>
      <c r="H555" s="87">
        <f>SUM(H549:H554)</f>
        <v>7500</v>
      </c>
      <c r="I555" s="59">
        <f>SUM(F555:H555)</f>
        <v>7500</v>
      </c>
      <c r="J555" s="87">
        <f>SUM(J549:J554)</f>
        <v>11000</v>
      </c>
      <c r="K555" s="87">
        <f>SUM(K549:K554)</f>
        <v>2000</v>
      </c>
      <c r="L555" s="87">
        <f>SUM(L549:L554)</f>
        <v>0</v>
      </c>
      <c r="M555" s="59">
        <f>SUM(J555:L555)</f>
        <v>13000</v>
      </c>
      <c r="N555" s="87">
        <f>SUM(N549:N554)</f>
        <v>0</v>
      </c>
      <c r="O555" s="87">
        <f>SUM(O549:O554)</f>
        <v>0</v>
      </c>
      <c r="P555" s="87">
        <f>SUM(P549:P554)</f>
        <v>0</v>
      </c>
      <c r="Q555" s="59">
        <f>SUM(N555:P555)</f>
        <v>0</v>
      </c>
      <c r="R555" s="59">
        <f>+E555+I555+M555+Q555</f>
        <v>20500</v>
      </c>
    </row>
    <row r="556" spans="1:20" ht="15.75" customHeight="1" x14ac:dyDescent="0.3">
      <c r="A556" s="15" t="s">
        <v>64</v>
      </c>
      <c r="B556" s="1"/>
      <c r="C556" s="1"/>
      <c r="D556" s="1"/>
      <c r="E556" s="55" t="s">
        <v>7</v>
      </c>
      <c r="F556" s="1"/>
      <c r="G556" s="1"/>
      <c r="H556" s="1"/>
      <c r="I556" s="55" t="s">
        <v>7</v>
      </c>
      <c r="J556" s="1"/>
      <c r="K556" s="1"/>
      <c r="L556" s="1"/>
      <c r="M556" s="55" t="s">
        <v>7</v>
      </c>
      <c r="N556" s="1"/>
      <c r="O556" s="1"/>
      <c r="P556" s="1"/>
      <c r="Q556" s="55" t="s">
        <v>7</v>
      </c>
      <c r="R556" s="55" t="s">
        <v>7</v>
      </c>
    </row>
    <row r="557" spans="1:20" ht="15.75" customHeight="1" x14ac:dyDescent="0.3">
      <c r="A557" s="15" t="s">
        <v>594</v>
      </c>
      <c r="B557" s="1"/>
      <c r="C557" s="1"/>
      <c r="D557" s="1"/>
      <c r="E557" s="55" t="s">
        <v>7</v>
      </c>
      <c r="F557" s="1"/>
      <c r="G557" s="1"/>
      <c r="H557" s="1"/>
      <c r="I557" s="55" t="s">
        <v>7</v>
      </c>
      <c r="J557" s="1"/>
      <c r="K557" s="1"/>
      <c r="L557" s="1"/>
      <c r="M557" s="55" t="s">
        <v>7</v>
      </c>
      <c r="N557" s="1"/>
      <c r="O557" s="1"/>
      <c r="P557" s="1"/>
      <c r="Q557" s="55" t="s">
        <v>7</v>
      </c>
      <c r="R557" s="55" t="s">
        <v>7</v>
      </c>
    </row>
    <row r="558" spans="1:20" ht="15.75" customHeight="1" x14ac:dyDescent="0.3">
      <c r="A558" s="15" t="s">
        <v>67</v>
      </c>
      <c r="B558" s="1"/>
      <c r="C558" s="1"/>
      <c r="D558" s="1"/>
      <c r="E558" s="55" t="s">
        <v>7</v>
      </c>
      <c r="F558" s="1"/>
      <c r="G558" s="1"/>
      <c r="H558" s="1"/>
      <c r="I558" s="55" t="s">
        <v>7</v>
      </c>
      <c r="J558" s="1"/>
      <c r="K558" s="1"/>
      <c r="L558" s="1"/>
      <c r="M558" s="55" t="s">
        <v>7</v>
      </c>
      <c r="N558" s="1"/>
      <c r="O558" s="1"/>
      <c r="P558" s="1"/>
      <c r="Q558" s="55" t="s">
        <v>7</v>
      </c>
      <c r="R558" s="55" t="s">
        <v>7</v>
      </c>
    </row>
    <row r="559" spans="1:20" ht="15.75" customHeight="1" x14ac:dyDescent="0.3">
      <c r="A559" s="15" t="s">
        <v>600</v>
      </c>
      <c r="B559" s="1"/>
      <c r="C559" s="1"/>
      <c r="D559" s="1"/>
      <c r="E559" s="55" t="s">
        <v>7</v>
      </c>
      <c r="F559" s="1"/>
      <c r="G559" s="1"/>
      <c r="H559" s="1"/>
      <c r="I559" s="55" t="s">
        <v>7</v>
      </c>
      <c r="J559" s="1"/>
      <c r="K559" s="1"/>
      <c r="L559" s="1"/>
      <c r="M559" s="55" t="s">
        <v>7</v>
      </c>
      <c r="N559" s="1"/>
      <c r="O559" s="1"/>
      <c r="P559" s="1"/>
      <c r="Q559" s="55" t="s">
        <v>7</v>
      </c>
      <c r="R559" s="55" t="s">
        <v>7</v>
      </c>
    </row>
    <row r="560" spans="1:20" ht="15.75" customHeight="1" x14ac:dyDescent="0.3">
      <c r="A560" s="15" t="s">
        <v>70</v>
      </c>
      <c r="B560" s="1"/>
      <c r="C560" s="1"/>
      <c r="D560" s="1"/>
      <c r="E560" s="55" t="s">
        <v>7</v>
      </c>
      <c r="F560" s="1"/>
      <c r="G560" s="1"/>
      <c r="H560" s="1"/>
      <c r="I560" s="55" t="s">
        <v>7</v>
      </c>
      <c r="J560" s="1"/>
      <c r="K560" s="1"/>
      <c r="L560" s="1"/>
      <c r="M560" s="55" t="s">
        <v>7</v>
      </c>
      <c r="N560" s="1"/>
      <c r="O560" s="1"/>
      <c r="P560" s="1"/>
      <c r="Q560" s="55" t="s">
        <v>7</v>
      </c>
      <c r="R560" s="55" t="s">
        <v>7</v>
      </c>
    </row>
    <row r="561" spans="1:20" ht="15.75" customHeight="1" x14ac:dyDescent="0.3">
      <c r="A561" s="71" t="s">
        <v>977</v>
      </c>
      <c r="B561" s="1"/>
      <c r="C561" s="1"/>
      <c r="D561" s="1"/>
      <c r="E561" s="55">
        <f t="shared" ref="E561:E562" si="208">SUM(B561:D561)</f>
        <v>0</v>
      </c>
      <c r="F561" s="1"/>
      <c r="G561" s="1"/>
      <c r="H561" s="1"/>
      <c r="I561" s="55">
        <f t="shared" ref="I561:I562" si="209">SUM(F561:H561)</f>
        <v>0</v>
      </c>
      <c r="J561" s="1"/>
      <c r="K561" s="1"/>
      <c r="L561" s="1"/>
      <c r="M561" s="55">
        <f t="shared" ref="M561:M562" si="210">SUM(J561:L561)</f>
        <v>0</v>
      </c>
      <c r="N561" s="1"/>
      <c r="O561" s="1"/>
      <c r="P561" s="1"/>
      <c r="Q561" s="55">
        <f t="shared" ref="Q561:Q562" si="211">SUM(N561:P561)</f>
        <v>0</v>
      </c>
      <c r="R561" s="55">
        <f t="shared" ref="R561:R566" si="212">+E561+I561+M561+Q561</f>
        <v>0</v>
      </c>
      <c r="T561" s="4" t="s">
        <v>938</v>
      </c>
    </row>
    <row r="562" spans="1:20" ht="15.75" customHeight="1" thickBot="1" x14ac:dyDescent="0.35">
      <c r="A562" s="71" t="s">
        <v>983</v>
      </c>
      <c r="B562" s="1"/>
      <c r="C562" s="1"/>
      <c r="D562" s="1"/>
      <c r="E562" s="55">
        <f t="shared" si="208"/>
        <v>0</v>
      </c>
      <c r="F562" s="1"/>
      <c r="G562" s="1"/>
      <c r="H562" s="1"/>
      <c r="I562" s="55">
        <f t="shared" si="209"/>
        <v>0</v>
      </c>
      <c r="J562" s="1"/>
      <c r="K562" s="1"/>
      <c r="L562" s="1"/>
      <c r="M562" s="55">
        <f t="shared" si="210"/>
        <v>0</v>
      </c>
      <c r="N562" s="1"/>
      <c r="O562" s="1"/>
      <c r="P562" s="1"/>
      <c r="Q562" s="55">
        <f t="shared" si="211"/>
        <v>0</v>
      </c>
      <c r="R562" s="55">
        <f t="shared" si="212"/>
        <v>0</v>
      </c>
      <c r="T562" s="4" t="s">
        <v>938</v>
      </c>
    </row>
    <row r="563" spans="1:20" ht="16.5" customHeight="1" thickBot="1" x14ac:dyDescent="0.35">
      <c r="A563" s="57" t="s">
        <v>71</v>
      </c>
      <c r="B563" s="58">
        <f>SUM(B559:B562)</f>
        <v>0</v>
      </c>
      <c r="C563" s="58">
        <f>SUM(C559:C562)</f>
        <v>0</v>
      </c>
      <c r="D563" s="58">
        <f>SUM(D559:D562)</f>
        <v>0</v>
      </c>
      <c r="E563" s="60">
        <f t="shared" ref="E563:E566" si="213">SUM(B563:D563)</f>
        <v>0</v>
      </c>
      <c r="F563" s="58">
        <f>SUM(F559:F562)</f>
        <v>0</v>
      </c>
      <c r="G563" s="58">
        <f>SUM(G559:G562)</f>
        <v>0</v>
      </c>
      <c r="H563" s="58">
        <f>SUM(H559:H562)</f>
        <v>0</v>
      </c>
      <c r="I563" s="60">
        <f t="shared" ref="I563:I566" si="214">SUM(F563:H563)</f>
        <v>0</v>
      </c>
      <c r="J563" s="58">
        <f>SUM(J559:J562)</f>
        <v>0</v>
      </c>
      <c r="K563" s="58">
        <f>SUM(K559:K562)</f>
        <v>0</v>
      </c>
      <c r="L563" s="58">
        <f>SUM(L559:L562)</f>
        <v>0</v>
      </c>
      <c r="M563" s="60">
        <f t="shared" ref="M563:M566" si="215">SUM(J563:L563)</f>
        <v>0</v>
      </c>
      <c r="N563" s="58">
        <f>SUM(N559:N562)</f>
        <v>0</v>
      </c>
      <c r="O563" s="58">
        <f>SUM(O559:O562)</f>
        <v>0</v>
      </c>
      <c r="P563" s="58">
        <f>SUM(P559:P562)</f>
        <v>0</v>
      </c>
      <c r="Q563" s="60">
        <f t="shared" ref="Q563:Q566" si="216">SUM(N563:P563)</f>
        <v>0</v>
      </c>
      <c r="R563" s="59">
        <f t="shared" si="212"/>
        <v>0</v>
      </c>
    </row>
    <row r="564" spans="1:20" ht="16.5" customHeight="1" thickBot="1" x14ac:dyDescent="0.35">
      <c r="A564" s="114" t="s">
        <v>72</v>
      </c>
      <c r="B564" s="86">
        <f>SUM(B556:B562)</f>
        <v>0</v>
      </c>
      <c r="C564" s="87">
        <f>SUM(C556:C562)</f>
        <v>0</v>
      </c>
      <c r="D564" s="118">
        <f>SUM(D556:D562)</f>
        <v>0</v>
      </c>
      <c r="E564" s="60">
        <f t="shared" si="213"/>
        <v>0</v>
      </c>
      <c r="F564" s="87">
        <f>SUM(F556:F562)</f>
        <v>0</v>
      </c>
      <c r="G564" s="87">
        <f>SUM(G556:G562)</f>
        <v>0</v>
      </c>
      <c r="H564" s="87">
        <f>SUM(H556:H562)</f>
        <v>0</v>
      </c>
      <c r="I564" s="60">
        <f t="shared" si="214"/>
        <v>0</v>
      </c>
      <c r="J564" s="87">
        <f>SUM(J556:J562)</f>
        <v>0</v>
      </c>
      <c r="K564" s="87">
        <f>SUM(K556:K562)</f>
        <v>0</v>
      </c>
      <c r="L564" s="87">
        <f>SUM(L556:L562)</f>
        <v>0</v>
      </c>
      <c r="M564" s="60">
        <f t="shared" si="215"/>
        <v>0</v>
      </c>
      <c r="N564" s="87">
        <f>SUM(N556:N562)</f>
        <v>0</v>
      </c>
      <c r="O564" s="87">
        <f>SUM(O556:O562)</f>
        <v>0</v>
      </c>
      <c r="P564" s="87">
        <f>SUM(P556:P562)</f>
        <v>0</v>
      </c>
      <c r="Q564" s="60">
        <f t="shared" si="216"/>
        <v>0</v>
      </c>
      <c r="R564" s="59">
        <f t="shared" si="212"/>
        <v>0</v>
      </c>
    </row>
    <row r="565" spans="1:20" ht="16.5" customHeight="1" thickBot="1" x14ac:dyDescent="0.35">
      <c r="A565" s="57" t="s">
        <v>73</v>
      </c>
      <c r="B565" s="90">
        <f>+B543+B548+B555+B564</f>
        <v>0</v>
      </c>
      <c r="C565" s="58">
        <f>+C543+C548+C555+C564</f>
        <v>645</v>
      </c>
      <c r="D565" s="58">
        <f>+D543+D548+D555+D564</f>
        <v>4070</v>
      </c>
      <c r="E565" s="59">
        <f t="shared" si="213"/>
        <v>4715</v>
      </c>
      <c r="F565" s="58">
        <f>+F543+F548+F555+F564</f>
        <v>12486</v>
      </c>
      <c r="G565" s="58">
        <f>+G543+G548+G555+G564</f>
        <v>8081</v>
      </c>
      <c r="H565" s="58">
        <f>+H543+H548+H555+H564</f>
        <v>15769</v>
      </c>
      <c r="I565" s="59">
        <f t="shared" si="214"/>
        <v>36336</v>
      </c>
      <c r="J565" s="58">
        <f>+J543+J548+J555+J564</f>
        <v>11004</v>
      </c>
      <c r="K565" s="58">
        <f>+K543+K548+K555+K564</f>
        <v>4897</v>
      </c>
      <c r="L565" s="58">
        <f>+L543+L548+L555+L564</f>
        <v>2870</v>
      </c>
      <c r="M565" s="59">
        <f t="shared" si="215"/>
        <v>18771</v>
      </c>
      <c r="N565" s="58">
        <f>+N543+N548+N555+N564</f>
        <v>3</v>
      </c>
      <c r="O565" s="58">
        <f>+O543+O548+O555+O564</f>
        <v>33</v>
      </c>
      <c r="P565" s="58">
        <f>+P543+P548+P555+P564</f>
        <v>443</v>
      </c>
      <c r="Q565" s="59">
        <f t="shared" si="216"/>
        <v>479</v>
      </c>
      <c r="R565" s="81">
        <f>+E565+I565+M565+Q565</f>
        <v>60301</v>
      </c>
    </row>
    <row r="566" spans="1:20" ht="16.5" customHeight="1" thickBot="1" x14ac:dyDescent="0.35">
      <c r="A566" s="39" t="s">
        <v>40</v>
      </c>
      <c r="B566" s="21">
        <v>9</v>
      </c>
      <c r="C566" s="21">
        <v>16</v>
      </c>
      <c r="D566" s="21">
        <v>25</v>
      </c>
      <c r="E566" s="55">
        <f t="shared" si="213"/>
        <v>50</v>
      </c>
      <c r="F566" s="21">
        <v>34</v>
      </c>
      <c r="G566" s="21">
        <v>41</v>
      </c>
      <c r="H566" s="21">
        <v>41</v>
      </c>
      <c r="I566" s="55">
        <f t="shared" si="214"/>
        <v>116</v>
      </c>
      <c r="J566" s="21">
        <v>39</v>
      </c>
      <c r="K566" s="21">
        <v>30</v>
      </c>
      <c r="L566" s="21">
        <v>30</v>
      </c>
      <c r="M566" s="55">
        <f t="shared" si="215"/>
        <v>99</v>
      </c>
      <c r="N566" s="21">
        <v>28</v>
      </c>
      <c r="O566" s="21">
        <v>22</v>
      </c>
      <c r="P566" s="21">
        <v>16</v>
      </c>
      <c r="Q566" s="55">
        <f t="shared" si="216"/>
        <v>66</v>
      </c>
      <c r="R566" s="55">
        <f t="shared" si="212"/>
        <v>331</v>
      </c>
    </row>
    <row r="567" spans="1:20" ht="16.5" customHeight="1" thickBot="1" x14ac:dyDescent="0.35">
      <c r="A567" s="74"/>
      <c r="B567" s="75"/>
      <c r="C567" s="75"/>
      <c r="D567" s="75"/>
      <c r="E567" s="59"/>
      <c r="F567" s="75"/>
      <c r="G567" s="75"/>
      <c r="H567" s="75"/>
      <c r="I567" s="59"/>
      <c r="J567" s="75"/>
      <c r="K567" s="75"/>
      <c r="L567" s="75"/>
      <c r="M567" s="59"/>
      <c r="N567" s="75"/>
      <c r="O567" s="75"/>
      <c r="P567" s="75"/>
      <c r="Q567" s="59"/>
      <c r="R567" s="59" t="s">
        <v>7</v>
      </c>
    </row>
    <row r="568" spans="1:20" ht="15.75" customHeight="1" x14ac:dyDescent="0.3">
      <c r="A568" s="76" t="s">
        <v>41</v>
      </c>
      <c r="B568" s="77">
        <f>SUM(B565:B566)</f>
        <v>9</v>
      </c>
      <c r="C568" s="77">
        <f>SUM(C565:C566)</f>
        <v>661</v>
      </c>
      <c r="D568" s="77">
        <f>SUM(D565:D566)</f>
        <v>4095</v>
      </c>
      <c r="E568" s="60">
        <f>SUM(B568:D568)</f>
        <v>4765</v>
      </c>
      <c r="F568" s="77">
        <f>SUM(F565:F566)</f>
        <v>12520</v>
      </c>
      <c r="G568" s="77">
        <f>SUM(G565:G566)</f>
        <v>8122</v>
      </c>
      <c r="H568" s="77">
        <f>SUM(H565:H566)</f>
        <v>15810</v>
      </c>
      <c r="I568" s="60">
        <f>SUM(F568:H568)</f>
        <v>36452</v>
      </c>
      <c r="J568" s="77">
        <f>SUM(J565:J566)</f>
        <v>11043</v>
      </c>
      <c r="K568" s="77">
        <f>SUM(K565:K566)</f>
        <v>4927</v>
      </c>
      <c r="L568" s="77">
        <f>SUM(L565:L566)</f>
        <v>2900</v>
      </c>
      <c r="M568" s="60">
        <f>SUM(J568:L568)</f>
        <v>18870</v>
      </c>
      <c r="N568" s="77">
        <f>SUM(N565:N566)</f>
        <v>31</v>
      </c>
      <c r="O568" s="77">
        <f>SUM(O565:O566)</f>
        <v>55</v>
      </c>
      <c r="P568" s="77">
        <f>SUM(P565:P566)</f>
        <v>459</v>
      </c>
      <c r="Q568" s="60">
        <f>SUM(N568:P568)</f>
        <v>545</v>
      </c>
      <c r="R568" s="60">
        <f>+E568+I568+M568+Q568</f>
        <v>60632</v>
      </c>
    </row>
    <row r="569" spans="1:20" ht="15.75" customHeight="1" x14ac:dyDescent="0.3">
      <c r="A569" s="79" t="s">
        <v>42</v>
      </c>
      <c r="B569" s="1">
        <f>(B568/B10)/1.983</f>
        <v>0.14640573910497293</v>
      </c>
      <c r="C569" s="1">
        <f>(C568/C10)/1.983</f>
        <v>11.904761904761905</v>
      </c>
      <c r="D569" s="1">
        <f>(D568/D10)/1.983</f>
        <v>66.614611292762675</v>
      </c>
      <c r="E569" s="55" t="s">
        <v>7</v>
      </c>
      <c r="F569" s="1">
        <f>(F568/F10)/1.983</f>
        <v>210.4555387460077</v>
      </c>
      <c r="G569" s="1">
        <f>(G568/G10)/1.983</f>
        <v>132.12304589006555</v>
      </c>
      <c r="H569" s="1">
        <f>(H568/H10)/1.983</f>
        <v>265.75895108421582</v>
      </c>
      <c r="I569" s="55" t="s">
        <v>7</v>
      </c>
      <c r="J569" s="1">
        <f>(J568/J10)/1.983</f>
        <v>179.63984188180177</v>
      </c>
      <c r="K569" s="1">
        <f>(K568/K10)/1.983</f>
        <v>80.149008507800175</v>
      </c>
      <c r="L569" s="1">
        <f>(L568/L10)/1.983</f>
        <v>48.747688687174318</v>
      </c>
      <c r="M569" s="55" t="s">
        <v>7</v>
      </c>
      <c r="N569" s="1">
        <f>(N568/N10)/1.983</f>
        <v>0.50428643469490664</v>
      </c>
      <c r="O569" s="1">
        <f>(O568/O10)/1.983</f>
        <v>0.92452513027399552</v>
      </c>
      <c r="P569" s="1">
        <f>(P568/P10)/1.983</f>
        <v>7.4666926943536183</v>
      </c>
      <c r="Q569" s="55" t="s">
        <v>7</v>
      </c>
      <c r="R569" s="55" t="s">
        <v>7</v>
      </c>
    </row>
    <row r="570" spans="1:20" ht="15.75" customHeight="1" x14ac:dyDescent="0.3">
      <c r="A570" s="79" t="s">
        <v>303</v>
      </c>
      <c r="B570" s="1">
        <f>B568+B615</f>
        <v>11592</v>
      </c>
      <c r="C570" s="1">
        <f>C568+C615</f>
        <v>19397</v>
      </c>
      <c r="D570" s="1">
        <f>D568+D615</f>
        <v>31194</v>
      </c>
      <c r="E570" s="55">
        <f>SUM(B570:D570)</f>
        <v>62183</v>
      </c>
      <c r="F570" s="1">
        <f>F568+F615</f>
        <v>47280</v>
      </c>
      <c r="G570" s="1">
        <f>G568+G615</f>
        <v>42161</v>
      </c>
      <c r="H570" s="1">
        <f>H568+H615</f>
        <v>52680</v>
      </c>
      <c r="I570" s="55">
        <f>SUM(F570:H570)</f>
        <v>142121</v>
      </c>
      <c r="J570" s="1">
        <f>J568+J615</f>
        <v>42292</v>
      </c>
      <c r="K570" s="1">
        <f>K568+K615</f>
        <v>33239</v>
      </c>
      <c r="L570" s="1">
        <f>L568+L615</f>
        <v>27322</v>
      </c>
      <c r="M570" s="55">
        <f>SUM(J570:L570)</f>
        <v>102853</v>
      </c>
      <c r="N570" s="1">
        <f>N568+N615</f>
        <v>14188</v>
      </c>
      <c r="O570" s="1">
        <f>O568+O615</f>
        <v>857</v>
      </c>
      <c r="P570" s="1">
        <f>P568+P615</f>
        <v>19706</v>
      </c>
      <c r="Q570" s="55">
        <f>SUM(N570:P570)</f>
        <v>34751</v>
      </c>
      <c r="R570" s="55">
        <f>+E570+I570+M570+Q570</f>
        <v>341908</v>
      </c>
    </row>
    <row r="571" spans="1:20" ht="16.5" customHeight="1" thickBot="1" x14ac:dyDescent="0.35">
      <c r="A571" s="80" t="s">
        <v>304</v>
      </c>
      <c r="B571" s="25">
        <f>(B570/B10)/1.983</f>
        <v>188.5705919672051</v>
      </c>
      <c r="C571" s="25">
        <f>(C570/C10)/1.983</f>
        <v>349.34442763489659</v>
      </c>
      <c r="D571" s="25">
        <f>(D570/D10)/1.983</f>
        <v>507.44229173783611</v>
      </c>
      <c r="E571" s="81" t="s">
        <v>7</v>
      </c>
      <c r="F571" s="25">
        <f>(F570/F10)/1.983</f>
        <v>794.75542107917295</v>
      </c>
      <c r="G571" s="25">
        <f>(G570/G10)/1.983</f>
        <v>685.84581848941809</v>
      </c>
      <c r="H571" s="25">
        <f>(H570/H10)/1.983</f>
        <v>885.5269793242561</v>
      </c>
      <c r="I571" s="81" t="s">
        <v>7</v>
      </c>
      <c r="J571" s="25">
        <f>(J570/J10)/1.983</f>
        <v>687.97683535861268</v>
      </c>
      <c r="K571" s="25">
        <f>(K570/K10)/1.983</f>
        <v>540.70892912335501</v>
      </c>
      <c r="L571" s="25">
        <f>(L570/L10)/1.983</f>
        <v>459.2704656244747</v>
      </c>
      <c r="M571" s="81" t="s">
        <v>7</v>
      </c>
      <c r="N571" s="25">
        <f>(N570/N10)/1.983</f>
        <v>230.80051404681728</v>
      </c>
      <c r="O571" s="25">
        <f>(O570/O10)/1.983</f>
        <v>14.405782484451167</v>
      </c>
      <c r="P571" s="25">
        <f>(P570/P10)/1.983</f>
        <v>320.56349942251063</v>
      </c>
      <c r="Q571" s="81" t="s">
        <v>7</v>
      </c>
      <c r="R571" s="81" t="s">
        <v>7</v>
      </c>
    </row>
    <row r="572" spans="1:20" ht="15.75" customHeight="1" x14ac:dyDescent="0.3">
      <c r="A572" s="2"/>
      <c r="B572" s="1"/>
      <c r="C572" s="1"/>
      <c r="D572" s="1"/>
      <c r="E572" s="1"/>
      <c r="F572" s="1"/>
      <c r="G572" s="1"/>
      <c r="H572" s="1"/>
      <c r="I572" s="1"/>
      <c r="J572" s="1"/>
      <c r="K572" s="1"/>
      <c r="L572" s="1"/>
      <c r="M572" s="1"/>
      <c r="N572" s="1"/>
      <c r="O572" s="1"/>
      <c r="P572" s="1"/>
      <c r="Q572" s="1"/>
      <c r="R572" s="2"/>
    </row>
    <row r="573" spans="1:20" ht="15.75" customHeight="1" thickBot="1" x14ac:dyDescent="0.35">
      <c r="A573" s="2"/>
      <c r="B573" s="1"/>
      <c r="C573" s="1"/>
      <c r="D573" s="1"/>
      <c r="E573" s="1"/>
      <c r="F573" s="1"/>
      <c r="G573" s="1"/>
      <c r="H573" s="1"/>
      <c r="I573" s="1"/>
      <c r="J573" s="1"/>
      <c r="K573" s="1"/>
      <c r="L573" s="1"/>
      <c r="M573" s="1"/>
      <c r="N573" s="1"/>
      <c r="O573" s="1"/>
      <c r="P573" s="1"/>
      <c r="Q573" s="1"/>
      <c r="R573" s="2"/>
    </row>
    <row r="574" spans="1:20" ht="16.5" customHeight="1" thickBot="1" x14ac:dyDescent="0.35">
      <c r="A574" s="124" t="s">
        <v>305</v>
      </c>
      <c r="B574" s="30" t="s">
        <v>8</v>
      </c>
      <c r="C574" s="31" t="s">
        <v>9</v>
      </c>
      <c r="D574" s="31" t="s">
        <v>10</v>
      </c>
      <c r="E574" s="32" t="s">
        <v>11</v>
      </c>
      <c r="F574" s="31" t="s">
        <v>12</v>
      </c>
      <c r="G574" s="31" t="s">
        <v>13</v>
      </c>
      <c r="H574" s="31" t="s">
        <v>14</v>
      </c>
      <c r="I574" s="33" t="s">
        <v>15</v>
      </c>
      <c r="J574" s="31" t="s">
        <v>16</v>
      </c>
      <c r="K574" s="31" t="s">
        <v>17</v>
      </c>
      <c r="L574" s="31" t="s">
        <v>18</v>
      </c>
      <c r="M574" s="33" t="s">
        <v>19</v>
      </c>
      <c r="N574" s="31" t="s">
        <v>20</v>
      </c>
      <c r="O574" s="31" t="s">
        <v>21</v>
      </c>
      <c r="P574" s="31" t="s">
        <v>22</v>
      </c>
      <c r="Q574" s="33" t="s">
        <v>23</v>
      </c>
      <c r="R574" s="34" t="s">
        <v>24</v>
      </c>
    </row>
    <row r="575" spans="1:20" ht="16.5" customHeight="1" thickBot="1" x14ac:dyDescent="0.35">
      <c r="A575" s="59"/>
      <c r="B575" s="75"/>
      <c r="C575" s="75"/>
      <c r="D575" s="75"/>
      <c r="E575" s="69"/>
      <c r="F575" s="75"/>
      <c r="G575" s="75"/>
      <c r="H575" s="75"/>
      <c r="I575" s="82"/>
      <c r="J575" s="75"/>
      <c r="K575" s="75"/>
      <c r="L575" s="75"/>
      <c r="M575" s="82"/>
      <c r="N575" s="75"/>
      <c r="O575" s="75"/>
      <c r="P575" s="75"/>
      <c r="Q575" s="82"/>
      <c r="R575" s="100"/>
    </row>
    <row r="576" spans="1:20" ht="15.75" customHeight="1" x14ac:dyDescent="0.3">
      <c r="A576" s="15" t="s">
        <v>48</v>
      </c>
      <c r="B576" s="1" t="s">
        <v>7</v>
      </c>
      <c r="C576" s="1" t="s">
        <v>7</v>
      </c>
      <c r="D576" s="1" t="s">
        <v>7</v>
      </c>
      <c r="E576" s="55" t="s">
        <v>7</v>
      </c>
      <c r="F576" s="1"/>
      <c r="G576" s="1"/>
      <c r="H576" s="1"/>
      <c r="I576" s="55" t="s">
        <v>7</v>
      </c>
      <c r="J576" s="1" t="s">
        <v>7</v>
      </c>
      <c r="K576" s="1" t="s">
        <v>7</v>
      </c>
      <c r="L576" s="1" t="s">
        <v>7</v>
      </c>
      <c r="M576" s="55" t="s">
        <v>7</v>
      </c>
      <c r="N576" s="1" t="s">
        <v>7</v>
      </c>
      <c r="O576" s="1" t="s">
        <v>7</v>
      </c>
      <c r="P576" s="1" t="s">
        <v>7</v>
      </c>
      <c r="Q576" s="55" t="s">
        <v>7</v>
      </c>
      <c r="R576" s="55" t="s">
        <v>7</v>
      </c>
    </row>
    <row r="577" spans="1:20" ht="15.75" customHeight="1" x14ac:dyDescent="0.3">
      <c r="A577" s="15" t="s">
        <v>49</v>
      </c>
      <c r="B577" s="1"/>
      <c r="C577" s="1"/>
      <c r="D577" s="1"/>
      <c r="E577" s="55" t="s">
        <v>7</v>
      </c>
      <c r="F577" s="1"/>
      <c r="G577" s="1"/>
      <c r="H577" s="1"/>
      <c r="I577" s="55" t="s">
        <v>7</v>
      </c>
      <c r="J577" s="1"/>
      <c r="K577" s="1"/>
      <c r="L577" s="1"/>
      <c r="M577" s="55" t="s">
        <v>7</v>
      </c>
      <c r="N577" s="1"/>
      <c r="O577" s="1"/>
      <c r="P577" s="1"/>
      <c r="Q577" s="55" t="s">
        <v>7</v>
      </c>
      <c r="R577" s="55" t="s">
        <v>7</v>
      </c>
    </row>
    <row r="578" spans="1:20" ht="15.75" customHeight="1" x14ac:dyDescent="0.3">
      <c r="A578" s="15" t="s">
        <v>984</v>
      </c>
      <c r="C578" s="1"/>
      <c r="D578" s="1"/>
      <c r="E578" s="55">
        <f>SUM(B578:D578)</f>
        <v>0</v>
      </c>
      <c r="F578" s="1"/>
      <c r="G578" s="1"/>
      <c r="H578" s="1"/>
      <c r="I578" s="55">
        <f>SUM(F578:H578)</f>
        <v>0</v>
      </c>
      <c r="J578" s="1"/>
      <c r="K578" s="1"/>
      <c r="L578" s="1"/>
      <c r="M578" s="55">
        <f>SUM(J578:L578)</f>
        <v>0</v>
      </c>
      <c r="N578" s="1"/>
      <c r="O578" s="1"/>
      <c r="P578" s="1"/>
      <c r="Q578" s="55">
        <f>SUM(N578:P578)</f>
        <v>0</v>
      </c>
      <c r="R578" s="55">
        <f>+E578+I578+M578+Q578</f>
        <v>0</v>
      </c>
      <c r="T578" s="4" t="s">
        <v>939</v>
      </c>
    </row>
    <row r="579" spans="1:20" ht="15.75" customHeight="1" x14ac:dyDescent="0.3">
      <c r="A579" s="71" t="s">
        <v>306</v>
      </c>
      <c r="B579" s="1"/>
      <c r="C579" s="1">
        <v>205</v>
      </c>
      <c r="D579" s="1">
        <v>170</v>
      </c>
      <c r="E579" s="55">
        <f>SUM(B579:D579)</f>
        <v>375</v>
      </c>
      <c r="F579" s="1">
        <v>564</v>
      </c>
      <c r="G579" s="1">
        <v>61</v>
      </c>
      <c r="H579" s="1"/>
      <c r="I579" s="55">
        <f>SUM(F579:H579)</f>
        <v>625</v>
      </c>
      <c r="J579" s="1"/>
      <c r="K579" s="1"/>
      <c r="L579" s="1"/>
      <c r="M579" s="55">
        <f>SUM(J579:L579)</f>
        <v>0</v>
      </c>
      <c r="N579" s="1"/>
      <c r="O579" s="1"/>
      <c r="P579" s="1"/>
      <c r="Q579" s="55">
        <f>SUM(N579:P579)</f>
        <v>0</v>
      </c>
      <c r="R579" s="55">
        <f>+E579+I579+M579+Q579</f>
        <v>1000</v>
      </c>
    </row>
    <row r="580" spans="1:20" ht="15.75" customHeight="1" x14ac:dyDescent="0.3">
      <c r="A580" s="71" t="s">
        <v>656</v>
      </c>
      <c r="B580" s="1"/>
      <c r="C580" s="1"/>
      <c r="D580" s="1"/>
      <c r="E580" s="55">
        <f>SUM(B580:D580)</f>
        <v>0</v>
      </c>
      <c r="F580" s="1"/>
      <c r="G580" s="1">
        <v>1072</v>
      </c>
      <c r="H580" s="1">
        <v>1106</v>
      </c>
      <c r="I580" s="55">
        <f>SUM(F580:H580)</f>
        <v>2178</v>
      </c>
      <c r="J580" s="1">
        <v>792</v>
      </c>
      <c r="K580" s="1">
        <v>896</v>
      </c>
      <c r="L580" s="1">
        <v>112</v>
      </c>
      <c r="M580" s="55">
        <f>SUM(J580:L580)</f>
        <v>1800</v>
      </c>
      <c r="N580" s="1">
        <v>22</v>
      </c>
      <c r="O580" s="1"/>
      <c r="P580" s="1"/>
      <c r="Q580" s="55">
        <f>SUM(N580:P580)</f>
        <v>22</v>
      </c>
      <c r="R580" s="55">
        <f>+E580+I580+M580+Q580</f>
        <v>4000</v>
      </c>
    </row>
    <row r="581" spans="1:20" ht="15.75" customHeight="1" x14ac:dyDescent="0.3">
      <c r="A581" s="71" t="s">
        <v>1227</v>
      </c>
      <c r="B581" s="1"/>
      <c r="C581" s="1"/>
      <c r="D581" s="1"/>
      <c r="E581" s="55">
        <f>SUM(B581:D581)</f>
        <v>0</v>
      </c>
      <c r="F581" s="1"/>
      <c r="G581" s="1"/>
      <c r="H581" s="1"/>
      <c r="I581" s="55">
        <f>SUM(F581:H581)</f>
        <v>0</v>
      </c>
      <c r="J581" s="1"/>
      <c r="K581" s="1"/>
      <c r="L581" s="1">
        <v>1176</v>
      </c>
      <c r="M581" s="55">
        <f>SUM(J581:L581)</f>
        <v>1176</v>
      </c>
      <c r="N581" s="1">
        <v>112</v>
      </c>
      <c r="O581" s="1"/>
      <c r="P581" s="1"/>
      <c r="Q581" s="55">
        <f>SUM(N581:P581)</f>
        <v>112</v>
      </c>
      <c r="R581" s="55">
        <f>+E581+I581+M581+Q581</f>
        <v>1288</v>
      </c>
    </row>
    <row r="582" spans="1:20" ht="15.75" customHeight="1" x14ac:dyDescent="0.3">
      <c r="A582" s="71" t="s">
        <v>657</v>
      </c>
      <c r="B582" s="1"/>
      <c r="C582" s="1"/>
      <c r="D582" s="1"/>
      <c r="E582" s="55">
        <f>SUM(B582:D582)</f>
        <v>0</v>
      </c>
      <c r="F582" s="1"/>
      <c r="G582" s="1"/>
      <c r="H582" s="1"/>
      <c r="I582" s="55">
        <f>SUM(F582:H582)</f>
        <v>0</v>
      </c>
      <c r="J582" s="1"/>
      <c r="K582" s="1">
        <v>257</v>
      </c>
      <c r="L582" s="1"/>
      <c r="M582" s="55">
        <f>SUM(J582:L582)</f>
        <v>257</v>
      </c>
      <c r="N582" s="1"/>
      <c r="O582" s="1"/>
      <c r="P582" s="1"/>
      <c r="Q582" s="55">
        <f>SUM(N582:P582)</f>
        <v>0</v>
      </c>
      <c r="R582" s="55">
        <f>+E582+I582+M582+Q582</f>
        <v>257</v>
      </c>
    </row>
    <row r="583" spans="1:20" ht="15.75" customHeight="1" x14ac:dyDescent="0.3">
      <c r="A583" s="15" t="s">
        <v>50</v>
      </c>
      <c r="B583" s="1"/>
      <c r="C583" s="1"/>
      <c r="D583" s="1"/>
      <c r="E583" s="55" t="s">
        <v>7</v>
      </c>
      <c r="F583" s="1"/>
      <c r="G583" s="1"/>
      <c r="H583" s="1"/>
      <c r="I583" s="55" t="s">
        <v>7</v>
      </c>
      <c r="J583" s="1"/>
      <c r="K583" s="1"/>
      <c r="L583" s="1"/>
      <c r="M583" s="55" t="s">
        <v>7</v>
      </c>
      <c r="N583" s="1"/>
      <c r="O583" s="1"/>
      <c r="P583" s="1"/>
      <c r="Q583" s="55" t="s">
        <v>7</v>
      </c>
      <c r="R583" s="55" t="s">
        <v>7</v>
      </c>
    </row>
    <row r="584" spans="1:20" ht="15.75" customHeight="1" x14ac:dyDescent="0.3">
      <c r="A584" s="15" t="s">
        <v>1186</v>
      </c>
      <c r="B584" s="1"/>
      <c r="C584" s="1"/>
      <c r="D584" s="1"/>
      <c r="E584" s="55" t="s">
        <v>7</v>
      </c>
      <c r="F584" s="1"/>
      <c r="G584" s="1"/>
      <c r="H584" s="1"/>
      <c r="I584" s="55" t="s">
        <v>7</v>
      </c>
      <c r="J584" s="1"/>
      <c r="K584" s="1"/>
      <c r="L584" s="1"/>
      <c r="M584" s="55" t="s">
        <v>7</v>
      </c>
      <c r="N584" s="1"/>
      <c r="O584" s="1"/>
      <c r="P584" s="1"/>
      <c r="Q584" s="55" t="s">
        <v>7</v>
      </c>
      <c r="R584" s="55" t="s">
        <v>7</v>
      </c>
    </row>
    <row r="585" spans="1:20" ht="15.75" customHeight="1" thickBot="1" x14ac:dyDescent="0.35">
      <c r="A585" s="15" t="s">
        <v>53</v>
      </c>
      <c r="B585" s="1"/>
      <c r="C585" s="1"/>
      <c r="D585" s="1"/>
      <c r="E585" s="55" t="s">
        <v>7</v>
      </c>
      <c r="F585" s="1"/>
      <c r="G585" s="1"/>
      <c r="H585" s="1"/>
      <c r="I585" s="55" t="s">
        <v>7</v>
      </c>
      <c r="J585" s="1"/>
      <c r="K585" s="1"/>
      <c r="L585" s="1"/>
      <c r="M585" s="55" t="s">
        <v>7</v>
      </c>
      <c r="N585" s="1"/>
      <c r="O585" s="1"/>
      <c r="P585" s="1"/>
      <c r="Q585" s="55" t="s">
        <v>7</v>
      </c>
      <c r="R585" s="55" t="s">
        <v>7</v>
      </c>
    </row>
    <row r="586" spans="1:20" ht="16.5" customHeight="1" thickBot="1" x14ac:dyDescent="0.35">
      <c r="A586" s="109" t="s">
        <v>54</v>
      </c>
      <c r="B586" s="86">
        <f>SUM(B576:B585)</f>
        <v>0</v>
      </c>
      <c r="C586" s="87">
        <f>SUM(C576:C585)</f>
        <v>205</v>
      </c>
      <c r="D586" s="87">
        <f>SUM(D576:D585)</f>
        <v>170</v>
      </c>
      <c r="E586" s="59">
        <f>SUM(B586:D586)</f>
        <v>375</v>
      </c>
      <c r="F586" s="87">
        <f>SUM(F576:F585)</f>
        <v>564</v>
      </c>
      <c r="G586" s="87">
        <f>SUM(G576:G585)</f>
        <v>1133</v>
      </c>
      <c r="H586" s="87">
        <f>SUM(H576:H585)</f>
        <v>1106</v>
      </c>
      <c r="I586" s="59">
        <f>SUM(F586:H586)</f>
        <v>2803</v>
      </c>
      <c r="J586" s="87">
        <f>SUM(J576:J585)</f>
        <v>792</v>
      </c>
      <c r="K586" s="87">
        <f>SUM(K576:K585)</f>
        <v>1153</v>
      </c>
      <c r="L586" s="87">
        <f>SUM(L576:L585)</f>
        <v>1288</v>
      </c>
      <c r="M586" s="59">
        <f>SUM(J586:L586)</f>
        <v>3233</v>
      </c>
      <c r="N586" s="87">
        <f>SUM(N576:N585)</f>
        <v>134</v>
      </c>
      <c r="O586" s="87">
        <f>SUM(O576:O585)</f>
        <v>0</v>
      </c>
      <c r="P586" s="87">
        <f>SUM(P576:P585)</f>
        <v>0</v>
      </c>
      <c r="Q586" s="59">
        <f>SUM(N586:P586)</f>
        <v>134</v>
      </c>
      <c r="R586" s="59">
        <f>+E586+I586+M586+Q586</f>
        <v>6545</v>
      </c>
    </row>
    <row r="587" spans="1:20" ht="15.75" customHeight="1" x14ac:dyDescent="0.3">
      <c r="A587" s="15" t="s">
        <v>55</v>
      </c>
      <c r="B587" s="1"/>
      <c r="C587" s="1"/>
      <c r="D587" s="1"/>
      <c r="E587" s="60" t="s">
        <v>7</v>
      </c>
      <c r="F587" s="1"/>
      <c r="G587" s="1"/>
      <c r="H587" s="1"/>
      <c r="I587" s="60" t="s">
        <v>7</v>
      </c>
      <c r="J587" s="1"/>
      <c r="K587" s="1"/>
      <c r="L587" s="1"/>
      <c r="M587" s="60" t="s">
        <v>7</v>
      </c>
      <c r="N587" s="1"/>
      <c r="O587" s="1"/>
      <c r="P587" s="1"/>
      <c r="Q587" s="60" t="s">
        <v>7</v>
      </c>
      <c r="R587" s="482" t="s">
        <v>7</v>
      </c>
    </row>
    <row r="588" spans="1:20" ht="15.75" customHeight="1" x14ac:dyDescent="0.3">
      <c r="A588" s="15" t="s">
        <v>57</v>
      </c>
      <c r="B588" s="1"/>
      <c r="C588" s="1"/>
      <c r="D588" s="1"/>
      <c r="E588" s="55" t="s">
        <v>7</v>
      </c>
      <c r="F588" s="1"/>
      <c r="G588" s="1"/>
      <c r="H588" s="1"/>
      <c r="I588" s="55" t="s">
        <v>7</v>
      </c>
      <c r="J588" s="1"/>
      <c r="K588" s="1"/>
      <c r="L588" s="1"/>
      <c r="M588" s="55" t="s">
        <v>7</v>
      </c>
      <c r="N588" s="1"/>
      <c r="O588" s="1"/>
      <c r="P588" s="1"/>
      <c r="Q588" s="55" t="s">
        <v>7</v>
      </c>
      <c r="R588" s="482" t="s">
        <v>7</v>
      </c>
    </row>
    <row r="589" spans="1:20" ht="15.75" customHeight="1" x14ac:dyDescent="0.3">
      <c r="A589" s="71" t="s">
        <v>569</v>
      </c>
      <c r="B589" s="1">
        <v>49</v>
      </c>
      <c r="C589" s="1">
        <v>357</v>
      </c>
      <c r="D589" s="1">
        <v>1086</v>
      </c>
      <c r="E589" s="55">
        <f>SUM(B589:D589)</f>
        <v>1492</v>
      </c>
      <c r="F589" s="1">
        <v>5154</v>
      </c>
      <c r="G589" s="1">
        <v>3832</v>
      </c>
      <c r="H589" s="1">
        <v>5002</v>
      </c>
      <c r="I589" s="55">
        <f>SUM(F589:H589)</f>
        <v>13988</v>
      </c>
      <c r="J589" s="1">
        <v>3635</v>
      </c>
      <c r="K589" s="1">
        <v>1834</v>
      </c>
      <c r="L589" s="1">
        <v>777</v>
      </c>
      <c r="M589" s="55">
        <f>SUM(J589:L589)</f>
        <v>6246</v>
      </c>
      <c r="N589" s="1">
        <v>26</v>
      </c>
      <c r="O589" s="1"/>
      <c r="P589" s="1">
        <v>36</v>
      </c>
      <c r="Q589" s="55">
        <f>SUM(N589:P589)</f>
        <v>62</v>
      </c>
      <c r="R589" s="55">
        <f>+E589+I589+M589+Q589</f>
        <v>21788</v>
      </c>
      <c r="S589" s="4">
        <f>+SUM(R589,R546,R401)</f>
        <v>72163</v>
      </c>
      <c r="T589" s="4" t="s">
        <v>985</v>
      </c>
    </row>
    <row r="590" spans="1:20" ht="15.75" customHeight="1" x14ac:dyDescent="0.3">
      <c r="A590" s="71" t="s">
        <v>309</v>
      </c>
      <c r="B590" s="1"/>
      <c r="C590" s="1"/>
      <c r="D590" s="1"/>
      <c r="E590" s="55">
        <f>SUM(B590:D590)</f>
        <v>0</v>
      </c>
      <c r="F590" s="1"/>
      <c r="G590" s="1"/>
      <c r="H590" s="1"/>
      <c r="I590" s="55">
        <f>SUM(F590:H590)</f>
        <v>0</v>
      </c>
      <c r="J590" s="1"/>
      <c r="K590" s="1"/>
      <c r="L590" s="1"/>
      <c r="M590" s="55">
        <f>SUM(J590:L590)</f>
        <v>0</v>
      </c>
      <c r="N590" s="1"/>
      <c r="O590" s="1"/>
      <c r="P590" s="1"/>
      <c r="Q590" s="55">
        <f>SUM(N590:P590)</f>
        <v>0</v>
      </c>
      <c r="R590" s="55">
        <f>+E590+I590+M590+Q590</f>
        <v>0</v>
      </c>
    </row>
    <row r="591" spans="1:20" ht="15.75" customHeight="1" thickBot="1" x14ac:dyDescent="0.35">
      <c r="A591" s="15" t="s">
        <v>58</v>
      </c>
      <c r="B591" s="1"/>
      <c r="C591" s="1"/>
      <c r="D591" s="1"/>
      <c r="E591" s="55" t="s">
        <v>7</v>
      </c>
      <c r="F591" s="1"/>
      <c r="G591" s="1"/>
      <c r="H591" s="1"/>
      <c r="I591" s="55" t="s">
        <v>7</v>
      </c>
      <c r="J591" s="1"/>
      <c r="K591" s="1"/>
      <c r="L591" s="1"/>
      <c r="M591" s="55" t="s">
        <v>7</v>
      </c>
      <c r="N591" s="1"/>
      <c r="O591" s="1"/>
      <c r="P591" s="1"/>
      <c r="Q591" s="55" t="s">
        <v>7</v>
      </c>
      <c r="R591" s="482" t="s">
        <v>7</v>
      </c>
    </row>
    <row r="592" spans="1:20" ht="16.5" customHeight="1" thickBot="1" x14ac:dyDescent="0.35">
      <c r="A592" s="57" t="s">
        <v>59</v>
      </c>
      <c r="B592" s="86">
        <f>SUM(B587:B591)</f>
        <v>49</v>
      </c>
      <c r="C592" s="87">
        <f>SUM(C587:C591)</f>
        <v>357</v>
      </c>
      <c r="D592" s="87">
        <f>SUM(D587:D591)</f>
        <v>1086</v>
      </c>
      <c r="E592" s="59">
        <f>SUM(B592:D592)</f>
        <v>1492</v>
      </c>
      <c r="F592" s="87">
        <f>SUM(F587:F591)</f>
        <v>5154</v>
      </c>
      <c r="G592" s="87">
        <f>SUM(G587:G591)</f>
        <v>3832</v>
      </c>
      <c r="H592" s="87">
        <f>SUM(H587:H591)</f>
        <v>5002</v>
      </c>
      <c r="I592" s="59">
        <f>SUM(F592:H592)</f>
        <v>13988</v>
      </c>
      <c r="J592" s="87">
        <f>SUM(J587:J591)</f>
        <v>3635</v>
      </c>
      <c r="K592" s="87">
        <f>SUM(K587:K591)</f>
        <v>1834</v>
      </c>
      <c r="L592" s="87">
        <f>SUM(L587:L591)</f>
        <v>777</v>
      </c>
      <c r="M592" s="59">
        <f>SUM(J592:L592)</f>
        <v>6246</v>
      </c>
      <c r="N592" s="87">
        <f>SUM(N587:N591)</f>
        <v>26</v>
      </c>
      <c r="O592" s="87">
        <f>SUM(O587:O591)</f>
        <v>0</v>
      </c>
      <c r="P592" s="87">
        <f>SUM(P587:P591)</f>
        <v>36</v>
      </c>
      <c r="Q592" s="59">
        <f>SUM(N592:P592)</f>
        <v>62</v>
      </c>
      <c r="R592" s="59">
        <f>+E592+I592+M592+Q592</f>
        <v>21788</v>
      </c>
    </row>
    <row r="593" spans="1:20" ht="15.75" customHeight="1" x14ac:dyDescent="0.3">
      <c r="A593" s="15" t="s">
        <v>60</v>
      </c>
      <c r="B593" s="1"/>
      <c r="C593" s="1"/>
      <c r="D593" s="1"/>
      <c r="E593" s="55" t="s">
        <v>7</v>
      </c>
      <c r="F593" s="1"/>
      <c r="G593" s="1"/>
      <c r="H593" s="1"/>
      <c r="I593" s="55" t="s">
        <v>7</v>
      </c>
      <c r="J593" s="1"/>
      <c r="K593" s="1"/>
      <c r="L593" s="1"/>
      <c r="M593" s="55" t="s">
        <v>7</v>
      </c>
      <c r="N593" s="1"/>
      <c r="O593" s="1"/>
      <c r="P593" s="1"/>
      <c r="Q593" s="55" t="s">
        <v>7</v>
      </c>
      <c r="R593" s="55" t="s">
        <v>7</v>
      </c>
    </row>
    <row r="594" spans="1:20" ht="15.75" customHeight="1" x14ac:dyDescent="0.3">
      <c r="A594" s="15" t="s">
        <v>61</v>
      </c>
      <c r="B594" s="1"/>
      <c r="C594" s="1"/>
      <c r="D594" s="1"/>
      <c r="E594" s="55" t="s">
        <v>7</v>
      </c>
      <c r="F594" s="1"/>
      <c r="G594" s="1"/>
      <c r="H594" s="1"/>
      <c r="I594" s="55" t="s">
        <v>7</v>
      </c>
      <c r="J594" s="1"/>
      <c r="K594" s="1"/>
      <c r="L594" s="1"/>
      <c r="M594" s="55" t="s">
        <v>7</v>
      </c>
      <c r="N594" s="1"/>
      <c r="O594" s="1"/>
      <c r="P594" s="1"/>
      <c r="Q594" s="55" t="s">
        <v>7</v>
      </c>
      <c r="R594" s="55" t="s">
        <v>7</v>
      </c>
    </row>
    <row r="595" spans="1:20" ht="15.75" customHeight="1" x14ac:dyDescent="0.3">
      <c r="A595" s="15" t="s">
        <v>62</v>
      </c>
      <c r="B595" s="1"/>
      <c r="C595" s="1"/>
      <c r="D595" s="1"/>
      <c r="E595" s="55" t="s">
        <v>7</v>
      </c>
      <c r="F595" s="1"/>
      <c r="G595" s="1"/>
      <c r="H595" s="1"/>
      <c r="I595" s="55" t="s">
        <v>7</v>
      </c>
      <c r="J595" s="1"/>
      <c r="K595" s="1"/>
      <c r="L595" s="1"/>
      <c r="M595" s="55" t="s">
        <v>7</v>
      </c>
      <c r="N595" s="1"/>
      <c r="O595" s="1"/>
      <c r="P595" s="1"/>
      <c r="Q595" s="55" t="s">
        <v>7</v>
      </c>
      <c r="R595" s="55" t="s">
        <v>7</v>
      </c>
    </row>
    <row r="596" spans="1:20" ht="15.75" customHeight="1" thickBot="1" x14ac:dyDescent="0.35">
      <c r="A596" s="359" t="s">
        <v>952</v>
      </c>
      <c r="B596" s="1"/>
      <c r="C596" s="1"/>
      <c r="D596" s="1"/>
      <c r="E596" s="55">
        <f>SUM(B596:D596)</f>
        <v>0</v>
      </c>
      <c r="F596" s="1"/>
      <c r="G596" s="1"/>
      <c r="H596" s="1"/>
      <c r="I596" s="55">
        <f>SUM(F596:H596)</f>
        <v>0</v>
      </c>
      <c r="J596" s="1"/>
      <c r="K596" s="1"/>
      <c r="L596" s="1"/>
      <c r="M596" s="55">
        <f>SUM(J596:L596)</f>
        <v>0</v>
      </c>
      <c r="N596" s="1"/>
      <c r="O596" s="1"/>
      <c r="P596" s="1"/>
      <c r="Q596" s="55">
        <f>SUM(N596:P596)</f>
        <v>0</v>
      </c>
      <c r="R596" s="55">
        <f>+E596+I596+M596+Q596</f>
        <v>0</v>
      </c>
      <c r="T596" s="4" t="s">
        <v>939</v>
      </c>
    </row>
    <row r="597" spans="1:20" ht="16.5" customHeight="1" thickBot="1" x14ac:dyDescent="0.35">
      <c r="A597" s="114" t="s">
        <v>63</v>
      </c>
      <c r="B597" s="86">
        <f>SUM(B593:B596)</f>
        <v>0</v>
      </c>
      <c r="C597" s="87">
        <f>SUM(C593:C596)</f>
        <v>0</v>
      </c>
      <c r="D597" s="87">
        <f>SUM(D593:D596)</f>
        <v>0</v>
      </c>
      <c r="E597" s="59">
        <f>SUM(B597:D597)</f>
        <v>0</v>
      </c>
      <c r="F597" s="87">
        <f>SUM(F593:F596)</f>
        <v>0</v>
      </c>
      <c r="G597" s="87">
        <f>SUM(G593:G596)</f>
        <v>0</v>
      </c>
      <c r="H597" s="87">
        <f>SUM(H593:H596)</f>
        <v>0</v>
      </c>
      <c r="I597" s="59">
        <f>SUM(F597:H597)</f>
        <v>0</v>
      </c>
      <c r="J597" s="87">
        <f>SUM(J593:J596)</f>
        <v>0</v>
      </c>
      <c r="K597" s="87">
        <f>SUM(K593:K596)</f>
        <v>0</v>
      </c>
      <c r="L597" s="87">
        <f>SUM(L593:L596)</f>
        <v>0</v>
      </c>
      <c r="M597" s="59">
        <f>SUM(J597:L597)</f>
        <v>0</v>
      </c>
      <c r="N597" s="87">
        <f>SUM(N593:N596)</f>
        <v>0</v>
      </c>
      <c r="O597" s="87">
        <f>SUM(O593:O596)</f>
        <v>0</v>
      </c>
      <c r="P597" s="87">
        <f>SUM(P593:P596)</f>
        <v>0</v>
      </c>
      <c r="Q597" s="59">
        <f>SUM(N597:P597)</f>
        <v>0</v>
      </c>
      <c r="R597" s="59">
        <f>+E597+I597+M597+Q597</f>
        <v>0</v>
      </c>
    </row>
    <row r="598" spans="1:20" ht="15.75" customHeight="1" x14ac:dyDescent="0.3">
      <c r="A598" s="15" t="s">
        <v>64</v>
      </c>
      <c r="B598" s="1"/>
      <c r="C598" s="1"/>
      <c r="D598" s="1"/>
      <c r="E598" s="55" t="s">
        <v>7</v>
      </c>
      <c r="F598" s="1"/>
      <c r="G598" s="1"/>
      <c r="H598" s="1"/>
      <c r="I598" s="55" t="s">
        <v>7</v>
      </c>
      <c r="J598" s="1"/>
      <c r="K598" s="1"/>
      <c r="L598" s="1"/>
      <c r="M598" s="55" t="s">
        <v>7</v>
      </c>
      <c r="N598" s="1"/>
      <c r="O598" s="1"/>
      <c r="P598" s="1"/>
      <c r="Q598" s="55" t="s">
        <v>7</v>
      </c>
      <c r="R598" s="55" t="s">
        <v>7</v>
      </c>
    </row>
    <row r="599" spans="1:20" ht="15.75" customHeight="1" x14ac:dyDescent="0.3">
      <c r="A599" s="15" t="s">
        <v>594</v>
      </c>
      <c r="B599" s="1"/>
      <c r="C599" s="1"/>
      <c r="D599" s="1"/>
      <c r="E599" s="55" t="s">
        <v>7</v>
      </c>
      <c r="F599" s="1"/>
      <c r="G599" s="1"/>
      <c r="H599" s="1"/>
      <c r="I599" s="55" t="s">
        <v>7</v>
      </c>
      <c r="J599" s="1"/>
      <c r="K599" s="1"/>
      <c r="L599" s="1"/>
      <c r="M599" s="55" t="s">
        <v>7</v>
      </c>
      <c r="N599" s="1"/>
      <c r="O599" s="1"/>
      <c r="P599" s="1"/>
      <c r="Q599" s="55" t="s">
        <v>7</v>
      </c>
      <c r="R599" s="55" t="s">
        <v>7</v>
      </c>
    </row>
    <row r="600" spans="1:20" ht="15.75" customHeight="1" x14ac:dyDescent="0.3">
      <c r="A600" s="15" t="s">
        <v>67</v>
      </c>
      <c r="B600" s="1"/>
      <c r="C600" s="1"/>
      <c r="D600" s="1"/>
      <c r="E600" s="55" t="s">
        <v>7</v>
      </c>
      <c r="F600" s="1"/>
      <c r="G600" s="1"/>
      <c r="H600" s="1"/>
      <c r="I600" s="55" t="s">
        <v>7</v>
      </c>
      <c r="J600" s="1"/>
      <c r="K600" s="1"/>
      <c r="L600" s="1"/>
      <c r="M600" s="55" t="s">
        <v>7</v>
      </c>
      <c r="N600" s="1"/>
      <c r="O600" s="1"/>
      <c r="P600" s="1"/>
      <c r="Q600" s="55" t="s">
        <v>7</v>
      </c>
      <c r="R600" s="55" t="s">
        <v>7</v>
      </c>
    </row>
    <row r="601" spans="1:20" ht="15.75" customHeight="1" x14ac:dyDescent="0.3">
      <c r="A601" s="15" t="s">
        <v>600</v>
      </c>
      <c r="B601" s="1"/>
      <c r="C601" s="1"/>
      <c r="D601" s="1"/>
      <c r="E601" s="55" t="s">
        <v>7</v>
      </c>
      <c r="F601" s="1"/>
      <c r="G601" s="1"/>
      <c r="H601" s="1"/>
      <c r="I601" s="55" t="s">
        <v>7</v>
      </c>
      <c r="J601" s="1"/>
      <c r="K601" s="1"/>
      <c r="L601" s="1"/>
      <c r="M601" s="55" t="s">
        <v>7</v>
      </c>
      <c r="N601" s="1"/>
      <c r="O601" s="1"/>
      <c r="P601" s="1"/>
      <c r="Q601" s="55" t="s">
        <v>7</v>
      </c>
      <c r="R601" s="55" t="s">
        <v>7</v>
      </c>
    </row>
    <row r="602" spans="1:20" ht="15.75" customHeight="1" x14ac:dyDescent="0.3">
      <c r="A602" s="71" t="s">
        <v>1322</v>
      </c>
      <c r="B602" s="1"/>
      <c r="C602" s="1"/>
      <c r="D602" s="1"/>
      <c r="E602" s="55">
        <f>SUM(B602:D602)</f>
        <v>0</v>
      </c>
      <c r="F602" s="1"/>
      <c r="G602" s="1"/>
      <c r="H602" s="1"/>
      <c r="I602" s="55">
        <f>SUM(F602:H602)</f>
        <v>0</v>
      </c>
      <c r="J602" s="1"/>
      <c r="K602" s="1"/>
      <c r="L602" s="1"/>
      <c r="M602" s="55">
        <f>SUM(J602:L602)</f>
        <v>0</v>
      </c>
      <c r="N602" s="1"/>
      <c r="O602" s="1"/>
      <c r="P602" s="1"/>
      <c r="Q602" s="55">
        <f>SUM(N602:P602)</f>
        <v>0</v>
      </c>
      <c r="R602" s="55">
        <f>+E602+I602+M602+Q602</f>
        <v>0</v>
      </c>
    </row>
    <row r="603" spans="1:20" ht="15.75" customHeight="1" x14ac:dyDescent="0.3">
      <c r="A603" s="15" t="s">
        <v>70</v>
      </c>
      <c r="B603" s="1"/>
      <c r="C603" s="1"/>
      <c r="D603" s="1"/>
      <c r="E603" s="55"/>
      <c r="F603" s="1"/>
      <c r="G603" s="1"/>
      <c r="H603" s="1"/>
      <c r="I603" s="55"/>
      <c r="J603" s="1"/>
      <c r="K603" s="1"/>
      <c r="L603" s="1"/>
      <c r="M603" s="55"/>
      <c r="N603" s="1"/>
      <c r="O603" s="1"/>
      <c r="P603" s="1"/>
      <c r="Q603" s="55"/>
      <c r="R603" s="55" t="s">
        <v>7</v>
      </c>
    </row>
    <row r="604" spans="1:20" ht="15.75" customHeight="1" x14ac:dyDescent="0.3">
      <c r="A604" s="71" t="s">
        <v>977</v>
      </c>
      <c r="B604" s="1"/>
      <c r="C604" s="1"/>
      <c r="D604" s="1"/>
      <c r="E604" s="55">
        <f t="shared" ref="E604:E611" si="217">SUM(B604:D604)</f>
        <v>0</v>
      </c>
      <c r="F604" s="1"/>
      <c r="G604" s="1"/>
      <c r="H604" s="1"/>
      <c r="I604" s="55">
        <f t="shared" ref="I604:I611" si="218">SUM(F604:H604)</f>
        <v>0</v>
      </c>
      <c r="J604" s="1"/>
      <c r="K604" s="1"/>
      <c r="L604" s="1"/>
      <c r="M604" s="55">
        <f t="shared" ref="M604:M611" si="219">SUM(J604:L604)</f>
        <v>0</v>
      </c>
      <c r="N604" s="1"/>
      <c r="O604" s="1"/>
      <c r="P604" s="1"/>
      <c r="Q604" s="55">
        <f t="shared" ref="Q604:Q611" si="220">SUM(N604:P604)</f>
        <v>0</v>
      </c>
      <c r="R604" s="55">
        <f t="shared" ref="R604:R611" si="221">+E604+I604+M604+Q604</f>
        <v>0</v>
      </c>
      <c r="T604" s="4" t="s">
        <v>939</v>
      </c>
    </row>
    <row r="605" spans="1:20" ht="15.75" customHeight="1" x14ac:dyDescent="0.3">
      <c r="A605" s="71" t="s">
        <v>986</v>
      </c>
      <c r="B605" s="1"/>
      <c r="C605" s="1"/>
      <c r="D605" s="1"/>
      <c r="E605" s="55">
        <f>SUM(B605:D605)</f>
        <v>0</v>
      </c>
      <c r="F605" s="1"/>
      <c r="G605" s="1"/>
      <c r="H605" s="1"/>
      <c r="I605" s="55">
        <f>SUM(F605:H605)</f>
        <v>0</v>
      </c>
      <c r="J605" s="1"/>
      <c r="K605" s="1"/>
      <c r="L605" s="1"/>
      <c r="M605" s="55">
        <f>SUM(J605:L605)</f>
        <v>0</v>
      </c>
      <c r="N605" s="1"/>
      <c r="O605" s="1"/>
      <c r="P605" s="1"/>
      <c r="Q605" s="55">
        <f>SUM(N605:P605)</f>
        <v>0</v>
      </c>
      <c r="R605" s="55">
        <f>+E605+I605+M605+Q605</f>
        <v>0</v>
      </c>
      <c r="T605" s="4" t="s">
        <v>939</v>
      </c>
    </row>
    <row r="606" spans="1:20" ht="15.75" customHeight="1" x14ac:dyDescent="0.3">
      <c r="A606" s="71" t="s">
        <v>1323</v>
      </c>
      <c r="B606" s="1"/>
      <c r="C606" s="1"/>
      <c r="D606" s="1"/>
      <c r="E606" s="55">
        <f t="shared" ref="E606" si="222">SUM(B606:D606)</f>
        <v>0</v>
      </c>
      <c r="F606" s="1"/>
      <c r="G606" s="1"/>
      <c r="H606" s="1"/>
      <c r="I606" s="55">
        <f t="shared" ref="I606" si="223">SUM(F606:H606)</f>
        <v>0</v>
      </c>
      <c r="J606" s="1"/>
      <c r="K606" s="1"/>
      <c r="L606" s="1"/>
      <c r="M606" s="55">
        <f t="shared" ref="M606" si="224">SUM(J606:L606)</f>
        <v>0</v>
      </c>
      <c r="N606" s="1"/>
      <c r="O606" s="1"/>
      <c r="P606" s="1"/>
      <c r="Q606" s="55">
        <f t="shared" ref="Q606" si="225">SUM(N606:P606)</f>
        <v>0</v>
      </c>
      <c r="R606" s="55">
        <f t="shared" ref="R606" si="226">+E606+I606+M606+Q606</f>
        <v>0</v>
      </c>
    </row>
    <row r="607" spans="1:20" ht="15.75" customHeight="1" thickBot="1" x14ac:dyDescent="0.35">
      <c r="A607" s="71" t="s">
        <v>761</v>
      </c>
      <c r="B607" s="1"/>
      <c r="C607" s="1"/>
      <c r="D607" s="1"/>
      <c r="E607" s="55">
        <f t="shared" si="217"/>
        <v>0</v>
      </c>
      <c r="F607" s="1"/>
      <c r="G607" s="1"/>
      <c r="H607" s="1"/>
      <c r="I607" s="55">
        <f t="shared" si="218"/>
        <v>0</v>
      </c>
      <c r="J607" s="1"/>
      <c r="K607" s="1"/>
      <c r="L607" s="1"/>
      <c r="M607" s="55">
        <f t="shared" si="219"/>
        <v>0</v>
      </c>
      <c r="N607" s="1"/>
      <c r="O607" s="1"/>
      <c r="P607" s="1"/>
      <c r="Q607" s="55">
        <f t="shared" si="220"/>
        <v>0</v>
      </c>
      <c r="R607" s="55">
        <f t="shared" si="221"/>
        <v>0</v>
      </c>
    </row>
    <row r="608" spans="1:20" ht="16.5" customHeight="1" thickBot="1" x14ac:dyDescent="0.35">
      <c r="A608" s="57" t="s">
        <v>71</v>
      </c>
      <c r="B608" s="58">
        <f>SUM(B601:B607)</f>
        <v>0</v>
      </c>
      <c r="C608" s="58">
        <f>SUM(C601:C607)</f>
        <v>0</v>
      </c>
      <c r="D608" s="58">
        <f>SUM(D601:D607)</f>
        <v>0</v>
      </c>
      <c r="E608" s="60">
        <f t="shared" si="217"/>
        <v>0</v>
      </c>
      <c r="F608" s="58">
        <f>SUM(F601:F607)</f>
        <v>0</v>
      </c>
      <c r="G608" s="58">
        <f>SUM(G601:G607)</f>
        <v>0</v>
      </c>
      <c r="H608" s="58">
        <f>SUM(H601:H607)</f>
        <v>0</v>
      </c>
      <c r="I608" s="60">
        <f t="shared" si="218"/>
        <v>0</v>
      </c>
      <c r="J608" s="58">
        <f>SUM(J601:J607)</f>
        <v>0</v>
      </c>
      <c r="K608" s="58">
        <f>SUM(K601:K607)</f>
        <v>0</v>
      </c>
      <c r="L608" s="58">
        <f>SUM(L601:L607)</f>
        <v>0</v>
      </c>
      <c r="M608" s="60">
        <f t="shared" si="219"/>
        <v>0</v>
      </c>
      <c r="N608" s="58">
        <f>SUM(N601:N607)</f>
        <v>0</v>
      </c>
      <c r="O608" s="58">
        <f>SUM(O601:O607)</f>
        <v>0</v>
      </c>
      <c r="P608" s="58">
        <f>SUM(P601:P607)</f>
        <v>0</v>
      </c>
      <c r="Q608" s="60">
        <f t="shared" si="220"/>
        <v>0</v>
      </c>
      <c r="R608" s="59">
        <f t="shared" si="221"/>
        <v>0</v>
      </c>
    </row>
    <row r="609" spans="1:18" ht="16.5" customHeight="1" thickBot="1" x14ac:dyDescent="0.35">
      <c r="A609" s="114" t="s">
        <v>72</v>
      </c>
      <c r="B609" s="86">
        <f>SUM(B598:B607)</f>
        <v>0</v>
      </c>
      <c r="C609" s="87">
        <f>SUM(C598:C607)</f>
        <v>0</v>
      </c>
      <c r="D609" s="118">
        <f>SUM(D598:D607)</f>
        <v>0</v>
      </c>
      <c r="E609" s="60">
        <f t="shared" si="217"/>
        <v>0</v>
      </c>
      <c r="F609" s="87">
        <f>SUM(F598:F607)</f>
        <v>0</v>
      </c>
      <c r="G609" s="87">
        <f>SUM(G598:G607)</f>
        <v>0</v>
      </c>
      <c r="H609" s="87">
        <f>SUM(H598:H607)</f>
        <v>0</v>
      </c>
      <c r="I609" s="60">
        <f t="shared" si="218"/>
        <v>0</v>
      </c>
      <c r="J609" s="87">
        <f>SUM(J598:J607)</f>
        <v>0</v>
      </c>
      <c r="K609" s="87">
        <f>SUM(K598:K607)</f>
        <v>0</v>
      </c>
      <c r="L609" s="87">
        <f>SUM(L598:L607)</f>
        <v>0</v>
      </c>
      <c r="M609" s="60">
        <f t="shared" si="219"/>
        <v>0</v>
      </c>
      <c r="N609" s="87">
        <f>SUM(N598:N607)</f>
        <v>0</v>
      </c>
      <c r="O609" s="87">
        <f>SUM(O598:O607)</f>
        <v>0</v>
      </c>
      <c r="P609" s="87">
        <f>SUM(P598:P607)</f>
        <v>0</v>
      </c>
      <c r="Q609" s="60">
        <f t="shared" si="220"/>
        <v>0</v>
      </c>
      <c r="R609" s="59">
        <f t="shared" si="221"/>
        <v>0</v>
      </c>
    </row>
    <row r="610" spans="1:18" ht="16.5" customHeight="1" thickBot="1" x14ac:dyDescent="0.35">
      <c r="A610" s="57" t="s">
        <v>73</v>
      </c>
      <c r="B610" s="90">
        <f>+B586+B592+B597+B609</f>
        <v>49</v>
      </c>
      <c r="C610" s="58">
        <f>+C586+C592+C597+C609</f>
        <v>562</v>
      </c>
      <c r="D610" s="58">
        <f>+D586+D592+D597+D609</f>
        <v>1256</v>
      </c>
      <c r="E610" s="59">
        <f t="shared" si="217"/>
        <v>1867</v>
      </c>
      <c r="F610" s="58">
        <f>+F586+F592+F597+F609</f>
        <v>5718</v>
      </c>
      <c r="G610" s="58">
        <f>+G586+G592+G597+G609</f>
        <v>4965</v>
      </c>
      <c r="H610" s="58">
        <f>+H586+H592+H597+H609</f>
        <v>6108</v>
      </c>
      <c r="I610" s="59">
        <f t="shared" si="218"/>
        <v>16791</v>
      </c>
      <c r="J610" s="58">
        <f>+J586+J592+J597+J609</f>
        <v>4427</v>
      </c>
      <c r="K610" s="58">
        <f>+K586+K592+K597+K609</f>
        <v>2987</v>
      </c>
      <c r="L610" s="58">
        <f>+L586+L592+L597+L609</f>
        <v>2065</v>
      </c>
      <c r="M610" s="59">
        <f t="shared" si="219"/>
        <v>9479</v>
      </c>
      <c r="N610" s="58">
        <f>+N586+N592+N597+N609</f>
        <v>160</v>
      </c>
      <c r="O610" s="58">
        <f>+O586+O592+O597+O609</f>
        <v>0</v>
      </c>
      <c r="P610" s="58">
        <f>+P586+P592+P597+P609</f>
        <v>36</v>
      </c>
      <c r="Q610" s="59">
        <f t="shared" si="220"/>
        <v>196</v>
      </c>
      <c r="R610" s="81">
        <f t="shared" si="221"/>
        <v>28333</v>
      </c>
    </row>
    <row r="611" spans="1:18" ht="16.5" customHeight="1" thickBot="1" x14ac:dyDescent="0.35">
      <c r="A611" s="39" t="s">
        <v>40</v>
      </c>
      <c r="B611" s="21">
        <v>23</v>
      </c>
      <c r="C611" s="21">
        <v>43</v>
      </c>
      <c r="D611" s="21">
        <v>66</v>
      </c>
      <c r="E611" s="81">
        <f t="shared" si="217"/>
        <v>132</v>
      </c>
      <c r="F611" s="21">
        <v>91</v>
      </c>
      <c r="G611" s="21">
        <v>108</v>
      </c>
      <c r="H611" s="21">
        <v>109</v>
      </c>
      <c r="I611" s="81">
        <f t="shared" si="218"/>
        <v>308</v>
      </c>
      <c r="J611" s="21">
        <v>104</v>
      </c>
      <c r="K611" s="21">
        <v>79</v>
      </c>
      <c r="L611" s="21">
        <v>80</v>
      </c>
      <c r="M611" s="81">
        <f t="shared" si="219"/>
        <v>263</v>
      </c>
      <c r="N611" s="21">
        <v>74</v>
      </c>
      <c r="O611" s="21">
        <v>58</v>
      </c>
      <c r="P611" s="21">
        <v>42</v>
      </c>
      <c r="Q611" s="81">
        <f t="shared" si="220"/>
        <v>174</v>
      </c>
      <c r="R611" s="55">
        <f t="shared" si="221"/>
        <v>877</v>
      </c>
    </row>
    <row r="612" spans="1:18" ht="16.5" customHeight="1" thickBot="1" x14ac:dyDescent="0.35">
      <c r="A612" s="41"/>
      <c r="B612" s="36"/>
      <c r="C612" s="36"/>
      <c r="D612" s="36"/>
      <c r="E612" s="42"/>
      <c r="F612" s="36"/>
      <c r="G612" s="36"/>
      <c r="H612" s="36"/>
      <c r="I612" s="126"/>
      <c r="J612" s="36"/>
      <c r="K612" s="36"/>
      <c r="L612" s="36"/>
      <c r="M612" s="126"/>
      <c r="N612" s="36"/>
      <c r="O612" s="36"/>
      <c r="P612" s="36"/>
      <c r="Q612" s="126"/>
      <c r="R612" s="42"/>
    </row>
    <row r="613" spans="1:18" ht="15.75" customHeight="1" x14ac:dyDescent="0.3">
      <c r="A613" s="15" t="s">
        <v>314</v>
      </c>
      <c r="B613" s="77">
        <f>SUM(B610:B611)</f>
        <v>72</v>
      </c>
      <c r="C613" s="77">
        <f>SUM(C610:C611)</f>
        <v>605</v>
      </c>
      <c r="D613" s="77">
        <f>SUM(D610:D611)</f>
        <v>1322</v>
      </c>
      <c r="E613" s="60">
        <f>SUM(B613:D613)</f>
        <v>1999</v>
      </c>
      <c r="F613" s="77">
        <f>SUM(F610:F611)</f>
        <v>5809</v>
      </c>
      <c r="G613" s="77">
        <f>SUM(G610:G611)</f>
        <v>5073</v>
      </c>
      <c r="H613" s="77">
        <f>SUM(H610:H611)</f>
        <v>6217</v>
      </c>
      <c r="I613" s="60">
        <f>SUM(F613:H613)</f>
        <v>17099</v>
      </c>
      <c r="J613" s="77">
        <f>SUM(J610:J611)</f>
        <v>4531</v>
      </c>
      <c r="K613" s="77">
        <f>SUM(K610:K611)</f>
        <v>3066</v>
      </c>
      <c r="L613" s="77">
        <f>SUM(L610:L611)</f>
        <v>2145</v>
      </c>
      <c r="M613" s="60">
        <f>SUM(J613:L613)</f>
        <v>9742</v>
      </c>
      <c r="N613" s="77">
        <f>SUM(N610:N611)</f>
        <v>234</v>
      </c>
      <c r="O613" s="77">
        <f>SUM(O610:O611)</f>
        <v>58</v>
      </c>
      <c r="P613" s="77">
        <f>SUM(P610:P611)</f>
        <v>78</v>
      </c>
      <c r="Q613" s="60">
        <f>SUM(N613:P613)</f>
        <v>370</v>
      </c>
      <c r="R613" s="60">
        <f>+E613+I613+M613+Q613</f>
        <v>29210</v>
      </c>
    </row>
    <row r="614" spans="1:18" ht="15.75" customHeight="1" x14ac:dyDescent="0.3">
      <c r="A614" s="15" t="s">
        <v>42</v>
      </c>
      <c r="B614" s="1">
        <f>(B613/B10)/1.983</f>
        <v>1.1712459128397834</v>
      </c>
      <c r="C614" s="1">
        <f>(C613/C10)/1.983</f>
        <v>10.896189035372091</v>
      </c>
      <c r="D614" s="1">
        <f>(D613/D10)/1.983</f>
        <v>21.505376344086024</v>
      </c>
      <c r="E614" s="55" t="s">
        <v>7</v>
      </c>
      <c r="F614" s="1">
        <f>(F613/F10)/1.983</f>
        <v>97.646663304757098</v>
      </c>
      <c r="G614" s="1">
        <f>(G613/G10)/1.983</f>
        <v>82.524034942169735</v>
      </c>
      <c r="H614" s="1">
        <f>(H613/H10)/1.983</f>
        <v>104.50495881660783</v>
      </c>
      <c r="I614" s="55" t="s">
        <v>7</v>
      </c>
      <c r="J614" s="1">
        <f>(J613/J10)/1.983</f>
        <v>73.707155987181352</v>
      </c>
      <c r="K614" s="1">
        <f>(K613/K10)/1.983</f>
        <v>49.875555121760769</v>
      </c>
      <c r="L614" s="1">
        <f>(L613/L10)/1.983</f>
        <v>36.05648008068583</v>
      </c>
      <c r="M614" s="55" t="s">
        <v>7</v>
      </c>
      <c r="N614" s="1">
        <f>(N613/N10)/1.983</f>
        <v>3.8065492167292958</v>
      </c>
      <c r="O614" s="1">
        <f>(O613/O10)/1.983</f>
        <v>0.97495377374348624</v>
      </c>
      <c r="P614" s="1">
        <f>(P613/P10)/1.983</f>
        <v>1.2688497389097653</v>
      </c>
      <c r="Q614" s="55" t="s">
        <v>7</v>
      </c>
      <c r="R614" s="55" t="s">
        <v>7</v>
      </c>
    </row>
    <row r="615" spans="1:18" ht="15.75" customHeight="1" x14ac:dyDescent="0.3">
      <c r="A615" s="15" t="s">
        <v>315</v>
      </c>
      <c r="B615" s="1">
        <f>B613+B681</f>
        <v>11583</v>
      </c>
      <c r="C615" s="1">
        <f>C613+C681</f>
        <v>18736</v>
      </c>
      <c r="D615" s="1">
        <f>D613+D681</f>
        <v>27099</v>
      </c>
      <c r="E615" s="55">
        <f>SUM(B615:D615)</f>
        <v>57418</v>
      </c>
      <c r="F615" s="1">
        <f>F613+F681</f>
        <v>34760</v>
      </c>
      <c r="G615" s="1">
        <f>G613+G681</f>
        <v>34039</v>
      </c>
      <c r="H615" s="1">
        <f>H613+H681</f>
        <v>36870</v>
      </c>
      <c r="I615" s="55">
        <f>SUM(F615:H615)</f>
        <v>105669</v>
      </c>
      <c r="J615" s="1">
        <f>J613+J681</f>
        <v>31249</v>
      </c>
      <c r="K615" s="1">
        <f>K613+K681</f>
        <v>28312</v>
      </c>
      <c r="L615" s="1">
        <f>L613+L681</f>
        <v>24422</v>
      </c>
      <c r="M615" s="55">
        <f>SUM(J615:L615)</f>
        <v>83983</v>
      </c>
      <c r="N615" s="1">
        <f>N613+N681</f>
        <v>14157</v>
      </c>
      <c r="O615" s="1">
        <f>O613+O681</f>
        <v>802</v>
      </c>
      <c r="P615" s="1">
        <f>P613+P681</f>
        <v>19247</v>
      </c>
      <c r="Q615" s="55">
        <f>SUM(N615:P615)</f>
        <v>34206</v>
      </c>
      <c r="R615" s="55">
        <f>+E615+I615+M615+Q615</f>
        <v>281276</v>
      </c>
    </row>
    <row r="616" spans="1:18" ht="16.5" customHeight="1" thickBot="1" x14ac:dyDescent="0.35">
      <c r="A616" s="20" t="s">
        <v>316</v>
      </c>
      <c r="B616" s="25">
        <f>(B615/B10)/1.983</f>
        <v>188.42418622810013</v>
      </c>
      <c r="C616" s="25">
        <f>(C615/C10)/1.983</f>
        <v>337.43966573013466</v>
      </c>
      <c r="D616" s="25">
        <f>(D615/D10)/1.983</f>
        <v>440.82768044507338</v>
      </c>
      <c r="E616" s="81" t="s">
        <v>7</v>
      </c>
      <c r="F616" s="25">
        <f>(F615/F10)/1.983</f>
        <v>584.29988233316521</v>
      </c>
      <c r="G616" s="25">
        <f>(G615/G10)/1.983</f>
        <v>553.72277259935254</v>
      </c>
      <c r="H616" s="25">
        <f>(H615/H10)/1.983</f>
        <v>619.76802824004028</v>
      </c>
      <c r="I616" s="81" t="s">
        <v>7</v>
      </c>
      <c r="J616" s="25">
        <f>(J615/J10)/1.983</f>
        <v>508.3369934768109</v>
      </c>
      <c r="K616" s="25">
        <f>(K615/K10)/1.983</f>
        <v>460.55992061555474</v>
      </c>
      <c r="L616" s="25">
        <f>(L615/L10)/1.983</f>
        <v>410.52277693730042</v>
      </c>
      <c r="M616" s="81" t="s">
        <v>7</v>
      </c>
      <c r="N616" s="25">
        <f>(N615/N10)/1.983</f>
        <v>230.29622761212238</v>
      </c>
      <c r="O616" s="25">
        <f>(O615/O10)/1.983</f>
        <v>13.481257354177172</v>
      </c>
      <c r="P616" s="25">
        <f>(P615/P10)/1.983</f>
        <v>313.09680672815705</v>
      </c>
      <c r="Q616" s="81" t="s">
        <v>7</v>
      </c>
      <c r="R616" s="81" t="s">
        <v>7</v>
      </c>
    </row>
    <row r="617" spans="1:18" ht="15.75" customHeight="1" x14ac:dyDescent="0.3">
      <c r="A617" s="2"/>
      <c r="B617" s="1"/>
      <c r="C617" s="1"/>
      <c r="D617" s="1"/>
      <c r="E617" s="1"/>
      <c r="F617" s="1"/>
      <c r="G617" s="1"/>
      <c r="H617" s="1"/>
      <c r="I617" s="1"/>
      <c r="J617" s="1"/>
      <c r="K617" s="1"/>
      <c r="L617" s="1"/>
      <c r="M617" s="1"/>
      <c r="N617" s="1"/>
      <c r="O617" s="1"/>
      <c r="P617" s="1"/>
      <c r="Q617" s="1"/>
      <c r="R617" s="2"/>
    </row>
    <row r="618" spans="1:18" ht="15.75" customHeight="1" thickBot="1" x14ac:dyDescent="0.35">
      <c r="A618" s="2"/>
      <c r="B618" s="1"/>
      <c r="C618" s="1"/>
      <c r="D618" s="1"/>
      <c r="E618" s="1"/>
      <c r="F618" s="1"/>
      <c r="G618" s="1"/>
      <c r="H618" s="1"/>
      <c r="I618" s="1"/>
      <c r="J618" s="1"/>
      <c r="K618" s="1"/>
      <c r="L618" s="1"/>
      <c r="M618" s="1"/>
      <c r="N618" s="1"/>
      <c r="O618" s="1"/>
      <c r="P618" s="1"/>
      <c r="Q618" s="1"/>
      <c r="R618" s="2"/>
    </row>
    <row r="619" spans="1:18" ht="16.5" customHeight="1" thickBot="1" x14ac:dyDescent="0.35">
      <c r="A619" s="124" t="s">
        <v>317</v>
      </c>
      <c r="B619" s="30" t="s">
        <v>8</v>
      </c>
      <c r="C619" s="31" t="s">
        <v>9</v>
      </c>
      <c r="D619" s="31" t="s">
        <v>10</v>
      </c>
      <c r="E619" s="32" t="s">
        <v>11</v>
      </c>
      <c r="F619" s="31" t="s">
        <v>12</v>
      </c>
      <c r="G619" s="31" t="s">
        <v>13</v>
      </c>
      <c r="H619" s="31" t="s">
        <v>14</v>
      </c>
      <c r="I619" s="33" t="s">
        <v>15</v>
      </c>
      <c r="J619" s="31" t="s">
        <v>16</v>
      </c>
      <c r="K619" s="31" t="s">
        <v>17</v>
      </c>
      <c r="L619" s="31" t="s">
        <v>18</v>
      </c>
      <c r="M619" s="33" t="s">
        <v>19</v>
      </c>
      <c r="N619" s="31" t="s">
        <v>20</v>
      </c>
      <c r="O619" s="31" t="s">
        <v>21</v>
      </c>
      <c r="P619" s="31" t="s">
        <v>22</v>
      </c>
      <c r="Q619" s="33" t="s">
        <v>23</v>
      </c>
      <c r="R619" s="34" t="s">
        <v>24</v>
      </c>
    </row>
    <row r="620" spans="1:18" ht="16.5" customHeight="1" thickBot="1" x14ac:dyDescent="0.35">
      <c r="A620" s="59"/>
      <c r="B620" s="75"/>
      <c r="C620" s="75"/>
      <c r="D620" s="75"/>
      <c r="E620" s="69"/>
      <c r="F620" s="75"/>
      <c r="G620" s="75"/>
      <c r="H620" s="75"/>
      <c r="I620" s="82"/>
      <c r="J620" s="75"/>
      <c r="K620" s="75"/>
      <c r="L620" s="75"/>
      <c r="M620" s="82"/>
      <c r="N620" s="75"/>
      <c r="O620" s="75"/>
      <c r="P620" s="75"/>
      <c r="Q620" s="82"/>
      <c r="R620" s="100"/>
    </row>
    <row r="621" spans="1:18" ht="15.75" customHeight="1" x14ac:dyDescent="0.3">
      <c r="A621" s="15" t="s">
        <v>48</v>
      </c>
      <c r="B621" s="1"/>
      <c r="C621" s="1"/>
      <c r="D621" s="1"/>
      <c r="E621" s="55" t="s">
        <v>7</v>
      </c>
      <c r="F621" s="1"/>
      <c r="G621" s="1"/>
      <c r="H621" s="1"/>
      <c r="I621" s="55" t="s">
        <v>7</v>
      </c>
      <c r="J621" s="1" t="s">
        <v>7</v>
      </c>
      <c r="K621" s="1" t="s">
        <v>7</v>
      </c>
      <c r="L621" s="1" t="s">
        <v>7</v>
      </c>
      <c r="M621" s="55" t="s">
        <v>7</v>
      </c>
      <c r="N621" s="1" t="s">
        <v>7</v>
      </c>
      <c r="O621" s="1" t="s">
        <v>7</v>
      </c>
      <c r="P621" s="1" t="s">
        <v>7</v>
      </c>
      <c r="Q621" s="55" t="s">
        <v>7</v>
      </c>
      <c r="R621" s="55" t="s">
        <v>7</v>
      </c>
    </row>
    <row r="622" spans="1:18" ht="15.75" customHeight="1" x14ac:dyDescent="0.3">
      <c r="A622" s="15" t="s">
        <v>49</v>
      </c>
      <c r="B622" s="1"/>
      <c r="C622" s="1"/>
      <c r="D622" s="1"/>
      <c r="E622" s="55" t="s">
        <v>7</v>
      </c>
      <c r="F622" s="1"/>
      <c r="G622" s="1"/>
      <c r="H622" s="1"/>
      <c r="I622" s="55" t="s">
        <v>7</v>
      </c>
      <c r="J622" s="1"/>
      <c r="K622" s="1"/>
      <c r="L622" s="1"/>
      <c r="M622" s="55" t="s">
        <v>7</v>
      </c>
      <c r="N622" s="1"/>
      <c r="O622" s="1"/>
      <c r="P622" s="1"/>
      <c r="Q622" s="55" t="s">
        <v>7</v>
      </c>
      <c r="R622" s="55" t="s">
        <v>7</v>
      </c>
    </row>
    <row r="623" spans="1:18" ht="15.75" customHeight="1" x14ac:dyDescent="0.3">
      <c r="A623" s="71" t="s">
        <v>762</v>
      </c>
      <c r="B623" s="1"/>
      <c r="C623" s="1"/>
      <c r="D623" s="1"/>
      <c r="E623" s="55">
        <f t="shared" ref="E623" si="227">SUM(B623:D623)</f>
        <v>0</v>
      </c>
      <c r="F623" s="1"/>
      <c r="G623" s="1"/>
      <c r="H623" s="1"/>
      <c r="I623" s="55">
        <f t="shared" ref="I623" si="228">SUM(F623:H623)</f>
        <v>0</v>
      </c>
      <c r="J623" s="1"/>
      <c r="K623" s="1"/>
      <c r="L623" s="1"/>
      <c r="M623" s="55">
        <f t="shared" ref="M623" si="229">SUM(J623:L623)</f>
        <v>0</v>
      </c>
      <c r="N623" s="1"/>
      <c r="O623" s="1"/>
      <c r="P623" s="1"/>
      <c r="Q623" s="55">
        <f t="shared" ref="Q623:Q631" si="230">SUM(N623:P623)</f>
        <v>0</v>
      </c>
      <c r="R623" s="55">
        <f t="shared" ref="R623:R633" si="231">+E623+I623+M623+Q623</f>
        <v>0</v>
      </c>
    </row>
    <row r="624" spans="1:18" ht="15.75" customHeight="1" x14ac:dyDescent="0.3">
      <c r="A624" s="71" t="s">
        <v>320</v>
      </c>
      <c r="B624" s="1"/>
      <c r="C624" s="1"/>
      <c r="D624" s="1"/>
      <c r="E624" s="55">
        <f>SUM(B624:D624)</f>
        <v>0</v>
      </c>
      <c r="F624" s="1"/>
      <c r="G624" s="1"/>
      <c r="H624" s="1"/>
      <c r="I624" s="55">
        <f>SUM(F624:H624)</f>
        <v>0</v>
      </c>
      <c r="J624" s="1"/>
      <c r="K624" s="1"/>
      <c r="L624" s="1">
        <v>1000</v>
      </c>
      <c r="M624" s="55">
        <f>SUM(J624:L624)</f>
        <v>1000</v>
      </c>
      <c r="N624" s="1"/>
      <c r="O624" s="1"/>
      <c r="P624" s="1"/>
      <c r="Q624" s="55">
        <f>SUM(N624:P624)</f>
        <v>0</v>
      </c>
      <c r="R624" s="55">
        <f>+E624+I624+M624+Q624</f>
        <v>1000</v>
      </c>
    </row>
    <row r="625" spans="1:20" ht="15.75" customHeight="1" x14ac:dyDescent="0.3">
      <c r="A625" s="71" t="s">
        <v>318</v>
      </c>
      <c r="B625" s="1"/>
      <c r="C625" s="1">
        <v>560</v>
      </c>
      <c r="D625" s="1">
        <v>614</v>
      </c>
      <c r="E625" s="55">
        <f t="shared" ref="E625" si="232">SUM(B625:D625)</f>
        <v>1174</v>
      </c>
      <c r="F625" s="1">
        <v>1434</v>
      </c>
      <c r="G625" s="1">
        <v>806</v>
      </c>
      <c r="H625" s="1">
        <v>2292</v>
      </c>
      <c r="I625" s="55">
        <f t="shared" ref="I625" si="233">SUM(F625:H625)</f>
        <v>4532</v>
      </c>
      <c r="J625" s="1">
        <v>770</v>
      </c>
      <c r="K625" s="1">
        <v>1110</v>
      </c>
      <c r="L625" s="1">
        <v>373</v>
      </c>
      <c r="M625" s="55">
        <f t="shared" ref="M625" si="234">SUM(J625:L625)</f>
        <v>2253</v>
      </c>
      <c r="N625" s="1">
        <v>1</v>
      </c>
      <c r="O625" s="1"/>
      <c r="P625" s="1"/>
      <c r="Q625" s="55">
        <f t="shared" si="230"/>
        <v>1</v>
      </c>
      <c r="R625" s="55">
        <f t="shared" si="231"/>
        <v>7960</v>
      </c>
      <c r="T625" s="4" t="s">
        <v>987</v>
      </c>
    </row>
    <row r="626" spans="1:20" ht="15.75" customHeight="1" x14ac:dyDescent="0.3">
      <c r="A626" s="71" t="s">
        <v>763</v>
      </c>
      <c r="B626" s="1"/>
      <c r="C626" s="1"/>
      <c r="D626" s="1"/>
      <c r="E626" s="55">
        <f>SUM(B626:D626)</f>
        <v>0</v>
      </c>
      <c r="F626" s="1"/>
      <c r="G626" s="1"/>
      <c r="H626" s="1"/>
      <c r="I626" s="55">
        <f>SUM(F626:H626)</f>
        <v>0</v>
      </c>
      <c r="J626" s="1"/>
      <c r="K626" s="1"/>
      <c r="L626" s="1"/>
      <c r="M626" s="55">
        <f>SUM(J626:L626)</f>
        <v>0</v>
      </c>
      <c r="N626" s="1"/>
      <c r="O626" s="1"/>
      <c r="P626" s="1"/>
      <c r="Q626" s="55">
        <f>SUM(N626:P626)</f>
        <v>0</v>
      </c>
      <c r="R626" s="55">
        <f>+E626+I626+M626+Q626</f>
        <v>0</v>
      </c>
      <c r="T626" s="4" t="s">
        <v>988</v>
      </c>
    </row>
    <row r="627" spans="1:20" ht="15.75" customHeight="1" x14ac:dyDescent="0.3">
      <c r="A627" s="71" t="s">
        <v>572</v>
      </c>
      <c r="B627" s="1">
        <v>300</v>
      </c>
      <c r="C627" s="1">
        <v>300</v>
      </c>
      <c r="D627" s="1">
        <v>300</v>
      </c>
      <c r="E627" s="55">
        <f t="shared" ref="E627" si="235">SUM(B627:D627)</f>
        <v>900</v>
      </c>
      <c r="F627" s="1">
        <v>300</v>
      </c>
      <c r="G627" s="1">
        <v>300</v>
      </c>
      <c r="H627" s="1">
        <v>200</v>
      </c>
      <c r="I627" s="55">
        <f t="shared" ref="I627" si="236">SUM(F627:H627)</f>
        <v>800</v>
      </c>
      <c r="J627" s="1">
        <v>200</v>
      </c>
      <c r="K627" s="1">
        <v>200</v>
      </c>
      <c r="L627" s="1">
        <v>200</v>
      </c>
      <c r="M627" s="55">
        <f t="shared" ref="M627" si="237">SUM(J627:L627)</f>
        <v>600</v>
      </c>
      <c r="N627" s="1">
        <v>200</v>
      </c>
      <c r="O627" s="1"/>
      <c r="P627" s="1">
        <v>305</v>
      </c>
      <c r="Q627" s="55">
        <f t="shared" si="230"/>
        <v>505</v>
      </c>
      <c r="R627" s="55">
        <f t="shared" si="231"/>
        <v>2805</v>
      </c>
      <c r="T627" s="4" t="s">
        <v>988</v>
      </c>
    </row>
    <row r="628" spans="1:20" ht="15.75" customHeight="1" x14ac:dyDescent="0.3">
      <c r="A628" s="71" t="s">
        <v>989</v>
      </c>
      <c r="B628" s="1"/>
      <c r="C628" s="1"/>
      <c r="D628" s="1"/>
      <c r="E628" s="55">
        <f>SUM(B628:D628)</f>
        <v>0</v>
      </c>
      <c r="F628" s="1"/>
      <c r="G628" s="1"/>
      <c r="H628" s="1"/>
      <c r="I628" s="55">
        <f>SUM(F628:H628)</f>
        <v>0</v>
      </c>
      <c r="J628" s="1">
        <v>594</v>
      </c>
      <c r="K628" s="1">
        <v>1001</v>
      </c>
      <c r="L628" s="1"/>
      <c r="M628" s="55">
        <f>SUM(J628:L628)</f>
        <v>1595</v>
      </c>
      <c r="N628" s="1"/>
      <c r="O628" s="1"/>
      <c r="P628" s="1"/>
      <c r="Q628" s="55">
        <f>SUM(N628:P628)</f>
        <v>0</v>
      </c>
      <c r="R628" s="55">
        <f t="shared" si="231"/>
        <v>1595</v>
      </c>
    </row>
    <row r="629" spans="1:20" ht="15.75" customHeight="1" x14ac:dyDescent="0.3">
      <c r="A629" s="71" t="s">
        <v>319</v>
      </c>
      <c r="B629" s="1"/>
      <c r="C629" s="1"/>
      <c r="D629" s="1"/>
      <c r="E629" s="55">
        <f t="shared" ref="E629:E633" si="238">SUM(B629:D629)</f>
        <v>0</v>
      </c>
      <c r="F629" s="1"/>
      <c r="G629" s="1"/>
      <c r="H629" s="1"/>
      <c r="I629" s="55">
        <f t="shared" ref="I629:I633" si="239">SUM(F629:H629)</f>
        <v>0</v>
      </c>
      <c r="J629" s="1">
        <v>800</v>
      </c>
      <c r="K629" s="1">
        <v>500</v>
      </c>
      <c r="L629" s="1">
        <v>1500</v>
      </c>
      <c r="M629" s="55">
        <f t="shared" ref="M629:M633" si="240">SUM(J629:L629)</f>
        <v>2800</v>
      </c>
      <c r="N629" s="1"/>
      <c r="O629" s="1"/>
      <c r="P629" s="1"/>
      <c r="Q629" s="55">
        <f t="shared" si="230"/>
        <v>0</v>
      </c>
      <c r="R629" s="55">
        <f t="shared" si="231"/>
        <v>2800</v>
      </c>
      <c r="T629" s="4" t="s">
        <v>988</v>
      </c>
    </row>
    <row r="630" spans="1:20" ht="15.75" customHeight="1" x14ac:dyDescent="0.3">
      <c r="A630" s="71" t="s">
        <v>990</v>
      </c>
      <c r="B630" s="1"/>
      <c r="C630" s="1"/>
      <c r="D630" s="1">
        <v>300</v>
      </c>
      <c r="E630" s="55">
        <f t="shared" si="238"/>
        <v>300</v>
      </c>
      <c r="F630" s="1">
        <v>436</v>
      </c>
      <c r="G630" s="1">
        <v>400</v>
      </c>
      <c r="H630" s="1">
        <v>400</v>
      </c>
      <c r="I630" s="55">
        <f t="shared" si="239"/>
        <v>1236</v>
      </c>
      <c r="J630" s="1">
        <v>400</v>
      </c>
      <c r="K630" s="1">
        <v>400</v>
      </c>
      <c r="L630" s="1"/>
      <c r="M630" s="55">
        <f t="shared" si="240"/>
        <v>800</v>
      </c>
      <c r="N630" s="1"/>
      <c r="O630" s="1"/>
      <c r="P630" s="1"/>
      <c r="Q630" s="55">
        <f>SUM(N630:P630)</f>
        <v>0</v>
      </c>
      <c r="R630" s="55">
        <f>+E630+I630+M630+Q630</f>
        <v>2336</v>
      </c>
    </row>
    <row r="631" spans="1:20" ht="15.75" customHeight="1" x14ac:dyDescent="0.3">
      <c r="A631" s="71" t="s">
        <v>321</v>
      </c>
      <c r="B631" s="1"/>
      <c r="C631" s="1"/>
      <c r="D631" s="1"/>
      <c r="E631" s="55">
        <f t="shared" si="238"/>
        <v>0</v>
      </c>
      <c r="F631" s="1"/>
      <c r="G631" s="1"/>
      <c r="H631" s="1"/>
      <c r="I631" s="55">
        <f t="shared" si="239"/>
        <v>0</v>
      </c>
      <c r="J631" s="1"/>
      <c r="K631" s="1"/>
      <c r="L631" s="1"/>
      <c r="M631" s="55">
        <f t="shared" si="240"/>
        <v>0</v>
      </c>
      <c r="N631" s="1"/>
      <c r="O631" s="1"/>
      <c r="P631" s="1"/>
      <c r="Q631" s="55">
        <f t="shared" si="230"/>
        <v>0</v>
      </c>
      <c r="R631" s="55">
        <f t="shared" si="231"/>
        <v>0</v>
      </c>
      <c r="T631" s="4" t="s">
        <v>988</v>
      </c>
    </row>
    <row r="632" spans="1:20" ht="15.75" customHeight="1" x14ac:dyDescent="0.3">
      <c r="A632" s="71" t="s">
        <v>1324</v>
      </c>
      <c r="B632" s="1">
        <v>210</v>
      </c>
      <c r="C632" s="1">
        <v>440</v>
      </c>
      <c r="D632" s="1">
        <v>600</v>
      </c>
      <c r="E632" s="55">
        <f t="shared" si="238"/>
        <v>1250</v>
      </c>
      <c r="F632" s="1">
        <v>1084</v>
      </c>
      <c r="G632" s="1">
        <v>400</v>
      </c>
      <c r="H632" s="1">
        <v>3</v>
      </c>
      <c r="I632" s="55">
        <f t="shared" si="239"/>
        <v>1487</v>
      </c>
      <c r="J632" s="1"/>
      <c r="K632" s="1"/>
      <c r="L632" s="1"/>
      <c r="M632" s="55">
        <f t="shared" si="240"/>
        <v>0</v>
      </c>
      <c r="N632" s="1"/>
      <c r="O632" s="1"/>
      <c r="P632" s="1"/>
      <c r="Q632" s="55">
        <f t="shared" ref="Q632" si="241">SUM(N632:P632)</f>
        <v>0</v>
      </c>
      <c r="R632" s="55">
        <f t="shared" si="231"/>
        <v>2737</v>
      </c>
    </row>
    <row r="633" spans="1:20" ht="15.75" customHeight="1" x14ac:dyDescent="0.3">
      <c r="A633" s="71" t="s">
        <v>1368</v>
      </c>
      <c r="B633" s="1"/>
      <c r="C633" s="1"/>
      <c r="D633" s="1"/>
      <c r="E633" s="55">
        <f t="shared" si="238"/>
        <v>0</v>
      </c>
      <c r="F633" s="1"/>
      <c r="G633" s="1">
        <v>110</v>
      </c>
      <c r="H633" s="1">
        <v>390</v>
      </c>
      <c r="I633" s="55">
        <f t="shared" si="239"/>
        <v>500</v>
      </c>
      <c r="J633" s="1">
        <v>500</v>
      </c>
      <c r="K633" s="1">
        <v>500</v>
      </c>
      <c r="L633" s="1"/>
      <c r="M633" s="55">
        <f t="shared" si="240"/>
        <v>1000</v>
      </c>
      <c r="N633" s="1"/>
      <c r="O633" s="1"/>
      <c r="P633" s="1"/>
      <c r="Q633" s="55">
        <f t="shared" ref="Q633" si="242">SUM(N633:P633)</f>
        <v>0</v>
      </c>
      <c r="R633" s="55">
        <f t="shared" si="231"/>
        <v>1500</v>
      </c>
    </row>
    <row r="634" spans="1:20" ht="15.75" customHeight="1" x14ac:dyDescent="0.3">
      <c r="A634" s="71" t="s">
        <v>1326</v>
      </c>
      <c r="B634" s="1">
        <v>1603</v>
      </c>
      <c r="C634" s="1">
        <v>2792</v>
      </c>
      <c r="D634" s="1">
        <v>3744</v>
      </c>
      <c r="E634" s="55">
        <f>SUM(B634:D634)</f>
        <v>8139</v>
      </c>
      <c r="F634" s="1">
        <v>1858</v>
      </c>
      <c r="G634" s="1">
        <v>1498</v>
      </c>
      <c r="H634" s="1">
        <v>3525</v>
      </c>
      <c r="I634" s="55">
        <f>SUM(F634:H634)</f>
        <v>6881</v>
      </c>
      <c r="J634" s="1">
        <v>1604</v>
      </c>
      <c r="K634" s="1">
        <v>418</v>
      </c>
      <c r="L634" s="1">
        <v>2292</v>
      </c>
      <c r="M634" s="55">
        <f>SUM(J634:L634)</f>
        <v>4314</v>
      </c>
      <c r="N634" s="1">
        <v>1956</v>
      </c>
      <c r="O634" s="1"/>
      <c r="P634" s="1">
        <v>3210</v>
      </c>
      <c r="Q634" s="55">
        <f>SUM(N634:P634)</f>
        <v>5166</v>
      </c>
      <c r="R634" s="55">
        <f>+E634+I634+M634+Q634</f>
        <v>24500</v>
      </c>
      <c r="T634" s="4" t="s">
        <v>987</v>
      </c>
    </row>
    <row r="635" spans="1:20" ht="15.75" customHeight="1" x14ac:dyDescent="0.3">
      <c r="A635" s="15" t="s">
        <v>50</v>
      </c>
      <c r="B635" s="1"/>
      <c r="C635" s="1"/>
      <c r="D635" s="1"/>
      <c r="E635" s="55" t="s">
        <v>7</v>
      </c>
      <c r="F635" s="1"/>
      <c r="G635" s="1"/>
      <c r="H635" s="1"/>
      <c r="I635" s="55" t="s">
        <v>7</v>
      </c>
      <c r="J635" s="1"/>
      <c r="K635" s="1"/>
      <c r="L635" s="1"/>
      <c r="M635" s="55" t="s">
        <v>7</v>
      </c>
      <c r="N635" s="1"/>
      <c r="O635" s="1"/>
      <c r="P635" s="1"/>
      <c r="Q635" s="55" t="s">
        <v>7</v>
      </c>
      <c r="R635" s="55" t="s">
        <v>7</v>
      </c>
    </row>
    <row r="636" spans="1:20" ht="15.75" customHeight="1" x14ac:dyDescent="0.3">
      <c r="A636" s="71" t="s">
        <v>321</v>
      </c>
      <c r="B636" s="1"/>
      <c r="C636" s="1"/>
      <c r="D636" s="1"/>
      <c r="E636" s="55">
        <f>SUM(B636:D636)</f>
        <v>0</v>
      </c>
      <c r="F636" s="1"/>
      <c r="G636" s="1"/>
      <c r="H636" s="1"/>
      <c r="I636" s="55">
        <f>SUM(F636:H636)</f>
        <v>0</v>
      </c>
      <c r="J636" s="1"/>
      <c r="K636" s="1"/>
      <c r="L636" s="1"/>
      <c r="M636" s="55">
        <f>SUM(J636:L636)</f>
        <v>0</v>
      </c>
      <c r="N636" s="1"/>
      <c r="O636" s="1"/>
      <c r="P636" s="1"/>
      <c r="Q636" s="55">
        <f>SUM(N636:P636)</f>
        <v>0</v>
      </c>
      <c r="R636" s="55">
        <f>+E636+I636+M636+Q636</f>
        <v>0</v>
      </c>
      <c r="T636" s="4" t="s">
        <v>988</v>
      </c>
    </row>
    <row r="637" spans="1:20" ht="15.75" customHeight="1" x14ac:dyDescent="0.3">
      <c r="A637" s="15" t="s">
        <v>1186</v>
      </c>
      <c r="B637" s="1"/>
      <c r="C637" s="1"/>
      <c r="D637" s="1"/>
      <c r="E637" s="55" t="s">
        <v>7</v>
      </c>
      <c r="F637" s="1"/>
      <c r="G637" s="1"/>
      <c r="H637" s="1"/>
      <c r="I637" s="55" t="s">
        <v>7</v>
      </c>
      <c r="J637" s="1"/>
      <c r="K637" s="1"/>
      <c r="L637" s="1"/>
      <c r="M637" s="55" t="s">
        <v>7</v>
      </c>
      <c r="N637" s="1"/>
      <c r="O637" s="1"/>
      <c r="P637" s="1"/>
      <c r="Q637" s="55" t="s">
        <v>7</v>
      </c>
      <c r="R637" s="55" t="s">
        <v>7</v>
      </c>
    </row>
    <row r="638" spans="1:20" ht="15.75" customHeight="1" x14ac:dyDescent="0.3">
      <c r="A638" s="71" t="s">
        <v>1327</v>
      </c>
      <c r="B638" s="1"/>
      <c r="C638" s="1"/>
      <c r="D638" s="1"/>
      <c r="E638" s="55">
        <f>SUM(B638:D638)</f>
        <v>0</v>
      </c>
      <c r="F638" s="1"/>
      <c r="G638" s="1"/>
      <c r="H638" s="1"/>
      <c r="I638" s="55">
        <f>SUM(F638:H638)</f>
        <v>0</v>
      </c>
      <c r="J638" s="1"/>
      <c r="K638" s="1"/>
      <c r="L638" s="1"/>
      <c r="M638" s="55">
        <f>SUM(J638:L638)</f>
        <v>0</v>
      </c>
      <c r="N638" s="1"/>
      <c r="O638" s="1"/>
      <c r="P638" s="1"/>
      <c r="Q638" s="55">
        <f>SUM(N638:P638)</f>
        <v>0</v>
      </c>
      <c r="R638" s="55">
        <f>+E638+I638+M638+Q638</f>
        <v>0</v>
      </c>
      <c r="S638" s="478" t="s">
        <v>1259</v>
      </c>
      <c r="T638" s="4" t="s">
        <v>988</v>
      </c>
    </row>
    <row r="639" spans="1:20" ht="15.75" customHeight="1" thickBot="1" x14ac:dyDescent="0.35">
      <c r="A639" s="15" t="s">
        <v>53</v>
      </c>
      <c r="B639" s="1"/>
      <c r="C639" s="1"/>
      <c r="D639" s="1"/>
      <c r="E639" s="55" t="s">
        <v>7</v>
      </c>
      <c r="F639" s="1"/>
      <c r="G639" s="1"/>
      <c r="H639" s="1"/>
      <c r="I639" s="55" t="s">
        <v>7</v>
      </c>
      <c r="J639" s="1"/>
      <c r="K639" s="1"/>
      <c r="L639" s="1"/>
      <c r="M639" s="55" t="s">
        <v>7</v>
      </c>
      <c r="N639" s="1"/>
      <c r="O639" s="1"/>
      <c r="P639" s="1"/>
      <c r="Q639" s="55" t="s">
        <v>7</v>
      </c>
      <c r="R639" s="55" t="s">
        <v>7</v>
      </c>
    </row>
    <row r="640" spans="1:20" ht="16.5" customHeight="1" thickBot="1" x14ac:dyDescent="0.35">
      <c r="A640" s="109" t="s">
        <v>54</v>
      </c>
      <c r="B640" s="86">
        <f>SUM(B621:B639)</f>
        <v>2113</v>
      </c>
      <c r="C640" s="87">
        <f>SUM(C621:C639)</f>
        <v>4092</v>
      </c>
      <c r="D640" s="87">
        <f>SUM(D621:D639)</f>
        <v>5558</v>
      </c>
      <c r="E640" s="59">
        <f>SUM(B640:D640)</f>
        <v>11763</v>
      </c>
      <c r="F640" s="87">
        <f>SUM(F621:F639)</f>
        <v>5112</v>
      </c>
      <c r="G640" s="87">
        <f>SUM(G621:G639)</f>
        <v>3514</v>
      </c>
      <c r="H640" s="87">
        <f>SUM(H621:H639)</f>
        <v>6810</v>
      </c>
      <c r="I640" s="59">
        <f>SUM(F640:H640)</f>
        <v>15436</v>
      </c>
      <c r="J640" s="87">
        <f>SUM(J621:J639)</f>
        <v>4868</v>
      </c>
      <c r="K640" s="87">
        <f>SUM(K621:K639)</f>
        <v>4129</v>
      </c>
      <c r="L640" s="87">
        <f>SUM(L621:L639)</f>
        <v>5365</v>
      </c>
      <c r="M640" s="59">
        <f>SUM(J640:L640)</f>
        <v>14362</v>
      </c>
      <c r="N640" s="87">
        <f>SUM(N621:N639)</f>
        <v>2157</v>
      </c>
      <c r="O640" s="87">
        <f>SUM(O621:O639)</f>
        <v>0</v>
      </c>
      <c r="P640" s="87">
        <f>SUM(P621:P639)</f>
        <v>3515</v>
      </c>
      <c r="Q640" s="59">
        <f>SUM(N640:P640)</f>
        <v>5672</v>
      </c>
      <c r="R640" s="59">
        <f>+E640+I640+M640+Q640</f>
        <v>47233</v>
      </c>
    </row>
    <row r="641" spans="1:20" ht="15.75" customHeight="1" x14ac:dyDescent="0.3">
      <c r="A641" s="15" t="s">
        <v>55</v>
      </c>
      <c r="B641" s="1"/>
      <c r="C641" s="1"/>
      <c r="D641" s="1"/>
      <c r="E641" s="55" t="s">
        <v>7</v>
      </c>
      <c r="F641" s="1"/>
      <c r="G641" s="1"/>
      <c r="H641" s="1"/>
      <c r="I641" s="55" t="s">
        <v>7</v>
      </c>
      <c r="J641" s="1"/>
      <c r="K641" s="1"/>
      <c r="L641" s="1"/>
      <c r="M641" s="55" t="s">
        <v>7</v>
      </c>
      <c r="N641" s="1"/>
      <c r="O641" s="1"/>
      <c r="P641" s="1"/>
      <c r="Q641" s="55" t="s">
        <v>7</v>
      </c>
      <c r="R641" s="55" t="s">
        <v>7</v>
      </c>
    </row>
    <row r="642" spans="1:20" ht="15.75" customHeight="1" x14ac:dyDescent="0.3">
      <c r="A642" s="15" t="s">
        <v>57</v>
      </c>
      <c r="B642" s="1"/>
      <c r="C642" s="1"/>
      <c r="D642" s="1"/>
      <c r="E642" s="55" t="s">
        <v>7</v>
      </c>
      <c r="F642" s="1"/>
      <c r="G642" s="1"/>
      <c r="H642" s="1"/>
      <c r="I642" s="55" t="s">
        <v>7</v>
      </c>
      <c r="J642" s="1"/>
      <c r="K642" s="1"/>
      <c r="L642" s="1"/>
      <c r="M642" s="55" t="s">
        <v>7</v>
      </c>
      <c r="N642" s="1"/>
      <c r="O642" s="1"/>
      <c r="P642" s="1"/>
      <c r="Q642" s="55" t="s">
        <v>7</v>
      </c>
      <c r="R642" s="55" t="s">
        <v>7</v>
      </c>
    </row>
    <row r="643" spans="1:20" ht="15.75" customHeight="1" x14ac:dyDescent="0.3">
      <c r="A643" s="71" t="s">
        <v>324</v>
      </c>
      <c r="B643" s="1"/>
      <c r="C643" s="1"/>
      <c r="D643" s="1"/>
      <c r="E643" s="55">
        <f>SUM(B643:D643)</f>
        <v>0</v>
      </c>
      <c r="F643" s="1"/>
      <c r="G643" s="1"/>
      <c r="H643" s="1"/>
      <c r="I643" s="55">
        <f>SUM(F643:H643)</f>
        <v>0</v>
      </c>
      <c r="J643" s="1"/>
      <c r="K643" s="1"/>
      <c r="L643" s="1"/>
      <c r="M643" s="55">
        <f>SUM(J643:L643)</f>
        <v>0</v>
      </c>
      <c r="N643" s="1"/>
      <c r="O643" s="1"/>
      <c r="P643" s="1"/>
      <c r="Q643" s="55">
        <f>SUM(N643:P643)</f>
        <v>0</v>
      </c>
      <c r="R643" s="55">
        <f>+E643+I643+M643+Q643</f>
        <v>0</v>
      </c>
    </row>
    <row r="644" spans="1:20" ht="15.75" customHeight="1" x14ac:dyDescent="0.3">
      <c r="A644" s="71" t="s">
        <v>659</v>
      </c>
      <c r="B644" s="1"/>
      <c r="C644" s="1"/>
      <c r="D644" s="1"/>
      <c r="E644" s="55">
        <f>SUM(B644:D644)</f>
        <v>0</v>
      </c>
      <c r="F644" s="1"/>
      <c r="G644" s="1"/>
      <c r="H644" s="1"/>
      <c r="I644" s="55">
        <f>SUM(F644:H644)</f>
        <v>0</v>
      </c>
      <c r="J644" s="1"/>
      <c r="K644" s="1"/>
      <c r="L644" s="1"/>
      <c r="M644" s="55">
        <f>SUM(J644:L644)</f>
        <v>0</v>
      </c>
      <c r="N644" s="1"/>
      <c r="O644" s="1"/>
      <c r="P644" s="1"/>
      <c r="Q644" s="55">
        <f>SUM(N644:P644)</f>
        <v>0</v>
      </c>
      <c r="R644" s="55">
        <f>+E644+I644+M644+Q644</f>
        <v>0</v>
      </c>
    </row>
    <row r="645" spans="1:20" ht="15.75" customHeight="1" thickBot="1" x14ac:dyDescent="0.35">
      <c r="A645" s="15" t="s">
        <v>58</v>
      </c>
      <c r="B645" s="1"/>
      <c r="C645" s="1"/>
      <c r="D645" s="1"/>
      <c r="E645" s="55" t="s">
        <v>7</v>
      </c>
      <c r="F645" s="1"/>
      <c r="G645" s="1"/>
      <c r="H645" s="1"/>
      <c r="I645" s="55" t="s">
        <v>7</v>
      </c>
      <c r="J645" s="1"/>
      <c r="K645" s="1"/>
      <c r="L645" s="1"/>
      <c r="M645" s="55" t="s">
        <v>7</v>
      </c>
      <c r="N645" s="1"/>
      <c r="O645" s="1"/>
      <c r="P645" s="1"/>
      <c r="Q645" s="55" t="s">
        <v>7</v>
      </c>
      <c r="R645" s="55" t="s">
        <v>7</v>
      </c>
    </row>
    <row r="646" spans="1:20" ht="16.5" customHeight="1" thickBot="1" x14ac:dyDescent="0.35">
      <c r="A646" s="57" t="s">
        <v>59</v>
      </c>
      <c r="B646" s="86">
        <f>SUM(B641:B645)</f>
        <v>0</v>
      </c>
      <c r="C646" s="87">
        <f>SUM(C641:C645)</f>
        <v>0</v>
      </c>
      <c r="D646" s="87">
        <f>SUM(D641:D645)</f>
        <v>0</v>
      </c>
      <c r="E646" s="59">
        <f>SUM(B646:D646)</f>
        <v>0</v>
      </c>
      <c r="F646" s="87">
        <f>SUM(F641:F645)</f>
        <v>0</v>
      </c>
      <c r="G646" s="87">
        <f>SUM(G641:G645)</f>
        <v>0</v>
      </c>
      <c r="H646" s="87">
        <f>SUM(H641:H645)</f>
        <v>0</v>
      </c>
      <c r="I646" s="59">
        <f>SUM(F646:H646)</f>
        <v>0</v>
      </c>
      <c r="J646" s="87">
        <f>SUM(J641:J645)</f>
        <v>0</v>
      </c>
      <c r="K646" s="87">
        <f>SUM(K641:K645)</f>
        <v>0</v>
      </c>
      <c r="L646" s="87">
        <f>SUM(L641:L645)</f>
        <v>0</v>
      </c>
      <c r="M646" s="59">
        <f>SUM(J646:L646)</f>
        <v>0</v>
      </c>
      <c r="N646" s="87">
        <f>SUM(N641:N645)</f>
        <v>0</v>
      </c>
      <c r="O646" s="87">
        <f>SUM(O641:O645)</f>
        <v>0</v>
      </c>
      <c r="P646" s="87">
        <f>SUM(P641:P645)</f>
        <v>0</v>
      </c>
      <c r="Q646" s="59">
        <f>SUM(N646:P646)</f>
        <v>0</v>
      </c>
      <c r="R646" s="59">
        <f>+E646+I646+M646+Q646</f>
        <v>0</v>
      </c>
    </row>
    <row r="647" spans="1:20" ht="15.75" customHeight="1" x14ac:dyDescent="0.3">
      <c r="A647" s="15" t="s">
        <v>60</v>
      </c>
      <c r="B647" s="1"/>
      <c r="C647" s="1"/>
      <c r="D647" s="1"/>
      <c r="E647" s="55" t="s">
        <v>7</v>
      </c>
      <c r="F647" s="1"/>
      <c r="G647" s="1"/>
      <c r="H647" s="1"/>
      <c r="I647" s="55" t="s">
        <v>7</v>
      </c>
      <c r="J647" s="1"/>
      <c r="K647" s="1"/>
      <c r="L647" s="1"/>
      <c r="M647" s="55" t="s">
        <v>7</v>
      </c>
      <c r="N647" s="1"/>
      <c r="O647" s="1"/>
      <c r="P647" s="1"/>
      <c r="Q647" s="55" t="s">
        <v>7</v>
      </c>
      <c r="R647" s="55" t="s">
        <v>7</v>
      </c>
    </row>
    <row r="648" spans="1:20" ht="15.75" customHeight="1" x14ac:dyDescent="0.3">
      <c r="A648" s="15" t="s">
        <v>61</v>
      </c>
      <c r="B648" s="1"/>
      <c r="C648" s="1"/>
      <c r="D648" s="1"/>
      <c r="E648" s="55" t="s">
        <v>7</v>
      </c>
      <c r="F648" s="1"/>
      <c r="G648" s="1"/>
      <c r="H648" s="1"/>
      <c r="I648" s="55" t="s">
        <v>7</v>
      </c>
      <c r="J648" s="1"/>
      <c r="K648" s="1"/>
      <c r="L648" s="1"/>
      <c r="M648" s="55" t="s">
        <v>7</v>
      </c>
      <c r="N648" s="1"/>
      <c r="O648" s="1"/>
      <c r="P648" s="1"/>
      <c r="Q648" s="55" t="s">
        <v>7</v>
      </c>
      <c r="R648" s="55" t="s">
        <v>7</v>
      </c>
    </row>
    <row r="649" spans="1:20" ht="15.75" customHeight="1" x14ac:dyDescent="0.3">
      <c r="A649" s="15" t="s">
        <v>62</v>
      </c>
      <c r="B649" s="1"/>
      <c r="C649" s="1"/>
      <c r="D649" s="1"/>
      <c r="E649" s="55" t="s">
        <v>7</v>
      </c>
      <c r="F649" s="1"/>
      <c r="G649" s="1"/>
      <c r="H649" s="1"/>
      <c r="I649" s="55" t="s">
        <v>7</v>
      </c>
      <c r="J649" s="1"/>
      <c r="K649" s="1"/>
      <c r="L649" s="1"/>
      <c r="M649" s="55" t="s">
        <v>7</v>
      </c>
      <c r="N649" s="1"/>
      <c r="O649" s="1"/>
      <c r="P649" s="1"/>
      <c r="Q649" s="55" t="s">
        <v>7</v>
      </c>
      <c r="R649" s="55" t="s">
        <v>7</v>
      </c>
    </row>
    <row r="650" spans="1:20" ht="15.75" customHeight="1" x14ac:dyDescent="0.3">
      <c r="A650" s="71" t="s">
        <v>1229</v>
      </c>
      <c r="B650" s="1"/>
      <c r="C650" s="1"/>
      <c r="D650" s="1"/>
      <c r="E650" s="55">
        <f t="shared" ref="E650:E652" si="243">SUM(B650:D650)</f>
        <v>0</v>
      </c>
      <c r="F650" s="1"/>
      <c r="G650" s="1"/>
      <c r="H650" s="1"/>
      <c r="I650" s="55">
        <f t="shared" ref="I650:I651" si="244">SUM(F650:H650)</f>
        <v>0</v>
      </c>
      <c r="J650" s="1"/>
      <c r="K650" s="1"/>
      <c r="L650" s="1"/>
      <c r="M650" s="55">
        <f t="shared" ref="M650:M652" si="245">SUM(J650:L650)</f>
        <v>0</v>
      </c>
      <c r="N650" s="1"/>
      <c r="O650" s="1"/>
      <c r="P650" s="1">
        <v>402</v>
      </c>
      <c r="Q650" s="55">
        <f>SUM(N650:P650)</f>
        <v>402</v>
      </c>
      <c r="R650" s="55">
        <f>+E650+I650+M650+Q650</f>
        <v>402</v>
      </c>
      <c r="T650" s="4" t="s">
        <v>988</v>
      </c>
    </row>
    <row r="651" spans="1:20" ht="15.75" customHeight="1" x14ac:dyDescent="0.3">
      <c r="A651" s="71" t="s">
        <v>1328</v>
      </c>
      <c r="B651" s="1"/>
      <c r="C651" s="1"/>
      <c r="D651" s="1"/>
      <c r="E651" s="55">
        <f t="shared" si="243"/>
        <v>0</v>
      </c>
      <c r="F651" s="1"/>
      <c r="G651" s="1"/>
      <c r="H651" s="1"/>
      <c r="I651" s="55">
        <f t="shared" si="244"/>
        <v>0</v>
      </c>
      <c r="J651" s="1"/>
      <c r="K651" s="1"/>
      <c r="L651" s="1"/>
      <c r="M651" s="55">
        <f t="shared" si="245"/>
        <v>0</v>
      </c>
      <c r="N651" s="1"/>
      <c r="O651" s="1"/>
      <c r="P651" s="1"/>
      <c r="Q651" s="55">
        <f t="shared" ref="Q651" si="246">SUM(N651:P651)</f>
        <v>0</v>
      </c>
      <c r="R651" s="55">
        <f t="shared" ref="R651:R655" si="247">+E651+I651+M651+Q651</f>
        <v>0</v>
      </c>
    </row>
    <row r="652" spans="1:20" ht="15.75" customHeight="1" x14ac:dyDescent="0.3">
      <c r="A652" s="71" t="s">
        <v>1433</v>
      </c>
      <c r="B652" s="1">
        <v>500</v>
      </c>
      <c r="C652" s="1">
        <v>500</v>
      </c>
      <c r="D652" s="1"/>
      <c r="E652" s="55">
        <f t="shared" si="243"/>
        <v>1000</v>
      </c>
      <c r="F652" s="1"/>
      <c r="G652" s="1"/>
      <c r="H652" s="1"/>
      <c r="I652" s="55">
        <f t="shared" ref="I652" si="248">SUM(F652:H652)</f>
        <v>0</v>
      </c>
      <c r="J652" s="1"/>
      <c r="K652" s="1"/>
      <c r="L652" s="1"/>
      <c r="M652" s="55">
        <f t="shared" si="245"/>
        <v>0</v>
      </c>
      <c r="N652" s="1"/>
      <c r="O652" s="1"/>
      <c r="P652" s="1"/>
      <c r="Q652" s="55">
        <f t="shared" ref="Q652:Q654" si="249">SUM(N652:P652)</f>
        <v>0</v>
      </c>
      <c r="R652" s="55">
        <f t="shared" si="247"/>
        <v>1000</v>
      </c>
    </row>
    <row r="653" spans="1:20" ht="15.75" customHeight="1" x14ac:dyDescent="0.3">
      <c r="A653" s="71" t="s">
        <v>1329</v>
      </c>
      <c r="B653" s="1"/>
      <c r="C653" s="1"/>
      <c r="D653" s="1"/>
      <c r="E653" s="55">
        <f>SUM(B653:D653)</f>
        <v>0</v>
      </c>
      <c r="F653" s="1"/>
      <c r="G653" s="1"/>
      <c r="H653" s="1"/>
      <c r="I653" s="55">
        <f>SUM(F653:H653)</f>
        <v>0</v>
      </c>
      <c r="J653" s="1"/>
      <c r="K653" s="1"/>
      <c r="L653" s="1"/>
      <c r="M653" s="55">
        <f>SUM(J653:L653)</f>
        <v>0</v>
      </c>
      <c r="N653" s="1"/>
      <c r="O653" s="1"/>
      <c r="P653" s="1"/>
      <c r="Q653" s="55">
        <f t="shared" si="249"/>
        <v>0</v>
      </c>
      <c r="R653" s="55">
        <f t="shared" si="247"/>
        <v>0</v>
      </c>
    </row>
    <row r="654" spans="1:20" ht="15.75" customHeight="1" x14ac:dyDescent="0.3">
      <c r="A654" s="71" t="s">
        <v>1447</v>
      </c>
      <c r="B654" s="1"/>
      <c r="C654" s="1"/>
      <c r="D654" s="1"/>
      <c r="E654" s="55">
        <f>SUM(B654:D654)</f>
        <v>0</v>
      </c>
      <c r="F654" s="1"/>
      <c r="G654" s="1"/>
      <c r="H654" s="1"/>
      <c r="I654" s="55">
        <f>SUM(F654:H654)</f>
        <v>0</v>
      </c>
      <c r="J654" s="1"/>
      <c r="K654" s="1"/>
      <c r="L654" s="1"/>
      <c r="M654" s="55">
        <f>SUM(J654:L654)</f>
        <v>0</v>
      </c>
      <c r="N654" s="1"/>
      <c r="O654" s="1"/>
      <c r="P654" s="1">
        <v>403</v>
      </c>
      <c r="Q654" s="55">
        <f t="shared" si="249"/>
        <v>403</v>
      </c>
      <c r="R654" s="55">
        <f t="shared" si="247"/>
        <v>403</v>
      </c>
    </row>
    <row r="655" spans="1:20" s="493" customFormat="1" ht="15.75" customHeight="1" x14ac:dyDescent="0.3">
      <c r="A655" s="72" t="s">
        <v>1330</v>
      </c>
      <c r="B655" s="1"/>
      <c r="C655" s="1"/>
      <c r="D655" s="1"/>
      <c r="E655" s="55">
        <f>SUM(B655:D655)</f>
        <v>0</v>
      </c>
      <c r="F655" s="1"/>
      <c r="G655" s="1"/>
      <c r="H655" s="1"/>
      <c r="I655" s="55">
        <f>SUM(F655:H655)</f>
        <v>0</v>
      </c>
      <c r="J655" s="1"/>
      <c r="K655" s="1"/>
      <c r="L655" s="1">
        <v>866</v>
      </c>
      <c r="M655" s="55">
        <f>SUM(J655:L655)</f>
        <v>866</v>
      </c>
      <c r="N655" s="1">
        <v>546</v>
      </c>
      <c r="O655" s="1">
        <v>90</v>
      </c>
      <c r="P655" s="1"/>
      <c r="Q655" s="55">
        <f>SUM(N655:P655)</f>
        <v>636</v>
      </c>
      <c r="R655" s="55">
        <f t="shared" si="247"/>
        <v>1502</v>
      </c>
    </row>
    <row r="656" spans="1:20" ht="15.75" customHeight="1" thickBot="1" x14ac:dyDescent="0.35">
      <c r="A656" s="71" t="s">
        <v>660</v>
      </c>
      <c r="B656" s="1"/>
      <c r="C656" s="1"/>
      <c r="D656" s="1"/>
      <c r="E656" s="55">
        <f>SUM(B656:D656)</f>
        <v>0</v>
      </c>
      <c r="F656" s="1"/>
      <c r="G656" s="1"/>
      <c r="H656" s="1"/>
      <c r="I656" s="55">
        <f>SUM(F656:H656)</f>
        <v>0</v>
      </c>
      <c r="J656" s="1"/>
      <c r="K656" s="1"/>
      <c r="L656" s="1"/>
      <c r="M656" s="55">
        <f>SUM(J656:L656)</f>
        <v>0</v>
      </c>
      <c r="N656" s="1"/>
      <c r="O656" s="1"/>
      <c r="P656" s="1"/>
      <c r="Q656" s="55">
        <f>SUM(N656:P656)</f>
        <v>0</v>
      </c>
      <c r="R656" s="55">
        <f>+E656+I656+M656+Q656</f>
        <v>0</v>
      </c>
      <c r="T656" s="4" t="s">
        <v>988</v>
      </c>
    </row>
    <row r="657" spans="1:20" ht="16.5" customHeight="1" thickBot="1" x14ac:dyDescent="0.35">
      <c r="A657" s="114" t="s">
        <v>63</v>
      </c>
      <c r="B657" s="86">
        <f>SUM(B647:B656)</f>
        <v>500</v>
      </c>
      <c r="C657" s="87">
        <f>SUM(C647:C656)</f>
        <v>500</v>
      </c>
      <c r="D657" s="87">
        <f>SUM(D647:D656)</f>
        <v>0</v>
      </c>
      <c r="E657" s="59">
        <f>SUM(B657:D657)</f>
        <v>1000</v>
      </c>
      <c r="F657" s="87">
        <f>SUM(F647:F656)</f>
        <v>0</v>
      </c>
      <c r="G657" s="87">
        <f>SUM(G647:G656)</f>
        <v>0</v>
      </c>
      <c r="H657" s="87">
        <f>SUM(H647:H656)</f>
        <v>0</v>
      </c>
      <c r="I657" s="59">
        <f>SUM(F657:H657)</f>
        <v>0</v>
      </c>
      <c r="J657" s="87">
        <f>SUM(J647:J656)</f>
        <v>0</v>
      </c>
      <c r="K657" s="87">
        <f>SUM(K647:K656)</f>
        <v>0</v>
      </c>
      <c r="L657" s="87">
        <f>SUM(L647:L656)</f>
        <v>866</v>
      </c>
      <c r="M657" s="59">
        <f>SUM(J657:L657)</f>
        <v>866</v>
      </c>
      <c r="N657" s="87">
        <f>SUM(N647:N656)</f>
        <v>546</v>
      </c>
      <c r="O657" s="87">
        <f>SUM(O647:O656)</f>
        <v>90</v>
      </c>
      <c r="P657" s="87">
        <f>SUM(P647:P656)</f>
        <v>805</v>
      </c>
      <c r="Q657" s="59">
        <f>SUM(N657:P657)</f>
        <v>1441</v>
      </c>
      <c r="R657" s="59">
        <f>+E657+I657+M657+Q657</f>
        <v>3307</v>
      </c>
    </row>
    <row r="658" spans="1:20" ht="15.75" customHeight="1" x14ac:dyDescent="0.3">
      <c r="A658" s="15" t="s">
        <v>64</v>
      </c>
      <c r="B658" s="1"/>
      <c r="C658" s="1"/>
      <c r="D658" s="1"/>
      <c r="E658" s="55" t="s">
        <v>7</v>
      </c>
      <c r="F658" s="1"/>
      <c r="G658" s="1"/>
      <c r="H658" s="1"/>
      <c r="I658" s="55" t="s">
        <v>7</v>
      </c>
      <c r="J658" s="1"/>
      <c r="K658" s="1"/>
      <c r="L658" s="1"/>
      <c r="M658" s="55" t="s">
        <v>7</v>
      </c>
      <c r="N658" s="1"/>
      <c r="O658" s="1"/>
      <c r="P658" s="1"/>
      <c r="Q658" s="55" t="s">
        <v>7</v>
      </c>
      <c r="R658" s="55" t="s">
        <v>7</v>
      </c>
    </row>
    <row r="659" spans="1:20" ht="15.75" customHeight="1" x14ac:dyDescent="0.3">
      <c r="A659" s="15" t="s">
        <v>594</v>
      </c>
      <c r="B659" s="1"/>
      <c r="C659" s="1"/>
      <c r="D659" s="1"/>
      <c r="E659" s="55" t="s">
        <v>7</v>
      </c>
      <c r="F659" s="1"/>
      <c r="G659" s="1"/>
      <c r="H659" s="1"/>
      <c r="I659" s="55" t="s">
        <v>7</v>
      </c>
      <c r="J659" s="1"/>
      <c r="K659" s="1"/>
      <c r="L659" s="1"/>
      <c r="M659" s="55" t="s">
        <v>7</v>
      </c>
      <c r="N659" s="1"/>
      <c r="O659" s="1"/>
      <c r="P659" s="1"/>
      <c r="Q659" s="55" t="s">
        <v>7</v>
      </c>
      <c r="R659" s="55" t="s">
        <v>7</v>
      </c>
    </row>
    <row r="660" spans="1:20" ht="15.75" customHeight="1" x14ac:dyDescent="0.3">
      <c r="A660" s="71" t="s">
        <v>1331</v>
      </c>
      <c r="B660" s="1"/>
      <c r="C660" s="1"/>
      <c r="D660" s="1"/>
      <c r="E660" s="55">
        <f>SUM(B660:D660)</f>
        <v>0</v>
      </c>
      <c r="F660" s="1"/>
      <c r="G660" s="1"/>
      <c r="H660" s="1"/>
      <c r="I660" s="55">
        <f>SUM(F660:H660)</f>
        <v>0</v>
      </c>
      <c r="J660" s="1"/>
      <c r="K660" s="1"/>
      <c r="L660" s="1"/>
      <c r="M660" s="55">
        <f>SUM(J660:L660)</f>
        <v>0</v>
      </c>
      <c r="N660" s="1"/>
      <c r="O660" s="1"/>
      <c r="P660" s="1"/>
      <c r="Q660" s="55">
        <f>SUM(N660:P660)</f>
        <v>0</v>
      </c>
      <c r="R660" s="55">
        <f>+E660+I660+M660+Q660</f>
        <v>0</v>
      </c>
      <c r="T660" s="4" t="s">
        <v>988</v>
      </c>
    </row>
    <row r="661" spans="1:20" ht="15.75" customHeight="1" x14ac:dyDescent="0.3">
      <c r="A661" s="71" t="s">
        <v>327</v>
      </c>
      <c r="B661" s="1"/>
      <c r="C661" s="1"/>
      <c r="D661" s="1"/>
      <c r="E661" s="55">
        <f>SUM(B661:D661)</f>
        <v>0</v>
      </c>
      <c r="F661" s="1"/>
      <c r="G661" s="1"/>
      <c r="H661" s="1"/>
      <c r="I661" s="55">
        <f>SUM(F661:H661)</f>
        <v>0</v>
      </c>
      <c r="J661" s="1"/>
      <c r="K661" s="1"/>
      <c r="L661" s="1"/>
      <c r="M661" s="55">
        <f>SUM(J661:L661)</f>
        <v>0</v>
      </c>
      <c r="N661" s="1"/>
      <c r="O661" s="1"/>
      <c r="P661" s="1"/>
      <c r="Q661" s="55">
        <f>SUM(N661:P661)</f>
        <v>0</v>
      </c>
      <c r="R661" s="55">
        <f>+E661+I661+M661+Q661</f>
        <v>0</v>
      </c>
      <c r="T661" s="4" t="s">
        <v>988</v>
      </c>
    </row>
    <row r="662" spans="1:20" ht="15.75" customHeight="1" x14ac:dyDescent="0.3">
      <c r="A662" s="15" t="s">
        <v>67</v>
      </c>
      <c r="B662" s="1"/>
      <c r="C662" s="1"/>
      <c r="D662" s="1"/>
      <c r="E662" s="55" t="s">
        <v>7</v>
      </c>
      <c r="F662" s="1"/>
      <c r="G662" s="1"/>
      <c r="H662" s="1"/>
      <c r="I662" s="55" t="s">
        <v>7</v>
      </c>
      <c r="J662" s="1"/>
      <c r="K662" s="1"/>
      <c r="L662" s="1"/>
      <c r="M662" s="55" t="s">
        <v>7</v>
      </c>
      <c r="N662" s="1"/>
      <c r="O662" s="1"/>
      <c r="P662" s="1"/>
      <c r="Q662" s="55" t="s">
        <v>7</v>
      </c>
      <c r="R662" s="55" t="s">
        <v>7</v>
      </c>
    </row>
    <row r="663" spans="1:20" ht="15.75" customHeight="1" x14ac:dyDescent="0.3">
      <c r="A663" s="71" t="s">
        <v>992</v>
      </c>
      <c r="B663" s="1"/>
      <c r="C663" s="1"/>
      <c r="D663" s="1"/>
      <c r="E663" s="55">
        <f>SUM(B663:D663)</f>
        <v>0</v>
      </c>
      <c r="F663" s="1"/>
      <c r="G663" s="1"/>
      <c r="H663" s="1"/>
      <c r="I663" s="55">
        <f>SUM(F663:H663)</f>
        <v>0</v>
      </c>
      <c r="J663" s="1"/>
      <c r="K663" s="1"/>
      <c r="L663" s="1"/>
      <c r="M663" s="55">
        <f>SUM(J663:L663)</f>
        <v>0</v>
      </c>
      <c r="N663" s="1"/>
      <c r="O663" s="1"/>
      <c r="P663" s="1"/>
      <c r="Q663" s="55">
        <f>SUM(N663:P663)</f>
        <v>0</v>
      </c>
      <c r="R663" s="55">
        <f>+E663+I663+M663+Q663</f>
        <v>0</v>
      </c>
    </row>
    <row r="664" spans="1:20" ht="15.75" customHeight="1" x14ac:dyDescent="0.3">
      <c r="A664" s="71" t="s">
        <v>768</v>
      </c>
      <c r="B664" s="1"/>
      <c r="C664" s="1"/>
      <c r="D664" s="1"/>
      <c r="E664" s="55">
        <f>SUM(B664:D664)</f>
        <v>0</v>
      </c>
      <c r="F664" s="1"/>
      <c r="G664" s="1"/>
      <c r="H664" s="1"/>
      <c r="I664" s="55">
        <f>SUM(F664:H664)</f>
        <v>0</v>
      </c>
      <c r="J664" s="1"/>
      <c r="K664" s="1"/>
      <c r="L664" s="1"/>
      <c r="M664" s="55">
        <f>SUM(J664:L664)</f>
        <v>0</v>
      </c>
      <c r="N664" s="1"/>
      <c r="O664" s="1"/>
      <c r="P664" s="1"/>
      <c r="Q664" s="55">
        <f>SUM(N664:P664)</f>
        <v>0</v>
      </c>
      <c r="R664" s="55">
        <f>+E664+I664+M664+Q664</f>
        <v>0</v>
      </c>
    </row>
    <row r="665" spans="1:20" ht="15.75" customHeight="1" x14ac:dyDescent="0.3">
      <c r="A665" s="71" t="s">
        <v>769</v>
      </c>
      <c r="B665" s="1"/>
      <c r="C665" s="1"/>
      <c r="D665" s="1"/>
      <c r="E665" s="55">
        <f>SUM(B665:D665)</f>
        <v>0</v>
      </c>
      <c r="F665" s="1"/>
      <c r="G665" s="1"/>
      <c r="H665" s="1"/>
      <c r="I665" s="55">
        <f>SUM(F665:H665)</f>
        <v>0</v>
      </c>
      <c r="J665" s="1"/>
      <c r="K665" s="1"/>
      <c r="L665" s="1"/>
      <c r="M665" s="55">
        <f>SUM(J665:L665)</f>
        <v>0</v>
      </c>
      <c r="N665" s="1"/>
      <c r="O665" s="1"/>
      <c r="P665" s="1"/>
      <c r="Q665" s="55">
        <f>SUM(N665:P665)</f>
        <v>0</v>
      </c>
      <c r="R665" s="55">
        <f>+E665+I665+M665+Q665</f>
        <v>0</v>
      </c>
      <c r="T665" s="4" t="s">
        <v>988</v>
      </c>
    </row>
    <row r="666" spans="1:20" ht="15.75" customHeight="1" x14ac:dyDescent="0.3">
      <c r="A666" s="71" t="s">
        <v>770</v>
      </c>
      <c r="B666" s="1"/>
      <c r="C666" s="1"/>
      <c r="D666" s="1"/>
      <c r="E666" s="55">
        <f>SUM(B666:D666)</f>
        <v>0</v>
      </c>
      <c r="F666" s="1"/>
      <c r="G666" s="1"/>
      <c r="H666" s="1"/>
      <c r="I666" s="55">
        <f>SUM(F666:H666)</f>
        <v>0</v>
      </c>
      <c r="J666" s="1"/>
      <c r="K666" s="1"/>
      <c r="L666" s="1"/>
      <c r="M666" s="55">
        <f>SUM(J666:L666)</f>
        <v>0</v>
      </c>
      <c r="N666" s="1"/>
      <c r="O666" s="1"/>
      <c r="P666" s="1"/>
      <c r="Q666" s="55">
        <f>SUM(N666:P666)</f>
        <v>0</v>
      </c>
      <c r="R666" s="55">
        <f>+E666+I666+M666+Q666</f>
        <v>0</v>
      </c>
      <c r="T666" s="4" t="s">
        <v>988</v>
      </c>
    </row>
    <row r="667" spans="1:20" ht="15.75" customHeight="1" x14ac:dyDescent="0.3">
      <c r="A667" s="15" t="s">
        <v>600</v>
      </c>
      <c r="B667" s="1"/>
      <c r="C667" s="1"/>
      <c r="D667" s="1"/>
      <c r="E667" s="55" t="s">
        <v>7</v>
      </c>
      <c r="F667" s="1"/>
      <c r="G667" s="1"/>
      <c r="H667" s="1"/>
      <c r="I667" s="55" t="s">
        <v>7</v>
      </c>
      <c r="J667" s="1"/>
      <c r="K667" s="1"/>
      <c r="L667" s="1"/>
      <c r="M667" s="55" t="s">
        <v>7</v>
      </c>
      <c r="N667" s="1"/>
      <c r="O667" s="1"/>
      <c r="P667" s="1"/>
      <c r="Q667" s="55" t="s">
        <v>7</v>
      </c>
      <c r="R667" s="55" t="s">
        <v>7</v>
      </c>
    </row>
    <row r="668" spans="1:20" ht="15.75" customHeight="1" x14ac:dyDescent="0.3">
      <c r="A668" s="71" t="s">
        <v>1332</v>
      </c>
      <c r="B668" s="1"/>
      <c r="C668" s="1"/>
      <c r="D668" s="1"/>
      <c r="E668" s="55">
        <f>SUM(B668:D668)</f>
        <v>0</v>
      </c>
      <c r="F668" s="1"/>
      <c r="G668" s="1"/>
      <c r="H668" s="1"/>
      <c r="I668" s="55">
        <f>SUM(F668:H668)</f>
        <v>0</v>
      </c>
      <c r="J668" s="1"/>
      <c r="K668" s="1"/>
      <c r="L668" s="1"/>
      <c r="M668" s="55">
        <f>SUM(J668:L668)</f>
        <v>0</v>
      </c>
      <c r="N668" s="1"/>
      <c r="O668" s="1"/>
      <c r="P668" s="1"/>
      <c r="Q668" s="55">
        <f>SUM(N668:P668)</f>
        <v>0</v>
      </c>
      <c r="R668" s="55">
        <f>+E668+I668+M668+Q668</f>
        <v>0</v>
      </c>
    </row>
    <row r="669" spans="1:20" ht="15.75" customHeight="1" x14ac:dyDescent="0.3">
      <c r="A669" s="71" t="s">
        <v>1333</v>
      </c>
      <c r="B669" s="1"/>
      <c r="C669" s="1"/>
      <c r="D669" s="1"/>
      <c r="E669" s="55">
        <f>SUM(B669:D669)</f>
        <v>0</v>
      </c>
      <c r="F669" s="1"/>
      <c r="G669" s="1"/>
      <c r="H669" s="1"/>
      <c r="I669" s="55">
        <f>SUM(F669:H669)</f>
        <v>0</v>
      </c>
      <c r="J669" s="1"/>
      <c r="K669" s="1"/>
      <c r="L669" s="1"/>
      <c r="M669" s="55">
        <f>SUM(J669:L669)</f>
        <v>0</v>
      </c>
      <c r="N669" s="1"/>
      <c r="O669" s="1"/>
      <c r="P669" s="1"/>
      <c r="Q669" s="55">
        <f>SUM(N669:P669)</f>
        <v>0</v>
      </c>
      <c r="R669" s="55">
        <f>+E669+I669+M669+Q669</f>
        <v>0</v>
      </c>
    </row>
    <row r="670" spans="1:20" ht="15.75" customHeight="1" x14ac:dyDescent="0.3">
      <c r="A670" s="15" t="s">
        <v>70</v>
      </c>
      <c r="B670" s="1"/>
      <c r="C670" s="1"/>
      <c r="D670" s="1"/>
      <c r="E670" s="55" t="s">
        <v>7</v>
      </c>
      <c r="F670" s="1"/>
      <c r="G670" s="1"/>
      <c r="H670" s="1"/>
      <c r="I670" s="55" t="s">
        <v>7</v>
      </c>
      <c r="J670" s="1"/>
      <c r="K670" s="1"/>
      <c r="L670" s="1"/>
      <c r="M670" s="55" t="s">
        <v>7</v>
      </c>
      <c r="N670" s="1"/>
      <c r="O670" s="1"/>
      <c r="P670" s="1"/>
      <c r="Q670" s="55" t="s">
        <v>7</v>
      </c>
      <c r="R670" s="55" t="s">
        <v>7</v>
      </c>
    </row>
    <row r="671" spans="1:20" ht="15.75" customHeight="1" x14ac:dyDescent="0.3">
      <c r="A671" s="71" t="s">
        <v>993</v>
      </c>
      <c r="B671" s="1"/>
      <c r="C671" s="1"/>
      <c r="D671" s="1"/>
      <c r="E671" s="55">
        <f t="shared" ref="E671:E673" si="250">SUM(B671:D671)</f>
        <v>0</v>
      </c>
      <c r="F671" s="1"/>
      <c r="G671" s="1"/>
      <c r="H671" s="1"/>
      <c r="I671" s="55">
        <f t="shared" ref="I671:I673" si="251">SUM(F671:H671)</f>
        <v>0</v>
      </c>
      <c r="J671" s="1"/>
      <c r="K671" s="1"/>
      <c r="L671" s="1"/>
      <c r="M671" s="55">
        <f t="shared" ref="M671:M673" si="252">SUM(J671:L671)</f>
        <v>0</v>
      </c>
      <c r="N671" s="1"/>
      <c r="O671" s="1"/>
      <c r="P671" s="1"/>
      <c r="Q671" s="55">
        <f t="shared" ref="Q671:Q677" si="253">SUM(N671:P671)</f>
        <v>0</v>
      </c>
      <c r="R671" s="55">
        <f t="shared" ref="R671:R677" si="254">+E671+I671+M671+Q671</f>
        <v>0</v>
      </c>
    </row>
    <row r="672" spans="1:20" ht="15.75" customHeight="1" x14ac:dyDescent="0.3">
      <c r="A672" s="71" t="s">
        <v>1334</v>
      </c>
      <c r="B672" s="1"/>
      <c r="C672" s="1"/>
      <c r="D672" s="1"/>
      <c r="E672" s="55">
        <f t="shared" ref="E672" si="255">SUM(B672:D672)</f>
        <v>0</v>
      </c>
      <c r="F672" s="1"/>
      <c r="G672" s="1"/>
      <c r="H672" s="1"/>
      <c r="I672" s="55">
        <f t="shared" ref="I672" si="256">SUM(F672:H672)</f>
        <v>0</v>
      </c>
      <c r="J672" s="1"/>
      <c r="K672" s="1"/>
      <c r="L672" s="1"/>
      <c r="M672" s="55">
        <f t="shared" ref="M672" si="257">SUM(J672:L672)</f>
        <v>0</v>
      </c>
      <c r="N672" s="1"/>
      <c r="O672" s="1"/>
      <c r="P672" s="1"/>
      <c r="Q672" s="55">
        <f t="shared" ref="Q672" si="258">SUM(N672:P672)</f>
        <v>0</v>
      </c>
      <c r="R672" s="55">
        <f t="shared" si="254"/>
        <v>0</v>
      </c>
    </row>
    <row r="673" spans="1:18" ht="15.75" customHeight="1" thickBot="1" x14ac:dyDescent="0.35">
      <c r="A673" s="71" t="s">
        <v>771</v>
      </c>
      <c r="B673" s="1"/>
      <c r="C673" s="1"/>
      <c r="D673" s="1"/>
      <c r="E673" s="55">
        <f t="shared" si="250"/>
        <v>0</v>
      </c>
      <c r="F673" s="1"/>
      <c r="G673" s="1"/>
      <c r="H673" s="1"/>
      <c r="I673" s="55">
        <f t="shared" si="251"/>
        <v>0</v>
      </c>
      <c r="J673" s="1"/>
      <c r="K673" s="1"/>
      <c r="L673" s="1"/>
      <c r="M673" s="55">
        <f t="shared" si="252"/>
        <v>0</v>
      </c>
      <c r="N673" s="1"/>
      <c r="O673" s="1"/>
      <c r="P673" s="1"/>
      <c r="Q673" s="55">
        <f t="shared" si="253"/>
        <v>0</v>
      </c>
      <c r="R673" s="55">
        <f t="shared" si="254"/>
        <v>0</v>
      </c>
    </row>
    <row r="674" spans="1:18" ht="16.5" customHeight="1" thickBot="1" x14ac:dyDescent="0.35">
      <c r="A674" s="57" t="s">
        <v>71</v>
      </c>
      <c r="B674" s="146">
        <f>SUM(B667:B673)</f>
        <v>0</v>
      </c>
      <c r="C674" s="146">
        <f>SUM(C667:C673)</f>
        <v>0</v>
      </c>
      <c r="D674" s="146">
        <f>SUM(D667:D673)</f>
        <v>0</v>
      </c>
      <c r="E674" s="60">
        <f t="shared" ref="E674:E677" si="259">SUM(B674:D674)</f>
        <v>0</v>
      </c>
      <c r="F674" s="146">
        <f>SUM(F667:F673)</f>
        <v>0</v>
      </c>
      <c r="G674" s="146">
        <f>SUM(G667:G673)</f>
        <v>0</v>
      </c>
      <c r="H674" s="146">
        <f>SUM(H667:H673)</f>
        <v>0</v>
      </c>
      <c r="I674" s="60">
        <f t="shared" ref="I674:I677" si="260">SUM(F674:H674)</f>
        <v>0</v>
      </c>
      <c r="J674" s="146">
        <f>SUM(J667:J673)</f>
        <v>0</v>
      </c>
      <c r="K674" s="146">
        <f>SUM(K667:K673)</f>
        <v>0</v>
      </c>
      <c r="L674" s="146">
        <f>SUM(L667:L673)</f>
        <v>0</v>
      </c>
      <c r="M674" s="60">
        <f t="shared" ref="M674:M677" si="261">SUM(J674:L674)</f>
        <v>0</v>
      </c>
      <c r="N674" s="146">
        <f>SUM(N667:N673)</f>
        <v>0</v>
      </c>
      <c r="O674" s="146">
        <f>SUM(O667:O673)</f>
        <v>0</v>
      </c>
      <c r="P674" s="146">
        <f>SUM(P667:P673)</f>
        <v>0</v>
      </c>
      <c r="Q674" s="60">
        <f t="shared" si="253"/>
        <v>0</v>
      </c>
      <c r="R674" s="59">
        <f t="shared" si="254"/>
        <v>0</v>
      </c>
    </row>
    <row r="675" spans="1:18" ht="16.5" customHeight="1" thickBot="1" x14ac:dyDescent="0.35">
      <c r="A675" s="114" t="s">
        <v>72</v>
      </c>
      <c r="B675" s="86">
        <f>SUM(B658:B673)</f>
        <v>0</v>
      </c>
      <c r="C675" s="87">
        <f>SUM(C658:C673)</f>
        <v>0</v>
      </c>
      <c r="D675" s="118">
        <f>SUM(D658:D673)</f>
        <v>0</v>
      </c>
      <c r="E675" s="60">
        <f t="shared" si="259"/>
        <v>0</v>
      </c>
      <c r="F675" s="86">
        <f>SUM(F658:F673)</f>
        <v>0</v>
      </c>
      <c r="G675" s="87">
        <f>SUM(G658:G673)</f>
        <v>0</v>
      </c>
      <c r="H675" s="118">
        <f>SUM(H658:H673)</f>
        <v>0</v>
      </c>
      <c r="I675" s="60">
        <f t="shared" si="260"/>
        <v>0</v>
      </c>
      <c r="J675" s="86">
        <f>SUM(J658:J673)</f>
        <v>0</v>
      </c>
      <c r="K675" s="87">
        <f>SUM(K658:K673)</f>
        <v>0</v>
      </c>
      <c r="L675" s="118">
        <f>SUM(L658:L673)</f>
        <v>0</v>
      </c>
      <c r="M675" s="60">
        <f t="shared" si="261"/>
        <v>0</v>
      </c>
      <c r="N675" s="86">
        <f>SUM(N658:N673)</f>
        <v>0</v>
      </c>
      <c r="O675" s="87">
        <f>SUM(O658:O673)</f>
        <v>0</v>
      </c>
      <c r="P675" s="118">
        <f>SUM(P658:P673)</f>
        <v>0</v>
      </c>
      <c r="Q675" s="60">
        <f t="shared" si="253"/>
        <v>0</v>
      </c>
      <c r="R675" s="59">
        <f t="shared" si="254"/>
        <v>0</v>
      </c>
    </row>
    <row r="676" spans="1:18" ht="16.5" customHeight="1" thickBot="1" x14ac:dyDescent="0.35">
      <c r="A676" s="57" t="s">
        <v>73</v>
      </c>
      <c r="B676" s="148">
        <f>+B640+B646+B657+B675</f>
        <v>2613</v>
      </c>
      <c r="C676" s="149">
        <f>+C640+C646+C657+C675</f>
        <v>4592</v>
      </c>
      <c r="D676" s="149">
        <f>+D640+D646+D657+D675</f>
        <v>5558</v>
      </c>
      <c r="E676" s="59">
        <f t="shared" si="259"/>
        <v>12763</v>
      </c>
      <c r="F676" s="58">
        <f>+F640+F646+F657+F675</f>
        <v>5112</v>
      </c>
      <c r="G676" s="58">
        <f>+G640+G646+G657+G675</f>
        <v>3514</v>
      </c>
      <c r="H676" s="58">
        <f>+H640+H646+H657+H675</f>
        <v>6810</v>
      </c>
      <c r="I676" s="59">
        <f t="shared" si="260"/>
        <v>15436</v>
      </c>
      <c r="J676" s="58">
        <f>+J640+J646+J657+J675</f>
        <v>4868</v>
      </c>
      <c r="K676" s="58">
        <f>+K640+K646+K657+K675</f>
        <v>4129</v>
      </c>
      <c r="L676" s="58">
        <f>+L640+L646+L657+L675</f>
        <v>6231</v>
      </c>
      <c r="M676" s="59">
        <f t="shared" si="261"/>
        <v>15228</v>
      </c>
      <c r="N676" s="58">
        <f>+N640+N646+N657+N675</f>
        <v>2703</v>
      </c>
      <c r="O676" s="58">
        <f>+O640+O646+O657+O675</f>
        <v>90</v>
      </c>
      <c r="P676" s="58">
        <f>+P640+P646+P657+P675</f>
        <v>4320</v>
      </c>
      <c r="Q676" s="59">
        <f t="shared" si="253"/>
        <v>7113</v>
      </c>
      <c r="R676" s="81">
        <f t="shared" si="254"/>
        <v>50540</v>
      </c>
    </row>
    <row r="677" spans="1:18" ht="16.5" customHeight="1" thickBot="1" x14ac:dyDescent="0.35">
      <c r="A677" s="39" t="s">
        <v>40</v>
      </c>
      <c r="B677" s="21">
        <v>17</v>
      </c>
      <c r="C677" s="21">
        <v>47</v>
      </c>
      <c r="D677" s="21">
        <v>84</v>
      </c>
      <c r="E677" s="55">
        <f t="shared" si="259"/>
        <v>148</v>
      </c>
      <c r="F677" s="21">
        <v>116</v>
      </c>
      <c r="G677" s="21">
        <v>132</v>
      </c>
      <c r="H677" s="21">
        <v>138</v>
      </c>
      <c r="I677" s="55">
        <f t="shared" si="260"/>
        <v>386</v>
      </c>
      <c r="J677" s="21">
        <v>126</v>
      </c>
      <c r="K677" s="21">
        <v>95</v>
      </c>
      <c r="L677" s="21">
        <v>99</v>
      </c>
      <c r="M677" s="55">
        <f t="shared" si="261"/>
        <v>320</v>
      </c>
      <c r="N677" s="21">
        <v>91</v>
      </c>
      <c r="O677" s="21">
        <v>67</v>
      </c>
      <c r="P677" s="21">
        <v>38</v>
      </c>
      <c r="Q677" s="55">
        <f t="shared" si="253"/>
        <v>196</v>
      </c>
      <c r="R677" s="55">
        <f t="shared" si="254"/>
        <v>1050</v>
      </c>
    </row>
    <row r="678" spans="1:18" ht="16.5" customHeight="1" thickBot="1" x14ac:dyDescent="0.35">
      <c r="A678" s="41"/>
      <c r="B678" s="36"/>
      <c r="C678" s="36"/>
      <c r="D678" s="36"/>
      <c r="E678" s="42"/>
      <c r="F678" s="36"/>
      <c r="G678" s="36"/>
      <c r="H678" s="36"/>
      <c r="I678" s="42"/>
      <c r="J678" s="36"/>
      <c r="K678" s="36"/>
      <c r="L678" s="36"/>
      <c r="M678" s="42"/>
      <c r="N678" s="36"/>
      <c r="O678" s="36"/>
      <c r="P678" s="36"/>
      <c r="Q678" s="42"/>
      <c r="R678" s="42"/>
    </row>
    <row r="679" spans="1:18" ht="15.75" customHeight="1" x14ac:dyDescent="0.3">
      <c r="A679" s="76" t="s">
        <v>314</v>
      </c>
      <c r="B679" s="77">
        <f>SUM(B676:B677)</f>
        <v>2630</v>
      </c>
      <c r="C679" s="77">
        <f>SUM(C676:C677)</f>
        <v>4639</v>
      </c>
      <c r="D679" s="77">
        <f>SUM(D676:D677)</f>
        <v>5642</v>
      </c>
      <c r="E679" s="60">
        <f>SUM(B679:D679)</f>
        <v>12911</v>
      </c>
      <c r="F679" s="77">
        <f>SUM(F676:F677)</f>
        <v>5228</v>
      </c>
      <c r="G679" s="77">
        <f>SUM(G676:G677)</f>
        <v>3646</v>
      </c>
      <c r="H679" s="77">
        <f>SUM(H676:H677)</f>
        <v>6948</v>
      </c>
      <c r="I679" s="60">
        <f>SUM(F679:H679)</f>
        <v>15822</v>
      </c>
      <c r="J679" s="77">
        <f>SUM(J676:J677)</f>
        <v>4994</v>
      </c>
      <c r="K679" s="77">
        <f>SUM(K676:K677)</f>
        <v>4224</v>
      </c>
      <c r="L679" s="77">
        <f>SUM(L676:L677)</f>
        <v>6330</v>
      </c>
      <c r="M679" s="60">
        <f>SUM(J679:L679)</f>
        <v>15548</v>
      </c>
      <c r="N679" s="77">
        <f>SUM(N676:N677)</f>
        <v>2794</v>
      </c>
      <c r="O679" s="77">
        <f>SUM(O676:O677)</f>
        <v>157</v>
      </c>
      <c r="P679" s="77">
        <f>SUM(P676:P677)</f>
        <v>4358</v>
      </c>
      <c r="Q679" s="60">
        <f>SUM(N679:P679)</f>
        <v>7309</v>
      </c>
      <c r="R679" s="60">
        <f>+E679+I679+M679+Q679</f>
        <v>51590</v>
      </c>
    </row>
    <row r="680" spans="1:18" ht="15.75" customHeight="1" x14ac:dyDescent="0.3">
      <c r="A680" s="79" t="s">
        <v>42</v>
      </c>
      <c r="B680" s="1">
        <f>(B679/B10)/1.983</f>
        <v>42.783010427342084</v>
      </c>
      <c r="C680" s="1">
        <f>(C679/C10)/1.983</f>
        <v>83.54945609105971</v>
      </c>
      <c r="D680" s="1">
        <f>(D679/D10)/1.983</f>
        <v>91.780131114473022</v>
      </c>
      <c r="E680" s="55" t="s">
        <v>7</v>
      </c>
      <c r="F680" s="1">
        <f>(F679/F10)/1.983</f>
        <v>87.880316019499077</v>
      </c>
      <c r="G680" s="1">
        <f>(G679/G10)/1.983</f>
        <v>59.31059164185902</v>
      </c>
      <c r="H680" s="1">
        <f>(H679/H10)/1.983</f>
        <v>116.79273827534038</v>
      </c>
      <c r="I680" s="55" t="s">
        <v>7</v>
      </c>
      <c r="J680" s="1">
        <f>(J679/J10)/1.983</f>
        <v>81.238917898914963</v>
      </c>
      <c r="K680" s="1">
        <f>(K679/K10)/1.983</f>
        <v>68.713093553267285</v>
      </c>
      <c r="L680" s="1">
        <f>(L679/L10)/1.983</f>
        <v>106.40443772062531</v>
      </c>
      <c r="M680" s="55" t="s">
        <v>7</v>
      </c>
      <c r="N680" s="1">
        <f>(N679/N10)/1.983</f>
        <v>45.450848339921585</v>
      </c>
      <c r="O680" s="1">
        <f>(O679/O10)/1.983</f>
        <v>2.6390990082366783</v>
      </c>
      <c r="P680" s="1">
        <f>(P679/P10)/1.983</f>
        <v>70.892912335496888</v>
      </c>
      <c r="Q680" s="55" t="s">
        <v>7</v>
      </c>
      <c r="R680" s="55" t="s">
        <v>7</v>
      </c>
    </row>
    <row r="681" spans="1:18" ht="15.75" customHeight="1" x14ac:dyDescent="0.3">
      <c r="A681" s="79" t="s">
        <v>332</v>
      </c>
      <c r="B681" s="1">
        <f>B679+B691</f>
        <v>11511</v>
      </c>
      <c r="C681" s="1">
        <f>C679+C691</f>
        <v>18131</v>
      </c>
      <c r="D681" s="1">
        <f>D679+D691</f>
        <v>25777</v>
      </c>
      <c r="E681" s="55">
        <f>SUM(B681:D681)</f>
        <v>55419</v>
      </c>
      <c r="F681" s="1">
        <f>F679+F691</f>
        <v>28951</v>
      </c>
      <c r="G681" s="1">
        <f>G679+G691</f>
        <v>28966</v>
      </c>
      <c r="H681" s="1">
        <f>H679+H691</f>
        <v>30653</v>
      </c>
      <c r="I681" s="55">
        <f>SUM(F681:H681)</f>
        <v>88570</v>
      </c>
      <c r="J681" s="1">
        <f>J679+J691</f>
        <v>26718</v>
      </c>
      <c r="K681" s="1">
        <f>K679+K691</f>
        <v>25246</v>
      </c>
      <c r="L681" s="1">
        <f>L679+L691</f>
        <v>22277</v>
      </c>
      <c r="M681" s="55">
        <f>SUM(J681:L681)</f>
        <v>74241</v>
      </c>
      <c r="N681" s="1">
        <f>N679+N691</f>
        <v>13923</v>
      </c>
      <c r="O681" s="1">
        <f>O679+O691</f>
        <v>744</v>
      </c>
      <c r="P681" s="1">
        <f>P679+P691</f>
        <v>19169</v>
      </c>
      <c r="Q681" s="55">
        <f>SUM(N681:P681)</f>
        <v>33836</v>
      </c>
      <c r="R681" s="55">
        <f>+E681+I681+M681+Q681</f>
        <v>252066</v>
      </c>
    </row>
    <row r="682" spans="1:18" ht="16.5" customHeight="1" thickBot="1" x14ac:dyDescent="0.35">
      <c r="A682" s="80" t="s">
        <v>333</v>
      </c>
      <c r="B682" s="25">
        <f>(B681/B10)/1.983</f>
        <v>187.25294031526033</v>
      </c>
      <c r="C682" s="25">
        <f>(C681/C10)/1.983</f>
        <v>326.54347669476266</v>
      </c>
      <c r="D682" s="25">
        <f>(D681/D10)/1.983</f>
        <v>419.32230410098742</v>
      </c>
      <c r="E682" s="81" t="s">
        <v>7</v>
      </c>
      <c r="F682" s="25">
        <f>(F681/F10)/1.983</f>
        <v>486.6532190284081</v>
      </c>
      <c r="G682" s="25">
        <f>(G681/G10)/1.983</f>
        <v>471.19873765718279</v>
      </c>
      <c r="H682" s="25">
        <f>(H681/H10)/1.983</f>
        <v>515.26306942343251</v>
      </c>
      <c r="I682" s="81" t="s">
        <v>7</v>
      </c>
      <c r="J682" s="25">
        <f>(J681/J10)/1.983</f>
        <v>434.62983748962955</v>
      </c>
      <c r="K682" s="25">
        <f>(K681/K10)/1.983</f>
        <v>410.68436549379402</v>
      </c>
      <c r="L682" s="25">
        <f>(L681/L10)/1.983</f>
        <v>374.46629685661458</v>
      </c>
      <c r="M682" s="81" t="s">
        <v>7</v>
      </c>
      <c r="N682" s="25">
        <f>(N681/N10)/1.983</f>
        <v>226.4896783953931</v>
      </c>
      <c r="O682" s="25">
        <f>(O681/O10)/1.983</f>
        <v>12.506303580433686</v>
      </c>
      <c r="P682" s="25">
        <f>(P681/P10)/1.983</f>
        <v>311.8279569892473</v>
      </c>
      <c r="Q682" s="81" t="s">
        <v>7</v>
      </c>
      <c r="R682" s="81" t="s">
        <v>7</v>
      </c>
    </row>
    <row r="683" spans="1:18" ht="15.75" customHeight="1" x14ac:dyDescent="0.3">
      <c r="A683" s="2"/>
      <c r="B683" s="1"/>
      <c r="C683" s="1"/>
      <c r="D683" s="1"/>
      <c r="E683" s="1"/>
      <c r="F683" s="1"/>
      <c r="G683" s="1"/>
      <c r="H683" s="1"/>
      <c r="I683" s="1"/>
      <c r="J683" s="1"/>
      <c r="K683" s="1"/>
      <c r="L683" s="1"/>
      <c r="M683" s="1"/>
      <c r="N683" s="1"/>
      <c r="O683" s="1"/>
      <c r="P683" s="1"/>
      <c r="Q683" s="1"/>
      <c r="R683" s="2"/>
    </row>
    <row r="684" spans="1:18" ht="16.5" customHeight="1" thickBot="1" x14ac:dyDescent="0.35">
      <c r="A684" s="106"/>
      <c r="B684" s="21"/>
      <c r="C684" s="21"/>
      <c r="D684" s="21"/>
      <c r="E684" s="21"/>
      <c r="F684" s="21"/>
      <c r="G684" s="21"/>
      <c r="H684" s="21"/>
      <c r="I684" s="21"/>
      <c r="J684" s="21"/>
      <c r="K684" s="21"/>
      <c r="L684" s="21"/>
      <c r="M684" s="21"/>
      <c r="N684" s="21"/>
      <c r="O684" s="21"/>
      <c r="P684" s="21"/>
      <c r="Q684" s="21"/>
      <c r="R684" s="106"/>
    </row>
    <row r="685" spans="1:18" ht="16.5" customHeight="1" thickBot="1" x14ac:dyDescent="0.35">
      <c r="A685" s="124" t="s">
        <v>334</v>
      </c>
      <c r="B685" s="30" t="s">
        <v>8</v>
      </c>
      <c r="C685" s="31" t="s">
        <v>9</v>
      </c>
      <c r="D685" s="31" t="s">
        <v>10</v>
      </c>
      <c r="E685" s="32" t="s">
        <v>11</v>
      </c>
      <c r="F685" s="31" t="s">
        <v>12</v>
      </c>
      <c r="G685" s="31" t="s">
        <v>13</v>
      </c>
      <c r="H685" s="31" t="s">
        <v>14</v>
      </c>
      <c r="I685" s="33" t="s">
        <v>15</v>
      </c>
      <c r="J685" s="31" t="s">
        <v>16</v>
      </c>
      <c r="K685" s="31" t="s">
        <v>17</v>
      </c>
      <c r="L685" s="31" t="s">
        <v>18</v>
      </c>
      <c r="M685" s="33" t="s">
        <v>19</v>
      </c>
      <c r="N685" s="31" t="s">
        <v>20</v>
      </c>
      <c r="O685" s="31" t="s">
        <v>21</v>
      </c>
      <c r="P685" s="31" t="s">
        <v>22</v>
      </c>
      <c r="Q685" s="32" t="s">
        <v>23</v>
      </c>
      <c r="R685" s="49" t="s">
        <v>24</v>
      </c>
    </row>
    <row r="686" spans="1:18" ht="16.5" customHeight="1" thickBot="1" x14ac:dyDescent="0.35">
      <c r="A686" s="41"/>
      <c r="B686" s="36"/>
      <c r="C686" s="36"/>
      <c r="D686" s="36"/>
      <c r="E686" s="37"/>
      <c r="F686" s="36"/>
      <c r="G686" s="36"/>
      <c r="H686" s="36"/>
      <c r="I686" s="37"/>
      <c r="J686" s="36"/>
      <c r="K686" s="36"/>
      <c r="L686" s="36"/>
      <c r="M686" s="37"/>
      <c r="N686" s="36"/>
      <c r="O686" s="36"/>
      <c r="P686" s="36"/>
      <c r="Q686" s="127"/>
      <c r="R686" s="128"/>
    </row>
    <row r="687" spans="1:18" ht="16.5" customHeight="1" thickBot="1" x14ac:dyDescent="0.35">
      <c r="A687" s="39" t="s">
        <v>40</v>
      </c>
      <c r="B687" s="21">
        <v>20</v>
      </c>
      <c r="C687" s="21">
        <v>22</v>
      </c>
      <c r="D687" s="21">
        <v>28</v>
      </c>
      <c r="E687" s="55">
        <f>SUM(B687:D687)</f>
        <v>70</v>
      </c>
      <c r="F687" s="21">
        <v>37</v>
      </c>
      <c r="G687" s="21">
        <v>42</v>
      </c>
      <c r="H687" s="21">
        <v>44</v>
      </c>
      <c r="I687" s="55">
        <f>SUM(F687:H687)</f>
        <v>123</v>
      </c>
      <c r="J687" s="21">
        <v>39</v>
      </c>
      <c r="K687" s="21">
        <v>36</v>
      </c>
      <c r="L687" s="21">
        <v>34</v>
      </c>
      <c r="M687" s="55">
        <f>SUM(J687:L687)</f>
        <v>109</v>
      </c>
      <c r="N687" s="21">
        <v>29</v>
      </c>
      <c r="O687" s="21">
        <v>23</v>
      </c>
      <c r="P687" s="21">
        <v>19</v>
      </c>
      <c r="Q687" s="55">
        <f>SUM(N687:P687)</f>
        <v>71</v>
      </c>
      <c r="R687" s="55">
        <f>+E687+I687+M687+Q687</f>
        <v>373</v>
      </c>
    </row>
    <row r="688" spans="1:18" ht="16.5" customHeight="1" thickBot="1" x14ac:dyDescent="0.35">
      <c r="A688" s="41"/>
      <c r="B688" s="36"/>
      <c r="C688" s="36"/>
      <c r="D688" s="36"/>
      <c r="E688" s="52"/>
      <c r="F688" s="36"/>
      <c r="G688" s="36"/>
      <c r="H688" s="36"/>
      <c r="I688" s="52"/>
      <c r="J688" s="36"/>
      <c r="K688" s="36"/>
      <c r="L688" s="36"/>
      <c r="M688" s="52"/>
      <c r="N688" s="36"/>
      <c r="O688" s="36"/>
      <c r="P688" s="36"/>
      <c r="Q688" s="52"/>
      <c r="R688" s="42"/>
    </row>
    <row r="689" spans="1:18" ht="15.75" customHeight="1" x14ac:dyDescent="0.3">
      <c r="A689" s="76" t="s">
        <v>314</v>
      </c>
      <c r="B689" s="77">
        <f>B687</f>
        <v>20</v>
      </c>
      <c r="C689" s="77">
        <f>C687</f>
        <v>22</v>
      </c>
      <c r="D689" s="77">
        <f>D687</f>
        <v>28</v>
      </c>
      <c r="E689" s="60">
        <f>SUM(B689:D689)</f>
        <v>70</v>
      </c>
      <c r="F689" s="77">
        <f>F687</f>
        <v>37</v>
      </c>
      <c r="G689" s="77">
        <f>G687</f>
        <v>42</v>
      </c>
      <c r="H689" s="77">
        <f>H687</f>
        <v>44</v>
      </c>
      <c r="I689" s="60">
        <f>SUM(F689:H689)</f>
        <v>123</v>
      </c>
      <c r="J689" s="77">
        <f>J687</f>
        <v>39</v>
      </c>
      <c r="K689" s="77">
        <f>K687</f>
        <v>36</v>
      </c>
      <c r="L689" s="77">
        <f>L687</f>
        <v>34</v>
      </c>
      <c r="M689" s="60">
        <f>SUM(J689:L689)</f>
        <v>109</v>
      </c>
      <c r="N689" s="77">
        <f>N687</f>
        <v>29</v>
      </c>
      <c r="O689" s="77">
        <f>O687</f>
        <v>23</v>
      </c>
      <c r="P689" s="77">
        <f>P687</f>
        <v>19</v>
      </c>
      <c r="Q689" s="60">
        <f>SUM(N689:P689)</f>
        <v>71</v>
      </c>
      <c r="R689" s="60">
        <f>+E689+I689+M689+Q689</f>
        <v>373</v>
      </c>
    </row>
    <row r="690" spans="1:18" ht="15.75" customHeight="1" x14ac:dyDescent="0.3">
      <c r="A690" s="79" t="s">
        <v>42</v>
      </c>
      <c r="B690" s="1">
        <f>(B689/B10)/1.983</f>
        <v>0.32534608689993977</v>
      </c>
      <c r="C690" s="1">
        <f>(C689/C10)/1.983</f>
        <v>0.39622505583171236</v>
      </c>
      <c r="D690" s="1">
        <f>(D689/D10)/1.983</f>
        <v>0.45548452165991571</v>
      </c>
      <c r="E690" s="55" t="s">
        <v>7</v>
      </c>
      <c r="F690" s="1">
        <f>(F689/F10)/1.983</f>
        <v>0.62195326945705165</v>
      </c>
      <c r="G690" s="1">
        <f>(G689/G10)/1.983</f>
        <v>0.68322678248987356</v>
      </c>
      <c r="H690" s="1">
        <f>(H689/H10)/1.983</f>
        <v>0.73962010421919644</v>
      </c>
      <c r="I690" s="55" t="s">
        <v>7</v>
      </c>
      <c r="J690" s="1">
        <f>(J689/J10)/1.983</f>
        <v>0.63442486945488263</v>
      </c>
      <c r="K690" s="1">
        <f>(K689/K10)/1.983</f>
        <v>0.5856229564198917</v>
      </c>
      <c r="L690" s="1">
        <f>(L689/L10)/1.983</f>
        <v>0.57152462598756093</v>
      </c>
      <c r="M690" s="55" t="s">
        <v>7</v>
      </c>
      <c r="N690" s="1">
        <f>(N689/N10)/1.983</f>
        <v>0.47175182600491267</v>
      </c>
      <c r="O690" s="1">
        <f>(O689/O10)/1.983</f>
        <v>0.38661959993276179</v>
      </c>
      <c r="P690" s="1">
        <f>(P689/P10)/1.983</f>
        <v>0.30907878255494281</v>
      </c>
      <c r="Q690" s="55" t="s">
        <v>7</v>
      </c>
      <c r="R690" s="55" t="s">
        <v>7</v>
      </c>
    </row>
    <row r="691" spans="1:18" ht="15.75" customHeight="1" x14ac:dyDescent="0.3">
      <c r="A691" s="79" t="s">
        <v>335</v>
      </c>
      <c r="B691" s="1">
        <f>B689+B727</f>
        <v>8881</v>
      </c>
      <c r="C691" s="1">
        <f>C689+C727</f>
        <v>13492</v>
      </c>
      <c r="D691" s="1">
        <f>D689+D727</f>
        <v>20135</v>
      </c>
      <c r="E691" s="55">
        <f>SUM(B691:D691)</f>
        <v>42508</v>
      </c>
      <c r="F691" s="1">
        <f>F689+F727</f>
        <v>23723</v>
      </c>
      <c r="G691" s="1">
        <f>G689+G727</f>
        <v>25320</v>
      </c>
      <c r="H691" s="1">
        <f>H689+H727</f>
        <v>23705</v>
      </c>
      <c r="I691" s="55">
        <f>SUM(F691:H691)</f>
        <v>72748</v>
      </c>
      <c r="J691" s="1">
        <f>J689+J727</f>
        <v>21724</v>
      </c>
      <c r="K691" s="1">
        <f>K689+K727</f>
        <v>21022</v>
      </c>
      <c r="L691" s="1">
        <f>L689+L727</f>
        <v>15947</v>
      </c>
      <c r="M691" s="55">
        <f>SUM(J691:L691)</f>
        <v>58693</v>
      </c>
      <c r="N691" s="1">
        <f>N689+N727</f>
        <v>11129</v>
      </c>
      <c r="O691" s="1">
        <f>O689+O727</f>
        <v>587</v>
      </c>
      <c r="P691" s="1">
        <f>P689+P727</f>
        <v>14811</v>
      </c>
      <c r="Q691" s="55">
        <f>SUM(N691:P691)</f>
        <v>26527</v>
      </c>
      <c r="R691" s="55">
        <f>+E691+I691+M691+Q691</f>
        <v>200476</v>
      </c>
    </row>
    <row r="692" spans="1:18" ht="16.5" customHeight="1" thickBot="1" x14ac:dyDescent="0.35">
      <c r="A692" s="80" t="s">
        <v>336</v>
      </c>
      <c r="B692" s="25">
        <f>(B691/B10)/1.983</f>
        <v>144.46992988791828</v>
      </c>
      <c r="C692" s="25">
        <f>(C691/C10)/1.983</f>
        <v>242.99402060370289</v>
      </c>
      <c r="D692" s="25">
        <f>(D691/D10)/1.983</f>
        <v>327.5421729865144</v>
      </c>
      <c r="E692" s="81" t="s">
        <v>7</v>
      </c>
      <c r="F692" s="25">
        <f>(F691/F10)/1.983</f>
        <v>398.77290300890905</v>
      </c>
      <c r="G692" s="25">
        <f>(G691/G10)/1.983</f>
        <v>411.88814601532374</v>
      </c>
      <c r="H692" s="25">
        <f>(H691/H10)/1.983</f>
        <v>398.4703311480921</v>
      </c>
      <c r="I692" s="81" t="s">
        <v>7</v>
      </c>
      <c r="J692" s="25">
        <f>(J691/J10)/1.983</f>
        <v>353.39091959071459</v>
      </c>
      <c r="K692" s="25">
        <f>(K691/K10)/1.983</f>
        <v>341.97127194052672</v>
      </c>
      <c r="L692" s="25">
        <f>(L691/L10)/1.983</f>
        <v>268.06185913598927</v>
      </c>
      <c r="M692" s="81" t="s">
        <v>7</v>
      </c>
      <c r="N692" s="25">
        <f>(N691/N10)/1.983</f>
        <v>181.03883005547149</v>
      </c>
      <c r="O692" s="25">
        <f>(O691/O10)/1.983</f>
        <v>9.8672045721970072</v>
      </c>
      <c r="P692" s="25">
        <f>(P691/P10)/1.983</f>
        <v>240.9350446537504</v>
      </c>
      <c r="Q692" s="81" t="s">
        <v>7</v>
      </c>
      <c r="R692" s="81" t="s">
        <v>7</v>
      </c>
    </row>
    <row r="693" spans="1:18" ht="15.75" customHeight="1" x14ac:dyDescent="0.3">
      <c r="A693" s="28"/>
      <c r="B693" s="1"/>
      <c r="C693" s="1"/>
      <c r="D693" s="1"/>
      <c r="E693" s="1"/>
      <c r="F693" s="1"/>
      <c r="G693" s="1"/>
      <c r="H693" s="1"/>
      <c r="I693" s="1"/>
      <c r="J693" s="1"/>
      <c r="K693" s="1"/>
      <c r="L693" s="1"/>
      <c r="M693" s="1"/>
      <c r="N693" s="1"/>
      <c r="O693" s="1"/>
      <c r="P693" s="1"/>
      <c r="Q693" s="1"/>
      <c r="R693" s="2"/>
    </row>
    <row r="694" spans="1:18" ht="15.75" customHeight="1" thickBot="1" x14ac:dyDescent="0.35">
      <c r="A694" s="28"/>
      <c r="B694" s="1"/>
      <c r="C694" s="1"/>
      <c r="D694" s="1"/>
      <c r="E694" s="1"/>
      <c r="F694" s="1"/>
      <c r="G694" s="1"/>
      <c r="H694" s="1"/>
      <c r="I694" s="1"/>
      <c r="J694" s="1"/>
      <c r="K694" s="1"/>
      <c r="L694" s="1"/>
      <c r="M694" s="1"/>
      <c r="N694" s="1"/>
      <c r="O694" s="1"/>
      <c r="P694" s="1"/>
      <c r="Q694" s="1"/>
      <c r="R694" s="2"/>
    </row>
    <row r="695" spans="1:18" ht="16.5" customHeight="1" thickBot="1" x14ac:dyDescent="0.35">
      <c r="A695" s="29" t="s">
        <v>337</v>
      </c>
      <c r="B695" s="30" t="s">
        <v>8</v>
      </c>
      <c r="C695" s="31" t="s">
        <v>9</v>
      </c>
      <c r="D695" s="31" t="s">
        <v>10</v>
      </c>
      <c r="E695" s="32" t="s">
        <v>11</v>
      </c>
      <c r="F695" s="31" t="s">
        <v>12</v>
      </c>
      <c r="G695" s="31" t="s">
        <v>13</v>
      </c>
      <c r="H695" s="31" t="s">
        <v>14</v>
      </c>
      <c r="I695" s="33" t="s">
        <v>15</v>
      </c>
      <c r="J695" s="31" t="s">
        <v>16</v>
      </c>
      <c r="K695" s="31" t="s">
        <v>17</v>
      </c>
      <c r="L695" s="31" t="s">
        <v>18</v>
      </c>
      <c r="M695" s="33" t="s">
        <v>19</v>
      </c>
      <c r="N695" s="31" t="s">
        <v>20</v>
      </c>
      <c r="O695" s="31" t="s">
        <v>21</v>
      </c>
      <c r="P695" s="31" t="s">
        <v>22</v>
      </c>
      <c r="Q695" s="33" t="s">
        <v>23</v>
      </c>
      <c r="R695" s="34" t="s">
        <v>24</v>
      </c>
    </row>
    <row r="696" spans="1:18" ht="16.5" customHeight="1" thickBot="1" x14ac:dyDescent="0.35">
      <c r="A696" s="41"/>
      <c r="B696" s="36"/>
      <c r="C696" s="36"/>
      <c r="D696" s="36"/>
      <c r="E696" s="52"/>
      <c r="F696" s="36"/>
      <c r="G696" s="36"/>
      <c r="H696" s="36"/>
      <c r="I696" s="52"/>
      <c r="J696" s="36"/>
      <c r="K696" s="36"/>
      <c r="L696" s="36"/>
      <c r="M696" s="52"/>
      <c r="N696" s="36"/>
      <c r="O696" s="36"/>
      <c r="P696" s="36"/>
      <c r="Q696" s="52"/>
      <c r="R696" s="38"/>
    </row>
    <row r="697" spans="1:18" ht="15.75" customHeight="1" x14ac:dyDescent="0.3">
      <c r="A697" s="15" t="s">
        <v>48</v>
      </c>
      <c r="B697" s="1" t="s">
        <v>7</v>
      </c>
      <c r="C697" s="1" t="s">
        <v>7</v>
      </c>
      <c r="D697" s="1" t="s">
        <v>7</v>
      </c>
      <c r="E697" s="55" t="s">
        <v>7</v>
      </c>
      <c r="F697" s="1" t="s">
        <v>7</v>
      </c>
      <c r="G697" s="1" t="s">
        <v>7</v>
      </c>
      <c r="H697" s="1" t="s">
        <v>7</v>
      </c>
      <c r="I697" s="55" t="s">
        <v>7</v>
      </c>
      <c r="J697" s="1" t="s">
        <v>7</v>
      </c>
      <c r="K697" s="1" t="s">
        <v>7</v>
      </c>
      <c r="L697" s="1" t="s">
        <v>7</v>
      </c>
      <c r="M697" s="55" t="s">
        <v>7</v>
      </c>
      <c r="N697" s="1" t="s">
        <v>7</v>
      </c>
      <c r="O697" s="1" t="s">
        <v>7</v>
      </c>
      <c r="P697" s="1" t="s">
        <v>7</v>
      </c>
      <c r="Q697" s="55" t="s">
        <v>7</v>
      </c>
      <c r="R697" s="55" t="s">
        <v>7</v>
      </c>
    </row>
    <row r="698" spans="1:18" ht="15.75" customHeight="1" x14ac:dyDescent="0.3">
      <c r="A698" s="15" t="s">
        <v>49</v>
      </c>
      <c r="B698" s="1"/>
      <c r="C698" s="1"/>
      <c r="D698" s="1"/>
      <c r="E698" s="55" t="s">
        <v>7</v>
      </c>
      <c r="F698" s="1"/>
      <c r="G698" s="1"/>
      <c r="H698" s="1"/>
      <c r="I698" s="55" t="s">
        <v>7</v>
      </c>
      <c r="J698" s="1"/>
      <c r="K698" s="1"/>
      <c r="L698" s="1"/>
      <c r="M698" s="55" t="s">
        <v>7</v>
      </c>
      <c r="N698" s="1"/>
      <c r="O698" s="1"/>
      <c r="P698" s="1"/>
      <c r="Q698" s="55" t="s">
        <v>7</v>
      </c>
      <c r="R698" s="55" t="s">
        <v>7</v>
      </c>
    </row>
    <row r="699" spans="1:18" ht="15.75" customHeight="1" x14ac:dyDescent="0.3">
      <c r="A699" s="71" t="s">
        <v>994</v>
      </c>
      <c r="B699" s="1">
        <f>823+167</f>
        <v>990</v>
      </c>
      <c r="C699" s="1">
        <f>936+137</f>
        <v>1073</v>
      </c>
      <c r="D699" s="1">
        <f>229+3</f>
        <v>232</v>
      </c>
      <c r="E699" s="55">
        <f>SUM(B699:D699)</f>
        <v>2295</v>
      </c>
      <c r="F699" s="1">
        <f>1136+329</f>
        <v>1465</v>
      </c>
      <c r="G699" s="1">
        <f>980+191</f>
        <v>1171</v>
      </c>
      <c r="H699" s="1">
        <f>947+322</f>
        <v>1269</v>
      </c>
      <c r="I699" s="55">
        <f>SUM(F699:H699)</f>
        <v>3905</v>
      </c>
      <c r="J699" s="1">
        <f>51+176</f>
        <v>227</v>
      </c>
      <c r="K699" s="1">
        <f>166+133</f>
        <v>299</v>
      </c>
      <c r="L699" s="1">
        <f>99+3</f>
        <v>102</v>
      </c>
      <c r="M699" s="55">
        <f>SUM(J699:L699)</f>
        <v>628</v>
      </c>
      <c r="N699" s="1">
        <f>599</f>
        <v>599</v>
      </c>
      <c r="O699" s="1">
        <f>237</f>
        <v>237</v>
      </c>
      <c r="P699" s="1">
        <f>160</f>
        <v>160</v>
      </c>
      <c r="Q699" s="55">
        <f>SUM(N699:P699)</f>
        <v>996</v>
      </c>
      <c r="R699" s="55">
        <f>+E699+I699+M699+Q699</f>
        <v>7824</v>
      </c>
    </row>
    <row r="700" spans="1:18" ht="15.75" customHeight="1" x14ac:dyDescent="0.3">
      <c r="A700" s="71" t="s">
        <v>995</v>
      </c>
      <c r="B700" s="1">
        <v>401</v>
      </c>
      <c r="C700" s="1">
        <v>844</v>
      </c>
      <c r="D700" s="1">
        <v>466</v>
      </c>
      <c r="E700" s="55">
        <f>SUM(B700:D700)</f>
        <v>1711</v>
      </c>
      <c r="F700" s="1">
        <v>442</v>
      </c>
      <c r="G700" s="1">
        <v>772</v>
      </c>
      <c r="H700" s="1">
        <v>694</v>
      </c>
      <c r="I700" s="55">
        <f>SUM(F700:H700)</f>
        <v>1908</v>
      </c>
      <c r="J700" s="1">
        <v>557</v>
      </c>
      <c r="K700" s="1">
        <v>656</v>
      </c>
      <c r="L700" s="1">
        <v>155</v>
      </c>
      <c r="M700" s="55">
        <f>SUM(J700:L700)</f>
        <v>1368</v>
      </c>
      <c r="N700" s="1"/>
      <c r="O700" s="1"/>
      <c r="P700" s="1"/>
      <c r="Q700" s="55">
        <f>SUM(N700:P700)</f>
        <v>0</v>
      </c>
      <c r="R700" s="55">
        <f>+E700+I700+M700+Q700</f>
        <v>4987</v>
      </c>
    </row>
    <row r="701" spans="1:18" ht="15.75" customHeight="1" x14ac:dyDescent="0.3">
      <c r="A701" s="71" t="s">
        <v>339</v>
      </c>
      <c r="B701" s="1">
        <v>78</v>
      </c>
      <c r="C701" s="1">
        <v>42</v>
      </c>
      <c r="D701" s="1">
        <v>82</v>
      </c>
      <c r="E701" s="55">
        <f>SUM(B701:D701)</f>
        <v>202</v>
      </c>
      <c r="F701" s="1">
        <v>160</v>
      </c>
      <c r="G701" s="1">
        <v>114</v>
      </c>
      <c r="H701" s="1"/>
      <c r="I701" s="55">
        <f>SUM(F701:H701)</f>
        <v>274</v>
      </c>
      <c r="J701" s="1"/>
      <c r="K701" s="1"/>
      <c r="L701" s="1"/>
      <c r="M701" s="55">
        <f>SUM(J701:L701)</f>
        <v>0</v>
      </c>
      <c r="N701" s="1"/>
      <c r="O701" s="1"/>
      <c r="P701" s="1"/>
      <c r="Q701" s="55">
        <f>SUM(N701:P701)</f>
        <v>0</v>
      </c>
      <c r="R701" s="55">
        <f>+E701+I701+M701+Q701</f>
        <v>476</v>
      </c>
    </row>
    <row r="702" spans="1:18" ht="15.75" customHeight="1" x14ac:dyDescent="0.3">
      <c r="A702" s="15" t="s">
        <v>50</v>
      </c>
      <c r="B702" s="1"/>
      <c r="C702" s="1"/>
      <c r="D702" s="1"/>
      <c r="E702" s="55" t="s">
        <v>7</v>
      </c>
      <c r="F702" s="1"/>
      <c r="G702" s="1"/>
      <c r="H702" s="1"/>
      <c r="I702" s="55" t="s">
        <v>7</v>
      </c>
      <c r="J702" s="1"/>
      <c r="K702" s="1"/>
      <c r="L702" s="1"/>
      <c r="M702" s="55" t="s">
        <v>7</v>
      </c>
      <c r="N702" s="1"/>
      <c r="O702" s="1"/>
      <c r="P702" s="1"/>
      <c r="Q702" s="55" t="s">
        <v>7</v>
      </c>
      <c r="R702" s="55" t="s">
        <v>7</v>
      </c>
    </row>
    <row r="703" spans="1:18" ht="15.75" customHeight="1" x14ac:dyDescent="0.3">
      <c r="A703" s="15" t="s">
        <v>1186</v>
      </c>
      <c r="B703" s="1"/>
      <c r="C703" s="1"/>
      <c r="D703" s="1"/>
      <c r="E703" s="55" t="s">
        <v>7</v>
      </c>
      <c r="F703" s="1"/>
      <c r="G703" s="1"/>
      <c r="H703" s="1"/>
      <c r="I703" s="55" t="s">
        <v>7</v>
      </c>
      <c r="J703" s="1"/>
      <c r="K703" s="1"/>
      <c r="L703" s="1"/>
      <c r="M703" s="55" t="s">
        <v>7</v>
      </c>
      <c r="N703" s="1"/>
      <c r="O703" s="1"/>
      <c r="P703" s="1"/>
      <c r="Q703" s="55" t="s">
        <v>7</v>
      </c>
      <c r="R703" s="55" t="s">
        <v>7</v>
      </c>
    </row>
    <row r="704" spans="1:18" ht="15.75" customHeight="1" thickBot="1" x14ac:dyDescent="0.35">
      <c r="A704" s="15" t="s">
        <v>53</v>
      </c>
      <c r="B704" s="1"/>
      <c r="C704" s="1"/>
      <c r="D704" s="1"/>
      <c r="E704" s="55" t="s">
        <v>7</v>
      </c>
      <c r="F704" s="1"/>
      <c r="G704" s="1"/>
      <c r="H704" s="1"/>
      <c r="I704" s="55" t="s">
        <v>7</v>
      </c>
      <c r="J704" s="1"/>
      <c r="K704" s="1"/>
      <c r="L704" s="1"/>
      <c r="M704" s="55" t="s">
        <v>7</v>
      </c>
      <c r="N704" s="1"/>
      <c r="O704" s="1"/>
      <c r="P704" s="1"/>
      <c r="Q704" s="55" t="s">
        <v>7</v>
      </c>
      <c r="R704" s="55" t="s">
        <v>7</v>
      </c>
    </row>
    <row r="705" spans="1:18" ht="16.5" customHeight="1" thickBot="1" x14ac:dyDescent="0.35">
      <c r="A705" s="109" t="s">
        <v>54</v>
      </c>
      <c r="B705" s="86">
        <f>SUM(B697:B704)</f>
        <v>1469</v>
      </c>
      <c r="C705" s="87">
        <f>SUM(C697:C704)</f>
        <v>1959</v>
      </c>
      <c r="D705" s="87">
        <f>SUM(D697:D704)</f>
        <v>780</v>
      </c>
      <c r="E705" s="59">
        <f>SUM(B705:D705)</f>
        <v>4208</v>
      </c>
      <c r="F705" s="87">
        <f>SUM(F697:F704)</f>
        <v>2067</v>
      </c>
      <c r="G705" s="87">
        <f>SUM(G697:G704)</f>
        <v>2057</v>
      </c>
      <c r="H705" s="87">
        <f>SUM(H697:H704)</f>
        <v>1963</v>
      </c>
      <c r="I705" s="59">
        <f>SUM(F705:H705)</f>
        <v>6087</v>
      </c>
      <c r="J705" s="87">
        <f>SUM(J697:J704)</f>
        <v>784</v>
      </c>
      <c r="K705" s="87">
        <f>SUM(K697:K704)</f>
        <v>955</v>
      </c>
      <c r="L705" s="87">
        <f>SUM(L697:L704)</f>
        <v>257</v>
      </c>
      <c r="M705" s="59">
        <f>SUM(J705:L705)</f>
        <v>1996</v>
      </c>
      <c r="N705" s="87">
        <f>SUM(N697:N704)</f>
        <v>599</v>
      </c>
      <c r="O705" s="87">
        <f>SUM(O697:O704)</f>
        <v>237</v>
      </c>
      <c r="P705" s="87">
        <f>SUM(P697:P704)</f>
        <v>160</v>
      </c>
      <c r="Q705" s="59">
        <f>SUM(N705:P705)</f>
        <v>996</v>
      </c>
      <c r="R705" s="59">
        <f>+E705+I705+M705+Q705</f>
        <v>13287</v>
      </c>
    </row>
    <row r="706" spans="1:18" ht="15.75" customHeight="1" x14ac:dyDescent="0.3">
      <c r="A706" s="15" t="s">
        <v>55</v>
      </c>
      <c r="B706" s="1"/>
      <c r="C706" s="1"/>
      <c r="D706" s="1"/>
      <c r="E706" s="55" t="s">
        <v>7</v>
      </c>
      <c r="F706" s="1"/>
      <c r="G706" s="1"/>
      <c r="H706" s="1"/>
      <c r="I706" s="55" t="s">
        <v>7</v>
      </c>
      <c r="J706" s="1"/>
      <c r="K706" s="1"/>
      <c r="L706" s="1"/>
      <c r="M706" s="55" t="s">
        <v>7</v>
      </c>
      <c r="N706" s="1"/>
      <c r="O706" s="1"/>
      <c r="P706" s="1"/>
      <c r="Q706" s="55" t="s">
        <v>7</v>
      </c>
      <c r="R706" s="55" t="s">
        <v>7</v>
      </c>
    </row>
    <row r="707" spans="1:18" ht="15.75" customHeight="1" x14ac:dyDescent="0.3">
      <c r="A707" s="15" t="s">
        <v>57</v>
      </c>
      <c r="B707" s="1"/>
      <c r="C707" s="1"/>
      <c r="D707" s="1"/>
      <c r="E707" s="55" t="s">
        <v>7</v>
      </c>
      <c r="F707" s="1"/>
      <c r="G707" s="1"/>
      <c r="H707" s="1"/>
      <c r="I707" s="55" t="s">
        <v>7</v>
      </c>
      <c r="J707" s="1"/>
      <c r="K707" s="1"/>
      <c r="L707" s="1"/>
      <c r="M707" s="55" t="s">
        <v>7</v>
      </c>
      <c r="N707" s="1"/>
      <c r="O707" s="1"/>
      <c r="P707" s="1"/>
      <c r="Q707" s="55" t="s">
        <v>7</v>
      </c>
      <c r="R707" s="55" t="s">
        <v>7</v>
      </c>
    </row>
    <row r="708" spans="1:18" ht="15.75" customHeight="1" thickBot="1" x14ac:dyDescent="0.35">
      <c r="A708" s="15" t="s">
        <v>58</v>
      </c>
      <c r="B708" s="1"/>
      <c r="C708" s="1"/>
      <c r="D708" s="1"/>
      <c r="E708" s="55" t="s">
        <v>7</v>
      </c>
      <c r="F708" s="1"/>
      <c r="G708" s="1"/>
      <c r="H708" s="1"/>
      <c r="I708" s="55" t="s">
        <v>7</v>
      </c>
      <c r="J708" s="1"/>
      <c r="K708" s="1"/>
      <c r="L708" s="1"/>
      <c r="M708" s="55" t="s">
        <v>7</v>
      </c>
      <c r="N708" s="1"/>
      <c r="O708" s="1"/>
      <c r="P708" s="1"/>
      <c r="Q708" s="55" t="s">
        <v>7</v>
      </c>
      <c r="R708" s="55" t="s">
        <v>7</v>
      </c>
    </row>
    <row r="709" spans="1:18" ht="16.5" customHeight="1" thickBot="1" x14ac:dyDescent="0.35">
      <c r="A709" s="57" t="s">
        <v>59</v>
      </c>
      <c r="B709" s="86">
        <f>SUM(B706:B708)</f>
        <v>0</v>
      </c>
      <c r="C709" s="87">
        <f>SUM(C706:C708)</f>
        <v>0</v>
      </c>
      <c r="D709" s="87">
        <f>SUM(D706:D708)</f>
        <v>0</v>
      </c>
      <c r="E709" s="59">
        <f>SUM(B709:D709)</f>
        <v>0</v>
      </c>
      <c r="F709" s="87">
        <f>SUM(F706:F708)</f>
        <v>0</v>
      </c>
      <c r="G709" s="87">
        <f>SUM(G706:G708)</f>
        <v>0</v>
      </c>
      <c r="H709" s="87">
        <f>SUM(H706:H708)</f>
        <v>0</v>
      </c>
      <c r="I709" s="59">
        <f>SUM(F709:H709)</f>
        <v>0</v>
      </c>
      <c r="J709" s="87">
        <f>SUM(J706:J708)</f>
        <v>0</v>
      </c>
      <c r="K709" s="87">
        <f>SUM(K706:K708)</f>
        <v>0</v>
      </c>
      <c r="L709" s="87">
        <f>SUM(L706:L708)</f>
        <v>0</v>
      </c>
      <c r="M709" s="59">
        <f>SUM(J709:L709)</f>
        <v>0</v>
      </c>
      <c r="N709" s="87">
        <f>SUM(N706:N708)</f>
        <v>0</v>
      </c>
      <c r="O709" s="87">
        <f>SUM(O706:O708)</f>
        <v>0</v>
      </c>
      <c r="P709" s="87">
        <f>SUM(P706:P708)</f>
        <v>0</v>
      </c>
      <c r="Q709" s="59">
        <f>SUM(N709:P709)</f>
        <v>0</v>
      </c>
      <c r="R709" s="59">
        <f>+E709+I709+M709+Q709</f>
        <v>0</v>
      </c>
    </row>
    <row r="710" spans="1:18" ht="15.75" customHeight="1" x14ac:dyDescent="0.3">
      <c r="A710" s="15" t="s">
        <v>60</v>
      </c>
      <c r="B710" s="1"/>
      <c r="C710" s="1"/>
      <c r="D710" s="1"/>
      <c r="E710" s="55" t="s">
        <v>7</v>
      </c>
      <c r="F710" s="1"/>
      <c r="G710" s="1"/>
      <c r="H710" s="1"/>
      <c r="I710" s="55" t="s">
        <v>7</v>
      </c>
      <c r="J710" s="1"/>
      <c r="K710" s="1"/>
      <c r="L710" s="1"/>
      <c r="M710" s="55" t="s">
        <v>7</v>
      </c>
      <c r="N710" s="1"/>
      <c r="O710" s="1"/>
      <c r="P710" s="1"/>
      <c r="Q710" s="55" t="s">
        <v>7</v>
      </c>
      <c r="R710" s="55" t="s">
        <v>7</v>
      </c>
    </row>
    <row r="711" spans="1:18" ht="15.75" customHeight="1" x14ac:dyDescent="0.3">
      <c r="A711" s="15" t="s">
        <v>61</v>
      </c>
      <c r="B711" s="1"/>
      <c r="C711" s="1"/>
      <c r="D711" s="1"/>
      <c r="E711" s="55" t="s">
        <v>7</v>
      </c>
      <c r="F711" s="1"/>
      <c r="G711" s="1"/>
      <c r="H711" s="1"/>
      <c r="I711" s="55" t="s">
        <v>7</v>
      </c>
      <c r="J711" s="1"/>
      <c r="K711" s="1"/>
      <c r="L711" s="1"/>
      <c r="M711" s="55" t="s">
        <v>7</v>
      </c>
      <c r="N711" s="1"/>
      <c r="O711" s="1"/>
      <c r="P711" s="1"/>
      <c r="Q711" s="55" t="s">
        <v>7</v>
      </c>
      <c r="R711" s="55" t="s">
        <v>7</v>
      </c>
    </row>
    <row r="712" spans="1:18" ht="15.75" customHeight="1" thickBot="1" x14ac:dyDescent="0.35">
      <c r="A712" s="15" t="s">
        <v>62</v>
      </c>
      <c r="B712" s="1"/>
      <c r="C712" s="1"/>
      <c r="D712" s="1"/>
      <c r="E712" s="55" t="s">
        <v>7</v>
      </c>
      <c r="F712" s="1"/>
      <c r="G712" s="1"/>
      <c r="H712" s="1"/>
      <c r="I712" s="55" t="s">
        <v>7</v>
      </c>
      <c r="J712" s="1"/>
      <c r="K712" s="1"/>
      <c r="L712" s="1"/>
      <c r="M712" s="55" t="s">
        <v>7</v>
      </c>
      <c r="N712" s="1"/>
      <c r="O712" s="1"/>
      <c r="P712" s="1"/>
      <c r="Q712" s="55" t="s">
        <v>7</v>
      </c>
      <c r="R712" s="55" t="s">
        <v>7</v>
      </c>
    </row>
    <row r="713" spans="1:18" ht="16.5" customHeight="1" thickBot="1" x14ac:dyDescent="0.35">
      <c r="A713" s="114" t="s">
        <v>63</v>
      </c>
      <c r="B713" s="86">
        <f>SUM(B710:B712)</f>
        <v>0</v>
      </c>
      <c r="C713" s="87">
        <f>SUM(C710:C712)</f>
        <v>0</v>
      </c>
      <c r="D713" s="87">
        <f>SUM(D710:D712)</f>
        <v>0</v>
      </c>
      <c r="E713" s="59">
        <f>SUM(B713:D713)</f>
        <v>0</v>
      </c>
      <c r="F713" s="87">
        <f>SUM(F710:F712)</f>
        <v>0</v>
      </c>
      <c r="G713" s="87">
        <f>SUM(G710:G712)</f>
        <v>0</v>
      </c>
      <c r="H713" s="87">
        <f>SUM(H710:H712)</f>
        <v>0</v>
      </c>
      <c r="I713" s="59">
        <f>SUM(F713:H713)</f>
        <v>0</v>
      </c>
      <c r="J713" s="87">
        <f>SUM(J710:J712)</f>
        <v>0</v>
      </c>
      <c r="K713" s="87">
        <f>SUM(K710:K712)</f>
        <v>0</v>
      </c>
      <c r="L713" s="87">
        <f>SUM(L710:L712)</f>
        <v>0</v>
      </c>
      <c r="M713" s="59">
        <f>SUM(J713:L713)</f>
        <v>0</v>
      </c>
      <c r="N713" s="87">
        <f>SUM(N710:N712)</f>
        <v>0</v>
      </c>
      <c r="O713" s="87">
        <f>SUM(O710:O712)</f>
        <v>0</v>
      </c>
      <c r="P713" s="87">
        <f>SUM(P710:P712)</f>
        <v>0</v>
      </c>
      <c r="Q713" s="59">
        <f>SUM(N713:P713)</f>
        <v>0</v>
      </c>
      <c r="R713" s="59">
        <f>+E713+I713+M713+Q713</f>
        <v>0</v>
      </c>
    </row>
    <row r="714" spans="1:18" ht="15.75" customHeight="1" x14ac:dyDescent="0.3">
      <c r="A714" s="15" t="s">
        <v>64</v>
      </c>
      <c r="B714" s="1"/>
      <c r="C714" s="1"/>
      <c r="D714" s="1"/>
      <c r="E714" s="55" t="s">
        <v>7</v>
      </c>
      <c r="F714" s="1"/>
      <c r="G714" s="1"/>
      <c r="H714" s="1"/>
      <c r="I714" s="55" t="s">
        <v>7</v>
      </c>
      <c r="J714" s="1"/>
      <c r="K714" s="1"/>
      <c r="L714" s="1"/>
      <c r="M714" s="55" t="s">
        <v>7</v>
      </c>
      <c r="N714" s="1"/>
      <c r="O714" s="1"/>
      <c r="P714" s="1"/>
      <c r="Q714" s="55" t="s">
        <v>7</v>
      </c>
      <c r="R714" s="55" t="s">
        <v>7</v>
      </c>
    </row>
    <row r="715" spans="1:18" ht="15.75" customHeight="1" x14ac:dyDescent="0.3">
      <c r="A715" s="15" t="s">
        <v>594</v>
      </c>
      <c r="B715" s="1"/>
      <c r="C715" s="1"/>
      <c r="D715" s="1"/>
      <c r="E715" s="55" t="s">
        <v>7</v>
      </c>
      <c r="F715" s="1"/>
      <c r="G715" s="1"/>
      <c r="H715" s="1"/>
      <c r="I715" s="55" t="s">
        <v>7</v>
      </c>
      <c r="J715" s="1"/>
      <c r="K715" s="1"/>
      <c r="L715" s="1"/>
      <c r="M715" s="55" t="s">
        <v>7</v>
      </c>
      <c r="N715" s="1"/>
      <c r="O715" s="1"/>
      <c r="P715" s="1"/>
      <c r="Q715" s="55" t="s">
        <v>7</v>
      </c>
      <c r="R715" s="55" t="s">
        <v>7</v>
      </c>
    </row>
    <row r="716" spans="1:18" ht="15.75" customHeight="1" x14ac:dyDescent="0.3">
      <c r="A716" s="15" t="s">
        <v>67</v>
      </c>
      <c r="B716" s="1"/>
      <c r="C716" s="1"/>
      <c r="D716" s="1"/>
      <c r="E716" s="55" t="s">
        <v>7</v>
      </c>
      <c r="F716" s="1"/>
      <c r="G716" s="1"/>
      <c r="H716" s="1"/>
      <c r="I716" s="55" t="s">
        <v>7</v>
      </c>
      <c r="J716" s="1"/>
      <c r="K716" s="1"/>
      <c r="L716" s="1"/>
      <c r="M716" s="55" t="s">
        <v>7</v>
      </c>
      <c r="N716" s="1"/>
      <c r="O716" s="1"/>
      <c r="P716" s="1"/>
      <c r="Q716" s="55" t="s">
        <v>7</v>
      </c>
      <c r="R716" s="55" t="s">
        <v>7</v>
      </c>
    </row>
    <row r="717" spans="1:18" ht="15.75" customHeight="1" x14ac:dyDescent="0.3">
      <c r="A717" s="71" t="s">
        <v>773</v>
      </c>
      <c r="B717" s="1"/>
      <c r="C717" s="1"/>
      <c r="D717" s="1"/>
      <c r="E717" s="55">
        <f>SUM(B717:D717)</f>
        <v>0</v>
      </c>
      <c r="F717" s="1"/>
      <c r="G717" s="1"/>
      <c r="H717" s="1"/>
      <c r="I717" s="55">
        <f>SUM(F717:H717)</f>
        <v>0</v>
      </c>
      <c r="J717" s="1"/>
      <c r="K717" s="1"/>
      <c r="L717" s="1"/>
      <c r="M717" s="55">
        <f>SUM(J717:L717)</f>
        <v>0</v>
      </c>
      <c r="N717" s="1"/>
      <c r="O717" s="1"/>
      <c r="P717" s="1"/>
      <c r="Q717" s="55">
        <f>SUM(N717:P717)</f>
        <v>0</v>
      </c>
      <c r="R717" s="55">
        <f>+E717+I717+M717+Q717</f>
        <v>0</v>
      </c>
    </row>
    <row r="718" spans="1:18" ht="15.75" customHeight="1" x14ac:dyDescent="0.3">
      <c r="A718" s="15" t="s">
        <v>600</v>
      </c>
      <c r="B718" s="1"/>
      <c r="C718" s="1"/>
      <c r="D718" s="1"/>
      <c r="E718" s="55" t="s">
        <v>7</v>
      </c>
      <c r="F718" s="1"/>
      <c r="G718" s="1"/>
      <c r="H718" s="1"/>
      <c r="I718" s="55" t="s">
        <v>7</v>
      </c>
      <c r="J718" s="1"/>
      <c r="K718" s="1"/>
      <c r="L718" s="1"/>
      <c r="M718" s="55" t="s">
        <v>7</v>
      </c>
      <c r="N718" s="1"/>
      <c r="O718" s="1"/>
      <c r="P718" s="1"/>
      <c r="Q718" s="55" t="s">
        <v>7</v>
      </c>
      <c r="R718" s="55" t="s">
        <v>7</v>
      </c>
    </row>
    <row r="719" spans="1:18" ht="15.75" customHeight="1" thickBot="1" x14ac:dyDescent="0.35">
      <c r="A719" s="15" t="s">
        <v>70</v>
      </c>
      <c r="B719" s="1"/>
      <c r="C719" s="1"/>
      <c r="D719" s="1"/>
      <c r="E719" s="55" t="s">
        <v>7</v>
      </c>
      <c r="F719" s="1"/>
      <c r="G719" s="1"/>
      <c r="H719" s="1"/>
      <c r="I719" s="55" t="s">
        <v>7</v>
      </c>
      <c r="J719" s="1"/>
      <c r="K719" s="1"/>
      <c r="L719" s="1"/>
      <c r="M719" s="55" t="s">
        <v>7</v>
      </c>
      <c r="N719" s="1"/>
      <c r="O719" s="1"/>
      <c r="P719" s="1"/>
      <c r="Q719" s="55" t="s">
        <v>7</v>
      </c>
      <c r="R719" s="55" t="s">
        <v>7</v>
      </c>
    </row>
    <row r="720" spans="1:18" ht="16.5" customHeight="1" thickBot="1" x14ac:dyDescent="0.35">
      <c r="A720" s="57" t="s">
        <v>71</v>
      </c>
      <c r="B720" s="58">
        <f>SUM(B718:B719)</f>
        <v>0</v>
      </c>
      <c r="C720" s="58">
        <f>SUM(C718:C719)</f>
        <v>0</v>
      </c>
      <c r="D720" s="58">
        <f>SUM(D718:D719)</f>
        <v>0</v>
      </c>
      <c r="E720" s="60">
        <f>SUM(B720:D720)</f>
        <v>0</v>
      </c>
      <c r="F720" s="58">
        <f>SUM(F718:F719)</f>
        <v>0</v>
      </c>
      <c r="G720" s="58">
        <f>SUM(G718:G719)</f>
        <v>0</v>
      </c>
      <c r="H720" s="58">
        <f>SUM(H718:H719)</f>
        <v>0</v>
      </c>
      <c r="I720" s="60">
        <f>SUM(F720:H720)</f>
        <v>0</v>
      </c>
      <c r="J720" s="58">
        <f>SUM(J718:J719)</f>
        <v>0</v>
      </c>
      <c r="K720" s="58">
        <f>SUM(K718:K719)</f>
        <v>0</v>
      </c>
      <c r="L720" s="58">
        <f>SUM(L718:L719)</f>
        <v>0</v>
      </c>
      <c r="M720" s="60">
        <f>SUM(J720:L720)</f>
        <v>0</v>
      </c>
      <c r="N720" s="58">
        <f>SUM(N718:N719)</f>
        <v>0</v>
      </c>
      <c r="O720" s="58">
        <f>SUM(O718:O719)</f>
        <v>0</v>
      </c>
      <c r="P720" s="58">
        <f>SUM(P718:P719)</f>
        <v>0</v>
      </c>
      <c r="Q720" s="60">
        <f>SUM(N720:P720)</f>
        <v>0</v>
      </c>
      <c r="R720" s="59">
        <f>+E720+I720+M720+Q720</f>
        <v>0</v>
      </c>
    </row>
    <row r="721" spans="1:18" ht="16.5" customHeight="1" thickBot="1" x14ac:dyDescent="0.35">
      <c r="A721" s="114" t="s">
        <v>72</v>
      </c>
      <c r="B721" s="86">
        <f>SUM(B714:B719)</f>
        <v>0</v>
      </c>
      <c r="C721" s="87">
        <f>SUM(C714:C719)</f>
        <v>0</v>
      </c>
      <c r="D721" s="118">
        <f>SUM(D714:D719)</f>
        <v>0</v>
      </c>
      <c r="E721" s="60">
        <f>SUM(B721:D721)</f>
        <v>0</v>
      </c>
      <c r="F721" s="87">
        <f>SUM(F714:F719)</f>
        <v>0</v>
      </c>
      <c r="G721" s="87">
        <f>SUM(G714:G719)</f>
        <v>0</v>
      </c>
      <c r="H721" s="87">
        <f>SUM(H714:H719)</f>
        <v>0</v>
      </c>
      <c r="I721" s="60">
        <f>SUM(F721:H721)</f>
        <v>0</v>
      </c>
      <c r="J721" s="87">
        <f>SUM(J714:J719)</f>
        <v>0</v>
      </c>
      <c r="K721" s="87">
        <f>SUM(K714:K719)</f>
        <v>0</v>
      </c>
      <c r="L721" s="87">
        <f>SUM(L714:L719)</f>
        <v>0</v>
      </c>
      <c r="M721" s="60">
        <f>SUM(J721:L721)</f>
        <v>0</v>
      </c>
      <c r="N721" s="87">
        <f>SUM(N714:N719)</f>
        <v>0</v>
      </c>
      <c r="O721" s="87">
        <f>SUM(O714:O719)</f>
        <v>0</v>
      </c>
      <c r="P721" s="87">
        <f>SUM(P714:P719)</f>
        <v>0</v>
      </c>
      <c r="Q721" s="60">
        <f>SUM(N721:P721)</f>
        <v>0</v>
      </c>
      <c r="R721" s="59">
        <f>+E721+I721+M721+Q721</f>
        <v>0</v>
      </c>
    </row>
    <row r="722" spans="1:18" ht="16.5" customHeight="1" thickBot="1" x14ac:dyDescent="0.35">
      <c r="A722" s="57" t="s">
        <v>73</v>
      </c>
      <c r="B722" s="90">
        <f>+B705+B709+B713+B721</f>
        <v>1469</v>
      </c>
      <c r="C722" s="58">
        <f>+C705+C709+C713+C721</f>
        <v>1959</v>
      </c>
      <c r="D722" s="58">
        <f>+D705+D709+D713+D721</f>
        <v>780</v>
      </c>
      <c r="E722" s="59">
        <f>SUM(B722:D722)</f>
        <v>4208</v>
      </c>
      <c r="F722" s="58">
        <f>+F705+F709+F713+F721</f>
        <v>2067</v>
      </c>
      <c r="G722" s="58">
        <f>+G705+G709+G713+G721</f>
        <v>2057</v>
      </c>
      <c r="H722" s="58">
        <f>+H705+H709+H713+H721</f>
        <v>1963</v>
      </c>
      <c r="I722" s="59">
        <f>SUM(F722:H722)</f>
        <v>6087</v>
      </c>
      <c r="J722" s="58">
        <f>+J705+J709+J713+J721</f>
        <v>784</v>
      </c>
      <c r="K722" s="58">
        <f>+K705+K709+K713+K721</f>
        <v>955</v>
      </c>
      <c r="L722" s="58">
        <f>+L705+L709+L713+L721</f>
        <v>257</v>
      </c>
      <c r="M722" s="59">
        <f>SUM(J722:L722)</f>
        <v>1996</v>
      </c>
      <c r="N722" s="58">
        <f>+N705+N709+N713+N721</f>
        <v>599</v>
      </c>
      <c r="O722" s="58">
        <f>+O705+O709+O713+O721</f>
        <v>237</v>
      </c>
      <c r="P722" s="58">
        <f>+P705+P709+P713+P721</f>
        <v>160</v>
      </c>
      <c r="Q722" s="59">
        <f>SUM(N722:P722)</f>
        <v>996</v>
      </c>
      <c r="R722" s="81">
        <f>+E722+I722+M722+Q722</f>
        <v>13287</v>
      </c>
    </row>
    <row r="723" spans="1:18" ht="16.5" customHeight="1" thickBot="1" x14ac:dyDescent="0.35">
      <c r="A723" s="39" t="s">
        <v>40</v>
      </c>
      <c r="B723" s="21">
        <v>10</v>
      </c>
      <c r="C723" s="21">
        <v>11</v>
      </c>
      <c r="D723" s="21">
        <v>14</v>
      </c>
      <c r="E723" s="55">
        <f>SUM(B723:D723)</f>
        <v>35</v>
      </c>
      <c r="F723" s="21">
        <v>18</v>
      </c>
      <c r="G723" s="21">
        <v>21</v>
      </c>
      <c r="H723" s="21">
        <v>22</v>
      </c>
      <c r="I723" s="55">
        <f>SUM(F723:H723)</f>
        <v>61</v>
      </c>
      <c r="J723" s="21">
        <v>19</v>
      </c>
      <c r="K723" s="21">
        <v>17</v>
      </c>
      <c r="L723" s="21">
        <v>17</v>
      </c>
      <c r="M723" s="55">
        <f>SUM(J723:L723)</f>
        <v>53</v>
      </c>
      <c r="N723" s="21">
        <v>14</v>
      </c>
      <c r="O723" s="21">
        <v>11</v>
      </c>
      <c r="P723" s="21">
        <v>9</v>
      </c>
      <c r="Q723" s="55">
        <f>SUM(N723:P723)</f>
        <v>34</v>
      </c>
      <c r="R723" s="55">
        <f>+E723+I723+M723+Q723</f>
        <v>183</v>
      </c>
    </row>
    <row r="724" spans="1:18" ht="16.5" customHeight="1" thickBot="1" x14ac:dyDescent="0.35">
      <c r="A724" s="41"/>
      <c r="B724" s="36"/>
      <c r="C724" s="36"/>
      <c r="D724" s="36"/>
      <c r="E724" s="52"/>
      <c r="F724" s="36"/>
      <c r="G724" s="36"/>
      <c r="H724" s="36"/>
      <c r="I724" s="52"/>
      <c r="J724" s="36"/>
      <c r="K724" s="36"/>
      <c r="L724" s="36"/>
      <c r="M724" s="129"/>
      <c r="N724" s="36"/>
      <c r="O724" s="36"/>
      <c r="P724" s="36"/>
      <c r="Q724" s="129"/>
      <c r="R724" s="40"/>
    </row>
    <row r="725" spans="1:18" ht="15.75" customHeight="1" x14ac:dyDescent="0.3">
      <c r="A725" s="15" t="s">
        <v>314</v>
      </c>
      <c r="B725" s="1">
        <f>SUM(B722:B723)</f>
        <v>1479</v>
      </c>
      <c r="C725" s="1">
        <f>SUM(C722:C723)</f>
        <v>1970</v>
      </c>
      <c r="D725" s="1">
        <f>SUM(D722:D723)</f>
        <v>794</v>
      </c>
      <c r="E725" s="55">
        <f>SUM(B725:D725)</f>
        <v>4243</v>
      </c>
      <c r="F725" s="1">
        <f>SUM(F722:F723)</f>
        <v>2085</v>
      </c>
      <c r="G725" s="1">
        <f>SUM(G722:G723)</f>
        <v>2078</v>
      </c>
      <c r="H725" s="1">
        <f>SUM(H722:H723)</f>
        <v>1985</v>
      </c>
      <c r="I725" s="60">
        <f>SUM(F725:H725)</f>
        <v>6148</v>
      </c>
      <c r="J725" s="1">
        <f>SUM(J722:J723)</f>
        <v>803</v>
      </c>
      <c r="K725" s="1">
        <f>SUM(K722:K723)</f>
        <v>972</v>
      </c>
      <c r="L725" s="1">
        <f>SUM(L722:L723)</f>
        <v>274</v>
      </c>
      <c r="M725" s="60">
        <f>SUM(J725:L725)</f>
        <v>2049</v>
      </c>
      <c r="N725" s="1">
        <f>SUM(N722:N723)</f>
        <v>613</v>
      </c>
      <c r="O725" s="1">
        <f>SUM(O722:O723)</f>
        <v>248</v>
      </c>
      <c r="P725" s="1">
        <f>SUM(P722:P723)</f>
        <v>169</v>
      </c>
      <c r="Q725" s="60">
        <f>SUM(N725:P725)</f>
        <v>1030</v>
      </c>
      <c r="R725" s="60">
        <f>+E725+I725+M725+Q725</f>
        <v>13470</v>
      </c>
    </row>
    <row r="726" spans="1:18" ht="15.75" customHeight="1" x14ac:dyDescent="0.3">
      <c r="A726" s="15" t="s">
        <v>42</v>
      </c>
      <c r="B726" s="1">
        <f>(B725/B10)/1.983</f>
        <v>24.05934312625055</v>
      </c>
      <c r="C726" s="1">
        <f>(C725/C10)/1.983</f>
        <v>35.480152726748791</v>
      </c>
      <c r="D726" s="1">
        <f>(D725/D10)/1.983</f>
        <v>12.91623964992761</v>
      </c>
      <c r="E726" s="55" t="s">
        <v>7</v>
      </c>
      <c r="F726" s="1">
        <f>(F725/F10)/1.983</f>
        <v>35.047907211296014</v>
      </c>
      <c r="G726" s="1">
        <f>(G725/G10)/1.983</f>
        <v>33.803458428903745</v>
      </c>
      <c r="H726" s="1">
        <f>(H725/H10)/1.983</f>
        <v>33.366952428979658</v>
      </c>
      <c r="I726" s="55" t="s">
        <v>7</v>
      </c>
      <c r="J726" s="1">
        <f>(J725/J10)/1.983</f>
        <v>13.062645389032582</v>
      </c>
      <c r="K726" s="1">
        <f>(K725/K10)/1.983</f>
        <v>15.811819823337075</v>
      </c>
      <c r="L726" s="1">
        <f>(L725/L10)/1.983</f>
        <v>4.6058161035468137</v>
      </c>
      <c r="M726" s="55" t="s">
        <v>7</v>
      </c>
      <c r="N726" s="1">
        <f>(N725/N10)/1.983</f>
        <v>9.9718575634831552</v>
      </c>
      <c r="O726" s="1">
        <f>(O725/O10)/1.983</f>
        <v>4.1687678601445626</v>
      </c>
      <c r="P726" s="1">
        <f>(P725/P10)/1.983</f>
        <v>2.749174434304491</v>
      </c>
      <c r="Q726" s="55" t="s">
        <v>7</v>
      </c>
      <c r="R726" s="55" t="s">
        <v>7</v>
      </c>
    </row>
    <row r="727" spans="1:18" ht="15.75" customHeight="1" x14ac:dyDescent="0.3">
      <c r="A727" s="15" t="s">
        <v>341</v>
      </c>
      <c r="B727" s="1">
        <f>B725+B779</f>
        <v>8861</v>
      </c>
      <c r="C727" s="1">
        <f>C725+C779</f>
        <v>13470</v>
      </c>
      <c r="D727" s="1">
        <f>D725+D779</f>
        <v>20107</v>
      </c>
      <c r="E727" s="55">
        <f>SUM(B727:D727)</f>
        <v>42438</v>
      </c>
      <c r="F727" s="1">
        <f>F725+F779</f>
        <v>23686</v>
      </c>
      <c r="G727" s="1">
        <f>G725+G779</f>
        <v>25278</v>
      </c>
      <c r="H727" s="1">
        <f>H725+H779</f>
        <v>23661</v>
      </c>
      <c r="I727" s="55">
        <f>SUM(F727:H727)</f>
        <v>72625</v>
      </c>
      <c r="J727" s="1">
        <f>J725+J779</f>
        <v>21685</v>
      </c>
      <c r="K727" s="1">
        <f>K725+K779</f>
        <v>20986</v>
      </c>
      <c r="L727" s="1">
        <f>L725+L779</f>
        <v>15913</v>
      </c>
      <c r="M727" s="55">
        <f>SUM(J727:L727)</f>
        <v>58584</v>
      </c>
      <c r="N727" s="1">
        <f>N725+N779</f>
        <v>11100</v>
      </c>
      <c r="O727" s="1">
        <f>O725+O779</f>
        <v>564</v>
      </c>
      <c r="P727" s="1">
        <f>P725+P779</f>
        <v>14792</v>
      </c>
      <c r="Q727" s="55">
        <f>SUM(N727:P727)</f>
        <v>26456</v>
      </c>
      <c r="R727" s="55">
        <f>+E727+I727+M727+Q727</f>
        <v>200103</v>
      </c>
    </row>
    <row r="728" spans="1:18" ht="16.5" customHeight="1" thickBot="1" x14ac:dyDescent="0.35">
      <c r="A728" s="20" t="s">
        <v>342</v>
      </c>
      <c r="B728" s="21">
        <f>(B727/B10)/1.983</f>
        <v>144.14458380101831</v>
      </c>
      <c r="C728" s="21">
        <f>(C727/C10)/1.983</f>
        <v>242.59779554787116</v>
      </c>
      <c r="D728" s="21">
        <f>(D727/D10)/1.983</f>
        <v>327.08668846485449</v>
      </c>
      <c r="E728" s="81" t="s">
        <v>7</v>
      </c>
      <c r="F728" s="21">
        <f>(F727/F10)/1.983</f>
        <v>398.15094973945196</v>
      </c>
      <c r="G728" s="21">
        <f>(G727/G10)/1.983</f>
        <v>411.2049192328339</v>
      </c>
      <c r="H728" s="21">
        <f>(H727/H10)/1.983</f>
        <v>397.73071104387293</v>
      </c>
      <c r="I728" s="81" t="s">
        <v>7</v>
      </c>
      <c r="J728" s="21">
        <f>(J727/J10)/1.983</f>
        <v>352.75649472125974</v>
      </c>
      <c r="K728" s="21">
        <f>(K727/K10)/1.983</f>
        <v>341.38564898410687</v>
      </c>
      <c r="L728" s="21">
        <f>(L727/L10)/1.983</f>
        <v>267.49033451000162</v>
      </c>
      <c r="M728" s="81" t="s">
        <v>7</v>
      </c>
      <c r="N728" s="21">
        <f>(N727/N10)/1.983</f>
        <v>180.56707822946657</v>
      </c>
      <c r="O728" s="21">
        <f>(O727/O10)/1.983</f>
        <v>9.4805849722642463</v>
      </c>
      <c r="P728" s="21">
        <f>(P727/P10)/1.983</f>
        <v>240.62596587119549</v>
      </c>
      <c r="Q728" s="81" t="s">
        <v>7</v>
      </c>
      <c r="R728" s="81" t="s">
        <v>7</v>
      </c>
    </row>
    <row r="729" spans="1:18" ht="15.75" customHeight="1" x14ac:dyDescent="0.3">
      <c r="A729" s="2"/>
      <c r="B729" s="1"/>
      <c r="C729" s="1"/>
      <c r="D729" s="1"/>
      <c r="E729" s="1"/>
      <c r="F729" s="1"/>
      <c r="G729" s="1"/>
      <c r="H729" s="1"/>
      <c r="I729" s="1"/>
      <c r="J729" s="1"/>
      <c r="K729" s="1"/>
      <c r="L729" s="1"/>
      <c r="M729" s="1"/>
      <c r="N729" s="1"/>
      <c r="O729" s="1"/>
      <c r="P729" s="1"/>
      <c r="Q729" s="1"/>
      <c r="R729" s="2"/>
    </row>
    <row r="730" spans="1:18" ht="16.5" customHeight="1" thickBot="1" x14ac:dyDescent="0.35">
      <c r="A730" s="106"/>
      <c r="B730" s="21"/>
      <c r="C730" s="21"/>
      <c r="D730" s="21"/>
      <c r="E730" s="21"/>
      <c r="F730" s="21"/>
      <c r="G730" s="21"/>
      <c r="H730" s="21"/>
      <c r="I730" s="21"/>
      <c r="J730" s="21"/>
      <c r="K730" s="21"/>
      <c r="L730" s="21"/>
      <c r="M730" s="21"/>
      <c r="N730" s="21"/>
      <c r="O730" s="21"/>
      <c r="P730" s="21"/>
      <c r="Q730" s="21"/>
      <c r="R730" s="106"/>
    </row>
    <row r="731" spans="1:18" ht="15.75" customHeight="1" thickBot="1" x14ac:dyDescent="0.35">
      <c r="A731" s="107" t="s">
        <v>343</v>
      </c>
      <c r="B731" s="47" t="s">
        <v>8</v>
      </c>
      <c r="C731" s="48" t="s">
        <v>9</v>
      </c>
      <c r="D731" s="48" t="s">
        <v>10</v>
      </c>
      <c r="E731" s="32" t="s">
        <v>11</v>
      </c>
      <c r="F731" s="48" t="s">
        <v>12</v>
      </c>
      <c r="G731" s="48" t="s">
        <v>13</v>
      </c>
      <c r="H731" s="48" t="s">
        <v>14</v>
      </c>
      <c r="I731" s="32" t="s">
        <v>15</v>
      </c>
      <c r="J731" s="48" t="s">
        <v>16</v>
      </c>
      <c r="K731" s="48" t="s">
        <v>17</v>
      </c>
      <c r="L731" s="48" t="s">
        <v>18</v>
      </c>
      <c r="M731" s="32" t="s">
        <v>19</v>
      </c>
      <c r="N731" s="48" t="s">
        <v>20</v>
      </c>
      <c r="O731" s="48" t="s">
        <v>21</v>
      </c>
      <c r="P731" s="48" t="s">
        <v>22</v>
      </c>
      <c r="Q731" s="32" t="s">
        <v>23</v>
      </c>
      <c r="R731" s="49" t="s">
        <v>24</v>
      </c>
    </row>
    <row r="732" spans="1:18" ht="16.5" customHeight="1" thickBot="1" x14ac:dyDescent="0.35">
      <c r="A732" s="130"/>
      <c r="B732" s="51"/>
      <c r="C732" s="51"/>
      <c r="D732" s="51"/>
      <c r="E732" s="52"/>
      <c r="F732" s="51"/>
      <c r="G732" s="51"/>
      <c r="H732" s="51"/>
      <c r="I732" s="52"/>
      <c r="J732" s="51"/>
      <c r="K732" s="51"/>
      <c r="L732" s="51"/>
      <c r="M732" s="52"/>
      <c r="N732" s="51"/>
      <c r="O732" s="51"/>
      <c r="P732" s="51"/>
      <c r="Q732" s="52"/>
      <c r="R732" s="53"/>
    </row>
    <row r="733" spans="1:18" ht="15.75" customHeight="1" x14ac:dyDescent="0.3">
      <c r="A733" s="15" t="s">
        <v>48</v>
      </c>
      <c r="B733" s="1" t="s">
        <v>7</v>
      </c>
      <c r="C733" s="1" t="s">
        <v>7</v>
      </c>
      <c r="D733" s="1" t="s">
        <v>7</v>
      </c>
      <c r="E733" s="55" t="s">
        <v>7</v>
      </c>
      <c r="F733" s="1" t="s">
        <v>7</v>
      </c>
      <c r="G733" s="1" t="s">
        <v>7</v>
      </c>
      <c r="H733" s="1" t="s">
        <v>7</v>
      </c>
      <c r="I733" s="55" t="s">
        <v>7</v>
      </c>
      <c r="J733" s="1" t="s">
        <v>7</v>
      </c>
      <c r="K733" s="1" t="s">
        <v>7</v>
      </c>
      <c r="L733" s="1" t="s">
        <v>7</v>
      </c>
      <c r="M733" s="55" t="s">
        <v>7</v>
      </c>
      <c r="N733" s="1" t="s">
        <v>7</v>
      </c>
      <c r="O733" s="1" t="s">
        <v>7</v>
      </c>
      <c r="P733" s="1" t="s">
        <v>7</v>
      </c>
      <c r="Q733" s="55" t="s">
        <v>7</v>
      </c>
      <c r="R733" s="55" t="s">
        <v>7</v>
      </c>
    </row>
    <row r="734" spans="1:18" ht="15.75" customHeight="1" x14ac:dyDescent="0.3">
      <c r="A734" s="15" t="s">
        <v>49</v>
      </c>
      <c r="B734" s="1"/>
      <c r="C734" s="1"/>
      <c r="D734" s="1"/>
      <c r="E734" s="55" t="s">
        <v>7</v>
      </c>
      <c r="F734" s="1"/>
      <c r="G734" s="1"/>
      <c r="H734" s="1"/>
      <c r="I734" s="55" t="s">
        <v>7</v>
      </c>
      <c r="J734" s="1"/>
      <c r="K734" s="1"/>
      <c r="L734" s="1"/>
      <c r="M734" s="55" t="s">
        <v>7</v>
      </c>
      <c r="N734" s="1"/>
      <c r="O734" s="1"/>
      <c r="P734" s="1"/>
      <c r="Q734" s="55" t="s">
        <v>7</v>
      </c>
      <c r="R734" s="55" t="s">
        <v>7</v>
      </c>
    </row>
    <row r="735" spans="1:18" ht="15.75" customHeight="1" x14ac:dyDescent="0.3">
      <c r="A735" s="71" t="s">
        <v>344</v>
      </c>
      <c r="B735" s="1">
        <f>1735</f>
        <v>1735</v>
      </c>
      <c r="C735" s="1">
        <f>3926</f>
        <v>3926</v>
      </c>
      <c r="D735" s="1">
        <f>6607</f>
        <v>6607</v>
      </c>
      <c r="E735" s="55">
        <f t="shared" ref="E735:E736" si="262">SUM(B735:D735)</f>
        <v>12268</v>
      </c>
      <c r="F735" s="1">
        <v>7200</v>
      </c>
      <c r="G735" s="1">
        <v>7524</v>
      </c>
      <c r="H735" s="1">
        <v>7269</v>
      </c>
      <c r="I735" s="55">
        <f t="shared" ref="I735:I736" si="263">SUM(F735:H735)</f>
        <v>21993</v>
      </c>
      <c r="J735" s="1">
        <v>7444</v>
      </c>
      <c r="K735" s="1">
        <v>7359</v>
      </c>
      <c r="L735" s="1">
        <v>5986</v>
      </c>
      <c r="M735" s="55">
        <f t="shared" ref="M735:M736" si="264">SUM(J735:L735)</f>
        <v>20789</v>
      </c>
      <c r="N735" s="1">
        <v>3040</v>
      </c>
      <c r="O735" s="1">
        <v>32</v>
      </c>
      <c r="P735" s="1">
        <v>3952</v>
      </c>
      <c r="Q735" s="55">
        <f t="shared" ref="Q735:Q740" si="265">SUM(N735:P735)</f>
        <v>7024</v>
      </c>
      <c r="R735" s="55">
        <f>+E735+I735+M735+Q735</f>
        <v>62074</v>
      </c>
    </row>
    <row r="736" spans="1:18" ht="15.75" customHeight="1" x14ac:dyDescent="0.3">
      <c r="A736" s="71" t="s">
        <v>345</v>
      </c>
      <c r="B736" s="1">
        <v>695</v>
      </c>
      <c r="C736" s="1">
        <v>421</v>
      </c>
      <c r="D736" s="1">
        <v>4220</v>
      </c>
      <c r="E736" s="55">
        <f t="shared" si="262"/>
        <v>5336</v>
      </c>
      <c r="F736" s="1">
        <v>2604</v>
      </c>
      <c r="G736" s="1">
        <v>4929</v>
      </c>
      <c r="H736" s="1">
        <v>1594</v>
      </c>
      <c r="I736" s="55">
        <f t="shared" si="263"/>
        <v>9127</v>
      </c>
      <c r="J736" s="1">
        <v>1905</v>
      </c>
      <c r="K736" s="1">
        <v>1701</v>
      </c>
      <c r="L736" s="1"/>
      <c r="M736" s="55">
        <f t="shared" si="264"/>
        <v>3606</v>
      </c>
      <c r="N736" s="1"/>
      <c r="O736" s="1">
        <v>53</v>
      </c>
      <c r="P736" s="1">
        <v>1937</v>
      </c>
      <c r="Q736" s="55">
        <f t="shared" si="265"/>
        <v>1990</v>
      </c>
      <c r="R736" s="55">
        <f t="shared" ref="R736:R740" si="266">+E736+I736+M736+Q736</f>
        <v>20059</v>
      </c>
    </row>
    <row r="737" spans="1:20" ht="15.75" customHeight="1" x14ac:dyDescent="0.3">
      <c r="A737" s="71" t="s">
        <v>996</v>
      </c>
      <c r="B737" s="1"/>
      <c r="C737" s="1"/>
      <c r="D737" s="1"/>
      <c r="E737" s="55">
        <f t="shared" ref="E737:E740" si="267">SUM(B737:D737)</f>
        <v>0</v>
      </c>
      <c r="F737" s="1"/>
      <c r="G737" s="1"/>
      <c r="H737" s="1"/>
      <c r="I737" s="55">
        <f t="shared" ref="I737:I740" si="268">SUM(F737:H737)</f>
        <v>0</v>
      </c>
      <c r="J737" s="1"/>
      <c r="K737" s="1"/>
      <c r="L737" s="1"/>
      <c r="M737" s="55">
        <f t="shared" ref="M737:M740" si="269">SUM(J737:L737)</f>
        <v>0</v>
      </c>
      <c r="N737" s="1"/>
      <c r="O737" s="1"/>
      <c r="P737" s="1"/>
      <c r="Q737" s="55">
        <f t="shared" si="265"/>
        <v>0</v>
      </c>
      <c r="R737" s="55">
        <f t="shared" si="266"/>
        <v>0</v>
      </c>
    </row>
    <row r="738" spans="1:20" ht="15.75" customHeight="1" x14ac:dyDescent="0.3">
      <c r="A738" s="71" t="s">
        <v>997</v>
      </c>
      <c r="B738" s="1"/>
      <c r="C738" s="1">
        <v>1499</v>
      </c>
      <c r="D738" s="1">
        <v>2800</v>
      </c>
      <c r="E738" s="55">
        <f t="shared" si="267"/>
        <v>4299</v>
      </c>
      <c r="F738" s="1">
        <v>4200</v>
      </c>
      <c r="G738" s="1">
        <v>3000</v>
      </c>
      <c r="H738" s="1">
        <v>6100</v>
      </c>
      <c r="I738" s="55">
        <f t="shared" si="268"/>
        <v>13300</v>
      </c>
      <c r="J738" s="1">
        <v>6100</v>
      </c>
      <c r="K738" s="1">
        <v>1915</v>
      </c>
      <c r="L738" s="1"/>
      <c r="M738" s="55">
        <f t="shared" si="269"/>
        <v>8015</v>
      </c>
      <c r="N738" s="1"/>
      <c r="O738" s="1"/>
      <c r="P738" s="1"/>
      <c r="Q738" s="55">
        <f t="shared" si="265"/>
        <v>0</v>
      </c>
      <c r="R738" s="55">
        <f t="shared" si="266"/>
        <v>25614</v>
      </c>
    </row>
    <row r="739" spans="1:20" ht="15.75" customHeight="1" x14ac:dyDescent="0.3">
      <c r="A739" s="71" t="s">
        <v>998</v>
      </c>
      <c r="B739" s="1">
        <v>350</v>
      </c>
      <c r="C739" s="1"/>
      <c r="D739" s="1">
        <v>350</v>
      </c>
      <c r="E739" s="55">
        <f t="shared" si="267"/>
        <v>700</v>
      </c>
      <c r="F739" s="1">
        <v>350</v>
      </c>
      <c r="G739" s="1">
        <v>350</v>
      </c>
      <c r="H739" s="1">
        <v>350</v>
      </c>
      <c r="I739" s="55">
        <f t="shared" si="268"/>
        <v>1050</v>
      </c>
      <c r="J739" s="1">
        <v>350</v>
      </c>
      <c r="K739" s="1">
        <v>350</v>
      </c>
      <c r="L739" s="1">
        <v>350</v>
      </c>
      <c r="M739" s="55">
        <f t="shared" si="269"/>
        <v>1050</v>
      </c>
      <c r="N739" s="1">
        <v>350</v>
      </c>
      <c r="O739" s="1"/>
      <c r="P739" s="1">
        <v>350</v>
      </c>
      <c r="Q739" s="55">
        <f t="shared" si="265"/>
        <v>700</v>
      </c>
      <c r="R739" s="55">
        <f t="shared" si="266"/>
        <v>3500</v>
      </c>
    </row>
    <row r="740" spans="1:20" ht="15.75" customHeight="1" x14ac:dyDescent="0.3">
      <c r="A740" s="71" t="s">
        <v>999</v>
      </c>
      <c r="B740" s="1"/>
      <c r="C740" s="1">
        <v>280</v>
      </c>
      <c r="D740" s="1">
        <v>140</v>
      </c>
      <c r="E740" s="55">
        <f t="shared" si="267"/>
        <v>420</v>
      </c>
      <c r="F740" s="1">
        <v>140</v>
      </c>
      <c r="G740" s="1">
        <v>140</v>
      </c>
      <c r="H740" s="1">
        <v>140</v>
      </c>
      <c r="I740" s="55">
        <f t="shared" si="268"/>
        <v>420</v>
      </c>
      <c r="J740" s="1">
        <v>125</v>
      </c>
      <c r="K740" s="1">
        <v>225</v>
      </c>
      <c r="L740" s="1">
        <v>225</v>
      </c>
      <c r="M740" s="55">
        <f t="shared" si="269"/>
        <v>575</v>
      </c>
      <c r="N740" s="1">
        <v>125</v>
      </c>
      <c r="O740" s="1">
        <v>0</v>
      </c>
      <c r="P740" s="1">
        <v>60</v>
      </c>
      <c r="Q740" s="55">
        <f t="shared" si="265"/>
        <v>185</v>
      </c>
      <c r="R740" s="55">
        <f t="shared" si="266"/>
        <v>1600</v>
      </c>
    </row>
    <row r="741" spans="1:20" ht="15.75" customHeight="1" x14ac:dyDescent="0.3">
      <c r="A741" s="15" t="s">
        <v>50</v>
      </c>
      <c r="B741" s="1"/>
      <c r="C741" s="1"/>
      <c r="D741" s="1"/>
      <c r="E741" s="55" t="s">
        <v>7</v>
      </c>
      <c r="F741" s="1"/>
      <c r="G741" s="1"/>
      <c r="H741" s="1"/>
      <c r="I741" s="55" t="s">
        <v>7</v>
      </c>
      <c r="J741" s="1"/>
      <c r="K741" s="1"/>
      <c r="L741" s="1"/>
      <c r="M741" s="55" t="s">
        <v>7</v>
      </c>
      <c r="N741" s="1"/>
      <c r="O741" s="1"/>
      <c r="P741" s="1"/>
      <c r="Q741" s="55" t="s">
        <v>7</v>
      </c>
      <c r="R741" s="55" t="s">
        <v>7</v>
      </c>
    </row>
    <row r="742" spans="1:20" ht="15.75" customHeight="1" x14ac:dyDescent="0.3">
      <c r="A742" s="15" t="s">
        <v>1186</v>
      </c>
      <c r="B742" s="1"/>
      <c r="C742" s="1"/>
      <c r="D742" s="1"/>
      <c r="E742" s="55" t="s">
        <v>7</v>
      </c>
      <c r="F742" s="1"/>
      <c r="G742" s="1"/>
      <c r="H742" s="1"/>
      <c r="I742" s="55" t="s">
        <v>7</v>
      </c>
      <c r="J742" s="1"/>
      <c r="K742" s="1"/>
      <c r="L742" s="1"/>
      <c r="M742" s="55" t="s">
        <v>7</v>
      </c>
      <c r="N742" s="1"/>
      <c r="O742" s="1"/>
      <c r="P742" s="1"/>
      <c r="Q742" s="55" t="s">
        <v>7</v>
      </c>
      <c r="R742" s="55" t="s">
        <v>7</v>
      </c>
    </row>
    <row r="743" spans="1:20" ht="15.75" customHeight="1" thickBot="1" x14ac:dyDescent="0.35">
      <c r="A743" s="15" t="s">
        <v>53</v>
      </c>
      <c r="B743" s="1"/>
      <c r="C743" s="1"/>
      <c r="D743" s="1"/>
      <c r="E743" s="55" t="s">
        <v>7</v>
      </c>
      <c r="F743" s="1"/>
      <c r="G743" s="1"/>
      <c r="H743" s="1"/>
      <c r="I743" s="55" t="s">
        <v>7</v>
      </c>
      <c r="J743" s="1"/>
      <c r="K743" s="1"/>
      <c r="L743" s="1"/>
      <c r="M743" s="55" t="s">
        <v>7</v>
      </c>
      <c r="N743" s="1"/>
      <c r="O743" s="1"/>
      <c r="P743" s="1"/>
      <c r="Q743" s="55" t="s">
        <v>7</v>
      </c>
      <c r="R743" s="55" t="s">
        <v>7</v>
      </c>
    </row>
    <row r="744" spans="1:20" ht="16.5" customHeight="1" thickBot="1" x14ac:dyDescent="0.35">
      <c r="A744" s="109" t="s">
        <v>54</v>
      </c>
      <c r="B744" s="86">
        <f>SUM(B733:B743)</f>
        <v>2780</v>
      </c>
      <c r="C744" s="87">
        <f>SUM(C733:C743)</f>
        <v>6126</v>
      </c>
      <c r="D744" s="87">
        <f>SUM(D733:D743)</f>
        <v>14117</v>
      </c>
      <c r="E744" s="59">
        <f>SUM(B744:D744)</f>
        <v>23023</v>
      </c>
      <c r="F744" s="87">
        <f>SUM(F733:F743)</f>
        <v>14494</v>
      </c>
      <c r="G744" s="87">
        <f>SUM(G733:G743)</f>
        <v>15943</v>
      </c>
      <c r="H744" s="87">
        <f>SUM(H733:H743)</f>
        <v>15453</v>
      </c>
      <c r="I744" s="59">
        <f>SUM(F744:H744)</f>
        <v>45890</v>
      </c>
      <c r="J744" s="87">
        <f>SUM(J733:J743)</f>
        <v>15924</v>
      </c>
      <c r="K744" s="87">
        <f>SUM(K733:K743)</f>
        <v>11550</v>
      </c>
      <c r="L744" s="87">
        <f>SUM(L733:L743)</f>
        <v>6561</v>
      </c>
      <c r="M744" s="59">
        <f>SUM(J744:L744)</f>
        <v>34035</v>
      </c>
      <c r="N744" s="87">
        <f>SUM(N733:N743)</f>
        <v>3515</v>
      </c>
      <c r="O744" s="87">
        <f>SUM(O733:O743)</f>
        <v>85</v>
      </c>
      <c r="P744" s="87">
        <f>SUM(P733:P743)</f>
        <v>6299</v>
      </c>
      <c r="Q744" s="59">
        <f>SUM(N744:P744)</f>
        <v>9899</v>
      </c>
      <c r="R744" s="59">
        <f>+E744+I744+M744+Q744</f>
        <v>112847</v>
      </c>
    </row>
    <row r="745" spans="1:20" ht="15.75" customHeight="1" x14ac:dyDescent="0.3">
      <c r="A745" s="15" t="s">
        <v>55</v>
      </c>
      <c r="B745" s="1"/>
      <c r="C745" s="1"/>
      <c r="D745" s="1"/>
      <c r="E745" s="55" t="s">
        <v>7</v>
      </c>
      <c r="F745" s="1"/>
      <c r="G745" s="1"/>
      <c r="H745" s="1"/>
      <c r="I745" s="55" t="s">
        <v>7</v>
      </c>
      <c r="J745" s="1"/>
      <c r="K745" s="1"/>
      <c r="L745" s="1"/>
      <c r="M745" s="55" t="s">
        <v>7</v>
      </c>
      <c r="N745" s="1"/>
      <c r="O745" s="1"/>
      <c r="P745" s="1"/>
      <c r="Q745" s="55" t="s">
        <v>7</v>
      </c>
      <c r="R745" s="55" t="s">
        <v>7</v>
      </c>
    </row>
    <row r="746" spans="1:20" ht="15.75" customHeight="1" x14ac:dyDescent="0.3">
      <c r="A746" s="15" t="s">
        <v>57</v>
      </c>
      <c r="B746" s="1"/>
      <c r="C746" s="1"/>
      <c r="D746" s="1"/>
      <c r="E746" s="55" t="s">
        <v>7</v>
      </c>
      <c r="F746" s="1"/>
      <c r="G746" s="1"/>
      <c r="H746" s="1"/>
      <c r="I746" s="55" t="s">
        <v>7</v>
      </c>
      <c r="J746" s="1"/>
      <c r="K746" s="1"/>
      <c r="L746" s="1"/>
      <c r="M746" s="55" t="s">
        <v>7</v>
      </c>
      <c r="N746" s="1"/>
      <c r="O746" s="1"/>
      <c r="P746" s="1"/>
      <c r="Q746" s="55" t="s">
        <v>7</v>
      </c>
      <c r="R746" s="55" t="s">
        <v>7</v>
      </c>
    </row>
    <row r="747" spans="1:20" ht="15.75" customHeight="1" thickBot="1" x14ac:dyDescent="0.35">
      <c r="A747" s="15" t="s">
        <v>58</v>
      </c>
      <c r="B747" s="1"/>
      <c r="C747" s="1"/>
      <c r="D747" s="1"/>
      <c r="E747" s="55" t="s">
        <v>7</v>
      </c>
      <c r="F747" s="1"/>
      <c r="G747" s="1"/>
      <c r="H747" s="1"/>
      <c r="I747" s="55" t="s">
        <v>7</v>
      </c>
      <c r="J747" s="1"/>
      <c r="K747" s="1"/>
      <c r="L747" s="1"/>
      <c r="M747" s="55" t="s">
        <v>7</v>
      </c>
      <c r="N747" s="1"/>
      <c r="O747" s="1"/>
      <c r="P747" s="1"/>
      <c r="Q747" s="55" t="s">
        <v>7</v>
      </c>
      <c r="R747" s="55" t="s">
        <v>7</v>
      </c>
    </row>
    <row r="748" spans="1:20" ht="16.5" customHeight="1" thickBot="1" x14ac:dyDescent="0.35">
      <c r="A748" s="57" t="s">
        <v>59</v>
      </c>
      <c r="B748" s="86">
        <f>SUM(B745:B747)</f>
        <v>0</v>
      </c>
      <c r="C748" s="87">
        <f>SUM(C745:C747)</f>
        <v>0</v>
      </c>
      <c r="D748" s="87">
        <f>SUM(D745:D747)</f>
        <v>0</v>
      </c>
      <c r="E748" s="59">
        <f>SUM(B748:D748)</f>
        <v>0</v>
      </c>
      <c r="F748" s="87">
        <f>SUM(F745:F747)</f>
        <v>0</v>
      </c>
      <c r="G748" s="87">
        <f>SUM(G745:G747)</f>
        <v>0</v>
      </c>
      <c r="H748" s="87">
        <f>SUM(H745:H747)</f>
        <v>0</v>
      </c>
      <c r="I748" s="59">
        <f>SUM(F748:H748)</f>
        <v>0</v>
      </c>
      <c r="J748" s="87">
        <f>SUM(J745:J747)</f>
        <v>0</v>
      </c>
      <c r="K748" s="87">
        <f>SUM(K745:K747)</f>
        <v>0</v>
      </c>
      <c r="L748" s="87">
        <f>SUM(L745:L747)</f>
        <v>0</v>
      </c>
      <c r="M748" s="59">
        <f>SUM(J748:L748)</f>
        <v>0</v>
      </c>
      <c r="N748" s="87">
        <f>SUM(N745:N747)</f>
        <v>0</v>
      </c>
      <c r="O748" s="87">
        <f>SUM(O745:O747)</f>
        <v>0</v>
      </c>
      <c r="P748" s="87">
        <f>SUM(P745:P747)</f>
        <v>0</v>
      </c>
      <c r="Q748" s="59">
        <f>SUM(N748:P748)</f>
        <v>0</v>
      </c>
      <c r="R748" s="59">
        <f>+E748+I748+M748+Q748</f>
        <v>0</v>
      </c>
    </row>
    <row r="749" spans="1:20" ht="15.75" customHeight="1" x14ac:dyDescent="0.3">
      <c r="A749" s="15" t="s">
        <v>60</v>
      </c>
      <c r="B749" s="1"/>
      <c r="C749" s="1"/>
      <c r="D749" s="1"/>
      <c r="E749" s="55" t="s">
        <v>7</v>
      </c>
      <c r="F749" s="1"/>
      <c r="G749" s="1"/>
      <c r="H749" s="1"/>
      <c r="I749" s="55" t="s">
        <v>7</v>
      </c>
      <c r="J749" s="1"/>
      <c r="K749" s="1"/>
      <c r="L749" s="1"/>
      <c r="M749" s="55" t="s">
        <v>7</v>
      </c>
      <c r="N749" s="1"/>
      <c r="O749" s="1"/>
      <c r="P749" s="1"/>
      <c r="Q749" s="55" t="s">
        <v>7</v>
      </c>
      <c r="R749" s="55" t="s">
        <v>7</v>
      </c>
    </row>
    <row r="750" spans="1:20" ht="15.75" customHeight="1" x14ac:dyDescent="0.3">
      <c r="A750" s="15" t="s">
        <v>61</v>
      </c>
      <c r="B750" s="1"/>
      <c r="C750" s="1"/>
      <c r="D750" s="1"/>
      <c r="E750" s="55" t="s">
        <v>7</v>
      </c>
      <c r="F750" s="1"/>
      <c r="G750" s="1"/>
      <c r="H750" s="1"/>
      <c r="I750" s="55" t="s">
        <v>7</v>
      </c>
      <c r="J750" s="1"/>
      <c r="K750" s="1"/>
      <c r="L750" s="1"/>
      <c r="M750" s="55" t="s">
        <v>7</v>
      </c>
      <c r="N750" s="1"/>
      <c r="O750" s="1"/>
      <c r="P750" s="1"/>
      <c r="Q750" s="55" t="s">
        <v>7</v>
      </c>
      <c r="R750" s="55" t="s">
        <v>7</v>
      </c>
    </row>
    <row r="751" spans="1:20" ht="15.75" customHeight="1" x14ac:dyDescent="0.3">
      <c r="A751" s="71" t="s">
        <v>346</v>
      </c>
      <c r="B751" s="1">
        <v>1169</v>
      </c>
      <c r="C751" s="1">
        <v>714</v>
      </c>
      <c r="D751" s="1">
        <v>957</v>
      </c>
      <c r="E751" s="55">
        <f>SUM(B751:D751)</f>
        <v>2840</v>
      </c>
      <c r="F751" s="1">
        <v>2552</v>
      </c>
      <c r="G751" s="1">
        <v>1446</v>
      </c>
      <c r="H751" s="1">
        <v>1228</v>
      </c>
      <c r="I751" s="55">
        <f>SUM(F751:H751)</f>
        <v>5226</v>
      </c>
      <c r="J751" s="1">
        <v>897</v>
      </c>
      <c r="K751" s="1">
        <v>711</v>
      </c>
      <c r="L751" s="1">
        <v>515</v>
      </c>
      <c r="M751" s="55">
        <f>SUM(J751:L751)</f>
        <v>2123</v>
      </c>
      <c r="N751" s="1">
        <v>454</v>
      </c>
      <c r="O751" s="1"/>
      <c r="P751" s="1">
        <v>407</v>
      </c>
      <c r="Q751" s="55">
        <f>SUM(N751:P751)</f>
        <v>861</v>
      </c>
      <c r="R751" s="55">
        <f>+E751+I751+M751+Q751</f>
        <v>11050</v>
      </c>
      <c r="T751" s="4" t="s">
        <v>1000</v>
      </c>
    </row>
    <row r="752" spans="1:20" ht="15.75" customHeight="1" x14ac:dyDescent="0.3">
      <c r="A752" s="15" t="s">
        <v>62</v>
      </c>
      <c r="B752" s="1"/>
      <c r="C752" s="1"/>
      <c r="D752" s="1"/>
      <c r="E752" s="55" t="s">
        <v>7</v>
      </c>
      <c r="F752" s="1"/>
      <c r="G752" s="1"/>
      <c r="H752" s="1"/>
      <c r="I752" s="55" t="s">
        <v>7</v>
      </c>
      <c r="J752" s="1"/>
      <c r="K752" s="1"/>
      <c r="L752" s="1"/>
      <c r="M752" s="55" t="s">
        <v>7</v>
      </c>
      <c r="N752" s="1"/>
      <c r="O752" s="1"/>
      <c r="P752" s="1"/>
      <c r="Q752" s="55" t="s">
        <v>7</v>
      </c>
      <c r="R752" s="55" t="s">
        <v>7</v>
      </c>
    </row>
    <row r="753" spans="1:20" ht="15.75" customHeight="1" x14ac:dyDescent="0.3">
      <c r="A753" s="71" t="s">
        <v>1001</v>
      </c>
      <c r="B753" s="1"/>
      <c r="C753" s="1"/>
      <c r="D753" s="1"/>
      <c r="E753" s="55">
        <f t="shared" ref="E753:E762" si="270">SUM(B753:D753)</f>
        <v>0</v>
      </c>
      <c r="F753" s="1"/>
      <c r="G753" s="1"/>
      <c r="H753" s="1"/>
      <c r="I753" s="55">
        <f t="shared" ref="I753:I762" si="271">SUM(F753:H753)</f>
        <v>0</v>
      </c>
      <c r="J753" s="1"/>
      <c r="K753" s="1"/>
      <c r="L753" s="1"/>
      <c r="M753" s="55">
        <f t="shared" ref="M753:M762" si="272">SUM(J753:L753)</f>
        <v>0</v>
      </c>
      <c r="N753" s="1"/>
      <c r="O753" s="1"/>
      <c r="P753" s="1"/>
      <c r="Q753" s="55">
        <f t="shared" ref="Q753:Q762" si="273">SUM(N753:P753)</f>
        <v>0</v>
      </c>
      <c r="R753" s="55">
        <f t="shared" ref="R753:R762" si="274">+E753+I753+M753+Q753</f>
        <v>0</v>
      </c>
      <c r="T753" s="4" t="s">
        <v>1002</v>
      </c>
    </row>
    <row r="754" spans="1:20" ht="15.75" customHeight="1" x14ac:dyDescent="0.3">
      <c r="A754" s="71" t="s">
        <v>1003</v>
      </c>
      <c r="B754" s="1"/>
      <c r="C754" s="1"/>
      <c r="D754" s="1"/>
      <c r="E754" s="55">
        <f t="shared" si="270"/>
        <v>0</v>
      </c>
      <c r="F754" s="1"/>
      <c r="G754" s="1"/>
      <c r="H754" s="1"/>
      <c r="I754" s="55">
        <f>SUM(F754:H754)</f>
        <v>0</v>
      </c>
      <c r="J754" s="1"/>
      <c r="K754" s="1"/>
      <c r="L754" s="1"/>
      <c r="M754" s="55">
        <f t="shared" si="272"/>
        <v>0</v>
      </c>
      <c r="N754" s="1"/>
      <c r="O754" s="1"/>
      <c r="P754" s="1"/>
      <c r="Q754" s="55">
        <f t="shared" si="273"/>
        <v>0</v>
      </c>
      <c r="R754" s="55">
        <f t="shared" si="274"/>
        <v>0</v>
      </c>
      <c r="T754" s="4" t="s">
        <v>1002</v>
      </c>
    </row>
    <row r="755" spans="1:20" ht="15.75" customHeight="1" x14ac:dyDescent="0.3">
      <c r="A755" s="71" t="s">
        <v>1004</v>
      </c>
      <c r="B755" s="1"/>
      <c r="C755" s="1">
        <v>250</v>
      </c>
      <c r="D755" s="1">
        <v>125</v>
      </c>
      <c r="E755" s="55">
        <f t="shared" si="270"/>
        <v>375</v>
      </c>
      <c r="F755" s="1">
        <v>125</v>
      </c>
      <c r="G755" s="1">
        <v>125</v>
      </c>
      <c r="H755" s="1">
        <v>125</v>
      </c>
      <c r="I755" s="55">
        <f t="shared" si="271"/>
        <v>375</v>
      </c>
      <c r="J755" s="1">
        <v>125</v>
      </c>
      <c r="K755" s="1">
        <v>125</v>
      </c>
      <c r="L755" s="1">
        <v>165</v>
      </c>
      <c r="M755" s="55">
        <f t="shared" si="272"/>
        <v>415</v>
      </c>
      <c r="N755" s="1">
        <v>250</v>
      </c>
      <c r="O755" s="1">
        <v>0</v>
      </c>
      <c r="P755" s="1">
        <v>177</v>
      </c>
      <c r="Q755" s="55">
        <f t="shared" si="273"/>
        <v>427</v>
      </c>
      <c r="R755" s="55">
        <f t="shared" si="274"/>
        <v>1592</v>
      </c>
      <c r="T755" s="4" t="s">
        <v>1002</v>
      </c>
    </row>
    <row r="756" spans="1:20" ht="15.75" customHeight="1" x14ac:dyDescent="0.3">
      <c r="A756" s="71" t="s">
        <v>1371</v>
      </c>
      <c r="B756" s="1"/>
      <c r="C756" s="1">
        <v>1001</v>
      </c>
      <c r="D756" s="1"/>
      <c r="E756" s="55">
        <f t="shared" si="270"/>
        <v>1001</v>
      </c>
      <c r="F756" s="1"/>
      <c r="G756" s="1"/>
      <c r="H756" s="1"/>
      <c r="I756" s="55">
        <f t="shared" si="271"/>
        <v>0</v>
      </c>
      <c r="J756" s="1"/>
      <c r="K756" s="1"/>
      <c r="L756" s="1"/>
      <c r="M756" s="55">
        <f t="shared" si="272"/>
        <v>0</v>
      </c>
      <c r="N756" s="1"/>
      <c r="O756" s="1"/>
      <c r="P756" s="1"/>
      <c r="Q756" s="55">
        <f t="shared" ref="Q756" si="275">SUM(N756:P756)</f>
        <v>0</v>
      </c>
      <c r="R756" s="55">
        <f t="shared" si="274"/>
        <v>1001</v>
      </c>
    </row>
    <row r="757" spans="1:20" ht="15.75" customHeight="1" x14ac:dyDescent="0.3">
      <c r="A757" s="71" t="s">
        <v>1335</v>
      </c>
      <c r="B757" s="1"/>
      <c r="C757" s="1"/>
      <c r="D757" s="1"/>
      <c r="E757" s="55">
        <f t="shared" si="270"/>
        <v>0</v>
      </c>
      <c r="F757" s="1"/>
      <c r="G757" s="1"/>
      <c r="H757" s="1"/>
      <c r="I757" s="55">
        <f t="shared" si="271"/>
        <v>0</v>
      </c>
      <c r="J757" s="1"/>
      <c r="K757" s="1">
        <v>4285</v>
      </c>
      <c r="L757" s="1">
        <v>465</v>
      </c>
      <c r="M757" s="55">
        <f t="shared" si="272"/>
        <v>4750</v>
      </c>
      <c r="N757" s="1"/>
      <c r="O757" s="1"/>
      <c r="P757" s="1"/>
      <c r="Q757" s="55">
        <f t="shared" si="273"/>
        <v>0</v>
      </c>
      <c r="R757" s="55">
        <f t="shared" si="274"/>
        <v>4750</v>
      </c>
    </row>
    <row r="758" spans="1:20" s="493" customFormat="1" ht="15.75" customHeight="1" x14ac:dyDescent="0.3">
      <c r="A758" s="72" t="s">
        <v>1336</v>
      </c>
      <c r="B758" s="1"/>
      <c r="C758" s="1"/>
      <c r="D758" s="1"/>
      <c r="E758" s="55">
        <f t="shared" si="270"/>
        <v>0</v>
      </c>
      <c r="F758" s="1"/>
      <c r="G758" s="1"/>
      <c r="H758" s="1"/>
      <c r="I758" s="55">
        <f t="shared" si="271"/>
        <v>0</v>
      </c>
      <c r="J758" s="1"/>
      <c r="K758" s="1"/>
      <c r="L758" s="1">
        <v>4178</v>
      </c>
      <c r="M758" s="55">
        <f t="shared" si="272"/>
        <v>4178</v>
      </c>
      <c r="N758" s="1">
        <v>2946</v>
      </c>
      <c r="O758" s="1"/>
      <c r="P758" s="1">
        <v>2255</v>
      </c>
      <c r="Q758" s="55">
        <f t="shared" si="273"/>
        <v>5201</v>
      </c>
      <c r="R758" s="55">
        <f t="shared" si="274"/>
        <v>9379</v>
      </c>
    </row>
    <row r="759" spans="1:20" ht="15.75" customHeight="1" x14ac:dyDescent="0.3">
      <c r="A759" s="71" t="s">
        <v>1337</v>
      </c>
      <c r="B759" s="1"/>
      <c r="C759" s="1"/>
      <c r="D759" s="1"/>
      <c r="E759" s="55">
        <f t="shared" si="270"/>
        <v>0</v>
      </c>
      <c r="F759" s="1"/>
      <c r="G759" s="1"/>
      <c r="H759" s="1"/>
      <c r="I759" s="55">
        <f t="shared" si="271"/>
        <v>0</v>
      </c>
      <c r="J759" s="1"/>
      <c r="K759" s="1"/>
      <c r="L759" s="1"/>
      <c r="M759" s="55">
        <f t="shared" si="272"/>
        <v>0</v>
      </c>
      <c r="N759" s="1"/>
      <c r="O759" s="1"/>
      <c r="P759" s="1"/>
      <c r="Q759" s="55">
        <f t="shared" si="273"/>
        <v>0</v>
      </c>
      <c r="R759" s="55">
        <f t="shared" si="274"/>
        <v>0</v>
      </c>
    </row>
    <row r="760" spans="1:20" ht="15.75" customHeight="1" x14ac:dyDescent="0.3">
      <c r="A760" s="71" t="s">
        <v>1338</v>
      </c>
      <c r="B760" s="1"/>
      <c r="C760" s="1"/>
      <c r="D760" s="1"/>
      <c r="E760" s="55">
        <f t="shared" si="270"/>
        <v>0</v>
      </c>
      <c r="F760" s="1"/>
      <c r="G760" s="1"/>
      <c r="H760" s="1"/>
      <c r="I760" s="55">
        <f t="shared" si="271"/>
        <v>0</v>
      </c>
      <c r="J760" s="1"/>
      <c r="K760" s="1"/>
      <c r="L760" s="1"/>
      <c r="M760" s="55">
        <f t="shared" si="272"/>
        <v>0</v>
      </c>
      <c r="N760" s="1"/>
      <c r="O760" s="1"/>
      <c r="P760" s="1">
        <v>1256</v>
      </c>
      <c r="Q760" s="55">
        <f t="shared" ref="Q760" si="276">SUM(N760:P760)</f>
        <v>1256</v>
      </c>
      <c r="R760" s="55">
        <f t="shared" si="274"/>
        <v>1256</v>
      </c>
    </row>
    <row r="761" spans="1:20" ht="15.75" customHeight="1" thickBot="1" x14ac:dyDescent="0.35">
      <c r="A761" s="71" t="s">
        <v>775</v>
      </c>
      <c r="B761" s="1"/>
      <c r="C761" s="1"/>
      <c r="D761" s="1"/>
      <c r="E761" s="55">
        <f t="shared" si="270"/>
        <v>0</v>
      </c>
      <c r="F761" s="1"/>
      <c r="G761" s="1"/>
      <c r="H761" s="1"/>
      <c r="I761" s="55">
        <f t="shared" si="271"/>
        <v>0</v>
      </c>
      <c r="J761" s="1"/>
      <c r="K761" s="1"/>
      <c r="L761" s="1"/>
      <c r="M761" s="55">
        <f t="shared" si="272"/>
        <v>0</v>
      </c>
      <c r="N761" s="1"/>
      <c r="O761" s="1"/>
      <c r="P761" s="1"/>
      <c r="Q761" s="55">
        <f t="shared" si="273"/>
        <v>0</v>
      </c>
      <c r="R761" s="55">
        <f t="shared" si="274"/>
        <v>0</v>
      </c>
      <c r="T761" s="4" t="s">
        <v>1002</v>
      </c>
    </row>
    <row r="762" spans="1:20" ht="16.5" customHeight="1" thickBot="1" x14ac:dyDescent="0.35">
      <c r="A762" s="57" t="s">
        <v>63</v>
      </c>
      <c r="B762" s="86">
        <f>SUM(B749:B761)</f>
        <v>1169</v>
      </c>
      <c r="C762" s="87">
        <f>SUM(C749:C761)</f>
        <v>1965</v>
      </c>
      <c r="D762" s="87">
        <f>SUM(D749:D761)</f>
        <v>1082</v>
      </c>
      <c r="E762" s="59">
        <f t="shared" si="270"/>
        <v>4216</v>
      </c>
      <c r="F762" s="87">
        <f>SUM(F749:F761)</f>
        <v>2677</v>
      </c>
      <c r="G762" s="87">
        <f>SUM(G749:G761)</f>
        <v>1571</v>
      </c>
      <c r="H762" s="87">
        <f>SUM(H749:H761)</f>
        <v>1353</v>
      </c>
      <c r="I762" s="59">
        <f t="shared" si="271"/>
        <v>5601</v>
      </c>
      <c r="J762" s="87">
        <f>SUM(J749:J761)</f>
        <v>1022</v>
      </c>
      <c r="K762" s="87">
        <f>SUM(K749:K761)</f>
        <v>5121</v>
      </c>
      <c r="L762" s="87">
        <f>SUM(L749:L761)</f>
        <v>5323</v>
      </c>
      <c r="M762" s="59">
        <f t="shared" si="272"/>
        <v>11466</v>
      </c>
      <c r="N762" s="87">
        <f>SUM(N749:N761)</f>
        <v>3650</v>
      </c>
      <c r="O762" s="87">
        <f>SUM(O749:O761)</f>
        <v>0</v>
      </c>
      <c r="P762" s="87">
        <f>SUM(P749:P761)</f>
        <v>4095</v>
      </c>
      <c r="Q762" s="59">
        <f t="shared" si="273"/>
        <v>7745</v>
      </c>
      <c r="R762" s="118">
        <f t="shared" si="274"/>
        <v>29028</v>
      </c>
    </row>
    <row r="763" spans="1:20" ht="15.75" customHeight="1" x14ac:dyDescent="0.3">
      <c r="A763" s="15" t="s">
        <v>64</v>
      </c>
      <c r="B763" s="1"/>
      <c r="C763" s="1"/>
      <c r="D763" s="1"/>
      <c r="E763" s="55" t="s">
        <v>7</v>
      </c>
      <c r="F763" s="1"/>
      <c r="G763" s="1"/>
      <c r="H763" s="1"/>
      <c r="I763" s="55" t="s">
        <v>7</v>
      </c>
      <c r="J763" s="1"/>
      <c r="K763" s="1"/>
      <c r="L763" s="1"/>
      <c r="M763" s="55" t="s">
        <v>7</v>
      </c>
      <c r="N763" s="1"/>
      <c r="O763" s="1"/>
      <c r="P763" s="1"/>
      <c r="Q763" s="55" t="s">
        <v>7</v>
      </c>
      <c r="R763" s="55" t="s">
        <v>7</v>
      </c>
    </row>
    <row r="764" spans="1:20" ht="15.75" customHeight="1" x14ac:dyDescent="0.3">
      <c r="A764" s="15" t="s">
        <v>594</v>
      </c>
      <c r="B764" s="1"/>
      <c r="C764" s="1"/>
      <c r="D764" s="1"/>
      <c r="E764" s="55" t="s">
        <v>7</v>
      </c>
      <c r="F764" s="1"/>
      <c r="G764" s="1"/>
      <c r="H764" s="1"/>
      <c r="I764" s="55" t="s">
        <v>7</v>
      </c>
      <c r="J764" s="1"/>
      <c r="K764" s="1"/>
      <c r="L764" s="1"/>
      <c r="M764" s="55" t="s">
        <v>7</v>
      </c>
      <c r="N764" s="1"/>
      <c r="O764" s="1"/>
      <c r="P764" s="1"/>
      <c r="Q764" s="55" t="s">
        <v>7</v>
      </c>
      <c r="R764" s="55" t="s">
        <v>7</v>
      </c>
    </row>
    <row r="765" spans="1:20" ht="15.75" customHeight="1" x14ac:dyDescent="0.3">
      <c r="A765" s="15" t="s">
        <v>67</v>
      </c>
      <c r="B765" s="1"/>
      <c r="C765" s="1"/>
      <c r="D765" s="1"/>
      <c r="E765" s="55" t="s">
        <v>7</v>
      </c>
      <c r="F765" s="1"/>
      <c r="G765" s="1"/>
      <c r="H765" s="1"/>
      <c r="I765" s="55" t="s">
        <v>7</v>
      </c>
      <c r="J765" s="1"/>
      <c r="K765" s="1"/>
      <c r="L765" s="1"/>
      <c r="M765" s="55" t="s">
        <v>7</v>
      </c>
      <c r="N765" s="1"/>
      <c r="O765" s="1"/>
      <c r="P765" s="1"/>
      <c r="Q765" s="55" t="s">
        <v>7</v>
      </c>
      <c r="R765" s="55" t="s">
        <v>7</v>
      </c>
    </row>
    <row r="766" spans="1:20" ht="15.75" customHeight="1" x14ac:dyDescent="0.3">
      <c r="A766" s="71" t="s">
        <v>776</v>
      </c>
      <c r="B766" s="1"/>
      <c r="C766" s="1"/>
      <c r="D766" s="1"/>
      <c r="E766" s="55">
        <f>SUM(B766:D766)</f>
        <v>0</v>
      </c>
      <c r="F766" s="1"/>
      <c r="G766" s="1"/>
      <c r="H766" s="1"/>
      <c r="I766" s="55">
        <f>SUM(F766:H766)</f>
        <v>0</v>
      </c>
      <c r="J766" s="1"/>
      <c r="K766" s="1"/>
      <c r="L766" s="1"/>
      <c r="M766" s="55">
        <f>SUM(J766:L766)</f>
        <v>0</v>
      </c>
      <c r="N766" s="1"/>
      <c r="O766" s="1"/>
      <c r="P766" s="1"/>
      <c r="Q766" s="55">
        <f>SUM(N766:P766)</f>
        <v>0</v>
      </c>
      <c r="R766" s="55">
        <f>+E766+I766+M766+Q766</f>
        <v>0</v>
      </c>
    </row>
    <row r="767" spans="1:20" ht="15.75" customHeight="1" x14ac:dyDescent="0.3">
      <c r="A767" s="71" t="s">
        <v>777</v>
      </c>
      <c r="B767" s="1"/>
      <c r="C767" s="1"/>
      <c r="D767" s="1"/>
      <c r="E767" s="55">
        <f>SUM(B767:D767)</f>
        <v>0</v>
      </c>
      <c r="F767" s="1"/>
      <c r="G767" s="1"/>
      <c r="H767" s="1"/>
      <c r="I767" s="55">
        <f>SUM(F767:H767)</f>
        <v>0</v>
      </c>
      <c r="J767" s="1"/>
      <c r="K767" s="1"/>
      <c r="L767" s="1"/>
      <c r="M767" s="55">
        <f>SUM(J767:L767)</f>
        <v>0</v>
      </c>
      <c r="N767" s="1"/>
      <c r="O767" s="1"/>
      <c r="P767" s="1"/>
      <c r="Q767" s="55">
        <f>SUM(N767:P767)</f>
        <v>0</v>
      </c>
      <c r="R767" s="55">
        <f>+E767+I767+M767+Q767</f>
        <v>0</v>
      </c>
    </row>
    <row r="768" spans="1:20" ht="15.75" customHeight="1" x14ac:dyDescent="0.3">
      <c r="A768" s="71" t="s">
        <v>778</v>
      </c>
      <c r="B768" s="1"/>
      <c r="C768" s="1"/>
      <c r="D768" s="1"/>
      <c r="E768" s="55">
        <f>SUM(B768:D768)</f>
        <v>0</v>
      </c>
      <c r="F768" s="1"/>
      <c r="G768" s="1"/>
      <c r="H768" s="1"/>
      <c r="I768" s="55">
        <f>SUM(F768:H768)</f>
        <v>0</v>
      </c>
      <c r="J768" s="1"/>
      <c r="K768" s="1"/>
      <c r="L768" s="1"/>
      <c r="M768" s="55">
        <f>SUM(J768:L768)</f>
        <v>0</v>
      </c>
      <c r="N768" s="1"/>
      <c r="O768" s="1"/>
      <c r="P768" s="1"/>
      <c r="Q768" s="55">
        <f>SUM(N768:P768)</f>
        <v>0</v>
      </c>
      <c r="R768" s="55">
        <f>+E768+I768+M768+Q768</f>
        <v>0</v>
      </c>
    </row>
    <row r="769" spans="1:18" ht="15.75" customHeight="1" x14ac:dyDescent="0.3">
      <c r="A769" s="71" t="s">
        <v>779</v>
      </c>
      <c r="B769" s="1"/>
      <c r="C769" s="1"/>
      <c r="D769" s="1"/>
      <c r="E769" s="55">
        <f>SUM(B769:D769)</f>
        <v>0</v>
      </c>
      <c r="F769" s="1"/>
      <c r="G769" s="1"/>
      <c r="H769" s="1"/>
      <c r="I769" s="55">
        <f>SUM(F769:H769)</f>
        <v>0</v>
      </c>
      <c r="J769" s="1"/>
      <c r="K769" s="1"/>
      <c r="L769" s="1"/>
      <c r="M769" s="55">
        <f>SUM(J769:L769)</f>
        <v>0</v>
      </c>
      <c r="N769" s="1"/>
      <c r="O769" s="1"/>
      <c r="P769" s="1"/>
      <c r="Q769" s="55">
        <f>SUM(N769:P769)</f>
        <v>0</v>
      </c>
      <c r="R769" s="55">
        <f>+E769+I769+M769+Q769</f>
        <v>0</v>
      </c>
    </row>
    <row r="770" spans="1:18" ht="15.75" customHeight="1" x14ac:dyDescent="0.3">
      <c r="A770" s="15" t="s">
        <v>600</v>
      </c>
      <c r="B770" s="1"/>
      <c r="C770" s="1"/>
      <c r="D770" s="1"/>
      <c r="E770" s="55" t="s">
        <v>7</v>
      </c>
      <c r="F770" s="1"/>
      <c r="G770" s="1"/>
      <c r="H770" s="1"/>
      <c r="I770" s="55" t="s">
        <v>7</v>
      </c>
      <c r="J770" s="1"/>
      <c r="K770" s="1"/>
      <c r="L770" s="1"/>
      <c r="M770" s="55" t="s">
        <v>7</v>
      </c>
      <c r="N770" s="1"/>
      <c r="O770" s="1"/>
      <c r="P770" s="1"/>
      <c r="Q770" s="55" t="s">
        <v>7</v>
      </c>
      <c r="R770" s="55" t="s">
        <v>7</v>
      </c>
    </row>
    <row r="771" spans="1:18" ht="15.75" customHeight="1" thickBot="1" x14ac:dyDescent="0.35">
      <c r="A771" s="15" t="s">
        <v>70</v>
      </c>
      <c r="B771" s="1"/>
      <c r="C771" s="1"/>
      <c r="D771" s="1"/>
      <c r="E771" s="55" t="s">
        <v>7</v>
      </c>
      <c r="F771" s="1"/>
      <c r="G771" s="1"/>
      <c r="H771" s="1"/>
      <c r="I771" s="55" t="s">
        <v>7</v>
      </c>
      <c r="J771" s="1"/>
      <c r="K771" s="1"/>
      <c r="L771" s="1"/>
      <c r="M771" s="55" t="s">
        <v>7</v>
      </c>
      <c r="N771" s="1"/>
      <c r="O771" s="1"/>
      <c r="P771" s="1"/>
      <c r="Q771" s="55" t="s">
        <v>7</v>
      </c>
      <c r="R771" s="55" t="s">
        <v>7</v>
      </c>
    </row>
    <row r="772" spans="1:18" ht="16.5" customHeight="1" thickBot="1" x14ac:dyDescent="0.35">
      <c r="A772" s="57" t="s">
        <v>71</v>
      </c>
      <c r="B772" s="58">
        <f>SUM(B770:B771)</f>
        <v>0</v>
      </c>
      <c r="C772" s="58">
        <f>SUM(C770:C771)</f>
        <v>0</v>
      </c>
      <c r="D772" s="58">
        <f>SUM(D770:D771)</f>
        <v>0</v>
      </c>
      <c r="E772" s="60">
        <f>SUM(B772:D772)</f>
        <v>0</v>
      </c>
      <c r="F772" s="58">
        <f>SUM(F770:F771)</f>
        <v>0</v>
      </c>
      <c r="G772" s="58">
        <f>SUM(G770:G771)</f>
        <v>0</v>
      </c>
      <c r="H772" s="58">
        <f>SUM(H770:H771)</f>
        <v>0</v>
      </c>
      <c r="I772" s="60">
        <f>SUM(F772:H772)</f>
        <v>0</v>
      </c>
      <c r="J772" s="58">
        <f>SUM(J770:J771)</f>
        <v>0</v>
      </c>
      <c r="K772" s="58">
        <f>SUM(K770:K771)</f>
        <v>0</v>
      </c>
      <c r="L772" s="58">
        <f>SUM(L770:L771)</f>
        <v>0</v>
      </c>
      <c r="M772" s="60">
        <f>SUM(J772:L772)</f>
        <v>0</v>
      </c>
      <c r="N772" s="58">
        <f>SUM(N770:N771)</f>
        <v>0</v>
      </c>
      <c r="O772" s="58">
        <f>SUM(O770:O771)</f>
        <v>0</v>
      </c>
      <c r="P772" s="58">
        <f>SUM(P770:P771)</f>
        <v>0</v>
      </c>
      <c r="Q772" s="60">
        <f>SUM(N772:P772)</f>
        <v>0</v>
      </c>
      <c r="R772" s="59">
        <f>+E772+I772+M772+Q772</f>
        <v>0</v>
      </c>
    </row>
    <row r="773" spans="1:18" ht="16.5" customHeight="1" thickBot="1" x14ac:dyDescent="0.35">
      <c r="A773" s="114" t="s">
        <v>72</v>
      </c>
      <c r="B773" s="86">
        <f>SUM(B763:B771)</f>
        <v>0</v>
      </c>
      <c r="C773" s="87">
        <f>SUM(C763:C771)</f>
        <v>0</v>
      </c>
      <c r="D773" s="118">
        <f>SUM(D763:D771)</f>
        <v>0</v>
      </c>
      <c r="E773" s="60">
        <f>SUM(B773:D773)</f>
        <v>0</v>
      </c>
      <c r="F773" s="87">
        <f>SUM(F763:F771)</f>
        <v>0</v>
      </c>
      <c r="G773" s="87">
        <f>SUM(G763:G771)</f>
        <v>0</v>
      </c>
      <c r="H773" s="87">
        <f>SUM(H763:H771)</f>
        <v>0</v>
      </c>
      <c r="I773" s="60">
        <f>SUM(F773:H773)</f>
        <v>0</v>
      </c>
      <c r="J773" s="87">
        <f>SUM(J763:J771)</f>
        <v>0</v>
      </c>
      <c r="K773" s="87">
        <f>SUM(K763:K771)</f>
        <v>0</v>
      </c>
      <c r="L773" s="87">
        <f>SUM(L763:L771)</f>
        <v>0</v>
      </c>
      <c r="M773" s="60">
        <f>SUM(J773:L773)</f>
        <v>0</v>
      </c>
      <c r="N773" s="87">
        <f>SUM(N763:N771)</f>
        <v>0</v>
      </c>
      <c r="O773" s="87">
        <f>SUM(O763:O771)</f>
        <v>0</v>
      </c>
      <c r="P773" s="87">
        <f>SUM(P763:P771)</f>
        <v>0</v>
      </c>
      <c r="Q773" s="60">
        <f>SUM(N773:P773)</f>
        <v>0</v>
      </c>
      <c r="R773" s="59">
        <f>+E773+I773+M773+Q773</f>
        <v>0</v>
      </c>
    </row>
    <row r="774" spans="1:18" ht="16.5" customHeight="1" thickBot="1" x14ac:dyDescent="0.35">
      <c r="A774" s="57" t="s">
        <v>73</v>
      </c>
      <c r="B774" s="90">
        <f>+B744+B748+B762+B773</f>
        <v>3949</v>
      </c>
      <c r="C774" s="58">
        <f>+C744+C748+C762+C773</f>
        <v>8091</v>
      </c>
      <c r="D774" s="58">
        <f>+D744+D748+D762+D773</f>
        <v>15199</v>
      </c>
      <c r="E774" s="59">
        <f>SUM(B774:D774)</f>
        <v>27239</v>
      </c>
      <c r="F774" s="58">
        <f>+F744+F748+F762+F773</f>
        <v>17171</v>
      </c>
      <c r="G774" s="58">
        <f>+G744+G748+G762+G773</f>
        <v>17514</v>
      </c>
      <c r="H774" s="58">
        <f>+H744+H748+H762+H773</f>
        <v>16806</v>
      </c>
      <c r="I774" s="59">
        <f>SUM(F774:H774)</f>
        <v>51491</v>
      </c>
      <c r="J774" s="58">
        <f>+J744+J748+J762+J773</f>
        <v>16946</v>
      </c>
      <c r="K774" s="58">
        <f>+K744+K748+K762+K773</f>
        <v>16671</v>
      </c>
      <c r="L774" s="58">
        <f>+L744+L748+L762+L773</f>
        <v>11884</v>
      </c>
      <c r="M774" s="59">
        <f>SUM(J774:L774)</f>
        <v>45501</v>
      </c>
      <c r="N774" s="58">
        <f>+N744+N748+N762+N773</f>
        <v>7165</v>
      </c>
      <c r="O774" s="58">
        <f>+O744+O748+O762+O773</f>
        <v>85</v>
      </c>
      <c r="P774" s="58">
        <f>+P744+P748+P762+P773</f>
        <v>10394</v>
      </c>
      <c r="Q774" s="59">
        <f>SUM(N774:P774)</f>
        <v>17644</v>
      </c>
      <c r="R774" s="81">
        <f>+E774+I774+M774+Q774</f>
        <v>141875</v>
      </c>
    </row>
    <row r="775" spans="1:18" ht="16.5" customHeight="1" thickBot="1" x14ac:dyDescent="0.35">
      <c r="A775" s="62" t="s">
        <v>40</v>
      </c>
      <c r="B775" s="21">
        <v>22</v>
      </c>
      <c r="C775" s="21">
        <v>24</v>
      </c>
      <c r="D775" s="21">
        <v>31</v>
      </c>
      <c r="E775" s="59">
        <f>SUM(B775:D775)</f>
        <v>77</v>
      </c>
      <c r="F775" s="21">
        <v>40</v>
      </c>
      <c r="G775" s="21">
        <v>45</v>
      </c>
      <c r="H775" s="21">
        <v>48</v>
      </c>
      <c r="I775" s="59">
        <f>SUM(F775:H775)</f>
        <v>133</v>
      </c>
      <c r="J775" s="21">
        <v>42</v>
      </c>
      <c r="K775" s="21">
        <v>39</v>
      </c>
      <c r="L775" s="21">
        <v>38</v>
      </c>
      <c r="M775" s="59">
        <f>SUM(J775:L775)</f>
        <v>119</v>
      </c>
      <c r="N775" s="21">
        <v>32</v>
      </c>
      <c r="O775" s="21">
        <v>25</v>
      </c>
      <c r="P775" s="21">
        <v>21</v>
      </c>
      <c r="Q775" s="59">
        <f>SUM(N775:P775)</f>
        <v>78</v>
      </c>
      <c r="R775" s="60">
        <f>+E775+I775+M775+Q775</f>
        <v>407</v>
      </c>
    </row>
    <row r="776" spans="1:18" ht="16.5" customHeight="1" thickBot="1" x14ac:dyDescent="0.35">
      <c r="A776" s="41"/>
      <c r="B776" s="36"/>
      <c r="C776" s="36"/>
      <c r="D776" s="36"/>
      <c r="E776" s="52"/>
      <c r="F776" s="36"/>
      <c r="G776" s="36"/>
      <c r="H776" s="36"/>
      <c r="I776" s="52"/>
      <c r="J776" s="36"/>
      <c r="K776" s="36"/>
      <c r="L776" s="36"/>
      <c r="M776" s="52"/>
      <c r="N776" s="36"/>
      <c r="O776" s="36"/>
      <c r="P776" s="36"/>
      <c r="Q776" s="52"/>
      <c r="R776" s="42"/>
    </row>
    <row r="777" spans="1:18" ht="15.75" customHeight="1" x14ac:dyDescent="0.3">
      <c r="A777" s="15" t="s">
        <v>314</v>
      </c>
      <c r="B777" s="1">
        <f>+SUM(B774:B775)</f>
        <v>3971</v>
      </c>
      <c r="C777" s="1">
        <f>+SUM(C774:C775)</f>
        <v>8115</v>
      </c>
      <c r="D777" s="1">
        <f>+SUM(D774:D775)</f>
        <v>15230</v>
      </c>
      <c r="E777" s="60">
        <f>SUM(B777:D777)</f>
        <v>27316</v>
      </c>
      <c r="F777" s="1">
        <f>+SUM(F774:F775)</f>
        <v>17211</v>
      </c>
      <c r="G777" s="1">
        <f>+SUM(G774:G775)</f>
        <v>17559</v>
      </c>
      <c r="H777" s="1">
        <f>+SUM(H774:H775)</f>
        <v>16854</v>
      </c>
      <c r="I777" s="60">
        <f>SUM(F777:H777)</f>
        <v>51624</v>
      </c>
      <c r="J777" s="1">
        <f>+SUM(J774:J775)</f>
        <v>16988</v>
      </c>
      <c r="K777" s="1">
        <f>+SUM(K774:K775)</f>
        <v>16710</v>
      </c>
      <c r="L777" s="1">
        <f>+SUM(L774:L775)</f>
        <v>11922</v>
      </c>
      <c r="M777" s="60">
        <f>SUM(J777:L777)</f>
        <v>45620</v>
      </c>
      <c r="N777" s="1">
        <f>+SUM(N774:N775)</f>
        <v>7197</v>
      </c>
      <c r="O777" s="1">
        <f>+SUM(O774:O775)</f>
        <v>110</v>
      </c>
      <c r="P777" s="1">
        <f>+SUM(P774:P775)</f>
        <v>10415</v>
      </c>
      <c r="Q777" s="60">
        <f>SUM(N777:P777)</f>
        <v>17722</v>
      </c>
      <c r="R777" s="60">
        <f>+E777+I777+M777+Q777</f>
        <v>142282</v>
      </c>
    </row>
    <row r="778" spans="1:18" ht="15.75" customHeight="1" x14ac:dyDescent="0.3">
      <c r="A778" s="15" t="s">
        <v>42</v>
      </c>
      <c r="B778" s="1">
        <f>(B777/B10)/1.983</f>
        <v>64.597465553983042</v>
      </c>
      <c r="C778" s="1">
        <f>(C777/C10)/1.983</f>
        <v>146.15301491247027</v>
      </c>
      <c r="D778" s="1">
        <f>(D777/D10)/1.983</f>
        <v>247.75104517430415</v>
      </c>
      <c r="E778" s="55" t="s">
        <v>7</v>
      </c>
      <c r="F778" s="1">
        <f>(F777/F10)/1.983</f>
        <v>289.309127584468</v>
      </c>
      <c r="G778" s="1">
        <f>(G777/G10)/1.983</f>
        <v>285.63759699380211</v>
      </c>
      <c r="H778" s="1">
        <f>(H777/H10)/1.983</f>
        <v>283.30811901159854</v>
      </c>
      <c r="I778" s="55" t="s">
        <v>7</v>
      </c>
      <c r="J778" s="1">
        <f>(J777/J10)/1.983</f>
        <v>276.34896621280888</v>
      </c>
      <c r="K778" s="1">
        <f>(K777/K10)/1.983</f>
        <v>271.82665560489966</v>
      </c>
      <c r="L778" s="1">
        <f>(L777/L10)/1.983</f>
        <v>200.4034291477559</v>
      </c>
      <c r="M778" s="55" t="s">
        <v>7</v>
      </c>
      <c r="N778" s="1">
        <f>(N777/N10)/1.983</f>
        <v>117.07578937094333</v>
      </c>
      <c r="O778" s="1">
        <f>(O777/O10)/1.983</f>
        <v>1.849050260547991</v>
      </c>
      <c r="P778" s="1">
        <f>(P777/P10)/1.983</f>
        <v>169.42397475314363</v>
      </c>
      <c r="Q778" s="55" t="s">
        <v>7</v>
      </c>
      <c r="R778" s="55" t="s">
        <v>7</v>
      </c>
    </row>
    <row r="779" spans="1:18" ht="15.75" customHeight="1" x14ac:dyDescent="0.3">
      <c r="A779" s="15" t="s">
        <v>351</v>
      </c>
      <c r="B779" s="1">
        <f>B777+B789</f>
        <v>7382</v>
      </c>
      <c r="C779" s="1">
        <f>C777+C789</f>
        <v>11500</v>
      </c>
      <c r="D779" s="1">
        <f>D777+D789</f>
        <v>19313</v>
      </c>
      <c r="E779" s="55">
        <f>SUM(B779:D779)</f>
        <v>38195</v>
      </c>
      <c r="F779" s="1">
        <f>F777+F789</f>
        <v>21601</v>
      </c>
      <c r="G779" s="1">
        <f>G777+G789</f>
        <v>23200</v>
      </c>
      <c r="H779" s="1">
        <f>H777+H789</f>
        <v>21676</v>
      </c>
      <c r="I779" s="55">
        <f>SUM(F779:H779)</f>
        <v>66477</v>
      </c>
      <c r="J779" s="1">
        <f>J777+J789</f>
        <v>20882</v>
      </c>
      <c r="K779" s="1">
        <f>K777+K789</f>
        <v>20014</v>
      </c>
      <c r="L779" s="1">
        <f>L777+L789</f>
        <v>15639</v>
      </c>
      <c r="M779" s="55">
        <f>SUM(J779:L779)</f>
        <v>56535</v>
      </c>
      <c r="N779" s="1">
        <f>N777+N789</f>
        <v>10487</v>
      </c>
      <c r="O779" s="1">
        <f>O777+O789</f>
        <v>316</v>
      </c>
      <c r="P779" s="1">
        <f>P777+P789</f>
        <v>14623</v>
      </c>
      <c r="Q779" s="55">
        <f>SUM(N779:P779)</f>
        <v>25426</v>
      </c>
      <c r="R779" s="55">
        <f>+E779+I779+M779+Q779</f>
        <v>186633</v>
      </c>
    </row>
    <row r="780" spans="1:18" ht="16.5" customHeight="1" thickBot="1" x14ac:dyDescent="0.35">
      <c r="A780" s="20" t="s">
        <v>352</v>
      </c>
      <c r="B780" s="21">
        <f>(B779/B10)/1.983</f>
        <v>120.08524067476777</v>
      </c>
      <c r="C780" s="21">
        <f>(C779/C10)/1.983</f>
        <v>207.11764282112239</v>
      </c>
      <c r="D780" s="21">
        <f>(D779/D10)/1.983</f>
        <v>314.17044881492689</v>
      </c>
      <c r="E780" s="81" t="s">
        <v>7</v>
      </c>
      <c r="F780" s="21">
        <f>(F779/F10)/1.983</f>
        <v>363.10304252815598</v>
      </c>
      <c r="G780" s="21">
        <f>(G779/G10)/1.983</f>
        <v>377.40146080393015</v>
      </c>
      <c r="H780" s="21">
        <f>(H779/H10)/1.983</f>
        <v>364.36375861489324</v>
      </c>
      <c r="I780" s="81" t="s">
        <v>7</v>
      </c>
      <c r="J780" s="21">
        <f>(J779/J10)/1.983</f>
        <v>339.69384933222716</v>
      </c>
      <c r="K780" s="21">
        <f>(K779/K10)/1.983</f>
        <v>325.57382916076978</v>
      </c>
      <c r="L780" s="21">
        <f>(L779/L10)/1.983</f>
        <v>262.88451840645484</v>
      </c>
      <c r="M780" s="81" t="s">
        <v>7</v>
      </c>
      <c r="N780" s="21">
        <f>(N779/N10)/1.983</f>
        <v>170.59522066598345</v>
      </c>
      <c r="O780" s="21">
        <f>(O779/O10)/1.983</f>
        <v>5.3118171121196838</v>
      </c>
      <c r="P780" s="21">
        <f>(P779/P10)/1.983</f>
        <v>237.87679143689098</v>
      </c>
      <c r="Q780" s="81" t="s">
        <v>7</v>
      </c>
      <c r="R780" s="81" t="s">
        <v>7</v>
      </c>
    </row>
    <row r="781" spans="1:18" ht="15.75" customHeight="1" x14ac:dyDescent="0.3">
      <c r="A781" s="2"/>
      <c r="B781" s="1"/>
      <c r="C781" s="1"/>
      <c r="D781" s="1"/>
      <c r="E781" s="1"/>
      <c r="F781" s="1"/>
      <c r="G781" s="1"/>
      <c r="H781" s="1"/>
      <c r="I781" s="1"/>
      <c r="J781" s="1"/>
      <c r="K781" s="1"/>
      <c r="L781" s="1"/>
      <c r="M781" s="1"/>
      <c r="N781" s="1"/>
      <c r="O781" s="1"/>
      <c r="P781" s="1"/>
      <c r="Q781" s="1"/>
      <c r="R781" s="2"/>
    </row>
    <row r="782" spans="1:18" ht="15.75" customHeight="1" thickBot="1" x14ac:dyDescent="0.35">
      <c r="A782" s="2"/>
      <c r="B782" s="1"/>
      <c r="C782" s="1"/>
      <c r="D782" s="1"/>
      <c r="E782" s="1"/>
      <c r="F782" s="1"/>
      <c r="G782" s="1"/>
      <c r="H782" s="1"/>
      <c r="I782" s="1"/>
      <c r="J782" s="1"/>
      <c r="K782" s="1"/>
      <c r="L782" s="1"/>
      <c r="M782" s="1"/>
      <c r="N782" s="1"/>
      <c r="O782" s="1"/>
      <c r="P782" s="1"/>
      <c r="Q782" s="1"/>
      <c r="R782" s="2"/>
    </row>
    <row r="783" spans="1:18" ht="16.5" customHeight="1" thickBot="1" x14ac:dyDescent="0.35">
      <c r="A783" s="124" t="s">
        <v>353</v>
      </c>
      <c r="B783" s="30" t="s">
        <v>8</v>
      </c>
      <c r="C783" s="31" t="s">
        <v>9</v>
      </c>
      <c r="D783" s="31" t="s">
        <v>10</v>
      </c>
      <c r="E783" s="32" t="s">
        <v>11</v>
      </c>
      <c r="F783" s="31" t="s">
        <v>12</v>
      </c>
      <c r="G783" s="31" t="s">
        <v>13</v>
      </c>
      <c r="H783" s="31" t="s">
        <v>14</v>
      </c>
      <c r="I783" s="33" t="s">
        <v>15</v>
      </c>
      <c r="J783" s="31" t="s">
        <v>16</v>
      </c>
      <c r="K783" s="31" t="s">
        <v>17</v>
      </c>
      <c r="L783" s="31" t="s">
        <v>18</v>
      </c>
      <c r="M783" s="33" t="s">
        <v>19</v>
      </c>
      <c r="N783" s="31" t="s">
        <v>20</v>
      </c>
      <c r="O783" s="31" t="s">
        <v>21</v>
      </c>
      <c r="P783" s="31" t="s">
        <v>22</v>
      </c>
      <c r="Q783" s="33" t="s">
        <v>23</v>
      </c>
      <c r="R783" s="34" t="s">
        <v>24</v>
      </c>
    </row>
    <row r="784" spans="1:18" ht="16.5" customHeight="1" thickBot="1" x14ac:dyDescent="0.35">
      <c r="A784" s="41"/>
      <c r="B784" s="36"/>
      <c r="C784" s="36"/>
      <c r="D784" s="36"/>
      <c r="E784" s="37"/>
      <c r="F784" s="36"/>
      <c r="G784" s="36"/>
      <c r="H784" s="36"/>
      <c r="I784" s="37"/>
      <c r="J784" s="36"/>
      <c r="K784" s="36"/>
      <c r="L784" s="36"/>
      <c r="M784" s="37"/>
      <c r="N784" s="36"/>
      <c r="O784" s="36"/>
      <c r="P784" s="36"/>
      <c r="Q784" s="37"/>
      <c r="R784" s="41"/>
    </row>
    <row r="785" spans="1:18" ht="16.5" customHeight="1" thickBot="1" x14ac:dyDescent="0.35">
      <c r="A785" s="39" t="s">
        <v>40</v>
      </c>
      <c r="B785" s="21">
        <v>2</v>
      </c>
      <c r="C785" s="21">
        <v>3</v>
      </c>
      <c r="D785" s="21">
        <v>5</v>
      </c>
      <c r="E785" s="55">
        <f>SUM(B785:D785)</f>
        <v>10</v>
      </c>
      <c r="F785" s="21">
        <v>7</v>
      </c>
      <c r="G785" s="21">
        <v>8</v>
      </c>
      <c r="H785" s="21">
        <v>9</v>
      </c>
      <c r="I785" s="55">
        <f>SUM(F785:H785)</f>
        <v>24</v>
      </c>
      <c r="J785" s="21">
        <v>7</v>
      </c>
      <c r="K785" s="21">
        <v>6</v>
      </c>
      <c r="L785" s="21">
        <v>6</v>
      </c>
      <c r="M785" s="55">
        <f>SUM(J785:L785)</f>
        <v>19</v>
      </c>
      <c r="N785" s="21">
        <v>5</v>
      </c>
      <c r="O785" s="21">
        <v>3</v>
      </c>
      <c r="P785" s="21">
        <v>2</v>
      </c>
      <c r="Q785" s="55">
        <f>SUM(N785:P785)</f>
        <v>10</v>
      </c>
      <c r="R785" s="60">
        <f>+E785+I785+M785+Q785</f>
        <v>63</v>
      </c>
    </row>
    <row r="786" spans="1:18" ht="16.5" customHeight="1" thickBot="1" x14ac:dyDescent="0.35">
      <c r="A786" s="41"/>
      <c r="B786" s="36"/>
      <c r="C786" s="36"/>
      <c r="D786" s="36"/>
      <c r="E786" s="52"/>
      <c r="F786" s="36"/>
      <c r="G786" s="36"/>
      <c r="H786" s="36"/>
      <c r="I786" s="52"/>
      <c r="J786" s="36"/>
      <c r="K786" s="36"/>
      <c r="L786" s="36"/>
      <c r="M786" s="52"/>
      <c r="N786" s="36"/>
      <c r="O786" s="36"/>
      <c r="P786" s="36"/>
      <c r="Q786" s="52"/>
      <c r="R786" s="42"/>
    </row>
    <row r="787" spans="1:18" ht="15.75" customHeight="1" x14ac:dyDescent="0.3">
      <c r="A787" s="15" t="s">
        <v>314</v>
      </c>
      <c r="B787" s="1">
        <f>B785</f>
        <v>2</v>
      </c>
      <c r="C787" s="1">
        <f>C785</f>
        <v>3</v>
      </c>
      <c r="D787" s="1">
        <f>D785</f>
        <v>5</v>
      </c>
      <c r="E787" s="60">
        <f>SUM(B787:D787)</f>
        <v>10</v>
      </c>
      <c r="F787" s="1">
        <f>F785</f>
        <v>7</v>
      </c>
      <c r="G787" s="1">
        <f>G785</f>
        <v>8</v>
      </c>
      <c r="H787" s="1">
        <f>H785</f>
        <v>9</v>
      </c>
      <c r="I787" s="60">
        <f>SUM(F787:H787)</f>
        <v>24</v>
      </c>
      <c r="J787" s="1">
        <f>J785</f>
        <v>7</v>
      </c>
      <c r="K787" s="1">
        <f>K785</f>
        <v>6</v>
      </c>
      <c r="L787" s="1">
        <f>L785</f>
        <v>6</v>
      </c>
      <c r="M787" s="60">
        <f>SUM(J787:L787)</f>
        <v>19</v>
      </c>
      <c r="N787" s="1">
        <f>N785</f>
        <v>5</v>
      </c>
      <c r="O787" s="1">
        <f>O785</f>
        <v>3</v>
      </c>
      <c r="P787" s="1">
        <f>P785</f>
        <v>2</v>
      </c>
      <c r="Q787" s="60">
        <f>SUM(N787:P787)</f>
        <v>10</v>
      </c>
      <c r="R787" s="60">
        <f>+E787+I787+M787+Q787</f>
        <v>63</v>
      </c>
    </row>
    <row r="788" spans="1:18" ht="15.75" customHeight="1" x14ac:dyDescent="0.3">
      <c r="A788" s="15" t="s">
        <v>42</v>
      </c>
      <c r="B788" s="1">
        <f>(B787/B10)/1.983</f>
        <v>3.2534608689993978E-2</v>
      </c>
      <c r="C788" s="1">
        <f>(C787/C10)/1.983</f>
        <v>5.403068943159714E-2</v>
      </c>
      <c r="D788" s="1">
        <f>(D787/D10)/1.983</f>
        <v>8.1336521724984942E-2</v>
      </c>
      <c r="E788" s="55" t="s">
        <v>7</v>
      </c>
      <c r="F788" s="1">
        <f>(F787/F10)/1.983</f>
        <v>0.1176668347621449</v>
      </c>
      <c r="G788" s="1">
        <f>(G787/G10)/1.983</f>
        <v>0.13013843475997591</v>
      </c>
      <c r="H788" s="1">
        <f>(H787/H10)/1.983</f>
        <v>0.15128593040847199</v>
      </c>
      <c r="I788" s="55" t="s">
        <v>7</v>
      </c>
      <c r="J788" s="1">
        <f>(J787/J10)/1.983</f>
        <v>0.11387113041497893</v>
      </c>
      <c r="K788" s="1">
        <f>(K787/K10)/1.983</f>
        <v>9.7603826069981942E-2</v>
      </c>
      <c r="L788" s="1">
        <f>(L787/L10)/1.983</f>
        <v>0.10085728693898134</v>
      </c>
      <c r="M788" s="55" t="s">
        <v>7</v>
      </c>
      <c r="N788" s="1">
        <f>(N787/N10)/1.983</f>
        <v>8.1336521724984942E-2</v>
      </c>
      <c r="O788" s="1">
        <f>(O787/O10)/1.983</f>
        <v>5.0428643469490671E-2</v>
      </c>
      <c r="P788" s="1">
        <f>(P787/P10)/1.983</f>
        <v>3.2534608689993978E-2</v>
      </c>
      <c r="Q788" s="55" t="s">
        <v>7</v>
      </c>
      <c r="R788" s="55" t="s">
        <v>7</v>
      </c>
    </row>
    <row r="789" spans="1:18" ht="15.75" customHeight="1" x14ac:dyDescent="0.3">
      <c r="A789" s="15" t="s">
        <v>354</v>
      </c>
      <c r="B789" s="1">
        <f>B787+B823+B876-B818</f>
        <v>3411</v>
      </c>
      <c r="C789" s="1">
        <f>C787+C823+C876-C818</f>
        <v>3385</v>
      </c>
      <c r="D789" s="1">
        <f>D787+D823+D876-D818</f>
        <v>4083</v>
      </c>
      <c r="E789" s="55">
        <f>SUM(B789:D789)</f>
        <v>10879</v>
      </c>
      <c r="F789" s="1">
        <f>F787+F823+F876-F818</f>
        <v>4390</v>
      </c>
      <c r="G789" s="1">
        <f>G787+G823+G876-G818</f>
        <v>5641</v>
      </c>
      <c r="H789" s="1">
        <f>H787+H823+H876-H818</f>
        <v>4822</v>
      </c>
      <c r="I789" s="55">
        <f>SUM(F789:H789)</f>
        <v>14853</v>
      </c>
      <c r="J789" s="1">
        <f>J787+J823+J876-J818</f>
        <v>3894</v>
      </c>
      <c r="K789" s="1">
        <f>K787+K823+K876-K818</f>
        <v>3304</v>
      </c>
      <c r="L789" s="1">
        <f>L787+L823+L876-L818</f>
        <v>3717</v>
      </c>
      <c r="M789" s="55">
        <f>SUM(J789:L789)</f>
        <v>10915</v>
      </c>
      <c r="N789" s="1">
        <f>N787+N823+N876-N818</f>
        <v>3290</v>
      </c>
      <c r="O789" s="1">
        <f>O787+O823+O876-O818</f>
        <v>206</v>
      </c>
      <c r="P789" s="1">
        <f>P787+P823+P876-P818</f>
        <v>4208</v>
      </c>
      <c r="Q789" s="55">
        <f>SUM(N789:P789)</f>
        <v>7704</v>
      </c>
      <c r="R789" s="55">
        <f>+E789+I789+M789+Q789</f>
        <v>44351</v>
      </c>
    </row>
    <row r="790" spans="1:18" ht="16.5" customHeight="1" thickBot="1" x14ac:dyDescent="0.35">
      <c r="A790" s="20" t="s">
        <v>355</v>
      </c>
      <c r="B790" s="21">
        <f>(B789/B10)/1.983</f>
        <v>55.487775120784733</v>
      </c>
      <c r="C790" s="21">
        <f>(C789/C10)/1.983</f>
        <v>60.964627908652112</v>
      </c>
      <c r="D790" s="21">
        <f>(D789/D10)/1.983</f>
        <v>66.419403640622718</v>
      </c>
      <c r="E790" s="81" t="s">
        <v>7</v>
      </c>
      <c r="F790" s="21">
        <f>(F789/F10)/1.983</f>
        <v>73.793914943688023</v>
      </c>
      <c r="G790" s="21">
        <f>(G789/G10)/1.983</f>
        <v>91.763863810128015</v>
      </c>
      <c r="H790" s="21">
        <f>(H789/H10)/1.983</f>
        <v>81.055639603294665</v>
      </c>
      <c r="I790" s="81" t="s">
        <v>7</v>
      </c>
      <c r="J790" s="21">
        <f>(J789/J10)/1.983</f>
        <v>63.344883119418277</v>
      </c>
      <c r="K790" s="21">
        <f>(K789/K10)/1.983</f>
        <v>53.747173555870056</v>
      </c>
      <c r="L790" s="21">
        <f>(L789/L10)/1.983</f>
        <v>62.481089258698944</v>
      </c>
      <c r="M790" s="81" t="s">
        <v>7</v>
      </c>
      <c r="N790" s="21">
        <f>(N789/N10)/1.983</f>
        <v>53.519431295040093</v>
      </c>
      <c r="O790" s="21">
        <f>(O789/O10)/1.983</f>
        <v>3.4627668515716925</v>
      </c>
      <c r="P790" s="21">
        <f>(P789/P10)/1.983</f>
        <v>68.452816683747344</v>
      </c>
      <c r="Q790" s="81" t="s">
        <v>7</v>
      </c>
      <c r="R790" s="81" t="s">
        <v>7</v>
      </c>
    </row>
    <row r="791" spans="1:18" ht="15.75" customHeight="1" x14ac:dyDescent="0.3">
      <c r="A791" s="2"/>
      <c r="B791" s="1"/>
      <c r="C791" s="1"/>
      <c r="D791" s="1"/>
      <c r="E791" s="1"/>
      <c r="F791" s="1"/>
      <c r="G791" s="1"/>
      <c r="H791" s="1"/>
      <c r="I791" s="1"/>
      <c r="J791" s="1"/>
      <c r="K791" s="1"/>
      <c r="L791" s="1"/>
      <c r="M791" s="1"/>
      <c r="N791" s="1"/>
      <c r="O791" s="1"/>
      <c r="P791" s="1"/>
      <c r="Q791" s="1"/>
      <c r="R791" s="2"/>
    </row>
    <row r="792" spans="1:18" ht="15.75" customHeight="1" thickBot="1" x14ac:dyDescent="0.35">
      <c r="A792" s="2"/>
      <c r="B792" s="1"/>
      <c r="C792" s="1"/>
      <c r="D792" s="1"/>
      <c r="E792" s="1"/>
      <c r="F792" s="1"/>
      <c r="G792" s="1"/>
      <c r="H792" s="1"/>
      <c r="I792" s="1"/>
      <c r="J792" s="1"/>
      <c r="K792" s="1"/>
      <c r="L792" s="1"/>
      <c r="M792" s="1"/>
      <c r="N792" s="1"/>
      <c r="O792" s="1"/>
      <c r="P792" s="1"/>
      <c r="Q792" s="1"/>
      <c r="R792" s="2"/>
    </row>
    <row r="793" spans="1:18" ht="16.5" customHeight="1" thickBot="1" x14ac:dyDescent="0.35">
      <c r="A793" s="124" t="s">
        <v>356</v>
      </c>
      <c r="B793" s="30" t="s">
        <v>8</v>
      </c>
      <c r="C793" s="31" t="s">
        <v>9</v>
      </c>
      <c r="D793" s="31" t="s">
        <v>10</v>
      </c>
      <c r="E793" s="33" t="s">
        <v>11</v>
      </c>
      <c r="F793" s="31" t="s">
        <v>12</v>
      </c>
      <c r="G793" s="31" t="s">
        <v>13</v>
      </c>
      <c r="H793" s="31" t="s">
        <v>14</v>
      </c>
      <c r="I793" s="33" t="s">
        <v>15</v>
      </c>
      <c r="J793" s="31" t="s">
        <v>16</v>
      </c>
      <c r="K793" s="31" t="s">
        <v>17</v>
      </c>
      <c r="L793" s="31" t="s">
        <v>18</v>
      </c>
      <c r="M793" s="33" t="s">
        <v>19</v>
      </c>
      <c r="N793" s="31" t="s">
        <v>20</v>
      </c>
      <c r="O793" s="31" t="s">
        <v>21</v>
      </c>
      <c r="P793" s="31" t="s">
        <v>22</v>
      </c>
      <c r="Q793" s="33" t="s">
        <v>23</v>
      </c>
      <c r="R793" s="131" t="s">
        <v>24</v>
      </c>
    </row>
    <row r="794" spans="1:18" ht="16.5" customHeight="1" thickBot="1" x14ac:dyDescent="0.35">
      <c r="A794" s="41"/>
      <c r="B794" s="36"/>
      <c r="C794" s="36"/>
      <c r="D794" s="36"/>
      <c r="E794" s="132"/>
      <c r="F794" s="36"/>
      <c r="G794" s="36"/>
      <c r="H794" s="36"/>
      <c r="I794" s="132"/>
      <c r="J794" s="36"/>
      <c r="K794" s="36"/>
      <c r="L794" s="36"/>
      <c r="M794" s="132"/>
      <c r="N794" s="36"/>
      <c r="O794" s="36"/>
      <c r="P794" s="36"/>
      <c r="Q794" s="132"/>
      <c r="R794" s="38"/>
    </row>
    <row r="795" spans="1:18" ht="15.75" customHeight="1" x14ac:dyDescent="0.3">
      <c r="A795" s="15" t="s">
        <v>48</v>
      </c>
      <c r="B795" s="1" t="s">
        <v>7</v>
      </c>
      <c r="C795" s="1" t="s">
        <v>7</v>
      </c>
      <c r="D795" s="1" t="s">
        <v>7</v>
      </c>
      <c r="E795" s="55" t="s">
        <v>7</v>
      </c>
      <c r="F795" s="1" t="s">
        <v>7</v>
      </c>
      <c r="G795" s="1" t="s">
        <v>7</v>
      </c>
      <c r="H795" s="1" t="s">
        <v>7</v>
      </c>
      <c r="I795" s="55" t="s">
        <v>7</v>
      </c>
      <c r="J795" s="1" t="s">
        <v>7</v>
      </c>
      <c r="K795" s="1" t="s">
        <v>7</v>
      </c>
      <c r="L795" s="1" t="s">
        <v>7</v>
      </c>
      <c r="M795" s="55" t="s">
        <v>7</v>
      </c>
      <c r="N795" s="1" t="s">
        <v>7</v>
      </c>
      <c r="O795" s="1" t="s">
        <v>7</v>
      </c>
      <c r="P795" s="1" t="s">
        <v>7</v>
      </c>
      <c r="Q795" s="55" t="s">
        <v>7</v>
      </c>
      <c r="R795" s="55" t="s">
        <v>7</v>
      </c>
    </row>
    <row r="796" spans="1:18" ht="15.75" customHeight="1" x14ac:dyDescent="0.3">
      <c r="A796" s="15" t="s">
        <v>49</v>
      </c>
      <c r="B796" s="1"/>
      <c r="C796" s="1"/>
      <c r="D796" s="1"/>
      <c r="E796" s="55" t="s">
        <v>7</v>
      </c>
      <c r="F796" s="1"/>
      <c r="G796" s="1"/>
      <c r="H796" s="1"/>
      <c r="I796" s="55" t="s">
        <v>7</v>
      </c>
      <c r="J796" s="1"/>
      <c r="K796" s="1"/>
      <c r="L796" s="1"/>
      <c r="M796" s="55" t="s">
        <v>7</v>
      </c>
      <c r="N796" s="1"/>
      <c r="O796" s="1"/>
      <c r="P796" s="1"/>
      <c r="Q796" s="55" t="s">
        <v>7</v>
      </c>
      <c r="R796" s="55" t="s">
        <v>7</v>
      </c>
    </row>
    <row r="797" spans="1:18" ht="15.75" customHeight="1" x14ac:dyDescent="0.3">
      <c r="A797" s="71" t="s">
        <v>357</v>
      </c>
      <c r="B797" s="1"/>
      <c r="C797" s="1"/>
      <c r="D797" s="1"/>
      <c r="E797" s="55">
        <f>SUM(B797:D797)</f>
        <v>0</v>
      </c>
      <c r="F797" s="1"/>
      <c r="G797" s="1">
        <v>46</v>
      </c>
      <c r="H797" s="1"/>
      <c r="I797" s="55">
        <f>SUM(F797:H797)</f>
        <v>46</v>
      </c>
      <c r="J797" s="1"/>
      <c r="K797" s="1"/>
      <c r="L797" s="1"/>
      <c r="M797" s="55">
        <f>SUM(J797:L797)</f>
        <v>0</v>
      </c>
      <c r="N797" s="1"/>
      <c r="O797" s="1"/>
      <c r="P797" s="1"/>
      <c r="Q797" s="55">
        <f>SUM(N797:P797)</f>
        <v>0</v>
      </c>
      <c r="R797" s="55">
        <f>+E797+I797+M797+Q797</f>
        <v>46</v>
      </c>
    </row>
    <row r="798" spans="1:18" ht="15.75" customHeight="1" x14ac:dyDescent="0.3">
      <c r="A798" s="15" t="s">
        <v>50</v>
      </c>
      <c r="B798" s="1"/>
      <c r="C798" s="1"/>
      <c r="D798" s="1"/>
      <c r="E798" s="55" t="s">
        <v>7</v>
      </c>
      <c r="F798" s="1"/>
      <c r="G798" s="1"/>
      <c r="H798" s="1"/>
      <c r="I798" s="55" t="s">
        <v>7</v>
      </c>
      <c r="J798" s="1"/>
      <c r="K798" s="1"/>
      <c r="L798" s="1"/>
      <c r="M798" s="55" t="s">
        <v>7</v>
      </c>
      <c r="N798" s="1"/>
      <c r="O798" s="1"/>
      <c r="P798" s="1"/>
      <c r="Q798" s="55" t="s">
        <v>7</v>
      </c>
      <c r="R798" s="55" t="s">
        <v>7</v>
      </c>
    </row>
    <row r="799" spans="1:18" ht="15.75" customHeight="1" x14ac:dyDescent="0.3">
      <c r="A799" s="15" t="s">
        <v>1186</v>
      </c>
      <c r="B799" s="1"/>
      <c r="C799" s="1"/>
      <c r="D799" s="1"/>
      <c r="E799" s="55" t="s">
        <v>7</v>
      </c>
      <c r="F799" s="1"/>
      <c r="G799" s="1"/>
      <c r="H799" s="1"/>
      <c r="I799" s="55" t="s">
        <v>7</v>
      </c>
      <c r="J799" s="1"/>
      <c r="K799" s="1"/>
      <c r="L799" s="1"/>
      <c r="M799" s="55" t="s">
        <v>7</v>
      </c>
      <c r="N799" s="1"/>
      <c r="O799" s="1"/>
      <c r="P799" s="1"/>
      <c r="Q799" s="55" t="s">
        <v>7</v>
      </c>
      <c r="R799" s="55" t="s">
        <v>7</v>
      </c>
    </row>
    <row r="800" spans="1:18" ht="15.75" customHeight="1" thickBot="1" x14ac:dyDescent="0.35">
      <c r="A800" s="15" t="s">
        <v>53</v>
      </c>
      <c r="B800" s="1"/>
      <c r="C800" s="1"/>
      <c r="D800" s="1"/>
      <c r="E800" s="55" t="s">
        <v>7</v>
      </c>
      <c r="F800" s="1"/>
      <c r="G800" s="1"/>
      <c r="H800" s="1"/>
      <c r="I800" s="55" t="s">
        <v>7</v>
      </c>
      <c r="J800" s="1"/>
      <c r="K800" s="1"/>
      <c r="L800" s="1"/>
      <c r="M800" s="55" t="s">
        <v>7</v>
      </c>
      <c r="N800" s="1"/>
      <c r="O800" s="1"/>
      <c r="P800" s="1"/>
      <c r="Q800" s="55" t="s">
        <v>7</v>
      </c>
      <c r="R800" s="55" t="s">
        <v>7</v>
      </c>
    </row>
    <row r="801" spans="1:18" ht="16.5" customHeight="1" thickBot="1" x14ac:dyDescent="0.35">
      <c r="A801" s="57" t="s">
        <v>54</v>
      </c>
      <c r="B801" s="86">
        <f>SUM(B795:B800)</f>
        <v>0</v>
      </c>
      <c r="C801" s="87">
        <f>SUM(C795:C800)</f>
        <v>0</v>
      </c>
      <c r="D801" s="87">
        <f>SUM(D795:D800)</f>
        <v>0</v>
      </c>
      <c r="E801" s="59">
        <f>SUM(B801:D801)</f>
        <v>0</v>
      </c>
      <c r="F801" s="87">
        <f>SUM(F795:F800)</f>
        <v>0</v>
      </c>
      <c r="G801" s="87">
        <f>SUM(G795:G800)</f>
        <v>46</v>
      </c>
      <c r="H801" s="87">
        <f>SUM(H795:H800)</f>
        <v>0</v>
      </c>
      <c r="I801" s="59">
        <f>SUM(F801:H801)</f>
        <v>46</v>
      </c>
      <c r="J801" s="87">
        <f>SUM(J795:J800)</f>
        <v>0</v>
      </c>
      <c r="K801" s="87">
        <f>SUM(K795:K800)</f>
        <v>0</v>
      </c>
      <c r="L801" s="87">
        <f>SUM(L795:L800)</f>
        <v>0</v>
      </c>
      <c r="M801" s="59">
        <f>SUM(J801:L801)</f>
        <v>0</v>
      </c>
      <c r="N801" s="87">
        <f>SUM(N795:N800)</f>
        <v>0</v>
      </c>
      <c r="O801" s="87">
        <f>SUM(O795:O800)</f>
        <v>0</v>
      </c>
      <c r="P801" s="87">
        <f>SUM(P795:P800)</f>
        <v>0</v>
      </c>
      <c r="Q801" s="59">
        <f>SUM(N801:P801)</f>
        <v>0</v>
      </c>
      <c r="R801" s="59">
        <f>+E801+I801+M801+Q801</f>
        <v>46</v>
      </c>
    </row>
    <row r="802" spans="1:18" ht="15.75" customHeight="1" x14ac:dyDescent="0.3">
      <c r="A802" s="15" t="s">
        <v>55</v>
      </c>
      <c r="B802" s="1"/>
      <c r="C802" s="1"/>
      <c r="D802" s="1"/>
      <c r="E802" s="55" t="s">
        <v>7</v>
      </c>
      <c r="F802" s="1"/>
      <c r="G802" s="1"/>
      <c r="H802" s="1"/>
      <c r="I802" s="55" t="s">
        <v>7</v>
      </c>
      <c r="J802" s="1"/>
      <c r="K802" s="1"/>
      <c r="L802" s="1"/>
      <c r="M802" s="55" t="s">
        <v>7</v>
      </c>
      <c r="N802" s="1"/>
      <c r="O802" s="1"/>
      <c r="P802" s="1"/>
      <c r="Q802" s="55" t="s">
        <v>7</v>
      </c>
      <c r="R802" s="55" t="s">
        <v>7</v>
      </c>
    </row>
    <row r="803" spans="1:18" ht="15.75" customHeight="1" x14ac:dyDescent="0.3">
      <c r="A803" s="15" t="s">
        <v>57</v>
      </c>
      <c r="B803" s="1"/>
      <c r="C803" s="1"/>
      <c r="D803" s="1"/>
      <c r="E803" s="55" t="s">
        <v>7</v>
      </c>
      <c r="F803" s="1"/>
      <c r="G803" s="1"/>
      <c r="H803" s="1"/>
      <c r="I803" s="55" t="s">
        <v>7</v>
      </c>
      <c r="J803" s="1"/>
      <c r="K803" s="1"/>
      <c r="L803" s="1"/>
      <c r="M803" s="55" t="s">
        <v>7</v>
      </c>
      <c r="N803" s="1"/>
      <c r="O803" s="1"/>
      <c r="P803" s="1"/>
      <c r="Q803" s="55" t="s">
        <v>7</v>
      </c>
      <c r="R803" s="55" t="s">
        <v>7</v>
      </c>
    </row>
    <row r="804" spans="1:18" ht="15.75" customHeight="1" thickBot="1" x14ac:dyDescent="0.35">
      <c r="A804" s="15" t="s">
        <v>58</v>
      </c>
      <c r="B804" s="1"/>
      <c r="C804" s="1"/>
      <c r="D804" s="1"/>
      <c r="E804" s="55" t="s">
        <v>7</v>
      </c>
      <c r="F804" s="1"/>
      <c r="G804" s="1"/>
      <c r="H804" s="1"/>
      <c r="I804" s="55" t="s">
        <v>7</v>
      </c>
      <c r="J804" s="1"/>
      <c r="K804" s="1"/>
      <c r="L804" s="1"/>
      <c r="M804" s="55" t="s">
        <v>7</v>
      </c>
      <c r="N804" s="1"/>
      <c r="O804" s="1"/>
      <c r="P804" s="1"/>
      <c r="Q804" s="55" t="s">
        <v>7</v>
      </c>
      <c r="R804" s="55" t="s">
        <v>7</v>
      </c>
    </row>
    <row r="805" spans="1:18" ht="16.5" customHeight="1" thickBot="1" x14ac:dyDescent="0.35">
      <c r="A805" s="57" t="s">
        <v>59</v>
      </c>
      <c r="B805" s="86">
        <f>SUM(B802:B804)</f>
        <v>0</v>
      </c>
      <c r="C805" s="87">
        <f>SUM(C802:C804)</f>
        <v>0</v>
      </c>
      <c r="D805" s="87">
        <f>SUM(D802:D804)</f>
        <v>0</v>
      </c>
      <c r="E805" s="59">
        <f>SUM(B805:D805)</f>
        <v>0</v>
      </c>
      <c r="F805" s="87">
        <f>SUM(F802:F804)</f>
        <v>0</v>
      </c>
      <c r="G805" s="87">
        <f>SUM(G802:G804)</f>
        <v>0</v>
      </c>
      <c r="H805" s="87">
        <f>SUM(H802:H804)</f>
        <v>0</v>
      </c>
      <c r="I805" s="59">
        <f>SUM(F805:H805)</f>
        <v>0</v>
      </c>
      <c r="J805" s="87">
        <f>SUM(J802:J804)</f>
        <v>0</v>
      </c>
      <c r="K805" s="87">
        <f>SUM(K802:K804)</f>
        <v>0</v>
      </c>
      <c r="L805" s="87">
        <f>SUM(L802:L804)</f>
        <v>0</v>
      </c>
      <c r="M805" s="59">
        <f>SUM(J805:L805)</f>
        <v>0</v>
      </c>
      <c r="N805" s="87">
        <f>SUM(N802:N804)</f>
        <v>0</v>
      </c>
      <c r="O805" s="87">
        <f>SUM(O802:O804)</f>
        <v>0</v>
      </c>
      <c r="P805" s="87">
        <f>SUM(P802:P804)</f>
        <v>0</v>
      </c>
      <c r="Q805" s="59">
        <f>SUM(N805:P805)</f>
        <v>0</v>
      </c>
      <c r="R805" s="59">
        <f>+E805+I805+M805+Q805</f>
        <v>0</v>
      </c>
    </row>
    <row r="806" spans="1:18" ht="15.75" customHeight="1" x14ac:dyDescent="0.3">
      <c r="A806" s="15" t="s">
        <v>60</v>
      </c>
      <c r="B806" s="1"/>
      <c r="C806" s="1"/>
      <c r="D806" s="1"/>
      <c r="E806" s="55" t="s">
        <v>7</v>
      </c>
      <c r="F806" s="1"/>
      <c r="G806" s="1"/>
      <c r="H806" s="1"/>
      <c r="I806" s="55" t="s">
        <v>7</v>
      </c>
      <c r="J806" s="1"/>
      <c r="K806" s="1"/>
      <c r="L806" s="1"/>
      <c r="M806" s="55" t="s">
        <v>7</v>
      </c>
      <c r="N806" s="1"/>
      <c r="O806" s="1"/>
      <c r="P806" s="1"/>
      <c r="Q806" s="55" t="s">
        <v>7</v>
      </c>
      <c r="R806" s="55" t="s">
        <v>7</v>
      </c>
    </row>
    <row r="807" spans="1:18" ht="15.75" customHeight="1" x14ac:dyDescent="0.3">
      <c r="A807" s="15" t="s">
        <v>61</v>
      </c>
      <c r="B807" s="1"/>
      <c r="C807" s="1"/>
      <c r="D807" s="1"/>
      <c r="E807" s="55" t="s">
        <v>7</v>
      </c>
      <c r="F807" s="1"/>
      <c r="G807" s="1"/>
      <c r="H807" s="1"/>
      <c r="I807" s="55" t="s">
        <v>7</v>
      </c>
      <c r="J807" s="1"/>
      <c r="K807" s="1"/>
      <c r="L807" s="1"/>
      <c r="M807" s="55" t="s">
        <v>7</v>
      </c>
      <c r="N807" s="1"/>
      <c r="O807" s="1"/>
      <c r="P807" s="1"/>
      <c r="Q807" s="55" t="s">
        <v>7</v>
      </c>
      <c r="R807" s="55" t="s">
        <v>7</v>
      </c>
    </row>
    <row r="808" spans="1:18" ht="15.75" customHeight="1" thickBot="1" x14ac:dyDescent="0.35">
      <c r="A808" s="15" t="s">
        <v>62</v>
      </c>
      <c r="B808" s="1"/>
      <c r="C808" s="1"/>
      <c r="D808" s="1"/>
      <c r="E808" s="55" t="s">
        <v>7</v>
      </c>
      <c r="F808" s="1"/>
      <c r="G808" s="1"/>
      <c r="H808" s="1"/>
      <c r="I808" s="55" t="s">
        <v>7</v>
      </c>
      <c r="J808" s="1"/>
      <c r="K808" s="1"/>
      <c r="L808" s="1"/>
      <c r="M808" s="55" t="s">
        <v>7</v>
      </c>
      <c r="N808" s="1"/>
      <c r="O808" s="1"/>
      <c r="P808" s="1"/>
      <c r="Q808" s="55" t="s">
        <v>7</v>
      </c>
      <c r="R808" s="55" t="s">
        <v>7</v>
      </c>
    </row>
    <row r="809" spans="1:18" ht="16.5" customHeight="1" thickBot="1" x14ac:dyDescent="0.35">
      <c r="A809" s="57" t="s">
        <v>63</v>
      </c>
      <c r="B809" s="86">
        <f>SUM(B806:B808)</f>
        <v>0</v>
      </c>
      <c r="C809" s="87">
        <f>SUM(C806:C808)</f>
        <v>0</v>
      </c>
      <c r="D809" s="87">
        <f>SUM(D806:D808)</f>
        <v>0</v>
      </c>
      <c r="E809" s="59">
        <f>SUM(B809:D809)</f>
        <v>0</v>
      </c>
      <c r="F809" s="87">
        <f>SUM(F806:F808)</f>
        <v>0</v>
      </c>
      <c r="G809" s="87">
        <f>SUM(G806:G808)</f>
        <v>0</v>
      </c>
      <c r="H809" s="87">
        <f>SUM(H806:H808)</f>
        <v>0</v>
      </c>
      <c r="I809" s="59">
        <f>SUM(F809:H809)</f>
        <v>0</v>
      </c>
      <c r="J809" s="87">
        <f>SUM(J806:J808)</f>
        <v>0</v>
      </c>
      <c r="K809" s="87">
        <f>SUM(K806:K808)</f>
        <v>0</v>
      </c>
      <c r="L809" s="87">
        <f>SUM(L806:L808)</f>
        <v>0</v>
      </c>
      <c r="M809" s="59">
        <f>SUM(J809:L809)</f>
        <v>0</v>
      </c>
      <c r="N809" s="87">
        <f>SUM(N806:N808)</f>
        <v>0</v>
      </c>
      <c r="O809" s="87">
        <f>SUM(O806:O808)</f>
        <v>0</v>
      </c>
      <c r="P809" s="87">
        <f>SUM(P806:P808)</f>
        <v>0</v>
      </c>
      <c r="Q809" s="59">
        <f>SUM(N809:P809)</f>
        <v>0</v>
      </c>
      <c r="R809" s="59">
        <f>+E809+I809+M809+Q809</f>
        <v>0</v>
      </c>
    </row>
    <row r="810" spans="1:18" ht="15.75" customHeight="1" x14ac:dyDescent="0.3">
      <c r="A810" s="15" t="s">
        <v>64</v>
      </c>
      <c r="B810" s="1"/>
      <c r="C810" s="1"/>
      <c r="D810" s="1"/>
      <c r="E810" s="55" t="s">
        <v>7</v>
      </c>
      <c r="F810" s="1"/>
      <c r="G810" s="1"/>
      <c r="H810" s="1"/>
      <c r="I810" s="55" t="s">
        <v>7</v>
      </c>
      <c r="J810" s="1"/>
      <c r="K810" s="1"/>
      <c r="L810" s="1"/>
      <c r="M810" s="55" t="s">
        <v>7</v>
      </c>
      <c r="N810" s="1"/>
      <c r="O810" s="1"/>
      <c r="P810" s="1"/>
      <c r="Q810" s="55" t="s">
        <v>7</v>
      </c>
      <c r="R810" s="55" t="s">
        <v>7</v>
      </c>
    </row>
    <row r="811" spans="1:18" ht="15.75" customHeight="1" x14ac:dyDescent="0.3">
      <c r="A811" s="15" t="s">
        <v>594</v>
      </c>
      <c r="B811" s="1"/>
      <c r="C811" s="1"/>
      <c r="D811" s="1"/>
      <c r="E811" s="55" t="s">
        <v>7</v>
      </c>
      <c r="F811" s="1"/>
      <c r="G811" s="1"/>
      <c r="H811" s="1"/>
      <c r="I811" s="55" t="s">
        <v>7</v>
      </c>
      <c r="J811" s="1"/>
      <c r="K811" s="1"/>
      <c r="L811" s="1"/>
      <c r="M811" s="55" t="s">
        <v>7</v>
      </c>
      <c r="N811" s="1"/>
      <c r="O811" s="1"/>
      <c r="P811" s="1"/>
      <c r="Q811" s="55" t="s">
        <v>7</v>
      </c>
      <c r="R811" s="55" t="s">
        <v>7</v>
      </c>
    </row>
    <row r="812" spans="1:18" ht="15.75" customHeight="1" x14ac:dyDescent="0.3">
      <c r="A812" s="15" t="s">
        <v>67</v>
      </c>
      <c r="B812" s="1"/>
      <c r="C812" s="1"/>
      <c r="D812" s="1"/>
      <c r="E812" s="55" t="s">
        <v>7</v>
      </c>
      <c r="F812" s="1"/>
      <c r="G812" s="1"/>
      <c r="H812" s="1"/>
      <c r="I812" s="55" t="s">
        <v>7</v>
      </c>
      <c r="J812" s="1"/>
      <c r="K812" s="1"/>
      <c r="L812" s="1"/>
      <c r="M812" s="55" t="s">
        <v>7</v>
      </c>
      <c r="N812" s="1"/>
      <c r="O812" s="1"/>
      <c r="P812" s="1"/>
      <c r="Q812" s="55" t="s">
        <v>7</v>
      </c>
      <c r="R812" s="55" t="s">
        <v>7</v>
      </c>
    </row>
    <row r="813" spans="1:18" ht="15.75" customHeight="1" x14ac:dyDescent="0.3">
      <c r="A813" s="15" t="s">
        <v>600</v>
      </c>
      <c r="B813" s="1"/>
      <c r="C813" s="1"/>
      <c r="D813" s="1"/>
      <c r="E813" s="55" t="s">
        <v>7</v>
      </c>
      <c r="F813" s="1"/>
      <c r="G813" s="1"/>
      <c r="H813" s="1"/>
      <c r="I813" s="55" t="s">
        <v>7</v>
      </c>
      <c r="J813" s="1"/>
      <c r="K813" s="1"/>
      <c r="L813" s="1"/>
      <c r="M813" s="55" t="s">
        <v>7</v>
      </c>
      <c r="N813" s="1"/>
      <c r="O813" s="1"/>
      <c r="P813" s="1"/>
      <c r="Q813" s="55" t="s">
        <v>7</v>
      </c>
      <c r="R813" s="55" t="s">
        <v>7</v>
      </c>
    </row>
    <row r="814" spans="1:18" ht="15.75" customHeight="1" thickBot="1" x14ac:dyDescent="0.35">
      <c r="A814" s="15" t="s">
        <v>70</v>
      </c>
      <c r="B814" s="1"/>
      <c r="C814" s="1"/>
      <c r="D814" s="1"/>
      <c r="E814" s="55" t="s">
        <v>7</v>
      </c>
      <c r="F814" s="1"/>
      <c r="G814" s="1"/>
      <c r="H814" s="1"/>
      <c r="I814" s="55" t="s">
        <v>7</v>
      </c>
      <c r="J814" s="1"/>
      <c r="K814" s="1"/>
      <c r="L814" s="1"/>
      <c r="M814" s="55" t="s">
        <v>7</v>
      </c>
      <c r="N814" s="1"/>
      <c r="O814" s="1"/>
      <c r="P814" s="1"/>
      <c r="Q814" s="55" t="s">
        <v>7</v>
      </c>
      <c r="R814" s="55" t="s">
        <v>7</v>
      </c>
    </row>
    <row r="815" spans="1:18" ht="16.5" customHeight="1" thickBot="1" x14ac:dyDescent="0.35">
      <c r="A815" s="57" t="s">
        <v>71</v>
      </c>
      <c r="B815" s="58">
        <f>SUM(B813:B814)</f>
        <v>0</v>
      </c>
      <c r="C815" s="58">
        <f>SUM(C813:C814)</f>
        <v>0</v>
      </c>
      <c r="D815" s="58">
        <f>SUM(D813:D814)</f>
        <v>0</v>
      </c>
      <c r="E815" s="60">
        <f>SUM(B815:D815)</f>
        <v>0</v>
      </c>
      <c r="F815" s="58">
        <f>SUM(F813:F814)</f>
        <v>0</v>
      </c>
      <c r="G815" s="58">
        <f>SUM(G813:G814)</f>
        <v>0</v>
      </c>
      <c r="H815" s="58">
        <f>SUM(H813:H814)</f>
        <v>0</v>
      </c>
      <c r="I815" s="60">
        <f>SUM(F815:H815)</f>
        <v>0</v>
      </c>
      <c r="J815" s="58">
        <f>SUM(J813:J814)</f>
        <v>0</v>
      </c>
      <c r="K815" s="58">
        <f>SUM(K813:K814)</f>
        <v>0</v>
      </c>
      <c r="L815" s="58">
        <f>SUM(L813:L814)</f>
        <v>0</v>
      </c>
      <c r="M815" s="60">
        <f>SUM(J815:L815)</f>
        <v>0</v>
      </c>
      <c r="N815" s="58">
        <f>SUM(N813:N814)</f>
        <v>0</v>
      </c>
      <c r="O815" s="58">
        <f>SUM(O813:O814)</f>
        <v>0</v>
      </c>
      <c r="P815" s="58">
        <f>SUM(P813:P814)</f>
        <v>0</v>
      </c>
      <c r="Q815" s="60">
        <f>SUM(N815:P815)</f>
        <v>0</v>
      </c>
      <c r="R815" s="59">
        <f>+E815+I815+M815+Q815</f>
        <v>0</v>
      </c>
    </row>
    <row r="816" spans="1:18" ht="16.5" customHeight="1" thickBot="1" x14ac:dyDescent="0.35">
      <c r="A816" s="57" t="s">
        <v>72</v>
      </c>
      <c r="B816" s="86">
        <f>SUM(B810:B814)</f>
        <v>0</v>
      </c>
      <c r="C816" s="87">
        <f>SUM(C810:C814)</f>
        <v>0</v>
      </c>
      <c r="D816" s="118">
        <f>SUM(D810:D814)</f>
        <v>0</v>
      </c>
      <c r="E816" s="60">
        <f>SUM(B816:D816)</f>
        <v>0</v>
      </c>
      <c r="F816" s="87">
        <f>SUM(F810:F814)</f>
        <v>0</v>
      </c>
      <c r="G816" s="87">
        <f>SUM(G810:G814)</f>
        <v>0</v>
      </c>
      <c r="H816" s="87">
        <f>SUM(H810:H814)</f>
        <v>0</v>
      </c>
      <c r="I816" s="60">
        <f>SUM(F816:H816)</f>
        <v>0</v>
      </c>
      <c r="J816" s="87">
        <f>SUM(J810:J814)</f>
        <v>0</v>
      </c>
      <c r="K816" s="87">
        <f>SUM(K810:K814)</f>
        <v>0</v>
      </c>
      <c r="L816" s="87">
        <f>SUM(L810:L814)</f>
        <v>0</v>
      </c>
      <c r="M816" s="60">
        <f>SUM(J816:L816)</f>
        <v>0</v>
      </c>
      <c r="N816" s="87">
        <f>SUM(N810:N814)</f>
        <v>0</v>
      </c>
      <c r="O816" s="87">
        <f>SUM(O810:O814)</f>
        <v>0</v>
      </c>
      <c r="P816" s="87">
        <f>SUM(P810:P814)</f>
        <v>0</v>
      </c>
      <c r="Q816" s="60">
        <f>SUM(N816:P816)</f>
        <v>0</v>
      </c>
      <c r="R816" s="59">
        <f>+E816+I816+M816+Q816</f>
        <v>0</v>
      </c>
    </row>
    <row r="817" spans="1:20" ht="16.5" customHeight="1" thickBot="1" x14ac:dyDescent="0.35">
      <c r="A817" s="57" t="s">
        <v>73</v>
      </c>
      <c r="B817" s="90">
        <f>+B801+B805+B809+B816</f>
        <v>0</v>
      </c>
      <c r="C817" s="58">
        <f>+C801+C805+C809+C816</f>
        <v>0</v>
      </c>
      <c r="D817" s="58">
        <f>+D801+D805+D809+D816</f>
        <v>0</v>
      </c>
      <c r="E817" s="59">
        <f>SUM(B817:D817)</f>
        <v>0</v>
      </c>
      <c r="F817" s="58">
        <f>+F801+F805+F809+F816</f>
        <v>0</v>
      </c>
      <c r="G817" s="58">
        <f>+G801+G805+G809+G816</f>
        <v>46</v>
      </c>
      <c r="H817" s="58">
        <f>+H801+H805+H809+H816</f>
        <v>0</v>
      </c>
      <c r="I817" s="59">
        <f>SUM(F817:H817)</f>
        <v>46</v>
      </c>
      <c r="J817" s="58">
        <f>+J801+J805+J809+J816</f>
        <v>0</v>
      </c>
      <c r="K817" s="58">
        <f>+K801+K805+K809+K816</f>
        <v>0</v>
      </c>
      <c r="L817" s="58">
        <f>+L801+L805+L809+L816</f>
        <v>0</v>
      </c>
      <c r="M817" s="59">
        <f>SUM(J817:L817)</f>
        <v>0</v>
      </c>
      <c r="N817" s="58">
        <f>+N801+N805+N809+N816</f>
        <v>0</v>
      </c>
      <c r="O817" s="58">
        <f>+O801+O805+O809+O816</f>
        <v>0</v>
      </c>
      <c r="P817" s="58">
        <f>+P801+P805+P809+P816</f>
        <v>0</v>
      </c>
      <c r="Q817" s="59">
        <f>SUM(N817:P817)</f>
        <v>0</v>
      </c>
      <c r="R817" s="81">
        <f>+E817+I817+M817+Q817</f>
        <v>46</v>
      </c>
    </row>
    <row r="818" spans="1:20" ht="15.75" customHeight="1" x14ac:dyDescent="0.3">
      <c r="A818" s="71" t="s">
        <v>358</v>
      </c>
      <c r="B818" s="1">
        <v>4731</v>
      </c>
      <c r="C818" s="1">
        <v>4711</v>
      </c>
      <c r="D818" s="1">
        <v>5045</v>
      </c>
      <c r="E818" s="55">
        <f>SUM(B818:D818)</f>
        <v>14487</v>
      </c>
      <c r="F818" s="1">
        <v>4952</v>
      </c>
      <c r="G818" s="1">
        <v>6086</v>
      </c>
      <c r="H818" s="1">
        <v>7137</v>
      </c>
      <c r="I818" s="55">
        <f>SUM(F818:H818)</f>
        <v>18175</v>
      </c>
      <c r="J818" s="1">
        <v>5843</v>
      </c>
      <c r="K818" s="1">
        <v>5899</v>
      </c>
      <c r="L818" s="1">
        <v>3190</v>
      </c>
      <c r="M818" s="55">
        <f>SUM(J818:L818)</f>
        <v>14932</v>
      </c>
      <c r="N818" s="1">
        <v>255</v>
      </c>
      <c r="O818" s="1">
        <v>5332</v>
      </c>
      <c r="P818" s="1">
        <v>5291</v>
      </c>
      <c r="Q818" s="55">
        <f>SUM(N818:P818)</f>
        <v>10878</v>
      </c>
      <c r="R818" s="55">
        <f>+E818+I818+M818+Q818</f>
        <v>58472</v>
      </c>
    </row>
    <row r="819" spans="1:20" ht="15.75" customHeight="1" thickBot="1" x14ac:dyDescent="0.35">
      <c r="A819" s="71" t="s">
        <v>40</v>
      </c>
      <c r="B819" s="1">
        <v>0</v>
      </c>
      <c r="C819" s="1">
        <v>0</v>
      </c>
      <c r="D819" s="1">
        <v>0</v>
      </c>
      <c r="E819" s="55">
        <f>SUM(B819:D819)</f>
        <v>0</v>
      </c>
      <c r="F819" s="1">
        <v>0</v>
      </c>
      <c r="G819" s="1">
        <v>0</v>
      </c>
      <c r="H819" s="1">
        <v>0</v>
      </c>
      <c r="I819" s="55">
        <f>SUM(F819:H819)</f>
        <v>0</v>
      </c>
      <c r="J819" s="1">
        <v>0</v>
      </c>
      <c r="K819" s="1">
        <v>0</v>
      </c>
      <c r="L819" s="1">
        <v>0</v>
      </c>
      <c r="M819" s="55">
        <f>SUM(J819:L819)</f>
        <v>0</v>
      </c>
      <c r="N819" s="1">
        <v>0</v>
      </c>
      <c r="O819" s="1">
        <v>0</v>
      </c>
      <c r="P819" s="1">
        <v>0</v>
      </c>
      <c r="Q819" s="55">
        <f>SUM(N819:P819)</f>
        <v>0</v>
      </c>
      <c r="R819" s="55">
        <f>+E819+I819+M819+Q819</f>
        <v>0</v>
      </c>
    </row>
    <row r="820" spans="1:20" ht="16.5" customHeight="1" thickBot="1" x14ac:dyDescent="0.35">
      <c r="A820" s="130"/>
      <c r="B820" s="51"/>
      <c r="C820" s="51"/>
      <c r="D820" s="51"/>
      <c r="E820" s="59" t="s">
        <v>7</v>
      </c>
      <c r="F820" s="51"/>
      <c r="G820" s="51"/>
      <c r="H820" s="51"/>
      <c r="I820" s="59" t="s">
        <v>7</v>
      </c>
      <c r="J820" s="51"/>
      <c r="K820" s="51"/>
      <c r="L820" s="51"/>
      <c r="M820" s="59" t="s">
        <v>7</v>
      </c>
      <c r="N820" s="51"/>
      <c r="O820" s="51"/>
      <c r="P820" s="51"/>
      <c r="Q820" s="59"/>
      <c r="R820" s="59"/>
    </row>
    <row r="821" spans="1:20" ht="15.75" customHeight="1" x14ac:dyDescent="0.3">
      <c r="A821" s="15" t="s">
        <v>41</v>
      </c>
      <c r="B821" s="1">
        <f>SUM(B817:B819)</f>
        <v>4731</v>
      </c>
      <c r="C821" s="1">
        <f>SUM(C817:C819)</f>
        <v>4711</v>
      </c>
      <c r="D821" s="1">
        <f>SUM(D817:D819)</f>
        <v>5045</v>
      </c>
      <c r="E821" s="60">
        <f>SUM(B821:D821)</f>
        <v>14487</v>
      </c>
      <c r="F821" s="1">
        <f>SUM(F817:F819)</f>
        <v>4952</v>
      </c>
      <c r="G821" s="1">
        <f>SUM(G817:G819)</f>
        <v>6132</v>
      </c>
      <c r="H821" s="1">
        <f>SUM(H817:H819)</f>
        <v>7137</v>
      </c>
      <c r="I821" s="60">
        <f>SUM(F821:H821)</f>
        <v>18221</v>
      </c>
      <c r="J821" s="1">
        <f>SUM(J817:J819)</f>
        <v>5843</v>
      </c>
      <c r="K821" s="1">
        <f>SUM(K817:K819)</f>
        <v>5899</v>
      </c>
      <c r="L821" s="1">
        <f>SUM(L817:L819)</f>
        <v>3190</v>
      </c>
      <c r="M821" s="60">
        <f>SUM(J821:L821)</f>
        <v>14932</v>
      </c>
      <c r="N821" s="1">
        <f>SUM(N817:N819)</f>
        <v>255</v>
      </c>
      <c r="O821" s="1">
        <f>SUM(O817:O819)</f>
        <v>5332</v>
      </c>
      <c r="P821" s="1">
        <f>SUM(P817:P819)</f>
        <v>5291</v>
      </c>
      <c r="Q821" s="60">
        <f>SUM(N821:P821)</f>
        <v>10878</v>
      </c>
      <c r="R821" s="60">
        <f>+E821+I821+M821+Q821</f>
        <v>58518</v>
      </c>
    </row>
    <row r="822" spans="1:20" ht="15.75" customHeight="1" x14ac:dyDescent="0.3">
      <c r="A822" s="15" t="s">
        <v>42</v>
      </c>
      <c r="B822" s="1">
        <f>(B821/B10)/1.983</f>
        <v>76.960616856180764</v>
      </c>
      <c r="C822" s="1">
        <f>(C821/C10)/1.983</f>
        <v>84.846192637418056</v>
      </c>
      <c r="D822" s="1">
        <f>(D821/D10)/1.983</f>
        <v>82.068550420509823</v>
      </c>
      <c r="E822" s="55" t="s">
        <v>7</v>
      </c>
      <c r="F822" s="1">
        <f>(F821/F10)/1.983</f>
        <v>83.240880820305932</v>
      </c>
      <c r="G822" s="1">
        <f>(G821/G10)/1.983</f>
        <v>99.751110243521538</v>
      </c>
      <c r="H822" s="1">
        <f>(H821/H10)/1.983</f>
        <v>119.9697428139183</v>
      </c>
      <c r="I822" s="55" t="s">
        <v>7</v>
      </c>
      <c r="J822" s="1">
        <f>(J821/J10)/1.983</f>
        <v>95.049859287817398</v>
      </c>
      <c r="K822" s="1">
        <f>(K821/K10)/1.983</f>
        <v>95.960828331137236</v>
      </c>
      <c r="L822" s="1">
        <f>(L821/L10)/1.983</f>
        <v>53.622457555891742</v>
      </c>
      <c r="M822" s="55" t="s">
        <v>7</v>
      </c>
      <c r="N822" s="1">
        <f>(N821/N10)/1.983</f>
        <v>4.1481626079742329</v>
      </c>
      <c r="O822" s="1">
        <f>(O821/O10)/1.983</f>
        <v>89.628508993108071</v>
      </c>
      <c r="P822" s="1">
        <f>(P821/P10)/1.983</f>
        <v>86.070307289379073</v>
      </c>
      <c r="Q822" s="55" t="s">
        <v>7</v>
      </c>
      <c r="R822" s="55" t="s">
        <v>7</v>
      </c>
    </row>
    <row r="823" spans="1:20" ht="15.75" customHeight="1" x14ac:dyDescent="0.3">
      <c r="A823" s="15" t="s">
        <v>359</v>
      </c>
      <c r="B823" s="1">
        <f>B821</f>
        <v>4731</v>
      </c>
      <c r="C823" s="1">
        <f>C821</f>
        <v>4711</v>
      </c>
      <c r="D823" s="1">
        <f>D821</f>
        <v>5045</v>
      </c>
      <c r="E823" s="55">
        <f>SUM(B823:D823)</f>
        <v>14487</v>
      </c>
      <c r="F823" s="1">
        <f>F821</f>
        <v>4952</v>
      </c>
      <c r="G823" s="1">
        <f>G821</f>
        <v>6132</v>
      </c>
      <c r="H823" s="1">
        <f>H821</f>
        <v>7137</v>
      </c>
      <c r="I823" s="55">
        <f>SUM(F823:H823)</f>
        <v>18221</v>
      </c>
      <c r="J823" s="1">
        <f>J821</f>
        <v>5843</v>
      </c>
      <c r="K823" s="1">
        <f>K821</f>
        <v>5899</v>
      </c>
      <c r="L823" s="1">
        <f>L821</f>
        <v>3190</v>
      </c>
      <c r="M823" s="55">
        <f>SUM(J823:L823)</f>
        <v>14932</v>
      </c>
      <c r="N823" s="1">
        <f>N821</f>
        <v>255</v>
      </c>
      <c r="O823" s="1">
        <f>O821</f>
        <v>5332</v>
      </c>
      <c r="P823" s="1">
        <f>P821</f>
        <v>5291</v>
      </c>
      <c r="Q823" s="55">
        <f>SUM(N823:P823)</f>
        <v>10878</v>
      </c>
      <c r="R823" s="55">
        <f>+E823+I823+M823+Q823</f>
        <v>58518</v>
      </c>
    </row>
    <row r="824" spans="1:20" ht="16.5" customHeight="1" thickBot="1" x14ac:dyDescent="0.35">
      <c r="A824" s="20" t="s">
        <v>360</v>
      </c>
      <c r="B824" s="21">
        <f>(B823/B10)/1.983</f>
        <v>76.960616856180764</v>
      </c>
      <c r="C824" s="21">
        <f>(C823/C10)/1.983</f>
        <v>84.846192637418056</v>
      </c>
      <c r="D824" s="21">
        <f>(D823/D10)/1.983</f>
        <v>82.068550420509823</v>
      </c>
      <c r="E824" s="81" t="s">
        <v>7</v>
      </c>
      <c r="F824" s="21">
        <f>(F823/F10)/1.983</f>
        <v>83.240880820305932</v>
      </c>
      <c r="G824" s="21">
        <f>(G823/G10)/1.983</f>
        <v>99.751110243521538</v>
      </c>
      <c r="H824" s="21">
        <f>(H823/H10)/1.983</f>
        <v>119.9697428139183</v>
      </c>
      <c r="I824" s="81" t="s">
        <v>7</v>
      </c>
      <c r="J824" s="21">
        <f>(J823/J10)/1.983</f>
        <v>95.049859287817398</v>
      </c>
      <c r="K824" s="21">
        <f>(K823/K10)/1.983</f>
        <v>95.960828331137236</v>
      </c>
      <c r="L824" s="21">
        <f>(L823/L10)/1.983</f>
        <v>53.622457555891742</v>
      </c>
      <c r="M824" s="81" t="s">
        <v>7</v>
      </c>
      <c r="N824" s="21">
        <f>(N823/N10)/1.983</f>
        <v>4.1481626079742329</v>
      </c>
      <c r="O824" s="21">
        <f>(O823/O10)/1.983</f>
        <v>89.628508993108071</v>
      </c>
      <c r="P824" s="21">
        <f>(P823/P10)/1.983</f>
        <v>86.070307289379073</v>
      </c>
      <c r="Q824" s="81" t="s">
        <v>7</v>
      </c>
      <c r="R824" s="81" t="s">
        <v>7</v>
      </c>
    </row>
    <row r="825" spans="1:20" ht="15.75" customHeight="1" x14ac:dyDescent="0.3">
      <c r="A825" s="2"/>
      <c r="B825" s="1"/>
      <c r="C825" s="1"/>
      <c r="D825" s="1"/>
      <c r="E825" s="1"/>
      <c r="F825" s="1"/>
      <c r="G825" s="1"/>
      <c r="H825" s="1"/>
      <c r="I825" s="1"/>
      <c r="J825" s="1"/>
      <c r="K825" s="1"/>
      <c r="L825" s="1"/>
      <c r="M825" s="1"/>
      <c r="N825" s="1"/>
      <c r="O825" s="1"/>
      <c r="P825" s="1"/>
      <c r="Q825" s="1"/>
      <c r="R825" s="2"/>
    </row>
    <row r="826" spans="1:20" ht="15.75" customHeight="1" thickBot="1" x14ac:dyDescent="0.35">
      <c r="A826" s="2"/>
      <c r="B826" s="1"/>
      <c r="C826" s="1"/>
      <c r="D826" s="1"/>
      <c r="E826" s="1"/>
      <c r="F826" s="1"/>
      <c r="G826" s="1"/>
      <c r="H826" s="1"/>
      <c r="I826" s="1"/>
      <c r="J826" s="1"/>
      <c r="K826" s="1"/>
      <c r="L826" s="1"/>
      <c r="M826" s="1"/>
      <c r="N826" s="1"/>
      <c r="O826" s="1"/>
      <c r="P826" s="1"/>
      <c r="Q826" s="1"/>
      <c r="R826" s="2"/>
    </row>
    <row r="827" spans="1:20" ht="16.5" customHeight="1" thickBot="1" x14ac:dyDescent="0.35">
      <c r="A827" s="124" t="s">
        <v>361</v>
      </c>
      <c r="B827" s="30" t="s">
        <v>8</v>
      </c>
      <c r="C827" s="31" t="s">
        <v>9</v>
      </c>
      <c r="D827" s="31" t="s">
        <v>10</v>
      </c>
      <c r="E827" s="32" t="s">
        <v>11</v>
      </c>
      <c r="F827" s="31" t="s">
        <v>12</v>
      </c>
      <c r="G827" s="31" t="s">
        <v>13</v>
      </c>
      <c r="H827" s="31" t="s">
        <v>14</v>
      </c>
      <c r="I827" s="33" t="s">
        <v>15</v>
      </c>
      <c r="J827" s="31" t="s">
        <v>16</v>
      </c>
      <c r="K827" s="31" t="s">
        <v>17</v>
      </c>
      <c r="L827" s="31" t="s">
        <v>18</v>
      </c>
      <c r="M827" s="33" t="s">
        <v>19</v>
      </c>
      <c r="N827" s="31" t="s">
        <v>20</v>
      </c>
      <c r="O827" s="31" t="s">
        <v>21</v>
      </c>
      <c r="P827" s="31" t="s">
        <v>22</v>
      </c>
      <c r="Q827" s="33" t="s">
        <v>23</v>
      </c>
      <c r="R827" s="133" t="s">
        <v>24</v>
      </c>
    </row>
    <row r="828" spans="1:20" ht="16.5" customHeight="1" thickBot="1" x14ac:dyDescent="0.35">
      <c r="A828" s="41"/>
      <c r="B828" s="36"/>
      <c r="C828" s="36"/>
      <c r="D828" s="36"/>
      <c r="E828" s="52"/>
      <c r="F828" s="36"/>
      <c r="G828" s="36"/>
      <c r="H828" s="36"/>
      <c r="I828" s="132"/>
      <c r="J828" s="36"/>
      <c r="K828" s="36"/>
      <c r="L828" s="36"/>
      <c r="M828" s="132"/>
      <c r="N828" s="36"/>
      <c r="O828" s="36"/>
      <c r="P828" s="36"/>
      <c r="Q828" s="134"/>
      <c r="R828" s="135"/>
    </row>
    <row r="829" spans="1:20" ht="15.75" customHeight="1" x14ac:dyDescent="0.3">
      <c r="A829" s="15" t="s">
        <v>48</v>
      </c>
      <c r="B829" s="1" t="s">
        <v>7</v>
      </c>
      <c r="C829" s="1" t="s">
        <v>7</v>
      </c>
      <c r="D829" s="1" t="s">
        <v>7</v>
      </c>
      <c r="E829" s="136"/>
      <c r="F829" s="1" t="s">
        <v>7</v>
      </c>
      <c r="G829" s="1" t="s">
        <v>7</v>
      </c>
      <c r="H829" s="1" t="s">
        <v>7</v>
      </c>
      <c r="I829" s="136"/>
      <c r="J829" s="1" t="s">
        <v>7</v>
      </c>
      <c r="K829" s="1" t="s">
        <v>7</v>
      </c>
      <c r="L829" s="1" t="s">
        <v>7</v>
      </c>
      <c r="M829" s="136"/>
      <c r="N829" s="1" t="s">
        <v>7</v>
      </c>
      <c r="O829" s="1" t="s">
        <v>7</v>
      </c>
      <c r="P829" s="1" t="s">
        <v>7</v>
      </c>
      <c r="Q829" s="137"/>
      <c r="R829" s="138" t="s">
        <v>7</v>
      </c>
    </row>
    <row r="830" spans="1:20" ht="15.75" customHeight="1" x14ac:dyDescent="0.3">
      <c r="A830" s="15" t="s">
        <v>49</v>
      </c>
      <c r="B830" s="1"/>
      <c r="C830" s="1"/>
      <c r="D830" s="1"/>
      <c r="E830" s="55" t="s">
        <v>7</v>
      </c>
      <c r="F830" s="1"/>
      <c r="G830" s="1"/>
      <c r="H830" s="1"/>
      <c r="I830" s="55" t="s">
        <v>7</v>
      </c>
      <c r="J830" s="1"/>
      <c r="K830" s="1"/>
      <c r="L830" s="1"/>
      <c r="M830" s="55" t="s">
        <v>7</v>
      </c>
      <c r="N830" s="1"/>
      <c r="O830" s="1"/>
      <c r="P830" s="1"/>
      <c r="Q830" s="55" t="s">
        <v>7</v>
      </c>
      <c r="R830" s="55" t="s">
        <v>7</v>
      </c>
    </row>
    <row r="831" spans="1:20" ht="15.75" customHeight="1" x14ac:dyDescent="0.3">
      <c r="A831" s="71" t="s">
        <v>1232</v>
      </c>
      <c r="B831" s="1"/>
      <c r="C831" s="1"/>
      <c r="D831" s="1"/>
      <c r="E831" s="55">
        <f t="shared" ref="E831:E836" si="277">SUM(B831:D831)</f>
        <v>0</v>
      </c>
      <c r="F831" s="1"/>
      <c r="G831" s="1"/>
      <c r="H831" s="1"/>
      <c r="I831" s="55">
        <f t="shared" ref="I831:I836" si="278">SUM(F831:H831)</f>
        <v>0</v>
      </c>
      <c r="J831" s="1"/>
      <c r="K831" s="1"/>
      <c r="L831" s="1"/>
      <c r="M831" s="55">
        <f t="shared" ref="M831:M836" si="279">SUM(J831:L831)</f>
        <v>0</v>
      </c>
      <c r="N831" s="1"/>
      <c r="O831" s="1"/>
      <c r="P831" s="1"/>
      <c r="Q831" s="55">
        <f t="shared" ref="Q831:Q836" si="280">SUM(N831:P831)</f>
        <v>0</v>
      </c>
      <c r="R831" s="55">
        <f t="shared" ref="R831:R836" si="281">+E831+I831+M831+Q831</f>
        <v>0</v>
      </c>
      <c r="T831" s="4" t="s">
        <v>1005</v>
      </c>
    </row>
    <row r="832" spans="1:20" ht="15.75" customHeight="1" x14ac:dyDescent="0.3">
      <c r="A832" s="71" t="s">
        <v>362</v>
      </c>
      <c r="B832" s="1"/>
      <c r="C832" s="1"/>
      <c r="D832" s="1"/>
      <c r="E832" s="55">
        <f t="shared" si="277"/>
        <v>0</v>
      </c>
      <c r="F832" s="1"/>
      <c r="G832" s="1"/>
      <c r="H832" s="1"/>
      <c r="I832" s="55">
        <f t="shared" si="278"/>
        <v>0</v>
      </c>
      <c r="J832" s="1"/>
      <c r="K832" s="1"/>
      <c r="L832" s="1"/>
      <c r="M832" s="55">
        <f t="shared" si="279"/>
        <v>0</v>
      </c>
      <c r="N832" s="1"/>
      <c r="O832" s="1"/>
      <c r="P832" s="1"/>
      <c r="Q832" s="55">
        <f t="shared" si="280"/>
        <v>0</v>
      </c>
      <c r="R832" s="55">
        <f t="shared" si="281"/>
        <v>0</v>
      </c>
    </row>
    <row r="833" spans="1:19" ht="15.75" customHeight="1" x14ac:dyDescent="0.3">
      <c r="A833" s="71" t="s">
        <v>368</v>
      </c>
      <c r="B833" s="1"/>
      <c r="C833" s="1"/>
      <c r="D833" s="1"/>
      <c r="E833" s="55">
        <f t="shared" si="277"/>
        <v>0</v>
      </c>
      <c r="F833" s="1"/>
      <c r="G833" s="1"/>
      <c r="H833" s="1"/>
      <c r="I833" s="55">
        <f t="shared" si="278"/>
        <v>0</v>
      </c>
      <c r="J833" s="1"/>
      <c r="K833" s="1"/>
      <c r="L833" s="1"/>
      <c r="M833" s="55">
        <f t="shared" si="279"/>
        <v>0</v>
      </c>
      <c r="N833" s="1"/>
      <c r="O833" s="1"/>
      <c r="P833" s="1"/>
      <c r="Q833" s="55">
        <f t="shared" si="280"/>
        <v>0</v>
      </c>
      <c r="R833" s="55">
        <f t="shared" si="281"/>
        <v>0</v>
      </c>
    </row>
    <row r="834" spans="1:19" ht="15.75" customHeight="1" x14ac:dyDescent="0.3">
      <c r="A834" s="71" t="s">
        <v>1006</v>
      </c>
      <c r="B834" s="1">
        <v>300</v>
      </c>
      <c r="C834" s="1"/>
      <c r="D834" s="1"/>
      <c r="E834" s="55">
        <f t="shared" si="277"/>
        <v>300</v>
      </c>
      <c r="F834" s="1"/>
      <c r="G834" s="1"/>
      <c r="H834" s="1"/>
      <c r="I834" s="55">
        <f t="shared" si="278"/>
        <v>0</v>
      </c>
      <c r="J834" s="1"/>
      <c r="K834" s="1"/>
      <c r="L834" s="1"/>
      <c r="M834" s="55">
        <f t="shared" si="279"/>
        <v>0</v>
      </c>
      <c r="N834" s="1"/>
      <c r="O834" s="1"/>
      <c r="P834" s="1"/>
      <c r="Q834" s="55">
        <f t="shared" si="280"/>
        <v>0</v>
      </c>
      <c r="R834" s="55">
        <f t="shared" si="281"/>
        <v>300</v>
      </c>
    </row>
    <row r="835" spans="1:19" ht="15.75" customHeight="1" x14ac:dyDescent="0.3">
      <c r="A835" s="71" t="s">
        <v>1434</v>
      </c>
      <c r="B835" s="1"/>
      <c r="C835" s="1"/>
      <c r="D835" s="1"/>
      <c r="E835" s="55">
        <f t="shared" si="277"/>
        <v>0</v>
      </c>
      <c r="F835" s="1"/>
      <c r="G835" s="1"/>
      <c r="H835" s="1"/>
      <c r="I835" s="55">
        <f t="shared" si="278"/>
        <v>0</v>
      </c>
      <c r="J835" s="1"/>
      <c r="K835" s="1">
        <v>85</v>
      </c>
      <c r="L835" s="1">
        <v>959</v>
      </c>
      <c r="M835" s="55">
        <f t="shared" si="279"/>
        <v>1044</v>
      </c>
      <c r="N835" s="1">
        <v>690</v>
      </c>
      <c r="O835" s="1"/>
      <c r="P835" s="1"/>
      <c r="Q835" s="55">
        <f t="shared" si="280"/>
        <v>690</v>
      </c>
      <c r="R835" s="55">
        <f t="shared" si="281"/>
        <v>1734</v>
      </c>
    </row>
    <row r="836" spans="1:19" ht="15.75" customHeight="1" x14ac:dyDescent="0.3">
      <c r="A836" s="71" t="s">
        <v>664</v>
      </c>
      <c r="B836" s="1">
        <v>1567</v>
      </c>
      <c r="C836" s="1">
        <v>1761</v>
      </c>
      <c r="D836" s="1">
        <v>2029</v>
      </c>
      <c r="E836" s="55">
        <f t="shared" si="277"/>
        <v>5357</v>
      </c>
      <c r="F836" s="1">
        <v>1829</v>
      </c>
      <c r="G836" s="1">
        <v>2139</v>
      </c>
      <c r="H836" s="1">
        <v>1905</v>
      </c>
      <c r="I836" s="55">
        <f t="shared" si="278"/>
        <v>5873</v>
      </c>
      <c r="J836" s="1">
        <v>2357</v>
      </c>
      <c r="K836" s="1">
        <v>1709</v>
      </c>
      <c r="L836" s="1">
        <v>1729</v>
      </c>
      <c r="M836" s="55">
        <f t="shared" si="279"/>
        <v>5795</v>
      </c>
      <c r="N836" s="1">
        <v>1392</v>
      </c>
      <c r="O836" s="1"/>
      <c r="P836" s="1">
        <v>1083</v>
      </c>
      <c r="Q836" s="55">
        <f t="shared" si="280"/>
        <v>2475</v>
      </c>
      <c r="R836" s="55">
        <f t="shared" si="281"/>
        <v>19500</v>
      </c>
    </row>
    <row r="837" spans="1:19" ht="15.75" customHeight="1" x14ac:dyDescent="0.3">
      <c r="A837" s="15" t="s">
        <v>50</v>
      </c>
      <c r="B837" s="1"/>
      <c r="C837" s="1"/>
      <c r="D837" s="1"/>
      <c r="E837" s="55" t="s">
        <v>7</v>
      </c>
      <c r="F837" s="1"/>
      <c r="G837" s="1"/>
      <c r="H837" s="1"/>
      <c r="I837" s="55" t="s">
        <v>7</v>
      </c>
      <c r="J837" s="1"/>
      <c r="K837" s="1"/>
      <c r="L837" s="1"/>
      <c r="M837" s="55" t="s">
        <v>7</v>
      </c>
      <c r="N837" s="1"/>
      <c r="O837" s="1"/>
      <c r="P837" s="1"/>
      <c r="Q837" s="55" t="s">
        <v>7</v>
      </c>
      <c r="R837" s="55" t="s">
        <v>7</v>
      </c>
    </row>
    <row r="838" spans="1:19" ht="15.75" customHeight="1" x14ac:dyDescent="0.3">
      <c r="A838" s="15" t="s">
        <v>1186</v>
      </c>
      <c r="B838" s="1"/>
      <c r="C838" s="1"/>
      <c r="D838" s="1"/>
      <c r="E838" s="55" t="s">
        <v>7</v>
      </c>
      <c r="F838" s="1"/>
      <c r="G838" s="1"/>
      <c r="H838" s="1"/>
      <c r="I838" s="55" t="s">
        <v>7</v>
      </c>
      <c r="J838" s="1"/>
      <c r="K838" s="1"/>
      <c r="L838" s="1"/>
      <c r="M838" s="55" t="s">
        <v>7</v>
      </c>
      <c r="N838" s="1"/>
      <c r="O838" s="1"/>
      <c r="P838" s="1"/>
      <c r="Q838" s="55" t="s">
        <v>7</v>
      </c>
      <c r="R838" s="55" t="s">
        <v>7</v>
      </c>
    </row>
    <row r="839" spans="1:19" ht="15.75" customHeight="1" x14ac:dyDescent="0.3">
      <c r="A839" s="71" t="s">
        <v>1339</v>
      </c>
      <c r="B839" s="1"/>
      <c r="C839" s="1"/>
      <c r="D839" s="1"/>
      <c r="E839" s="55">
        <f>SUM(B839:D839)</f>
        <v>0</v>
      </c>
      <c r="F839" s="1"/>
      <c r="G839" s="1"/>
      <c r="H839" s="1"/>
      <c r="I839" s="55">
        <f>SUM(F839:H839)</f>
        <v>0</v>
      </c>
      <c r="J839" s="1"/>
      <c r="K839" s="1"/>
      <c r="L839" s="1"/>
      <c r="M839" s="55">
        <f>SUM(J839:L839)</f>
        <v>0</v>
      </c>
      <c r="N839" s="1"/>
      <c r="O839" s="1"/>
      <c r="P839" s="1"/>
      <c r="Q839" s="55">
        <f>SUM(N839:P839)</f>
        <v>0</v>
      </c>
      <c r="R839" s="55">
        <f>+E839+I839+M839+Q839</f>
        <v>0</v>
      </c>
      <c r="S839" s="478" t="s">
        <v>1259</v>
      </c>
    </row>
    <row r="840" spans="1:19" ht="15.75" customHeight="1" thickBot="1" x14ac:dyDescent="0.35">
      <c r="A840" s="15" t="s">
        <v>53</v>
      </c>
      <c r="B840" s="1"/>
      <c r="C840" s="1"/>
      <c r="D840" s="1"/>
      <c r="E840" s="55" t="s">
        <v>7</v>
      </c>
      <c r="F840" s="1"/>
      <c r="G840" s="1"/>
      <c r="H840" s="1"/>
      <c r="I840" s="55" t="s">
        <v>7</v>
      </c>
      <c r="J840" s="1"/>
      <c r="K840" s="1"/>
      <c r="L840" s="1"/>
      <c r="M840" s="55" t="s">
        <v>7</v>
      </c>
      <c r="N840" s="1"/>
      <c r="O840" s="1"/>
      <c r="P840" s="1"/>
      <c r="Q840" s="55" t="s">
        <v>7</v>
      </c>
      <c r="R840" s="55" t="s">
        <v>7</v>
      </c>
    </row>
    <row r="841" spans="1:19" ht="16.5" customHeight="1" thickBot="1" x14ac:dyDescent="0.35">
      <c r="A841" s="57" t="s">
        <v>54</v>
      </c>
      <c r="B841" s="86">
        <f>SUM(B829:B840)</f>
        <v>1867</v>
      </c>
      <c r="C841" s="87">
        <f>SUM(C829:C840)</f>
        <v>1761</v>
      </c>
      <c r="D841" s="87">
        <f>SUM(D829:D840)</f>
        <v>2029</v>
      </c>
      <c r="E841" s="59">
        <f>SUM(B841:D841)</f>
        <v>5657</v>
      </c>
      <c r="F841" s="87">
        <f>SUM(F829:F840)</f>
        <v>1829</v>
      </c>
      <c r="G841" s="87">
        <f>SUM(G829:G840)</f>
        <v>2139</v>
      </c>
      <c r="H841" s="87">
        <f>SUM(H829:H840)</f>
        <v>1905</v>
      </c>
      <c r="I841" s="59">
        <f>SUM(F841:H841)</f>
        <v>5873</v>
      </c>
      <c r="J841" s="87">
        <f>SUM(J829:J840)</f>
        <v>2357</v>
      </c>
      <c r="K841" s="87">
        <f>SUM(K829:K840)</f>
        <v>1794</v>
      </c>
      <c r="L841" s="87">
        <f>SUM(L829:L840)</f>
        <v>2688</v>
      </c>
      <c r="M841" s="59">
        <f>SUM(J841:L841)</f>
        <v>6839</v>
      </c>
      <c r="N841" s="87">
        <f>SUM(N829:N840)</f>
        <v>2082</v>
      </c>
      <c r="O841" s="87">
        <f>SUM(O829:O840)</f>
        <v>0</v>
      </c>
      <c r="P841" s="87">
        <f>SUM(P829:P840)</f>
        <v>1083</v>
      </c>
      <c r="Q841" s="59">
        <f>SUM(N841:P841)</f>
        <v>3165</v>
      </c>
      <c r="R841" s="59">
        <f>+E841+I841+M841+Q841</f>
        <v>21534</v>
      </c>
    </row>
    <row r="842" spans="1:19" ht="15.75" customHeight="1" x14ac:dyDescent="0.3">
      <c r="A842" s="15" t="s">
        <v>55</v>
      </c>
      <c r="B842" s="1"/>
      <c r="C842" s="1"/>
      <c r="D842" s="1"/>
      <c r="E842" s="55" t="s">
        <v>7</v>
      </c>
      <c r="F842" s="1"/>
      <c r="G842" s="1"/>
      <c r="H842" s="1"/>
      <c r="I842" s="55" t="s">
        <v>7</v>
      </c>
      <c r="J842" s="1"/>
      <c r="K842" s="1"/>
      <c r="L842" s="1"/>
      <c r="M842" s="55" t="s">
        <v>7</v>
      </c>
      <c r="N842" s="1"/>
      <c r="O842" s="1"/>
      <c r="P842" s="1"/>
      <c r="Q842" s="55" t="s">
        <v>7</v>
      </c>
      <c r="R842" s="55" t="s">
        <v>7</v>
      </c>
    </row>
    <row r="843" spans="1:19" ht="15.75" customHeight="1" x14ac:dyDescent="0.3">
      <c r="A843" s="15" t="s">
        <v>57</v>
      </c>
      <c r="B843" s="1"/>
      <c r="C843" s="1"/>
      <c r="D843" s="1"/>
      <c r="E843" s="55" t="s">
        <v>7</v>
      </c>
      <c r="F843" s="1"/>
      <c r="G843" s="1"/>
      <c r="H843" s="1"/>
      <c r="I843" s="55" t="s">
        <v>7</v>
      </c>
      <c r="J843" s="1"/>
      <c r="K843" s="1"/>
      <c r="L843" s="1"/>
      <c r="M843" s="55" t="s">
        <v>7</v>
      </c>
      <c r="N843" s="1"/>
      <c r="O843" s="1"/>
      <c r="P843" s="1"/>
      <c r="Q843" s="55" t="s">
        <v>7</v>
      </c>
      <c r="R843" s="55" t="s">
        <v>7</v>
      </c>
    </row>
    <row r="844" spans="1:19" ht="15.75" customHeight="1" x14ac:dyDescent="0.3">
      <c r="A844" s="71" t="s">
        <v>781</v>
      </c>
      <c r="B844" s="1"/>
      <c r="C844" s="1"/>
      <c r="D844" s="1"/>
      <c r="E844" s="55">
        <f>SUM(B844:D844)</f>
        <v>0</v>
      </c>
      <c r="F844" s="1"/>
      <c r="G844" s="1"/>
      <c r="H844" s="1"/>
      <c r="I844" s="55">
        <f>SUM(F844:H844)</f>
        <v>0</v>
      </c>
      <c r="J844" s="1"/>
      <c r="K844" s="1"/>
      <c r="L844" s="1"/>
      <c r="M844" s="55">
        <f>SUM(J844:L844)</f>
        <v>0</v>
      </c>
      <c r="N844" s="1"/>
      <c r="O844" s="1"/>
      <c r="P844" s="1"/>
      <c r="Q844" s="55">
        <f>SUM(N844:P844)</f>
        <v>0</v>
      </c>
      <c r="R844" s="55">
        <f>+E844+I844+M844+Q844</f>
        <v>0</v>
      </c>
    </row>
    <row r="845" spans="1:19" ht="15.75" customHeight="1" thickBot="1" x14ac:dyDescent="0.35">
      <c r="A845" s="15" t="s">
        <v>58</v>
      </c>
      <c r="B845" s="1"/>
      <c r="C845" s="1"/>
      <c r="D845" s="1"/>
      <c r="E845" s="55" t="s">
        <v>7</v>
      </c>
      <c r="F845" s="1"/>
      <c r="G845" s="1"/>
      <c r="H845" s="1"/>
      <c r="I845" s="55" t="s">
        <v>7</v>
      </c>
      <c r="J845" s="1"/>
      <c r="K845" s="1"/>
      <c r="L845" s="1"/>
      <c r="M845" s="55" t="s">
        <v>7</v>
      </c>
      <c r="N845" s="1"/>
      <c r="O845" s="1"/>
      <c r="P845" s="1"/>
      <c r="Q845" s="55" t="s">
        <v>7</v>
      </c>
      <c r="R845" s="55" t="s">
        <v>7</v>
      </c>
    </row>
    <row r="846" spans="1:19" ht="16.5" customHeight="1" thickBot="1" x14ac:dyDescent="0.35">
      <c r="A846" s="57" t="s">
        <v>59</v>
      </c>
      <c r="B846" s="86">
        <f>SUM(B842:B845)</f>
        <v>0</v>
      </c>
      <c r="C846" s="87">
        <f>SUM(C842:C845)</f>
        <v>0</v>
      </c>
      <c r="D846" s="87">
        <f>SUM(D842:D845)</f>
        <v>0</v>
      </c>
      <c r="E846" s="59">
        <f>SUM(B846:D846)</f>
        <v>0</v>
      </c>
      <c r="F846" s="87">
        <f>SUM(F842:F845)</f>
        <v>0</v>
      </c>
      <c r="G846" s="87">
        <f>SUM(G842:G845)</f>
        <v>0</v>
      </c>
      <c r="H846" s="87">
        <f>SUM(H842:H845)</f>
        <v>0</v>
      </c>
      <c r="I846" s="59">
        <f>SUM(F846:H846)</f>
        <v>0</v>
      </c>
      <c r="J846" s="87">
        <f>SUM(J842:J845)</f>
        <v>0</v>
      </c>
      <c r="K846" s="87">
        <f>SUM(K842:K845)</f>
        <v>0</v>
      </c>
      <c r="L846" s="87">
        <f>SUM(L842:L845)</f>
        <v>0</v>
      </c>
      <c r="M846" s="59">
        <f>SUM(J846:L846)</f>
        <v>0</v>
      </c>
      <c r="N846" s="87">
        <f>SUM(N842:N845)</f>
        <v>0</v>
      </c>
      <c r="O846" s="87">
        <f>SUM(O842:O845)</f>
        <v>0</v>
      </c>
      <c r="P846" s="87">
        <f>SUM(P842:P845)</f>
        <v>0</v>
      </c>
      <c r="Q846" s="59">
        <f>SUM(N846:P846)</f>
        <v>0</v>
      </c>
      <c r="R846" s="59">
        <f>+E846+I846+M846+Q846</f>
        <v>0</v>
      </c>
    </row>
    <row r="847" spans="1:19" ht="15.75" customHeight="1" x14ac:dyDescent="0.3">
      <c r="A847" s="15" t="s">
        <v>60</v>
      </c>
      <c r="B847" s="1"/>
      <c r="C847" s="1"/>
      <c r="D847" s="1"/>
      <c r="E847" s="55" t="s">
        <v>7</v>
      </c>
      <c r="F847" s="1"/>
      <c r="G847" s="1"/>
      <c r="H847" s="1"/>
      <c r="I847" s="55" t="s">
        <v>7</v>
      </c>
      <c r="J847" s="1" t="s">
        <v>7</v>
      </c>
      <c r="K847" s="1"/>
      <c r="L847" s="1"/>
      <c r="M847" s="55" t="s">
        <v>7</v>
      </c>
      <c r="N847" s="1"/>
      <c r="O847" s="1"/>
      <c r="P847" s="1"/>
      <c r="Q847" s="55" t="s">
        <v>7</v>
      </c>
      <c r="R847" s="55" t="s">
        <v>7</v>
      </c>
    </row>
    <row r="848" spans="1:19" ht="18" customHeight="1" x14ac:dyDescent="0.3">
      <c r="A848" s="15" t="s">
        <v>61</v>
      </c>
      <c r="B848" s="1"/>
      <c r="C848" s="1"/>
      <c r="D848" s="1"/>
      <c r="E848" s="55" t="s">
        <v>7</v>
      </c>
      <c r="F848" s="1"/>
      <c r="G848" s="1"/>
      <c r="H848" s="1"/>
      <c r="I848" s="55" t="s">
        <v>7</v>
      </c>
      <c r="J848" s="1"/>
      <c r="K848" s="1"/>
      <c r="L848" s="1"/>
      <c r="M848" s="55" t="s">
        <v>7</v>
      </c>
      <c r="N848" s="1"/>
      <c r="O848" s="1"/>
      <c r="P848" s="1"/>
      <c r="Q848" s="55" t="s">
        <v>7</v>
      </c>
      <c r="R848" s="55" t="s">
        <v>7</v>
      </c>
    </row>
    <row r="849" spans="1:20" ht="15.75" customHeight="1" x14ac:dyDescent="0.3">
      <c r="A849" s="71" t="s">
        <v>1007</v>
      </c>
      <c r="B849" s="1">
        <v>369</v>
      </c>
      <c r="C849" s="1">
        <v>339</v>
      </c>
      <c r="D849" s="1">
        <f>359+3</f>
        <v>362</v>
      </c>
      <c r="E849" s="55">
        <f>SUM(B849:D849)</f>
        <v>1070</v>
      </c>
      <c r="F849" s="1">
        <v>907</v>
      </c>
      <c r="G849" s="1">
        <v>1125</v>
      </c>
      <c r="H849" s="1">
        <v>535</v>
      </c>
      <c r="I849" s="55">
        <f>SUM(F849:H849)</f>
        <v>2567</v>
      </c>
      <c r="J849" s="1">
        <v>53</v>
      </c>
      <c r="K849" s="1">
        <v>24</v>
      </c>
      <c r="L849" s="1">
        <v>381</v>
      </c>
      <c r="M849" s="55">
        <f>SUM(J849:L849)</f>
        <v>458</v>
      </c>
      <c r="N849" s="1">
        <v>646</v>
      </c>
      <c r="O849" s="1">
        <v>80</v>
      </c>
      <c r="P849" s="1">
        <v>920</v>
      </c>
      <c r="Q849" s="55">
        <f>SUM(N849:P849)</f>
        <v>1646</v>
      </c>
      <c r="R849" s="55">
        <f>+E849+I849+M849+Q849</f>
        <v>5741</v>
      </c>
      <c r="T849" s="4" t="s">
        <v>1008</v>
      </c>
    </row>
    <row r="850" spans="1:20" ht="15.75" customHeight="1" x14ac:dyDescent="0.3">
      <c r="A850" s="71" t="s">
        <v>1009</v>
      </c>
      <c r="B850" s="1">
        <v>30</v>
      </c>
      <c r="C850" s="1">
        <v>26</v>
      </c>
      <c r="D850" s="1">
        <v>50</v>
      </c>
      <c r="E850" s="55">
        <f>SUM(B850:D850)</f>
        <v>106</v>
      </c>
      <c r="F850" s="1">
        <v>68</v>
      </c>
      <c r="G850" s="1">
        <v>85</v>
      </c>
      <c r="H850" s="1">
        <v>86</v>
      </c>
      <c r="I850" s="55">
        <f t="shared" ref="I850" si="282">SUM(F850:H850)</f>
        <v>239</v>
      </c>
      <c r="J850" s="1">
        <v>40</v>
      </c>
      <c r="K850" s="1">
        <v>37</v>
      </c>
      <c r="L850" s="1">
        <v>66</v>
      </c>
      <c r="M850" s="55">
        <f>SUM(J850:L850)</f>
        <v>143</v>
      </c>
      <c r="N850" s="1">
        <v>12</v>
      </c>
      <c r="O850" s="1"/>
      <c r="P850" s="1"/>
      <c r="Q850" s="55">
        <f>SUM(N850:P850)</f>
        <v>12</v>
      </c>
      <c r="R850" s="55">
        <f>+E850+I850+M850+Q850</f>
        <v>500</v>
      </c>
      <c r="T850" s="4" t="s">
        <v>1010</v>
      </c>
    </row>
    <row r="851" spans="1:20" ht="15.75" customHeight="1" x14ac:dyDescent="0.3">
      <c r="A851" s="15" t="s">
        <v>62</v>
      </c>
      <c r="B851" s="1"/>
      <c r="C851" s="1"/>
      <c r="D851" s="1"/>
      <c r="E851" s="55" t="s">
        <v>7</v>
      </c>
      <c r="F851" s="1"/>
      <c r="G851" s="1"/>
      <c r="H851" s="1"/>
      <c r="I851" s="55" t="s">
        <v>7</v>
      </c>
      <c r="J851" s="1"/>
      <c r="K851" s="1"/>
      <c r="L851" s="1"/>
      <c r="M851" s="55" t="s">
        <v>7</v>
      </c>
      <c r="N851" s="1"/>
      <c r="O851" s="1"/>
      <c r="P851" s="1"/>
      <c r="Q851" s="55" t="s">
        <v>7</v>
      </c>
      <c r="R851" s="55" t="s">
        <v>7</v>
      </c>
    </row>
    <row r="852" spans="1:20" ht="15.75" customHeight="1" x14ac:dyDescent="0.3">
      <c r="A852" s="71" t="s">
        <v>1435</v>
      </c>
      <c r="B852" s="1"/>
      <c r="C852" s="1"/>
      <c r="D852" s="1">
        <v>906</v>
      </c>
      <c r="E852" s="55">
        <f t="shared" ref="E852:E859" si="283">SUM(B852:D852)</f>
        <v>906</v>
      </c>
      <c r="F852" s="1">
        <v>1046</v>
      </c>
      <c r="G852" s="1">
        <v>1495</v>
      </c>
      <c r="H852" s="1">
        <v>1537</v>
      </c>
      <c r="I852" s="55">
        <f t="shared" ref="I852:I859" si="284">SUM(F852:H852)</f>
        <v>4078</v>
      </c>
      <c r="J852" s="1">
        <v>738</v>
      </c>
      <c r="K852" s="1">
        <v>778</v>
      </c>
      <c r="L852" s="1"/>
      <c r="M852" s="55">
        <f t="shared" ref="M852:M859" si="285">SUM(J852:L852)</f>
        <v>1516</v>
      </c>
      <c r="N852" s="1"/>
      <c r="O852" s="1"/>
      <c r="P852" s="1"/>
      <c r="Q852" s="55">
        <f t="shared" ref="Q852:Q859" si="286">SUM(N852:P852)</f>
        <v>0</v>
      </c>
      <c r="R852" s="55">
        <f t="shared" ref="R852:R859" si="287">+E852+I852+M852+Q852</f>
        <v>6500</v>
      </c>
      <c r="T852" s="4" t="s">
        <v>1010</v>
      </c>
    </row>
    <row r="853" spans="1:20" ht="15.75" customHeight="1" x14ac:dyDescent="0.3">
      <c r="A853" s="71" t="s">
        <v>1448</v>
      </c>
      <c r="B853" s="1"/>
      <c r="C853" s="1"/>
      <c r="D853" s="1"/>
      <c r="E853" s="55">
        <f t="shared" si="283"/>
        <v>0</v>
      </c>
      <c r="F853" s="1"/>
      <c r="G853" s="1"/>
      <c r="H853" s="1"/>
      <c r="I853" s="55">
        <f t="shared" si="284"/>
        <v>0</v>
      </c>
      <c r="J853" s="1"/>
      <c r="K853" s="1"/>
      <c r="L853" s="1"/>
      <c r="M853" s="55">
        <f t="shared" si="285"/>
        <v>0</v>
      </c>
      <c r="N853" s="1"/>
      <c r="O853" s="1"/>
      <c r="P853" s="1">
        <v>1585</v>
      </c>
      <c r="Q853" s="55">
        <f t="shared" ref="Q853" si="288">SUM(N853:P853)</f>
        <v>1585</v>
      </c>
      <c r="R853" s="55">
        <f t="shared" si="287"/>
        <v>1585</v>
      </c>
    </row>
    <row r="854" spans="1:20" ht="15.75" customHeight="1" x14ac:dyDescent="0.3">
      <c r="A854" s="71" t="s">
        <v>1011</v>
      </c>
      <c r="B854" s="1"/>
      <c r="C854" s="1"/>
      <c r="D854" s="1"/>
      <c r="E854" s="55">
        <f t="shared" si="283"/>
        <v>0</v>
      </c>
      <c r="F854" s="1"/>
      <c r="G854" s="1"/>
      <c r="H854" s="1"/>
      <c r="I854" s="55">
        <f t="shared" si="284"/>
        <v>0</v>
      </c>
      <c r="J854" s="1"/>
      <c r="K854" s="1"/>
      <c r="L854" s="1"/>
      <c r="M854" s="55">
        <f t="shared" si="285"/>
        <v>0</v>
      </c>
      <c r="N854" s="1"/>
      <c r="O854" s="1"/>
      <c r="P854" s="1"/>
      <c r="Q854" s="55">
        <f t="shared" si="286"/>
        <v>0</v>
      </c>
      <c r="R854" s="55">
        <f t="shared" si="287"/>
        <v>0</v>
      </c>
    </row>
    <row r="855" spans="1:20" ht="15.75" customHeight="1" x14ac:dyDescent="0.3">
      <c r="A855" s="71" t="s">
        <v>1012</v>
      </c>
      <c r="B855" s="1"/>
      <c r="C855" s="1"/>
      <c r="D855" s="1"/>
      <c r="E855" s="55">
        <f t="shared" si="283"/>
        <v>0</v>
      </c>
      <c r="F855" s="1"/>
      <c r="G855" s="1"/>
      <c r="H855" s="1"/>
      <c r="I855" s="55">
        <f t="shared" si="284"/>
        <v>0</v>
      </c>
      <c r="J855" s="1"/>
      <c r="K855" s="1"/>
      <c r="L855" s="1"/>
      <c r="M855" s="55">
        <f t="shared" si="285"/>
        <v>0</v>
      </c>
      <c r="N855" s="1">
        <v>56</v>
      </c>
      <c r="O855" s="1">
        <v>42</v>
      </c>
      <c r="P855" s="1">
        <v>18</v>
      </c>
      <c r="Q855" s="55">
        <f t="shared" si="286"/>
        <v>116</v>
      </c>
      <c r="R855" s="55">
        <f t="shared" si="287"/>
        <v>116</v>
      </c>
    </row>
    <row r="856" spans="1:20" ht="15.75" customHeight="1" x14ac:dyDescent="0.3">
      <c r="A856" s="71" t="s">
        <v>1449</v>
      </c>
      <c r="B856" s="1">
        <v>500</v>
      </c>
      <c r="C856" s="1">
        <v>500</v>
      </c>
      <c r="D856" s="1"/>
      <c r="E856" s="55">
        <f t="shared" si="283"/>
        <v>1000</v>
      </c>
      <c r="F856" s="1"/>
      <c r="G856" s="1"/>
      <c r="H856" s="1"/>
      <c r="I856" s="55">
        <f t="shared" si="284"/>
        <v>0</v>
      </c>
      <c r="J856" s="1"/>
      <c r="K856" s="1"/>
      <c r="L856" s="1"/>
      <c r="M856" s="55">
        <f t="shared" si="285"/>
        <v>0</v>
      </c>
      <c r="N856" s="1"/>
      <c r="O856" s="1"/>
      <c r="P856" s="1"/>
      <c r="Q856" s="55">
        <f t="shared" si="286"/>
        <v>0</v>
      </c>
      <c r="R856" s="55">
        <f t="shared" si="287"/>
        <v>1000</v>
      </c>
      <c r="T856" s="4" t="s">
        <v>1005</v>
      </c>
    </row>
    <row r="857" spans="1:20" ht="15.75" customHeight="1" x14ac:dyDescent="0.3">
      <c r="A857" s="71" t="s">
        <v>666</v>
      </c>
      <c r="B857" s="1"/>
      <c r="C857" s="1"/>
      <c r="D857" s="1"/>
      <c r="E857" s="55">
        <f t="shared" si="283"/>
        <v>0</v>
      </c>
      <c r="F857" s="1"/>
      <c r="G857" s="1"/>
      <c r="H857" s="1"/>
      <c r="I857" s="55">
        <f t="shared" si="284"/>
        <v>0</v>
      </c>
      <c r="J857" s="1"/>
      <c r="K857" s="1"/>
      <c r="L857" s="1"/>
      <c r="M857" s="55">
        <f t="shared" si="285"/>
        <v>0</v>
      </c>
      <c r="N857" s="1"/>
      <c r="O857" s="1"/>
      <c r="P857" s="1"/>
      <c r="Q857" s="55">
        <f t="shared" si="286"/>
        <v>0</v>
      </c>
      <c r="R857" s="55">
        <f t="shared" si="287"/>
        <v>0</v>
      </c>
      <c r="T857" s="4" t="s">
        <v>1005</v>
      </c>
    </row>
    <row r="858" spans="1:20" ht="15.75" customHeight="1" thickBot="1" x14ac:dyDescent="0.35">
      <c r="A858" s="71" t="s">
        <v>782</v>
      </c>
      <c r="B858" s="1">
        <f>120+512</f>
        <v>632</v>
      </c>
      <c r="C858" s="1">
        <f>233+510</f>
        <v>743</v>
      </c>
      <c r="D858" s="1">
        <f>150+564</f>
        <v>714</v>
      </c>
      <c r="E858" s="55">
        <f t="shared" si="283"/>
        <v>2089</v>
      </c>
      <c r="F858" s="1">
        <f>131+381</f>
        <v>512</v>
      </c>
      <c r="G858" s="1">
        <f>227+493</f>
        <v>720</v>
      </c>
      <c r="H858" s="1">
        <f>166+559</f>
        <v>725</v>
      </c>
      <c r="I858" s="55">
        <f t="shared" si="284"/>
        <v>1957</v>
      </c>
      <c r="J858" s="1">
        <f>113+561</f>
        <v>674</v>
      </c>
      <c r="K858" s="1">
        <f>106+538</f>
        <v>644</v>
      </c>
      <c r="L858" s="1">
        <f>21+536</f>
        <v>557</v>
      </c>
      <c r="M858" s="55">
        <f t="shared" si="285"/>
        <v>1875</v>
      </c>
      <c r="N858" s="1">
        <f>226+246</f>
        <v>472</v>
      </c>
      <c r="O858" s="1">
        <f>65+3</f>
        <v>68</v>
      </c>
      <c r="P858" s="1">
        <f>73+516</f>
        <v>589</v>
      </c>
      <c r="Q858" s="55">
        <f t="shared" si="286"/>
        <v>1129</v>
      </c>
      <c r="R858" s="55">
        <f t="shared" si="287"/>
        <v>7050</v>
      </c>
      <c r="T858" s="4" t="s">
        <v>1013</v>
      </c>
    </row>
    <row r="859" spans="1:20" ht="16.5" customHeight="1" thickBot="1" x14ac:dyDescent="0.35">
      <c r="A859" s="57" t="s">
        <v>63</v>
      </c>
      <c r="B859" s="86">
        <f>SUM(B847:B858)</f>
        <v>1531</v>
      </c>
      <c r="C859" s="87">
        <f>SUM(C847:C858)</f>
        <v>1608</v>
      </c>
      <c r="D859" s="87">
        <f>SUM(D847:D858)</f>
        <v>2032</v>
      </c>
      <c r="E859" s="59">
        <f t="shared" si="283"/>
        <v>5171</v>
      </c>
      <c r="F859" s="87">
        <f>SUM(F847:F858)</f>
        <v>2533</v>
      </c>
      <c r="G859" s="87">
        <f>SUM(G847:G858)</f>
        <v>3425</v>
      </c>
      <c r="H859" s="87">
        <f>SUM(H847:H858)</f>
        <v>2883</v>
      </c>
      <c r="I859" s="59">
        <f t="shared" si="284"/>
        <v>8841</v>
      </c>
      <c r="J859" s="87">
        <f>SUM(J847:J858)</f>
        <v>1505</v>
      </c>
      <c r="K859" s="87">
        <f>SUM(K847:K858)</f>
        <v>1483</v>
      </c>
      <c r="L859" s="87">
        <f>SUM(L847:L858)</f>
        <v>1004</v>
      </c>
      <c r="M859" s="59">
        <f t="shared" si="285"/>
        <v>3992</v>
      </c>
      <c r="N859" s="87">
        <f>SUM(N847:N858)</f>
        <v>1186</v>
      </c>
      <c r="O859" s="87">
        <f>SUM(O847:O858)</f>
        <v>190</v>
      </c>
      <c r="P859" s="87">
        <f>SUM(P847:P858)</f>
        <v>3112</v>
      </c>
      <c r="Q859" s="59">
        <f t="shared" si="286"/>
        <v>4488</v>
      </c>
      <c r="R859" s="59">
        <f t="shared" si="287"/>
        <v>22492</v>
      </c>
    </row>
    <row r="860" spans="1:20" ht="15.75" customHeight="1" x14ac:dyDescent="0.3">
      <c r="A860" s="15" t="s">
        <v>64</v>
      </c>
      <c r="B860" s="1"/>
      <c r="C860" s="1"/>
      <c r="D860" s="1"/>
      <c r="E860" s="55" t="s">
        <v>7</v>
      </c>
      <c r="F860" s="1"/>
      <c r="G860" s="1"/>
      <c r="H860" s="1"/>
      <c r="I860" s="55" t="s">
        <v>7</v>
      </c>
      <c r="J860" s="1"/>
      <c r="K860" s="1"/>
      <c r="L860" s="1"/>
      <c r="M860" s="55" t="s">
        <v>7</v>
      </c>
      <c r="N860" s="1"/>
      <c r="O860" s="1"/>
      <c r="P860" s="1"/>
      <c r="Q860" s="55" t="s">
        <v>7</v>
      </c>
      <c r="R860" s="55" t="s">
        <v>7</v>
      </c>
    </row>
    <row r="861" spans="1:20" ht="15.75" customHeight="1" x14ac:dyDescent="0.3">
      <c r="A861" s="15" t="s">
        <v>594</v>
      </c>
      <c r="B861" s="1"/>
      <c r="C861" s="27"/>
      <c r="D861" s="1"/>
      <c r="E861" s="55" t="s">
        <v>7</v>
      </c>
      <c r="F861" s="1"/>
      <c r="G861" s="1"/>
      <c r="H861" s="1"/>
      <c r="I861" s="55" t="s">
        <v>7</v>
      </c>
      <c r="J861" s="1"/>
      <c r="K861" s="1"/>
      <c r="L861" s="1"/>
      <c r="M861" s="55" t="s">
        <v>7</v>
      </c>
      <c r="N861" s="1"/>
      <c r="O861" s="1"/>
      <c r="P861" s="1"/>
      <c r="Q861" s="55" t="s">
        <v>7</v>
      </c>
      <c r="R861" s="55" t="s">
        <v>7</v>
      </c>
    </row>
    <row r="862" spans="1:20" ht="15.75" customHeight="1" x14ac:dyDescent="0.3">
      <c r="A862" s="71" t="s">
        <v>1340</v>
      </c>
      <c r="B862" s="1"/>
      <c r="C862" s="1"/>
      <c r="D862" s="1"/>
      <c r="E862" s="55">
        <f>SUM(B862:D862)</f>
        <v>0</v>
      </c>
      <c r="F862" s="1"/>
      <c r="G862" s="1"/>
      <c r="H862" s="1"/>
      <c r="I862" s="55">
        <f>SUM(F862:H862)</f>
        <v>0</v>
      </c>
      <c r="J862" s="1"/>
      <c r="K862" s="1"/>
      <c r="L862" s="1"/>
      <c r="M862" s="55">
        <f>SUM(J862:L862)</f>
        <v>0</v>
      </c>
      <c r="N862" s="1"/>
      <c r="O862" s="1"/>
      <c r="P862" s="1"/>
      <c r="Q862" s="55">
        <f>SUM(N862:P862)</f>
        <v>0</v>
      </c>
      <c r="R862" s="55">
        <f>+E862+I862+M862+Q862</f>
        <v>0</v>
      </c>
    </row>
    <row r="863" spans="1:20" ht="15.75" customHeight="1" x14ac:dyDescent="0.3">
      <c r="A863" s="71" t="s">
        <v>367</v>
      </c>
      <c r="B863" s="1"/>
      <c r="C863" s="1"/>
      <c r="D863" s="1"/>
      <c r="E863" s="55">
        <f>SUM(B863:D863)</f>
        <v>0</v>
      </c>
      <c r="F863" s="1"/>
      <c r="G863" s="1"/>
      <c r="H863" s="1"/>
      <c r="I863" s="55">
        <f>SUM(F863:H863)</f>
        <v>0</v>
      </c>
      <c r="J863" s="1"/>
      <c r="K863" s="1"/>
      <c r="L863" s="1"/>
      <c r="M863" s="55">
        <f>SUM(J863:L863)</f>
        <v>0</v>
      </c>
      <c r="N863" s="1"/>
      <c r="O863" s="1"/>
      <c r="P863" s="1"/>
      <c r="Q863" s="55">
        <f>SUM(N863:P863)</f>
        <v>0</v>
      </c>
      <c r="R863" s="55">
        <f>+E863+I863+M863+Q863</f>
        <v>0</v>
      </c>
    </row>
    <row r="864" spans="1:20" ht="15.75" customHeight="1" x14ac:dyDescent="0.3">
      <c r="A864" s="15" t="s">
        <v>67</v>
      </c>
      <c r="B864" s="1"/>
      <c r="C864" s="1"/>
      <c r="D864" s="1"/>
      <c r="E864" s="55" t="s">
        <v>7</v>
      </c>
      <c r="F864" s="1"/>
      <c r="G864" s="1"/>
      <c r="H864" s="1"/>
      <c r="I864" s="55" t="s">
        <v>7</v>
      </c>
      <c r="J864" s="1"/>
      <c r="K864" s="1"/>
      <c r="L864" s="1"/>
      <c r="M864" s="55" t="s">
        <v>7</v>
      </c>
      <c r="N864" s="1"/>
      <c r="O864" s="1"/>
      <c r="P864" s="1"/>
      <c r="Q864" s="55" t="s">
        <v>7</v>
      </c>
      <c r="R864" s="55" t="s">
        <v>7</v>
      </c>
    </row>
    <row r="865" spans="1:18" ht="15.75" customHeight="1" x14ac:dyDescent="0.3">
      <c r="A865" s="71" t="s">
        <v>783</v>
      </c>
      <c r="B865" s="1"/>
      <c r="C865" s="1"/>
      <c r="D865" s="1"/>
      <c r="E865" s="55">
        <f>SUM(B865:D865)</f>
        <v>0</v>
      </c>
      <c r="F865" s="1"/>
      <c r="G865" s="1"/>
      <c r="H865" s="1"/>
      <c r="I865" s="55">
        <f>SUM(F865:H865)</f>
        <v>0</v>
      </c>
      <c r="J865" s="1"/>
      <c r="K865" s="1"/>
      <c r="L865" s="1"/>
      <c r="M865" s="55">
        <f>SUM(J865:L865)</f>
        <v>0</v>
      </c>
      <c r="N865" s="1"/>
      <c r="O865" s="1"/>
      <c r="P865" s="1"/>
      <c r="Q865" s="55">
        <f>SUM(N865:P865)</f>
        <v>0</v>
      </c>
      <c r="R865" s="55">
        <f>+E865+I865+M865+Q865</f>
        <v>0</v>
      </c>
    </row>
    <row r="866" spans="1:18" ht="15.75" customHeight="1" x14ac:dyDescent="0.3">
      <c r="A866" s="71" t="s">
        <v>784</v>
      </c>
      <c r="B866" s="1"/>
      <c r="C866" s="1"/>
      <c r="D866" s="1"/>
      <c r="E866" s="55">
        <f>SUM(B866:D866)</f>
        <v>0</v>
      </c>
      <c r="F866" s="1"/>
      <c r="G866" s="1"/>
      <c r="H866" s="1"/>
      <c r="I866" s="55">
        <f>SUM(F866:H866)</f>
        <v>0</v>
      </c>
      <c r="J866" s="1"/>
      <c r="K866" s="1"/>
      <c r="L866" s="1"/>
      <c r="M866" s="55">
        <f>SUM(J866:L866)</f>
        <v>0</v>
      </c>
      <c r="N866" s="1"/>
      <c r="O866" s="1"/>
      <c r="P866" s="1"/>
      <c r="Q866" s="55">
        <f>SUM(N866:P866)</f>
        <v>0</v>
      </c>
      <c r="R866" s="55">
        <f>+E866+I866+M866+Q866</f>
        <v>0</v>
      </c>
    </row>
    <row r="867" spans="1:18" ht="15.75" customHeight="1" x14ac:dyDescent="0.3">
      <c r="A867" s="15" t="s">
        <v>600</v>
      </c>
      <c r="B867" s="1"/>
      <c r="C867" s="1"/>
      <c r="D867" s="1"/>
      <c r="E867" s="55" t="s">
        <v>7</v>
      </c>
      <c r="F867" s="1"/>
      <c r="G867" s="1"/>
      <c r="H867" s="1"/>
      <c r="I867" s="55" t="s">
        <v>7</v>
      </c>
      <c r="J867" s="1"/>
      <c r="K867" s="1"/>
      <c r="L867" s="1"/>
      <c r="M867" s="55" t="s">
        <v>7</v>
      </c>
      <c r="N867" s="1"/>
      <c r="O867" s="1"/>
      <c r="P867" s="1"/>
      <c r="Q867" s="55" t="s">
        <v>7</v>
      </c>
      <c r="R867" s="55" t="s">
        <v>7</v>
      </c>
    </row>
    <row r="868" spans="1:18" ht="15.75" customHeight="1" thickBot="1" x14ac:dyDescent="0.35">
      <c r="A868" s="15" t="s">
        <v>70</v>
      </c>
      <c r="B868" s="1"/>
      <c r="C868" s="1"/>
      <c r="D868" s="1"/>
      <c r="E868" s="55" t="s">
        <v>7</v>
      </c>
      <c r="F868" s="1"/>
      <c r="G868" s="1"/>
      <c r="H868" s="1"/>
      <c r="I868" s="55" t="s">
        <v>7</v>
      </c>
      <c r="J868" s="1"/>
      <c r="K868" s="1"/>
      <c r="L868" s="1"/>
      <c r="M868" s="55" t="s">
        <v>7</v>
      </c>
      <c r="N868" s="1"/>
      <c r="O868" s="1"/>
      <c r="P868" s="1"/>
      <c r="Q868" s="55" t="s">
        <v>7</v>
      </c>
      <c r="R868" s="55" t="s">
        <v>7</v>
      </c>
    </row>
    <row r="869" spans="1:18" ht="16.5" customHeight="1" thickBot="1" x14ac:dyDescent="0.35">
      <c r="A869" s="57" t="s">
        <v>71</v>
      </c>
      <c r="B869" s="58">
        <f>SUM(B867:B868)</f>
        <v>0</v>
      </c>
      <c r="C869" s="58">
        <f>SUM(C867:C868)</f>
        <v>0</v>
      </c>
      <c r="D869" s="58">
        <f>SUM(D867:D868)</f>
        <v>0</v>
      </c>
      <c r="E869" s="60">
        <f>SUM(B869:D869)</f>
        <v>0</v>
      </c>
      <c r="F869" s="58">
        <f>SUM(F867:F868)</f>
        <v>0</v>
      </c>
      <c r="G869" s="58">
        <f>SUM(G867:G868)</f>
        <v>0</v>
      </c>
      <c r="H869" s="58">
        <f>SUM(H867:H868)</f>
        <v>0</v>
      </c>
      <c r="I869" s="60">
        <f>SUM(F869:H869)</f>
        <v>0</v>
      </c>
      <c r="J869" s="58">
        <f>SUM(J867:J868)</f>
        <v>0</v>
      </c>
      <c r="K869" s="58">
        <f>SUM(K867:K868)</f>
        <v>0</v>
      </c>
      <c r="L869" s="58">
        <f>SUM(L867:L868)</f>
        <v>0</v>
      </c>
      <c r="M869" s="60">
        <f>SUM(J869:L869)</f>
        <v>0</v>
      </c>
      <c r="N869" s="58">
        <f>SUM(N867:N868)</f>
        <v>0</v>
      </c>
      <c r="O869" s="58">
        <f>SUM(O867:O868)</f>
        <v>0</v>
      </c>
      <c r="P869" s="58">
        <f>SUM(P867:P868)</f>
        <v>0</v>
      </c>
      <c r="Q869" s="60">
        <f>SUM(N869:P869)</f>
        <v>0</v>
      </c>
      <c r="R869" s="59">
        <f>+E869+I869+M869+Q869</f>
        <v>0</v>
      </c>
    </row>
    <row r="870" spans="1:18" ht="16.5" customHeight="1" thickBot="1" x14ac:dyDescent="0.35">
      <c r="A870" s="57" t="s">
        <v>72</v>
      </c>
      <c r="B870" s="86">
        <f>SUM(B860:B868)</f>
        <v>0</v>
      </c>
      <c r="C870" s="87">
        <f>SUM(C860:C868)</f>
        <v>0</v>
      </c>
      <c r="D870" s="118">
        <f>SUM(D860:D868)</f>
        <v>0</v>
      </c>
      <c r="E870" s="60">
        <f>SUM(B870:D870)</f>
        <v>0</v>
      </c>
      <c r="F870" s="87">
        <f>SUM(F860:F868)</f>
        <v>0</v>
      </c>
      <c r="G870" s="87">
        <f>SUM(G860:G868)</f>
        <v>0</v>
      </c>
      <c r="H870" s="87">
        <f>SUM(H860:H868)</f>
        <v>0</v>
      </c>
      <c r="I870" s="60">
        <f>SUM(F870:H870)</f>
        <v>0</v>
      </c>
      <c r="J870" s="87">
        <f>SUM(J860:J868)</f>
        <v>0</v>
      </c>
      <c r="K870" s="87">
        <f>SUM(K860:K868)</f>
        <v>0</v>
      </c>
      <c r="L870" s="87">
        <f>SUM(L860:L868)</f>
        <v>0</v>
      </c>
      <c r="M870" s="60">
        <f>SUM(J870:L870)</f>
        <v>0</v>
      </c>
      <c r="N870" s="87">
        <f>SUM(N860:N868)</f>
        <v>0</v>
      </c>
      <c r="O870" s="87">
        <f>SUM(O860:O868)</f>
        <v>0</v>
      </c>
      <c r="P870" s="87">
        <f>SUM(P860:P868)</f>
        <v>0</v>
      </c>
      <c r="Q870" s="60">
        <f>SUM(N870:P870)</f>
        <v>0</v>
      </c>
      <c r="R870" s="59">
        <f>+E870+I870+M870+Q870</f>
        <v>0</v>
      </c>
    </row>
    <row r="871" spans="1:18" ht="16.5" customHeight="1" thickBot="1" x14ac:dyDescent="0.35">
      <c r="A871" s="57" t="s">
        <v>73</v>
      </c>
      <c r="B871" s="90">
        <f>+B841+B846+B859+B870</f>
        <v>3398</v>
      </c>
      <c r="C871" s="58">
        <f>+C841+C846+C859+C870</f>
        <v>3369</v>
      </c>
      <c r="D871" s="58">
        <f>+D841+D846+D859+D870</f>
        <v>4061</v>
      </c>
      <c r="E871" s="59">
        <f>SUM(B871:D871)</f>
        <v>10828</v>
      </c>
      <c r="F871" s="58">
        <f>+F841+F846+F859+F870</f>
        <v>4362</v>
      </c>
      <c r="G871" s="58">
        <f>+G841+G846+G859+G870</f>
        <v>5564</v>
      </c>
      <c r="H871" s="58">
        <f>+H841+H846+H859+H870</f>
        <v>4788</v>
      </c>
      <c r="I871" s="59">
        <f>SUM(F871:H871)</f>
        <v>14714</v>
      </c>
      <c r="J871" s="58">
        <f>+J841+J846+J859+J870</f>
        <v>3862</v>
      </c>
      <c r="K871" s="58">
        <f>+K841+K846+K859+K870</f>
        <v>3277</v>
      </c>
      <c r="L871" s="58">
        <f>+L841+L846+L859+L870</f>
        <v>3692</v>
      </c>
      <c r="M871" s="59">
        <f>SUM(J871:L871)</f>
        <v>10831</v>
      </c>
      <c r="N871" s="58">
        <f>+N841+N846+N859+N870</f>
        <v>3268</v>
      </c>
      <c r="O871" s="58">
        <f>+O841+O846+O859+O870</f>
        <v>190</v>
      </c>
      <c r="P871" s="58">
        <f>+P841+P846+P859+P870</f>
        <v>4195</v>
      </c>
      <c r="Q871" s="59">
        <f>SUM(N871:P871)</f>
        <v>7653</v>
      </c>
      <c r="R871" s="81">
        <f>+E871+I871+M871+Q871</f>
        <v>44026</v>
      </c>
    </row>
    <row r="872" spans="1:18" ht="16.5" customHeight="1" thickBot="1" x14ac:dyDescent="0.35">
      <c r="A872" s="39" t="s">
        <v>40</v>
      </c>
      <c r="B872" s="21">
        <v>11</v>
      </c>
      <c r="C872" s="21">
        <v>13</v>
      </c>
      <c r="D872" s="21">
        <v>17</v>
      </c>
      <c r="E872" s="55">
        <f>SUM(B872:D872)</f>
        <v>41</v>
      </c>
      <c r="F872" s="21">
        <v>21</v>
      </c>
      <c r="G872" s="21">
        <v>23</v>
      </c>
      <c r="H872" s="21">
        <v>25</v>
      </c>
      <c r="I872" s="55">
        <f>SUM(F872:H872)</f>
        <v>69</v>
      </c>
      <c r="J872" s="21">
        <v>25</v>
      </c>
      <c r="K872" s="21">
        <v>21</v>
      </c>
      <c r="L872" s="21">
        <v>19</v>
      </c>
      <c r="M872" s="55">
        <f>SUM(J872:L872)</f>
        <v>65</v>
      </c>
      <c r="N872" s="21">
        <v>17</v>
      </c>
      <c r="O872" s="21">
        <v>13</v>
      </c>
      <c r="P872" s="21">
        <v>11</v>
      </c>
      <c r="Q872" s="55">
        <f>SUM(N872:P872)</f>
        <v>41</v>
      </c>
      <c r="R872" s="55">
        <f>+E872+I872+M872+Q872</f>
        <v>216</v>
      </c>
    </row>
    <row r="873" spans="1:18" ht="16.5" customHeight="1" thickBot="1" x14ac:dyDescent="0.35">
      <c r="A873" s="41"/>
      <c r="B873" s="36"/>
      <c r="C873" s="36"/>
      <c r="D873" s="36"/>
      <c r="E873" s="59" t="s">
        <v>7</v>
      </c>
      <c r="F873" s="36"/>
      <c r="G873" s="36"/>
      <c r="H873" s="36"/>
      <c r="I873" s="59" t="s">
        <v>7</v>
      </c>
      <c r="J873" s="36"/>
      <c r="K873" s="36"/>
      <c r="L873" s="36"/>
      <c r="M873" s="59" t="s">
        <v>7</v>
      </c>
      <c r="N873" s="36"/>
      <c r="O873" s="36"/>
      <c r="P873" s="36"/>
      <c r="Q873" s="59" t="s">
        <v>7</v>
      </c>
      <c r="R873" s="59" t="s">
        <v>7</v>
      </c>
    </row>
    <row r="874" spans="1:18" ht="15.75" customHeight="1" x14ac:dyDescent="0.3">
      <c r="A874" s="15" t="s">
        <v>41</v>
      </c>
      <c r="B874" s="1">
        <f>SUM(B871:B872)</f>
        <v>3409</v>
      </c>
      <c r="C874" s="1">
        <f>SUM(C871:C872)</f>
        <v>3382</v>
      </c>
      <c r="D874" s="1">
        <f>SUM(D871:D872)</f>
        <v>4078</v>
      </c>
      <c r="E874" s="60">
        <f>SUM(B874:D874)</f>
        <v>10869</v>
      </c>
      <c r="F874" s="1">
        <f>SUM(F871:F872)</f>
        <v>4383</v>
      </c>
      <c r="G874" s="1">
        <f>SUM(G871:G872)</f>
        <v>5587</v>
      </c>
      <c r="H874" s="1">
        <f>SUM(H871:H872)</f>
        <v>4813</v>
      </c>
      <c r="I874" s="60">
        <f>SUM(F874:H874)</f>
        <v>14783</v>
      </c>
      <c r="J874" s="1">
        <f>SUM(J871:J872)</f>
        <v>3887</v>
      </c>
      <c r="K874" s="1">
        <f>SUM(K871:K872)</f>
        <v>3298</v>
      </c>
      <c r="L874" s="1">
        <f>SUM(L871:L872)</f>
        <v>3711</v>
      </c>
      <c r="M874" s="60">
        <f>SUM(J874:L874)</f>
        <v>10896</v>
      </c>
      <c r="N874" s="1">
        <f>SUM(N871:N872)</f>
        <v>3285</v>
      </c>
      <c r="O874" s="1">
        <f>SUM(O871:O872)</f>
        <v>203</v>
      </c>
      <c r="P874" s="1">
        <f>SUM(P871:P872)</f>
        <v>4206</v>
      </c>
      <c r="Q874" s="60">
        <f>SUM(N874:P874)</f>
        <v>7694</v>
      </c>
      <c r="R874" s="60">
        <f>+E874+I874+M874+Q874</f>
        <v>44242</v>
      </c>
    </row>
    <row r="875" spans="1:18" ht="15.75" customHeight="1" x14ac:dyDescent="0.3">
      <c r="A875" s="15" t="s">
        <v>42</v>
      </c>
      <c r="B875" s="1">
        <f>(B874/B10)/1.983</f>
        <v>55.45524051209474</v>
      </c>
      <c r="C875" s="1">
        <f>(C874/C10)/1.983</f>
        <v>60.91059721922052</v>
      </c>
      <c r="D875" s="1">
        <f>(D874/D10)/1.983</f>
        <v>66.338067118897726</v>
      </c>
      <c r="E875" s="55" t="s">
        <v>7</v>
      </c>
      <c r="F875" s="1">
        <f>(F874/F10)/1.983</f>
        <v>73.676248108925861</v>
      </c>
      <c r="G875" s="1">
        <f>(G874/G10)/1.983</f>
        <v>90.885429375498177</v>
      </c>
      <c r="H875" s="1">
        <f>(H874/H10)/1.983</f>
        <v>80.904353672886202</v>
      </c>
      <c r="I875" s="55" t="s">
        <v>7</v>
      </c>
      <c r="J875" s="1">
        <f>(J874/J10)/1.983</f>
        <v>63.231011989003299</v>
      </c>
      <c r="K875" s="1">
        <f>(K874/K10)/1.983</f>
        <v>53.649569729800071</v>
      </c>
      <c r="L875" s="1">
        <f>(L874/L10)/1.983</f>
        <v>62.380231971759962</v>
      </c>
      <c r="M875" s="55" t="s">
        <v>7</v>
      </c>
      <c r="N875" s="1">
        <f>(N874/N10)/1.983</f>
        <v>53.438094773315115</v>
      </c>
      <c r="O875" s="1">
        <f>(O874/O10)/1.983</f>
        <v>3.4123382081022018</v>
      </c>
      <c r="P875" s="1">
        <f>(P874/P10)/1.983</f>
        <v>68.420282075057344</v>
      </c>
      <c r="Q875" s="55" t="s">
        <v>7</v>
      </c>
      <c r="R875" s="55" t="s">
        <v>7</v>
      </c>
    </row>
    <row r="876" spans="1:18" ht="15.75" customHeight="1" x14ac:dyDescent="0.3">
      <c r="A876" s="15" t="s">
        <v>372</v>
      </c>
      <c r="B876" s="1">
        <f>B874</f>
        <v>3409</v>
      </c>
      <c r="C876" s="1">
        <f>C874</f>
        <v>3382</v>
      </c>
      <c r="D876" s="1">
        <f>D874</f>
        <v>4078</v>
      </c>
      <c r="E876" s="55">
        <f>SUM(B876:D876)</f>
        <v>10869</v>
      </c>
      <c r="F876" s="1">
        <f>F874</f>
        <v>4383</v>
      </c>
      <c r="G876" s="1">
        <f>G874</f>
        <v>5587</v>
      </c>
      <c r="H876" s="1">
        <f>H874</f>
        <v>4813</v>
      </c>
      <c r="I876" s="55">
        <f>SUM(F876:H876)</f>
        <v>14783</v>
      </c>
      <c r="J876" s="1">
        <f>J874</f>
        <v>3887</v>
      </c>
      <c r="K876" s="1">
        <f>K874</f>
        <v>3298</v>
      </c>
      <c r="L876" s="1">
        <f>L874</f>
        <v>3711</v>
      </c>
      <c r="M876" s="55">
        <f>SUM(J876:L876)</f>
        <v>10896</v>
      </c>
      <c r="N876" s="1">
        <f>N874</f>
        <v>3285</v>
      </c>
      <c r="O876" s="1">
        <f>O874</f>
        <v>203</v>
      </c>
      <c r="P876" s="1">
        <f>P874</f>
        <v>4206</v>
      </c>
      <c r="Q876" s="55">
        <f>SUM(N876:P876)</f>
        <v>7694</v>
      </c>
      <c r="R876" s="55">
        <f>+E876+I876+M876+Q876</f>
        <v>44242</v>
      </c>
    </row>
    <row r="877" spans="1:18" ht="16.5" customHeight="1" thickBot="1" x14ac:dyDescent="0.35">
      <c r="A877" s="20" t="s">
        <v>373</v>
      </c>
      <c r="B877" s="21">
        <f>(B876/B10)/1.983</f>
        <v>55.45524051209474</v>
      </c>
      <c r="C877" s="21">
        <f>(C876/C10)/1.983</f>
        <v>60.91059721922052</v>
      </c>
      <c r="D877" s="21">
        <f>(D876/D10)/1.983</f>
        <v>66.338067118897726</v>
      </c>
      <c r="E877" s="81" t="s">
        <v>7</v>
      </c>
      <c r="F877" s="21">
        <f>(F876/F10)/1.983</f>
        <v>73.676248108925861</v>
      </c>
      <c r="G877" s="21">
        <f>(G876/G10)/1.983</f>
        <v>90.885429375498177</v>
      </c>
      <c r="H877" s="21">
        <f>(H876/H10)/1.983</f>
        <v>80.904353672886202</v>
      </c>
      <c r="I877" s="81" t="s">
        <v>7</v>
      </c>
      <c r="J877" s="21">
        <f>(J876/J10)/1.983</f>
        <v>63.231011989003299</v>
      </c>
      <c r="K877" s="21">
        <f>(K876/K10)/1.983</f>
        <v>53.649569729800071</v>
      </c>
      <c r="L877" s="21">
        <f>(L876/L10)/1.983</f>
        <v>62.380231971759962</v>
      </c>
      <c r="M877" s="81" t="s">
        <v>7</v>
      </c>
      <c r="N877" s="21">
        <f>(N876/N10)/1.983</f>
        <v>53.438094773315115</v>
      </c>
      <c r="O877" s="21">
        <f>(O876/O10)/1.983</f>
        <v>3.4123382081022018</v>
      </c>
      <c r="P877" s="21">
        <f>(P876/P10)/1.983</f>
        <v>68.420282075057344</v>
      </c>
      <c r="Q877" s="81" t="s">
        <v>7</v>
      </c>
      <c r="R877" s="81" t="s">
        <v>7</v>
      </c>
    </row>
    <row r="878" spans="1:18" ht="15.75" customHeight="1" x14ac:dyDescent="0.3">
      <c r="A878" s="28"/>
      <c r="B878" s="1"/>
      <c r="C878" s="1"/>
      <c r="D878" s="1"/>
      <c r="E878" s="2"/>
      <c r="F878" s="1"/>
      <c r="G878" s="1"/>
      <c r="H878" s="1"/>
      <c r="I878" s="2"/>
      <c r="J878" s="1"/>
      <c r="K878" s="1"/>
      <c r="L878" s="1"/>
      <c r="M878" s="2"/>
      <c r="N878" s="1"/>
      <c r="O878" s="1"/>
      <c r="P878" s="1"/>
      <c r="Q878" s="2"/>
      <c r="R878" s="2"/>
    </row>
    <row r="879" spans="1:18" ht="15.75" customHeight="1" x14ac:dyDescent="0.3">
      <c r="A879" s="28"/>
      <c r="B879" s="1"/>
      <c r="C879" s="1"/>
      <c r="D879" s="1"/>
      <c r="E879" s="1"/>
      <c r="F879" s="1"/>
      <c r="G879" s="1"/>
      <c r="H879" s="1"/>
      <c r="I879" s="1"/>
      <c r="J879" s="1"/>
      <c r="K879" s="1"/>
      <c r="L879" s="1"/>
      <c r="M879" s="1"/>
      <c r="N879" s="1"/>
      <c r="O879" s="1"/>
      <c r="P879" s="1"/>
      <c r="Q879" s="338" t="str">
        <f>+Q1</f>
        <v xml:space="preserve">PRINTED:  </v>
      </c>
      <c r="R879" s="360">
        <f ca="1">+R1</f>
        <v>44909.46975358796</v>
      </c>
    </row>
    <row r="880" spans="1:18" ht="15.75" customHeight="1" x14ac:dyDescent="0.3">
      <c r="A880" s="499" t="s">
        <v>1</v>
      </c>
      <c r="B880" s="499"/>
      <c r="C880" s="499"/>
      <c r="D880" s="499"/>
      <c r="E880" s="499"/>
      <c r="F880" s="499"/>
      <c r="G880" s="499"/>
      <c r="H880" s="499"/>
      <c r="I880" s="499"/>
      <c r="J880" s="499"/>
      <c r="K880" s="499"/>
      <c r="L880" s="499"/>
      <c r="M880" s="499"/>
      <c r="N880" s="499"/>
      <c r="O880" s="499"/>
      <c r="P880" s="499"/>
      <c r="Q880" s="499"/>
      <c r="R880" s="499"/>
    </row>
    <row r="881" spans="1:18" ht="15.75" customHeight="1" x14ac:dyDescent="0.3">
      <c r="A881" s="499" t="s">
        <v>2</v>
      </c>
      <c r="B881" s="499"/>
      <c r="C881" s="499"/>
      <c r="D881" s="499"/>
      <c r="E881" s="499"/>
      <c r="F881" s="499"/>
      <c r="G881" s="499"/>
      <c r="H881" s="499"/>
      <c r="I881" s="499"/>
      <c r="J881" s="499"/>
      <c r="K881" s="499"/>
      <c r="L881" s="499"/>
      <c r="M881" s="499"/>
      <c r="N881" s="499"/>
      <c r="O881" s="499"/>
      <c r="P881" s="499"/>
      <c r="Q881" s="499"/>
      <c r="R881" s="499"/>
    </row>
    <row r="882" spans="1:18" ht="15.75" customHeight="1" x14ac:dyDescent="0.3">
      <c r="A882" s="499" t="s">
        <v>3</v>
      </c>
      <c r="B882" s="499"/>
      <c r="C882" s="499"/>
      <c r="D882" s="499"/>
      <c r="E882" s="499"/>
      <c r="F882" s="499"/>
      <c r="G882" s="499"/>
      <c r="H882" s="499"/>
      <c r="I882" s="499"/>
      <c r="J882" s="499"/>
      <c r="K882" s="499"/>
      <c r="L882" s="499"/>
      <c r="M882" s="499"/>
      <c r="N882" s="499"/>
      <c r="O882" s="499"/>
      <c r="P882" s="499"/>
      <c r="Q882" s="499"/>
      <c r="R882" s="499"/>
    </row>
    <row r="883" spans="1:18" ht="15.75" customHeight="1" x14ac:dyDescent="0.3">
      <c r="A883" s="504">
        <f>+A5</f>
        <v>2021</v>
      </c>
      <c r="B883" s="504"/>
      <c r="C883" s="504"/>
      <c r="D883" s="504"/>
      <c r="E883" s="504"/>
      <c r="F883" s="504"/>
      <c r="G883" s="504"/>
      <c r="H883" s="504"/>
      <c r="I883" s="504"/>
      <c r="J883" s="504"/>
      <c r="K883" s="504"/>
      <c r="L883" s="504"/>
      <c r="M883" s="504"/>
      <c r="N883" s="504"/>
      <c r="O883" s="504"/>
      <c r="P883" s="504"/>
      <c r="Q883" s="504"/>
      <c r="R883" s="504"/>
    </row>
    <row r="884" spans="1:18" ht="15.75" customHeight="1" x14ac:dyDescent="0.3">
      <c r="A884" s="1"/>
      <c r="B884" s="1"/>
      <c r="C884" s="1"/>
      <c r="D884" s="5"/>
      <c r="E884" s="5"/>
      <c r="F884" s="5"/>
      <c r="G884" s="6"/>
      <c r="H884" s="5"/>
      <c r="I884" s="5"/>
      <c r="J884" s="6"/>
      <c r="K884" s="6"/>
      <c r="L884" s="6"/>
      <c r="M884" s="6"/>
      <c r="N884" s="1"/>
      <c r="O884" s="6"/>
      <c r="P884" s="6"/>
      <c r="Q884" s="6"/>
      <c r="R884" s="6"/>
    </row>
    <row r="885" spans="1:18" ht="15.75" customHeight="1" x14ac:dyDescent="0.3">
      <c r="A885" s="499" t="str">
        <f>+A8</f>
        <v>Revised:  10/27/2021</v>
      </c>
      <c r="B885" s="499"/>
      <c r="C885" s="499"/>
      <c r="D885" s="499"/>
      <c r="E885" s="499"/>
      <c r="F885" s="499"/>
      <c r="G885" s="499"/>
      <c r="H885" s="499"/>
      <c r="I885" s="499"/>
      <c r="J885" s="499"/>
      <c r="K885" s="499"/>
      <c r="L885" s="499"/>
      <c r="M885" s="499"/>
      <c r="N885" s="499"/>
      <c r="O885" s="499"/>
      <c r="P885" s="499"/>
      <c r="Q885" s="499"/>
      <c r="R885" s="499"/>
    </row>
    <row r="886" spans="1:18" ht="15.75" customHeight="1" x14ac:dyDescent="0.3">
      <c r="A886" s="314"/>
      <c r="B886" s="314"/>
      <c r="C886" s="314"/>
      <c r="D886" s="314"/>
      <c r="E886" s="314"/>
      <c r="F886" s="314"/>
      <c r="G886" s="314"/>
      <c r="H886" s="314"/>
      <c r="I886" s="314"/>
      <c r="J886" s="314"/>
      <c r="K886" s="314"/>
      <c r="L886" s="314"/>
      <c r="M886" s="314"/>
      <c r="N886" s="314"/>
      <c r="O886" s="314"/>
      <c r="P886" s="314"/>
      <c r="Q886" s="314"/>
      <c r="R886" s="314"/>
    </row>
    <row r="887" spans="1:18" ht="15.75" customHeight="1" x14ac:dyDescent="0.3">
      <c r="A887" s="314"/>
      <c r="B887" s="314"/>
      <c r="C887" s="314"/>
      <c r="D887" s="314"/>
      <c r="E887" s="314"/>
      <c r="F887" s="314"/>
      <c r="G887" s="314"/>
      <c r="H887" s="314"/>
      <c r="I887" s="314"/>
      <c r="J887" s="314"/>
      <c r="K887" s="314"/>
      <c r="L887" s="314"/>
      <c r="M887" s="314"/>
      <c r="N887" s="314"/>
      <c r="O887" s="314"/>
      <c r="P887" s="314"/>
      <c r="Q887" s="314"/>
      <c r="R887" s="314"/>
    </row>
    <row r="888" spans="1:18" ht="15.75" customHeight="1" thickBot="1" x14ac:dyDescent="0.35">
      <c r="A888" s="28"/>
      <c r="B888" s="1"/>
      <c r="C888" s="1"/>
      <c r="D888" s="1"/>
      <c r="E888" s="1"/>
      <c r="F888" s="1"/>
      <c r="G888" s="1"/>
      <c r="H888" s="1"/>
      <c r="I888" s="1"/>
      <c r="J888" s="1"/>
      <c r="K888" s="1"/>
      <c r="L888" s="1"/>
      <c r="M888" s="1"/>
      <c r="N888" s="1"/>
      <c r="O888" s="1"/>
      <c r="P888" s="1"/>
      <c r="Q888" s="1"/>
      <c r="R888" s="2"/>
    </row>
    <row r="889" spans="1:18" ht="16.5" customHeight="1" thickBot="1" x14ac:dyDescent="0.35">
      <c r="A889" s="124" t="s">
        <v>374</v>
      </c>
      <c r="B889" s="30" t="s">
        <v>8</v>
      </c>
      <c r="C889" s="31" t="s">
        <v>9</v>
      </c>
      <c r="D889" s="31" t="s">
        <v>10</v>
      </c>
      <c r="E889" s="32" t="s">
        <v>11</v>
      </c>
      <c r="F889" s="31" t="s">
        <v>12</v>
      </c>
      <c r="G889" s="31" t="s">
        <v>13</v>
      </c>
      <c r="H889" s="31" t="s">
        <v>14</v>
      </c>
      <c r="I889" s="33" t="s">
        <v>15</v>
      </c>
      <c r="J889" s="31" t="s">
        <v>16</v>
      </c>
      <c r="K889" s="31" t="s">
        <v>17</v>
      </c>
      <c r="L889" s="31" t="s">
        <v>18</v>
      </c>
      <c r="M889" s="33" t="s">
        <v>19</v>
      </c>
      <c r="N889" s="31" t="s">
        <v>20</v>
      </c>
      <c r="O889" s="31" t="s">
        <v>21</v>
      </c>
      <c r="P889" s="31" t="s">
        <v>22</v>
      </c>
      <c r="Q889" s="33" t="s">
        <v>23</v>
      </c>
      <c r="R889" s="133" t="s">
        <v>24</v>
      </c>
    </row>
    <row r="890" spans="1:18" ht="16.5" customHeight="1" thickBot="1" x14ac:dyDescent="0.35">
      <c r="A890" s="41"/>
      <c r="B890" s="36"/>
      <c r="C890" s="36"/>
      <c r="D890" s="36"/>
      <c r="E890" s="52"/>
      <c r="F890" s="36"/>
      <c r="G890" s="36"/>
      <c r="H890" s="36"/>
      <c r="I890" s="132"/>
      <c r="J890" s="36"/>
      <c r="K890" s="36"/>
      <c r="L890" s="36"/>
      <c r="M890" s="132"/>
      <c r="N890" s="36"/>
      <c r="O890" s="36"/>
      <c r="P890" s="36"/>
      <c r="Q890" s="134"/>
      <c r="R890" s="135"/>
    </row>
    <row r="891" spans="1:18" ht="15.75" customHeight="1" x14ac:dyDescent="0.3">
      <c r="A891" s="15" t="s">
        <v>48</v>
      </c>
      <c r="B891" s="1" t="s">
        <v>7</v>
      </c>
      <c r="C891" s="1" t="s">
        <v>7</v>
      </c>
      <c r="D891" s="1" t="s">
        <v>7</v>
      </c>
      <c r="E891" s="136"/>
      <c r="F891" s="1" t="s">
        <v>7</v>
      </c>
      <c r="G891" s="1" t="s">
        <v>7</v>
      </c>
      <c r="H891" s="1" t="s">
        <v>7</v>
      </c>
      <c r="I891" s="136"/>
      <c r="J891" s="1" t="s">
        <v>7</v>
      </c>
      <c r="K891" s="1" t="s">
        <v>7</v>
      </c>
      <c r="L891" s="1" t="s">
        <v>7</v>
      </c>
      <c r="M891" s="136"/>
      <c r="N891" s="1" t="s">
        <v>7</v>
      </c>
      <c r="O891" s="1" t="s">
        <v>7</v>
      </c>
      <c r="P891" s="1" t="s">
        <v>7</v>
      </c>
      <c r="Q891" s="137"/>
      <c r="R891" s="138" t="s">
        <v>7</v>
      </c>
    </row>
    <row r="892" spans="1:18" ht="15.75" customHeight="1" x14ac:dyDescent="0.3">
      <c r="A892" s="315" t="s">
        <v>49</v>
      </c>
      <c r="B892" s="1">
        <f>+SUM(B71:B82)+SUM(B142:B198)+SUM(B341:B378)+SUM(B532:B537)+SUM(B577:B582)+SUM(B622:B634)+SUM(B698:B701)+SUM(B734:B740)+SUM(B796:B797)+SUM(B830:B836)</f>
        <v>28695</v>
      </c>
      <c r="C892" s="1">
        <f>+SUM(C71:C82)+SUM(C142:C198)+SUM(C341:C378)+SUM(C532:C537)+SUM(C577:C582)+SUM(C622:C634)+SUM(C698:C701)+SUM(C734:C740)+SUM(C796:C797)+SUM(C830:C836)</f>
        <v>31149</v>
      </c>
      <c r="D892" s="1">
        <f>+SUM(D71:D82)+SUM(D142:D198)+SUM(D341:D378)+SUM(D532:D537)+SUM(D577:D582)+SUM(D622:D634)+SUM(D698:D701)+SUM(D734:D740)+SUM(D796:D797)+SUM(D830:D836)</f>
        <v>42476</v>
      </c>
      <c r="E892" s="55">
        <f t="shared" ref="E892:E898" si="289">SUM(B892:D892)</f>
        <v>102320</v>
      </c>
      <c r="F892" s="1">
        <f>+SUM(F71:F82)+SUM(F142:F198)+SUM(F341:F378)+SUM(F532:F537)+SUM(F577:F582)+SUM(F622:F634)+SUM(F698:F701)+SUM(F734:F740)+SUM(F796:F797)+SUM(F830:F836)</f>
        <v>53516</v>
      </c>
      <c r="G892" s="1">
        <f>+SUM(G71:G82)+SUM(G142:G198)+SUM(G341:G378)+SUM(G532:G537)+SUM(G577:G582)+SUM(G622:G634)+SUM(G698:G701)+SUM(G734:G740)+SUM(G796:G797)+SUM(G830:G836)</f>
        <v>58120</v>
      </c>
      <c r="H892" s="1">
        <f>+SUM(H71:H82)+SUM(H142:H198)+SUM(H341:H378)+SUM(H532:H537)+SUM(H577:H582)+SUM(H622:H634)+SUM(H698:H701)+SUM(H734:H740)+SUM(H796:H797)+SUM(H830:H836)</f>
        <v>72121</v>
      </c>
      <c r="I892" s="55">
        <f t="shared" ref="I892:I898" si="290">SUM(F892:H892)</f>
        <v>183757</v>
      </c>
      <c r="J892" s="1">
        <f>+SUM(J71:J82)+SUM(J142:J198)+SUM(J341:J378)+SUM(J532:J537)+SUM(J577:J582)+SUM(J622:J634)+SUM(J698:J701)+SUM(J734:J740)+SUM(J796:J797)+SUM(J830:J836)</f>
        <v>73319</v>
      </c>
      <c r="K892" s="1">
        <f>+SUM(K71:K82)+SUM(K142:K198)+SUM(K341:K378)+SUM(K532:K537)+SUM(K577:K582)+SUM(K622:K634)+SUM(K698:K701)+SUM(K734:K740)+SUM(K796:K797)+SUM(K830:K836)</f>
        <v>67728</v>
      </c>
      <c r="L892" s="1">
        <f>+SUM(L71:L82)+SUM(L142:L198)+SUM(L341:L378)+SUM(L532:L537)+SUM(L577:L582)+SUM(L622:L634)+SUM(L698:L701)+SUM(L734:L740)+SUM(L796:L797)+SUM(L830:L836)</f>
        <v>55866</v>
      </c>
      <c r="M892" s="55">
        <f t="shared" ref="M892:M898" si="291">SUM(J892:L892)</f>
        <v>196913</v>
      </c>
      <c r="N892" s="1">
        <f>+SUM(N71:N82)+SUM(N142:N198)+SUM(N341:N378)+SUM(N532:N537)+SUM(N577:N582)+SUM(N622:N634)+SUM(N698:N701)+SUM(N734:N740)+SUM(N796:N797)+SUM(N830:N836)</f>
        <v>45730</v>
      </c>
      <c r="O892" s="1">
        <f>+SUM(O71:O82)+SUM(O142:O198)+SUM(O341:O378)+SUM(O532:O537)+SUM(O577:O582)+SUM(O622:O634)+SUM(O698:O701)+SUM(O734:O740)+SUM(O796:O797)+SUM(O830:O836)</f>
        <v>29801</v>
      </c>
      <c r="P892" s="1">
        <f>+SUM(P71:P82)+SUM(P142:P198)+SUM(P341:P378)+SUM(P532:P537)+SUM(P577:P582)+SUM(P622:P634)+SUM(P698:P701)+SUM(P734:P740)+SUM(P796:P797)+SUM(P830:P836)</f>
        <v>37898</v>
      </c>
      <c r="Q892" s="55">
        <f t="shared" ref="Q892:Q898" si="292">SUM(N892:P892)</f>
        <v>113429</v>
      </c>
      <c r="R892" s="55">
        <f t="shared" ref="R892:R898" si="293">+E892+I892+M892+Q892</f>
        <v>596419</v>
      </c>
    </row>
    <row r="893" spans="1:18" ht="15.75" customHeight="1" x14ac:dyDescent="0.3">
      <c r="A893" s="15" t="s">
        <v>1014</v>
      </c>
      <c r="B893" s="1">
        <f>+B38+SUM(B83:B84)+SUM(B200:B209)+SUM(B380:B390)+SUM(B539:B540)+B583+SUM(B635:B636)+B702+B741+B798+SUM(B837:B837)</f>
        <v>0</v>
      </c>
      <c r="C893" s="1">
        <f>+C38+SUM(C83:C84)+SUM(C200:C209)+SUM(C380:C390)+SUM(C539:C540)+C583+SUM(C635:C636)+C702+C741+C798+SUM(C837:C837)</f>
        <v>0</v>
      </c>
      <c r="D893" s="1">
        <f>+D38+SUM(D83:D84)+SUM(D200:D209)+SUM(D380:D390)+SUM(D539:D540)+D583+SUM(D635:D636)+D702+D741+D798+SUM(D837:D837)</f>
        <v>0</v>
      </c>
      <c r="E893" s="55">
        <f t="shared" si="289"/>
        <v>0</v>
      </c>
      <c r="F893" s="1">
        <f>+F38+SUM(F83:F84)+SUM(F200:F209)+SUM(F380:F390)+SUM(F539:F540)+F583+SUM(F635:F636)+F702+F741+F798+SUM(F837:F837)</f>
        <v>0</v>
      </c>
      <c r="G893" s="1">
        <f>+G38+SUM(G83:G84)+SUM(G200:G209)+SUM(G380:G390)+SUM(G539:G540)+G583+SUM(G635:G636)+G702+G741+G798+SUM(G837:G837)</f>
        <v>0</v>
      </c>
      <c r="H893" s="1">
        <f>+H38+SUM(H83:H84)+SUM(H200:H209)+SUM(H380:H390)+SUM(H539:H540)+H583+SUM(H635:H636)+H702+H741+H798+SUM(H837:H837)</f>
        <v>0</v>
      </c>
      <c r="I893" s="55">
        <f t="shared" si="290"/>
        <v>0</v>
      </c>
      <c r="J893" s="1">
        <f>+J38+SUM(J83:J84)+SUM(J200:J209)+SUM(J380:J390)+SUM(J539:J540)+J583+SUM(J635:J636)+J702+J741+J798+SUM(J837:J837)</f>
        <v>0</v>
      </c>
      <c r="K893" s="1">
        <f>+K38+SUM(K83:K84)+SUM(K200:K209)+SUM(K380:K390)+SUM(K539:K540)+K583+SUM(K635:K636)+K702+K741+K798+SUM(K837:K837)</f>
        <v>0</v>
      </c>
      <c r="L893" s="1">
        <f>+L38+SUM(L83:L84)+SUM(L200:L209)+SUM(L380:L390)+SUM(L539:L540)+L583+SUM(L635:L636)+L702+L741+L798+SUM(L837:L837)</f>
        <v>0</v>
      </c>
      <c r="M893" s="55">
        <f t="shared" si="291"/>
        <v>0</v>
      </c>
      <c r="N893" s="1">
        <f>+N38+SUM(N83:N84)+SUM(N200:N209)+SUM(N380:N390)+SUM(N539:N540)+N583+SUM(N635:N636)+N702+N741+N798+SUM(N837:N837)</f>
        <v>0</v>
      </c>
      <c r="O893" s="1">
        <f>+O38+SUM(O83:O84)+SUM(O200:O209)+SUM(O380:O390)+SUM(O539:O540)+O583+SUM(O635:O636)+O702+O741+O798+SUM(O837:O837)</f>
        <v>0</v>
      </c>
      <c r="P893" s="1">
        <f>+P38+SUM(P83:P84)+SUM(P200:P209)+SUM(P380:P390)+SUM(P539:P540)+P583+SUM(P635:P636)+P702+P741+P798+SUM(P837:P837)</f>
        <v>0</v>
      </c>
      <c r="Q893" s="55">
        <f t="shared" si="292"/>
        <v>0</v>
      </c>
      <c r="R893" s="55">
        <f t="shared" si="293"/>
        <v>0</v>
      </c>
    </row>
    <row r="894" spans="1:18" ht="15.75" customHeight="1" x14ac:dyDescent="0.3">
      <c r="A894" s="315" t="s">
        <v>1015</v>
      </c>
      <c r="B894" s="1">
        <f>+SUM(B85:B87)+SUM(B210:B213)+SUM(B391:B395)+B541+B584+SUM(B637:B638)+B703+B742+B799+SUM(B838:B839)</f>
        <v>0</v>
      </c>
      <c r="C894" s="1">
        <f>+SUM(C85:C87)+SUM(C210:C213)+SUM(C391:C395)+C541+C584+SUM(C637:C638)+C703+C742+C799+SUM(C838:C839)</f>
        <v>0</v>
      </c>
      <c r="D894" s="1">
        <f>+SUM(D85:D87)+SUM(D210:D213)+SUM(D391:D395)+D541+D584+SUM(D637:D638)+D703+D742+D799+SUM(D838:D839)</f>
        <v>0</v>
      </c>
      <c r="E894" s="55">
        <f t="shared" si="289"/>
        <v>0</v>
      </c>
      <c r="F894" s="1">
        <f>+SUM(F85:F87)+SUM(F210:F213)+SUM(F391:F395)+F541+F584+SUM(F637:F638)+F703+F742+F799+SUM(F838:F839)</f>
        <v>0</v>
      </c>
      <c r="G894" s="1">
        <f>+SUM(G85:G87)+SUM(G210:G213)+SUM(G391:G395)+G541+G584+SUM(G637:G638)+G703+G742+G799+SUM(G838:G839)</f>
        <v>0</v>
      </c>
      <c r="H894" s="1">
        <f>+SUM(H85:H87)+SUM(H210:H213)+SUM(H391:H395)+H541+H584+SUM(H637:H638)+H703+H742+H799+SUM(H838:H839)</f>
        <v>0</v>
      </c>
      <c r="I894" s="55">
        <f t="shared" si="290"/>
        <v>0</v>
      </c>
      <c r="J894" s="1">
        <f>+SUM(J85:J87)+SUM(J210:J213)+SUM(J391:J395)+J541+J584+SUM(J637:J638)+J703+J742+J799+SUM(J838:J839)</f>
        <v>0</v>
      </c>
      <c r="K894" s="1">
        <f>+SUM(K85:K87)+SUM(K210:K213)+SUM(K391:K395)+K541+K584+SUM(K637:K638)+K703+K742+K799+SUM(K838:K839)</f>
        <v>0</v>
      </c>
      <c r="L894" s="1">
        <f>+SUM(L85:L87)+SUM(L210:L213)+SUM(L391:L395)+L541+L584+SUM(L637:L638)+L703+L742+L799+SUM(L838:L839)</f>
        <v>0</v>
      </c>
      <c r="M894" s="55">
        <f t="shared" si="291"/>
        <v>0</v>
      </c>
      <c r="N894" s="1">
        <f>+SUM(N85:N87)+SUM(N210:N213)+SUM(N391:N395)+N541+N584+SUM(N637:N638)+N703+N742+N799+SUM(N838:N839)</f>
        <v>0</v>
      </c>
      <c r="O894" s="1">
        <f>+SUM(O85:O87)+SUM(O210:O213)+SUM(O391:O395)+O541+O584+SUM(O637:O638)+O703+O742+O799+SUM(O838:O839)</f>
        <v>0</v>
      </c>
      <c r="P894" s="1">
        <f>+SUM(P85:P87)+SUM(P210:P213)+SUM(P391:P395)+P541+P584+SUM(P637:P638)+P703+P742+P799+SUM(P838:P839)</f>
        <v>0</v>
      </c>
      <c r="Q894" s="55">
        <f t="shared" si="292"/>
        <v>0</v>
      </c>
      <c r="R894" s="55">
        <f>+E894+I894+M894+Q894</f>
        <v>0</v>
      </c>
    </row>
    <row r="895" spans="1:18" ht="15.75" customHeight="1" x14ac:dyDescent="0.3">
      <c r="A895" s="15" t="s">
        <v>1016</v>
      </c>
      <c r="B895" s="1">
        <f>+B318+B513+B514</f>
        <v>0</v>
      </c>
      <c r="C895" s="1">
        <f>+C318+C513+C514</f>
        <v>0</v>
      </c>
      <c r="D895" s="1">
        <f>+D318+D513+D514</f>
        <v>0</v>
      </c>
      <c r="E895" s="55">
        <f t="shared" si="289"/>
        <v>0</v>
      </c>
      <c r="F895" s="1">
        <f>+F318+F513+F514</f>
        <v>0</v>
      </c>
      <c r="G895" s="1">
        <f>+G318+G513+G514</f>
        <v>0</v>
      </c>
      <c r="H895" s="1">
        <f>+H318+H513+H514</f>
        <v>0</v>
      </c>
      <c r="I895" s="55">
        <f t="shared" si="290"/>
        <v>0</v>
      </c>
      <c r="J895" s="1">
        <f>+J318+J513+J514</f>
        <v>0</v>
      </c>
      <c r="K895" s="1">
        <f>+K318+K513+K514</f>
        <v>0</v>
      </c>
      <c r="L895" s="1">
        <f>+L318+L513+L514</f>
        <v>0</v>
      </c>
      <c r="M895" s="55">
        <f t="shared" si="291"/>
        <v>0</v>
      </c>
      <c r="N895" s="1">
        <f>+N318+N513+N514</f>
        <v>0</v>
      </c>
      <c r="O895" s="1">
        <f>+O318+O513+O514</f>
        <v>0</v>
      </c>
      <c r="P895" s="1">
        <f>+P318+P513+P514</f>
        <v>0</v>
      </c>
      <c r="Q895" s="55">
        <f t="shared" si="292"/>
        <v>0</v>
      </c>
      <c r="R895" s="55">
        <f t="shared" si="293"/>
        <v>0</v>
      </c>
    </row>
    <row r="896" spans="1:18" ht="15.75" customHeight="1" x14ac:dyDescent="0.3">
      <c r="A896" s="315" t="s">
        <v>377</v>
      </c>
      <c r="B896" s="1">
        <f>B319</f>
        <v>47</v>
      </c>
      <c r="C896" s="1">
        <f>C319</f>
        <v>81</v>
      </c>
      <c r="D896" s="1">
        <f>D319</f>
        <v>34</v>
      </c>
      <c r="E896" s="55">
        <f>SUM(B896:D896)</f>
        <v>162</v>
      </c>
      <c r="F896" s="1">
        <f>F319</f>
        <v>81</v>
      </c>
      <c r="G896" s="1">
        <f>G319</f>
        <v>42</v>
      </c>
      <c r="H896" s="1">
        <f>H319</f>
        <v>118</v>
      </c>
      <c r="I896" s="55">
        <f>SUM(F896:H896)</f>
        <v>241</v>
      </c>
      <c r="J896" s="1">
        <f>J319</f>
        <v>104</v>
      </c>
      <c r="K896" s="1">
        <f>K319</f>
        <v>96</v>
      </c>
      <c r="L896" s="1">
        <f>L319</f>
        <v>52</v>
      </c>
      <c r="M896" s="55">
        <f>SUM(J896:L896)</f>
        <v>252</v>
      </c>
      <c r="N896" s="1">
        <f>N319</f>
        <v>38</v>
      </c>
      <c r="O896" s="1">
        <f>O319</f>
        <v>38</v>
      </c>
      <c r="P896" s="1">
        <f>P319</f>
        <v>0</v>
      </c>
      <c r="Q896" s="55">
        <f t="shared" si="292"/>
        <v>76</v>
      </c>
      <c r="R896" s="55">
        <f>+E896+I896+M896+Q896</f>
        <v>731</v>
      </c>
    </row>
    <row r="897" spans="1:20" ht="15.75" customHeight="1" thickBot="1" x14ac:dyDescent="0.35">
      <c r="A897" s="15" t="s">
        <v>53</v>
      </c>
      <c r="B897" s="1">
        <f>+B88+B542+B585+B639+B704+B743+B800+B840</f>
        <v>0</v>
      </c>
      <c r="C897" s="1">
        <f>+C88+C542+C585+C639+C704+C743+C800+C840</f>
        <v>0</v>
      </c>
      <c r="D897" s="1">
        <f>+D88+D542+D585+D639+D704+D743+D800+D840</f>
        <v>0</v>
      </c>
      <c r="E897" s="55">
        <f t="shared" si="289"/>
        <v>0</v>
      </c>
      <c r="F897" s="1">
        <f>+F88+F542+F585+F639+F704+F743+F800+F840</f>
        <v>0</v>
      </c>
      <c r="G897" s="1">
        <f>+G88+G542+G585+G639+G704+G743+G800+G840</f>
        <v>0</v>
      </c>
      <c r="H897" s="1">
        <f>+H88+H542+H585+H639+H704+H743+H800+H840</f>
        <v>0</v>
      </c>
      <c r="I897" s="55">
        <f t="shared" si="290"/>
        <v>0</v>
      </c>
      <c r="J897" s="1">
        <f>+J88+J542+J585+J639+J704+J743+J800+J840</f>
        <v>0</v>
      </c>
      <c r="K897" s="1">
        <f>+K88+K542+K585+K639+K704+K743+K800+K840</f>
        <v>0</v>
      </c>
      <c r="L897" s="1">
        <f>+L88+L542+L585+L639+L704+L743+L800+L840</f>
        <v>0</v>
      </c>
      <c r="M897" s="55">
        <f t="shared" si="291"/>
        <v>0</v>
      </c>
      <c r="N897" s="1">
        <f>+N88+N542+N585+N639+N704+N743+N800+N840</f>
        <v>0</v>
      </c>
      <c r="O897" s="1">
        <f>+O88+O542+O585+O639+O704+O743+O800+O840</f>
        <v>0</v>
      </c>
      <c r="P897" s="1">
        <f>+P88+P542+P585+P639+P704+P743+P800+P840</f>
        <v>0</v>
      </c>
      <c r="Q897" s="55">
        <f t="shared" si="292"/>
        <v>0</v>
      </c>
      <c r="R897" s="55">
        <f t="shared" si="293"/>
        <v>0</v>
      </c>
    </row>
    <row r="898" spans="1:20" ht="16.5" customHeight="1" thickBot="1" x14ac:dyDescent="0.35">
      <c r="A898" s="57" t="s">
        <v>54</v>
      </c>
      <c r="B898" s="86">
        <f>SUM(B891:B897)</f>
        <v>28742</v>
      </c>
      <c r="C898" s="87">
        <f>SUM(C891:C897)</f>
        <v>31230</v>
      </c>
      <c r="D898" s="87">
        <f>SUM(D891:D897)</f>
        <v>42510</v>
      </c>
      <c r="E898" s="59">
        <f t="shared" si="289"/>
        <v>102482</v>
      </c>
      <c r="F898" s="87">
        <f>SUM(F891:F897)</f>
        <v>53597</v>
      </c>
      <c r="G898" s="87">
        <f>SUM(G891:G897)</f>
        <v>58162</v>
      </c>
      <c r="H898" s="87">
        <f>SUM(H891:H897)</f>
        <v>72239</v>
      </c>
      <c r="I898" s="59">
        <f t="shared" si="290"/>
        <v>183998</v>
      </c>
      <c r="J898" s="87">
        <f>SUM(J891:J897)</f>
        <v>73423</v>
      </c>
      <c r="K898" s="87">
        <f>SUM(K891:K897)</f>
        <v>67824</v>
      </c>
      <c r="L898" s="87">
        <f>SUM(L891:L897)</f>
        <v>55918</v>
      </c>
      <c r="M898" s="59">
        <f t="shared" si="291"/>
        <v>197165</v>
      </c>
      <c r="N898" s="87">
        <f>SUM(N891:N897)</f>
        <v>45768</v>
      </c>
      <c r="O898" s="87">
        <f>SUM(O891:O897)</f>
        <v>29839</v>
      </c>
      <c r="P898" s="87">
        <f>SUM(P891:P897)</f>
        <v>37898</v>
      </c>
      <c r="Q898" s="59">
        <f t="shared" si="292"/>
        <v>113505</v>
      </c>
      <c r="R898" s="59">
        <f t="shared" si="293"/>
        <v>597150</v>
      </c>
      <c r="T898" s="4">
        <f>+R898-R895-R894</f>
        <v>597150</v>
      </c>
    </row>
    <row r="899" spans="1:20" ht="15.75" customHeight="1" x14ac:dyDescent="0.3">
      <c r="A899" s="15" t="s">
        <v>55</v>
      </c>
      <c r="B899" s="1"/>
      <c r="C899" s="1"/>
      <c r="D899" s="1"/>
      <c r="E899" s="55" t="s">
        <v>7</v>
      </c>
      <c r="F899" s="1"/>
      <c r="G899" s="1"/>
      <c r="H899" s="1"/>
      <c r="I899" s="55" t="s">
        <v>7</v>
      </c>
      <c r="J899" s="1"/>
      <c r="K899" s="1"/>
      <c r="L899" s="1"/>
      <c r="M899" s="55" t="s">
        <v>7</v>
      </c>
      <c r="N899" s="1"/>
      <c r="O899" s="1"/>
      <c r="P899" s="1"/>
      <c r="Q899" s="55" t="s">
        <v>7</v>
      </c>
      <c r="R899" s="55" t="s">
        <v>7</v>
      </c>
    </row>
    <row r="900" spans="1:20" ht="15.75" customHeight="1" x14ac:dyDescent="0.3">
      <c r="A900" s="15" t="s">
        <v>56</v>
      </c>
      <c r="B900" s="1">
        <f>SUM(B43:B43)+SUM(B217:B217)+SUM(B91:B91)+SUM(B399:B399)</f>
        <v>0</v>
      </c>
      <c r="C900" s="1">
        <f>SUM(C43:C43)+SUM(C217:C217)+SUM(C91:C91)+SUM(C399:C399)</f>
        <v>0</v>
      </c>
      <c r="D900" s="1">
        <f>SUM(D43:D43)+SUM(D217:D217)+SUM(D91:D91)+SUM(D399:D399)</f>
        <v>0</v>
      </c>
      <c r="E900" s="55">
        <f>SUM(B900:D900)</f>
        <v>0</v>
      </c>
      <c r="F900" s="1">
        <f>SUM(F43:F43)+SUM(F217:F217)+SUM(F91:F91)+SUM(F399:F399)</f>
        <v>0</v>
      </c>
      <c r="G900" s="1">
        <f>SUM(G43:G43)+SUM(G217:G217)+SUM(G91:G91)+SUM(G399:G399)</f>
        <v>0</v>
      </c>
      <c r="H900" s="1">
        <f>SUM(H43:H43)+SUM(H217:H217)+SUM(H91:H91)+SUM(H399:H399)</f>
        <v>0</v>
      </c>
      <c r="I900" s="55">
        <f>SUM(F900:H900)</f>
        <v>0</v>
      </c>
      <c r="J900" s="1">
        <f>SUM(J43:J43)+SUM(J217:J217)+SUM(J91:J91)+SUM(J399:J399)</f>
        <v>0</v>
      </c>
      <c r="K900" s="1">
        <f>SUM(K43:K43)+SUM(K217:K217)+SUM(K91:K91)+SUM(K399:K399)</f>
        <v>0</v>
      </c>
      <c r="L900" s="1">
        <f>SUM(L43:L43)+SUM(L217:L217)+SUM(L91:L91)+SUM(L399:L399)</f>
        <v>0</v>
      </c>
      <c r="M900" s="55">
        <f>SUM(J900:L900)</f>
        <v>0</v>
      </c>
      <c r="N900" s="1">
        <f>SUM(N43:N43)+SUM(N217:N217)+SUM(N91:N91)+SUM(N399:N399)</f>
        <v>0</v>
      </c>
      <c r="O900" s="1">
        <f>SUM(O43:O43)+SUM(O217:O217)+SUM(O91:O91)+SUM(O399:O399)</f>
        <v>0</v>
      </c>
      <c r="P900" s="1">
        <f>SUM(P43:P43)+SUM(P217:P217)+SUM(P91:P91)+SUM(P399:P399)</f>
        <v>0</v>
      </c>
      <c r="Q900" s="55">
        <f>SUM(N900:P900)</f>
        <v>0</v>
      </c>
      <c r="R900" s="55">
        <f>+E900+I900+M900+Q900</f>
        <v>0</v>
      </c>
    </row>
    <row r="901" spans="1:20" ht="15.75" customHeight="1" x14ac:dyDescent="0.3">
      <c r="A901" s="315" t="s">
        <v>57</v>
      </c>
      <c r="B901" s="1">
        <f>+SUM(B93:B94)+SUM(B218:B220)+SUM(B400:B409)+B546+SUM(B588:B590)+SUM(B642:B644)+SUM(B707:B707)+B746+B803+SUM(B843:B844)</f>
        <v>3486</v>
      </c>
      <c r="C901" s="1">
        <f>+SUM(C93:C94)+SUM(C218:C220)+SUM(C400:C409)+C546+SUM(C588:C590)+SUM(C642:C644)+SUM(C707:C707)+C746+C803+SUM(C843:C844)</f>
        <v>10005</v>
      </c>
      <c r="D901" s="1">
        <f>+SUM(D93:D94)+SUM(D218:D220)+SUM(D400:D409)+D546+SUM(D588:D590)+SUM(D642:D644)+SUM(D707:D707)+D746+D803+SUM(D843:D844)</f>
        <v>15380</v>
      </c>
      <c r="E901" s="55">
        <f>SUM(B901:D901)</f>
        <v>28871</v>
      </c>
      <c r="F901" s="1">
        <f>+SUM(F93:F94)+SUM(F218:F220)+SUM(F400:F409)+F546+SUM(F588:F590)+SUM(F642:F644)+SUM(F707:F707)+F746+F803+SUM(F843:F844)</f>
        <v>45425</v>
      </c>
      <c r="G901" s="1">
        <f>+SUM(G93:G94)+SUM(G218:G220)+SUM(G400:G409)+G546+SUM(G588:G590)+SUM(G642:G644)+SUM(G707:G707)+G746+G803+SUM(G843:G844)</f>
        <v>45486</v>
      </c>
      <c r="H901" s="1">
        <f>+SUM(H93:H94)+SUM(H218:H220)+SUM(H400:H409)+H546+SUM(H588:H590)+SUM(H642:H644)+SUM(H707:H707)+H746+H803+SUM(H843:H844)</f>
        <v>54573</v>
      </c>
      <c r="I901" s="55">
        <f>SUM(F901:H901)</f>
        <v>145484</v>
      </c>
      <c r="J901" s="1">
        <f>+SUM(J93:J94)+SUM(J218:J220)+SUM(J400:J409)+J546+SUM(J588:J590)+SUM(J642:J644)+SUM(J707:J707)+J746+J803+SUM(J843:J844)</f>
        <v>19932</v>
      </c>
      <c r="K901" s="1">
        <f>+SUM(K93:K94)+SUM(K218:K220)+SUM(K400:K409)+K546+SUM(K588:K590)+SUM(K642:K644)+SUM(K707:K707)+K746+K803+SUM(K843:K844)</f>
        <v>17163</v>
      </c>
      <c r="L901" s="1">
        <f>+SUM(L93:L94)+SUM(L218:L220)+SUM(L400:L409)+L546+SUM(L588:L590)+SUM(L642:L644)+SUM(L707:L707)+L746+L803+SUM(L843:L844)</f>
        <v>15572</v>
      </c>
      <c r="M901" s="55">
        <f>SUM(J901:L901)</f>
        <v>52667</v>
      </c>
      <c r="N901" s="1">
        <f>+SUM(N93:N94)+SUM(N218:N220)+SUM(N400:N409)+N546+SUM(N588:N590)+SUM(N642:N644)+SUM(N707:N707)+N746+N803+SUM(N843:N844)</f>
        <v>4407</v>
      </c>
      <c r="O901" s="1">
        <f>+SUM(O93:O94)+SUM(O218:O220)+SUM(O400:O409)+O546+SUM(O588:O590)+SUM(O642:O644)+SUM(O707:O707)+O746+O803+SUM(O843:O844)</f>
        <v>5598</v>
      </c>
      <c r="P901" s="1">
        <f>+SUM(P93:P94)+SUM(P218:P220)+SUM(P400:P409)+P546+SUM(P588:P590)+SUM(P642:P644)+SUM(P707:P707)+P746+P803+SUM(P843:P844)</f>
        <v>9056</v>
      </c>
      <c r="Q901" s="55">
        <f>SUM(N901:P901)</f>
        <v>19061</v>
      </c>
      <c r="R901" s="55">
        <f>+E901+I901+M901+Q901</f>
        <v>246083</v>
      </c>
    </row>
    <row r="902" spans="1:20" ht="15.75" customHeight="1" thickBot="1" x14ac:dyDescent="0.35">
      <c r="A902" s="15" t="s">
        <v>58</v>
      </c>
      <c r="B902" s="1">
        <f>+B95+B547+B591+B645+B708+B747+B804+B845+B410+B221+B45</f>
        <v>0</v>
      </c>
      <c r="C902" s="1">
        <f>+C95+C547+C591+C645+C708+C747+C804+C845+C410+C221+C45</f>
        <v>0</v>
      </c>
      <c r="D902" s="1">
        <f>+D95+D547+D591+D645+D708+D747+D804+D845+D410+D221+D45</f>
        <v>0</v>
      </c>
      <c r="E902" s="55">
        <f>SUM(B902:D902)</f>
        <v>0</v>
      </c>
      <c r="F902" s="1">
        <f>+F95+F547+F591+F645+F708+F747+F804+F845+F410+F221+F45</f>
        <v>0</v>
      </c>
      <c r="G902" s="1">
        <f>+G95+G547+G591+G645+G708+G747+G804+G845+G410+G221+G45</f>
        <v>0</v>
      </c>
      <c r="H902" s="1">
        <f>+H95+H547+H591+H645+H708+H747+H804+H845+H410+H221+H45</f>
        <v>0</v>
      </c>
      <c r="I902" s="55">
        <f>SUM(F902:H902)</f>
        <v>0</v>
      </c>
      <c r="J902" s="1">
        <f>+J95+J547+J591+J645+J708+J747+J804+J845+J410+J221+J45</f>
        <v>0</v>
      </c>
      <c r="K902" s="1">
        <f>+K95+K547+K591+K645+K708+K747+K804+K845+K410+K221+K45</f>
        <v>0</v>
      </c>
      <c r="L902" s="1">
        <f>+L95+L547+L591+L645+L708+L747+L804+L845+L410+L221+L45</f>
        <v>0</v>
      </c>
      <c r="M902" s="55">
        <f>SUM(J902:L902)</f>
        <v>0</v>
      </c>
      <c r="N902" s="1">
        <f>+N95+N547+N591+N645+N708+N747+N804+N845+N410+N221+N45</f>
        <v>0</v>
      </c>
      <c r="O902" s="1">
        <f>+O95+O547+O591+O645+O708+O747+O804+O845+O410+O221+O45</f>
        <v>0</v>
      </c>
      <c r="P902" s="1">
        <f>+P95+P547+P591+P645+P708+P747+P804+P845+P410+P221+P45</f>
        <v>0</v>
      </c>
      <c r="Q902" s="55">
        <f>SUM(N902:P902)</f>
        <v>0</v>
      </c>
      <c r="R902" s="55">
        <f>+E902+I902+M902+Q902</f>
        <v>0</v>
      </c>
    </row>
    <row r="903" spans="1:20" ht="16.5" customHeight="1" thickBot="1" x14ac:dyDescent="0.35">
      <c r="A903" s="57" t="s">
        <v>59</v>
      </c>
      <c r="B903" s="86">
        <f>SUM(B899:B902)</f>
        <v>3486</v>
      </c>
      <c r="C903" s="87">
        <f>SUM(C899:C902)</f>
        <v>10005</v>
      </c>
      <c r="D903" s="87">
        <f>SUM(D899:D902)</f>
        <v>15380</v>
      </c>
      <c r="E903" s="59">
        <f>SUM(B903:D903)</f>
        <v>28871</v>
      </c>
      <c r="F903" s="87">
        <f>SUM(F899:F902)</f>
        <v>45425</v>
      </c>
      <c r="G903" s="87">
        <f>SUM(G899:G902)</f>
        <v>45486</v>
      </c>
      <c r="H903" s="87">
        <f>SUM(H899:H902)</f>
        <v>54573</v>
      </c>
      <c r="I903" s="59">
        <f>SUM(F903:H903)</f>
        <v>145484</v>
      </c>
      <c r="J903" s="87">
        <f>SUM(J899:J902)</f>
        <v>19932</v>
      </c>
      <c r="K903" s="87">
        <f>SUM(K899:K902)</f>
        <v>17163</v>
      </c>
      <c r="L903" s="87">
        <f>SUM(L899:L902)</f>
        <v>15572</v>
      </c>
      <c r="M903" s="59">
        <f>SUM(J903:L903)</f>
        <v>52667</v>
      </c>
      <c r="N903" s="87">
        <f>SUM(N899:N902)</f>
        <v>4407</v>
      </c>
      <c r="O903" s="87">
        <f>SUM(O899:O902)</f>
        <v>5598</v>
      </c>
      <c r="P903" s="87">
        <f>SUM(P899:P902)</f>
        <v>9056</v>
      </c>
      <c r="Q903" s="59">
        <f>SUM(N903:P903)</f>
        <v>19061</v>
      </c>
      <c r="R903" s="59">
        <f>+E903+I903+M903+Q903</f>
        <v>246083</v>
      </c>
    </row>
    <row r="904" spans="1:20" ht="15.75" customHeight="1" x14ac:dyDescent="0.3">
      <c r="A904" s="15" t="s">
        <v>60</v>
      </c>
      <c r="B904" s="1"/>
      <c r="C904" s="1"/>
      <c r="D904" s="1"/>
      <c r="E904" s="55" t="s">
        <v>7</v>
      </c>
      <c r="F904" s="1"/>
      <c r="G904" s="1"/>
      <c r="H904" s="1"/>
      <c r="I904" s="55" t="s">
        <v>7</v>
      </c>
      <c r="J904" s="1"/>
      <c r="K904" s="1"/>
      <c r="L904" s="1"/>
      <c r="M904" s="55" t="s">
        <v>7</v>
      </c>
      <c r="N904" s="1"/>
      <c r="O904" s="1"/>
      <c r="P904" s="1"/>
      <c r="Q904" s="55" t="s">
        <v>7</v>
      </c>
      <c r="R904" s="55" t="s">
        <v>7</v>
      </c>
    </row>
    <row r="905" spans="1:20" ht="15.75" customHeight="1" x14ac:dyDescent="0.3">
      <c r="A905" s="315" t="s">
        <v>61</v>
      </c>
      <c r="B905" s="1">
        <f>+B48+B98+B224+SUM(B413:B417)+B550+B594+B648+B711+SUM(B750:B751)+B807+SUM(B848:B850)</f>
        <v>1997</v>
      </c>
      <c r="C905" s="1">
        <f>+C48+C98+C224+SUM(C413:C417)+C550+C594+C648+C711+SUM(C750:C751)+C807+SUM(C848:C850)</f>
        <v>7136</v>
      </c>
      <c r="D905" s="1">
        <f>+D48+D98+D224+SUM(D413:D417)+D550+D594+D648+D711+SUM(D750:D751)+D807+SUM(D848:D850)</f>
        <v>6949</v>
      </c>
      <c r="E905" s="55">
        <f>SUM(B905:D905)</f>
        <v>16082</v>
      </c>
      <c r="F905" s="1">
        <f>+F48+F98+F224+SUM(F413:F417)+F550+F594+F648+F711+SUM(F750:F751)+F807+SUM(F848:F850)</f>
        <v>18831</v>
      </c>
      <c r="G905" s="1">
        <f>+G48+G98+G224+SUM(G413:G417)+G550+G594+G648+G711+SUM(G750:G751)+G807+SUM(G848:G850)</f>
        <v>19768</v>
      </c>
      <c r="H905" s="1">
        <f>+H48+H98+H224+SUM(H413:H417)+H550+H594+H648+H711+SUM(H750:H751)+H807+SUM(H848:H850)</f>
        <v>20643</v>
      </c>
      <c r="I905" s="55">
        <f>SUM(F905:H905)</f>
        <v>59242</v>
      </c>
      <c r="J905" s="1">
        <f>+J48+J98+J224+SUM(J413:J417)+J550+J594+J648+J711+SUM(J750:J751)+J807+SUM(J848:J850)</f>
        <v>13140</v>
      </c>
      <c r="K905" s="1">
        <f>+K48+K98+K224+SUM(K413:K417)+K550+K594+K648+K711+SUM(K750:K751)+K807+SUM(K848:K850)</f>
        <v>10842</v>
      </c>
      <c r="L905" s="1">
        <f>+L48+L98+L224+SUM(L413:L417)+L550+L594+L648+L711+SUM(L750:L751)+L807+SUM(L848:L850)</f>
        <v>8262</v>
      </c>
      <c r="M905" s="55">
        <f>SUM(J905:L905)</f>
        <v>32244</v>
      </c>
      <c r="N905" s="1">
        <f>+N48+N98+N224+SUM(N413:N417)+N550+N594+N648+N711+SUM(N750:N751)+N807+SUM(N848:N850)</f>
        <v>5572</v>
      </c>
      <c r="O905" s="1">
        <f>+O48+O98+O224+SUM(O413:O417)+O550+O594+O648+O711+SUM(O750:O751)+O807+SUM(O848:O850)</f>
        <v>2428</v>
      </c>
      <c r="P905" s="1">
        <f>+P48+P98+P224+SUM(P413:P417)+P550+P594+P648+P711+SUM(P750:P751)+P807+SUM(P848:P850)</f>
        <v>5134</v>
      </c>
      <c r="Q905" s="55">
        <f>SUM(N905:P905)</f>
        <v>13134</v>
      </c>
      <c r="R905" s="55">
        <f>+E905+I905+M905+Q905</f>
        <v>120702</v>
      </c>
    </row>
    <row r="906" spans="1:20" ht="15.75" customHeight="1" thickBot="1" x14ac:dyDescent="0.35">
      <c r="A906" s="315" t="s">
        <v>62</v>
      </c>
      <c r="B906" s="1">
        <f>+B49+SUM(B99:B108)+SUM(B225:B294)+SUM(B418:B484)+SUM(B551:B554)+SUM(B595:B596)+SUM(B649:B656)+B712+SUM(B752:B761)+B808+SUM(B851:B858)</f>
        <v>14632</v>
      </c>
      <c r="C906" s="1">
        <f>+C49+SUM(C99:C108)+SUM(C225:C294)+SUM(C418:C484)+SUM(C551:C554)+SUM(C595:C596)+SUM(C649:C656)+C712+SUM(C752:C761)+C808+SUM(C851:C858)</f>
        <v>24190</v>
      </c>
      <c r="D906" s="1">
        <f>+D49+SUM(D99:D108)+SUM(D225:D294)+SUM(D418:D484)+SUM(D551:D554)+SUM(D595:D596)+SUM(D649:D656)+D712+SUM(D752:D761)+D808+SUM(D851:D858)</f>
        <v>41463</v>
      </c>
      <c r="E906" s="55">
        <f>SUM(B906:D906)</f>
        <v>80285</v>
      </c>
      <c r="F906" s="1">
        <f>+F49+SUM(F99:F108)+SUM(F225:F294)+SUM(F418:F484)+SUM(F551:F554)+SUM(F595:F596)+SUM(F649:F656)+F712+SUM(F752:F761)+F808+SUM(F851:F858)</f>
        <v>34150</v>
      </c>
      <c r="G906" s="1">
        <f>+G49+SUM(G99:G108)+SUM(G225:G294)+SUM(G418:G484)+SUM(G551:G554)+SUM(G595:G596)+SUM(G649:G656)+G712+SUM(G752:G761)+G808+SUM(G851:G858)</f>
        <v>50099</v>
      </c>
      <c r="H906" s="1">
        <f>+H49+SUM(H99:H108)+SUM(H225:H294)+SUM(H418:H484)+SUM(H551:H554)+SUM(H595:H596)+SUM(H649:H656)+H712+SUM(H752:H761)+H808+SUM(H851:H858)</f>
        <v>47318</v>
      </c>
      <c r="I906" s="55">
        <f>SUM(F906:H906)</f>
        <v>131567</v>
      </c>
      <c r="J906" s="1">
        <f>+J49+SUM(J99:J108)+SUM(J225:J294)+SUM(J418:J484)+SUM(J551:J554)+SUM(J595:J596)+SUM(J649:J656)+J712+SUM(J752:J761)+J808+SUM(J851:J858)</f>
        <v>31521</v>
      </c>
      <c r="K906" s="1">
        <f>+K49+SUM(K99:K108)+SUM(K225:K294)+SUM(K418:K484)+SUM(K551:K554)+SUM(K595:K596)+SUM(K649:K656)+K712+SUM(K752:K761)+K808+SUM(K851:K858)</f>
        <v>25172</v>
      </c>
      <c r="L906" s="1">
        <f>+L49+SUM(L99:L108)+SUM(L225:L294)+SUM(L418:L484)+SUM(L551:L554)+SUM(L595:L596)+SUM(L649:L656)+L712+SUM(L752:L761)+L808+SUM(L851:L858)</f>
        <v>30089</v>
      </c>
      <c r="M906" s="55">
        <f>SUM(J906:L906)</f>
        <v>86782</v>
      </c>
      <c r="N906" s="1">
        <f>+N49+SUM(N99:N108)+SUM(N225:N294)+SUM(N418:N484)+SUM(N551:N554)+SUM(N595:N596)+SUM(N649:N656)+N712+SUM(N752:N761)+N808+SUM(N851:N858)</f>
        <v>24652</v>
      </c>
      <c r="O906" s="1">
        <f>+O49+SUM(O99:O108)+SUM(O225:O294)+SUM(O418:O484)+SUM(O551:O554)+SUM(O595:O596)+SUM(O649:O656)+O712+SUM(O752:O761)+O808+SUM(O851:O858)</f>
        <v>16814</v>
      </c>
      <c r="P906" s="1">
        <f>+P49+SUM(P99:P108)+SUM(P225:P294)+SUM(P418:P484)+SUM(P551:P554)+SUM(P595:P596)+SUM(P649:P656)+P712+SUM(P752:P761)+P808+SUM(P851:P858)</f>
        <v>19417</v>
      </c>
      <c r="Q906" s="55">
        <f>SUM(N906:P906)</f>
        <v>60883</v>
      </c>
      <c r="R906" s="55">
        <f>+E906+I906+M906+Q906</f>
        <v>359517</v>
      </c>
    </row>
    <row r="907" spans="1:20" ht="16.5" customHeight="1" thickBot="1" x14ac:dyDescent="0.35">
      <c r="A907" s="57" t="s">
        <v>63</v>
      </c>
      <c r="B907" s="86">
        <f>SUM(B904:B906)</f>
        <v>16629</v>
      </c>
      <c r="C907" s="87">
        <f>SUM(C904:C906)</f>
        <v>31326</v>
      </c>
      <c r="D907" s="118">
        <f>SUM(D904:D906)</f>
        <v>48412</v>
      </c>
      <c r="E907" s="59">
        <f>SUM(B907:D907)</f>
        <v>96367</v>
      </c>
      <c r="F907" s="87">
        <f>SUM(F904:F906)</f>
        <v>52981</v>
      </c>
      <c r="G907" s="87">
        <f>SUM(G904:G906)</f>
        <v>69867</v>
      </c>
      <c r="H907" s="87">
        <f>SUM(H904:H906)</f>
        <v>67961</v>
      </c>
      <c r="I907" s="59">
        <f>SUM(F907:H907)</f>
        <v>190809</v>
      </c>
      <c r="J907" s="87">
        <f>SUM(J904:J906)</f>
        <v>44661</v>
      </c>
      <c r="K907" s="87">
        <f>SUM(K904:K906)</f>
        <v>36014</v>
      </c>
      <c r="L907" s="87">
        <f>SUM(L904:L906)</f>
        <v>38351</v>
      </c>
      <c r="M907" s="59">
        <f>SUM(J907:L907)</f>
        <v>119026</v>
      </c>
      <c r="N907" s="87">
        <f>SUM(N904:N906)</f>
        <v>30224</v>
      </c>
      <c r="O907" s="87">
        <f>SUM(O904:O906)</f>
        <v>19242</v>
      </c>
      <c r="P907" s="87">
        <f>SUM(P904:P906)</f>
        <v>24551</v>
      </c>
      <c r="Q907" s="59">
        <f>SUM(N907:P907)</f>
        <v>74017</v>
      </c>
      <c r="R907" s="59">
        <f>+E907+I907+M907+Q907</f>
        <v>480219</v>
      </c>
      <c r="T907" s="4">
        <v>1600000</v>
      </c>
    </row>
    <row r="908" spans="1:20" ht="20.25" customHeight="1" x14ac:dyDescent="0.3">
      <c r="A908" s="15" t="s">
        <v>1018</v>
      </c>
      <c r="B908" s="1"/>
      <c r="C908" s="1"/>
      <c r="D908" s="1"/>
      <c r="E908" s="55" t="s">
        <v>7</v>
      </c>
      <c r="F908" s="1"/>
      <c r="G908" s="1"/>
      <c r="H908" s="1"/>
      <c r="I908" s="55" t="s">
        <v>7</v>
      </c>
      <c r="J908" s="1"/>
      <c r="K908" s="1"/>
      <c r="L908" s="1"/>
      <c r="M908" s="55" t="s">
        <v>7</v>
      </c>
      <c r="N908" s="1"/>
      <c r="O908" s="1"/>
      <c r="P908" s="1"/>
      <c r="Q908" s="55" t="s">
        <v>7</v>
      </c>
      <c r="R908" s="55" t="s">
        <v>7</v>
      </c>
      <c r="T908" s="4">
        <f>+T907-28000-R892-R893-400000-R905-R906+12000</f>
        <v>107362</v>
      </c>
    </row>
    <row r="909" spans="1:20" ht="15.75" customHeight="1" x14ac:dyDescent="0.3">
      <c r="A909" s="15" t="s">
        <v>1019</v>
      </c>
      <c r="B909" s="1">
        <f>SUM(B52:B52)+SUM(B111:B119)+SUM(B297:B299)+SUM(B487:B488)+SUM(B557:B557)+B599+SUM(B659:B661)+B715+B764+B811+SUM(B861:B863)</f>
        <v>0</v>
      </c>
      <c r="C909" s="1">
        <f>SUM(C52:C52)+SUM(C111:C119)+SUM(C297:C299)+SUM(C487:C488)+SUM(C557:C557)+C599+SUM(C659:C661)+C715+C764+C811+SUM(C861:C863)</f>
        <v>0</v>
      </c>
      <c r="D909" s="1">
        <f>SUM(D52:D52)+SUM(D111:D119)+SUM(D297:D299)+SUM(D487:D488)+SUM(D557:D557)+D599+SUM(D659:D661)+D715+D764+D811+SUM(D861:D863)</f>
        <v>0</v>
      </c>
      <c r="E909" s="55">
        <f t="shared" ref="E909:E917" si="294">SUM(B909:D909)</f>
        <v>0</v>
      </c>
      <c r="F909" s="1">
        <f>SUM(F52:F52)+SUM(F111:F119)+SUM(F297:F299)+SUM(F487:F488)+SUM(F557:F557)+F599+SUM(F659:F661)+F715+F764+F811+SUM(F861:F863)</f>
        <v>0</v>
      </c>
      <c r="G909" s="1">
        <f>SUM(G52:G52)+SUM(G111:G119)+SUM(G297:G299)+SUM(G487:G488)+SUM(G557:G557)+G599+SUM(G659:G661)+G715+G764+G811+SUM(G861:G863)</f>
        <v>0</v>
      </c>
      <c r="H909" s="1">
        <f>SUM(H52:H52)+SUM(H111:H119)+SUM(H297:H299)+SUM(H487:H488)+SUM(H557:H557)+H599+SUM(H659:H661)+H715+H764+H811+SUM(H861:H863)</f>
        <v>0</v>
      </c>
      <c r="I909" s="55">
        <f t="shared" ref="I909:I917" si="295">SUM(F909:H909)</f>
        <v>0</v>
      </c>
      <c r="J909" s="1">
        <f>SUM(J52:J52)+SUM(J111:J119)+SUM(J297:J299)+SUM(J487:J488)+SUM(J557:J557)+J599+SUM(J659:J661)+J715+J764+J811+SUM(J861:J863)</f>
        <v>0</v>
      </c>
      <c r="K909" s="1">
        <f>SUM(K52:K52)+SUM(K111:K119)+SUM(K297:K299)+SUM(K487:K488)+SUM(K557:K557)+K599+SUM(K659:K661)+K715+K764+K811+SUM(K861:K863)</f>
        <v>0</v>
      </c>
      <c r="L909" s="1">
        <f>SUM(L52:L52)+SUM(L111:L119)+SUM(L297:L299)+SUM(L487:L488)+SUM(L557:L557)+L599+SUM(L659:L661)+L715+L764+L811+SUM(L861:L863)</f>
        <v>0</v>
      </c>
      <c r="M909" s="55">
        <f t="shared" ref="M909:M917" si="296">SUM(J909:L909)</f>
        <v>0</v>
      </c>
      <c r="N909" s="1">
        <f>SUM(N52:N52)+SUM(N111:N119)+SUM(N297:N299)+SUM(N487:N488)+SUM(N557:N557)+N599+SUM(N659:N661)+N715+N764+N811+SUM(N861:N863)</f>
        <v>0</v>
      </c>
      <c r="O909" s="1">
        <f>SUM(O52:O52)+SUM(O111:O119)+SUM(O297:O299)+SUM(O487:O488)+SUM(O557:O557)+O599+SUM(O659:O661)+O715+O764+O811+SUM(O861:O863)</f>
        <v>0</v>
      </c>
      <c r="P909" s="1">
        <f>SUM(P52:P52)+SUM(P111:P119)+SUM(P297:P299)+SUM(P487:P488)+SUM(P557:P557)+P599+SUM(P659:P661)+P715+P764+P811+SUM(P861:P863)</f>
        <v>0</v>
      </c>
      <c r="Q909" s="55">
        <f t="shared" ref="Q909:Q917" si="297">SUM(N909:P909)</f>
        <v>0</v>
      </c>
      <c r="R909" s="55">
        <f>+E909+I909+M909+Q909</f>
        <v>0</v>
      </c>
    </row>
    <row r="910" spans="1:20" ht="15.75" customHeight="1" x14ac:dyDescent="0.3">
      <c r="A910" s="15" t="s">
        <v>67</v>
      </c>
      <c r="B910" s="1">
        <f>SUM(B53:B54)+SUM(B120:B121)+SUM(B300:B301)+B303+B305+B307+B308+SUM(B489:B491)+B558+B600+SUM(B662:B663)+B665+SUM(B716:B717)+B766+B768+B812+SUM(B864:B865)</f>
        <v>0</v>
      </c>
      <c r="C910" s="1">
        <f>SUM(C53:C54)+SUM(C120:C121)+SUM(C300:C301)+C303+C305+C307+C308+SUM(C489:C491)+C558+C600+SUM(C662:C663)+C665+SUM(C716:C717)+C766+C768+C812+SUM(C864:C865)</f>
        <v>0</v>
      </c>
      <c r="D910" s="1">
        <f>SUM(D53:D54)+SUM(D120:D121)+SUM(D300:D301)+D303+D305+D307+D308+SUM(D489:D491)+D558+D600+SUM(D662:D663)+D665+SUM(D716:D717)+D766+D768+D812+SUM(D864:D865)</f>
        <v>0</v>
      </c>
      <c r="E910" s="55">
        <f t="shared" si="294"/>
        <v>0</v>
      </c>
      <c r="F910" s="1">
        <f>SUM(F53:F54)+SUM(F120:F121)+SUM(F300:F301)+F303+F305+F307+F308+SUM(F489:F491)+F558+F600+SUM(F662:F663)+F665+SUM(F716:F717)+F766+F768+F812+SUM(F864:F865)</f>
        <v>0</v>
      </c>
      <c r="G910" s="1">
        <f>SUM(G53:G54)+SUM(G120:G121)+SUM(G300:G301)+G303+G305+G307+G308+SUM(G489:G491)+G558+G600+SUM(G662:G663)+G665+SUM(G716:G717)+G766+G768+G812+SUM(G864:G865)</f>
        <v>0</v>
      </c>
      <c r="H910" s="1">
        <f>SUM(H53:H54)+SUM(H120:H121)+SUM(H300:H301)+H303+H305+H307+H308+SUM(H489:H491)+H558+H600+SUM(H662:H663)+H665+SUM(H716:H717)+H766+H768+H812+SUM(H864:H865)</f>
        <v>0</v>
      </c>
      <c r="I910" s="55">
        <f t="shared" si="295"/>
        <v>0</v>
      </c>
      <c r="J910" s="1">
        <f>SUM(J53:J54)+SUM(J120:J121)+SUM(J300:J301)+J303+J305+J307+J308+SUM(J489:J491)+J558+J600+SUM(J662:J663)+J665+SUM(J716:J717)+J766+J768+J812+SUM(J864:J865)</f>
        <v>0</v>
      </c>
      <c r="K910" s="1">
        <f>SUM(K53:K54)+SUM(K120:K121)+SUM(K300:K301)+K303+K305+K307+K308+SUM(K489:K491)+K558+K600+SUM(K662:K663)+K665+SUM(K716:K717)+K766+K768+K812+SUM(K864:K865)</f>
        <v>0</v>
      </c>
      <c r="L910" s="1">
        <f>SUM(L53:L54)+SUM(L120:L121)+SUM(L300:L301)+L303+L305+L307+L308+SUM(L489:L491)+L558+L600+SUM(L662:L663)+L665+SUM(L716:L717)+L766+L768+L812+SUM(L864:L865)</f>
        <v>0</v>
      </c>
      <c r="M910" s="55">
        <f t="shared" si="296"/>
        <v>0</v>
      </c>
      <c r="N910" s="1">
        <f>SUM(N53:N54)+SUM(N120:N121)+SUM(N300:N301)+N303+N305+N307+N308+SUM(N489:N491)+N558+N600+SUM(N662:N663)+N665+SUM(N716:N717)+N766+N768+N812+SUM(N864:N865)</f>
        <v>0</v>
      </c>
      <c r="O910" s="1">
        <f>SUM(O53:O54)+SUM(O120:O121)+SUM(O300:O301)+O303+O305+O307+O308+SUM(O489:O491)+O558+O600+SUM(O662:O663)+O665+SUM(O716:O717)+O766+O768+O812+SUM(O864:O865)</f>
        <v>0</v>
      </c>
      <c r="P910" s="1">
        <f>SUM(P53:P54)+SUM(P120:P121)+SUM(P300:P301)+P303+P305+P307+P308+SUM(P489:P491)+P558+P600+SUM(P662:P663)+P665+SUM(P716:P717)+P766+P768+P812+SUM(P864:P865)</f>
        <v>0</v>
      </c>
      <c r="Q910" s="55">
        <f t="shared" si="297"/>
        <v>0</v>
      </c>
      <c r="R910" s="55">
        <f t="shared" ref="R910:R917" si="298">+E910+I910+M910+Q910</f>
        <v>0</v>
      </c>
    </row>
    <row r="911" spans="1:20" ht="18" customHeight="1" x14ac:dyDescent="0.3">
      <c r="A911" s="71" t="s">
        <v>1341</v>
      </c>
      <c r="B911" s="1">
        <f>B122+B302+B304+B306+B664+B666+B767+B769+B866</f>
        <v>0</v>
      </c>
      <c r="C911" s="1">
        <f>C122+C302+C304+C306+C664+C666+C767+C769+C866</f>
        <v>0</v>
      </c>
      <c r="D911" s="1">
        <f>D122+D302+D304+D306+D664+D666+D767+D769+D866</f>
        <v>0</v>
      </c>
      <c r="E911" s="55">
        <f t="shared" si="294"/>
        <v>0</v>
      </c>
      <c r="F911" s="1">
        <f>F122+F302+F304+F306+F664+F666+F767+F769+F866</f>
        <v>0</v>
      </c>
      <c r="G911" s="1">
        <f>G122+G302+G304+G306+G664+G666+G767+G769+G866</f>
        <v>0</v>
      </c>
      <c r="H911" s="1">
        <f>H122+H302+H304+H306+H664+H666+H767+H769+H866</f>
        <v>0</v>
      </c>
      <c r="I911" s="55">
        <f t="shared" si="295"/>
        <v>0</v>
      </c>
      <c r="J911" s="1">
        <f>J122+J302+J304+J306+J664+J666+J767+J769+J866</f>
        <v>0</v>
      </c>
      <c r="K911" s="1">
        <f>K122+K302+K304+K306+K664+K666+K767+K769+K866</f>
        <v>0</v>
      </c>
      <c r="L911" s="1">
        <f>L122+L302+L304+L306+L664+L666+L767+L769+L866</f>
        <v>0</v>
      </c>
      <c r="M911" s="55">
        <f t="shared" si="296"/>
        <v>0</v>
      </c>
      <c r="N911" s="1">
        <f>N122+N302+N304+N306+N664+N666+N767+N769+N866</f>
        <v>0</v>
      </c>
      <c r="O911" s="1">
        <f>O122+O302+O304+O306+O664+O666+O767+O769+O866</f>
        <v>0</v>
      </c>
      <c r="P911" s="1">
        <f>P122+P302+P304+P306+P664+P666+P767+P769+P866</f>
        <v>0</v>
      </c>
      <c r="Q911" s="55">
        <f t="shared" si="297"/>
        <v>0</v>
      </c>
      <c r="R911" s="55">
        <f t="shared" si="298"/>
        <v>0</v>
      </c>
    </row>
    <row r="912" spans="1:20" ht="15.75" customHeight="1" x14ac:dyDescent="0.3">
      <c r="A912" s="15" t="s">
        <v>1020</v>
      </c>
      <c r="B912" s="1">
        <f>+B55+SUM(B123:B124)+SUM(B309:B310)+SUM(B492:B498)+SUM(B559:B559)+SUM(B601:B602)+SUM(B667:B669)+B718+B770+B867+B867+B813</f>
        <v>0</v>
      </c>
      <c r="C912" s="1">
        <f>+C55+SUM(C123:C124)+SUM(C309:C310)+SUM(C492:C498)+SUM(C559:C559)+SUM(C601:C602)+SUM(C667:C669)+C718+C770+C867+C867+C813</f>
        <v>0</v>
      </c>
      <c r="D912" s="1">
        <f>+D55+SUM(D123:D124)+SUM(D309:D310)+SUM(D492:D498)+SUM(D559:D559)+SUM(D601:D602)+SUM(D667:D669)+D718+D770+D867+D867+D813</f>
        <v>0</v>
      </c>
      <c r="E912" s="55">
        <f t="shared" si="294"/>
        <v>0</v>
      </c>
      <c r="F912" s="1">
        <f>+F55+SUM(F123:F124)+SUM(F309:F310)+SUM(F492:F498)+SUM(F559:F559)+SUM(F601:F602)+SUM(F667:F669)+F718+F770+F867+F867+F813</f>
        <v>0</v>
      </c>
      <c r="G912" s="1">
        <f>+G55+SUM(G123:G124)+SUM(G309:G310)+SUM(G492:G498)+SUM(G559:G559)+SUM(G601:G602)+SUM(G667:G669)+G718+G770+G867+G867+G813</f>
        <v>0</v>
      </c>
      <c r="H912" s="1">
        <f>+H55+SUM(H123:H124)+SUM(H309:H310)+SUM(H492:H498)+SUM(H559:H559)+SUM(H601:H602)+SUM(H667:H669)+H718+H770+H867+H867+H813</f>
        <v>0</v>
      </c>
      <c r="I912" s="55">
        <f t="shared" si="295"/>
        <v>0</v>
      </c>
      <c r="J912" s="1">
        <f>+J55+SUM(J123:J124)+SUM(J309:J310)+SUM(J492:J498)+SUM(J559:J559)+SUM(J601:J602)+SUM(J667:J669)+J718+J770+J867+J867+J813</f>
        <v>0</v>
      </c>
      <c r="K912" s="1">
        <f>+K55+SUM(K123:K124)+SUM(K309:K310)+SUM(K492:K498)+SUM(K559:K559)+SUM(K601:K602)+SUM(K667:K669)+K718+K770+K867+K867+K813</f>
        <v>0</v>
      </c>
      <c r="L912" s="1">
        <f>+L55+SUM(L123:L124)+SUM(L309:L310)+SUM(L492:L498)+SUM(L559:L559)+SUM(L601:L602)+SUM(L667:L669)+L718+L770+L867+L867+L813</f>
        <v>0</v>
      </c>
      <c r="M912" s="55">
        <f t="shared" si="296"/>
        <v>0</v>
      </c>
      <c r="N912" s="1">
        <f>+N55+SUM(N123:N124)+SUM(N309:N310)+SUM(N492:N498)+SUM(N559:N559)+SUM(N601:N602)+SUM(N667:N669)+N718+N770+N867+N867+N813</f>
        <v>0</v>
      </c>
      <c r="O912" s="1">
        <f>+O55+SUM(O123:O124)+SUM(O309:O310)+SUM(O492:O498)+SUM(O559:O559)+SUM(O601:O602)+SUM(O667:O669)+O718+O770+O867+O867+O813</f>
        <v>0</v>
      </c>
      <c r="P912" s="1">
        <f>+P55+SUM(P123:P124)+SUM(P309:P310)+SUM(P492:P498)+SUM(P559:P559)+SUM(P601:P602)+SUM(P667:P669)+P718+P770+P867+P867+P813</f>
        <v>0</v>
      </c>
      <c r="Q912" s="55">
        <f t="shared" si="297"/>
        <v>0</v>
      </c>
      <c r="R912" s="55">
        <f>+E912+I912+M912+Q912</f>
        <v>0</v>
      </c>
    </row>
    <row r="913" spans="1:18" ht="22.5" customHeight="1" x14ac:dyDescent="0.3">
      <c r="A913" s="15" t="s">
        <v>70</v>
      </c>
      <c r="B913" s="1">
        <f>SUM(B127:B127)+SUM(B311:B312)+B500+B503+B504+B506+B509+SUM(B560:B561)+B604+B607+B670+B671+B673+B719+B771+B814+B868</f>
        <v>0</v>
      </c>
      <c r="C913" s="1">
        <f>SUM(C127:C127)+SUM(C311:C312)+C500+C503+C504+C506+C509+SUM(C560:C561)+C604+C607+C670+C671+C673+C719+C771+C814+C868</f>
        <v>0</v>
      </c>
      <c r="D913" s="1">
        <f>SUM(D127:D127)+SUM(D311:D312)+D500+D503+D504+D506+D509+SUM(D560:D561)+D604+D607+D670+D671+D673+D719+D771+D814+D868</f>
        <v>0</v>
      </c>
      <c r="E913" s="55">
        <f t="shared" si="294"/>
        <v>0</v>
      </c>
      <c r="F913" s="1">
        <f>SUM(F127:F127)+SUM(F311:F312)+F500+F503+F504+F506+F509+SUM(F560:F561)+F604+F607+F670+F671+F673+F719+F771+F814+F868</f>
        <v>0</v>
      </c>
      <c r="G913" s="1">
        <f>SUM(G127:G127)+SUM(G311:G312)+G500+G503+G504+G506+G509+SUM(G560:G561)+G604+G607+G670+G671+G673+G719+G771+G814+G868</f>
        <v>0</v>
      </c>
      <c r="H913" s="1">
        <f>SUM(H127:H127)+SUM(H311:H312)+H500+H503+H504+H506+H509+SUM(H560:H561)+H604+H607+H670+H671+H673+H719+H771+H814+H868</f>
        <v>0</v>
      </c>
      <c r="I913" s="55">
        <f t="shared" si="295"/>
        <v>0</v>
      </c>
      <c r="J913" s="1">
        <f>SUM(J127:J127)+SUM(J311:J312)+J500+J503+J504+J506+J509+SUM(J560:J561)+J604+J607+J670+J671+J673+J719+J771+J814+J868</f>
        <v>0</v>
      </c>
      <c r="K913" s="1">
        <f>SUM(K127:K127)+SUM(K311:K312)+K500+K503+K504+K506+K509+SUM(K560:K561)+K604+K607+K670+K671+K673+K719+K771+K814+K868</f>
        <v>0</v>
      </c>
      <c r="L913" s="1">
        <f>SUM(L127:L127)+SUM(L311:L312)+L500+L503+L504+L506+L509+SUM(L560:L561)+L604+L607+L670+L671+L673+L719+L771+L814+L868</f>
        <v>0</v>
      </c>
      <c r="M913" s="55">
        <f t="shared" si="296"/>
        <v>0</v>
      </c>
      <c r="N913" s="1">
        <f>SUM(N127:N127)+SUM(N311:N312)+N500+N503+N504+N506+N509+SUM(N560:N561)+N604+N607+N670+N671+N673+N719+N771+N814+N868</f>
        <v>0</v>
      </c>
      <c r="O913" s="1">
        <f>SUM(O127:O127)+SUM(O311:O312)+O500+O503+O504+O506+O509+SUM(O560:O561)+O604+O607+O670+O671+O673+O719+O771+O814+O868</f>
        <v>0</v>
      </c>
      <c r="P913" s="1">
        <f>SUM(P127:P127)+SUM(P311:P312)+P500+P503+P504+P506+P509+SUM(P560:P561)+P604+P607+P670+P671+P673+P719+P771+P814+P868</f>
        <v>0</v>
      </c>
      <c r="Q913" s="55">
        <f t="shared" si="297"/>
        <v>0</v>
      </c>
      <c r="R913" s="55">
        <f>+E913+I913+M913+Q913</f>
        <v>0</v>
      </c>
    </row>
    <row r="914" spans="1:18" ht="18" customHeight="1" thickBot="1" x14ac:dyDescent="0.35">
      <c r="A914" s="71" t="s">
        <v>1342</v>
      </c>
      <c r="B914" s="1">
        <f>+B501+B505+B507+B562+B126+B502+B508+B605+B606+B672</f>
        <v>0</v>
      </c>
      <c r="C914" s="1">
        <f>+C501+C505+C507+C562+C126+C502+C508+C605+C606+C672</f>
        <v>0</v>
      </c>
      <c r="D914" s="1">
        <f>+D501+D505+D507+D562+D126+D502+D508+D605+D606+D672</f>
        <v>0</v>
      </c>
      <c r="E914" s="55">
        <f>SUM(B914:D914)</f>
        <v>0</v>
      </c>
      <c r="F914" s="1">
        <f>+F501+F505+F507+F562+F126+F502+F508+F605+F606+F672</f>
        <v>0</v>
      </c>
      <c r="G914" s="1">
        <f>+G501+G505+G507+G562+G126+G502+G508+G605+G606+G672</f>
        <v>0</v>
      </c>
      <c r="H914" s="1">
        <f>+H501+H505+H507+H562+H126+H502+H508+H605+H606+H672</f>
        <v>0</v>
      </c>
      <c r="I914" s="55">
        <f>SUM(F914:H914)</f>
        <v>0</v>
      </c>
      <c r="J914" s="1">
        <f>+J501+J505+J507+J562+J126+J502+J508+J605+J606+J672</f>
        <v>0</v>
      </c>
      <c r="K914" s="1">
        <f>+K501+K505+K507+K562+K126+K502+K508+K605+K606+K672</f>
        <v>0</v>
      </c>
      <c r="L914" s="1">
        <f>+L501+L505+L507+L562+L126+L502+L508+L605+L606+L672</f>
        <v>0</v>
      </c>
      <c r="M914" s="55">
        <f>SUM(J914:L914)</f>
        <v>0</v>
      </c>
      <c r="N914" s="1">
        <f>+N501+N505+N507+N562+N126+N502+N508+N605+N606+N672</f>
        <v>0</v>
      </c>
      <c r="O914" s="1">
        <f>+O501+O505+O507+O562+O126+O502+O508+O605+O606+O672</f>
        <v>0</v>
      </c>
      <c r="P914" s="1">
        <f>+P501+P505+P507+P562+P126+P502+P508+P605+P606+P672</f>
        <v>0</v>
      </c>
      <c r="Q914" s="55">
        <f>SUM(N914:P914)</f>
        <v>0</v>
      </c>
      <c r="R914" s="55">
        <f>+E914+I914+M914+Q914</f>
        <v>0</v>
      </c>
    </row>
    <row r="915" spans="1:18" ht="16.5" customHeight="1" thickBot="1" x14ac:dyDescent="0.35">
      <c r="A915" s="57" t="s">
        <v>71</v>
      </c>
      <c r="B915" s="146">
        <f>SUM(B912:B914)</f>
        <v>0</v>
      </c>
      <c r="C915" s="146">
        <f>SUM(C912:C914)</f>
        <v>0</v>
      </c>
      <c r="D915" s="146">
        <f>SUM(D912:D914)</f>
        <v>0</v>
      </c>
      <c r="E915" s="60">
        <f t="shared" si="294"/>
        <v>0</v>
      </c>
      <c r="F915" s="146">
        <f>SUM(F912:F914)</f>
        <v>0</v>
      </c>
      <c r="G915" s="146">
        <f>SUM(G912:G914)</f>
        <v>0</v>
      </c>
      <c r="H915" s="146">
        <f>SUM(H912:H914)</f>
        <v>0</v>
      </c>
      <c r="I915" s="60">
        <f t="shared" si="295"/>
        <v>0</v>
      </c>
      <c r="J915" s="146">
        <f>SUM(J912:J914)</f>
        <v>0</v>
      </c>
      <c r="K915" s="146">
        <f>SUM(K912:K914)</f>
        <v>0</v>
      </c>
      <c r="L915" s="146">
        <f>SUM(L912:L914)</f>
        <v>0</v>
      </c>
      <c r="M915" s="60">
        <f t="shared" si="296"/>
        <v>0</v>
      </c>
      <c r="N915" s="146">
        <f>SUM(N912:N914)</f>
        <v>0</v>
      </c>
      <c r="O915" s="146">
        <f>SUM(O912:O914)</f>
        <v>0</v>
      </c>
      <c r="P915" s="146">
        <f>SUM(P912:P914)</f>
        <v>0</v>
      </c>
      <c r="Q915" s="60">
        <f t="shared" si="297"/>
        <v>0</v>
      </c>
      <c r="R915" s="59">
        <f t="shared" si="298"/>
        <v>0</v>
      </c>
    </row>
    <row r="916" spans="1:18" ht="16.5" customHeight="1" thickBot="1" x14ac:dyDescent="0.35">
      <c r="A916" s="114" t="s">
        <v>72</v>
      </c>
      <c r="B916" s="86">
        <f>SUM(B908:B914)</f>
        <v>0</v>
      </c>
      <c r="C916" s="87">
        <f>SUM(C908:C914)</f>
        <v>0</v>
      </c>
      <c r="D916" s="118">
        <f>SUM(D908:D914)</f>
        <v>0</v>
      </c>
      <c r="E916" s="147">
        <f t="shared" si="294"/>
        <v>0</v>
      </c>
      <c r="F916" s="86">
        <f>SUM(F908:F914)</f>
        <v>0</v>
      </c>
      <c r="G916" s="87">
        <f>SUM(G908:G914)</f>
        <v>0</v>
      </c>
      <c r="H916" s="118">
        <f>SUM(H908:H914)</f>
        <v>0</v>
      </c>
      <c r="I916" s="60">
        <f t="shared" si="295"/>
        <v>0</v>
      </c>
      <c r="J916" s="86">
        <f>SUM(J908:J914)</f>
        <v>0</v>
      </c>
      <c r="K916" s="87">
        <f>SUM(K908:K914)</f>
        <v>0</v>
      </c>
      <c r="L916" s="118">
        <f>SUM(L908:L914)</f>
        <v>0</v>
      </c>
      <c r="M916" s="60">
        <f t="shared" si="296"/>
        <v>0</v>
      </c>
      <c r="N916" s="86">
        <f>SUM(N908:N914)</f>
        <v>0</v>
      </c>
      <c r="O916" s="87">
        <f>SUM(O908:O914)</f>
        <v>0</v>
      </c>
      <c r="P916" s="118">
        <f>SUM(P908:P914)</f>
        <v>0</v>
      </c>
      <c r="Q916" s="60">
        <f t="shared" si="297"/>
        <v>0</v>
      </c>
      <c r="R916" s="59">
        <f t="shared" si="298"/>
        <v>0</v>
      </c>
    </row>
    <row r="917" spans="1:18" ht="16.5" customHeight="1" thickBot="1" x14ac:dyDescent="0.35">
      <c r="A917" s="57" t="s">
        <v>73</v>
      </c>
      <c r="B917" s="148">
        <f>+B898+B903+B907+B916</f>
        <v>48857</v>
      </c>
      <c r="C917" s="149">
        <f>+C898+C903+C907+C916</f>
        <v>72561</v>
      </c>
      <c r="D917" s="149">
        <f>+D898+D903+D907+D916</f>
        <v>106302</v>
      </c>
      <c r="E917" s="59">
        <f t="shared" si="294"/>
        <v>227720</v>
      </c>
      <c r="F917" s="58">
        <f>+F898+F903+F907+F916</f>
        <v>152003</v>
      </c>
      <c r="G917" s="58">
        <f>+G898+G903+G907+G916</f>
        <v>173515</v>
      </c>
      <c r="H917" s="58">
        <f>+H898+H903+H907+H916</f>
        <v>194773</v>
      </c>
      <c r="I917" s="59">
        <f t="shared" si="295"/>
        <v>520291</v>
      </c>
      <c r="J917" s="58">
        <f>+J898+J903+J907+J916</f>
        <v>138016</v>
      </c>
      <c r="K917" s="58">
        <f>+K898+K903+K907+K916</f>
        <v>121001</v>
      </c>
      <c r="L917" s="58">
        <f>+L898+L903+L907+L916</f>
        <v>109841</v>
      </c>
      <c r="M917" s="59">
        <f t="shared" si="296"/>
        <v>368858</v>
      </c>
      <c r="N917" s="58">
        <f>+N898+N903+N907+N916</f>
        <v>80399</v>
      </c>
      <c r="O917" s="58">
        <f>+O898+O903+O907+O916</f>
        <v>54679</v>
      </c>
      <c r="P917" s="58">
        <f>+P898+P903+P907+P916</f>
        <v>71505</v>
      </c>
      <c r="Q917" s="59">
        <f t="shared" si="297"/>
        <v>206583</v>
      </c>
      <c r="R917" s="81">
        <f t="shared" si="298"/>
        <v>1323452</v>
      </c>
    </row>
    <row r="918" spans="1:18" ht="15.75" customHeight="1" x14ac:dyDescent="0.3">
      <c r="A918" s="1" t="s">
        <v>1343</v>
      </c>
      <c r="B918" s="1"/>
      <c r="C918" s="1"/>
      <c r="D918" s="1"/>
      <c r="E918" s="1"/>
      <c r="F918" s="1"/>
      <c r="G918" s="1"/>
      <c r="H918" s="1"/>
      <c r="I918" s="1"/>
      <c r="J918" s="1"/>
      <c r="K918" s="1"/>
      <c r="L918" s="1"/>
      <c r="M918" s="1"/>
      <c r="N918" s="1"/>
      <c r="O918" s="316"/>
      <c r="P918" s="1"/>
      <c r="Q918" s="1"/>
      <c r="R918" s="2"/>
    </row>
    <row r="919" spans="1:18" ht="15.75" customHeight="1" x14ac:dyDescent="0.3">
      <c r="A919" s="1" t="s">
        <v>1344</v>
      </c>
      <c r="B919" s="1"/>
      <c r="C919" s="1"/>
      <c r="D919" s="1"/>
      <c r="E919" s="1"/>
      <c r="F919" s="1"/>
      <c r="G919" s="1"/>
      <c r="H919" s="1"/>
      <c r="I919" s="1"/>
      <c r="J919" s="1"/>
      <c r="K919" s="1"/>
      <c r="L919" s="1"/>
      <c r="M919" s="1"/>
      <c r="N919" s="1"/>
      <c r="O919" s="316"/>
      <c r="P919" s="1"/>
      <c r="Q919" s="1"/>
      <c r="R919" s="2"/>
    </row>
    <row r="920" spans="1:18" ht="15.75" customHeight="1" x14ac:dyDescent="0.3">
      <c r="A920" s="1"/>
      <c r="B920" s="1"/>
      <c r="C920" s="1"/>
      <c r="D920" s="1"/>
      <c r="E920" s="1"/>
      <c r="F920" s="1"/>
      <c r="G920" s="1"/>
      <c r="H920" s="1"/>
      <c r="I920" s="1"/>
      <c r="J920" s="1"/>
      <c r="K920" s="1"/>
      <c r="L920" s="1"/>
      <c r="M920" s="1"/>
      <c r="N920" s="1"/>
      <c r="O920" s="316"/>
      <c r="P920" s="1"/>
      <c r="Q920" s="338" t="str">
        <f>+Q1</f>
        <v xml:space="preserve">PRINTED:  </v>
      </c>
      <c r="R920" s="360">
        <f ca="1">+R1</f>
        <v>44909.46975358796</v>
      </c>
    </row>
    <row r="921" spans="1:18" ht="15.75" customHeight="1" x14ac:dyDescent="0.3">
      <c r="A921" s="499" t="s">
        <v>1</v>
      </c>
      <c r="B921" s="499"/>
      <c r="C921" s="499"/>
      <c r="D921" s="499"/>
      <c r="E921" s="499"/>
      <c r="F921" s="499"/>
      <c r="G921" s="499"/>
      <c r="H921" s="499"/>
      <c r="I921" s="499"/>
      <c r="J921" s="499"/>
      <c r="K921" s="499"/>
      <c r="L921" s="499"/>
      <c r="M921" s="499"/>
      <c r="N921" s="499"/>
      <c r="O921" s="499"/>
      <c r="P921" s="499"/>
      <c r="Q921" s="499"/>
      <c r="R921" s="499"/>
    </row>
    <row r="922" spans="1:18" ht="15.75" customHeight="1" x14ac:dyDescent="0.3">
      <c r="A922" s="499" t="s">
        <v>2</v>
      </c>
      <c r="B922" s="499"/>
      <c r="C922" s="499"/>
      <c r="D922" s="499"/>
      <c r="E922" s="499"/>
      <c r="F922" s="499"/>
      <c r="G922" s="499"/>
      <c r="H922" s="499"/>
      <c r="I922" s="499"/>
      <c r="J922" s="499"/>
      <c r="K922" s="499"/>
      <c r="L922" s="499"/>
      <c r="M922" s="499"/>
      <c r="N922" s="499"/>
      <c r="O922" s="499"/>
      <c r="P922" s="499"/>
      <c r="Q922" s="499"/>
      <c r="R922" s="499"/>
    </row>
    <row r="923" spans="1:18" ht="15.75" customHeight="1" x14ac:dyDescent="0.3">
      <c r="A923" s="499" t="s">
        <v>3</v>
      </c>
      <c r="B923" s="499"/>
      <c r="C923" s="499"/>
      <c r="D923" s="499"/>
      <c r="E923" s="499"/>
      <c r="F923" s="499"/>
      <c r="G923" s="499"/>
      <c r="H923" s="499"/>
      <c r="I923" s="499"/>
      <c r="J923" s="499"/>
      <c r="K923" s="499"/>
      <c r="L923" s="499"/>
      <c r="M923" s="499"/>
      <c r="N923" s="499"/>
      <c r="O923" s="499"/>
      <c r="P923" s="499"/>
      <c r="Q923" s="499"/>
      <c r="R923" s="499"/>
    </row>
    <row r="924" spans="1:18" ht="15.75" customHeight="1" x14ac:dyDescent="0.3">
      <c r="A924" s="505">
        <f>+A5</f>
        <v>2021</v>
      </c>
      <c r="B924" s="505"/>
      <c r="C924" s="505"/>
      <c r="D924" s="505"/>
      <c r="E924" s="505"/>
      <c r="F924" s="505"/>
      <c r="G924" s="505"/>
      <c r="H924" s="505"/>
      <c r="I924" s="505"/>
      <c r="J924" s="505"/>
      <c r="K924" s="505"/>
      <c r="L924" s="505"/>
      <c r="M924" s="505"/>
      <c r="N924" s="505"/>
      <c r="O924" s="505"/>
      <c r="P924" s="505"/>
      <c r="Q924" s="505"/>
      <c r="R924" s="505"/>
    </row>
    <row r="925" spans="1:18" ht="15.75" customHeight="1" x14ac:dyDescent="0.3">
      <c r="A925" s="1"/>
      <c r="B925" s="1"/>
      <c r="C925" s="1"/>
      <c r="D925" s="5"/>
      <c r="E925" s="5"/>
      <c r="F925" s="5"/>
      <c r="G925" s="6"/>
      <c r="H925" s="5"/>
      <c r="I925" s="5"/>
      <c r="J925" s="6"/>
      <c r="K925" s="6"/>
      <c r="L925" s="6"/>
      <c r="M925" s="6"/>
      <c r="N925" s="1"/>
      <c r="O925" s="6"/>
      <c r="P925" s="6"/>
      <c r="Q925" s="6"/>
      <c r="R925" s="6"/>
    </row>
    <row r="926" spans="1:18" ht="15.75" customHeight="1" x14ac:dyDescent="0.3">
      <c r="A926" s="499" t="str">
        <f>+A8</f>
        <v>Revised:  10/27/2021</v>
      </c>
      <c r="B926" s="499"/>
      <c r="C926" s="499"/>
      <c r="D926" s="499"/>
      <c r="E926" s="499"/>
      <c r="F926" s="499"/>
      <c r="G926" s="499"/>
      <c r="H926" s="499"/>
      <c r="I926" s="499"/>
      <c r="J926" s="499"/>
      <c r="K926" s="499"/>
      <c r="L926" s="499"/>
      <c r="M926" s="499"/>
      <c r="N926" s="499"/>
      <c r="O926" s="499"/>
      <c r="P926" s="499"/>
      <c r="Q926" s="499"/>
      <c r="R926" s="499"/>
    </row>
    <row r="927" spans="1:18" ht="15.75" customHeight="1" x14ac:dyDescent="0.3">
      <c r="A927" s="314"/>
      <c r="B927" s="314"/>
      <c r="C927" s="314"/>
      <c r="D927" s="314"/>
      <c r="E927" s="314"/>
      <c r="F927" s="314"/>
      <c r="G927" s="314"/>
      <c r="H927" s="314"/>
      <c r="I927" s="314"/>
      <c r="J927" s="314"/>
      <c r="K927" s="314"/>
      <c r="L927" s="314"/>
      <c r="M927" s="314"/>
      <c r="N927" s="314"/>
      <c r="O927" s="314"/>
      <c r="P927" s="314"/>
      <c r="Q927" s="314"/>
      <c r="R927" s="314"/>
    </row>
    <row r="928" spans="1:18" ht="15.75" customHeight="1" x14ac:dyDescent="0.3">
      <c r="A928" s="28"/>
      <c r="B928" s="1"/>
      <c r="C928" s="1"/>
      <c r="D928" s="1"/>
      <c r="E928" s="1"/>
      <c r="F928" s="1"/>
      <c r="G928" s="1"/>
      <c r="H928" s="1"/>
      <c r="I928" s="1"/>
      <c r="J928" s="1"/>
      <c r="K928" s="1"/>
      <c r="L928" s="1"/>
      <c r="M928" s="1"/>
      <c r="N928" s="1"/>
      <c r="O928" s="1"/>
      <c r="P928" s="1"/>
      <c r="Q928" s="1"/>
      <c r="R928" s="2"/>
    </row>
    <row r="929" spans="1:46" ht="15.75" customHeight="1" thickBot="1" x14ac:dyDescent="0.35">
      <c r="A929" s="1"/>
      <c r="B929" s="1"/>
      <c r="C929" s="1"/>
      <c r="D929" s="1"/>
      <c r="E929" s="1"/>
      <c r="F929" s="1"/>
      <c r="G929" s="1"/>
      <c r="H929" s="1"/>
      <c r="I929" s="1"/>
      <c r="J929" s="1"/>
      <c r="K929" s="1"/>
      <c r="L929" s="1"/>
      <c r="M929" s="1"/>
      <c r="N929" s="1"/>
      <c r="O929" s="316"/>
      <c r="P929" s="1"/>
      <c r="Q929" s="1"/>
      <c r="R929" s="2"/>
    </row>
    <row r="930" spans="1:46" ht="15.75" customHeight="1" thickBot="1" x14ac:dyDescent="0.35">
      <c r="A930" s="107" t="s">
        <v>380</v>
      </c>
      <c r="B930" s="47" t="s">
        <v>8</v>
      </c>
      <c r="C930" s="48" t="s">
        <v>9</v>
      </c>
      <c r="D930" s="48" t="s">
        <v>10</v>
      </c>
      <c r="E930" s="32" t="s">
        <v>11</v>
      </c>
      <c r="F930" s="48" t="s">
        <v>12</v>
      </c>
      <c r="G930" s="48" t="s">
        <v>13</v>
      </c>
      <c r="H930" s="48" t="s">
        <v>14</v>
      </c>
      <c r="I930" s="32" t="s">
        <v>15</v>
      </c>
      <c r="J930" s="48" t="s">
        <v>16</v>
      </c>
      <c r="K930" s="48" t="s">
        <v>17</v>
      </c>
      <c r="L930" s="48" t="s">
        <v>18</v>
      </c>
      <c r="M930" s="32" t="s">
        <v>19</v>
      </c>
      <c r="N930" s="48" t="s">
        <v>20</v>
      </c>
      <c r="O930" s="48" t="s">
        <v>21</v>
      </c>
      <c r="P930" s="48" t="s">
        <v>22</v>
      </c>
      <c r="Q930" s="32" t="s">
        <v>23</v>
      </c>
      <c r="R930" s="151" t="s">
        <v>24</v>
      </c>
    </row>
    <row r="931" spans="1:46" ht="16.5" customHeight="1" thickBot="1" x14ac:dyDescent="0.35">
      <c r="A931" s="152"/>
      <c r="B931" s="153"/>
      <c r="C931" s="153"/>
      <c r="D931" s="153"/>
      <c r="E931" s="52"/>
      <c r="F931" s="153"/>
      <c r="G931" s="153"/>
      <c r="H931" s="153"/>
      <c r="I931" s="37"/>
      <c r="J931" s="153"/>
      <c r="K931" s="153"/>
      <c r="L931" s="153"/>
      <c r="M931" s="37"/>
      <c r="N931" s="153"/>
      <c r="O931" s="153"/>
      <c r="P931" s="153"/>
      <c r="Q931" s="127"/>
      <c r="R931" s="154"/>
    </row>
    <row r="932" spans="1:46" ht="16.5" customHeight="1" thickBot="1" x14ac:dyDescent="0.35">
      <c r="A932" s="155" t="s">
        <v>381</v>
      </c>
      <c r="B932" s="156">
        <f>+B898</f>
        <v>28742</v>
      </c>
      <c r="C932" s="156">
        <f>+C898</f>
        <v>31230</v>
      </c>
      <c r="D932" s="156">
        <f>+D898</f>
        <v>42510</v>
      </c>
      <c r="E932" s="86">
        <f>+SUM(B932:D932)</f>
        <v>102482</v>
      </c>
      <c r="F932" s="156">
        <f>+F898</f>
        <v>53597</v>
      </c>
      <c r="G932" s="156">
        <f>+G898</f>
        <v>58162</v>
      </c>
      <c r="H932" s="156">
        <f>+H898</f>
        <v>72239</v>
      </c>
      <c r="I932" s="86">
        <f>+SUM(F932:H932)</f>
        <v>183998</v>
      </c>
      <c r="J932" s="156">
        <f>+J898</f>
        <v>73423</v>
      </c>
      <c r="K932" s="156">
        <f>+K898</f>
        <v>67824</v>
      </c>
      <c r="L932" s="156">
        <f>+L898</f>
        <v>55918</v>
      </c>
      <c r="M932" s="86">
        <f>+SUM(J932:L932)</f>
        <v>197165</v>
      </c>
      <c r="N932" s="156">
        <f>+N898</f>
        <v>45768</v>
      </c>
      <c r="O932" s="156">
        <f>+O898</f>
        <v>29839</v>
      </c>
      <c r="P932" s="156">
        <f>+P898</f>
        <v>37898</v>
      </c>
      <c r="Q932" s="86">
        <f>+SUM(N932:P932)</f>
        <v>113505</v>
      </c>
      <c r="R932" s="59">
        <f>+E932+I932+M932+Q932</f>
        <v>597150</v>
      </c>
    </row>
    <row r="933" spans="1:46" ht="16.5" customHeight="1" thickBot="1" x14ac:dyDescent="0.35">
      <c r="A933" s="33"/>
      <c r="B933" s="86"/>
      <c r="C933" s="86"/>
      <c r="D933" s="86"/>
      <c r="E933" s="86"/>
      <c r="F933" s="86"/>
      <c r="G933" s="86"/>
      <c r="H933" s="86"/>
      <c r="I933" s="86"/>
      <c r="J933" s="86"/>
      <c r="K933" s="86"/>
      <c r="L933" s="86"/>
      <c r="M933" s="86"/>
      <c r="N933" s="86"/>
      <c r="O933" s="86"/>
      <c r="P933" s="86"/>
      <c r="Q933" s="86"/>
      <c r="R933" s="59"/>
    </row>
    <row r="934" spans="1:46" ht="16.5" customHeight="1" thickBot="1" x14ac:dyDescent="0.35">
      <c r="A934" s="155" t="s">
        <v>382</v>
      </c>
      <c r="B934" s="156">
        <f>+B903</f>
        <v>3486</v>
      </c>
      <c r="C934" s="156">
        <f>+C903</f>
        <v>10005</v>
      </c>
      <c r="D934" s="156">
        <f>+D903</f>
        <v>15380</v>
      </c>
      <c r="E934" s="86">
        <f>+SUM(B934:D934)</f>
        <v>28871</v>
      </c>
      <c r="F934" s="156">
        <f>+F903</f>
        <v>45425</v>
      </c>
      <c r="G934" s="156">
        <f>+G903</f>
        <v>45486</v>
      </c>
      <c r="H934" s="156">
        <f>+H903</f>
        <v>54573</v>
      </c>
      <c r="I934" s="86">
        <f>+SUM(F934:H934)</f>
        <v>145484</v>
      </c>
      <c r="J934" s="156">
        <f>+J903</f>
        <v>19932</v>
      </c>
      <c r="K934" s="156">
        <f>+K903</f>
        <v>17163</v>
      </c>
      <c r="L934" s="156">
        <f>+L903</f>
        <v>15572</v>
      </c>
      <c r="M934" s="86">
        <f>+SUM(J934:L934)</f>
        <v>52667</v>
      </c>
      <c r="N934" s="156">
        <f>+N903</f>
        <v>4407</v>
      </c>
      <c r="O934" s="156">
        <f>+O903</f>
        <v>5598</v>
      </c>
      <c r="P934" s="156">
        <f>+P903</f>
        <v>9056</v>
      </c>
      <c r="Q934" s="86">
        <f>+SUM(N934:P934)</f>
        <v>19061</v>
      </c>
      <c r="R934" s="59">
        <f>+E934+I934+M934+Q934</f>
        <v>246083</v>
      </c>
    </row>
    <row r="935" spans="1:46" ht="16.5" customHeight="1" thickBot="1" x14ac:dyDescent="0.35">
      <c r="A935" s="33"/>
      <c r="B935" s="86"/>
      <c r="C935" s="86"/>
      <c r="D935" s="86"/>
      <c r="E935" s="86"/>
      <c r="F935" s="86"/>
      <c r="G935" s="86"/>
      <c r="H935" s="86"/>
      <c r="I935" s="86"/>
      <c r="J935" s="86"/>
      <c r="K935" s="86"/>
      <c r="L935" s="86"/>
      <c r="M935" s="86"/>
      <c r="N935" s="86"/>
      <c r="O935" s="86"/>
      <c r="P935" s="86"/>
      <c r="Q935" s="86"/>
      <c r="R935" s="59"/>
      <c r="AC935" s="159"/>
      <c r="AD935" s="159"/>
      <c r="AE935" s="161"/>
      <c r="AF935" s="159"/>
      <c r="AG935" s="159"/>
      <c r="AH935" s="159"/>
      <c r="AI935" s="159"/>
      <c r="AJ935" s="159"/>
      <c r="AK935" s="159"/>
      <c r="AL935" s="159"/>
      <c r="AM935" s="159"/>
      <c r="AN935" s="163"/>
      <c r="AO935" s="159"/>
      <c r="AP935" s="159"/>
      <c r="AQ935" s="159"/>
      <c r="AR935" s="159"/>
      <c r="AS935" s="494"/>
      <c r="AT935" s="495"/>
    </row>
    <row r="936" spans="1:46" ht="16.5" customHeight="1" thickBot="1" x14ac:dyDescent="0.35">
      <c r="A936" s="155" t="s">
        <v>383</v>
      </c>
      <c r="B936" s="156">
        <f>+B907</f>
        <v>16629</v>
      </c>
      <c r="C936" s="156">
        <f>+C907</f>
        <v>31326</v>
      </c>
      <c r="D936" s="156">
        <f>+D907</f>
        <v>48412</v>
      </c>
      <c r="E936" s="86">
        <f>+SUM(B936:D936)</f>
        <v>96367</v>
      </c>
      <c r="F936" s="156">
        <f>+F907</f>
        <v>52981</v>
      </c>
      <c r="G936" s="156">
        <f>+G907</f>
        <v>69867</v>
      </c>
      <c r="H936" s="156">
        <f>+H907</f>
        <v>67961</v>
      </c>
      <c r="I936" s="86">
        <f>+SUM(F936:H936)</f>
        <v>190809</v>
      </c>
      <c r="J936" s="156">
        <f>+J907</f>
        <v>44661</v>
      </c>
      <c r="K936" s="156">
        <f>+K907</f>
        <v>36014</v>
      </c>
      <c r="L936" s="156">
        <f>+L907</f>
        <v>38351</v>
      </c>
      <c r="M936" s="86">
        <f>+SUM(J936:L936)</f>
        <v>119026</v>
      </c>
      <c r="N936" s="156">
        <f>+N907</f>
        <v>30224</v>
      </c>
      <c r="O936" s="156">
        <f>+O907</f>
        <v>19242</v>
      </c>
      <c r="P936" s="156">
        <f>+P907</f>
        <v>24551</v>
      </c>
      <c r="Q936" s="86">
        <f>+SUM(N936:P936)</f>
        <v>74017</v>
      </c>
      <c r="R936" s="59">
        <f>+E936+I936+M936+Q936</f>
        <v>480219</v>
      </c>
      <c r="AC936" s="159"/>
      <c r="AD936" s="159"/>
      <c r="AE936" s="159"/>
      <c r="AF936" s="159"/>
      <c r="AG936" s="159"/>
      <c r="AH936" s="159"/>
      <c r="AI936" s="159"/>
      <c r="AJ936" s="159"/>
      <c r="AK936" s="159"/>
      <c r="AL936" s="159"/>
      <c r="AM936" s="159"/>
      <c r="AN936" s="159"/>
      <c r="AO936" s="159"/>
      <c r="AP936" s="159"/>
      <c r="AQ936" s="159"/>
      <c r="AR936" s="159"/>
      <c r="AS936" s="159"/>
      <c r="AT936" s="159"/>
    </row>
    <row r="937" spans="1:46" ht="16.5" customHeight="1" thickBot="1" x14ac:dyDescent="0.35">
      <c r="A937" s="33"/>
      <c r="B937" s="86"/>
      <c r="C937" s="86"/>
      <c r="D937" s="86"/>
      <c r="E937" s="86"/>
      <c r="F937" s="86"/>
      <c r="G937" s="86"/>
      <c r="H937" s="86"/>
      <c r="I937" s="86"/>
      <c r="J937" s="86"/>
      <c r="K937" s="86"/>
      <c r="L937" s="86"/>
      <c r="M937" s="86"/>
      <c r="N937" s="86"/>
      <c r="O937" s="86"/>
      <c r="P937" s="86"/>
      <c r="Q937" s="86"/>
      <c r="R937" s="59"/>
      <c r="AC937" s="159"/>
      <c r="AD937" s="159"/>
      <c r="AE937" s="159"/>
      <c r="AF937" s="159"/>
      <c r="AG937" s="159"/>
      <c r="AH937" s="159"/>
      <c r="AI937" s="159"/>
      <c r="AJ937" s="159"/>
      <c r="AK937" s="159"/>
      <c r="AL937" s="159"/>
      <c r="AM937" s="159"/>
      <c r="AN937" s="159"/>
      <c r="AO937" s="159"/>
      <c r="AP937" s="159"/>
      <c r="AQ937" s="159"/>
      <c r="AR937" s="159"/>
      <c r="AS937" s="159"/>
      <c r="AT937" s="159"/>
    </row>
    <row r="938" spans="1:46" ht="16.5" customHeight="1" thickBot="1" x14ac:dyDescent="0.35">
      <c r="A938" s="155" t="s">
        <v>384</v>
      </c>
      <c r="B938" s="156">
        <f>+B916</f>
        <v>0</v>
      </c>
      <c r="C938" s="156">
        <f>+C916</f>
        <v>0</v>
      </c>
      <c r="D938" s="156">
        <f>+D916</f>
        <v>0</v>
      </c>
      <c r="E938" s="86">
        <f>+SUM(B938:D938)</f>
        <v>0</v>
      </c>
      <c r="F938" s="156">
        <f>+F916</f>
        <v>0</v>
      </c>
      <c r="G938" s="156">
        <f>+G916</f>
        <v>0</v>
      </c>
      <c r="H938" s="156">
        <f>+H916</f>
        <v>0</v>
      </c>
      <c r="I938" s="86">
        <f>+SUM(F938:H938)</f>
        <v>0</v>
      </c>
      <c r="J938" s="156">
        <f>+J916</f>
        <v>0</v>
      </c>
      <c r="K938" s="156">
        <f>+K916</f>
        <v>0</v>
      </c>
      <c r="L938" s="156">
        <f>+L916</f>
        <v>0</v>
      </c>
      <c r="M938" s="86">
        <f>+SUM(J938:L938)</f>
        <v>0</v>
      </c>
      <c r="N938" s="156">
        <f>+N916</f>
        <v>0</v>
      </c>
      <c r="O938" s="156">
        <f>+O916</f>
        <v>0</v>
      </c>
      <c r="P938" s="156">
        <f>+P916</f>
        <v>0</v>
      </c>
      <c r="Q938" s="86">
        <f>+SUM(N938:P938)</f>
        <v>0</v>
      </c>
      <c r="R938" s="59">
        <f>+E938+I938+M938+Q938</f>
        <v>0</v>
      </c>
      <c r="AC938" s="159"/>
      <c r="AD938" s="159"/>
      <c r="AE938" s="159"/>
      <c r="AF938" s="159"/>
      <c r="AG938" s="159"/>
      <c r="AH938" s="159"/>
      <c r="AI938" s="164"/>
      <c r="AJ938" s="159"/>
      <c r="AK938" s="159"/>
      <c r="AL938" s="159"/>
      <c r="AM938" s="159"/>
      <c r="AN938" s="159"/>
      <c r="AO938" s="159"/>
      <c r="AP938" s="159"/>
      <c r="AQ938" s="159"/>
      <c r="AR938" s="159"/>
      <c r="AS938" s="159"/>
      <c r="AT938" s="159"/>
    </row>
    <row r="939" spans="1:46" ht="16.5" customHeight="1" thickBot="1" x14ac:dyDescent="0.35">
      <c r="A939" s="33"/>
      <c r="B939" s="86"/>
      <c r="C939" s="86"/>
      <c r="D939" s="86"/>
      <c r="E939" s="86"/>
      <c r="F939" s="86"/>
      <c r="G939" s="86"/>
      <c r="H939" s="86"/>
      <c r="I939" s="86"/>
      <c r="J939" s="86"/>
      <c r="K939" s="86"/>
      <c r="L939" s="86"/>
      <c r="M939" s="86"/>
      <c r="N939" s="86"/>
      <c r="O939" s="86"/>
      <c r="P939" s="86"/>
      <c r="Q939" s="86"/>
      <c r="R939" s="59"/>
      <c r="AC939" s="159"/>
      <c r="AD939" s="159"/>
      <c r="AE939" s="159"/>
      <c r="AF939" s="164"/>
      <c r="AG939" s="164"/>
      <c r="AH939" s="164"/>
      <c r="AI939" s="164"/>
      <c r="AJ939" s="164"/>
      <c r="AK939" s="164"/>
      <c r="AL939" s="164"/>
      <c r="AM939" s="159"/>
      <c r="AN939" s="164"/>
      <c r="AO939" s="164"/>
      <c r="AP939" s="164"/>
      <c r="AQ939" s="159"/>
      <c r="AR939" s="159"/>
      <c r="AS939" s="159"/>
      <c r="AT939" s="159"/>
    </row>
    <row r="940" spans="1:46" ht="16.5" customHeight="1" thickBot="1" x14ac:dyDescent="0.4">
      <c r="A940" s="33" t="s">
        <v>385</v>
      </c>
      <c r="B940" s="90">
        <f t="shared" ref="B940:Q940" si="299">+SUM(B932:B938)</f>
        <v>48857</v>
      </c>
      <c r="C940" s="90">
        <f t="shared" si="299"/>
        <v>72561</v>
      </c>
      <c r="D940" s="90">
        <f t="shared" si="299"/>
        <v>106302</v>
      </c>
      <c r="E940" s="90">
        <f t="shared" si="299"/>
        <v>227720</v>
      </c>
      <c r="F940" s="90">
        <f t="shared" si="299"/>
        <v>152003</v>
      </c>
      <c r="G940" s="90">
        <f t="shared" si="299"/>
        <v>173515</v>
      </c>
      <c r="H940" s="90">
        <f t="shared" si="299"/>
        <v>194773</v>
      </c>
      <c r="I940" s="90">
        <f t="shared" si="299"/>
        <v>520291</v>
      </c>
      <c r="J940" s="90">
        <f t="shared" si="299"/>
        <v>138016</v>
      </c>
      <c r="K940" s="90">
        <f t="shared" si="299"/>
        <v>121001</v>
      </c>
      <c r="L940" s="90">
        <f t="shared" si="299"/>
        <v>109841</v>
      </c>
      <c r="M940" s="90">
        <f t="shared" si="299"/>
        <v>368858</v>
      </c>
      <c r="N940" s="90">
        <f t="shared" si="299"/>
        <v>80399</v>
      </c>
      <c r="O940" s="90">
        <f t="shared" si="299"/>
        <v>54679</v>
      </c>
      <c r="P940" s="90">
        <f t="shared" si="299"/>
        <v>71505</v>
      </c>
      <c r="Q940" s="90">
        <f t="shared" si="299"/>
        <v>206583</v>
      </c>
      <c r="R940" s="157">
        <f>+SUM(R932:R938)</f>
        <v>1323452</v>
      </c>
      <c r="AC940" s="159"/>
      <c r="AD940" s="164"/>
      <c r="AE940" s="164"/>
      <c r="AF940" s="164"/>
      <c r="AG940" s="164"/>
      <c r="AH940" s="164"/>
      <c r="AI940" s="165"/>
      <c r="AJ940" s="164"/>
      <c r="AK940" s="164"/>
      <c r="AL940" s="164"/>
      <c r="AM940" s="159"/>
      <c r="AN940" s="164"/>
      <c r="AO940" s="164"/>
      <c r="AP940" s="164"/>
      <c r="AQ940" s="159"/>
      <c r="AR940" s="159"/>
      <c r="AS940" s="159"/>
      <c r="AT940" s="159"/>
    </row>
    <row r="941" spans="1:46" ht="15.75" customHeight="1" x14ac:dyDescent="0.35">
      <c r="A941" s="145"/>
      <c r="B941" s="158"/>
      <c r="C941" s="158"/>
      <c r="D941" s="158"/>
      <c r="E941" s="158"/>
      <c r="F941" s="158"/>
      <c r="G941" s="158"/>
      <c r="H941" s="317" t="s">
        <v>786</v>
      </c>
      <c r="I941" s="158"/>
      <c r="J941" s="158"/>
      <c r="K941" s="158"/>
      <c r="L941" s="158"/>
      <c r="M941" s="158"/>
      <c r="N941" s="158"/>
      <c r="O941" s="158"/>
      <c r="P941" s="158"/>
      <c r="Q941" s="158"/>
      <c r="R941" s="158"/>
      <c r="AC941" s="159"/>
      <c r="AD941" s="164"/>
      <c r="AE941" s="164"/>
      <c r="AF941" s="164"/>
      <c r="AG941" s="164"/>
      <c r="AH941" s="164"/>
      <c r="AI941" s="164"/>
      <c r="AJ941" s="164"/>
      <c r="AK941" s="164"/>
      <c r="AL941" s="164"/>
      <c r="AM941" s="159"/>
      <c r="AN941" s="164"/>
      <c r="AO941" s="164"/>
      <c r="AP941" s="164"/>
      <c r="AQ941" s="159"/>
      <c r="AR941" s="159"/>
      <c r="AS941" s="159"/>
      <c r="AT941" s="159"/>
    </row>
    <row r="942" spans="1:46" ht="15.75" customHeight="1" x14ac:dyDescent="0.35">
      <c r="A942" s="145"/>
      <c r="B942" s="158"/>
      <c r="C942" s="158"/>
      <c r="D942" s="158"/>
      <c r="E942" s="158"/>
      <c r="F942" s="158"/>
      <c r="G942" s="158"/>
      <c r="H942" s="158"/>
      <c r="I942" s="158"/>
      <c r="J942" s="158"/>
      <c r="K942" s="158"/>
      <c r="L942" s="158"/>
      <c r="M942" s="158"/>
      <c r="N942" s="158"/>
      <c r="O942" s="158"/>
      <c r="P942" s="158"/>
      <c r="Q942" s="158"/>
      <c r="R942" s="158"/>
      <c r="AC942" s="159"/>
      <c r="AD942" s="164"/>
      <c r="AE942" s="164"/>
      <c r="AF942" s="164"/>
      <c r="AG942" s="164"/>
      <c r="AH942" s="164"/>
      <c r="AI942" s="164"/>
      <c r="AJ942" s="164"/>
      <c r="AK942" s="164"/>
      <c r="AL942" s="164"/>
      <c r="AM942" s="159"/>
      <c r="AN942" s="164"/>
      <c r="AO942" s="164"/>
      <c r="AP942" s="164"/>
      <c r="AQ942" s="159"/>
      <c r="AR942" s="159"/>
      <c r="AS942" s="159"/>
      <c r="AT942" s="159"/>
    </row>
    <row r="943" spans="1:46" ht="15.75" customHeight="1" thickBot="1" x14ac:dyDescent="0.4">
      <c r="A943" s="145"/>
      <c r="B943" s="158"/>
      <c r="C943" s="158"/>
      <c r="D943" s="158"/>
      <c r="E943" s="158"/>
      <c r="F943" s="158"/>
      <c r="G943" s="158"/>
      <c r="H943" s="317"/>
      <c r="I943" s="158"/>
      <c r="J943" s="158"/>
      <c r="K943" s="158"/>
      <c r="L943" s="158"/>
      <c r="M943" s="158"/>
      <c r="N943" s="158"/>
      <c r="O943" s="158"/>
      <c r="P943" s="158"/>
      <c r="Q943" s="158"/>
      <c r="R943" s="158"/>
      <c r="AC943" s="159"/>
      <c r="AD943" s="159"/>
      <c r="AE943" s="159"/>
      <c r="AF943" s="159"/>
      <c r="AG943" s="159"/>
      <c r="AH943" s="159"/>
      <c r="AI943" s="159"/>
      <c r="AJ943" s="159"/>
      <c r="AK943" s="159"/>
      <c r="AL943" s="159"/>
      <c r="AM943" s="159"/>
      <c r="AN943" s="159"/>
      <c r="AO943" s="159"/>
      <c r="AP943" s="159"/>
      <c r="AQ943" s="159"/>
      <c r="AR943" s="159"/>
      <c r="AS943" s="159"/>
      <c r="AT943" s="159"/>
    </row>
    <row r="944" spans="1:46" ht="15.75" customHeight="1" x14ac:dyDescent="0.3">
      <c r="A944" s="363"/>
      <c r="B944" s="506" t="s">
        <v>386</v>
      </c>
      <c r="C944" s="506"/>
      <c r="D944" s="506"/>
      <c r="E944" s="506"/>
      <c r="F944" s="506"/>
      <c r="G944" s="506"/>
      <c r="H944" s="506"/>
      <c r="I944" s="506"/>
      <c r="J944" s="506"/>
      <c r="K944" s="506"/>
      <c r="L944" s="506"/>
      <c r="M944" s="506"/>
      <c r="N944" s="506"/>
      <c r="O944" s="506"/>
      <c r="P944" s="506"/>
      <c r="Q944" s="361" t="str">
        <f>+Q1</f>
        <v xml:space="preserve">PRINTED:  </v>
      </c>
      <c r="R944" s="362">
        <f ca="1">+R1</f>
        <v>44909.46975358796</v>
      </c>
      <c r="AC944" s="164"/>
      <c r="AD944" s="159"/>
      <c r="AE944" s="159"/>
      <c r="AF944" s="159"/>
      <c r="AG944" s="159"/>
      <c r="AH944" s="159"/>
      <c r="AI944" s="159"/>
      <c r="AJ944" s="159"/>
      <c r="AK944" s="159"/>
      <c r="AL944" s="159"/>
      <c r="AM944" s="159"/>
      <c r="AN944" s="159"/>
      <c r="AO944" s="159"/>
      <c r="AP944" s="159"/>
      <c r="AQ944" s="159"/>
      <c r="AR944" s="159"/>
      <c r="AS944" s="159"/>
      <c r="AT944" s="159"/>
    </row>
    <row r="945" spans="1:46" ht="15.75" customHeight="1" x14ac:dyDescent="0.3">
      <c r="A945" s="325"/>
      <c r="B945" s="503" t="str">
        <f>+A8</f>
        <v>Revised:  10/27/2021</v>
      </c>
      <c r="C945" s="503"/>
      <c r="D945" s="503"/>
      <c r="E945" s="503"/>
      <c r="F945" s="503"/>
      <c r="G945" s="503"/>
      <c r="H945" s="503"/>
      <c r="I945" s="503"/>
      <c r="J945" s="503"/>
      <c r="K945" s="503"/>
      <c r="L945" s="503"/>
      <c r="M945" s="503"/>
      <c r="N945" s="503"/>
      <c r="O945" s="503"/>
      <c r="P945" s="503"/>
      <c r="Q945" s="159"/>
      <c r="R945" s="483"/>
      <c r="AC945" s="164"/>
      <c r="AD945" s="159"/>
      <c r="AE945" s="159"/>
      <c r="AF945" s="159"/>
      <c r="AG945" s="159"/>
      <c r="AH945" s="159"/>
      <c r="AI945" s="159"/>
      <c r="AJ945" s="159"/>
      <c r="AK945" s="159"/>
      <c r="AL945" s="159"/>
      <c r="AM945" s="159"/>
      <c r="AN945" s="159"/>
      <c r="AO945" s="159"/>
      <c r="AP945" s="159"/>
      <c r="AQ945" s="159"/>
      <c r="AR945" s="159"/>
      <c r="AS945" s="159"/>
      <c r="AT945" s="159"/>
    </row>
    <row r="946" spans="1:46" ht="15.75" customHeight="1" x14ac:dyDescent="0.3">
      <c r="A946" s="325"/>
      <c r="B946" s="503" t="s">
        <v>1024</v>
      </c>
      <c r="C946" s="503"/>
      <c r="D946" s="503"/>
      <c r="E946" s="503"/>
      <c r="F946" s="503"/>
      <c r="G946" s="503"/>
      <c r="H946" s="503"/>
      <c r="I946" s="503"/>
      <c r="J946" s="503"/>
      <c r="K946" s="503"/>
      <c r="L946" s="503"/>
      <c r="M946" s="503"/>
      <c r="N946" s="503"/>
      <c r="O946" s="503"/>
      <c r="P946" s="503"/>
      <c r="Q946" s="159"/>
      <c r="R946" s="483"/>
      <c r="AC946" s="164"/>
      <c r="AD946" s="159"/>
      <c r="AE946" s="159"/>
      <c r="AF946" s="159"/>
      <c r="AG946" s="159"/>
      <c r="AH946" s="159"/>
      <c r="AI946" s="159"/>
      <c r="AJ946" s="159"/>
      <c r="AK946" s="159"/>
      <c r="AL946" s="159"/>
      <c r="AM946" s="159"/>
      <c r="AN946" s="159"/>
      <c r="AO946" s="159"/>
      <c r="AP946" s="159"/>
      <c r="AQ946" s="159"/>
      <c r="AR946" s="159"/>
      <c r="AS946" s="159"/>
      <c r="AT946" s="159"/>
    </row>
    <row r="947" spans="1:46" ht="15.75" customHeight="1" x14ac:dyDescent="0.3">
      <c r="A947" s="325"/>
      <c r="B947" s="503"/>
      <c r="C947" s="503"/>
      <c r="D947" s="503"/>
      <c r="E947" s="503"/>
      <c r="F947" s="503"/>
      <c r="G947" s="503"/>
      <c r="H947" s="503"/>
      <c r="I947" s="503"/>
      <c r="J947" s="503"/>
      <c r="K947" s="503"/>
      <c r="L947" s="503"/>
      <c r="M947" s="503"/>
      <c r="N947" s="503"/>
      <c r="O947" s="503"/>
      <c r="P947" s="503"/>
      <c r="Q947" s="159"/>
      <c r="R947" s="483"/>
      <c r="AC947" s="164"/>
      <c r="AD947" s="159"/>
      <c r="AE947" s="159"/>
      <c r="AF947" s="159"/>
      <c r="AG947" s="159"/>
      <c r="AH947" s="159"/>
      <c r="AI947" s="159"/>
      <c r="AJ947" s="159"/>
      <c r="AK947" s="159"/>
      <c r="AL947" s="159"/>
      <c r="AM947" s="159"/>
      <c r="AN947" s="159"/>
      <c r="AO947" s="159"/>
      <c r="AP947" s="159"/>
      <c r="AQ947" s="159"/>
      <c r="AR947" s="159"/>
      <c r="AS947" s="159"/>
      <c r="AT947" s="159"/>
    </row>
    <row r="948" spans="1:46" ht="15.75" customHeight="1" x14ac:dyDescent="0.3">
      <c r="A948" s="325"/>
      <c r="B948" s="509">
        <f>+A5</f>
        <v>2021</v>
      </c>
      <c r="C948" s="509"/>
      <c r="D948" s="509"/>
      <c r="E948" s="509"/>
      <c r="F948" s="509"/>
      <c r="G948" s="509"/>
      <c r="H948" s="509"/>
      <c r="I948" s="509"/>
      <c r="J948" s="509"/>
      <c r="K948" s="509"/>
      <c r="L948" s="509"/>
      <c r="M948" s="509"/>
      <c r="N948" s="509"/>
      <c r="O948" s="509"/>
      <c r="P948" s="509"/>
      <c r="Q948" s="159"/>
      <c r="R948" s="483"/>
      <c r="AC948" s="164"/>
      <c r="AD948" s="159"/>
      <c r="AE948" s="159"/>
      <c r="AF948" s="159"/>
      <c r="AG948" s="159"/>
      <c r="AH948" s="159"/>
      <c r="AI948" s="159"/>
      <c r="AJ948" s="159"/>
      <c r="AK948" s="159"/>
      <c r="AL948" s="159"/>
      <c r="AM948" s="159"/>
      <c r="AN948" s="159"/>
      <c r="AO948" s="159"/>
      <c r="AP948" s="159"/>
      <c r="AQ948" s="159"/>
      <c r="AR948" s="159"/>
      <c r="AS948" s="159"/>
      <c r="AT948" s="159"/>
    </row>
    <row r="949" spans="1:46" ht="15.75" customHeight="1" thickBot="1" x14ac:dyDescent="0.35">
      <c r="A949" s="325"/>
      <c r="B949" s="503" t="s">
        <v>1025</v>
      </c>
      <c r="C949" s="503"/>
      <c r="D949" s="503"/>
      <c r="E949" s="503"/>
      <c r="F949" s="503"/>
      <c r="G949" s="503"/>
      <c r="H949" s="503"/>
      <c r="I949" s="503"/>
      <c r="J949" s="503"/>
      <c r="K949" s="503"/>
      <c r="L949" s="503"/>
      <c r="M949" s="503"/>
      <c r="N949" s="503"/>
      <c r="O949" s="503"/>
      <c r="P949" s="503"/>
      <c r="Q949" s="159"/>
      <c r="R949" s="483"/>
      <c r="AC949" s="164"/>
      <c r="AD949" s="159"/>
      <c r="AE949" s="159"/>
      <c r="AF949" s="159"/>
      <c r="AG949" s="159"/>
      <c r="AH949" s="159"/>
      <c r="AI949" s="159"/>
      <c r="AJ949" s="159"/>
      <c r="AK949" s="159"/>
      <c r="AL949" s="159"/>
      <c r="AM949" s="159"/>
      <c r="AN949" s="159"/>
      <c r="AO949" s="159"/>
      <c r="AP949" s="159"/>
      <c r="AQ949" s="159"/>
      <c r="AR949" s="159"/>
      <c r="AS949" s="159"/>
      <c r="AT949" s="159"/>
    </row>
    <row r="950" spans="1:46" ht="15.75" customHeight="1" x14ac:dyDescent="0.3">
      <c r="A950" s="325"/>
      <c r="B950" s="159"/>
      <c r="C950" s="159"/>
      <c r="D950" s="159"/>
      <c r="E950" s="159"/>
      <c r="F950" s="159"/>
      <c r="G950" s="159"/>
      <c r="H950" s="159"/>
      <c r="I950" s="159"/>
      <c r="J950" s="159"/>
      <c r="K950" s="159"/>
      <c r="L950" s="159"/>
      <c r="M950" s="159"/>
      <c r="N950" s="159"/>
      <c r="O950" s="159"/>
      <c r="P950" s="159"/>
      <c r="Q950" s="159"/>
      <c r="R950" s="483"/>
      <c r="T950" s="510" t="s">
        <v>1026</v>
      </c>
      <c r="U950" s="511"/>
      <c r="AC950" s="164"/>
      <c r="AD950" s="159"/>
      <c r="AE950" s="159"/>
      <c r="AF950" s="159"/>
      <c r="AG950" s="159"/>
      <c r="AH950" s="159"/>
      <c r="AI950" s="159"/>
      <c r="AJ950" s="159"/>
      <c r="AK950" s="159"/>
      <c r="AL950" s="159"/>
      <c r="AM950" s="159"/>
      <c r="AN950" s="159"/>
      <c r="AO950" s="159"/>
      <c r="AP950" s="159"/>
      <c r="AQ950" s="159"/>
      <c r="AR950" s="159"/>
      <c r="AS950" s="159"/>
      <c r="AT950" s="159"/>
    </row>
    <row r="951" spans="1:46" ht="15.75" customHeight="1" thickBot="1" x14ac:dyDescent="0.35">
      <c r="A951" s="325" t="s">
        <v>433</v>
      </c>
      <c r="B951" s="364" t="s">
        <v>390</v>
      </c>
      <c r="C951" s="364" t="s">
        <v>391</v>
      </c>
      <c r="D951" s="364" t="s">
        <v>392</v>
      </c>
      <c r="E951" s="364" t="s">
        <v>393</v>
      </c>
      <c r="F951" s="364" t="s">
        <v>394</v>
      </c>
      <c r="G951" s="364" t="s">
        <v>394</v>
      </c>
      <c r="H951" s="364" t="s">
        <v>395</v>
      </c>
      <c r="I951" s="364" t="s">
        <v>396</v>
      </c>
      <c r="J951" s="364" t="s">
        <v>397</v>
      </c>
      <c r="K951" s="364" t="s">
        <v>398</v>
      </c>
      <c r="L951" s="364" t="s">
        <v>399</v>
      </c>
      <c r="M951" s="364" t="s">
        <v>400</v>
      </c>
      <c r="N951" s="364" t="s">
        <v>401</v>
      </c>
      <c r="O951" s="364" t="s">
        <v>402</v>
      </c>
      <c r="P951" s="364" t="s">
        <v>403</v>
      </c>
      <c r="Q951" s="364" t="s">
        <v>404</v>
      </c>
      <c r="R951" s="483"/>
      <c r="T951" s="512"/>
      <c r="U951" s="513"/>
      <c r="AC951" s="164"/>
      <c r="AD951" s="159"/>
      <c r="AE951" s="159"/>
      <c r="AF951" s="159"/>
      <c r="AG951" s="159"/>
      <c r="AH951" s="159"/>
      <c r="AI951" s="159"/>
      <c r="AJ951" s="159"/>
      <c r="AK951" s="159"/>
      <c r="AL951" s="159"/>
      <c r="AM951" s="159"/>
      <c r="AN951" s="159"/>
      <c r="AO951" s="159"/>
      <c r="AP951" s="159"/>
      <c r="AQ951" s="159"/>
      <c r="AR951" s="159"/>
      <c r="AS951" s="159"/>
      <c r="AT951" s="159"/>
    </row>
    <row r="952" spans="1:46" ht="15.75" customHeight="1" thickBot="1" x14ac:dyDescent="0.35">
      <c r="A952" s="325"/>
      <c r="B952" s="159"/>
      <c r="C952" s="159"/>
      <c r="D952" s="159"/>
      <c r="E952" s="159"/>
      <c r="F952" s="164" t="s">
        <v>406</v>
      </c>
      <c r="G952" s="164" t="s">
        <v>407</v>
      </c>
      <c r="H952" s="159"/>
      <c r="I952" s="159"/>
      <c r="J952" s="159"/>
      <c r="K952" s="159"/>
      <c r="L952" s="159"/>
      <c r="M952" s="159"/>
      <c r="N952" s="159"/>
      <c r="O952" s="159"/>
      <c r="P952" s="159"/>
      <c r="Q952" s="159"/>
      <c r="R952" s="483"/>
      <c r="T952" s="514"/>
      <c r="U952" s="515"/>
      <c r="AC952" s="164"/>
      <c r="AD952" s="159"/>
      <c r="AE952" s="159"/>
      <c r="AF952" s="159"/>
      <c r="AG952" s="159"/>
      <c r="AH952" s="159"/>
      <c r="AI952" s="159"/>
      <c r="AJ952" s="159"/>
      <c r="AK952" s="159"/>
      <c r="AL952" s="159"/>
      <c r="AM952" s="159"/>
      <c r="AN952" s="159"/>
      <c r="AO952" s="159"/>
      <c r="AP952" s="159"/>
      <c r="AQ952" s="159"/>
      <c r="AR952" s="159"/>
      <c r="AS952" s="159"/>
      <c r="AT952" s="159"/>
    </row>
    <row r="953" spans="1:46" ht="15.75" customHeight="1" x14ac:dyDescent="0.3">
      <c r="A953" s="365" t="s">
        <v>795</v>
      </c>
      <c r="B953" s="159">
        <f>+B29</f>
        <v>121163</v>
      </c>
      <c r="C953" s="159">
        <f>+B64</f>
        <v>121066</v>
      </c>
      <c r="D953" s="159">
        <f>+B135</f>
        <v>120970</v>
      </c>
      <c r="E953" s="159">
        <f>+B325</f>
        <v>120329</v>
      </c>
      <c r="F953" s="159">
        <f>+B320</f>
        <v>71569</v>
      </c>
      <c r="G953" s="159">
        <f>+B332</f>
        <v>0</v>
      </c>
      <c r="H953" s="159">
        <f>+B519</f>
        <v>27838</v>
      </c>
      <c r="I953" s="159">
        <f>+B570</f>
        <v>11592</v>
      </c>
      <c r="J953" s="159">
        <f>+B615</f>
        <v>11583</v>
      </c>
      <c r="K953" s="159">
        <f>+B681</f>
        <v>11511</v>
      </c>
      <c r="L953" s="159">
        <f>+B691</f>
        <v>8881</v>
      </c>
      <c r="M953" s="159">
        <f>+B727</f>
        <v>8861</v>
      </c>
      <c r="N953" s="159">
        <f>+B779</f>
        <v>7382</v>
      </c>
      <c r="O953" s="159">
        <f>+B789</f>
        <v>3411</v>
      </c>
      <c r="P953" s="159">
        <f>+B823</f>
        <v>4731</v>
      </c>
      <c r="Q953" s="159">
        <f>+B876</f>
        <v>3409</v>
      </c>
      <c r="R953" s="483"/>
      <c r="T953" s="375" t="s">
        <v>795</v>
      </c>
      <c r="U953" s="496">
        <f>'[1]Lake Pleasant Forecast'!B35</f>
        <v>1690.1998116000643</v>
      </c>
      <c r="AC953" s="164"/>
      <c r="AD953" s="159"/>
      <c r="AE953" s="159"/>
      <c r="AF953" s="159"/>
      <c r="AG953" s="159"/>
      <c r="AH953" s="159"/>
      <c r="AI953" s="159"/>
      <c r="AJ953" s="159"/>
      <c r="AK953" s="159"/>
      <c r="AL953" s="159"/>
      <c r="AM953" s="159"/>
      <c r="AN953" s="159"/>
      <c r="AO953" s="159"/>
      <c r="AP953" s="159"/>
      <c r="AQ953" s="159"/>
      <c r="AR953" s="159"/>
      <c r="AS953" s="159"/>
      <c r="AT953" s="159"/>
    </row>
    <row r="954" spans="1:46" ht="15.75" customHeight="1" x14ac:dyDescent="0.3">
      <c r="A954" s="365" t="s">
        <v>9</v>
      </c>
      <c r="B954" s="159">
        <f>+C29</f>
        <v>110478</v>
      </c>
      <c r="C954" s="159">
        <f>+C64</f>
        <v>110330</v>
      </c>
      <c r="D954" s="159">
        <f>+C135</f>
        <v>110185</v>
      </c>
      <c r="E954" s="159">
        <f>+C325</f>
        <v>109221</v>
      </c>
      <c r="F954" s="159">
        <f>+C320</f>
        <v>35134</v>
      </c>
      <c r="G954" s="159">
        <f>+C332</f>
        <v>0</v>
      </c>
      <c r="H954" s="159">
        <f>+C519</f>
        <v>49073</v>
      </c>
      <c r="I954" s="159">
        <f>+C570</f>
        <v>19397</v>
      </c>
      <c r="J954" s="159">
        <f>+C615</f>
        <v>18736</v>
      </c>
      <c r="K954" s="159">
        <f>+C681</f>
        <v>18131</v>
      </c>
      <c r="L954" s="159">
        <f>+C691</f>
        <v>13492</v>
      </c>
      <c r="M954" s="159">
        <f>+C727</f>
        <v>13470</v>
      </c>
      <c r="N954" s="159">
        <f>+C779</f>
        <v>11500</v>
      </c>
      <c r="O954" s="159">
        <f>+C789</f>
        <v>3385</v>
      </c>
      <c r="P954" s="159">
        <f>+C823</f>
        <v>4711</v>
      </c>
      <c r="Q954" s="159">
        <f>+C876</f>
        <v>3382</v>
      </c>
      <c r="R954" s="483"/>
      <c r="T954" s="375" t="s">
        <v>9</v>
      </c>
      <c r="U954" s="496">
        <f>'[1]Lake Pleasant Forecast'!B37</f>
        <v>1693.66</v>
      </c>
      <c r="AC954" s="164"/>
      <c r="AD954" s="159"/>
      <c r="AE954" s="159"/>
      <c r="AF954" s="159"/>
      <c r="AG954" s="159"/>
      <c r="AH954" s="159"/>
      <c r="AI954" s="159"/>
      <c r="AJ954" s="159"/>
      <c r="AK954" s="159"/>
      <c r="AL954" s="159"/>
      <c r="AM954" s="159"/>
      <c r="AN954" s="159"/>
      <c r="AO954" s="159"/>
      <c r="AP954" s="159"/>
      <c r="AQ954" s="159"/>
      <c r="AR954" s="159"/>
      <c r="AS954" s="159"/>
      <c r="AT954" s="159"/>
    </row>
    <row r="955" spans="1:46" ht="15.75" customHeight="1" x14ac:dyDescent="0.3">
      <c r="A955" s="365" t="s">
        <v>10</v>
      </c>
      <c r="B955" s="159">
        <f>+D29</f>
        <v>148394</v>
      </c>
      <c r="C955" s="159">
        <f>+D64</f>
        <v>148120</v>
      </c>
      <c r="D955" s="159">
        <f>+D135</f>
        <v>147859</v>
      </c>
      <c r="E955" s="159">
        <f>+D325</f>
        <v>144887</v>
      </c>
      <c r="F955" s="159">
        <f>+D320</f>
        <v>33356</v>
      </c>
      <c r="G955" s="159">
        <f>+D332</f>
        <v>-437</v>
      </c>
      <c r="H955" s="159">
        <f>+D519</f>
        <v>70626</v>
      </c>
      <c r="I955" s="159">
        <f>+D570</f>
        <v>31194</v>
      </c>
      <c r="J955" s="159">
        <f>+D615</f>
        <v>27099</v>
      </c>
      <c r="K955" s="159">
        <f>+D681</f>
        <v>25777</v>
      </c>
      <c r="L955" s="159">
        <f>+D691</f>
        <v>20135</v>
      </c>
      <c r="M955" s="159">
        <f>+D727</f>
        <v>20107</v>
      </c>
      <c r="N955" s="159">
        <f>+D779</f>
        <v>19313</v>
      </c>
      <c r="O955" s="159">
        <f>+D789</f>
        <v>4083</v>
      </c>
      <c r="P955" s="159">
        <f>+D823</f>
        <v>5045</v>
      </c>
      <c r="Q955" s="159">
        <f>+D876</f>
        <v>4078</v>
      </c>
      <c r="R955" s="483"/>
      <c r="T955" s="375" t="s">
        <v>10</v>
      </c>
      <c r="U955" s="496">
        <f>'[1]Lake Pleasant Forecast'!B39</f>
        <v>1696.7</v>
      </c>
      <c r="AC955" s="164"/>
      <c r="AD955" s="159"/>
      <c r="AE955" s="159"/>
      <c r="AF955" s="159"/>
      <c r="AG955" s="159"/>
      <c r="AH955" s="159"/>
      <c r="AI955" s="159"/>
      <c r="AJ955" s="159"/>
      <c r="AK955" s="159"/>
      <c r="AL955" s="159"/>
      <c r="AM955" s="159"/>
      <c r="AN955" s="159"/>
      <c r="AO955" s="159"/>
      <c r="AP955" s="159"/>
      <c r="AQ955" s="159"/>
      <c r="AR955" s="159"/>
      <c r="AS955" s="159"/>
      <c r="AT955" s="159"/>
    </row>
    <row r="956" spans="1:46" ht="15.75" customHeight="1" x14ac:dyDescent="0.3">
      <c r="A956" s="365" t="s">
        <v>12</v>
      </c>
      <c r="B956" s="159">
        <f>+F29</f>
        <v>162943</v>
      </c>
      <c r="C956" s="159">
        <f>+F64</f>
        <v>162576</v>
      </c>
      <c r="D956" s="159">
        <f>+F135</f>
        <v>162226</v>
      </c>
      <c r="E956" s="159">
        <f>+F325</f>
        <v>157174</v>
      </c>
      <c r="F956" s="159">
        <f>+F320</f>
        <v>2171</v>
      </c>
      <c r="G956" s="159">
        <f>+F332</f>
        <v>-1292</v>
      </c>
      <c r="H956" s="159">
        <f>+F519</f>
        <v>109437</v>
      </c>
      <c r="I956" s="159">
        <f>+F570</f>
        <v>47280</v>
      </c>
      <c r="J956" s="159">
        <f>+F615</f>
        <v>34760</v>
      </c>
      <c r="K956" s="159">
        <f>+F681</f>
        <v>28951</v>
      </c>
      <c r="L956" s="159">
        <f>+F691</f>
        <v>23723</v>
      </c>
      <c r="M956" s="159">
        <f>+F727</f>
        <v>23686</v>
      </c>
      <c r="N956" s="159">
        <f>+F779</f>
        <v>21601</v>
      </c>
      <c r="O956" s="159">
        <f>+F789</f>
        <v>4390</v>
      </c>
      <c r="P956" s="159">
        <f>+F823</f>
        <v>4952</v>
      </c>
      <c r="Q956" s="159">
        <f>+F876</f>
        <v>4383</v>
      </c>
      <c r="R956" s="483"/>
      <c r="T956" s="375" t="s">
        <v>12</v>
      </c>
      <c r="U956" s="496">
        <f>'[1]Lake Pleasant Forecast'!B41</f>
        <v>1696.11085484296</v>
      </c>
      <c r="AC956" s="159"/>
      <c r="AD956" s="159"/>
      <c r="AE956" s="159"/>
      <c r="AF956" s="159"/>
      <c r="AG956" s="159"/>
      <c r="AH956" s="159"/>
      <c r="AI956" s="159"/>
      <c r="AJ956" s="159"/>
      <c r="AK956" s="159"/>
      <c r="AL956" s="159"/>
      <c r="AM956" s="159"/>
      <c r="AN956" s="159"/>
      <c r="AO956" s="159"/>
      <c r="AP956" s="159"/>
      <c r="AQ956" s="159"/>
      <c r="AR956" s="159"/>
      <c r="AS956" s="159"/>
      <c r="AT956" s="159"/>
    </row>
    <row r="957" spans="1:46" ht="15.75" customHeight="1" x14ac:dyDescent="0.3">
      <c r="A957" s="365" t="s">
        <v>13</v>
      </c>
      <c r="B957" s="159">
        <f>+G29</f>
        <v>167634</v>
      </c>
      <c r="C957" s="159">
        <f>+G64</f>
        <v>167209</v>
      </c>
      <c r="D957" s="159">
        <f>+G135</f>
        <v>166807</v>
      </c>
      <c r="E957" s="159">
        <f>+G325</f>
        <v>160145</v>
      </c>
      <c r="F957" s="159">
        <f>+G320</f>
        <v>262</v>
      </c>
      <c r="G957" s="159">
        <f>+G332</f>
        <v>-16465</v>
      </c>
      <c r="H957" s="159">
        <f>+G519</f>
        <v>124799</v>
      </c>
      <c r="I957" s="159">
        <f>+G570</f>
        <v>42161</v>
      </c>
      <c r="J957" s="159">
        <f>+G615</f>
        <v>34039</v>
      </c>
      <c r="K957" s="159">
        <f>+G681</f>
        <v>28966</v>
      </c>
      <c r="L957" s="159">
        <f>+G691</f>
        <v>25320</v>
      </c>
      <c r="M957" s="159">
        <f>+G727</f>
        <v>25278</v>
      </c>
      <c r="N957" s="159">
        <f>+G779</f>
        <v>23200</v>
      </c>
      <c r="O957" s="159">
        <f>+G789</f>
        <v>5641</v>
      </c>
      <c r="P957" s="159">
        <f>+G823</f>
        <v>6132</v>
      </c>
      <c r="Q957" s="159">
        <f>+G876</f>
        <v>5587</v>
      </c>
      <c r="R957" s="483"/>
      <c r="T957" s="375" t="s">
        <v>13</v>
      </c>
      <c r="U957" s="496">
        <f>'[1]Lake Pleasant Forecast'!B43</f>
        <v>1693.7800000000002</v>
      </c>
      <c r="AC957" s="159"/>
      <c r="AD957" s="159"/>
      <c r="AE957" s="159"/>
      <c r="AF957" s="159"/>
      <c r="AG957" s="159"/>
      <c r="AH957" s="159"/>
      <c r="AI957" s="159"/>
      <c r="AJ957" s="159"/>
      <c r="AK957" s="159"/>
      <c r="AL957" s="159"/>
      <c r="AM957" s="159"/>
      <c r="AN957" s="159"/>
      <c r="AO957" s="159"/>
      <c r="AP957" s="159"/>
      <c r="AQ957" s="159"/>
      <c r="AR957" s="159"/>
      <c r="AS957" s="159"/>
      <c r="AT957" s="159"/>
    </row>
    <row r="958" spans="1:46" ht="15.75" customHeight="1" x14ac:dyDescent="0.3">
      <c r="A958" s="365" t="s">
        <v>14</v>
      </c>
      <c r="B958" s="159">
        <f>+H29</f>
        <v>89965</v>
      </c>
      <c r="C958" s="159">
        <f>+H64</f>
        <v>89548</v>
      </c>
      <c r="D958" s="159">
        <f>+H135</f>
        <v>89152</v>
      </c>
      <c r="E958" s="159">
        <f>+H325</f>
        <v>82546</v>
      </c>
      <c r="F958" s="159">
        <f>+H320</f>
        <v>0</v>
      </c>
      <c r="G958" s="159">
        <f>+H332</f>
        <v>-103469</v>
      </c>
      <c r="H958" s="159">
        <f>+H519</f>
        <v>144338</v>
      </c>
      <c r="I958" s="159">
        <f>+H570</f>
        <v>52680</v>
      </c>
      <c r="J958" s="159">
        <f>+H615</f>
        <v>36870</v>
      </c>
      <c r="K958" s="159">
        <f>+H681</f>
        <v>30653</v>
      </c>
      <c r="L958" s="159">
        <f>+H691</f>
        <v>23705</v>
      </c>
      <c r="M958" s="159">
        <f>+H727</f>
        <v>23661</v>
      </c>
      <c r="N958" s="159">
        <f>+H779</f>
        <v>21676</v>
      </c>
      <c r="O958" s="159">
        <f>+H789</f>
        <v>4822</v>
      </c>
      <c r="P958" s="159">
        <f>+H823</f>
        <v>7137</v>
      </c>
      <c r="Q958" s="159">
        <f>+H876</f>
        <v>4813</v>
      </c>
      <c r="R958" s="483"/>
      <c r="T958" s="375" t="s">
        <v>14</v>
      </c>
      <c r="U958" s="496">
        <f>'[1]Lake Pleasant Forecast'!B45</f>
        <v>1681.1000000000001</v>
      </c>
      <c r="AC958" s="159"/>
      <c r="AD958" s="159"/>
      <c r="AE958" s="159"/>
      <c r="AF958" s="159"/>
      <c r="AG958" s="159"/>
      <c r="AH958" s="159"/>
      <c r="AI958" s="159"/>
      <c r="AJ958" s="159"/>
      <c r="AK958" s="159"/>
      <c r="AL958" s="159"/>
      <c r="AM958" s="159"/>
      <c r="AN958" s="159"/>
      <c r="AO958" s="159"/>
      <c r="AP958" s="159"/>
      <c r="AQ958" s="159"/>
      <c r="AR958" s="159"/>
      <c r="AS958" s="159"/>
      <c r="AT958" s="159"/>
    </row>
    <row r="959" spans="1:46" ht="15.75" customHeight="1" x14ac:dyDescent="0.3">
      <c r="A959" s="365" t="s">
        <v>16</v>
      </c>
      <c r="B959" s="159">
        <f>+J29</f>
        <v>57356</v>
      </c>
      <c r="C959" s="159">
        <f>+J64</f>
        <v>56940</v>
      </c>
      <c r="D959" s="159">
        <f>+J135</f>
        <v>56546</v>
      </c>
      <c r="E959" s="159">
        <f>+J325</f>
        <v>49537</v>
      </c>
      <c r="F959" s="159">
        <f>+J320</f>
        <v>998</v>
      </c>
      <c r="G959" s="159">
        <f>+J332</f>
        <v>-80046</v>
      </c>
      <c r="H959" s="159">
        <f>+J519</f>
        <v>93594</v>
      </c>
      <c r="I959" s="159">
        <f>+J570</f>
        <v>42292</v>
      </c>
      <c r="J959" s="159">
        <f>+J615</f>
        <v>31249</v>
      </c>
      <c r="K959" s="159">
        <f>+J681</f>
        <v>26718</v>
      </c>
      <c r="L959" s="159">
        <f>+J691</f>
        <v>21724</v>
      </c>
      <c r="M959" s="159">
        <f>+J727</f>
        <v>21685</v>
      </c>
      <c r="N959" s="159">
        <f>+J779</f>
        <v>20882</v>
      </c>
      <c r="O959" s="159">
        <f>+J789</f>
        <v>3894</v>
      </c>
      <c r="P959" s="159">
        <f>+J823</f>
        <v>5843</v>
      </c>
      <c r="Q959" s="159">
        <f>+J876</f>
        <v>3887</v>
      </c>
      <c r="R959" s="483"/>
      <c r="T959" s="375" t="s">
        <v>16</v>
      </c>
      <c r="U959" s="496">
        <f>'[1]Lake Pleasant Forecast'!B47</f>
        <v>1671.6699725311105</v>
      </c>
      <c r="AC959" s="159"/>
      <c r="AD959" s="159"/>
      <c r="AE959" s="159"/>
      <c r="AF959" s="159"/>
      <c r="AG959" s="159"/>
      <c r="AH959" s="159"/>
      <c r="AI959" s="159"/>
      <c r="AJ959" s="159"/>
      <c r="AK959" s="159"/>
      <c r="AL959" s="159"/>
      <c r="AM959" s="159"/>
      <c r="AN959" s="159"/>
      <c r="AO959" s="159"/>
      <c r="AP959" s="159"/>
      <c r="AQ959" s="159"/>
      <c r="AR959" s="159"/>
      <c r="AS959" s="159"/>
      <c r="AT959" s="159"/>
    </row>
    <row r="960" spans="1:46" ht="15.75" customHeight="1" x14ac:dyDescent="0.3">
      <c r="A960" s="365" t="s">
        <v>17</v>
      </c>
      <c r="B960" s="159">
        <f>+K29</f>
        <v>50715</v>
      </c>
      <c r="C960" s="159">
        <f>+K64</f>
        <v>50381</v>
      </c>
      <c r="D960" s="159">
        <f>+K135</f>
        <v>50063</v>
      </c>
      <c r="E960" s="159">
        <f>+K325</f>
        <v>43807</v>
      </c>
      <c r="F960" s="159">
        <f>+K320</f>
        <v>0</v>
      </c>
      <c r="G960" s="159">
        <f>+K332</f>
        <v>-76446</v>
      </c>
      <c r="H960" s="159">
        <f>+K519</f>
        <v>74538</v>
      </c>
      <c r="I960" s="159">
        <f>+K570</f>
        <v>33239</v>
      </c>
      <c r="J960" s="159">
        <f>+K615</f>
        <v>28312</v>
      </c>
      <c r="K960" s="159">
        <f>+K681</f>
        <v>25246</v>
      </c>
      <c r="L960" s="159">
        <f>+K691</f>
        <v>21022</v>
      </c>
      <c r="M960" s="159">
        <f>+K727</f>
        <v>20986</v>
      </c>
      <c r="N960" s="159">
        <f>+K779</f>
        <v>20014</v>
      </c>
      <c r="O960" s="159">
        <f>+K789</f>
        <v>3304</v>
      </c>
      <c r="P960" s="159">
        <f>+K823</f>
        <v>5899</v>
      </c>
      <c r="Q960" s="159">
        <f>+K876</f>
        <v>3298</v>
      </c>
      <c r="R960" s="483"/>
      <c r="T960" s="375" t="s">
        <v>17</v>
      </c>
      <c r="U960" s="496">
        <f>'[1]Lake Pleasant Forecast'!B49</f>
        <v>1661.2798188452823</v>
      </c>
      <c r="AC960" s="159"/>
      <c r="AD960" s="159"/>
      <c r="AE960" s="159"/>
      <c r="AF960" s="159"/>
      <c r="AG960" s="159"/>
      <c r="AH960" s="159"/>
      <c r="AI960" s="159"/>
      <c r="AJ960" s="159"/>
      <c r="AK960" s="159"/>
      <c r="AL960" s="159"/>
      <c r="AM960" s="159"/>
      <c r="AN960" s="159"/>
      <c r="AO960" s="159"/>
      <c r="AP960" s="159"/>
      <c r="AQ960" s="159"/>
      <c r="AR960" s="159"/>
      <c r="AS960" s="159"/>
      <c r="AT960" s="159"/>
    </row>
    <row r="961" spans="1:50" ht="15.75" customHeight="1" x14ac:dyDescent="0.3">
      <c r="A961" s="365" t="s">
        <v>18</v>
      </c>
      <c r="B961" s="159">
        <f>+L29</f>
        <v>107550</v>
      </c>
      <c r="C961" s="159">
        <f>+L64</f>
        <v>107234</v>
      </c>
      <c r="D961" s="159">
        <f>+L135</f>
        <v>106933</v>
      </c>
      <c r="E961" s="159">
        <f>+L325</f>
        <v>102743</v>
      </c>
      <c r="F961" s="159">
        <f>+L320</f>
        <v>608</v>
      </c>
      <c r="G961" s="159">
        <f>+L332</f>
        <v>-8333</v>
      </c>
      <c r="H961" s="159">
        <f>+L519</f>
        <v>71521</v>
      </c>
      <c r="I961" s="159">
        <f>+L570</f>
        <v>27322</v>
      </c>
      <c r="J961" s="159">
        <f>+L615</f>
        <v>24422</v>
      </c>
      <c r="K961" s="159">
        <f>+L681</f>
        <v>22277</v>
      </c>
      <c r="L961" s="159">
        <f>+L691</f>
        <v>15947</v>
      </c>
      <c r="M961" s="159">
        <f>+L727</f>
        <v>15913</v>
      </c>
      <c r="N961" s="159">
        <f>+L779</f>
        <v>15639</v>
      </c>
      <c r="O961" s="159">
        <f>+L789</f>
        <v>3717</v>
      </c>
      <c r="P961" s="159">
        <f>+L823</f>
        <v>3190</v>
      </c>
      <c r="Q961" s="159">
        <f>+L876</f>
        <v>3711</v>
      </c>
      <c r="R961" s="483"/>
      <c r="T961" s="375" t="s">
        <v>18</v>
      </c>
      <c r="U961" s="496">
        <f>'[1]Lake Pleasant Forecast'!B51</f>
        <v>1659.68</v>
      </c>
      <c r="AC961" s="159"/>
      <c r="AD961" s="159"/>
      <c r="AE961" s="159"/>
      <c r="AF961" s="159"/>
      <c r="AG961" s="159"/>
      <c r="AH961" s="159"/>
      <c r="AI961" s="159"/>
      <c r="AJ961" s="159"/>
      <c r="AK961" s="159"/>
      <c r="AL961" s="159"/>
      <c r="AM961" s="159"/>
      <c r="AN961" s="159"/>
      <c r="AO961" s="159"/>
      <c r="AP961" s="159"/>
      <c r="AQ961" s="159"/>
      <c r="AR961" s="159"/>
      <c r="AS961" s="159"/>
      <c r="AT961" s="159"/>
    </row>
    <row r="962" spans="1:50" ht="15.75" customHeight="1" x14ac:dyDescent="0.3">
      <c r="A962" s="365" t="s">
        <v>20</v>
      </c>
      <c r="B962" s="159">
        <f>+N29</f>
        <v>139103</v>
      </c>
      <c r="C962" s="159">
        <f>+N64</f>
        <v>138818</v>
      </c>
      <c r="D962" s="159">
        <f>+N135</f>
        <v>138546</v>
      </c>
      <c r="E962" s="159">
        <f>+N325</f>
        <v>135457</v>
      </c>
      <c r="F962" s="159">
        <f>+N320</f>
        <v>53433</v>
      </c>
      <c r="G962" s="159">
        <f>+N332</f>
        <v>0</v>
      </c>
      <c r="H962" s="159">
        <f>+N519</f>
        <v>47814</v>
      </c>
      <c r="I962" s="159">
        <f>+N570</f>
        <v>14188</v>
      </c>
      <c r="J962" s="159">
        <f>+N615</f>
        <v>14157</v>
      </c>
      <c r="K962" s="159">
        <f>+N681</f>
        <v>13923</v>
      </c>
      <c r="L962" s="159">
        <f>+N691</f>
        <v>11129</v>
      </c>
      <c r="M962" s="159">
        <f>+N727</f>
        <v>11100</v>
      </c>
      <c r="N962" s="159">
        <f>+N779</f>
        <v>10487</v>
      </c>
      <c r="O962" s="159">
        <f>+N789</f>
        <v>3290</v>
      </c>
      <c r="P962" s="159">
        <f>+N823</f>
        <v>255</v>
      </c>
      <c r="Q962" s="159">
        <f>+N876</f>
        <v>3285</v>
      </c>
      <c r="R962" s="483"/>
      <c r="T962" s="375" t="s">
        <v>20</v>
      </c>
      <c r="U962" s="496">
        <f>'[1]Lake Pleasant Forecast'!B53</f>
        <v>1666.2699999999998</v>
      </c>
      <c r="AC962" s="159"/>
      <c r="AD962" s="159"/>
      <c r="AE962" s="159"/>
      <c r="AF962" s="159"/>
      <c r="AG962" s="159"/>
      <c r="AH962" s="159"/>
      <c r="AI962" s="159"/>
      <c r="AJ962" s="159"/>
      <c r="AK962" s="159"/>
      <c r="AL962" s="159"/>
      <c r="AM962" s="159"/>
      <c r="AN962" s="159"/>
      <c r="AO962" s="159"/>
      <c r="AP962" s="159"/>
      <c r="AQ962" s="159"/>
      <c r="AR962" s="159"/>
      <c r="AS962" s="159"/>
      <c r="AT962" s="159"/>
    </row>
    <row r="963" spans="1:50" ht="15.75" customHeight="1" x14ac:dyDescent="0.3">
      <c r="A963" s="365" t="s">
        <v>21</v>
      </c>
      <c r="B963" s="159">
        <f>+O29</f>
        <v>123440</v>
      </c>
      <c r="C963" s="159">
        <f>+O64</f>
        <v>123205</v>
      </c>
      <c r="D963" s="159">
        <f>+O135</f>
        <v>122979</v>
      </c>
      <c r="E963" s="159">
        <f>+O325</f>
        <v>120637</v>
      </c>
      <c r="F963" s="159">
        <f>+O320</f>
        <v>66963</v>
      </c>
      <c r="G963" s="159">
        <f>+O332</f>
        <v>0</v>
      </c>
      <c r="H963" s="159">
        <f>+O519</f>
        <v>26586</v>
      </c>
      <c r="I963" s="159">
        <f>+O570</f>
        <v>857</v>
      </c>
      <c r="J963" s="159">
        <f>+O615</f>
        <v>802</v>
      </c>
      <c r="K963" s="159">
        <f>+O681</f>
        <v>744</v>
      </c>
      <c r="L963" s="159">
        <f>+O691</f>
        <v>587</v>
      </c>
      <c r="M963" s="159">
        <f>+O727</f>
        <v>564</v>
      </c>
      <c r="N963" s="159">
        <f>+O779</f>
        <v>316</v>
      </c>
      <c r="O963" s="159">
        <f>+O789</f>
        <v>206</v>
      </c>
      <c r="P963" s="159">
        <f>+O823</f>
        <v>5332</v>
      </c>
      <c r="Q963" s="159">
        <f>+O876</f>
        <v>203</v>
      </c>
      <c r="R963" s="483"/>
      <c r="T963" s="375" t="s">
        <v>21</v>
      </c>
      <c r="U963" s="496">
        <f>'[1]Lake Pleasant Forecast'!B55</f>
        <v>1674.31</v>
      </c>
      <c r="AC963" s="159"/>
      <c r="AD963" s="159"/>
      <c r="AE963" s="159"/>
      <c r="AF963" s="159"/>
      <c r="AG963" s="159"/>
      <c r="AH963" s="159"/>
      <c r="AI963" s="159"/>
      <c r="AJ963" s="159"/>
      <c r="AK963" s="159"/>
      <c r="AL963" s="159"/>
      <c r="AM963" s="159"/>
      <c r="AN963" s="159"/>
      <c r="AO963" s="159"/>
      <c r="AP963" s="159"/>
      <c r="AQ963" s="159"/>
      <c r="AR963" s="159"/>
      <c r="AS963" s="159"/>
      <c r="AT963" s="159"/>
    </row>
    <row r="964" spans="1:50" ht="15.75" customHeight="1" thickBot="1" x14ac:dyDescent="0.35">
      <c r="A964" s="365" t="s">
        <v>22</v>
      </c>
      <c r="B964" s="159">
        <f>+P29</f>
        <v>85832</v>
      </c>
      <c r="C964" s="159">
        <f>+P64</f>
        <v>85646</v>
      </c>
      <c r="D964" s="159">
        <f>+P135</f>
        <v>85467</v>
      </c>
      <c r="E964" s="159">
        <f>+P325</f>
        <v>82904</v>
      </c>
      <c r="F964" s="159">
        <f>+P320</f>
        <v>17046</v>
      </c>
      <c r="G964" s="159">
        <f>+P332</f>
        <v>0</v>
      </c>
      <c r="H964" s="159">
        <f>+P519</f>
        <v>43104</v>
      </c>
      <c r="I964" s="159">
        <f>+P570</f>
        <v>19706</v>
      </c>
      <c r="J964" s="159">
        <f>+P615</f>
        <v>19247</v>
      </c>
      <c r="K964" s="159">
        <f>+P681</f>
        <v>19169</v>
      </c>
      <c r="L964" s="159">
        <f>+P691</f>
        <v>14811</v>
      </c>
      <c r="M964" s="159">
        <f>+P727</f>
        <v>14792</v>
      </c>
      <c r="N964" s="159">
        <f>+P779</f>
        <v>14623</v>
      </c>
      <c r="O964" s="159">
        <f>+P789</f>
        <v>4208</v>
      </c>
      <c r="P964" s="159">
        <f>+P823</f>
        <v>5291</v>
      </c>
      <c r="Q964" s="159">
        <f>+P876</f>
        <v>4206</v>
      </c>
      <c r="R964" s="483"/>
      <c r="T964" s="382" t="s">
        <v>22</v>
      </c>
      <c r="U964" s="497">
        <f>'[1]Lake Pleasant Forecast'!B57</f>
        <v>1677.029882034898</v>
      </c>
      <c r="AC964" s="159"/>
      <c r="AD964" s="159"/>
      <c r="AE964" s="159"/>
      <c r="AF964" s="159"/>
      <c r="AG964" s="159"/>
      <c r="AH964" s="159"/>
      <c r="AI964" s="159"/>
      <c r="AJ964" s="159"/>
      <c r="AK964" s="159"/>
      <c r="AL964" s="159"/>
      <c r="AM964" s="159"/>
      <c r="AN964" s="159"/>
      <c r="AO964" s="159"/>
      <c r="AP964" s="159"/>
      <c r="AQ964" s="159"/>
      <c r="AR964" s="159"/>
      <c r="AS964" s="159"/>
      <c r="AT964" s="159"/>
    </row>
    <row r="965" spans="1:50" ht="15.75" customHeight="1" x14ac:dyDescent="0.3">
      <c r="A965" s="325"/>
      <c r="B965" s="159"/>
      <c r="C965" s="159"/>
      <c r="D965" s="159"/>
      <c r="E965" s="159"/>
      <c r="F965" s="159"/>
      <c r="G965" s="159"/>
      <c r="H965" s="159"/>
      <c r="I965" s="159"/>
      <c r="J965" s="159"/>
      <c r="K965" s="159"/>
      <c r="L965" s="159"/>
      <c r="M965" s="159"/>
      <c r="N965" s="159"/>
      <c r="O965" s="159"/>
      <c r="P965" s="159"/>
      <c r="Q965" s="159"/>
      <c r="R965" s="483"/>
    </row>
    <row r="966" spans="1:50" ht="15.75" customHeight="1" x14ac:dyDescent="0.3">
      <c r="A966" s="325" t="s">
        <v>422</v>
      </c>
      <c r="B966" s="159">
        <f t="shared" ref="B966:Q966" si="300">SUM(B953:B964)</f>
        <v>1364573</v>
      </c>
      <c r="C966" s="159">
        <f t="shared" si="300"/>
        <v>1361073</v>
      </c>
      <c r="D966" s="159">
        <f>SUM(D953:D964)</f>
        <v>1357733</v>
      </c>
      <c r="E966" s="159">
        <f t="shared" si="300"/>
        <v>1309387</v>
      </c>
      <c r="F966" s="159">
        <f t="shared" si="300"/>
        <v>281540</v>
      </c>
      <c r="G966" s="159">
        <f t="shared" si="300"/>
        <v>-286488</v>
      </c>
      <c r="H966" s="159">
        <f t="shared" si="300"/>
        <v>883268</v>
      </c>
      <c r="I966" s="159">
        <f t="shared" si="300"/>
        <v>341908</v>
      </c>
      <c r="J966" s="159">
        <f t="shared" si="300"/>
        <v>281276</v>
      </c>
      <c r="K966" s="159">
        <f t="shared" si="300"/>
        <v>252066</v>
      </c>
      <c r="L966" s="159">
        <f t="shared" si="300"/>
        <v>200476</v>
      </c>
      <c r="M966" s="159">
        <f t="shared" si="300"/>
        <v>200103</v>
      </c>
      <c r="N966" s="159">
        <f t="shared" si="300"/>
        <v>186633</v>
      </c>
      <c r="O966" s="159">
        <f t="shared" si="300"/>
        <v>44351</v>
      </c>
      <c r="P966" s="159">
        <f t="shared" si="300"/>
        <v>58518</v>
      </c>
      <c r="Q966" s="159">
        <f t="shared" si="300"/>
        <v>44242</v>
      </c>
      <c r="R966" s="483"/>
    </row>
    <row r="967" spans="1:50" ht="15.75" customHeight="1" thickBot="1" x14ac:dyDescent="0.35">
      <c r="A967" s="312"/>
      <c r="B967" s="312"/>
      <c r="C967" s="312"/>
      <c r="D967" s="312"/>
      <c r="E967" s="312"/>
      <c r="F967" s="312"/>
      <c r="G967" s="312"/>
      <c r="H967" s="312"/>
      <c r="I967" s="312"/>
      <c r="J967" s="312"/>
      <c r="K967" s="312"/>
      <c r="L967" s="312"/>
      <c r="M967" s="312"/>
      <c r="N967" s="312"/>
      <c r="O967" s="312"/>
      <c r="P967" s="312"/>
      <c r="Q967" s="312"/>
      <c r="R967" s="328"/>
      <c r="AC967" s="159"/>
      <c r="AD967" s="159"/>
      <c r="AE967" s="159"/>
      <c r="AF967" s="159"/>
      <c r="AG967" s="159"/>
      <c r="AH967" s="159"/>
      <c r="AI967" s="159"/>
      <c r="AJ967" s="159"/>
      <c r="AK967" s="159"/>
      <c r="AL967" s="159"/>
      <c r="AM967" s="159"/>
      <c r="AN967" s="159"/>
      <c r="AO967" s="159"/>
      <c r="AP967" s="159"/>
      <c r="AQ967" s="159"/>
      <c r="AR967" s="159"/>
      <c r="AS967" s="494"/>
      <c r="AT967" s="495"/>
      <c r="AW967" s="161"/>
      <c r="AX967" s="159"/>
    </row>
    <row r="968" spans="1:50" ht="15.75" customHeight="1" x14ac:dyDescent="0.35">
      <c r="A968" s="368"/>
      <c r="B968" s="368"/>
      <c r="C968" s="368"/>
      <c r="D968" s="368"/>
      <c r="E968" s="368"/>
      <c r="F968" s="368"/>
      <c r="G968" s="368"/>
      <c r="H968" s="368"/>
      <c r="I968" s="368"/>
      <c r="J968" s="368"/>
      <c r="K968" s="368"/>
      <c r="L968" s="368"/>
      <c r="M968" s="368"/>
      <c r="N968" s="368"/>
      <c r="O968" s="368"/>
      <c r="P968" s="368"/>
      <c r="Q968" s="368"/>
      <c r="R968" s="319"/>
      <c r="AC968" s="159"/>
      <c r="AD968" s="159"/>
      <c r="AE968" s="161"/>
      <c r="AF968" s="159"/>
      <c r="AG968" s="159"/>
      <c r="AH968" s="159"/>
      <c r="AI968" s="159"/>
      <c r="AJ968" s="159"/>
      <c r="AK968" s="159"/>
      <c r="AL968" s="159"/>
      <c r="AM968" s="159"/>
      <c r="AN968" s="167"/>
      <c r="AO968" s="161"/>
      <c r="AP968" s="159"/>
      <c r="AQ968" s="159"/>
      <c r="AR968" s="159"/>
      <c r="AS968" s="159"/>
      <c r="AT968" s="159"/>
      <c r="AW968" s="159"/>
      <c r="AX968" s="159"/>
    </row>
    <row r="969" spans="1:50" ht="16.5" customHeight="1" x14ac:dyDescent="0.3">
      <c r="A969" s="325" t="s">
        <v>7</v>
      </c>
      <c r="B969" s="159"/>
      <c r="C969" s="159"/>
      <c r="D969" s="159"/>
      <c r="E969" s="159"/>
      <c r="F969" s="159"/>
      <c r="G969" s="159"/>
      <c r="H969" s="159"/>
      <c r="I969" s="159"/>
      <c r="J969" s="159"/>
      <c r="K969" s="159"/>
      <c r="L969" s="159"/>
      <c r="M969" s="159"/>
      <c r="N969" s="159"/>
      <c r="O969" s="159"/>
      <c r="P969" s="159"/>
      <c r="Q969" s="159"/>
      <c r="R969" s="159"/>
      <c r="AC969" s="159"/>
      <c r="AD969" s="159"/>
      <c r="AE969" s="159"/>
      <c r="AF969" s="159"/>
      <c r="AG969" s="159"/>
      <c r="AH969" s="163"/>
      <c r="AI969" s="159"/>
      <c r="AJ969" s="159"/>
      <c r="AK969" s="159"/>
      <c r="AL969" s="159"/>
      <c r="AM969" s="159"/>
      <c r="AN969" s="159"/>
      <c r="AO969" s="159"/>
      <c r="AP969" s="159"/>
      <c r="AQ969" s="159"/>
      <c r="AR969" s="159"/>
      <c r="AS969" s="163"/>
      <c r="AT969" s="159"/>
      <c r="AW969" s="159"/>
      <c r="AX969" s="159"/>
    </row>
    <row r="970" spans="1:50" ht="15.75" customHeight="1" x14ac:dyDescent="0.3">
      <c r="A970" s="164"/>
      <c r="B970" s="159"/>
      <c r="C970" s="159"/>
      <c r="D970" s="159"/>
      <c r="E970" s="159"/>
      <c r="F970" s="159"/>
      <c r="G970" s="159"/>
      <c r="H970" s="159"/>
      <c r="I970" s="159"/>
      <c r="J970" s="159"/>
      <c r="K970" s="159"/>
      <c r="L970" s="159"/>
      <c r="M970" s="159"/>
      <c r="N970" s="159"/>
      <c r="O970" s="159"/>
      <c r="P970" s="159"/>
      <c r="Q970" s="159"/>
      <c r="R970" s="159"/>
      <c r="AC970" s="159"/>
      <c r="AD970" s="159"/>
      <c r="AE970" s="159"/>
      <c r="AF970" s="159"/>
      <c r="AG970" s="159"/>
      <c r="AH970" s="159"/>
      <c r="AI970" s="159"/>
      <c r="AJ970" s="159"/>
      <c r="AK970" s="159"/>
      <c r="AL970" s="159"/>
      <c r="AM970" s="159"/>
      <c r="AN970" s="159"/>
      <c r="AO970" s="159"/>
      <c r="AP970" s="159"/>
      <c r="AQ970" s="159"/>
      <c r="AR970" s="159"/>
      <c r="AS970" s="159"/>
      <c r="AT970" s="159"/>
      <c r="AW970" s="159"/>
      <c r="AX970" s="164"/>
    </row>
    <row r="971" spans="1:50" ht="15.75" customHeight="1" x14ac:dyDescent="0.3">
      <c r="A971" s="365"/>
      <c r="AC971" s="159"/>
      <c r="AD971" s="159"/>
      <c r="AE971" s="159"/>
      <c r="AF971" s="159"/>
      <c r="AG971" s="159"/>
      <c r="AH971" s="159"/>
      <c r="AI971" s="159"/>
      <c r="AJ971" s="159"/>
      <c r="AK971" s="159"/>
      <c r="AL971" s="159"/>
      <c r="AM971" s="159"/>
      <c r="AN971" s="159"/>
      <c r="AO971" s="159"/>
      <c r="AP971" s="159"/>
      <c r="AQ971" s="159"/>
      <c r="AR971" s="159"/>
      <c r="AS971" s="159"/>
      <c r="AT971" s="159"/>
      <c r="AW971" s="164"/>
      <c r="AX971" s="164"/>
    </row>
    <row r="972" spans="1:50" ht="15.75" customHeight="1" thickBot="1" x14ac:dyDescent="0.35">
      <c r="A972" s="365"/>
      <c r="AC972" s="159"/>
      <c r="AD972" s="159"/>
      <c r="AE972" s="159"/>
      <c r="AF972" s="159"/>
      <c r="AG972" s="159"/>
      <c r="AH972" s="159"/>
      <c r="AI972" s="159"/>
      <c r="AJ972" s="159"/>
      <c r="AK972" s="159"/>
      <c r="AL972" s="159"/>
      <c r="AM972" s="159"/>
      <c r="AN972" s="159"/>
      <c r="AO972" s="159"/>
      <c r="AP972" s="159"/>
      <c r="AQ972" s="159"/>
      <c r="AR972" s="159"/>
      <c r="AS972" s="159"/>
      <c r="AT972" s="159"/>
      <c r="AW972" s="164"/>
      <c r="AX972" s="164"/>
    </row>
    <row r="973" spans="1:50" ht="15.75" customHeight="1" x14ac:dyDescent="0.3">
      <c r="A973" s="363"/>
      <c r="B973" s="506" t="s">
        <v>454</v>
      </c>
      <c r="C973" s="506"/>
      <c r="D973" s="506"/>
      <c r="E973" s="506"/>
      <c r="F973" s="506"/>
      <c r="G973" s="506"/>
      <c r="H973" s="506"/>
      <c r="I973" s="506"/>
      <c r="J973" s="506"/>
      <c r="K973" s="506"/>
      <c r="L973" s="506"/>
      <c r="M973" s="506"/>
      <c r="N973" s="506"/>
      <c r="O973" s="506"/>
      <c r="P973" s="506"/>
      <c r="Q973" s="361" t="str">
        <f>+Q1</f>
        <v xml:space="preserve">PRINTED:  </v>
      </c>
      <c r="R973" s="362">
        <f ca="1">+R1</f>
        <v>44909.46975358796</v>
      </c>
      <c r="AC973" s="159"/>
      <c r="AD973" s="159"/>
      <c r="AE973" s="159"/>
      <c r="AF973" s="159"/>
      <c r="AG973" s="159"/>
      <c r="AH973" s="159"/>
      <c r="AI973" s="159"/>
      <c r="AJ973" s="159"/>
      <c r="AK973" s="159"/>
      <c r="AL973" s="159"/>
      <c r="AM973" s="159"/>
      <c r="AN973" s="159"/>
      <c r="AO973" s="159"/>
      <c r="AP973" s="159"/>
      <c r="AQ973" s="159"/>
      <c r="AR973" s="159"/>
      <c r="AS973" s="159"/>
      <c r="AT973" s="159"/>
      <c r="AW973" s="164"/>
      <c r="AX973" s="164"/>
    </row>
    <row r="974" spans="1:50" ht="15.75" customHeight="1" x14ac:dyDescent="0.3">
      <c r="A974" s="325"/>
      <c r="B974" s="503" t="str">
        <f>+A8</f>
        <v>Revised:  10/27/2021</v>
      </c>
      <c r="C974" s="503"/>
      <c r="D974" s="503"/>
      <c r="E974" s="503"/>
      <c r="F974" s="503"/>
      <c r="G974" s="503"/>
      <c r="H974" s="503"/>
      <c r="I974" s="503"/>
      <c r="J974" s="503"/>
      <c r="K974" s="503"/>
      <c r="L974" s="503"/>
      <c r="M974" s="503"/>
      <c r="N974" s="503"/>
      <c r="O974" s="503"/>
      <c r="P974" s="503"/>
      <c r="Q974" s="159"/>
      <c r="R974" s="483"/>
      <c r="AC974" s="159"/>
      <c r="AD974" s="159"/>
      <c r="AE974" s="159"/>
      <c r="AF974" s="159"/>
      <c r="AG974" s="159"/>
      <c r="AH974" s="159"/>
      <c r="AI974" s="159"/>
      <c r="AJ974" s="159"/>
      <c r="AK974" s="159"/>
      <c r="AL974" s="159"/>
      <c r="AM974" s="159"/>
      <c r="AN974" s="159"/>
      <c r="AO974" s="159"/>
      <c r="AP974" s="159"/>
      <c r="AQ974" s="159"/>
      <c r="AR974" s="159"/>
      <c r="AS974" s="159"/>
      <c r="AT974" s="159"/>
      <c r="AW974" s="159"/>
      <c r="AX974" s="172"/>
    </row>
    <row r="975" spans="1:50" ht="15.75" customHeight="1" x14ac:dyDescent="0.3">
      <c r="A975" s="325"/>
      <c r="B975" s="503" t="s">
        <v>1024</v>
      </c>
      <c r="C975" s="503"/>
      <c r="D975" s="503"/>
      <c r="E975" s="503"/>
      <c r="F975" s="503"/>
      <c r="G975" s="503"/>
      <c r="H975" s="503"/>
      <c r="I975" s="503"/>
      <c r="J975" s="503"/>
      <c r="K975" s="503"/>
      <c r="L975" s="503"/>
      <c r="M975" s="503"/>
      <c r="N975" s="503"/>
      <c r="O975" s="503"/>
      <c r="P975" s="503"/>
      <c r="Q975" s="159"/>
      <c r="R975" s="483"/>
      <c r="AC975" s="159"/>
      <c r="AD975" s="164"/>
      <c r="AE975" s="164"/>
      <c r="AF975" s="164"/>
      <c r="AG975" s="164"/>
      <c r="AH975" s="164"/>
      <c r="AI975" s="159"/>
      <c r="AJ975" s="164"/>
      <c r="AK975" s="159"/>
      <c r="AL975" s="159"/>
      <c r="AM975" s="159"/>
      <c r="AN975" s="159"/>
      <c r="AO975" s="164"/>
      <c r="AP975" s="164"/>
      <c r="AQ975" s="164"/>
      <c r="AR975" s="164"/>
      <c r="AS975" s="164"/>
      <c r="AT975" s="164"/>
      <c r="AW975" s="159"/>
      <c r="AX975" s="172"/>
    </row>
    <row r="976" spans="1:50" ht="15.75" customHeight="1" x14ac:dyDescent="0.3">
      <c r="A976" s="325"/>
      <c r="B976" s="503"/>
      <c r="C976" s="503"/>
      <c r="D976" s="503"/>
      <c r="E976" s="503"/>
      <c r="F976" s="503"/>
      <c r="G976" s="503"/>
      <c r="H976" s="503"/>
      <c r="I976" s="503"/>
      <c r="J976" s="503"/>
      <c r="K976" s="503"/>
      <c r="L976" s="503"/>
      <c r="M976" s="503"/>
      <c r="N976" s="503"/>
      <c r="O976" s="503"/>
      <c r="P976" s="503"/>
      <c r="Q976" s="159"/>
      <c r="R976" s="483"/>
      <c r="AC976" s="159"/>
      <c r="AD976" s="159"/>
      <c r="AE976" s="159"/>
      <c r="AF976" s="159"/>
      <c r="AG976" s="159"/>
      <c r="AH976" s="164"/>
      <c r="AI976" s="159"/>
      <c r="AJ976" s="164"/>
      <c r="AK976" s="159"/>
      <c r="AL976" s="159"/>
      <c r="AM976" s="159"/>
      <c r="AN976" s="159"/>
      <c r="AO976" s="159"/>
      <c r="AP976" s="159"/>
      <c r="AQ976" s="159"/>
      <c r="AR976" s="159"/>
      <c r="AS976" s="164"/>
      <c r="AT976" s="164"/>
      <c r="AW976" s="159"/>
      <c r="AX976" s="172"/>
    </row>
    <row r="977" spans="1:50" ht="15.75" customHeight="1" x14ac:dyDescent="0.3">
      <c r="A977" s="325"/>
      <c r="B977" s="509">
        <f>+A5</f>
        <v>2021</v>
      </c>
      <c r="C977" s="509"/>
      <c r="D977" s="509"/>
      <c r="E977" s="509"/>
      <c r="F977" s="509"/>
      <c r="G977" s="509"/>
      <c r="H977" s="509"/>
      <c r="I977" s="509"/>
      <c r="J977" s="509"/>
      <c r="K977" s="509"/>
      <c r="L977" s="509"/>
      <c r="M977" s="509"/>
      <c r="N977" s="509"/>
      <c r="O977" s="509"/>
      <c r="P977" s="509"/>
      <c r="Q977" s="159"/>
      <c r="R977" s="483"/>
      <c r="AC977" s="159"/>
      <c r="AD977" s="159"/>
      <c r="AE977" s="159"/>
      <c r="AF977" s="159"/>
      <c r="AG977" s="159"/>
      <c r="AH977" s="159"/>
      <c r="AI977" s="159"/>
      <c r="AJ977" s="164"/>
      <c r="AK977" s="159"/>
      <c r="AL977" s="159"/>
      <c r="AM977" s="159"/>
      <c r="AN977" s="159"/>
      <c r="AO977" s="159"/>
      <c r="AP977" s="159"/>
      <c r="AQ977" s="159"/>
      <c r="AR977" s="159"/>
      <c r="AS977" s="159"/>
      <c r="AT977" s="164"/>
      <c r="AW977" s="159"/>
      <c r="AX977" s="172"/>
    </row>
    <row r="978" spans="1:50" ht="15.75" customHeight="1" x14ac:dyDescent="0.3">
      <c r="A978" s="325"/>
      <c r="B978" s="503" t="s">
        <v>1027</v>
      </c>
      <c r="C978" s="503"/>
      <c r="D978" s="503"/>
      <c r="E978" s="503"/>
      <c r="F978" s="503"/>
      <c r="G978" s="503"/>
      <c r="H978" s="503"/>
      <c r="I978" s="503"/>
      <c r="J978" s="503"/>
      <c r="K978" s="503"/>
      <c r="L978" s="503"/>
      <c r="M978" s="503"/>
      <c r="N978" s="503"/>
      <c r="O978" s="503"/>
      <c r="P978" s="503"/>
      <c r="Q978" s="159"/>
      <c r="R978" s="483"/>
      <c r="AC978" s="159"/>
      <c r="AD978" s="159"/>
      <c r="AE978" s="159"/>
      <c r="AF978" s="159"/>
      <c r="AG978" s="159"/>
      <c r="AH978" s="159"/>
      <c r="AI978" s="159"/>
      <c r="AJ978" s="159"/>
      <c r="AK978" s="159"/>
      <c r="AL978" s="159"/>
      <c r="AM978" s="159"/>
      <c r="AN978" s="159"/>
      <c r="AO978" s="159"/>
      <c r="AP978" s="159"/>
      <c r="AQ978" s="159"/>
      <c r="AR978" s="159"/>
      <c r="AS978" s="159"/>
      <c r="AT978" s="159"/>
      <c r="AW978" s="159"/>
      <c r="AX978" s="172"/>
    </row>
    <row r="979" spans="1:50" ht="15.75" customHeight="1" x14ac:dyDescent="0.3">
      <c r="A979" s="325"/>
      <c r="B979" s="159"/>
      <c r="C979" s="159"/>
      <c r="D979" s="159"/>
      <c r="E979" s="159"/>
      <c r="F979" s="159"/>
      <c r="G979" s="159"/>
      <c r="H979" s="159"/>
      <c r="I979" s="159"/>
      <c r="J979" s="159"/>
      <c r="K979" s="159"/>
      <c r="L979" s="159"/>
      <c r="M979" s="159"/>
      <c r="N979" s="159"/>
      <c r="O979" s="159"/>
      <c r="P979" s="159"/>
      <c r="Q979" s="159"/>
      <c r="R979" s="483"/>
      <c r="AC979" s="164"/>
      <c r="AD979" s="159"/>
      <c r="AE979" s="159"/>
      <c r="AF979" s="159"/>
      <c r="AG979" s="159"/>
      <c r="AH979" s="159"/>
      <c r="AI979" s="159"/>
      <c r="AJ979" s="159"/>
      <c r="AK979" s="159"/>
      <c r="AL979" s="159"/>
      <c r="AM979" s="159"/>
      <c r="AN979" s="164"/>
      <c r="AO979" s="159"/>
      <c r="AP979" s="159"/>
      <c r="AQ979" s="159"/>
      <c r="AR979" s="159"/>
      <c r="AS979" s="159"/>
      <c r="AT979" s="159"/>
      <c r="AW979" s="159"/>
      <c r="AX979" s="172"/>
    </row>
    <row r="980" spans="1:50" ht="15.75" customHeight="1" thickBot="1" x14ac:dyDescent="0.35">
      <c r="A980" s="325" t="s">
        <v>433</v>
      </c>
      <c r="B980" s="364" t="s">
        <v>390</v>
      </c>
      <c r="C980" s="364" t="s">
        <v>391</v>
      </c>
      <c r="D980" s="364" t="s">
        <v>392</v>
      </c>
      <c r="E980" s="364" t="s">
        <v>393</v>
      </c>
      <c r="F980" s="364" t="s">
        <v>394</v>
      </c>
      <c r="G980" s="364" t="s">
        <v>394</v>
      </c>
      <c r="H980" s="364" t="s">
        <v>395</v>
      </c>
      <c r="I980" s="364" t="s">
        <v>396</v>
      </c>
      <c r="J980" s="364" t="s">
        <v>397</v>
      </c>
      <c r="K980" s="364" t="s">
        <v>398</v>
      </c>
      <c r="L980" s="364" t="s">
        <v>399</v>
      </c>
      <c r="M980" s="364" t="s">
        <v>400</v>
      </c>
      <c r="N980" s="364" t="s">
        <v>401</v>
      </c>
      <c r="O980" s="364" t="s">
        <v>402</v>
      </c>
      <c r="P980" s="364" t="s">
        <v>403</v>
      </c>
      <c r="Q980" s="364" t="s">
        <v>404</v>
      </c>
      <c r="R980" s="483"/>
      <c r="AC980" s="164"/>
      <c r="AD980" s="159"/>
      <c r="AE980" s="159"/>
      <c r="AF980" s="159"/>
      <c r="AG980" s="159"/>
      <c r="AH980" s="159"/>
      <c r="AI980" s="159"/>
      <c r="AJ980" s="159"/>
      <c r="AK980" s="159"/>
      <c r="AL980" s="159"/>
      <c r="AM980" s="159"/>
      <c r="AN980" s="164"/>
      <c r="AO980" s="159"/>
      <c r="AP980" s="159"/>
      <c r="AQ980" s="159"/>
      <c r="AR980" s="159"/>
      <c r="AS980" s="159"/>
      <c r="AT980" s="159"/>
      <c r="AW980" s="159"/>
      <c r="AX980" s="172"/>
    </row>
    <row r="981" spans="1:50" ht="15.75" customHeight="1" x14ac:dyDescent="0.3">
      <c r="A981" s="325"/>
      <c r="B981" s="159"/>
      <c r="C981" s="159"/>
      <c r="D981" s="159"/>
      <c r="E981" s="159"/>
      <c r="F981" s="164" t="s">
        <v>406</v>
      </c>
      <c r="G981" s="164" t="s">
        <v>407</v>
      </c>
      <c r="H981" s="159"/>
      <c r="I981" s="159"/>
      <c r="J981" s="159"/>
      <c r="K981" s="159"/>
      <c r="L981" s="159"/>
      <c r="M981" s="159"/>
      <c r="N981" s="159"/>
      <c r="O981" s="159"/>
      <c r="P981" s="159"/>
      <c r="Q981" s="159"/>
      <c r="R981" s="483"/>
      <c r="AC981" s="164"/>
      <c r="AD981" s="159"/>
      <c r="AE981" s="159"/>
      <c r="AF981" s="159"/>
      <c r="AG981" s="159"/>
      <c r="AH981" s="159"/>
      <c r="AI981" s="159"/>
      <c r="AJ981" s="159"/>
      <c r="AK981" s="159"/>
      <c r="AL981" s="159"/>
      <c r="AM981" s="159"/>
      <c r="AN981" s="164"/>
      <c r="AO981" s="159"/>
      <c r="AP981" s="159"/>
      <c r="AQ981" s="159"/>
      <c r="AR981" s="159"/>
      <c r="AS981" s="159"/>
      <c r="AT981" s="159"/>
      <c r="AW981" s="159"/>
      <c r="AX981" s="172"/>
    </row>
    <row r="982" spans="1:50" ht="15.75" customHeight="1" x14ac:dyDescent="0.3">
      <c r="A982" s="365" t="s">
        <v>795</v>
      </c>
      <c r="B982" s="159">
        <f t="shared" ref="B982:Q982" si="301">(B953/$B$10/1.983)</f>
        <v>1970.9953963528703</v>
      </c>
      <c r="C982" s="159">
        <f t="shared" si="301"/>
        <v>1969.4174678314057</v>
      </c>
      <c r="D982" s="159">
        <f t="shared" si="301"/>
        <v>1967.8558066142859</v>
      </c>
      <c r="E982" s="159">
        <f t="shared" si="301"/>
        <v>1957.4284645291427</v>
      </c>
      <c r="F982" s="159">
        <f t="shared" si="301"/>
        <v>1164.2347046670895</v>
      </c>
      <c r="G982" s="159">
        <f t="shared" si="301"/>
        <v>0</v>
      </c>
      <c r="H982" s="159">
        <f t="shared" si="301"/>
        <v>452.8492183560262</v>
      </c>
      <c r="I982" s="159">
        <f t="shared" si="301"/>
        <v>188.5705919672051</v>
      </c>
      <c r="J982" s="159">
        <f t="shared" si="301"/>
        <v>188.42418622810013</v>
      </c>
      <c r="K982" s="159">
        <f t="shared" si="301"/>
        <v>187.25294031526033</v>
      </c>
      <c r="L982" s="159">
        <f t="shared" si="301"/>
        <v>144.46992988791828</v>
      </c>
      <c r="M982" s="159">
        <f t="shared" si="301"/>
        <v>144.14458380101831</v>
      </c>
      <c r="N982" s="159">
        <f t="shared" si="301"/>
        <v>120.08524067476777</v>
      </c>
      <c r="O982" s="159">
        <f t="shared" si="301"/>
        <v>55.487775120784733</v>
      </c>
      <c r="P982" s="159">
        <f t="shared" si="301"/>
        <v>76.960616856180764</v>
      </c>
      <c r="Q982" s="159">
        <f t="shared" si="301"/>
        <v>55.45524051209474</v>
      </c>
      <c r="R982" s="483"/>
      <c r="AC982" s="164"/>
      <c r="AD982" s="159"/>
      <c r="AE982" s="159"/>
      <c r="AF982" s="159"/>
      <c r="AG982" s="159"/>
      <c r="AH982" s="159"/>
      <c r="AI982" s="159"/>
      <c r="AJ982" s="159"/>
      <c r="AK982" s="159"/>
      <c r="AL982" s="159"/>
      <c r="AM982" s="159"/>
      <c r="AN982" s="164"/>
      <c r="AO982" s="159"/>
      <c r="AP982" s="159"/>
      <c r="AQ982" s="159"/>
      <c r="AR982" s="159"/>
      <c r="AS982" s="159"/>
      <c r="AT982" s="159"/>
      <c r="AW982" s="159"/>
      <c r="AX982" s="172"/>
    </row>
    <row r="983" spans="1:50" ht="15.75" customHeight="1" x14ac:dyDescent="0.3">
      <c r="A983" s="365" t="s">
        <v>9</v>
      </c>
      <c r="B983" s="159">
        <f t="shared" ref="B983:Q983" si="302">(B954/$C$10/1.983)</f>
        <v>1989.7341690079966</v>
      </c>
      <c r="C983" s="159">
        <f t="shared" si="302"/>
        <v>1987.0686549960376</v>
      </c>
      <c r="D983" s="159">
        <f t="shared" si="302"/>
        <v>1984.4571716735106</v>
      </c>
      <c r="E983" s="159">
        <f t="shared" si="302"/>
        <v>1967.0953101361572</v>
      </c>
      <c r="F983" s="159">
        <f t="shared" si="302"/>
        <v>632.77141416324469</v>
      </c>
      <c r="G983" s="159">
        <f t="shared" si="302"/>
        <v>0</v>
      </c>
      <c r="H983" s="159">
        <f t="shared" si="302"/>
        <v>883.81600749225561</v>
      </c>
      <c r="I983" s="159">
        <f t="shared" si="302"/>
        <v>349.34442763489659</v>
      </c>
      <c r="J983" s="159">
        <f t="shared" si="302"/>
        <v>337.43966573013466</v>
      </c>
      <c r="K983" s="159">
        <f t="shared" si="302"/>
        <v>326.54347669476266</v>
      </c>
      <c r="L983" s="159">
        <f t="shared" si="302"/>
        <v>242.99402060370289</v>
      </c>
      <c r="M983" s="159">
        <f t="shared" si="302"/>
        <v>242.59779554787116</v>
      </c>
      <c r="N983" s="159">
        <f t="shared" si="302"/>
        <v>207.11764282112239</v>
      </c>
      <c r="O983" s="159">
        <f t="shared" si="302"/>
        <v>60.964627908652112</v>
      </c>
      <c r="P983" s="159">
        <f t="shared" si="302"/>
        <v>84.846192637418056</v>
      </c>
      <c r="Q983" s="159">
        <f t="shared" si="302"/>
        <v>60.91059721922052</v>
      </c>
      <c r="R983" s="483"/>
      <c r="AC983" s="164"/>
      <c r="AD983" s="159"/>
      <c r="AE983" s="159"/>
      <c r="AF983" s="159"/>
      <c r="AG983" s="159"/>
      <c r="AH983" s="159"/>
      <c r="AI983" s="159"/>
      <c r="AJ983" s="159"/>
      <c r="AK983" s="159"/>
      <c r="AL983" s="159"/>
      <c r="AM983" s="159"/>
      <c r="AN983" s="164"/>
      <c r="AO983" s="159"/>
      <c r="AP983" s="159"/>
      <c r="AQ983" s="159"/>
      <c r="AR983" s="159"/>
      <c r="AS983" s="159"/>
      <c r="AT983" s="159"/>
      <c r="AW983" s="159"/>
      <c r="AX983" s="172"/>
    </row>
    <row r="984" spans="1:50" ht="15.75" customHeight="1" x14ac:dyDescent="0.3">
      <c r="A984" s="365" t="s">
        <v>10</v>
      </c>
      <c r="B984" s="159">
        <f t="shared" ref="B984:Q984" si="303">(B955/$D$10/1.983)</f>
        <v>2413.9703609714834</v>
      </c>
      <c r="C984" s="159">
        <f t="shared" si="303"/>
        <v>2409.513119580954</v>
      </c>
      <c r="D984" s="159">
        <f t="shared" si="303"/>
        <v>2405.26735314691</v>
      </c>
      <c r="E984" s="159">
        <f t="shared" si="303"/>
        <v>2356.920924633579</v>
      </c>
      <c r="F984" s="159">
        <f t="shared" si="303"/>
        <v>542.61220373171955</v>
      </c>
      <c r="G984" s="159">
        <f t="shared" si="303"/>
        <v>-7.1088119987636853</v>
      </c>
      <c r="H984" s="159">
        <f t="shared" si="303"/>
        <v>1148.8946366697576</v>
      </c>
      <c r="I984" s="159">
        <f t="shared" si="303"/>
        <v>507.44229173783611</v>
      </c>
      <c r="J984" s="159">
        <f t="shared" si="303"/>
        <v>440.82768044507338</v>
      </c>
      <c r="K984" s="159">
        <f t="shared" si="303"/>
        <v>419.32230410098742</v>
      </c>
      <c r="L984" s="159">
        <f t="shared" si="303"/>
        <v>327.5421729865144</v>
      </c>
      <c r="M984" s="159">
        <f t="shared" si="303"/>
        <v>327.08668846485449</v>
      </c>
      <c r="N984" s="159">
        <f t="shared" si="303"/>
        <v>314.17044881492689</v>
      </c>
      <c r="O984" s="159">
        <f t="shared" si="303"/>
        <v>66.419403640622718</v>
      </c>
      <c r="P984" s="159">
        <f t="shared" si="303"/>
        <v>82.068550420509823</v>
      </c>
      <c r="Q984" s="159">
        <f t="shared" si="303"/>
        <v>66.338067118897726</v>
      </c>
      <c r="R984" s="483"/>
      <c r="AC984" s="164"/>
      <c r="AD984" s="159"/>
      <c r="AE984" s="159"/>
      <c r="AF984" s="159"/>
      <c r="AG984" s="159"/>
      <c r="AH984" s="159"/>
      <c r="AI984" s="159"/>
      <c r="AJ984" s="159"/>
      <c r="AK984" s="159"/>
      <c r="AL984" s="159"/>
      <c r="AM984" s="159"/>
      <c r="AN984" s="164"/>
      <c r="AO984" s="159"/>
      <c r="AP984" s="159"/>
      <c r="AQ984" s="159"/>
      <c r="AR984" s="159"/>
      <c r="AS984" s="159"/>
      <c r="AT984" s="159"/>
      <c r="AW984" s="159"/>
      <c r="AX984" s="172"/>
    </row>
    <row r="985" spans="1:50" ht="15.75" customHeight="1" x14ac:dyDescent="0.3">
      <c r="A985" s="365" t="s">
        <v>12</v>
      </c>
      <c r="B985" s="159">
        <f t="shared" ref="B985:Q985" si="304">(B956/$F$10/1.983)</f>
        <v>2738.9981509497393</v>
      </c>
      <c r="C985" s="159">
        <f t="shared" si="304"/>
        <v>2732.8290468986384</v>
      </c>
      <c r="D985" s="159">
        <f t="shared" si="304"/>
        <v>2726.9457051605314</v>
      </c>
      <c r="E985" s="159">
        <f t="shared" si="304"/>
        <v>2642.0238695579087</v>
      </c>
      <c r="F985" s="159">
        <f t="shared" si="304"/>
        <v>36.493528324088075</v>
      </c>
      <c r="G985" s="159">
        <f t="shared" si="304"/>
        <v>-21.717935787527317</v>
      </c>
      <c r="H985" s="159">
        <f t="shared" si="304"/>
        <v>1839.5864851235501</v>
      </c>
      <c r="I985" s="159">
        <f t="shared" si="304"/>
        <v>794.75542107917295</v>
      </c>
      <c r="J985" s="159">
        <f t="shared" si="304"/>
        <v>584.29988233316521</v>
      </c>
      <c r="K985" s="159">
        <f t="shared" si="304"/>
        <v>486.6532190284081</v>
      </c>
      <c r="L985" s="159">
        <f t="shared" si="304"/>
        <v>398.77290300890905</v>
      </c>
      <c r="M985" s="159">
        <f t="shared" si="304"/>
        <v>398.15094973945196</v>
      </c>
      <c r="N985" s="159">
        <f t="shared" si="304"/>
        <v>363.10304252815598</v>
      </c>
      <c r="O985" s="159">
        <f t="shared" si="304"/>
        <v>73.793914943688023</v>
      </c>
      <c r="P985" s="159">
        <f t="shared" si="304"/>
        <v>83.240880820305932</v>
      </c>
      <c r="Q985" s="159">
        <f t="shared" si="304"/>
        <v>73.676248108925861</v>
      </c>
      <c r="R985" s="483"/>
      <c r="AC985" s="164"/>
      <c r="AD985" s="159"/>
      <c r="AE985" s="159"/>
      <c r="AF985" s="159"/>
      <c r="AG985" s="159"/>
      <c r="AH985" s="159"/>
      <c r="AI985" s="159"/>
      <c r="AJ985" s="159"/>
      <c r="AK985" s="159"/>
      <c r="AL985" s="159"/>
      <c r="AM985" s="159"/>
      <c r="AN985" s="164"/>
      <c r="AO985" s="159"/>
      <c r="AP985" s="159"/>
      <c r="AQ985" s="159"/>
      <c r="AR985" s="159"/>
      <c r="AS985" s="159"/>
      <c r="AT985" s="159"/>
      <c r="AW985" s="159"/>
      <c r="AX985" s="172"/>
    </row>
    <row r="986" spans="1:50" ht="15.75" customHeight="1" x14ac:dyDescent="0.3">
      <c r="A986" s="365" t="s">
        <v>13</v>
      </c>
      <c r="B986" s="159">
        <f t="shared" ref="B986:Q986" si="305">(B957/$G$10/1.983)</f>
        <v>2726.9532965692256</v>
      </c>
      <c r="C986" s="159">
        <f t="shared" si="305"/>
        <v>2720.0396922226018</v>
      </c>
      <c r="D986" s="159">
        <f t="shared" si="305"/>
        <v>2713.5002358759129</v>
      </c>
      <c r="E986" s="159">
        <f t="shared" si="305"/>
        <v>2605.1274543295431</v>
      </c>
      <c r="F986" s="159">
        <f t="shared" si="305"/>
        <v>4.2620337383892108</v>
      </c>
      <c r="G986" s="159">
        <f>(G957/$G$10/1.983)</f>
        <v>-267.84116604037541</v>
      </c>
      <c r="H986" s="159">
        <f t="shared" si="305"/>
        <v>2030.1433149512795</v>
      </c>
      <c r="I986" s="159">
        <f t="shared" si="305"/>
        <v>685.84581848941809</v>
      </c>
      <c r="J986" s="159">
        <f t="shared" si="305"/>
        <v>553.72277259935254</v>
      </c>
      <c r="K986" s="159">
        <f t="shared" si="305"/>
        <v>471.19873765718279</v>
      </c>
      <c r="L986" s="159">
        <f t="shared" si="305"/>
        <v>411.88814601532374</v>
      </c>
      <c r="M986" s="159">
        <f t="shared" si="305"/>
        <v>411.2049192328339</v>
      </c>
      <c r="N986" s="159">
        <f t="shared" si="305"/>
        <v>377.40146080393015</v>
      </c>
      <c r="O986" s="159">
        <f t="shared" si="305"/>
        <v>91.763863810128015</v>
      </c>
      <c r="P986" s="159">
        <f t="shared" si="305"/>
        <v>99.751110243521538</v>
      </c>
      <c r="Q986" s="159">
        <f t="shared" si="305"/>
        <v>90.885429375498177</v>
      </c>
      <c r="R986" s="483"/>
      <c r="AC986" s="164"/>
      <c r="AD986" s="159"/>
      <c r="AE986" s="159"/>
      <c r="AF986" s="159"/>
      <c r="AG986" s="159"/>
      <c r="AH986" s="159"/>
      <c r="AI986" s="159"/>
      <c r="AJ986" s="159"/>
      <c r="AK986" s="159"/>
      <c r="AL986" s="159"/>
      <c r="AM986" s="159"/>
      <c r="AN986" s="164"/>
      <c r="AO986" s="159"/>
      <c r="AP986" s="159"/>
      <c r="AQ986" s="159"/>
      <c r="AR986" s="159"/>
      <c r="AS986" s="159"/>
      <c r="AT986" s="159"/>
      <c r="AW986" s="159"/>
      <c r="AX986" s="172"/>
    </row>
    <row r="987" spans="1:50" ht="15.75" customHeight="1" x14ac:dyDescent="0.3">
      <c r="A987" s="365" t="s">
        <v>14</v>
      </c>
      <c r="B987" s="159">
        <f t="shared" ref="B987:Q987" si="306">(B958/$H$10/1.983)</f>
        <v>1512.2709699109093</v>
      </c>
      <c r="C987" s="159">
        <f t="shared" si="306"/>
        <v>1505.2613884686502</v>
      </c>
      <c r="D987" s="159">
        <f t="shared" si="306"/>
        <v>1498.6048075306771</v>
      </c>
      <c r="E987" s="159">
        <f t="shared" si="306"/>
        <v>1387.5609346108588</v>
      </c>
      <c r="F987" s="159">
        <f t="shared" si="306"/>
        <v>0</v>
      </c>
      <c r="G987" s="159">
        <f t="shared" si="306"/>
        <v>-1739.26710371491</v>
      </c>
      <c r="H987" s="159">
        <f t="shared" si="306"/>
        <v>2426.2565136997814</v>
      </c>
      <c r="I987" s="159">
        <f t="shared" si="306"/>
        <v>885.5269793242561</v>
      </c>
      <c r="J987" s="159">
        <f t="shared" si="306"/>
        <v>619.76802824004028</v>
      </c>
      <c r="K987" s="159">
        <f t="shared" si="306"/>
        <v>515.26306942343251</v>
      </c>
      <c r="L987" s="159">
        <f t="shared" si="306"/>
        <v>398.4703311480921</v>
      </c>
      <c r="M987" s="159">
        <f t="shared" si="306"/>
        <v>397.73071104387293</v>
      </c>
      <c r="N987" s="159">
        <f t="shared" si="306"/>
        <v>364.36375861489324</v>
      </c>
      <c r="O987" s="159">
        <f t="shared" si="306"/>
        <v>81.055639603294665</v>
      </c>
      <c r="P987" s="159">
        <f t="shared" si="306"/>
        <v>119.9697428139183</v>
      </c>
      <c r="Q987" s="159">
        <f t="shared" si="306"/>
        <v>80.904353672886202</v>
      </c>
      <c r="R987" s="483"/>
      <c r="AC987" s="164"/>
      <c r="AD987" s="159"/>
      <c r="AE987" s="159"/>
      <c r="AF987" s="159"/>
      <c r="AG987" s="159"/>
      <c r="AH987" s="159"/>
      <c r="AI987" s="159"/>
      <c r="AJ987" s="159"/>
      <c r="AK987" s="159"/>
      <c r="AL987" s="159"/>
      <c r="AM987" s="159"/>
      <c r="AN987" s="164"/>
      <c r="AO987" s="159"/>
      <c r="AP987" s="159"/>
      <c r="AQ987" s="159"/>
      <c r="AR987" s="159"/>
      <c r="AS987" s="159"/>
      <c r="AT987" s="159"/>
      <c r="AW987" s="159"/>
      <c r="AX987" s="172"/>
    </row>
    <row r="988" spans="1:50" ht="15.75" customHeight="1" x14ac:dyDescent="0.3">
      <c r="A988" s="365" t="s">
        <v>16</v>
      </c>
      <c r="B988" s="159">
        <f t="shared" ref="B988:Q988" si="307">(B959/$J$10/1.983)</f>
        <v>933.02750801164734</v>
      </c>
      <c r="C988" s="159">
        <f t="shared" si="307"/>
        <v>926.26030940412863</v>
      </c>
      <c r="D988" s="159">
        <f t="shared" si="307"/>
        <v>919.8509914921998</v>
      </c>
      <c r="E988" s="159">
        <f t="shared" si="307"/>
        <v>805.83345533811587</v>
      </c>
      <c r="F988" s="159">
        <f t="shared" si="307"/>
        <v>16.234769736306998</v>
      </c>
      <c r="G988" s="159">
        <f t="shared" si="307"/>
        <v>-1302.1326435996291</v>
      </c>
      <c r="H988" s="159">
        <f t="shared" si="307"/>
        <v>1522.5220828656481</v>
      </c>
      <c r="I988" s="159">
        <f t="shared" si="307"/>
        <v>687.97683535861268</v>
      </c>
      <c r="J988" s="159">
        <f t="shared" si="307"/>
        <v>508.3369934768109</v>
      </c>
      <c r="K988" s="159">
        <f t="shared" si="307"/>
        <v>434.62983748962955</v>
      </c>
      <c r="L988" s="159">
        <f t="shared" si="307"/>
        <v>353.39091959071459</v>
      </c>
      <c r="M988" s="159">
        <f t="shared" si="307"/>
        <v>352.75649472125974</v>
      </c>
      <c r="N988" s="159">
        <f t="shared" si="307"/>
        <v>339.69384933222716</v>
      </c>
      <c r="O988" s="159">
        <f t="shared" si="307"/>
        <v>63.344883119418277</v>
      </c>
      <c r="P988" s="159">
        <f t="shared" si="307"/>
        <v>95.049859287817398</v>
      </c>
      <c r="Q988" s="159">
        <f t="shared" si="307"/>
        <v>63.231011989003299</v>
      </c>
      <c r="R988" s="483"/>
      <c r="AC988" s="164"/>
      <c r="AD988" s="159"/>
      <c r="AE988" s="159"/>
      <c r="AF988" s="159"/>
      <c r="AG988" s="159"/>
      <c r="AH988" s="159"/>
      <c r="AI988" s="159"/>
      <c r="AJ988" s="159"/>
      <c r="AK988" s="159"/>
      <c r="AL988" s="159"/>
      <c r="AM988" s="159"/>
      <c r="AN988" s="164"/>
      <c r="AO988" s="159"/>
      <c r="AP988" s="159"/>
      <c r="AQ988" s="159"/>
      <c r="AR988" s="159"/>
      <c r="AS988" s="159"/>
      <c r="AT988" s="159"/>
    </row>
    <row r="989" spans="1:50" ht="15.75" customHeight="1" x14ac:dyDescent="0.3">
      <c r="A989" s="365" t="s">
        <v>17</v>
      </c>
      <c r="B989" s="159">
        <f t="shared" ref="B989:Q989" si="308">(B960/$K$10/1.983)</f>
        <v>824.99633985652235</v>
      </c>
      <c r="C989" s="159">
        <f t="shared" si="308"/>
        <v>819.56306020529337</v>
      </c>
      <c r="D989" s="159">
        <f t="shared" si="308"/>
        <v>814.39005742358438</v>
      </c>
      <c r="E989" s="159">
        <f t="shared" si="308"/>
        <v>712.6218014412832</v>
      </c>
      <c r="F989" s="159">
        <f t="shared" si="308"/>
        <v>0</v>
      </c>
      <c r="G989" s="159">
        <f t="shared" si="308"/>
        <v>-1243.5703479576398</v>
      </c>
      <c r="H989" s="159">
        <f t="shared" si="308"/>
        <v>1212.5323312673856</v>
      </c>
      <c r="I989" s="159">
        <f t="shared" si="308"/>
        <v>540.70892912335501</v>
      </c>
      <c r="J989" s="159">
        <f t="shared" si="308"/>
        <v>460.55992061555474</v>
      </c>
      <c r="K989" s="159">
        <f t="shared" si="308"/>
        <v>410.68436549379402</v>
      </c>
      <c r="L989" s="159">
        <f t="shared" si="308"/>
        <v>341.97127194052672</v>
      </c>
      <c r="M989" s="159">
        <f t="shared" si="308"/>
        <v>341.38564898410687</v>
      </c>
      <c r="N989" s="159">
        <f t="shared" si="308"/>
        <v>325.57382916076978</v>
      </c>
      <c r="O989" s="159">
        <f t="shared" si="308"/>
        <v>53.747173555870056</v>
      </c>
      <c r="P989" s="159">
        <f t="shared" si="308"/>
        <v>95.960828331137236</v>
      </c>
      <c r="Q989" s="159">
        <f t="shared" si="308"/>
        <v>53.649569729800071</v>
      </c>
      <c r="R989" s="483"/>
      <c r="AC989" s="164"/>
      <c r="AD989" s="159"/>
      <c r="AE989" s="159"/>
      <c r="AF989" s="159"/>
      <c r="AG989" s="159"/>
      <c r="AH989" s="159"/>
      <c r="AI989" s="159"/>
      <c r="AJ989" s="159"/>
      <c r="AK989" s="159"/>
      <c r="AL989" s="159"/>
      <c r="AM989" s="159"/>
      <c r="AN989" s="164"/>
      <c r="AO989" s="159"/>
      <c r="AP989" s="159"/>
      <c r="AQ989" s="159"/>
      <c r="AR989" s="159"/>
      <c r="AS989" s="159"/>
      <c r="AT989" s="159"/>
    </row>
    <row r="990" spans="1:50" ht="15.75" customHeight="1" x14ac:dyDescent="0.3">
      <c r="A990" s="365" t="s">
        <v>18</v>
      </c>
      <c r="B990" s="159">
        <f t="shared" ref="B990:Q990" si="309">(B961/$L$10/1.983)</f>
        <v>1807.8668683812405</v>
      </c>
      <c r="C990" s="159">
        <f t="shared" si="309"/>
        <v>1802.5550512691209</v>
      </c>
      <c r="D990" s="159">
        <f t="shared" si="309"/>
        <v>1797.4953773743487</v>
      </c>
      <c r="E990" s="159">
        <f t="shared" si="309"/>
        <v>1727.0633719952934</v>
      </c>
      <c r="F990" s="159">
        <f t="shared" si="309"/>
        <v>10.220205076483442</v>
      </c>
      <c r="G990" s="159">
        <f t="shared" si="309"/>
        <v>-140.07396201042189</v>
      </c>
      <c r="H990" s="159">
        <f t="shared" si="309"/>
        <v>1202.2356698604806</v>
      </c>
      <c r="I990" s="159">
        <f t="shared" si="309"/>
        <v>459.2704656244747</v>
      </c>
      <c r="J990" s="159">
        <f t="shared" si="309"/>
        <v>410.52277693730042</v>
      </c>
      <c r="K990" s="159">
        <f t="shared" si="309"/>
        <v>374.46629685661458</v>
      </c>
      <c r="L990" s="159">
        <f t="shared" si="309"/>
        <v>268.06185913598927</v>
      </c>
      <c r="M990" s="159">
        <f t="shared" si="309"/>
        <v>267.49033451000162</v>
      </c>
      <c r="N990" s="159">
        <f t="shared" si="309"/>
        <v>262.88451840645484</v>
      </c>
      <c r="O990" s="159">
        <f t="shared" si="309"/>
        <v>62.481089258698944</v>
      </c>
      <c r="P990" s="159">
        <f t="shared" si="309"/>
        <v>53.622457555891742</v>
      </c>
      <c r="Q990" s="159">
        <f t="shared" si="309"/>
        <v>62.380231971759962</v>
      </c>
      <c r="R990" s="483"/>
      <c r="AC990" s="164"/>
      <c r="AD990" s="159"/>
      <c r="AE990" s="159"/>
      <c r="AF990" s="159"/>
      <c r="AG990" s="159"/>
      <c r="AH990" s="159"/>
      <c r="AI990" s="159"/>
      <c r="AJ990" s="159"/>
      <c r="AK990" s="159"/>
      <c r="AL990" s="159"/>
      <c r="AM990" s="159"/>
      <c r="AN990" s="164"/>
      <c r="AO990" s="159"/>
      <c r="AP990" s="159"/>
      <c r="AQ990" s="159"/>
      <c r="AR990" s="159"/>
      <c r="AS990" s="159"/>
      <c r="AT990" s="159"/>
    </row>
    <row r="991" spans="1:50" ht="15.75" customHeight="1" x14ac:dyDescent="0.3">
      <c r="A991" s="365" t="s">
        <v>20</v>
      </c>
      <c r="B991" s="159">
        <f t="shared" ref="B991:Q991" si="310">(B962/$N$10/1.983)</f>
        <v>2262.830836302116</v>
      </c>
      <c r="C991" s="159">
        <f t="shared" si="310"/>
        <v>2258.194654563792</v>
      </c>
      <c r="D991" s="159">
        <f t="shared" si="310"/>
        <v>2253.7699477819529</v>
      </c>
      <c r="E991" s="159">
        <f t="shared" si="310"/>
        <v>2203.5202446602575</v>
      </c>
      <c r="F991" s="159">
        <f t="shared" si="310"/>
        <v>869.21087306622417</v>
      </c>
      <c r="G991" s="159">
        <f t="shared" si="310"/>
        <v>0</v>
      </c>
      <c r="H991" s="159">
        <f t="shared" si="310"/>
        <v>777.80488995168616</v>
      </c>
      <c r="I991" s="159">
        <f t="shared" si="310"/>
        <v>230.80051404681728</v>
      </c>
      <c r="J991" s="159">
        <f t="shared" si="310"/>
        <v>230.29622761212238</v>
      </c>
      <c r="K991" s="159">
        <f t="shared" si="310"/>
        <v>226.4896783953931</v>
      </c>
      <c r="L991" s="159">
        <f t="shared" si="310"/>
        <v>181.03883005547149</v>
      </c>
      <c r="M991" s="159">
        <f t="shared" si="310"/>
        <v>180.56707822946657</v>
      </c>
      <c r="N991" s="159">
        <f t="shared" si="310"/>
        <v>170.59522066598345</v>
      </c>
      <c r="O991" s="159">
        <f t="shared" si="310"/>
        <v>53.519431295040093</v>
      </c>
      <c r="P991" s="159">
        <f t="shared" si="310"/>
        <v>4.1481626079742329</v>
      </c>
      <c r="Q991" s="159">
        <f t="shared" si="310"/>
        <v>53.438094773315115</v>
      </c>
      <c r="R991" s="483"/>
      <c r="AC991" s="159"/>
      <c r="AD991" s="159"/>
      <c r="AE991" s="159"/>
      <c r="AF991" s="159"/>
      <c r="AG991" s="159"/>
      <c r="AH991" s="159"/>
      <c r="AI991" s="159"/>
      <c r="AJ991" s="159"/>
      <c r="AK991" s="159"/>
      <c r="AL991" s="159"/>
      <c r="AM991" s="159"/>
      <c r="AN991" s="159"/>
      <c r="AO991" s="159"/>
      <c r="AP991" s="159"/>
      <c r="AQ991" s="159"/>
      <c r="AR991" s="159"/>
      <c r="AS991" s="159"/>
      <c r="AT991" s="159"/>
    </row>
    <row r="992" spans="1:50" ht="15.75" customHeight="1" x14ac:dyDescent="0.3">
      <c r="A992" s="365" t="s">
        <v>21</v>
      </c>
      <c r="B992" s="159">
        <f t="shared" ref="B992:Q992" si="311">(B963/$O$10/1.983)</f>
        <v>2074.9705832913096</v>
      </c>
      <c r="C992" s="159">
        <f t="shared" si="311"/>
        <v>2071.0203395528656</v>
      </c>
      <c r="D992" s="159">
        <f t="shared" si="311"/>
        <v>2067.221381744831</v>
      </c>
      <c r="E992" s="159">
        <f t="shared" si="311"/>
        <v>2027.8534207429818</v>
      </c>
      <c r="F992" s="159">
        <f t="shared" si="311"/>
        <v>1125.6177508825012</v>
      </c>
      <c r="G992" s="159">
        <f t="shared" si="311"/>
        <v>0</v>
      </c>
      <c r="H992" s="159">
        <f t="shared" si="311"/>
        <v>446.89863842662635</v>
      </c>
      <c r="I992" s="159">
        <f t="shared" si="311"/>
        <v>14.405782484451167</v>
      </c>
      <c r="J992" s="159">
        <f t="shared" si="311"/>
        <v>13.481257354177172</v>
      </c>
      <c r="K992" s="159">
        <f t="shared" si="311"/>
        <v>12.506303580433686</v>
      </c>
      <c r="L992" s="159">
        <f t="shared" si="311"/>
        <v>9.8672045721970072</v>
      </c>
      <c r="M992" s="159">
        <f t="shared" si="311"/>
        <v>9.4805849722642463</v>
      </c>
      <c r="N992" s="159">
        <f t="shared" si="311"/>
        <v>5.3118171121196838</v>
      </c>
      <c r="O992" s="159">
        <f t="shared" si="311"/>
        <v>3.4627668515716925</v>
      </c>
      <c r="P992" s="159">
        <f t="shared" si="311"/>
        <v>89.628508993108071</v>
      </c>
      <c r="Q992" s="159">
        <f t="shared" si="311"/>
        <v>3.4123382081022018</v>
      </c>
      <c r="R992" s="483"/>
      <c r="AC992" s="164"/>
      <c r="AD992" s="159"/>
      <c r="AE992" s="159"/>
      <c r="AF992" s="159"/>
      <c r="AG992" s="159"/>
      <c r="AH992" s="159"/>
      <c r="AI992" s="159"/>
      <c r="AJ992" s="159"/>
      <c r="AK992" s="159"/>
      <c r="AL992" s="159"/>
      <c r="AM992" s="159"/>
      <c r="AN992" s="164"/>
      <c r="AO992" s="159"/>
      <c r="AP992" s="159"/>
      <c r="AQ992" s="159"/>
      <c r="AR992" s="159"/>
      <c r="AS992" s="159"/>
      <c r="AT992" s="159"/>
    </row>
    <row r="993" spans="1:47" ht="15.75" customHeight="1" thickBot="1" x14ac:dyDescent="0.35">
      <c r="A993" s="369" t="s">
        <v>22</v>
      </c>
      <c r="B993" s="327">
        <f t="shared" ref="B993:Q993" si="312">(B964/$P$10/1.983)</f>
        <v>1396.2552665397818</v>
      </c>
      <c r="C993" s="327">
        <f t="shared" si="312"/>
        <v>1393.2295479316124</v>
      </c>
      <c r="D993" s="327">
        <f t="shared" si="312"/>
        <v>1390.3177004538577</v>
      </c>
      <c r="E993" s="327">
        <f t="shared" si="312"/>
        <v>1348.6245994176306</v>
      </c>
      <c r="F993" s="327">
        <f t="shared" si="312"/>
        <v>277.29246986481871</v>
      </c>
      <c r="G993" s="327">
        <f t="shared" si="312"/>
        <v>0</v>
      </c>
      <c r="H993" s="327">
        <f t="shared" si="312"/>
        <v>701.18588648675029</v>
      </c>
      <c r="I993" s="327">
        <f t="shared" si="312"/>
        <v>320.56349942251063</v>
      </c>
      <c r="J993" s="327">
        <f t="shared" si="312"/>
        <v>313.09680672815705</v>
      </c>
      <c r="K993" s="327">
        <f t="shared" si="312"/>
        <v>311.8279569892473</v>
      </c>
      <c r="L993" s="327">
        <f t="shared" si="312"/>
        <v>240.9350446537504</v>
      </c>
      <c r="M993" s="327">
        <f t="shared" si="312"/>
        <v>240.62596587119549</v>
      </c>
      <c r="N993" s="327">
        <f t="shared" si="312"/>
        <v>237.87679143689098</v>
      </c>
      <c r="O993" s="327">
        <f t="shared" si="312"/>
        <v>68.452816683747344</v>
      </c>
      <c r="P993" s="327">
        <f t="shared" si="312"/>
        <v>86.070307289379073</v>
      </c>
      <c r="Q993" s="327">
        <f t="shared" si="312"/>
        <v>68.420282075057344</v>
      </c>
      <c r="R993" s="328"/>
    </row>
    <row r="994" spans="1:47" ht="15.75" customHeight="1" x14ac:dyDescent="0.3">
      <c r="R994" s="319"/>
      <c r="AD994" s="507"/>
      <c r="AE994" s="508"/>
      <c r="AF994" s="508"/>
      <c r="AG994" s="508"/>
      <c r="AH994" s="508"/>
      <c r="AI994" s="508"/>
      <c r="AJ994" s="508"/>
      <c r="AK994" s="508"/>
      <c r="AL994" s="508"/>
      <c r="AM994" s="508"/>
      <c r="AN994" s="508"/>
      <c r="AO994" s="508"/>
      <c r="AP994" s="508"/>
      <c r="AQ994" s="508"/>
      <c r="AR994" s="494"/>
      <c r="AS994" s="498"/>
    </row>
    <row r="995" spans="1:47" ht="15.75" customHeight="1" x14ac:dyDescent="0.3">
      <c r="R995" s="159"/>
      <c r="AD995" s="503"/>
      <c r="AE995" s="516"/>
      <c r="AF995" s="516"/>
      <c r="AG995" s="516"/>
      <c r="AH995" s="516"/>
      <c r="AI995" s="516"/>
      <c r="AJ995" s="516"/>
      <c r="AK995" s="516"/>
      <c r="AL995" s="516"/>
      <c r="AM995" s="516"/>
      <c r="AN995" s="516"/>
      <c r="AO995" s="516"/>
      <c r="AP995" s="516"/>
      <c r="AQ995" s="516"/>
      <c r="AR995" s="365"/>
    </row>
    <row r="996" spans="1:47" ht="15.75" customHeight="1" x14ac:dyDescent="0.3">
      <c r="A996" s="365"/>
      <c r="AD996" s="503"/>
      <c r="AE996" s="508"/>
      <c r="AF996" s="508"/>
      <c r="AG996" s="508"/>
      <c r="AH996" s="508"/>
      <c r="AI996" s="508"/>
      <c r="AJ996" s="508"/>
      <c r="AK996" s="508"/>
      <c r="AL996" s="508"/>
      <c r="AM996" s="508"/>
      <c r="AN996" s="508"/>
      <c r="AO996" s="508"/>
      <c r="AP996" s="508"/>
      <c r="AQ996" s="508"/>
    </row>
    <row r="997" spans="1:47" ht="15.75" customHeight="1" x14ac:dyDescent="0.3">
      <c r="A997" s="365"/>
    </row>
    <row r="998" spans="1:47" ht="15.75" customHeight="1" thickBot="1" x14ac:dyDescent="0.35">
      <c r="A998" s="365"/>
      <c r="AD998" s="509"/>
      <c r="AE998" s="508"/>
      <c r="AF998" s="508"/>
      <c r="AG998" s="508"/>
      <c r="AH998" s="508"/>
      <c r="AI998" s="508"/>
      <c r="AJ998" s="508"/>
      <c r="AK998" s="508"/>
      <c r="AL998" s="508"/>
      <c r="AM998" s="508"/>
      <c r="AN998" s="508"/>
      <c r="AO998" s="508"/>
      <c r="AP998" s="508"/>
      <c r="AQ998" s="508"/>
    </row>
    <row r="999" spans="1:47" ht="15.75" customHeight="1" x14ac:dyDescent="0.3">
      <c r="A999" s="363"/>
      <c r="B999" s="506" t="s">
        <v>456</v>
      </c>
      <c r="C999" s="506"/>
      <c r="D999" s="506"/>
      <c r="E999" s="506"/>
      <c r="F999" s="506"/>
      <c r="G999" s="506"/>
      <c r="H999" s="506"/>
      <c r="I999" s="506"/>
      <c r="J999" s="506"/>
      <c r="K999" s="506"/>
      <c r="L999" s="506"/>
      <c r="M999" s="506"/>
      <c r="N999" s="506"/>
      <c r="O999" s="506"/>
      <c r="P999" s="506"/>
      <c r="Q999" s="361" t="str">
        <f>+Q1</f>
        <v xml:space="preserve">PRINTED:  </v>
      </c>
      <c r="R999" s="362">
        <f ca="1">+R1</f>
        <v>44909.46975358796</v>
      </c>
      <c r="AD999" s="503"/>
      <c r="AE999" s="516"/>
      <c r="AF999" s="516"/>
      <c r="AG999" s="516"/>
      <c r="AH999" s="516"/>
      <c r="AI999" s="516"/>
      <c r="AJ999" s="516"/>
      <c r="AK999" s="516"/>
      <c r="AL999" s="516"/>
      <c r="AM999" s="516"/>
      <c r="AN999" s="516"/>
      <c r="AO999" s="516"/>
      <c r="AP999" s="516"/>
      <c r="AQ999" s="516"/>
      <c r="AR999" s="164"/>
    </row>
    <row r="1000" spans="1:47" ht="16.5" customHeight="1" x14ac:dyDescent="0.3">
      <c r="A1000" s="325"/>
      <c r="B1000" s="503" t="str">
        <f>+A8</f>
        <v>Revised:  10/27/2021</v>
      </c>
      <c r="C1000" s="503"/>
      <c r="D1000" s="503"/>
      <c r="E1000" s="503"/>
      <c r="F1000" s="503"/>
      <c r="G1000" s="503"/>
      <c r="H1000" s="503"/>
      <c r="I1000" s="503"/>
      <c r="J1000" s="503"/>
      <c r="K1000" s="503"/>
      <c r="L1000" s="503"/>
      <c r="M1000" s="503"/>
      <c r="N1000" s="503"/>
      <c r="O1000" s="503"/>
      <c r="P1000" s="503"/>
      <c r="Q1000" s="159"/>
      <c r="R1000" s="483"/>
      <c r="AK1000" s="372"/>
    </row>
    <row r="1001" spans="1:47" ht="15.75" customHeight="1" x14ac:dyDescent="0.3">
      <c r="A1001" s="325"/>
      <c r="B1001" s="503" t="s">
        <v>1024</v>
      </c>
      <c r="C1001" s="503"/>
      <c r="D1001" s="503"/>
      <c r="E1001" s="503"/>
      <c r="F1001" s="503"/>
      <c r="G1001" s="503"/>
      <c r="H1001" s="503"/>
      <c r="I1001" s="503"/>
      <c r="J1001" s="503"/>
      <c r="K1001" s="503"/>
      <c r="L1001" s="503"/>
      <c r="M1001" s="503"/>
      <c r="N1001" s="503"/>
      <c r="O1001" s="503"/>
      <c r="P1001" s="503"/>
      <c r="Q1001" s="159"/>
      <c r="R1001" s="483"/>
      <c r="AD1001" s="426"/>
      <c r="AE1001" s="426"/>
      <c r="AF1001" s="426"/>
      <c r="AG1001" s="426"/>
      <c r="AH1001" s="426"/>
      <c r="AI1001" s="426"/>
      <c r="AJ1001" s="426"/>
      <c r="AK1001" s="426"/>
      <c r="AL1001" s="426"/>
      <c r="AM1001" s="426"/>
      <c r="AN1001" s="426"/>
      <c r="AO1001" s="426"/>
      <c r="AP1001" s="426"/>
      <c r="AQ1001" s="426"/>
      <c r="AR1001" s="426"/>
      <c r="AS1001" s="426"/>
    </row>
    <row r="1002" spans="1:47" ht="15.75" customHeight="1" x14ac:dyDescent="0.3">
      <c r="A1002" s="325"/>
      <c r="B1002" s="159"/>
      <c r="C1002" s="159"/>
      <c r="D1002" s="159"/>
      <c r="E1002" s="159"/>
      <c r="F1002" s="159"/>
      <c r="G1002" s="159"/>
      <c r="H1002" s="159"/>
      <c r="I1002" s="159"/>
      <c r="J1002" s="159"/>
      <c r="K1002" s="159"/>
      <c r="L1002" s="159"/>
      <c r="M1002" s="159"/>
      <c r="N1002" s="159"/>
      <c r="O1002" s="159"/>
      <c r="P1002" s="159"/>
      <c r="Q1002" s="159"/>
      <c r="R1002" s="483"/>
      <c r="AD1002" s="159"/>
      <c r="AE1002" s="159"/>
      <c r="AF1002" s="159"/>
      <c r="AG1002" s="159"/>
      <c r="AH1002" s="164"/>
      <c r="AI1002" s="159"/>
      <c r="AJ1002" s="159"/>
      <c r="AK1002" s="159"/>
      <c r="AL1002" s="159"/>
      <c r="AM1002" s="159"/>
      <c r="AN1002" s="159"/>
      <c r="AO1002" s="159"/>
      <c r="AP1002" s="159"/>
      <c r="AQ1002" s="159"/>
      <c r="AR1002" s="159"/>
      <c r="AS1002" s="159"/>
    </row>
    <row r="1003" spans="1:47" ht="15.75" customHeight="1" x14ac:dyDescent="0.3">
      <c r="A1003" s="325"/>
      <c r="B1003" s="509">
        <f>A5</f>
        <v>2021</v>
      </c>
      <c r="C1003" s="509"/>
      <c r="D1003" s="509"/>
      <c r="E1003" s="509"/>
      <c r="F1003" s="509"/>
      <c r="G1003" s="509"/>
      <c r="H1003" s="509"/>
      <c r="I1003" s="509"/>
      <c r="J1003" s="509"/>
      <c r="K1003" s="509"/>
      <c r="L1003" s="509"/>
      <c r="M1003" s="509"/>
      <c r="N1003" s="509"/>
      <c r="O1003" s="509"/>
      <c r="P1003" s="509"/>
      <c r="Q1003" s="159"/>
      <c r="R1003" s="483"/>
      <c r="S1003" s="159"/>
      <c r="AC1003" s="365"/>
      <c r="AD1003" s="376"/>
      <c r="AE1003" s="376"/>
      <c r="AF1003" s="376"/>
      <c r="AG1003" s="376"/>
      <c r="AH1003" s="376"/>
      <c r="AI1003" s="376"/>
      <c r="AJ1003" s="376"/>
      <c r="AK1003" s="376"/>
      <c r="AL1003" s="376"/>
      <c r="AM1003" s="376"/>
      <c r="AN1003" s="376"/>
      <c r="AO1003" s="376"/>
      <c r="AP1003" s="376"/>
      <c r="AQ1003" s="376"/>
      <c r="AR1003" s="376"/>
      <c r="AS1003" s="164"/>
    </row>
    <row r="1004" spans="1:47" ht="15.75" customHeight="1" x14ac:dyDescent="0.3">
      <c r="A1004" s="325"/>
      <c r="B1004" s="503" t="s">
        <v>1029</v>
      </c>
      <c r="C1004" s="503"/>
      <c r="D1004" s="503"/>
      <c r="E1004" s="503"/>
      <c r="F1004" s="503"/>
      <c r="G1004" s="503"/>
      <c r="H1004" s="503"/>
      <c r="I1004" s="503"/>
      <c r="J1004" s="503"/>
      <c r="K1004" s="503"/>
      <c r="L1004" s="503"/>
      <c r="M1004" s="503"/>
      <c r="N1004" s="503"/>
      <c r="O1004" s="503"/>
      <c r="P1004" s="503"/>
      <c r="Q1004" s="159"/>
      <c r="R1004" s="483"/>
      <c r="S1004" s="159"/>
      <c r="AC1004" s="365"/>
      <c r="AD1004" s="376"/>
      <c r="AE1004" s="376"/>
      <c r="AF1004" s="376"/>
      <c r="AG1004" s="376"/>
      <c r="AH1004" s="376"/>
      <c r="AI1004" s="376"/>
      <c r="AJ1004" s="376"/>
      <c r="AK1004" s="376"/>
      <c r="AL1004" s="376"/>
      <c r="AM1004" s="376"/>
      <c r="AN1004" s="376"/>
      <c r="AO1004" s="376"/>
      <c r="AP1004" s="376"/>
      <c r="AQ1004" s="376"/>
      <c r="AR1004" s="376"/>
      <c r="AS1004" s="164"/>
    </row>
    <row r="1005" spans="1:47" ht="15.75" customHeight="1" x14ac:dyDescent="0.3">
      <c r="A1005" s="325"/>
      <c r="B1005" s="159"/>
      <c r="C1005" s="159"/>
      <c r="D1005" s="159"/>
      <c r="E1005" s="159"/>
      <c r="F1005" s="159"/>
      <c r="G1005" s="159"/>
      <c r="H1005" s="159"/>
      <c r="I1005" s="159"/>
      <c r="J1005" s="159"/>
      <c r="K1005" s="159"/>
      <c r="L1005" s="159"/>
      <c r="M1005" s="159"/>
      <c r="N1005" s="159"/>
      <c r="O1005" s="159"/>
      <c r="P1005" s="159"/>
      <c r="Q1005" s="159"/>
      <c r="R1005" s="483"/>
      <c r="S1005" s="159"/>
      <c r="AC1005" s="365"/>
      <c r="AD1005" s="376"/>
      <c r="AE1005" s="376"/>
      <c r="AF1005" s="376"/>
      <c r="AG1005" s="376"/>
      <c r="AH1005" s="376"/>
      <c r="AI1005" s="376"/>
      <c r="AJ1005" s="376"/>
      <c r="AK1005" s="376"/>
      <c r="AL1005" s="376"/>
      <c r="AM1005" s="376"/>
      <c r="AN1005" s="376"/>
      <c r="AO1005" s="376"/>
      <c r="AP1005" s="376"/>
      <c r="AQ1005" s="376"/>
      <c r="AR1005" s="376"/>
      <c r="AS1005" s="164"/>
    </row>
    <row r="1006" spans="1:47" ht="15.75" customHeight="1" thickBot="1" x14ac:dyDescent="0.35">
      <c r="A1006" s="325" t="s">
        <v>433</v>
      </c>
      <c r="B1006" s="364" t="s">
        <v>390</v>
      </c>
      <c r="C1006" s="364" t="s">
        <v>391</v>
      </c>
      <c r="D1006" s="364" t="s">
        <v>392</v>
      </c>
      <c r="E1006" s="364" t="s">
        <v>393</v>
      </c>
      <c r="F1006" s="364" t="s">
        <v>394</v>
      </c>
      <c r="G1006" s="364" t="s">
        <v>394</v>
      </c>
      <c r="H1006" s="364" t="s">
        <v>395</v>
      </c>
      <c r="I1006" s="364" t="s">
        <v>396</v>
      </c>
      <c r="J1006" s="364" t="s">
        <v>397</v>
      </c>
      <c r="K1006" s="364" t="s">
        <v>398</v>
      </c>
      <c r="L1006" s="364" t="s">
        <v>399</v>
      </c>
      <c r="M1006" s="364" t="s">
        <v>400</v>
      </c>
      <c r="N1006" s="364" t="s">
        <v>401</v>
      </c>
      <c r="O1006" s="364" t="s">
        <v>402</v>
      </c>
      <c r="P1006" s="364" t="s">
        <v>403</v>
      </c>
      <c r="Q1006" s="364" t="s">
        <v>404</v>
      </c>
      <c r="R1006" s="373" t="s">
        <v>422</v>
      </c>
      <c r="S1006" s="164"/>
      <c r="AC1006" s="365"/>
      <c r="AD1006" s="376"/>
      <c r="AE1006" s="376"/>
      <c r="AF1006" s="376"/>
      <c r="AG1006" s="376"/>
      <c r="AH1006" s="376"/>
      <c r="AI1006" s="376"/>
      <c r="AJ1006" s="376"/>
      <c r="AK1006" s="376"/>
      <c r="AL1006" s="376"/>
      <c r="AM1006" s="376"/>
      <c r="AN1006" s="376"/>
      <c r="AO1006" s="376"/>
      <c r="AP1006" s="376"/>
      <c r="AQ1006" s="376"/>
      <c r="AR1006" s="376"/>
      <c r="AS1006" s="164"/>
    </row>
    <row r="1007" spans="1:47" ht="15.75" customHeight="1" x14ac:dyDescent="0.3">
      <c r="A1007" s="325"/>
      <c r="B1007" s="159"/>
      <c r="C1007" s="159"/>
      <c r="D1007" s="159"/>
      <c r="E1007" s="159"/>
      <c r="F1007" s="164" t="s">
        <v>406</v>
      </c>
      <c r="G1007" s="164" t="s">
        <v>407</v>
      </c>
      <c r="H1007" s="159"/>
      <c r="I1007" s="159"/>
      <c r="J1007" s="159"/>
      <c r="K1007" s="159"/>
      <c r="L1007" s="159"/>
      <c r="M1007" s="159"/>
      <c r="N1007" s="159"/>
      <c r="O1007" s="159"/>
      <c r="P1007" s="159"/>
      <c r="Q1007" s="159"/>
      <c r="R1007" s="377" t="s">
        <v>458</v>
      </c>
      <c r="S1007" s="164"/>
      <c r="AC1007" s="365"/>
      <c r="AD1007" s="376"/>
      <c r="AE1007" s="376"/>
      <c r="AF1007" s="376"/>
      <c r="AG1007" s="376"/>
      <c r="AH1007" s="376"/>
      <c r="AI1007" s="376"/>
      <c r="AJ1007" s="376"/>
      <c r="AK1007" s="376"/>
      <c r="AL1007" s="376"/>
      <c r="AM1007" s="376"/>
      <c r="AN1007" s="376"/>
      <c r="AO1007" s="376"/>
      <c r="AP1007" s="376"/>
      <c r="AQ1007" s="376"/>
      <c r="AR1007" s="376"/>
      <c r="AS1007" s="164"/>
    </row>
    <row r="1008" spans="1:47" ht="15.75" customHeight="1" x14ac:dyDescent="0.3">
      <c r="A1008" s="325" t="s">
        <v>1035</v>
      </c>
      <c r="B1008" s="378">
        <v>957</v>
      </c>
      <c r="C1008" s="378">
        <v>122</v>
      </c>
      <c r="D1008" s="378">
        <v>128</v>
      </c>
      <c r="E1008" s="378">
        <v>219</v>
      </c>
      <c r="F1008" s="378"/>
      <c r="G1008" s="378"/>
      <c r="H1008" s="378">
        <v>97</v>
      </c>
      <c r="I1008" s="378">
        <v>160</v>
      </c>
      <c r="J1008" s="378">
        <v>250</v>
      </c>
      <c r="K1008" s="378">
        <v>260</v>
      </c>
      <c r="L1008" s="378">
        <v>100</v>
      </c>
      <c r="M1008" s="378">
        <v>118</v>
      </c>
      <c r="N1008" s="378">
        <v>250</v>
      </c>
      <c r="O1008" s="378">
        <v>190</v>
      </c>
      <c r="P1008" s="378">
        <v>340</v>
      </c>
      <c r="Q1008" s="378">
        <v>450</v>
      </c>
      <c r="R1008" s="377" t="s">
        <v>442</v>
      </c>
      <c r="S1008" s="164"/>
      <c r="AC1008" s="365"/>
      <c r="AD1008" s="169"/>
      <c r="AE1008" s="169"/>
      <c r="AF1008" s="169"/>
      <c r="AG1008" s="169"/>
      <c r="AH1008" s="169"/>
      <c r="AI1008" s="169"/>
      <c r="AJ1008" s="169"/>
      <c r="AK1008" s="169"/>
      <c r="AL1008" s="169"/>
      <c r="AM1008" s="169"/>
      <c r="AN1008" s="169"/>
      <c r="AO1008" s="169"/>
      <c r="AP1008" s="169"/>
      <c r="AQ1008" s="169"/>
      <c r="AR1008" s="169"/>
      <c r="AS1008" s="164"/>
      <c r="AU1008" s="365"/>
    </row>
    <row r="1009" spans="1:47" ht="15.75" customHeight="1" x14ac:dyDescent="0.3">
      <c r="A1009" s="325"/>
      <c r="B1009" s="164" t="s">
        <v>409</v>
      </c>
      <c r="C1009" s="164" t="s">
        <v>409</v>
      </c>
      <c r="D1009" s="164" t="s">
        <v>409</v>
      </c>
      <c r="E1009" s="164" t="s">
        <v>409</v>
      </c>
      <c r="F1009" s="164" t="s">
        <v>409</v>
      </c>
      <c r="G1009" s="164" t="s">
        <v>409</v>
      </c>
      <c r="H1009" s="164" t="s">
        <v>409</v>
      </c>
      <c r="I1009" s="164" t="s">
        <v>409</v>
      </c>
      <c r="J1009" s="164" t="s">
        <v>409</v>
      </c>
      <c r="K1009" s="164" t="s">
        <v>409</v>
      </c>
      <c r="L1009" s="164" t="s">
        <v>409</v>
      </c>
      <c r="M1009" s="164" t="s">
        <v>409</v>
      </c>
      <c r="N1009" s="164" t="s">
        <v>409</v>
      </c>
      <c r="O1009" s="164" t="s">
        <v>409</v>
      </c>
      <c r="P1009" s="164" t="s">
        <v>409</v>
      </c>
      <c r="Q1009" s="164" t="s">
        <v>409</v>
      </c>
      <c r="R1009" s="377" t="s">
        <v>459</v>
      </c>
      <c r="S1009" s="164"/>
      <c r="T1009" s="164"/>
      <c r="AC1009" s="164"/>
      <c r="AD1009" s="164"/>
      <c r="AE1009" s="164"/>
      <c r="AF1009" s="164"/>
      <c r="AG1009" s="164"/>
      <c r="AH1009" s="164"/>
      <c r="AI1009" s="164"/>
      <c r="AJ1009" s="164"/>
      <c r="AK1009" s="164"/>
      <c r="AL1009" s="164"/>
      <c r="AM1009" s="164"/>
      <c r="AN1009" s="164"/>
      <c r="AO1009" s="164"/>
      <c r="AP1009" s="164"/>
      <c r="AQ1009" s="164"/>
      <c r="AR1009" s="164"/>
      <c r="AS1009" s="164"/>
    </row>
    <row r="1010" spans="1:47" ht="15.75" customHeight="1" x14ac:dyDescent="0.3">
      <c r="A1010" s="365" t="s">
        <v>795</v>
      </c>
      <c r="B1010" s="159">
        <f>ROUND((B953*$B$1008)/1000,0)</f>
        <v>115953</v>
      </c>
      <c r="C1010" s="159">
        <f t="shared" ref="C1010:C1021" si="313">ROUND((C953*$C$1008)/1000,0)</f>
        <v>14770</v>
      </c>
      <c r="D1010" s="159">
        <f t="shared" ref="D1010:D1021" si="314">ROUND((D953*$D$1008)/1000,0)</f>
        <v>15484</v>
      </c>
      <c r="E1010" s="159">
        <f t="shared" ref="E1010:E1021" si="315">ROUND((E953*$E$1008)/1000,0)</f>
        <v>26352</v>
      </c>
      <c r="F1010" s="159">
        <f t="shared" ref="F1010:F1021" si="316">(F953*((U953-1526.8)/0.7702))/1000</f>
        <v>15183.538193203072</v>
      </c>
      <c r="G1010" s="159">
        <f t="shared" ref="G1010:G1021" si="317">(G953*((U953-1591.4)/0.6635))/1000</f>
        <v>0</v>
      </c>
      <c r="H1010" s="159">
        <f t="shared" ref="H1010:H1021" si="318">ROUND((H953*$H$1008)/1000,0)</f>
        <v>2700</v>
      </c>
      <c r="I1010" s="159">
        <f t="shared" ref="I1010:I1021" si="319">ROUND((I953*$I$1008)/1000,0)</f>
        <v>1855</v>
      </c>
      <c r="J1010" s="159">
        <f t="shared" ref="J1010:J1021" si="320">ROUND((J953*$J$1008)/1000,0)</f>
        <v>2896</v>
      </c>
      <c r="K1010" s="159">
        <f t="shared" ref="K1010:K1021" si="321">ROUND((K953*$K$1008)/1000,0)</f>
        <v>2993</v>
      </c>
      <c r="L1010" s="159">
        <f t="shared" ref="L1010:L1021" si="322">ROUND((L953*$L$1008)/1000,0)</f>
        <v>888</v>
      </c>
      <c r="M1010" s="159">
        <f t="shared" ref="M1010:M1021" si="323">ROUND((M953*$M$1008)/1000,0)</f>
        <v>1046</v>
      </c>
      <c r="N1010" s="159">
        <f t="shared" ref="N1010:N1021" si="324">ROUND((N953*$N$1008)/1000,0)</f>
        <v>1846</v>
      </c>
      <c r="O1010" s="159">
        <f t="shared" ref="O1010:O1021" si="325">ROUND((O953*$O$1008)/1000,0)</f>
        <v>648</v>
      </c>
      <c r="P1010" s="159">
        <f t="shared" ref="P1010:P1021" si="326">ROUND((P953*$P$1008)/1000,0)</f>
        <v>1609</v>
      </c>
      <c r="Q1010" s="159">
        <f t="shared" ref="Q1010:Q1021" si="327">ROUND((Q953*$Q$1008)/1000,0)</f>
        <v>1534</v>
      </c>
      <c r="R1010" s="379">
        <f>(SUM(B1010:Q1010))</f>
        <v>205757.53819320307</v>
      </c>
      <c r="S1010" s="168"/>
      <c r="AC1010" s="365"/>
      <c r="AD1010" s="159"/>
      <c r="AE1010" s="159"/>
      <c r="AF1010" s="159"/>
      <c r="AG1010" s="159"/>
      <c r="AH1010" s="159"/>
      <c r="AI1010" s="159"/>
      <c r="AJ1010" s="159"/>
      <c r="AK1010" s="159"/>
      <c r="AL1010" s="159"/>
      <c r="AM1010" s="159"/>
      <c r="AN1010" s="159"/>
      <c r="AO1010" s="159"/>
      <c r="AP1010" s="159"/>
      <c r="AQ1010" s="159"/>
      <c r="AR1010" s="159"/>
      <c r="AS1010" s="159"/>
      <c r="AU1010" s="380"/>
    </row>
    <row r="1011" spans="1:47" ht="15.75" customHeight="1" x14ac:dyDescent="0.3">
      <c r="A1011" s="365" t="s">
        <v>9</v>
      </c>
      <c r="B1011" s="159">
        <f t="shared" ref="B1011:B1021" si="328">ROUND((B954*$B$1008)/1000,0)</f>
        <v>105727</v>
      </c>
      <c r="C1011" s="159">
        <f t="shared" si="313"/>
        <v>13460</v>
      </c>
      <c r="D1011" s="159">
        <f t="shared" si="314"/>
        <v>14104</v>
      </c>
      <c r="E1011" s="159">
        <f t="shared" si="315"/>
        <v>23919</v>
      </c>
      <c r="F1011" s="159">
        <f t="shared" si="316"/>
        <v>7611.6063879511876</v>
      </c>
      <c r="G1011" s="159">
        <f t="shared" si="317"/>
        <v>0</v>
      </c>
      <c r="H1011" s="159">
        <f t="shared" si="318"/>
        <v>4760</v>
      </c>
      <c r="I1011" s="159">
        <f t="shared" si="319"/>
        <v>3104</v>
      </c>
      <c r="J1011" s="159">
        <f t="shared" si="320"/>
        <v>4684</v>
      </c>
      <c r="K1011" s="159">
        <f t="shared" si="321"/>
        <v>4714</v>
      </c>
      <c r="L1011" s="159">
        <f t="shared" si="322"/>
        <v>1349</v>
      </c>
      <c r="M1011" s="159">
        <f t="shared" si="323"/>
        <v>1589</v>
      </c>
      <c r="N1011" s="159">
        <f t="shared" si="324"/>
        <v>2875</v>
      </c>
      <c r="O1011" s="159">
        <f t="shared" si="325"/>
        <v>643</v>
      </c>
      <c r="P1011" s="159">
        <f t="shared" si="326"/>
        <v>1602</v>
      </c>
      <c r="Q1011" s="159">
        <f t="shared" si="327"/>
        <v>1522</v>
      </c>
      <c r="R1011" s="379">
        <f>(SUM(B1011:Q1011))</f>
        <v>191663.60638795118</v>
      </c>
      <c r="S1011" s="168"/>
      <c r="AC1011" s="365"/>
      <c r="AD1011" s="159"/>
      <c r="AE1011" s="159"/>
      <c r="AF1011" s="159"/>
      <c r="AG1011" s="159"/>
      <c r="AH1011" s="159"/>
      <c r="AI1011" s="159"/>
      <c r="AJ1011" s="159"/>
      <c r="AK1011" s="159"/>
      <c r="AL1011" s="159"/>
      <c r="AM1011" s="159"/>
      <c r="AN1011" s="159"/>
      <c r="AO1011" s="159"/>
      <c r="AP1011" s="159"/>
      <c r="AQ1011" s="159"/>
      <c r="AR1011" s="159"/>
      <c r="AS1011" s="159"/>
      <c r="AU1011" s="380"/>
    </row>
    <row r="1012" spans="1:47" ht="15.75" customHeight="1" x14ac:dyDescent="0.3">
      <c r="A1012" s="365" t="s">
        <v>10</v>
      </c>
      <c r="B1012" s="159">
        <f t="shared" si="328"/>
        <v>142013</v>
      </c>
      <c r="C1012" s="159">
        <f t="shared" si="313"/>
        <v>18071</v>
      </c>
      <c r="D1012" s="159">
        <f t="shared" si="314"/>
        <v>18926</v>
      </c>
      <c r="E1012" s="159">
        <f t="shared" si="315"/>
        <v>31730</v>
      </c>
      <c r="F1012" s="159">
        <f t="shared" si="316"/>
        <v>7358.0685536224391</v>
      </c>
      <c r="G1012" s="159">
        <f t="shared" si="317"/>
        <v>-69.353579502637501</v>
      </c>
      <c r="H1012" s="159">
        <f t="shared" si="318"/>
        <v>6851</v>
      </c>
      <c r="I1012" s="159">
        <f t="shared" si="319"/>
        <v>4991</v>
      </c>
      <c r="J1012" s="159">
        <f t="shared" si="320"/>
        <v>6775</v>
      </c>
      <c r="K1012" s="159">
        <f t="shared" si="321"/>
        <v>6702</v>
      </c>
      <c r="L1012" s="159">
        <f t="shared" si="322"/>
        <v>2014</v>
      </c>
      <c r="M1012" s="159">
        <f t="shared" si="323"/>
        <v>2373</v>
      </c>
      <c r="N1012" s="159">
        <f t="shared" si="324"/>
        <v>4828</v>
      </c>
      <c r="O1012" s="159">
        <f t="shared" si="325"/>
        <v>776</v>
      </c>
      <c r="P1012" s="159">
        <f t="shared" si="326"/>
        <v>1715</v>
      </c>
      <c r="Q1012" s="159">
        <f t="shared" si="327"/>
        <v>1835</v>
      </c>
      <c r="R1012" s="379">
        <f t="shared" ref="R1012:R1021" si="329">(SUM(B1012:Q1012))</f>
        <v>256888.71497411979</v>
      </c>
      <c r="S1012" s="168"/>
      <c r="AC1012" s="365"/>
      <c r="AD1012" s="159"/>
      <c r="AE1012" s="159"/>
      <c r="AF1012" s="159"/>
      <c r="AG1012" s="159"/>
      <c r="AH1012" s="159"/>
      <c r="AI1012" s="159"/>
      <c r="AJ1012" s="159"/>
      <c r="AK1012" s="159"/>
      <c r="AL1012" s="159"/>
      <c r="AM1012" s="159"/>
      <c r="AN1012" s="159"/>
      <c r="AO1012" s="159"/>
      <c r="AP1012" s="159"/>
      <c r="AQ1012" s="159"/>
      <c r="AR1012" s="159"/>
      <c r="AS1012" s="159"/>
      <c r="AU1012" s="380"/>
    </row>
    <row r="1013" spans="1:47" ht="15.75" customHeight="1" x14ac:dyDescent="0.3">
      <c r="A1013" s="365" t="s">
        <v>12</v>
      </c>
      <c r="B1013" s="159">
        <f t="shared" si="328"/>
        <v>155936</v>
      </c>
      <c r="C1013" s="159">
        <f t="shared" si="313"/>
        <v>19834</v>
      </c>
      <c r="D1013" s="159">
        <f t="shared" si="314"/>
        <v>20765</v>
      </c>
      <c r="E1013" s="159">
        <f t="shared" si="315"/>
        <v>34421</v>
      </c>
      <c r="F1013" s="159">
        <f t="shared" si="316"/>
        <v>477.24469730468212</v>
      </c>
      <c r="G1013" s="159">
        <f t="shared" si="317"/>
        <v>-203.89815291198815</v>
      </c>
      <c r="H1013" s="159">
        <f t="shared" si="318"/>
        <v>10615</v>
      </c>
      <c r="I1013" s="159">
        <f t="shared" si="319"/>
        <v>7565</v>
      </c>
      <c r="J1013" s="159">
        <f t="shared" si="320"/>
        <v>8690</v>
      </c>
      <c r="K1013" s="159">
        <f t="shared" si="321"/>
        <v>7527</v>
      </c>
      <c r="L1013" s="159">
        <f t="shared" si="322"/>
        <v>2372</v>
      </c>
      <c r="M1013" s="159">
        <f t="shared" si="323"/>
        <v>2795</v>
      </c>
      <c r="N1013" s="159">
        <f t="shared" si="324"/>
        <v>5400</v>
      </c>
      <c r="O1013" s="159">
        <f t="shared" si="325"/>
        <v>834</v>
      </c>
      <c r="P1013" s="159">
        <f t="shared" si="326"/>
        <v>1684</v>
      </c>
      <c r="Q1013" s="159">
        <f t="shared" si="327"/>
        <v>1972</v>
      </c>
      <c r="R1013" s="379">
        <f t="shared" si="329"/>
        <v>280683.3465443927</v>
      </c>
      <c r="S1013" s="168"/>
      <c r="AC1013" s="365"/>
      <c r="AD1013" s="159"/>
      <c r="AE1013" s="159"/>
      <c r="AF1013" s="159"/>
      <c r="AG1013" s="159"/>
      <c r="AH1013" s="159"/>
      <c r="AI1013" s="159"/>
      <c r="AJ1013" s="159"/>
      <c r="AK1013" s="159"/>
      <c r="AL1013" s="159"/>
      <c r="AM1013" s="159"/>
      <c r="AN1013" s="159"/>
      <c r="AO1013" s="159"/>
      <c r="AP1013" s="159"/>
      <c r="AQ1013" s="159"/>
      <c r="AR1013" s="159"/>
      <c r="AS1013" s="159"/>
      <c r="AU1013" s="380"/>
    </row>
    <row r="1014" spans="1:47" ht="15.75" customHeight="1" x14ac:dyDescent="0.3">
      <c r="A1014" s="365" t="s">
        <v>13</v>
      </c>
      <c r="B1014" s="159">
        <f t="shared" si="328"/>
        <v>160426</v>
      </c>
      <c r="C1014" s="159">
        <f t="shared" si="313"/>
        <v>20399</v>
      </c>
      <c r="D1014" s="159">
        <f t="shared" si="314"/>
        <v>21351</v>
      </c>
      <c r="E1014" s="159">
        <f t="shared" si="315"/>
        <v>35072</v>
      </c>
      <c r="F1014" s="159">
        <f t="shared" si="316"/>
        <v>56.801817709685878</v>
      </c>
      <c r="G1014" s="159">
        <f t="shared" si="317"/>
        <v>-2540.5978899773954</v>
      </c>
      <c r="H1014" s="159">
        <f t="shared" si="318"/>
        <v>12106</v>
      </c>
      <c r="I1014" s="159">
        <f t="shared" si="319"/>
        <v>6746</v>
      </c>
      <c r="J1014" s="159">
        <f t="shared" si="320"/>
        <v>8510</v>
      </c>
      <c r="K1014" s="159">
        <f t="shared" si="321"/>
        <v>7531</v>
      </c>
      <c r="L1014" s="159">
        <f t="shared" si="322"/>
        <v>2532</v>
      </c>
      <c r="M1014" s="159">
        <f t="shared" si="323"/>
        <v>2983</v>
      </c>
      <c r="N1014" s="159">
        <f t="shared" si="324"/>
        <v>5800</v>
      </c>
      <c r="O1014" s="159">
        <f t="shared" si="325"/>
        <v>1072</v>
      </c>
      <c r="P1014" s="159">
        <f t="shared" si="326"/>
        <v>2085</v>
      </c>
      <c r="Q1014" s="159">
        <f t="shared" si="327"/>
        <v>2514</v>
      </c>
      <c r="R1014" s="379">
        <f t="shared" si="329"/>
        <v>286643.20392773231</v>
      </c>
      <c r="S1014" s="168"/>
      <c r="AC1014" s="365"/>
      <c r="AD1014" s="159"/>
      <c r="AE1014" s="159"/>
      <c r="AF1014" s="159"/>
      <c r="AG1014" s="159"/>
      <c r="AH1014" s="159"/>
      <c r="AI1014" s="159"/>
      <c r="AJ1014" s="159"/>
      <c r="AK1014" s="159"/>
      <c r="AL1014" s="159"/>
      <c r="AM1014" s="159"/>
      <c r="AN1014" s="159"/>
      <c r="AO1014" s="159"/>
      <c r="AP1014" s="159"/>
      <c r="AQ1014" s="159"/>
      <c r="AR1014" s="159"/>
      <c r="AS1014" s="159"/>
      <c r="AU1014" s="380"/>
    </row>
    <row r="1015" spans="1:47" ht="15.75" customHeight="1" x14ac:dyDescent="0.3">
      <c r="A1015" s="365" t="s">
        <v>14</v>
      </c>
      <c r="B1015" s="159">
        <f t="shared" si="328"/>
        <v>86097</v>
      </c>
      <c r="C1015" s="159">
        <f t="shared" si="313"/>
        <v>10925</v>
      </c>
      <c r="D1015" s="159">
        <f t="shared" si="314"/>
        <v>11411</v>
      </c>
      <c r="E1015" s="159">
        <f t="shared" si="315"/>
        <v>18078</v>
      </c>
      <c r="F1015" s="159">
        <f t="shared" si="316"/>
        <v>0</v>
      </c>
      <c r="G1015" s="159">
        <f t="shared" si="317"/>
        <v>-13988.197889977399</v>
      </c>
      <c r="H1015" s="159">
        <f t="shared" si="318"/>
        <v>14001</v>
      </c>
      <c r="I1015" s="159">
        <f t="shared" si="319"/>
        <v>8429</v>
      </c>
      <c r="J1015" s="159">
        <f t="shared" si="320"/>
        <v>9218</v>
      </c>
      <c r="K1015" s="159">
        <f t="shared" si="321"/>
        <v>7970</v>
      </c>
      <c r="L1015" s="159">
        <f t="shared" si="322"/>
        <v>2371</v>
      </c>
      <c r="M1015" s="159">
        <f t="shared" si="323"/>
        <v>2792</v>
      </c>
      <c r="N1015" s="159">
        <f t="shared" si="324"/>
        <v>5419</v>
      </c>
      <c r="O1015" s="159">
        <f t="shared" si="325"/>
        <v>916</v>
      </c>
      <c r="P1015" s="159">
        <f t="shared" si="326"/>
        <v>2427</v>
      </c>
      <c r="Q1015" s="159">
        <f t="shared" si="327"/>
        <v>2166</v>
      </c>
      <c r="R1015" s="379">
        <f>(SUM(B1015:Q1015))</f>
        <v>168231.8021100226</v>
      </c>
      <c r="S1015" s="168"/>
      <c r="AC1015" s="365"/>
      <c r="AD1015" s="159"/>
      <c r="AE1015" s="159"/>
      <c r="AF1015" s="159"/>
      <c r="AG1015" s="159"/>
      <c r="AH1015" s="159"/>
      <c r="AI1015" s="159"/>
      <c r="AJ1015" s="159"/>
      <c r="AK1015" s="159"/>
      <c r="AL1015" s="159"/>
      <c r="AM1015" s="159"/>
      <c r="AN1015" s="159"/>
      <c r="AO1015" s="159"/>
      <c r="AP1015" s="159"/>
      <c r="AQ1015" s="159"/>
      <c r="AR1015" s="159"/>
      <c r="AS1015" s="159"/>
      <c r="AU1015" s="380"/>
    </row>
    <row r="1016" spans="1:47" ht="15.75" customHeight="1" x14ac:dyDescent="0.3">
      <c r="A1016" s="365" t="s">
        <v>16</v>
      </c>
      <c r="B1016" s="159">
        <f t="shared" si="328"/>
        <v>54890</v>
      </c>
      <c r="C1016" s="159">
        <f t="shared" si="313"/>
        <v>6947</v>
      </c>
      <c r="D1016" s="159">
        <f t="shared" si="314"/>
        <v>7238</v>
      </c>
      <c r="E1016" s="159">
        <f t="shared" si="315"/>
        <v>10849</v>
      </c>
      <c r="F1016" s="159">
        <f t="shared" si="316"/>
        <v>187.71777796163116</v>
      </c>
      <c r="G1016" s="159">
        <f t="shared" si="317"/>
        <v>-9683.9340184254161</v>
      </c>
      <c r="H1016" s="159">
        <f t="shared" si="318"/>
        <v>9079</v>
      </c>
      <c r="I1016" s="159">
        <f t="shared" si="319"/>
        <v>6767</v>
      </c>
      <c r="J1016" s="159">
        <f t="shared" si="320"/>
        <v>7812</v>
      </c>
      <c r="K1016" s="159">
        <f t="shared" si="321"/>
        <v>6947</v>
      </c>
      <c r="L1016" s="159">
        <f t="shared" si="322"/>
        <v>2172</v>
      </c>
      <c r="M1016" s="159">
        <f t="shared" si="323"/>
        <v>2559</v>
      </c>
      <c r="N1016" s="159">
        <f t="shared" si="324"/>
        <v>5221</v>
      </c>
      <c r="O1016" s="159">
        <f t="shared" si="325"/>
        <v>740</v>
      </c>
      <c r="P1016" s="159">
        <f t="shared" si="326"/>
        <v>1987</v>
      </c>
      <c r="Q1016" s="159">
        <f t="shared" si="327"/>
        <v>1749</v>
      </c>
      <c r="R1016" s="379">
        <f t="shared" si="329"/>
        <v>115460.78375953622</v>
      </c>
      <c r="S1016" s="168"/>
      <c r="AC1016" s="365"/>
      <c r="AD1016" s="159"/>
      <c r="AE1016" s="159"/>
      <c r="AF1016" s="159"/>
      <c r="AG1016" s="159"/>
      <c r="AH1016" s="159"/>
      <c r="AI1016" s="159"/>
      <c r="AJ1016" s="159"/>
      <c r="AK1016" s="159"/>
      <c r="AL1016" s="159"/>
      <c r="AM1016" s="159"/>
      <c r="AN1016" s="159"/>
      <c r="AO1016" s="159"/>
      <c r="AP1016" s="159"/>
      <c r="AQ1016" s="159"/>
      <c r="AR1016" s="159"/>
      <c r="AS1016" s="159"/>
      <c r="AU1016" s="380"/>
    </row>
    <row r="1017" spans="1:47" ht="15.75" customHeight="1" x14ac:dyDescent="0.3">
      <c r="A1017" s="365" t="s">
        <v>17</v>
      </c>
      <c r="B1017" s="159">
        <f t="shared" si="328"/>
        <v>48534</v>
      </c>
      <c r="C1017" s="159">
        <f t="shared" si="313"/>
        <v>6146</v>
      </c>
      <c r="D1017" s="159">
        <f t="shared" si="314"/>
        <v>6408</v>
      </c>
      <c r="E1017" s="159">
        <f t="shared" si="315"/>
        <v>9594</v>
      </c>
      <c r="F1017" s="159">
        <f t="shared" si="316"/>
        <v>0</v>
      </c>
      <c r="G1017" s="159">
        <f t="shared" si="317"/>
        <v>-8051.2925869577166</v>
      </c>
      <c r="H1017" s="159">
        <f t="shared" si="318"/>
        <v>7230</v>
      </c>
      <c r="I1017" s="159">
        <f t="shared" si="319"/>
        <v>5318</v>
      </c>
      <c r="J1017" s="159">
        <f t="shared" si="320"/>
        <v>7078</v>
      </c>
      <c r="K1017" s="159">
        <f t="shared" si="321"/>
        <v>6564</v>
      </c>
      <c r="L1017" s="159">
        <f t="shared" si="322"/>
        <v>2102</v>
      </c>
      <c r="M1017" s="159">
        <f t="shared" si="323"/>
        <v>2476</v>
      </c>
      <c r="N1017" s="159">
        <f t="shared" si="324"/>
        <v>5004</v>
      </c>
      <c r="O1017" s="159">
        <f t="shared" si="325"/>
        <v>628</v>
      </c>
      <c r="P1017" s="159">
        <f t="shared" si="326"/>
        <v>2006</v>
      </c>
      <c r="Q1017" s="159">
        <f t="shared" si="327"/>
        <v>1484</v>
      </c>
      <c r="R1017" s="379">
        <f t="shared" si="329"/>
        <v>102520.70741304228</v>
      </c>
      <c r="S1017" s="168"/>
      <c r="AC1017" s="365"/>
      <c r="AD1017" s="159"/>
      <c r="AE1017" s="159"/>
      <c r="AF1017" s="159"/>
      <c r="AG1017" s="159"/>
      <c r="AH1017" s="159"/>
      <c r="AI1017" s="159"/>
      <c r="AJ1017" s="159"/>
      <c r="AK1017" s="159"/>
      <c r="AL1017" s="159"/>
      <c r="AM1017" s="159"/>
      <c r="AN1017" s="159"/>
      <c r="AO1017" s="159"/>
      <c r="AP1017" s="159"/>
      <c r="AQ1017" s="159"/>
      <c r="AR1017" s="159"/>
      <c r="AS1017" s="159"/>
      <c r="AU1017" s="380"/>
    </row>
    <row r="1018" spans="1:47" ht="15.75" customHeight="1" x14ac:dyDescent="0.3">
      <c r="A1018" s="365" t="s">
        <v>18</v>
      </c>
      <c r="B1018" s="159">
        <f t="shared" si="328"/>
        <v>102925</v>
      </c>
      <c r="C1018" s="159">
        <f t="shared" si="313"/>
        <v>13083</v>
      </c>
      <c r="D1018" s="159">
        <f t="shared" si="314"/>
        <v>13687</v>
      </c>
      <c r="E1018" s="159">
        <f t="shared" si="315"/>
        <v>22501</v>
      </c>
      <c r="F1018" s="159">
        <f t="shared" si="316"/>
        <v>104.8961828096599</v>
      </c>
      <c r="G1018" s="159">
        <f t="shared" si="317"/>
        <v>-857.53917106254676</v>
      </c>
      <c r="H1018" s="159">
        <f t="shared" si="318"/>
        <v>6938</v>
      </c>
      <c r="I1018" s="159">
        <f t="shared" si="319"/>
        <v>4372</v>
      </c>
      <c r="J1018" s="159">
        <f t="shared" si="320"/>
        <v>6106</v>
      </c>
      <c r="K1018" s="159">
        <f t="shared" si="321"/>
        <v>5792</v>
      </c>
      <c r="L1018" s="159">
        <f t="shared" si="322"/>
        <v>1595</v>
      </c>
      <c r="M1018" s="159">
        <f t="shared" si="323"/>
        <v>1878</v>
      </c>
      <c r="N1018" s="159">
        <f t="shared" si="324"/>
        <v>3910</v>
      </c>
      <c r="O1018" s="159">
        <f t="shared" si="325"/>
        <v>706</v>
      </c>
      <c r="P1018" s="159">
        <f t="shared" si="326"/>
        <v>1085</v>
      </c>
      <c r="Q1018" s="159">
        <f t="shared" si="327"/>
        <v>1670</v>
      </c>
      <c r="R1018" s="379">
        <f t="shared" si="329"/>
        <v>185495.35701174711</v>
      </c>
      <c r="S1018" s="168"/>
      <c r="AC1018" s="365"/>
      <c r="AD1018" s="159"/>
      <c r="AE1018" s="159"/>
      <c r="AF1018" s="159"/>
      <c r="AG1018" s="159"/>
      <c r="AH1018" s="159"/>
      <c r="AI1018" s="159"/>
      <c r="AJ1018" s="159"/>
      <c r="AK1018" s="159"/>
      <c r="AL1018" s="159"/>
      <c r="AM1018" s="159"/>
      <c r="AN1018" s="159"/>
      <c r="AO1018" s="159"/>
      <c r="AP1018" s="159"/>
      <c r="AQ1018" s="159"/>
      <c r="AR1018" s="159"/>
      <c r="AS1018" s="159"/>
      <c r="AU1018" s="380"/>
    </row>
    <row r="1019" spans="1:47" ht="15.75" customHeight="1" x14ac:dyDescent="0.3">
      <c r="A1019" s="365" t="s">
        <v>20</v>
      </c>
      <c r="B1019" s="159">
        <f t="shared" si="328"/>
        <v>133122</v>
      </c>
      <c r="C1019" s="159">
        <f t="shared" si="313"/>
        <v>16936</v>
      </c>
      <c r="D1019" s="159">
        <f t="shared" si="314"/>
        <v>17734</v>
      </c>
      <c r="E1019" s="159">
        <f t="shared" si="315"/>
        <v>29665</v>
      </c>
      <c r="F1019" s="159">
        <f t="shared" si="316"/>
        <v>9675.7991560633454</v>
      </c>
      <c r="G1019" s="159">
        <f t="shared" si="317"/>
        <v>0</v>
      </c>
      <c r="H1019" s="159">
        <f t="shared" si="318"/>
        <v>4638</v>
      </c>
      <c r="I1019" s="159">
        <f t="shared" si="319"/>
        <v>2270</v>
      </c>
      <c r="J1019" s="159">
        <f t="shared" si="320"/>
        <v>3539</v>
      </c>
      <c r="K1019" s="159">
        <f t="shared" si="321"/>
        <v>3620</v>
      </c>
      <c r="L1019" s="159">
        <f t="shared" si="322"/>
        <v>1113</v>
      </c>
      <c r="M1019" s="159">
        <f t="shared" si="323"/>
        <v>1310</v>
      </c>
      <c r="N1019" s="159">
        <f t="shared" si="324"/>
        <v>2622</v>
      </c>
      <c r="O1019" s="159">
        <f t="shared" si="325"/>
        <v>625</v>
      </c>
      <c r="P1019" s="159">
        <f t="shared" si="326"/>
        <v>87</v>
      </c>
      <c r="Q1019" s="159">
        <f t="shared" si="327"/>
        <v>1478</v>
      </c>
      <c r="R1019" s="379">
        <f t="shared" si="329"/>
        <v>228434.79915606335</v>
      </c>
      <c r="S1019" s="168"/>
      <c r="AC1019" s="365"/>
      <c r="AD1019" s="159"/>
      <c r="AE1019" s="159"/>
      <c r="AF1019" s="159"/>
      <c r="AG1019" s="159"/>
      <c r="AH1019" s="159"/>
      <c r="AI1019" s="159"/>
      <c r="AJ1019" s="159"/>
      <c r="AK1019" s="159"/>
      <c r="AL1019" s="159"/>
      <c r="AM1019" s="159"/>
      <c r="AN1019" s="159"/>
      <c r="AO1019" s="159"/>
      <c r="AP1019" s="159"/>
      <c r="AQ1019" s="159"/>
      <c r="AR1019" s="159"/>
      <c r="AS1019" s="159"/>
      <c r="AU1019" s="380"/>
    </row>
    <row r="1020" spans="1:47" ht="15.75" customHeight="1" x14ac:dyDescent="0.3">
      <c r="A1020" s="365" t="s">
        <v>21</v>
      </c>
      <c r="B1020" s="159">
        <f t="shared" si="328"/>
        <v>118132</v>
      </c>
      <c r="C1020" s="159">
        <f t="shared" si="313"/>
        <v>15031</v>
      </c>
      <c r="D1020" s="159">
        <f t="shared" si="314"/>
        <v>15741</v>
      </c>
      <c r="E1020" s="159">
        <f t="shared" si="315"/>
        <v>26420</v>
      </c>
      <c r="F1020" s="159">
        <f t="shared" si="316"/>
        <v>12824.866437289014</v>
      </c>
      <c r="G1020" s="159">
        <f t="shared" si="317"/>
        <v>0</v>
      </c>
      <c r="H1020" s="159">
        <f t="shared" si="318"/>
        <v>2579</v>
      </c>
      <c r="I1020" s="159">
        <f t="shared" si="319"/>
        <v>137</v>
      </c>
      <c r="J1020" s="159">
        <f t="shared" si="320"/>
        <v>201</v>
      </c>
      <c r="K1020" s="159">
        <f t="shared" si="321"/>
        <v>193</v>
      </c>
      <c r="L1020" s="159">
        <f t="shared" si="322"/>
        <v>59</v>
      </c>
      <c r="M1020" s="159">
        <f t="shared" si="323"/>
        <v>67</v>
      </c>
      <c r="N1020" s="159">
        <f t="shared" si="324"/>
        <v>79</v>
      </c>
      <c r="O1020" s="159">
        <f t="shared" si="325"/>
        <v>39</v>
      </c>
      <c r="P1020" s="159">
        <f t="shared" si="326"/>
        <v>1813</v>
      </c>
      <c r="Q1020" s="159">
        <f t="shared" si="327"/>
        <v>91</v>
      </c>
      <c r="R1020" s="379">
        <f t="shared" si="329"/>
        <v>193406.86643728902</v>
      </c>
      <c r="S1020" s="168"/>
      <c r="AC1020" s="365"/>
      <c r="AD1020" s="159"/>
      <c r="AE1020" s="159"/>
      <c r="AF1020" s="159"/>
      <c r="AG1020" s="159"/>
      <c r="AH1020" s="159"/>
      <c r="AI1020" s="159"/>
      <c r="AJ1020" s="159"/>
      <c r="AK1020" s="159"/>
      <c r="AL1020" s="159"/>
      <c r="AM1020" s="159"/>
      <c r="AN1020" s="159"/>
      <c r="AO1020" s="159"/>
      <c r="AP1020" s="159"/>
      <c r="AQ1020" s="159"/>
      <c r="AR1020" s="159"/>
      <c r="AS1020" s="159"/>
      <c r="AU1020" s="380"/>
    </row>
    <row r="1021" spans="1:47" ht="15.75" customHeight="1" x14ac:dyDescent="0.3">
      <c r="A1021" s="365" t="s">
        <v>22</v>
      </c>
      <c r="B1021" s="159">
        <f t="shared" si="328"/>
        <v>82141</v>
      </c>
      <c r="C1021" s="159">
        <f t="shared" si="313"/>
        <v>10449</v>
      </c>
      <c r="D1021" s="159">
        <f t="shared" si="314"/>
        <v>10940</v>
      </c>
      <c r="E1021" s="159">
        <f t="shared" si="315"/>
        <v>18156</v>
      </c>
      <c r="F1021" s="159">
        <f t="shared" si="316"/>
        <v>3324.8747976718678</v>
      </c>
      <c r="G1021" s="159">
        <f t="shared" si="317"/>
        <v>0</v>
      </c>
      <c r="H1021" s="159">
        <f t="shared" si="318"/>
        <v>4181</v>
      </c>
      <c r="I1021" s="159">
        <f t="shared" si="319"/>
        <v>3153</v>
      </c>
      <c r="J1021" s="159">
        <f t="shared" si="320"/>
        <v>4812</v>
      </c>
      <c r="K1021" s="159">
        <f t="shared" si="321"/>
        <v>4984</v>
      </c>
      <c r="L1021" s="159">
        <f t="shared" si="322"/>
        <v>1481</v>
      </c>
      <c r="M1021" s="159">
        <f t="shared" si="323"/>
        <v>1745</v>
      </c>
      <c r="N1021" s="159">
        <f t="shared" si="324"/>
        <v>3656</v>
      </c>
      <c r="O1021" s="159">
        <f t="shared" si="325"/>
        <v>800</v>
      </c>
      <c r="P1021" s="159">
        <f t="shared" si="326"/>
        <v>1799</v>
      </c>
      <c r="Q1021" s="159">
        <f t="shared" si="327"/>
        <v>1893</v>
      </c>
      <c r="R1021" s="379">
        <f t="shared" si="329"/>
        <v>153514.87479767186</v>
      </c>
      <c r="S1021" s="168"/>
      <c r="AC1021" s="365"/>
      <c r="AD1021" s="159"/>
      <c r="AE1021" s="159"/>
      <c r="AF1021" s="159"/>
      <c r="AG1021" s="159"/>
      <c r="AH1021" s="159"/>
      <c r="AI1021" s="159"/>
      <c r="AJ1021" s="159"/>
      <c r="AK1021" s="159"/>
      <c r="AL1021" s="159"/>
      <c r="AM1021" s="159"/>
      <c r="AN1021" s="159"/>
      <c r="AO1021" s="159"/>
      <c r="AP1021" s="159"/>
      <c r="AQ1021" s="159"/>
      <c r="AR1021" s="159"/>
      <c r="AS1021" s="159"/>
      <c r="AU1021" s="380"/>
    </row>
    <row r="1022" spans="1:47" ht="15.75" customHeight="1" x14ac:dyDescent="0.3">
      <c r="A1022" s="325"/>
      <c r="B1022" s="159"/>
      <c r="C1022" s="159"/>
      <c r="D1022" s="159"/>
      <c r="E1022" s="159"/>
      <c r="F1022" s="159"/>
      <c r="G1022" s="159"/>
      <c r="H1022" s="159"/>
      <c r="I1022" s="159"/>
      <c r="J1022" s="159"/>
      <c r="K1022" s="159"/>
      <c r="L1022" s="159"/>
      <c r="M1022" s="159"/>
      <c r="N1022" s="159"/>
      <c r="O1022" s="159"/>
      <c r="P1022" s="159"/>
      <c r="Q1022" s="159"/>
      <c r="R1022" s="374"/>
      <c r="S1022" s="168"/>
      <c r="AD1022" s="159"/>
      <c r="AE1022" s="159"/>
      <c r="AF1022" s="159"/>
      <c r="AG1022" s="159"/>
      <c r="AH1022" s="159"/>
      <c r="AI1022" s="159"/>
      <c r="AJ1022" s="159"/>
      <c r="AK1022" s="159"/>
      <c r="AL1022" s="159"/>
      <c r="AM1022" s="159"/>
      <c r="AN1022" s="159"/>
      <c r="AO1022" s="159"/>
      <c r="AP1022" s="159"/>
      <c r="AQ1022" s="159"/>
      <c r="AR1022" s="159"/>
      <c r="AS1022" s="159"/>
    </row>
    <row r="1023" spans="1:47" ht="15.75" customHeight="1" x14ac:dyDescent="0.3">
      <c r="A1023" s="325" t="s">
        <v>422</v>
      </c>
      <c r="B1023" s="159">
        <f>SUM(B1010:B1021)</f>
        <v>1305896</v>
      </c>
      <c r="C1023" s="159">
        <f t="shared" ref="C1023:Q1023" si="330">SUM(C1010:C1021)</f>
        <v>166051</v>
      </c>
      <c r="D1023" s="159">
        <f t="shared" si="330"/>
        <v>173789</v>
      </c>
      <c r="E1023" s="159">
        <f t="shared" si="330"/>
        <v>286757</v>
      </c>
      <c r="F1023" s="159">
        <f t="shared" si="330"/>
        <v>56805.414001586585</v>
      </c>
      <c r="G1023" s="159">
        <f t="shared" si="330"/>
        <v>-35394.813288815101</v>
      </c>
      <c r="H1023" s="159">
        <f t="shared" si="330"/>
        <v>85678</v>
      </c>
      <c r="I1023" s="159">
        <f t="shared" si="330"/>
        <v>54707</v>
      </c>
      <c r="J1023" s="159">
        <f t="shared" si="330"/>
        <v>70321</v>
      </c>
      <c r="K1023" s="159">
        <f t="shared" si="330"/>
        <v>65537</v>
      </c>
      <c r="L1023" s="159">
        <f t="shared" si="330"/>
        <v>20048</v>
      </c>
      <c r="M1023" s="159">
        <f t="shared" si="330"/>
        <v>23613</v>
      </c>
      <c r="N1023" s="159">
        <f t="shared" si="330"/>
        <v>46660</v>
      </c>
      <c r="O1023" s="159">
        <f t="shared" si="330"/>
        <v>8427</v>
      </c>
      <c r="P1023" s="159">
        <f t="shared" si="330"/>
        <v>19899</v>
      </c>
      <c r="Q1023" s="159">
        <f t="shared" si="330"/>
        <v>19908</v>
      </c>
      <c r="R1023" s="381">
        <f>SUM(R1010:R1021)</f>
        <v>2368701.6007127715</v>
      </c>
      <c r="S1023" s="168"/>
      <c r="AC1023" s="365"/>
      <c r="AD1023" s="159"/>
      <c r="AE1023" s="159"/>
      <c r="AF1023" s="159"/>
      <c r="AG1023" s="159"/>
      <c r="AH1023" s="159"/>
      <c r="AI1023" s="159"/>
      <c r="AJ1023" s="159"/>
      <c r="AK1023" s="159"/>
      <c r="AL1023" s="159"/>
      <c r="AM1023" s="159"/>
      <c r="AN1023" s="159"/>
      <c r="AO1023" s="159"/>
      <c r="AP1023" s="159"/>
      <c r="AQ1023" s="159"/>
      <c r="AR1023" s="159"/>
      <c r="AS1023" s="159"/>
      <c r="AU1023" s="380"/>
    </row>
    <row r="1024" spans="1:47" ht="16.5" customHeight="1" thickBot="1" x14ac:dyDescent="0.35">
      <c r="A1024" s="330" t="s">
        <v>7</v>
      </c>
      <c r="B1024" s="327"/>
      <c r="C1024" s="327"/>
      <c r="D1024" s="327"/>
      <c r="E1024" s="327"/>
      <c r="F1024" s="327"/>
      <c r="G1024" s="327"/>
      <c r="H1024" s="327"/>
      <c r="I1024" s="327"/>
      <c r="J1024" s="327"/>
      <c r="K1024" s="327"/>
      <c r="L1024" s="327"/>
      <c r="M1024" s="327"/>
      <c r="N1024" s="327"/>
      <c r="O1024" s="327"/>
      <c r="P1024" s="327"/>
      <c r="Q1024" s="327"/>
      <c r="R1024" s="383"/>
      <c r="S1024" s="159"/>
    </row>
    <row r="1025" spans="1:18" ht="15.75" customHeight="1" x14ac:dyDescent="0.3">
      <c r="A1025" s="159"/>
      <c r="B1025" s="159"/>
      <c r="C1025" s="159"/>
      <c r="D1025" s="159"/>
      <c r="E1025" s="159"/>
      <c r="F1025" s="159"/>
      <c r="G1025" s="159"/>
      <c r="H1025" s="159"/>
      <c r="I1025" s="159"/>
      <c r="J1025" s="159"/>
      <c r="K1025" s="159"/>
      <c r="L1025" s="159"/>
      <c r="M1025" s="159"/>
      <c r="N1025" s="159"/>
      <c r="O1025" s="159"/>
      <c r="P1025" s="159"/>
      <c r="Q1025" s="159"/>
      <c r="R1025" s="159"/>
    </row>
    <row r="1026" spans="1:18" ht="15.75" customHeight="1" x14ac:dyDescent="0.3"/>
  </sheetData>
  <scenarios current="0">
    <scenario name="Jan" count="1" user="Windows User" comment="Created by Windows User on 4/11/2013">
      <inputCells r="B320" val="57771.3688407242" numFmtId="37"/>
    </scenario>
  </scenarios>
  <autoFilter ref="A31:R964" xr:uid="{00000000-0009-0000-0000-000004000000}"/>
  <mergeCells count="39">
    <mergeCell ref="B1001:P1001"/>
    <mergeCell ref="B1003:P1003"/>
    <mergeCell ref="B1004:P1004"/>
    <mergeCell ref="AD995:AQ995"/>
    <mergeCell ref="AD996:AQ996"/>
    <mergeCell ref="AD998:AQ998"/>
    <mergeCell ref="B999:P999"/>
    <mergeCell ref="AD999:AQ999"/>
    <mergeCell ref="B1000:P1000"/>
    <mergeCell ref="AD994:AQ994"/>
    <mergeCell ref="B946:P946"/>
    <mergeCell ref="B947:P947"/>
    <mergeCell ref="B948:P948"/>
    <mergeCell ref="B949:P949"/>
    <mergeCell ref="T950:U952"/>
    <mergeCell ref="B973:P973"/>
    <mergeCell ref="B974:P974"/>
    <mergeCell ref="B975:P975"/>
    <mergeCell ref="B976:P976"/>
    <mergeCell ref="B977:P977"/>
    <mergeCell ref="B978:P978"/>
    <mergeCell ref="B945:P945"/>
    <mergeCell ref="A880:R880"/>
    <mergeCell ref="A881:R881"/>
    <mergeCell ref="A882:R882"/>
    <mergeCell ref="A883:R883"/>
    <mergeCell ref="A885:R885"/>
    <mergeCell ref="A921:R921"/>
    <mergeCell ref="A922:R922"/>
    <mergeCell ref="A923:R923"/>
    <mergeCell ref="A924:R924"/>
    <mergeCell ref="A926:R926"/>
    <mergeCell ref="B944:P944"/>
    <mergeCell ref="A8:R8"/>
    <mergeCell ref="A2:R2"/>
    <mergeCell ref="A3:R3"/>
    <mergeCell ref="A4:R4"/>
    <mergeCell ref="A5:R5"/>
    <mergeCell ref="A6:R6"/>
  </mergeCells>
  <printOptions horizontalCentered="1"/>
  <pageMargins left="0.25" right="0.25" top="0.25" bottom="0.25" header="0" footer="0"/>
  <pageSetup paperSize="17" scale="10" orientation="landscape" r:id="rId1"/>
  <headerFooter alignWithMargins="0"/>
  <rowBreaks count="5" manualBreakCount="5">
    <brk id="890" max="17" man="1"/>
    <brk id="930" max="17" man="1"/>
    <brk id="983" max="18" man="1"/>
    <brk id="1011" max="18" man="1"/>
    <brk id="979" min="28" max="46"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CC6DA-DD5E-4FCA-84D5-EE4F5F39B37C}">
  <sheetPr codeName="Sheet34">
    <pageSetUpPr fitToPage="1"/>
  </sheetPr>
  <dimension ref="A1:AX1181"/>
  <sheetViews>
    <sheetView tabSelected="1" topLeftCell="A10" zoomScale="80" zoomScaleNormal="80" workbookViewId="0">
      <pane ySplit="22" topLeftCell="A999" activePane="bottomLeft" state="frozen"/>
      <selection activeCell="C410" sqref="C410"/>
      <selection pane="bottomLeft" activeCell="A1009" sqref="A1009"/>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218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1093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338" t="s">
        <v>791</v>
      </c>
      <c r="R1" s="3">
        <f ca="1">NOW()</f>
        <v>44909.46975358796</v>
      </c>
    </row>
    <row r="2" spans="1:36" ht="19.5" customHeight="1" x14ac:dyDescent="0.35">
      <c r="A2" s="500" t="s">
        <v>1</v>
      </c>
      <c r="B2" s="500"/>
      <c r="C2" s="500"/>
      <c r="D2" s="500"/>
      <c r="E2" s="500"/>
      <c r="F2" s="500"/>
      <c r="G2" s="500"/>
      <c r="H2" s="500"/>
      <c r="I2" s="500"/>
      <c r="J2" s="500"/>
      <c r="K2" s="500"/>
      <c r="L2" s="500"/>
      <c r="M2" s="500"/>
      <c r="N2" s="500"/>
      <c r="O2" s="500"/>
      <c r="P2" s="500"/>
      <c r="Q2" s="500"/>
      <c r="R2" s="500"/>
    </row>
    <row r="3" spans="1:36" ht="19.5" customHeight="1" x14ac:dyDescent="0.35">
      <c r="A3" s="500" t="s">
        <v>2</v>
      </c>
      <c r="B3" s="500"/>
      <c r="C3" s="500"/>
      <c r="D3" s="500"/>
      <c r="E3" s="500"/>
      <c r="F3" s="500"/>
      <c r="G3" s="500"/>
      <c r="H3" s="500"/>
      <c r="I3" s="500"/>
      <c r="J3" s="500"/>
      <c r="K3" s="500"/>
      <c r="L3" s="500"/>
      <c r="M3" s="500"/>
      <c r="N3" s="500"/>
      <c r="O3" s="500"/>
      <c r="P3" s="500"/>
      <c r="Q3" s="500"/>
      <c r="R3" s="500"/>
    </row>
    <row r="4" spans="1:36" ht="19.5" customHeight="1" x14ac:dyDescent="0.35">
      <c r="A4" s="501" t="s">
        <v>3</v>
      </c>
      <c r="B4" s="501"/>
      <c r="C4" s="501"/>
      <c r="D4" s="501"/>
      <c r="E4" s="501"/>
      <c r="F4" s="501"/>
      <c r="G4" s="501"/>
      <c r="H4" s="501"/>
      <c r="I4" s="501"/>
      <c r="J4" s="501"/>
      <c r="K4" s="501"/>
      <c r="L4" s="501"/>
      <c r="M4" s="501"/>
      <c r="N4" s="501"/>
      <c r="O4" s="501"/>
      <c r="P4" s="501"/>
      <c r="Q4" s="501"/>
      <c r="R4" s="501"/>
    </row>
    <row r="5" spans="1:36" ht="19.5" customHeight="1" x14ac:dyDescent="0.35">
      <c r="A5" s="502">
        <v>2020</v>
      </c>
      <c r="B5" s="502"/>
      <c r="C5" s="502"/>
      <c r="D5" s="502"/>
      <c r="E5" s="502"/>
      <c r="F5" s="502"/>
      <c r="G5" s="502"/>
      <c r="H5" s="502"/>
      <c r="I5" s="502"/>
      <c r="J5" s="502"/>
      <c r="K5" s="502"/>
      <c r="L5" s="502"/>
      <c r="M5" s="502"/>
      <c r="N5" s="502"/>
      <c r="O5" s="502"/>
      <c r="P5" s="502"/>
      <c r="Q5" s="502"/>
      <c r="R5" s="502"/>
    </row>
    <row r="6" spans="1:36" ht="19.5" customHeight="1" x14ac:dyDescent="0.35">
      <c r="A6" s="501" t="s">
        <v>1372</v>
      </c>
      <c r="B6" s="501"/>
      <c r="C6" s="501"/>
      <c r="D6" s="501"/>
      <c r="E6" s="501"/>
      <c r="F6" s="501"/>
      <c r="G6" s="501"/>
      <c r="H6" s="501"/>
      <c r="I6" s="501"/>
      <c r="J6" s="501"/>
      <c r="K6" s="501"/>
      <c r="L6" s="501"/>
      <c r="M6" s="501"/>
      <c r="N6" s="501"/>
      <c r="O6" s="501"/>
      <c r="P6" s="501"/>
      <c r="Q6" s="501"/>
      <c r="R6" s="501"/>
    </row>
    <row r="7" spans="1:36" ht="19.5" customHeight="1" x14ac:dyDescent="0.35">
      <c r="A7" s="296"/>
      <c r="B7" s="296"/>
      <c r="C7" s="296"/>
      <c r="D7" s="296"/>
      <c r="E7" s="296"/>
      <c r="F7" s="296"/>
      <c r="G7" s="296"/>
      <c r="H7" s="296"/>
      <c r="I7" s="296"/>
      <c r="J7" s="296"/>
      <c r="K7" s="296"/>
      <c r="L7" s="296"/>
      <c r="M7" s="296"/>
      <c r="N7" s="296"/>
      <c r="O7" s="296"/>
      <c r="P7" s="296"/>
      <c r="Q7" s="296"/>
      <c r="R7" s="296"/>
    </row>
    <row r="8" spans="1:36" ht="15.75" customHeight="1" x14ac:dyDescent="0.3">
      <c r="A8" s="499" t="s">
        <v>1373</v>
      </c>
      <c r="B8" s="499"/>
      <c r="C8" s="499"/>
      <c r="D8" s="499"/>
      <c r="E8" s="499"/>
      <c r="F8" s="499"/>
      <c r="G8" s="499"/>
      <c r="H8" s="499"/>
      <c r="I8" s="499"/>
      <c r="J8" s="499"/>
      <c r="K8" s="499"/>
      <c r="L8" s="499"/>
      <c r="M8" s="499"/>
      <c r="N8" s="499"/>
      <c r="O8" s="499"/>
      <c r="P8" s="499"/>
      <c r="Q8" s="499"/>
      <c r="R8" s="499"/>
    </row>
    <row r="9" spans="1:36" ht="15.75" customHeight="1" x14ac:dyDescent="0.3">
      <c r="A9" s="5"/>
      <c r="B9" s="6"/>
      <c r="C9" s="6"/>
      <c r="D9" s="6"/>
      <c r="E9" s="6"/>
      <c r="F9" s="6"/>
      <c r="G9" s="6"/>
      <c r="H9" s="6"/>
      <c r="I9" s="6"/>
      <c r="J9" s="6"/>
      <c r="K9" s="6"/>
      <c r="L9" s="6"/>
      <c r="M9" s="6"/>
      <c r="N9" s="6"/>
      <c r="O9" s="6"/>
      <c r="P9" s="6"/>
      <c r="Q9" s="6"/>
      <c r="R9" s="6"/>
    </row>
    <row r="10" spans="1:36" ht="15.75" customHeight="1" thickBot="1" x14ac:dyDescent="0.35">
      <c r="A10" s="1" t="s">
        <v>794</v>
      </c>
      <c r="B10" s="1">
        <v>31</v>
      </c>
      <c r="C10" s="1">
        <v>29</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297" t="s">
        <v>7</v>
      </c>
      <c r="B11" s="298" t="s">
        <v>795</v>
      </c>
      <c r="C11" s="48" t="s">
        <v>9</v>
      </c>
      <c r="D11" s="48" t="s">
        <v>10</v>
      </c>
      <c r="E11" s="32" t="s">
        <v>11</v>
      </c>
      <c r="F11" s="48" t="s">
        <v>12</v>
      </c>
      <c r="G11" s="48" t="s">
        <v>13</v>
      </c>
      <c r="H11" s="48" t="s">
        <v>14</v>
      </c>
      <c r="I11" s="32" t="s">
        <v>15</v>
      </c>
      <c r="J11" s="48" t="s">
        <v>16</v>
      </c>
      <c r="K11" s="48" t="s">
        <v>17</v>
      </c>
      <c r="L11" s="48" t="s">
        <v>18</v>
      </c>
      <c r="M11" s="32" t="s">
        <v>19</v>
      </c>
      <c r="N11" s="48" t="s">
        <v>20</v>
      </c>
      <c r="O11" s="48" t="s">
        <v>21</v>
      </c>
      <c r="P11" s="48" t="s">
        <v>22</v>
      </c>
      <c r="Q11" s="32" t="s">
        <v>23</v>
      </c>
      <c r="R11" s="49" t="s">
        <v>24</v>
      </c>
    </row>
    <row r="12" spans="1:36" ht="16.5" customHeight="1" thickBot="1" x14ac:dyDescent="0.35">
      <c r="A12" s="67"/>
      <c r="B12" s="449"/>
      <c r="C12" s="449"/>
      <c r="D12" s="449"/>
      <c r="E12" s="52"/>
      <c r="F12" s="449"/>
      <c r="G12" s="449"/>
      <c r="H12" s="449"/>
      <c r="I12" s="52"/>
      <c r="J12" s="449"/>
      <c r="K12" s="449"/>
      <c r="L12" s="449"/>
      <c r="M12" s="52"/>
      <c r="N12" s="449"/>
      <c r="O12" s="449"/>
      <c r="P12" s="449"/>
      <c r="Q12" s="52"/>
      <c r="R12" s="52"/>
    </row>
    <row r="13" spans="1:36" ht="15.75" customHeight="1" x14ac:dyDescent="0.3">
      <c r="A13" s="15" t="s">
        <v>25</v>
      </c>
      <c r="B13" s="1">
        <f>+B941</f>
        <v>52807</v>
      </c>
      <c r="C13" s="1">
        <f>+C941</f>
        <v>69398</v>
      </c>
      <c r="D13" s="1">
        <f>+D941</f>
        <v>88013</v>
      </c>
      <c r="E13" s="16">
        <f>SUM(B13:D13)</f>
        <v>210218</v>
      </c>
      <c r="F13" s="1">
        <f>+F941</f>
        <v>141711</v>
      </c>
      <c r="G13" s="1">
        <f>+G941</f>
        <v>174457</v>
      </c>
      <c r="H13" s="1">
        <f>+H941</f>
        <v>192700</v>
      </c>
      <c r="I13" s="16">
        <f t="shared" ref="I13:I19" si="0">SUM(F13:H13)</f>
        <v>508868</v>
      </c>
      <c r="J13" s="1">
        <f>+J941</f>
        <v>185936</v>
      </c>
      <c r="K13" s="1">
        <f>+K941</f>
        <v>180706</v>
      </c>
      <c r="L13" s="1">
        <f>+L941</f>
        <v>129353</v>
      </c>
      <c r="M13" s="16">
        <f t="shared" ref="M13:M20" si="1">SUM(J13:L13)</f>
        <v>495995</v>
      </c>
      <c r="N13" s="1">
        <f>+N941</f>
        <v>92903</v>
      </c>
      <c r="O13" s="1">
        <f>+O941</f>
        <v>56798</v>
      </c>
      <c r="P13" s="1">
        <f>+P941</f>
        <v>60059</v>
      </c>
      <c r="Q13" s="17">
        <f t="shared" ref="Q13:Q19" si="2">SUM(N13:P13)</f>
        <v>209760</v>
      </c>
      <c r="R13" s="16">
        <f t="shared" ref="R13:R20" si="3">+E13+I13+M13+Q13</f>
        <v>1424841</v>
      </c>
      <c r="V13" s="339"/>
      <c r="W13" s="339"/>
      <c r="X13" s="339"/>
      <c r="Z13" s="339"/>
      <c r="AA13" s="339"/>
      <c r="AB13" s="339"/>
      <c r="AD13" s="339"/>
      <c r="AE13" s="339"/>
      <c r="AF13" s="339"/>
      <c r="AH13" s="339"/>
      <c r="AI13" s="339"/>
      <c r="AJ13" s="339"/>
    </row>
    <row r="14" spans="1:36" ht="15.75" customHeight="1" x14ac:dyDescent="0.3">
      <c r="A14" s="15" t="s">
        <v>27</v>
      </c>
      <c r="B14" s="1">
        <f>B25+B60+B136+B326+B518+B569+B614+B680+B690+B726+B778+B788+B822+B873</f>
        <v>739</v>
      </c>
      <c r="C14" s="1">
        <f>C25+C60+C136+C326+C518+C569+C614+C680+C690+C726+C778+C788+C822+C873</f>
        <v>1283</v>
      </c>
      <c r="D14" s="1">
        <f>D25+D60+D136+D326+D518+D569+D614+D680+D690+D726+D778+D788+D822+D873</f>
        <v>2185</v>
      </c>
      <c r="E14" s="16">
        <f t="shared" ref="E14:E19" si="4">SUM(B14:D14)</f>
        <v>4207</v>
      </c>
      <c r="F14" s="1">
        <f>F25+F60+F136+F326+F518+F569+F614+F680+F690+F726+F778+F788+F822+F873</f>
        <v>2959</v>
      </c>
      <c r="G14" s="1">
        <f>G25+G60+G136+G326+G518+G569+G614+G680+G690+G726+G778+G788+G822+G873</f>
        <v>3425</v>
      </c>
      <c r="H14" s="1">
        <f>H25+H60+H136+H326+H518+H569+H614+H680+H690+H726+H778+H788+H822+H873</f>
        <v>3464</v>
      </c>
      <c r="I14" s="16">
        <f t="shared" si="0"/>
        <v>9848</v>
      </c>
      <c r="J14" s="1">
        <f>J25+J60+J136+J326+J518+J569+J614+J680+J690+J726+J778+J788+J822+J873</f>
        <v>3382</v>
      </c>
      <c r="K14" s="1">
        <f>K25+K60+K136+K326+K518+K569+K614+K680+K690+K726+K778+K788+K822+K873</f>
        <v>2663</v>
      </c>
      <c r="L14" s="1">
        <f>L25+L60+L136+L326+L518+L569+L614+L680+L690+L726+L778+L788+L822+L873</f>
        <v>2559</v>
      </c>
      <c r="M14" s="16">
        <f t="shared" si="1"/>
        <v>8604</v>
      </c>
      <c r="N14" s="1">
        <f>N25+N60+N136+N326+N518+N569+N614+N680+N690+N726+N778+N788+N822+N873</f>
        <v>2343</v>
      </c>
      <c r="O14" s="1">
        <f>O25+O60+O136+O326+O518+O569+O614+O680+O690+O726+O778+O788+O822+O873</f>
        <v>1892</v>
      </c>
      <c r="P14" s="1">
        <f>P25+P60+P136+P326+P518+P569+P614+P680+P690+P726+P778+P788+P822+P873</f>
        <v>1423</v>
      </c>
      <c r="Q14" s="17">
        <f t="shared" si="2"/>
        <v>5658</v>
      </c>
      <c r="R14" s="16">
        <f t="shared" si="3"/>
        <v>28317</v>
      </c>
    </row>
    <row r="15" spans="1:36" ht="15.75" customHeight="1" x14ac:dyDescent="0.3">
      <c r="A15" s="15" t="s">
        <v>28</v>
      </c>
      <c r="B15" s="1">
        <f>B321</f>
        <v>0</v>
      </c>
      <c r="C15" s="1">
        <f>C321</f>
        <v>883</v>
      </c>
      <c r="D15" s="1">
        <f>D321</f>
        <v>640</v>
      </c>
      <c r="E15" s="16">
        <f t="shared" si="4"/>
        <v>1523</v>
      </c>
      <c r="F15" s="1">
        <f>F321</f>
        <v>618</v>
      </c>
      <c r="G15" s="1">
        <f>G321</f>
        <v>1718</v>
      </c>
      <c r="H15" s="1">
        <f>H321</f>
        <v>2967</v>
      </c>
      <c r="I15" s="16">
        <f t="shared" si="0"/>
        <v>5303</v>
      </c>
      <c r="J15" s="1">
        <f>J321</f>
        <v>3280</v>
      </c>
      <c r="K15" s="1">
        <f>K321</f>
        <v>2626</v>
      </c>
      <c r="L15" s="1">
        <f>L321</f>
        <v>2888</v>
      </c>
      <c r="M15" s="16">
        <f t="shared" si="1"/>
        <v>8794</v>
      </c>
      <c r="N15" s="1">
        <f>N321</f>
        <v>6084</v>
      </c>
      <c r="O15" s="1">
        <f>O321</f>
        <v>4262</v>
      </c>
      <c r="P15" s="1">
        <f>P321</f>
        <v>1870</v>
      </c>
      <c r="Q15" s="17">
        <f t="shared" si="2"/>
        <v>12216</v>
      </c>
      <c r="R15" s="16">
        <f t="shared" si="3"/>
        <v>27836</v>
      </c>
    </row>
    <row r="16" spans="1:36" ht="15.75" customHeight="1" x14ac:dyDescent="0.3">
      <c r="A16" s="18" t="s">
        <v>29</v>
      </c>
      <c r="B16" s="1">
        <f>+B322</f>
        <v>0</v>
      </c>
      <c r="C16" s="1">
        <f>+C322</f>
        <v>0</v>
      </c>
      <c r="D16" s="1">
        <f>+D322</f>
        <v>454</v>
      </c>
      <c r="E16" s="16">
        <f t="shared" si="4"/>
        <v>454</v>
      </c>
      <c r="F16" s="1">
        <f>+F322</f>
        <v>2393</v>
      </c>
      <c r="G16" s="1">
        <f>+G322</f>
        <v>12158</v>
      </c>
      <c r="H16" s="1">
        <f>+H322</f>
        <v>-5139</v>
      </c>
      <c r="I16" s="16">
        <f t="shared" si="0"/>
        <v>9412</v>
      </c>
      <c r="J16" s="1">
        <f>+J322</f>
        <v>-5004</v>
      </c>
      <c r="K16" s="1">
        <f>+K322</f>
        <v>-1676</v>
      </c>
      <c r="L16" s="1">
        <f>+L322</f>
        <v>0</v>
      </c>
      <c r="M16" s="16">
        <f t="shared" si="1"/>
        <v>-6680</v>
      </c>
      <c r="N16" s="1">
        <f>+N322</f>
        <v>0</v>
      </c>
      <c r="O16" s="1">
        <f>+O322</f>
        <v>0</v>
      </c>
      <c r="P16" s="1">
        <f>+P322</f>
        <v>0</v>
      </c>
      <c r="Q16" s="17">
        <f t="shared" si="2"/>
        <v>0</v>
      </c>
      <c r="R16" s="16">
        <f t="shared" si="3"/>
        <v>3186</v>
      </c>
    </row>
    <row r="17" spans="1:20" ht="15.75" customHeight="1" x14ac:dyDescent="0.3">
      <c r="A17" s="19" t="s">
        <v>31</v>
      </c>
      <c r="B17" s="1">
        <f>B325</f>
        <v>20718</v>
      </c>
      <c r="C17" s="1">
        <f>C325</f>
        <v>2716</v>
      </c>
      <c r="D17" s="1">
        <f>D325</f>
        <v>23196</v>
      </c>
      <c r="E17" s="16">
        <f t="shared" si="4"/>
        <v>46630</v>
      </c>
      <c r="F17" s="1">
        <f>F325</f>
        <v>3618</v>
      </c>
      <c r="G17" s="1">
        <f>G325</f>
        <v>0</v>
      </c>
      <c r="H17" s="1">
        <f>H325</f>
        <v>0</v>
      </c>
      <c r="I17" s="16">
        <f t="shared" si="0"/>
        <v>3618</v>
      </c>
      <c r="J17" s="1">
        <f>J325</f>
        <v>0</v>
      </c>
      <c r="K17" s="1">
        <f>K325</f>
        <v>5</v>
      </c>
      <c r="L17" s="1">
        <f>L325</f>
        <v>33393</v>
      </c>
      <c r="M17" s="16">
        <f t="shared" si="1"/>
        <v>33398</v>
      </c>
      <c r="N17" s="1">
        <f>N325</f>
        <v>61538</v>
      </c>
      <c r="O17" s="1">
        <f>O325</f>
        <v>65150</v>
      </c>
      <c r="P17" s="1">
        <f>P325</f>
        <v>77761</v>
      </c>
      <c r="Q17" s="17">
        <f t="shared" si="2"/>
        <v>204449</v>
      </c>
      <c r="R17" s="16">
        <f t="shared" si="3"/>
        <v>288095</v>
      </c>
    </row>
    <row r="18" spans="1:20" ht="15.75" customHeight="1" x14ac:dyDescent="0.3">
      <c r="A18" s="19" t="s">
        <v>32</v>
      </c>
      <c r="B18" s="1">
        <f>B337</f>
        <v>0</v>
      </c>
      <c r="C18" s="1">
        <f>C337</f>
        <v>0</v>
      </c>
      <c r="D18" s="1">
        <f>D337</f>
        <v>-19258</v>
      </c>
      <c r="E18" s="16">
        <f t="shared" si="4"/>
        <v>-19258</v>
      </c>
      <c r="F18" s="1">
        <f>F337</f>
        <v>0</v>
      </c>
      <c r="G18" s="1">
        <f>G337</f>
        <v>-12620</v>
      </c>
      <c r="H18" s="1">
        <f>H337</f>
        <v>-87156</v>
      </c>
      <c r="I18" s="16">
        <f t="shared" si="0"/>
        <v>-99776</v>
      </c>
      <c r="J18" s="1">
        <f>J337</f>
        <v>-112890</v>
      </c>
      <c r="K18" s="1">
        <f>K337</f>
        <v>-121200</v>
      </c>
      <c r="L18" s="1">
        <f>L337</f>
        <v>-3227</v>
      </c>
      <c r="M18" s="16">
        <f t="shared" si="1"/>
        <v>-237317</v>
      </c>
      <c r="N18" s="1">
        <f>N337</f>
        <v>-23</v>
      </c>
      <c r="O18" s="1">
        <f>O337</f>
        <v>-5290</v>
      </c>
      <c r="P18" s="1">
        <f>P337</f>
        <v>0</v>
      </c>
      <c r="Q18" s="17">
        <f t="shared" si="2"/>
        <v>-5313</v>
      </c>
      <c r="R18" s="16">
        <f t="shared" si="3"/>
        <v>-361664</v>
      </c>
    </row>
    <row r="19" spans="1:20" ht="16.5" customHeight="1" thickBot="1" x14ac:dyDescent="0.35">
      <c r="A19" s="20" t="s">
        <v>33</v>
      </c>
      <c r="B19" s="21">
        <f>(B29)</f>
        <v>74264</v>
      </c>
      <c r="C19" s="21">
        <f>(C29)</f>
        <v>74280</v>
      </c>
      <c r="D19" s="21">
        <f>(D29)</f>
        <v>95230</v>
      </c>
      <c r="E19" s="22">
        <f t="shared" si="4"/>
        <v>243774</v>
      </c>
      <c r="F19" s="21">
        <f>(F29)</f>
        <v>151299</v>
      </c>
      <c r="G19" s="21">
        <f>(G29)</f>
        <v>179138</v>
      </c>
      <c r="H19" s="21">
        <f>(H29)</f>
        <v>106836</v>
      </c>
      <c r="I19" s="22">
        <f t="shared" si="0"/>
        <v>437273</v>
      </c>
      <c r="J19" s="21">
        <f>(J29)</f>
        <v>74704</v>
      </c>
      <c r="K19" s="21">
        <f>(K29)</f>
        <v>63124</v>
      </c>
      <c r="L19" s="21">
        <f>(L29)</f>
        <v>164966</v>
      </c>
      <c r="M19" s="22">
        <f t="shared" si="1"/>
        <v>302794</v>
      </c>
      <c r="N19" s="21">
        <f>(N29)</f>
        <v>162845</v>
      </c>
      <c r="O19" s="21">
        <f>(O29)</f>
        <v>122812</v>
      </c>
      <c r="P19" s="21">
        <f>(P29)</f>
        <v>141113</v>
      </c>
      <c r="Q19" s="23">
        <f t="shared" si="2"/>
        <v>426770</v>
      </c>
      <c r="R19" s="22">
        <f t="shared" si="3"/>
        <v>1410611</v>
      </c>
    </row>
    <row r="20" spans="1:20" ht="16.5" customHeight="1" thickBot="1" x14ac:dyDescent="0.35">
      <c r="A20" s="20" t="s">
        <v>36</v>
      </c>
      <c r="B20" s="21">
        <v>75318</v>
      </c>
      <c r="C20" s="21">
        <v>74716</v>
      </c>
      <c r="D20" s="21">
        <v>94056</v>
      </c>
      <c r="E20" s="22">
        <f>SUM(B20:D20)</f>
        <v>244090</v>
      </c>
      <c r="F20" s="21">
        <v>148297</v>
      </c>
      <c r="G20" s="21">
        <v>179746</v>
      </c>
      <c r="H20" s="21">
        <v>103316</v>
      </c>
      <c r="I20" s="22">
        <f>SUM(F20:H20)</f>
        <v>431359</v>
      </c>
      <c r="J20" s="21">
        <v>69322</v>
      </c>
      <c r="K20" s="21">
        <v>61464</v>
      </c>
      <c r="L20" s="21">
        <v>164300</v>
      </c>
      <c r="M20" s="22">
        <f t="shared" si="1"/>
        <v>295086</v>
      </c>
      <c r="N20" s="21">
        <v>163523</v>
      </c>
      <c r="O20" s="21">
        <v>123148</v>
      </c>
      <c r="P20" s="21">
        <v>145331</v>
      </c>
      <c r="Q20" s="23">
        <f>SUM(N20:P20)</f>
        <v>432002</v>
      </c>
      <c r="R20" s="22">
        <f t="shared" si="3"/>
        <v>1402537</v>
      </c>
    </row>
    <row r="21" spans="1:20" ht="15.75" customHeight="1" x14ac:dyDescent="0.3">
      <c r="A21" s="1"/>
      <c r="B21" s="1"/>
      <c r="C21" s="1"/>
      <c r="D21" s="1"/>
      <c r="E21" s="1"/>
      <c r="F21" s="1"/>
      <c r="G21" s="1"/>
      <c r="H21" s="1"/>
      <c r="I21" s="1"/>
      <c r="J21" s="1"/>
      <c r="K21" s="1"/>
      <c r="L21" s="1"/>
      <c r="M21" s="1"/>
      <c r="N21" s="1"/>
      <c r="O21" s="1"/>
      <c r="P21" s="1"/>
      <c r="Q21" s="1"/>
      <c r="R21" s="2"/>
    </row>
    <row r="22" spans="1:20" ht="15.75" customHeight="1" thickBot="1" x14ac:dyDescent="0.35">
      <c r="A22" s="1"/>
      <c r="B22" s="1"/>
      <c r="C22" s="1"/>
      <c r="D22" s="1"/>
      <c r="E22" s="1"/>
      <c r="F22" s="27" t="s">
        <v>7</v>
      </c>
      <c r="G22" s="27" t="s">
        <v>7</v>
      </c>
      <c r="H22" s="1"/>
      <c r="I22" s="1"/>
      <c r="J22" s="1"/>
      <c r="K22" s="1"/>
      <c r="L22" s="1"/>
      <c r="M22" s="1"/>
      <c r="N22" s="27" t="s">
        <v>7</v>
      </c>
      <c r="O22" s="27" t="s">
        <v>7</v>
      </c>
      <c r="P22" s="27" t="s">
        <v>7</v>
      </c>
      <c r="Q22" s="27"/>
      <c r="R22" s="28" t="s">
        <v>7</v>
      </c>
    </row>
    <row r="23" spans="1:20" ht="16.5" customHeight="1" thickBot="1" x14ac:dyDescent="0.35">
      <c r="A23" s="29" t="s">
        <v>39</v>
      </c>
      <c r="B23" s="30" t="s">
        <v>8</v>
      </c>
      <c r="C23" s="31" t="s">
        <v>9</v>
      </c>
      <c r="D23" s="31" t="s">
        <v>10</v>
      </c>
      <c r="E23" s="32" t="s">
        <v>11</v>
      </c>
      <c r="F23" s="31" t="s">
        <v>12</v>
      </c>
      <c r="G23" s="31" t="s">
        <v>13</v>
      </c>
      <c r="H23" s="31" t="s">
        <v>14</v>
      </c>
      <c r="I23" s="33" t="s">
        <v>15</v>
      </c>
      <c r="J23" s="31" t="s">
        <v>16</v>
      </c>
      <c r="K23" s="31" t="s">
        <v>17</v>
      </c>
      <c r="L23" s="31" t="s">
        <v>18</v>
      </c>
      <c r="M23" s="33" t="s">
        <v>19</v>
      </c>
      <c r="N23" s="31" t="s">
        <v>20</v>
      </c>
      <c r="O23" s="31" t="s">
        <v>21</v>
      </c>
      <c r="P23" s="31" t="s">
        <v>22</v>
      </c>
      <c r="Q23" s="33" t="s">
        <v>23</v>
      </c>
      <c r="R23" s="34" t="s">
        <v>24</v>
      </c>
    </row>
    <row r="24" spans="1:20" ht="16.5" customHeight="1" thickBot="1" x14ac:dyDescent="0.35">
      <c r="A24" s="35"/>
      <c r="B24" s="36"/>
      <c r="C24" s="36"/>
      <c r="D24" s="36"/>
      <c r="E24" s="37"/>
      <c r="F24" s="36"/>
      <c r="G24" s="36"/>
      <c r="H24" s="36"/>
      <c r="I24" s="37"/>
      <c r="J24" s="36"/>
      <c r="K24" s="36"/>
      <c r="L24" s="36"/>
      <c r="M24" s="37"/>
      <c r="N24" s="36"/>
      <c r="O24" s="36"/>
      <c r="P24" s="36"/>
      <c r="Q24" s="37"/>
      <c r="R24" s="38"/>
    </row>
    <row r="25" spans="1:20" ht="16.5" customHeight="1" thickBot="1" x14ac:dyDescent="0.35">
      <c r="A25" s="39" t="s">
        <v>40</v>
      </c>
      <c r="B25" s="21">
        <v>97</v>
      </c>
      <c r="C25" s="21">
        <v>148</v>
      </c>
      <c r="D25" s="21">
        <v>274</v>
      </c>
      <c r="E25" s="40">
        <f>SUM(B25:D25)</f>
        <v>519</v>
      </c>
      <c r="F25" s="21">
        <v>367</v>
      </c>
      <c r="G25" s="21">
        <v>425</v>
      </c>
      <c r="H25" s="21">
        <v>417</v>
      </c>
      <c r="I25" s="40">
        <f>SUM(F25:H25)</f>
        <v>1209</v>
      </c>
      <c r="J25" s="21">
        <v>416</v>
      </c>
      <c r="K25" s="21">
        <v>334</v>
      </c>
      <c r="L25" s="21">
        <v>316</v>
      </c>
      <c r="M25" s="40">
        <f>SUM(J25:L25)</f>
        <v>1066</v>
      </c>
      <c r="N25" s="21">
        <v>285</v>
      </c>
      <c r="O25" s="21">
        <v>235</v>
      </c>
      <c r="P25" s="21">
        <v>186</v>
      </c>
      <c r="Q25" s="40">
        <f>SUM(N25:P25)</f>
        <v>706</v>
      </c>
      <c r="R25" s="22">
        <f>+E25+I25+M25+Q25</f>
        <v>3500</v>
      </c>
    </row>
    <row r="26" spans="1:20" ht="17.25" customHeight="1" thickBot="1" x14ac:dyDescent="0.35">
      <c r="A26" s="41"/>
      <c r="B26" s="36"/>
      <c r="C26" s="36"/>
      <c r="D26" s="36"/>
      <c r="E26" s="42"/>
      <c r="F26" s="36"/>
      <c r="G26" s="36"/>
      <c r="H26" s="36"/>
      <c r="I26" s="42"/>
      <c r="J26" s="36"/>
      <c r="K26" s="36"/>
      <c r="L26" s="36"/>
      <c r="M26" s="42"/>
      <c r="N26" s="36"/>
      <c r="O26" s="36"/>
      <c r="P26" s="36"/>
      <c r="Q26" s="42"/>
      <c r="R26" s="43"/>
    </row>
    <row r="27" spans="1:20" ht="15.75" customHeight="1" x14ac:dyDescent="0.3">
      <c r="A27" s="15" t="s">
        <v>41</v>
      </c>
      <c r="B27" s="1">
        <f>B25</f>
        <v>97</v>
      </c>
      <c r="C27" s="1">
        <f>C25</f>
        <v>148</v>
      </c>
      <c r="D27" s="1">
        <f>D25</f>
        <v>274</v>
      </c>
      <c r="E27" s="40">
        <f>SUM(B27:D27)</f>
        <v>519</v>
      </c>
      <c r="F27" s="1">
        <f>F25</f>
        <v>367</v>
      </c>
      <c r="G27" s="1">
        <f>G25</f>
        <v>425</v>
      </c>
      <c r="H27" s="1">
        <f>H25</f>
        <v>417</v>
      </c>
      <c r="I27" s="40">
        <f>SUM(F27:H27)</f>
        <v>1209</v>
      </c>
      <c r="J27" s="1">
        <f>J25</f>
        <v>416</v>
      </c>
      <c r="K27" s="1">
        <f>K25</f>
        <v>334</v>
      </c>
      <c r="L27" s="1">
        <f>L25</f>
        <v>316</v>
      </c>
      <c r="M27" s="40">
        <f>SUM(J27:L27)</f>
        <v>1066</v>
      </c>
      <c r="N27" s="1">
        <f>N25</f>
        <v>285</v>
      </c>
      <c r="O27" s="1">
        <f>O25</f>
        <v>235</v>
      </c>
      <c r="P27" s="1">
        <f>P25</f>
        <v>186</v>
      </c>
      <c r="Q27" s="44">
        <f>SUM(N27:P27)</f>
        <v>706</v>
      </c>
      <c r="R27" s="40">
        <f>+E27+I27+M27+Q27</f>
        <v>3500</v>
      </c>
    </row>
    <row r="28" spans="1:20" ht="15.75" customHeight="1" x14ac:dyDescent="0.3">
      <c r="A28" s="15" t="s">
        <v>42</v>
      </c>
      <c r="B28" s="1">
        <f>(B27/B10)/1.983</f>
        <v>1.5779285214647079</v>
      </c>
      <c r="C28" s="1">
        <f>(C27/C10)/1.983</f>
        <v>2.5735997356843514</v>
      </c>
      <c r="D28" s="1">
        <f>(D27/D10)/1.983</f>
        <v>4.457241390529175</v>
      </c>
      <c r="E28" s="16"/>
      <c r="F28" s="1">
        <f>(F27/F10)/1.983</f>
        <v>6.1691040511010247</v>
      </c>
      <c r="G28" s="1">
        <f>(G27/G10)/1.983</f>
        <v>6.9136043466237203</v>
      </c>
      <c r="H28" s="1">
        <f>(H27/H10)/1.983</f>
        <v>7.0095814422592033</v>
      </c>
      <c r="I28" s="16"/>
      <c r="J28" s="1">
        <f>(J27/J10)/1.983</f>
        <v>6.7671986075187478</v>
      </c>
      <c r="K28" s="1">
        <f>(K27/K10)/1.983</f>
        <v>5.433279651228994</v>
      </c>
      <c r="L28" s="1">
        <f>(L27/L10)/1.983</f>
        <v>5.3118171121196838</v>
      </c>
      <c r="M28" s="16"/>
      <c r="N28" s="1">
        <f>(N27/N10)/1.983</f>
        <v>4.6361817383241419</v>
      </c>
      <c r="O28" s="1">
        <f>(O27/O10)/1.983</f>
        <v>3.9502437384434357</v>
      </c>
      <c r="P28" s="1">
        <f>(P27/P10)/1.983</f>
        <v>3.02571860816944</v>
      </c>
      <c r="Q28" s="17"/>
      <c r="R28" s="16"/>
    </row>
    <row r="29" spans="1:20" ht="15.75" customHeight="1" x14ac:dyDescent="0.3">
      <c r="A29" s="15" t="s">
        <v>43</v>
      </c>
      <c r="B29" s="1">
        <f>B27+B64</f>
        <v>74264</v>
      </c>
      <c r="C29" s="1">
        <f>C27+C64</f>
        <v>74280</v>
      </c>
      <c r="D29" s="1">
        <f>D27+D64</f>
        <v>95230</v>
      </c>
      <c r="E29" s="16">
        <f>SUM(B29:D29)</f>
        <v>243774</v>
      </c>
      <c r="F29" s="1">
        <f>F27+F64</f>
        <v>151299</v>
      </c>
      <c r="G29" s="1">
        <f>G27+G64</f>
        <v>179138</v>
      </c>
      <c r="H29" s="1">
        <f>H27+H64</f>
        <v>106836</v>
      </c>
      <c r="I29" s="16">
        <f>SUM(F29:H29)</f>
        <v>437273</v>
      </c>
      <c r="J29" s="1">
        <f>J27+J64</f>
        <v>74704</v>
      </c>
      <c r="K29" s="1">
        <f>K27+K64</f>
        <v>63124</v>
      </c>
      <c r="L29" s="1">
        <f>L27+L64</f>
        <v>164966</v>
      </c>
      <c r="M29" s="16">
        <f>SUM(J29:L29)</f>
        <v>302794</v>
      </c>
      <c r="N29" s="1">
        <f>N27+N64</f>
        <v>162845</v>
      </c>
      <c r="O29" s="1">
        <f>O27+O64</f>
        <v>122812</v>
      </c>
      <c r="P29" s="1">
        <f>P27+P64</f>
        <v>141113</v>
      </c>
      <c r="Q29" s="17">
        <f>SUM(N29:P29)</f>
        <v>426770</v>
      </c>
      <c r="R29" s="16">
        <f>+E29+I29+M29+Q29</f>
        <v>1410611</v>
      </c>
    </row>
    <row r="30" spans="1:20" s="344" customFormat="1" ht="16.5" customHeight="1" thickBot="1" x14ac:dyDescent="0.35">
      <c r="A30" s="340" t="s">
        <v>44</v>
      </c>
      <c r="B30" s="341">
        <f>(B29/B10)/1.983</f>
        <v>1208.0750898768565</v>
      </c>
      <c r="C30" s="341">
        <f>(C29/C10)/1.983</f>
        <v>1291.668840315092</v>
      </c>
      <c r="D30" s="341">
        <f>(D29/D10)/1.983</f>
        <v>1549.1353927740633</v>
      </c>
      <c r="E30" s="342"/>
      <c r="F30" s="341">
        <f>(F29/F10)/1.983</f>
        <v>2543.2677760968231</v>
      </c>
      <c r="G30" s="341">
        <f>(G29/G10)/1.983</f>
        <v>2914.0923657540711</v>
      </c>
      <c r="H30" s="341">
        <f>(H29/H10)/1.983</f>
        <v>1795.8648512355016</v>
      </c>
      <c r="I30" s="342"/>
      <c r="J30" s="341">
        <f>(J29/J10)/1.983</f>
        <v>1215.2327037886553</v>
      </c>
      <c r="K30" s="341">
        <f>(K29/K10)/1.983</f>
        <v>1026.85731947359</v>
      </c>
      <c r="L30" s="341">
        <f>(L29/L10)/1.983</f>
        <v>2773.0038661959993</v>
      </c>
      <c r="M30" s="342"/>
      <c r="N30" s="341">
        <f>(N29/N10)/1.983</f>
        <v>2649.0491760610348</v>
      </c>
      <c r="O30" s="341">
        <f>(O29/O10)/1.983</f>
        <v>2064.4141872583627</v>
      </c>
      <c r="P30" s="341">
        <f>(P29/P10)/1.983</f>
        <v>2295.5281180355601</v>
      </c>
      <c r="Q30" s="343"/>
      <c r="R30" s="342"/>
      <c r="T30" s="345" t="s">
        <v>45</v>
      </c>
    </row>
    <row r="31" spans="1:20" ht="15.75" customHeight="1" x14ac:dyDescent="0.3">
      <c r="A31" s="2"/>
      <c r="B31" s="1"/>
      <c r="C31" s="1"/>
      <c r="D31" s="1"/>
      <c r="E31" s="1"/>
      <c r="F31" s="1"/>
      <c r="G31" s="1"/>
      <c r="H31" s="1"/>
      <c r="I31" s="1"/>
      <c r="J31" s="1"/>
      <c r="K31" s="1"/>
      <c r="L31" s="1"/>
      <c r="M31" s="1"/>
      <c r="N31" s="1"/>
      <c r="O31" s="1"/>
      <c r="P31" s="1"/>
      <c r="Q31" s="1"/>
      <c r="R31" s="2"/>
      <c r="T31" s="45" t="s">
        <v>46</v>
      </c>
    </row>
    <row r="32" spans="1:20" ht="15.75" customHeight="1" thickBot="1" x14ac:dyDescent="0.35">
      <c r="A32" s="2"/>
      <c r="B32" s="1"/>
      <c r="C32" s="1"/>
      <c r="D32" s="1"/>
      <c r="E32" s="1"/>
      <c r="F32" s="1"/>
      <c r="G32" s="1"/>
      <c r="H32" s="1"/>
      <c r="I32" s="1"/>
      <c r="J32" s="1"/>
      <c r="K32" s="1"/>
      <c r="L32" s="1"/>
      <c r="M32" s="1"/>
      <c r="N32" s="1"/>
      <c r="O32" s="1"/>
      <c r="P32" s="1"/>
      <c r="Q32" s="1"/>
      <c r="R32" s="2"/>
    </row>
    <row r="33" spans="1:18" ht="15.75" customHeight="1" thickBot="1" x14ac:dyDescent="0.35">
      <c r="A33" s="46" t="s">
        <v>47</v>
      </c>
      <c r="B33" s="47" t="s">
        <v>8</v>
      </c>
      <c r="C33" s="48" t="s">
        <v>9</v>
      </c>
      <c r="D33" s="48" t="s">
        <v>10</v>
      </c>
      <c r="E33" s="32" t="s">
        <v>11</v>
      </c>
      <c r="F33" s="48" t="s">
        <v>12</v>
      </c>
      <c r="G33" s="48" t="s">
        <v>13</v>
      </c>
      <c r="H33" s="48" t="s">
        <v>14</v>
      </c>
      <c r="I33" s="32" t="s">
        <v>15</v>
      </c>
      <c r="J33" s="48" t="s">
        <v>16</v>
      </c>
      <c r="K33" s="48" t="s">
        <v>17</v>
      </c>
      <c r="L33" s="48" t="s">
        <v>18</v>
      </c>
      <c r="M33" s="32" t="s">
        <v>19</v>
      </c>
      <c r="N33" s="48" t="s">
        <v>20</v>
      </c>
      <c r="O33" s="48" t="s">
        <v>21</v>
      </c>
      <c r="P33" s="48" t="s">
        <v>22</v>
      </c>
      <c r="Q33" s="32" t="s">
        <v>23</v>
      </c>
      <c r="R33" s="49" t="s">
        <v>24</v>
      </c>
    </row>
    <row r="34" spans="1:18" ht="16.5" customHeight="1" thickBot="1" x14ac:dyDescent="0.35">
      <c r="A34" s="42"/>
      <c r="B34" s="50"/>
      <c r="C34" s="51"/>
      <c r="D34" s="51"/>
      <c r="E34" s="52"/>
      <c r="F34" s="51"/>
      <c r="G34" s="51"/>
      <c r="H34" s="51"/>
      <c r="I34" s="52"/>
      <c r="J34" s="51"/>
      <c r="K34" s="51"/>
      <c r="L34" s="51"/>
      <c r="M34" s="52"/>
      <c r="N34" s="51"/>
      <c r="O34" s="51"/>
      <c r="P34" s="51"/>
      <c r="Q34" s="52"/>
      <c r="R34" s="53"/>
    </row>
    <row r="35" spans="1:18" ht="15.75" customHeight="1" x14ac:dyDescent="0.3">
      <c r="A35" s="54" t="s">
        <v>48</v>
      </c>
      <c r="B35" s="28"/>
      <c r="C35" s="28"/>
      <c r="D35" s="28"/>
      <c r="E35" s="55" t="s">
        <v>7</v>
      </c>
      <c r="F35" s="28"/>
      <c r="G35" s="28"/>
      <c r="H35" s="28"/>
      <c r="I35" s="55" t="s">
        <v>7</v>
      </c>
      <c r="J35" s="28"/>
      <c r="K35" s="28"/>
      <c r="L35" s="28"/>
      <c r="M35" s="55" t="s">
        <v>7</v>
      </c>
      <c r="N35" s="28"/>
      <c r="O35" s="28"/>
      <c r="P35" s="28"/>
      <c r="Q35" s="55" t="s">
        <v>7</v>
      </c>
      <c r="R35" s="55" t="s">
        <v>7</v>
      </c>
    </row>
    <row r="36" spans="1:18" ht="15.75" customHeight="1" x14ac:dyDescent="0.3">
      <c r="A36" s="18" t="s">
        <v>49</v>
      </c>
      <c r="B36" s="28" t="s">
        <v>7</v>
      </c>
      <c r="C36" s="56"/>
      <c r="D36" s="56"/>
      <c r="E36" s="55" t="s">
        <v>7</v>
      </c>
      <c r="F36" s="56"/>
      <c r="G36" s="56"/>
      <c r="H36" s="56"/>
      <c r="I36" s="55" t="s">
        <v>7</v>
      </c>
      <c r="J36" s="56"/>
      <c r="K36" s="56"/>
      <c r="L36" s="56"/>
      <c r="M36" s="55" t="s">
        <v>7</v>
      </c>
      <c r="N36" s="56"/>
      <c r="O36" s="56"/>
      <c r="P36" s="56"/>
      <c r="Q36" s="55" t="s">
        <v>7</v>
      </c>
      <c r="R36" s="55" t="s">
        <v>7</v>
      </c>
    </row>
    <row r="37" spans="1:18" ht="15.75" customHeight="1" x14ac:dyDescent="0.3">
      <c r="A37" s="18" t="s">
        <v>50</v>
      </c>
      <c r="B37" s="28"/>
      <c r="C37" s="28"/>
      <c r="D37" s="28"/>
      <c r="E37" s="55" t="s">
        <v>7</v>
      </c>
      <c r="F37" s="28"/>
      <c r="G37" s="28"/>
      <c r="H37" s="28"/>
      <c r="I37" s="55" t="s">
        <v>7</v>
      </c>
      <c r="J37" s="28"/>
      <c r="K37" s="28"/>
      <c r="L37" s="28"/>
      <c r="M37" s="55" t="s">
        <v>7</v>
      </c>
      <c r="N37" s="28"/>
      <c r="O37" s="28"/>
      <c r="P37" s="28"/>
      <c r="Q37" s="55" t="s">
        <v>7</v>
      </c>
      <c r="R37" s="55" t="s">
        <v>7</v>
      </c>
    </row>
    <row r="38" spans="1:18" ht="15.75" customHeight="1" x14ac:dyDescent="0.3">
      <c r="A38" s="61" t="s">
        <v>797</v>
      </c>
      <c r="B38" s="1"/>
      <c r="C38" s="1"/>
      <c r="D38" s="1"/>
      <c r="E38" s="55">
        <f>SUM(B38:D38)</f>
        <v>0</v>
      </c>
      <c r="F38" s="1"/>
      <c r="G38" s="1"/>
      <c r="H38" s="1"/>
      <c r="I38" s="55">
        <f>SUM(F38:H38)</f>
        <v>0</v>
      </c>
      <c r="J38" s="1"/>
      <c r="K38" s="1"/>
      <c r="L38" s="1"/>
      <c r="M38" s="55">
        <f>SUM(J38:L38)</f>
        <v>0</v>
      </c>
      <c r="N38" s="1"/>
      <c r="O38" s="1"/>
      <c r="P38" s="1"/>
      <c r="Q38" s="55">
        <f>SUM(N38:P38)</f>
        <v>0</v>
      </c>
      <c r="R38" s="55">
        <f>+E38+I38+M38+Q38</f>
        <v>0</v>
      </c>
    </row>
    <row r="39" spans="1:18" ht="15.75" customHeight="1" x14ac:dyDescent="0.3">
      <c r="A39" s="18" t="s">
        <v>1186</v>
      </c>
      <c r="B39" s="28"/>
      <c r="C39" s="28"/>
      <c r="D39" s="28"/>
      <c r="E39" s="55" t="s">
        <v>52</v>
      </c>
      <c r="F39" s="28"/>
      <c r="G39" s="28"/>
      <c r="H39" s="28"/>
      <c r="I39" s="55" t="s">
        <v>52</v>
      </c>
      <c r="J39" s="28"/>
      <c r="K39" s="28"/>
      <c r="L39" s="28"/>
      <c r="M39" s="55" t="s">
        <v>52</v>
      </c>
      <c r="N39" s="28"/>
      <c r="O39" s="28"/>
      <c r="P39" s="28"/>
      <c r="Q39" s="55" t="s">
        <v>52</v>
      </c>
      <c r="R39" s="55" t="s">
        <v>52</v>
      </c>
    </row>
    <row r="40" spans="1:18" ht="15.75" customHeight="1" thickBot="1" x14ac:dyDescent="0.35">
      <c r="A40" s="18" t="s">
        <v>53</v>
      </c>
      <c r="B40" s="56"/>
      <c r="C40" s="56"/>
      <c r="D40" s="56"/>
      <c r="E40" s="55" t="s">
        <v>7</v>
      </c>
      <c r="F40" s="56"/>
      <c r="G40" s="56"/>
      <c r="H40" s="56"/>
      <c r="I40" s="55" t="s">
        <v>7</v>
      </c>
      <c r="J40" s="56"/>
      <c r="K40" s="56"/>
      <c r="L40" s="56"/>
      <c r="M40" s="55" t="s">
        <v>7</v>
      </c>
      <c r="N40" s="56"/>
      <c r="O40" s="56"/>
      <c r="P40" s="56"/>
      <c r="Q40" s="55" t="s">
        <v>7</v>
      </c>
      <c r="R40" s="55" t="s">
        <v>7</v>
      </c>
    </row>
    <row r="41" spans="1:18" ht="16.5" customHeight="1" thickBot="1" x14ac:dyDescent="0.35">
      <c r="A41" s="57" t="s">
        <v>54</v>
      </c>
      <c r="B41" s="58">
        <f>SUM(B35:B40)</f>
        <v>0</v>
      </c>
      <c r="C41" s="58">
        <f>SUM(C35:C40)</f>
        <v>0</v>
      </c>
      <c r="D41" s="58">
        <f>SUM(D35:D40)</f>
        <v>0</v>
      </c>
      <c r="E41" s="59">
        <f>SUM(B41:D41)</f>
        <v>0</v>
      </c>
      <c r="F41" s="58">
        <f>SUM(F35:F40)</f>
        <v>0</v>
      </c>
      <c r="G41" s="58">
        <f>SUM(G35:G40)</f>
        <v>0</v>
      </c>
      <c r="H41" s="58">
        <f>SUM(H35:H40)</f>
        <v>0</v>
      </c>
      <c r="I41" s="59">
        <f>SUM(F41:H41)</f>
        <v>0</v>
      </c>
      <c r="J41" s="58">
        <f>SUM(J35:J40)</f>
        <v>0</v>
      </c>
      <c r="K41" s="58">
        <f>SUM(K35:K40)</f>
        <v>0</v>
      </c>
      <c r="L41" s="58">
        <f>SUM(L35:L40)</f>
        <v>0</v>
      </c>
      <c r="M41" s="59">
        <f>SUM(J41:L41)</f>
        <v>0</v>
      </c>
      <c r="N41" s="58">
        <f>SUM(N35:N40)</f>
        <v>0</v>
      </c>
      <c r="O41" s="58">
        <f>SUM(O35:O40)</f>
        <v>0</v>
      </c>
      <c r="P41" s="58">
        <f>SUM(P35:P40)</f>
        <v>0</v>
      </c>
      <c r="Q41" s="59">
        <f>SUM(N41:P41)</f>
        <v>0</v>
      </c>
      <c r="R41" s="59">
        <f>+E41+I41+M41+Q41</f>
        <v>0</v>
      </c>
    </row>
    <row r="42" spans="1:18" ht="15.75" customHeight="1" x14ac:dyDescent="0.3">
      <c r="A42" s="18" t="s">
        <v>55</v>
      </c>
      <c r="B42" s="56"/>
      <c r="C42" s="56"/>
      <c r="D42" s="56"/>
      <c r="E42" s="55" t="s">
        <v>7</v>
      </c>
      <c r="F42" s="56"/>
      <c r="G42" s="56"/>
      <c r="H42" s="56"/>
      <c r="I42" s="55" t="s">
        <v>7</v>
      </c>
      <c r="J42" s="56"/>
      <c r="K42" s="56"/>
      <c r="L42" s="56"/>
      <c r="M42" s="55" t="s">
        <v>7</v>
      </c>
      <c r="N42" s="56"/>
      <c r="O42" s="56"/>
      <c r="P42" s="56"/>
      <c r="Q42" s="55" t="s">
        <v>7</v>
      </c>
      <c r="R42" s="60" t="s">
        <v>7</v>
      </c>
    </row>
    <row r="43" spans="1:18" ht="15.75" customHeight="1" x14ac:dyDescent="0.3">
      <c r="A43" s="18" t="s">
        <v>56</v>
      </c>
      <c r="B43" s="56"/>
      <c r="C43" s="56"/>
      <c r="D43" s="56"/>
      <c r="E43" s="55"/>
      <c r="F43" s="56"/>
      <c r="G43" s="56"/>
      <c r="H43" s="56"/>
      <c r="I43" s="55"/>
      <c r="J43" s="56"/>
      <c r="K43" s="56"/>
      <c r="L43" s="56"/>
      <c r="M43" s="55"/>
      <c r="N43" s="56"/>
      <c r="O43" s="56"/>
      <c r="P43" s="56"/>
      <c r="Q43" s="55"/>
      <c r="R43" s="55"/>
    </row>
    <row r="44" spans="1:18" ht="15.75" customHeight="1" x14ac:dyDescent="0.3">
      <c r="A44" s="18" t="s">
        <v>57</v>
      </c>
      <c r="B44" s="56"/>
      <c r="C44" s="56"/>
      <c r="D44" s="56"/>
      <c r="E44" s="55" t="s">
        <v>7</v>
      </c>
      <c r="F44" s="56"/>
      <c r="G44" s="56"/>
      <c r="H44" s="56"/>
      <c r="I44" s="55" t="s">
        <v>7</v>
      </c>
      <c r="J44" s="56"/>
      <c r="K44" s="56"/>
      <c r="L44" s="56"/>
      <c r="M44" s="55" t="s">
        <v>7</v>
      </c>
      <c r="N44" s="56"/>
      <c r="O44" s="56"/>
      <c r="P44" s="56"/>
      <c r="Q44" s="55" t="s">
        <v>7</v>
      </c>
      <c r="R44" s="55" t="s">
        <v>7</v>
      </c>
    </row>
    <row r="45" spans="1:18" ht="15.75" customHeight="1" thickBot="1" x14ac:dyDescent="0.35">
      <c r="A45" s="18" t="s">
        <v>58</v>
      </c>
      <c r="B45" s="56"/>
      <c r="C45" s="56"/>
      <c r="D45" s="56"/>
      <c r="E45" s="55" t="s">
        <v>7</v>
      </c>
      <c r="F45" s="56"/>
      <c r="G45" s="56"/>
      <c r="H45" s="56"/>
      <c r="I45" s="55" t="s">
        <v>7</v>
      </c>
      <c r="J45" s="56"/>
      <c r="K45" s="56"/>
      <c r="L45" s="56"/>
      <c r="M45" s="55" t="s">
        <v>7</v>
      </c>
      <c r="N45" s="56"/>
      <c r="O45" s="56"/>
      <c r="P45" s="56"/>
      <c r="Q45" s="55" t="s">
        <v>7</v>
      </c>
      <c r="R45" s="55" t="s">
        <v>7</v>
      </c>
    </row>
    <row r="46" spans="1:18" ht="16.5" customHeight="1" thickBot="1" x14ac:dyDescent="0.35">
      <c r="A46" s="57" t="s">
        <v>59</v>
      </c>
      <c r="B46" s="58">
        <f>SUM(B42:B45)</f>
        <v>0</v>
      </c>
      <c r="C46" s="58">
        <f>SUM(C42:C45)</f>
        <v>0</v>
      </c>
      <c r="D46" s="58">
        <f>SUM(D42:D45)</f>
        <v>0</v>
      </c>
      <c r="E46" s="59">
        <f>SUM(B46:D46)</f>
        <v>0</v>
      </c>
      <c r="F46" s="58">
        <f>SUM(F42:F45)</f>
        <v>0</v>
      </c>
      <c r="G46" s="58">
        <f>SUM(G42:G45)</f>
        <v>0</v>
      </c>
      <c r="H46" s="58">
        <f>SUM(H42:H45)</f>
        <v>0</v>
      </c>
      <c r="I46" s="59">
        <f>SUM(F46:H46)</f>
        <v>0</v>
      </c>
      <c r="J46" s="58">
        <f>SUM(J42:J45)</f>
        <v>0</v>
      </c>
      <c r="K46" s="58">
        <f>SUM(K42:K45)</f>
        <v>0</v>
      </c>
      <c r="L46" s="58">
        <f>SUM(L42:L45)</f>
        <v>0</v>
      </c>
      <c r="M46" s="59">
        <f>SUM(J46:L46)</f>
        <v>0</v>
      </c>
      <c r="N46" s="58">
        <f>SUM(N42:N45)</f>
        <v>0</v>
      </c>
      <c r="O46" s="58">
        <f>SUM(O42:O45)</f>
        <v>0</v>
      </c>
      <c r="P46" s="58">
        <f>SUM(P42:P45)</f>
        <v>0</v>
      </c>
      <c r="Q46" s="59">
        <f>SUM(N46:P46)</f>
        <v>0</v>
      </c>
      <c r="R46" s="59">
        <f>+E46+I46+M46+Q46</f>
        <v>0</v>
      </c>
    </row>
    <row r="47" spans="1:18" ht="15.75" customHeight="1" x14ac:dyDescent="0.3">
      <c r="A47" s="18" t="s">
        <v>60</v>
      </c>
      <c r="B47" s="56"/>
      <c r="C47" s="56"/>
      <c r="D47" s="56"/>
      <c r="E47" s="55" t="s">
        <v>7</v>
      </c>
      <c r="F47" s="56"/>
      <c r="G47" s="56"/>
      <c r="H47" s="56"/>
      <c r="I47" s="55" t="s">
        <v>7</v>
      </c>
      <c r="J47" s="56"/>
      <c r="K47" s="56"/>
      <c r="L47" s="56"/>
      <c r="M47" s="55" t="s">
        <v>7</v>
      </c>
      <c r="N47" s="56"/>
      <c r="O47" s="56"/>
      <c r="P47" s="56"/>
      <c r="Q47" s="55" t="s">
        <v>7</v>
      </c>
      <c r="R47" s="55" t="s">
        <v>7</v>
      </c>
    </row>
    <row r="48" spans="1:18" ht="15.75" customHeight="1" x14ac:dyDescent="0.3">
      <c r="A48" s="18" t="s">
        <v>61</v>
      </c>
      <c r="B48" s="56"/>
      <c r="C48" s="56"/>
      <c r="D48" s="56"/>
      <c r="E48" s="55" t="s">
        <v>7</v>
      </c>
      <c r="F48" s="56"/>
      <c r="G48" s="56"/>
      <c r="H48" s="56"/>
      <c r="I48" s="55" t="s">
        <v>7</v>
      </c>
      <c r="J48" s="56"/>
      <c r="K48" s="56"/>
      <c r="L48" s="56"/>
      <c r="M48" s="55" t="s">
        <v>7</v>
      </c>
      <c r="N48" s="56"/>
      <c r="O48" s="56"/>
      <c r="P48" s="56"/>
      <c r="Q48" s="55" t="s">
        <v>7</v>
      </c>
      <c r="R48" s="55" t="s">
        <v>7</v>
      </c>
    </row>
    <row r="49" spans="1:18" ht="15.75" customHeight="1" thickBot="1" x14ac:dyDescent="0.35">
      <c r="A49" s="18" t="s">
        <v>62</v>
      </c>
      <c r="B49" s="56"/>
      <c r="C49" s="56"/>
      <c r="D49" s="56"/>
      <c r="E49" s="55"/>
      <c r="F49" s="56"/>
      <c r="G49" s="56"/>
      <c r="H49" s="56"/>
      <c r="I49" s="55"/>
      <c r="J49" s="56"/>
      <c r="K49" s="56"/>
      <c r="L49" s="56"/>
      <c r="M49" s="55"/>
      <c r="N49" s="56"/>
      <c r="O49" s="56"/>
      <c r="P49" s="56"/>
      <c r="Q49" s="55"/>
      <c r="R49" s="55"/>
    </row>
    <row r="50" spans="1:18" ht="16.5" customHeight="1" thickBot="1" x14ac:dyDescent="0.35">
      <c r="A50" s="57" t="s">
        <v>63</v>
      </c>
      <c r="B50" s="58">
        <f>SUM(B47:B49)</f>
        <v>0</v>
      </c>
      <c r="C50" s="58">
        <f>SUM(C47:C49)</f>
        <v>0</v>
      </c>
      <c r="D50" s="58">
        <f>SUM(D47:D49)</f>
        <v>0</v>
      </c>
      <c r="E50" s="59">
        <f>SUM(B50:D50)</f>
        <v>0</v>
      </c>
      <c r="F50" s="58">
        <f>SUM(F47:F49)</f>
        <v>0</v>
      </c>
      <c r="G50" s="58">
        <f>SUM(G47:G49)</f>
        <v>0</v>
      </c>
      <c r="H50" s="58">
        <f>SUM(H47:H49)</f>
        <v>0</v>
      </c>
      <c r="I50" s="59">
        <f>SUM(F50:H50)</f>
        <v>0</v>
      </c>
      <c r="J50" s="58">
        <f>SUM(J47:J49)</f>
        <v>0</v>
      </c>
      <c r="K50" s="58">
        <f>SUM(K47:K49)</f>
        <v>0</v>
      </c>
      <c r="L50" s="58">
        <f>SUM(L47:L49)</f>
        <v>0</v>
      </c>
      <c r="M50" s="59">
        <f>SUM(J50:L50)</f>
        <v>0</v>
      </c>
      <c r="N50" s="58">
        <f>SUM(N47:N49)</f>
        <v>0</v>
      </c>
      <c r="O50" s="58">
        <f>SUM(O47:O49)</f>
        <v>0</v>
      </c>
      <c r="P50" s="58">
        <f>SUM(P47:P49)</f>
        <v>0</v>
      </c>
      <c r="Q50" s="59">
        <f>SUM(N50:P50)</f>
        <v>0</v>
      </c>
      <c r="R50" s="59">
        <f>+E50+I50+M50+Q50</f>
        <v>0</v>
      </c>
    </row>
    <row r="51" spans="1:18" ht="15.75" customHeight="1" x14ac:dyDescent="0.3">
      <c r="A51" s="18" t="s">
        <v>64</v>
      </c>
      <c r="B51" s="56"/>
      <c r="C51" s="56"/>
      <c r="D51" s="56"/>
      <c r="E51" s="55" t="s">
        <v>7</v>
      </c>
      <c r="F51" s="56"/>
      <c r="G51" s="56"/>
      <c r="H51" s="56"/>
      <c r="I51" s="55" t="s">
        <v>7</v>
      </c>
      <c r="J51" s="56"/>
      <c r="K51" s="56"/>
      <c r="L51" s="56"/>
      <c r="M51" s="55" t="s">
        <v>7</v>
      </c>
      <c r="N51" s="56"/>
      <c r="O51" s="56"/>
      <c r="P51" s="56"/>
      <c r="Q51" s="55" t="s">
        <v>7</v>
      </c>
      <c r="R51" s="55" t="s">
        <v>7</v>
      </c>
    </row>
    <row r="52" spans="1:18" ht="15.75" customHeight="1" x14ac:dyDescent="0.3">
      <c r="A52" s="18" t="s">
        <v>594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67</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61" t="s">
        <v>685</v>
      </c>
      <c r="B54" s="1"/>
      <c r="C54" s="1"/>
      <c r="D54" s="1"/>
      <c r="E54" s="55">
        <f>SUM(B54:D54)</f>
        <v>0</v>
      </c>
      <c r="F54" s="1"/>
      <c r="G54" s="1"/>
      <c r="H54" s="1"/>
      <c r="I54" s="55">
        <f>SUM(F54:H54)</f>
        <v>0</v>
      </c>
      <c r="J54" s="1"/>
      <c r="K54" s="1"/>
      <c r="L54" s="1"/>
      <c r="M54" s="55">
        <f>SUM(J54:L54)</f>
        <v>0</v>
      </c>
      <c r="N54" s="1"/>
      <c r="O54" s="1"/>
      <c r="P54" s="1"/>
      <c r="Q54" s="55">
        <f>SUM(N54:P54)</f>
        <v>0</v>
      </c>
      <c r="R54" s="55">
        <f>+E54+I54+M54+Q54</f>
        <v>0</v>
      </c>
    </row>
    <row r="55" spans="1:18" ht="15.75" customHeight="1" x14ac:dyDescent="0.3">
      <c r="A55" s="18" t="s">
        <v>600</v>
      </c>
      <c r="B55" s="56"/>
      <c r="C55" s="56"/>
      <c r="D55" s="56"/>
      <c r="E55" s="55" t="s">
        <v>7</v>
      </c>
      <c r="F55" s="56"/>
      <c r="G55" s="56"/>
      <c r="H55" s="56"/>
      <c r="I55" s="55" t="s">
        <v>7</v>
      </c>
      <c r="J55" s="56"/>
      <c r="K55" s="56"/>
      <c r="L55" s="56"/>
      <c r="M55" s="55" t="s">
        <v>7</v>
      </c>
      <c r="N55" s="56"/>
      <c r="O55" s="56"/>
      <c r="P55" s="56"/>
      <c r="Q55" s="55" t="s">
        <v>7</v>
      </c>
      <c r="R55" s="55" t="s">
        <v>7</v>
      </c>
    </row>
    <row r="56" spans="1:18" ht="15.75" customHeight="1" thickBot="1" x14ac:dyDescent="0.35">
      <c r="A56" s="18" t="s">
        <v>70</v>
      </c>
      <c r="B56" s="56"/>
      <c r="C56" s="56"/>
      <c r="D56" s="56"/>
      <c r="E56" s="55" t="s">
        <v>7</v>
      </c>
      <c r="F56" s="56"/>
      <c r="G56" s="56"/>
      <c r="H56" s="56"/>
      <c r="I56" s="55" t="s">
        <v>7</v>
      </c>
      <c r="J56" s="56"/>
      <c r="K56" s="56"/>
      <c r="L56" s="56"/>
      <c r="M56" s="55" t="s">
        <v>7</v>
      </c>
      <c r="N56" s="56"/>
      <c r="O56" s="56"/>
      <c r="P56" s="56"/>
      <c r="Q56" s="55" t="s">
        <v>7</v>
      </c>
      <c r="R56" s="55" t="s">
        <v>7</v>
      </c>
    </row>
    <row r="57" spans="1:18" ht="16.5" customHeight="1" thickBot="1" x14ac:dyDescent="0.35">
      <c r="A57" s="57" t="s">
        <v>71</v>
      </c>
      <c r="B57" s="58">
        <f>SUM(B55:B56)</f>
        <v>0</v>
      </c>
      <c r="C57" s="58">
        <f>SUM(C55:C56)</f>
        <v>0</v>
      </c>
      <c r="D57" s="58">
        <f>SUM(D55:D56)</f>
        <v>0</v>
      </c>
      <c r="E57" s="60">
        <f>SUM(B57:D57)</f>
        <v>0</v>
      </c>
      <c r="F57" s="58">
        <f>SUM(F55:F56)</f>
        <v>0</v>
      </c>
      <c r="G57" s="58">
        <f>SUM(G55:G56)</f>
        <v>0</v>
      </c>
      <c r="H57" s="58">
        <f>SUM(H55:H56)</f>
        <v>0</v>
      </c>
      <c r="I57" s="60">
        <f>SUM(F57:H57)</f>
        <v>0</v>
      </c>
      <c r="J57" s="58">
        <f>SUM(J55:J56)</f>
        <v>0</v>
      </c>
      <c r="K57" s="58">
        <f>SUM(K55:K56)</f>
        <v>0</v>
      </c>
      <c r="L57" s="58">
        <f>SUM(L55:L56)</f>
        <v>0</v>
      </c>
      <c r="M57" s="60">
        <f>SUM(J57:L57)</f>
        <v>0</v>
      </c>
      <c r="N57" s="58">
        <f>SUM(N55:N56)</f>
        <v>0</v>
      </c>
      <c r="O57" s="58">
        <f>SUM(O55:O56)</f>
        <v>0</v>
      </c>
      <c r="P57" s="58">
        <f>SUM(P55:P56)</f>
        <v>0</v>
      </c>
      <c r="Q57" s="60">
        <f>SUM(N57:P57)</f>
        <v>0</v>
      </c>
      <c r="R57" s="59">
        <f>+E57+I57+M57+Q57</f>
        <v>0</v>
      </c>
    </row>
    <row r="58" spans="1:18" ht="16.5" customHeight="1" thickBot="1" x14ac:dyDescent="0.35">
      <c r="A58" s="57" t="s">
        <v>72</v>
      </c>
      <c r="B58" s="58">
        <f>SUM(B51:B56)</f>
        <v>0</v>
      </c>
      <c r="C58" s="58">
        <f>SUM(C51:C56)</f>
        <v>0</v>
      </c>
      <c r="D58" s="58">
        <f>SUM(D51:D56)</f>
        <v>0</v>
      </c>
      <c r="E58" s="60">
        <f>SUM(B58:D58)</f>
        <v>0</v>
      </c>
      <c r="F58" s="58">
        <f>SUM(F51:F56)</f>
        <v>0</v>
      </c>
      <c r="G58" s="58">
        <f>SUM(G51:G56)</f>
        <v>0</v>
      </c>
      <c r="H58" s="58">
        <f>SUM(H51:H56)</f>
        <v>0</v>
      </c>
      <c r="I58" s="60">
        <f>SUM(F58:H58)</f>
        <v>0</v>
      </c>
      <c r="J58" s="58">
        <f>SUM(J51:J56)</f>
        <v>0</v>
      </c>
      <c r="K58" s="58">
        <f>SUM(K51:K56)</f>
        <v>0</v>
      </c>
      <c r="L58" s="58">
        <f>SUM(L51:L56)</f>
        <v>0</v>
      </c>
      <c r="M58" s="60">
        <f>SUM(J58:L58)</f>
        <v>0</v>
      </c>
      <c r="N58" s="58">
        <f>SUM(N51:N56)</f>
        <v>0</v>
      </c>
      <c r="O58" s="58">
        <f>SUM(O51:O56)</f>
        <v>0</v>
      </c>
      <c r="P58" s="58">
        <f>SUM(P51:P56)</f>
        <v>0</v>
      </c>
      <c r="Q58" s="60">
        <f>SUM(N58:P58)</f>
        <v>0</v>
      </c>
      <c r="R58" s="59">
        <f>+E58+I58+M58+Q58</f>
        <v>0</v>
      </c>
    </row>
    <row r="59" spans="1:18" ht="16.5" customHeight="1" thickBot="1" x14ac:dyDescent="0.35">
      <c r="A59" s="57" t="s">
        <v>73</v>
      </c>
      <c r="B59" s="58">
        <f>+B41+B46+B50+B58</f>
        <v>0</v>
      </c>
      <c r="C59" s="58">
        <f>+C41+C46+C50+C58</f>
        <v>0</v>
      </c>
      <c r="D59" s="58">
        <f>+D41+D46+D50+D58</f>
        <v>0</v>
      </c>
      <c r="E59" s="59">
        <f>SUM(B59:D59)</f>
        <v>0</v>
      </c>
      <c r="F59" s="58">
        <f>+F41+F46+F50+F58</f>
        <v>0</v>
      </c>
      <c r="G59" s="58">
        <f>+G41+G46+G50+G58</f>
        <v>0</v>
      </c>
      <c r="H59" s="58">
        <f>+H41+H46+H50+H58</f>
        <v>0</v>
      </c>
      <c r="I59" s="59">
        <f>SUM(F59:H59)</f>
        <v>0</v>
      </c>
      <c r="J59" s="58">
        <f>+J41+J46+J50+J58</f>
        <v>0</v>
      </c>
      <c r="K59" s="58">
        <f>+K41+K46+K50+K58</f>
        <v>0</v>
      </c>
      <c r="L59" s="58">
        <f>+L41+L46+L50+L58</f>
        <v>0</v>
      </c>
      <c r="M59" s="59">
        <f>SUM(J59:L59)</f>
        <v>0</v>
      </c>
      <c r="N59" s="58">
        <f>+N41+N46+N50+N58</f>
        <v>0</v>
      </c>
      <c r="O59" s="58">
        <f>+O41+O46+O50+O58</f>
        <v>0</v>
      </c>
      <c r="P59" s="58">
        <f>+P41+P46+P50+P58</f>
        <v>0</v>
      </c>
      <c r="Q59" s="59">
        <f>SUM(N59:P59)</f>
        <v>0</v>
      </c>
      <c r="R59" s="59">
        <f>+E59+I59+M59+Q59</f>
        <v>0</v>
      </c>
    </row>
    <row r="60" spans="1:18" ht="16.5" customHeight="1" thickBot="1" x14ac:dyDescent="0.35">
      <c r="A60" s="62" t="s">
        <v>40</v>
      </c>
      <c r="B60" s="63">
        <v>96</v>
      </c>
      <c r="C60" s="63">
        <v>145</v>
      </c>
      <c r="D60" s="63">
        <v>261</v>
      </c>
      <c r="E60" s="42">
        <f>SUM(B60:D60)</f>
        <v>502</v>
      </c>
      <c r="F60" s="63">
        <v>350</v>
      </c>
      <c r="G60" s="63">
        <v>402</v>
      </c>
      <c r="H60" s="63">
        <v>396</v>
      </c>
      <c r="I60" s="42">
        <f>SUM(F60:H60)</f>
        <v>1148</v>
      </c>
      <c r="J60" s="63">
        <v>394</v>
      </c>
      <c r="K60" s="63">
        <v>318</v>
      </c>
      <c r="L60" s="63">
        <v>301</v>
      </c>
      <c r="M60" s="42">
        <f>SUM(J60:L60)</f>
        <v>1013</v>
      </c>
      <c r="N60" s="63">
        <v>272</v>
      </c>
      <c r="O60" s="63">
        <v>226</v>
      </c>
      <c r="P60" s="63">
        <v>179</v>
      </c>
      <c r="Q60" s="42">
        <f>SUM(N60:P60)</f>
        <v>677</v>
      </c>
      <c r="R60" s="42">
        <f>+E60+I60+M60+Q60</f>
        <v>3340</v>
      </c>
    </row>
    <row r="61" spans="1:18" ht="16.5" customHeight="1" thickBot="1" x14ac:dyDescent="0.35">
      <c r="A61" s="41"/>
      <c r="B61" s="36"/>
      <c r="C61" s="36"/>
      <c r="D61" s="36"/>
      <c r="E61" s="22"/>
      <c r="F61" s="36"/>
      <c r="G61" s="36"/>
      <c r="H61" s="36"/>
      <c r="I61" s="22"/>
      <c r="J61" s="36"/>
      <c r="K61" s="36"/>
      <c r="L61" s="36"/>
      <c r="M61" s="22"/>
      <c r="N61" s="36"/>
      <c r="O61" s="36"/>
      <c r="P61" s="36"/>
      <c r="Q61" s="22"/>
      <c r="R61" s="41"/>
    </row>
    <row r="62" spans="1:18" ht="15.75" customHeight="1" x14ac:dyDescent="0.3">
      <c r="A62" s="15" t="s">
        <v>41</v>
      </c>
      <c r="B62" s="1">
        <f>+B59+B60</f>
        <v>96</v>
      </c>
      <c r="C62" s="1">
        <f>+C59+C60</f>
        <v>145</v>
      </c>
      <c r="D62" s="1">
        <f>+D59+D60</f>
        <v>261</v>
      </c>
      <c r="E62" s="40">
        <f>SUM(B62:D62)</f>
        <v>502</v>
      </c>
      <c r="F62" s="1">
        <f>+F59+F60</f>
        <v>350</v>
      </c>
      <c r="G62" s="1">
        <f>+G59+G60</f>
        <v>402</v>
      </c>
      <c r="H62" s="1">
        <f>+H59+H60</f>
        <v>396</v>
      </c>
      <c r="I62" s="40">
        <f>SUM(F62:H62)</f>
        <v>1148</v>
      </c>
      <c r="J62" s="1">
        <f>+J59+J60</f>
        <v>394</v>
      </c>
      <c r="K62" s="1">
        <f>+K59+K60</f>
        <v>318</v>
      </c>
      <c r="L62" s="1">
        <f>+L59+L60</f>
        <v>301</v>
      </c>
      <c r="M62" s="40">
        <f>SUM(J62:L62)</f>
        <v>1013</v>
      </c>
      <c r="N62" s="1">
        <f>+N59+N60</f>
        <v>272</v>
      </c>
      <c r="O62" s="1">
        <f>+O59+O60</f>
        <v>226</v>
      </c>
      <c r="P62" s="1">
        <f>+P59+P60</f>
        <v>179</v>
      </c>
      <c r="Q62" s="44">
        <f>SUM(N62:P62)</f>
        <v>677</v>
      </c>
      <c r="R62" s="16">
        <f>+E62+I62+M62+Q62</f>
        <v>3340</v>
      </c>
    </row>
    <row r="63" spans="1:18" ht="15.75" customHeight="1" x14ac:dyDescent="0.3">
      <c r="A63" s="15" t="s">
        <v>42</v>
      </c>
      <c r="B63" s="1">
        <f>(B62/B10)/1.983</f>
        <v>1.5616612171197111</v>
      </c>
      <c r="C63" s="1">
        <f>(C62/C10)/1.983</f>
        <v>2.5214321734745333</v>
      </c>
      <c r="D63" s="1">
        <f>(D62/D10)/1.983</f>
        <v>4.2457664340442145</v>
      </c>
      <c r="E63" s="16"/>
      <c r="F63" s="1">
        <f>(F62/F10)/1.983</f>
        <v>5.8833417381072444</v>
      </c>
      <c r="G63" s="1">
        <f>(G62/G10)/1.983</f>
        <v>6.5394563466887892</v>
      </c>
      <c r="H63" s="1">
        <f>(H62/H10)/1.983</f>
        <v>6.6565809379727678</v>
      </c>
      <c r="I63" s="16"/>
      <c r="J63" s="1">
        <f>(J62/J10)/1.983</f>
        <v>6.4093179119288139</v>
      </c>
      <c r="K63" s="1">
        <f>(K62/K10)/1.983</f>
        <v>5.1730027817090427</v>
      </c>
      <c r="L63" s="1">
        <f>(L62/L10)/1.983</f>
        <v>5.0596738947722306</v>
      </c>
      <c r="M63" s="16"/>
      <c r="N63" s="1">
        <f>(N62/N10)/1.983</f>
        <v>4.4247067818391805</v>
      </c>
      <c r="O63" s="1">
        <f>(O62/O10)/1.983</f>
        <v>3.7989578080349635</v>
      </c>
      <c r="P63" s="1">
        <f>(P62/P10)/1.983</f>
        <v>2.9118474777544612</v>
      </c>
      <c r="Q63" s="17"/>
      <c r="R63" s="64"/>
    </row>
    <row r="64" spans="1:18" ht="15.75" customHeight="1" x14ac:dyDescent="0.3">
      <c r="A64" s="15" t="s">
        <v>74</v>
      </c>
      <c r="B64" s="1">
        <f>B62+B140</f>
        <v>74167</v>
      </c>
      <c r="C64" s="1">
        <f>C62+C140</f>
        <v>74132</v>
      </c>
      <c r="D64" s="1">
        <f>D62+D140</f>
        <v>94956</v>
      </c>
      <c r="E64" s="16">
        <f>SUM(B64:D64)</f>
        <v>243255</v>
      </c>
      <c r="F64" s="1">
        <f>F62+F140</f>
        <v>150932</v>
      </c>
      <c r="G64" s="1">
        <f>G62+G140</f>
        <v>178713</v>
      </c>
      <c r="H64" s="1">
        <f>H62+H140</f>
        <v>106419</v>
      </c>
      <c r="I64" s="16">
        <f>SUM(F64:H64)</f>
        <v>436064</v>
      </c>
      <c r="J64" s="1">
        <f>J62+J140</f>
        <v>74288</v>
      </c>
      <c r="K64" s="1">
        <f>K62+K140</f>
        <v>62790</v>
      </c>
      <c r="L64" s="1">
        <f>L62+L140</f>
        <v>164650</v>
      </c>
      <c r="M64" s="16">
        <f>SUM(J64:L64)</f>
        <v>301728</v>
      </c>
      <c r="N64" s="1">
        <f>N62+N140</f>
        <v>162560</v>
      </c>
      <c r="O64" s="1">
        <f>O62+O140</f>
        <v>122577</v>
      </c>
      <c r="P64" s="1">
        <f>P62+P140</f>
        <v>140927</v>
      </c>
      <c r="Q64" s="17">
        <f>SUM(N64:P64)</f>
        <v>426064</v>
      </c>
      <c r="R64" s="16">
        <f>+E64+I64+M64+Q64</f>
        <v>1407111</v>
      </c>
    </row>
    <row r="65" spans="1:20" ht="16.5" customHeight="1" thickBot="1" x14ac:dyDescent="0.35">
      <c r="A65" s="20" t="s">
        <v>75</v>
      </c>
      <c r="B65" s="21">
        <f>(B64/B10)/1.983</f>
        <v>1206.4971613553917</v>
      </c>
      <c r="C65" s="21">
        <f>(C64/C10)/1.983</f>
        <v>1289.0952405794078</v>
      </c>
      <c r="D65" s="21">
        <f>(D64/D10)/1.983</f>
        <v>1544.6781513835342</v>
      </c>
      <c r="E65" s="22"/>
      <c r="F65" s="21">
        <f>(F64/F10)/1.983</f>
        <v>2537.0986720457217</v>
      </c>
      <c r="G65" s="21">
        <f>(G64/G10)/1.983</f>
        <v>2907.1787614074469</v>
      </c>
      <c r="H65" s="21">
        <f>(H64/H10)/1.983</f>
        <v>1788.8552697932425</v>
      </c>
      <c r="I65" s="22"/>
      <c r="J65" s="21">
        <f>(J64/J10)/1.983</f>
        <v>1208.4655051811365</v>
      </c>
      <c r="K65" s="21">
        <f>(K64/K10)/1.983</f>
        <v>1021.424039822361</v>
      </c>
      <c r="L65" s="21">
        <f>(L64/L10)/1.983</f>
        <v>2767.6920490838793</v>
      </c>
      <c r="M65" s="22"/>
      <c r="N65" s="21">
        <f>(N64/N10)/1.983</f>
        <v>2644.4129943227108</v>
      </c>
      <c r="O65" s="21">
        <f>(O64/O10)/1.983</f>
        <v>2060.4639435199192</v>
      </c>
      <c r="P65" s="21">
        <f>(P64/P10)/1.983</f>
        <v>2292.5023994273906</v>
      </c>
      <c r="Q65" s="23"/>
      <c r="R65" s="65" t="s">
        <v>7</v>
      </c>
    </row>
    <row r="66" spans="1:20" ht="15.75" customHeight="1" x14ac:dyDescent="0.3">
      <c r="A66" s="2"/>
      <c r="B66" s="1"/>
      <c r="C66" s="1"/>
      <c r="D66" s="1"/>
      <c r="E66" s="1"/>
      <c r="F66" s="1"/>
      <c r="G66" s="1"/>
      <c r="H66" s="1"/>
      <c r="I66" s="1"/>
      <c r="J66" s="1"/>
      <c r="K66" s="1"/>
      <c r="L66" s="1"/>
      <c r="M66" s="1"/>
      <c r="N66" s="1"/>
      <c r="O66" s="1"/>
      <c r="P66" s="1"/>
      <c r="Q66" s="1"/>
      <c r="R66" s="2"/>
    </row>
    <row r="67" spans="1:20" ht="15.75" customHeight="1" thickBot="1" x14ac:dyDescent="0.35">
      <c r="A67" s="2"/>
      <c r="B67" s="1"/>
      <c r="C67" s="1"/>
      <c r="D67" s="1"/>
      <c r="E67" s="1"/>
      <c r="F67" s="1"/>
      <c r="G67" s="1"/>
      <c r="H67" s="1"/>
      <c r="I67" s="1"/>
      <c r="J67" s="1"/>
      <c r="K67" s="1"/>
      <c r="L67" s="1"/>
      <c r="M67" s="1"/>
      <c r="N67" s="1"/>
      <c r="O67" s="1"/>
      <c r="P67" s="1"/>
      <c r="Q67" s="1"/>
      <c r="R67" s="2"/>
    </row>
    <row r="68" spans="1:20" ht="16.5" customHeight="1" thickBot="1" x14ac:dyDescent="0.35">
      <c r="A68" s="29" t="s">
        <v>76</v>
      </c>
      <c r="B68" s="30" t="s">
        <v>8</v>
      </c>
      <c r="C68" s="31" t="s">
        <v>9</v>
      </c>
      <c r="D68" s="31" t="s">
        <v>10</v>
      </c>
      <c r="E68" s="32" t="s">
        <v>11</v>
      </c>
      <c r="F68" s="31" t="s">
        <v>12</v>
      </c>
      <c r="G68" s="31" t="s">
        <v>13</v>
      </c>
      <c r="H68" s="31" t="s">
        <v>14</v>
      </c>
      <c r="I68" s="33" t="s">
        <v>15</v>
      </c>
      <c r="J68" s="31" t="s">
        <v>16</v>
      </c>
      <c r="K68" s="31" t="s">
        <v>17</v>
      </c>
      <c r="L68" s="31" t="s">
        <v>18</v>
      </c>
      <c r="M68" s="33" t="s">
        <v>19</v>
      </c>
      <c r="N68" s="31" t="s">
        <v>20</v>
      </c>
      <c r="O68" s="31" t="s">
        <v>21</v>
      </c>
      <c r="P68" s="31" t="s">
        <v>22</v>
      </c>
      <c r="Q68" s="33" t="s">
        <v>23</v>
      </c>
      <c r="R68" s="34" t="s">
        <v>24</v>
      </c>
    </row>
    <row r="69" spans="1:20" ht="16.5" customHeight="1" thickBot="1" x14ac:dyDescent="0.35">
      <c r="A69" s="66"/>
      <c r="B69" s="67"/>
      <c r="C69" s="68"/>
      <c r="D69" s="68"/>
      <c r="E69" s="69"/>
      <c r="F69" s="68"/>
      <c r="G69" s="68"/>
      <c r="H69" s="68"/>
      <c r="I69" s="69"/>
      <c r="J69" s="68"/>
      <c r="K69" s="68"/>
      <c r="L69" s="68"/>
      <c r="M69" s="69"/>
      <c r="N69" s="68"/>
      <c r="O69" s="68"/>
      <c r="P69" s="70"/>
      <c r="Q69" s="69"/>
      <c r="R69" s="59"/>
    </row>
    <row r="70" spans="1:20" ht="15.75" customHeight="1" x14ac:dyDescent="0.3">
      <c r="A70" s="54" t="s">
        <v>48</v>
      </c>
      <c r="B70" s="28"/>
      <c r="C70" s="28"/>
      <c r="D70" s="28"/>
      <c r="E70" s="55" t="s">
        <v>7</v>
      </c>
      <c r="F70" s="28"/>
      <c r="G70" s="28"/>
      <c r="H70" s="28"/>
      <c r="I70" s="55" t="s">
        <v>7</v>
      </c>
      <c r="J70" s="28"/>
      <c r="K70" s="28"/>
      <c r="L70" s="28"/>
      <c r="M70" s="55" t="s">
        <v>7</v>
      </c>
      <c r="N70" s="28"/>
      <c r="O70" s="28"/>
      <c r="P70" s="28"/>
      <c r="Q70" s="55" t="s">
        <v>7</v>
      </c>
      <c r="R70" s="55" t="s">
        <v>7</v>
      </c>
    </row>
    <row r="71" spans="1:20" ht="15.75" customHeight="1" x14ac:dyDescent="0.3">
      <c r="A71" s="18" t="s">
        <v>49</v>
      </c>
      <c r="B71" s="28"/>
      <c r="C71" s="56"/>
      <c r="D71" s="56"/>
      <c r="E71" s="55" t="s">
        <v>7</v>
      </c>
      <c r="F71" s="56"/>
      <c r="G71" s="56"/>
      <c r="H71" s="56"/>
      <c r="I71" s="55" t="s">
        <v>7</v>
      </c>
      <c r="J71" s="56"/>
      <c r="K71" s="56"/>
      <c r="L71" s="56"/>
      <c r="M71" s="55" t="s">
        <v>7</v>
      </c>
      <c r="N71" s="56"/>
      <c r="O71" s="56"/>
      <c r="P71" s="56"/>
      <c r="Q71" s="55" t="s">
        <v>7</v>
      </c>
      <c r="R71" s="55" t="s">
        <v>7</v>
      </c>
    </row>
    <row r="72" spans="1:20" ht="15.75" customHeight="1" x14ac:dyDescent="0.3">
      <c r="A72" s="71" t="s">
        <v>798</v>
      </c>
      <c r="B72" s="1"/>
      <c r="C72" s="1"/>
      <c r="D72" s="1"/>
      <c r="E72" s="55">
        <f t="shared" ref="E72:E85" si="5">SUM(B72:D72)</f>
        <v>0</v>
      </c>
      <c r="F72" s="1"/>
      <c r="G72" s="1"/>
      <c r="H72" s="1"/>
      <c r="I72" s="55">
        <f t="shared" ref="I72:I85" si="6">SUM(F72:H72)</f>
        <v>0</v>
      </c>
      <c r="J72" s="1"/>
      <c r="K72" s="1"/>
      <c r="L72" s="1"/>
      <c r="M72" s="55">
        <f t="shared" ref="M72:M85" si="7">SUM(J72:L72)</f>
        <v>0</v>
      </c>
      <c r="N72" s="1"/>
      <c r="O72" s="1"/>
      <c r="P72" s="1"/>
      <c r="Q72" s="55">
        <f t="shared" ref="Q72:Q85" si="8">SUM(N72:P72)</f>
        <v>0</v>
      </c>
      <c r="R72" s="55">
        <f t="shared" ref="R72:R85" si="9">+E72+I72+M72+Q72</f>
        <v>0</v>
      </c>
    </row>
    <row r="73" spans="1:20" ht="15.75" customHeight="1" x14ac:dyDescent="0.3">
      <c r="A73" s="71" t="s">
        <v>799</v>
      </c>
      <c r="B73" s="1"/>
      <c r="C73" s="1"/>
      <c r="D73" s="1"/>
      <c r="E73" s="55">
        <f>SUM(B73:D73)</f>
        <v>0</v>
      </c>
      <c r="F73" s="1"/>
      <c r="G73" s="1"/>
      <c r="H73" s="1"/>
      <c r="I73" s="55">
        <f>SUM(F73:H73)</f>
        <v>0</v>
      </c>
      <c r="J73" s="1"/>
      <c r="K73" s="1"/>
      <c r="L73" s="1"/>
      <c r="M73" s="55">
        <f>SUM(J73:L73)</f>
        <v>0</v>
      </c>
      <c r="N73" s="1"/>
      <c r="O73" s="1"/>
      <c r="P73" s="1"/>
      <c r="Q73" s="55">
        <f>SUM(N73:P73)</f>
        <v>0</v>
      </c>
      <c r="R73" s="55">
        <f>+E73+I73+M73+Q73</f>
        <v>0</v>
      </c>
    </row>
    <row r="74" spans="1:20" ht="15.75" customHeight="1" x14ac:dyDescent="0.3">
      <c r="A74" s="71" t="s">
        <v>1374</v>
      </c>
      <c r="B74" s="1"/>
      <c r="C74" s="1"/>
      <c r="D74" s="1"/>
      <c r="E74" s="55">
        <f>SUM(B74:D74)</f>
        <v>0</v>
      </c>
      <c r="F74" s="1"/>
      <c r="G74" s="1"/>
      <c r="H74" s="1"/>
      <c r="I74" s="55">
        <f>SUM(F74:H74)</f>
        <v>0</v>
      </c>
      <c r="J74" s="1"/>
      <c r="K74" s="1"/>
      <c r="L74" s="1"/>
      <c r="M74" s="55">
        <f t="shared" ref="M74:M75" si="10">SUM(J74:L74)</f>
        <v>0</v>
      </c>
      <c r="N74" s="1"/>
      <c r="O74" s="1">
        <v>923</v>
      </c>
      <c r="P74" s="1"/>
      <c r="Q74" s="55">
        <f>SUM(N74:P74)</f>
        <v>923</v>
      </c>
      <c r="R74" s="55">
        <f>+E74+I74+M74+Q74</f>
        <v>923</v>
      </c>
    </row>
    <row r="75" spans="1:20" ht="15.75" customHeight="1" x14ac:dyDescent="0.3">
      <c r="A75" s="71" t="s">
        <v>524</v>
      </c>
      <c r="B75" s="1"/>
      <c r="C75" s="1"/>
      <c r="D75" s="1"/>
      <c r="E75" s="55">
        <f t="shared" si="5"/>
        <v>0</v>
      </c>
      <c r="F75" s="1"/>
      <c r="G75" s="1"/>
      <c r="H75" s="1"/>
      <c r="I75" s="55">
        <f t="shared" si="6"/>
        <v>0</v>
      </c>
      <c r="J75" s="1"/>
      <c r="K75" s="1"/>
      <c r="L75" s="1"/>
      <c r="M75" s="55">
        <f t="shared" si="10"/>
        <v>0</v>
      </c>
      <c r="N75" s="1"/>
      <c r="O75" s="1"/>
      <c r="P75" s="1"/>
      <c r="Q75" s="55">
        <f t="shared" si="8"/>
        <v>0</v>
      </c>
      <c r="R75" s="55">
        <f t="shared" si="9"/>
        <v>0</v>
      </c>
    </row>
    <row r="76" spans="1:20" ht="15.75" customHeight="1" x14ac:dyDescent="0.3">
      <c r="A76" s="71" t="s">
        <v>800</v>
      </c>
      <c r="B76" s="1"/>
      <c r="C76" s="1"/>
      <c r="D76" s="1"/>
      <c r="E76" s="55">
        <f t="shared" si="5"/>
        <v>0</v>
      </c>
      <c r="F76" s="1"/>
      <c r="G76" s="1"/>
      <c r="H76" s="1"/>
      <c r="I76" s="55">
        <f t="shared" si="6"/>
        <v>0</v>
      </c>
      <c r="K76" s="1"/>
      <c r="L76" s="1"/>
      <c r="M76" s="55">
        <f t="shared" si="7"/>
        <v>0</v>
      </c>
      <c r="N76" s="1"/>
      <c r="O76" s="1"/>
      <c r="P76" s="1"/>
      <c r="Q76" s="55">
        <f t="shared" si="8"/>
        <v>0</v>
      </c>
      <c r="R76" s="55">
        <f t="shared" si="9"/>
        <v>0</v>
      </c>
      <c r="T76" s="4" t="s">
        <v>801</v>
      </c>
    </row>
    <row r="77" spans="1:20" ht="15.75" customHeight="1" x14ac:dyDescent="0.3">
      <c r="A77" s="71" t="s">
        <v>1256</v>
      </c>
      <c r="B77" s="1">
        <v>573</v>
      </c>
      <c r="C77" s="1">
        <v>376</v>
      </c>
      <c r="D77" s="1">
        <v>756</v>
      </c>
      <c r="E77" s="55">
        <f t="shared" si="5"/>
        <v>1705</v>
      </c>
      <c r="F77" s="1">
        <v>1418</v>
      </c>
      <c r="G77" s="1">
        <v>1499</v>
      </c>
      <c r="H77" s="1">
        <v>476</v>
      </c>
      <c r="I77" s="55">
        <f t="shared" si="6"/>
        <v>3393</v>
      </c>
      <c r="J77" s="1"/>
      <c r="K77" s="1"/>
      <c r="L77" s="1"/>
      <c r="M77" s="55">
        <f t="shared" si="7"/>
        <v>0</v>
      </c>
      <c r="N77" s="1"/>
      <c r="O77" s="1"/>
      <c r="P77" s="1"/>
      <c r="Q77" s="55">
        <f t="shared" si="8"/>
        <v>0</v>
      </c>
      <c r="R77" s="55">
        <f t="shared" si="9"/>
        <v>5098</v>
      </c>
      <c r="S77" s="477" t="s">
        <v>1257</v>
      </c>
      <c r="T77" s="4" t="s">
        <v>801</v>
      </c>
    </row>
    <row r="78" spans="1:20" ht="15.75" customHeight="1" x14ac:dyDescent="0.3">
      <c r="A78" s="71" t="s">
        <v>78</v>
      </c>
      <c r="B78" s="1"/>
      <c r="C78" s="1"/>
      <c r="D78" s="1"/>
      <c r="E78" s="55">
        <f t="shared" si="5"/>
        <v>0</v>
      </c>
      <c r="F78" s="1"/>
      <c r="G78" s="1"/>
      <c r="H78" s="1"/>
      <c r="I78" s="55">
        <f t="shared" si="6"/>
        <v>0</v>
      </c>
      <c r="J78" s="1"/>
      <c r="K78" s="1"/>
      <c r="L78" s="1"/>
      <c r="M78" s="55">
        <f t="shared" si="7"/>
        <v>0</v>
      </c>
      <c r="N78" s="1"/>
      <c r="O78" s="1"/>
      <c r="P78" s="1"/>
      <c r="Q78" s="55">
        <f t="shared" si="8"/>
        <v>0</v>
      </c>
      <c r="R78" s="55">
        <f t="shared" si="9"/>
        <v>0</v>
      </c>
    </row>
    <row r="79" spans="1:20" ht="15.75" customHeight="1" x14ac:dyDescent="0.3">
      <c r="A79" s="71" t="s">
        <v>525</v>
      </c>
      <c r="B79" s="1"/>
      <c r="C79" s="1"/>
      <c r="D79" s="1"/>
      <c r="E79" s="55">
        <f t="shared" si="5"/>
        <v>0</v>
      </c>
      <c r="F79" s="1"/>
      <c r="G79" s="1"/>
      <c r="H79" s="1"/>
      <c r="I79" s="55">
        <f t="shared" si="6"/>
        <v>0</v>
      </c>
      <c r="J79" s="1"/>
      <c r="K79" s="1"/>
      <c r="L79" s="1"/>
      <c r="M79" s="55">
        <f t="shared" si="7"/>
        <v>0</v>
      </c>
      <c r="N79" s="1"/>
      <c r="O79" s="1"/>
      <c r="P79" s="1"/>
      <c r="Q79" s="55">
        <f t="shared" si="8"/>
        <v>0</v>
      </c>
      <c r="R79" s="55">
        <f t="shared" si="9"/>
        <v>0</v>
      </c>
      <c r="T79" s="4" t="s">
        <v>803</v>
      </c>
    </row>
    <row r="80" spans="1:20" ht="15.75" customHeight="1" x14ac:dyDescent="0.3">
      <c r="A80" s="72" t="s">
        <v>1187</v>
      </c>
      <c r="B80" s="1"/>
      <c r="C80" s="1"/>
      <c r="D80" s="1"/>
      <c r="E80" s="55">
        <f t="shared" si="5"/>
        <v>0</v>
      </c>
      <c r="F80" s="1"/>
      <c r="G80" s="1">
        <v>512</v>
      </c>
      <c r="H80" s="1">
        <v>512</v>
      </c>
      <c r="I80" s="55">
        <f t="shared" si="6"/>
        <v>1024</v>
      </c>
      <c r="J80" s="1">
        <v>512</v>
      </c>
      <c r="K80" s="1">
        <v>512</v>
      </c>
      <c r="L80" s="1"/>
      <c r="M80" s="55">
        <f t="shared" si="7"/>
        <v>1024</v>
      </c>
      <c r="N80" s="1"/>
      <c r="O80" s="1"/>
      <c r="P80" s="1"/>
      <c r="Q80" s="55">
        <f t="shared" si="8"/>
        <v>0</v>
      </c>
      <c r="R80" s="55">
        <f t="shared" si="9"/>
        <v>2048</v>
      </c>
    </row>
    <row r="81" spans="1:20" ht="15.75" customHeight="1" x14ac:dyDescent="0.3">
      <c r="A81" s="72" t="s">
        <v>79</v>
      </c>
      <c r="B81" s="1"/>
      <c r="C81" s="1"/>
      <c r="D81" s="1"/>
      <c r="E81" s="55">
        <f t="shared" si="5"/>
        <v>0</v>
      </c>
      <c r="F81" s="1"/>
      <c r="G81" s="1"/>
      <c r="H81" s="1"/>
      <c r="I81" s="55">
        <f t="shared" si="6"/>
        <v>0</v>
      </c>
      <c r="J81" s="1"/>
      <c r="K81" s="1"/>
      <c r="L81" s="1"/>
      <c r="M81" s="55">
        <f t="shared" si="7"/>
        <v>0</v>
      </c>
      <c r="N81" s="1"/>
      <c r="O81" s="1"/>
      <c r="P81" s="1"/>
      <c r="Q81" s="55">
        <f t="shared" si="8"/>
        <v>0</v>
      </c>
      <c r="R81" s="55">
        <f t="shared" si="9"/>
        <v>0</v>
      </c>
    </row>
    <row r="82" spans="1:20" ht="15.75" customHeight="1" x14ac:dyDescent="0.3">
      <c r="A82" s="72" t="s">
        <v>1375</v>
      </c>
      <c r="B82" s="1"/>
      <c r="C82" s="1"/>
      <c r="D82" s="1"/>
      <c r="E82" s="55">
        <f t="shared" si="5"/>
        <v>0</v>
      </c>
      <c r="F82" s="1"/>
      <c r="G82" s="1"/>
      <c r="H82" s="1"/>
      <c r="I82" s="55">
        <f t="shared" si="6"/>
        <v>0</v>
      </c>
      <c r="J82" s="1"/>
      <c r="K82" s="1"/>
      <c r="L82" s="1"/>
      <c r="M82" s="55">
        <f t="shared" si="7"/>
        <v>0</v>
      </c>
      <c r="N82" s="1"/>
      <c r="O82" s="1"/>
      <c r="P82" s="1">
        <v>200</v>
      </c>
      <c r="Q82" s="55">
        <f t="shared" ref="Q82" si="11">SUM(N82:P82)</f>
        <v>200</v>
      </c>
      <c r="R82" s="55">
        <f t="shared" si="9"/>
        <v>200</v>
      </c>
    </row>
    <row r="83" spans="1:20" ht="15.75" customHeight="1" x14ac:dyDescent="0.3">
      <c r="A83" s="72" t="s">
        <v>1376</v>
      </c>
      <c r="B83" s="1"/>
      <c r="C83" s="1"/>
      <c r="D83" s="1"/>
      <c r="E83" s="55">
        <f t="shared" si="5"/>
        <v>0</v>
      </c>
      <c r="F83" s="1"/>
      <c r="G83" s="1"/>
      <c r="H83" s="1"/>
      <c r="I83" s="55">
        <f t="shared" si="6"/>
        <v>0</v>
      </c>
      <c r="J83" s="1">
        <v>938</v>
      </c>
      <c r="K83" s="1"/>
      <c r="L83" s="1"/>
      <c r="M83" s="55">
        <f t="shared" si="7"/>
        <v>938</v>
      </c>
      <c r="N83" s="1"/>
      <c r="O83" s="1"/>
      <c r="P83" s="1"/>
      <c r="Q83" s="55">
        <f t="shared" ref="Q83" si="12">SUM(N83:P83)</f>
        <v>0</v>
      </c>
      <c r="R83" s="55">
        <f t="shared" si="9"/>
        <v>938</v>
      </c>
    </row>
    <row r="84" spans="1:20" ht="15.75" customHeight="1" x14ac:dyDescent="0.3">
      <c r="A84" s="72" t="s">
        <v>804</v>
      </c>
      <c r="B84" s="1"/>
      <c r="C84" s="1"/>
      <c r="D84" s="1"/>
      <c r="E84" s="55">
        <f>SUM(B84:D84)</f>
        <v>0</v>
      </c>
      <c r="F84" s="1"/>
      <c r="G84" s="1"/>
      <c r="H84" s="1"/>
      <c r="I84" s="55">
        <f>SUM(F84:H84)</f>
        <v>0</v>
      </c>
      <c r="J84" s="1"/>
      <c r="K84" s="1"/>
      <c r="L84" s="1">
        <v>500</v>
      </c>
      <c r="M84" s="55">
        <f>SUM(J84:L84)</f>
        <v>500</v>
      </c>
      <c r="N84" s="1">
        <v>500</v>
      </c>
      <c r="O84" s="1"/>
      <c r="P84" s="1"/>
      <c r="Q84" s="55">
        <f>SUM(N84:P84)</f>
        <v>500</v>
      </c>
      <c r="R84" s="55">
        <f t="shared" si="9"/>
        <v>1000</v>
      </c>
    </row>
    <row r="85" spans="1:20" ht="15.75" customHeight="1" x14ac:dyDescent="0.3">
      <c r="A85" s="72" t="s">
        <v>80</v>
      </c>
      <c r="B85" s="1"/>
      <c r="C85" s="1"/>
      <c r="D85" s="1"/>
      <c r="E85" s="55">
        <f t="shared" si="5"/>
        <v>0</v>
      </c>
      <c r="F85" s="1"/>
      <c r="G85" s="1"/>
      <c r="H85" s="1"/>
      <c r="I85" s="55">
        <f t="shared" si="6"/>
        <v>0</v>
      </c>
      <c r="J85" s="1"/>
      <c r="K85" s="1"/>
      <c r="L85" s="1"/>
      <c r="M85" s="55">
        <f t="shared" si="7"/>
        <v>0</v>
      </c>
      <c r="N85" s="1"/>
      <c r="O85" s="1"/>
      <c r="P85" s="1"/>
      <c r="Q85" s="55">
        <f t="shared" si="8"/>
        <v>0</v>
      </c>
      <c r="R85" s="55">
        <f t="shared" si="9"/>
        <v>0</v>
      </c>
      <c r="S85" s="4">
        <f>SUM(R72:R85)</f>
        <v>10207</v>
      </c>
    </row>
    <row r="86" spans="1:20" ht="15.75" customHeight="1" x14ac:dyDescent="0.3">
      <c r="A86" s="18" t="s">
        <v>50</v>
      </c>
      <c r="B86" s="28"/>
      <c r="C86" s="28"/>
      <c r="D86" s="28"/>
      <c r="E86" s="55" t="s">
        <v>7</v>
      </c>
      <c r="F86" s="28"/>
      <c r="G86" s="28"/>
      <c r="H86" s="28"/>
      <c r="I86" s="55" t="s">
        <v>7</v>
      </c>
      <c r="J86" s="28"/>
      <c r="K86" s="28"/>
      <c r="L86" s="28"/>
      <c r="M86" s="55" t="s">
        <v>7</v>
      </c>
      <c r="N86" s="28"/>
      <c r="O86" s="28"/>
      <c r="P86" s="28"/>
      <c r="Q86" s="55" t="s">
        <v>7</v>
      </c>
      <c r="R86" s="55" t="s">
        <v>7</v>
      </c>
    </row>
    <row r="87" spans="1:20" ht="15.75" customHeight="1" x14ac:dyDescent="0.3">
      <c r="A87" s="72" t="s">
        <v>83</v>
      </c>
      <c r="B87" s="1"/>
      <c r="C87" s="1"/>
      <c r="D87" s="1"/>
      <c r="E87" s="55">
        <f>SUM(B87:D87)</f>
        <v>0</v>
      </c>
      <c r="F87" s="1"/>
      <c r="G87" s="1"/>
      <c r="H87" s="1"/>
      <c r="I87" s="55">
        <f>SUM(F87:H87)</f>
        <v>0</v>
      </c>
      <c r="J87" s="1"/>
      <c r="K87" s="1"/>
      <c r="L87" s="1"/>
      <c r="M87" s="55">
        <f>SUM(J87:L87)</f>
        <v>0</v>
      </c>
      <c r="N87" s="1"/>
      <c r="O87" s="1"/>
      <c r="P87" s="1"/>
      <c r="Q87" s="55">
        <f>SUM(N87:P87)</f>
        <v>0</v>
      </c>
      <c r="R87" s="55">
        <f>+E87+I87+M87+Q87</f>
        <v>0</v>
      </c>
    </row>
    <row r="88" spans="1:20" ht="15.75" customHeight="1" x14ac:dyDescent="0.3">
      <c r="A88" s="18" t="s">
        <v>1186</v>
      </c>
      <c r="B88" s="28"/>
      <c r="C88" s="28"/>
      <c r="D88" s="28"/>
      <c r="E88" s="55" t="s">
        <v>52</v>
      </c>
      <c r="F88" s="28"/>
      <c r="G88" s="28"/>
      <c r="H88" s="28"/>
      <c r="I88" s="55" t="s">
        <v>52</v>
      </c>
      <c r="J88" s="28"/>
      <c r="K88" s="28"/>
      <c r="L88" s="28"/>
      <c r="M88" s="55" t="s">
        <v>52</v>
      </c>
      <c r="N88" s="28"/>
      <c r="O88" s="28"/>
      <c r="P88" s="28"/>
      <c r="Q88" s="55" t="s">
        <v>52</v>
      </c>
      <c r="R88" s="55" t="s">
        <v>52</v>
      </c>
    </row>
    <row r="89" spans="1:20" ht="15.75" customHeight="1" x14ac:dyDescent="0.3">
      <c r="A89" s="61" t="s">
        <v>1258</v>
      </c>
      <c r="B89" s="1"/>
      <c r="C89" s="1"/>
      <c r="D89" s="1"/>
      <c r="E89" s="55">
        <f>SUM(B89:D89)</f>
        <v>0</v>
      </c>
      <c r="F89" s="1"/>
      <c r="G89" s="1"/>
      <c r="H89" s="1"/>
      <c r="I89" s="55">
        <f>SUM(F89:H89)</f>
        <v>0</v>
      </c>
      <c r="J89" s="1"/>
      <c r="K89" s="1"/>
      <c r="L89" s="1"/>
      <c r="M89" s="55">
        <f>SUM(J89:L89)</f>
        <v>0</v>
      </c>
      <c r="N89" s="1"/>
      <c r="O89" s="1"/>
      <c r="P89" s="1"/>
      <c r="Q89" s="55">
        <f>SUM(N89:P89)</f>
        <v>0</v>
      </c>
      <c r="R89" s="55">
        <f>+E89+I89+M89+Q89</f>
        <v>0</v>
      </c>
      <c r="S89" s="478" t="s">
        <v>1259</v>
      </c>
    </row>
    <row r="90" spans="1:20" ht="15.75" customHeight="1" x14ac:dyDescent="0.3">
      <c r="A90" s="61" t="s">
        <v>1260</v>
      </c>
      <c r="B90" s="1"/>
      <c r="C90" s="1"/>
      <c r="D90" s="1"/>
      <c r="E90" s="55">
        <f>SUM(B90:D90)</f>
        <v>0</v>
      </c>
      <c r="F90" s="1"/>
      <c r="G90" s="1"/>
      <c r="H90" s="1"/>
      <c r="I90" s="55">
        <f>SUM(F90:H90)</f>
        <v>0</v>
      </c>
      <c r="J90" s="1"/>
      <c r="K90" s="1"/>
      <c r="L90" s="1"/>
      <c r="M90" s="55">
        <f>SUM(J90:L90)</f>
        <v>0</v>
      </c>
      <c r="N90" s="1"/>
      <c r="O90" s="1"/>
      <c r="P90" s="1"/>
      <c r="Q90" s="55">
        <f>SUM(N90:P90)</f>
        <v>0</v>
      </c>
      <c r="R90" s="55">
        <f>+E90+I90+M90+Q90</f>
        <v>0</v>
      </c>
      <c r="S90" s="478" t="s">
        <v>1259</v>
      </c>
      <c r="T90" s="4" t="s">
        <v>801</v>
      </c>
    </row>
    <row r="91" spans="1:20" ht="15.75" customHeight="1" thickBot="1" x14ac:dyDescent="0.35">
      <c r="A91" s="18" t="s">
        <v>53</v>
      </c>
      <c r="B91" s="56"/>
      <c r="C91" s="56"/>
      <c r="D91" s="56"/>
      <c r="E91" s="55" t="s">
        <v>7</v>
      </c>
      <c r="F91" s="56"/>
      <c r="G91" s="56"/>
      <c r="H91" s="56"/>
      <c r="I91" s="55" t="s">
        <v>7</v>
      </c>
      <c r="J91" s="56"/>
      <c r="K91" s="56"/>
      <c r="L91" s="56"/>
      <c r="M91" s="55" t="s">
        <v>7</v>
      </c>
      <c r="N91" s="56"/>
      <c r="O91" s="56"/>
      <c r="P91" s="56"/>
      <c r="Q91" s="55" t="s">
        <v>7</v>
      </c>
      <c r="R91" s="55" t="s">
        <v>7</v>
      </c>
    </row>
    <row r="92" spans="1:20" ht="16.5" customHeight="1" thickBot="1" x14ac:dyDescent="0.35">
      <c r="A92" s="57" t="s">
        <v>54</v>
      </c>
      <c r="B92" s="58">
        <f>SUM(B70:B91)</f>
        <v>573</v>
      </c>
      <c r="C92" s="58">
        <f>SUM(C70:C91)</f>
        <v>376</v>
      </c>
      <c r="D92" s="58">
        <f>SUM(D70:D91)</f>
        <v>756</v>
      </c>
      <c r="E92" s="59">
        <f>SUM(B92:D92)</f>
        <v>1705</v>
      </c>
      <c r="F92" s="58">
        <f>SUM(F70:F91)</f>
        <v>1418</v>
      </c>
      <c r="G92" s="58">
        <f>SUM(G70:G91)</f>
        <v>2011</v>
      </c>
      <c r="H92" s="58">
        <f>SUM(H70:H91)</f>
        <v>988</v>
      </c>
      <c r="I92" s="59">
        <f>SUM(F92:H92)</f>
        <v>4417</v>
      </c>
      <c r="J92" s="58">
        <f>SUM(J70:J91)</f>
        <v>1450</v>
      </c>
      <c r="K92" s="58">
        <f>SUM(K70:K91)</f>
        <v>512</v>
      </c>
      <c r="L92" s="58">
        <f>SUM(L70:L91)</f>
        <v>500</v>
      </c>
      <c r="M92" s="59">
        <f>SUM(J92:L92)</f>
        <v>2462</v>
      </c>
      <c r="N92" s="58">
        <f>SUM(N70:N91)</f>
        <v>500</v>
      </c>
      <c r="O92" s="58">
        <f>SUM(O70:O91)</f>
        <v>923</v>
      </c>
      <c r="P92" s="58">
        <f>SUM(P70:P91)</f>
        <v>200</v>
      </c>
      <c r="Q92" s="59">
        <f>SUM(N92:P92)</f>
        <v>1623</v>
      </c>
      <c r="R92" s="59">
        <f>+E92+I92+M92+Q92</f>
        <v>10207</v>
      </c>
    </row>
    <row r="93" spans="1:20" ht="15.75" customHeight="1" x14ac:dyDescent="0.3">
      <c r="A93" s="18" t="s">
        <v>55</v>
      </c>
      <c r="B93" s="56"/>
      <c r="C93" s="56"/>
      <c r="D93" s="56"/>
      <c r="E93" s="55" t="s">
        <v>7</v>
      </c>
      <c r="F93" s="56"/>
      <c r="G93" s="56"/>
      <c r="H93" s="56"/>
      <c r="I93" s="55" t="s">
        <v>7</v>
      </c>
      <c r="J93" s="56"/>
      <c r="K93" s="56"/>
      <c r="L93" s="56"/>
      <c r="M93" s="55" t="s">
        <v>7</v>
      </c>
      <c r="N93" s="56"/>
      <c r="O93" s="56"/>
      <c r="P93" s="56"/>
      <c r="Q93" s="55" t="s">
        <v>7</v>
      </c>
      <c r="R93" s="60" t="s">
        <v>7</v>
      </c>
    </row>
    <row r="94" spans="1:20" ht="15.75" customHeight="1" x14ac:dyDescent="0.3">
      <c r="A94" s="18" t="s">
        <v>56</v>
      </c>
      <c r="B94" s="56"/>
      <c r="C94" s="56"/>
      <c r="D94" s="56"/>
      <c r="E94" s="55" t="s">
        <v>7</v>
      </c>
      <c r="F94" s="56"/>
      <c r="G94" s="56"/>
      <c r="H94" s="56"/>
      <c r="I94" s="55" t="s">
        <v>7</v>
      </c>
      <c r="J94" s="56"/>
      <c r="K94" s="56"/>
      <c r="L94" s="56"/>
      <c r="M94" s="55" t="s">
        <v>7</v>
      </c>
      <c r="N94" s="56"/>
      <c r="O94" s="56"/>
      <c r="P94" s="56"/>
      <c r="Q94" s="55" t="s">
        <v>7</v>
      </c>
      <c r="R94" s="55" t="s">
        <v>7</v>
      </c>
    </row>
    <row r="95" spans="1:20" ht="15.75" customHeight="1" x14ac:dyDescent="0.3">
      <c r="A95" s="18" t="s">
        <v>57</v>
      </c>
      <c r="B95" s="56"/>
      <c r="C95" s="56"/>
      <c r="D95" s="56"/>
      <c r="E95" s="55" t="s">
        <v>7</v>
      </c>
      <c r="F95" s="56"/>
      <c r="G95" s="56"/>
      <c r="H95" s="56"/>
      <c r="I95" s="55" t="s">
        <v>7</v>
      </c>
      <c r="J95" s="56"/>
      <c r="K95" s="56"/>
      <c r="L95" s="56"/>
      <c r="M95" s="55" t="s">
        <v>7</v>
      </c>
      <c r="N95" s="56"/>
      <c r="O95" s="56"/>
      <c r="P95" s="56"/>
      <c r="Q95" s="55" t="s">
        <v>7</v>
      </c>
      <c r="R95" s="55" t="s">
        <v>7</v>
      </c>
    </row>
    <row r="96" spans="1:20" ht="15.75" customHeight="1" x14ac:dyDescent="0.3">
      <c r="A96" s="72" t="s">
        <v>81</v>
      </c>
      <c r="B96" s="1">
        <v>278</v>
      </c>
      <c r="C96" s="1">
        <v>131</v>
      </c>
      <c r="D96" s="1">
        <v>350</v>
      </c>
      <c r="E96" s="55">
        <f>SUM(B96:D96)</f>
        <v>759</v>
      </c>
      <c r="F96" s="1">
        <v>1880</v>
      </c>
      <c r="G96" s="1">
        <v>3547</v>
      </c>
      <c r="H96" s="1">
        <v>4837</v>
      </c>
      <c r="I96" s="55">
        <f>SUM(F96:H96)</f>
        <v>10264</v>
      </c>
      <c r="J96" s="1">
        <v>4549</v>
      </c>
      <c r="K96" s="1">
        <v>4873</v>
      </c>
      <c r="L96" s="1">
        <v>3130</v>
      </c>
      <c r="M96" s="55">
        <f>SUM(J96:L96)</f>
        <v>12552</v>
      </c>
      <c r="N96" s="1">
        <v>973</v>
      </c>
      <c r="O96" s="1">
        <v>659</v>
      </c>
      <c r="P96" s="1">
        <v>1876</v>
      </c>
      <c r="Q96" s="55">
        <f>SUM(N96:P96)</f>
        <v>3508</v>
      </c>
      <c r="R96" s="55">
        <f>+E96+I96+M96+Q96</f>
        <v>27083</v>
      </c>
      <c r="T96" s="4" t="s">
        <v>805</v>
      </c>
    </row>
    <row r="97" spans="1:20" ht="15.75" customHeight="1" x14ac:dyDescent="0.3">
      <c r="A97" s="72" t="s">
        <v>87</v>
      </c>
      <c r="B97" s="1"/>
      <c r="C97" s="1"/>
      <c r="D97" s="1"/>
      <c r="E97" s="55">
        <f>SUM(B97:D97)</f>
        <v>0</v>
      </c>
      <c r="F97" s="1"/>
      <c r="G97" s="1">
        <v>200</v>
      </c>
      <c r="H97" s="1">
        <v>250</v>
      </c>
      <c r="I97" s="55">
        <f>SUM(F97:H97)</f>
        <v>450</v>
      </c>
      <c r="J97" s="1">
        <v>335</v>
      </c>
      <c r="K97" s="1">
        <v>335</v>
      </c>
      <c r="L97" s="1">
        <v>515</v>
      </c>
      <c r="M97" s="55">
        <f>SUM(J97:L97)</f>
        <v>1185</v>
      </c>
      <c r="N97" s="1">
        <v>715</v>
      </c>
      <c r="O97" s="1">
        <v>245</v>
      </c>
      <c r="P97" s="1">
        <v>69</v>
      </c>
      <c r="Q97" s="55">
        <f>SUM(N97:P97)</f>
        <v>1029</v>
      </c>
      <c r="R97" s="55">
        <f>+E97+I97+M97+Q97</f>
        <v>2664</v>
      </c>
      <c r="T97" s="4" t="s">
        <v>801</v>
      </c>
    </row>
    <row r="98" spans="1:20" ht="15.75" customHeight="1" thickBot="1" x14ac:dyDescent="0.35">
      <c r="A98" s="18" t="s">
        <v>58</v>
      </c>
      <c r="B98" s="56"/>
      <c r="C98" s="56"/>
      <c r="D98" s="56"/>
      <c r="E98" s="55" t="s">
        <v>7</v>
      </c>
      <c r="F98" s="56"/>
      <c r="G98" s="56"/>
      <c r="H98" s="56"/>
      <c r="I98" s="55" t="s">
        <v>7</v>
      </c>
      <c r="J98" s="56"/>
      <c r="K98" s="56"/>
      <c r="L98" s="56"/>
      <c r="M98" s="55" t="s">
        <v>7</v>
      </c>
      <c r="N98" s="56"/>
      <c r="O98" s="56"/>
      <c r="P98" s="56"/>
      <c r="Q98" s="55" t="s">
        <v>7</v>
      </c>
      <c r="R98" s="55" t="s">
        <v>7</v>
      </c>
    </row>
    <row r="99" spans="1:20" ht="16.5" customHeight="1" thickBot="1" x14ac:dyDescent="0.35">
      <c r="A99" s="57" t="s">
        <v>59</v>
      </c>
      <c r="B99" s="58">
        <f>SUM(B93:B98)</f>
        <v>278</v>
      </c>
      <c r="C99" s="58">
        <f>SUM(C93:C98)</f>
        <v>131</v>
      </c>
      <c r="D99" s="58">
        <f>SUM(D93:D98)</f>
        <v>350</v>
      </c>
      <c r="E99" s="59">
        <f>SUM(B99:D99)</f>
        <v>759</v>
      </c>
      <c r="F99" s="58">
        <f>SUM(F93:F98)</f>
        <v>1880</v>
      </c>
      <c r="G99" s="58">
        <f>SUM(G93:G98)</f>
        <v>3747</v>
      </c>
      <c r="H99" s="58">
        <f>SUM(H93:H98)</f>
        <v>5087</v>
      </c>
      <c r="I99" s="59">
        <f>SUM(F99:H99)</f>
        <v>10714</v>
      </c>
      <c r="J99" s="58">
        <f>SUM(J93:J98)</f>
        <v>4884</v>
      </c>
      <c r="K99" s="58">
        <f>SUM(K93:K98)</f>
        <v>5208</v>
      </c>
      <c r="L99" s="58">
        <f>SUM(L93:L98)</f>
        <v>3645</v>
      </c>
      <c r="M99" s="59">
        <f>SUM(J99:L99)</f>
        <v>13737</v>
      </c>
      <c r="N99" s="58">
        <f>SUM(N93:N98)</f>
        <v>1688</v>
      </c>
      <c r="O99" s="58">
        <f>SUM(O93:O98)</f>
        <v>904</v>
      </c>
      <c r="P99" s="58">
        <f>SUM(P93:P98)</f>
        <v>1945</v>
      </c>
      <c r="Q99" s="59">
        <f>SUM(N99:P99)</f>
        <v>4537</v>
      </c>
      <c r="R99" s="59">
        <f>+E99+I99+M99+Q99</f>
        <v>29747</v>
      </c>
    </row>
    <row r="100" spans="1:20" ht="15.75" customHeight="1" x14ac:dyDescent="0.3">
      <c r="A100" s="18" t="s">
        <v>60</v>
      </c>
      <c r="B100" s="56"/>
      <c r="C100" s="56"/>
      <c r="D100" s="56"/>
      <c r="E100" s="55" t="s">
        <v>7</v>
      </c>
      <c r="F100" s="56"/>
      <c r="G100" s="56"/>
      <c r="H100" s="56"/>
      <c r="I100" s="55" t="s">
        <v>7</v>
      </c>
      <c r="J100" s="56"/>
      <c r="K100" s="56"/>
      <c r="L100" s="56"/>
      <c r="M100" s="55" t="s">
        <v>7</v>
      </c>
      <c r="N100" s="56"/>
      <c r="O100" s="56"/>
      <c r="P100" s="56"/>
      <c r="Q100" s="55" t="s">
        <v>7</v>
      </c>
      <c r="R100" s="55" t="s">
        <v>7</v>
      </c>
    </row>
    <row r="101" spans="1:20" ht="15.75" customHeight="1" x14ac:dyDescent="0.3">
      <c r="A101" s="18" t="s">
        <v>61</v>
      </c>
      <c r="B101" s="56"/>
      <c r="C101" s="56"/>
      <c r="D101" s="56"/>
      <c r="E101" s="55" t="s">
        <v>7</v>
      </c>
      <c r="F101" s="56"/>
      <c r="G101" s="56"/>
      <c r="H101" s="56"/>
      <c r="I101" s="55" t="s">
        <v>7</v>
      </c>
      <c r="J101" s="56"/>
      <c r="K101" s="56"/>
      <c r="L101" s="56"/>
      <c r="M101" s="55" t="s">
        <v>7</v>
      </c>
      <c r="N101" s="56"/>
      <c r="O101" s="56"/>
      <c r="P101" s="56"/>
      <c r="Q101" s="55" t="s">
        <v>7</v>
      </c>
      <c r="R101" s="55" t="s">
        <v>7</v>
      </c>
    </row>
    <row r="102" spans="1:20" ht="15.75" customHeight="1" x14ac:dyDescent="0.3">
      <c r="A102" s="18" t="s">
        <v>62</v>
      </c>
      <c r="B102" s="56"/>
      <c r="C102" s="56"/>
      <c r="D102" s="56"/>
      <c r="E102" s="55"/>
      <c r="F102" s="56"/>
      <c r="G102" s="56"/>
      <c r="H102" s="56"/>
      <c r="I102" s="55"/>
      <c r="J102" s="56"/>
      <c r="K102" s="56"/>
      <c r="L102" s="56"/>
      <c r="M102" s="55"/>
      <c r="N102" s="56"/>
      <c r="O102" s="56"/>
      <c r="P102" s="56"/>
      <c r="Q102" s="55"/>
      <c r="R102" s="55"/>
    </row>
    <row r="103" spans="1:20" ht="15.75" customHeight="1" x14ac:dyDescent="0.3">
      <c r="A103" s="72" t="s">
        <v>1377</v>
      </c>
      <c r="B103" s="1"/>
      <c r="C103" s="1"/>
      <c r="D103" s="1"/>
      <c r="E103" s="55">
        <f t="shared" ref="E103:E114" si="13">SUM(B103:D103)</f>
        <v>0</v>
      </c>
      <c r="F103" s="1"/>
      <c r="G103" s="1"/>
      <c r="H103" s="1"/>
      <c r="I103" s="55">
        <f t="shared" ref="I103:I114" si="14">SUM(F103:H103)</f>
        <v>0</v>
      </c>
      <c r="J103" s="1"/>
      <c r="K103" s="1">
        <v>4000</v>
      </c>
      <c r="L103" s="1"/>
      <c r="M103" s="55">
        <f t="shared" ref="M103:M114" si="15">SUM(J103:L103)</f>
        <v>4000</v>
      </c>
      <c r="N103" s="1"/>
      <c r="O103" s="1"/>
      <c r="P103" s="1">
        <v>1695</v>
      </c>
      <c r="Q103" s="55">
        <f t="shared" ref="Q103:Q114" si="16">SUM(N103:P103)</f>
        <v>1695</v>
      </c>
      <c r="R103" s="55">
        <f t="shared" ref="R103:R114" si="17">+E103+I103+M103+Q103</f>
        <v>5695</v>
      </c>
    </row>
    <row r="104" spans="1:20" ht="15.75" customHeight="1" x14ac:dyDescent="0.3">
      <c r="A104" s="72" t="s">
        <v>88</v>
      </c>
      <c r="B104" s="1"/>
      <c r="C104" s="1"/>
      <c r="D104" s="1"/>
      <c r="E104" s="55">
        <f t="shared" si="13"/>
        <v>0</v>
      </c>
      <c r="F104" s="1"/>
      <c r="G104" s="1"/>
      <c r="H104" s="1"/>
      <c r="I104" s="55">
        <f t="shared" si="14"/>
        <v>0</v>
      </c>
      <c r="J104" s="1"/>
      <c r="K104" s="1"/>
      <c r="L104" s="1"/>
      <c r="M104" s="55">
        <f t="shared" si="15"/>
        <v>0</v>
      </c>
      <c r="N104" s="1"/>
      <c r="O104" s="1"/>
      <c r="P104" s="1"/>
      <c r="Q104" s="55">
        <f t="shared" ref="Q104" si="18">SUM(N104:P104)</f>
        <v>0</v>
      </c>
      <c r="R104" s="55">
        <f t="shared" si="17"/>
        <v>0</v>
      </c>
    </row>
    <row r="105" spans="1:20" ht="15.75" customHeight="1" x14ac:dyDescent="0.3">
      <c r="A105" s="72" t="s">
        <v>89</v>
      </c>
      <c r="B105" s="1"/>
      <c r="C105" s="1"/>
      <c r="D105" s="1"/>
      <c r="E105" s="55">
        <f t="shared" si="13"/>
        <v>0</v>
      </c>
      <c r="F105" s="1"/>
      <c r="G105" s="1"/>
      <c r="H105" s="1"/>
      <c r="I105" s="55">
        <f t="shared" si="14"/>
        <v>0</v>
      </c>
      <c r="J105" s="1"/>
      <c r="K105" s="1"/>
      <c r="L105" s="1"/>
      <c r="M105" s="55">
        <f t="shared" si="15"/>
        <v>0</v>
      </c>
      <c r="N105" s="1"/>
      <c r="O105" s="1"/>
      <c r="P105" s="1"/>
      <c r="Q105" s="55">
        <f t="shared" si="16"/>
        <v>0</v>
      </c>
      <c r="R105" s="55">
        <f t="shared" si="17"/>
        <v>0</v>
      </c>
    </row>
    <row r="106" spans="1:20" ht="15.75" customHeight="1" x14ac:dyDescent="0.3">
      <c r="A106" s="72" t="s">
        <v>1261</v>
      </c>
      <c r="B106" s="1"/>
      <c r="C106" s="1"/>
      <c r="D106" s="1"/>
      <c r="E106" s="55">
        <f>SUM(B106:D106)</f>
        <v>0</v>
      </c>
      <c r="F106" s="1"/>
      <c r="G106" s="1"/>
      <c r="H106" s="1"/>
      <c r="I106" s="55">
        <f>SUM(F106:H106)</f>
        <v>0</v>
      </c>
      <c r="J106" s="1"/>
      <c r="K106" s="1"/>
      <c r="L106" s="1"/>
      <c r="M106" s="55">
        <f>SUM(J106:L106)</f>
        <v>0</v>
      </c>
      <c r="N106" s="1"/>
      <c r="O106" s="1"/>
      <c r="P106" s="1"/>
      <c r="Q106" s="55">
        <f>SUM(N106:P106)</f>
        <v>0</v>
      </c>
      <c r="R106" s="55">
        <f>+E106+I106+M106+Q106</f>
        <v>0</v>
      </c>
    </row>
    <row r="107" spans="1:20" ht="15.75" customHeight="1" x14ac:dyDescent="0.3">
      <c r="A107" s="72" t="s">
        <v>1188</v>
      </c>
      <c r="B107" s="1"/>
      <c r="C107" s="1"/>
      <c r="D107" s="1"/>
      <c r="E107" s="55">
        <f>SUM(B107:D107)</f>
        <v>0</v>
      </c>
      <c r="F107" s="1"/>
      <c r="G107" s="1"/>
      <c r="H107" s="1"/>
      <c r="I107" s="55">
        <f>SUM(F107:H107)</f>
        <v>0</v>
      </c>
      <c r="J107" s="1"/>
      <c r="K107" s="1"/>
      <c r="L107" s="1"/>
      <c r="M107" s="55">
        <f>SUM(J107:L107)</f>
        <v>0</v>
      </c>
      <c r="N107" s="1"/>
      <c r="O107" s="1"/>
      <c r="P107" s="1"/>
      <c r="Q107" s="55">
        <f>SUM(N107:P107)</f>
        <v>0</v>
      </c>
      <c r="R107" s="55">
        <f>+E107+I107+M107+Q107</f>
        <v>0</v>
      </c>
      <c r="T107" s="4" t="s">
        <v>803</v>
      </c>
    </row>
    <row r="108" spans="1:20" ht="15.75" customHeight="1" x14ac:dyDescent="0.3">
      <c r="A108" s="72" t="s">
        <v>528</v>
      </c>
      <c r="B108" s="1"/>
      <c r="C108" s="1"/>
      <c r="D108" s="1"/>
      <c r="E108" s="55">
        <f>SUM(B108:D108)</f>
        <v>0</v>
      </c>
      <c r="F108" s="1"/>
      <c r="G108" s="1"/>
      <c r="H108" s="1"/>
      <c r="I108" s="55">
        <f>SUM(F108:H108)</f>
        <v>0</v>
      </c>
      <c r="J108" s="1"/>
      <c r="K108" s="1"/>
      <c r="L108" s="1"/>
      <c r="M108" s="55">
        <f>SUM(J108:L108)</f>
        <v>0</v>
      </c>
      <c r="N108" s="1"/>
      <c r="O108" s="1"/>
      <c r="P108" s="1"/>
      <c r="Q108" s="55">
        <f>SUM(N108:P108)</f>
        <v>0</v>
      </c>
      <c r="R108" s="55">
        <f>+E108+I108+M108+Q108</f>
        <v>0</v>
      </c>
    </row>
    <row r="109" spans="1:20" ht="15.75" customHeight="1" x14ac:dyDescent="0.3">
      <c r="A109" s="72" t="s">
        <v>1262</v>
      </c>
      <c r="B109" s="1"/>
      <c r="C109" s="1"/>
      <c r="D109" s="1"/>
      <c r="E109" s="55">
        <f t="shared" si="13"/>
        <v>0</v>
      </c>
      <c r="F109" s="1"/>
      <c r="G109" s="1"/>
      <c r="H109" s="1"/>
      <c r="I109" s="55">
        <f t="shared" si="14"/>
        <v>0</v>
      </c>
      <c r="J109" s="1"/>
      <c r="K109" s="1"/>
      <c r="L109" s="1"/>
      <c r="M109" s="55">
        <f t="shared" si="15"/>
        <v>0</v>
      </c>
      <c r="N109" s="1"/>
      <c r="O109" s="1"/>
      <c r="P109" s="1"/>
      <c r="Q109" s="55">
        <f t="shared" si="16"/>
        <v>0</v>
      </c>
      <c r="R109" s="55">
        <f t="shared" si="17"/>
        <v>0</v>
      </c>
    </row>
    <row r="110" spans="1:20" ht="15.75" customHeight="1" x14ac:dyDescent="0.3">
      <c r="A110" s="72" t="s">
        <v>95</v>
      </c>
      <c r="B110" s="1"/>
      <c r="C110" s="1"/>
      <c r="D110" s="1"/>
      <c r="E110" s="55">
        <f t="shared" si="13"/>
        <v>0</v>
      </c>
      <c r="F110" s="1"/>
      <c r="G110" s="1"/>
      <c r="H110" s="1"/>
      <c r="I110" s="55">
        <f t="shared" si="14"/>
        <v>0</v>
      </c>
      <c r="J110" s="1"/>
      <c r="K110" s="1"/>
      <c r="L110" s="1"/>
      <c r="M110" s="55">
        <f t="shared" si="15"/>
        <v>0</v>
      </c>
      <c r="N110" s="1"/>
      <c r="O110" s="1"/>
      <c r="P110" s="1"/>
      <c r="Q110" s="55">
        <f t="shared" ref="Q110" si="19">SUM(N110:P110)</f>
        <v>0</v>
      </c>
      <c r="R110" s="55">
        <f t="shared" si="17"/>
        <v>0</v>
      </c>
    </row>
    <row r="111" spans="1:20" ht="15.75" customHeight="1" x14ac:dyDescent="0.3">
      <c r="A111" s="72" t="s">
        <v>1378</v>
      </c>
      <c r="B111" s="1"/>
      <c r="C111" s="1"/>
      <c r="D111" s="1"/>
      <c r="E111" s="55">
        <f t="shared" si="13"/>
        <v>0</v>
      </c>
      <c r="F111" s="1"/>
      <c r="G111" s="1"/>
      <c r="H111" s="1"/>
      <c r="I111" s="55">
        <f t="shared" si="14"/>
        <v>0</v>
      </c>
      <c r="J111" s="1">
        <v>3185</v>
      </c>
      <c r="K111" s="1"/>
      <c r="L111" s="1"/>
      <c r="M111" s="55">
        <f t="shared" si="15"/>
        <v>3185</v>
      </c>
      <c r="N111" s="1"/>
      <c r="O111" s="1"/>
      <c r="P111" s="1"/>
      <c r="Q111" s="55">
        <f t="shared" ref="Q111" si="20">SUM(N111:P111)</f>
        <v>0</v>
      </c>
      <c r="R111" s="55">
        <f t="shared" si="17"/>
        <v>3185</v>
      </c>
    </row>
    <row r="112" spans="1:20" ht="15.75" customHeight="1" x14ac:dyDescent="0.3">
      <c r="A112" s="72" t="s">
        <v>1379</v>
      </c>
      <c r="B112" s="1"/>
      <c r="C112" s="1"/>
      <c r="D112" s="1"/>
      <c r="E112" s="55">
        <f t="shared" ref="E112" si="21">SUM(B112:D112)</f>
        <v>0</v>
      </c>
      <c r="F112" s="1"/>
      <c r="G112" s="1"/>
      <c r="H112" s="1"/>
      <c r="I112" s="55">
        <f t="shared" ref="I112" si="22">SUM(F112:H112)</f>
        <v>0</v>
      </c>
      <c r="J112" s="1"/>
      <c r="K112" s="1"/>
      <c r="L112" s="1">
        <v>854</v>
      </c>
      <c r="M112" s="55">
        <f t="shared" ref="M112" si="23">SUM(J112:L112)</f>
        <v>854</v>
      </c>
      <c r="N112" s="1"/>
      <c r="O112" s="1"/>
      <c r="P112" s="1"/>
      <c r="Q112" s="55">
        <f t="shared" ref="Q112" si="24">SUM(N112:P112)</f>
        <v>0</v>
      </c>
      <c r="R112" s="55">
        <f t="shared" si="17"/>
        <v>854</v>
      </c>
    </row>
    <row r="113" spans="1:20" ht="15.75" customHeight="1" thickBot="1" x14ac:dyDescent="0.35">
      <c r="A113" s="72" t="s">
        <v>1380</v>
      </c>
      <c r="B113" s="1"/>
      <c r="C113" s="1"/>
      <c r="D113" s="1"/>
      <c r="E113" s="55">
        <f t="shared" si="13"/>
        <v>0</v>
      </c>
      <c r="F113" s="1"/>
      <c r="G113" s="1"/>
      <c r="H113" s="1">
        <v>859</v>
      </c>
      <c r="I113" s="55">
        <f t="shared" si="14"/>
        <v>859</v>
      </c>
      <c r="J113" s="1">
        <v>838</v>
      </c>
      <c r="K113" s="1">
        <v>1566</v>
      </c>
      <c r="L113" s="1">
        <v>1190</v>
      </c>
      <c r="M113" s="55">
        <f t="shared" si="15"/>
        <v>3594</v>
      </c>
      <c r="N113" s="1">
        <v>959</v>
      </c>
      <c r="O113" s="1">
        <v>490</v>
      </c>
      <c r="P113" s="1"/>
      <c r="Q113" s="55">
        <f t="shared" si="16"/>
        <v>1449</v>
      </c>
      <c r="R113" s="55">
        <f t="shared" si="17"/>
        <v>5902</v>
      </c>
    </row>
    <row r="114" spans="1:20" ht="16.5" customHeight="1" thickBot="1" x14ac:dyDescent="0.35">
      <c r="A114" s="57" t="s">
        <v>63</v>
      </c>
      <c r="B114" s="58">
        <f>SUM(B100:B113)</f>
        <v>0</v>
      </c>
      <c r="C114" s="58">
        <f>SUM(C100:C113)</f>
        <v>0</v>
      </c>
      <c r="D114" s="58">
        <f>SUM(D100:D113)</f>
        <v>0</v>
      </c>
      <c r="E114" s="59">
        <f t="shared" si="13"/>
        <v>0</v>
      </c>
      <c r="F114" s="58">
        <f>SUM(F100:F113)</f>
        <v>0</v>
      </c>
      <c r="G114" s="58">
        <f>SUM(G100:G113)</f>
        <v>0</v>
      </c>
      <c r="H114" s="58">
        <f>SUM(H100:H113)</f>
        <v>859</v>
      </c>
      <c r="I114" s="59">
        <f t="shared" si="14"/>
        <v>859</v>
      </c>
      <c r="J114" s="58">
        <f>SUM(J100:J113)</f>
        <v>4023</v>
      </c>
      <c r="K114" s="58">
        <f>SUM(K100:K113)</f>
        <v>5566</v>
      </c>
      <c r="L114" s="58">
        <f>SUM(L100:L113)</f>
        <v>2044</v>
      </c>
      <c r="M114" s="59">
        <f t="shared" si="15"/>
        <v>11633</v>
      </c>
      <c r="N114" s="58">
        <f>SUM(N100:N113)</f>
        <v>959</v>
      </c>
      <c r="O114" s="58">
        <f>SUM(O100:O113)</f>
        <v>490</v>
      </c>
      <c r="P114" s="58">
        <f>SUM(P100:P113)</f>
        <v>1695</v>
      </c>
      <c r="Q114" s="59">
        <f t="shared" si="16"/>
        <v>3144</v>
      </c>
      <c r="R114" s="59">
        <f t="shared" si="17"/>
        <v>15636</v>
      </c>
    </row>
    <row r="115" spans="1:20" ht="15.75" customHeight="1" x14ac:dyDescent="0.3">
      <c r="A115" s="18" t="s">
        <v>64</v>
      </c>
      <c r="B115" s="56"/>
      <c r="C115" s="56"/>
      <c r="D115" s="56"/>
      <c r="E115" s="55" t="s">
        <v>7</v>
      </c>
      <c r="F115" s="56"/>
      <c r="G115" s="56"/>
      <c r="H115" s="56"/>
      <c r="I115" s="55" t="s">
        <v>7</v>
      </c>
      <c r="J115" s="56"/>
      <c r="K115" s="56"/>
      <c r="L115" s="56"/>
      <c r="M115" s="55" t="s">
        <v>7</v>
      </c>
      <c r="N115" s="56"/>
      <c r="O115" s="56"/>
      <c r="P115" s="56"/>
      <c r="Q115" s="55" t="s">
        <v>7</v>
      </c>
      <c r="R115" s="55" t="s">
        <v>7</v>
      </c>
    </row>
    <row r="116" spans="1:20" ht="15.75" customHeight="1" x14ac:dyDescent="0.3">
      <c r="A116" s="18" t="s">
        <v>594</v>
      </c>
      <c r="B116" s="56"/>
      <c r="C116" s="56"/>
      <c r="D116" s="56"/>
      <c r="E116" s="55" t="s">
        <v>7</v>
      </c>
      <c r="F116" s="56"/>
      <c r="G116" s="56"/>
      <c r="H116" s="56"/>
      <c r="I116" s="55" t="s">
        <v>7</v>
      </c>
      <c r="J116" s="56"/>
      <c r="K116" s="56"/>
      <c r="L116" s="56"/>
      <c r="M116" s="55" t="s">
        <v>7</v>
      </c>
      <c r="N116" s="56"/>
      <c r="O116" s="56"/>
      <c r="P116" s="56"/>
      <c r="Q116" s="55" t="s">
        <v>7</v>
      </c>
      <c r="R116" s="55" t="s">
        <v>7</v>
      </c>
    </row>
    <row r="117" spans="1:20" ht="15.75" customHeight="1" x14ac:dyDescent="0.3">
      <c r="A117" s="61" t="s">
        <v>806</v>
      </c>
      <c r="B117" s="1"/>
      <c r="C117" s="1"/>
      <c r="D117" s="1"/>
      <c r="E117" s="55">
        <f t="shared" ref="E117:E122" si="25">SUM(B117:D117)</f>
        <v>0</v>
      </c>
      <c r="F117" s="1"/>
      <c r="G117" s="1"/>
      <c r="H117" s="1"/>
      <c r="I117" s="55">
        <f t="shared" ref="I117:I122" si="26">SUM(F117:H117)</f>
        <v>0</v>
      </c>
      <c r="J117" s="1"/>
      <c r="K117" s="1"/>
      <c r="L117" s="1"/>
      <c r="M117" s="55">
        <f t="shared" ref="M117:M122" si="27">SUM(J117:L117)</f>
        <v>0</v>
      </c>
      <c r="N117" s="1"/>
      <c r="O117" s="1"/>
      <c r="P117" s="1"/>
      <c r="Q117" s="55">
        <f t="shared" ref="Q117:Q122" si="28">SUM(N117:P117)</f>
        <v>0</v>
      </c>
      <c r="R117" s="55">
        <f t="shared" ref="R117:R122" si="29">+E117+I117+M117+Q117</f>
        <v>0</v>
      </c>
    </row>
    <row r="118" spans="1:20" ht="15.75" customHeight="1" x14ac:dyDescent="0.3">
      <c r="A118" s="61" t="s">
        <v>1263</v>
      </c>
      <c r="B118" s="1"/>
      <c r="C118" s="1"/>
      <c r="D118" s="1"/>
      <c r="E118" s="55">
        <f t="shared" si="25"/>
        <v>0</v>
      </c>
      <c r="F118" s="1"/>
      <c r="G118" s="1"/>
      <c r="H118" s="1"/>
      <c r="I118" s="55">
        <f t="shared" si="26"/>
        <v>0</v>
      </c>
      <c r="J118" s="1">
        <v>512</v>
      </c>
      <c r="K118" s="1">
        <v>3000</v>
      </c>
      <c r="L118" s="1">
        <v>5188</v>
      </c>
      <c r="M118" s="55">
        <f t="shared" si="27"/>
        <v>8700</v>
      </c>
      <c r="N118" s="1">
        <v>2632</v>
      </c>
      <c r="O118" s="1"/>
      <c r="P118" s="1"/>
      <c r="Q118" s="55">
        <f t="shared" si="28"/>
        <v>2632</v>
      </c>
      <c r="R118" s="55">
        <f t="shared" si="29"/>
        <v>11332</v>
      </c>
    </row>
    <row r="119" spans="1:20" ht="15.75" customHeight="1" x14ac:dyDescent="0.3">
      <c r="A119" s="61" t="s">
        <v>692</v>
      </c>
      <c r="B119" s="1"/>
      <c r="C119" s="1"/>
      <c r="D119" s="1"/>
      <c r="E119" s="55">
        <f t="shared" si="25"/>
        <v>0</v>
      </c>
      <c r="F119" s="1"/>
      <c r="G119" s="1"/>
      <c r="H119" s="1"/>
      <c r="I119" s="55">
        <f t="shared" si="26"/>
        <v>0</v>
      </c>
      <c r="J119" s="1"/>
      <c r="K119" s="1"/>
      <c r="L119" s="1"/>
      <c r="M119" s="55">
        <f t="shared" si="27"/>
        <v>0</v>
      </c>
      <c r="N119" s="1"/>
      <c r="O119" s="1"/>
      <c r="P119" s="1"/>
      <c r="Q119" s="55">
        <f t="shared" si="28"/>
        <v>0</v>
      </c>
      <c r="R119" s="55">
        <f t="shared" si="29"/>
        <v>0</v>
      </c>
    </row>
    <row r="120" spans="1:20" ht="15.75" customHeight="1" x14ac:dyDescent="0.3">
      <c r="A120" s="61" t="s">
        <v>530</v>
      </c>
      <c r="B120" s="1"/>
      <c r="C120" s="1"/>
      <c r="D120" s="1"/>
      <c r="E120" s="55">
        <f t="shared" si="25"/>
        <v>0</v>
      </c>
      <c r="F120" s="1"/>
      <c r="G120" s="1"/>
      <c r="H120" s="1"/>
      <c r="I120" s="55">
        <f t="shared" si="26"/>
        <v>0</v>
      </c>
      <c r="J120" s="1"/>
      <c r="K120" s="1"/>
      <c r="L120" s="1"/>
      <c r="M120" s="55">
        <f t="shared" si="27"/>
        <v>0</v>
      </c>
      <c r="N120" s="1"/>
      <c r="O120" s="1"/>
      <c r="P120" s="1"/>
      <c r="Q120" s="55">
        <f t="shared" si="28"/>
        <v>0</v>
      </c>
      <c r="R120" s="55">
        <f t="shared" si="29"/>
        <v>0</v>
      </c>
    </row>
    <row r="121" spans="1:20" ht="15.75" customHeight="1" x14ac:dyDescent="0.3">
      <c r="A121" s="61" t="s">
        <v>597</v>
      </c>
      <c r="B121" s="1"/>
      <c r="C121" s="1"/>
      <c r="D121" s="1"/>
      <c r="E121" s="55">
        <f t="shared" si="25"/>
        <v>0</v>
      </c>
      <c r="F121" s="1"/>
      <c r="G121" s="1"/>
      <c r="H121" s="1"/>
      <c r="I121" s="55">
        <f t="shared" si="26"/>
        <v>0</v>
      </c>
      <c r="J121" s="1"/>
      <c r="K121" s="1"/>
      <c r="L121" s="1"/>
      <c r="M121" s="55">
        <f t="shared" si="27"/>
        <v>0</v>
      </c>
      <c r="N121" s="1"/>
      <c r="O121" s="1"/>
      <c r="P121" s="1"/>
      <c r="Q121" s="55">
        <f t="shared" si="28"/>
        <v>0</v>
      </c>
      <c r="R121" s="55">
        <f t="shared" si="29"/>
        <v>0</v>
      </c>
    </row>
    <row r="122" spans="1:20" ht="15.75" customHeight="1" x14ac:dyDescent="0.3">
      <c r="A122" s="61" t="s">
        <v>807</v>
      </c>
      <c r="B122" s="1"/>
      <c r="C122" s="1"/>
      <c r="D122" s="1"/>
      <c r="E122" s="55">
        <f t="shared" si="25"/>
        <v>0</v>
      </c>
      <c r="F122" s="1"/>
      <c r="G122" s="1"/>
      <c r="H122" s="1"/>
      <c r="I122" s="55">
        <f t="shared" si="26"/>
        <v>0</v>
      </c>
      <c r="J122" s="1"/>
      <c r="K122" s="1"/>
      <c r="L122" s="1"/>
      <c r="M122" s="55">
        <f t="shared" si="27"/>
        <v>0</v>
      </c>
      <c r="N122" s="1"/>
      <c r="O122" s="1"/>
      <c r="P122" s="1"/>
      <c r="Q122" s="55">
        <f t="shared" si="28"/>
        <v>0</v>
      </c>
      <c r="R122" s="55">
        <f t="shared" si="29"/>
        <v>0</v>
      </c>
    </row>
    <row r="123" spans="1:20" ht="15.75" customHeight="1" x14ac:dyDescent="0.3">
      <c r="A123" s="61" t="s">
        <v>808</v>
      </c>
      <c r="B123" s="1"/>
      <c r="C123" s="1"/>
      <c r="D123" s="1"/>
      <c r="E123" s="55">
        <f>SUM(B123:D123)</f>
        <v>0</v>
      </c>
      <c r="F123" s="1"/>
      <c r="G123" s="1"/>
      <c r="H123" s="1"/>
      <c r="I123" s="55">
        <f>SUM(F123:H123)</f>
        <v>0</v>
      </c>
      <c r="J123" s="1"/>
      <c r="K123" s="1"/>
      <c r="L123" s="1"/>
      <c r="M123" s="55">
        <f>SUM(J123:L123)</f>
        <v>0</v>
      </c>
      <c r="N123" s="1"/>
      <c r="O123" s="1"/>
      <c r="P123" s="1"/>
      <c r="Q123" s="55">
        <f>SUM(N123:P123)</f>
        <v>0</v>
      </c>
      <c r="R123" s="55">
        <f>+E123+I123+M123+Q123</f>
        <v>0</v>
      </c>
    </row>
    <row r="124" spans="1:20" ht="15.75" customHeight="1" x14ac:dyDescent="0.3">
      <c r="A124" s="346" t="s">
        <v>702</v>
      </c>
      <c r="B124" s="1"/>
      <c r="C124" s="1"/>
      <c r="D124" s="1"/>
      <c r="E124" s="55">
        <f>SUM(B124:D124)</f>
        <v>0</v>
      </c>
      <c r="F124" s="1"/>
      <c r="G124" s="1"/>
      <c r="H124" s="1"/>
      <c r="I124" s="55">
        <f>SUM(F124:H124)</f>
        <v>0</v>
      </c>
      <c r="J124" s="1"/>
      <c r="K124" s="1"/>
      <c r="L124" s="1"/>
      <c r="M124" s="55">
        <f>SUM(J124:L124)</f>
        <v>0</v>
      </c>
      <c r="N124" s="1"/>
      <c r="O124" s="1"/>
      <c r="P124" s="1"/>
      <c r="Q124" s="55">
        <f>SUM(N124:P124)</f>
        <v>0</v>
      </c>
      <c r="R124" s="55">
        <f>+E124+I124+M124+Q124</f>
        <v>0</v>
      </c>
      <c r="T124" s="4" t="s">
        <v>809</v>
      </c>
    </row>
    <row r="125" spans="1:20" ht="15.75" customHeight="1" x14ac:dyDescent="0.3">
      <c r="A125" s="18" t="s">
        <v>67</v>
      </c>
      <c r="B125" s="56"/>
      <c r="C125" s="56"/>
      <c r="D125" s="56"/>
      <c r="E125" s="55" t="s">
        <v>7</v>
      </c>
      <c r="F125" s="56"/>
      <c r="G125" s="56"/>
      <c r="H125" s="56"/>
      <c r="I125" s="55" t="s">
        <v>7</v>
      </c>
      <c r="J125" s="56"/>
      <c r="K125" s="56"/>
      <c r="L125" s="56"/>
      <c r="M125" s="55" t="s">
        <v>7</v>
      </c>
      <c r="N125" s="56"/>
      <c r="O125" s="56"/>
      <c r="P125" s="56"/>
      <c r="Q125" s="55" t="s">
        <v>7</v>
      </c>
      <c r="R125" s="55" t="s">
        <v>7</v>
      </c>
    </row>
    <row r="126" spans="1:20" ht="15.75" customHeight="1" x14ac:dyDescent="0.3">
      <c r="A126" s="61" t="s">
        <v>810</v>
      </c>
      <c r="B126" s="1"/>
      <c r="C126" s="1"/>
      <c r="D126" s="1"/>
      <c r="E126" s="55">
        <f>SUM(B126:D126)</f>
        <v>0</v>
      </c>
      <c r="F126" s="1"/>
      <c r="G126" s="1"/>
      <c r="H126" s="1"/>
      <c r="I126" s="55">
        <f>SUM(F126:H126)</f>
        <v>0</v>
      </c>
      <c r="J126" s="1"/>
      <c r="K126" s="1">
        <v>7028</v>
      </c>
      <c r="L126" s="1">
        <v>8000</v>
      </c>
      <c r="M126" s="55">
        <f>SUM(J126:L126)</f>
        <v>15028</v>
      </c>
      <c r="N126" s="1">
        <v>8436</v>
      </c>
      <c r="O126" s="1">
        <v>7003</v>
      </c>
      <c r="P126" s="1">
        <v>3988</v>
      </c>
      <c r="Q126" s="55">
        <f>SUM(N126:P126)</f>
        <v>19427</v>
      </c>
      <c r="R126" s="55">
        <f>+E126+I126+M126+Q126</f>
        <v>34455</v>
      </c>
    </row>
    <row r="127" spans="1:20" ht="15.75" customHeight="1" x14ac:dyDescent="0.3">
      <c r="A127" s="61" t="s">
        <v>695</v>
      </c>
      <c r="B127" s="1"/>
      <c r="C127" s="1"/>
      <c r="D127" s="1"/>
      <c r="E127" s="55">
        <f>SUM(B127:D127)</f>
        <v>0</v>
      </c>
      <c r="F127" s="1"/>
      <c r="G127" s="1"/>
      <c r="H127" s="1"/>
      <c r="I127" s="55">
        <f>SUM(F127:H127)</f>
        <v>0</v>
      </c>
      <c r="J127" s="1"/>
      <c r="K127" s="1"/>
      <c r="L127" s="1"/>
      <c r="M127" s="55">
        <f>SUM(J127:L127)</f>
        <v>0</v>
      </c>
      <c r="N127" s="1"/>
      <c r="O127" s="1"/>
      <c r="P127" s="1"/>
      <c r="Q127" s="55">
        <f>SUM(N127:P127)</f>
        <v>0</v>
      </c>
      <c r="R127" s="55">
        <f>+E127+I127+M127+Q127</f>
        <v>0</v>
      </c>
    </row>
    <row r="128" spans="1:20" ht="15.75" customHeight="1" x14ac:dyDescent="0.3">
      <c r="A128" s="18" t="s">
        <v>600</v>
      </c>
      <c r="B128" s="56"/>
      <c r="C128" s="56"/>
      <c r="D128" s="56"/>
      <c r="E128" s="55" t="s">
        <v>7</v>
      </c>
      <c r="F128" s="56"/>
      <c r="G128" s="56"/>
      <c r="H128" s="56"/>
      <c r="I128" s="55" t="s">
        <v>7</v>
      </c>
      <c r="J128" s="56"/>
      <c r="K128" s="56"/>
      <c r="L128" s="56"/>
      <c r="M128" s="55" t="s">
        <v>7</v>
      </c>
      <c r="N128" s="56"/>
      <c r="O128" s="56"/>
      <c r="P128" s="56"/>
      <c r="Q128" s="55" t="s">
        <v>7</v>
      </c>
      <c r="R128" s="55" t="s">
        <v>7</v>
      </c>
    </row>
    <row r="129" spans="1:20" ht="15.75" customHeight="1" x14ac:dyDescent="0.3">
      <c r="A129" s="61" t="s">
        <v>1265</v>
      </c>
      <c r="B129" s="1"/>
      <c r="C129" s="1"/>
      <c r="D129" s="1"/>
      <c r="E129" s="55">
        <f>SUM(B129:D129)</f>
        <v>0</v>
      </c>
      <c r="F129" s="1"/>
      <c r="G129" s="1"/>
      <c r="H129" s="1"/>
      <c r="I129" s="55">
        <f>SUM(F129:H129)</f>
        <v>0</v>
      </c>
      <c r="J129" s="1"/>
      <c r="K129" s="1"/>
      <c r="L129" s="1"/>
      <c r="M129" s="55">
        <f>SUM(J129:L129)</f>
        <v>0</v>
      </c>
      <c r="N129" s="1"/>
      <c r="O129" s="1"/>
      <c r="P129" s="1"/>
      <c r="Q129" s="55">
        <f>SUM(N129:P129)</f>
        <v>0</v>
      </c>
      <c r="R129" s="55">
        <f>+E129+I129+M129+Q129</f>
        <v>0</v>
      </c>
      <c r="T129" s="4" t="s">
        <v>801</v>
      </c>
    </row>
    <row r="130" spans="1:20" ht="15.75" customHeight="1" x14ac:dyDescent="0.3">
      <c r="A130" s="18" t="s">
        <v>70</v>
      </c>
      <c r="B130" s="56"/>
      <c r="C130" s="56"/>
      <c r="D130" s="56"/>
      <c r="E130" s="55" t="s">
        <v>7</v>
      </c>
      <c r="F130" s="56"/>
      <c r="G130" s="56"/>
      <c r="H130" s="56"/>
      <c r="I130" s="55" t="s">
        <v>7</v>
      </c>
      <c r="J130" s="56"/>
      <c r="K130" s="56"/>
      <c r="L130" s="56"/>
      <c r="M130" s="55" t="s">
        <v>7</v>
      </c>
      <c r="N130" s="56"/>
      <c r="O130" s="56"/>
      <c r="P130" s="56"/>
      <c r="Q130" s="55" t="s">
        <v>7</v>
      </c>
      <c r="R130" s="55" t="s">
        <v>7</v>
      </c>
    </row>
    <row r="131" spans="1:20" ht="15.75" customHeight="1" x14ac:dyDescent="0.3">
      <c r="A131" s="61" t="s">
        <v>1266</v>
      </c>
      <c r="B131" s="1"/>
      <c r="C131" s="1"/>
      <c r="D131" s="1"/>
      <c r="E131" s="55">
        <f t="shared" ref="E131:E136" si="30">SUM(B131:D131)</f>
        <v>0</v>
      </c>
      <c r="F131" s="1"/>
      <c r="G131" s="1"/>
      <c r="H131" s="1"/>
      <c r="I131" s="55">
        <f t="shared" ref="I131:I136" si="31">SUM(F131:H131)</f>
        <v>0</v>
      </c>
      <c r="J131" s="1"/>
      <c r="K131" s="1"/>
      <c r="L131" s="1"/>
      <c r="M131" s="55">
        <f t="shared" ref="M131:M136" si="32">SUM(J131:L131)</f>
        <v>0</v>
      </c>
      <c r="N131" s="1"/>
      <c r="O131" s="1"/>
      <c r="P131" s="1"/>
      <c r="Q131" s="55">
        <f t="shared" ref="Q131:Q136" si="33">SUM(N131:P131)</f>
        <v>0</v>
      </c>
      <c r="R131" s="55">
        <f t="shared" ref="R131:R136" si="34">+E131+I131+M131+Q131</f>
        <v>0</v>
      </c>
    </row>
    <row r="132" spans="1:20" ht="15.75" customHeight="1" thickBot="1" x14ac:dyDescent="0.35">
      <c r="A132" s="61" t="s">
        <v>1267</v>
      </c>
      <c r="B132" s="1"/>
      <c r="C132" s="1"/>
      <c r="D132" s="1"/>
      <c r="E132" s="55">
        <f t="shared" si="30"/>
        <v>0</v>
      </c>
      <c r="F132" s="1"/>
      <c r="G132" s="1"/>
      <c r="H132" s="1"/>
      <c r="I132" s="55">
        <f t="shared" si="31"/>
        <v>0</v>
      </c>
      <c r="J132" s="1"/>
      <c r="K132" s="1"/>
      <c r="L132" s="1"/>
      <c r="M132" s="55">
        <f t="shared" si="32"/>
        <v>0</v>
      </c>
      <c r="N132" s="1"/>
      <c r="O132" s="1">
        <v>74</v>
      </c>
      <c r="P132" s="1">
        <v>326</v>
      </c>
      <c r="Q132" s="55">
        <f t="shared" si="33"/>
        <v>400</v>
      </c>
      <c r="R132" s="55">
        <f t="shared" si="34"/>
        <v>400</v>
      </c>
    </row>
    <row r="133" spans="1:20" ht="16.5" customHeight="1" thickBot="1" x14ac:dyDescent="0.35">
      <c r="A133" s="57" t="s">
        <v>71</v>
      </c>
      <c r="B133" s="58">
        <f>SUM(B128:B132)</f>
        <v>0</v>
      </c>
      <c r="C133" s="58">
        <f>SUM(C128:C132)</f>
        <v>0</v>
      </c>
      <c r="D133" s="58">
        <f>SUM(D128:D132)</f>
        <v>0</v>
      </c>
      <c r="E133" s="60">
        <f t="shared" si="30"/>
        <v>0</v>
      </c>
      <c r="F133" s="58">
        <f>SUM(F128:F132)</f>
        <v>0</v>
      </c>
      <c r="G133" s="58">
        <f>SUM(G128:G132)</f>
        <v>0</v>
      </c>
      <c r="H133" s="58">
        <f>SUM(H128:H132)</f>
        <v>0</v>
      </c>
      <c r="I133" s="60">
        <f t="shared" si="31"/>
        <v>0</v>
      </c>
      <c r="J133" s="58">
        <f>SUM(J128:J132)</f>
        <v>0</v>
      </c>
      <c r="K133" s="58">
        <f>SUM(K128:K132)</f>
        <v>0</v>
      </c>
      <c r="L133" s="58">
        <f>SUM(L128:L132)</f>
        <v>0</v>
      </c>
      <c r="M133" s="60">
        <f t="shared" si="32"/>
        <v>0</v>
      </c>
      <c r="N133" s="58">
        <f>SUM(N128:N132)</f>
        <v>0</v>
      </c>
      <c r="O133" s="58">
        <f>SUM(O128:O132)</f>
        <v>74</v>
      </c>
      <c r="P133" s="58">
        <f>SUM(P128:P132)</f>
        <v>326</v>
      </c>
      <c r="Q133" s="60">
        <f t="shared" si="33"/>
        <v>400</v>
      </c>
      <c r="R133" s="59">
        <f t="shared" si="34"/>
        <v>400</v>
      </c>
    </row>
    <row r="134" spans="1:20" ht="16.5" customHeight="1" thickBot="1" x14ac:dyDescent="0.35">
      <c r="A134" s="57" t="s">
        <v>72</v>
      </c>
      <c r="B134" s="58">
        <f>SUM(B115:B132)</f>
        <v>0</v>
      </c>
      <c r="C134" s="58">
        <f>SUM(C115:C132)</f>
        <v>0</v>
      </c>
      <c r="D134" s="58">
        <f>SUM(D115:D132)</f>
        <v>0</v>
      </c>
      <c r="E134" s="60">
        <f t="shared" si="30"/>
        <v>0</v>
      </c>
      <c r="F134" s="58">
        <f>SUM(F115:F132)</f>
        <v>0</v>
      </c>
      <c r="G134" s="58">
        <f>SUM(G115:G132)</f>
        <v>0</v>
      </c>
      <c r="H134" s="58">
        <f>SUM(H115:H132)</f>
        <v>0</v>
      </c>
      <c r="I134" s="60">
        <f t="shared" si="31"/>
        <v>0</v>
      </c>
      <c r="J134" s="58">
        <f>SUM(J115:J132)</f>
        <v>512</v>
      </c>
      <c r="K134" s="58">
        <f>SUM(K115:K132)</f>
        <v>10028</v>
      </c>
      <c r="L134" s="58">
        <f>SUM(L115:L132)</f>
        <v>13188</v>
      </c>
      <c r="M134" s="60">
        <f t="shared" si="32"/>
        <v>23728</v>
      </c>
      <c r="N134" s="58">
        <f>SUM(N115:N132)</f>
        <v>11068</v>
      </c>
      <c r="O134" s="58">
        <f>SUM(O115:O132)</f>
        <v>7077</v>
      </c>
      <c r="P134" s="58">
        <f>SUM(P115:P132)</f>
        <v>4314</v>
      </c>
      <c r="Q134" s="60">
        <f t="shared" si="33"/>
        <v>22459</v>
      </c>
      <c r="R134" s="59">
        <f t="shared" si="34"/>
        <v>46187</v>
      </c>
    </row>
    <row r="135" spans="1:20" ht="16.5" customHeight="1" thickBot="1" x14ac:dyDescent="0.35">
      <c r="A135" s="57" t="s">
        <v>73</v>
      </c>
      <c r="B135" s="58">
        <f>+B92+B99+B114+B134</f>
        <v>851</v>
      </c>
      <c r="C135" s="58">
        <f>+C92+C99+C114+C134</f>
        <v>507</v>
      </c>
      <c r="D135" s="58">
        <f>+D92+D99+D114+D134</f>
        <v>1106</v>
      </c>
      <c r="E135" s="59">
        <f t="shared" si="30"/>
        <v>2464</v>
      </c>
      <c r="F135" s="58">
        <f>+F92+F99+F114+F134</f>
        <v>3298</v>
      </c>
      <c r="G135" s="58">
        <f>+G92+G99+G114+G134</f>
        <v>5758</v>
      </c>
      <c r="H135" s="58">
        <f>+H92+H99+H114+H134</f>
        <v>6934</v>
      </c>
      <c r="I135" s="59">
        <f t="shared" si="31"/>
        <v>15990</v>
      </c>
      <c r="J135" s="58">
        <f>+J92+J99+J114+J134</f>
        <v>10869</v>
      </c>
      <c r="K135" s="58">
        <f>+K92+K99+K114+K134</f>
        <v>21314</v>
      </c>
      <c r="L135" s="58">
        <f>+L92+L99+L114+L134</f>
        <v>19377</v>
      </c>
      <c r="M135" s="59">
        <f t="shared" si="32"/>
        <v>51560</v>
      </c>
      <c r="N135" s="58">
        <f>+N92+N99+N114+N134</f>
        <v>14215</v>
      </c>
      <c r="O135" s="58">
        <f>+O92+O99+O114+O134</f>
        <v>9394</v>
      </c>
      <c r="P135" s="58">
        <f>+P92+P99+P114+P134</f>
        <v>8154</v>
      </c>
      <c r="Q135" s="59">
        <f t="shared" si="33"/>
        <v>31763</v>
      </c>
      <c r="R135" s="59">
        <f t="shared" si="34"/>
        <v>101777</v>
      </c>
    </row>
    <row r="136" spans="1:20" ht="16.5" customHeight="1" thickBot="1" x14ac:dyDescent="0.35">
      <c r="A136" s="73" t="s">
        <v>40</v>
      </c>
      <c r="B136" s="21">
        <v>173</v>
      </c>
      <c r="C136" s="21">
        <v>260</v>
      </c>
      <c r="D136" s="21">
        <v>471</v>
      </c>
      <c r="E136" s="55">
        <f t="shared" si="30"/>
        <v>904</v>
      </c>
      <c r="F136" s="21">
        <v>629</v>
      </c>
      <c r="G136" s="21">
        <v>725</v>
      </c>
      <c r="H136" s="21">
        <v>712</v>
      </c>
      <c r="I136" s="55">
        <f t="shared" si="31"/>
        <v>2066</v>
      </c>
      <c r="J136" s="21">
        <v>711</v>
      </c>
      <c r="K136" s="21">
        <v>573</v>
      </c>
      <c r="L136" s="21">
        <v>542</v>
      </c>
      <c r="M136" s="55">
        <f t="shared" si="32"/>
        <v>1826</v>
      </c>
      <c r="N136" s="21">
        <v>490</v>
      </c>
      <c r="O136" s="21">
        <v>407</v>
      </c>
      <c r="P136" s="21">
        <v>323</v>
      </c>
      <c r="Q136" s="55">
        <f t="shared" si="33"/>
        <v>1220</v>
      </c>
      <c r="R136" s="55">
        <f t="shared" si="34"/>
        <v>6016</v>
      </c>
    </row>
    <row r="137" spans="1:20" ht="16.5" customHeight="1" thickBot="1" x14ac:dyDescent="0.35">
      <c r="A137" s="74"/>
      <c r="B137" s="75"/>
      <c r="C137" s="75"/>
      <c r="D137" s="75"/>
      <c r="E137" s="59" t="s">
        <v>7</v>
      </c>
      <c r="F137" s="75"/>
      <c r="G137" s="75"/>
      <c r="H137" s="75"/>
      <c r="I137" s="59" t="s">
        <v>7</v>
      </c>
      <c r="J137" s="75"/>
      <c r="K137" s="75"/>
      <c r="L137" s="75"/>
      <c r="M137" s="59" t="s">
        <v>7</v>
      </c>
      <c r="N137" s="75"/>
      <c r="O137" s="75"/>
      <c r="P137" s="75"/>
      <c r="Q137" s="59" t="s">
        <v>7</v>
      </c>
      <c r="R137" s="59" t="s">
        <v>7</v>
      </c>
    </row>
    <row r="138" spans="1:20" ht="15.75" customHeight="1" x14ac:dyDescent="0.3">
      <c r="A138" s="76" t="s">
        <v>41</v>
      </c>
      <c r="B138" s="77">
        <f>+B135+B136</f>
        <v>1024</v>
      </c>
      <c r="C138" s="77">
        <f>+C135+C136</f>
        <v>767</v>
      </c>
      <c r="D138" s="77">
        <f>+D135+D136</f>
        <v>1577</v>
      </c>
      <c r="E138" s="55">
        <f>SUM(B138:D138)</f>
        <v>3368</v>
      </c>
      <c r="F138" s="77">
        <f>+F135+F136</f>
        <v>3927</v>
      </c>
      <c r="G138" s="77">
        <f>+G135+G136</f>
        <v>6483</v>
      </c>
      <c r="H138" s="77">
        <f>+H135+H136</f>
        <v>7646</v>
      </c>
      <c r="I138" s="55">
        <f>SUM(F138:H138)</f>
        <v>18056</v>
      </c>
      <c r="J138" s="77">
        <f>+J135+J136</f>
        <v>11580</v>
      </c>
      <c r="K138" s="77">
        <f>+K135+K136</f>
        <v>21887</v>
      </c>
      <c r="L138" s="77">
        <f>+L135+L136</f>
        <v>19919</v>
      </c>
      <c r="M138" s="55">
        <f>SUM(J138:L138)</f>
        <v>53386</v>
      </c>
      <c r="N138" s="77">
        <f>+N135+N136</f>
        <v>14705</v>
      </c>
      <c r="O138" s="77">
        <f>+O135+O136</f>
        <v>9801</v>
      </c>
      <c r="P138" s="77">
        <f>+P135+P136</f>
        <v>8477</v>
      </c>
      <c r="Q138" s="55">
        <f>SUM(N138:P138)</f>
        <v>32983</v>
      </c>
      <c r="R138" s="55">
        <f>+E138+I138+M138+Q138</f>
        <v>107793</v>
      </c>
    </row>
    <row r="139" spans="1:20" ht="15.75" customHeight="1" x14ac:dyDescent="0.3">
      <c r="A139" s="78" t="s">
        <v>42</v>
      </c>
      <c r="B139" s="1">
        <f>(B138/B10)/1.983</f>
        <v>16.657719649276917</v>
      </c>
      <c r="C139" s="1">
        <f>(C138/C10)/1.983</f>
        <v>13.337506738310118</v>
      </c>
      <c r="D139" s="1">
        <f>(D138/D10)/1.983</f>
        <v>25.653538952060252</v>
      </c>
      <c r="E139" s="55" t="s">
        <v>7</v>
      </c>
      <c r="F139" s="1">
        <f>(F138/F10)/1.983</f>
        <v>66.01109430156329</v>
      </c>
      <c r="G139" s="1">
        <f>(G138/G10)/1.983</f>
        <v>105.46093406861549</v>
      </c>
      <c r="H139" s="1">
        <f>(H138/H10)/1.983</f>
        <v>128.52580265590856</v>
      </c>
      <c r="I139" s="55" t="s">
        <v>7</v>
      </c>
      <c r="J139" s="1">
        <f>(J138/J10)/1.983</f>
        <v>188.37538431506516</v>
      </c>
      <c r="K139" s="1">
        <f>(K138/K10)/1.983</f>
        <v>356.04249019894911</v>
      </c>
      <c r="L139" s="1">
        <f>(L138/L10)/1.983</f>
        <v>334.8293830895949</v>
      </c>
      <c r="M139" s="55" t="s">
        <v>7</v>
      </c>
      <c r="N139" s="1">
        <f>(N138/N10)/1.983</f>
        <v>239.21071039318073</v>
      </c>
      <c r="O139" s="1">
        <f>(O138/O10)/1.983</f>
        <v>164.75037821482601</v>
      </c>
      <c r="P139" s="1">
        <f>(P138/P10)/1.983</f>
        <v>137.89793893253949</v>
      </c>
      <c r="Q139" s="55" t="s">
        <v>7</v>
      </c>
      <c r="R139" s="55" t="s">
        <v>7</v>
      </c>
    </row>
    <row r="140" spans="1:20" ht="15.75" customHeight="1" x14ac:dyDescent="0.3">
      <c r="A140" s="79" t="s">
        <v>106</v>
      </c>
      <c r="B140" s="1">
        <f>B138+B330</f>
        <v>74071</v>
      </c>
      <c r="C140" s="1">
        <f>C138+C330</f>
        <v>73987</v>
      </c>
      <c r="D140" s="1">
        <f>D138+D330</f>
        <v>94695</v>
      </c>
      <c r="E140" s="55">
        <f>SUM(B140:D140)</f>
        <v>242753</v>
      </c>
      <c r="F140" s="1">
        <f>F138+F330</f>
        <v>150582</v>
      </c>
      <c r="G140" s="1">
        <f>G138+G330</f>
        <v>178311</v>
      </c>
      <c r="H140" s="1">
        <f>H138+H330</f>
        <v>106023</v>
      </c>
      <c r="I140" s="55">
        <f>SUM(F140:H140)</f>
        <v>434916</v>
      </c>
      <c r="J140" s="1">
        <f>J138+J330</f>
        <v>73894</v>
      </c>
      <c r="K140" s="1">
        <f>K138+K330</f>
        <v>62472</v>
      </c>
      <c r="L140" s="1">
        <f>L138+L330</f>
        <v>164349</v>
      </c>
      <c r="M140" s="55">
        <f>SUM(J140:L140)</f>
        <v>300715</v>
      </c>
      <c r="N140" s="1">
        <f>N138+N330</f>
        <v>162288</v>
      </c>
      <c r="O140" s="1">
        <f>O138+O330</f>
        <v>122351</v>
      </c>
      <c r="P140" s="1">
        <f>P138+P330</f>
        <v>140748</v>
      </c>
      <c r="Q140" s="55">
        <f>SUM(N140:P140)</f>
        <v>425387</v>
      </c>
      <c r="R140" s="55">
        <f>+E140+I140+M140+Q140</f>
        <v>1403771</v>
      </c>
    </row>
    <row r="141" spans="1:20" ht="16.5" customHeight="1" thickBot="1" x14ac:dyDescent="0.35">
      <c r="A141" s="80" t="s">
        <v>107</v>
      </c>
      <c r="B141" s="25">
        <f>(B140/B10)/1.983</f>
        <v>1204.9355001382721</v>
      </c>
      <c r="C141" s="25">
        <f>(C140/C10)/1.983</f>
        <v>1286.5738084059331</v>
      </c>
      <c r="D141" s="25">
        <f>(D140/D10)/1.983</f>
        <v>1540.4323849494899</v>
      </c>
      <c r="E141" s="81" t="s">
        <v>7</v>
      </c>
      <c r="F141" s="25">
        <f>(F140/F10)/1.983</f>
        <v>2531.2153303076143</v>
      </c>
      <c r="G141" s="25">
        <f>(G140/G10)/1.983</f>
        <v>2900.639305060758</v>
      </c>
      <c r="H141" s="25">
        <f>(H140/H10)/1.983</f>
        <v>1782.1986888552697</v>
      </c>
      <c r="I141" s="81" t="s">
        <v>7</v>
      </c>
      <c r="J141" s="25">
        <f>(J140/J10)/1.983</f>
        <v>1202.0561872692074</v>
      </c>
      <c r="K141" s="25">
        <f>(K140/K10)/1.983</f>
        <v>1016.2510370406519</v>
      </c>
      <c r="L141" s="25">
        <f>(L140/L10)/1.983</f>
        <v>2762.6323751891073</v>
      </c>
      <c r="M141" s="81" t="s">
        <v>7</v>
      </c>
      <c r="N141" s="25">
        <f>(N140/N10)/1.983</f>
        <v>2639.9882875408716</v>
      </c>
      <c r="O141" s="25">
        <f>(O140/O10)/1.983</f>
        <v>2056.6649857118841</v>
      </c>
      <c r="P141" s="25">
        <f>(P140/P10)/1.983</f>
        <v>2289.5905519496364</v>
      </c>
      <c r="Q141" s="81" t="s">
        <v>7</v>
      </c>
      <c r="R141" s="81" t="s">
        <v>7</v>
      </c>
    </row>
    <row r="142" spans="1:20" ht="15.75" customHeight="1" x14ac:dyDescent="0.3">
      <c r="A142" s="28"/>
      <c r="B142" s="1"/>
      <c r="C142" s="1"/>
      <c r="D142" s="1"/>
      <c r="E142" s="1"/>
      <c r="F142" s="1"/>
      <c r="G142" s="1"/>
      <c r="H142" s="1"/>
      <c r="I142" s="1"/>
      <c r="J142" s="1"/>
      <c r="K142" s="1"/>
      <c r="L142" s="1"/>
      <c r="M142" s="1"/>
      <c r="N142" s="1"/>
      <c r="O142" s="1"/>
      <c r="P142" s="1"/>
      <c r="Q142" s="1"/>
      <c r="R142" s="2"/>
    </row>
    <row r="143" spans="1:20" ht="15.75" customHeight="1" thickBot="1" x14ac:dyDescent="0.35">
      <c r="A143" s="28" t="s">
        <v>7</v>
      </c>
      <c r="B143" s="1"/>
      <c r="C143" s="1"/>
      <c r="D143" s="1"/>
      <c r="E143" s="1"/>
      <c r="F143" s="1"/>
      <c r="G143" s="1"/>
      <c r="H143" s="1"/>
      <c r="I143" s="1"/>
      <c r="J143" s="1"/>
      <c r="K143" s="1"/>
      <c r="L143" s="1"/>
      <c r="M143" s="1"/>
      <c r="N143" s="1"/>
      <c r="O143" s="1"/>
      <c r="P143" s="1"/>
      <c r="Q143" s="1"/>
      <c r="R143" s="2"/>
    </row>
    <row r="144" spans="1:20" ht="16.5" customHeight="1" thickBot="1" x14ac:dyDescent="0.35">
      <c r="A144" s="29" t="s">
        <v>108</v>
      </c>
      <c r="B144" s="30" t="s">
        <v>8</v>
      </c>
      <c r="C144" s="31" t="s">
        <v>9</v>
      </c>
      <c r="D144" s="31" t="s">
        <v>10</v>
      </c>
      <c r="E144" s="32" t="s">
        <v>11</v>
      </c>
      <c r="F144" s="31" t="s">
        <v>12</v>
      </c>
      <c r="G144" s="31" t="s">
        <v>13</v>
      </c>
      <c r="H144" s="31" t="s">
        <v>14</v>
      </c>
      <c r="I144" s="33" t="s">
        <v>15</v>
      </c>
      <c r="J144" s="31" t="s">
        <v>16</v>
      </c>
      <c r="K144" s="31" t="s">
        <v>17</v>
      </c>
      <c r="L144" s="31" t="s">
        <v>18</v>
      </c>
      <c r="M144" s="33" t="s">
        <v>19</v>
      </c>
      <c r="N144" s="31" t="s">
        <v>20</v>
      </c>
      <c r="O144" s="31" t="s">
        <v>21</v>
      </c>
      <c r="P144" s="31" t="s">
        <v>22</v>
      </c>
      <c r="Q144" s="33" t="s">
        <v>23</v>
      </c>
      <c r="R144" s="34" t="s">
        <v>24</v>
      </c>
    </row>
    <row r="145" spans="1:20" ht="16.5" customHeight="1" thickBot="1" x14ac:dyDescent="0.35">
      <c r="A145" s="74"/>
      <c r="B145" s="75"/>
      <c r="C145" s="75"/>
      <c r="D145" s="75"/>
      <c r="E145" s="82"/>
      <c r="F145" s="75"/>
      <c r="G145" s="75"/>
      <c r="H145" s="75"/>
      <c r="I145" s="82"/>
      <c r="J145" s="75"/>
      <c r="K145" s="75"/>
      <c r="L145" s="75"/>
      <c r="M145" s="82"/>
      <c r="N145" s="75"/>
      <c r="O145" s="75"/>
      <c r="P145" s="75"/>
      <c r="Q145" s="82"/>
      <c r="R145" s="74"/>
    </row>
    <row r="146" spans="1:20" ht="15.75" customHeight="1" x14ac:dyDescent="0.3">
      <c r="A146" s="15" t="s">
        <v>48</v>
      </c>
      <c r="B146" s="1" t="s">
        <v>7</v>
      </c>
      <c r="C146" s="1" t="s">
        <v>7</v>
      </c>
      <c r="D146" s="1" t="s">
        <v>7</v>
      </c>
      <c r="E146" s="55" t="s">
        <v>7</v>
      </c>
      <c r="F146" s="1" t="s">
        <v>7</v>
      </c>
      <c r="G146" s="1" t="s">
        <v>7</v>
      </c>
      <c r="H146" s="1" t="s">
        <v>7</v>
      </c>
      <c r="I146" s="55" t="s">
        <v>7</v>
      </c>
      <c r="J146" s="1" t="s">
        <v>7</v>
      </c>
      <c r="K146" s="1" t="s">
        <v>7</v>
      </c>
      <c r="L146" s="1" t="s">
        <v>7</v>
      </c>
      <c r="M146" s="55" t="s">
        <v>7</v>
      </c>
      <c r="N146" s="1" t="s">
        <v>7</v>
      </c>
      <c r="O146" s="1" t="s">
        <v>7</v>
      </c>
      <c r="P146" s="1" t="s">
        <v>7</v>
      </c>
      <c r="Q146" s="55" t="s">
        <v>7</v>
      </c>
      <c r="R146" s="83" t="s">
        <v>7</v>
      </c>
    </row>
    <row r="147" spans="1:20" ht="15.75" customHeight="1" x14ac:dyDescent="0.3">
      <c r="A147" s="15" t="s">
        <v>49</v>
      </c>
      <c r="B147" s="1"/>
      <c r="C147" s="1"/>
      <c r="D147" s="1"/>
      <c r="E147" s="55" t="s">
        <v>7</v>
      </c>
      <c r="F147" s="1"/>
      <c r="G147" s="1"/>
      <c r="H147" s="1"/>
      <c r="I147" s="55" t="s">
        <v>7</v>
      </c>
      <c r="J147" s="1"/>
      <c r="K147" s="1"/>
      <c r="L147" s="1"/>
      <c r="M147" s="55" t="s">
        <v>7</v>
      </c>
      <c r="N147" s="1"/>
      <c r="O147" s="1"/>
      <c r="P147" s="1"/>
      <c r="Q147" s="55" t="s">
        <v>7</v>
      </c>
      <c r="R147" s="83"/>
    </row>
    <row r="148" spans="1:20" ht="15.75" customHeight="1" x14ac:dyDescent="0.3">
      <c r="A148" s="84" t="s">
        <v>811</v>
      </c>
      <c r="B148" s="1"/>
      <c r="C148" s="1"/>
      <c r="D148" s="1">
        <v>155</v>
      </c>
      <c r="E148" s="55">
        <f t="shared" ref="E148:E152" si="35">SUM(B148:D148)</f>
        <v>155</v>
      </c>
      <c r="F148" s="1">
        <v>630</v>
      </c>
      <c r="G148" s="1">
        <v>877</v>
      </c>
      <c r="H148" s="1">
        <v>600</v>
      </c>
      <c r="I148" s="55">
        <f t="shared" ref="I148:I152" si="36">SUM(F148:H148)</f>
        <v>2107</v>
      </c>
      <c r="J148" s="1">
        <v>584</v>
      </c>
      <c r="K148" s="1">
        <v>598</v>
      </c>
      <c r="L148" s="1">
        <v>446</v>
      </c>
      <c r="M148" s="55">
        <f t="shared" ref="M148:M152" si="37">SUM(J148:L148)</f>
        <v>1628</v>
      </c>
      <c r="N148" s="1">
        <v>102</v>
      </c>
      <c r="O148" s="1">
        <v>102</v>
      </c>
      <c r="P148" s="1"/>
      <c r="Q148" s="55">
        <f t="shared" ref="Q148:Q155" si="38">SUM(N148:P148)</f>
        <v>204</v>
      </c>
      <c r="R148" s="55">
        <f>+E148+I148+M148+Q148</f>
        <v>4094</v>
      </c>
      <c r="T148" s="4" t="s">
        <v>812</v>
      </c>
    </row>
    <row r="149" spans="1:20" ht="15.75" customHeight="1" x14ac:dyDescent="0.3">
      <c r="A149" s="84" t="s">
        <v>813</v>
      </c>
      <c r="B149" s="1"/>
      <c r="C149" s="1">
        <v>300</v>
      </c>
      <c r="D149" s="1">
        <v>847</v>
      </c>
      <c r="E149" s="55">
        <f t="shared" si="35"/>
        <v>1147</v>
      </c>
      <c r="F149" s="1">
        <v>1240</v>
      </c>
      <c r="G149" s="1">
        <v>1602</v>
      </c>
      <c r="H149" s="1">
        <v>1750</v>
      </c>
      <c r="I149" s="55">
        <f t="shared" si="36"/>
        <v>4592</v>
      </c>
      <c r="J149" s="1">
        <v>2009</v>
      </c>
      <c r="K149" s="1">
        <v>2026</v>
      </c>
      <c r="L149" s="1">
        <v>1319</v>
      </c>
      <c r="M149" s="55">
        <f>SUM(J149:L149)</f>
        <v>5354</v>
      </c>
      <c r="N149" s="1"/>
      <c r="O149" s="1"/>
      <c r="P149" s="1"/>
      <c r="Q149" s="55">
        <f t="shared" si="38"/>
        <v>0</v>
      </c>
      <c r="R149" s="55">
        <f t="shared" ref="R149:R200" si="39">+E149+I149+M149+Q149</f>
        <v>11093</v>
      </c>
      <c r="S149" s="344"/>
      <c r="T149" s="4" t="s">
        <v>812</v>
      </c>
    </row>
    <row r="150" spans="1:20" ht="15.75" customHeight="1" x14ac:dyDescent="0.3">
      <c r="A150" s="84" t="s">
        <v>814</v>
      </c>
      <c r="B150" s="1"/>
      <c r="C150" s="1"/>
      <c r="D150" s="1">
        <v>88</v>
      </c>
      <c r="E150" s="55">
        <f t="shared" si="35"/>
        <v>88</v>
      </c>
      <c r="F150" s="1">
        <v>356</v>
      </c>
      <c r="G150" s="1">
        <v>496</v>
      </c>
      <c r="H150" s="1">
        <v>340</v>
      </c>
      <c r="I150" s="55">
        <f t="shared" si="36"/>
        <v>1192</v>
      </c>
      <c r="J150" s="1">
        <v>330</v>
      </c>
      <c r="K150" s="1">
        <v>338</v>
      </c>
      <c r="L150" s="1">
        <v>252</v>
      </c>
      <c r="M150" s="55">
        <f t="shared" si="37"/>
        <v>920</v>
      </c>
      <c r="N150" s="1">
        <v>58</v>
      </c>
      <c r="O150" s="1">
        <v>58</v>
      </c>
      <c r="P150" s="1"/>
      <c r="Q150" s="55">
        <f t="shared" si="38"/>
        <v>116</v>
      </c>
      <c r="R150" s="55">
        <f t="shared" si="39"/>
        <v>2316</v>
      </c>
      <c r="T150" s="4" t="s">
        <v>812</v>
      </c>
    </row>
    <row r="151" spans="1:20" ht="15.75" customHeight="1" x14ac:dyDescent="0.3">
      <c r="A151" s="84" t="s">
        <v>815</v>
      </c>
      <c r="B151" s="1"/>
      <c r="C151" s="1"/>
      <c r="D151" s="1">
        <v>79</v>
      </c>
      <c r="E151" s="55">
        <f t="shared" si="35"/>
        <v>79</v>
      </c>
      <c r="F151" s="1">
        <v>301</v>
      </c>
      <c r="G151" s="1">
        <v>445</v>
      </c>
      <c r="H151" s="1">
        <v>305</v>
      </c>
      <c r="I151" s="55">
        <f t="shared" si="36"/>
        <v>1051</v>
      </c>
      <c r="J151" s="1">
        <v>297</v>
      </c>
      <c r="K151" s="1">
        <v>304</v>
      </c>
      <c r="L151" s="1">
        <v>226</v>
      </c>
      <c r="M151" s="55">
        <f t="shared" si="37"/>
        <v>827</v>
      </c>
      <c r="N151" s="1">
        <v>52</v>
      </c>
      <c r="O151" s="1">
        <v>52</v>
      </c>
      <c r="P151" s="1"/>
      <c r="Q151" s="55">
        <f t="shared" si="38"/>
        <v>104</v>
      </c>
      <c r="R151" s="55">
        <f t="shared" si="39"/>
        <v>2061</v>
      </c>
      <c r="T151" s="4" t="s">
        <v>812</v>
      </c>
    </row>
    <row r="152" spans="1:20" ht="15.75" customHeight="1" x14ac:dyDescent="0.3">
      <c r="A152" s="84" t="s">
        <v>1381</v>
      </c>
      <c r="B152" s="1"/>
      <c r="C152" s="1"/>
      <c r="D152" s="1"/>
      <c r="E152" s="55">
        <f t="shared" si="35"/>
        <v>0</v>
      </c>
      <c r="F152" s="1"/>
      <c r="G152" s="1"/>
      <c r="H152" s="1">
        <v>172</v>
      </c>
      <c r="I152" s="55">
        <f t="shared" si="36"/>
        <v>172</v>
      </c>
      <c r="J152" s="1"/>
      <c r="K152" s="1"/>
      <c r="L152" s="1"/>
      <c r="M152" s="55">
        <f t="shared" si="37"/>
        <v>0</v>
      </c>
      <c r="N152" s="1"/>
      <c r="O152" s="1"/>
      <c r="P152" s="1"/>
      <c r="Q152" s="55">
        <f t="shared" ref="Q152" si="40">SUM(N152:P152)</f>
        <v>0</v>
      </c>
      <c r="R152" s="55">
        <f t="shared" si="39"/>
        <v>172</v>
      </c>
    </row>
    <row r="153" spans="1:20" ht="15.75" customHeight="1" x14ac:dyDescent="0.3">
      <c r="A153" s="71" t="s">
        <v>111</v>
      </c>
      <c r="B153" s="1">
        <v>5</v>
      </c>
      <c r="C153" s="1">
        <v>4</v>
      </c>
      <c r="D153" s="1">
        <v>92</v>
      </c>
      <c r="E153" s="55">
        <f t="shared" ref="E153:E154" si="41">SUM(B153:D153)</f>
        <v>101</v>
      </c>
      <c r="F153" s="1">
        <v>291</v>
      </c>
      <c r="G153" s="1">
        <v>47</v>
      </c>
      <c r="H153" s="1">
        <v>283</v>
      </c>
      <c r="I153" s="55">
        <f t="shared" ref="I153:I197" si="42">SUM(F153:H153)</f>
        <v>621</v>
      </c>
      <c r="J153" s="1">
        <v>78</v>
      </c>
      <c r="K153" s="1">
        <v>29</v>
      </c>
      <c r="L153" s="1">
        <v>6</v>
      </c>
      <c r="M153" s="55">
        <f t="shared" ref="M153:M197" si="43">SUM(J153:L153)</f>
        <v>113</v>
      </c>
      <c r="N153" s="1">
        <v>21</v>
      </c>
      <c r="O153" s="1">
        <v>17</v>
      </c>
      <c r="P153" s="1">
        <v>3</v>
      </c>
      <c r="Q153" s="55">
        <f t="shared" si="38"/>
        <v>41</v>
      </c>
      <c r="R153" s="55">
        <f t="shared" si="39"/>
        <v>876</v>
      </c>
      <c r="T153" s="4" t="s">
        <v>406</v>
      </c>
    </row>
    <row r="154" spans="1:20" ht="15.75" customHeight="1" x14ac:dyDescent="0.3">
      <c r="A154" s="71" t="s">
        <v>1268</v>
      </c>
      <c r="B154" s="1"/>
      <c r="C154" s="1"/>
      <c r="D154" s="1"/>
      <c r="E154" s="55">
        <f t="shared" si="41"/>
        <v>0</v>
      </c>
      <c r="F154" s="1"/>
      <c r="G154" s="1"/>
      <c r="H154" s="1"/>
      <c r="I154" s="55">
        <f t="shared" si="42"/>
        <v>0</v>
      </c>
      <c r="J154" s="1"/>
      <c r="K154" s="1"/>
      <c r="L154" s="1"/>
      <c r="M154" s="55">
        <f t="shared" si="43"/>
        <v>0</v>
      </c>
      <c r="N154" s="1"/>
      <c r="O154" s="1"/>
      <c r="P154" s="1"/>
      <c r="Q154" s="55">
        <f t="shared" ref="Q154" si="44">SUM(N154:P154)</f>
        <v>0</v>
      </c>
      <c r="R154" s="55">
        <f t="shared" si="39"/>
        <v>0</v>
      </c>
    </row>
    <row r="155" spans="1:20" ht="15.75" customHeight="1" x14ac:dyDescent="0.3">
      <c r="A155" s="84" t="s">
        <v>816</v>
      </c>
      <c r="C155" s="1"/>
      <c r="D155" s="1"/>
      <c r="E155" s="55">
        <f>SUM(C155:D155)</f>
        <v>0</v>
      </c>
      <c r="F155" s="1"/>
      <c r="G155" s="1"/>
      <c r="H155" s="1">
        <v>718</v>
      </c>
      <c r="I155" s="55">
        <f t="shared" si="42"/>
        <v>718</v>
      </c>
      <c r="J155" s="1"/>
      <c r="K155" s="1">
        <v>200</v>
      </c>
      <c r="L155" s="1"/>
      <c r="M155" s="55">
        <f t="shared" si="43"/>
        <v>200</v>
      </c>
      <c r="N155" s="1"/>
      <c r="O155" s="1">
        <v>50</v>
      </c>
      <c r="P155" s="1"/>
      <c r="Q155" s="55">
        <f t="shared" si="38"/>
        <v>50</v>
      </c>
      <c r="R155" s="55">
        <f t="shared" si="39"/>
        <v>968</v>
      </c>
      <c r="T155" s="4" t="s">
        <v>812</v>
      </c>
    </row>
    <row r="156" spans="1:20" ht="15.75" customHeight="1" x14ac:dyDescent="0.3">
      <c r="A156" s="71" t="s">
        <v>1347</v>
      </c>
      <c r="C156" s="1"/>
      <c r="D156" s="1"/>
      <c r="E156" s="55">
        <f>SUM(C156:D156)</f>
        <v>0</v>
      </c>
      <c r="F156" s="1">
        <v>658</v>
      </c>
      <c r="G156" s="1">
        <v>4865</v>
      </c>
      <c r="H156" s="1">
        <v>6351</v>
      </c>
      <c r="I156" s="55">
        <f t="shared" si="42"/>
        <v>11874</v>
      </c>
      <c r="J156" s="1">
        <v>2626</v>
      </c>
      <c r="K156" s="1">
        <v>2606</v>
      </c>
      <c r="L156" s="1">
        <v>194</v>
      </c>
      <c r="M156" s="55">
        <f t="shared" si="43"/>
        <v>5426</v>
      </c>
      <c r="N156" s="1"/>
      <c r="O156" s="1"/>
      <c r="P156" s="1"/>
      <c r="Q156" s="55">
        <f t="shared" ref="Q156:Q203" si="45">SUM(N156:P156)</f>
        <v>0</v>
      </c>
      <c r="R156" s="55">
        <f t="shared" si="39"/>
        <v>17300</v>
      </c>
    </row>
    <row r="157" spans="1:20" ht="15.75" customHeight="1" x14ac:dyDescent="0.3">
      <c r="A157" s="84" t="s">
        <v>817</v>
      </c>
      <c r="B157" s="1"/>
      <c r="C157" s="1"/>
      <c r="D157" s="1"/>
      <c r="E157" s="55">
        <f t="shared" ref="E157:E196" si="46">SUM(B157:D157)</f>
        <v>0</v>
      </c>
      <c r="F157" s="1"/>
      <c r="G157" s="1"/>
      <c r="H157" s="1"/>
      <c r="I157" s="55">
        <f t="shared" si="42"/>
        <v>0</v>
      </c>
      <c r="J157" s="1"/>
      <c r="K157" s="1"/>
      <c r="L157" s="1"/>
      <c r="M157" s="55">
        <f t="shared" si="43"/>
        <v>0</v>
      </c>
      <c r="N157" s="1"/>
      <c r="O157" s="1"/>
      <c r="P157" s="1"/>
      <c r="Q157" s="55">
        <f t="shared" si="45"/>
        <v>0</v>
      </c>
      <c r="R157" s="55">
        <f t="shared" si="39"/>
        <v>0</v>
      </c>
      <c r="T157" s="4" t="s">
        <v>818</v>
      </c>
    </row>
    <row r="158" spans="1:20" ht="15.75" customHeight="1" x14ac:dyDescent="0.3">
      <c r="A158" s="84" t="s">
        <v>112</v>
      </c>
      <c r="B158" s="1">
        <v>800</v>
      </c>
      <c r="C158" s="1">
        <v>900</v>
      </c>
      <c r="D158" s="1">
        <v>1000</v>
      </c>
      <c r="E158" s="55">
        <f t="shared" si="46"/>
        <v>2700</v>
      </c>
      <c r="F158" s="1">
        <v>416</v>
      </c>
      <c r="G158" s="1"/>
      <c r="H158" s="1"/>
      <c r="I158" s="55">
        <f t="shared" si="42"/>
        <v>416</v>
      </c>
      <c r="J158" s="1"/>
      <c r="K158" s="1">
        <v>1000</v>
      </c>
      <c r="L158" s="1"/>
      <c r="M158" s="55">
        <f t="shared" si="43"/>
        <v>1000</v>
      </c>
      <c r="N158" s="1"/>
      <c r="O158" s="1"/>
      <c r="P158" s="1"/>
      <c r="Q158" s="55">
        <f t="shared" si="45"/>
        <v>0</v>
      </c>
      <c r="R158" s="55">
        <f t="shared" si="39"/>
        <v>4116</v>
      </c>
      <c r="T158" s="4" t="s">
        <v>819</v>
      </c>
    </row>
    <row r="159" spans="1:20" ht="15.75" customHeight="1" x14ac:dyDescent="0.3">
      <c r="A159" s="71" t="s">
        <v>820</v>
      </c>
      <c r="B159" s="1"/>
      <c r="C159" s="1"/>
      <c r="D159" s="1"/>
      <c r="E159" s="55">
        <f t="shared" si="46"/>
        <v>0</v>
      </c>
      <c r="F159" s="1"/>
      <c r="G159" s="1">
        <v>362</v>
      </c>
      <c r="H159" s="1"/>
      <c r="I159" s="55">
        <f t="shared" si="42"/>
        <v>362</v>
      </c>
      <c r="J159" s="1"/>
      <c r="K159" s="1"/>
      <c r="L159" s="1"/>
      <c r="M159" s="55">
        <f t="shared" si="43"/>
        <v>0</v>
      </c>
      <c r="N159" s="1"/>
      <c r="O159" s="1"/>
      <c r="P159" s="1">
        <v>15</v>
      </c>
      <c r="Q159" s="55">
        <f t="shared" si="45"/>
        <v>15</v>
      </c>
      <c r="R159" s="55">
        <f t="shared" si="39"/>
        <v>377</v>
      </c>
      <c r="S159" s="4" t="s">
        <v>821</v>
      </c>
      <c r="T159" s="4" t="s">
        <v>822</v>
      </c>
    </row>
    <row r="160" spans="1:20" ht="15.75" customHeight="1" x14ac:dyDescent="0.3">
      <c r="A160" s="72" t="s">
        <v>1269</v>
      </c>
      <c r="B160" s="1">
        <v>18</v>
      </c>
      <c r="C160" s="1">
        <v>22</v>
      </c>
      <c r="D160" s="1">
        <v>19</v>
      </c>
      <c r="E160" s="55">
        <f>SUM(B160:D160)</f>
        <v>59</v>
      </c>
      <c r="F160" s="1">
        <v>42</v>
      </c>
      <c r="G160" s="1">
        <v>52</v>
      </c>
      <c r="H160" s="1">
        <v>51</v>
      </c>
      <c r="I160" s="55">
        <f>SUM(F160:H160)</f>
        <v>145</v>
      </c>
      <c r="J160" s="1">
        <v>56</v>
      </c>
      <c r="K160" s="1">
        <v>5</v>
      </c>
      <c r="L160" s="1"/>
      <c r="M160" s="55">
        <f>SUM(J160:L160)</f>
        <v>61</v>
      </c>
      <c r="N160" s="1"/>
      <c r="O160" s="1"/>
      <c r="P160" s="1"/>
      <c r="Q160" s="55">
        <f>SUM(N160:P160)</f>
        <v>0</v>
      </c>
      <c r="R160" s="55">
        <f>+E160+I160+M160+Q160</f>
        <v>265</v>
      </c>
      <c r="S160" s="465"/>
    </row>
    <row r="161" spans="1:20" ht="15.75" customHeight="1" x14ac:dyDescent="0.3">
      <c r="A161" s="84" t="s">
        <v>1270</v>
      </c>
      <c r="B161" s="1"/>
      <c r="C161" s="1"/>
      <c r="D161" s="1"/>
      <c r="E161" s="55">
        <f t="shared" si="46"/>
        <v>0</v>
      </c>
      <c r="F161" s="1"/>
      <c r="G161" s="1"/>
      <c r="H161" s="1"/>
      <c r="I161" s="55">
        <f t="shared" si="42"/>
        <v>0</v>
      </c>
      <c r="J161" s="1"/>
      <c r="K161" s="1"/>
      <c r="L161" s="1"/>
      <c r="M161" s="55">
        <f t="shared" si="43"/>
        <v>0</v>
      </c>
      <c r="N161" s="1">
        <v>893</v>
      </c>
      <c r="O161" s="1"/>
      <c r="P161" s="1"/>
      <c r="Q161" s="55">
        <f t="shared" si="45"/>
        <v>893</v>
      </c>
      <c r="R161" s="55">
        <f t="shared" si="39"/>
        <v>893</v>
      </c>
      <c r="S161" s="477" t="s">
        <v>1257</v>
      </c>
      <c r="T161" s="4" t="s">
        <v>818</v>
      </c>
    </row>
    <row r="162" spans="1:20" ht="15.75" customHeight="1" x14ac:dyDescent="0.3">
      <c r="A162" s="84" t="s">
        <v>1271</v>
      </c>
      <c r="B162" s="1"/>
      <c r="C162" s="1"/>
      <c r="E162" s="55">
        <f t="shared" si="46"/>
        <v>0</v>
      </c>
      <c r="F162" s="1"/>
      <c r="G162" s="1"/>
      <c r="H162" s="1"/>
      <c r="I162" s="55">
        <f t="shared" si="42"/>
        <v>0</v>
      </c>
      <c r="J162" s="1"/>
      <c r="K162" s="1"/>
      <c r="L162" s="1"/>
      <c r="M162" s="55">
        <f t="shared" si="43"/>
        <v>0</v>
      </c>
      <c r="N162" s="1">
        <v>157</v>
      </c>
      <c r="O162" s="1"/>
      <c r="P162" s="1"/>
      <c r="Q162" s="55">
        <f t="shared" si="45"/>
        <v>157</v>
      </c>
      <c r="R162" s="55">
        <f t="shared" si="39"/>
        <v>157</v>
      </c>
      <c r="S162" s="477" t="s">
        <v>1257</v>
      </c>
      <c r="T162" s="4" t="s">
        <v>819</v>
      </c>
    </row>
    <row r="163" spans="1:20" ht="15.75" customHeight="1" x14ac:dyDescent="0.3">
      <c r="A163" s="84" t="s">
        <v>1272</v>
      </c>
      <c r="B163" s="1"/>
      <c r="C163" s="1"/>
      <c r="D163" s="1"/>
      <c r="E163" s="55">
        <f t="shared" si="46"/>
        <v>0</v>
      </c>
      <c r="F163" s="1"/>
      <c r="G163" s="1"/>
      <c r="H163" s="1"/>
      <c r="I163" s="55">
        <f t="shared" si="42"/>
        <v>0</v>
      </c>
      <c r="J163" s="1"/>
      <c r="K163" s="1"/>
      <c r="L163" s="1"/>
      <c r="M163" s="55">
        <f t="shared" si="43"/>
        <v>0</v>
      </c>
      <c r="N163" s="1"/>
      <c r="O163" s="1"/>
      <c r="P163" s="1"/>
      <c r="Q163" s="55">
        <f t="shared" si="45"/>
        <v>0</v>
      </c>
      <c r="R163" s="55">
        <f t="shared" si="39"/>
        <v>0</v>
      </c>
      <c r="S163" s="477" t="s">
        <v>1257</v>
      </c>
      <c r="T163" s="4" t="s">
        <v>812</v>
      </c>
    </row>
    <row r="164" spans="1:20" ht="15.75" customHeight="1" x14ac:dyDescent="0.3">
      <c r="A164" s="71" t="s">
        <v>114</v>
      </c>
      <c r="B164" s="1">
        <v>43</v>
      </c>
      <c r="C164" s="1">
        <v>41</v>
      </c>
      <c r="D164" s="1">
        <v>51</v>
      </c>
      <c r="E164" s="55">
        <f t="shared" si="46"/>
        <v>135</v>
      </c>
      <c r="F164" s="1">
        <v>41</v>
      </c>
      <c r="G164" s="1">
        <v>54</v>
      </c>
      <c r="H164" s="1">
        <v>55</v>
      </c>
      <c r="I164" s="55">
        <f t="shared" si="42"/>
        <v>150</v>
      </c>
      <c r="J164" s="1">
        <v>67</v>
      </c>
      <c r="K164" s="1">
        <v>67</v>
      </c>
      <c r="L164" s="1">
        <v>64</v>
      </c>
      <c r="M164" s="55">
        <f t="shared" si="43"/>
        <v>198</v>
      </c>
      <c r="N164" s="1">
        <v>66</v>
      </c>
      <c r="O164" s="1">
        <v>56</v>
      </c>
      <c r="P164" s="1">
        <v>45</v>
      </c>
      <c r="Q164" s="55">
        <f t="shared" si="45"/>
        <v>167</v>
      </c>
      <c r="R164" s="55">
        <f t="shared" si="39"/>
        <v>650</v>
      </c>
      <c r="T164" s="4" t="s">
        <v>824</v>
      </c>
    </row>
    <row r="165" spans="1:20" ht="15.75" customHeight="1" x14ac:dyDescent="0.3">
      <c r="A165" s="71" t="s">
        <v>115</v>
      </c>
      <c r="B165" s="1">
        <v>143</v>
      </c>
      <c r="C165" s="1">
        <v>130</v>
      </c>
      <c r="D165" s="1">
        <v>129</v>
      </c>
      <c r="E165" s="55">
        <f t="shared" si="46"/>
        <v>402</v>
      </c>
      <c r="F165" s="1">
        <v>173</v>
      </c>
      <c r="G165" s="1">
        <v>248</v>
      </c>
      <c r="H165" s="1">
        <v>228</v>
      </c>
      <c r="I165" s="55">
        <f t="shared" si="42"/>
        <v>649</v>
      </c>
      <c r="J165" s="1">
        <v>215</v>
      </c>
      <c r="K165" s="1">
        <v>200</v>
      </c>
      <c r="L165" s="1">
        <v>201</v>
      </c>
      <c r="M165" s="55">
        <f t="shared" si="43"/>
        <v>616</v>
      </c>
      <c r="N165" s="1">
        <v>216</v>
      </c>
      <c r="O165" s="1">
        <v>176</v>
      </c>
      <c r="P165" s="1">
        <v>147</v>
      </c>
      <c r="Q165" s="55">
        <f t="shared" si="45"/>
        <v>539</v>
      </c>
      <c r="R165" s="55">
        <f t="shared" si="39"/>
        <v>2206</v>
      </c>
      <c r="T165" s="4" t="s">
        <v>825</v>
      </c>
    </row>
    <row r="166" spans="1:20" ht="15.75" customHeight="1" x14ac:dyDescent="0.3">
      <c r="A166" s="84" t="s">
        <v>1382</v>
      </c>
      <c r="B166" s="1"/>
      <c r="C166" s="1">
        <v>400</v>
      </c>
      <c r="D166" s="1"/>
      <c r="E166" s="55">
        <f t="shared" si="46"/>
        <v>400</v>
      </c>
      <c r="F166" s="1"/>
      <c r="G166" s="1"/>
      <c r="H166" s="1"/>
      <c r="I166" s="55">
        <f t="shared" si="42"/>
        <v>0</v>
      </c>
      <c r="J166" s="1"/>
      <c r="K166" s="1"/>
      <c r="L166" s="1"/>
      <c r="M166" s="55">
        <f t="shared" si="43"/>
        <v>0</v>
      </c>
      <c r="N166" s="1"/>
      <c r="O166" s="1"/>
      <c r="P166" s="1"/>
      <c r="Q166" s="55">
        <f t="shared" ref="Q166" si="47">SUM(N166:P166)</f>
        <v>0</v>
      </c>
      <c r="R166" s="55">
        <f t="shared" si="39"/>
        <v>400</v>
      </c>
    </row>
    <row r="167" spans="1:20" ht="15.75" customHeight="1" x14ac:dyDescent="0.3">
      <c r="A167" s="71" t="s">
        <v>826</v>
      </c>
      <c r="B167" s="1"/>
      <c r="C167" s="1"/>
      <c r="D167" s="1">
        <v>200</v>
      </c>
      <c r="E167" s="55">
        <f t="shared" si="46"/>
        <v>200</v>
      </c>
      <c r="F167" s="1">
        <v>24</v>
      </c>
      <c r="G167" s="1"/>
      <c r="H167" s="1"/>
      <c r="I167" s="55">
        <f t="shared" si="42"/>
        <v>24</v>
      </c>
      <c r="J167" s="1">
        <v>238</v>
      </c>
      <c r="K167" s="1">
        <v>800</v>
      </c>
      <c r="L167" s="1"/>
      <c r="M167" s="55">
        <f t="shared" si="43"/>
        <v>1038</v>
      </c>
      <c r="N167" s="1"/>
      <c r="O167" s="1">
        <v>800</v>
      </c>
      <c r="P167" s="1">
        <v>150</v>
      </c>
      <c r="Q167" s="55">
        <f t="shared" si="45"/>
        <v>950</v>
      </c>
      <c r="R167" s="55">
        <f t="shared" si="39"/>
        <v>2212</v>
      </c>
      <c r="S167" s="4" t="s">
        <v>821</v>
      </c>
    </row>
    <row r="168" spans="1:20" ht="15.75" customHeight="1" x14ac:dyDescent="0.3">
      <c r="A168" s="84" t="s">
        <v>1348</v>
      </c>
      <c r="B168" s="1"/>
      <c r="C168" s="1"/>
      <c r="D168" s="1">
        <v>140</v>
      </c>
      <c r="E168" s="55">
        <f>SUM(B168:D168)</f>
        <v>140</v>
      </c>
      <c r="F168" s="1">
        <v>541</v>
      </c>
      <c r="G168" s="1">
        <v>754</v>
      </c>
      <c r="H168" s="1">
        <v>516</v>
      </c>
      <c r="I168" s="55">
        <f t="shared" si="42"/>
        <v>1811</v>
      </c>
      <c r="J168" s="1">
        <v>501</v>
      </c>
      <c r="K168" s="1">
        <v>513</v>
      </c>
      <c r="L168" s="1">
        <v>383</v>
      </c>
      <c r="M168" s="55">
        <f t="shared" si="43"/>
        <v>1397</v>
      </c>
      <c r="N168" s="1">
        <v>88</v>
      </c>
      <c r="O168" s="1">
        <v>88</v>
      </c>
      <c r="P168" s="1"/>
      <c r="Q168" s="55">
        <f t="shared" si="45"/>
        <v>176</v>
      </c>
      <c r="R168" s="55">
        <f t="shared" si="39"/>
        <v>3524</v>
      </c>
      <c r="T168" s="4" t="s">
        <v>812</v>
      </c>
    </row>
    <row r="169" spans="1:20" ht="15.75" customHeight="1" x14ac:dyDescent="0.3">
      <c r="A169" s="71" t="s">
        <v>1349</v>
      </c>
      <c r="B169" s="1">
        <v>224</v>
      </c>
      <c r="C169" s="1">
        <v>202</v>
      </c>
      <c r="D169" s="1">
        <v>182</v>
      </c>
      <c r="E169" s="55">
        <f t="shared" si="46"/>
        <v>608</v>
      </c>
      <c r="F169" s="1">
        <v>227</v>
      </c>
      <c r="G169" s="1">
        <v>101</v>
      </c>
      <c r="H169" s="1">
        <v>185</v>
      </c>
      <c r="I169" s="55">
        <f t="shared" si="42"/>
        <v>513</v>
      </c>
      <c r="J169" s="1">
        <v>290</v>
      </c>
      <c r="K169" s="1">
        <v>390</v>
      </c>
      <c r="L169" s="1">
        <v>365</v>
      </c>
      <c r="M169" s="55">
        <f t="shared" si="43"/>
        <v>1045</v>
      </c>
      <c r="N169" s="1">
        <v>277</v>
      </c>
      <c r="O169" s="1">
        <v>237</v>
      </c>
      <c r="P169" s="1">
        <v>432</v>
      </c>
      <c r="Q169" s="55">
        <f t="shared" si="45"/>
        <v>946</v>
      </c>
      <c r="R169" s="55">
        <f t="shared" si="39"/>
        <v>3112</v>
      </c>
      <c r="T169" s="4" t="s">
        <v>829</v>
      </c>
    </row>
    <row r="170" spans="1:20" ht="15.75" customHeight="1" x14ac:dyDescent="0.3">
      <c r="A170" s="71" t="s">
        <v>1383</v>
      </c>
      <c r="B170" s="1"/>
      <c r="C170" s="1"/>
      <c r="D170" s="1"/>
      <c r="E170" s="55">
        <f t="shared" si="46"/>
        <v>0</v>
      </c>
      <c r="F170" s="1">
        <v>113</v>
      </c>
      <c r="G170" s="1">
        <v>163</v>
      </c>
      <c r="H170" s="1">
        <v>213</v>
      </c>
      <c r="I170" s="55">
        <f t="shared" si="42"/>
        <v>489</v>
      </c>
      <c r="J170" s="1">
        <v>213</v>
      </c>
      <c r="K170" s="1">
        <v>163</v>
      </c>
      <c r="L170" s="1">
        <v>113</v>
      </c>
      <c r="M170" s="55">
        <f t="shared" si="43"/>
        <v>489</v>
      </c>
      <c r="N170" s="1">
        <v>61</v>
      </c>
      <c r="O170" s="1">
        <v>36</v>
      </c>
      <c r="P170" s="1">
        <v>26</v>
      </c>
      <c r="Q170" s="55">
        <f t="shared" si="45"/>
        <v>123</v>
      </c>
      <c r="R170" s="55">
        <f t="shared" si="39"/>
        <v>1101</v>
      </c>
    </row>
    <row r="171" spans="1:20" ht="15.75" customHeight="1" x14ac:dyDescent="0.3">
      <c r="A171" s="84" t="s">
        <v>830</v>
      </c>
      <c r="B171" s="1"/>
      <c r="C171" s="1"/>
      <c r="D171" s="1"/>
      <c r="E171" s="55">
        <f t="shared" si="46"/>
        <v>0</v>
      </c>
      <c r="F171" s="1"/>
      <c r="G171" s="1"/>
      <c r="H171" s="1"/>
      <c r="I171" s="55">
        <f t="shared" si="42"/>
        <v>0</v>
      </c>
      <c r="J171" s="1">
        <v>508</v>
      </c>
      <c r="K171" s="1"/>
      <c r="L171" s="1"/>
      <c r="M171" s="55">
        <f t="shared" si="43"/>
        <v>508</v>
      </c>
      <c r="N171" s="1"/>
      <c r="O171" s="1"/>
      <c r="P171" s="1"/>
      <c r="Q171" s="55">
        <f t="shared" si="45"/>
        <v>0</v>
      </c>
      <c r="R171" s="55">
        <f t="shared" si="39"/>
        <v>508</v>
      </c>
      <c r="T171" s="4" t="s">
        <v>819</v>
      </c>
    </row>
    <row r="172" spans="1:20" ht="15.75" customHeight="1" x14ac:dyDescent="0.3">
      <c r="A172" s="72" t="s">
        <v>1273</v>
      </c>
      <c r="B172" s="1"/>
      <c r="C172" s="1"/>
      <c r="D172" s="1"/>
      <c r="E172" s="55">
        <f t="shared" ref="E172" si="48">SUM(B172:D172)</f>
        <v>0</v>
      </c>
      <c r="F172" s="1"/>
      <c r="G172" s="1"/>
      <c r="H172" s="1"/>
      <c r="I172" s="55">
        <f t="shared" si="42"/>
        <v>0</v>
      </c>
      <c r="J172" s="1"/>
      <c r="K172" s="1"/>
      <c r="L172" s="1"/>
      <c r="M172" s="55">
        <f t="shared" si="43"/>
        <v>0</v>
      </c>
      <c r="N172" s="1"/>
      <c r="O172" s="1"/>
      <c r="P172" s="1"/>
      <c r="Q172" s="55">
        <f t="shared" si="45"/>
        <v>0</v>
      </c>
      <c r="R172" s="55">
        <f t="shared" si="39"/>
        <v>0</v>
      </c>
    </row>
    <row r="173" spans="1:20" ht="15.75" customHeight="1" x14ac:dyDescent="0.3">
      <c r="A173" s="72" t="s">
        <v>1384</v>
      </c>
      <c r="B173" s="1"/>
      <c r="C173" s="1"/>
      <c r="D173" s="1"/>
      <c r="E173" s="55">
        <f t="shared" si="46"/>
        <v>0</v>
      </c>
      <c r="F173" s="1"/>
      <c r="G173" s="1"/>
      <c r="H173" s="1"/>
      <c r="I173" s="55">
        <f t="shared" si="42"/>
        <v>0</v>
      </c>
      <c r="J173" s="1"/>
      <c r="K173" s="1"/>
      <c r="L173" s="1"/>
      <c r="M173" s="55">
        <f t="shared" si="43"/>
        <v>0</v>
      </c>
      <c r="N173" s="1"/>
      <c r="O173" s="1"/>
      <c r="P173" s="1"/>
      <c r="Q173" s="55">
        <f t="shared" si="45"/>
        <v>0</v>
      </c>
      <c r="R173" s="55">
        <f t="shared" si="39"/>
        <v>0</v>
      </c>
    </row>
    <row r="174" spans="1:20" ht="15.75" customHeight="1" x14ac:dyDescent="0.3">
      <c r="A174" s="71" t="s">
        <v>831</v>
      </c>
      <c r="B174" s="1"/>
      <c r="C174" s="1"/>
      <c r="D174" s="1"/>
      <c r="E174" s="55">
        <f t="shared" si="46"/>
        <v>0</v>
      </c>
      <c r="F174" s="1"/>
      <c r="G174" s="1"/>
      <c r="H174" s="1"/>
      <c r="I174" s="55">
        <f t="shared" si="42"/>
        <v>0</v>
      </c>
      <c r="J174" s="1"/>
      <c r="K174" s="1"/>
      <c r="L174" s="1"/>
      <c r="M174" s="55">
        <f t="shared" si="43"/>
        <v>0</v>
      </c>
      <c r="N174" s="1"/>
      <c r="O174" s="1"/>
      <c r="P174" s="1"/>
      <c r="Q174" s="55">
        <f t="shared" si="45"/>
        <v>0</v>
      </c>
      <c r="R174" s="55">
        <f t="shared" si="39"/>
        <v>0</v>
      </c>
      <c r="S174" s="4" t="s">
        <v>821</v>
      </c>
      <c r="T174" s="4" t="s">
        <v>822</v>
      </c>
    </row>
    <row r="175" spans="1:20" s="123" customFormat="1" ht="15.75" customHeight="1" x14ac:dyDescent="0.3">
      <c r="A175" s="289" t="s">
        <v>697</v>
      </c>
      <c r="B175" s="301"/>
      <c r="C175" s="301"/>
      <c r="D175" s="301"/>
      <c r="E175" s="113">
        <f t="shared" si="46"/>
        <v>0</v>
      </c>
      <c r="F175" s="301"/>
      <c r="G175" s="301"/>
      <c r="H175" s="301"/>
      <c r="I175" s="113">
        <f t="shared" si="42"/>
        <v>0</v>
      </c>
      <c r="J175" s="301"/>
      <c r="K175" s="301"/>
      <c r="L175" s="301"/>
      <c r="M175" s="113">
        <f t="shared" si="43"/>
        <v>0</v>
      </c>
      <c r="N175" s="301"/>
      <c r="O175" s="301"/>
      <c r="P175" s="301"/>
      <c r="Q175" s="113">
        <f t="shared" si="45"/>
        <v>0</v>
      </c>
      <c r="R175" s="113">
        <f t="shared" si="39"/>
        <v>0</v>
      </c>
    </row>
    <row r="176" spans="1:20" ht="15.75" customHeight="1" x14ac:dyDescent="0.3">
      <c r="A176" s="71" t="s">
        <v>698</v>
      </c>
      <c r="B176" s="1"/>
      <c r="C176" s="1"/>
      <c r="D176" s="1"/>
      <c r="E176" s="55">
        <f t="shared" si="46"/>
        <v>0</v>
      </c>
      <c r="F176" s="1">
        <v>1125</v>
      </c>
      <c r="G176" s="1">
        <v>1889</v>
      </c>
      <c r="H176" s="1">
        <v>1841</v>
      </c>
      <c r="I176" s="55">
        <f t="shared" si="42"/>
        <v>4855</v>
      </c>
      <c r="J176" s="1">
        <v>2046</v>
      </c>
      <c r="K176" s="1">
        <v>2088</v>
      </c>
      <c r="L176" s="1">
        <v>1866</v>
      </c>
      <c r="M176" s="55">
        <f t="shared" si="43"/>
        <v>6000</v>
      </c>
      <c r="N176" s="1">
        <v>1914</v>
      </c>
      <c r="O176" s="1">
        <v>1660</v>
      </c>
      <c r="P176" s="1">
        <v>1520</v>
      </c>
      <c r="Q176" s="55">
        <f t="shared" si="45"/>
        <v>5094</v>
      </c>
      <c r="R176" s="55">
        <f>+E176+I176+M176+Q176</f>
        <v>15949</v>
      </c>
      <c r="T176" s="4" t="s">
        <v>832</v>
      </c>
    </row>
    <row r="177" spans="1:20" ht="15.75" customHeight="1" x14ac:dyDescent="0.3">
      <c r="A177" s="84" t="s">
        <v>833</v>
      </c>
      <c r="B177" s="1"/>
      <c r="C177" s="1"/>
      <c r="D177" s="1"/>
      <c r="E177" s="55">
        <f t="shared" si="46"/>
        <v>0</v>
      </c>
      <c r="F177" s="1"/>
      <c r="G177" s="1"/>
      <c r="H177" s="1"/>
      <c r="I177" s="55">
        <f t="shared" si="42"/>
        <v>0</v>
      </c>
      <c r="J177" s="1"/>
      <c r="K177" s="1"/>
      <c r="L177" s="1">
        <v>532</v>
      </c>
      <c r="M177" s="55">
        <f t="shared" si="43"/>
        <v>532</v>
      </c>
      <c r="N177" s="1"/>
      <c r="O177" s="1"/>
      <c r="P177" s="1"/>
      <c r="Q177" s="55">
        <f t="shared" si="45"/>
        <v>0</v>
      </c>
      <c r="R177" s="55">
        <f t="shared" ref="R177:R183" si="49">+E177+I177+M177+Q177</f>
        <v>532</v>
      </c>
      <c r="T177" s="4" t="s">
        <v>812</v>
      </c>
    </row>
    <row r="178" spans="1:20" ht="15.75" customHeight="1" x14ac:dyDescent="0.3">
      <c r="A178" s="84" t="s">
        <v>834</v>
      </c>
      <c r="B178" s="1"/>
      <c r="C178" s="1"/>
      <c r="D178" s="1"/>
      <c r="E178" s="55">
        <f t="shared" si="46"/>
        <v>0</v>
      </c>
      <c r="F178" s="1"/>
      <c r="G178" s="1"/>
      <c r="H178" s="1"/>
      <c r="I178" s="55">
        <f t="shared" si="42"/>
        <v>0</v>
      </c>
      <c r="J178" s="1"/>
      <c r="K178" s="1"/>
      <c r="L178" s="1"/>
      <c r="M178" s="55">
        <f t="shared" si="43"/>
        <v>0</v>
      </c>
      <c r="N178" s="1"/>
      <c r="O178" s="1"/>
      <c r="P178" s="1"/>
      <c r="Q178" s="55">
        <f t="shared" si="45"/>
        <v>0</v>
      </c>
      <c r="R178" s="55">
        <f t="shared" si="49"/>
        <v>0</v>
      </c>
      <c r="T178" s="4" t="s">
        <v>819</v>
      </c>
    </row>
    <row r="179" spans="1:20" ht="15.75" customHeight="1" x14ac:dyDescent="0.3">
      <c r="A179" s="71" t="s">
        <v>835</v>
      </c>
      <c r="B179" s="1"/>
      <c r="C179" s="1"/>
      <c r="D179" s="1"/>
      <c r="E179" s="55">
        <f t="shared" si="46"/>
        <v>0</v>
      </c>
      <c r="F179" s="1"/>
      <c r="G179" s="1">
        <v>362</v>
      </c>
      <c r="H179" s="1"/>
      <c r="I179" s="55">
        <f t="shared" si="42"/>
        <v>362</v>
      </c>
      <c r="J179" s="1"/>
      <c r="K179" s="1"/>
      <c r="L179" s="1"/>
      <c r="M179" s="55">
        <f t="shared" si="43"/>
        <v>0</v>
      </c>
      <c r="N179" s="1"/>
      <c r="O179" s="1"/>
      <c r="P179" s="1"/>
      <c r="Q179" s="55">
        <f t="shared" si="45"/>
        <v>0</v>
      </c>
      <c r="R179" s="55">
        <f t="shared" si="49"/>
        <v>362</v>
      </c>
      <c r="S179" s="465" t="s">
        <v>821</v>
      </c>
      <c r="T179" s="4" t="s">
        <v>836</v>
      </c>
    </row>
    <row r="180" spans="1:20" ht="15.75" customHeight="1" x14ac:dyDescent="0.3">
      <c r="A180" s="71" t="s">
        <v>1385</v>
      </c>
      <c r="B180" s="1"/>
      <c r="C180" s="1"/>
      <c r="D180" s="1"/>
      <c r="E180" s="55">
        <f t="shared" si="46"/>
        <v>0</v>
      </c>
      <c r="F180" s="1"/>
      <c r="G180" s="1"/>
      <c r="H180" s="1"/>
      <c r="I180" s="55">
        <f t="shared" si="42"/>
        <v>0</v>
      </c>
      <c r="J180" s="1"/>
      <c r="K180" s="1"/>
      <c r="L180" s="1"/>
      <c r="M180" s="55">
        <f t="shared" si="43"/>
        <v>0</v>
      </c>
      <c r="N180" s="1"/>
      <c r="O180" s="1"/>
      <c r="P180" s="1"/>
      <c r="Q180" s="55">
        <f t="shared" ref="Q180" si="50">SUM(N180:P180)</f>
        <v>0</v>
      </c>
      <c r="R180" s="55">
        <f t="shared" si="49"/>
        <v>0</v>
      </c>
      <c r="S180" s="465"/>
    </row>
    <row r="181" spans="1:20" ht="15.75" customHeight="1" x14ac:dyDescent="0.3">
      <c r="A181" s="84" t="s">
        <v>837</v>
      </c>
      <c r="B181" s="1">
        <v>968</v>
      </c>
      <c r="C181" s="1">
        <v>249</v>
      </c>
      <c r="D181" s="1">
        <v>1151</v>
      </c>
      <c r="E181" s="55">
        <f t="shared" si="46"/>
        <v>2368</v>
      </c>
      <c r="F181" s="1"/>
      <c r="G181" s="1"/>
      <c r="H181" s="1"/>
      <c r="I181" s="55">
        <f t="shared" si="42"/>
        <v>0</v>
      </c>
      <c r="J181" s="1"/>
      <c r="K181" s="1"/>
      <c r="L181" s="1"/>
      <c r="M181" s="55">
        <f t="shared" si="43"/>
        <v>0</v>
      </c>
      <c r="N181" s="1"/>
      <c r="O181" s="1"/>
      <c r="P181" s="1"/>
      <c r="Q181" s="55">
        <f t="shared" si="45"/>
        <v>0</v>
      </c>
      <c r="R181" s="55">
        <f t="shared" si="49"/>
        <v>2368</v>
      </c>
      <c r="T181" s="4" t="s">
        <v>818</v>
      </c>
    </row>
    <row r="182" spans="1:20" ht="15.75" customHeight="1" x14ac:dyDescent="0.3">
      <c r="A182" s="84" t="s">
        <v>838</v>
      </c>
      <c r="B182" s="1">
        <v>3525</v>
      </c>
      <c r="C182" s="1">
        <v>3423</v>
      </c>
      <c r="D182" s="1">
        <v>1426</v>
      </c>
      <c r="E182" s="55">
        <f t="shared" si="46"/>
        <v>8374</v>
      </c>
      <c r="F182" s="1"/>
      <c r="G182" s="1"/>
      <c r="H182" s="1"/>
      <c r="I182" s="55">
        <f t="shared" si="42"/>
        <v>0</v>
      </c>
      <c r="J182" s="1"/>
      <c r="K182" s="1"/>
      <c r="L182" s="1"/>
      <c r="M182" s="55">
        <f t="shared" si="43"/>
        <v>0</v>
      </c>
      <c r="N182" s="1"/>
      <c r="O182" s="1"/>
      <c r="P182" s="1"/>
      <c r="Q182" s="55">
        <f t="shared" si="45"/>
        <v>0</v>
      </c>
      <c r="R182" s="55">
        <f t="shared" si="49"/>
        <v>8374</v>
      </c>
      <c r="T182" s="4" t="s">
        <v>819</v>
      </c>
    </row>
    <row r="183" spans="1:20" ht="15.75" customHeight="1" x14ac:dyDescent="0.3">
      <c r="A183" s="71" t="s">
        <v>120</v>
      </c>
      <c r="B183" s="1">
        <v>16</v>
      </c>
      <c r="C183" s="1">
        <v>18</v>
      </c>
      <c r="D183" s="1">
        <v>16</v>
      </c>
      <c r="E183" s="55">
        <f t="shared" si="46"/>
        <v>50</v>
      </c>
      <c r="F183" s="1">
        <v>50</v>
      </c>
      <c r="G183" s="1">
        <v>74</v>
      </c>
      <c r="H183" s="1">
        <v>54</v>
      </c>
      <c r="I183" s="55">
        <f t="shared" si="42"/>
        <v>178</v>
      </c>
      <c r="J183" s="1">
        <v>67</v>
      </c>
      <c r="K183" s="1"/>
      <c r="L183" s="1">
        <v>10</v>
      </c>
      <c r="M183" s="55">
        <f t="shared" si="43"/>
        <v>77</v>
      </c>
      <c r="N183" s="1">
        <v>83</v>
      </c>
      <c r="O183" s="1">
        <v>29</v>
      </c>
      <c r="P183" s="1">
        <v>20</v>
      </c>
      <c r="Q183" s="55">
        <f t="shared" si="45"/>
        <v>132</v>
      </c>
      <c r="R183" s="55">
        <f t="shared" si="49"/>
        <v>437</v>
      </c>
      <c r="T183" s="4" t="s">
        <v>406</v>
      </c>
    </row>
    <row r="184" spans="1:20" ht="15.75" customHeight="1" x14ac:dyDescent="0.3">
      <c r="A184" s="84" t="s">
        <v>839</v>
      </c>
      <c r="B184" s="1">
        <f>304+757</f>
        <v>1061</v>
      </c>
      <c r="C184" s="1"/>
      <c r="D184" s="1">
        <f>413+46</f>
        <v>459</v>
      </c>
      <c r="E184" s="55">
        <f t="shared" si="46"/>
        <v>1520</v>
      </c>
      <c r="F184" s="1">
        <f>1188+1196</f>
        <v>2384</v>
      </c>
      <c r="G184" s="1">
        <f>614+658</f>
        <v>1272</v>
      </c>
      <c r="H184" s="1"/>
      <c r="I184" s="55">
        <f t="shared" si="42"/>
        <v>3656</v>
      </c>
      <c r="J184" s="1">
        <v>1502</v>
      </c>
      <c r="K184" s="1">
        <f>118+1703</f>
        <v>1821</v>
      </c>
      <c r="L184" s="1">
        <f>301+727</f>
        <v>1028</v>
      </c>
      <c r="M184" s="55">
        <f t="shared" si="43"/>
        <v>4351</v>
      </c>
      <c r="N184" s="1">
        <f>172+1629</f>
        <v>1801</v>
      </c>
      <c r="O184" s="1">
        <f>588+646</f>
        <v>1234</v>
      </c>
      <c r="P184" s="1"/>
      <c r="Q184" s="55">
        <f t="shared" si="45"/>
        <v>3035</v>
      </c>
      <c r="R184" s="55">
        <f t="shared" si="39"/>
        <v>12562</v>
      </c>
      <c r="T184" s="4" t="s">
        <v>818</v>
      </c>
    </row>
    <row r="185" spans="1:20" ht="15.75" customHeight="1" x14ac:dyDescent="0.3">
      <c r="A185" s="84" t="s">
        <v>840</v>
      </c>
      <c r="B185" s="1">
        <v>130</v>
      </c>
      <c r="C185" s="1">
        <v>150</v>
      </c>
      <c r="D185" s="1">
        <v>200</v>
      </c>
      <c r="E185" s="55">
        <f t="shared" si="46"/>
        <v>480</v>
      </c>
      <c r="F185" s="1">
        <v>1300</v>
      </c>
      <c r="G185" s="1"/>
      <c r="H185" s="1">
        <v>477</v>
      </c>
      <c r="I185" s="55">
        <f t="shared" si="42"/>
        <v>1777</v>
      </c>
      <c r="J185" s="1"/>
      <c r="K185" s="1"/>
      <c r="L185" s="1">
        <v>1000</v>
      </c>
      <c r="M185" s="55">
        <f t="shared" si="43"/>
        <v>1000</v>
      </c>
      <c r="N185" s="1"/>
      <c r="O185" s="1"/>
      <c r="P185" s="1"/>
      <c r="Q185" s="55">
        <f t="shared" si="45"/>
        <v>0</v>
      </c>
      <c r="R185" s="55">
        <f t="shared" si="39"/>
        <v>3257</v>
      </c>
      <c r="T185" s="4" t="s">
        <v>819</v>
      </c>
    </row>
    <row r="186" spans="1:20" ht="15.75" customHeight="1" x14ac:dyDescent="0.3">
      <c r="A186" s="84" t="s">
        <v>841</v>
      </c>
      <c r="B186" s="1">
        <v>21</v>
      </c>
      <c r="C186" s="1">
        <v>22</v>
      </c>
      <c r="D186" s="1">
        <v>22</v>
      </c>
      <c r="E186" s="55">
        <f t="shared" si="46"/>
        <v>65</v>
      </c>
      <c r="F186" s="1">
        <v>53</v>
      </c>
      <c r="G186" s="1">
        <v>74</v>
      </c>
      <c r="H186" s="1">
        <v>87</v>
      </c>
      <c r="I186" s="55">
        <f>SUM(F186:H186)</f>
        <v>214</v>
      </c>
      <c r="J186" s="1">
        <v>86</v>
      </c>
      <c r="K186" s="1">
        <v>75</v>
      </c>
      <c r="L186" s="1">
        <v>64</v>
      </c>
      <c r="M186" s="55">
        <f t="shared" si="43"/>
        <v>225</v>
      </c>
      <c r="N186" s="1">
        <v>74</v>
      </c>
      <c r="O186" s="1">
        <v>40</v>
      </c>
      <c r="P186" s="1">
        <v>28</v>
      </c>
      <c r="Q186" s="55">
        <f t="shared" si="45"/>
        <v>142</v>
      </c>
      <c r="R186" s="55">
        <f t="shared" si="39"/>
        <v>646</v>
      </c>
      <c r="T186" s="4" t="s">
        <v>842</v>
      </c>
    </row>
    <row r="187" spans="1:20" ht="15.75" customHeight="1" x14ac:dyDescent="0.3">
      <c r="A187" s="84" t="s">
        <v>843</v>
      </c>
      <c r="B187" s="1">
        <v>1</v>
      </c>
      <c r="C187" s="1"/>
      <c r="D187" s="1">
        <v>1</v>
      </c>
      <c r="E187" s="55">
        <f t="shared" si="46"/>
        <v>2</v>
      </c>
      <c r="F187" s="1">
        <v>20</v>
      </c>
      <c r="G187" s="1">
        <v>84</v>
      </c>
      <c r="H187" s="1">
        <v>110</v>
      </c>
      <c r="I187" s="55">
        <f t="shared" si="42"/>
        <v>214</v>
      </c>
      <c r="J187" s="1">
        <v>114</v>
      </c>
      <c r="K187" s="1">
        <v>121</v>
      </c>
      <c r="L187" s="1">
        <v>93</v>
      </c>
      <c r="M187" s="55">
        <f t="shared" si="43"/>
        <v>328</v>
      </c>
      <c r="N187" s="1">
        <v>98</v>
      </c>
      <c r="O187" s="1">
        <v>11</v>
      </c>
      <c r="P187" s="1"/>
      <c r="Q187" s="55">
        <f t="shared" si="45"/>
        <v>109</v>
      </c>
      <c r="R187" s="55">
        <f t="shared" si="39"/>
        <v>653</v>
      </c>
      <c r="T187" s="4" t="s">
        <v>406</v>
      </c>
    </row>
    <row r="188" spans="1:20" ht="15.75" customHeight="1" x14ac:dyDescent="0.3">
      <c r="A188" s="84" t="s">
        <v>844</v>
      </c>
      <c r="B188" s="1"/>
      <c r="C188" s="1"/>
      <c r="D188" s="1">
        <v>1</v>
      </c>
      <c r="E188" s="55">
        <f t="shared" si="46"/>
        <v>1</v>
      </c>
      <c r="F188" s="1">
        <v>1</v>
      </c>
      <c r="G188" s="1">
        <v>1</v>
      </c>
      <c r="H188" s="1"/>
      <c r="I188" s="55">
        <f t="shared" si="42"/>
        <v>2</v>
      </c>
      <c r="J188" s="1">
        <v>1</v>
      </c>
      <c r="K188" s="1">
        <v>1</v>
      </c>
      <c r="L188" s="1">
        <v>2</v>
      </c>
      <c r="M188" s="55">
        <f t="shared" si="43"/>
        <v>4</v>
      </c>
      <c r="N188" s="1">
        <v>15</v>
      </c>
      <c r="O188" s="1">
        <v>1</v>
      </c>
      <c r="P188" s="1"/>
      <c r="Q188" s="55">
        <f t="shared" si="45"/>
        <v>16</v>
      </c>
      <c r="R188" s="55">
        <f t="shared" si="39"/>
        <v>23</v>
      </c>
      <c r="S188" s="344"/>
      <c r="T188" s="4" t="s">
        <v>812</v>
      </c>
    </row>
    <row r="189" spans="1:20" ht="15.75" customHeight="1" x14ac:dyDescent="0.3">
      <c r="A189" s="71" t="s">
        <v>845</v>
      </c>
      <c r="B189" s="1"/>
      <c r="C189" s="1"/>
      <c r="D189" s="1"/>
      <c r="E189" s="55">
        <f t="shared" si="46"/>
        <v>0</v>
      </c>
      <c r="F189" s="1"/>
      <c r="G189" s="1"/>
      <c r="H189" s="1">
        <v>931</v>
      </c>
      <c r="I189" s="55">
        <f t="shared" si="42"/>
        <v>931</v>
      </c>
      <c r="J189" s="1">
        <v>1064</v>
      </c>
      <c r="K189" s="1">
        <v>1046</v>
      </c>
      <c r="L189" s="1">
        <v>986</v>
      </c>
      <c r="M189" s="55">
        <f t="shared" si="43"/>
        <v>3096</v>
      </c>
      <c r="N189" s="1">
        <v>950</v>
      </c>
      <c r="O189" s="1">
        <v>901</v>
      </c>
      <c r="P189" s="1">
        <v>819</v>
      </c>
      <c r="Q189" s="55">
        <f t="shared" si="45"/>
        <v>2670</v>
      </c>
      <c r="R189" s="55">
        <f t="shared" si="39"/>
        <v>6697</v>
      </c>
      <c r="T189" s="4" t="s">
        <v>832</v>
      </c>
    </row>
    <row r="190" spans="1:20" ht="15.75" customHeight="1" x14ac:dyDescent="0.3">
      <c r="A190" s="71" t="s">
        <v>846</v>
      </c>
      <c r="B190" s="1"/>
      <c r="C190" s="1"/>
      <c r="D190" s="1"/>
      <c r="E190" s="55">
        <f t="shared" si="46"/>
        <v>0</v>
      </c>
      <c r="F190" s="1"/>
      <c r="G190" s="1"/>
      <c r="H190" s="1">
        <v>362</v>
      </c>
      <c r="I190" s="55">
        <f t="shared" si="42"/>
        <v>362</v>
      </c>
      <c r="J190" s="1"/>
      <c r="K190" s="1"/>
      <c r="L190" s="1"/>
      <c r="M190" s="55">
        <f t="shared" si="43"/>
        <v>0</v>
      </c>
      <c r="N190" s="1"/>
      <c r="O190" s="1"/>
      <c r="P190" s="1"/>
      <c r="Q190" s="55">
        <f t="shared" si="45"/>
        <v>0</v>
      </c>
      <c r="R190" s="55">
        <f t="shared" si="39"/>
        <v>362</v>
      </c>
      <c r="S190" s="465" t="s">
        <v>821</v>
      </c>
      <c r="T190" s="4" t="s">
        <v>822</v>
      </c>
    </row>
    <row r="191" spans="1:20" ht="15.75" customHeight="1" x14ac:dyDescent="0.3">
      <c r="A191" s="71" t="s">
        <v>847</v>
      </c>
      <c r="B191" s="1"/>
      <c r="C191" s="1"/>
      <c r="D191" s="1"/>
      <c r="E191" s="55">
        <f t="shared" si="46"/>
        <v>0</v>
      </c>
      <c r="F191" s="1"/>
      <c r="G191" s="1"/>
      <c r="H191" s="1"/>
      <c r="I191" s="55">
        <f t="shared" si="42"/>
        <v>0</v>
      </c>
      <c r="J191" s="1"/>
      <c r="K191" s="1"/>
      <c r="L191" s="1"/>
      <c r="M191" s="55">
        <f t="shared" si="43"/>
        <v>0</v>
      </c>
      <c r="N191" s="1"/>
      <c r="O191" s="1"/>
      <c r="P191" s="1"/>
      <c r="Q191" s="55">
        <f t="shared" si="45"/>
        <v>0</v>
      </c>
      <c r="R191" s="55">
        <f t="shared" si="39"/>
        <v>0</v>
      </c>
      <c r="T191" s="4" t="s">
        <v>822</v>
      </c>
    </row>
    <row r="192" spans="1:20" ht="15.75" customHeight="1" x14ac:dyDescent="0.3">
      <c r="A192" s="71" t="s">
        <v>122</v>
      </c>
      <c r="B192" s="1">
        <f>2541+17+1+1</f>
        <v>2560</v>
      </c>
      <c r="C192" s="1">
        <f>2373+10+1+1+14</f>
        <v>2399</v>
      </c>
      <c r="D192" s="1">
        <f>2499+5+1+1+2337</f>
        <v>4843</v>
      </c>
      <c r="E192" s="55">
        <f t="shared" si="46"/>
        <v>9802</v>
      </c>
      <c r="F192" s="1">
        <f>7960+2416+66+1+1</f>
        <v>10444</v>
      </c>
      <c r="G192" s="1">
        <f>1+1+100+2503+11035</f>
        <v>13640</v>
      </c>
      <c r="H192" s="1">
        <f>1+2+125+2625+10768+1000</f>
        <v>14521</v>
      </c>
      <c r="I192" s="55">
        <f t="shared" si="42"/>
        <v>38605</v>
      </c>
      <c r="J192" s="1">
        <f>1+2+2511+10296+109</f>
        <v>12919</v>
      </c>
      <c r="K192" s="1">
        <f>1+2+75+2533+9788</f>
        <v>12399</v>
      </c>
      <c r="L192" s="1">
        <f>1+2+79+2461+9174</f>
        <v>11717</v>
      </c>
      <c r="M192" s="55">
        <f t="shared" si="43"/>
        <v>37035</v>
      </c>
      <c r="N192" s="1">
        <f>1+3+66+2532+9799</f>
        <v>12401</v>
      </c>
      <c r="O192" s="1">
        <f>1+3+30+2469+2804</f>
        <v>5307</v>
      </c>
      <c r="P192" s="1">
        <f>1+1+18+2516+5978</f>
        <v>8514</v>
      </c>
      <c r="Q192" s="55">
        <f t="shared" si="45"/>
        <v>26222</v>
      </c>
      <c r="R192" s="55">
        <f t="shared" si="39"/>
        <v>111664</v>
      </c>
      <c r="S192" s="4" t="s">
        <v>821</v>
      </c>
    </row>
    <row r="193" spans="1:20" ht="15.75" customHeight="1" x14ac:dyDescent="0.3">
      <c r="A193" s="71" t="s">
        <v>848</v>
      </c>
      <c r="B193" s="1">
        <v>5000</v>
      </c>
      <c r="C193" s="1">
        <f>5000+213</f>
        <v>5213</v>
      </c>
      <c r="D193" s="1">
        <f>99+516</f>
        <v>615</v>
      </c>
      <c r="E193" s="55">
        <f t="shared" si="46"/>
        <v>10828</v>
      </c>
      <c r="F193" s="1">
        <v>632</v>
      </c>
      <c r="G193" s="1">
        <v>507</v>
      </c>
      <c r="H193" s="1">
        <f>458+147</f>
        <v>605</v>
      </c>
      <c r="I193" s="55">
        <f t="shared" si="42"/>
        <v>1744</v>
      </c>
      <c r="J193" s="1">
        <v>435</v>
      </c>
      <c r="K193" s="1"/>
      <c r="L193" s="1"/>
      <c r="M193" s="55">
        <f t="shared" si="43"/>
        <v>435</v>
      </c>
      <c r="N193" s="1"/>
      <c r="O193" s="1"/>
      <c r="P193" s="1"/>
      <c r="Q193" s="55">
        <f t="shared" si="45"/>
        <v>0</v>
      </c>
      <c r="R193" s="55">
        <f>+E193+I193+M193+Q193</f>
        <v>13007</v>
      </c>
      <c r="S193" s="465"/>
      <c r="T193" s="4" t="s">
        <v>822</v>
      </c>
    </row>
    <row r="194" spans="1:20" ht="15.75" customHeight="1" x14ac:dyDescent="0.3">
      <c r="A194" s="71" t="s">
        <v>1386</v>
      </c>
      <c r="B194" s="1">
        <v>34</v>
      </c>
      <c r="C194" s="1">
        <v>61</v>
      </c>
      <c r="D194" s="1">
        <v>50</v>
      </c>
      <c r="E194" s="55">
        <f t="shared" si="46"/>
        <v>145</v>
      </c>
      <c r="F194" s="1">
        <v>55</v>
      </c>
      <c r="G194" s="1">
        <v>55</v>
      </c>
      <c r="H194" s="1">
        <v>55</v>
      </c>
      <c r="I194" s="55">
        <f t="shared" si="42"/>
        <v>165</v>
      </c>
      <c r="J194" s="1">
        <v>65</v>
      </c>
      <c r="K194" s="1">
        <v>65</v>
      </c>
      <c r="L194" s="1">
        <v>50</v>
      </c>
      <c r="M194" s="55">
        <f t="shared" si="43"/>
        <v>180</v>
      </c>
      <c r="N194" s="1">
        <v>50</v>
      </c>
      <c r="O194" s="1">
        <v>50</v>
      </c>
      <c r="P194" s="1">
        <v>50</v>
      </c>
      <c r="Q194" s="55">
        <f t="shared" si="45"/>
        <v>150</v>
      </c>
      <c r="R194" s="55">
        <f t="shared" si="39"/>
        <v>640</v>
      </c>
      <c r="S194" s="4" t="s">
        <v>821</v>
      </c>
      <c r="T194" s="4" t="s">
        <v>822</v>
      </c>
    </row>
    <row r="195" spans="1:20" ht="15.75" customHeight="1" x14ac:dyDescent="0.3">
      <c r="A195" s="84" t="s">
        <v>1387</v>
      </c>
      <c r="B195" s="1"/>
      <c r="C195" s="1"/>
      <c r="D195" s="1"/>
      <c r="E195" s="55">
        <f t="shared" si="46"/>
        <v>0</v>
      </c>
      <c r="F195" s="1"/>
      <c r="G195" s="1"/>
      <c r="H195" s="1"/>
      <c r="I195" s="55">
        <f t="shared" si="42"/>
        <v>0</v>
      </c>
      <c r="J195" s="1">
        <v>779</v>
      </c>
      <c r="K195" s="1">
        <v>1079</v>
      </c>
      <c r="L195" s="1">
        <v>1963</v>
      </c>
      <c r="M195" s="55">
        <f t="shared" si="43"/>
        <v>3821</v>
      </c>
      <c r="N195" s="1">
        <v>537</v>
      </c>
      <c r="O195" s="1"/>
      <c r="P195" s="1"/>
      <c r="Q195" s="55">
        <f t="shared" ref="Q195" si="51">SUM(N195:P195)</f>
        <v>537</v>
      </c>
      <c r="R195" s="55">
        <f t="shared" si="39"/>
        <v>4358</v>
      </c>
    </row>
    <row r="196" spans="1:20" ht="15.75" customHeight="1" x14ac:dyDescent="0.3">
      <c r="A196" s="71" t="s">
        <v>124</v>
      </c>
      <c r="B196" s="1">
        <v>3283</v>
      </c>
      <c r="C196" s="1"/>
      <c r="D196" s="1"/>
      <c r="E196" s="55">
        <f t="shared" si="46"/>
        <v>3283</v>
      </c>
      <c r="F196" s="1"/>
      <c r="G196" s="1"/>
      <c r="H196" s="1">
        <v>2991</v>
      </c>
      <c r="I196" s="55">
        <f t="shared" si="42"/>
        <v>2991</v>
      </c>
      <c r="J196" s="1">
        <f>56+6235+1590+142</f>
        <v>8023</v>
      </c>
      <c r="K196" s="1">
        <f>51+6461+876+131</f>
        <v>7519</v>
      </c>
      <c r="L196" s="1">
        <f>34+5712+609+105</f>
        <v>6460</v>
      </c>
      <c r="M196" s="55">
        <f t="shared" si="43"/>
        <v>22002</v>
      </c>
      <c r="N196" s="1">
        <f>55+6118+730+115</f>
        <v>7018</v>
      </c>
      <c r="O196" s="1">
        <f>25+5242+177+109</f>
        <v>5553</v>
      </c>
      <c r="P196" s="1">
        <f>16+4761+244+110</f>
        <v>5131</v>
      </c>
      <c r="Q196" s="55">
        <f t="shared" si="45"/>
        <v>17702</v>
      </c>
      <c r="R196" s="55">
        <f>+E196+I196+M196+Q196</f>
        <v>45978</v>
      </c>
    </row>
    <row r="197" spans="1:20" ht="15.75" customHeight="1" x14ac:dyDescent="0.3">
      <c r="A197" s="71" t="s">
        <v>850</v>
      </c>
      <c r="B197" s="1"/>
      <c r="C197" s="1"/>
      <c r="D197" s="1"/>
      <c r="E197" s="55">
        <f t="shared" ref="E197" si="52">SUM(B197:D197)</f>
        <v>0</v>
      </c>
      <c r="F197" s="1"/>
      <c r="G197" s="1"/>
      <c r="H197" s="1">
        <v>500</v>
      </c>
      <c r="I197" s="55">
        <f t="shared" si="42"/>
        <v>500</v>
      </c>
      <c r="J197" s="1">
        <v>500</v>
      </c>
      <c r="K197" s="1">
        <f>500+362</f>
        <v>862</v>
      </c>
      <c r="L197" s="1">
        <v>500</v>
      </c>
      <c r="M197" s="55">
        <f t="shared" si="43"/>
        <v>1862</v>
      </c>
      <c r="N197" s="1"/>
      <c r="O197" s="1"/>
      <c r="P197" s="1"/>
      <c r="Q197" s="55">
        <f t="shared" si="45"/>
        <v>0</v>
      </c>
      <c r="R197" s="55">
        <f t="shared" si="39"/>
        <v>2362</v>
      </c>
      <c r="S197" s="4" t="s">
        <v>821</v>
      </c>
    </row>
    <row r="198" spans="1:20" ht="15.75" customHeight="1" x14ac:dyDescent="0.3">
      <c r="A198" s="84" t="s">
        <v>851</v>
      </c>
      <c r="B198" s="1"/>
      <c r="C198" s="1"/>
      <c r="D198" s="1"/>
      <c r="E198" s="55">
        <f t="shared" ref="E198:E203" si="53">SUM(B198:D198)</f>
        <v>0</v>
      </c>
      <c r="F198" s="1"/>
      <c r="G198" s="1"/>
      <c r="H198" s="1"/>
      <c r="I198" s="55">
        <f t="shared" ref="I198:I203" si="54">SUM(F198:H198)</f>
        <v>0</v>
      </c>
      <c r="J198" s="1"/>
      <c r="K198" s="1"/>
      <c r="L198" s="1"/>
      <c r="M198" s="55">
        <f t="shared" ref="M198:M203" si="55">SUM(J198:L198)</f>
        <v>0</v>
      </c>
      <c r="N198" s="1"/>
      <c r="O198" s="1"/>
      <c r="P198" s="1"/>
      <c r="Q198" s="55">
        <f t="shared" si="45"/>
        <v>0</v>
      </c>
      <c r="R198" s="55">
        <f t="shared" si="39"/>
        <v>0</v>
      </c>
      <c r="T198" s="4" t="s">
        <v>818</v>
      </c>
    </row>
    <row r="199" spans="1:20" ht="15.75" customHeight="1" x14ac:dyDescent="0.3">
      <c r="A199" s="84" t="s">
        <v>852</v>
      </c>
      <c r="B199" s="1"/>
      <c r="C199" s="1"/>
      <c r="D199" s="1"/>
      <c r="E199" s="55">
        <f t="shared" si="53"/>
        <v>0</v>
      </c>
      <c r="F199" s="1"/>
      <c r="G199" s="1"/>
      <c r="H199" s="1"/>
      <c r="I199" s="55">
        <f t="shared" si="54"/>
        <v>0</v>
      </c>
      <c r="J199" s="1"/>
      <c r="K199" s="1"/>
      <c r="L199" s="1"/>
      <c r="M199" s="55">
        <f t="shared" si="55"/>
        <v>0</v>
      </c>
      <c r="N199" s="1"/>
      <c r="O199" s="1"/>
      <c r="P199" s="1"/>
      <c r="Q199" s="55">
        <f t="shared" si="45"/>
        <v>0</v>
      </c>
      <c r="R199" s="55">
        <f>+E199+I199+M199+Q199</f>
        <v>0</v>
      </c>
    </row>
    <row r="200" spans="1:20" ht="15.75" customHeight="1" x14ac:dyDescent="0.3">
      <c r="A200" s="84" t="s">
        <v>853</v>
      </c>
      <c r="B200" s="1"/>
      <c r="C200" s="1"/>
      <c r="D200" s="1">
        <v>143</v>
      </c>
      <c r="E200" s="55">
        <f t="shared" si="53"/>
        <v>143</v>
      </c>
      <c r="F200" s="1">
        <v>1746</v>
      </c>
      <c r="G200" s="1">
        <v>2169</v>
      </c>
      <c r="H200" s="1">
        <v>751</v>
      </c>
      <c r="I200" s="55">
        <f t="shared" si="54"/>
        <v>4666</v>
      </c>
      <c r="J200" s="1">
        <v>500</v>
      </c>
      <c r="K200" s="1">
        <v>400</v>
      </c>
      <c r="L200" s="1">
        <v>450</v>
      </c>
      <c r="M200" s="55">
        <f t="shared" si="55"/>
        <v>1350</v>
      </c>
      <c r="N200" s="1">
        <v>450</v>
      </c>
      <c r="O200" s="1">
        <v>450</v>
      </c>
      <c r="P200" s="1"/>
      <c r="Q200" s="55">
        <f t="shared" si="45"/>
        <v>900</v>
      </c>
      <c r="R200" s="55">
        <f t="shared" si="39"/>
        <v>7059</v>
      </c>
    </row>
    <row r="201" spans="1:20" ht="15.75" customHeight="1" x14ac:dyDescent="0.3">
      <c r="A201" s="71" t="s">
        <v>854</v>
      </c>
      <c r="B201" s="1">
        <v>122</v>
      </c>
      <c r="C201" s="1">
        <v>300</v>
      </c>
      <c r="D201" s="1">
        <v>350</v>
      </c>
      <c r="E201" s="55">
        <f t="shared" si="53"/>
        <v>772</v>
      </c>
      <c r="F201" s="1">
        <v>350</v>
      </c>
      <c r="G201" s="1">
        <v>400</v>
      </c>
      <c r="H201" s="1">
        <v>450</v>
      </c>
      <c r="I201" s="55">
        <f t="shared" si="54"/>
        <v>1200</v>
      </c>
      <c r="J201" s="1">
        <v>493</v>
      </c>
      <c r="K201" s="1">
        <v>500</v>
      </c>
      <c r="L201" s="1">
        <v>400</v>
      </c>
      <c r="M201" s="55">
        <f t="shared" si="55"/>
        <v>1393</v>
      </c>
      <c r="N201" s="1">
        <v>400</v>
      </c>
      <c r="O201" s="1">
        <v>300</v>
      </c>
      <c r="P201" s="1">
        <v>250</v>
      </c>
      <c r="Q201" s="55">
        <f t="shared" si="45"/>
        <v>950</v>
      </c>
      <c r="R201" s="55">
        <f>+E201+I201+M201+Q201</f>
        <v>4315</v>
      </c>
      <c r="S201" s="4" t="s">
        <v>821</v>
      </c>
      <c r="T201" s="4" t="s">
        <v>822</v>
      </c>
    </row>
    <row r="202" spans="1:20" ht="15.75" customHeight="1" x14ac:dyDescent="0.3">
      <c r="A202" s="71" t="s">
        <v>700</v>
      </c>
      <c r="B202" s="1">
        <v>3</v>
      </c>
      <c r="C202" s="1">
        <v>2</v>
      </c>
      <c r="D202" s="1">
        <v>2</v>
      </c>
      <c r="E202" s="55">
        <f t="shared" si="53"/>
        <v>7</v>
      </c>
      <c r="F202" s="1">
        <v>3</v>
      </c>
      <c r="G202" s="1">
        <v>3</v>
      </c>
      <c r="H202" s="1">
        <v>4</v>
      </c>
      <c r="I202" s="55">
        <f t="shared" si="54"/>
        <v>10</v>
      </c>
      <c r="J202" s="1">
        <v>4</v>
      </c>
      <c r="K202" s="1">
        <v>4</v>
      </c>
      <c r="L202" s="1">
        <v>5</v>
      </c>
      <c r="M202" s="55">
        <f t="shared" si="55"/>
        <v>13</v>
      </c>
      <c r="N202" s="1">
        <v>3</v>
      </c>
      <c r="O202" s="1">
        <v>3</v>
      </c>
      <c r="P202" s="1">
        <v>4</v>
      </c>
      <c r="Q202" s="55">
        <f t="shared" si="45"/>
        <v>10</v>
      </c>
      <c r="R202" s="55">
        <f>+E202+I202+M202+Q202</f>
        <v>40</v>
      </c>
      <c r="S202" s="4">
        <f>SUM(R148:R202)</f>
        <v>300046</v>
      </c>
    </row>
    <row r="203" spans="1:20" ht="15.75" customHeight="1" x14ac:dyDescent="0.3">
      <c r="A203" s="71" t="s">
        <v>855</v>
      </c>
      <c r="B203" s="1"/>
      <c r="C203" s="1"/>
      <c r="D203" s="1"/>
      <c r="E203" s="55">
        <f t="shared" si="53"/>
        <v>0</v>
      </c>
      <c r="F203" s="1"/>
      <c r="G203" s="1"/>
      <c r="H203" s="1"/>
      <c r="I203" s="55">
        <f t="shared" si="54"/>
        <v>0</v>
      </c>
      <c r="J203" s="1"/>
      <c r="K203" s="1"/>
      <c r="L203" s="1"/>
      <c r="M203" s="55">
        <f t="shared" si="55"/>
        <v>0</v>
      </c>
      <c r="N203" s="1"/>
      <c r="O203" s="1"/>
      <c r="P203" s="1"/>
      <c r="Q203" s="55">
        <f t="shared" si="45"/>
        <v>0</v>
      </c>
      <c r="R203" s="55">
        <f>+E203+I203+M203+Q203</f>
        <v>0</v>
      </c>
      <c r="S203" s="465" t="s">
        <v>821</v>
      </c>
      <c r="T203" s="4" t="s">
        <v>822</v>
      </c>
    </row>
    <row r="204" spans="1:20" ht="15.75" customHeight="1" x14ac:dyDescent="0.3">
      <c r="A204" s="15" t="s">
        <v>50</v>
      </c>
      <c r="B204" s="1"/>
      <c r="C204" s="1"/>
      <c r="D204" s="1"/>
      <c r="E204" s="55" t="s">
        <v>7</v>
      </c>
      <c r="F204" s="1"/>
      <c r="G204" s="1"/>
      <c r="H204" s="1"/>
      <c r="I204" s="55" t="s">
        <v>7</v>
      </c>
      <c r="J204" s="1"/>
      <c r="K204" s="1"/>
      <c r="L204" s="1"/>
      <c r="M204" s="55" t="s">
        <v>7</v>
      </c>
      <c r="N204" s="1"/>
      <c r="O204" s="1"/>
      <c r="P204" s="1"/>
      <c r="Q204" s="55" t="s">
        <v>7</v>
      </c>
      <c r="R204" s="55" t="s">
        <v>7</v>
      </c>
    </row>
    <row r="205" spans="1:20" ht="15.75" customHeight="1" x14ac:dyDescent="0.3">
      <c r="A205" s="71" t="s">
        <v>701</v>
      </c>
      <c r="B205" s="1"/>
      <c r="C205" s="1"/>
      <c r="D205" s="1"/>
      <c r="E205" s="55">
        <f t="shared" ref="E205:E214" si="56">SUM(B205:D205)</f>
        <v>0</v>
      </c>
      <c r="F205" s="1"/>
      <c r="G205" s="1"/>
      <c r="H205" s="1"/>
      <c r="I205" s="55">
        <f t="shared" ref="I205:I214" si="57">SUM(F205:H205)</f>
        <v>0</v>
      </c>
      <c r="J205" s="1"/>
      <c r="K205" s="1"/>
      <c r="L205" s="1"/>
      <c r="M205" s="55">
        <f t="shared" ref="M205:M214" si="58">SUM(J205:L205)</f>
        <v>0</v>
      </c>
      <c r="N205" s="1"/>
      <c r="O205" s="1"/>
      <c r="P205" s="1"/>
      <c r="Q205" s="55">
        <f t="shared" ref="Q205:Q214" si="59">SUM(N205:P205)</f>
        <v>0</v>
      </c>
      <c r="R205" s="55">
        <f t="shared" ref="R205:R214" si="60">+E205+I205+M205+Q205</f>
        <v>0</v>
      </c>
    </row>
    <row r="206" spans="1:20" ht="15.75" customHeight="1" x14ac:dyDescent="0.3">
      <c r="A206" s="71" t="s">
        <v>127</v>
      </c>
      <c r="B206" s="1"/>
      <c r="C206" s="1"/>
      <c r="D206" s="1"/>
      <c r="E206" s="55">
        <f>SUM(B206:D206)</f>
        <v>0</v>
      </c>
      <c r="F206" s="1"/>
      <c r="G206" s="1"/>
      <c r="H206" s="1"/>
      <c r="I206" s="55">
        <f>SUM(F206:H206)</f>
        <v>0</v>
      </c>
      <c r="J206" s="1"/>
      <c r="K206" s="1"/>
      <c r="L206" s="1"/>
      <c r="M206" s="55">
        <f>SUM(J206:L206)</f>
        <v>0</v>
      </c>
      <c r="N206" s="1"/>
      <c r="O206" s="1"/>
      <c r="P206" s="1"/>
      <c r="Q206" s="55">
        <f>SUM(N206:P206)</f>
        <v>0</v>
      </c>
      <c r="R206" s="55">
        <f>+E206+I206+M206+Q206</f>
        <v>0</v>
      </c>
      <c r="T206" s="4" t="s">
        <v>406</v>
      </c>
    </row>
    <row r="207" spans="1:20" ht="15.75" customHeight="1" x14ac:dyDescent="0.3">
      <c r="A207" s="71" t="s">
        <v>128</v>
      </c>
      <c r="B207" s="1"/>
      <c r="C207" s="1"/>
      <c r="D207" s="1"/>
      <c r="E207" s="55">
        <f t="shared" si="56"/>
        <v>0</v>
      </c>
      <c r="F207" s="1"/>
      <c r="G207" s="1"/>
      <c r="H207" s="1"/>
      <c r="I207" s="55">
        <f t="shared" si="57"/>
        <v>0</v>
      </c>
      <c r="J207" s="1"/>
      <c r="K207" s="1"/>
      <c r="L207" s="1"/>
      <c r="M207" s="55">
        <f t="shared" si="58"/>
        <v>0</v>
      </c>
      <c r="N207" s="1"/>
      <c r="O207" s="1"/>
      <c r="P207" s="1"/>
      <c r="Q207" s="55">
        <f t="shared" si="59"/>
        <v>0</v>
      </c>
      <c r="R207" s="55">
        <f t="shared" si="60"/>
        <v>0</v>
      </c>
    </row>
    <row r="208" spans="1:20" ht="15.75" customHeight="1" x14ac:dyDescent="0.3">
      <c r="A208" s="71" t="s">
        <v>856</v>
      </c>
      <c r="B208" s="1"/>
      <c r="C208" s="1"/>
      <c r="D208" s="1"/>
      <c r="E208" s="55">
        <f t="shared" si="56"/>
        <v>0</v>
      </c>
      <c r="F208" s="1"/>
      <c r="G208" s="1"/>
      <c r="H208" s="1"/>
      <c r="I208" s="55">
        <f t="shared" si="57"/>
        <v>0</v>
      </c>
      <c r="J208" s="1"/>
      <c r="K208" s="1"/>
      <c r="L208" s="1"/>
      <c r="M208" s="55">
        <f t="shared" si="58"/>
        <v>0</v>
      </c>
      <c r="N208" s="1"/>
      <c r="O208" s="1"/>
      <c r="P208" s="1"/>
      <c r="Q208" s="55">
        <f t="shared" si="59"/>
        <v>0</v>
      </c>
      <c r="R208" s="55">
        <f t="shared" si="60"/>
        <v>0</v>
      </c>
      <c r="T208" s="4" t="s">
        <v>822</v>
      </c>
    </row>
    <row r="209" spans="1:20" ht="15.75" customHeight="1" x14ac:dyDescent="0.3">
      <c r="A209" s="71" t="s">
        <v>540</v>
      </c>
      <c r="B209" s="1"/>
      <c r="C209" s="1"/>
      <c r="D209" s="1"/>
      <c r="E209" s="55">
        <f t="shared" si="56"/>
        <v>0</v>
      </c>
      <c r="F209" s="1"/>
      <c r="G209" s="1"/>
      <c r="H209" s="1"/>
      <c r="I209" s="55">
        <f t="shared" si="57"/>
        <v>0</v>
      </c>
      <c r="J209" s="1"/>
      <c r="K209" s="1"/>
      <c r="L209" s="1"/>
      <c r="M209" s="55">
        <f t="shared" si="58"/>
        <v>0</v>
      </c>
      <c r="N209" s="1"/>
      <c r="O209" s="1"/>
      <c r="P209" s="1"/>
      <c r="Q209" s="55">
        <f t="shared" si="59"/>
        <v>0</v>
      </c>
      <c r="R209" s="55">
        <f t="shared" si="60"/>
        <v>0</v>
      </c>
    </row>
    <row r="210" spans="1:20" ht="15.75" customHeight="1" x14ac:dyDescent="0.3">
      <c r="A210" s="71" t="s">
        <v>132</v>
      </c>
      <c r="B210" s="1"/>
      <c r="C210" s="1"/>
      <c r="D210" s="1"/>
      <c r="E210" s="55">
        <f t="shared" si="56"/>
        <v>0</v>
      </c>
      <c r="F210" s="1"/>
      <c r="G210" s="1"/>
      <c r="H210" s="1"/>
      <c r="I210" s="55">
        <f t="shared" si="57"/>
        <v>0</v>
      </c>
      <c r="J210" s="1"/>
      <c r="K210" s="1"/>
      <c r="L210" s="1"/>
      <c r="M210" s="55">
        <f t="shared" si="58"/>
        <v>0</v>
      </c>
      <c r="N210" s="1"/>
      <c r="O210" s="1"/>
      <c r="P210" s="1"/>
      <c r="Q210" s="55">
        <f t="shared" si="59"/>
        <v>0</v>
      </c>
      <c r="R210" s="55">
        <f t="shared" si="60"/>
        <v>0</v>
      </c>
    </row>
    <row r="211" spans="1:20" ht="15.75" customHeight="1" x14ac:dyDescent="0.3">
      <c r="A211" s="84" t="s">
        <v>614</v>
      </c>
      <c r="B211" s="1"/>
      <c r="C211" s="1"/>
      <c r="D211" s="1"/>
      <c r="E211" s="55">
        <f t="shared" si="56"/>
        <v>0</v>
      </c>
      <c r="F211" s="1"/>
      <c r="G211" s="1"/>
      <c r="H211" s="1"/>
      <c r="I211" s="55">
        <f t="shared" si="57"/>
        <v>0</v>
      </c>
      <c r="J211" s="1"/>
      <c r="K211" s="1"/>
      <c r="L211" s="1"/>
      <c r="M211" s="55">
        <f t="shared" si="58"/>
        <v>0</v>
      </c>
      <c r="N211" s="1"/>
      <c r="O211" s="1"/>
      <c r="P211" s="1"/>
      <c r="Q211" s="55">
        <f t="shared" si="59"/>
        <v>0</v>
      </c>
      <c r="R211" s="55">
        <f t="shared" si="60"/>
        <v>0</v>
      </c>
      <c r="T211" s="4" t="s">
        <v>812</v>
      </c>
    </row>
    <row r="212" spans="1:20" ht="15.75" customHeight="1" x14ac:dyDescent="0.3">
      <c r="A212" s="71" t="s">
        <v>857</v>
      </c>
      <c r="B212" s="1"/>
      <c r="C212" s="1"/>
      <c r="D212" s="1"/>
      <c r="E212" s="55">
        <f t="shared" si="56"/>
        <v>0</v>
      </c>
      <c r="F212" s="1"/>
      <c r="G212" s="1"/>
      <c r="H212" s="1"/>
      <c r="I212" s="55">
        <f t="shared" si="57"/>
        <v>0</v>
      </c>
      <c r="J212" s="1"/>
      <c r="K212" s="1"/>
      <c r="L212" s="1"/>
      <c r="M212" s="55">
        <f t="shared" si="58"/>
        <v>0</v>
      </c>
      <c r="N212" s="1"/>
      <c r="O212" s="1"/>
      <c r="P212" s="1"/>
      <c r="Q212" s="55">
        <f t="shared" si="59"/>
        <v>0</v>
      </c>
      <c r="R212" s="55">
        <f t="shared" si="60"/>
        <v>0</v>
      </c>
      <c r="T212" s="4" t="s">
        <v>822</v>
      </c>
    </row>
    <row r="213" spans="1:20" ht="15.75" customHeight="1" x14ac:dyDescent="0.3">
      <c r="A213" s="71" t="s">
        <v>858</v>
      </c>
      <c r="B213" s="1"/>
      <c r="C213" s="1"/>
      <c r="D213" s="1"/>
      <c r="E213" s="55">
        <f t="shared" si="56"/>
        <v>0</v>
      </c>
      <c r="F213" s="1"/>
      <c r="G213" s="1"/>
      <c r="H213" s="1"/>
      <c r="I213" s="55">
        <f t="shared" si="57"/>
        <v>0</v>
      </c>
      <c r="J213" s="1"/>
      <c r="K213" s="1"/>
      <c r="L213" s="1"/>
      <c r="M213" s="55">
        <f t="shared" si="58"/>
        <v>0</v>
      </c>
      <c r="N213" s="1"/>
      <c r="O213" s="1"/>
      <c r="P213" s="1"/>
      <c r="Q213" s="55">
        <f t="shared" si="59"/>
        <v>0</v>
      </c>
      <c r="R213" s="55">
        <f t="shared" si="60"/>
        <v>0</v>
      </c>
      <c r="T213" s="4" t="s">
        <v>859</v>
      </c>
    </row>
    <row r="214" spans="1:20" ht="15.75" customHeight="1" x14ac:dyDescent="0.3">
      <c r="A214" s="84" t="s">
        <v>135</v>
      </c>
      <c r="B214" s="1"/>
      <c r="C214" s="1"/>
      <c r="D214" s="1"/>
      <c r="E214" s="55">
        <f t="shared" si="56"/>
        <v>0</v>
      </c>
      <c r="F214" s="1"/>
      <c r="G214" s="1"/>
      <c r="H214" s="1"/>
      <c r="I214" s="55">
        <f t="shared" si="57"/>
        <v>0</v>
      </c>
      <c r="J214" s="1"/>
      <c r="K214" s="1"/>
      <c r="L214" s="1"/>
      <c r="M214" s="55">
        <f t="shared" si="58"/>
        <v>0</v>
      </c>
      <c r="N214" s="1"/>
      <c r="O214" s="1"/>
      <c r="P214" s="1"/>
      <c r="Q214" s="55">
        <f t="shared" si="59"/>
        <v>0</v>
      </c>
      <c r="R214" s="55">
        <f t="shared" si="60"/>
        <v>0</v>
      </c>
    </row>
    <row r="215" spans="1:20" ht="15.75" customHeight="1" x14ac:dyDescent="0.3">
      <c r="A215" s="15" t="s">
        <v>1186</v>
      </c>
      <c r="B215" s="1"/>
      <c r="C215" s="1"/>
      <c r="D215" s="1"/>
      <c r="E215" s="55" t="s">
        <v>7</v>
      </c>
      <c r="F215" s="1"/>
      <c r="G215" s="1"/>
      <c r="H215" s="1"/>
      <c r="I215" s="55" t="s">
        <v>7</v>
      </c>
      <c r="J215" s="1"/>
      <c r="K215" s="1"/>
      <c r="L215" s="1"/>
      <c r="M215" s="55" t="s">
        <v>7</v>
      </c>
      <c r="N215" s="1"/>
      <c r="O215" s="1"/>
      <c r="P215" s="1"/>
      <c r="Q215" s="55" t="s">
        <v>7</v>
      </c>
      <c r="R215" s="55" t="s">
        <v>7</v>
      </c>
    </row>
    <row r="216" spans="1:20" ht="15.75" customHeight="1" x14ac:dyDescent="0.3">
      <c r="A216" s="85" t="s">
        <v>1276</v>
      </c>
      <c r="B216" s="1"/>
      <c r="C216" s="1"/>
      <c r="D216" s="1"/>
      <c r="E216" s="55">
        <f>SUM(B216:D216)</f>
        <v>0</v>
      </c>
      <c r="F216" s="1"/>
      <c r="G216" s="1"/>
      <c r="H216" s="1"/>
      <c r="I216" s="55">
        <f>SUM(F216:H216)</f>
        <v>0</v>
      </c>
      <c r="J216" s="1"/>
      <c r="K216" s="1"/>
      <c r="L216" s="1"/>
      <c r="M216" s="55">
        <f>SUM(J216:L216)</f>
        <v>0</v>
      </c>
      <c r="N216" s="1"/>
      <c r="O216" s="1"/>
      <c r="P216" s="1"/>
      <c r="Q216" s="55">
        <f>SUM(N216:P216)</f>
        <v>0</v>
      </c>
      <c r="R216" s="55">
        <f>+E216+I216+M216+Q216</f>
        <v>0</v>
      </c>
      <c r="S216" s="478" t="s">
        <v>1259</v>
      </c>
      <c r="T216" s="4" t="s">
        <v>818</v>
      </c>
    </row>
    <row r="217" spans="1:20" ht="15.75" customHeight="1" x14ac:dyDescent="0.3">
      <c r="A217" s="85" t="s">
        <v>1277</v>
      </c>
      <c r="B217" s="1"/>
      <c r="C217" s="1"/>
      <c r="D217" s="1"/>
      <c r="E217" s="55">
        <f>SUM(B217:D217)</f>
        <v>0</v>
      </c>
      <c r="F217" s="1"/>
      <c r="G217" s="1"/>
      <c r="H217" s="1"/>
      <c r="I217" s="55">
        <f>SUM(F217:H217)</f>
        <v>0</v>
      </c>
      <c r="J217" s="1"/>
      <c r="K217" s="1"/>
      <c r="L217" s="1"/>
      <c r="M217" s="55">
        <f>SUM(J217:L217)</f>
        <v>0</v>
      </c>
      <c r="N217" s="1"/>
      <c r="O217" s="1"/>
      <c r="P217" s="1"/>
      <c r="Q217" s="55">
        <f>SUM(N217:P217)</f>
        <v>0</v>
      </c>
      <c r="R217" s="55">
        <f>+E217+I217+M217+Q217</f>
        <v>0</v>
      </c>
      <c r="S217" s="478" t="s">
        <v>1259</v>
      </c>
      <c r="T217" s="4" t="s">
        <v>819</v>
      </c>
    </row>
    <row r="218" spans="1:20" ht="15.75" customHeight="1" x14ac:dyDescent="0.3">
      <c r="A218" s="61" t="s">
        <v>1278</v>
      </c>
      <c r="B218" s="1"/>
      <c r="C218" s="1"/>
      <c r="D218" s="1"/>
      <c r="E218" s="55">
        <f>SUM(B218:D218)</f>
        <v>0</v>
      </c>
      <c r="F218" s="1"/>
      <c r="G218" s="1"/>
      <c r="H218" s="1">
        <v>184</v>
      </c>
      <c r="I218" s="55">
        <f>SUM(F218:H218)</f>
        <v>184</v>
      </c>
      <c r="J218" s="1">
        <v>181</v>
      </c>
      <c r="K218" s="1">
        <v>192</v>
      </c>
      <c r="L218" s="1">
        <v>143</v>
      </c>
      <c r="M218" s="55">
        <f>SUM(J218:L218)</f>
        <v>516</v>
      </c>
      <c r="N218" s="1">
        <v>103</v>
      </c>
      <c r="O218" s="1">
        <v>47</v>
      </c>
      <c r="P218" s="1"/>
      <c r="Q218" s="55">
        <f>SUM(N218:P218)</f>
        <v>150</v>
      </c>
      <c r="R218" s="55">
        <f>+E218+I218+M218+Q218</f>
        <v>850</v>
      </c>
      <c r="S218" s="478" t="s">
        <v>1259</v>
      </c>
      <c r="T218" s="4" t="s">
        <v>862</v>
      </c>
    </row>
    <row r="219" spans="1:20" ht="15.75" customHeight="1" thickBot="1" x14ac:dyDescent="0.35">
      <c r="A219" s="15" t="s">
        <v>53</v>
      </c>
      <c r="B219" s="1"/>
      <c r="C219" s="1"/>
      <c r="D219" s="1"/>
      <c r="E219" s="55" t="s">
        <v>7</v>
      </c>
      <c r="F219" s="1"/>
      <c r="G219" s="1"/>
      <c r="H219" s="1"/>
      <c r="I219" s="55" t="s">
        <v>7</v>
      </c>
      <c r="J219" s="1"/>
      <c r="K219" s="1"/>
      <c r="L219" s="1"/>
      <c r="M219" s="55" t="s">
        <v>7</v>
      </c>
      <c r="N219" s="1"/>
      <c r="O219" s="1"/>
      <c r="P219" s="1"/>
      <c r="Q219" s="55" t="s">
        <v>7</v>
      </c>
      <c r="R219" s="55" t="s">
        <v>7</v>
      </c>
    </row>
    <row r="220" spans="1:20" ht="16.5" customHeight="1" thickBot="1" x14ac:dyDescent="0.35">
      <c r="A220" s="57" t="s">
        <v>54</v>
      </c>
      <c r="B220" s="86">
        <f>SUM(B146:B219)</f>
        <v>17957</v>
      </c>
      <c r="C220" s="87">
        <f>SUM(C146:C219)</f>
        <v>13836</v>
      </c>
      <c r="D220" s="87">
        <f>SUM(D146:D219)</f>
        <v>12261</v>
      </c>
      <c r="E220" s="59">
        <f>SUM(B220:D220)</f>
        <v>44054</v>
      </c>
      <c r="F220" s="87">
        <f>SUM(F146:F219)</f>
        <v>23216</v>
      </c>
      <c r="G220" s="87">
        <f t="shared" ref="G220:H220" si="61">SUM(G146:G219)</f>
        <v>30596</v>
      </c>
      <c r="H220" s="87">
        <f t="shared" si="61"/>
        <v>35690</v>
      </c>
      <c r="I220" s="59">
        <f>SUM(F220:H220)</f>
        <v>89502</v>
      </c>
      <c r="J220" s="87">
        <f>SUM(J146:J219)</f>
        <v>36791</v>
      </c>
      <c r="K220" s="87">
        <f>SUM(K146:K219)</f>
        <v>37411</v>
      </c>
      <c r="L220" s="87">
        <f>SUM(L146:L219)</f>
        <v>30838</v>
      </c>
      <c r="M220" s="59">
        <f>SUM(J220:L220)</f>
        <v>105040</v>
      </c>
      <c r="N220" s="87">
        <f>SUM(N146:N219)</f>
        <v>27888</v>
      </c>
      <c r="O220" s="87">
        <f>SUM(O146:O219)</f>
        <v>17258</v>
      </c>
      <c r="P220" s="87">
        <f>SUM(P146:P219)</f>
        <v>17154</v>
      </c>
      <c r="Q220" s="59">
        <f>SUM(N220:P220)</f>
        <v>62300</v>
      </c>
      <c r="R220" s="59">
        <f>+E220+I220+M220+Q220</f>
        <v>300896</v>
      </c>
    </row>
    <row r="221" spans="1:20" ht="15.75" customHeight="1" x14ac:dyDescent="0.3">
      <c r="A221" s="15" t="s">
        <v>55</v>
      </c>
      <c r="B221" s="1"/>
      <c r="C221" s="1"/>
      <c r="D221" s="1"/>
      <c r="E221" s="55" t="s">
        <v>7</v>
      </c>
      <c r="F221" s="1"/>
      <c r="G221" s="1"/>
      <c r="H221" s="1"/>
      <c r="I221" s="55" t="s">
        <v>7</v>
      </c>
      <c r="J221" s="1"/>
      <c r="K221" s="1"/>
      <c r="L221" s="1"/>
      <c r="M221" s="55" t="s">
        <v>7</v>
      </c>
      <c r="N221" s="1"/>
      <c r="O221" s="1"/>
      <c r="P221" s="1"/>
      <c r="Q221" s="55" t="s">
        <v>7</v>
      </c>
      <c r="R221" s="55" t="s">
        <v>7</v>
      </c>
    </row>
    <row r="222" spans="1:20" ht="15.75" customHeight="1" x14ac:dyDescent="0.3">
      <c r="A222" s="15" t="s">
        <v>56</v>
      </c>
      <c r="B222" s="1"/>
      <c r="C222" s="1"/>
      <c r="D222" s="1"/>
      <c r="E222" s="55" t="s">
        <v>7</v>
      </c>
      <c r="F222" s="1"/>
      <c r="G222" s="1"/>
      <c r="H222" s="1"/>
      <c r="I222" s="55" t="s">
        <v>7</v>
      </c>
      <c r="J222" s="1"/>
      <c r="K222" s="1"/>
      <c r="L222" s="1"/>
      <c r="M222" s="55" t="s">
        <v>7</v>
      </c>
      <c r="N222" s="1"/>
      <c r="O222" s="1"/>
      <c r="P222" s="1"/>
      <c r="Q222" s="55" t="s">
        <v>7</v>
      </c>
      <c r="R222" s="55" t="s">
        <v>7</v>
      </c>
    </row>
    <row r="223" spans="1:20" ht="15.75" customHeight="1" x14ac:dyDescent="0.3">
      <c r="A223" s="15" t="s">
        <v>57</v>
      </c>
      <c r="B223" s="1"/>
      <c r="C223" s="1"/>
      <c r="D223" s="1"/>
      <c r="E223" s="55" t="s">
        <v>7</v>
      </c>
      <c r="F223" s="1"/>
      <c r="G223" s="1"/>
      <c r="H223" s="1"/>
      <c r="I223" s="55" t="s">
        <v>7</v>
      </c>
      <c r="J223" s="1"/>
      <c r="K223" s="1"/>
      <c r="L223" s="1"/>
      <c r="M223" s="55" t="s">
        <v>7</v>
      </c>
      <c r="N223" s="1"/>
      <c r="O223" s="1"/>
      <c r="P223" s="1"/>
      <c r="Q223" s="55" t="s">
        <v>7</v>
      </c>
      <c r="R223" s="55" t="s">
        <v>7</v>
      </c>
    </row>
    <row r="224" spans="1:20" ht="15.75" customHeight="1" x14ac:dyDescent="0.3">
      <c r="A224" s="85" t="s">
        <v>616</v>
      </c>
      <c r="B224" s="1"/>
      <c r="C224" s="1"/>
      <c r="D224" s="1"/>
      <c r="E224" s="55">
        <f>SUM(B224:D224)</f>
        <v>0</v>
      </c>
      <c r="F224" s="1"/>
      <c r="G224" s="1"/>
      <c r="H224" s="1"/>
      <c r="I224" s="55">
        <f>SUM(F224:H224)</f>
        <v>0</v>
      </c>
      <c r="J224" s="1"/>
      <c r="K224" s="1"/>
      <c r="L224" s="1"/>
      <c r="M224" s="55">
        <f>SUM(J224:L224)</f>
        <v>0</v>
      </c>
      <c r="N224" s="1"/>
      <c r="O224" s="1"/>
      <c r="P224" s="1"/>
      <c r="Q224" s="55">
        <f>SUM(N224:P224)</f>
        <v>0</v>
      </c>
      <c r="R224" s="55">
        <f>+E224+I224+M224+Q224</f>
        <v>0</v>
      </c>
      <c r="T224" s="4" t="s">
        <v>812</v>
      </c>
    </row>
    <row r="225" spans="1:20" ht="15.75" customHeight="1" x14ac:dyDescent="0.3">
      <c r="A225" s="72" t="s">
        <v>863</v>
      </c>
      <c r="B225" s="1"/>
      <c r="C225" s="1"/>
      <c r="D225" s="1"/>
      <c r="E225" s="55">
        <f>SUM(B225:D225)</f>
        <v>0</v>
      </c>
      <c r="F225" s="1"/>
      <c r="G225" s="1"/>
      <c r="H225" s="1"/>
      <c r="I225" s="55">
        <f>SUM(F225:H225)</f>
        <v>0</v>
      </c>
      <c r="J225" s="1"/>
      <c r="K225" s="1"/>
      <c r="L225" s="1"/>
      <c r="M225" s="55">
        <f>SUM(J225:L225)</f>
        <v>0</v>
      </c>
      <c r="N225" s="1"/>
      <c r="O225" s="1"/>
      <c r="P225" s="1"/>
      <c r="Q225" s="55">
        <f>SUM(N225:P225)</f>
        <v>0</v>
      </c>
      <c r="R225" s="55">
        <f>+E225+I225+M225+Q225</f>
        <v>0</v>
      </c>
      <c r="S225" s="4" t="s">
        <v>821</v>
      </c>
      <c r="T225" s="4" t="s">
        <v>822</v>
      </c>
    </row>
    <row r="226" spans="1:20" ht="15.75" customHeight="1" thickBot="1" x14ac:dyDescent="0.35">
      <c r="A226" s="15" t="s">
        <v>58</v>
      </c>
      <c r="B226" s="1"/>
      <c r="C226" s="1"/>
      <c r="D226" s="1"/>
      <c r="E226" s="55" t="s">
        <v>7</v>
      </c>
      <c r="F226" s="1"/>
      <c r="G226" s="1"/>
      <c r="H226" s="1"/>
      <c r="I226" s="55" t="s">
        <v>7</v>
      </c>
      <c r="J226" s="1"/>
      <c r="K226" s="1"/>
      <c r="L226" s="1"/>
      <c r="M226" s="55" t="s">
        <v>7</v>
      </c>
      <c r="N226" s="1"/>
      <c r="O226" s="1"/>
      <c r="P226" s="1"/>
      <c r="Q226" s="55" t="s">
        <v>7</v>
      </c>
      <c r="R226" s="55" t="s">
        <v>7</v>
      </c>
    </row>
    <row r="227" spans="1:20" ht="16.5" customHeight="1" thickBot="1" x14ac:dyDescent="0.35">
      <c r="A227" s="57" t="s">
        <v>59</v>
      </c>
      <c r="B227" s="86">
        <f>SUM(B221:B226)</f>
        <v>0</v>
      </c>
      <c r="C227" s="87">
        <f>SUM(C221:C226)</f>
        <v>0</v>
      </c>
      <c r="D227" s="87">
        <f>SUM(D221:D226)</f>
        <v>0</v>
      </c>
      <c r="E227" s="59">
        <f>SUM(B227:D227)</f>
        <v>0</v>
      </c>
      <c r="F227" s="87"/>
      <c r="G227" s="87"/>
      <c r="H227" s="87"/>
      <c r="I227" s="59">
        <f>SUM(F227:H227)</f>
        <v>0</v>
      </c>
      <c r="J227" s="87">
        <f>SUM(J221:J226)</f>
        <v>0</v>
      </c>
      <c r="K227" s="87">
        <f>SUM(K221:K226)</f>
        <v>0</v>
      </c>
      <c r="L227" s="87">
        <f>SUM(L221:L226)</f>
        <v>0</v>
      </c>
      <c r="M227" s="59">
        <f>SUM(J227:L227)</f>
        <v>0</v>
      </c>
      <c r="N227" s="87">
        <f>SUM(N221:N226)</f>
        <v>0</v>
      </c>
      <c r="O227" s="87">
        <f>SUM(O221:O226)</f>
        <v>0</v>
      </c>
      <c r="P227" s="87">
        <f>SUM(P221:P226)</f>
        <v>0</v>
      </c>
      <c r="Q227" s="59">
        <f>SUM(N227:P227)</f>
        <v>0</v>
      </c>
      <c r="R227" s="59">
        <f>+E227+I227+M227+Q227</f>
        <v>0</v>
      </c>
    </row>
    <row r="228" spans="1:20" ht="15.75" customHeight="1" x14ac:dyDescent="0.3">
      <c r="A228" s="15" t="s">
        <v>60</v>
      </c>
      <c r="B228" s="1"/>
      <c r="C228" s="1"/>
      <c r="D228" s="1"/>
      <c r="E228" s="55" t="s">
        <v>7</v>
      </c>
      <c r="F228" s="1"/>
      <c r="G228" s="1"/>
      <c r="H228" s="1"/>
      <c r="I228" s="55" t="s">
        <v>7</v>
      </c>
      <c r="J228" s="1"/>
      <c r="K228" s="1"/>
      <c r="L228" s="1"/>
      <c r="M228" s="55" t="s">
        <v>7</v>
      </c>
      <c r="N228" s="1"/>
      <c r="O228" s="1"/>
      <c r="P228" s="1"/>
      <c r="Q228" s="55" t="s">
        <v>7</v>
      </c>
      <c r="R228" s="55" t="s">
        <v>7</v>
      </c>
    </row>
    <row r="229" spans="1:20" ht="15.75" customHeight="1" x14ac:dyDescent="0.3">
      <c r="A229" s="15" t="s">
        <v>61</v>
      </c>
      <c r="B229" s="1"/>
      <c r="C229" s="1"/>
      <c r="D229" s="1"/>
      <c r="E229" s="55" t="s">
        <v>7</v>
      </c>
      <c r="F229" s="1"/>
      <c r="G229" s="1"/>
      <c r="H229" s="1"/>
      <c r="I229" s="55" t="s">
        <v>7</v>
      </c>
      <c r="J229" s="1"/>
      <c r="K229" s="1"/>
      <c r="L229" s="1"/>
      <c r="M229" s="55" t="s">
        <v>7</v>
      </c>
      <c r="N229" s="1"/>
      <c r="O229" s="1"/>
      <c r="P229" s="1"/>
      <c r="Q229" s="55" t="s">
        <v>7</v>
      </c>
      <c r="R229" s="55" t="s">
        <v>7</v>
      </c>
    </row>
    <row r="230" spans="1:20" ht="15.75" customHeight="1" x14ac:dyDescent="0.3">
      <c r="A230" s="15" t="s">
        <v>62</v>
      </c>
      <c r="B230" s="1"/>
      <c r="C230" s="1"/>
      <c r="D230" s="1"/>
      <c r="E230" s="55" t="s">
        <v>7</v>
      </c>
      <c r="F230" s="1"/>
      <c r="G230" s="1"/>
      <c r="H230" s="1"/>
      <c r="I230" s="55" t="s">
        <v>7</v>
      </c>
      <c r="J230" s="1"/>
      <c r="K230" s="1"/>
      <c r="L230" s="1"/>
      <c r="M230" s="55" t="s">
        <v>7</v>
      </c>
      <c r="N230" s="1"/>
      <c r="O230" s="1"/>
      <c r="P230" s="1"/>
      <c r="Q230" s="55" t="s">
        <v>7</v>
      </c>
      <c r="R230" s="55" t="s">
        <v>7</v>
      </c>
    </row>
    <row r="231" spans="1:20" ht="15.75" customHeight="1" x14ac:dyDescent="0.3">
      <c r="A231" s="88" t="s">
        <v>142</v>
      </c>
      <c r="B231" s="1">
        <v>274</v>
      </c>
      <c r="C231" s="1">
        <v>262</v>
      </c>
      <c r="D231" s="1">
        <v>288</v>
      </c>
      <c r="E231" s="55">
        <f t="shared" ref="E231:E238" si="62">SUM(B231:D231)</f>
        <v>824</v>
      </c>
      <c r="F231" s="1">
        <v>349</v>
      </c>
      <c r="G231" s="1">
        <v>497</v>
      </c>
      <c r="H231" s="1">
        <v>575</v>
      </c>
      <c r="I231" s="55">
        <f t="shared" ref="I231:I238" si="63">SUM(F231:H231)</f>
        <v>1421</v>
      </c>
      <c r="J231" s="1">
        <v>583</v>
      </c>
      <c r="K231" s="1">
        <v>603</v>
      </c>
      <c r="L231" s="1">
        <v>493</v>
      </c>
      <c r="M231" s="55">
        <f t="shared" ref="M231:M238" si="64">SUM(J231:L231)</f>
        <v>1679</v>
      </c>
      <c r="N231" s="1">
        <v>540</v>
      </c>
      <c r="O231" s="1">
        <v>443</v>
      </c>
      <c r="P231" s="1">
        <v>401</v>
      </c>
      <c r="Q231" s="55">
        <f t="shared" ref="Q231:Q237" si="65">SUM(N231:P231)</f>
        <v>1384</v>
      </c>
      <c r="R231" s="55">
        <f t="shared" ref="R231:R299" si="66">+E231+I231+M231+Q231</f>
        <v>5308</v>
      </c>
      <c r="T231" s="4" t="s">
        <v>865</v>
      </c>
    </row>
    <row r="232" spans="1:20" ht="15.75" customHeight="1" x14ac:dyDescent="0.3">
      <c r="A232" s="88" t="s">
        <v>143</v>
      </c>
      <c r="B232" s="1"/>
      <c r="C232" s="1"/>
      <c r="D232" s="1">
        <v>357</v>
      </c>
      <c r="E232" s="55">
        <f t="shared" si="62"/>
        <v>357</v>
      </c>
      <c r="F232" s="1"/>
      <c r="G232" s="1"/>
      <c r="H232" s="1"/>
      <c r="I232" s="55">
        <f t="shared" si="63"/>
        <v>0</v>
      </c>
      <c r="J232" s="1"/>
      <c r="K232" s="1"/>
      <c r="L232" s="1"/>
      <c r="M232" s="55">
        <f t="shared" si="64"/>
        <v>0</v>
      </c>
      <c r="N232" s="1"/>
      <c r="O232" s="1"/>
      <c r="P232" s="1"/>
      <c r="Q232" s="55">
        <f t="shared" si="65"/>
        <v>0</v>
      </c>
      <c r="R232" s="55">
        <f t="shared" si="66"/>
        <v>357</v>
      </c>
      <c r="T232" s="4" t="s">
        <v>812</v>
      </c>
    </row>
    <row r="233" spans="1:20" ht="15.75" customHeight="1" x14ac:dyDescent="0.3">
      <c r="A233" s="72" t="s">
        <v>1194</v>
      </c>
      <c r="B233" s="1"/>
      <c r="C233" s="1"/>
      <c r="D233" s="1"/>
      <c r="E233" s="55">
        <f t="shared" si="62"/>
        <v>0</v>
      </c>
      <c r="F233" s="1"/>
      <c r="G233" s="1"/>
      <c r="H233" s="1"/>
      <c r="I233" s="55">
        <f t="shared" si="63"/>
        <v>0</v>
      </c>
      <c r="J233" s="1"/>
      <c r="K233" s="1"/>
      <c r="L233" s="1"/>
      <c r="M233" s="55">
        <f t="shared" si="64"/>
        <v>0</v>
      </c>
      <c r="N233" s="1"/>
      <c r="O233" s="1"/>
      <c r="P233" s="1"/>
      <c r="Q233" s="55">
        <f t="shared" si="65"/>
        <v>0</v>
      </c>
      <c r="R233" s="55">
        <f t="shared" si="66"/>
        <v>0</v>
      </c>
    </row>
    <row r="234" spans="1:20" ht="15.75" customHeight="1" x14ac:dyDescent="0.3">
      <c r="A234" s="88" t="s">
        <v>1279</v>
      </c>
      <c r="B234" s="1">
        <v>2</v>
      </c>
      <c r="C234" s="1">
        <v>1</v>
      </c>
      <c r="D234" s="1"/>
      <c r="E234" s="55">
        <f t="shared" si="62"/>
        <v>3</v>
      </c>
      <c r="F234" s="1">
        <v>15</v>
      </c>
      <c r="G234" s="1">
        <v>46</v>
      </c>
      <c r="H234" s="1">
        <v>58</v>
      </c>
      <c r="I234" s="55">
        <f t="shared" si="63"/>
        <v>119</v>
      </c>
      <c r="J234" s="1">
        <v>66</v>
      </c>
      <c r="K234" s="1">
        <f>59+57</f>
        <v>116</v>
      </c>
      <c r="L234" s="1">
        <f>50+40</f>
        <v>90</v>
      </c>
      <c r="M234" s="55">
        <f t="shared" si="64"/>
        <v>272</v>
      </c>
      <c r="N234" s="1">
        <f>38+42</f>
        <v>80</v>
      </c>
      <c r="O234" s="1">
        <f>25+6</f>
        <v>31</v>
      </c>
      <c r="P234" s="1">
        <f>15+10</f>
        <v>25</v>
      </c>
      <c r="Q234" s="55">
        <f t="shared" si="65"/>
        <v>136</v>
      </c>
      <c r="R234" s="55">
        <f t="shared" si="66"/>
        <v>530</v>
      </c>
      <c r="T234" s="4" t="s">
        <v>406</v>
      </c>
    </row>
    <row r="235" spans="1:20" ht="15.75" customHeight="1" x14ac:dyDescent="0.3">
      <c r="A235" s="88" t="s">
        <v>866</v>
      </c>
      <c r="B235" s="1"/>
      <c r="C235" s="1"/>
      <c r="D235" s="1"/>
      <c r="E235" s="55">
        <f t="shared" si="62"/>
        <v>0</v>
      </c>
      <c r="F235" s="1"/>
      <c r="G235" s="1"/>
      <c r="H235" s="1"/>
      <c r="I235" s="55">
        <f t="shared" si="63"/>
        <v>0</v>
      </c>
      <c r="J235" s="1"/>
      <c r="K235" s="1"/>
      <c r="L235" s="1"/>
      <c r="M235" s="55">
        <f t="shared" si="64"/>
        <v>0</v>
      </c>
      <c r="N235" s="1"/>
      <c r="O235" s="1"/>
      <c r="P235" s="1"/>
      <c r="Q235" s="55">
        <f t="shared" si="65"/>
        <v>0</v>
      </c>
      <c r="R235" s="55">
        <f>+E235+I235+M235+Q235</f>
        <v>0</v>
      </c>
      <c r="T235" s="4" t="s">
        <v>819</v>
      </c>
    </row>
    <row r="236" spans="1:20" ht="15.75" customHeight="1" x14ac:dyDescent="0.3">
      <c r="A236" s="88" t="s">
        <v>864</v>
      </c>
      <c r="B236" s="1"/>
      <c r="C236" s="1"/>
      <c r="D236" s="1"/>
      <c r="E236" s="55">
        <f t="shared" si="62"/>
        <v>0</v>
      </c>
      <c r="F236" s="1"/>
      <c r="G236" s="1"/>
      <c r="H236" s="1"/>
      <c r="I236" s="55">
        <f t="shared" si="63"/>
        <v>0</v>
      </c>
      <c r="J236" s="1"/>
      <c r="K236" s="1"/>
      <c r="L236" s="1"/>
      <c r="M236" s="55">
        <f t="shared" si="64"/>
        <v>0</v>
      </c>
      <c r="N236" s="1"/>
      <c r="O236" s="1"/>
      <c r="P236" s="1"/>
      <c r="Q236" s="55">
        <f t="shared" si="65"/>
        <v>0</v>
      </c>
      <c r="R236" s="55">
        <f>+E236+I236+M236+Q236</f>
        <v>0</v>
      </c>
      <c r="T236" s="4" t="s">
        <v>819</v>
      </c>
    </row>
    <row r="237" spans="1:20" ht="15.75" customHeight="1" x14ac:dyDescent="0.3">
      <c r="A237" s="72" t="s">
        <v>867</v>
      </c>
      <c r="B237" s="1"/>
      <c r="C237" s="1"/>
      <c r="D237" s="1"/>
      <c r="E237" s="55">
        <f t="shared" si="62"/>
        <v>0</v>
      </c>
      <c r="F237" s="1"/>
      <c r="G237" s="1"/>
      <c r="H237" s="1"/>
      <c r="I237" s="55">
        <f t="shared" si="63"/>
        <v>0</v>
      </c>
      <c r="J237" s="1"/>
      <c r="K237" s="1"/>
      <c r="L237" s="1"/>
      <c r="M237" s="55">
        <f t="shared" si="64"/>
        <v>0</v>
      </c>
      <c r="N237" s="1"/>
      <c r="O237" s="1"/>
      <c r="P237" s="1"/>
      <c r="Q237" s="55">
        <f t="shared" si="65"/>
        <v>0</v>
      </c>
      <c r="R237" s="55">
        <f>+E237+I237+M237+Q237</f>
        <v>0</v>
      </c>
      <c r="S237" s="465"/>
      <c r="T237" s="4" t="s">
        <v>822</v>
      </c>
    </row>
    <row r="238" spans="1:20" ht="15.75" customHeight="1" x14ac:dyDescent="0.3">
      <c r="A238" s="72" t="s">
        <v>1354</v>
      </c>
      <c r="B238" s="1"/>
      <c r="C238" s="1"/>
      <c r="D238" s="1"/>
      <c r="E238" s="55">
        <f t="shared" si="62"/>
        <v>0</v>
      </c>
      <c r="F238" s="1">
        <v>56</v>
      </c>
      <c r="G238" s="1"/>
      <c r="H238" s="1"/>
      <c r="I238" s="55">
        <f t="shared" si="63"/>
        <v>56</v>
      </c>
      <c r="J238" s="1"/>
      <c r="K238" s="1"/>
      <c r="L238" s="1"/>
      <c r="M238" s="55">
        <f t="shared" si="64"/>
        <v>0</v>
      </c>
      <c r="N238" s="1"/>
      <c r="O238" s="1"/>
      <c r="P238" s="1"/>
      <c r="Q238" s="55">
        <f t="shared" ref="Q238" si="67">SUM(N238:P238)</f>
        <v>0</v>
      </c>
      <c r="R238" s="55">
        <f>+E238+I238+M238+Q238</f>
        <v>56</v>
      </c>
      <c r="S238" s="465"/>
    </row>
    <row r="239" spans="1:20" ht="15.75" customHeight="1" x14ac:dyDescent="0.3">
      <c r="A239" s="72" t="s">
        <v>868</v>
      </c>
      <c r="B239" s="1">
        <v>800</v>
      </c>
      <c r="C239" s="1"/>
      <c r="D239" s="1"/>
      <c r="E239" s="55">
        <f>SUM(B239:D239)</f>
        <v>800</v>
      </c>
      <c r="F239" s="1"/>
      <c r="G239" s="1"/>
      <c r="H239" s="1"/>
      <c r="I239" s="55">
        <f t="shared" ref="I239:I297" si="68">SUM(F239:H239)</f>
        <v>0</v>
      </c>
      <c r="J239" s="1"/>
      <c r="K239" s="1"/>
      <c r="L239" s="1"/>
      <c r="M239" s="55">
        <f t="shared" ref="M239:M297" si="69">SUM(J239:L239)</f>
        <v>0</v>
      </c>
      <c r="N239" s="1"/>
      <c r="O239" s="1"/>
      <c r="P239" s="1"/>
      <c r="Q239" s="55">
        <f t="shared" ref="Q239:Q297" si="70">SUM(N239:P239)</f>
        <v>0</v>
      </c>
      <c r="R239" s="55">
        <f t="shared" si="66"/>
        <v>800</v>
      </c>
      <c r="S239" s="4" t="s">
        <v>821</v>
      </c>
    </row>
    <row r="240" spans="1:20" ht="15.75" customHeight="1" x14ac:dyDescent="0.3">
      <c r="A240" s="359" t="s">
        <v>1119</v>
      </c>
      <c r="B240" s="1"/>
      <c r="C240" s="1"/>
      <c r="D240" s="1"/>
      <c r="E240" s="55">
        <f t="shared" ref="E240" si="71">SUM(B240:D240)</f>
        <v>0</v>
      </c>
      <c r="F240" s="1"/>
      <c r="G240" s="1"/>
      <c r="H240" s="1"/>
      <c r="I240" s="55">
        <f t="shared" si="68"/>
        <v>0</v>
      </c>
      <c r="J240" s="1"/>
      <c r="K240" s="1"/>
      <c r="L240" s="1"/>
      <c r="M240" s="55">
        <f t="shared" si="69"/>
        <v>0</v>
      </c>
      <c r="N240" s="1"/>
      <c r="O240" s="1"/>
      <c r="P240" s="1"/>
      <c r="Q240" s="55">
        <f t="shared" si="70"/>
        <v>0</v>
      </c>
      <c r="R240" s="55">
        <f>+E240+I240+M240+Q240</f>
        <v>0</v>
      </c>
      <c r="T240" s="4" t="s">
        <v>919</v>
      </c>
    </row>
    <row r="241" spans="1:20" ht="15.75" customHeight="1" x14ac:dyDescent="0.3">
      <c r="A241" s="72" t="s">
        <v>148</v>
      </c>
      <c r="B241" s="1">
        <v>682</v>
      </c>
      <c r="C241" s="1"/>
      <c r="D241" s="1"/>
      <c r="E241" s="55">
        <f>SUM(B241:D241)</f>
        <v>682</v>
      </c>
      <c r="F241" s="1"/>
      <c r="G241" s="1"/>
      <c r="H241" s="1"/>
      <c r="I241" s="55">
        <f>SUM(F241:H241)</f>
        <v>0</v>
      </c>
      <c r="J241" s="1"/>
      <c r="K241" s="1"/>
      <c r="L241" s="1"/>
      <c r="M241" s="55">
        <f>SUM(J241:L241)</f>
        <v>0</v>
      </c>
      <c r="N241" s="1"/>
      <c r="O241" s="1"/>
      <c r="P241" s="1"/>
      <c r="Q241" s="55">
        <f>SUM(N241:P241)</f>
        <v>0</v>
      </c>
      <c r="R241" s="55">
        <f t="shared" si="66"/>
        <v>682</v>
      </c>
      <c r="T241" s="4" t="s">
        <v>832</v>
      </c>
    </row>
    <row r="242" spans="1:20" ht="15.75" customHeight="1" x14ac:dyDescent="0.3">
      <c r="A242" s="88" t="s">
        <v>1280</v>
      </c>
      <c r="B242" s="1"/>
      <c r="C242" s="1"/>
      <c r="D242" s="1"/>
      <c r="E242" s="55">
        <f>SUM(B242:D242)</f>
        <v>0</v>
      </c>
      <c r="F242" s="1"/>
      <c r="G242" s="1"/>
      <c r="H242" s="1"/>
      <c r="I242" s="55">
        <f>SUM(F242:H242)</f>
        <v>0</v>
      </c>
      <c r="J242" s="1"/>
      <c r="K242" s="1"/>
      <c r="L242" s="1"/>
      <c r="M242" s="55">
        <f>SUM(J242:L242)</f>
        <v>0</v>
      </c>
      <c r="N242" s="1"/>
      <c r="O242" s="1"/>
      <c r="P242" s="1"/>
      <c r="Q242" s="55">
        <f>SUM(N242:P242)</f>
        <v>0</v>
      </c>
      <c r="R242" s="55">
        <f t="shared" si="66"/>
        <v>0</v>
      </c>
    </row>
    <row r="243" spans="1:20" ht="15.75" customHeight="1" x14ac:dyDescent="0.3">
      <c r="A243" s="72" t="s">
        <v>150</v>
      </c>
      <c r="B243" s="1"/>
      <c r="C243" s="1"/>
      <c r="D243" s="1"/>
      <c r="E243" s="55">
        <f t="shared" ref="E243:E285" si="72">SUM(B243:D243)</f>
        <v>0</v>
      </c>
      <c r="F243" s="1"/>
      <c r="G243" s="1"/>
      <c r="H243" s="1"/>
      <c r="I243" s="55">
        <f t="shared" si="68"/>
        <v>0</v>
      </c>
      <c r="J243" s="1"/>
      <c r="K243" s="1"/>
      <c r="L243" s="1"/>
      <c r="M243" s="55">
        <f t="shared" si="69"/>
        <v>0</v>
      </c>
      <c r="N243" s="1"/>
      <c r="O243" s="1"/>
      <c r="P243" s="1"/>
      <c r="Q243" s="55">
        <f t="shared" si="70"/>
        <v>0</v>
      </c>
      <c r="R243" s="55">
        <f t="shared" si="66"/>
        <v>0</v>
      </c>
    </row>
    <row r="244" spans="1:20" ht="15.75" customHeight="1" x14ac:dyDescent="0.3">
      <c r="A244" s="72" t="s">
        <v>151</v>
      </c>
      <c r="B244" s="1">
        <v>23</v>
      </c>
      <c r="C244" s="1"/>
      <c r="D244" s="1"/>
      <c r="E244" s="55">
        <f t="shared" si="72"/>
        <v>23</v>
      </c>
      <c r="F244" s="1"/>
      <c r="G244" s="1"/>
      <c r="H244" s="1"/>
      <c r="I244" s="55">
        <f t="shared" si="68"/>
        <v>0</v>
      </c>
      <c r="J244" s="1"/>
      <c r="K244" s="1"/>
      <c r="L244" s="1"/>
      <c r="M244" s="55">
        <f t="shared" si="69"/>
        <v>0</v>
      </c>
      <c r="N244" s="1"/>
      <c r="O244" s="1"/>
      <c r="P244" s="1"/>
      <c r="Q244" s="55">
        <f t="shared" si="70"/>
        <v>0</v>
      </c>
      <c r="R244" s="55">
        <f t="shared" si="66"/>
        <v>23</v>
      </c>
    </row>
    <row r="245" spans="1:20" ht="15.75" customHeight="1" x14ac:dyDescent="0.3">
      <c r="A245" s="72" t="s">
        <v>870</v>
      </c>
      <c r="B245" s="1">
        <v>23</v>
      </c>
      <c r="C245" s="1"/>
      <c r="D245" s="1"/>
      <c r="E245" s="55">
        <f t="shared" si="72"/>
        <v>23</v>
      </c>
      <c r="F245" s="1"/>
      <c r="G245" s="1"/>
      <c r="H245" s="1"/>
      <c r="I245" s="55">
        <f t="shared" si="68"/>
        <v>0</v>
      </c>
      <c r="J245" s="1"/>
      <c r="K245" s="1"/>
      <c r="L245" s="1"/>
      <c r="M245" s="55">
        <f t="shared" si="69"/>
        <v>0</v>
      </c>
      <c r="N245" s="1"/>
      <c r="O245" s="1"/>
      <c r="P245" s="1"/>
      <c r="Q245" s="55">
        <f t="shared" si="70"/>
        <v>0</v>
      </c>
      <c r="R245" s="55">
        <f t="shared" si="66"/>
        <v>23</v>
      </c>
      <c r="S245" s="4" t="s">
        <v>821</v>
      </c>
      <c r="T245" s="4" t="s">
        <v>822</v>
      </c>
    </row>
    <row r="246" spans="1:20" ht="15.75" customHeight="1" x14ac:dyDescent="0.3">
      <c r="A246" s="72" t="s">
        <v>1195</v>
      </c>
      <c r="B246" s="1"/>
      <c r="C246" s="1"/>
      <c r="D246" s="1"/>
      <c r="E246" s="55">
        <f t="shared" si="72"/>
        <v>0</v>
      </c>
      <c r="F246" s="1"/>
      <c r="G246" s="1"/>
      <c r="H246" s="1"/>
      <c r="I246" s="55">
        <f t="shared" si="68"/>
        <v>0</v>
      </c>
      <c r="J246" s="1"/>
      <c r="K246" s="1"/>
      <c r="L246" s="1"/>
      <c r="M246" s="55">
        <f t="shared" si="69"/>
        <v>0</v>
      </c>
      <c r="N246" s="1"/>
      <c r="O246" s="1"/>
      <c r="P246" s="1"/>
      <c r="Q246" s="55">
        <f t="shared" si="70"/>
        <v>0</v>
      </c>
      <c r="R246" s="55">
        <f t="shared" si="66"/>
        <v>0</v>
      </c>
      <c r="S246" s="4" t="s">
        <v>821</v>
      </c>
      <c r="T246" s="4" t="s">
        <v>822</v>
      </c>
    </row>
    <row r="247" spans="1:20" ht="15.75" customHeight="1" x14ac:dyDescent="0.3">
      <c r="A247" s="72" t="s">
        <v>1196</v>
      </c>
      <c r="B247" s="1"/>
      <c r="C247" s="1"/>
      <c r="D247" s="1"/>
      <c r="E247" s="55">
        <f t="shared" si="72"/>
        <v>0</v>
      </c>
      <c r="F247" s="1"/>
      <c r="G247" s="1"/>
      <c r="H247" s="1"/>
      <c r="I247" s="55">
        <f t="shared" si="68"/>
        <v>0</v>
      </c>
      <c r="J247" s="1"/>
      <c r="K247" s="1"/>
      <c r="L247" s="1"/>
      <c r="M247" s="55">
        <f t="shared" si="69"/>
        <v>0</v>
      </c>
      <c r="N247" s="1"/>
      <c r="O247" s="1"/>
      <c r="P247" s="1">
        <v>263</v>
      </c>
      <c r="Q247" s="55">
        <f t="shared" si="70"/>
        <v>263</v>
      </c>
      <c r="R247" s="55">
        <f t="shared" si="66"/>
        <v>263</v>
      </c>
    </row>
    <row r="248" spans="1:20" ht="15.75" customHeight="1" x14ac:dyDescent="0.3">
      <c r="A248" s="72" t="s">
        <v>1197</v>
      </c>
      <c r="B248" s="1"/>
      <c r="C248" s="1"/>
      <c r="D248" s="1"/>
      <c r="E248" s="55">
        <f t="shared" si="72"/>
        <v>0</v>
      </c>
      <c r="F248" s="1"/>
      <c r="H248" s="1"/>
      <c r="I248" s="55">
        <f t="shared" si="68"/>
        <v>0</v>
      </c>
      <c r="J248" s="1"/>
      <c r="K248" s="1"/>
      <c r="L248" s="1"/>
      <c r="M248" s="55">
        <f t="shared" si="69"/>
        <v>0</v>
      </c>
      <c r="N248" s="1"/>
      <c r="O248" s="1">
        <v>3690</v>
      </c>
      <c r="P248" s="1"/>
      <c r="Q248" s="55">
        <f t="shared" si="70"/>
        <v>3690</v>
      </c>
      <c r="R248" s="55">
        <f t="shared" si="66"/>
        <v>3690</v>
      </c>
    </row>
    <row r="249" spans="1:20" ht="15.75" customHeight="1" x14ac:dyDescent="0.3">
      <c r="A249" s="88" t="s">
        <v>872</v>
      </c>
      <c r="B249" s="1"/>
      <c r="C249" s="1"/>
      <c r="D249" s="1"/>
      <c r="E249" s="55">
        <f t="shared" si="72"/>
        <v>0</v>
      </c>
      <c r="F249" s="1"/>
      <c r="G249" s="1"/>
      <c r="H249" s="1"/>
      <c r="I249" s="55">
        <f t="shared" si="68"/>
        <v>0</v>
      </c>
      <c r="J249" s="1"/>
      <c r="K249" s="1"/>
      <c r="L249" s="1"/>
      <c r="M249" s="55">
        <f t="shared" si="69"/>
        <v>0</v>
      </c>
      <c r="N249" s="1"/>
      <c r="O249" s="1"/>
      <c r="P249" s="1"/>
      <c r="Q249" s="55">
        <f t="shared" si="70"/>
        <v>0</v>
      </c>
      <c r="R249" s="55">
        <f t="shared" si="66"/>
        <v>0</v>
      </c>
      <c r="T249" s="4" t="s">
        <v>812</v>
      </c>
    </row>
    <row r="250" spans="1:20" ht="15.75" customHeight="1" x14ac:dyDescent="0.3">
      <c r="A250" s="72" t="s">
        <v>873</v>
      </c>
      <c r="B250" s="1"/>
      <c r="C250" s="1"/>
      <c r="D250" s="1"/>
      <c r="E250" s="55">
        <f t="shared" si="72"/>
        <v>0</v>
      </c>
      <c r="F250" s="1"/>
      <c r="G250" s="1"/>
      <c r="H250" s="1"/>
      <c r="I250" s="55">
        <f t="shared" si="68"/>
        <v>0</v>
      </c>
      <c r="J250" s="1"/>
      <c r="K250" s="1"/>
      <c r="L250" s="1"/>
      <c r="M250" s="55">
        <f t="shared" si="69"/>
        <v>0</v>
      </c>
      <c r="N250" s="1"/>
      <c r="O250" s="1"/>
      <c r="P250" s="1"/>
      <c r="Q250" s="55">
        <f>SUM(N250:P250)</f>
        <v>0</v>
      </c>
      <c r="R250" s="55">
        <f>+E250+I250+M250+Q250</f>
        <v>0</v>
      </c>
      <c r="S250" s="465"/>
      <c r="T250" s="4" t="s">
        <v>822</v>
      </c>
    </row>
    <row r="251" spans="1:20" ht="15.75" customHeight="1" x14ac:dyDescent="0.3">
      <c r="A251" s="88" t="s">
        <v>874</v>
      </c>
      <c r="B251" s="1"/>
      <c r="C251" s="1"/>
      <c r="D251" s="1">
        <v>2949</v>
      </c>
      <c r="E251" s="55">
        <f>SUM(B251:D251)</f>
        <v>2949</v>
      </c>
      <c r="F251" s="1">
        <v>351</v>
      </c>
      <c r="G251" s="1"/>
      <c r="H251" s="1"/>
      <c r="I251" s="55">
        <f t="shared" si="68"/>
        <v>351</v>
      </c>
      <c r="J251" s="1"/>
      <c r="K251" s="1"/>
      <c r="L251" s="1"/>
      <c r="M251" s="55">
        <f t="shared" si="69"/>
        <v>0</v>
      </c>
      <c r="N251" s="1"/>
      <c r="O251" s="1"/>
      <c r="P251" s="1"/>
      <c r="Q251" s="55">
        <f t="shared" si="70"/>
        <v>0</v>
      </c>
      <c r="R251" s="55">
        <f t="shared" si="66"/>
        <v>3300</v>
      </c>
    </row>
    <row r="252" spans="1:20" ht="15.75" customHeight="1" x14ac:dyDescent="0.3">
      <c r="A252" s="88" t="s">
        <v>875</v>
      </c>
      <c r="B252" s="1"/>
      <c r="C252" s="1"/>
      <c r="D252" s="1"/>
      <c r="E252" s="55">
        <f t="shared" si="72"/>
        <v>0</v>
      </c>
      <c r="F252" s="1"/>
      <c r="G252" s="1"/>
      <c r="H252" s="1"/>
      <c r="I252" s="55">
        <f t="shared" si="68"/>
        <v>0</v>
      </c>
      <c r="J252" s="1"/>
      <c r="K252" s="1"/>
      <c r="L252" s="1"/>
      <c r="M252" s="55">
        <f t="shared" si="69"/>
        <v>0</v>
      </c>
      <c r="N252" s="1"/>
      <c r="O252" s="1"/>
      <c r="P252" s="1"/>
      <c r="Q252" s="55">
        <f t="shared" si="70"/>
        <v>0</v>
      </c>
      <c r="R252" s="55">
        <f t="shared" si="66"/>
        <v>0</v>
      </c>
    </row>
    <row r="253" spans="1:20" ht="15.75" customHeight="1" x14ac:dyDescent="0.3">
      <c r="A253" s="72" t="s">
        <v>1388</v>
      </c>
      <c r="B253" s="1"/>
      <c r="C253" s="1"/>
      <c r="D253" s="1"/>
      <c r="E253" s="55">
        <f t="shared" si="72"/>
        <v>0</v>
      </c>
      <c r="F253" s="1"/>
      <c r="G253" s="1"/>
      <c r="H253" s="1"/>
      <c r="I253" s="55">
        <f t="shared" si="68"/>
        <v>0</v>
      </c>
      <c r="J253" s="1">
        <v>1323</v>
      </c>
      <c r="K253" s="1">
        <v>1343</v>
      </c>
      <c r="L253" s="1">
        <v>1034</v>
      </c>
      <c r="M253" s="55">
        <f t="shared" si="69"/>
        <v>3700</v>
      </c>
      <c r="N253" s="1"/>
      <c r="O253" s="1"/>
      <c r="P253" s="1"/>
      <c r="Q253" s="55">
        <f t="shared" ref="Q253" si="73">SUM(N253:P253)</f>
        <v>0</v>
      </c>
      <c r="R253" s="55">
        <f t="shared" si="66"/>
        <v>3700</v>
      </c>
    </row>
    <row r="254" spans="1:20" ht="15.75" customHeight="1" x14ac:dyDescent="0.3">
      <c r="A254" s="88" t="s">
        <v>876</v>
      </c>
      <c r="B254" s="1"/>
      <c r="C254" s="1">
        <f>606+136</f>
        <v>742</v>
      </c>
      <c r="D254" s="1"/>
      <c r="E254" s="55">
        <f t="shared" ref="E254:E255" si="74">SUM(B254:D254)</f>
        <v>742</v>
      </c>
      <c r="F254" s="1"/>
      <c r="G254" s="1"/>
      <c r="H254" s="1"/>
      <c r="I254" s="55">
        <f t="shared" si="68"/>
        <v>0</v>
      </c>
      <c r="J254" s="1"/>
      <c r="K254" s="1"/>
      <c r="L254" s="1"/>
      <c r="M254" s="55">
        <f t="shared" si="69"/>
        <v>0</v>
      </c>
      <c r="N254" s="1"/>
      <c r="O254" s="1">
        <v>670</v>
      </c>
      <c r="P254" s="1">
        <v>1324</v>
      </c>
      <c r="Q254" s="55">
        <f t="shared" si="70"/>
        <v>1994</v>
      </c>
      <c r="R254" s="55">
        <f t="shared" si="66"/>
        <v>2736</v>
      </c>
    </row>
    <row r="255" spans="1:20" ht="15.75" customHeight="1" x14ac:dyDescent="0.3">
      <c r="A255" s="88" t="s">
        <v>877</v>
      </c>
      <c r="B255" s="1"/>
      <c r="C255" s="1"/>
      <c r="D255" s="1"/>
      <c r="E255" s="55">
        <f t="shared" si="74"/>
        <v>0</v>
      </c>
      <c r="F255" s="1"/>
      <c r="G255" s="1"/>
      <c r="H255" s="1"/>
      <c r="I255" s="55">
        <f t="shared" si="68"/>
        <v>0</v>
      </c>
      <c r="J255" s="1"/>
      <c r="K255" s="1"/>
      <c r="L255" s="1"/>
      <c r="M255" s="55">
        <f t="shared" si="69"/>
        <v>0</v>
      </c>
      <c r="N255" s="1"/>
      <c r="O255" s="1"/>
      <c r="P255" s="1"/>
      <c r="Q255" s="55">
        <f t="shared" si="70"/>
        <v>0</v>
      </c>
      <c r="R255" s="55">
        <f t="shared" si="66"/>
        <v>0</v>
      </c>
    </row>
    <row r="256" spans="1:20" ht="15.75" customHeight="1" x14ac:dyDescent="0.3">
      <c r="A256" s="72" t="s">
        <v>878</v>
      </c>
      <c r="B256" s="1">
        <v>794</v>
      </c>
      <c r="C256" s="1">
        <v>745</v>
      </c>
      <c r="D256" s="1">
        <v>747</v>
      </c>
      <c r="E256" s="55">
        <f>SUM(B256:D256)</f>
        <v>2286</v>
      </c>
      <c r="F256" s="1">
        <v>827</v>
      </c>
      <c r="G256" s="1">
        <v>1051</v>
      </c>
      <c r="H256" s="1">
        <v>100</v>
      </c>
      <c r="I256" s="55">
        <f t="shared" ref="I256" si="75">SUM(F256:H256)</f>
        <v>1978</v>
      </c>
      <c r="J256" s="1"/>
      <c r="K256" s="1"/>
      <c r="L256" s="1"/>
      <c r="M256" s="55">
        <f t="shared" si="69"/>
        <v>0</v>
      </c>
      <c r="N256" s="1"/>
      <c r="O256" s="1"/>
      <c r="P256" s="1"/>
      <c r="Q256" s="55">
        <f t="shared" si="70"/>
        <v>0</v>
      </c>
      <c r="R256" s="55">
        <f t="shared" si="66"/>
        <v>4264</v>
      </c>
    </row>
    <row r="257" spans="1:21" ht="15.75" customHeight="1" x14ac:dyDescent="0.3">
      <c r="A257" s="84" t="s">
        <v>879</v>
      </c>
      <c r="B257" s="1"/>
      <c r="C257" s="1"/>
      <c r="D257" s="1"/>
      <c r="E257" s="55">
        <f>SUM(B257:D257)</f>
        <v>0</v>
      </c>
      <c r="F257" s="1"/>
      <c r="G257" s="1"/>
      <c r="H257" s="1"/>
      <c r="I257" s="55">
        <f t="shared" si="68"/>
        <v>0</v>
      </c>
      <c r="J257" s="1"/>
      <c r="K257" s="1"/>
      <c r="L257" s="1"/>
      <c r="M257" s="55">
        <f t="shared" si="69"/>
        <v>0</v>
      </c>
      <c r="N257" s="1"/>
      <c r="O257" s="1"/>
      <c r="P257" s="1"/>
      <c r="Q257" s="55">
        <f t="shared" si="70"/>
        <v>0</v>
      </c>
      <c r="R257" s="55">
        <f t="shared" si="66"/>
        <v>0</v>
      </c>
    </row>
    <row r="258" spans="1:21" ht="15.75" customHeight="1" x14ac:dyDescent="0.3">
      <c r="A258" s="84" t="s">
        <v>880</v>
      </c>
      <c r="B258" s="1"/>
      <c r="C258" s="1"/>
      <c r="D258" s="1"/>
      <c r="E258" s="55">
        <f>SUM(B258:D258)</f>
        <v>0</v>
      </c>
      <c r="F258" s="1"/>
      <c r="G258" s="1"/>
      <c r="H258" s="1"/>
      <c r="I258" s="55">
        <f t="shared" si="68"/>
        <v>0</v>
      </c>
      <c r="J258" s="1"/>
      <c r="K258" s="1"/>
      <c r="L258" s="1"/>
      <c r="M258" s="55">
        <f t="shared" si="69"/>
        <v>0</v>
      </c>
      <c r="N258" s="1"/>
      <c r="O258" s="1"/>
      <c r="P258" s="1"/>
      <c r="Q258" s="55">
        <f t="shared" si="70"/>
        <v>0</v>
      </c>
      <c r="R258" s="55">
        <f t="shared" si="66"/>
        <v>0</v>
      </c>
    </row>
    <row r="259" spans="1:21" ht="15.75" customHeight="1" x14ac:dyDescent="0.3">
      <c r="A259" s="84" t="s">
        <v>881</v>
      </c>
      <c r="B259" s="1"/>
      <c r="C259" s="1"/>
      <c r="D259" s="1"/>
      <c r="E259" s="55">
        <f>SUM(B259:D259)</f>
        <v>0</v>
      </c>
      <c r="F259" s="1"/>
      <c r="G259" s="1"/>
      <c r="H259" s="1"/>
      <c r="I259" s="55">
        <f t="shared" si="68"/>
        <v>0</v>
      </c>
      <c r="J259" s="1"/>
      <c r="K259" s="1"/>
      <c r="L259" s="1"/>
      <c r="M259" s="55">
        <f t="shared" si="69"/>
        <v>0</v>
      </c>
      <c r="N259" s="1"/>
      <c r="O259" s="1"/>
      <c r="P259" s="1"/>
      <c r="Q259" s="55">
        <f t="shared" si="70"/>
        <v>0</v>
      </c>
      <c r="R259" s="55">
        <f t="shared" si="66"/>
        <v>0</v>
      </c>
      <c r="T259" s="4" t="s">
        <v>812</v>
      </c>
    </row>
    <row r="260" spans="1:21" ht="15.75" customHeight="1" x14ac:dyDescent="0.3">
      <c r="A260" s="72" t="s">
        <v>1198</v>
      </c>
      <c r="B260" s="1"/>
      <c r="C260" s="1"/>
      <c r="D260" s="1"/>
      <c r="E260" s="55">
        <f t="shared" ref="E260:E264" si="76">SUM(B260:D260)</f>
        <v>0</v>
      </c>
      <c r="F260" s="1"/>
      <c r="G260" s="1"/>
      <c r="H260" s="1"/>
      <c r="I260" s="55">
        <f>SUM(F260:H260)</f>
        <v>0</v>
      </c>
      <c r="J260" s="1"/>
      <c r="K260" s="1">
        <f>1200+448</f>
        <v>1648</v>
      </c>
      <c r="L260" s="1">
        <v>430</v>
      </c>
      <c r="M260" s="55">
        <f t="shared" ref="M260:M261" si="77">SUM(J260:L260)</f>
        <v>2078</v>
      </c>
      <c r="N260" s="1">
        <v>263</v>
      </c>
      <c r="O260" s="1"/>
      <c r="P260" s="1"/>
      <c r="Q260" s="55">
        <f t="shared" ref="Q260:Q261" si="78">SUM(N260:P260)</f>
        <v>263</v>
      </c>
      <c r="R260" s="55">
        <f t="shared" si="66"/>
        <v>2341</v>
      </c>
      <c r="S260" s="466" t="s">
        <v>821</v>
      </c>
    </row>
    <row r="261" spans="1:21" ht="15.75" customHeight="1" x14ac:dyDescent="0.3">
      <c r="A261" s="72" t="s">
        <v>621</v>
      </c>
      <c r="B261" s="1"/>
      <c r="C261" s="1"/>
      <c r="D261" s="1"/>
      <c r="E261" s="55">
        <f t="shared" si="76"/>
        <v>0</v>
      </c>
      <c r="F261" s="1"/>
      <c r="G261" s="1"/>
      <c r="H261" s="1"/>
      <c r="I261" s="55">
        <f>SUM(F261:H261)</f>
        <v>0</v>
      </c>
      <c r="J261" s="1"/>
      <c r="K261" s="1"/>
      <c r="L261" s="1"/>
      <c r="M261" s="55">
        <f t="shared" si="77"/>
        <v>0</v>
      </c>
      <c r="N261" s="1"/>
      <c r="O261" s="1"/>
      <c r="P261" s="1"/>
      <c r="Q261" s="55">
        <f t="shared" si="78"/>
        <v>0</v>
      </c>
      <c r="R261" s="55">
        <f t="shared" si="66"/>
        <v>0</v>
      </c>
      <c r="S261" s="4" t="s">
        <v>821</v>
      </c>
    </row>
    <row r="262" spans="1:21" ht="15.75" customHeight="1" x14ac:dyDescent="0.3">
      <c r="A262" s="72" t="s">
        <v>622</v>
      </c>
      <c r="B262" s="1"/>
      <c r="C262" s="1"/>
      <c r="D262" s="1"/>
      <c r="E262" s="55">
        <f t="shared" si="76"/>
        <v>0</v>
      </c>
      <c r="F262" s="1">
        <v>2485</v>
      </c>
      <c r="G262" s="1">
        <f>46+5213+675+157</f>
        <v>6091</v>
      </c>
      <c r="H262" s="1">
        <v>3424</v>
      </c>
      <c r="I262" s="55">
        <f t="shared" si="68"/>
        <v>12000</v>
      </c>
      <c r="J262" s="1"/>
      <c r="K262" s="1"/>
      <c r="L262" s="1"/>
      <c r="M262" s="55">
        <f t="shared" si="69"/>
        <v>0</v>
      </c>
      <c r="N262" s="1"/>
      <c r="O262" s="1"/>
      <c r="P262" s="1"/>
      <c r="Q262" s="55">
        <f t="shared" si="70"/>
        <v>0</v>
      </c>
      <c r="R262" s="55">
        <f t="shared" si="66"/>
        <v>12000</v>
      </c>
      <c r="S262" s="4" t="s">
        <v>821</v>
      </c>
    </row>
    <row r="263" spans="1:21" ht="15.75" customHeight="1" x14ac:dyDescent="0.3">
      <c r="A263" s="72" t="s">
        <v>882</v>
      </c>
      <c r="B263" s="1"/>
      <c r="C263" s="1"/>
      <c r="D263" s="1"/>
      <c r="E263" s="55">
        <f t="shared" si="76"/>
        <v>0</v>
      </c>
      <c r="F263" s="1"/>
      <c r="G263" s="1"/>
      <c r="H263" s="1"/>
      <c r="I263" s="55">
        <f t="shared" si="68"/>
        <v>0</v>
      </c>
      <c r="J263" s="1"/>
      <c r="K263" s="1"/>
      <c r="L263" s="1"/>
      <c r="M263" s="55">
        <f t="shared" si="69"/>
        <v>0</v>
      </c>
      <c r="N263" s="1"/>
      <c r="O263" s="1"/>
      <c r="P263" s="1"/>
      <c r="Q263" s="55">
        <f>SUM(N263:P263)</f>
        <v>0</v>
      </c>
      <c r="R263" s="55">
        <f t="shared" si="66"/>
        <v>0</v>
      </c>
    </row>
    <row r="264" spans="1:21" ht="15.75" customHeight="1" x14ac:dyDescent="0.3">
      <c r="A264" s="84" t="s">
        <v>1389</v>
      </c>
      <c r="B264" s="1"/>
      <c r="C264" s="1"/>
      <c r="D264" s="1"/>
      <c r="E264" s="55">
        <f t="shared" si="76"/>
        <v>0</v>
      </c>
      <c r="F264" s="1">
        <v>400</v>
      </c>
      <c r="G264" s="1"/>
      <c r="H264" s="1"/>
      <c r="I264" s="55">
        <f t="shared" si="68"/>
        <v>400</v>
      </c>
      <c r="J264" s="1"/>
      <c r="K264" s="1"/>
      <c r="L264" s="1"/>
      <c r="M264" s="55">
        <f t="shared" si="69"/>
        <v>0</v>
      </c>
      <c r="N264" s="1"/>
      <c r="O264" s="1"/>
      <c r="P264" s="1"/>
      <c r="Q264" s="55">
        <f>SUM(N264:P264)</f>
        <v>0</v>
      </c>
      <c r="R264" s="55">
        <f t="shared" si="66"/>
        <v>400</v>
      </c>
    </row>
    <row r="265" spans="1:21" ht="15.75" customHeight="1" x14ac:dyDescent="0.3">
      <c r="A265" s="72" t="s">
        <v>883</v>
      </c>
      <c r="B265" s="1"/>
      <c r="C265" s="1"/>
      <c r="D265" s="1"/>
      <c r="E265" s="55">
        <f>SUM(B265:D265)</f>
        <v>0</v>
      </c>
      <c r="F265" s="1">
        <v>776</v>
      </c>
      <c r="G265" s="1">
        <v>410</v>
      </c>
      <c r="H265" s="1"/>
      <c r="I265" s="55">
        <f t="shared" si="68"/>
        <v>1186</v>
      </c>
      <c r="J265" s="1"/>
      <c r="K265" s="1"/>
      <c r="L265" s="1"/>
      <c r="M265" s="55">
        <f t="shared" si="69"/>
        <v>0</v>
      </c>
      <c r="N265" s="1"/>
      <c r="O265" s="1"/>
      <c r="P265" s="1"/>
      <c r="Q265" s="55">
        <f t="shared" si="70"/>
        <v>0</v>
      </c>
      <c r="R265" s="55">
        <f t="shared" si="66"/>
        <v>1186</v>
      </c>
      <c r="S265" s="4" t="s">
        <v>821</v>
      </c>
      <c r="T265" s="4" t="s">
        <v>822</v>
      </c>
    </row>
    <row r="266" spans="1:21" ht="15.75" customHeight="1" x14ac:dyDescent="0.3">
      <c r="A266" s="72" t="s">
        <v>884</v>
      </c>
      <c r="B266" s="1"/>
      <c r="C266" s="1"/>
      <c r="D266" s="1"/>
      <c r="E266" s="55">
        <f t="shared" ref="E266" si="79">SUM(B266:D266)</f>
        <v>0</v>
      </c>
      <c r="F266" s="1"/>
      <c r="G266" s="1"/>
      <c r="H266" s="1"/>
      <c r="I266" s="55">
        <f t="shared" si="68"/>
        <v>0</v>
      </c>
      <c r="J266" s="1"/>
      <c r="K266" s="1"/>
      <c r="L266" s="1"/>
      <c r="M266" s="55">
        <f t="shared" si="69"/>
        <v>0</v>
      </c>
      <c r="N266" s="1"/>
      <c r="O266" s="1"/>
      <c r="P266" s="1"/>
      <c r="Q266" s="55">
        <f t="shared" si="70"/>
        <v>0</v>
      </c>
      <c r="R266" s="55">
        <f t="shared" si="66"/>
        <v>0</v>
      </c>
      <c r="S266" s="89" t="s">
        <v>821</v>
      </c>
      <c r="T266" s="89" t="s">
        <v>822</v>
      </c>
      <c r="U266" s="89"/>
    </row>
    <row r="267" spans="1:21" ht="15.75" customHeight="1" x14ac:dyDescent="0.3">
      <c r="A267" s="72" t="s">
        <v>161</v>
      </c>
      <c r="B267" s="1"/>
      <c r="C267" s="1"/>
      <c r="D267" s="1">
        <v>1318</v>
      </c>
      <c r="E267" s="55">
        <f>SUM(B267:D267)</f>
        <v>1318</v>
      </c>
      <c r="F267" s="1">
        <v>496</v>
      </c>
      <c r="G267" s="1"/>
      <c r="H267" s="1"/>
      <c r="I267" s="55">
        <f>SUM(F267:H267)</f>
        <v>496</v>
      </c>
      <c r="J267" s="1"/>
      <c r="K267" s="1"/>
      <c r="L267" s="1"/>
      <c r="M267" s="55">
        <f t="shared" si="69"/>
        <v>0</v>
      </c>
      <c r="N267" s="1"/>
      <c r="O267" s="1"/>
      <c r="P267" s="1"/>
      <c r="Q267" s="55">
        <f t="shared" si="70"/>
        <v>0</v>
      </c>
      <c r="R267" s="55">
        <f t="shared" si="66"/>
        <v>1814</v>
      </c>
      <c r="T267" s="4" t="s">
        <v>885</v>
      </c>
    </row>
    <row r="268" spans="1:21" ht="15.75" customHeight="1" x14ac:dyDescent="0.3">
      <c r="A268" s="84" t="s">
        <v>886</v>
      </c>
      <c r="B268" s="1"/>
      <c r="C268" s="1"/>
      <c r="D268" s="1"/>
      <c r="E268" s="55">
        <f>SUM(B268:D268)</f>
        <v>0</v>
      </c>
      <c r="F268" s="1"/>
      <c r="G268" s="1"/>
      <c r="H268" s="1"/>
      <c r="I268" s="55">
        <f>SUM(F268:H268)</f>
        <v>0</v>
      </c>
      <c r="J268" s="1"/>
      <c r="K268" s="1"/>
      <c r="L268" s="1"/>
      <c r="M268" s="55">
        <f t="shared" si="69"/>
        <v>0</v>
      </c>
      <c r="N268" s="1"/>
      <c r="O268" s="1"/>
      <c r="P268" s="1"/>
      <c r="Q268" s="55">
        <f>SUM(N268:P268)</f>
        <v>0</v>
      </c>
      <c r="R268" s="55">
        <f>+E268+I268+M268+Q268</f>
        <v>0</v>
      </c>
      <c r="T268" s="4" t="s">
        <v>819</v>
      </c>
    </row>
    <row r="269" spans="1:21" ht="15.75" customHeight="1" x14ac:dyDescent="0.3">
      <c r="A269" s="72" t="s">
        <v>163</v>
      </c>
      <c r="B269" s="1"/>
      <c r="C269" s="1"/>
      <c r="D269" s="1"/>
      <c r="E269" s="55">
        <f t="shared" si="72"/>
        <v>0</v>
      </c>
      <c r="F269" s="1"/>
      <c r="G269" s="1"/>
      <c r="H269" s="1"/>
      <c r="I269" s="55">
        <f t="shared" si="68"/>
        <v>0</v>
      </c>
      <c r="J269" s="1"/>
      <c r="K269" s="1"/>
      <c r="L269" s="1"/>
      <c r="M269" s="55">
        <f t="shared" si="69"/>
        <v>0</v>
      </c>
      <c r="N269" s="1"/>
      <c r="O269" s="1">
        <v>1148</v>
      </c>
      <c r="P269" s="1"/>
      <c r="Q269" s="55">
        <f t="shared" si="70"/>
        <v>1148</v>
      </c>
      <c r="R269" s="55">
        <f t="shared" si="66"/>
        <v>1148</v>
      </c>
    </row>
    <row r="270" spans="1:21" ht="15.75" customHeight="1" x14ac:dyDescent="0.3">
      <c r="A270" s="72" t="s">
        <v>1199</v>
      </c>
      <c r="B270" s="1"/>
      <c r="C270" s="1"/>
      <c r="D270" s="1"/>
      <c r="E270" s="55">
        <f t="shared" si="72"/>
        <v>0</v>
      </c>
      <c r="F270" s="1"/>
      <c r="G270" s="1"/>
      <c r="H270" s="1"/>
      <c r="I270" s="55">
        <f t="shared" si="68"/>
        <v>0</v>
      </c>
      <c r="J270" s="1"/>
      <c r="K270" s="1"/>
      <c r="L270" s="1"/>
      <c r="M270" s="55">
        <f t="shared" si="69"/>
        <v>0</v>
      </c>
      <c r="N270" s="1"/>
      <c r="O270" s="1">
        <v>263</v>
      </c>
      <c r="P270" s="1"/>
      <c r="Q270" s="55">
        <f t="shared" si="70"/>
        <v>263</v>
      </c>
      <c r="R270" s="55">
        <f t="shared" si="66"/>
        <v>263</v>
      </c>
    </row>
    <row r="271" spans="1:21" ht="15.75" customHeight="1" x14ac:dyDescent="0.3">
      <c r="A271" s="72" t="s">
        <v>164</v>
      </c>
      <c r="B271" s="1">
        <v>60</v>
      </c>
      <c r="C271" s="1"/>
      <c r="D271" s="1"/>
      <c r="E271" s="55">
        <f t="shared" si="72"/>
        <v>60</v>
      </c>
      <c r="F271" s="1"/>
      <c r="G271" s="1"/>
      <c r="H271" s="1"/>
      <c r="I271" s="55">
        <f t="shared" si="68"/>
        <v>0</v>
      </c>
      <c r="J271" s="1"/>
      <c r="K271" s="1"/>
      <c r="L271" s="1"/>
      <c r="M271" s="55">
        <f t="shared" si="69"/>
        <v>0</v>
      </c>
      <c r="N271" s="1"/>
      <c r="O271" s="1"/>
      <c r="P271" s="1"/>
      <c r="Q271" s="55">
        <f t="shared" si="70"/>
        <v>0</v>
      </c>
      <c r="R271" s="55">
        <f t="shared" si="66"/>
        <v>60</v>
      </c>
    </row>
    <row r="272" spans="1:21" ht="15.75" customHeight="1" x14ac:dyDescent="0.3">
      <c r="A272" s="72" t="s">
        <v>887</v>
      </c>
      <c r="B272" s="1">
        <v>60</v>
      </c>
      <c r="C272" s="1"/>
      <c r="D272" s="1"/>
      <c r="E272" s="55">
        <f t="shared" si="72"/>
        <v>60</v>
      </c>
      <c r="F272" s="1"/>
      <c r="G272" s="1"/>
      <c r="H272" s="1"/>
      <c r="I272" s="55">
        <f t="shared" si="68"/>
        <v>0</v>
      </c>
      <c r="J272" s="1"/>
      <c r="K272" s="1"/>
      <c r="L272" s="1"/>
      <c r="M272" s="55">
        <f t="shared" si="69"/>
        <v>0</v>
      </c>
      <c r="N272" s="1"/>
      <c r="O272" s="1"/>
      <c r="P272" s="1"/>
      <c r="Q272" s="55">
        <f t="shared" si="70"/>
        <v>0</v>
      </c>
      <c r="R272" s="55">
        <f t="shared" si="66"/>
        <v>60</v>
      </c>
      <c r="S272" s="4" t="s">
        <v>821</v>
      </c>
      <c r="T272" s="4" t="s">
        <v>822</v>
      </c>
    </row>
    <row r="273" spans="1:20" ht="15.75" customHeight="1" x14ac:dyDescent="0.3">
      <c r="A273" s="72" t="s">
        <v>1200</v>
      </c>
      <c r="B273" s="1"/>
      <c r="C273" s="1"/>
      <c r="D273" s="1"/>
      <c r="E273" s="55">
        <f t="shared" si="72"/>
        <v>0</v>
      </c>
      <c r="F273" s="1"/>
      <c r="G273" s="1"/>
      <c r="H273" s="1"/>
      <c r="I273" s="55">
        <f t="shared" si="68"/>
        <v>0</v>
      </c>
      <c r="J273" s="1"/>
      <c r="K273" s="1"/>
      <c r="L273" s="1"/>
      <c r="M273" s="55">
        <f t="shared" si="69"/>
        <v>0</v>
      </c>
      <c r="N273" s="1"/>
      <c r="O273" s="1"/>
      <c r="P273" s="1"/>
      <c r="Q273" s="55">
        <f t="shared" si="70"/>
        <v>0</v>
      </c>
      <c r="R273" s="55">
        <f t="shared" si="66"/>
        <v>0</v>
      </c>
      <c r="T273" s="4" t="s">
        <v>822</v>
      </c>
    </row>
    <row r="274" spans="1:20" ht="15.75" customHeight="1" x14ac:dyDescent="0.3">
      <c r="A274" s="72" t="s">
        <v>1281</v>
      </c>
      <c r="B274" s="1"/>
      <c r="C274" s="1"/>
      <c r="D274" s="1"/>
      <c r="E274" s="55">
        <f t="shared" ref="E274" si="80">SUM(B274:D274)</f>
        <v>0</v>
      </c>
      <c r="F274" s="1"/>
      <c r="G274" s="1"/>
      <c r="H274" s="1"/>
      <c r="I274" s="55">
        <f t="shared" ref="I274:I275" si="81">SUM(F274:H274)</f>
        <v>0</v>
      </c>
      <c r="J274" s="1"/>
      <c r="K274" s="1"/>
      <c r="L274" s="1"/>
      <c r="M274" s="55">
        <f t="shared" ref="M274:M275" si="82">SUM(J274:L274)</f>
        <v>0</v>
      </c>
      <c r="N274" s="1"/>
      <c r="O274" s="1"/>
      <c r="P274" s="1"/>
      <c r="Q274" s="55">
        <f t="shared" ref="Q274" si="83">SUM(N274:P274)</f>
        <v>0</v>
      </c>
      <c r="R274" s="55">
        <f t="shared" si="66"/>
        <v>0</v>
      </c>
      <c r="S274" s="4" t="s">
        <v>821</v>
      </c>
      <c r="T274" s="4" t="s">
        <v>822</v>
      </c>
    </row>
    <row r="275" spans="1:20" ht="15.75" customHeight="1" x14ac:dyDescent="0.3">
      <c r="A275" s="72" t="s">
        <v>890</v>
      </c>
      <c r="B275" s="1"/>
      <c r="C275" s="1"/>
      <c r="D275" s="1"/>
      <c r="E275" s="55">
        <f t="shared" si="72"/>
        <v>0</v>
      </c>
      <c r="F275" s="1"/>
      <c r="G275" s="1"/>
      <c r="H275" s="1"/>
      <c r="I275" s="55">
        <f t="shared" si="81"/>
        <v>0</v>
      </c>
      <c r="J275" s="1">
        <v>2800</v>
      </c>
      <c r="K275" s="1"/>
      <c r="L275" s="1"/>
      <c r="M275" s="55">
        <f t="shared" si="82"/>
        <v>2800</v>
      </c>
      <c r="N275" s="1"/>
      <c r="O275" s="1"/>
      <c r="P275" s="1"/>
      <c r="Q275" s="55">
        <f t="shared" si="70"/>
        <v>0</v>
      </c>
      <c r="R275" s="55">
        <f>+E275+I275+M275+Q275</f>
        <v>2800</v>
      </c>
      <c r="S275" s="465" t="s">
        <v>821</v>
      </c>
      <c r="T275" s="4" t="s">
        <v>822</v>
      </c>
    </row>
    <row r="276" spans="1:20" ht="15.75" customHeight="1" x14ac:dyDescent="0.3">
      <c r="A276" s="84" t="s">
        <v>891</v>
      </c>
      <c r="B276" s="1"/>
      <c r="C276" s="1"/>
      <c r="D276" s="1"/>
      <c r="E276" s="55">
        <f t="shared" si="72"/>
        <v>0</v>
      </c>
      <c r="F276" s="1"/>
      <c r="G276" s="1"/>
      <c r="H276" s="1"/>
      <c r="I276" s="55">
        <f t="shared" si="68"/>
        <v>0</v>
      </c>
      <c r="J276" s="1"/>
      <c r="K276" s="1"/>
      <c r="L276" s="1"/>
      <c r="M276" s="55">
        <f t="shared" si="69"/>
        <v>0</v>
      </c>
      <c r="N276" s="1"/>
      <c r="O276" s="1"/>
      <c r="P276" s="1"/>
      <c r="Q276" s="55">
        <f>SUM(N276:P276)</f>
        <v>0</v>
      </c>
      <c r="R276" s="55">
        <f t="shared" si="66"/>
        <v>0</v>
      </c>
      <c r="T276" s="4" t="s">
        <v>818</v>
      </c>
    </row>
    <row r="277" spans="1:20" ht="15.75" customHeight="1" x14ac:dyDescent="0.3">
      <c r="A277" s="84" t="s">
        <v>892</v>
      </c>
      <c r="B277" s="1"/>
      <c r="C277" s="1"/>
      <c r="D277" s="1"/>
      <c r="E277" s="55">
        <f>SUM(B277:D277)</f>
        <v>0</v>
      </c>
      <c r="F277" s="1">
        <v>2424</v>
      </c>
      <c r="G277" s="1"/>
      <c r="H277" s="1">
        <f>776+876</f>
        <v>1652</v>
      </c>
      <c r="I277" s="55">
        <f t="shared" ref="I277:I278" si="84">SUM(F277:H277)</f>
        <v>4076</v>
      </c>
      <c r="J277" s="1">
        <v>3000</v>
      </c>
      <c r="K277" s="1">
        <v>2392</v>
      </c>
      <c r="L277" s="1">
        <v>662</v>
      </c>
      <c r="M277" s="55">
        <f t="shared" ref="M277" si="85">SUM(J277:L277)</f>
        <v>6054</v>
      </c>
      <c r="N277" s="1"/>
      <c r="O277" s="1"/>
      <c r="P277" s="1"/>
      <c r="Q277" s="55">
        <f>SUM(N277:P277)</f>
        <v>0</v>
      </c>
      <c r="R277" s="55">
        <f t="shared" si="66"/>
        <v>10130</v>
      </c>
      <c r="T277" s="4" t="s">
        <v>819</v>
      </c>
    </row>
    <row r="278" spans="1:20" ht="15.75" customHeight="1" x14ac:dyDescent="0.3">
      <c r="A278" s="72" t="s">
        <v>1282</v>
      </c>
      <c r="B278" s="1"/>
      <c r="C278" s="1"/>
      <c r="D278" s="1"/>
      <c r="E278" s="55">
        <f>SUM(B278:D278)</f>
        <v>0</v>
      </c>
      <c r="F278" s="1"/>
      <c r="G278" s="1">
        <v>590</v>
      </c>
      <c r="H278" s="1">
        <f>900+362</f>
        <v>1262</v>
      </c>
      <c r="I278" s="55">
        <f t="shared" si="84"/>
        <v>1852</v>
      </c>
      <c r="J278" s="1"/>
      <c r="K278" s="1"/>
      <c r="L278" s="1"/>
      <c r="M278" s="55">
        <f>SUM(J278:L278)</f>
        <v>0</v>
      </c>
      <c r="N278" s="1"/>
      <c r="O278" s="1"/>
      <c r="P278" s="1"/>
      <c r="Q278" s="55">
        <f t="shared" si="70"/>
        <v>0</v>
      </c>
      <c r="R278" s="55">
        <f t="shared" si="66"/>
        <v>1852</v>
      </c>
      <c r="S278" s="4" t="s">
        <v>821</v>
      </c>
      <c r="T278" s="4" t="s">
        <v>822</v>
      </c>
    </row>
    <row r="279" spans="1:20" ht="15.75" customHeight="1" x14ac:dyDescent="0.3">
      <c r="A279" s="72" t="s">
        <v>1283</v>
      </c>
      <c r="B279" s="1"/>
      <c r="C279" s="1"/>
      <c r="D279" s="1"/>
      <c r="E279" s="55">
        <f t="shared" ref="E279:E280" si="86">SUM(B279:D279)</f>
        <v>0</v>
      </c>
      <c r="F279" s="1"/>
      <c r="G279" s="1"/>
      <c r="H279" s="1"/>
      <c r="I279" s="55">
        <f t="shared" si="68"/>
        <v>0</v>
      </c>
      <c r="J279" s="1"/>
      <c r="K279" s="1"/>
      <c r="L279" s="1"/>
      <c r="M279" s="55">
        <f t="shared" si="69"/>
        <v>0</v>
      </c>
      <c r="N279" s="1"/>
      <c r="O279" s="1"/>
      <c r="P279" s="1"/>
      <c r="Q279" s="55">
        <f t="shared" si="70"/>
        <v>0</v>
      </c>
      <c r="R279" s="55">
        <f t="shared" si="66"/>
        <v>0</v>
      </c>
      <c r="T279" s="4" t="s">
        <v>822</v>
      </c>
    </row>
    <row r="280" spans="1:20" ht="15.75" customHeight="1" x14ac:dyDescent="0.3">
      <c r="A280" s="84" t="s">
        <v>1284</v>
      </c>
      <c r="B280" s="1"/>
      <c r="C280" s="1"/>
      <c r="D280" s="1"/>
      <c r="E280" s="55">
        <f t="shared" si="86"/>
        <v>0</v>
      </c>
      <c r="F280" s="1"/>
      <c r="G280" s="1"/>
      <c r="H280" s="1"/>
      <c r="I280" s="55">
        <f t="shared" si="68"/>
        <v>0</v>
      </c>
      <c r="J280" s="1"/>
      <c r="K280" s="1"/>
      <c r="L280" s="1"/>
      <c r="M280" s="55">
        <f t="shared" si="69"/>
        <v>0</v>
      </c>
      <c r="N280" s="1"/>
      <c r="O280" s="1"/>
      <c r="P280" s="1"/>
      <c r="Q280" s="55">
        <f t="shared" ref="Q280" si="87">SUM(N280:P280)</f>
        <v>0</v>
      </c>
      <c r="R280" s="55">
        <f t="shared" si="66"/>
        <v>0</v>
      </c>
    </row>
    <row r="281" spans="1:20" ht="15.75" customHeight="1" x14ac:dyDescent="0.3">
      <c r="A281" s="72" t="s">
        <v>1285</v>
      </c>
      <c r="B281" s="1">
        <v>618</v>
      </c>
      <c r="C281" s="1">
        <v>1743</v>
      </c>
      <c r="D281" s="1">
        <v>489</v>
      </c>
      <c r="E281" s="55">
        <f t="shared" si="72"/>
        <v>2850</v>
      </c>
      <c r="F281" s="1"/>
      <c r="G281" s="1"/>
      <c r="H281" s="1"/>
      <c r="I281" s="55">
        <f t="shared" si="68"/>
        <v>0</v>
      </c>
      <c r="J281" s="1"/>
      <c r="K281" s="1"/>
      <c r="L281" s="1"/>
      <c r="M281" s="55">
        <f t="shared" si="69"/>
        <v>0</v>
      </c>
      <c r="N281" s="1"/>
      <c r="O281" s="1"/>
      <c r="P281" s="1"/>
      <c r="Q281" s="55">
        <f t="shared" si="70"/>
        <v>0</v>
      </c>
      <c r="R281" s="55">
        <f t="shared" si="66"/>
        <v>2850</v>
      </c>
      <c r="T281" s="4" t="s">
        <v>832</v>
      </c>
    </row>
    <row r="282" spans="1:20" ht="15.75" customHeight="1" x14ac:dyDescent="0.3">
      <c r="A282" s="72" t="s">
        <v>1287</v>
      </c>
      <c r="B282" s="1"/>
      <c r="C282" s="1"/>
      <c r="D282" s="1"/>
      <c r="E282" s="55">
        <f t="shared" si="72"/>
        <v>0</v>
      </c>
      <c r="F282" s="1"/>
      <c r="G282" s="1"/>
      <c r="H282" s="1"/>
      <c r="I282" s="55">
        <f>SUM(F282:H282)</f>
        <v>0</v>
      </c>
      <c r="J282" s="1"/>
      <c r="K282" s="1"/>
      <c r="L282" s="1"/>
      <c r="M282" s="55">
        <f t="shared" si="69"/>
        <v>0</v>
      </c>
      <c r="N282" s="1"/>
      <c r="O282" s="1"/>
      <c r="P282" s="1"/>
      <c r="Q282" s="55">
        <f t="shared" si="70"/>
        <v>0</v>
      </c>
      <c r="R282" s="55">
        <f t="shared" si="66"/>
        <v>0</v>
      </c>
      <c r="S282" s="4" t="s">
        <v>821</v>
      </c>
    </row>
    <row r="283" spans="1:20" ht="15.75" customHeight="1" x14ac:dyDescent="0.3">
      <c r="A283" s="72" t="s">
        <v>1288</v>
      </c>
      <c r="B283" s="1"/>
      <c r="C283" s="1"/>
      <c r="D283" s="1"/>
      <c r="E283" s="55">
        <f t="shared" si="72"/>
        <v>0</v>
      </c>
      <c r="F283" s="1"/>
      <c r="G283" s="1"/>
      <c r="H283" s="1"/>
      <c r="I283" s="55">
        <f>SUM(F283:H283)</f>
        <v>0</v>
      </c>
      <c r="J283" s="1"/>
      <c r="K283" s="1"/>
      <c r="L283" s="1"/>
      <c r="M283" s="55">
        <f t="shared" si="69"/>
        <v>0</v>
      </c>
      <c r="N283" s="1"/>
      <c r="O283" s="1"/>
      <c r="P283" s="1"/>
      <c r="Q283" s="55">
        <f t="shared" ref="Q283" si="88">SUM(N283:P283)</f>
        <v>0</v>
      </c>
      <c r="R283" s="55">
        <f t="shared" si="66"/>
        <v>0</v>
      </c>
    </row>
    <row r="284" spans="1:20" ht="15.75" customHeight="1" x14ac:dyDescent="0.3">
      <c r="A284" s="72" t="s">
        <v>1289</v>
      </c>
      <c r="B284" s="1">
        <v>95</v>
      </c>
      <c r="C284" s="1"/>
      <c r="D284" s="1"/>
      <c r="E284" s="55">
        <f t="shared" si="72"/>
        <v>95</v>
      </c>
      <c r="F284" s="1"/>
      <c r="G284" s="1"/>
      <c r="H284" s="1"/>
      <c r="I284" s="55">
        <f t="shared" si="68"/>
        <v>0</v>
      </c>
      <c r="J284" s="1"/>
      <c r="K284" s="1"/>
      <c r="L284" s="1"/>
      <c r="M284" s="55">
        <f t="shared" si="69"/>
        <v>0</v>
      </c>
      <c r="N284" s="1"/>
      <c r="O284" s="1"/>
      <c r="P284" s="1"/>
      <c r="Q284" s="55">
        <f t="shared" si="70"/>
        <v>0</v>
      </c>
      <c r="R284" s="55">
        <f t="shared" si="66"/>
        <v>95</v>
      </c>
    </row>
    <row r="285" spans="1:20" ht="15.75" customHeight="1" x14ac:dyDescent="0.3">
      <c r="A285" s="72" t="s">
        <v>1290</v>
      </c>
      <c r="B285" s="1">
        <v>95</v>
      </c>
      <c r="C285" s="1"/>
      <c r="D285" s="1"/>
      <c r="E285" s="55">
        <f t="shared" si="72"/>
        <v>95</v>
      </c>
      <c r="F285" s="1"/>
      <c r="G285" s="1"/>
      <c r="H285" s="1"/>
      <c r="I285" s="55">
        <f t="shared" si="68"/>
        <v>0</v>
      </c>
      <c r="J285" s="1"/>
      <c r="K285" s="1"/>
      <c r="L285" s="1"/>
      <c r="M285" s="55">
        <f t="shared" si="69"/>
        <v>0</v>
      </c>
      <c r="N285" s="1"/>
      <c r="O285" s="1"/>
      <c r="P285" s="1"/>
      <c r="Q285" s="55">
        <f t="shared" si="70"/>
        <v>0</v>
      </c>
      <c r="R285" s="55">
        <f t="shared" si="66"/>
        <v>95</v>
      </c>
      <c r="S285" s="4" t="s">
        <v>821</v>
      </c>
      <c r="T285" s="4" t="s">
        <v>822</v>
      </c>
    </row>
    <row r="286" spans="1:20" ht="15.75" customHeight="1" x14ac:dyDescent="0.3">
      <c r="A286" s="72" t="s">
        <v>889</v>
      </c>
      <c r="B286" s="1"/>
      <c r="C286" s="1">
        <v>494</v>
      </c>
      <c r="D286" s="1"/>
      <c r="E286" s="55">
        <f>SUM(B286:D286)</f>
        <v>494</v>
      </c>
      <c r="F286" s="1"/>
      <c r="G286" s="1">
        <v>3606</v>
      </c>
      <c r="H286" s="1">
        <v>600</v>
      </c>
      <c r="I286" s="55">
        <f>SUM(F286:H286)</f>
        <v>4206</v>
      </c>
      <c r="J286" s="1">
        <v>400</v>
      </c>
      <c r="K286" s="1">
        <v>1000</v>
      </c>
      <c r="L286" s="1">
        <v>600</v>
      </c>
      <c r="M286" s="55">
        <f>SUM(J286:L286)</f>
        <v>2000</v>
      </c>
      <c r="N286" s="1"/>
      <c r="O286" s="1"/>
      <c r="P286" s="1"/>
      <c r="Q286" s="55">
        <f>SUM(N286:P286)</f>
        <v>0</v>
      </c>
      <c r="R286" s="55">
        <f t="shared" si="66"/>
        <v>6700</v>
      </c>
      <c r="S286" s="4" t="s">
        <v>821</v>
      </c>
      <c r="T286" s="4" t="s">
        <v>822</v>
      </c>
    </row>
    <row r="287" spans="1:20" ht="15.75" customHeight="1" x14ac:dyDescent="0.3">
      <c r="A287" s="72" t="s">
        <v>1390</v>
      </c>
      <c r="B287" s="1"/>
      <c r="C287" s="1"/>
      <c r="D287" s="1"/>
      <c r="E287" s="55">
        <f>SUM(B287:D287)</f>
        <v>0</v>
      </c>
      <c r="F287" s="1"/>
      <c r="G287" s="1"/>
      <c r="H287" s="1">
        <v>3600</v>
      </c>
      <c r="I287" s="55">
        <f>SUM(F287:H287)</f>
        <v>3600</v>
      </c>
      <c r="J287" s="1"/>
      <c r="K287" s="1"/>
      <c r="L287" s="1">
        <v>718</v>
      </c>
      <c r="M287" s="55">
        <f>SUM(J287:L287)</f>
        <v>718</v>
      </c>
      <c r="N287" s="1">
        <v>1282</v>
      </c>
      <c r="O287" s="1"/>
      <c r="P287" s="1"/>
      <c r="Q287" s="55">
        <f>SUM(N287:P287)</f>
        <v>1282</v>
      </c>
      <c r="R287" s="55">
        <f t="shared" si="66"/>
        <v>5600</v>
      </c>
    </row>
    <row r="288" spans="1:20" ht="15.75" customHeight="1" x14ac:dyDescent="0.3">
      <c r="A288" s="72" t="s">
        <v>1291</v>
      </c>
      <c r="B288" s="1"/>
      <c r="C288" s="1"/>
      <c r="D288" s="1"/>
      <c r="E288" s="55">
        <f>SUM(B288:D288)</f>
        <v>0</v>
      </c>
      <c r="F288" s="1"/>
      <c r="G288" s="1"/>
      <c r="H288" s="1"/>
      <c r="I288" s="55">
        <f>SUM(F288:H288)</f>
        <v>0</v>
      </c>
      <c r="J288" s="1"/>
      <c r="K288" s="1"/>
      <c r="L288" s="1"/>
      <c r="M288" s="55">
        <f>SUM(J288:L288)</f>
        <v>0</v>
      </c>
      <c r="N288" s="1"/>
      <c r="O288" s="1"/>
      <c r="P288" s="1"/>
      <c r="Q288" s="55">
        <f t="shared" ref="Q288:Q291" si="89">SUM(N288:P288)</f>
        <v>0</v>
      </c>
      <c r="R288" s="55">
        <f t="shared" si="66"/>
        <v>0</v>
      </c>
      <c r="T288" s="4" t="s">
        <v>822</v>
      </c>
    </row>
    <row r="289" spans="1:20" ht="15.75" customHeight="1" x14ac:dyDescent="0.3">
      <c r="A289" s="72" t="s">
        <v>1292</v>
      </c>
      <c r="B289" s="1"/>
      <c r="C289" s="1"/>
      <c r="D289" s="1"/>
      <c r="E289" s="55">
        <f t="shared" ref="E289:E292" si="90">SUM(B289:D289)</f>
        <v>0</v>
      </c>
      <c r="F289" s="1"/>
      <c r="G289" s="1"/>
      <c r="H289" s="1"/>
      <c r="I289" s="55">
        <f t="shared" ref="I289:I292" si="91">SUM(F289:H289)</f>
        <v>0</v>
      </c>
      <c r="J289" s="1"/>
      <c r="K289" s="1"/>
      <c r="L289" s="1"/>
      <c r="M289" s="55">
        <f t="shared" ref="M289:M292" si="92">SUM(J289:L289)</f>
        <v>0</v>
      </c>
      <c r="N289" s="1"/>
      <c r="O289" s="1"/>
      <c r="P289" s="1"/>
      <c r="Q289" s="55">
        <f t="shared" si="89"/>
        <v>0</v>
      </c>
      <c r="R289" s="55">
        <f t="shared" si="66"/>
        <v>0</v>
      </c>
      <c r="T289" s="4" t="s">
        <v>822</v>
      </c>
    </row>
    <row r="290" spans="1:20" ht="15.75" customHeight="1" x14ac:dyDescent="0.3">
      <c r="A290" s="84" t="s">
        <v>1391</v>
      </c>
      <c r="B290" s="1"/>
      <c r="C290" s="1"/>
      <c r="D290" s="1"/>
      <c r="E290" s="55">
        <f t="shared" si="90"/>
        <v>0</v>
      </c>
      <c r="F290" s="1"/>
      <c r="G290" s="1"/>
      <c r="H290" s="1"/>
      <c r="I290" s="55">
        <f t="shared" si="91"/>
        <v>0</v>
      </c>
      <c r="J290" s="1"/>
      <c r="K290" s="1"/>
      <c r="L290" s="1"/>
      <c r="M290" s="55">
        <f t="shared" si="92"/>
        <v>0</v>
      </c>
      <c r="N290" s="1"/>
      <c r="O290" s="1"/>
      <c r="P290" s="1"/>
      <c r="Q290" s="55">
        <f t="shared" si="89"/>
        <v>0</v>
      </c>
      <c r="R290" s="55">
        <f t="shared" si="66"/>
        <v>0</v>
      </c>
    </row>
    <row r="291" spans="1:20" ht="15.75" customHeight="1" x14ac:dyDescent="0.3">
      <c r="A291" s="72" t="s">
        <v>1392</v>
      </c>
      <c r="B291" s="1"/>
      <c r="C291" s="1"/>
      <c r="D291" s="1"/>
      <c r="E291" s="55">
        <f t="shared" si="90"/>
        <v>0</v>
      </c>
      <c r="F291" s="1"/>
      <c r="G291" s="1"/>
      <c r="H291" s="1"/>
      <c r="I291" s="55">
        <f t="shared" si="91"/>
        <v>0</v>
      </c>
      <c r="J291" s="1"/>
      <c r="K291" s="1"/>
      <c r="L291" s="1">
        <v>300</v>
      </c>
      <c r="M291" s="55">
        <f t="shared" si="92"/>
        <v>300</v>
      </c>
      <c r="N291" s="1">
        <v>200</v>
      </c>
      <c r="O291" s="1">
        <v>200</v>
      </c>
      <c r="P291" s="1"/>
      <c r="Q291" s="55">
        <f t="shared" si="89"/>
        <v>400</v>
      </c>
      <c r="R291" s="55">
        <f t="shared" si="66"/>
        <v>700</v>
      </c>
    </row>
    <row r="292" spans="1:20" ht="15.75" customHeight="1" x14ac:dyDescent="0.3">
      <c r="A292" s="72" t="s">
        <v>1393</v>
      </c>
      <c r="B292" s="1"/>
      <c r="C292" s="1"/>
      <c r="D292" s="1">
        <v>184</v>
      </c>
      <c r="E292" s="55">
        <f t="shared" si="90"/>
        <v>184</v>
      </c>
      <c r="F292" s="1">
        <v>184</v>
      </c>
      <c r="G292" s="1">
        <v>276</v>
      </c>
      <c r="H292" s="1">
        <v>276</v>
      </c>
      <c r="I292" s="55">
        <f t="shared" si="91"/>
        <v>736</v>
      </c>
      <c r="J292" s="1">
        <v>276</v>
      </c>
      <c r="K292" s="1">
        <v>276</v>
      </c>
      <c r="L292" s="1">
        <v>184</v>
      </c>
      <c r="M292" s="55">
        <f t="shared" si="92"/>
        <v>736</v>
      </c>
      <c r="N292" s="1">
        <v>184</v>
      </c>
      <c r="O292" s="1">
        <v>92</v>
      </c>
      <c r="P292" s="1">
        <v>92</v>
      </c>
      <c r="Q292" s="55">
        <f t="shared" si="70"/>
        <v>368</v>
      </c>
      <c r="R292" s="55">
        <f t="shared" si="66"/>
        <v>2024</v>
      </c>
      <c r="S292" s="4" t="s">
        <v>821</v>
      </c>
    </row>
    <row r="293" spans="1:20" ht="15.75" customHeight="1" x14ac:dyDescent="0.3">
      <c r="A293" s="72" t="s">
        <v>709</v>
      </c>
      <c r="B293" s="1">
        <v>814</v>
      </c>
      <c r="C293" s="1">
        <f>16+3767+63+92</f>
        <v>3938</v>
      </c>
      <c r="D293" s="1">
        <f>15+3874+50+101</f>
        <v>4040</v>
      </c>
      <c r="E293" s="55">
        <f>SUM(B293:D293)</f>
        <v>8792</v>
      </c>
      <c r="F293" s="1">
        <v>2208</v>
      </c>
      <c r="G293" s="1"/>
      <c r="H293" s="1"/>
      <c r="I293" s="55">
        <f>SUM(F293:H293)</f>
        <v>2208</v>
      </c>
      <c r="J293" s="1"/>
      <c r="K293" s="1"/>
      <c r="L293" s="1"/>
      <c r="M293" s="55">
        <f>SUM(J293:L293)</f>
        <v>0</v>
      </c>
      <c r="N293" s="1"/>
      <c r="O293" s="1"/>
      <c r="P293" s="1"/>
      <c r="Q293" s="55">
        <f>SUM(N293:P293)</f>
        <v>0</v>
      </c>
      <c r="R293" s="55">
        <f>+E293+I293+M293+Q293</f>
        <v>11000</v>
      </c>
      <c r="S293" s="4" t="s">
        <v>821</v>
      </c>
    </row>
    <row r="294" spans="1:20" ht="15.75" customHeight="1" x14ac:dyDescent="0.3">
      <c r="A294" s="72" t="s">
        <v>897</v>
      </c>
      <c r="B294" s="1"/>
      <c r="C294" s="1"/>
      <c r="D294" s="1"/>
      <c r="E294" s="55">
        <f>SUM(B294:D294)</f>
        <v>0</v>
      </c>
      <c r="F294" s="1"/>
      <c r="G294" s="1"/>
      <c r="H294" s="1"/>
      <c r="I294" s="55">
        <f>SUM(F294:H294)</f>
        <v>0</v>
      </c>
      <c r="J294" s="1"/>
      <c r="K294" s="1"/>
      <c r="L294" s="1"/>
      <c r="M294" s="55">
        <f>SUM(J294:L294)</f>
        <v>0</v>
      </c>
      <c r="N294" s="1"/>
      <c r="O294" s="1"/>
      <c r="P294" s="1"/>
      <c r="Q294" s="55">
        <f>SUM(N294:P294)</f>
        <v>0</v>
      </c>
      <c r="R294" s="55">
        <f>+E294+I294+M294+Q294</f>
        <v>0</v>
      </c>
    </row>
    <row r="295" spans="1:20" ht="15.75" customHeight="1" x14ac:dyDescent="0.3">
      <c r="A295" s="72" t="s">
        <v>1205</v>
      </c>
      <c r="B295" s="1"/>
      <c r="C295" s="1"/>
      <c r="D295" s="1"/>
      <c r="E295" s="55">
        <f t="shared" ref="E295" si="93">SUM(B295:D295)</f>
        <v>0</v>
      </c>
      <c r="F295" s="1"/>
      <c r="G295" s="1"/>
      <c r="H295" s="1"/>
      <c r="I295" s="55">
        <f t="shared" ref="I295" si="94">SUM(F295:H295)</f>
        <v>0</v>
      </c>
      <c r="J295" s="1"/>
      <c r="K295" s="1"/>
      <c r="L295" s="1"/>
      <c r="M295" s="55">
        <f t="shared" ref="M295" si="95">SUM(J295:L295)</f>
        <v>0</v>
      </c>
      <c r="N295" s="1"/>
      <c r="O295" s="1"/>
      <c r="P295" s="1"/>
      <c r="Q295" s="55">
        <f t="shared" ref="Q295" si="96">SUM(N295:P295)</f>
        <v>0</v>
      </c>
      <c r="R295" s="55">
        <f t="shared" ref="R295" si="97">+E295+I295+M295+Q295</f>
        <v>0</v>
      </c>
    </row>
    <row r="296" spans="1:20" ht="15.75" customHeight="1" x14ac:dyDescent="0.3">
      <c r="A296" s="72" t="s">
        <v>175</v>
      </c>
      <c r="B296" s="1">
        <v>500</v>
      </c>
      <c r="C296" s="1"/>
      <c r="D296" s="1"/>
      <c r="E296" s="55">
        <f t="shared" ref="E296:E297" si="98">SUM(B296:D296)</f>
        <v>500</v>
      </c>
      <c r="F296" s="1"/>
      <c r="G296" s="1"/>
      <c r="H296" s="1"/>
      <c r="I296" s="55">
        <f t="shared" si="68"/>
        <v>0</v>
      </c>
      <c r="J296" s="1"/>
      <c r="K296" s="1"/>
      <c r="L296" s="1"/>
      <c r="M296" s="55">
        <f t="shared" si="69"/>
        <v>0</v>
      </c>
      <c r="N296" s="1"/>
      <c r="O296" s="1"/>
      <c r="P296" s="1"/>
      <c r="Q296" s="55">
        <f t="shared" si="70"/>
        <v>0</v>
      </c>
      <c r="R296" s="55">
        <f t="shared" si="66"/>
        <v>500</v>
      </c>
    </row>
    <row r="297" spans="1:20" ht="15.75" customHeight="1" x14ac:dyDescent="0.3">
      <c r="A297" s="72" t="s">
        <v>1394</v>
      </c>
      <c r="B297" s="1"/>
      <c r="C297" s="1"/>
      <c r="D297" s="1"/>
      <c r="E297" s="55">
        <f t="shared" si="98"/>
        <v>0</v>
      </c>
      <c r="F297" s="1"/>
      <c r="G297" s="1"/>
      <c r="H297" s="1">
        <f>410+1012</f>
        <v>1422</v>
      </c>
      <c r="I297" s="55">
        <f t="shared" si="68"/>
        <v>1422</v>
      </c>
      <c r="J297" s="1">
        <f>702+398</f>
        <v>1100</v>
      </c>
      <c r="K297" s="1">
        <v>1040</v>
      </c>
      <c r="L297" s="1">
        <v>469</v>
      </c>
      <c r="M297" s="55">
        <f t="shared" si="69"/>
        <v>2609</v>
      </c>
      <c r="N297" s="1">
        <v>269</v>
      </c>
      <c r="O297" s="1"/>
      <c r="P297" s="1">
        <v>200</v>
      </c>
      <c r="Q297" s="55">
        <f t="shared" si="70"/>
        <v>469</v>
      </c>
      <c r="R297" s="55">
        <f t="shared" si="66"/>
        <v>4500</v>
      </c>
    </row>
    <row r="298" spans="1:20" ht="15.75" customHeight="1" thickBot="1" x14ac:dyDescent="0.35">
      <c r="A298" s="72" t="s">
        <v>898</v>
      </c>
      <c r="B298" s="1"/>
      <c r="C298" s="1"/>
      <c r="D298" s="1"/>
      <c r="E298" s="55">
        <f>SUM(B298:D298)</f>
        <v>0</v>
      </c>
      <c r="F298" s="1"/>
      <c r="G298" s="1"/>
      <c r="H298" s="1"/>
      <c r="I298" s="55">
        <f>SUM(F298:H298)</f>
        <v>0</v>
      </c>
      <c r="J298" s="1"/>
      <c r="K298" s="1"/>
      <c r="L298" s="1"/>
      <c r="M298" s="55">
        <f>SUM(J298:L298)</f>
        <v>0</v>
      </c>
      <c r="N298" s="1"/>
      <c r="O298" s="1"/>
      <c r="P298" s="1"/>
      <c r="Q298" s="55">
        <f>SUM(N298:P298)</f>
        <v>0</v>
      </c>
      <c r="R298" s="55">
        <f t="shared" si="66"/>
        <v>0</v>
      </c>
      <c r="S298" s="465" t="s">
        <v>821</v>
      </c>
    </row>
    <row r="299" spans="1:20" ht="16.5" customHeight="1" thickBot="1" x14ac:dyDescent="0.35">
      <c r="A299" s="57" t="s">
        <v>63</v>
      </c>
      <c r="B299" s="86">
        <f>SUM(B228:B298)</f>
        <v>4840</v>
      </c>
      <c r="C299" s="87">
        <f>SUM(C228:C298)</f>
        <v>7925</v>
      </c>
      <c r="D299" s="87">
        <f>SUM(D228:D298)</f>
        <v>10372</v>
      </c>
      <c r="E299" s="59">
        <f t="shared" ref="E299" si="99">SUM(B299:D299)</f>
        <v>23137</v>
      </c>
      <c r="F299" s="87">
        <f>SUM(F228:F298)</f>
        <v>10571</v>
      </c>
      <c r="G299" s="87">
        <f>SUM(G228:G298)</f>
        <v>12567</v>
      </c>
      <c r="H299" s="87">
        <f>SUM(H228:H298)</f>
        <v>12969</v>
      </c>
      <c r="I299" s="59">
        <f t="shared" ref="I299" si="100">SUM(F299:H299)</f>
        <v>36107</v>
      </c>
      <c r="J299" s="87">
        <f>SUM(J228:J298)</f>
        <v>9548</v>
      </c>
      <c r="K299" s="87">
        <f>SUM(K228:K298)</f>
        <v>8418</v>
      </c>
      <c r="L299" s="87">
        <f>SUM(L228:L298)</f>
        <v>4980</v>
      </c>
      <c r="M299" s="59">
        <f t="shared" ref="M299" si="101">SUM(J299:L299)</f>
        <v>22946</v>
      </c>
      <c r="N299" s="87">
        <f>SUM(N228:N298)</f>
        <v>2818</v>
      </c>
      <c r="O299" s="87">
        <f>SUM(O228:O298)</f>
        <v>6537</v>
      </c>
      <c r="P299" s="87">
        <f>SUM(P228:P298)</f>
        <v>2305</v>
      </c>
      <c r="Q299" s="59">
        <f t="shared" ref="Q299" si="102">SUM(N299:P299)</f>
        <v>11660</v>
      </c>
      <c r="R299" s="59">
        <f t="shared" si="66"/>
        <v>93850</v>
      </c>
    </row>
    <row r="300" spans="1:20" ht="15.75" customHeight="1" x14ac:dyDescent="0.3">
      <c r="A300" s="15" t="s">
        <v>64</v>
      </c>
      <c r="B300" s="1"/>
      <c r="C300" s="1"/>
      <c r="D300" s="1"/>
      <c r="E300" s="55" t="s">
        <v>7</v>
      </c>
      <c r="F300" s="1"/>
      <c r="G300" s="1"/>
      <c r="H300" s="1"/>
      <c r="I300" s="55" t="s">
        <v>7</v>
      </c>
      <c r="J300" s="1"/>
      <c r="K300" s="1"/>
      <c r="L300" s="1"/>
      <c r="M300" s="55" t="s">
        <v>7</v>
      </c>
      <c r="N300" s="1"/>
      <c r="O300" s="1"/>
      <c r="P300" s="1"/>
      <c r="Q300" s="55" t="s">
        <v>7</v>
      </c>
      <c r="R300" s="55" t="s">
        <v>7</v>
      </c>
    </row>
    <row r="301" spans="1:20" ht="15.75" customHeight="1" x14ac:dyDescent="0.3">
      <c r="A301" s="15" t="s">
        <v>594</v>
      </c>
      <c r="B301" s="1"/>
      <c r="C301" s="1"/>
      <c r="D301" s="1"/>
      <c r="E301" s="55" t="s">
        <v>7</v>
      </c>
      <c r="F301" s="1"/>
      <c r="G301" s="1"/>
      <c r="H301" s="1"/>
      <c r="I301" s="55" t="s">
        <v>7</v>
      </c>
      <c r="J301" s="1"/>
      <c r="K301" s="1"/>
      <c r="L301" s="1"/>
      <c r="M301" s="55" t="s">
        <v>7</v>
      </c>
      <c r="N301" s="1"/>
      <c r="O301" s="1"/>
      <c r="P301" s="1"/>
      <c r="Q301" s="55" t="s">
        <v>7</v>
      </c>
      <c r="R301" s="55" t="s">
        <v>7</v>
      </c>
    </row>
    <row r="302" spans="1:20" ht="15.75" customHeight="1" x14ac:dyDescent="0.3">
      <c r="A302" s="346" t="s">
        <v>899</v>
      </c>
      <c r="B302" s="1"/>
      <c r="C302" s="1"/>
      <c r="D302" s="1"/>
      <c r="E302" s="55">
        <f>SUM(B302:D302)</f>
        <v>0</v>
      </c>
      <c r="F302" s="1"/>
      <c r="G302" s="1"/>
      <c r="H302" s="1"/>
      <c r="I302" s="55">
        <f>SUM(F302:H302)</f>
        <v>0</v>
      </c>
      <c r="J302" s="1"/>
      <c r="K302" s="1"/>
      <c r="L302" s="1"/>
      <c r="M302" s="55">
        <f>SUM(J302:L302)</f>
        <v>0</v>
      </c>
      <c r="N302" s="1"/>
      <c r="O302" s="1"/>
      <c r="P302" s="1"/>
      <c r="Q302" s="55">
        <f>SUM(N302:P302)</f>
        <v>0</v>
      </c>
      <c r="R302" s="55">
        <f>+E302+I302+M302+Q302</f>
        <v>0</v>
      </c>
      <c r="T302" s="4" t="s">
        <v>822</v>
      </c>
    </row>
    <row r="303" spans="1:20" ht="15.75" customHeight="1" x14ac:dyDescent="0.3">
      <c r="A303" s="85" t="s">
        <v>1293</v>
      </c>
      <c r="B303" s="1"/>
      <c r="C303" s="1"/>
      <c r="D303" s="1"/>
      <c r="E303" s="55">
        <f>SUM(B303:D303)</f>
        <v>0</v>
      </c>
      <c r="F303" s="1"/>
      <c r="G303" s="1"/>
      <c r="H303" s="1"/>
      <c r="I303" s="55">
        <f>SUM(F303:H303)</f>
        <v>0</v>
      </c>
      <c r="J303" s="1"/>
      <c r="K303" s="1"/>
      <c r="L303" s="1"/>
      <c r="M303" s="55">
        <f>SUM(J303:L303)</f>
        <v>0</v>
      </c>
      <c r="N303" s="1"/>
      <c r="O303" s="1"/>
      <c r="P303" s="1"/>
      <c r="Q303" s="55">
        <f>SUM(N303:P303)</f>
        <v>0</v>
      </c>
      <c r="R303" s="55">
        <f>+E303+I303+M303+Q303</f>
        <v>0</v>
      </c>
      <c r="T303" s="4" t="s">
        <v>818</v>
      </c>
    </row>
    <row r="304" spans="1:20" ht="15.75" customHeight="1" x14ac:dyDescent="0.3">
      <c r="A304" s="85" t="s">
        <v>1294</v>
      </c>
      <c r="B304" s="1"/>
      <c r="C304" s="1"/>
      <c r="D304" s="1"/>
      <c r="E304" s="55">
        <f>SUM(B304:D304)</f>
        <v>0</v>
      </c>
      <c r="F304" s="1"/>
      <c r="G304" s="1"/>
      <c r="H304" s="1"/>
      <c r="I304" s="55">
        <f>SUM(F304:H304)</f>
        <v>0</v>
      </c>
      <c r="J304" s="1"/>
      <c r="K304" s="1"/>
      <c r="L304" s="1"/>
      <c r="M304" s="55">
        <f>SUM(J304:L304)</f>
        <v>0</v>
      </c>
      <c r="N304" s="1"/>
      <c r="O304" s="1"/>
      <c r="P304" s="1"/>
      <c r="Q304" s="55">
        <f>SUM(N304:P304)</f>
        <v>0</v>
      </c>
      <c r="R304" s="55">
        <f>+E304+I304+M304+Q304</f>
        <v>0</v>
      </c>
      <c r="T304" s="4" t="s">
        <v>819</v>
      </c>
    </row>
    <row r="305" spans="1:20" ht="15.75" customHeight="1" x14ac:dyDescent="0.3">
      <c r="A305" s="15" t="s">
        <v>67</v>
      </c>
      <c r="B305" s="1"/>
      <c r="C305" s="1"/>
      <c r="D305" s="1"/>
      <c r="E305" s="55" t="s">
        <v>7</v>
      </c>
      <c r="F305" s="1"/>
      <c r="G305" s="1"/>
      <c r="H305" s="1"/>
      <c r="I305" s="55" t="s">
        <v>7</v>
      </c>
      <c r="J305" s="1"/>
      <c r="K305" s="1"/>
      <c r="L305" s="1"/>
      <c r="M305" s="55" t="s">
        <v>7</v>
      </c>
      <c r="N305" s="1"/>
      <c r="O305" s="1"/>
      <c r="P305" s="1"/>
      <c r="Q305" s="55" t="s">
        <v>7</v>
      </c>
      <c r="R305" s="55" t="s">
        <v>7</v>
      </c>
    </row>
    <row r="306" spans="1:20" ht="15.75" customHeight="1" x14ac:dyDescent="0.3">
      <c r="A306" s="85" t="s">
        <v>900</v>
      </c>
      <c r="B306" s="1"/>
      <c r="C306" s="1"/>
      <c r="D306" s="1"/>
      <c r="E306" s="55">
        <f>SUM(B306:D306)</f>
        <v>0</v>
      </c>
      <c r="F306" s="1"/>
      <c r="G306" s="1"/>
      <c r="H306" s="1"/>
      <c r="I306" s="55">
        <f>SUM(F306:H306)</f>
        <v>0</v>
      </c>
      <c r="J306" s="1"/>
      <c r="K306" s="1"/>
      <c r="L306" s="1"/>
      <c r="M306" s="55">
        <f>SUM(J306:L306)</f>
        <v>0</v>
      </c>
      <c r="N306" s="1"/>
      <c r="O306" s="1"/>
      <c r="P306" s="1"/>
      <c r="Q306" s="55">
        <f>SUM(N306:P306)</f>
        <v>0</v>
      </c>
      <c r="R306" s="55">
        <f>+E306+I306+M306+Q306</f>
        <v>0</v>
      </c>
    </row>
    <row r="307" spans="1:20" ht="15.75" customHeight="1" x14ac:dyDescent="0.3">
      <c r="A307" s="85" t="s">
        <v>901</v>
      </c>
      <c r="B307" s="1"/>
      <c r="C307" s="1"/>
      <c r="D307" s="1"/>
      <c r="E307" s="55">
        <f>SUM(B307:D307)</f>
        <v>0</v>
      </c>
      <c r="F307" s="1"/>
      <c r="G307" s="1"/>
      <c r="H307" s="1"/>
      <c r="I307" s="55">
        <f>SUM(F307:H307)</f>
        <v>0</v>
      </c>
      <c r="J307" s="1"/>
      <c r="K307" s="1"/>
      <c r="L307" s="1"/>
      <c r="M307" s="55">
        <f>SUM(J307:L307)</f>
        <v>0</v>
      </c>
      <c r="N307" s="1"/>
      <c r="O307" s="1"/>
      <c r="P307" s="1"/>
      <c r="Q307" s="55">
        <f>SUM(N307:P307)</f>
        <v>0</v>
      </c>
      <c r="R307" s="55">
        <f>+E307+I307+M307+Q307</f>
        <v>0</v>
      </c>
      <c r="T307" s="4">
        <f>24000-SUM(R157,R161,R181,R184,R198,R216,R252,R254,R276,R303,R306,R307)</f>
        <v>5441</v>
      </c>
    </row>
    <row r="308" spans="1:20" ht="15.75" customHeight="1" x14ac:dyDescent="0.3">
      <c r="A308" s="71" t="s">
        <v>902</v>
      </c>
      <c r="B308" s="1"/>
      <c r="C308" s="1"/>
      <c r="D308" s="1"/>
      <c r="E308" s="55">
        <f t="shared" ref="E308:E313" si="103">SUM(B308:D308)</f>
        <v>0</v>
      </c>
      <c r="F308" s="1"/>
      <c r="G308" s="1"/>
      <c r="H308" s="1"/>
      <c r="I308" s="55">
        <f t="shared" ref="I308:I313" si="104">SUM(F308:H308)</f>
        <v>0</v>
      </c>
      <c r="J308" s="1"/>
      <c r="K308" s="1"/>
      <c r="L308" s="1"/>
      <c r="M308" s="55">
        <f t="shared" ref="M308:M313" si="105">SUM(J308:L308)</f>
        <v>0</v>
      </c>
      <c r="N308" s="1"/>
      <c r="O308" s="1"/>
      <c r="P308" s="1"/>
      <c r="Q308" s="55">
        <f t="shared" ref="Q308:Q313" si="106">SUM(N308:P308)</f>
        <v>0</v>
      </c>
      <c r="R308" s="55">
        <f t="shared" ref="R308:R313" si="107">+E308+I308+M308+Q308</f>
        <v>0</v>
      </c>
      <c r="S308" s="4" t="s">
        <v>821</v>
      </c>
    </row>
    <row r="309" spans="1:20" ht="15.75" customHeight="1" x14ac:dyDescent="0.3">
      <c r="A309" s="71" t="s">
        <v>713</v>
      </c>
      <c r="B309" s="1"/>
      <c r="C309" s="1"/>
      <c r="D309" s="1"/>
      <c r="E309" s="55">
        <f t="shared" si="103"/>
        <v>0</v>
      </c>
      <c r="F309" s="1"/>
      <c r="G309" s="1"/>
      <c r="H309" s="1"/>
      <c r="I309" s="55">
        <f t="shared" si="104"/>
        <v>0</v>
      </c>
      <c r="J309" s="1"/>
      <c r="K309" s="1"/>
      <c r="L309" s="1"/>
      <c r="M309" s="55">
        <f t="shared" si="105"/>
        <v>0</v>
      </c>
      <c r="N309" s="1"/>
      <c r="O309" s="1"/>
      <c r="P309" s="1"/>
      <c r="Q309" s="55">
        <f t="shared" si="106"/>
        <v>0</v>
      </c>
      <c r="R309" s="55">
        <f t="shared" si="107"/>
        <v>0</v>
      </c>
    </row>
    <row r="310" spans="1:20" ht="15.75" customHeight="1" x14ac:dyDescent="0.3">
      <c r="A310" s="84" t="s">
        <v>903</v>
      </c>
      <c r="B310" s="1"/>
      <c r="C310" s="1"/>
      <c r="D310" s="1"/>
      <c r="E310" s="55">
        <f t="shared" si="103"/>
        <v>0</v>
      </c>
      <c r="F310" s="1"/>
      <c r="G310" s="1"/>
      <c r="H310" s="1"/>
      <c r="I310" s="55">
        <f t="shared" si="104"/>
        <v>0</v>
      </c>
      <c r="J310" s="1"/>
      <c r="K310" s="1"/>
      <c r="L310" s="1"/>
      <c r="M310" s="55">
        <f t="shared" si="105"/>
        <v>0</v>
      </c>
      <c r="N310" s="1"/>
      <c r="O310" s="1"/>
      <c r="P310" s="1"/>
      <c r="Q310" s="55">
        <f t="shared" si="106"/>
        <v>0</v>
      </c>
      <c r="R310" s="55">
        <f t="shared" si="107"/>
        <v>0</v>
      </c>
    </row>
    <row r="311" spans="1:20" ht="15.75" customHeight="1" x14ac:dyDescent="0.3">
      <c r="A311" s="84" t="s">
        <v>715</v>
      </c>
      <c r="B311" s="1"/>
      <c r="C311" s="1"/>
      <c r="D311" s="1"/>
      <c r="E311" s="55">
        <f t="shared" si="103"/>
        <v>0</v>
      </c>
      <c r="F311" s="1"/>
      <c r="G311" s="1"/>
      <c r="H311" s="1"/>
      <c r="I311" s="55">
        <f t="shared" si="104"/>
        <v>0</v>
      </c>
      <c r="J311" s="1"/>
      <c r="K311" s="1"/>
      <c r="L311" s="1"/>
      <c r="M311" s="55">
        <f t="shared" si="105"/>
        <v>0</v>
      </c>
      <c r="N311" s="1"/>
      <c r="O311" s="1"/>
      <c r="P311" s="1"/>
      <c r="Q311" s="55">
        <f t="shared" si="106"/>
        <v>0</v>
      </c>
      <c r="R311" s="55">
        <f t="shared" si="107"/>
        <v>0</v>
      </c>
    </row>
    <row r="312" spans="1:20" ht="15.75" customHeight="1" x14ac:dyDescent="0.3">
      <c r="A312" s="61" t="s">
        <v>716</v>
      </c>
      <c r="B312" s="1"/>
      <c r="C312" s="1"/>
      <c r="D312" s="1"/>
      <c r="E312" s="55">
        <f t="shared" si="103"/>
        <v>0</v>
      </c>
      <c r="F312" s="1"/>
      <c r="G312" s="1"/>
      <c r="H312" s="1"/>
      <c r="I312" s="55">
        <f t="shared" si="104"/>
        <v>0</v>
      </c>
      <c r="J312" s="1"/>
      <c r="K312" s="1"/>
      <c r="L312" s="1"/>
      <c r="M312" s="55">
        <f t="shared" si="105"/>
        <v>0</v>
      </c>
      <c r="N312" s="1"/>
      <c r="O312" s="1"/>
      <c r="P312" s="1"/>
      <c r="Q312" s="55">
        <f t="shared" si="106"/>
        <v>0</v>
      </c>
      <c r="R312" s="55">
        <f t="shared" si="107"/>
        <v>0</v>
      </c>
    </row>
    <row r="313" spans="1:20" ht="15.75" customHeight="1" x14ac:dyDescent="0.3">
      <c r="A313" s="61" t="s">
        <v>717</v>
      </c>
      <c r="B313" s="1"/>
      <c r="C313" s="1"/>
      <c r="D313" s="1"/>
      <c r="E313" s="55">
        <f t="shared" si="103"/>
        <v>0</v>
      </c>
      <c r="F313" s="1"/>
      <c r="G313" s="1"/>
      <c r="H313" s="1"/>
      <c r="I313" s="55">
        <f t="shared" si="104"/>
        <v>0</v>
      </c>
      <c r="J313" s="1"/>
      <c r="K313" s="1"/>
      <c r="L313" s="1"/>
      <c r="M313" s="55">
        <f t="shared" si="105"/>
        <v>0</v>
      </c>
      <c r="N313" s="1"/>
      <c r="O313" s="1"/>
      <c r="P313" s="1"/>
      <c r="Q313" s="55">
        <f t="shared" si="106"/>
        <v>0</v>
      </c>
      <c r="R313" s="55">
        <f t="shared" si="107"/>
        <v>0</v>
      </c>
    </row>
    <row r="314" spans="1:20" ht="15.75" customHeight="1" x14ac:dyDescent="0.3">
      <c r="A314" s="15" t="s">
        <v>600</v>
      </c>
      <c r="B314" s="1"/>
      <c r="C314" s="1"/>
      <c r="D314" s="1"/>
      <c r="E314" s="55" t="s">
        <v>7</v>
      </c>
      <c r="F314" s="1"/>
      <c r="G314" s="1"/>
      <c r="H314" s="1"/>
      <c r="I314" s="55" t="s">
        <v>7</v>
      </c>
      <c r="J314" s="1"/>
      <c r="K314" s="1"/>
      <c r="L314" s="1"/>
      <c r="M314" s="55" t="s">
        <v>7</v>
      </c>
      <c r="N314" s="1"/>
      <c r="O314" s="1"/>
      <c r="P314" s="1"/>
      <c r="Q314" s="55" t="s">
        <v>7</v>
      </c>
      <c r="R314" s="55" t="s">
        <v>7</v>
      </c>
    </row>
    <row r="315" spans="1:20" ht="15.75" customHeight="1" x14ac:dyDescent="0.3">
      <c r="A315" s="85" t="s">
        <v>1295</v>
      </c>
      <c r="B315" s="1"/>
      <c r="C315" s="1"/>
      <c r="D315" s="1"/>
      <c r="E315" s="55">
        <f t="shared" ref="E315" si="108">SUM(B315:D315)</f>
        <v>0</v>
      </c>
      <c r="F315" s="1"/>
      <c r="G315" s="1"/>
      <c r="H315" s="1"/>
      <c r="I315" s="55">
        <f t="shared" ref="I315" si="109">SUM(F315:H315)</f>
        <v>0</v>
      </c>
      <c r="J315" s="1"/>
      <c r="K315" s="1"/>
      <c r="L315" s="1"/>
      <c r="M315" s="55">
        <f t="shared" ref="M315" si="110">SUM(J315:L315)</f>
        <v>0</v>
      </c>
      <c r="N315" s="1"/>
      <c r="O315" s="1"/>
      <c r="P315" s="1"/>
      <c r="Q315" s="55">
        <f t="shared" ref="Q315" si="111">SUM(N315:P315)</f>
        <v>0</v>
      </c>
      <c r="R315" s="55">
        <f t="shared" ref="R315" si="112">+E315+I315+M315+Q315</f>
        <v>0</v>
      </c>
    </row>
    <row r="316" spans="1:20" ht="15.75" customHeight="1" x14ac:dyDescent="0.3">
      <c r="A316" s="15" t="s">
        <v>70</v>
      </c>
      <c r="B316" s="1"/>
      <c r="C316" s="1"/>
      <c r="D316" s="1"/>
      <c r="E316" s="55" t="s">
        <v>7</v>
      </c>
      <c r="F316" s="1"/>
      <c r="G316" s="1"/>
      <c r="H316" s="1"/>
      <c r="I316" s="55" t="s">
        <v>7</v>
      </c>
      <c r="J316" s="1"/>
      <c r="K316" s="1"/>
      <c r="L316" s="1"/>
      <c r="M316" s="55" t="s">
        <v>7</v>
      </c>
      <c r="N316" s="1"/>
      <c r="O316" s="1"/>
      <c r="P316" s="1"/>
      <c r="Q316" s="55" t="s">
        <v>7</v>
      </c>
      <c r="R316" s="55" t="s">
        <v>7</v>
      </c>
    </row>
    <row r="317" spans="1:20" ht="15.75" customHeight="1" thickBot="1" x14ac:dyDescent="0.35">
      <c r="A317" s="71" t="s">
        <v>904</v>
      </c>
      <c r="B317" s="1"/>
      <c r="C317" s="1"/>
      <c r="D317" s="1"/>
      <c r="E317" s="55">
        <f t="shared" ref="E317" si="113">SUM(B317:D317)</f>
        <v>0</v>
      </c>
      <c r="F317" s="1"/>
      <c r="G317" s="1"/>
      <c r="H317" s="1"/>
      <c r="I317" s="55">
        <f t="shared" ref="I317:I326" si="114">SUM(F317:H317)</f>
        <v>0</v>
      </c>
      <c r="J317" s="1"/>
      <c r="K317" s="1"/>
      <c r="L317" s="1"/>
      <c r="M317" s="55">
        <f t="shared" ref="M317:M326" si="115">SUM(J317:L317)</f>
        <v>0</v>
      </c>
      <c r="N317" s="1"/>
      <c r="O317" s="1"/>
      <c r="P317" s="1"/>
      <c r="Q317" s="55">
        <f t="shared" ref="Q317:Q326" si="116">SUM(N317:P317)</f>
        <v>0</v>
      </c>
      <c r="R317" s="55">
        <f t="shared" ref="R317:R326" si="117">+E317+I317+M317+Q317</f>
        <v>0</v>
      </c>
      <c r="S317" s="4" t="s">
        <v>821</v>
      </c>
    </row>
    <row r="318" spans="1:20" ht="16.5" customHeight="1" thickBot="1" x14ac:dyDescent="0.35">
      <c r="A318" s="57" t="s">
        <v>71</v>
      </c>
      <c r="B318" s="58">
        <f>SUM(B314:B317)</f>
        <v>0</v>
      </c>
      <c r="C318" s="58">
        <f>SUM(C314:C317)</f>
        <v>0</v>
      </c>
      <c r="D318" s="58">
        <f>SUM(D314:D317)</f>
        <v>0</v>
      </c>
      <c r="E318" s="60">
        <f t="shared" ref="E318:E323" si="118">SUM(B318:D318)</f>
        <v>0</v>
      </c>
      <c r="F318" s="58">
        <f>SUM(F314:F317)</f>
        <v>0</v>
      </c>
      <c r="G318" s="58">
        <f>SUM(G314:G317)</f>
        <v>0</v>
      </c>
      <c r="H318" s="58">
        <f>SUM(H314:H317)</f>
        <v>0</v>
      </c>
      <c r="I318" s="60">
        <f t="shared" si="114"/>
        <v>0</v>
      </c>
      <c r="J318" s="58">
        <f>SUM(J314:J317)</f>
        <v>0</v>
      </c>
      <c r="K318" s="58">
        <f>SUM(K314:K317)</f>
        <v>0</v>
      </c>
      <c r="L318" s="58">
        <f>SUM(L314:L317)</f>
        <v>0</v>
      </c>
      <c r="M318" s="60">
        <f t="shared" si="115"/>
        <v>0</v>
      </c>
      <c r="N318" s="58">
        <f>SUM(N314:N317)</f>
        <v>0</v>
      </c>
      <c r="O318" s="58">
        <f>SUM(O314:O317)</f>
        <v>0</v>
      </c>
      <c r="P318" s="58">
        <f>SUM(P314:P317)</f>
        <v>0</v>
      </c>
      <c r="Q318" s="60">
        <f t="shared" si="116"/>
        <v>0</v>
      </c>
      <c r="R318" s="59">
        <f t="shared" si="117"/>
        <v>0</v>
      </c>
    </row>
    <row r="319" spans="1:20" ht="16.5" customHeight="1" thickBot="1" x14ac:dyDescent="0.35">
      <c r="A319" s="57" t="s">
        <v>72</v>
      </c>
      <c r="B319" s="86">
        <f>SUM(B300:B317)</f>
        <v>0</v>
      </c>
      <c r="C319" s="87">
        <f>SUM(C300:C317)</f>
        <v>0</v>
      </c>
      <c r="D319" s="87">
        <f>SUM(D300:D317)</f>
        <v>0</v>
      </c>
      <c r="E319" s="59">
        <f t="shared" si="118"/>
        <v>0</v>
      </c>
      <c r="F319" s="87">
        <f>SUM(F300:F317)</f>
        <v>0</v>
      </c>
      <c r="G319" s="87">
        <f>SUM(G300:G317)</f>
        <v>0</v>
      </c>
      <c r="H319" s="87">
        <f>SUM(H300:H317)</f>
        <v>0</v>
      </c>
      <c r="I319" s="59">
        <f t="shared" si="114"/>
        <v>0</v>
      </c>
      <c r="J319" s="87">
        <f>SUM(J300:J317)</f>
        <v>0</v>
      </c>
      <c r="K319" s="87">
        <f>SUM(K300:K317)</f>
        <v>0</v>
      </c>
      <c r="L319" s="87">
        <f>SUM(L300:L317)</f>
        <v>0</v>
      </c>
      <c r="M319" s="59">
        <f t="shared" si="115"/>
        <v>0</v>
      </c>
      <c r="N319" s="87">
        <f>SUM(N300:N317)</f>
        <v>0</v>
      </c>
      <c r="O319" s="87">
        <f>SUM(O300:O317)</f>
        <v>0</v>
      </c>
      <c r="P319" s="87">
        <f>SUM(P300:P317)</f>
        <v>0</v>
      </c>
      <c r="Q319" s="59">
        <f t="shared" si="116"/>
        <v>0</v>
      </c>
      <c r="R319" s="59">
        <f t="shared" si="117"/>
        <v>0</v>
      </c>
    </row>
    <row r="320" spans="1:20" ht="16.5" customHeight="1" thickBot="1" x14ac:dyDescent="0.35">
      <c r="A320" s="57" t="s">
        <v>73</v>
      </c>
      <c r="B320" s="90">
        <f>+B220+B227+B299+B319</f>
        <v>22797</v>
      </c>
      <c r="C320" s="58">
        <f>+C220+C227+C299+C319</f>
        <v>21761</v>
      </c>
      <c r="D320" s="58">
        <f>+D220+D227+D299+D319</f>
        <v>22633</v>
      </c>
      <c r="E320" s="81">
        <f t="shared" si="118"/>
        <v>67191</v>
      </c>
      <c r="F320" s="58">
        <f>+F220+F227+F299+F319</f>
        <v>33787</v>
      </c>
      <c r="G320" s="58">
        <f>+G220+G227+G299+G319</f>
        <v>43163</v>
      </c>
      <c r="H320" s="58">
        <f>+H220+H227+H299+H319</f>
        <v>48659</v>
      </c>
      <c r="I320" s="81">
        <f t="shared" si="114"/>
        <v>125609</v>
      </c>
      <c r="J320" s="58">
        <f>+J220+J227+J299+J319</f>
        <v>46339</v>
      </c>
      <c r="K320" s="58">
        <f>+K220+K227+K299+K319</f>
        <v>45829</v>
      </c>
      <c r="L320" s="58">
        <f>+L220+L227+L299+L319</f>
        <v>35818</v>
      </c>
      <c r="M320" s="81">
        <f t="shared" si="115"/>
        <v>127986</v>
      </c>
      <c r="N320" s="58">
        <f>+N220+N227+N299+N319</f>
        <v>30706</v>
      </c>
      <c r="O320" s="58">
        <f>+O220+O227+O299+O319</f>
        <v>23795</v>
      </c>
      <c r="P320" s="58">
        <f>+P220+P227+P299+P319</f>
        <v>19459</v>
      </c>
      <c r="Q320" s="81">
        <f t="shared" si="116"/>
        <v>73960</v>
      </c>
      <c r="R320" s="81">
        <f t="shared" si="117"/>
        <v>394746</v>
      </c>
    </row>
    <row r="321" spans="1:20" ht="15.75" customHeight="1" x14ac:dyDescent="0.3">
      <c r="A321" s="88" t="s">
        <v>905</v>
      </c>
      <c r="B321" s="1"/>
      <c r="C321" s="1">
        <v>883</v>
      </c>
      <c r="D321" s="1">
        <v>640</v>
      </c>
      <c r="E321" s="55">
        <f t="shared" si="118"/>
        <v>1523</v>
      </c>
      <c r="F321" s="1">
        <v>618</v>
      </c>
      <c r="G321" s="1">
        <v>1718</v>
      </c>
      <c r="H321" s="1">
        <v>2967</v>
      </c>
      <c r="I321" s="55">
        <f t="shared" si="114"/>
        <v>5303</v>
      </c>
      <c r="J321" s="1">
        <v>3280</v>
      </c>
      <c r="K321" s="1">
        <v>2626</v>
      </c>
      <c r="L321" s="1">
        <v>2888</v>
      </c>
      <c r="M321" s="55">
        <f t="shared" si="115"/>
        <v>8794</v>
      </c>
      <c r="N321" s="1">
        <v>6084</v>
      </c>
      <c r="O321" s="1">
        <v>4262</v>
      </c>
      <c r="P321" s="1">
        <v>1870</v>
      </c>
      <c r="Q321" s="55">
        <f t="shared" si="116"/>
        <v>12216</v>
      </c>
      <c r="R321" s="55">
        <f t="shared" si="117"/>
        <v>27836</v>
      </c>
      <c r="S321" s="344"/>
      <c r="T321" s="4" t="s">
        <v>812</v>
      </c>
    </row>
    <row r="322" spans="1:20" ht="15.75" customHeight="1" x14ac:dyDescent="0.3">
      <c r="A322" s="91" t="s">
        <v>193</v>
      </c>
      <c r="B322" s="1"/>
      <c r="C322" s="1"/>
      <c r="D322" s="1">
        <v>454</v>
      </c>
      <c r="E322" s="55">
        <f t="shared" si="118"/>
        <v>454</v>
      </c>
      <c r="F322" s="1">
        <v>2393</v>
      </c>
      <c r="G322" s="1">
        <v>12158</v>
      </c>
      <c r="H322" s="1">
        <v>-5139</v>
      </c>
      <c r="I322" s="55">
        <f t="shared" si="114"/>
        <v>9412</v>
      </c>
      <c r="J322" s="1">
        <v>-5004</v>
      </c>
      <c r="K322" s="1">
        <v>-1676</v>
      </c>
      <c r="L322" s="1"/>
      <c r="M322" s="55">
        <f t="shared" si="115"/>
        <v>-6680</v>
      </c>
      <c r="N322" s="1"/>
      <c r="O322" s="1"/>
      <c r="P322" s="1"/>
      <c r="Q322" s="55">
        <f t="shared" si="116"/>
        <v>0</v>
      </c>
      <c r="R322" s="55">
        <f t="shared" si="117"/>
        <v>3186</v>
      </c>
    </row>
    <row r="323" spans="1:20" ht="15.75" customHeight="1" x14ac:dyDescent="0.3">
      <c r="A323" s="71" t="s">
        <v>718</v>
      </c>
      <c r="B323" s="1"/>
      <c r="C323" s="1"/>
      <c r="D323" s="1"/>
      <c r="E323" s="55">
        <f t="shared" si="118"/>
        <v>0</v>
      </c>
      <c r="F323" s="1"/>
      <c r="G323" s="1"/>
      <c r="H323" s="1"/>
      <c r="I323" s="55">
        <f t="shared" si="114"/>
        <v>0</v>
      </c>
      <c r="J323" s="1"/>
      <c r="K323" s="1"/>
      <c r="L323" s="1"/>
      <c r="M323" s="55">
        <f t="shared" si="115"/>
        <v>0</v>
      </c>
      <c r="N323" s="1"/>
      <c r="O323" s="1"/>
      <c r="P323" s="1"/>
      <c r="Q323" s="55">
        <f t="shared" si="116"/>
        <v>0</v>
      </c>
      <c r="R323" s="55">
        <f t="shared" si="117"/>
        <v>0</v>
      </c>
    </row>
    <row r="324" spans="1:20" ht="15.75" customHeight="1" x14ac:dyDescent="0.3">
      <c r="A324" s="91" t="s">
        <v>195</v>
      </c>
      <c r="B324" s="1">
        <v>23</v>
      </c>
      <c r="C324" s="1">
        <v>67</v>
      </c>
      <c r="D324" s="1">
        <v>18</v>
      </c>
      <c r="E324" s="55">
        <f>SUM(B324:D324)</f>
        <v>108</v>
      </c>
      <c r="F324" s="1">
        <v>33</v>
      </c>
      <c r="G324" s="1">
        <v>45</v>
      </c>
      <c r="H324" s="1">
        <v>51</v>
      </c>
      <c r="I324" s="55">
        <f>SUM(F324:H324)</f>
        <v>129</v>
      </c>
      <c r="J324" s="1">
        <v>39</v>
      </c>
      <c r="K324" s="1">
        <v>21</v>
      </c>
      <c r="L324" s="1">
        <v>26</v>
      </c>
      <c r="M324" s="55">
        <f>SUM(J324:L324)</f>
        <v>86</v>
      </c>
      <c r="N324" s="1">
        <v>28</v>
      </c>
      <c r="O324" s="1">
        <v>41</v>
      </c>
      <c r="P324" s="1">
        <v>49</v>
      </c>
      <c r="Q324" s="55">
        <f>SUM(N324:P324)</f>
        <v>118</v>
      </c>
      <c r="R324" s="55">
        <f t="shared" si="117"/>
        <v>441</v>
      </c>
    </row>
    <row r="325" spans="1:20" ht="15.75" customHeight="1" x14ac:dyDescent="0.3">
      <c r="A325" s="84" t="s">
        <v>196</v>
      </c>
      <c r="B325" s="1">
        <v>20718</v>
      </c>
      <c r="C325" s="1">
        <v>2716</v>
      </c>
      <c r="D325" s="1">
        <v>23196</v>
      </c>
      <c r="E325" s="55">
        <f t="shared" ref="E325" si="119">SUM(B325:D325)</f>
        <v>46630</v>
      </c>
      <c r="F325" s="1">
        <v>3618</v>
      </c>
      <c r="G325" s="1"/>
      <c r="H325" s="1"/>
      <c r="I325" s="55">
        <f t="shared" ref="I325" si="120">SUM(F325:H325)</f>
        <v>3618</v>
      </c>
      <c r="J325" s="1"/>
      <c r="K325" s="1">
        <v>5</v>
      </c>
      <c r="L325" s="1">
        <v>33393</v>
      </c>
      <c r="M325" s="55">
        <f t="shared" ref="M325" si="121">SUM(J325:L325)</f>
        <v>33398</v>
      </c>
      <c r="N325" s="1">
        <v>61538</v>
      </c>
      <c r="O325" s="1">
        <v>65150</v>
      </c>
      <c r="P325" s="1">
        <v>77761</v>
      </c>
      <c r="Q325" s="55">
        <f t="shared" si="116"/>
        <v>204449</v>
      </c>
      <c r="R325" s="55">
        <f t="shared" si="117"/>
        <v>288095</v>
      </c>
    </row>
    <row r="326" spans="1:20" ht="16.5" customHeight="1" thickBot="1" x14ac:dyDescent="0.35">
      <c r="A326" s="39" t="s">
        <v>40</v>
      </c>
      <c r="B326" s="21">
        <v>104</v>
      </c>
      <c r="C326" s="21">
        <v>268</v>
      </c>
      <c r="D326" s="21">
        <v>474</v>
      </c>
      <c r="E326" s="55">
        <f>SUM(B326:D326)</f>
        <v>846</v>
      </c>
      <c r="F326" s="21">
        <v>647</v>
      </c>
      <c r="G326" s="21">
        <v>742</v>
      </c>
      <c r="H326" s="21">
        <v>781</v>
      </c>
      <c r="I326" s="55">
        <f t="shared" si="114"/>
        <v>2170</v>
      </c>
      <c r="J326" s="21">
        <v>774</v>
      </c>
      <c r="K326" s="21">
        <v>596</v>
      </c>
      <c r="L326" s="21">
        <v>546</v>
      </c>
      <c r="M326" s="55">
        <f t="shared" si="115"/>
        <v>1916</v>
      </c>
      <c r="N326" s="21">
        <v>517</v>
      </c>
      <c r="O326" s="21">
        <v>413</v>
      </c>
      <c r="P326" s="21">
        <v>302</v>
      </c>
      <c r="Q326" s="55">
        <f t="shared" si="116"/>
        <v>1232</v>
      </c>
      <c r="R326" s="55">
        <f t="shared" si="117"/>
        <v>6164</v>
      </c>
    </row>
    <row r="327" spans="1:20" ht="16.5" customHeight="1" thickBot="1" x14ac:dyDescent="0.35">
      <c r="A327" s="74"/>
      <c r="B327" s="75"/>
      <c r="C327" s="75"/>
      <c r="D327" s="75"/>
      <c r="E327" s="60"/>
      <c r="F327" s="75"/>
      <c r="G327" s="75"/>
      <c r="H327" s="75"/>
      <c r="I327" s="59"/>
      <c r="J327" s="75"/>
      <c r="K327" s="75"/>
      <c r="L327" s="75"/>
      <c r="M327" s="59"/>
      <c r="N327" s="75"/>
      <c r="O327" s="75"/>
      <c r="P327" s="75"/>
      <c r="Q327" s="59"/>
      <c r="R327" s="59" t="s">
        <v>7</v>
      </c>
    </row>
    <row r="328" spans="1:20" ht="15.75" customHeight="1" x14ac:dyDescent="0.3">
      <c r="A328" s="76" t="s">
        <v>41</v>
      </c>
      <c r="B328" s="77">
        <f>SUM(B320:B326)</f>
        <v>43642</v>
      </c>
      <c r="C328" s="77">
        <f>SUM(C320:C326)</f>
        <v>25695</v>
      </c>
      <c r="D328" s="77">
        <f>SUM(D320:D326)</f>
        <v>47415</v>
      </c>
      <c r="E328" s="60">
        <f>SUM(B328:D328)</f>
        <v>116752</v>
      </c>
      <c r="F328" s="77">
        <f>SUM(F320:F326)</f>
        <v>41096</v>
      </c>
      <c r="G328" s="77">
        <f>SUM(G320:G326)</f>
        <v>57826</v>
      </c>
      <c r="H328" s="77">
        <f>SUM(H320:H326)</f>
        <v>47319</v>
      </c>
      <c r="I328" s="60">
        <f>SUM(F328:H328)</f>
        <v>146241</v>
      </c>
      <c r="J328" s="77">
        <f>SUM(J320:J326)</f>
        <v>45428</v>
      </c>
      <c r="K328" s="77">
        <f>SUM(K320:K326)</f>
        <v>47401</v>
      </c>
      <c r="L328" s="77">
        <f>SUM(L320:L326)</f>
        <v>72671</v>
      </c>
      <c r="M328" s="60">
        <f>SUM(J328:L328)</f>
        <v>165500</v>
      </c>
      <c r="N328" s="77">
        <f>SUM(N320:N326)</f>
        <v>98873</v>
      </c>
      <c r="O328" s="77">
        <f>SUM(O320:O326)</f>
        <v>93661</v>
      </c>
      <c r="P328" s="77">
        <f>SUM(P320:P326)</f>
        <v>99441</v>
      </c>
      <c r="Q328" s="92">
        <f>SUM(N328:P328)</f>
        <v>291975</v>
      </c>
      <c r="R328" s="60">
        <f>+E328+I328+M328+Q328</f>
        <v>720468</v>
      </c>
    </row>
    <row r="329" spans="1:20" ht="15.75" customHeight="1" x14ac:dyDescent="0.3">
      <c r="A329" s="79" t="s">
        <v>42</v>
      </c>
      <c r="B329" s="1">
        <f>(B328/B10)/1.983</f>
        <v>709.93769622435855</v>
      </c>
      <c r="C329" s="1">
        <f>(C328/C10)/1.983</f>
        <v>446.81517032709058</v>
      </c>
      <c r="D329" s="1">
        <f>(D328/D10)/1.983</f>
        <v>771.31423551803221</v>
      </c>
      <c r="E329" s="55" t="s">
        <v>7</v>
      </c>
      <c r="F329" s="1">
        <f>(F328/F10)/1.983</f>
        <v>690.80517734072941</v>
      </c>
      <c r="G329" s="1">
        <f>(G328/G10)/1.983</f>
        <v>940.67314105379592</v>
      </c>
      <c r="H329" s="1">
        <f>(H328/H10)/1.983</f>
        <v>795.4109934442763</v>
      </c>
      <c r="I329" s="55" t="s">
        <v>7</v>
      </c>
      <c r="J329" s="1">
        <f>(J328/J10)/1.983</f>
        <v>738.99110178452327</v>
      </c>
      <c r="K329" s="1">
        <f>(K328/K10)/1.983</f>
        <v>771.08649325720228</v>
      </c>
      <c r="L329" s="1">
        <f>(L328/L10)/1.983</f>
        <v>1221.5666498571188</v>
      </c>
      <c r="M329" s="55" t="s">
        <v>7</v>
      </c>
      <c r="N329" s="1">
        <f>(N328/N10)/1.983</f>
        <v>1608.3971825028873</v>
      </c>
      <c r="O329" s="1">
        <f>(O328/O10)/1.983</f>
        <v>1574.3990586653217</v>
      </c>
      <c r="P329" s="1">
        <f>(P328/P10)/1.983</f>
        <v>1617.6370113708458</v>
      </c>
      <c r="Q329" s="93" t="s">
        <v>7</v>
      </c>
      <c r="R329" s="55" t="s">
        <v>7</v>
      </c>
    </row>
    <row r="330" spans="1:20" ht="15.75" customHeight="1" x14ac:dyDescent="0.3">
      <c r="A330" s="79" t="s">
        <v>197</v>
      </c>
      <c r="B330" s="1">
        <f>(+B328+B522)+B337</f>
        <v>73047</v>
      </c>
      <c r="C330" s="1">
        <f>(+C328+C522)+C337</f>
        <v>73220</v>
      </c>
      <c r="D330" s="1">
        <f>(+D328+D522)+D337</f>
        <v>93118</v>
      </c>
      <c r="E330" s="55">
        <f>SUM(B330:D330)</f>
        <v>239385</v>
      </c>
      <c r="F330" s="1">
        <f>(+F328+F522)+F337</f>
        <v>146655</v>
      </c>
      <c r="G330" s="1">
        <f>(+G328+G522)+G337</f>
        <v>171828</v>
      </c>
      <c r="H330" s="1">
        <f>(+H328+H522)+H337</f>
        <v>98377</v>
      </c>
      <c r="I330" s="55">
        <f>SUM(F330:H330)</f>
        <v>416860</v>
      </c>
      <c r="J330" s="1">
        <f>(+J328+J522)+J337</f>
        <v>62314</v>
      </c>
      <c r="K330" s="1">
        <f>(+K328+K522)+K337</f>
        <v>40585</v>
      </c>
      <c r="L330" s="1">
        <f>(+L328+L522)+L337</f>
        <v>144430</v>
      </c>
      <c r="M330" s="55">
        <f>SUM(J330:L330)</f>
        <v>247329</v>
      </c>
      <c r="N330" s="1">
        <f>(+N328+N522)+N337</f>
        <v>147583</v>
      </c>
      <c r="O330" s="1">
        <f>(+O328+O522)+O337</f>
        <v>112550</v>
      </c>
      <c r="P330" s="1">
        <f>(+P328+P522)+P337</f>
        <v>132271</v>
      </c>
      <c r="Q330" s="93">
        <f>SUM(N330:P330)</f>
        <v>392404</v>
      </c>
      <c r="R330" s="55">
        <f>+E330+I330+M330+Q330</f>
        <v>1295978</v>
      </c>
    </row>
    <row r="331" spans="1:20" ht="16.5" customHeight="1" thickBot="1" x14ac:dyDescent="0.35">
      <c r="A331" s="80" t="s">
        <v>198</v>
      </c>
      <c r="B331" s="25">
        <f>(B330/B10)/1.983</f>
        <v>1188.2777804889952</v>
      </c>
      <c r="C331" s="25">
        <f>(C330/C10)/1.983</f>
        <v>1273.2363016676231</v>
      </c>
      <c r="D331" s="25">
        <f>(D330/D10)/1.983</f>
        <v>1514.7788459974297</v>
      </c>
      <c r="E331" s="81" t="s">
        <v>7</v>
      </c>
      <c r="F331" s="25">
        <f>(F330/F10)/1.983</f>
        <v>2465.2042360060514</v>
      </c>
      <c r="G331" s="25">
        <f>(G330/G10)/1.983</f>
        <v>2795.1783709921428</v>
      </c>
      <c r="H331" s="25">
        <f>(H330/H10)/1.983</f>
        <v>1653.6728861993611</v>
      </c>
      <c r="I331" s="81" t="s">
        <v>7</v>
      </c>
      <c r="J331" s="25">
        <f>(J330/J10)/1.983</f>
        <v>1013.6808029541425</v>
      </c>
      <c r="K331" s="25">
        <f>(K330/K10)/1.983</f>
        <v>660.20854684170286</v>
      </c>
      <c r="L331" s="25">
        <f>(L330/L10)/1.983</f>
        <v>2427.8029920995123</v>
      </c>
      <c r="M331" s="81" t="s">
        <v>7</v>
      </c>
      <c r="N331" s="25">
        <f>(N330/N10)/1.983</f>
        <v>2400.7775771476909</v>
      </c>
      <c r="O331" s="25">
        <f>(O330/O10)/1.983</f>
        <v>1891.9146074970581</v>
      </c>
      <c r="P331" s="25">
        <f>(P330/P10)/1.983</f>
        <v>2151.6926130170968</v>
      </c>
      <c r="Q331" s="94" t="s">
        <v>7</v>
      </c>
      <c r="R331" s="81" t="s">
        <v>7</v>
      </c>
    </row>
    <row r="332" spans="1:20" ht="16.5" customHeight="1" thickBot="1" x14ac:dyDescent="0.35">
      <c r="A332" s="95" t="s">
        <v>199</v>
      </c>
      <c r="B332" s="96">
        <f>+(B330-(B148+B149+B150+B151+B152+B155+B157+B158+B161+B162+B163+B166+B168+B171++B177+B178+B181+B182+B184+B185+B186+B187+B188+B195+B198+B199+B200+B211+B214+B216+B217+B224+B231+B232+B234+B235+B236+B242+B249+B251+B252+B254+B255+B257+B258+B259+B264+B268+B276+B277+B280+B290+B303+B304+B306+B307+B310+B311+B315+B321+B325+B333)-B337)/(B10*1.983)</f>
        <v>699.59169066094046</v>
      </c>
      <c r="C332" s="96">
        <f>+(C330-(C148+C149+C150+C151+C152+C155+C157+C158+C161+C162+C163+C166+C168+C171++C177+C178+C181+C182+C184+C185+C186+C187+C188+C195+C198+C199+C200+C211+C214+C216+C217+C224+C231+C232+C234+C235+C236+C242+C249+C251+C252+C254+C255+C257+C258+C259+C264+C268+C276+C277+C280+C290+C303+C304+C306+C307+C310+C311+C315+C321+C325+C333)-C337)/(C10*1.983)</f>
        <v>1057.2452049315734</v>
      </c>
      <c r="D332" s="96">
        <f>+(D330-(D148+D149+D150+D151+D152+D155+D157+D158+D161+D162+D163+D166+D168+D171++D177+D178+D181+D182+D184+D185+D186+D187+D188+D195+D198+D199+D200+D211+D214+D216+D217+D224+D231+D232+D234+D235+D236+D242+D249+D251+D252+D254+D255+D257+D258+D259+D264+D268+D276+D277+D280+D290+D303+D304+D306+D307+D310+D311+D315+D321+D325+D333)-D337)/(D10*1.983)</f>
        <v>1248.271598913344</v>
      </c>
      <c r="E332" s="97"/>
      <c r="F332" s="96">
        <f>+(F330-(F148+F149+F150+F151+F152+F155+F157+F158+F161+F162+F163+F166+F168+F171++F177+F178+F181+F182+F184+F185+F186+F187+F188+F195+F198+F199+F200+F211+F214+F216+F217+F224+F231+F232+F234+F235+F236+F242+F249+F251+F252+F254+F255+F257+F258+F259+F264+F268+F276+F277+F280+F290+F303+F304+F306+F307+F310+F311+F315+F321+F325+F333)-F337)/(F10*1.983)</f>
        <v>2142.8139183055973</v>
      </c>
      <c r="G332" s="96">
        <f>+(G330-(G148+G149+G150+G151+G152+G155+G157+G158+G161+G162+G163+G166+G168+G171++G177+G178+G181+G182+G184+G185+G186+G187+G188+G195+G198+G199+G200+G211+G214+G216+G217+G224+G231+G232+G234+G235+G236+G242+G249+G251+G252+G254+G255+G257+G258+G259+G264+G268+G276+G277+G280+G290+G303+G304+G306+G307+G310+G311+G315+G321+G325+G333)-G337)/(G10*1.983)</f>
        <v>2796.5122899484322</v>
      </c>
      <c r="H332" s="96">
        <f>+(H330-(H148+H149+H150+H151+H152+H155+H157+H158+H161+H162+H163+H166+H168+H171++H177+H178+H181+H182+H184+H185+H186+H187+H188+H195+H198+H199+H200+H211+H214+H216+H217+H224+H231+H232+H234+H235+H236+H242+H249+H251+H252+H254+H255+H257+H258+H259+H264+H268+H276+H277+H280+H290+H303+H304+H306+H307+H310+H311+H315+H321+H325+H333)-H337)/(H10*1.983)</f>
        <v>2888.384602454194</v>
      </c>
      <c r="I332" s="97"/>
      <c r="J332" s="96">
        <f>+(J330-(J148+J149+J150+J151+J152+J155+J157+J158+J161+J162+J163+J166+J168+J171++J177+J178+J181+J182+J184+J185+J186+J187+J188+J195+J198+J199+J200+J211+J214+J216+J217+J224+J231+J232+J234+J235+J236+J242+J249+J251+J252+J254+J255+J257+J258+J259+J264+J268+J276+J277+J280+J290+J303+J304+J306+J307+J310+J311+J315+J321+J325+J333)-J337)/(J10*1.983)</f>
        <v>2579.2299058123076</v>
      </c>
      <c r="K332" s="96">
        <f>+(K330-(K148+K149+K150+K151+K152+K155+K157+K158+K161+K162+K163+K166+K168+K171++K177+K178+K181+K182+K184+K185+K186+K187+K188+K195+K198+K199+K200+K211+K214+K216+K217+K224+K231+K232+K234+K235+K236+K242+K249+K251+K252+K254+K255+K257+K258+K259+K264+K268+K276+K277+K280+K290+K303+K304+K306+K307+K310+K311+K315+K321+K325+K333)-K337)/(K10*1.983)</f>
        <v>2359.3122183722935</v>
      </c>
      <c r="L332" s="96">
        <f>+(L330-(L148+L149+L150+L151+L152+L155+L157+L158+L161+L162+L163+L166+L168+L171++L177+L178+L181+L182+L184+L185+L186+L187+L188+L195+L198+L199+L200+L211+L214+L216+L217+L224+L231+L232+L234+L235+L236+L242+L249+L251+L252+L254+L255+L257+L258+L259+L264+L268+L276+L277+L280+L290+L303+L304+L306+L307+L310+L311+L315+L321+L325+L333)-L337)/(L10*1.983)</f>
        <v>1679.4755421079171</v>
      </c>
      <c r="M332" s="97"/>
      <c r="N332" s="96">
        <f>+(N330-(N148+N149+N150+N151+N152+N155+N157+N158+N161+N162+N163+N166+N168+N171++N177+N178+N181+N182+N184+N185+N186+N187+N188+N195+N198+N199+N200+N211+N214+N216+N217+N224+N231+N232+N234+N235+N236+N242+N249+N251+N252+N254+N255+N257+N258+N259+N264+N268+N276+N277+N280+N290+N303+N304+N306+N307+N310+N311+N315+N321+N325+N333)-N337)/(N10*1.983)</f>
        <v>1179.4934361426967</v>
      </c>
      <c r="O332" s="96">
        <f>+(O330-(O148+O149+O150+O151+O152+O155+O157+O158+O161+O162+O163+O166+O168+O171++O177+O178+O181+O182+O184+O185+O186+O187+O188+O195+O198+O199+O200+O211+O214+O216+O217+O224+O231+O232+O234+O235+O236+O242+O249+O251+O252+O254+O255+O257+O258+O259+O264+O268+O276+O277+O280+O290+O303+O304+O306+O307+O310+O311+O315+O321+O325+O333)-O337)/(O10*1.983)</f>
        <v>718.25516893595557</v>
      </c>
      <c r="P332" s="96">
        <f>+(P330-(P148+P149+P150+P151+P152+P155+P157+P158+P161+P162+P163+P166+P168+P171++P177+P178+P181+P182+P184+P185+P186+P187+P188+P195+P198+P199+P200+P211+P214+P216+P217+P224+P231+P232+P234+P235+P236+P242+P249+P251+P252+P254+P255+P257+P258+P259+P264+P268+P276+P277+P280+P290+P303+P304+P306+P307+P310+P311+P315+P321+P325+P333)-P337)/(P10*1.983)</f>
        <v>786.45909586322443</v>
      </c>
      <c r="Q332" s="98"/>
      <c r="R332" s="97"/>
    </row>
    <row r="333" spans="1:20" ht="15.75" customHeight="1" x14ac:dyDescent="0.3">
      <c r="A333" s="299" t="s">
        <v>719</v>
      </c>
      <c r="B333" s="1">
        <v>2541</v>
      </c>
      <c r="C333" s="1">
        <v>2373</v>
      </c>
      <c r="D333" s="1">
        <v>2499</v>
      </c>
      <c r="E333" s="2">
        <f>SUM(B333:D333)</f>
        <v>7413</v>
      </c>
      <c r="F333" s="1">
        <v>2416</v>
      </c>
      <c r="G333" s="1">
        <v>2503</v>
      </c>
      <c r="H333" s="1">
        <v>2625</v>
      </c>
      <c r="I333" s="2">
        <f>SUM(F333:H333)</f>
        <v>7544</v>
      </c>
      <c r="J333" s="1">
        <v>2511</v>
      </c>
      <c r="K333" s="1">
        <v>2533</v>
      </c>
      <c r="L333" s="1">
        <v>2461</v>
      </c>
      <c r="M333" s="2">
        <f t="shared" ref="M333" si="122">SUM(J333:L333)</f>
        <v>7505</v>
      </c>
      <c r="N333" s="1">
        <v>2532</v>
      </c>
      <c r="O333" s="1">
        <v>2469</v>
      </c>
      <c r="P333" s="1">
        <v>2516</v>
      </c>
      <c r="Q333" s="2">
        <f t="shared" ref="Q333" si="123">SUM(N333:P333)</f>
        <v>7517</v>
      </c>
      <c r="R333" s="2">
        <f t="shared" ref="R333" si="124">+E333+I333+M333+Q333</f>
        <v>29979</v>
      </c>
    </row>
    <row r="334" spans="1:20" ht="15.75" customHeight="1" thickBot="1" x14ac:dyDescent="0.35">
      <c r="A334" s="28"/>
      <c r="B334" s="1"/>
      <c r="C334" s="1"/>
      <c r="D334" s="1"/>
      <c r="E334" s="1"/>
      <c r="F334" s="1"/>
      <c r="G334" s="1"/>
      <c r="H334" s="1"/>
      <c r="I334" s="1"/>
      <c r="J334" s="1"/>
      <c r="K334" s="1"/>
      <c r="L334" s="1"/>
      <c r="M334" s="1"/>
      <c r="N334" s="1"/>
      <c r="O334" s="1"/>
      <c r="P334" s="1"/>
      <c r="Q334" s="1"/>
      <c r="R334" s="2"/>
    </row>
    <row r="335" spans="1:20" ht="16.5" customHeight="1" thickBot="1" x14ac:dyDescent="0.35">
      <c r="A335" s="29" t="s">
        <v>201</v>
      </c>
      <c r="B335" s="30" t="s">
        <v>8</v>
      </c>
      <c r="C335" s="31" t="s">
        <v>9</v>
      </c>
      <c r="D335" s="31" t="s">
        <v>10</v>
      </c>
      <c r="E335" s="32" t="s">
        <v>11</v>
      </c>
      <c r="F335" s="31" t="s">
        <v>12</v>
      </c>
      <c r="G335" s="31" t="s">
        <v>13</v>
      </c>
      <c r="H335" s="31" t="s">
        <v>14</v>
      </c>
      <c r="I335" s="33" t="s">
        <v>15</v>
      </c>
      <c r="J335" s="31" t="s">
        <v>16</v>
      </c>
      <c r="K335" s="31" t="s">
        <v>17</v>
      </c>
      <c r="L335" s="31" t="s">
        <v>18</v>
      </c>
      <c r="M335" s="33" t="s">
        <v>19</v>
      </c>
      <c r="N335" s="31" t="s">
        <v>20</v>
      </c>
      <c r="O335" s="31" t="s">
        <v>21</v>
      </c>
      <c r="P335" s="31" t="s">
        <v>22</v>
      </c>
      <c r="Q335" s="33" t="s">
        <v>23</v>
      </c>
      <c r="R335" s="34" t="s">
        <v>24</v>
      </c>
    </row>
    <row r="336" spans="1:20" ht="16.5" customHeight="1" thickBot="1" x14ac:dyDescent="0.35">
      <c r="A336" s="74"/>
      <c r="B336" s="75"/>
      <c r="C336" s="75"/>
      <c r="D336" s="75"/>
      <c r="E336" s="82"/>
      <c r="F336" s="75"/>
      <c r="G336" s="75"/>
      <c r="H336" s="75"/>
      <c r="I336" s="82"/>
      <c r="J336" s="75"/>
      <c r="K336" s="75"/>
      <c r="L336" s="75"/>
      <c r="M336" s="82"/>
      <c r="N336" s="75"/>
      <c r="O336" s="75"/>
      <c r="P336" s="75"/>
      <c r="Q336" s="82"/>
      <c r="R336" s="100"/>
    </row>
    <row r="337" spans="1:20" ht="15.75" customHeight="1" thickBot="1" x14ac:dyDescent="0.35">
      <c r="A337" s="71" t="s">
        <v>202</v>
      </c>
      <c r="B337" s="1"/>
      <c r="C337" s="1"/>
      <c r="D337" s="1">
        <v>-19258</v>
      </c>
      <c r="E337" s="55">
        <f>SUM(B337:D337)</f>
        <v>-19258</v>
      </c>
      <c r="F337" s="1"/>
      <c r="G337" s="1">
        <v>-12620</v>
      </c>
      <c r="H337" s="1">
        <v>-87156</v>
      </c>
      <c r="I337" s="55">
        <f>SUM(F337:H337)</f>
        <v>-99776</v>
      </c>
      <c r="J337" s="1">
        <v>-112890</v>
      </c>
      <c r="K337" s="1">
        <v>-121200</v>
      </c>
      <c r="L337" s="1">
        <v>-3227</v>
      </c>
      <c r="M337" s="55">
        <f>SUM(J337:L337)</f>
        <v>-237317</v>
      </c>
      <c r="N337" s="1">
        <v>-23</v>
      </c>
      <c r="O337" s="1">
        <v>-5290</v>
      </c>
      <c r="P337" s="1"/>
      <c r="Q337" s="55">
        <f>SUM(N337:P337)</f>
        <v>-5313</v>
      </c>
      <c r="R337" s="55">
        <f>+E337+I337+M337+Q337</f>
        <v>-361664</v>
      </c>
    </row>
    <row r="338" spans="1:20" ht="16.5" customHeight="1" thickBot="1" x14ac:dyDescent="0.35">
      <c r="A338" s="101"/>
      <c r="B338" s="102"/>
      <c r="C338" s="102"/>
      <c r="D338" s="102"/>
      <c r="E338" s="103"/>
      <c r="F338" s="102"/>
      <c r="G338" s="102"/>
      <c r="H338" s="102"/>
      <c r="I338" s="103"/>
      <c r="J338" s="102"/>
      <c r="K338" s="102"/>
      <c r="L338" s="102"/>
      <c r="M338" s="103"/>
      <c r="N338" s="102"/>
      <c r="O338" s="102"/>
      <c r="P338" s="102"/>
      <c r="Q338" s="103"/>
      <c r="R338" s="104"/>
    </row>
    <row r="339" spans="1:20" ht="15.75" customHeight="1" x14ac:dyDescent="0.3">
      <c r="A339" s="15" t="s">
        <v>32</v>
      </c>
      <c r="B339" s="1">
        <f>B337</f>
        <v>0</v>
      </c>
      <c r="C339" s="1">
        <f>C337</f>
        <v>0</v>
      </c>
      <c r="D339" s="1">
        <f>D337</f>
        <v>-19258</v>
      </c>
      <c r="E339" s="55">
        <f>SUM(B339:D339)</f>
        <v>-19258</v>
      </c>
      <c r="F339" s="1">
        <f>F337</f>
        <v>0</v>
      </c>
      <c r="G339" s="1">
        <f>G337</f>
        <v>-12620</v>
      </c>
      <c r="H339" s="1">
        <f>H337</f>
        <v>-87156</v>
      </c>
      <c r="I339" s="55">
        <f>SUM(F339:H339)</f>
        <v>-99776</v>
      </c>
      <c r="J339" s="1">
        <f>J337</f>
        <v>-112890</v>
      </c>
      <c r="K339" s="1">
        <f>K337</f>
        <v>-121200</v>
      </c>
      <c r="L339" s="1">
        <f>L337</f>
        <v>-3227</v>
      </c>
      <c r="M339" s="55">
        <f>SUM(J339:L339)</f>
        <v>-237317</v>
      </c>
      <c r="N339" s="1">
        <f>N337</f>
        <v>-23</v>
      </c>
      <c r="O339" s="1">
        <f>O337</f>
        <v>-5290</v>
      </c>
      <c r="P339" s="1">
        <f>P337</f>
        <v>0</v>
      </c>
      <c r="Q339" s="55">
        <f>SUM(N339:P339)</f>
        <v>-5313</v>
      </c>
      <c r="R339" s="105">
        <f>R337</f>
        <v>-361664</v>
      </c>
    </row>
    <row r="340" spans="1:20" ht="16.5" customHeight="1" thickBot="1" x14ac:dyDescent="0.35">
      <c r="A340" s="20" t="s">
        <v>42</v>
      </c>
      <c r="B340" s="21">
        <f>(B339/B10)/1.983</f>
        <v>0</v>
      </c>
      <c r="C340" s="21">
        <f>(C339/C10)/1.983</f>
        <v>0</v>
      </c>
      <c r="D340" s="21">
        <f>(D339/D10)/1.983</f>
        <v>-313.27574707595204</v>
      </c>
      <c r="E340" s="81"/>
      <c r="F340" s="21">
        <f>(F339/F10)/1.983</f>
        <v>0</v>
      </c>
      <c r="G340" s="21">
        <f>(G339/G10)/1.983</f>
        <v>-205.29338083386202</v>
      </c>
      <c r="H340" s="21">
        <f>(H339/H10)/1.983</f>
        <v>-1465.0529500756429</v>
      </c>
      <c r="I340" s="81"/>
      <c r="J340" s="21">
        <f>(J339/J10)/1.983</f>
        <v>-1836.4159875067101</v>
      </c>
      <c r="K340" s="21">
        <f>(K339/K10)/1.983</f>
        <v>-1971.5972866136351</v>
      </c>
      <c r="L340" s="21">
        <f>(L339/L10)/1.983</f>
        <v>-54.244410825348794</v>
      </c>
      <c r="M340" s="81"/>
      <c r="N340" s="21">
        <f>(N339/N10)/1.983</f>
        <v>-0.37414799993493075</v>
      </c>
      <c r="O340" s="21">
        <f>(O339/O10)/1.983</f>
        <v>-88.922507984535216</v>
      </c>
      <c r="P340" s="21">
        <f>(P339/P10)/1.983</f>
        <v>0</v>
      </c>
      <c r="Q340" s="81"/>
      <c r="R340" s="100" t="s">
        <v>7</v>
      </c>
    </row>
    <row r="341" spans="1:20" ht="15.75" customHeight="1" x14ac:dyDescent="0.3">
      <c r="A341" s="2"/>
      <c r="B341" s="1"/>
      <c r="C341" s="1"/>
      <c r="D341" s="1"/>
      <c r="E341" s="1"/>
      <c r="F341" s="1"/>
      <c r="G341" s="1"/>
      <c r="H341" s="1"/>
      <c r="I341" s="1"/>
      <c r="J341" s="1"/>
      <c r="K341" s="1"/>
      <c r="L341" s="1"/>
      <c r="M341" s="1"/>
      <c r="N341" s="1"/>
      <c r="O341" s="1"/>
      <c r="P341" s="1"/>
      <c r="Q341" s="1"/>
      <c r="R341" s="2"/>
    </row>
    <row r="342" spans="1:20" ht="16.5" customHeight="1" thickBot="1" x14ac:dyDescent="0.35">
      <c r="A342" s="106"/>
      <c r="B342" s="21"/>
      <c r="C342" s="21"/>
      <c r="D342" s="21"/>
      <c r="E342" s="21"/>
      <c r="F342" s="21"/>
      <c r="G342" s="21"/>
      <c r="H342" s="21"/>
      <c r="I342" s="21"/>
      <c r="J342" s="21"/>
      <c r="K342" s="21"/>
      <c r="L342" s="21"/>
      <c r="M342" s="21"/>
      <c r="N342" s="21"/>
      <c r="O342" s="21"/>
      <c r="P342" s="21"/>
      <c r="Q342" s="21"/>
      <c r="R342" s="106"/>
    </row>
    <row r="343" spans="1:20" ht="16.5" customHeight="1" thickBot="1" x14ac:dyDescent="0.35">
      <c r="A343" s="107" t="s">
        <v>203</v>
      </c>
      <c r="B343" s="30" t="s">
        <v>8</v>
      </c>
      <c r="C343" s="31" t="s">
        <v>9</v>
      </c>
      <c r="D343" s="31" t="s">
        <v>10</v>
      </c>
      <c r="E343" s="32" t="s">
        <v>11</v>
      </c>
      <c r="F343" s="31" t="s">
        <v>12</v>
      </c>
      <c r="G343" s="31" t="s">
        <v>13</v>
      </c>
      <c r="H343" s="31" t="s">
        <v>14</v>
      </c>
      <c r="I343" s="33" t="s">
        <v>15</v>
      </c>
      <c r="J343" s="31" t="s">
        <v>16</v>
      </c>
      <c r="K343" s="31" t="s">
        <v>17</v>
      </c>
      <c r="L343" s="31" t="s">
        <v>18</v>
      </c>
      <c r="M343" s="33" t="s">
        <v>19</v>
      </c>
      <c r="N343" s="31" t="s">
        <v>20</v>
      </c>
      <c r="O343" s="31" t="s">
        <v>21</v>
      </c>
      <c r="P343" s="31" t="s">
        <v>22</v>
      </c>
      <c r="Q343" s="33" t="s">
        <v>23</v>
      </c>
      <c r="R343" s="34" t="s">
        <v>24</v>
      </c>
    </row>
    <row r="344" spans="1:20" ht="16.5" customHeight="1" thickBot="1" x14ac:dyDescent="0.35">
      <c r="A344" s="59"/>
      <c r="B344" s="75"/>
      <c r="C344" s="75"/>
      <c r="D344" s="75"/>
      <c r="E344" s="69"/>
      <c r="F344" s="75"/>
      <c r="G344" s="75"/>
      <c r="H344" s="75"/>
      <c r="I344" s="82"/>
      <c r="J344" s="75"/>
      <c r="K344" s="75"/>
      <c r="L344" s="75"/>
      <c r="M344" s="82"/>
      <c r="N344" s="75"/>
      <c r="O344" s="75"/>
      <c r="P344" s="75"/>
      <c r="Q344" s="82"/>
      <c r="R344" s="105"/>
    </row>
    <row r="345" spans="1:20" ht="15.75" customHeight="1" x14ac:dyDescent="0.3">
      <c r="A345" s="15" t="s">
        <v>48</v>
      </c>
      <c r="B345" s="1"/>
      <c r="C345" s="1"/>
      <c r="D345" s="1"/>
      <c r="E345" s="55" t="s">
        <v>7</v>
      </c>
      <c r="F345" s="1" t="s">
        <v>7</v>
      </c>
      <c r="G345" s="1" t="s">
        <v>7</v>
      </c>
      <c r="H345" s="1" t="s">
        <v>7</v>
      </c>
      <c r="I345" s="55" t="s">
        <v>7</v>
      </c>
      <c r="J345" s="1" t="s">
        <v>7</v>
      </c>
      <c r="K345" s="1" t="s">
        <v>7</v>
      </c>
      <c r="L345" s="1" t="s">
        <v>7</v>
      </c>
      <c r="M345" s="55" t="s">
        <v>7</v>
      </c>
      <c r="N345" s="1" t="s">
        <v>7</v>
      </c>
      <c r="O345" s="1" t="s">
        <v>7</v>
      </c>
      <c r="P345" s="1" t="s">
        <v>7</v>
      </c>
      <c r="Q345" s="55" t="s">
        <v>7</v>
      </c>
      <c r="R345" s="60" t="s">
        <v>7</v>
      </c>
    </row>
    <row r="346" spans="1:20" ht="15.75" customHeight="1" x14ac:dyDescent="0.3">
      <c r="A346" s="15" t="s">
        <v>49</v>
      </c>
      <c r="B346" s="1"/>
      <c r="C346" s="1"/>
      <c r="D346" s="1"/>
      <c r="E346" s="55" t="s">
        <v>7</v>
      </c>
      <c r="F346" s="1"/>
      <c r="G346" s="1"/>
      <c r="H346" s="1"/>
      <c r="I346" s="55" t="s">
        <v>7</v>
      </c>
      <c r="J346" s="1"/>
      <c r="K346" s="1"/>
      <c r="L346" s="1"/>
      <c r="M346" s="55" t="s">
        <v>7</v>
      </c>
      <c r="N346" s="1"/>
      <c r="O346" s="1"/>
      <c r="P346" s="1"/>
      <c r="Q346" s="55" t="s">
        <v>7</v>
      </c>
      <c r="R346" s="55" t="s">
        <v>7</v>
      </c>
    </row>
    <row r="347" spans="1:20" ht="15.75" customHeight="1" x14ac:dyDescent="0.3">
      <c r="A347" s="72" t="s">
        <v>906</v>
      </c>
      <c r="B347" s="1"/>
      <c r="C347" s="1"/>
      <c r="D347" s="1"/>
      <c r="E347" s="55">
        <f t="shared" ref="E347:E377" si="125">SUM(B347:D347)</f>
        <v>0</v>
      </c>
      <c r="F347" s="1"/>
      <c r="G347" s="1"/>
      <c r="H347" s="1"/>
      <c r="I347" s="55">
        <f t="shared" ref="I347:I377" si="126">SUM(F347:H347)</f>
        <v>0</v>
      </c>
      <c r="J347" s="1">
        <f>82</f>
        <v>82</v>
      </c>
      <c r="K347" s="1">
        <v>130</v>
      </c>
      <c r="L347" s="1">
        <v>820</v>
      </c>
      <c r="M347" s="55">
        <f t="shared" ref="M347:M377" si="127">SUM(J347:L347)</f>
        <v>1032</v>
      </c>
      <c r="N347" s="1">
        <v>129</v>
      </c>
      <c r="O347" s="1">
        <v>117</v>
      </c>
      <c r="P347" s="1">
        <v>124</v>
      </c>
      <c r="Q347" s="55">
        <f t="shared" ref="Q347:Q380" si="128">SUM(N347:P347)</f>
        <v>370</v>
      </c>
      <c r="R347" s="55">
        <f t="shared" ref="R347:R380" si="129">+E347+I347+M347+Q347</f>
        <v>1402</v>
      </c>
      <c r="T347" s="4" t="s">
        <v>907</v>
      </c>
    </row>
    <row r="348" spans="1:20" ht="15.75" customHeight="1" x14ac:dyDescent="0.3">
      <c r="A348" s="72" t="s">
        <v>1395</v>
      </c>
      <c r="B348" s="1"/>
      <c r="C348" s="1"/>
      <c r="D348" s="1"/>
      <c r="E348" s="55">
        <f t="shared" si="125"/>
        <v>0</v>
      </c>
      <c r="F348" s="1"/>
      <c r="G348" s="1"/>
      <c r="H348" s="1"/>
      <c r="I348" s="55">
        <f t="shared" si="126"/>
        <v>0</v>
      </c>
      <c r="J348" s="1"/>
      <c r="K348" s="1"/>
      <c r="L348" s="1"/>
      <c r="M348" s="55">
        <f t="shared" si="127"/>
        <v>0</v>
      </c>
      <c r="N348" s="1"/>
      <c r="O348" s="1"/>
      <c r="P348" s="1"/>
      <c r="Q348" s="55">
        <f t="shared" si="128"/>
        <v>0</v>
      </c>
      <c r="R348" s="55">
        <f t="shared" si="129"/>
        <v>0</v>
      </c>
    </row>
    <row r="349" spans="1:20" ht="15.75" customHeight="1" x14ac:dyDescent="0.3">
      <c r="A349" s="72" t="s">
        <v>208</v>
      </c>
      <c r="B349" s="1">
        <v>54</v>
      </c>
      <c r="C349" s="1">
        <v>52</v>
      </c>
      <c r="D349" s="1">
        <v>78</v>
      </c>
      <c r="E349" s="55">
        <f t="shared" si="125"/>
        <v>184</v>
      </c>
      <c r="F349" s="1">
        <v>172</v>
      </c>
      <c r="G349" s="1">
        <v>201</v>
      </c>
      <c r="H349" s="1">
        <v>329</v>
      </c>
      <c r="I349" s="55">
        <f t="shared" si="126"/>
        <v>702</v>
      </c>
      <c r="J349" s="1">
        <v>288</v>
      </c>
      <c r="K349" s="1">
        <v>546</v>
      </c>
      <c r="L349" s="1">
        <v>289</v>
      </c>
      <c r="M349" s="55">
        <f t="shared" si="127"/>
        <v>1123</v>
      </c>
      <c r="N349" s="1">
        <v>205</v>
      </c>
      <c r="O349" s="1">
        <v>95</v>
      </c>
      <c r="P349" s="1">
        <v>69</v>
      </c>
      <c r="Q349" s="55">
        <f t="shared" si="128"/>
        <v>369</v>
      </c>
      <c r="R349" s="55">
        <f t="shared" si="129"/>
        <v>2378</v>
      </c>
      <c r="T349" s="4" t="s">
        <v>209</v>
      </c>
    </row>
    <row r="350" spans="1:20" ht="15.75" customHeight="1" x14ac:dyDescent="0.3">
      <c r="A350" s="72" t="s">
        <v>1296</v>
      </c>
      <c r="B350" s="1"/>
      <c r="C350" s="1"/>
      <c r="D350" s="1"/>
      <c r="E350" s="55">
        <f>SUM(B350:D350)</f>
        <v>0</v>
      </c>
      <c r="F350" s="1">
        <v>16</v>
      </c>
      <c r="G350" s="1">
        <v>30</v>
      </c>
      <c r="H350" s="1">
        <v>50</v>
      </c>
      <c r="I350" s="55">
        <f t="shared" ref="I350" si="130">SUM(F350:H350)</f>
        <v>96</v>
      </c>
      <c r="J350" s="1">
        <v>130</v>
      </c>
      <c r="K350" s="1">
        <v>24</v>
      </c>
      <c r="L350" s="1"/>
      <c r="M350" s="55">
        <f t="shared" ref="M350" si="131">SUM(J350:L350)</f>
        <v>154</v>
      </c>
      <c r="N350" s="1"/>
      <c r="O350" s="1"/>
      <c r="P350" s="1">
        <v>1</v>
      </c>
      <c r="Q350" s="55">
        <f t="shared" ref="Q350" si="132">SUM(N350:P350)</f>
        <v>1</v>
      </c>
      <c r="R350" s="55">
        <f t="shared" si="129"/>
        <v>251</v>
      </c>
      <c r="T350" s="4" t="s">
        <v>910</v>
      </c>
    </row>
    <row r="351" spans="1:20" ht="15.75" customHeight="1" x14ac:dyDescent="0.3">
      <c r="A351" s="72" t="s">
        <v>909</v>
      </c>
      <c r="B351" s="1"/>
      <c r="C351" s="1"/>
      <c r="D351" s="1"/>
      <c r="E351" s="55">
        <f t="shared" si="125"/>
        <v>0</v>
      </c>
      <c r="F351" s="1"/>
      <c r="G351" s="1"/>
      <c r="H351" s="1"/>
      <c r="I351" s="55">
        <f t="shared" si="126"/>
        <v>0</v>
      </c>
      <c r="J351" s="1">
        <v>778</v>
      </c>
      <c r="K351" s="1"/>
      <c r="L351" s="1"/>
      <c r="M351" s="55">
        <f t="shared" si="127"/>
        <v>778</v>
      </c>
      <c r="N351" s="1"/>
      <c r="O351" s="1"/>
      <c r="P351" s="1"/>
      <c r="Q351" s="55">
        <f t="shared" si="128"/>
        <v>0</v>
      </c>
      <c r="R351" s="55">
        <f t="shared" si="129"/>
        <v>778</v>
      </c>
      <c r="T351" s="4" t="s">
        <v>910</v>
      </c>
    </row>
    <row r="352" spans="1:20" ht="15.75" customHeight="1" x14ac:dyDescent="0.3">
      <c r="A352" s="72" t="s">
        <v>911</v>
      </c>
      <c r="C352" s="1"/>
      <c r="D352" s="1"/>
      <c r="E352" s="55">
        <f>SUM(B352:D352)</f>
        <v>0</v>
      </c>
      <c r="F352" s="1"/>
      <c r="G352" s="1"/>
      <c r="H352" s="1">
        <v>2528</v>
      </c>
      <c r="I352" s="55">
        <f>SUM(F352:H352)</f>
        <v>2528</v>
      </c>
      <c r="J352" s="1"/>
      <c r="K352" s="1"/>
      <c r="L352" s="1"/>
      <c r="M352" s="55">
        <f t="shared" ref="M352:M359" si="133">SUM(J352:L352)</f>
        <v>0</v>
      </c>
      <c r="N352" s="1"/>
      <c r="O352" s="1"/>
      <c r="P352" s="1"/>
      <c r="Q352" s="55">
        <f t="shared" ref="Q352:Q357" si="134">SUM(N352:P352)</f>
        <v>0</v>
      </c>
      <c r="R352" s="55">
        <f t="shared" si="129"/>
        <v>2528</v>
      </c>
      <c r="T352" s="4" t="s">
        <v>209</v>
      </c>
    </row>
    <row r="353" spans="1:20" ht="15.75" customHeight="1" x14ac:dyDescent="0.3">
      <c r="A353" s="72" t="s">
        <v>1396</v>
      </c>
      <c r="C353" s="1"/>
      <c r="D353" s="1"/>
      <c r="E353" s="55">
        <f>SUM(B353:D353)</f>
        <v>0</v>
      </c>
      <c r="F353" s="1"/>
      <c r="G353" s="1"/>
      <c r="H353" s="1"/>
      <c r="I353" s="55">
        <f>SUM(F353:H353)</f>
        <v>0</v>
      </c>
      <c r="J353" s="1"/>
      <c r="K353" s="1"/>
      <c r="L353" s="1">
        <v>274</v>
      </c>
      <c r="M353" s="55">
        <f t="shared" si="133"/>
        <v>274</v>
      </c>
      <c r="N353" s="1"/>
      <c r="O353" s="1"/>
      <c r="P353" s="1"/>
      <c r="Q353" s="55">
        <f t="shared" si="134"/>
        <v>0</v>
      </c>
      <c r="R353" s="55">
        <f t="shared" si="129"/>
        <v>274</v>
      </c>
      <c r="T353" s="4" t="s">
        <v>209</v>
      </c>
    </row>
    <row r="354" spans="1:20" ht="15.75" customHeight="1" x14ac:dyDescent="0.3">
      <c r="A354" s="72" t="s">
        <v>912</v>
      </c>
      <c r="B354" s="1"/>
      <c r="C354" s="1"/>
      <c r="D354" s="1"/>
      <c r="E354" s="55">
        <f t="shared" ref="E354:E359" si="135">SUM(B354:D354)</f>
        <v>0</v>
      </c>
      <c r="F354" s="1"/>
      <c r="G354" s="1"/>
      <c r="H354" s="1"/>
      <c r="I354" s="55">
        <f t="shared" ref="I354:I359" si="136">SUM(F354:H354)</f>
        <v>0</v>
      </c>
      <c r="J354" s="1">
        <f>469+1281</f>
        <v>1750</v>
      </c>
      <c r="K354" s="1"/>
      <c r="L354" s="1"/>
      <c r="M354" s="55">
        <f t="shared" si="133"/>
        <v>1750</v>
      </c>
      <c r="N354" s="1"/>
      <c r="O354" s="1"/>
      <c r="P354" s="1"/>
      <c r="Q354" s="55">
        <f t="shared" si="134"/>
        <v>0</v>
      </c>
      <c r="R354" s="55">
        <f t="shared" si="129"/>
        <v>1750</v>
      </c>
      <c r="T354" s="4" t="s">
        <v>910</v>
      </c>
    </row>
    <row r="355" spans="1:20" ht="15.75" customHeight="1" x14ac:dyDescent="0.3">
      <c r="A355" s="72" t="s">
        <v>1397</v>
      </c>
      <c r="B355" s="1"/>
      <c r="C355" s="1"/>
      <c r="D355" s="1"/>
      <c r="E355" s="55">
        <f t="shared" si="135"/>
        <v>0</v>
      </c>
      <c r="F355" s="1"/>
      <c r="G355" s="1"/>
      <c r="H355" s="1"/>
      <c r="I355" s="55">
        <f t="shared" si="136"/>
        <v>0</v>
      </c>
      <c r="J355" s="1"/>
      <c r="K355" s="1">
        <v>48</v>
      </c>
      <c r="L355" s="1">
        <v>26</v>
      </c>
      <c r="M355" s="55">
        <f t="shared" si="133"/>
        <v>74</v>
      </c>
      <c r="N355" s="1">
        <v>118</v>
      </c>
      <c r="O355" s="1">
        <v>47</v>
      </c>
      <c r="P355" s="1">
        <v>11</v>
      </c>
      <c r="Q355" s="55">
        <f t="shared" si="134"/>
        <v>176</v>
      </c>
      <c r="R355" s="55">
        <f t="shared" si="129"/>
        <v>250</v>
      </c>
    </row>
    <row r="356" spans="1:20" ht="15.75" customHeight="1" x14ac:dyDescent="0.3">
      <c r="A356" s="72" t="s">
        <v>913</v>
      </c>
      <c r="B356" s="1">
        <f>27+58</f>
        <v>85</v>
      </c>
      <c r="C356" s="1">
        <f>22+85</f>
        <v>107</v>
      </c>
      <c r="D356" s="1">
        <f>7+83</f>
        <v>90</v>
      </c>
      <c r="E356" s="55">
        <f t="shared" si="135"/>
        <v>282</v>
      </c>
      <c r="F356" s="1">
        <f>37+223</f>
        <v>260</v>
      </c>
      <c r="G356" s="1">
        <f>61+289</f>
        <v>350</v>
      </c>
      <c r="H356" s="1">
        <f>65+327</f>
        <v>392</v>
      </c>
      <c r="I356" s="55">
        <f t="shared" si="136"/>
        <v>1002</v>
      </c>
      <c r="J356" s="1">
        <f>63+344</f>
        <v>407</v>
      </c>
      <c r="K356" s="1">
        <f>56+337</f>
        <v>393</v>
      </c>
      <c r="L356" s="1">
        <f>44+242</f>
        <v>286</v>
      </c>
      <c r="M356" s="55">
        <f t="shared" si="133"/>
        <v>1086</v>
      </c>
      <c r="N356" s="1">
        <f>38+337</f>
        <v>375</v>
      </c>
      <c r="O356" s="1">
        <f>25+160</f>
        <v>185</v>
      </c>
      <c r="P356" s="1">
        <v>120</v>
      </c>
      <c r="Q356" s="55">
        <f t="shared" si="134"/>
        <v>680</v>
      </c>
      <c r="R356" s="55">
        <f>+E356+I356+M356+Q356</f>
        <v>3050</v>
      </c>
      <c r="T356" s="4" t="s">
        <v>914</v>
      </c>
    </row>
    <row r="357" spans="1:20" ht="15.75" customHeight="1" x14ac:dyDescent="0.3">
      <c r="A357" s="72" t="s">
        <v>915</v>
      </c>
      <c r="B357" s="1"/>
      <c r="C357" s="1"/>
      <c r="D357" s="1"/>
      <c r="E357" s="55">
        <f t="shared" si="135"/>
        <v>0</v>
      </c>
      <c r="F357" s="1"/>
      <c r="G357" s="1"/>
      <c r="H357" s="1"/>
      <c r="I357" s="55">
        <f t="shared" si="136"/>
        <v>0</v>
      </c>
      <c r="J357" s="1">
        <v>99</v>
      </c>
      <c r="K357" s="1">
        <v>1644</v>
      </c>
      <c r="L357" s="1"/>
      <c r="M357" s="55">
        <f t="shared" si="133"/>
        <v>1743</v>
      </c>
      <c r="N357" s="1"/>
      <c r="O357" s="1"/>
      <c r="P357" s="1"/>
      <c r="Q357" s="55">
        <f t="shared" si="134"/>
        <v>0</v>
      </c>
      <c r="R357" s="55">
        <f>+E357+I357+M357+Q357</f>
        <v>1743</v>
      </c>
      <c r="T357" s="4" t="s">
        <v>224</v>
      </c>
    </row>
    <row r="358" spans="1:20" ht="15.75" customHeight="1" x14ac:dyDescent="0.3">
      <c r="A358" s="72" t="s">
        <v>1207</v>
      </c>
      <c r="B358" s="1"/>
      <c r="C358" s="1"/>
      <c r="D358" s="1"/>
      <c r="E358" s="55">
        <f t="shared" si="135"/>
        <v>0</v>
      </c>
      <c r="F358" s="1"/>
      <c r="G358" s="1"/>
      <c r="H358" s="1"/>
      <c r="I358" s="55">
        <f t="shared" si="136"/>
        <v>0</v>
      </c>
      <c r="J358" s="1"/>
      <c r="K358" s="1">
        <v>3700</v>
      </c>
      <c r="L358" s="1"/>
      <c r="M358" s="55">
        <f t="shared" si="133"/>
        <v>3700</v>
      </c>
      <c r="N358" s="1"/>
      <c r="O358" s="1"/>
      <c r="P358" s="1"/>
      <c r="Q358" s="55">
        <f t="shared" ref="Q358" si="137">SUM(N358:P358)</f>
        <v>0</v>
      </c>
      <c r="R358" s="55">
        <f>+E358+I358+M358+Q358</f>
        <v>3700</v>
      </c>
    </row>
    <row r="359" spans="1:20" ht="15.75" customHeight="1" x14ac:dyDescent="0.3">
      <c r="A359" s="72" t="s">
        <v>1297</v>
      </c>
      <c r="B359" s="1">
        <v>220</v>
      </c>
      <c r="C359" s="1">
        <f>253+41</f>
        <v>294</v>
      </c>
      <c r="D359" s="1">
        <v>1029</v>
      </c>
      <c r="E359" s="55">
        <f t="shared" si="135"/>
        <v>1543</v>
      </c>
      <c r="F359" s="1"/>
      <c r="G359" s="1"/>
      <c r="H359" s="1"/>
      <c r="I359" s="55">
        <f t="shared" si="136"/>
        <v>0</v>
      </c>
      <c r="J359" s="1"/>
      <c r="K359" s="1"/>
      <c r="L359" s="1"/>
      <c r="M359" s="55">
        <f t="shared" si="133"/>
        <v>0</v>
      </c>
      <c r="N359" s="1"/>
      <c r="O359" s="1"/>
      <c r="P359" s="1"/>
      <c r="Q359" s="55">
        <f>SUM(N359:P359)</f>
        <v>0</v>
      </c>
      <c r="R359" s="55">
        <f>+E359+I359+M359+Q359</f>
        <v>1543</v>
      </c>
      <c r="S359" s="477" t="s">
        <v>1257</v>
      </c>
    </row>
    <row r="360" spans="1:20" ht="15.75" customHeight="1" x14ac:dyDescent="0.3">
      <c r="A360" s="72" t="s">
        <v>1208</v>
      </c>
      <c r="B360" s="1"/>
      <c r="C360" s="1"/>
      <c r="D360" s="1"/>
      <c r="E360" s="55">
        <f>SUM(B360:D360)</f>
        <v>0</v>
      </c>
      <c r="F360" s="1"/>
      <c r="G360" s="1"/>
      <c r="H360" s="1"/>
      <c r="I360" s="55">
        <f t="shared" ref="I360:I361" si="138">SUM(F360:H360)</f>
        <v>0</v>
      </c>
      <c r="J360" s="1">
        <v>1788</v>
      </c>
      <c r="K360" s="1">
        <f>1574+226</f>
        <v>1800</v>
      </c>
      <c r="L360" s="1"/>
      <c r="M360" s="55">
        <f t="shared" ref="M360:M361" si="139">SUM(J360:L360)</f>
        <v>3588</v>
      </c>
      <c r="N360" s="1"/>
      <c r="O360" s="1"/>
      <c r="P360" s="1"/>
      <c r="Q360" s="55">
        <f t="shared" ref="Q360:Q361" si="140">SUM(N360:P360)</f>
        <v>0</v>
      </c>
      <c r="R360" s="55">
        <f t="shared" ref="R360:R361" si="141">+E360+I360+M360+Q360</f>
        <v>3588</v>
      </c>
    </row>
    <row r="361" spans="1:20" ht="15.75" customHeight="1" x14ac:dyDescent="0.3">
      <c r="A361" s="72" t="s">
        <v>917</v>
      </c>
      <c r="B361" s="1"/>
      <c r="C361" s="1">
        <v>2328</v>
      </c>
      <c r="D361" s="1"/>
      <c r="E361" s="55">
        <f>SUM(B361:D361)</f>
        <v>2328</v>
      </c>
      <c r="F361" s="1"/>
      <c r="G361" s="1"/>
      <c r="H361" s="1"/>
      <c r="I361" s="55">
        <f t="shared" si="138"/>
        <v>0</v>
      </c>
      <c r="J361" s="1"/>
      <c r="K361" s="1"/>
      <c r="L361" s="1"/>
      <c r="M361" s="55">
        <f t="shared" si="139"/>
        <v>0</v>
      </c>
      <c r="N361" s="1"/>
      <c r="O361" s="1"/>
      <c r="P361" s="1"/>
      <c r="Q361" s="55">
        <f t="shared" si="140"/>
        <v>0</v>
      </c>
      <c r="R361" s="55">
        <f t="shared" si="141"/>
        <v>2328</v>
      </c>
      <c r="T361" s="4" t="s">
        <v>241</v>
      </c>
    </row>
    <row r="362" spans="1:20" ht="15.75" customHeight="1" x14ac:dyDescent="0.3">
      <c r="A362" s="72" t="s">
        <v>918</v>
      </c>
      <c r="B362" s="1"/>
      <c r="C362" s="1"/>
      <c r="D362" s="1"/>
      <c r="E362" s="55">
        <f t="shared" ref="E362" si="142">SUM(B362:D362)</f>
        <v>0</v>
      </c>
      <c r="F362" s="1"/>
      <c r="G362" s="1"/>
      <c r="H362" s="1"/>
      <c r="I362" s="55">
        <f t="shared" ref="I362" si="143">SUM(F362:H362)</f>
        <v>0</v>
      </c>
      <c r="J362" s="1"/>
      <c r="K362" s="1"/>
      <c r="L362" s="1"/>
      <c r="M362" s="55">
        <f t="shared" ref="M362:M363" si="144">SUM(J362:L362)</f>
        <v>0</v>
      </c>
      <c r="N362" s="1">
        <v>276</v>
      </c>
      <c r="O362" s="1">
        <v>1111</v>
      </c>
      <c r="P362" s="1">
        <v>1348</v>
      </c>
      <c r="Q362" s="55">
        <f t="shared" si="128"/>
        <v>2735</v>
      </c>
      <c r="R362" s="55">
        <f t="shared" si="129"/>
        <v>2735</v>
      </c>
      <c r="T362" s="4" t="s">
        <v>919</v>
      </c>
    </row>
    <row r="363" spans="1:20" ht="15.75" customHeight="1" x14ac:dyDescent="0.3">
      <c r="A363" s="72" t="s">
        <v>1357</v>
      </c>
      <c r="B363" s="1">
        <v>200</v>
      </c>
      <c r="C363" s="1">
        <v>200</v>
      </c>
      <c r="D363" s="1">
        <v>200</v>
      </c>
      <c r="E363" s="55">
        <f>SUM(B363:D363)</f>
        <v>600</v>
      </c>
      <c r="F363" s="1">
        <v>200</v>
      </c>
      <c r="G363" s="1">
        <v>200</v>
      </c>
      <c r="H363" s="1">
        <v>200</v>
      </c>
      <c r="I363" s="55">
        <f>SUM(F363:H363)</f>
        <v>600</v>
      </c>
      <c r="J363" s="1">
        <v>400</v>
      </c>
      <c r="K363" s="1">
        <v>210</v>
      </c>
      <c r="L363" s="1">
        <v>310</v>
      </c>
      <c r="M363" s="55">
        <f t="shared" si="144"/>
        <v>920</v>
      </c>
      <c r="N363" s="1"/>
      <c r="O363" s="1"/>
      <c r="P363" s="1"/>
      <c r="Q363" s="55">
        <f t="shared" si="128"/>
        <v>0</v>
      </c>
      <c r="R363" s="55">
        <f t="shared" si="129"/>
        <v>2120</v>
      </c>
    </row>
    <row r="364" spans="1:20" ht="15.75" customHeight="1" x14ac:dyDescent="0.3">
      <c r="A364" s="72" t="s">
        <v>921</v>
      </c>
      <c r="B364" s="1"/>
      <c r="C364" s="1"/>
      <c r="D364" s="1"/>
      <c r="E364" s="55">
        <f t="shared" si="125"/>
        <v>0</v>
      </c>
      <c r="F364" s="1"/>
      <c r="G364" s="1"/>
      <c r="H364" s="1"/>
      <c r="I364" s="55">
        <f t="shared" si="126"/>
        <v>0</v>
      </c>
      <c r="J364" s="1"/>
      <c r="K364" s="1"/>
      <c r="L364" s="1"/>
      <c r="M364" s="55">
        <f t="shared" si="127"/>
        <v>0</v>
      </c>
      <c r="N364" s="1"/>
      <c r="O364" s="1"/>
      <c r="P364" s="1"/>
      <c r="Q364" s="55">
        <f t="shared" si="128"/>
        <v>0</v>
      </c>
      <c r="R364" s="55">
        <f t="shared" si="129"/>
        <v>0</v>
      </c>
      <c r="T364" s="4" t="s">
        <v>209</v>
      </c>
    </row>
    <row r="365" spans="1:20" ht="15.75" customHeight="1" x14ac:dyDescent="0.3">
      <c r="A365" s="72" t="s">
        <v>1209</v>
      </c>
      <c r="B365" s="1"/>
      <c r="C365" s="1"/>
      <c r="D365" s="1"/>
      <c r="E365" s="55">
        <f t="shared" si="125"/>
        <v>0</v>
      </c>
      <c r="F365" s="1"/>
      <c r="G365" s="1"/>
      <c r="H365" s="1">
        <v>165</v>
      </c>
      <c r="I365" s="55">
        <f t="shared" si="126"/>
        <v>165</v>
      </c>
      <c r="J365" s="1">
        <v>160</v>
      </c>
      <c r="K365" s="1"/>
      <c r="L365" s="1"/>
      <c r="M365" s="55">
        <f t="shared" si="127"/>
        <v>160</v>
      </c>
      <c r="N365" s="1">
        <v>193</v>
      </c>
      <c r="O365" s="1">
        <v>1100</v>
      </c>
      <c r="P365" s="1">
        <v>207</v>
      </c>
      <c r="Q365" s="55">
        <f t="shared" si="128"/>
        <v>1500</v>
      </c>
      <c r="R365" s="55">
        <f t="shared" si="129"/>
        <v>1825</v>
      </c>
    </row>
    <row r="366" spans="1:20" ht="15.75" customHeight="1" x14ac:dyDescent="0.3">
      <c r="A366" s="72" t="s">
        <v>922</v>
      </c>
      <c r="B366" s="1"/>
      <c r="C366" s="1"/>
      <c r="D366" s="1"/>
      <c r="E366" s="55">
        <f>SUM(B366:D366)</f>
        <v>0</v>
      </c>
      <c r="F366" s="1"/>
      <c r="G366" s="1"/>
      <c r="H366" s="1"/>
      <c r="I366" s="55">
        <f>SUM(F366:H366)</f>
        <v>0</v>
      </c>
      <c r="J366" s="1"/>
      <c r="K366" s="1"/>
      <c r="L366" s="1"/>
      <c r="M366" s="55">
        <f t="shared" si="127"/>
        <v>0</v>
      </c>
      <c r="N366" s="1"/>
      <c r="O366" s="1"/>
      <c r="P366" s="1"/>
      <c r="Q366" s="55">
        <f>SUM(N366:P366)</f>
        <v>0</v>
      </c>
      <c r="R366" s="55">
        <f t="shared" si="129"/>
        <v>0</v>
      </c>
      <c r="T366" s="4" t="s">
        <v>241</v>
      </c>
    </row>
    <row r="367" spans="1:20" ht="15.75" customHeight="1" x14ac:dyDescent="0.3">
      <c r="A367" s="72" t="s">
        <v>118</v>
      </c>
      <c r="B367" s="1"/>
      <c r="C367" s="1"/>
      <c r="D367" s="1"/>
      <c r="E367" s="55">
        <f t="shared" ref="E367" si="145">SUM(B367:D367)</f>
        <v>0</v>
      </c>
      <c r="F367" s="1"/>
      <c r="G367" s="1"/>
      <c r="H367" s="1"/>
      <c r="I367" s="55">
        <f t="shared" ref="I367" si="146">SUM(F367:H367)</f>
        <v>0</v>
      </c>
      <c r="J367" s="1"/>
      <c r="K367" s="1">
        <v>1990</v>
      </c>
      <c r="L367" s="1">
        <v>1478</v>
      </c>
      <c r="M367" s="55">
        <f t="shared" si="127"/>
        <v>3468</v>
      </c>
      <c r="N367" s="1">
        <v>1632</v>
      </c>
      <c r="O367" s="1">
        <v>1136</v>
      </c>
      <c r="P367" s="1">
        <v>999</v>
      </c>
      <c r="Q367" s="55">
        <f t="shared" si="128"/>
        <v>3767</v>
      </c>
      <c r="R367" s="55">
        <f t="shared" si="129"/>
        <v>7235</v>
      </c>
      <c r="T367" s="4" t="s">
        <v>919</v>
      </c>
    </row>
    <row r="368" spans="1:20" ht="15.75" customHeight="1" x14ac:dyDescent="0.3">
      <c r="A368" s="72" t="s">
        <v>923</v>
      </c>
      <c r="B368" s="1"/>
      <c r="C368" s="1"/>
      <c r="D368" s="1"/>
      <c r="E368" s="55">
        <f>SUM(B368:D368)</f>
        <v>0</v>
      </c>
      <c r="F368" s="1"/>
      <c r="G368" s="1"/>
      <c r="H368" s="1"/>
      <c r="I368" s="55">
        <f>SUM(F368:H368)</f>
        <v>0</v>
      </c>
      <c r="J368" s="1"/>
      <c r="K368" s="1"/>
      <c r="L368" s="1"/>
      <c r="M368" s="55">
        <f>SUM(J368:L368)</f>
        <v>0</v>
      </c>
      <c r="N368" s="1"/>
      <c r="O368" s="1"/>
      <c r="P368" s="1"/>
      <c r="Q368" s="55">
        <f>SUM(N368:P368)</f>
        <v>0</v>
      </c>
      <c r="R368" s="55">
        <f t="shared" si="129"/>
        <v>0</v>
      </c>
      <c r="T368" s="4" t="s">
        <v>241</v>
      </c>
    </row>
    <row r="369" spans="1:20" ht="15.75" customHeight="1" x14ac:dyDescent="0.3">
      <c r="A369" s="72" t="s">
        <v>924</v>
      </c>
      <c r="B369" s="1"/>
      <c r="C369" s="1"/>
      <c r="D369" s="1"/>
      <c r="E369" s="55">
        <f t="shared" si="125"/>
        <v>0</v>
      </c>
      <c r="F369" s="1"/>
      <c r="G369" s="1"/>
      <c r="H369" s="1"/>
      <c r="I369" s="55">
        <f t="shared" si="126"/>
        <v>0</v>
      </c>
      <c r="J369" s="1"/>
      <c r="K369" s="1"/>
      <c r="L369" s="1"/>
      <c r="M369" s="55">
        <f t="shared" si="127"/>
        <v>0</v>
      </c>
      <c r="N369" s="1"/>
      <c r="O369" s="1"/>
      <c r="P369" s="1"/>
      <c r="Q369" s="55">
        <f t="shared" si="128"/>
        <v>0</v>
      </c>
      <c r="R369" s="55">
        <f t="shared" si="129"/>
        <v>0</v>
      </c>
      <c r="S369" s="300"/>
      <c r="T369" s="4" t="s">
        <v>214</v>
      </c>
    </row>
    <row r="370" spans="1:20" ht="15.75" customHeight="1" x14ac:dyDescent="0.3">
      <c r="A370" s="72" t="s">
        <v>925</v>
      </c>
      <c r="B370" s="1">
        <v>9</v>
      </c>
      <c r="C370" s="1">
        <v>21</v>
      </c>
      <c r="D370" s="1">
        <v>11</v>
      </c>
      <c r="E370" s="55">
        <f t="shared" si="125"/>
        <v>41</v>
      </c>
      <c r="F370" s="1">
        <v>50</v>
      </c>
      <c r="G370" s="1"/>
      <c r="H370" s="1">
        <v>79</v>
      </c>
      <c r="I370" s="55">
        <f>SUM(F370:H370)</f>
        <v>129</v>
      </c>
      <c r="J370" s="1">
        <v>70</v>
      </c>
      <c r="K370" s="1">
        <v>84</v>
      </c>
      <c r="L370" s="1">
        <v>46</v>
      </c>
      <c r="M370" s="55">
        <f>SUM(J370:L370)</f>
        <v>200</v>
      </c>
      <c r="N370" s="1">
        <v>45</v>
      </c>
      <c r="O370" s="1">
        <v>32</v>
      </c>
      <c r="P370" s="1">
        <v>18</v>
      </c>
      <c r="Q370" s="55">
        <f>SUM(N370:P370)</f>
        <v>95</v>
      </c>
      <c r="R370" s="55">
        <f>+E370+I370+M370+Q370</f>
        <v>465</v>
      </c>
      <c r="T370" s="4" t="s">
        <v>406</v>
      </c>
    </row>
    <row r="371" spans="1:20" ht="15.75" customHeight="1" x14ac:dyDescent="0.3">
      <c r="A371" s="72" t="s">
        <v>215</v>
      </c>
      <c r="B371" s="1">
        <f>855+641</f>
        <v>1496</v>
      </c>
      <c r="C371" s="1">
        <f>841+525</f>
        <v>1366</v>
      </c>
      <c r="D371" s="1">
        <f>993+606</f>
        <v>1599</v>
      </c>
      <c r="E371" s="55">
        <f t="shared" ref="E371" si="147">SUM(B371:D371)</f>
        <v>4461</v>
      </c>
      <c r="F371" s="1">
        <v>231</v>
      </c>
      <c r="G371" s="1">
        <v>2175</v>
      </c>
      <c r="H371" s="1">
        <f>1442+3878</f>
        <v>5320</v>
      </c>
      <c r="I371" s="55">
        <f t="shared" ref="I371" si="148">SUM(F371:H371)</f>
        <v>7726</v>
      </c>
      <c r="J371" s="1">
        <f>2245+3387</f>
        <v>5632</v>
      </c>
      <c r="K371" s="1">
        <f>2124+3551</f>
        <v>5675</v>
      </c>
      <c r="L371" s="1">
        <f>1833+3014</f>
        <v>4847</v>
      </c>
      <c r="M371" s="55">
        <f t="shared" ref="M371" si="149">SUM(J371:L371)</f>
        <v>16154</v>
      </c>
      <c r="N371" s="1">
        <f>1819+4823</f>
        <v>6642</v>
      </c>
      <c r="O371" s="1">
        <f>1162+3679</f>
        <v>4841</v>
      </c>
      <c r="P371" s="1">
        <f>1934+109</f>
        <v>2043</v>
      </c>
      <c r="Q371" s="55">
        <f t="shared" si="128"/>
        <v>13526</v>
      </c>
      <c r="R371" s="55">
        <f t="shared" si="129"/>
        <v>41867</v>
      </c>
      <c r="T371" s="4" t="s">
        <v>210</v>
      </c>
    </row>
    <row r="372" spans="1:20" ht="15.75" customHeight="1" x14ac:dyDescent="0.3">
      <c r="A372" s="72" t="s">
        <v>1211</v>
      </c>
      <c r="B372" s="1"/>
      <c r="C372" s="1"/>
      <c r="D372" s="1"/>
      <c r="E372" s="55">
        <f t="shared" si="125"/>
        <v>0</v>
      </c>
      <c r="F372" s="1"/>
      <c r="G372" s="1"/>
      <c r="H372" s="1"/>
      <c r="I372" s="55">
        <f t="shared" si="126"/>
        <v>0</v>
      </c>
      <c r="J372" s="1"/>
      <c r="K372" s="1"/>
      <c r="L372" s="1"/>
      <c r="M372" s="55">
        <f t="shared" si="127"/>
        <v>0</v>
      </c>
      <c r="N372" s="1"/>
      <c r="O372" s="1"/>
      <c r="P372" s="1"/>
      <c r="Q372" s="55">
        <f t="shared" si="128"/>
        <v>0</v>
      </c>
      <c r="R372" s="55">
        <f t="shared" si="129"/>
        <v>0</v>
      </c>
      <c r="T372" s="4" t="s">
        <v>256</v>
      </c>
    </row>
    <row r="373" spans="1:20" ht="15.75" customHeight="1" x14ac:dyDescent="0.3">
      <c r="A373" s="72" t="s">
        <v>1398</v>
      </c>
      <c r="B373" s="1"/>
      <c r="C373" s="1"/>
      <c r="D373" s="1">
        <f>378+487</f>
        <v>865</v>
      </c>
      <c r="E373" s="55">
        <f t="shared" si="125"/>
        <v>865</v>
      </c>
      <c r="F373" s="1"/>
      <c r="G373" s="1"/>
      <c r="H373" s="1">
        <f>492+508</f>
        <v>1000</v>
      </c>
      <c r="I373" s="55">
        <f t="shared" si="126"/>
        <v>1000</v>
      </c>
      <c r="J373" s="1">
        <v>1000</v>
      </c>
      <c r="K373" s="1"/>
      <c r="L373" s="1"/>
      <c r="M373" s="55">
        <f t="shared" si="127"/>
        <v>1000</v>
      </c>
      <c r="N373" s="1"/>
      <c r="O373" s="1"/>
      <c r="P373" s="1"/>
      <c r="Q373" s="55">
        <f t="shared" ref="Q373" si="150">SUM(N373:P373)</f>
        <v>0</v>
      </c>
      <c r="R373" s="55">
        <f t="shared" si="129"/>
        <v>2865</v>
      </c>
    </row>
    <row r="374" spans="1:20" ht="15.75" customHeight="1" x14ac:dyDescent="0.3">
      <c r="A374" s="72" t="s">
        <v>1399</v>
      </c>
      <c r="B374" s="1"/>
      <c r="C374" s="1"/>
      <c r="D374" s="1"/>
      <c r="E374" s="55">
        <f t="shared" si="125"/>
        <v>0</v>
      </c>
      <c r="F374" s="1"/>
      <c r="G374" s="1"/>
      <c r="H374" s="1"/>
      <c r="I374" s="55">
        <f t="shared" si="126"/>
        <v>0</v>
      </c>
      <c r="J374" s="1">
        <v>1056</v>
      </c>
      <c r="K374" s="1"/>
      <c r="L374" s="1"/>
      <c r="M374" s="55">
        <f t="shared" si="127"/>
        <v>1056</v>
      </c>
      <c r="N374" s="1"/>
      <c r="O374" s="1"/>
      <c r="P374" s="1">
        <v>21</v>
      </c>
      <c r="Q374" s="55">
        <f t="shared" ref="Q374" si="151">SUM(N374:P374)</f>
        <v>21</v>
      </c>
      <c r="R374" s="55">
        <f t="shared" si="129"/>
        <v>1077</v>
      </c>
    </row>
    <row r="375" spans="1:20" ht="15.75" customHeight="1" x14ac:dyDescent="0.3">
      <c r="A375" s="72" t="s">
        <v>1212</v>
      </c>
      <c r="B375" s="1">
        <f>72+131+97</f>
        <v>300</v>
      </c>
      <c r="C375" s="1">
        <f>151+149</f>
        <v>300</v>
      </c>
      <c r="D375" s="1">
        <f>300</f>
        <v>300</v>
      </c>
      <c r="E375" s="55">
        <f t="shared" si="125"/>
        <v>900</v>
      </c>
      <c r="F375" s="1">
        <v>300</v>
      </c>
      <c r="G375" s="1">
        <v>300</v>
      </c>
      <c r="H375" s="1">
        <v>190</v>
      </c>
      <c r="I375" s="55">
        <f t="shared" si="126"/>
        <v>790</v>
      </c>
      <c r="J375" s="1">
        <v>600</v>
      </c>
      <c r="K375" s="1">
        <v>300</v>
      </c>
      <c r="L375" s="1">
        <f>320+280</f>
        <v>600</v>
      </c>
      <c r="M375" s="55">
        <f t="shared" si="127"/>
        <v>1500</v>
      </c>
      <c r="N375" s="1"/>
      <c r="O375" s="1"/>
      <c r="P375" s="1"/>
      <c r="Q375" s="55">
        <f t="shared" si="128"/>
        <v>0</v>
      </c>
      <c r="R375" s="55">
        <f t="shared" si="129"/>
        <v>3190</v>
      </c>
    </row>
    <row r="376" spans="1:20" ht="15.75" customHeight="1" x14ac:dyDescent="0.3">
      <c r="A376" s="72" t="s">
        <v>1298</v>
      </c>
      <c r="B376" s="1"/>
      <c r="C376" s="1"/>
      <c r="D376" s="1"/>
      <c r="E376" s="55">
        <f t="shared" si="125"/>
        <v>0</v>
      </c>
      <c r="F376" s="1"/>
      <c r="G376" s="1"/>
      <c r="H376" s="1">
        <v>620</v>
      </c>
      <c r="I376" s="55">
        <f t="shared" si="126"/>
        <v>620</v>
      </c>
      <c r="J376" s="1"/>
      <c r="K376" s="1"/>
      <c r="L376" s="1"/>
      <c r="M376" s="55">
        <f t="shared" si="127"/>
        <v>0</v>
      </c>
      <c r="N376" s="1"/>
      <c r="O376" s="1"/>
      <c r="P376" s="1"/>
      <c r="Q376" s="55">
        <f t="shared" si="128"/>
        <v>0</v>
      </c>
      <c r="R376" s="55">
        <f t="shared" si="129"/>
        <v>620</v>
      </c>
      <c r="S376" s="477" t="s">
        <v>1257</v>
      </c>
    </row>
    <row r="377" spans="1:20" ht="15.75" customHeight="1" x14ac:dyDescent="0.3">
      <c r="A377" s="72" t="s">
        <v>926</v>
      </c>
      <c r="B377" s="1"/>
      <c r="C377" s="1"/>
      <c r="D377" s="1"/>
      <c r="E377" s="55">
        <f t="shared" si="125"/>
        <v>0</v>
      </c>
      <c r="F377" s="1"/>
      <c r="G377" s="1"/>
      <c r="H377" s="1"/>
      <c r="I377" s="55">
        <f t="shared" si="126"/>
        <v>0</v>
      </c>
      <c r="J377" s="1">
        <v>999</v>
      </c>
      <c r="K377" s="1"/>
      <c r="L377" s="1">
        <v>1</v>
      </c>
      <c r="M377" s="55">
        <f t="shared" si="127"/>
        <v>1000</v>
      </c>
      <c r="N377" s="1"/>
      <c r="O377" s="1"/>
      <c r="P377" s="1"/>
      <c r="Q377" s="55">
        <f>SUM(N377:P377)</f>
        <v>0</v>
      </c>
      <c r="R377" s="55">
        <f>+E377+I377+M377+Q377</f>
        <v>1000</v>
      </c>
      <c r="T377" s="4" t="s">
        <v>241</v>
      </c>
    </row>
    <row r="378" spans="1:20" ht="15.75" customHeight="1" x14ac:dyDescent="0.3">
      <c r="A378" s="72" t="s">
        <v>927</v>
      </c>
      <c r="B378" s="1">
        <v>28</v>
      </c>
      <c r="C378" s="1">
        <v>27</v>
      </c>
      <c r="D378" s="1">
        <v>21</v>
      </c>
      <c r="E378" s="55">
        <f>SUM(B378:D378)</f>
        <v>76</v>
      </c>
      <c r="F378" s="1">
        <v>54</v>
      </c>
      <c r="G378" s="1"/>
      <c r="H378" s="1">
        <v>17</v>
      </c>
      <c r="I378" s="55">
        <f>SUM(F378:H378)</f>
        <v>71</v>
      </c>
      <c r="J378" s="1">
        <v>1</v>
      </c>
      <c r="K378" s="1"/>
      <c r="L378" s="1"/>
      <c r="M378" s="55">
        <f>SUM(J378:L378)</f>
        <v>1</v>
      </c>
      <c r="N378" s="1"/>
      <c r="O378" s="1"/>
      <c r="P378" s="1"/>
      <c r="Q378" s="55">
        <f>SUM(N378:P378)</f>
        <v>0</v>
      </c>
      <c r="R378" s="55">
        <f>+E378+I378+M378+Q378</f>
        <v>148</v>
      </c>
      <c r="T378" s="4" t="s">
        <v>406</v>
      </c>
    </row>
    <row r="379" spans="1:20" ht="15.75" customHeight="1" x14ac:dyDescent="0.3">
      <c r="A379" s="71" t="s">
        <v>929</v>
      </c>
      <c r="B379" s="1"/>
      <c r="C379" s="1"/>
      <c r="D379" s="1"/>
      <c r="E379" s="55">
        <f>SUM(B379:D379)</f>
        <v>0</v>
      </c>
      <c r="F379" s="1"/>
      <c r="G379" s="1"/>
      <c r="H379" s="1"/>
      <c r="I379" s="55">
        <f>SUM(F379:H379)</f>
        <v>0</v>
      </c>
      <c r="J379" s="1">
        <v>27</v>
      </c>
      <c r="K379" s="1"/>
      <c r="L379" s="1"/>
      <c r="M379" s="55">
        <f>SUM(J379:L379)</f>
        <v>27</v>
      </c>
      <c r="N379" s="1"/>
      <c r="O379" s="1"/>
      <c r="P379" s="1"/>
      <c r="Q379" s="55">
        <f>SUM(N379:P379)</f>
        <v>0</v>
      </c>
      <c r="R379" s="55">
        <f t="shared" si="129"/>
        <v>27</v>
      </c>
    </row>
    <row r="380" spans="1:20" ht="15.75" customHeight="1" x14ac:dyDescent="0.3">
      <c r="A380" s="72" t="s">
        <v>930</v>
      </c>
      <c r="B380" s="1">
        <v>20</v>
      </c>
      <c r="C380" s="1">
        <v>20</v>
      </c>
      <c r="D380" s="1">
        <v>20</v>
      </c>
      <c r="E380" s="55">
        <f t="shared" ref="E380" si="152">SUM(B380:D380)</f>
        <v>60</v>
      </c>
      <c r="F380" s="1">
        <v>60</v>
      </c>
      <c r="G380" s="1">
        <v>76</v>
      </c>
      <c r="H380" s="1">
        <v>107</v>
      </c>
      <c r="I380" s="55">
        <f t="shared" ref="I380" si="153">SUM(F380:H380)</f>
        <v>243</v>
      </c>
      <c r="J380" s="1">
        <v>131</v>
      </c>
      <c r="K380" s="1">
        <v>61</v>
      </c>
      <c r="L380" s="1"/>
      <c r="M380" s="55">
        <f t="shared" ref="M380" si="154">SUM(J380:L380)</f>
        <v>192</v>
      </c>
      <c r="N380" s="1"/>
      <c r="O380" s="1"/>
      <c r="P380" s="1"/>
      <c r="Q380" s="55">
        <f t="shared" si="128"/>
        <v>0</v>
      </c>
      <c r="R380" s="55">
        <f t="shared" si="129"/>
        <v>495</v>
      </c>
      <c r="S380" s="4">
        <f>SUM(R347:R380)</f>
        <v>91232</v>
      </c>
      <c r="T380" s="4" t="s">
        <v>214</v>
      </c>
    </row>
    <row r="381" spans="1:20" ht="15.75" customHeight="1" x14ac:dyDescent="0.3">
      <c r="A381" s="72" t="s">
        <v>931</v>
      </c>
      <c r="B381" s="1">
        <v>1</v>
      </c>
      <c r="C381" s="1">
        <v>2</v>
      </c>
      <c r="D381" s="1">
        <v>2</v>
      </c>
      <c r="E381" s="55">
        <f>SUM(B381:D381)</f>
        <v>5</v>
      </c>
      <c r="F381" s="1">
        <v>6</v>
      </c>
      <c r="G381" s="1"/>
      <c r="H381" s="1">
        <v>10</v>
      </c>
      <c r="I381" s="55">
        <f>SUM(F381:H381)</f>
        <v>16</v>
      </c>
      <c r="J381" s="1">
        <v>9</v>
      </c>
      <c r="K381" s="1">
        <v>10</v>
      </c>
      <c r="L381" s="1">
        <v>6</v>
      </c>
      <c r="M381" s="55">
        <f>SUM(J381:L381)</f>
        <v>25</v>
      </c>
      <c r="N381" s="1">
        <v>8</v>
      </c>
      <c r="O381" s="1">
        <v>4</v>
      </c>
      <c r="P381" s="1">
        <v>2</v>
      </c>
      <c r="Q381" s="55">
        <f>SUM(N381:P381)</f>
        <v>14</v>
      </c>
      <c r="R381" s="55">
        <f>+E381+I381+M381+Q381</f>
        <v>60</v>
      </c>
      <c r="T381" s="4" t="s">
        <v>406</v>
      </c>
    </row>
    <row r="382" spans="1:20" ht="15.75" customHeight="1" x14ac:dyDescent="0.3">
      <c r="A382" s="15" t="s">
        <v>50</v>
      </c>
      <c r="B382" s="1"/>
      <c r="C382" s="1"/>
      <c r="D382" s="1"/>
      <c r="E382" s="55" t="s">
        <v>7</v>
      </c>
      <c r="F382" s="1"/>
      <c r="G382" s="1"/>
      <c r="H382" s="1"/>
      <c r="I382" s="55" t="s">
        <v>7</v>
      </c>
      <c r="J382" s="1"/>
      <c r="K382" s="1"/>
      <c r="L382" s="1"/>
      <c r="M382" s="55" t="s">
        <v>7</v>
      </c>
      <c r="N382" s="1"/>
      <c r="O382" s="1"/>
      <c r="P382" s="1"/>
      <c r="Q382" s="55" t="s">
        <v>7</v>
      </c>
      <c r="R382" s="55" t="s">
        <v>7</v>
      </c>
    </row>
    <row r="383" spans="1:20" ht="15.75" customHeight="1" x14ac:dyDescent="0.3">
      <c r="A383" s="72" t="s">
        <v>217</v>
      </c>
      <c r="B383" s="1"/>
      <c r="C383" s="1"/>
      <c r="D383" s="1"/>
      <c r="E383" s="55">
        <f t="shared" ref="E383:E393" si="155">SUM(B383:D383)</f>
        <v>0</v>
      </c>
      <c r="F383" s="1"/>
      <c r="G383" s="1"/>
      <c r="H383" s="1"/>
      <c r="I383" s="55">
        <f t="shared" ref="I383:I393" si="156">SUM(F383:H383)</f>
        <v>0</v>
      </c>
      <c r="J383" s="1"/>
      <c r="K383" s="1"/>
      <c r="L383" s="1"/>
      <c r="M383" s="55">
        <f t="shared" ref="M383:M393" si="157">SUM(J383:L383)</f>
        <v>0</v>
      </c>
      <c r="N383" s="1"/>
      <c r="O383" s="1"/>
      <c r="P383" s="1"/>
      <c r="Q383" s="55">
        <f t="shared" ref="Q383:Q393" si="158">SUM(N383:P383)</f>
        <v>0</v>
      </c>
      <c r="R383" s="55">
        <f t="shared" ref="R383:R393" si="159">+E383+I383+M383+Q383</f>
        <v>0</v>
      </c>
    </row>
    <row r="384" spans="1:20" ht="15.75" customHeight="1" x14ac:dyDescent="0.3">
      <c r="A384" s="72" t="s">
        <v>932</v>
      </c>
      <c r="B384" s="1"/>
      <c r="C384" s="1"/>
      <c r="D384" s="1"/>
      <c r="E384" s="55">
        <f>SUM(B384:D384)</f>
        <v>0</v>
      </c>
      <c r="F384" s="1"/>
      <c r="G384" s="1"/>
      <c r="H384" s="1"/>
      <c r="I384" s="55">
        <f>SUM(F384:H384)</f>
        <v>0</v>
      </c>
      <c r="J384" s="1"/>
      <c r="K384" s="1"/>
      <c r="L384" s="1"/>
      <c r="M384" s="55">
        <f>SUM(J384:L384)</f>
        <v>0</v>
      </c>
      <c r="N384" s="1"/>
      <c r="O384" s="1"/>
      <c r="P384" s="1"/>
      <c r="Q384" s="55">
        <f>SUM(N384:P384)</f>
        <v>0</v>
      </c>
      <c r="R384" s="55">
        <f>+E384+I384+M384+Q384</f>
        <v>0</v>
      </c>
      <c r="T384" s="4" t="s">
        <v>220</v>
      </c>
    </row>
    <row r="385" spans="1:23" ht="15.75" customHeight="1" x14ac:dyDescent="0.3">
      <c r="A385" s="72" t="s">
        <v>643</v>
      </c>
      <c r="B385" s="1"/>
      <c r="C385" s="1"/>
      <c r="D385" s="1"/>
      <c r="E385" s="55">
        <f>SUM(B385:D385)</f>
        <v>0</v>
      </c>
      <c r="F385" s="1"/>
      <c r="G385" s="1"/>
      <c r="H385" s="1"/>
      <c r="I385" s="55">
        <f>SUM(F385:H385)</f>
        <v>0</v>
      </c>
      <c r="J385" s="1"/>
      <c r="K385" s="1"/>
      <c r="L385" s="1"/>
      <c r="M385" s="55">
        <f>SUM(J385:L385)</f>
        <v>0</v>
      </c>
      <c r="N385" s="1"/>
      <c r="O385" s="1"/>
      <c r="P385" s="1"/>
      <c r="Q385" s="55">
        <f>SUM(N385:P385)</f>
        <v>0</v>
      </c>
      <c r="R385" s="55">
        <f>+E385+I385+M385+Q385</f>
        <v>0</v>
      </c>
      <c r="T385" s="4" t="s">
        <v>256</v>
      </c>
    </row>
    <row r="386" spans="1:23" ht="15.75" customHeight="1" x14ac:dyDescent="0.3">
      <c r="A386" s="72" t="s">
        <v>924</v>
      </c>
      <c r="B386" s="1"/>
      <c r="C386" s="1"/>
      <c r="D386" s="1"/>
      <c r="E386" s="55">
        <f t="shared" si="155"/>
        <v>0</v>
      </c>
      <c r="F386" s="1"/>
      <c r="G386" s="1"/>
      <c r="H386" s="1"/>
      <c r="I386" s="55">
        <f t="shared" si="156"/>
        <v>0</v>
      </c>
      <c r="J386" s="1"/>
      <c r="K386" s="1"/>
      <c r="L386" s="1"/>
      <c r="M386" s="55">
        <f t="shared" si="157"/>
        <v>0</v>
      </c>
      <c r="N386" s="1"/>
      <c r="O386" s="1"/>
      <c r="P386" s="1"/>
      <c r="Q386" s="55">
        <f t="shared" si="158"/>
        <v>0</v>
      </c>
      <c r="R386" s="55">
        <f>+E386+I386+M386+Q386</f>
        <v>0</v>
      </c>
      <c r="T386" s="4" t="s">
        <v>214</v>
      </c>
    </row>
    <row r="387" spans="1:23" ht="15.75" customHeight="1" x14ac:dyDescent="0.3">
      <c r="A387" s="72" t="s">
        <v>721</v>
      </c>
      <c r="B387" s="1"/>
      <c r="C387" s="1"/>
      <c r="D387" s="1"/>
      <c r="E387" s="55">
        <f>SUM(B387:D387)</f>
        <v>0</v>
      </c>
      <c r="F387" s="1"/>
      <c r="G387" s="1"/>
      <c r="H387" s="1"/>
      <c r="I387" s="55">
        <f>SUM(F387:H387)</f>
        <v>0</v>
      </c>
      <c r="J387" s="1"/>
      <c r="K387" s="1"/>
      <c r="L387" s="1"/>
      <c r="M387" s="55">
        <f>SUM(J387:L387)</f>
        <v>0</v>
      </c>
      <c r="N387" s="1"/>
      <c r="O387" s="1"/>
      <c r="P387" s="1"/>
      <c r="Q387" s="55">
        <f>SUM(N387:P387)</f>
        <v>0</v>
      </c>
      <c r="R387" s="55">
        <f>+E387+I387+M387+Q387</f>
        <v>0</v>
      </c>
      <c r="T387" s="4" t="s">
        <v>218</v>
      </c>
    </row>
    <row r="388" spans="1:23" ht="15.75" customHeight="1" x14ac:dyDescent="0.3">
      <c r="A388" s="72" t="s">
        <v>222</v>
      </c>
      <c r="B388" s="1"/>
      <c r="C388" s="1"/>
      <c r="D388" s="1"/>
      <c r="E388" s="55">
        <f t="shared" si="155"/>
        <v>0</v>
      </c>
      <c r="F388" s="1"/>
      <c r="G388" s="1"/>
      <c r="H388" s="1"/>
      <c r="I388" s="55">
        <f t="shared" si="156"/>
        <v>0</v>
      </c>
      <c r="J388" s="1"/>
      <c r="K388" s="1"/>
      <c r="L388" s="1"/>
      <c r="M388" s="55">
        <f t="shared" si="157"/>
        <v>0</v>
      </c>
      <c r="N388" s="1"/>
      <c r="O388" s="1"/>
      <c r="P388" s="1"/>
      <c r="Q388" s="55">
        <f t="shared" si="158"/>
        <v>0</v>
      </c>
      <c r="R388" s="55">
        <f t="shared" si="159"/>
        <v>0</v>
      </c>
    </row>
    <row r="389" spans="1:23" ht="15.75" customHeight="1" x14ac:dyDescent="0.3">
      <c r="A389" s="72" t="s">
        <v>933</v>
      </c>
      <c r="B389" s="1"/>
      <c r="C389" s="1"/>
      <c r="D389" s="1"/>
      <c r="E389" s="55">
        <f t="shared" si="155"/>
        <v>0</v>
      </c>
      <c r="F389" s="1"/>
      <c r="G389" s="1"/>
      <c r="H389" s="1"/>
      <c r="I389" s="55">
        <f t="shared" si="156"/>
        <v>0</v>
      </c>
      <c r="J389" s="1"/>
      <c r="K389" s="1"/>
      <c r="L389" s="1"/>
      <c r="M389" s="55">
        <f t="shared" si="157"/>
        <v>0</v>
      </c>
      <c r="N389" s="1"/>
      <c r="O389" s="1"/>
      <c r="P389" s="1"/>
      <c r="Q389" s="55">
        <f t="shared" si="158"/>
        <v>0</v>
      </c>
      <c r="R389" s="55">
        <f t="shared" si="159"/>
        <v>0</v>
      </c>
      <c r="T389" s="4" t="s">
        <v>226</v>
      </c>
    </row>
    <row r="390" spans="1:23" ht="15.75" customHeight="1" x14ac:dyDescent="0.3">
      <c r="A390" s="72" t="s">
        <v>227</v>
      </c>
      <c r="B390" s="1"/>
      <c r="C390" s="1"/>
      <c r="D390" s="1"/>
      <c r="E390" s="55">
        <f t="shared" si="155"/>
        <v>0</v>
      </c>
      <c r="F390" s="1"/>
      <c r="G390" s="1"/>
      <c r="H390" s="1"/>
      <c r="I390" s="55">
        <f t="shared" si="156"/>
        <v>0</v>
      </c>
      <c r="J390" s="1"/>
      <c r="K390" s="1"/>
      <c r="L390" s="1"/>
      <c r="M390" s="55">
        <f t="shared" si="157"/>
        <v>0</v>
      </c>
      <c r="N390" s="1"/>
      <c r="O390" s="1"/>
      <c r="P390" s="1"/>
      <c r="Q390" s="55">
        <f t="shared" si="158"/>
        <v>0</v>
      </c>
      <c r="R390" s="55">
        <f t="shared" si="159"/>
        <v>0</v>
      </c>
      <c r="T390" s="4" t="s">
        <v>226</v>
      </c>
    </row>
    <row r="391" spans="1:23" ht="15.75" customHeight="1" x14ac:dyDescent="0.3">
      <c r="A391" s="72" t="s">
        <v>934</v>
      </c>
      <c r="B391" s="1"/>
      <c r="C391" s="1"/>
      <c r="D391" s="1"/>
      <c r="E391" s="55">
        <f t="shared" si="155"/>
        <v>0</v>
      </c>
      <c r="F391" s="1"/>
      <c r="G391" s="1"/>
      <c r="H391" s="1"/>
      <c r="I391" s="55">
        <f t="shared" si="156"/>
        <v>0</v>
      </c>
      <c r="J391" s="1"/>
      <c r="K391" s="1"/>
      <c r="L391" s="1"/>
      <c r="M391" s="55">
        <f t="shared" si="157"/>
        <v>0</v>
      </c>
      <c r="N391" s="1"/>
      <c r="O391" s="1"/>
      <c r="P391" s="1"/>
      <c r="Q391" s="55">
        <f t="shared" si="158"/>
        <v>0</v>
      </c>
      <c r="R391" s="55">
        <f t="shared" si="159"/>
        <v>0</v>
      </c>
      <c r="T391" s="4" t="s">
        <v>406</v>
      </c>
    </row>
    <row r="392" spans="1:23" ht="15.75" customHeight="1" x14ac:dyDescent="0.3">
      <c r="A392" s="72" t="s">
        <v>634</v>
      </c>
      <c r="B392" s="1"/>
      <c r="C392" s="1"/>
      <c r="D392" s="1"/>
      <c r="E392" s="55">
        <f>SUM(B392:D392)</f>
        <v>0</v>
      </c>
      <c r="F392" s="1"/>
      <c r="G392" s="1"/>
      <c r="H392" s="1"/>
      <c r="I392" s="55">
        <f>SUM(F392:H392)</f>
        <v>0</v>
      </c>
      <c r="J392" s="1"/>
      <c r="K392" s="1"/>
      <c r="L392" s="1"/>
      <c r="M392" s="55">
        <f>SUM(J392:L392)</f>
        <v>0</v>
      </c>
      <c r="N392" s="1"/>
      <c r="O392" s="1"/>
      <c r="P392" s="1"/>
      <c r="Q392" s="55">
        <f>SUM(N392:P392)</f>
        <v>0</v>
      </c>
      <c r="R392" s="55">
        <f>+E392+I392+M392+Q392</f>
        <v>0</v>
      </c>
      <c r="T392" s="4" t="s">
        <v>406</v>
      </c>
    </row>
    <row r="393" spans="1:23" ht="15.75" customHeight="1" x14ac:dyDescent="0.3">
      <c r="A393" s="72" t="s">
        <v>635</v>
      </c>
      <c r="B393" s="1"/>
      <c r="C393" s="1"/>
      <c r="D393" s="1"/>
      <c r="E393" s="55">
        <f t="shared" si="155"/>
        <v>0</v>
      </c>
      <c r="F393" s="1"/>
      <c r="G393" s="1"/>
      <c r="H393" s="1"/>
      <c r="I393" s="55">
        <f t="shared" si="156"/>
        <v>0</v>
      </c>
      <c r="J393" s="1"/>
      <c r="K393" s="1"/>
      <c r="L393" s="1"/>
      <c r="M393" s="55">
        <f t="shared" si="157"/>
        <v>0</v>
      </c>
      <c r="N393" s="1"/>
      <c r="O393" s="1"/>
      <c r="P393" s="1"/>
      <c r="Q393" s="55">
        <f t="shared" si="158"/>
        <v>0</v>
      </c>
      <c r="R393" s="55">
        <f t="shared" si="159"/>
        <v>0</v>
      </c>
      <c r="T393" s="4" t="s">
        <v>232</v>
      </c>
    </row>
    <row r="394" spans="1:23" ht="15.75" customHeight="1" x14ac:dyDescent="0.3">
      <c r="A394" s="15" t="s">
        <v>1186</v>
      </c>
      <c r="B394" s="1"/>
      <c r="C394" s="1"/>
      <c r="D394" s="1"/>
      <c r="E394" s="55" t="s">
        <v>7</v>
      </c>
      <c r="F394" s="1"/>
      <c r="G394" s="1"/>
      <c r="H394" s="1"/>
      <c r="I394" s="55" t="s">
        <v>7</v>
      </c>
      <c r="J394" s="1"/>
      <c r="K394" s="1"/>
      <c r="L394" s="1"/>
      <c r="M394" s="55" t="s">
        <v>7</v>
      </c>
      <c r="N394" s="1"/>
      <c r="O394" s="1"/>
      <c r="P394" s="1"/>
      <c r="Q394" s="55" t="s">
        <v>7</v>
      </c>
      <c r="R394" s="55" t="s">
        <v>7</v>
      </c>
    </row>
    <row r="395" spans="1:23" ht="15.75" customHeight="1" x14ac:dyDescent="0.3">
      <c r="A395" s="72" t="s">
        <v>1299</v>
      </c>
      <c r="B395" s="1"/>
      <c r="C395" s="1"/>
      <c r="D395" s="1"/>
      <c r="E395" s="55">
        <f>SUM(B395:D395)</f>
        <v>0</v>
      </c>
      <c r="F395" s="1"/>
      <c r="G395" s="1"/>
      <c r="H395" s="1"/>
      <c r="I395" s="55">
        <f>SUM(F395:H395)</f>
        <v>0</v>
      </c>
      <c r="J395" s="1"/>
      <c r="K395" s="1"/>
      <c r="L395" s="1"/>
      <c r="M395" s="55">
        <f>SUM(J395:L395)</f>
        <v>0</v>
      </c>
      <c r="N395" s="1"/>
      <c r="O395" s="1"/>
      <c r="P395" s="1"/>
      <c r="Q395" s="55">
        <f>SUM(N395:P395)</f>
        <v>0</v>
      </c>
      <c r="R395" s="55">
        <f>+E395+I395+M395+Q395</f>
        <v>0</v>
      </c>
      <c r="S395" s="478" t="s">
        <v>1259</v>
      </c>
      <c r="T395" s="4" t="s">
        <v>209</v>
      </c>
    </row>
    <row r="396" spans="1:23" ht="15.75" customHeight="1" x14ac:dyDescent="0.3">
      <c r="A396" s="72" t="s">
        <v>1300</v>
      </c>
      <c r="B396" s="1"/>
      <c r="C396" s="1"/>
      <c r="D396" s="1"/>
      <c r="E396" s="55">
        <f>SUM(B396:D396)</f>
        <v>0</v>
      </c>
      <c r="F396" s="1"/>
      <c r="G396" s="1"/>
      <c r="H396" s="1"/>
      <c r="I396" s="55">
        <f>SUM(F396:H396)</f>
        <v>0</v>
      </c>
      <c r="J396" s="1"/>
      <c r="K396" s="1"/>
      <c r="L396" s="1"/>
      <c r="M396" s="55">
        <f>SUM(J396:L396)</f>
        <v>0</v>
      </c>
      <c r="N396" s="1"/>
      <c r="O396" s="1"/>
      <c r="P396" s="1"/>
      <c r="Q396" s="55">
        <f>SUM(N396:P396)</f>
        <v>0</v>
      </c>
      <c r="R396" s="55">
        <f>+E396+I396+M396+Q396</f>
        <v>0</v>
      </c>
      <c r="S396" s="478" t="s">
        <v>1259</v>
      </c>
    </row>
    <row r="397" spans="1:23" ht="15.75" customHeight="1" x14ac:dyDescent="0.3">
      <c r="A397" s="72" t="s">
        <v>1301</v>
      </c>
      <c r="B397" s="1"/>
      <c r="C397" s="1"/>
      <c r="D397" s="1"/>
      <c r="E397" s="55">
        <f>SUM(B397:D397)</f>
        <v>0</v>
      </c>
      <c r="F397" s="1"/>
      <c r="G397" s="1"/>
      <c r="H397" s="1"/>
      <c r="I397" s="55">
        <f>SUM(F397:H397)</f>
        <v>0</v>
      </c>
      <c r="J397" s="1"/>
      <c r="K397" s="1"/>
      <c r="L397" s="1"/>
      <c r="M397" s="55">
        <f>SUM(J397:L397)</f>
        <v>0</v>
      </c>
      <c r="N397" s="1"/>
      <c r="O397" s="1"/>
      <c r="P397" s="1"/>
      <c r="Q397" s="55">
        <f>SUM(N397:P397)</f>
        <v>0</v>
      </c>
      <c r="R397" s="55">
        <f>+E397+I397+M397+Q397</f>
        <v>0</v>
      </c>
      <c r="S397" s="478" t="s">
        <v>1259</v>
      </c>
      <c r="T397" s="4" t="s">
        <v>214</v>
      </c>
    </row>
    <row r="398" spans="1:23" ht="15.75" customHeight="1" x14ac:dyDescent="0.3">
      <c r="A398" s="72" t="s">
        <v>1302</v>
      </c>
      <c r="B398" s="1"/>
      <c r="C398" s="1"/>
      <c r="D398" s="1"/>
      <c r="E398" s="55">
        <f>SUM(B398:D398)</f>
        <v>0</v>
      </c>
      <c r="F398" s="1"/>
      <c r="G398" s="1"/>
      <c r="H398" s="1"/>
      <c r="I398" s="55">
        <f>SUM(F398:H398)</f>
        <v>0</v>
      </c>
      <c r="J398" s="1"/>
      <c r="K398" s="1"/>
      <c r="L398" s="1"/>
      <c r="M398" s="55">
        <f>SUM(J398:L398)</f>
        <v>0</v>
      </c>
      <c r="N398" s="1"/>
      <c r="O398" s="1"/>
      <c r="P398" s="1"/>
      <c r="Q398" s="55">
        <f>SUM(N398:P398)</f>
        <v>0</v>
      </c>
      <c r="R398" s="55">
        <f>+E398+I398+M398+Q398</f>
        <v>0</v>
      </c>
      <c r="S398" s="478" t="s">
        <v>1259</v>
      </c>
      <c r="T398" s="4" t="s">
        <v>241</v>
      </c>
    </row>
    <row r="399" spans="1:23" ht="16.5" customHeight="1" thickBot="1" x14ac:dyDescent="0.35">
      <c r="A399" s="15" t="s">
        <v>53</v>
      </c>
      <c r="B399" s="1"/>
      <c r="C399" s="1"/>
      <c r="D399" s="1"/>
      <c r="E399" s="55" t="s">
        <v>7</v>
      </c>
      <c r="F399" s="1"/>
      <c r="G399" s="1"/>
      <c r="H399" s="1"/>
      <c r="I399" s="55" t="s">
        <v>7</v>
      </c>
      <c r="J399" s="1"/>
      <c r="K399" s="1"/>
      <c r="L399" s="1"/>
      <c r="M399" s="55" t="s">
        <v>7</v>
      </c>
      <c r="N399" s="1"/>
      <c r="O399" s="1"/>
      <c r="P399" s="1"/>
      <c r="Q399" s="55" t="s">
        <v>7</v>
      </c>
      <c r="R399" s="81" t="s">
        <v>7</v>
      </c>
      <c r="V399" s="4" t="s">
        <v>936</v>
      </c>
      <c r="W399" s="4" t="s">
        <v>937</v>
      </c>
    </row>
    <row r="400" spans="1:23" ht="16.5" customHeight="1" thickBot="1" x14ac:dyDescent="0.35">
      <c r="A400" s="109" t="s">
        <v>54</v>
      </c>
      <c r="B400" s="86">
        <f>SUM(B345:B399)</f>
        <v>2413</v>
      </c>
      <c r="C400" s="87">
        <f>SUM(C345:C399)</f>
        <v>4717</v>
      </c>
      <c r="D400" s="87">
        <f>SUM(D345:D399)</f>
        <v>4215</v>
      </c>
      <c r="E400" s="59">
        <f>SUM(B400:D400)</f>
        <v>11345</v>
      </c>
      <c r="F400" s="87">
        <f>SUM(F345:F399)</f>
        <v>1349</v>
      </c>
      <c r="G400" s="87">
        <f>SUM(G345:G399)</f>
        <v>3332</v>
      </c>
      <c r="H400" s="87">
        <f>SUM(H345:H399)</f>
        <v>11007</v>
      </c>
      <c r="I400" s="59">
        <f>SUM(F400:H400)</f>
        <v>15688</v>
      </c>
      <c r="J400" s="87">
        <f>SUM(J345:J399)</f>
        <v>15407</v>
      </c>
      <c r="K400" s="87">
        <f>SUM(K345:K399)</f>
        <v>16615</v>
      </c>
      <c r="L400" s="87">
        <f>SUM(L345:L399)</f>
        <v>8983</v>
      </c>
      <c r="M400" s="59">
        <f>SUM(J400:L400)</f>
        <v>41005</v>
      </c>
      <c r="N400" s="87">
        <f>SUM(N345:N399)</f>
        <v>9623</v>
      </c>
      <c r="O400" s="87">
        <f>SUM(O345:O399)</f>
        <v>8668</v>
      </c>
      <c r="P400" s="87">
        <f>SUM(P345:P399)</f>
        <v>4963</v>
      </c>
      <c r="Q400" s="59">
        <f>SUM(N400:P400)</f>
        <v>23254</v>
      </c>
      <c r="R400" s="59">
        <f>+E400+I400+M400+Q400</f>
        <v>91292</v>
      </c>
      <c r="T400" s="89"/>
      <c r="V400" s="4" t="s">
        <v>209</v>
      </c>
      <c r="W400" s="348">
        <v>0.18</v>
      </c>
    </row>
    <row r="401" spans="1:39" ht="15.75" customHeight="1" x14ac:dyDescent="0.3">
      <c r="A401" s="15" t="s">
        <v>55</v>
      </c>
      <c r="B401" s="1"/>
      <c r="C401" s="1"/>
      <c r="D401" s="1"/>
      <c r="E401" s="55" t="s">
        <v>7</v>
      </c>
      <c r="F401" s="1"/>
      <c r="G401" s="1"/>
      <c r="H401" s="1"/>
      <c r="I401" s="55" t="s">
        <v>7</v>
      </c>
      <c r="J401" s="1"/>
      <c r="K401" s="1"/>
      <c r="L401" s="1"/>
      <c r="M401" s="55" t="s">
        <v>7</v>
      </c>
      <c r="N401" s="1"/>
      <c r="O401" s="1"/>
      <c r="P401" s="1"/>
      <c r="Q401" s="55" t="s">
        <v>7</v>
      </c>
      <c r="R401" s="55" t="s">
        <v>7</v>
      </c>
      <c r="V401" s="4" t="s">
        <v>938</v>
      </c>
      <c r="W401" s="348">
        <v>0.52</v>
      </c>
    </row>
    <row r="402" spans="1:39" ht="15.75" customHeight="1" x14ac:dyDescent="0.3">
      <c r="A402" s="15" t="s">
        <v>242</v>
      </c>
      <c r="B402" s="1"/>
      <c r="C402" s="1"/>
      <c r="D402" s="1"/>
      <c r="E402" s="55"/>
      <c r="F402" s="1"/>
      <c r="G402" s="1"/>
      <c r="H402" s="1"/>
      <c r="I402" s="55"/>
      <c r="J402" s="1"/>
      <c r="K402" s="1"/>
      <c r="L402" s="1"/>
      <c r="M402" s="55"/>
      <c r="N402" s="1"/>
      <c r="O402" s="1"/>
      <c r="P402" s="1"/>
      <c r="Q402" s="55"/>
      <c r="R402" s="55"/>
      <c r="V402" s="4" t="s">
        <v>939</v>
      </c>
      <c r="W402" s="348">
        <v>0.3</v>
      </c>
    </row>
    <row r="403" spans="1:39" ht="15.75" customHeight="1" x14ac:dyDescent="0.3">
      <c r="A403" s="15" t="s">
        <v>57</v>
      </c>
      <c r="B403" s="1"/>
      <c r="C403" s="1"/>
      <c r="D403" s="1"/>
      <c r="E403" s="55" t="s">
        <v>7</v>
      </c>
      <c r="F403" s="1"/>
      <c r="G403" s="1"/>
      <c r="H403" s="1"/>
      <c r="I403" s="55" t="s">
        <v>7</v>
      </c>
      <c r="J403" s="1"/>
      <c r="K403" s="1"/>
      <c r="L403" s="1"/>
      <c r="M403" s="55" t="s">
        <v>7</v>
      </c>
      <c r="N403" s="1"/>
      <c r="O403" s="1"/>
      <c r="P403" s="1"/>
      <c r="Q403" s="55" t="s">
        <v>7</v>
      </c>
      <c r="R403" s="55" t="s">
        <v>7</v>
      </c>
      <c r="W403" s="349">
        <f>+SUM(W400:W402)</f>
        <v>1</v>
      </c>
    </row>
    <row r="404" spans="1:39" ht="15.75" customHeight="1" x14ac:dyDescent="0.3">
      <c r="A404" s="72" t="s">
        <v>553</v>
      </c>
      <c r="B404" s="1">
        <v>36</v>
      </c>
      <c r="C404" s="1">
        <v>154</v>
      </c>
      <c r="D404" s="1">
        <v>712</v>
      </c>
      <c r="E404" s="55">
        <f>SUM(B404:D404)</f>
        <v>902</v>
      </c>
      <c r="F404" s="1">
        <v>2134</v>
      </c>
      <c r="G404" s="1">
        <v>1497</v>
      </c>
      <c r="H404" s="1">
        <v>3080</v>
      </c>
      <c r="I404" s="55">
        <f>SUM(F404:H404)</f>
        <v>6711</v>
      </c>
      <c r="J404" s="1">
        <v>3065</v>
      </c>
      <c r="K404" s="1">
        <v>3683</v>
      </c>
      <c r="L404" s="1"/>
      <c r="M404" s="55">
        <f>SUM(J404:L404)</f>
        <v>6748</v>
      </c>
      <c r="N404" s="1">
        <v>1486</v>
      </c>
      <c r="O404" s="1">
        <v>860</v>
      </c>
      <c r="P404" s="1">
        <v>512</v>
      </c>
      <c r="Q404" s="55">
        <f>SUM(N404:P404)</f>
        <v>2858</v>
      </c>
      <c r="R404" s="55">
        <f t="shared" ref="R404:R412" si="160">+E404+I404+M404+Q404</f>
        <v>17219</v>
      </c>
      <c r="T404" s="4" t="s">
        <v>209</v>
      </c>
      <c r="V404" s="351" t="s">
        <v>729</v>
      </c>
      <c r="W404" s="28" t="s">
        <v>8</v>
      </c>
      <c r="X404" s="338" t="s">
        <v>9</v>
      </c>
      <c r="Y404" s="338" t="s">
        <v>10</v>
      </c>
      <c r="Z404" s="352" t="s">
        <v>11</v>
      </c>
      <c r="AA404" s="338" t="s">
        <v>12</v>
      </c>
      <c r="AB404" s="338" t="s">
        <v>13</v>
      </c>
      <c r="AC404" s="338" t="s">
        <v>14</v>
      </c>
      <c r="AD404" s="352" t="s">
        <v>15</v>
      </c>
      <c r="AE404" s="338" t="s">
        <v>16</v>
      </c>
      <c r="AF404" s="338" t="s">
        <v>17</v>
      </c>
      <c r="AG404" s="338" t="s">
        <v>18</v>
      </c>
      <c r="AH404" s="352" t="s">
        <v>19</v>
      </c>
      <c r="AI404" s="338" t="s">
        <v>20</v>
      </c>
      <c r="AJ404" s="338" t="s">
        <v>21</v>
      </c>
      <c r="AK404" s="338" t="s">
        <v>22</v>
      </c>
      <c r="AL404" s="352" t="s">
        <v>23</v>
      </c>
      <c r="AM404" s="480" t="s">
        <v>24</v>
      </c>
    </row>
    <row r="405" spans="1:39" ht="15.75" customHeight="1" x14ac:dyDescent="0.3">
      <c r="A405" s="72" t="s">
        <v>244</v>
      </c>
      <c r="B405" s="1"/>
      <c r="C405" s="1"/>
      <c r="D405" s="1"/>
      <c r="E405" s="55">
        <f>SUM(B405:D405)</f>
        <v>0</v>
      </c>
      <c r="F405" s="1">
        <v>36</v>
      </c>
      <c r="G405" s="1">
        <v>24</v>
      </c>
      <c r="H405" s="1">
        <v>24</v>
      </c>
      <c r="I405" s="55">
        <f>SUM(F405:H405)</f>
        <v>84</v>
      </c>
      <c r="J405" s="1">
        <v>36</v>
      </c>
      <c r="K405" s="1">
        <v>18</v>
      </c>
      <c r="L405" s="1">
        <v>12</v>
      </c>
      <c r="M405" s="55">
        <f>SUM(J405:L405)</f>
        <v>66</v>
      </c>
      <c r="N405" s="1">
        <v>17</v>
      </c>
      <c r="O405" s="1"/>
      <c r="P405" s="1"/>
      <c r="Q405" s="55">
        <f>SUM(N405:P405)</f>
        <v>17</v>
      </c>
      <c r="R405" s="55">
        <f t="shared" si="160"/>
        <v>167</v>
      </c>
      <c r="T405" s="4" t="s">
        <v>214</v>
      </c>
      <c r="V405" s="306" t="s">
        <v>942</v>
      </c>
      <c r="W405" s="354">
        <v>1500</v>
      </c>
      <c r="X405" s="354">
        <v>1500</v>
      </c>
      <c r="Y405" s="354">
        <v>6800</v>
      </c>
      <c r="Z405" s="4">
        <f>+SUM(W405:Y405)</f>
        <v>9800</v>
      </c>
      <c r="AA405" s="354">
        <f>8000+1500</f>
        <v>9500</v>
      </c>
      <c r="AB405" s="354">
        <f>10000+2000</f>
        <v>12000</v>
      </c>
      <c r="AC405" s="354">
        <f>12000+1500</f>
        <v>13500</v>
      </c>
      <c r="AD405" s="4">
        <f>+SUM(AA405:AC405)</f>
        <v>35000</v>
      </c>
      <c r="AE405" s="354">
        <v>25500</v>
      </c>
      <c r="AF405" s="354">
        <v>19000</v>
      </c>
      <c r="AG405" s="354">
        <v>4000</v>
      </c>
      <c r="AH405" s="4">
        <f>+SUM(AE405:AG405)</f>
        <v>48500</v>
      </c>
      <c r="AI405" s="354">
        <v>1500</v>
      </c>
      <c r="AJ405" s="354">
        <v>1000</v>
      </c>
      <c r="AK405" s="354">
        <v>1069</v>
      </c>
      <c r="AL405" s="4">
        <f>+SUM(AI405:AK405)</f>
        <v>3569</v>
      </c>
      <c r="AM405" s="481">
        <f>+Z405+AD405+AH405+AL405</f>
        <v>96869</v>
      </c>
    </row>
    <row r="406" spans="1:39" ht="15.75" customHeight="1" x14ac:dyDescent="0.3">
      <c r="A406" s="72" t="s">
        <v>245</v>
      </c>
      <c r="B406" s="1">
        <v>341</v>
      </c>
      <c r="C406" s="1">
        <v>650</v>
      </c>
      <c r="D406" s="1">
        <v>1135</v>
      </c>
      <c r="E406" s="55">
        <f t="shared" ref="E406:E407" si="161">SUM(B406:D406)</f>
        <v>2126</v>
      </c>
      <c r="F406" s="1">
        <v>5589</v>
      </c>
      <c r="G406" s="1">
        <v>7267</v>
      </c>
      <c r="H406" s="1">
        <v>8197</v>
      </c>
      <c r="I406" s="55">
        <f t="shared" ref="I406:I411" si="162">SUM(F406:H406)</f>
        <v>21053</v>
      </c>
      <c r="J406" s="1">
        <v>6277</v>
      </c>
      <c r="K406" s="1"/>
      <c r="L406" s="1"/>
      <c r="M406" s="55">
        <f t="shared" ref="M406:M411" si="163">SUM(J406:L406)</f>
        <v>6277</v>
      </c>
      <c r="N406" s="1"/>
      <c r="O406" s="1"/>
      <c r="P406" s="1"/>
      <c r="Q406" s="55">
        <f t="shared" ref="Q406:Q412" si="164">SUM(N406:P406)</f>
        <v>0</v>
      </c>
      <c r="R406" s="55">
        <f t="shared" si="160"/>
        <v>29456</v>
      </c>
      <c r="T406" s="4" t="s">
        <v>910</v>
      </c>
      <c r="V406" s="306" t="s">
        <v>209</v>
      </c>
      <c r="W406" s="4">
        <f>+$W$400*W405</f>
        <v>270</v>
      </c>
      <c r="X406" s="4">
        <f>+$W$400*X405</f>
        <v>270</v>
      </c>
      <c r="Y406" s="4">
        <f>+$W$400*Y405</f>
        <v>1224</v>
      </c>
      <c r="Z406" s="4">
        <f>+SUM(W406:Y406)</f>
        <v>1764</v>
      </c>
      <c r="AA406" s="4">
        <f>+$W$400*AA405</f>
        <v>1710</v>
      </c>
      <c r="AB406" s="4">
        <f>+$W$400*AB405</f>
        <v>2160</v>
      </c>
      <c r="AC406" s="4">
        <f>+$W$400*AC405</f>
        <v>2430</v>
      </c>
      <c r="AD406" s="4">
        <f>+SUM(AA406:AC406)</f>
        <v>6300</v>
      </c>
      <c r="AE406" s="4">
        <f>+$W$400*AE405</f>
        <v>4590</v>
      </c>
      <c r="AF406" s="4">
        <f>+$W$400*AF405</f>
        <v>3420</v>
      </c>
      <c r="AG406" s="4">
        <f>+$W$400*AG405</f>
        <v>720</v>
      </c>
      <c r="AH406" s="4">
        <f>+SUM(AE406:AG406)</f>
        <v>8730</v>
      </c>
      <c r="AI406" s="4">
        <f>+$W$400*AI405</f>
        <v>270</v>
      </c>
      <c r="AJ406" s="4">
        <f>+$W$400*AJ405</f>
        <v>180</v>
      </c>
      <c r="AK406" s="4">
        <f>+$W$400*AK405</f>
        <v>192.42</v>
      </c>
      <c r="AL406" s="4">
        <f>+SUM(AI406:AK406)</f>
        <v>642.41999999999996</v>
      </c>
      <c r="AM406" s="481">
        <f>+Z406+AD406+AH406+AL406</f>
        <v>17436.419999999998</v>
      </c>
    </row>
    <row r="407" spans="1:39" ht="15.75" customHeight="1" x14ac:dyDescent="0.3">
      <c r="A407" s="72" t="s">
        <v>727</v>
      </c>
      <c r="B407" s="1">
        <v>1332</v>
      </c>
      <c r="C407" s="1">
        <v>4587</v>
      </c>
      <c r="D407" s="1">
        <v>6726</v>
      </c>
      <c r="E407" s="55">
        <f t="shared" si="161"/>
        <v>12645</v>
      </c>
      <c r="F407" s="1">
        <v>14952</v>
      </c>
      <c r="G407" s="1">
        <v>21165</v>
      </c>
      <c r="H407" s="1">
        <v>23173</v>
      </c>
      <c r="I407" s="55">
        <f t="shared" ref="I407" si="165">SUM(F407:H407)</f>
        <v>59290</v>
      </c>
      <c r="J407" s="1">
        <v>14959</v>
      </c>
      <c r="K407" s="1">
        <v>5348</v>
      </c>
      <c r="L407" s="1">
        <v>385</v>
      </c>
      <c r="M407" s="55">
        <f t="shared" ref="M407" si="166">SUM(J407:L407)</f>
        <v>20692</v>
      </c>
      <c r="N407" s="1">
        <v>1798</v>
      </c>
      <c r="O407" s="1">
        <v>3030</v>
      </c>
      <c r="P407" s="1">
        <v>5201</v>
      </c>
      <c r="Q407" s="55">
        <f t="shared" si="164"/>
        <v>10029</v>
      </c>
      <c r="R407" s="55">
        <f t="shared" si="160"/>
        <v>102656</v>
      </c>
      <c r="T407" s="4" t="s">
        <v>209</v>
      </c>
      <c r="V407" s="306" t="s">
        <v>938</v>
      </c>
      <c r="W407" s="4">
        <f>+$W$401*W405</f>
        <v>780</v>
      </c>
      <c r="X407" s="4">
        <f>+$W$401*X405</f>
        <v>780</v>
      </c>
      <c r="Y407" s="4">
        <f>+$W$401*Y405</f>
        <v>3536</v>
      </c>
      <c r="Z407" s="4">
        <f>+SUM(W407:Y407)</f>
        <v>5096</v>
      </c>
      <c r="AA407" s="4">
        <f>+$W$401*AA405</f>
        <v>4940</v>
      </c>
      <c r="AB407" s="4">
        <f>+$W$401*AB405</f>
        <v>6240</v>
      </c>
      <c r="AC407" s="4">
        <f>+$W$401*AC405</f>
        <v>7020</v>
      </c>
      <c r="AD407" s="4">
        <f>+SUM(AA407:AC407)</f>
        <v>18200</v>
      </c>
      <c r="AE407" s="4">
        <f>+$W$401*AE405</f>
        <v>13260</v>
      </c>
      <c r="AF407" s="4">
        <f>+$W$401*AF405</f>
        <v>9880</v>
      </c>
      <c r="AG407" s="4">
        <f>+$W$401*AG405</f>
        <v>2080</v>
      </c>
      <c r="AH407" s="4">
        <f>+SUM(AE407:AG407)</f>
        <v>25220</v>
      </c>
      <c r="AI407" s="4">
        <f>+$W$401*AI405</f>
        <v>780</v>
      </c>
      <c r="AJ407" s="4">
        <f>+$W$401*AJ405</f>
        <v>520</v>
      </c>
      <c r="AK407" s="4">
        <f>+$W$401*AK405</f>
        <v>555.88</v>
      </c>
      <c r="AL407" s="4">
        <f>+SUM(AI407:AK407)</f>
        <v>1855.88</v>
      </c>
      <c r="AM407" s="481">
        <f>+Z407+AD407+AH407+AL407</f>
        <v>50371.88</v>
      </c>
    </row>
    <row r="408" spans="1:39" ht="15.75" customHeight="1" x14ac:dyDescent="0.3">
      <c r="A408" s="72" t="s">
        <v>943</v>
      </c>
      <c r="B408" s="1"/>
      <c r="C408" s="1"/>
      <c r="D408" s="1"/>
      <c r="E408" s="55">
        <f t="shared" ref="E408:E411" si="167">SUM(B408:D408)</f>
        <v>0</v>
      </c>
      <c r="F408" s="1"/>
      <c r="G408" s="1"/>
      <c r="H408" s="1"/>
      <c r="I408" s="55">
        <f t="shared" si="162"/>
        <v>0</v>
      </c>
      <c r="J408" s="1"/>
      <c r="K408" s="1"/>
      <c r="L408" s="1"/>
      <c r="M408" s="55">
        <f t="shared" si="163"/>
        <v>0</v>
      </c>
      <c r="N408" s="1"/>
      <c r="O408" s="1"/>
      <c r="P408" s="1"/>
      <c r="Q408" s="55">
        <f t="shared" si="164"/>
        <v>0</v>
      </c>
      <c r="R408" s="55">
        <f t="shared" si="160"/>
        <v>0</v>
      </c>
      <c r="T408" s="4" t="s">
        <v>944</v>
      </c>
      <c r="V408" s="306" t="s">
        <v>939</v>
      </c>
      <c r="W408" s="4">
        <f>+$W$402*W405</f>
        <v>450</v>
      </c>
      <c r="X408" s="4">
        <f>+$W$402*X405</f>
        <v>450</v>
      </c>
      <c r="Y408" s="4">
        <f>+$W$402*Y405</f>
        <v>2040</v>
      </c>
      <c r="Z408" s="4">
        <f>+SUM(W408:Y408)</f>
        <v>2940</v>
      </c>
      <c r="AA408" s="4">
        <f>+$W$402*AA405</f>
        <v>2850</v>
      </c>
      <c r="AB408" s="4">
        <f>+$W$402*AB405</f>
        <v>3600</v>
      </c>
      <c r="AC408" s="4">
        <f>+$W$402*AC405</f>
        <v>4050</v>
      </c>
      <c r="AD408" s="4">
        <f>+SUM(AA408:AC408)</f>
        <v>10500</v>
      </c>
      <c r="AE408" s="4">
        <f>+$W$402*AE405</f>
        <v>7650</v>
      </c>
      <c r="AF408" s="4">
        <f>+$W$402*AF405</f>
        <v>5700</v>
      </c>
      <c r="AG408" s="4">
        <f>+$W$402*AG405</f>
        <v>1200</v>
      </c>
      <c r="AH408" s="4">
        <f>+SUM(AE408:AG408)</f>
        <v>14550</v>
      </c>
      <c r="AI408" s="4">
        <f>+$W$402*AI405</f>
        <v>450</v>
      </c>
      <c r="AJ408" s="4">
        <f>+$W$402*AJ405</f>
        <v>300</v>
      </c>
      <c r="AK408" s="4">
        <f>+$W$402*AK405</f>
        <v>320.7</v>
      </c>
      <c r="AL408" s="4">
        <f>+$W$402*AL405</f>
        <v>1070.7</v>
      </c>
      <c r="AM408" s="481">
        <f>+Z408+AD408+AH408+AL408</f>
        <v>29060.7</v>
      </c>
    </row>
    <row r="409" spans="1:39" ht="15.75" customHeight="1" thickBot="1" x14ac:dyDescent="0.35">
      <c r="A409" s="72" t="s">
        <v>945</v>
      </c>
      <c r="B409" s="1"/>
      <c r="C409" s="1"/>
      <c r="D409" s="1"/>
      <c r="E409" s="55">
        <f t="shared" ref="E409" si="168">SUM(B409:D409)</f>
        <v>0</v>
      </c>
      <c r="F409" s="1"/>
      <c r="G409" s="1"/>
      <c r="H409" s="1"/>
      <c r="I409" s="55">
        <f t="shared" ref="I409" si="169">SUM(F409:H409)</f>
        <v>0</v>
      </c>
      <c r="J409" s="1"/>
      <c r="K409" s="1"/>
      <c r="L409" s="1"/>
      <c r="M409" s="55">
        <f t="shared" ref="M409" si="170">SUM(J409:L409)</f>
        <v>0</v>
      </c>
      <c r="N409" s="1"/>
      <c r="O409" s="1"/>
      <c r="P409" s="1"/>
      <c r="Q409" s="55">
        <f t="shared" si="164"/>
        <v>0</v>
      </c>
      <c r="R409" s="55">
        <f t="shared" si="160"/>
        <v>0</v>
      </c>
      <c r="T409" s="4" t="s">
        <v>214</v>
      </c>
      <c r="V409" s="311"/>
      <c r="W409" s="312"/>
      <c r="X409" s="312"/>
      <c r="Y409" s="312"/>
      <c r="Z409" s="312"/>
      <c r="AA409" s="312"/>
      <c r="AB409" s="312"/>
      <c r="AC409" s="312"/>
      <c r="AD409" s="312"/>
      <c r="AE409" s="312"/>
      <c r="AF409" s="312"/>
      <c r="AG409" s="312"/>
      <c r="AH409" s="312"/>
      <c r="AI409" s="312"/>
      <c r="AJ409" s="312"/>
      <c r="AK409" s="312"/>
      <c r="AL409" s="312"/>
      <c r="AM409" s="313"/>
    </row>
    <row r="410" spans="1:39" s="355" customFormat="1" ht="15.75" customHeight="1" x14ac:dyDescent="0.3">
      <c r="A410" s="467" t="s">
        <v>1215</v>
      </c>
      <c r="B410" s="301"/>
      <c r="C410" s="301"/>
      <c r="D410" s="301"/>
      <c r="E410" s="302">
        <f t="shared" si="167"/>
        <v>0</v>
      </c>
      <c r="F410" s="301"/>
      <c r="G410" s="301"/>
      <c r="H410" s="301"/>
      <c r="I410" s="302">
        <f t="shared" si="162"/>
        <v>0</v>
      </c>
      <c r="J410" s="301"/>
      <c r="K410" s="301"/>
      <c r="L410" s="301"/>
      <c r="M410" s="302">
        <f t="shared" si="163"/>
        <v>0</v>
      </c>
      <c r="N410" s="301"/>
      <c r="O410" s="301"/>
      <c r="P410" s="301"/>
      <c r="Q410" s="302">
        <f t="shared" ref="Q410" si="171">SUM(N410:P410)</f>
        <v>0</v>
      </c>
      <c r="R410" s="302">
        <f t="shared" si="160"/>
        <v>0</v>
      </c>
    </row>
    <row r="411" spans="1:39" ht="15.75" customHeight="1" x14ac:dyDescent="0.3">
      <c r="A411" s="72" t="s">
        <v>946</v>
      </c>
      <c r="B411" s="1"/>
      <c r="C411" s="1"/>
      <c r="D411" s="1"/>
      <c r="E411" s="55">
        <f t="shared" si="167"/>
        <v>0</v>
      </c>
      <c r="F411" s="1"/>
      <c r="G411" s="1"/>
      <c r="H411" s="1"/>
      <c r="I411" s="55">
        <f t="shared" si="162"/>
        <v>0</v>
      </c>
      <c r="J411" s="1"/>
      <c r="K411" s="1"/>
      <c r="L411" s="1"/>
      <c r="M411" s="55">
        <f t="shared" si="163"/>
        <v>0</v>
      </c>
      <c r="N411" s="1"/>
      <c r="O411" s="1"/>
      <c r="P411" s="1"/>
      <c r="Q411" s="55">
        <f t="shared" si="164"/>
        <v>0</v>
      </c>
      <c r="R411" s="55">
        <f t="shared" si="160"/>
        <v>0</v>
      </c>
      <c r="T411" s="4" t="s">
        <v>224</v>
      </c>
    </row>
    <row r="412" spans="1:39" ht="15.75" customHeight="1" x14ac:dyDescent="0.3">
      <c r="A412" s="72" t="s">
        <v>252</v>
      </c>
      <c r="B412" s="1"/>
      <c r="C412" s="1"/>
      <c r="D412" s="1"/>
      <c r="E412" s="55">
        <f t="shared" ref="E412" si="172">SUM(B412:D412)</f>
        <v>0</v>
      </c>
      <c r="F412" s="1"/>
      <c r="G412" s="1"/>
      <c r="H412" s="1"/>
      <c r="I412" s="55">
        <f t="shared" ref="I412" si="173">SUM(F412:H412)</f>
        <v>0</v>
      </c>
      <c r="J412" s="1"/>
      <c r="K412" s="1"/>
      <c r="L412" s="1">
        <v>4</v>
      </c>
      <c r="M412" s="55">
        <f t="shared" ref="M412" si="174">SUM(J412:L412)</f>
        <v>4</v>
      </c>
      <c r="N412" s="1"/>
      <c r="O412" s="1">
        <v>37</v>
      </c>
      <c r="P412" s="1">
        <v>1384</v>
      </c>
      <c r="Q412" s="55">
        <f t="shared" si="164"/>
        <v>1421</v>
      </c>
      <c r="R412" s="55">
        <f t="shared" si="160"/>
        <v>1425</v>
      </c>
    </row>
    <row r="413" spans="1:39" ht="15.75" customHeight="1" thickBot="1" x14ac:dyDescent="0.35">
      <c r="A413" s="15" t="s">
        <v>58</v>
      </c>
      <c r="B413" s="1"/>
      <c r="C413" s="1"/>
      <c r="D413" s="1"/>
      <c r="E413" s="55" t="s">
        <v>7</v>
      </c>
      <c r="F413" s="1"/>
      <c r="G413" s="1"/>
      <c r="H413" s="1"/>
      <c r="I413" s="55" t="s">
        <v>7</v>
      </c>
      <c r="J413" s="1"/>
      <c r="K413" s="1"/>
      <c r="L413" s="1"/>
      <c r="M413" s="55" t="s">
        <v>7</v>
      </c>
      <c r="N413" s="1"/>
      <c r="O413" s="1"/>
      <c r="P413" s="1"/>
      <c r="Q413" s="55" t="s">
        <v>7</v>
      </c>
      <c r="R413" s="55" t="s">
        <v>7</v>
      </c>
    </row>
    <row r="414" spans="1:39" ht="16.5" customHeight="1" thickBot="1" x14ac:dyDescent="0.35">
      <c r="A414" s="57" t="s">
        <v>59</v>
      </c>
      <c r="B414" s="86">
        <f>SUM(B401:B413)</f>
        <v>1709</v>
      </c>
      <c r="C414" s="87">
        <f>SUM(C401:C413)</f>
        <v>5391</v>
      </c>
      <c r="D414" s="87">
        <f>SUM(D401:D413)</f>
        <v>8573</v>
      </c>
      <c r="E414" s="59">
        <f>SUM(B414:D414)</f>
        <v>15673</v>
      </c>
      <c r="F414" s="87">
        <f>SUM(F401:F413)</f>
        <v>22711</v>
      </c>
      <c r="G414" s="87">
        <f>SUM(G401:G413)</f>
        <v>29953</v>
      </c>
      <c r="H414" s="87">
        <f>SUM(H401:H413)</f>
        <v>34474</v>
      </c>
      <c r="I414" s="59">
        <f>SUM(F414:H414)</f>
        <v>87138</v>
      </c>
      <c r="J414" s="87">
        <f>SUM(J401:J413)</f>
        <v>24337</v>
      </c>
      <c r="K414" s="87">
        <f>SUM(K401:K413)</f>
        <v>9049</v>
      </c>
      <c r="L414" s="87">
        <f>SUM(L401:L413)</f>
        <v>401</v>
      </c>
      <c r="M414" s="59">
        <f>SUM(J414:L414)</f>
        <v>33787</v>
      </c>
      <c r="N414" s="87">
        <f>SUM(N401:N413)</f>
        <v>3301</v>
      </c>
      <c r="O414" s="87">
        <f>SUM(O401:O413)</f>
        <v>3927</v>
      </c>
      <c r="P414" s="87">
        <f>SUM(P401:P413)</f>
        <v>7097</v>
      </c>
      <c r="Q414" s="59">
        <f>SUM(N414:P414)</f>
        <v>14325</v>
      </c>
      <c r="R414" s="59">
        <f>+E414+I414+M414+Q414</f>
        <v>150923</v>
      </c>
    </row>
    <row r="415" spans="1:39" ht="15.75" customHeight="1" x14ac:dyDescent="0.3">
      <c r="A415" s="15" t="s">
        <v>60</v>
      </c>
      <c r="B415" s="1"/>
      <c r="C415" s="1"/>
      <c r="D415" s="1"/>
      <c r="E415" s="55" t="s">
        <v>7</v>
      </c>
      <c r="F415" s="1"/>
      <c r="G415" s="1"/>
      <c r="H415" s="1"/>
      <c r="I415" s="55" t="s">
        <v>7</v>
      </c>
      <c r="J415" s="1"/>
      <c r="K415" s="1"/>
      <c r="L415" s="1"/>
      <c r="M415" s="55" t="s">
        <v>7</v>
      </c>
      <c r="N415" s="1"/>
      <c r="O415" s="1"/>
      <c r="P415" s="1"/>
      <c r="Q415" s="55" t="s">
        <v>7</v>
      </c>
      <c r="R415" s="55" t="s">
        <v>7</v>
      </c>
    </row>
    <row r="416" spans="1:39" ht="15.75" customHeight="1" x14ac:dyDescent="0.3">
      <c r="A416" s="15" t="s">
        <v>61</v>
      </c>
      <c r="B416" s="1"/>
      <c r="C416" s="1"/>
      <c r="D416" s="1"/>
      <c r="E416" s="55" t="s">
        <v>7</v>
      </c>
      <c r="F416" s="1"/>
      <c r="G416" s="1"/>
      <c r="H416" s="1"/>
      <c r="I416" s="55" t="s">
        <v>7</v>
      </c>
      <c r="J416" s="1"/>
      <c r="K416" s="1"/>
      <c r="L416" s="1"/>
      <c r="M416" s="55" t="s">
        <v>7</v>
      </c>
      <c r="N416" s="1"/>
      <c r="O416" s="1"/>
      <c r="P416" s="1"/>
      <c r="Q416" s="55" t="s">
        <v>7</v>
      </c>
      <c r="R416" s="55" t="s">
        <v>7</v>
      </c>
    </row>
    <row r="417" spans="1:20" ht="15.75" customHeight="1" x14ac:dyDescent="0.3">
      <c r="A417" s="72" t="s">
        <v>254</v>
      </c>
      <c r="B417" s="1">
        <v>1279</v>
      </c>
      <c r="C417" s="1">
        <v>3284</v>
      </c>
      <c r="D417" s="1">
        <v>4938</v>
      </c>
      <c r="E417" s="55">
        <f>SUM(B417:D417)</f>
        <v>9501</v>
      </c>
      <c r="F417" s="1">
        <v>10340</v>
      </c>
      <c r="G417" s="1">
        <v>13617</v>
      </c>
      <c r="H417" s="1">
        <v>12748</v>
      </c>
      <c r="I417" s="55">
        <f>SUM(F417:H417)</f>
        <v>36705</v>
      </c>
      <c r="J417" s="1">
        <v>9489</v>
      </c>
      <c r="K417" s="1">
        <v>7284</v>
      </c>
      <c r="L417" s="1">
        <v>4085</v>
      </c>
      <c r="M417" s="55">
        <f>SUM(J417:L417)</f>
        <v>20858</v>
      </c>
      <c r="N417" s="1">
        <v>3390</v>
      </c>
      <c r="O417" s="1">
        <v>447</v>
      </c>
      <c r="P417" s="1">
        <v>1536</v>
      </c>
      <c r="Q417" s="55">
        <f>SUM(N417:P417)</f>
        <v>5373</v>
      </c>
      <c r="R417" s="55">
        <f>+E417+I417+M417+Q417</f>
        <v>72437</v>
      </c>
      <c r="T417" s="4" t="s">
        <v>209</v>
      </c>
    </row>
    <row r="418" spans="1:20" ht="15.75" customHeight="1" x14ac:dyDescent="0.3">
      <c r="A418" s="72" t="s">
        <v>947</v>
      </c>
      <c r="B418" s="1">
        <v>204</v>
      </c>
      <c r="C418" s="1">
        <v>206</v>
      </c>
      <c r="D418" s="1">
        <v>188</v>
      </c>
      <c r="E418" s="55">
        <f>SUM(B418:D418)</f>
        <v>598</v>
      </c>
      <c r="F418" s="1"/>
      <c r="G418" s="1">
        <v>280</v>
      </c>
      <c r="H418" s="1">
        <v>188</v>
      </c>
      <c r="I418" s="55">
        <f>SUM(F418:H418)</f>
        <v>468</v>
      </c>
      <c r="J418" s="1"/>
      <c r="K418" s="1">
        <v>23</v>
      </c>
      <c r="L418" s="1">
        <v>197</v>
      </c>
      <c r="M418" s="55">
        <f>SUM(J418:L418)</f>
        <v>220</v>
      </c>
      <c r="N418" s="1"/>
      <c r="O418" s="1">
        <v>29</v>
      </c>
      <c r="P418" s="1">
        <v>220</v>
      </c>
      <c r="Q418" s="55">
        <f>SUM(N418:P418)</f>
        <v>249</v>
      </c>
      <c r="R418" s="55">
        <f>+E418+I418+M418+Q418</f>
        <v>1535</v>
      </c>
    </row>
    <row r="419" spans="1:20" ht="15.75" customHeight="1" x14ac:dyDescent="0.3">
      <c r="A419" s="72" t="s">
        <v>1400</v>
      </c>
      <c r="B419" s="1"/>
      <c r="C419" s="1"/>
      <c r="D419" s="1"/>
      <c r="E419" s="55">
        <f>SUM(B419:D419)</f>
        <v>0</v>
      </c>
      <c r="F419" s="1"/>
      <c r="G419" s="1"/>
      <c r="H419" s="1">
        <v>224</v>
      </c>
      <c r="I419" s="55">
        <f>SUM(F419:H419)</f>
        <v>224</v>
      </c>
      <c r="J419" s="1">
        <v>1574</v>
      </c>
      <c r="K419" s="1">
        <v>1410</v>
      </c>
      <c r="L419" s="1">
        <v>1456</v>
      </c>
      <c r="M419" s="55">
        <f>SUM(J419:L419)</f>
        <v>4440</v>
      </c>
      <c r="N419" s="1">
        <v>552</v>
      </c>
      <c r="O419" s="1">
        <v>777</v>
      </c>
      <c r="P419" s="1"/>
      <c r="Q419" s="55">
        <f>SUM(N419:P419)</f>
        <v>1329</v>
      </c>
      <c r="R419" s="55">
        <f>+E419+I419+M419+Q419</f>
        <v>5993</v>
      </c>
    </row>
    <row r="420" spans="1:20" ht="15.75" customHeight="1" x14ac:dyDescent="0.3">
      <c r="A420" s="72" t="s">
        <v>1401</v>
      </c>
      <c r="B420" s="1">
        <v>235</v>
      </c>
      <c r="C420" s="1">
        <v>727</v>
      </c>
      <c r="D420" s="1">
        <v>1330</v>
      </c>
      <c r="E420" s="55">
        <f>SUM(B420:D420)</f>
        <v>2292</v>
      </c>
      <c r="F420" s="1">
        <v>238</v>
      </c>
      <c r="G420" s="1">
        <v>302</v>
      </c>
      <c r="H420" s="1">
        <v>530</v>
      </c>
      <c r="I420" s="55">
        <f>SUM(F420:H420)</f>
        <v>1070</v>
      </c>
      <c r="J420" s="1">
        <v>653</v>
      </c>
      <c r="K420" s="1">
        <v>985</v>
      </c>
      <c r="L420" s="1"/>
      <c r="M420" s="55">
        <f>SUM(J420:L420)</f>
        <v>1638</v>
      </c>
      <c r="N420" s="1">
        <v>689</v>
      </c>
      <c r="O420" s="1">
        <v>445</v>
      </c>
      <c r="P420" s="1"/>
      <c r="Q420" s="55">
        <f>SUM(N420:P420)</f>
        <v>1134</v>
      </c>
      <c r="R420" s="55">
        <f>+E420+I420+M420+Q420</f>
        <v>6134</v>
      </c>
    </row>
    <row r="421" spans="1:20" ht="15.75" customHeight="1" x14ac:dyDescent="0.3">
      <c r="A421" s="72" t="s">
        <v>1402</v>
      </c>
      <c r="B421" s="1"/>
      <c r="C421" s="1"/>
      <c r="D421" s="1"/>
      <c r="E421" s="55">
        <f>SUM(B421:D421)</f>
        <v>0</v>
      </c>
      <c r="F421" s="1">
        <v>1875</v>
      </c>
      <c r="G421" s="1">
        <v>1875</v>
      </c>
      <c r="H421" s="1">
        <v>1875</v>
      </c>
      <c r="I421" s="55">
        <f>SUM(F421:H421)</f>
        <v>5625</v>
      </c>
      <c r="J421" s="1">
        <v>1875</v>
      </c>
      <c r="K421" s="1">
        <v>1644</v>
      </c>
      <c r="L421" s="1">
        <v>2495</v>
      </c>
      <c r="M421" s="55">
        <f>SUM(J421:L421)</f>
        <v>6014</v>
      </c>
      <c r="N421" s="1">
        <v>2559</v>
      </c>
      <c r="O421" s="1">
        <v>727</v>
      </c>
      <c r="P421" s="1">
        <v>75</v>
      </c>
      <c r="Q421" s="55">
        <f>SUM(N421:P421)</f>
        <v>3361</v>
      </c>
      <c r="R421" s="55">
        <f>+E421+I421+M421+Q421</f>
        <v>15000</v>
      </c>
      <c r="T421" s="4" t="s">
        <v>256</v>
      </c>
    </row>
    <row r="422" spans="1:20" ht="15.75" customHeight="1" x14ac:dyDescent="0.3">
      <c r="A422" s="15" t="s">
        <v>62</v>
      </c>
      <c r="B422" s="1"/>
      <c r="C422" s="1"/>
      <c r="D422" s="1"/>
      <c r="E422" s="55" t="s">
        <v>7</v>
      </c>
      <c r="F422" s="1"/>
      <c r="G422" s="1"/>
      <c r="H422" s="1"/>
      <c r="I422" s="55" t="s">
        <v>7</v>
      </c>
      <c r="J422" s="1"/>
      <c r="K422" s="1"/>
      <c r="L422" s="1"/>
      <c r="M422" s="55" t="s">
        <v>7</v>
      </c>
      <c r="N422" s="1"/>
      <c r="O422" s="1"/>
      <c r="P422" s="1"/>
      <c r="Q422" s="55" t="s">
        <v>7</v>
      </c>
      <c r="R422" s="55" t="s">
        <v>7</v>
      </c>
    </row>
    <row r="423" spans="1:20" ht="15.75" customHeight="1" x14ac:dyDescent="0.3">
      <c r="A423" s="72" t="s">
        <v>1216</v>
      </c>
      <c r="B423" s="1"/>
      <c r="C423" s="1"/>
      <c r="D423" s="1"/>
      <c r="E423" s="55">
        <f>SUM(B423:D423)</f>
        <v>0</v>
      </c>
      <c r="F423" s="1"/>
      <c r="G423" s="1"/>
      <c r="H423" s="1"/>
      <c r="I423" s="55">
        <f t="shared" ref="I423:I424" si="175">SUM(F423:H423)</f>
        <v>0</v>
      </c>
      <c r="J423" s="1">
        <v>3500</v>
      </c>
      <c r="K423" s="1"/>
      <c r="L423" s="1"/>
      <c r="M423" s="55">
        <f>SUM(J423:L423)</f>
        <v>3500</v>
      </c>
      <c r="N423" s="1"/>
      <c r="O423" s="1"/>
      <c r="P423" s="1"/>
      <c r="Q423" s="55">
        <f>SUM(N423:P423)</f>
        <v>0</v>
      </c>
      <c r="R423" s="55">
        <f t="shared" ref="R423:R487" si="176">+E423+I423+M423+Q423</f>
        <v>3500</v>
      </c>
    </row>
    <row r="424" spans="1:20" ht="15.75" customHeight="1" x14ac:dyDescent="0.3">
      <c r="A424" s="72" t="s">
        <v>1360</v>
      </c>
      <c r="B424" s="1"/>
      <c r="C424" s="1"/>
      <c r="D424" s="1"/>
      <c r="E424" s="55">
        <f>SUM(B424:D424)</f>
        <v>0</v>
      </c>
      <c r="F424" s="1"/>
      <c r="G424" s="1">
        <v>1114</v>
      </c>
      <c r="H424" s="1"/>
      <c r="I424" s="55">
        <f t="shared" si="175"/>
        <v>1114</v>
      </c>
      <c r="J424" s="1"/>
      <c r="K424" s="1"/>
      <c r="L424" s="1"/>
      <c r="M424" s="55">
        <f>SUM(J424:L424)</f>
        <v>0</v>
      </c>
      <c r="N424" s="1"/>
      <c r="O424" s="1">
        <v>130</v>
      </c>
      <c r="P424" s="1"/>
      <c r="Q424" s="55">
        <f>SUM(N424:P424)</f>
        <v>130</v>
      </c>
      <c r="R424" s="55">
        <f t="shared" si="176"/>
        <v>1244</v>
      </c>
    </row>
    <row r="425" spans="1:20" ht="15.75" customHeight="1" x14ac:dyDescent="0.3">
      <c r="A425" s="72" t="s">
        <v>1403</v>
      </c>
      <c r="B425" s="1"/>
      <c r="C425" s="1"/>
      <c r="D425" s="1"/>
      <c r="E425" s="55">
        <f>SUM(B425:D425)</f>
        <v>0</v>
      </c>
      <c r="F425" s="1"/>
      <c r="G425" s="1">
        <v>3000</v>
      </c>
      <c r="H425" s="1">
        <v>933</v>
      </c>
      <c r="I425" s="55">
        <f>SUM(F425:H425)</f>
        <v>3933</v>
      </c>
      <c r="J425" s="1"/>
      <c r="K425" s="1"/>
      <c r="L425" s="1"/>
      <c r="M425" s="55">
        <f>SUM(J425:L425)</f>
        <v>0</v>
      </c>
      <c r="N425" s="1"/>
      <c r="O425" s="1"/>
      <c r="P425" s="1"/>
      <c r="Q425" s="55">
        <f>SUM(N425:P425)</f>
        <v>0</v>
      </c>
      <c r="R425" s="55">
        <f t="shared" si="176"/>
        <v>3933</v>
      </c>
    </row>
    <row r="426" spans="1:20" ht="15.75" customHeight="1" x14ac:dyDescent="0.3">
      <c r="A426" s="72" t="s">
        <v>1217</v>
      </c>
      <c r="B426" s="1"/>
      <c r="C426" s="1"/>
      <c r="D426" s="1"/>
      <c r="E426" s="55">
        <f t="shared" ref="E426:E487" si="177">SUM(B426:D426)</f>
        <v>0</v>
      </c>
      <c r="F426" s="1"/>
      <c r="G426" s="1"/>
      <c r="H426" s="1"/>
      <c r="I426" s="55">
        <f t="shared" ref="I426:I487" si="178">SUM(F426:H426)</f>
        <v>0</v>
      </c>
      <c r="J426" s="1"/>
      <c r="K426" s="1"/>
      <c r="L426" s="1"/>
      <c r="M426" s="55">
        <f t="shared" ref="M426:M487" si="179">SUM(J426:L426)</f>
        <v>0</v>
      </c>
      <c r="N426" s="1"/>
      <c r="O426" s="1"/>
      <c r="P426" s="1"/>
      <c r="Q426" s="55">
        <f t="shared" ref="Q426:Q488" si="180">SUM(N426:P426)</f>
        <v>0</v>
      </c>
      <c r="R426" s="55">
        <f t="shared" si="176"/>
        <v>0</v>
      </c>
    </row>
    <row r="427" spans="1:20" ht="15.75" customHeight="1" x14ac:dyDescent="0.3">
      <c r="A427" s="72" t="s">
        <v>948</v>
      </c>
      <c r="B427" s="1"/>
      <c r="C427" s="1">
        <v>172</v>
      </c>
      <c r="D427" s="1"/>
      <c r="E427" s="55">
        <f t="shared" si="177"/>
        <v>172</v>
      </c>
      <c r="F427" s="1"/>
      <c r="G427" s="1"/>
      <c r="H427" s="1"/>
      <c r="I427" s="55">
        <f t="shared" si="178"/>
        <v>0</v>
      </c>
      <c r="J427" s="1"/>
      <c r="K427" s="1"/>
      <c r="L427" s="1"/>
      <c r="M427" s="55">
        <f t="shared" si="179"/>
        <v>0</v>
      </c>
      <c r="N427" s="1"/>
      <c r="O427" s="1"/>
      <c r="P427" s="1"/>
      <c r="Q427" s="55">
        <f t="shared" si="180"/>
        <v>0</v>
      </c>
      <c r="R427" s="55">
        <f t="shared" si="176"/>
        <v>172</v>
      </c>
      <c r="T427" s="4" t="s">
        <v>241</v>
      </c>
    </row>
    <row r="428" spans="1:20" ht="15.75" customHeight="1" x14ac:dyDescent="0.3">
      <c r="A428" s="72" t="s">
        <v>1404</v>
      </c>
      <c r="B428" s="1"/>
      <c r="C428" s="1"/>
      <c r="D428" s="1"/>
      <c r="E428" s="55">
        <f t="shared" si="177"/>
        <v>0</v>
      </c>
      <c r="F428" s="1"/>
      <c r="G428" s="1"/>
      <c r="H428" s="1"/>
      <c r="I428" s="55">
        <f t="shared" si="178"/>
        <v>0</v>
      </c>
      <c r="J428" s="1"/>
      <c r="K428" s="1"/>
      <c r="L428" s="1">
        <v>1301</v>
      </c>
      <c r="M428" s="55">
        <f t="shared" si="179"/>
        <v>1301</v>
      </c>
      <c r="N428" s="1">
        <v>1149</v>
      </c>
      <c r="O428" s="1"/>
      <c r="P428" s="1"/>
      <c r="Q428" s="55">
        <f t="shared" si="180"/>
        <v>1149</v>
      </c>
      <c r="R428" s="55">
        <f t="shared" si="176"/>
        <v>2450</v>
      </c>
    </row>
    <row r="429" spans="1:20" ht="15.75" customHeight="1" x14ac:dyDescent="0.3">
      <c r="A429" s="72" t="s">
        <v>949</v>
      </c>
      <c r="B429" s="1">
        <v>1157</v>
      </c>
      <c r="C429" s="1">
        <v>380</v>
      </c>
      <c r="D429" s="1"/>
      <c r="E429" s="55">
        <f t="shared" si="177"/>
        <v>1537</v>
      </c>
      <c r="F429" s="1"/>
      <c r="G429" s="1"/>
      <c r="H429" s="1"/>
      <c r="I429" s="55">
        <f t="shared" si="178"/>
        <v>0</v>
      </c>
      <c r="J429" s="1"/>
      <c r="K429" s="1"/>
      <c r="L429" s="1"/>
      <c r="M429" s="55">
        <f t="shared" si="179"/>
        <v>0</v>
      </c>
      <c r="N429" s="1"/>
      <c r="O429" s="1"/>
      <c r="P429" s="1"/>
      <c r="Q429" s="55">
        <f t="shared" si="180"/>
        <v>0</v>
      </c>
      <c r="R429" s="55">
        <f t="shared" si="176"/>
        <v>1537</v>
      </c>
      <c r="T429" s="4" t="s">
        <v>919</v>
      </c>
    </row>
    <row r="430" spans="1:20" ht="15.75" customHeight="1" x14ac:dyDescent="0.3">
      <c r="A430" s="72" t="s">
        <v>950</v>
      </c>
      <c r="B430" s="1"/>
      <c r="C430" s="1"/>
      <c r="D430" s="1"/>
      <c r="E430" s="55">
        <f t="shared" si="177"/>
        <v>0</v>
      </c>
      <c r="F430" s="1"/>
      <c r="G430" s="1"/>
      <c r="H430" s="1"/>
      <c r="I430" s="55">
        <f t="shared" si="178"/>
        <v>0</v>
      </c>
      <c r="J430" s="1"/>
      <c r="K430" s="1"/>
      <c r="L430" s="1"/>
      <c r="M430" s="55">
        <f t="shared" si="179"/>
        <v>0</v>
      </c>
      <c r="N430" s="1"/>
      <c r="O430" s="1"/>
      <c r="P430" s="1"/>
      <c r="Q430" s="55">
        <f t="shared" si="180"/>
        <v>0</v>
      </c>
      <c r="R430" s="55">
        <f t="shared" si="176"/>
        <v>0</v>
      </c>
      <c r="T430" s="4" t="s">
        <v>241</v>
      </c>
    </row>
    <row r="431" spans="1:20" ht="15.75" customHeight="1" x14ac:dyDescent="0.3">
      <c r="A431" s="72" t="s">
        <v>149</v>
      </c>
      <c r="B431" s="1"/>
      <c r="C431" s="1"/>
      <c r="D431" s="1"/>
      <c r="E431" s="55">
        <f t="shared" si="177"/>
        <v>0</v>
      </c>
      <c r="F431" s="1">
        <v>627</v>
      </c>
      <c r="G431" s="1"/>
      <c r="H431" s="1"/>
      <c r="I431" s="55">
        <f t="shared" si="178"/>
        <v>627</v>
      </c>
      <c r="J431" s="1"/>
      <c r="K431" s="1"/>
      <c r="L431" s="1"/>
      <c r="M431" s="55">
        <f t="shared" si="179"/>
        <v>0</v>
      </c>
      <c r="N431" s="1"/>
      <c r="O431" s="1"/>
      <c r="P431" s="1"/>
      <c r="Q431" s="55">
        <f t="shared" si="180"/>
        <v>0</v>
      </c>
      <c r="R431" s="55">
        <f t="shared" si="176"/>
        <v>627</v>
      </c>
    </row>
    <row r="432" spans="1:20" ht="15.75" customHeight="1" x14ac:dyDescent="0.3">
      <c r="A432" s="72" t="s">
        <v>1303</v>
      </c>
      <c r="B432" s="1"/>
      <c r="C432" s="1"/>
      <c r="D432" s="1"/>
      <c r="E432" s="55">
        <f t="shared" si="177"/>
        <v>0</v>
      </c>
      <c r="F432" s="1"/>
      <c r="G432" s="1"/>
      <c r="H432" s="1"/>
      <c r="I432" s="55">
        <f t="shared" si="178"/>
        <v>0</v>
      </c>
      <c r="J432" s="1"/>
      <c r="K432" s="1"/>
      <c r="L432" s="1"/>
      <c r="M432" s="55">
        <f t="shared" si="179"/>
        <v>0</v>
      </c>
      <c r="N432" s="1"/>
      <c r="O432" s="1"/>
      <c r="P432" s="1"/>
      <c r="Q432" s="55">
        <f t="shared" si="180"/>
        <v>0</v>
      </c>
      <c r="R432" s="55">
        <f t="shared" si="176"/>
        <v>0</v>
      </c>
    </row>
    <row r="433" spans="1:20" ht="15.75" customHeight="1" x14ac:dyDescent="0.3">
      <c r="A433" s="72" t="s">
        <v>951</v>
      </c>
      <c r="B433" s="1"/>
      <c r="C433" s="1"/>
      <c r="D433" s="1"/>
      <c r="E433" s="55">
        <f t="shared" si="177"/>
        <v>0</v>
      </c>
      <c r="F433" s="1"/>
      <c r="G433" s="1"/>
      <c r="H433" s="1"/>
      <c r="I433" s="55">
        <f t="shared" si="178"/>
        <v>0</v>
      </c>
      <c r="J433" s="1"/>
      <c r="K433" s="1"/>
      <c r="L433" s="1"/>
      <c r="M433" s="55">
        <f t="shared" si="179"/>
        <v>0</v>
      </c>
      <c r="N433" s="1"/>
      <c r="O433" s="1"/>
      <c r="P433" s="1"/>
      <c r="Q433" s="55">
        <f t="shared" si="180"/>
        <v>0</v>
      </c>
      <c r="R433" s="55">
        <f>+E433+I433+M433+Q433</f>
        <v>0</v>
      </c>
      <c r="T433" s="4" t="s">
        <v>224</v>
      </c>
    </row>
    <row r="434" spans="1:20" ht="15.75" customHeight="1" x14ac:dyDescent="0.3">
      <c r="A434" s="72" t="s">
        <v>952</v>
      </c>
      <c r="B434" s="1"/>
      <c r="C434" s="1"/>
      <c r="D434" s="1"/>
      <c r="E434" s="55">
        <f t="shared" si="177"/>
        <v>0</v>
      </c>
      <c r="F434" s="1"/>
      <c r="G434" s="1"/>
      <c r="H434" s="1"/>
      <c r="I434" s="55">
        <f t="shared" si="178"/>
        <v>0</v>
      </c>
      <c r="J434" s="1">
        <v>373</v>
      </c>
      <c r="K434" s="1"/>
      <c r="L434" s="1">
        <v>1277</v>
      </c>
      <c r="M434" s="55">
        <f t="shared" si="179"/>
        <v>1650</v>
      </c>
      <c r="N434" s="1"/>
      <c r="O434" s="1"/>
      <c r="P434" s="1"/>
      <c r="Q434" s="55">
        <f t="shared" si="180"/>
        <v>0</v>
      </c>
      <c r="R434" s="55">
        <f t="shared" si="176"/>
        <v>1650</v>
      </c>
      <c r="T434" s="4" t="s">
        <v>209</v>
      </c>
    </row>
    <row r="435" spans="1:20" ht="15.75" customHeight="1" x14ac:dyDescent="0.3">
      <c r="A435" s="72" t="s">
        <v>953</v>
      </c>
      <c r="B435" s="1">
        <f>36+44</f>
        <v>80</v>
      </c>
      <c r="C435" s="1">
        <f>245+258</f>
        <v>503</v>
      </c>
      <c r="D435" s="1">
        <f>708+305</f>
        <v>1013</v>
      </c>
      <c r="E435" s="55">
        <f t="shared" si="177"/>
        <v>1596</v>
      </c>
      <c r="F435" s="1">
        <f>1323+1081</f>
        <v>2404</v>
      </c>
      <c r="G435" s="1">
        <f>1000</f>
        <v>1000</v>
      </c>
      <c r="H435" s="1">
        <v>1000</v>
      </c>
      <c r="I435" s="55">
        <f t="shared" si="178"/>
        <v>4404</v>
      </c>
      <c r="J435" s="1">
        <v>1000</v>
      </c>
      <c r="K435" s="1">
        <f>688+312</f>
        <v>1000</v>
      </c>
      <c r="L435" s="1"/>
      <c r="M435" s="55">
        <f t="shared" si="179"/>
        <v>2000</v>
      </c>
      <c r="N435" s="1"/>
      <c r="O435" s="1"/>
      <c r="P435" s="1"/>
      <c r="Q435" s="55">
        <f t="shared" si="180"/>
        <v>0</v>
      </c>
      <c r="R435" s="55">
        <f t="shared" si="176"/>
        <v>8000</v>
      </c>
    </row>
    <row r="436" spans="1:20" ht="15.75" customHeight="1" x14ac:dyDescent="0.3">
      <c r="A436" s="72" t="s">
        <v>641</v>
      </c>
      <c r="B436" s="1"/>
      <c r="C436" s="1"/>
      <c r="D436" s="1">
        <v>400</v>
      </c>
      <c r="E436" s="55">
        <f t="shared" si="177"/>
        <v>400</v>
      </c>
      <c r="F436" s="1"/>
      <c r="G436" s="1">
        <v>5800</v>
      </c>
      <c r="H436" s="1">
        <v>7400</v>
      </c>
      <c r="I436" s="55">
        <f t="shared" si="178"/>
        <v>13200</v>
      </c>
      <c r="J436" s="1">
        <v>2400</v>
      </c>
      <c r="K436" s="1">
        <v>2825</v>
      </c>
      <c r="L436" s="1">
        <v>2825</v>
      </c>
      <c r="M436" s="55">
        <f t="shared" si="179"/>
        <v>8050</v>
      </c>
      <c r="N436" s="1"/>
      <c r="O436" s="1"/>
      <c r="P436" s="1">
        <v>1693</v>
      </c>
      <c r="Q436" s="55">
        <f t="shared" si="180"/>
        <v>1693</v>
      </c>
      <c r="R436" s="55">
        <f t="shared" si="176"/>
        <v>23343</v>
      </c>
      <c r="T436" s="4" t="s">
        <v>209</v>
      </c>
    </row>
    <row r="437" spans="1:20" ht="15.75" customHeight="1" x14ac:dyDescent="0.3">
      <c r="A437" s="72" t="s">
        <v>640</v>
      </c>
      <c r="B437" s="1"/>
      <c r="C437" s="1"/>
      <c r="D437" s="1"/>
      <c r="E437" s="55">
        <f t="shared" si="177"/>
        <v>0</v>
      </c>
      <c r="F437" s="1"/>
      <c r="G437" s="1"/>
      <c r="H437" s="1"/>
      <c r="I437" s="55">
        <f t="shared" si="178"/>
        <v>0</v>
      </c>
      <c r="J437" s="1"/>
      <c r="K437" s="1">
        <f>9275+1395</f>
        <v>10670</v>
      </c>
      <c r="L437" s="1">
        <f>4202+421</f>
        <v>4623</v>
      </c>
      <c r="M437" s="55">
        <f t="shared" si="179"/>
        <v>15293</v>
      </c>
      <c r="N437" s="1">
        <f>3008+33</f>
        <v>3041</v>
      </c>
      <c r="O437" s="1">
        <f>1373+15</f>
        <v>1388</v>
      </c>
      <c r="P437" s="1">
        <f>929+349</f>
        <v>1278</v>
      </c>
      <c r="Q437" s="55">
        <f t="shared" si="180"/>
        <v>5707</v>
      </c>
      <c r="R437" s="55">
        <f t="shared" si="176"/>
        <v>21000</v>
      </c>
    </row>
    <row r="438" spans="1:20" ht="15.75" customHeight="1" x14ac:dyDescent="0.3">
      <c r="A438" s="72" t="s">
        <v>1405</v>
      </c>
      <c r="B438" s="1"/>
      <c r="C438" s="1"/>
      <c r="D438" s="1"/>
      <c r="E438" s="55">
        <f t="shared" si="177"/>
        <v>0</v>
      </c>
      <c r="F438" s="1">
        <v>1508</v>
      </c>
      <c r="G438" s="1">
        <f>144+1041</f>
        <v>1185</v>
      </c>
      <c r="H438" s="1">
        <v>2307</v>
      </c>
      <c r="I438" s="55">
        <f t="shared" si="178"/>
        <v>5000</v>
      </c>
      <c r="J438" s="1"/>
      <c r="K438" s="1"/>
      <c r="L438" s="1"/>
      <c r="M438" s="55">
        <f t="shared" si="179"/>
        <v>0</v>
      </c>
      <c r="N438" s="1"/>
      <c r="O438" s="1"/>
      <c r="P438" s="1"/>
      <c r="Q438" s="55">
        <f t="shared" ref="Q438" si="181">SUM(N438:P438)</f>
        <v>0</v>
      </c>
      <c r="R438" s="55">
        <f t="shared" si="176"/>
        <v>5000</v>
      </c>
    </row>
    <row r="439" spans="1:20" ht="15.75" customHeight="1" x14ac:dyDescent="0.3">
      <c r="A439" s="72" t="s">
        <v>1406</v>
      </c>
      <c r="B439" s="1"/>
      <c r="C439" s="1"/>
      <c r="D439" s="1"/>
      <c r="E439" s="55">
        <f t="shared" si="177"/>
        <v>0</v>
      </c>
      <c r="F439" s="1"/>
      <c r="G439" s="1"/>
      <c r="H439" s="1">
        <v>1447</v>
      </c>
      <c r="I439" s="55">
        <f t="shared" si="178"/>
        <v>1447</v>
      </c>
      <c r="J439" s="1">
        <f>1994+6</f>
        <v>2000</v>
      </c>
      <c r="K439" s="1"/>
      <c r="L439" s="1"/>
      <c r="M439" s="55">
        <f t="shared" si="179"/>
        <v>2000</v>
      </c>
      <c r="N439" s="1">
        <f>53+160+1192+995</f>
        <v>2400</v>
      </c>
      <c r="O439" s="1">
        <f>373+263+350</f>
        <v>986</v>
      </c>
      <c r="P439" s="1">
        <v>14</v>
      </c>
      <c r="Q439" s="55">
        <f t="shared" ref="Q439" si="182">SUM(N439:P439)</f>
        <v>3400</v>
      </c>
      <c r="R439" s="55">
        <f t="shared" si="176"/>
        <v>6847</v>
      </c>
    </row>
    <row r="440" spans="1:20" ht="15.75" customHeight="1" x14ac:dyDescent="0.3">
      <c r="A440" s="72" t="s">
        <v>1407</v>
      </c>
      <c r="B440" s="1"/>
      <c r="C440" s="1"/>
      <c r="D440" s="1"/>
      <c r="E440" s="55">
        <f t="shared" si="177"/>
        <v>0</v>
      </c>
      <c r="F440" s="1"/>
      <c r="G440" s="1"/>
      <c r="H440" s="1">
        <v>197</v>
      </c>
      <c r="I440" s="55">
        <f t="shared" si="178"/>
        <v>197</v>
      </c>
      <c r="J440" s="1"/>
      <c r="K440" s="1"/>
      <c r="L440" s="1"/>
      <c r="M440" s="55">
        <f t="shared" si="179"/>
        <v>0</v>
      </c>
      <c r="N440" s="1"/>
      <c r="O440" s="1"/>
      <c r="P440" s="1"/>
      <c r="Q440" s="55">
        <f t="shared" ref="Q440:Q442" si="183">SUM(N440:P440)</f>
        <v>0</v>
      </c>
      <c r="R440" s="55">
        <f t="shared" si="176"/>
        <v>197</v>
      </c>
    </row>
    <row r="441" spans="1:20" ht="15.75" customHeight="1" x14ac:dyDescent="0.3">
      <c r="A441" s="72" t="s">
        <v>954</v>
      </c>
      <c r="B441" s="1"/>
      <c r="C441" s="1">
        <v>1247</v>
      </c>
      <c r="D441" s="1">
        <v>1990</v>
      </c>
      <c r="E441" s="55">
        <f t="shared" si="177"/>
        <v>3237</v>
      </c>
      <c r="F441" s="1">
        <f>4250</f>
        <v>4250</v>
      </c>
      <c r="G441" s="1">
        <f>1740+4513</f>
        <v>6253</v>
      </c>
      <c r="H441" s="1">
        <f>2260</f>
        <v>2260</v>
      </c>
      <c r="I441" s="55">
        <f t="shared" si="178"/>
        <v>12763</v>
      </c>
      <c r="J441" s="1">
        <v>2000</v>
      </c>
      <c r="K441" s="1"/>
      <c r="L441" s="1">
        <v>600</v>
      </c>
      <c r="M441" s="55">
        <f t="shared" si="179"/>
        <v>2600</v>
      </c>
      <c r="N441" s="1"/>
      <c r="O441" s="1"/>
      <c r="P441" s="1"/>
      <c r="Q441" s="55">
        <f t="shared" si="183"/>
        <v>0</v>
      </c>
      <c r="R441" s="55">
        <f t="shared" si="176"/>
        <v>18600</v>
      </c>
    </row>
    <row r="442" spans="1:20" ht="15.75" customHeight="1" x14ac:dyDescent="0.3">
      <c r="A442" s="72" t="s">
        <v>1408</v>
      </c>
      <c r="B442" s="1"/>
      <c r="C442" s="1"/>
      <c r="D442" s="1"/>
      <c r="E442" s="55">
        <f t="shared" si="177"/>
        <v>0</v>
      </c>
      <c r="F442" s="1"/>
      <c r="G442" s="1">
        <v>144</v>
      </c>
      <c r="H442" s="1"/>
      <c r="I442" s="55">
        <f t="shared" si="178"/>
        <v>144</v>
      </c>
      <c r="J442" s="1"/>
      <c r="K442" s="1"/>
      <c r="L442" s="1"/>
      <c r="M442" s="55">
        <f t="shared" si="179"/>
        <v>0</v>
      </c>
      <c r="N442" s="1"/>
      <c r="O442" s="1"/>
      <c r="P442" s="1"/>
      <c r="Q442" s="55">
        <f t="shared" si="183"/>
        <v>0</v>
      </c>
      <c r="R442" s="55">
        <f t="shared" si="176"/>
        <v>144</v>
      </c>
    </row>
    <row r="443" spans="1:20" ht="15.75" customHeight="1" x14ac:dyDescent="0.3">
      <c r="A443" s="72" t="s">
        <v>955</v>
      </c>
      <c r="B443" s="1">
        <v>120</v>
      </c>
      <c r="C443" s="1">
        <f>108+1</f>
        <v>109</v>
      </c>
      <c r="D443" s="1">
        <f>112+1+1</f>
        <v>114</v>
      </c>
      <c r="E443" s="55">
        <f t="shared" si="177"/>
        <v>343</v>
      </c>
      <c r="F443" s="1">
        <f>128+2</f>
        <v>130</v>
      </c>
      <c r="G443" s="1">
        <f>143+2</f>
        <v>145</v>
      </c>
      <c r="H443" s="1">
        <f>130+3+1</f>
        <v>134</v>
      </c>
      <c r="I443" s="55">
        <f t="shared" si="178"/>
        <v>409</v>
      </c>
      <c r="J443" s="1">
        <v>48</v>
      </c>
      <c r="K443" s="1"/>
      <c r="L443" s="1"/>
      <c r="M443" s="55">
        <f t="shared" si="179"/>
        <v>48</v>
      </c>
      <c r="N443" s="1"/>
      <c r="O443" s="1"/>
      <c r="P443" s="1"/>
      <c r="Q443" s="55">
        <f t="shared" si="180"/>
        <v>0</v>
      </c>
      <c r="R443" s="55">
        <f t="shared" si="176"/>
        <v>800</v>
      </c>
    </row>
    <row r="444" spans="1:20" ht="15.75" customHeight="1" x14ac:dyDescent="0.3">
      <c r="A444" s="72" t="s">
        <v>956</v>
      </c>
      <c r="B444" s="1">
        <v>4926</v>
      </c>
      <c r="C444" s="1">
        <v>2153</v>
      </c>
      <c r="D444" s="1">
        <v>4548</v>
      </c>
      <c r="E444" s="55">
        <f t="shared" si="177"/>
        <v>11627</v>
      </c>
      <c r="F444" s="1">
        <v>40</v>
      </c>
      <c r="G444" s="1">
        <v>2160</v>
      </c>
      <c r="H444" s="1">
        <v>1173</v>
      </c>
      <c r="I444" s="55">
        <f t="shared" si="178"/>
        <v>3373</v>
      </c>
      <c r="J444" s="1"/>
      <c r="K444" s="1"/>
      <c r="L444" s="1"/>
      <c r="M444" s="55">
        <f t="shared" si="179"/>
        <v>0</v>
      </c>
      <c r="N444" s="1"/>
      <c r="O444" s="1"/>
      <c r="P444" s="1"/>
      <c r="Q444" s="55">
        <f t="shared" si="180"/>
        <v>0</v>
      </c>
      <c r="R444" s="55">
        <f t="shared" si="176"/>
        <v>15000</v>
      </c>
      <c r="T444" s="4" t="s">
        <v>241</v>
      </c>
    </row>
    <row r="445" spans="1:20" ht="15.75" customHeight="1" x14ac:dyDescent="0.3">
      <c r="A445" s="72" t="s">
        <v>957</v>
      </c>
      <c r="B445" s="1">
        <v>18</v>
      </c>
      <c r="C445" s="1"/>
      <c r="D445" s="1">
        <v>18</v>
      </c>
      <c r="E445" s="55">
        <f t="shared" si="177"/>
        <v>36</v>
      </c>
      <c r="F445" s="1">
        <v>18</v>
      </c>
      <c r="G445" s="1">
        <v>4</v>
      </c>
      <c r="H445" s="1">
        <v>33</v>
      </c>
      <c r="I445" s="55">
        <f t="shared" si="178"/>
        <v>55</v>
      </c>
      <c r="J445" s="1">
        <v>18</v>
      </c>
      <c r="K445" s="1">
        <v>57</v>
      </c>
      <c r="L445" s="1">
        <v>23</v>
      </c>
      <c r="M445" s="55">
        <f t="shared" si="179"/>
        <v>98</v>
      </c>
      <c r="N445" s="1">
        <v>39</v>
      </c>
      <c r="O445" s="1">
        <v>36</v>
      </c>
      <c r="P445" s="1">
        <v>18</v>
      </c>
      <c r="Q445" s="55">
        <f t="shared" si="180"/>
        <v>93</v>
      </c>
      <c r="R445" s="55">
        <f t="shared" si="176"/>
        <v>282</v>
      </c>
      <c r="T445" s="4" t="s">
        <v>220</v>
      </c>
    </row>
    <row r="446" spans="1:20" ht="15.75" customHeight="1" x14ac:dyDescent="0.3">
      <c r="A446" s="72" t="s">
        <v>958</v>
      </c>
      <c r="B446" s="1">
        <v>1159</v>
      </c>
      <c r="C446" s="1">
        <v>927</v>
      </c>
      <c r="D446" s="1">
        <v>1469</v>
      </c>
      <c r="E446" s="55">
        <f t="shared" si="177"/>
        <v>3555</v>
      </c>
      <c r="F446" s="1">
        <v>1374</v>
      </c>
      <c r="G446" s="1">
        <v>1427</v>
      </c>
      <c r="H446" s="1">
        <v>1377</v>
      </c>
      <c r="I446" s="55">
        <f t="shared" si="178"/>
        <v>4178</v>
      </c>
      <c r="J446" s="1">
        <v>1423</v>
      </c>
      <c r="K446" s="1">
        <v>1429</v>
      </c>
      <c r="L446" s="1">
        <v>81</v>
      </c>
      <c r="M446" s="55">
        <f t="shared" si="179"/>
        <v>2933</v>
      </c>
      <c r="N446" s="1"/>
      <c r="O446" s="1"/>
      <c r="P446" s="1"/>
      <c r="Q446" s="55">
        <f t="shared" si="180"/>
        <v>0</v>
      </c>
      <c r="R446" s="55">
        <f t="shared" si="176"/>
        <v>10666</v>
      </c>
      <c r="T446" s="4" t="s">
        <v>919</v>
      </c>
    </row>
    <row r="447" spans="1:20" ht="15.75" customHeight="1" x14ac:dyDescent="0.3">
      <c r="A447" s="72" t="s">
        <v>642</v>
      </c>
      <c r="B447" s="1">
        <v>1731</v>
      </c>
      <c r="C447" s="1">
        <v>1731</v>
      </c>
      <c r="D447" s="1">
        <v>1731</v>
      </c>
      <c r="E447" s="55">
        <f t="shared" si="177"/>
        <v>5193</v>
      </c>
      <c r="F447" s="1">
        <v>1732</v>
      </c>
      <c r="G447" s="1"/>
      <c r="H447" s="1"/>
      <c r="I447" s="55">
        <f t="shared" si="178"/>
        <v>1732</v>
      </c>
      <c r="J447" s="1"/>
      <c r="K447" s="1"/>
      <c r="L447" s="1"/>
      <c r="M447" s="55">
        <f t="shared" si="179"/>
        <v>0</v>
      </c>
      <c r="N447" s="1"/>
      <c r="O447" s="1"/>
      <c r="P447" s="1"/>
      <c r="Q447" s="55">
        <f t="shared" si="180"/>
        <v>0</v>
      </c>
      <c r="R447" s="55">
        <f>+E447+I447+M447+Q447</f>
        <v>6925</v>
      </c>
    </row>
    <row r="448" spans="1:20" ht="15.75" customHeight="1" x14ac:dyDescent="0.3">
      <c r="A448" s="72" t="s">
        <v>737</v>
      </c>
      <c r="B448" s="1"/>
      <c r="C448" s="1"/>
      <c r="D448" s="1"/>
      <c r="E448" s="55">
        <f t="shared" si="177"/>
        <v>0</v>
      </c>
      <c r="F448" s="1"/>
      <c r="G448" s="1"/>
      <c r="H448" s="1"/>
      <c r="I448" s="55">
        <f t="shared" si="178"/>
        <v>0</v>
      </c>
      <c r="J448" s="1"/>
      <c r="K448" s="1"/>
      <c r="L448" s="1"/>
      <c r="M448" s="55">
        <f t="shared" si="179"/>
        <v>0</v>
      </c>
      <c r="N448" s="1"/>
      <c r="O448" s="1"/>
      <c r="P448" s="1"/>
      <c r="Q448" s="55">
        <f t="shared" si="180"/>
        <v>0</v>
      </c>
      <c r="R448" s="55">
        <f>+E448+I448+M448+Q448</f>
        <v>0</v>
      </c>
    </row>
    <row r="449" spans="1:20" ht="15.75" customHeight="1" x14ac:dyDescent="0.3">
      <c r="A449" s="72" t="s">
        <v>1219</v>
      </c>
      <c r="B449" s="1"/>
      <c r="C449" s="1"/>
      <c r="D449" s="1"/>
      <c r="E449" s="55">
        <f t="shared" si="177"/>
        <v>0</v>
      </c>
      <c r="F449" s="1"/>
      <c r="G449" s="1"/>
      <c r="H449" s="1"/>
      <c r="I449" s="55">
        <f t="shared" si="178"/>
        <v>0</v>
      </c>
      <c r="J449" s="1"/>
      <c r="K449" s="1"/>
      <c r="L449" s="1"/>
      <c r="M449" s="55">
        <f t="shared" si="179"/>
        <v>0</v>
      </c>
      <c r="N449" s="1"/>
      <c r="O449" s="1"/>
      <c r="P449" s="1"/>
      <c r="Q449" s="55">
        <f t="shared" si="180"/>
        <v>0</v>
      </c>
      <c r="R449" s="55">
        <f>+E449+I449+M449+Q449</f>
        <v>0</v>
      </c>
    </row>
    <row r="450" spans="1:20" ht="15.75" customHeight="1" x14ac:dyDescent="0.3">
      <c r="A450" s="72" t="s">
        <v>1220</v>
      </c>
      <c r="B450" s="1"/>
      <c r="C450" s="1"/>
      <c r="D450" s="1"/>
      <c r="E450" s="55">
        <f t="shared" si="177"/>
        <v>0</v>
      </c>
      <c r="F450" s="1"/>
      <c r="G450" s="1"/>
      <c r="H450" s="1"/>
      <c r="I450" s="55">
        <f t="shared" si="178"/>
        <v>0</v>
      </c>
      <c r="J450" s="1"/>
      <c r="K450" s="1"/>
      <c r="L450" s="1"/>
      <c r="M450" s="55">
        <f t="shared" si="179"/>
        <v>0</v>
      </c>
      <c r="N450" s="1"/>
      <c r="O450" s="1"/>
      <c r="P450" s="1"/>
      <c r="Q450" s="55">
        <f t="shared" si="180"/>
        <v>0</v>
      </c>
      <c r="R450" s="55">
        <f>+E450+I450+M450+Q450</f>
        <v>0</v>
      </c>
      <c r="T450" s="4" t="s">
        <v>241</v>
      </c>
    </row>
    <row r="451" spans="1:20" ht="15.75" customHeight="1" x14ac:dyDescent="0.3">
      <c r="A451" s="72" t="s">
        <v>1221</v>
      </c>
      <c r="B451" s="1"/>
      <c r="C451" s="1"/>
      <c r="D451" s="1"/>
      <c r="E451" s="55">
        <f t="shared" ref="E451" si="184">SUM(B451:D451)</f>
        <v>0</v>
      </c>
      <c r="F451" s="1"/>
      <c r="G451" s="1"/>
      <c r="H451" s="1"/>
      <c r="I451" s="55">
        <f t="shared" ref="I451" si="185">SUM(F451:H451)</f>
        <v>0</v>
      </c>
      <c r="J451" s="1"/>
      <c r="K451" s="1"/>
      <c r="L451" s="1"/>
      <c r="M451" s="55">
        <f t="shared" ref="M451" si="186">SUM(J451:L451)</f>
        <v>0</v>
      </c>
      <c r="N451" s="1"/>
      <c r="O451" s="1"/>
      <c r="P451" s="1"/>
      <c r="Q451" s="55">
        <f t="shared" ref="Q451" si="187">SUM(N451:P451)</f>
        <v>0</v>
      </c>
      <c r="R451" s="55">
        <f t="shared" ref="R451:R452" si="188">+E451+I451+M451+Q451</f>
        <v>0</v>
      </c>
      <c r="T451" s="4" t="s">
        <v>224</v>
      </c>
    </row>
    <row r="452" spans="1:20" ht="16.5" customHeight="1" x14ac:dyDescent="0.3">
      <c r="A452" s="72" t="s">
        <v>1409</v>
      </c>
      <c r="B452" s="1"/>
      <c r="C452" s="1"/>
      <c r="D452" s="1"/>
      <c r="E452" s="55">
        <f t="shared" si="177"/>
        <v>0</v>
      </c>
      <c r="F452" s="1"/>
      <c r="G452" s="1">
        <v>338</v>
      </c>
      <c r="H452" s="1">
        <v>1000</v>
      </c>
      <c r="I452" s="55">
        <f t="shared" si="178"/>
        <v>1338</v>
      </c>
      <c r="J452" s="1">
        <v>1746</v>
      </c>
      <c r="K452" s="1">
        <f>42+230+1982</f>
        <v>2254</v>
      </c>
      <c r="L452" s="1">
        <v>500</v>
      </c>
      <c r="M452" s="55">
        <f t="shared" si="179"/>
        <v>4500</v>
      </c>
      <c r="N452" s="1"/>
      <c r="O452" s="1"/>
      <c r="P452" s="1"/>
      <c r="Q452" s="55">
        <f t="shared" ref="Q452" si="189">SUM(N452:P452)</f>
        <v>0</v>
      </c>
      <c r="R452" s="55">
        <f t="shared" si="188"/>
        <v>5838</v>
      </c>
      <c r="T452" s="4" t="s">
        <v>944</v>
      </c>
    </row>
    <row r="453" spans="1:20" ht="15.75" customHeight="1" x14ac:dyDescent="0.3">
      <c r="A453" s="72" t="s">
        <v>1222</v>
      </c>
      <c r="B453" s="1"/>
      <c r="C453" s="1"/>
      <c r="D453" s="1"/>
      <c r="E453" s="55">
        <f t="shared" si="177"/>
        <v>0</v>
      </c>
      <c r="F453" s="1"/>
      <c r="G453" s="1"/>
      <c r="H453" s="1"/>
      <c r="I453" s="55">
        <f t="shared" si="178"/>
        <v>0</v>
      </c>
      <c r="J453" s="1"/>
      <c r="K453" s="1"/>
      <c r="L453" s="1"/>
      <c r="M453" s="55">
        <f t="shared" si="179"/>
        <v>0</v>
      </c>
      <c r="N453" s="1"/>
      <c r="O453" s="1"/>
      <c r="P453" s="1"/>
      <c r="Q453" s="55">
        <f t="shared" ref="Q453" si="190">SUM(N453:P453)</f>
        <v>0</v>
      </c>
      <c r="R453" s="55">
        <f t="shared" si="176"/>
        <v>0</v>
      </c>
      <c r="T453" s="4" t="s">
        <v>214</v>
      </c>
    </row>
    <row r="454" spans="1:20" ht="15.75" customHeight="1" x14ac:dyDescent="0.3">
      <c r="A454" s="72" t="s">
        <v>1410</v>
      </c>
      <c r="B454" s="1"/>
      <c r="C454" s="1"/>
      <c r="D454" s="1"/>
      <c r="E454" s="55">
        <f t="shared" si="177"/>
        <v>0</v>
      </c>
      <c r="F454" s="1"/>
      <c r="G454" s="1"/>
      <c r="H454" s="1">
        <v>166</v>
      </c>
      <c r="I454" s="55">
        <f t="shared" si="178"/>
        <v>166</v>
      </c>
      <c r="J454" s="1">
        <v>1469</v>
      </c>
      <c r="K454" s="1">
        <v>2095</v>
      </c>
      <c r="L454" s="1"/>
      <c r="M454" s="55">
        <f t="shared" si="179"/>
        <v>3564</v>
      </c>
      <c r="N454" s="1"/>
      <c r="O454" s="1"/>
      <c r="P454" s="1"/>
      <c r="Q454" s="55">
        <f t="shared" si="180"/>
        <v>0</v>
      </c>
      <c r="R454" s="55">
        <f t="shared" si="176"/>
        <v>3730</v>
      </c>
      <c r="T454" s="4" t="s">
        <v>214</v>
      </c>
    </row>
    <row r="455" spans="1:20" ht="15.75" customHeight="1" x14ac:dyDescent="0.3">
      <c r="A455" s="72" t="s">
        <v>1362</v>
      </c>
      <c r="B455" s="1"/>
      <c r="C455" s="1"/>
      <c r="D455" s="1"/>
      <c r="E455" s="55">
        <f t="shared" si="177"/>
        <v>0</v>
      </c>
      <c r="F455" s="1">
        <v>92</v>
      </c>
      <c r="G455" s="1"/>
      <c r="H455" s="1">
        <v>276</v>
      </c>
      <c r="I455" s="55">
        <f t="shared" si="178"/>
        <v>368</v>
      </c>
      <c r="J455" s="1">
        <v>184</v>
      </c>
      <c r="K455" s="1">
        <v>92</v>
      </c>
      <c r="L455" s="1">
        <v>92</v>
      </c>
      <c r="M455" s="55">
        <f t="shared" si="179"/>
        <v>368</v>
      </c>
      <c r="N455" s="1">
        <v>92</v>
      </c>
      <c r="O455" s="1">
        <v>460</v>
      </c>
      <c r="P455" s="1">
        <v>629</v>
      </c>
      <c r="Q455" s="55">
        <f t="shared" si="180"/>
        <v>1181</v>
      </c>
      <c r="R455" s="55">
        <f t="shared" si="176"/>
        <v>1917</v>
      </c>
      <c r="T455" s="4" t="s">
        <v>919</v>
      </c>
    </row>
    <row r="456" spans="1:20" ht="15.75" customHeight="1" x14ac:dyDescent="0.3">
      <c r="A456" s="72" t="s">
        <v>1411</v>
      </c>
      <c r="B456" s="1"/>
      <c r="C456" s="1"/>
      <c r="D456" s="1"/>
      <c r="E456" s="55">
        <f t="shared" si="177"/>
        <v>0</v>
      </c>
      <c r="F456" s="1">
        <v>1000</v>
      </c>
      <c r="G456" s="1">
        <v>662</v>
      </c>
      <c r="H456" s="1"/>
      <c r="I456" s="55">
        <f t="shared" si="178"/>
        <v>1662</v>
      </c>
      <c r="J456" s="1"/>
      <c r="K456" s="1"/>
      <c r="L456" s="1"/>
      <c r="M456" s="55">
        <f t="shared" si="179"/>
        <v>0</v>
      </c>
      <c r="N456" s="1"/>
      <c r="O456" s="1"/>
      <c r="P456" s="1"/>
      <c r="Q456" s="55">
        <f t="shared" si="180"/>
        <v>0</v>
      </c>
      <c r="R456" s="55">
        <f t="shared" si="176"/>
        <v>1662</v>
      </c>
    </row>
    <row r="457" spans="1:20" ht="15.75" customHeight="1" x14ac:dyDescent="0.3">
      <c r="A457" s="72" t="s">
        <v>1412</v>
      </c>
      <c r="B457" s="1"/>
      <c r="C457" s="1">
        <v>600</v>
      </c>
      <c r="D457" s="1"/>
      <c r="E457" s="55">
        <f t="shared" si="177"/>
        <v>600</v>
      </c>
      <c r="F457" s="1"/>
      <c r="G457" s="1"/>
      <c r="H457" s="1">
        <v>1900</v>
      </c>
      <c r="I457" s="55">
        <f t="shared" si="178"/>
        <v>1900</v>
      </c>
      <c r="J457" s="1"/>
      <c r="K457" s="1"/>
      <c r="L457" s="1"/>
      <c r="M457" s="55">
        <f t="shared" si="179"/>
        <v>0</v>
      </c>
      <c r="N457" s="1"/>
      <c r="O457" s="1"/>
      <c r="P457" s="1"/>
      <c r="Q457" s="55">
        <f t="shared" si="180"/>
        <v>0</v>
      </c>
      <c r="R457" s="55">
        <f t="shared" si="176"/>
        <v>2500</v>
      </c>
      <c r="T457" s="4" t="s">
        <v>241</v>
      </c>
    </row>
    <row r="458" spans="1:20" ht="15.75" customHeight="1" x14ac:dyDescent="0.3">
      <c r="A458" s="72" t="s">
        <v>1413</v>
      </c>
      <c r="B458" s="1"/>
      <c r="C458" s="1"/>
      <c r="D458" s="1"/>
      <c r="E458" s="55">
        <f t="shared" si="177"/>
        <v>0</v>
      </c>
      <c r="F458" s="1"/>
      <c r="G458" s="1"/>
      <c r="H458" s="1"/>
      <c r="I458" s="55">
        <f t="shared" si="178"/>
        <v>0</v>
      </c>
      <c r="J458" s="1"/>
      <c r="K458" s="1"/>
      <c r="L458" s="1">
        <v>300</v>
      </c>
      <c r="M458" s="55">
        <f t="shared" si="179"/>
        <v>300</v>
      </c>
      <c r="N458" s="1"/>
      <c r="O458" s="1"/>
      <c r="P458" s="1"/>
      <c r="Q458" s="55">
        <f t="shared" si="180"/>
        <v>0</v>
      </c>
      <c r="R458" s="55">
        <f t="shared" si="176"/>
        <v>300</v>
      </c>
    </row>
    <row r="459" spans="1:20" ht="15.75" customHeight="1" x14ac:dyDescent="0.3">
      <c r="A459" s="72" t="s">
        <v>1414</v>
      </c>
      <c r="B459" s="1"/>
      <c r="C459" s="1"/>
      <c r="D459" s="1"/>
      <c r="E459" s="55">
        <f t="shared" si="177"/>
        <v>0</v>
      </c>
      <c r="F459" s="1"/>
      <c r="G459" s="1"/>
      <c r="H459" s="1"/>
      <c r="I459" s="55">
        <f t="shared" si="178"/>
        <v>0</v>
      </c>
      <c r="J459" s="1"/>
      <c r="K459" s="1"/>
      <c r="L459" s="1">
        <v>373</v>
      </c>
      <c r="M459" s="55">
        <f t="shared" si="179"/>
        <v>373</v>
      </c>
      <c r="N459" s="1">
        <f>284+193</f>
        <v>477</v>
      </c>
      <c r="O459" s="1"/>
      <c r="P459" s="1"/>
      <c r="Q459" s="55">
        <f t="shared" ref="Q459" si="191">SUM(N459:P459)</f>
        <v>477</v>
      </c>
      <c r="R459" s="55">
        <f t="shared" si="176"/>
        <v>850</v>
      </c>
    </row>
    <row r="460" spans="1:20" ht="15.75" customHeight="1" x14ac:dyDescent="0.3">
      <c r="A460" s="72" t="s">
        <v>1415</v>
      </c>
      <c r="B460" s="1"/>
      <c r="C460" s="1"/>
      <c r="D460" s="1"/>
      <c r="E460" s="55">
        <f t="shared" si="177"/>
        <v>0</v>
      </c>
      <c r="F460" s="1"/>
      <c r="G460" s="1"/>
      <c r="H460" s="1"/>
      <c r="I460" s="55">
        <f t="shared" si="178"/>
        <v>0</v>
      </c>
      <c r="J460" s="1"/>
      <c r="K460" s="1"/>
      <c r="L460" s="1"/>
      <c r="M460" s="55">
        <f t="shared" si="179"/>
        <v>0</v>
      </c>
      <c r="N460" s="1"/>
      <c r="O460" s="1">
        <v>500</v>
      </c>
      <c r="P460" s="1"/>
      <c r="Q460" s="55">
        <f t="shared" si="180"/>
        <v>500</v>
      </c>
      <c r="R460" s="55">
        <f t="shared" si="176"/>
        <v>500</v>
      </c>
    </row>
    <row r="461" spans="1:20" ht="15.75" customHeight="1" x14ac:dyDescent="0.3">
      <c r="A461" s="72" t="s">
        <v>1416</v>
      </c>
      <c r="B461" s="1"/>
      <c r="C461" s="1"/>
      <c r="D461" s="1"/>
      <c r="E461" s="55">
        <f t="shared" si="177"/>
        <v>0</v>
      </c>
      <c r="F461" s="1"/>
      <c r="G461" s="1"/>
      <c r="H461" s="1"/>
      <c r="I461" s="55">
        <f t="shared" si="178"/>
        <v>0</v>
      </c>
      <c r="J461" s="1"/>
      <c r="K461" s="1"/>
      <c r="L461" s="1"/>
      <c r="M461" s="55">
        <f t="shared" si="179"/>
        <v>0</v>
      </c>
      <c r="N461" s="1"/>
      <c r="O461" s="1"/>
      <c r="P461" s="1"/>
      <c r="Q461" s="55">
        <f t="shared" ref="Q461:Q466" si="192">SUM(N461:P461)</f>
        <v>0</v>
      </c>
      <c r="R461" s="55">
        <f t="shared" si="176"/>
        <v>0</v>
      </c>
    </row>
    <row r="462" spans="1:20" ht="15.75" customHeight="1" x14ac:dyDescent="0.3">
      <c r="A462" s="72" t="s">
        <v>1417</v>
      </c>
      <c r="B462" s="1"/>
      <c r="C462" s="1"/>
      <c r="D462" s="1"/>
      <c r="E462" s="55">
        <f t="shared" si="177"/>
        <v>0</v>
      </c>
      <c r="F462" s="1"/>
      <c r="G462" s="1"/>
      <c r="H462" s="1"/>
      <c r="I462" s="55">
        <f t="shared" si="178"/>
        <v>0</v>
      </c>
      <c r="J462" s="1"/>
      <c r="K462" s="1"/>
      <c r="L462" s="1"/>
      <c r="M462" s="55">
        <f t="shared" si="179"/>
        <v>0</v>
      </c>
      <c r="N462" s="1">
        <v>14</v>
      </c>
      <c r="O462" s="1"/>
      <c r="P462" s="1">
        <v>312</v>
      </c>
      <c r="Q462" s="55">
        <f t="shared" si="192"/>
        <v>326</v>
      </c>
      <c r="R462" s="55">
        <f t="shared" si="176"/>
        <v>326</v>
      </c>
    </row>
    <row r="463" spans="1:20" ht="15.75" customHeight="1" x14ac:dyDescent="0.3">
      <c r="A463" s="72" t="s">
        <v>1418</v>
      </c>
      <c r="B463" s="1"/>
      <c r="C463" s="1"/>
      <c r="D463" s="1"/>
      <c r="E463" s="55">
        <f t="shared" si="177"/>
        <v>0</v>
      </c>
      <c r="F463" s="1"/>
      <c r="G463" s="1"/>
      <c r="H463" s="1"/>
      <c r="I463" s="55">
        <f t="shared" si="178"/>
        <v>0</v>
      </c>
      <c r="J463" s="1"/>
      <c r="K463" s="1">
        <f>862+441+197</f>
        <v>1500</v>
      </c>
      <c r="L463" s="1">
        <f>411+7+1082</f>
        <v>1500</v>
      </c>
      <c r="M463" s="55">
        <f t="shared" si="179"/>
        <v>3000</v>
      </c>
      <c r="N463" s="1"/>
      <c r="O463" s="1"/>
      <c r="P463" s="1"/>
      <c r="Q463" s="55">
        <f t="shared" si="192"/>
        <v>0</v>
      </c>
      <c r="R463" s="55">
        <f t="shared" si="176"/>
        <v>3000</v>
      </c>
    </row>
    <row r="464" spans="1:20" ht="15.75" customHeight="1" x14ac:dyDescent="0.3">
      <c r="A464" s="72" t="s">
        <v>1419</v>
      </c>
      <c r="B464" s="1"/>
      <c r="C464" s="1"/>
      <c r="D464" s="1"/>
      <c r="E464" s="55">
        <f t="shared" si="177"/>
        <v>0</v>
      </c>
      <c r="F464" s="1"/>
      <c r="G464" s="1"/>
      <c r="H464" s="1"/>
      <c r="I464" s="55">
        <f t="shared" si="178"/>
        <v>0</v>
      </c>
      <c r="J464" s="1"/>
      <c r="K464" s="1">
        <f>3+228</f>
        <v>231</v>
      </c>
      <c r="L464" s="1">
        <f>1497+25</f>
        <v>1522</v>
      </c>
      <c r="M464" s="55">
        <f t="shared" si="179"/>
        <v>1753</v>
      </c>
      <c r="N464" s="1">
        <v>232</v>
      </c>
      <c r="O464" s="1"/>
      <c r="P464" s="1"/>
      <c r="Q464" s="55">
        <f t="shared" si="192"/>
        <v>232</v>
      </c>
      <c r="R464" s="55">
        <f t="shared" si="176"/>
        <v>1985</v>
      </c>
    </row>
    <row r="465" spans="1:20" ht="15.75" customHeight="1" x14ac:dyDescent="0.3">
      <c r="A465" s="72" t="s">
        <v>1420</v>
      </c>
      <c r="B465" s="1"/>
      <c r="C465" s="1"/>
      <c r="D465" s="1"/>
      <c r="E465" s="55">
        <f t="shared" si="177"/>
        <v>0</v>
      </c>
      <c r="F465" s="1"/>
      <c r="G465" s="1"/>
      <c r="H465" s="1"/>
      <c r="I465" s="55">
        <f t="shared" si="178"/>
        <v>0</v>
      </c>
      <c r="J465" s="1"/>
      <c r="K465" s="1"/>
      <c r="L465" s="1"/>
      <c r="M465" s="55">
        <f t="shared" si="179"/>
        <v>0</v>
      </c>
      <c r="N465" s="1"/>
      <c r="O465" s="1"/>
      <c r="P465" s="1"/>
      <c r="Q465" s="55">
        <f t="shared" si="192"/>
        <v>0</v>
      </c>
      <c r="R465" s="55">
        <f t="shared" si="176"/>
        <v>0</v>
      </c>
    </row>
    <row r="466" spans="1:20" ht="15.75" customHeight="1" x14ac:dyDescent="0.3">
      <c r="A466" s="72" t="s">
        <v>1421</v>
      </c>
      <c r="B466" s="1"/>
      <c r="C466" s="1"/>
      <c r="D466" s="1"/>
      <c r="E466" s="55">
        <f t="shared" si="177"/>
        <v>0</v>
      </c>
      <c r="F466" s="1"/>
      <c r="G466" s="1"/>
      <c r="H466" s="1"/>
      <c r="I466" s="55">
        <f t="shared" si="178"/>
        <v>0</v>
      </c>
      <c r="J466" s="1"/>
      <c r="K466" s="1"/>
      <c r="L466" s="1"/>
      <c r="M466" s="55">
        <f t="shared" si="179"/>
        <v>0</v>
      </c>
      <c r="N466" s="1">
        <v>1003</v>
      </c>
      <c r="O466" s="1">
        <f>603+6</f>
        <v>609</v>
      </c>
      <c r="P466" s="1"/>
      <c r="Q466" s="55">
        <f t="shared" si="192"/>
        <v>1612</v>
      </c>
      <c r="R466" s="55">
        <f t="shared" si="176"/>
        <v>1612</v>
      </c>
    </row>
    <row r="467" spans="1:20" ht="15.75" customHeight="1" x14ac:dyDescent="0.3">
      <c r="A467" s="72" t="s">
        <v>965</v>
      </c>
      <c r="B467" s="1"/>
      <c r="C467" s="1"/>
      <c r="D467" s="1"/>
      <c r="E467" s="55">
        <f t="shared" si="177"/>
        <v>0</v>
      </c>
      <c r="F467" s="1"/>
      <c r="G467" s="1"/>
      <c r="H467" s="1"/>
      <c r="I467" s="55">
        <f t="shared" si="178"/>
        <v>0</v>
      </c>
      <c r="J467" s="1"/>
      <c r="K467" s="1"/>
      <c r="L467" s="1"/>
      <c r="M467" s="55">
        <f t="shared" si="179"/>
        <v>0</v>
      </c>
      <c r="N467" s="1"/>
      <c r="O467" s="1"/>
      <c r="P467" s="1"/>
      <c r="Q467" s="55">
        <f>SUM(N467:P467)</f>
        <v>0</v>
      </c>
      <c r="R467" s="55">
        <f t="shared" si="176"/>
        <v>0</v>
      </c>
    </row>
    <row r="468" spans="1:20" ht="15.75" customHeight="1" x14ac:dyDescent="0.3">
      <c r="A468" s="72" t="s">
        <v>966</v>
      </c>
      <c r="B468" s="1"/>
      <c r="C468" s="1">
        <v>500</v>
      </c>
      <c r="D468" s="1">
        <v>1000</v>
      </c>
      <c r="E468" s="55">
        <f t="shared" si="177"/>
        <v>1500</v>
      </c>
      <c r="F468" s="1"/>
      <c r="G468" s="1"/>
      <c r="H468" s="1"/>
      <c r="I468" s="55">
        <f t="shared" si="178"/>
        <v>0</v>
      </c>
      <c r="J468" s="1"/>
      <c r="K468" s="1"/>
      <c r="L468" s="1"/>
      <c r="M468" s="55">
        <f t="shared" si="179"/>
        <v>0</v>
      </c>
      <c r="N468" s="1"/>
      <c r="O468" s="1"/>
      <c r="P468" s="1"/>
      <c r="Q468" s="55">
        <f t="shared" si="180"/>
        <v>0</v>
      </c>
      <c r="R468" s="55">
        <f t="shared" si="176"/>
        <v>1500</v>
      </c>
    </row>
    <row r="469" spans="1:20" ht="15.75" customHeight="1" x14ac:dyDescent="0.3">
      <c r="A469" s="72" t="s">
        <v>1422</v>
      </c>
      <c r="B469" s="1"/>
      <c r="C469" s="1"/>
      <c r="D469" s="1"/>
      <c r="E469" s="55">
        <f t="shared" si="177"/>
        <v>0</v>
      </c>
      <c r="F469" s="1"/>
      <c r="G469" s="1"/>
      <c r="H469" s="1"/>
      <c r="I469" s="55">
        <f t="shared" si="178"/>
        <v>0</v>
      </c>
      <c r="J469" s="1"/>
      <c r="K469" s="1">
        <v>822</v>
      </c>
      <c r="L469" s="1">
        <v>2178</v>
      </c>
      <c r="M469" s="55">
        <f t="shared" si="179"/>
        <v>3000</v>
      </c>
      <c r="N469" s="1"/>
      <c r="O469" s="1"/>
      <c r="P469" s="1"/>
      <c r="Q469" s="55">
        <f t="shared" si="180"/>
        <v>0</v>
      </c>
      <c r="R469" s="55">
        <f t="shared" si="176"/>
        <v>3000</v>
      </c>
    </row>
    <row r="470" spans="1:20" ht="15.75" customHeight="1" x14ac:dyDescent="0.3">
      <c r="A470" s="72" t="s">
        <v>1423</v>
      </c>
      <c r="B470" s="1"/>
      <c r="C470" s="1"/>
      <c r="D470" s="1"/>
      <c r="E470" s="55">
        <f t="shared" si="177"/>
        <v>0</v>
      </c>
      <c r="F470" s="1"/>
      <c r="G470" s="1"/>
      <c r="H470" s="1">
        <v>1642</v>
      </c>
      <c r="I470" s="55">
        <f t="shared" si="178"/>
        <v>1642</v>
      </c>
      <c r="J470" s="1">
        <v>858</v>
      </c>
      <c r="K470" s="1"/>
      <c r="L470" s="1"/>
      <c r="M470" s="55">
        <f t="shared" si="179"/>
        <v>858</v>
      </c>
      <c r="N470" s="1"/>
      <c r="O470" s="1"/>
      <c r="P470" s="1"/>
      <c r="Q470" s="55">
        <f t="shared" ref="Q470" si="193">SUM(N470:P470)</f>
        <v>0</v>
      </c>
      <c r="R470" s="55">
        <f t="shared" si="176"/>
        <v>2500</v>
      </c>
    </row>
    <row r="471" spans="1:20" ht="15.75" customHeight="1" x14ac:dyDescent="0.3">
      <c r="A471" s="72" t="s">
        <v>1306</v>
      </c>
      <c r="B471" s="1"/>
      <c r="C471" s="1"/>
      <c r="D471" s="1"/>
      <c r="E471" s="55">
        <f t="shared" si="177"/>
        <v>0</v>
      </c>
      <c r="F471" s="1"/>
      <c r="G471" s="1"/>
      <c r="H471" s="1"/>
      <c r="I471" s="55">
        <f t="shared" si="178"/>
        <v>0</v>
      </c>
      <c r="J471" s="1"/>
      <c r="K471" s="1"/>
      <c r="L471" s="1"/>
      <c r="M471" s="55">
        <f t="shared" si="179"/>
        <v>0</v>
      </c>
      <c r="N471" s="1"/>
      <c r="O471" s="1"/>
      <c r="P471" s="1"/>
      <c r="Q471" s="55">
        <f t="shared" ref="Q471" si="194">SUM(N471:P471)</f>
        <v>0</v>
      </c>
      <c r="R471" s="55">
        <f t="shared" si="176"/>
        <v>0</v>
      </c>
      <c r="T471" s="4" t="s">
        <v>919</v>
      </c>
    </row>
    <row r="472" spans="1:20" ht="15.75" customHeight="1" x14ac:dyDescent="0.3">
      <c r="A472" s="72" t="s">
        <v>967</v>
      </c>
      <c r="B472" s="1"/>
      <c r="C472" s="1"/>
      <c r="D472" s="1"/>
      <c r="E472" s="55">
        <f t="shared" si="177"/>
        <v>0</v>
      </c>
      <c r="F472" s="1"/>
      <c r="G472" s="1"/>
      <c r="H472" s="1"/>
      <c r="I472" s="55">
        <f t="shared" si="178"/>
        <v>0</v>
      </c>
      <c r="J472" s="1"/>
      <c r="K472" s="1"/>
      <c r="L472" s="1"/>
      <c r="M472" s="55">
        <f t="shared" si="179"/>
        <v>0</v>
      </c>
      <c r="N472" s="1"/>
      <c r="O472" s="1"/>
      <c r="P472" s="1"/>
      <c r="Q472" s="55">
        <f t="shared" si="180"/>
        <v>0</v>
      </c>
      <c r="R472" s="55">
        <f t="shared" si="176"/>
        <v>0</v>
      </c>
      <c r="T472" s="4" t="s">
        <v>919</v>
      </c>
    </row>
    <row r="473" spans="1:20" ht="15.75" customHeight="1" x14ac:dyDescent="0.3">
      <c r="A473" s="72" t="s">
        <v>968</v>
      </c>
      <c r="B473" s="1"/>
      <c r="C473" s="1"/>
      <c r="D473" s="1"/>
      <c r="E473" s="55">
        <f t="shared" si="177"/>
        <v>0</v>
      </c>
      <c r="F473" s="1"/>
      <c r="G473" s="1"/>
      <c r="H473" s="1">
        <v>1782</v>
      </c>
      <c r="I473" s="55">
        <f t="shared" si="178"/>
        <v>1782</v>
      </c>
      <c r="J473" s="1">
        <v>2106</v>
      </c>
      <c r="K473" s="1">
        <v>200</v>
      </c>
      <c r="L473" s="1"/>
      <c r="M473" s="55">
        <f t="shared" si="179"/>
        <v>2306</v>
      </c>
      <c r="N473" s="1"/>
      <c r="O473" s="1"/>
      <c r="P473" s="1"/>
      <c r="Q473" s="55">
        <f t="shared" si="180"/>
        <v>0</v>
      </c>
      <c r="R473" s="55">
        <f t="shared" si="176"/>
        <v>4088</v>
      </c>
      <c r="T473" s="4" t="s">
        <v>919</v>
      </c>
    </row>
    <row r="474" spans="1:20" ht="15.75" customHeight="1" x14ac:dyDescent="0.3">
      <c r="A474" s="72" t="s">
        <v>969</v>
      </c>
      <c r="B474" s="1"/>
      <c r="C474" s="1"/>
      <c r="D474" s="1"/>
      <c r="E474" s="55">
        <f t="shared" si="177"/>
        <v>0</v>
      </c>
      <c r="F474" s="1"/>
      <c r="G474" s="1"/>
      <c r="H474" s="1"/>
      <c r="I474" s="55">
        <f t="shared" si="178"/>
        <v>0</v>
      </c>
      <c r="J474" s="1"/>
      <c r="K474" s="1"/>
      <c r="L474" s="1"/>
      <c r="M474" s="55">
        <f t="shared" si="179"/>
        <v>0</v>
      </c>
      <c r="N474" s="1"/>
      <c r="O474" s="1"/>
      <c r="P474" s="1"/>
      <c r="Q474" s="55">
        <f t="shared" si="180"/>
        <v>0</v>
      </c>
      <c r="R474" s="55">
        <f t="shared" si="176"/>
        <v>0</v>
      </c>
      <c r="T474" s="4" t="s">
        <v>241</v>
      </c>
    </row>
    <row r="475" spans="1:20" ht="15.75" customHeight="1" x14ac:dyDescent="0.3">
      <c r="A475" s="72" t="s">
        <v>162</v>
      </c>
      <c r="B475" s="1"/>
      <c r="C475" s="1"/>
      <c r="D475" s="1"/>
      <c r="E475" s="55">
        <f t="shared" si="177"/>
        <v>0</v>
      </c>
      <c r="F475" s="1">
        <v>1184</v>
      </c>
      <c r="G475" s="1">
        <v>320</v>
      </c>
      <c r="H475" s="1"/>
      <c r="I475" s="55">
        <f t="shared" si="178"/>
        <v>1504</v>
      </c>
      <c r="J475" s="1"/>
      <c r="K475" s="1"/>
      <c r="L475" s="1"/>
      <c r="M475" s="55">
        <f t="shared" si="179"/>
        <v>0</v>
      </c>
      <c r="N475" s="1"/>
      <c r="O475" s="1"/>
      <c r="P475" s="1"/>
      <c r="Q475" s="55">
        <f t="shared" si="180"/>
        <v>0</v>
      </c>
      <c r="R475" s="55">
        <f t="shared" si="176"/>
        <v>1504</v>
      </c>
    </row>
    <row r="476" spans="1:20" ht="15.75" customHeight="1" x14ac:dyDescent="0.3">
      <c r="A476" s="72" t="s">
        <v>1424</v>
      </c>
      <c r="B476" s="1"/>
      <c r="C476" s="1"/>
      <c r="D476" s="1"/>
      <c r="E476" s="55">
        <f t="shared" si="177"/>
        <v>0</v>
      </c>
      <c r="F476" s="1"/>
      <c r="G476" s="1"/>
      <c r="H476" s="1"/>
      <c r="I476" s="55">
        <f t="shared" si="178"/>
        <v>0</v>
      </c>
      <c r="J476" s="1"/>
      <c r="K476" s="1"/>
      <c r="L476" s="1"/>
      <c r="M476" s="55">
        <f t="shared" si="179"/>
        <v>0</v>
      </c>
      <c r="N476" s="1"/>
      <c r="O476" s="1"/>
      <c r="P476" s="1"/>
      <c r="Q476" s="55">
        <f t="shared" si="180"/>
        <v>0</v>
      </c>
      <c r="R476" s="55">
        <f t="shared" si="176"/>
        <v>0</v>
      </c>
    </row>
    <row r="477" spans="1:20" ht="15.75" customHeight="1" x14ac:dyDescent="0.3">
      <c r="A477" s="72" t="s">
        <v>1425</v>
      </c>
      <c r="B477" s="1"/>
      <c r="C477" s="1"/>
      <c r="D477" s="1"/>
      <c r="E477" s="55">
        <f t="shared" si="177"/>
        <v>0</v>
      </c>
      <c r="F477" s="1"/>
      <c r="G477" s="1">
        <v>1000</v>
      </c>
      <c r="H477" s="1"/>
      <c r="I477" s="55">
        <f t="shared" si="178"/>
        <v>1000</v>
      </c>
      <c r="J477" s="1"/>
      <c r="K477" s="1"/>
      <c r="L477" s="1"/>
      <c r="M477" s="55">
        <f t="shared" si="179"/>
        <v>0</v>
      </c>
      <c r="N477" s="1"/>
      <c r="O477" s="1"/>
      <c r="P477" s="1"/>
      <c r="Q477" s="55">
        <f t="shared" si="180"/>
        <v>0</v>
      </c>
      <c r="R477" s="55">
        <f t="shared" si="176"/>
        <v>1000</v>
      </c>
      <c r="T477" s="4" t="s">
        <v>241</v>
      </c>
    </row>
    <row r="478" spans="1:20" ht="15.75" customHeight="1" x14ac:dyDescent="0.3">
      <c r="A478" s="72" t="s">
        <v>1307</v>
      </c>
      <c r="B478" s="1"/>
      <c r="C478" s="1"/>
      <c r="D478" s="1"/>
      <c r="E478" s="55">
        <f t="shared" si="177"/>
        <v>0</v>
      </c>
      <c r="F478" s="1"/>
      <c r="G478" s="1"/>
      <c r="H478" s="1"/>
      <c r="I478" s="55">
        <f t="shared" si="178"/>
        <v>0</v>
      </c>
      <c r="J478" s="1"/>
      <c r="K478" s="1"/>
      <c r="L478" s="1"/>
      <c r="M478" s="55">
        <f t="shared" si="179"/>
        <v>0</v>
      </c>
      <c r="N478" s="1"/>
      <c r="O478" s="1"/>
      <c r="P478" s="1"/>
      <c r="Q478" s="55">
        <f t="shared" si="180"/>
        <v>0</v>
      </c>
      <c r="R478" s="55">
        <f t="shared" si="176"/>
        <v>0</v>
      </c>
      <c r="T478" s="4" t="s">
        <v>919</v>
      </c>
    </row>
    <row r="479" spans="1:20" ht="15.75" customHeight="1" x14ac:dyDescent="0.3">
      <c r="A479" s="72" t="s">
        <v>1308</v>
      </c>
      <c r="B479" s="1"/>
      <c r="C479" s="1"/>
      <c r="D479" s="1"/>
      <c r="E479" s="55">
        <f t="shared" si="177"/>
        <v>0</v>
      </c>
      <c r="F479" s="1"/>
      <c r="G479" s="1"/>
      <c r="H479" s="1">
        <v>1500</v>
      </c>
      <c r="I479" s="55">
        <f t="shared" si="178"/>
        <v>1500</v>
      </c>
      <c r="J479" s="1">
        <v>712</v>
      </c>
      <c r="K479" s="1"/>
      <c r="L479" s="1"/>
      <c r="M479" s="55">
        <f t="shared" si="179"/>
        <v>712</v>
      </c>
      <c r="N479" s="1"/>
      <c r="O479" s="1"/>
      <c r="P479" s="1"/>
      <c r="Q479" s="55">
        <f t="shared" si="180"/>
        <v>0</v>
      </c>
      <c r="R479" s="55">
        <f>+E479+I479+M479+Q479</f>
        <v>2212</v>
      </c>
    </row>
    <row r="480" spans="1:20" ht="15.75" customHeight="1" x14ac:dyDescent="0.3">
      <c r="A480" s="72" t="s">
        <v>1309</v>
      </c>
      <c r="B480" s="1"/>
      <c r="C480" s="1"/>
      <c r="D480" s="1"/>
      <c r="E480" s="55">
        <f t="shared" si="177"/>
        <v>0</v>
      </c>
      <c r="F480" s="1"/>
      <c r="G480" s="1"/>
      <c r="H480" s="1"/>
      <c r="I480" s="55">
        <f t="shared" si="178"/>
        <v>0</v>
      </c>
      <c r="J480" s="1"/>
      <c r="K480" s="1"/>
      <c r="L480" s="1"/>
      <c r="M480" s="55">
        <f t="shared" si="179"/>
        <v>0</v>
      </c>
      <c r="N480" s="1"/>
      <c r="O480" s="1"/>
      <c r="P480" s="1"/>
      <c r="Q480" s="55">
        <f t="shared" si="180"/>
        <v>0</v>
      </c>
      <c r="R480" s="55">
        <f>+E480+I480+M480+Q480</f>
        <v>0</v>
      </c>
      <c r="T480" s="4" t="s">
        <v>241</v>
      </c>
    </row>
    <row r="481" spans="1:21" ht="15.75" customHeight="1" x14ac:dyDescent="0.3">
      <c r="A481" s="72" t="s">
        <v>1310</v>
      </c>
      <c r="B481" s="1"/>
      <c r="C481" s="1">
        <v>1051</v>
      </c>
      <c r="D481" s="1">
        <v>1504</v>
      </c>
      <c r="E481" s="55">
        <f t="shared" si="177"/>
        <v>2555</v>
      </c>
      <c r="F481" s="1">
        <v>1803</v>
      </c>
      <c r="G481" s="1">
        <v>1910</v>
      </c>
      <c r="H481" s="1">
        <v>156</v>
      </c>
      <c r="I481" s="55">
        <f t="shared" si="178"/>
        <v>3869</v>
      </c>
      <c r="J481" s="1"/>
      <c r="K481" s="1"/>
      <c r="L481" s="1"/>
      <c r="M481" s="55">
        <f t="shared" si="179"/>
        <v>0</v>
      </c>
      <c r="N481" s="1"/>
      <c r="O481" s="1"/>
      <c r="P481" s="1"/>
      <c r="Q481" s="55">
        <f t="shared" si="180"/>
        <v>0</v>
      </c>
      <c r="R481" s="55">
        <f t="shared" si="176"/>
        <v>6424</v>
      </c>
      <c r="T481" s="4" t="s">
        <v>919</v>
      </c>
    </row>
    <row r="482" spans="1:21" ht="15.75" customHeight="1" x14ac:dyDescent="0.3">
      <c r="A482" s="72" t="s">
        <v>1311</v>
      </c>
      <c r="B482" s="1"/>
      <c r="C482" s="1"/>
      <c r="D482" s="1"/>
      <c r="E482" s="55">
        <f t="shared" si="177"/>
        <v>0</v>
      </c>
      <c r="F482" s="1"/>
      <c r="G482" s="1"/>
      <c r="H482" s="1"/>
      <c r="I482" s="55">
        <f t="shared" si="178"/>
        <v>0</v>
      </c>
      <c r="J482" s="1"/>
      <c r="K482" s="1"/>
      <c r="L482" s="1"/>
      <c r="M482" s="55">
        <f t="shared" si="179"/>
        <v>0</v>
      </c>
      <c r="N482" s="1"/>
      <c r="O482" s="1"/>
      <c r="P482" s="1"/>
      <c r="Q482" s="55">
        <f t="shared" si="180"/>
        <v>0</v>
      </c>
      <c r="R482" s="55">
        <f t="shared" si="176"/>
        <v>0</v>
      </c>
      <c r="T482" s="4" t="s">
        <v>241</v>
      </c>
    </row>
    <row r="483" spans="1:21" ht="15.75" customHeight="1" x14ac:dyDescent="0.3">
      <c r="A483" s="72" t="s">
        <v>1426</v>
      </c>
      <c r="B483" s="1"/>
      <c r="C483" s="1"/>
      <c r="D483" s="1"/>
      <c r="E483" s="55">
        <f t="shared" ref="E483:E484" si="195">SUM(B483:D483)</f>
        <v>0</v>
      </c>
      <c r="F483" s="1"/>
      <c r="G483" s="1">
        <v>9</v>
      </c>
      <c r="H483" s="1"/>
      <c r="I483" s="55">
        <f t="shared" ref="I483:I485" si="196">SUM(F483:H483)</f>
        <v>9</v>
      </c>
      <c r="J483" s="1"/>
      <c r="K483" s="1"/>
      <c r="L483" s="1"/>
      <c r="M483" s="55">
        <f t="shared" ref="M483:M485" si="197">SUM(J483:L483)</f>
        <v>0</v>
      </c>
      <c r="N483" s="1"/>
      <c r="O483" s="1"/>
      <c r="P483" s="1"/>
      <c r="Q483" s="55">
        <f t="shared" ref="Q483:Q485" si="198">SUM(N483:P483)</f>
        <v>0</v>
      </c>
      <c r="R483" s="55">
        <f t="shared" si="176"/>
        <v>9</v>
      </c>
    </row>
    <row r="484" spans="1:21" ht="15.75" customHeight="1" x14ac:dyDescent="0.3">
      <c r="A484" s="72" t="s">
        <v>1427</v>
      </c>
      <c r="B484" s="1"/>
      <c r="C484" s="1"/>
      <c r="D484" s="1"/>
      <c r="E484" s="55">
        <f t="shared" si="195"/>
        <v>0</v>
      </c>
      <c r="F484" s="1"/>
      <c r="G484" s="1">
        <v>71</v>
      </c>
      <c r="H484" s="1"/>
      <c r="I484" s="55">
        <f t="shared" si="196"/>
        <v>71</v>
      </c>
      <c r="J484" s="1"/>
      <c r="K484" s="1"/>
      <c r="L484" s="1"/>
      <c r="M484" s="55">
        <f t="shared" si="197"/>
        <v>0</v>
      </c>
      <c r="N484" s="1"/>
      <c r="O484" s="1"/>
      <c r="P484" s="1"/>
      <c r="Q484" s="55">
        <f t="shared" si="198"/>
        <v>0</v>
      </c>
      <c r="R484" s="55">
        <f>+E484+I484+M484+Q484</f>
        <v>71</v>
      </c>
    </row>
    <row r="485" spans="1:21" ht="15.75" customHeight="1" x14ac:dyDescent="0.3">
      <c r="A485" s="72" t="s">
        <v>1428</v>
      </c>
      <c r="B485" s="1"/>
      <c r="C485" s="1"/>
      <c r="D485" s="1"/>
      <c r="E485" s="55">
        <f>SUM(B485:D485)</f>
        <v>0</v>
      </c>
      <c r="F485" s="1"/>
      <c r="G485" s="1">
        <v>85</v>
      </c>
      <c r="H485" s="1"/>
      <c r="I485" s="55">
        <f t="shared" si="196"/>
        <v>85</v>
      </c>
      <c r="J485" s="1"/>
      <c r="K485" s="1"/>
      <c r="L485" s="1"/>
      <c r="M485" s="55">
        <f t="shared" si="197"/>
        <v>0</v>
      </c>
      <c r="N485" s="1"/>
      <c r="O485" s="1"/>
      <c r="P485" s="1"/>
      <c r="Q485" s="55">
        <f t="shared" si="198"/>
        <v>0</v>
      </c>
      <c r="R485" s="55">
        <f t="shared" si="176"/>
        <v>85</v>
      </c>
    </row>
    <row r="486" spans="1:21" ht="15.75" customHeight="1" x14ac:dyDescent="0.3">
      <c r="A486" s="72" t="s">
        <v>1286</v>
      </c>
      <c r="B486" s="1"/>
      <c r="C486" s="1"/>
      <c r="D486" s="1"/>
      <c r="E486" s="55">
        <f t="shared" si="177"/>
        <v>0</v>
      </c>
      <c r="F486" s="1"/>
      <c r="G486" s="1">
        <v>2622</v>
      </c>
      <c r="H486" s="1"/>
      <c r="I486" s="55">
        <f t="shared" si="178"/>
        <v>2622</v>
      </c>
      <c r="J486" s="1"/>
      <c r="K486" s="1"/>
      <c r="L486" s="1"/>
      <c r="M486" s="55">
        <f t="shared" si="179"/>
        <v>0</v>
      </c>
      <c r="N486" s="1"/>
      <c r="O486" s="1"/>
      <c r="P486" s="1"/>
      <c r="Q486" s="55">
        <f t="shared" si="180"/>
        <v>0</v>
      </c>
      <c r="R486" s="55">
        <f t="shared" si="176"/>
        <v>2622</v>
      </c>
    </row>
    <row r="487" spans="1:21" ht="15.75" customHeight="1" thickBot="1" x14ac:dyDescent="0.35">
      <c r="A487" s="72" t="s">
        <v>975</v>
      </c>
      <c r="B487" s="1">
        <f>81</f>
        <v>81</v>
      </c>
      <c r="C487" s="1">
        <f>315+189</f>
        <v>504</v>
      </c>
      <c r="D487" s="1">
        <f>595+418</f>
        <v>1013</v>
      </c>
      <c r="E487" s="55">
        <f t="shared" si="177"/>
        <v>1598</v>
      </c>
      <c r="F487" s="1">
        <f>2607+845</f>
        <v>3452</v>
      </c>
      <c r="G487" s="1">
        <f>1227+102+2195</f>
        <v>3524</v>
      </c>
      <c r="H487" s="1">
        <f>601+722+1941</f>
        <v>3264</v>
      </c>
      <c r="I487" s="55">
        <f t="shared" si="178"/>
        <v>10240</v>
      </c>
      <c r="J487" s="1">
        <f>194+612+1356</f>
        <v>2162</v>
      </c>
      <c r="K487" s="1">
        <f>3000</f>
        <v>3000</v>
      </c>
      <c r="L487" s="1">
        <f>635+2257</f>
        <v>2892</v>
      </c>
      <c r="M487" s="55">
        <f t="shared" si="179"/>
        <v>8054</v>
      </c>
      <c r="N487" s="1">
        <f>891+486+229+895</f>
        <v>2501</v>
      </c>
      <c r="O487" s="1">
        <f>128+1002</f>
        <v>1130</v>
      </c>
      <c r="P487" s="1">
        <f>192+536+749</f>
        <v>1477</v>
      </c>
      <c r="Q487" s="55">
        <f t="shared" si="180"/>
        <v>5108</v>
      </c>
      <c r="R487" s="55">
        <f t="shared" si="176"/>
        <v>25000</v>
      </c>
    </row>
    <row r="488" spans="1:21" ht="16.5" customHeight="1" thickBot="1" x14ac:dyDescent="0.35">
      <c r="A488" s="114" t="s">
        <v>63</v>
      </c>
      <c r="B488" s="90">
        <f>SUM(B415:B487)</f>
        <v>10990</v>
      </c>
      <c r="C488" s="58">
        <f>SUM(C415:C487)</f>
        <v>14094</v>
      </c>
      <c r="D488" s="58">
        <f>SUM(D415:D487)</f>
        <v>21256</v>
      </c>
      <c r="E488" s="59">
        <f t="shared" ref="E488" si="199">SUM(B488:D488)</f>
        <v>46340</v>
      </c>
      <c r="F488" s="58">
        <f>SUM(F415:F487)</f>
        <v>32067</v>
      </c>
      <c r="G488" s="58">
        <f>SUM(G415:G487)</f>
        <v>48847</v>
      </c>
      <c r="H488" s="58">
        <f>SUM(H415:H487)</f>
        <v>45512</v>
      </c>
      <c r="I488" s="59">
        <f t="shared" ref="I488" si="200">SUM(F488:H488)</f>
        <v>126426</v>
      </c>
      <c r="J488" s="58">
        <f>SUM(J415:J487)</f>
        <v>35590</v>
      </c>
      <c r="K488" s="58">
        <f>SUM(K415:K487)</f>
        <v>37521</v>
      </c>
      <c r="L488" s="58">
        <f>SUM(L415:L487)</f>
        <v>28320</v>
      </c>
      <c r="M488" s="59">
        <f t="shared" ref="M488" si="201">SUM(J488:L488)</f>
        <v>101431</v>
      </c>
      <c r="N488" s="58">
        <f>SUM(N415:N487)</f>
        <v>18138</v>
      </c>
      <c r="O488" s="58">
        <f>SUM(O415:O487)</f>
        <v>7664</v>
      </c>
      <c r="P488" s="58">
        <f>SUM(P415:P487)</f>
        <v>7252</v>
      </c>
      <c r="Q488" s="59">
        <f t="shared" si="180"/>
        <v>33054</v>
      </c>
      <c r="R488" s="59">
        <f>+E488+I488+M488+Q488</f>
        <v>307251</v>
      </c>
      <c r="T488" s="89"/>
    </row>
    <row r="489" spans="1:21" ht="15.75" customHeight="1" x14ac:dyDescent="0.3">
      <c r="A489" s="15" t="s">
        <v>64</v>
      </c>
      <c r="B489" s="1"/>
      <c r="C489" s="1"/>
      <c r="D489" s="1"/>
      <c r="E489" s="55" t="s">
        <v>7</v>
      </c>
      <c r="F489" s="1"/>
      <c r="G489" s="1"/>
      <c r="H489" s="1"/>
      <c r="I489" s="55" t="s">
        <v>7</v>
      </c>
      <c r="J489" s="1"/>
      <c r="K489" s="1"/>
      <c r="L489" s="1"/>
      <c r="M489" s="55" t="s">
        <v>7</v>
      </c>
      <c r="N489" s="1"/>
      <c r="O489" s="1"/>
      <c r="P489" s="1"/>
      <c r="Q489" s="55" t="s">
        <v>7</v>
      </c>
      <c r="R489" s="55" t="s">
        <v>7</v>
      </c>
    </row>
    <row r="490" spans="1:21" ht="15.75" customHeight="1" x14ac:dyDescent="0.3">
      <c r="A490" s="15" t="s">
        <v>594</v>
      </c>
      <c r="B490" s="1"/>
      <c r="C490" s="1"/>
      <c r="D490" s="1"/>
      <c r="E490" s="55" t="s">
        <v>7</v>
      </c>
      <c r="F490" s="1"/>
      <c r="G490" s="1"/>
      <c r="H490" s="1"/>
      <c r="I490" s="55" t="s">
        <v>7</v>
      </c>
      <c r="J490" s="1"/>
      <c r="K490" s="1"/>
      <c r="L490" s="1"/>
      <c r="M490" s="55" t="s">
        <v>7</v>
      </c>
      <c r="N490" s="1"/>
      <c r="O490" s="1"/>
      <c r="P490" s="1"/>
      <c r="Q490" s="55" t="s">
        <v>7</v>
      </c>
      <c r="R490" s="55" t="s">
        <v>7</v>
      </c>
    </row>
    <row r="491" spans="1:21" ht="15.75" customHeight="1" x14ac:dyDescent="0.3">
      <c r="A491" s="72" t="s">
        <v>1315</v>
      </c>
      <c r="B491" s="1"/>
      <c r="C491" s="1"/>
      <c r="D491" s="1"/>
      <c r="E491" s="55">
        <f>SUM(B491:D491)</f>
        <v>0</v>
      </c>
      <c r="F491" s="1"/>
      <c r="G491" s="1"/>
      <c r="H491" s="1"/>
      <c r="I491" s="55">
        <f>SUM(F491:H491)</f>
        <v>0</v>
      </c>
      <c r="J491" s="1"/>
      <c r="K491" s="1"/>
      <c r="L491" s="1"/>
      <c r="M491" s="55">
        <f>SUM(J491:L491)</f>
        <v>0</v>
      </c>
      <c r="N491" s="1"/>
      <c r="O491" s="1"/>
      <c r="P491" s="1"/>
      <c r="Q491" s="55">
        <f>SUM(N491:P491)</f>
        <v>0</v>
      </c>
      <c r="R491" s="55">
        <f>+E491+I491+M491+Q491</f>
        <v>0</v>
      </c>
      <c r="U491" s="355"/>
    </row>
    <row r="492" spans="1:21" ht="15.75" customHeight="1" x14ac:dyDescent="0.3">
      <c r="A492" s="15" t="s">
        <v>67</v>
      </c>
      <c r="B492" s="1"/>
      <c r="C492" s="1"/>
      <c r="D492" s="1"/>
      <c r="E492" s="55" t="s">
        <v>7</v>
      </c>
      <c r="F492" s="1"/>
      <c r="G492" s="1"/>
      <c r="H492" s="1"/>
      <c r="I492" s="55" t="s">
        <v>7</v>
      </c>
      <c r="J492" s="1"/>
      <c r="K492" s="1"/>
      <c r="L492" s="1"/>
      <c r="M492" s="55" t="s">
        <v>7</v>
      </c>
      <c r="N492" s="1"/>
      <c r="O492" s="1"/>
      <c r="P492" s="1"/>
      <c r="Q492" s="55" t="s">
        <v>7</v>
      </c>
      <c r="R492" s="55" t="s">
        <v>7</v>
      </c>
    </row>
    <row r="493" spans="1:21" ht="15.75" customHeight="1" x14ac:dyDescent="0.3">
      <c r="A493" s="72" t="s">
        <v>744</v>
      </c>
      <c r="B493" s="1"/>
      <c r="C493" s="1"/>
      <c r="D493" s="1"/>
      <c r="E493" s="55">
        <f>SUM(B493:D493)</f>
        <v>0</v>
      </c>
      <c r="F493" s="1"/>
      <c r="G493" s="1"/>
      <c r="H493" s="1"/>
      <c r="I493" s="55">
        <f>SUM(F493:H493)</f>
        <v>0</v>
      </c>
      <c r="J493" s="1"/>
      <c r="K493" s="1"/>
      <c r="L493" s="1"/>
      <c r="M493" s="55">
        <f>SUM(J493:L493)</f>
        <v>0</v>
      </c>
      <c r="N493" s="1"/>
      <c r="O493" s="1"/>
      <c r="P493" s="1"/>
      <c r="Q493" s="55">
        <f>SUM(N493:P493)</f>
        <v>0</v>
      </c>
      <c r="R493" s="55">
        <f>+E493+I493+M493+Q493</f>
        <v>0</v>
      </c>
    </row>
    <row r="494" spans="1:21" ht="15.75" customHeight="1" x14ac:dyDescent="0.3">
      <c r="A494" s="72" t="s">
        <v>745</v>
      </c>
      <c r="B494" s="1"/>
      <c r="C494" s="1"/>
      <c r="D494" s="1"/>
      <c r="E494" s="55">
        <f>SUM(B494:D494)</f>
        <v>0</v>
      </c>
      <c r="F494" s="1"/>
      <c r="G494" s="1"/>
      <c r="H494" s="1"/>
      <c r="I494" s="55">
        <f>SUM(F494:H494)</f>
        <v>0</v>
      </c>
      <c r="J494" s="1"/>
      <c r="K494" s="1"/>
      <c r="L494" s="1"/>
      <c r="M494" s="55">
        <f>SUM(J494:L494)</f>
        <v>0</v>
      </c>
      <c r="N494" s="1"/>
      <c r="O494" s="1"/>
      <c r="P494" s="1"/>
      <c r="Q494" s="55">
        <f>SUM(N494:P494)</f>
        <v>0</v>
      </c>
      <c r="R494" s="55">
        <f>+E494+I494+M494+Q494</f>
        <v>0</v>
      </c>
    </row>
    <row r="495" spans="1:21" ht="15.75" customHeight="1" x14ac:dyDescent="0.3">
      <c r="A495" s="15" t="s">
        <v>600</v>
      </c>
      <c r="B495" s="1"/>
      <c r="C495" s="1"/>
      <c r="D495" s="1"/>
      <c r="E495" s="55" t="s">
        <v>7</v>
      </c>
      <c r="F495" s="1"/>
      <c r="G495" s="1"/>
      <c r="H495" s="1"/>
      <c r="I495" s="55" t="s">
        <v>7</v>
      </c>
      <c r="J495" s="1"/>
      <c r="K495" s="1"/>
      <c r="L495" s="1"/>
      <c r="M495" s="55" t="s">
        <v>7</v>
      </c>
      <c r="N495" s="1"/>
      <c r="O495" s="1"/>
      <c r="P495" s="1"/>
      <c r="Q495" s="55" t="s">
        <v>7</v>
      </c>
      <c r="R495" s="55" t="s">
        <v>7</v>
      </c>
    </row>
    <row r="496" spans="1:21" ht="15.75" customHeight="1" x14ac:dyDescent="0.3">
      <c r="A496" s="72" t="s">
        <v>270</v>
      </c>
      <c r="B496" s="1"/>
      <c r="C496" s="1"/>
      <c r="D496" s="1"/>
      <c r="E496" s="55">
        <f t="shared" ref="E496:E501" si="202">SUM(B496:D496)</f>
        <v>0</v>
      </c>
      <c r="F496" s="1"/>
      <c r="G496" s="1"/>
      <c r="H496" s="1"/>
      <c r="I496" s="55">
        <f t="shared" ref="I496:I501" si="203">SUM(F496:H496)</f>
        <v>0</v>
      </c>
      <c r="J496" s="1"/>
      <c r="K496" s="1"/>
      <c r="L496" s="1"/>
      <c r="M496" s="55">
        <f t="shared" ref="M496:M501" si="204">SUM(J496:L496)</f>
        <v>0</v>
      </c>
      <c r="N496" s="1"/>
      <c r="O496" s="1"/>
      <c r="P496" s="1"/>
      <c r="Q496" s="55">
        <f t="shared" ref="Q496:Q501" si="205">SUM(N496:P496)</f>
        <v>0</v>
      </c>
      <c r="R496" s="55">
        <f t="shared" ref="R496:R501" si="206">+E496+I496+M496+Q496</f>
        <v>0</v>
      </c>
      <c r="T496" s="4" t="s">
        <v>224</v>
      </c>
    </row>
    <row r="497" spans="1:21" ht="15.75" customHeight="1" x14ac:dyDescent="0.3">
      <c r="A497" s="72" t="s">
        <v>646</v>
      </c>
      <c r="B497" s="1"/>
      <c r="C497" s="1"/>
      <c r="D497" s="1"/>
      <c r="E497" s="55">
        <f t="shared" ref="E497" si="207">SUM(B497:D497)</f>
        <v>0</v>
      </c>
      <c r="F497" s="1"/>
      <c r="G497" s="1"/>
      <c r="H497" s="1"/>
      <c r="I497" s="55">
        <f t="shared" si="203"/>
        <v>0</v>
      </c>
      <c r="J497" s="1"/>
      <c r="K497" s="1"/>
      <c r="L497" s="1"/>
      <c r="M497" s="55">
        <f t="shared" si="204"/>
        <v>0</v>
      </c>
      <c r="N497" s="1"/>
      <c r="O497" s="1"/>
      <c r="P497" s="1"/>
      <c r="Q497" s="55">
        <f t="shared" si="205"/>
        <v>0</v>
      </c>
      <c r="R497" s="55">
        <f t="shared" si="206"/>
        <v>0</v>
      </c>
      <c r="T497" s="4" t="s">
        <v>224</v>
      </c>
    </row>
    <row r="498" spans="1:21" ht="15.75" customHeight="1" x14ac:dyDescent="0.3">
      <c r="A498" s="72" t="s">
        <v>1316</v>
      </c>
      <c r="B498" s="1"/>
      <c r="C498" s="1"/>
      <c r="D498" s="1"/>
      <c r="E498" s="55">
        <f t="shared" si="202"/>
        <v>0</v>
      </c>
      <c r="F498" s="1"/>
      <c r="G498" s="1"/>
      <c r="H498" s="1"/>
      <c r="I498" s="55">
        <f t="shared" si="203"/>
        <v>0</v>
      </c>
      <c r="J498" s="1"/>
      <c r="K498" s="1"/>
      <c r="L498" s="1"/>
      <c r="M498" s="55">
        <f t="shared" si="204"/>
        <v>0</v>
      </c>
      <c r="N498" s="1"/>
      <c r="O498" s="1"/>
      <c r="P498" s="1"/>
      <c r="Q498" s="55">
        <f t="shared" si="205"/>
        <v>0</v>
      </c>
      <c r="R498" s="55">
        <f t="shared" si="206"/>
        <v>0</v>
      </c>
      <c r="T498" s="4" t="s">
        <v>214</v>
      </c>
    </row>
    <row r="499" spans="1:21" ht="15.75" customHeight="1" x14ac:dyDescent="0.3">
      <c r="A499" s="72" t="s">
        <v>1317</v>
      </c>
      <c r="B499" s="1"/>
      <c r="C499" s="1"/>
      <c r="D499" s="1"/>
      <c r="E499" s="55">
        <f t="shared" si="202"/>
        <v>0</v>
      </c>
      <c r="F499" s="1"/>
      <c r="G499" s="1"/>
      <c r="H499" s="1"/>
      <c r="I499" s="55">
        <f t="shared" si="203"/>
        <v>0</v>
      </c>
      <c r="J499" s="1"/>
      <c r="K499" s="1"/>
      <c r="L499" s="1"/>
      <c r="M499" s="55">
        <f t="shared" si="204"/>
        <v>0</v>
      </c>
      <c r="N499" s="1"/>
      <c r="O499" s="1"/>
      <c r="P499" s="1"/>
      <c r="Q499" s="55">
        <f t="shared" si="205"/>
        <v>0</v>
      </c>
      <c r="R499" s="55">
        <f t="shared" si="206"/>
        <v>0</v>
      </c>
    </row>
    <row r="500" spans="1:21" ht="15.75" customHeight="1" x14ac:dyDescent="0.3">
      <c r="A500" s="72" t="s">
        <v>652</v>
      </c>
      <c r="B500" s="1"/>
      <c r="C500" s="1"/>
      <c r="D500" s="1"/>
      <c r="E500" s="55">
        <f t="shared" si="202"/>
        <v>0</v>
      </c>
      <c r="F500" s="1"/>
      <c r="G500" s="1"/>
      <c r="H500" s="1"/>
      <c r="I500" s="55">
        <f t="shared" si="203"/>
        <v>0</v>
      </c>
      <c r="J500" s="1"/>
      <c r="K500" s="1"/>
      <c r="L500" s="1"/>
      <c r="M500" s="55">
        <f t="shared" si="204"/>
        <v>0</v>
      </c>
      <c r="N500" s="1"/>
      <c r="O500" s="1"/>
      <c r="P500" s="1"/>
      <c r="Q500" s="55">
        <f t="shared" si="205"/>
        <v>0</v>
      </c>
      <c r="R500" s="55">
        <f t="shared" si="206"/>
        <v>0</v>
      </c>
    </row>
    <row r="501" spans="1:21" ht="15.75" customHeight="1" x14ac:dyDescent="0.3">
      <c r="A501" s="72" t="s">
        <v>746</v>
      </c>
      <c r="B501" s="1"/>
      <c r="C501" s="1"/>
      <c r="D501" s="1"/>
      <c r="E501" s="55">
        <f t="shared" si="202"/>
        <v>0</v>
      </c>
      <c r="F501" s="1"/>
      <c r="G501" s="1"/>
      <c r="H501" s="1"/>
      <c r="I501" s="55">
        <f t="shared" si="203"/>
        <v>0</v>
      </c>
      <c r="J501" s="1"/>
      <c r="K501" s="1"/>
      <c r="L501" s="1"/>
      <c r="M501" s="55">
        <f t="shared" si="204"/>
        <v>0</v>
      </c>
      <c r="N501" s="1"/>
      <c r="O501" s="1"/>
      <c r="P501" s="1"/>
      <c r="Q501" s="55">
        <f t="shared" si="205"/>
        <v>0</v>
      </c>
      <c r="R501" s="55">
        <f t="shared" si="206"/>
        <v>0</v>
      </c>
      <c r="T501" s="4" t="s">
        <v>224</v>
      </c>
    </row>
    <row r="502" spans="1:21" ht="15.75" customHeight="1" x14ac:dyDescent="0.3">
      <c r="A502" s="15" t="s">
        <v>70</v>
      </c>
      <c r="B502" s="1"/>
      <c r="C502" s="1"/>
      <c r="D502" s="1"/>
      <c r="E502" s="55" t="s">
        <v>7</v>
      </c>
      <c r="F502" s="1"/>
      <c r="G502" s="1"/>
      <c r="H502" s="1"/>
      <c r="I502" s="55" t="s">
        <v>7</v>
      </c>
      <c r="J502" s="1"/>
      <c r="K502" s="1"/>
      <c r="L502" s="1"/>
      <c r="M502" s="55" t="s">
        <v>7</v>
      </c>
      <c r="N502" s="1"/>
      <c r="O502" s="1"/>
      <c r="P502" s="1"/>
      <c r="Q502" s="55" t="s">
        <v>7</v>
      </c>
      <c r="R502" s="55" t="s">
        <v>7</v>
      </c>
    </row>
    <row r="503" spans="1:21" ht="15.75" customHeight="1" x14ac:dyDescent="0.3">
      <c r="A503" s="72" t="s">
        <v>977</v>
      </c>
      <c r="B503" s="1"/>
      <c r="C503" s="1"/>
      <c r="D503" s="1"/>
      <c r="E503" s="55">
        <f>SUM(B503:D503)</f>
        <v>0</v>
      </c>
      <c r="F503" s="1"/>
      <c r="G503" s="1"/>
      <c r="H503" s="1"/>
      <c r="I503" s="55">
        <f>SUM(F503:H503)</f>
        <v>0</v>
      </c>
      <c r="J503" s="1"/>
      <c r="K503" s="1"/>
      <c r="L503" s="1"/>
      <c r="M503" s="55">
        <f>SUM(J503:L503)</f>
        <v>0</v>
      </c>
      <c r="N503" s="1"/>
      <c r="O503" s="1"/>
      <c r="P503" s="1"/>
      <c r="Q503" s="55">
        <f>SUM(N503:P503)</f>
        <v>0</v>
      </c>
      <c r="R503" s="55">
        <f>+E503+I503+M503+Q503</f>
        <v>0</v>
      </c>
      <c r="T503" s="4" t="s">
        <v>209</v>
      </c>
    </row>
    <row r="504" spans="1:21" ht="15.75" customHeight="1" x14ac:dyDescent="0.3">
      <c r="A504" s="72" t="s">
        <v>978</v>
      </c>
      <c r="B504" s="1"/>
      <c r="C504" s="1"/>
      <c r="D504" s="1"/>
      <c r="E504" s="55">
        <f>SUM(B504:D504)</f>
        <v>0</v>
      </c>
      <c r="F504" s="1"/>
      <c r="G504" s="1"/>
      <c r="H504" s="1"/>
      <c r="I504" s="55">
        <f>SUM(F504:H504)</f>
        <v>0</v>
      </c>
      <c r="J504" s="1"/>
      <c r="K504" s="1"/>
      <c r="L504" s="1"/>
      <c r="M504" s="55">
        <f>SUM(J504:L504)</f>
        <v>0</v>
      </c>
      <c r="N504" s="1"/>
      <c r="O504" s="1"/>
      <c r="P504" s="1"/>
      <c r="Q504" s="55">
        <f>SUM(N504:P504)</f>
        <v>0</v>
      </c>
      <c r="R504" s="55">
        <f>+E504+I504+M504+Q504</f>
        <v>0</v>
      </c>
      <c r="T504" s="4" t="s">
        <v>209</v>
      </c>
    </row>
    <row r="505" spans="1:21" ht="15.75" customHeight="1" x14ac:dyDescent="0.3">
      <c r="A505" s="72" t="s">
        <v>1318</v>
      </c>
      <c r="B505" s="1"/>
      <c r="C505" s="1"/>
      <c r="D505" s="1"/>
      <c r="E505" s="55">
        <f>SUM(B505:D505)</f>
        <v>0</v>
      </c>
      <c r="F505" s="1"/>
      <c r="G505" s="1"/>
      <c r="H505" s="1"/>
      <c r="I505" s="55">
        <f>SUM(F505:H505)</f>
        <v>0</v>
      </c>
      <c r="J505" s="1"/>
      <c r="K505" s="1"/>
      <c r="L505" s="1"/>
      <c r="M505" s="55">
        <f>SUM(J505:L505)</f>
        <v>0</v>
      </c>
      <c r="N505" s="1"/>
      <c r="O505" s="1"/>
      <c r="P505" s="1"/>
      <c r="Q505" s="55">
        <f>SUM(N505:P505)</f>
        <v>0</v>
      </c>
      <c r="R505" s="55">
        <f>+E505+I505+M505+Q505</f>
        <v>0</v>
      </c>
    </row>
    <row r="506" spans="1:21" ht="15.75" customHeight="1" x14ac:dyDescent="0.3">
      <c r="A506" s="72" t="s">
        <v>750</v>
      </c>
      <c r="B506" s="1"/>
      <c r="C506" s="1"/>
      <c r="D506" s="1"/>
      <c r="E506" s="55">
        <f>SUM(B506:D506)</f>
        <v>0</v>
      </c>
      <c r="F506" s="1"/>
      <c r="G506" s="1"/>
      <c r="H506" s="1"/>
      <c r="I506" s="55">
        <f>SUM(F506:H506)</f>
        <v>0</v>
      </c>
      <c r="J506" s="1"/>
      <c r="K506" s="1"/>
      <c r="L506" s="1"/>
      <c r="M506" s="55">
        <f>SUM(J506:L506)</f>
        <v>0</v>
      </c>
      <c r="N506" s="1"/>
      <c r="O506" s="1"/>
      <c r="P506" s="1">
        <v>953</v>
      </c>
      <c r="Q506" s="55">
        <f>SUM(N506:P506)</f>
        <v>953</v>
      </c>
      <c r="R506" s="55">
        <f>+E506+I506+M506+Q506</f>
        <v>953</v>
      </c>
    </row>
    <row r="507" spans="1:21" ht="15.75" customHeight="1" x14ac:dyDescent="0.3">
      <c r="A507" s="72" t="s">
        <v>751</v>
      </c>
      <c r="B507" s="1"/>
      <c r="C507" s="1"/>
      <c r="D507" s="1"/>
      <c r="E507" s="55">
        <f t="shared" ref="E507" si="208">SUM(B507:D507)</f>
        <v>0</v>
      </c>
      <c r="F507" s="1"/>
      <c r="G507" s="1"/>
      <c r="H507" s="1"/>
      <c r="I507" s="55">
        <f t="shared" ref="I507" si="209">SUM(F507:H507)</f>
        <v>0</v>
      </c>
      <c r="J507" s="1">
        <f>1272+179</f>
        <v>1451</v>
      </c>
      <c r="K507" s="1">
        <v>332</v>
      </c>
      <c r="L507" s="1"/>
      <c r="M507" s="55">
        <f t="shared" ref="M507" si="210">SUM(J507:L507)</f>
        <v>1783</v>
      </c>
      <c r="N507" s="1"/>
      <c r="O507" s="1"/>
      <c r="P507" s="1">
        <v>1217</v>
      </c>
      <c r="Q507" s="55">
        <f t="shared" ref="Q507:Q518" si="211">SUM(N507:P507)</f>
        <v>1217</v>
      </c>
      <c r="R507" s="55">
        <f t="shared" ref="R507:R518" si="212">+E507+I507+M507+Q507</f>
        <v>3000</v>
      </c>
    </row>
    <row r="508" spans="1:21" ht="15.75" customHeight="1" x14ac:dyDescent="0.3">
      <c r="A508" s="72" t="s">
        <v>752</v>
      </c>
      <c r="B508" s="1"/>
      <c r="C508" s="1"/>
      <c r="D508" s="1"/>
      <c r="E508" s="55">
        <f>SUM(B508:D508)</f>
        <v>0</v>
      </c>
      <c r="F508" s="1"/>
      <c r="G508" s="1"/>
      <c r="H508" s="1"/>
      <c r="I508" s="55">
        <f>SUM(F508:H508)</f>
        <v>0</v>
      </c>
      <c r="J508" s="1"/>
      <c r="K508" s="1"/>
      <c r="L508" s="1"/>
      <c r="M508" s="55">
        <f>SUM(J508:L508)</f>
        <v>0</v>
      </c>
      <c r="N508" s="1"/>
      <c r="O508" s="1"/>
      <c r="P508" s="1"/>
      <c r="Q508" s="55">
        <f>SUM(N508:P508)</f>
        <v>0</v>
      </c>
      <c r="R508" s="55">
        <f>+E508+I508+M508+Q508</f>
        <v>0</v>
      </c>
    </row>
    <row r="509" spans="1:21" ht="15.75" customHeight="1" x14ac:dyDescent="0.3">
      <c r="A509" s="72" t="s">
        <v>753</v>
      </c>
      <c r="B509" s="1"/>
      <c r="C509" s="1"/>
      <c r="D509" s="1"/>
      <c r="E509" s="55">
        <f>SUM(B509:D509)</f>
        <v>0</v>
      </c>
      <c r="F509" s="1"/>
      <c r="G509" s="1"/>
      <c r="H509" s="1"/>
      <c r="I509" s="55">
        <f>SUM(F509:H509)</f>
        <v>0</v>
      </c>
      <c r="J509" s="1"/>
      <c r="K509" s="1">
        <v>1500</v>
      </c>
      <c r="L509" s="1">
        <v>1500</v>
      </c>
      <c r="M509" s="55">
        <f>SUM(J509:L509)</f>
        <v>3000</v>
      </c>
      <c r="N509" s="1">
        <v>1500</v>
      </c>
      <c r="O509" s="1"/>
      <c r="P509" s="1"/>
      <c r="Q509" s="55">
        <f>SUM(N509:P509)</f>
        <v>1500</v>
      </c>
      <c r="R509" s="55">
        <f>+E509+I509+M509+Q509</f>
        <v>4500</v>
      </c>
      <c r="T509" s="4" t="s">
        <v>209</v>
      </c>
      <c r="U509" s="355"/>
    </row>
    <row r="510" spans="1:21" ht="15.75" customHeight="1" x14ac:dyDescent="0.3">
      <c r="A510" s="72" t="s">
        <v>754</v>
      </c>
      <c r="B510" s="1"/>
      <c r="C510" s="1"/>
      <c r="D510" s="1"/>
      <c r="E510" s="55">
        <f>SUM(B510:D510)</f>
        <v>0</v>
      </c>
      <c r="F510" s="1"/>
      <c r="G510" s="1"/>
      <c r="H510" s="1"/>
      <c r="I510" s="55">
        <f>SUM(F510:H510)</f>
        <v>0</v>
      </c>
      <c r="J510" s="1"/>
      <c r="K510" s="1"/>
      <c r="L510" s="1"/>
      <c r="M510" s="55">
        <f>SUM(J510:L510)</f>
        <v>0</v>
      </c>
      <c r="N510" s="1"/>
      <c r="O510" s="1"/>
      <c r="P510" s="1"/>
      <c r="Q510" s="55">
        <f>SUM(N510:P510)</f>
        <v>0</v>
      </c>
      <c r="R510" s="55">
        <f>+E510+I510+M510+Q510</f>
        <v>0</v>
      </c>
    </row>
    <row r="511" spans="1:21" ht="15.75" customHeight="1" x14ac:dyDescent="0.3">
      <c r="A511" s="72" t="s">
        <v>1319</v>
      </c>
      <c r="B511" s="1"/>
      <c r="C511" s="1"/>
      <c r="D511" s="1"/>
      <c r="E511" s="55">
        <f>SUM(B511:D511)</f>
        <v>0</v>
      </c>
      <c r="F511" s="1"/>
      <c r="G511" s="1"/>
      <c r="H511" s="1"/>
      <c r="I511" s="55">
        <f>SUM(F511:H511)</f>
        <v>0</v>
      </c>
      <c r="J511" s="1"/>
      <c r="K511" s="1"/>
      <c r="L511" s="1"/>
      <c r="M511" s="55">
        <f>SUM(J511:L511)</f>
        <v>0</v>
      </c>
      <c r="N511" s="1"/>
      <c r="O511" s="1"/>
      <c r="P511" s="1"/>
      <c r="Q511" s="55">
        <f>SUM(N511:P511)</f>
        <v>0</v>
      </c>
      <c r="R511" s="55">
        <f>+E511+I511+M511+Q511</f>
        <v>0</v>
      </c>
      <c r="T511" s="4" t="s">
        <v>214</v>
      </c>
    </row>
    <row r="512" spans="1:21" ht="15.75" customHeight="1" thickBot="1" x14ac:dyDescent="0.35">
      <c r="A512" s="72" t="s">
        <v>755</v>
      </c>
      <c r="B512" s="1"/>
      <c r="C512" s="1"/>
      <c r="D512" s="1"/>
      <c r="E512" s="55">
        <f>SUM(B512:D512)</f>
        <v>0</v>
      </c>
      <c r="F512" s="1"/>
      <c r="G512" s="1"/>
      <c r="H512" s="1"/>
      <c r="I512" s="55">
        <f>SUM(F512:H512)</f>
        <v>0</v>
      </c>
      <c r="J512" s="1"/>
      <c r="K512" s="1"/>
      <c r="L512" s="1"/>
      <c r="M512" s="55">
        <f>SUM(J512:L512)</f>
        <v>0</v>
      </c>
      <c r="N512" s="1"/>
      <c r="O512" s="1"/>
      <c r="P512" s="1">
        <v>35</v>
      </c>
      <c r="Q512" s="55">
        <f>SUM(N512:P512)</f>
        <v>35</v>
      </c>
      <c r="R512" s="55">
        <f>+E512+I512+M512+Q512</f>
        <v>35</v>
      </c>
      <c r="T512" s="4" t="s">
        <v>214</v>
      </c>
    </row>
    <row r="513" spans="1:18" ht="16.5" customHeight="1" thickBot="1" x14ac:dyDescent="0.35">
      <c r="A513" s="57" t="s">
        <v>71</v>
      </c>
      <c r="B513" s="58">
        <f>SUM(B495:B512)</f>
        <v>0</v>
      </c>
      <c r="C513" s="58">
        <f>SUM(C495:C512)</f>
        <v>0</v>
      </c>
      <c r="D513" s="58">
        <f>SUM(D495:D512)</f>
        <v>0</v>
      </c>
      <c r="E513" s="60">
        <f t="shared" ref="E513:E518" si="213">SUM(B513:D513)</f>
        <v>0</v>
      </c>
      <c r="F513" s="58">
        <f>SUM(F495:F512)</f>
        <v>0</v>
      </c>
      <c r="G513" s="58">
        <f>SUM(G495:G512)</f>
        <v>0</v>
      </c>
      <c r="H513" s="58">
        <f>SUM(H495:H512)</f>
        <v>0</v>
      </c>
      <c r="I513" s="60">
        <f t="shared" ref="I513:I518" si="214">SUM(F513:H513)</f>
        <v>0</v>
      </c>
      <c r="J513" s="58">
        <f>SUM(J495:J512)</f>
        <v>1451</v>
      </c>
      <c r="K513" s="58">
        <f>SUM(K495:K512)</f>
        <v>1832</v>
      </c>
      <c r="L513" s="58">
        <f>SUM(L495:L512)</f>
        <v>1500</v>
      </c>
      <c r="M513" s="60">
        <f t="shared" ref="M513:M518" si="215">SUM(J513:L513)</f>
        <v>4783</v>
      </c>
      <c r="N513" s="58">
        <f>SUM(N495:N512)</f>
        <v>1500</v>
      </c>
      <c r="O513" s="58">
        <f>SUM(O495:O512)</f>
        <v>0</v>
      </c>
      <c r="P513" s="58">
        <f>SUM(P495:P512)</f>
        <v>2205</v>
      </c>
      <c r="Q513" s="60">
        <f t="shared" si="211"/>
        <v>3705</v>
      </c>
      <c r="R513" s="59">
        <f t="shared" si="212"/>
        <v>8488</v>
      </c>
    </row>
    <row r="514" spans="1:18" ht="16.5" customHeight="1" thickBot="1" x14ac:dyDescent="0.35">
      <c r="A514" s="114" t="s">
        <v>72</v>
      </c>
      <c r="B514" s="86">
        <f>SUM(B489:B512)</f>
        <v>0</v>
      </c>
      <c r="C514" s="87">
        <f>SUM(C489:C512)</f>
        <v>0</v>
      </c>
      <c r="D514" s="118">
        <f>SUM(D489:D512)</f>
        <v>0</v>
      </c>
      <c r="E514" s="60">
        <f t="shared" si="213"/>
        <v>0</v>
      </c>
      <c r="F514" s="87">
        <f>SUM(F489:F512)</f>
        <v>0</v>
      </c>
      <c r="G514" s="87">
        <f>SUM(G489:G512)</f>
        <v>0</v>
      </c>
      <c r="H514" s="87">
        <f>SUM(H489:H512)</f>
        <v>0</v>
      </c>
      <c r="I514" s="60">
        <f t="shared" si="214"/>
        <v>0</v>
      </c>
      <c r="J514" s="87">
        <f>SUM(J489:J512)</f>
        <v>1451</v>
      </c>
      <c r="K514" s="87">
        <f>SUM(K489:K512)</f>
        <v>1832</v>
      </c>
      <c r="L514" s="87">
        <f>SUM(L489:L512)</f>
        <v>1500</v>
      </c>
      <c r="M514" s="60">
        <f t="shared" si="215"/>
        <v>4783</v>
      </c>
      <c r="N514" s="87">
        <f>SUM(N489:N512)</f>
        <v>1500</v>
      </c>
      <c r="O514" s="87">
        <f>SUM(O489:O512)</f>
        <v>0</v>
      </c>
      <c r="P514" s="87">
        <f>SUM(P489:P512)</f>
        <v>2205</v>
      </c>
      <c r="Q514" s="60">
        <f t="shared" si="211"/>
        <v>3705</v>
      </c>
      <c r="R514" s="59">
        <f t="shared" si="212"/>
        <v>8488</v>
      </c>
    </row>
    <row r="515" spans="1:18" ht="16.5" customHeight="1" thickBot="1" x14ac:dyDescent="0.35">
      <c r="A515" s="57" t="s">
        <v>73</v>
      </c>
      <c r="B515" s="90">
        <f>+B400+B414+B488+B514</f>
        <v>15112</v>
      </c>
      <c r="C515" s="58">
        <f>+C400+C414+C488+C514</f>
        <v>24202</v>
      </c>
      <c r="D515" s="58">
        <f>+D400+D414+D488+D514</f>
        <v>34044</v>
      </c>
      <c r="E515" s="59">
        <f t="shared" si="213"/>
        <v>73358</v>
      </c>
      <c r="F515" s="58">
        <f>+F400+F414+F488+F514</f>
        <v>56127</v>
      </c>
      <c r="G515" s="58">
        <f>+G400+G414+G488+G514</f>
        <v>82132</v>
      </c>
      <c r="H515" s="58">
        <f>+H400+H414+H488+H514</f>
        <v>90993</v>
      </c>
      <c r="I515" s="59">
        <f t="shared" si="214"/>
        <v>229252</v>
      </c>
      <c r="J515" s="58">
        <f>+J400+J414+J488+J514</f>
        <v>76785</v>
      </c>
      <c r="K515" s="58">
        <f>+K400+K414+K488+K514</f>
        <v>65017</v>
      </c>
      <c r="L515" s="58">
        <f>+L400+L414+L488+L514</f>
        <v>39204</v>
      </c>
      <c r="M515" s="59">
        <f t="shared" si="215"/>
        <v>181006</v>
      </c>
      <c r="N515" s="58">
        <f>+N400+N414+N488+N514</f>
        <v>32562</v>
      </c>
      <c r="O515" s="58">
        <f>+O400+O414+O488+O514</f>
        <v>20259</v>
      </c>
      <c r="P515" s="58">
        <f>+P400+P414+P488+P514</f>
        <v>21517</v>
      </c>
      <c r="Q515" s="59">
        <f t="shared" si="211"/>
        <v>74338</v>
      </c>
      <c r="R515" s="81">
        <f t="shared" si="212"/>
        <v>557954</v>
      </c>
    </row>
    <row r="516" spans="1:18" ht="15.75" customHeight="1" x14ac:dyDescent="0.3">
      <c r="A516" s="71" t="s">
        <v>756</v>
      </c>
      <c r="B516" s="1"/>
      <c r="C516" s="1"/>
      <c r="D516" s="1"/>
      <c r="E516" s="55">
        <f t="shared" si="213"/>
        <v>0</v>
      </c>
      <c r="F516" s="1"/>
      <c r="G516" s="1"/>
      <c r="H516" s="1"/>
      <c r="I516" s="55">
        <f t="shared" si="214"/>
        <v>0</v>
      </c>
      <c r="J516" s="1"/>
      <c r="K516" s="1"/>
      <c r="L516" s="1"/>
      <c r="M516" s="55">
        <f t="shared" si="215"/>
        <v>0</v>
      </c>
      <c r="N516" s="1"/>
      <c r="O516" s="1"/>
      <c r="P516" s="1"/>
      <c r="Q516" s="55">
        <f t="shared" si="211"/>
        <v>0</v>
      </c>
      <c r="R516" s="55">
        <f t="shared" si="212"/>
        <v>0</v>
      </c>
    </row>
    <row r="517" spans="1:18" ht="15.75" customHeight="1" x14ac:dyDescent="0.3">
      <c r="A517" s="71" t="s">
        <v>757</v>
      </c>
      <c r="B517" s="1"/>
      <c r="C517" s="1"/>
      <c r="D517" s="1"/>
      <c r="E517" s="55">
        <f t="shared" si="213"/>
        <v>0</v>
      </c>
      <c r="F517" s="1"/>
      <c r="G517" s="1"/>
      <c r="H517" s="1"/>
      <c r="I517" s="55">
        <f t="shared" si="214"/>
        <v>0</v>
      </c>
      <c r="J517" s="1"/>
      <c r="K517" s="1"/>
      <c r="L517" s="1"/>
      <c r="M517" s="55">
        <f t="shared" si="215"/>
        <v>0</v>
      </c>
      <c r="N517" s="1"/>
      <c r="O517" s="1"/>
      <c r="P517" s="1"/>
      <c r="Q517" s="55">
        <f t="shared" si="211"/>
        <v>0</v>
      </c>
      <c r="R517" s="55">
        <f t="shared" si="212"/>
        <v>0</v>
      </c>
    </row>
    <row r="518" spans="1:18" ht="16.5" customHeight="1" thickBot="1" x14ac:dyDescent="0.35">
      <c r="A518" s="73" t="s">
        <v>40</v>
      </c>
      <c r="B518" s="21">
        <v>155</v>
      </c>
      <c r="C518" s="21">
        <v>283</v>
      </c>
      <c r="D518" s="21">
        <v>435</v>
      </c>
      <c r="E518" s="81">
        <f t="shared" si="213"/>
        <v>873</v>
      </c>
      <c r="F518" s="21">
        <v>602</v>
      </c>
      <c r="G518" s="21">
        <v>711</v>
      </c>
      <c r="H518" s="21">
        <v>722</v>
      </c>
      <c r="I518" s="81">
        <f t="shared" si="214"/>
        <v>2035</v>
      </c>
      <c r="J518" s="21">
        <v>686</v>
      </c>
      <c r="K518" s="21">
        <v>519</v>
      </c>
      <c r="L518" s="21">
        <v>531</v>
      </c>
      <c r="M518" s="81">
        <f t="shared" si="215"/>
        <v>1736</v>
      </c>
      <c r="N518" s="21">
        <v>489</v>
      </c>
      <c r="O518" s="21">
        <v>389</v>
      </c>
      <c r="P518" s="21">
        <v>275</v>
      </c>
      <c r="Q518" s="81">
        <f t="shared" si="211"/>
        <v>1153</v>
      </c>
      <c r="R518" s="55">
        <f t="shared" si="212"/>
        <v>5797</v>
      </c>
    </row>
    <row r="519" spans="1:18" ht="16.5" customHeight="1" thickBot="1" x14ac:dyDescent="0.35">
      <c r="A519" s="74"/>
      <c r="B519" s="75"/>
      <c r="C519" s="75"/>
      <c r="D519" s="75"/>
      <c r="E519" s="59"/>
      <c r="F519" s="75"/>
      <c r="G519" s="75"/>
      <c r="H519" s="75"/>
      <c r="I519" s="59"/>
      <c r="J519" s="75"/>
      <c r="K519" s="75"/>
      <c r="L519" s="75"/>
      <c r="M519" s="59"/>
      <c r="N519" s="75"/>
      <c r="O519" s="75"/>
      <c r="P519" s="75"/>
      <c r="Q519" s="59"/>
      <c r="R519" s="59" t="s">
        <v>7</v>
      </c>
    </row>
    <row r="520" spans="1:18" ht="15.75" customHeight="1" x14ac:dyDescent="0.3">
      <c r="A520" s="76" t="s">
        <v>41</v>
      </c>
      <c r="B520" s="77">
        <f>SUM(B515:B518)</f>
        <v>15267</v>
      </c>
      <c r="C520" s="77">
        <f>SUM(C515:C518)</f>
        <v>24485</v>
      </c>
      <c r="D520" s="77">
        <f>SUM(D515:D518)</f>
        <v>34479</v>
      </c>
      <c r="E520" s="60">
        <f>SUM(B520:D520)</f>
        <v>74231</v>
      </c>
      <c r="F520" s="77">
        <f>SUM(F515:F518)</f>
        <v>56729</v>
      </c>
      <c r="G520" s="77">
        <f>SUM(G515:G518)</f>
        <v>82843</v>
      </c>
      <c r="H520" s="77">
        <f>SUM(H515:H518)</f>
        <v>91715</v>
      </c>
      <c r="I520" s="60">
        <f>SUM(F520:H520)</f>
        <v>231287</v>
      </c>
      <c r="J520" s="77">
        <f>SUM(J515:J518)</f>
        <v>77471</v>
      </c>
      <c r="K520" s="77">
        <f>SUM(K515:K518)</f>
        <v>65536</v>
      </c>
      <c r="L520" s="77">
        <f>SUM(L515:L518)</f>
        <v>39735</v>
      </c>
      <c r="M520" s="60">
        <f>SUM(J520:L520)</f>
        <v>182742</v>
      </c>
      <c r="N520" s="77">
        <f>SUM(N515:N518)</f>
        <v>33051</v>
      </c>
      <c r="O520" s="77">
        <f>SUM(O515:O518)</f>
        <v>20648</v>
      </c>
      <c r="P520" s="77">
        <f>SUM(P515:P518)</f>
        <v>21792</v>
      </c>
      <c r="Q520" s="60">
        <f>SUM(N520:P520)</f>
        <v>75491</v>
      </c>
      <c r="R520" s="60">
        <f>+E520+I520+M520+Q520</f>
        <v>563751</v>
      </c>
    </row>
    <row r="521" spans="1:18" ht="15.75" customHeight="1" x14ac:dyDescent="0.3">
      <c r="A521" s="79" t="s">
        <v>42</v>
      </c>
      <c r="B521" s="1">
        <f>(B520/B10)/1.983</f>
        <v>248.35293543506904</v>
      </c>
      <c r="C521" s="1">
        <f>(C520/C10)/1.983</f>
        <v>425.77425356913068</v>
      </c>
      <c r="D521" s="1">
        <f>(D520/D10)/1.983</f>
        <v>560.88038651115119</v>
      </c>
      <c r="E521" s="55" t="s">
        <v>7</v>
      </c>
      <c r="F521" s="1">
        <f>(F520/F10)/1.983</f>
        <v>953.58883846024537</v>
      </c>
      <c r="G521" s="1">
        <f>(G520/G10)/1.983</f>
        <v>1347.6322938525857</v>
      </c>
      <c r="H521" s="1">
        <f>(H520/H10)/1.983</f>
        <v>1541.6876786014454</v>
      </c>
      <c r="I521" s="55" t="s">
        <v>7</v>
      </c>
      <c r="J521" s="1">
        <f>(J520/J10)/1.983</f>
        <v>1260.2443349112618</v>
      </c>
      <c r="K521" s="1">
        <f>(K520/K10)/1.983</f>
        <v>1066.0940575537227</v>
      </c>
      <c r="L521" s="1">
        <f>(L520/L10)/1.983</f>
        <v>667.92738275340389</v>
      </c>
      <c r="M521" s="55" t="s">
        <v>7</v>
      </c>
      <c r="N521" s="1">
        <f>(N520/N10)/1.983</f>
        <v>537.65067590649551</v>
      </c>
      <c r="O521" s="1">
        <f>(O520/O10)/1.983</f>
        <v>347.08354345268111</v>
      </c>
      <c r="P521" s="1">
        <f>(P520/P10)/1.983</f>
        <v>354.49709628617444</v>
      </c>
      <c r="Q521" s="55" t="s">
        <v>7</v>
      </c>
      <c r="R521" s="55" t="s">
        <v>7</v>
      </c>
    </row>
    <row r="522" spans="1:18" ht="15.75" customHeight="1" x14ac:dyDescent="0.3">
      <c r="A522" s="79" t="s">
        <v>289</v>
      </c>
      <c r="B522" s="1">
        <f>B520+B573</f>
        <v>29405</v>
      </c>
      <c r="C522" s="1">
        <f>C520+C573</f>
        <v>47525</v>
      </c>
      <c r="D522" s="1">
        <f>D520+D573</f>
        <v>64961</v>
      </c>
      <c r="E522" s="55">
        <f>SUM(B522:D522)</f>
        <v>141891</v>
      </c>
      <c r="F522" s="1">
        <f>F520+F573</f>
        <v>105559</v>
      </c>
      <c r="G522" s="1">
        <f>G520+G573</f>
        <v>126622</v>
      </c>
      <c r="H522" s="1">
        <f>H520+H573</f>
        <v>138214</v>
      </c>
      <c r="I522" s="55">
        <f>SUM(F522:H522)</f>
        <v>370395</v>
      </c>
      <c r="J522" s="1">
        <f>J520+J573</f>
        <v>129776</v>
      </c>
      <c r="K522" s="1">
        <f>K520+K573</f>
        <v>114384</v>
      </c>
      <c r="L522" s="1">
        <f>L520+L573</f>
        <v>74986</v>
      </c>
      <c r="M522" s="55">
        <f>SUM(J522:L522)</f>
        <v>319146</v>
      </c>
      <c r="N522" s="1">
        <f>N520+N573</f>
        <v>48733</v>
      </c>
      <c r="O522" s="1">
        <f>O520+O573</f>
        <v>24179</v>
      </c>
      <c r="P522" s="1">
        <f>P520+P573</f>
        <v>32830</v>
      </c>
      <c r="Q522" s="55">
        <f>SUM(N522:P522)</f>
        <v>105742</v>
      </c>
      <c r="R522" s="55">
        <f>+E522+I522+M522+Q522</f>
        <v>937174</v>
      </c>
    </row>
    <row r="523" spans="1:18" s="344" customFormat="1" ht="16.5" customHeight="1" thickBot="1" x14ac:dyDescent="0.35">
      <c r="A523" s="356" t="s">
        <v>290</v>
      </c>
      <c r="B523" s="357">
        <f>(B522/B10)/1.983</f>
        <v>478.34008426463646</v>
      </c>
      <c r="C523" s="357">
        <f>(C522/C10)/1.983</f>
        <v>826.42113134053238</v>
      </c>
      <c r="D523" s="357">
        <f>(D522/D10)/1.983</f>
        <v>1056.7403575553494</v>
      </c>
      <c r="E523" s="358" t="s">
        <v>7</v>
      </c>
      <c r="F523" s="357">
        <f>(F522/F10)/1.983</f>
        <v>1774.3990586653217</v>
      </c>
      <c r="G523" s="357">
        <f>(G522/G10)/1.983</f>
        <v>2059.7986107722086</v>
      </c>
      <c r="H523" s="357">
        <f>(H522/H10)/1.983</f>
        <v>2323.3148428307277</v>
      </c>
      <c r="I523" s="358" t="s">
        <v>7</v>
      </c>
      <c r="J523" s="357">
        <f>(J522/J10)/1.983</f>
        <v>2111.105688676329</v>
      </c>
      <c r="K523" s="357">
        <f>(K522/K10)/1.983</f>
        <v>1860.7193401981358</v>
      </c>
      <c r="L523" s="357">
        <f>(L522/L10)/1.983</f>
        <v>1260.4807530677424</v>
      </c>
      <c r="M523" s="358" t="s">
        <v>7</v>
      </c>
      <c r="N523" s="357">
        <f>(N522/N10)/1.983</f>
        <v>792.75454264473831</v>
      </c>
      <c r="O523" s="357">
        <f>(O522/O10)/1.983</f>
        <v>406.43805681627163</v>
      </c>
      <c r="P523" s="357">
        <f>(P522/P10)/1.983</f>
        <v>534.05560164625115</v>
      </c>
      <c r="Q523" s="358" t="s">
        <v>7</v>
      </c>
      <c r="R523" s="358" t="s">
        <v>7</v>
      </c>
    </row>
    <row r="524" spans="1:18" ht="15.75" customHeight="1" x14ac:dyDescent="0.3">
      <c r="A524" s="120" t="s">
        <v>291</v>
      </c>
      <c r="B524" s="121">
        <f>B$525+(SUMIF($T$338:$T$499,"FLG",B$345:B$517)/B10/1.98)+(SUMIF($T$338:$T$499,"FCA",B$345:B$517)/B10/1.98)+(SUMIF($T$338:$T$499,"NSC",B$345:B$517)/B10/1.98)</f>
        <v>289.12693377580399</v>
      </c>
      <c r="C524" s="121">
        <f>C$525+(SUMIF($T$338:$T$499,"FLG",C$345:C$517)/C10/1.98)+(SUMIF($T$338:$T$499,"FCA",C$345:C$517)/C10/1.98)+(SUMIF($T$338:$T$499,"NSC",C$345:C$517)/C10/1.98)</f>
        <v>548.92273984036729</v>
      </c>
      <c r="D524" s="121">
        <f>D$525+(SUMIF($T$338:$T$499,"FLG",D$345:D$517)/D10/1.98)+(SUMIF($T$338:$T$499,"FCA",D$345:D$517)/D10/1.98)+(SUMIF($T$338:$T$499,"NSC",D$345:D$517)/D10/1.98)</f>
        <v>714.0906650813439</v>
      </c>
      <c r="E524" s="122"/>
      <c r="F524" s="121">
        <f>F$525+(SUMIF($T$338:$T$499,"FLG",F$345:F$517)/F10/1.98)+(SUMIF($T$338:$T$499,"FCA",F$345:F$517)/F10/1.98)+(SUMIF($T$338:$T$499,"NSC",F$345:F$517)/F10/1.98)</f>
        <v>1285.1536545485108</v>
      </c>
      <c r="G524" s="121">
        <f>G$525+(SUMIF($T$338:$T$499,"FLG",G$345:G$517)/G10/1.98)+(SUMIF($T$338:$T$499,"FCA",G$345:G$517)/G10/1.98)+(SUMIF($T$338:$T$499,"NSC",G$345:G$517)/G10/1.98)</f>
        <v>1369.1881481350026</v>
      </c>
      <c r="H524" s="121">
        <f>H$525+(SUMIF($T$338:$T$499,"FLG",H$345:H$517)/H10/1.98)+(SUMIF($T$338:$T$499,"FCA",H$345:H$517)/H10/1.98)+(SUMIF($T$338:$T$499,"NSC",H$345:H$517)/H10/1.98)</f>
        <v>1515.297197899316</v>
      </c>
      <c r="I524" s="45"/>
      <c r="J524" s="121">
        <f>J$525+(SUMIF($T$338:$T$499,"FLG",J$345:J$517)/J10/1.98)+(SUMIF($T$338:$T$499,"FCA",J$345:J$517)/J10/1.98)+(SUMIF($T$338:$T$499,"NSC",J$345:J$517)/J10/1.98)</f>
        <v>1437.127238418049</v>
      </c>
      <c r="K524" s="121">
        <f>K$525+(SUMIF($T$338:$T$499,"FLG",K$345:K$517)/K10/1.98)+(SUMIF($T$338:$T$499,"FCA",K$345:K$517)/K10/1.98)+(SUMIF($T$338:$T$499,"NSC",K$345:K$517)/K10/1.98)</f>
        <v>1106.9582901387109</v>
      </c>
      <c r="L524" s="121">
        <f>L$525+(SUMIF($T$338:$T$499,"FLG",L$345:L$517)/L10/1.98)+(SUMIF($T$338:$T$499,"FCA",L$345:L$517)/L10/1.98)+(SUMIF($T$338:$T$499,"NSC",L$345:L$517)/L10/1.98)</f>
        <v>726.13922890019717</v>
      </c>
      <c r="M524" s="45"/>
      <c r="N524" s="121">
        <f>N$525+(SUMIF($T$338:$T$499,"FLG",N$345:N$517)/N10/1.98)+(SUMIF($T$338:$T$499,"FCA",N$345:N$517)/N10/1.98)+(SUMIF($T$338:$T$499,"NSC",N$345:N$517)/N10/1.98)</f>
        <v>441.92367775160221</v>
      </c>
      <c r="O524" s="121">
        <f>O$525+(SUMIF($T$338:$T$499,"FLG",O$345:O$517)/O10/1.98)+(SUMIF($T$338:$T$499,"FCA",O$345:O$517)/O10/1.98)+(SUMIF($T$338:$T$499,"NSC",O$345:O$517)/O10/1.98)</f>
        <v>212.26697127604842</v>
      </c>
      <c r="P524" s="121">
        <f>P$525+(SUMIF($T$338:$T$499,"FLG",P$345:P$517)/P10/1.98)+(SUMIF($T$338:$T$499,"FCA",P$345:P$517)/P10/1.98)+(SUMIF($T$338:$T$499,"NSC",P$345:P$517)/P10/1.98)</f>
        <v>330.42197880419536</v>
      </c>
      <c r="Q524" s="45"/>
      <c r="R524" s="45"/>
    </row>
    <row r="525" spans="1:18" ht="15.75" customHeight="1" x14ac:dyDescent="0.3">
      <c r="A525" s="120" t="s">
        <v>292</v>
      </c>
      <c r="B525" s="121">
        <f>B$526+(SUMIF($T$338:$T$499,"FCI",B$345:B$517)/B10/1.98)+(SUMIF($T$338:$T$499,"FCC",B$345:B$517)/B10/1.98)</f>
        <v>289.12693377580399</v>
      </c>
      <c r="C525" s="121">
        <f>C$526+(SUMIF($T$338:$T$499,"FCI",C$345:C$517)/C10/1.98)+(SUMIF($T$338:$T$499,"FCC",C$345:C$517)/C10/1.98)</f>
        <v>548.92273984036729</v>
      </c>
      <c r="D525" s="121">
        <f>D$526+(SUMIF($T$338:$T$499,"FCI",D$345:D$517)/D10/1.98)+(SUMIF($T$338:$T$499,"FCC",D$345:D$517)/D10/1.98)</f>
        <v>714.0906650813439</v>
      </c>
      <c r="E525" s="122"/>
      <c r="F525" s="121">
        <f>F$526+(SUMIF($T$338:$T$499,"FCI",F$345:F$517)/F10/1.98)+(SUMIF($T$338:$T$499,"FCC",F$345:F$517)/F10/1.98)</f>
        <v>1285.1536545485108</v>
      </c>
      <c r="G525" s="121">
        <f>G$526+(SUMIF($T$338:$T$499,"FCI",G$345:G$517)/G10/1.98)+(SUMIF($T$338:$T$499,"FCC",G$345:G$517)/G10/1.98)</f>
        <v>1369.1881481350026</v>
      </c>
      <c r="H525" s="121">
        <f>H$526+(SUMIF($T$338:$T$499,"FCI",H$345:H$517)/H10/1.98)+(SUMIF($T$338:$T$499,"FCC",H$345:H$517)/H10/1.98)</f>
        <v>1515.297197899316</v>
      </c>
      <c r="I525" s="45"/>
      <c r="J525" s="121">
        <f>J$526+(SUMIF($T$338:$T$499,"FCI",J$345:J$517)/J10/1.98)+(SUMIF($T$338:$T$499,"FCC",J$345:J$517)/J10/1.98)</f>
        <v>1437.127238418049</v>
      </c>
      <c r="K525" s="121">
        <f>K$526+(SUMIF($T$338:$T$499,"FCI",K$345:K$517)/K10/1.98)+(SUMIF($T$338:$T$499,"FCC",K$345:K$517)/K10/1.98)</f>
        <v>1106.9582901387109</v>
      </c>
      <c r="L525" s="121">
        <f>L$526+(SUMIF($T$338:$T$499,"FCI",L$345:L$517)/L10/1.98)+(SUMIF($T$338:$T$499,"FCC",L$345:L$517)/L10/1.98)</f>
        <v>726.13922890019717</v>
      </c>
      <c r="M525" s="45"/>
      <c r="N525" s="121">
        <f>N$526+(SUMIF($T$338:$T$499,"FCI",N$345:N$517)/N10/1.98)+(SUMIF($T$338:$T$499,"FCC",N$345:N$517)/N10/1.98)</f>
        <v>441.92367775160221</v>
      </c>
      <c r="O525" s="121">
        <f>O$526+(SUMIF($T$338:$T$499,"FCI",O$345:O$517)/O10/1.98)+(SUMIF($T$338:$T$499,"FCC",O$345:O$517)/O10/1.98)</f>
        <v>212.26697127604842</v>
      </c>
      <c r="P525" s="121">
        <f>P$526+(SUMIF($T$338:$T$499,"FCI",P$345:P$517)/P10/1.98)+(SUMIF($T$338:$T$499,"FCC",P$345:P$517)/P10/1.98)</f>
        <v>330.42197880419536</v>
      </c>
      <c r="Q525" s="45"/>
      <c r="R525" s="45"/>
    </row>
    <row r="526" spans="1:18" ht="15.75" customHeight="1" x14ac:dyDescent="0.3">
      <c r="A526" s="120" t="s">
        <v>293</v>
      </c>
      <c r="B526" s="121">
        <f>B$527+(SUMIF($T$338:$T$499,"PIL",B$345:B$517)/B10/1.98)+(SUMIF($T$338:$T$499,"KLK",B$345:B$517)/B10/1.98)</f>
        <v>289.12693377580399</v>
      </c>
      <c r="C526" s="121">
        <f>C$527+(SUMIF($T$338:$T$499,"PIL",C$345:C$517)/C10/1.98)+(SUMIF($T$338:$T$499,"KLK",C$345:C$517)/C10/1.98)</f>
        <v>548.92273984036729</v>
      </c>
      <c r="D526" s="121">
        <f>D$527+(SUMIF($T$338:$T$499,"PIL",D$345:D$517)/D10/1.98)+(SUMIF($T$338:$T$499,"KLK",D$345:D$517)/D10/1.98)</f>
        <v>714.0906650813439</v>
      </c>
      <c r="E526" s="122"/>
      <c r="F526" s="121">
        <f>F$527+(SUMIF($T$338:$T$499,"PIL",F$345:F$517)/F10/1.98)+(SUMIF($T$338:$T$499,"KLK",F$345:F$517)/F10/1.98)</f>
        <v>1285.1536545485108</v>
      </c>
      <c r="G526" s="121">
        <f>G$527+(SUMIF($T$338:$T$499,"PIL",G$345:G$517)/G10/1.98)+(SUMIF($T$338:$T$499,"KLK",G$345:G$517)/G10/1.98)</f>
        <v>1369.1881481350026</v>
      </c>
      <c r="H526" s="121">
        <f>H$527+(SUMIF($T$338:$T$499,"PIL",H$345:H$517)/H10/1.98)+(SUMIF($T$338:$T$499,"KLK",H$345:H$517)/H10/1.98)</f>
        <v>1515.297197899316</v>
      </c>
      <c r="I526" s="45"/>
      <c r="J526" s="121">
        <f>J$527+(SUMIF($T$338:$T$499,"PIL",J$345:J$517)/J10/1.98)+(SUMIF($T$338:$T$499,"KLK",J$345:J$517)/J10/1.98)</f>
        <v>1437.127238418049</v>
      </c>
      <c r="K526" s="121">
        <f>K$527+(SUMIF($T$338:$T$499,"PIL",K$345:K$517)/K10/1.98)+(SUMIF($T$338:$T$499,"KLK",K$345:K$517)/K10/1.98)</f>
        <v>1106.9582901387109</v>
      </c>
      <c r="L526" s="121">
        <f>L$527+(SUMIF($T$338:$T$499,"PIL",L$345:L$517)/L10/1.98)+(SUMIF($T$338:$T$499,"KLK",L$345:L$517)/L10/1.98)</f>
        <v>726.13922890019717</v>
      </c>
      <c r="M526" s="45"/>
      <c r="N526" s="121">
        <f>N$527+(SUMIF($T$338:$T$499,"PIL",N$345:N$517)/N10/1.98)+(SUMIF($T$338:$T$499,"KLK",N$345:N$517)/N10/1.98)</f>
        <v>441.92367775160221</v>
      </c>
      <c r="O526" s="121">
        <f>O$527+(SUMIF($T$338:$T$499,"PIL",O$345:O$517)/O10/1.98)+(SUMIF($T$338:$T$499,"KLK",O$345:O$517)/O10/1.98)</f>
        <v>212.26697127604842</v>
      </c>
      <c r="P526" s="121">
        <f>P$527+(SUMIF($T$338:$T$499,"PIL",P$345:P$517)/P10/1.98)+(SUMIF($T$338:$T$499,"KLK",P$345:P$517)/P10/1.98)</f>
        <v>330.42197880419536</v>
      </c>
      <c r="Q526" s="45"/>
      <c r="R526" s="45"/>
    </row>
    <row r="527" spans="1:18" ht="15.75" customHeight="1" x14ac:dyDescent="0.3">
      <c r="A527" s="120" t="s">
        <v>294</v>
      </c>
      <c r="B527" s="121">
        <f>B$528+(SUMIF($T$338:$T$499,"CGE",B$345:B$517)/B10/1.98)</f>
        <v>289.12693377580399</v>
      </c>
      <c r="C527" s="121">
        <f>C$528+(SUMIF($T$338:$T$499,"CGE",C$345:C$517)/C10/1.98)</f>
        <v>548.92273984036729</v>
      </c>
      <c r="D527" s="121">
        <f>D$528+(SUMIF($T$338:$T$499,"CGE",D$345:D$517)/D10/1.98)</f>
        <v>714.0906650813439</v>
      </c>
      <c r="E527" s="122"/>
      <c r="F527" s="121">
        <f>F$528+(SUMIF($T$338:$T$499,"CGE",F$345:F$517)/F10/1.98)</f>
        <v>1285.1536545485108</v>
      </c>
      <c r="G527" s="121">
        <f>G$528+(SUMIF($T$338:$T$499,"CGE",G$345:G$517)/G10/1.98)</f>
        <v>1369.1881481350026</v>
      </c>
      <c r="H527" s="121">
        <f>H$528+(SUMIF($T$338:$T$499,"CGE",H$345:H$517)/H10/1.98)</f>
        <v>1515.297197899316</v>
      </c>
      <c r="I527" s="45"/>
      <c r="J527" s="121">
        <f>J$528+(SUMIF($T$338:$T$499,"CGE",J$345:J$517)/J10/1.98)</f>
        <v>1436.6873557201018</v>
      </c>
      <c r="K527" s="121">
        <f>K$528+(SUMIF($T$338:$T$499,"CGE",K$345:K$517)/K10/1.98)</f>
        <v>1106.9582901387109</v>
      </c>
      <c r="L527" s="121">
        <f>L$528+(SUMIF($T$338:$T$499,"CGE",L$345:L$517)/L10/1.98)</f>
        <v>704.23687199784024</v>
      </c>
      <c r="M527" s="45"/>
      <c r="N527" s="121">
        <f>N$528+(SUMIF($T$338:$T$499,"CGE",N$345:N$517)/N10/1.98)</f>
        <v>423.20422516118185</v>
      </c>
      <c r="O527" s="121">
        <f>O$528+(SUMIF($T$338:$T$499,"CGE",O$345:O$517)/O10/1.98)</f>
        <v>212.26697127604842</v>
      </c>
      <c r="P527" s="121">
        <f>P$528+(SUMIF($T$338:$T$499,"CGE",P$345:P$517)/P10/1.98)</f>
        <v>330.42197880419536</v>
      </c>
      <c r="Q527" s="45"/>
      <c r="R527" s="45"/>
    </row>
    <row r="528" spans="1:18" ht="15.75" customHeight="1" x14ac:dyDescent="0.3">
      <c r="A528" s="120" t="s">
        <v>295</v>
      </c>
      <c r="B528" s="121">
        <f>B$529+(SUMIF($T$338:$T$499,"SRO",B$345:B$517)/B10/1.98)</f>
        <v>289.12693377580399</v>
      </c>
      <c r="C528" s="121">
        <f>C$529+(SUMIF($T$338:$T$499,"SRO",C$345:C$517)/C10/1.98)</f>
        <v>548.92273984036729</v>
      </c>
      <c r="D528" s="121">
        <f>D$529+(SUMIF($T$338:$T$499,"SRO",D$345:D$517)/D10/1.98)</f>
        <v>714.0906650813439</v>
      </c>
      <c r="E528" s="122"/>
      <c r="F528" s="121">
        <f>F$529+(SUMIF($T$338:$T$499,"SRO",F$345:F$517)/F10/1.98)</f>
        <v>1285.1536545485108</v>
      </c>
      <c r="G528" s="121">
        <f>G$529+(SUMIF($T$338:$T$499,"SRO",G$345:G$517)/G10/1.98)</f>
        <v>1363.6814684347746</v>
      </c>
      <c r="H528" s="121">
        <f>H$529+(SUMIF($T$338:$T$499,"SRO",H$345:H$517)/H10/1.98)</f>
        <v>1498.4621810642991</v>
      </c>
      <c r="I528" s="45"/>
      <c r="J528" s="121">
        <f>J$529+(SUMIF($T$338:$T$499,"SRO",J$345:J$517)/J10/1.98)</f>
        <v>1408.2416079195152</v>
      </c>
      <c r="K528" s="121">
        <f>K$529+(SUMIF($T$338:$T$499,"SRO",K$345:K$517)/K10/1.98)</f>
        <v>1070.2362308360064</v>
      </c>
      <c r="L528" s="121">
        <f>L$529+(SUMIF($T$338:$T$499,"SRO",L$345:L$517)/L10/1.98)</f>
        <v>695.81936358033181</v>
      </c>
      <c r="M528" s="45"/>
      <c r="N528" s="121">
        <f>N$529+(SUMIF($T$338:$T$499,"SRO",N$345:N$517)/N10/1.98)</f>
        <v>423.20422516118185</v>
      </c>
      <c r="O528" s="121">
        <f>O$529+(SUMIF($T$338:$T$499,"SRO",O$345:O$517)/O10/1.98)</f>
        <v>212.26697127604842</v>
      </c>
      <c r="P528" s="121">
        <f>P$529+(SUMIF($T$338:$T$499,"SRO",P$345:P$517)/P10/1.98)</f>
        <v>330.42197880419536</v>
      </c>
      <c r="Q528" s="45"/>
      <c r="R528" s="45"/>
    </row>
    <row r="529" spans="1:20" ht="15.75" customHeight="1" x14ac:dyDescent="0.3">
      <c r="A529" s="120" t="s">
        <v>296</v>
      </c>
      <c r="B529" s="121">
        <f>B$573/B10/1.983</f>
        <v>229.98714882956745</v>
      </c>
      <c r="C529" s="121">
        <f>C$573/C10/1.983</f>
        <v>400.64687777140171</v>
      </c>
      <c r="D529" s="121">
        <f>D$573/D10/1.983</f>
        <v>495.85997104419823</v>
      </c>
      <c r="E529" s="123"/>
      <c r="F529" s="121">
        <f>F$573/F10/1.983</f>
        <v>820.81022020507646</v>
      </c>
      <c r="G529" s="121">
        <f>G$573/G10/1.983</f>
        <v>712.16631691962323</v>
      </c>
      <c r="H529" s="121">
        <f>H$573/H10/1.983</f>
        <v>781.62716422928224</v>
      </c>
      <c r="I529" s="1"/>
      <c r="J529" s="121">
        <f>J$573/J10/1.983</f>
        <v>850.86135376506752</v>
      </c>
      <c r="K529" s="121">
        <f>K$573/K10/1.983</f>
        <v>794.62528264441301</v>
      </c>
      <c r="L529" s="121">
        <f>L$573/L10/1.983</f>
        <v>592.55337031433851</v>
      </c>
      <c r="N529" s="121">
        <f>N$573/N10/1.983</f>
        <v>255.1038667382428</v>
      </c>
      <c r="O529" s="121">
        <f>O$573/O10/1.983</f>
        <v>59.35451336359052</v>
      </c>
      <c r="P529" s="121">
        <f>P$573/P10/1.983</f>
        <v>179.55850536007677</v>
      </c>
      <c r="R529" s="45"/>
    </row>
    <row r="530" spans="1:20" ht="15.75" customHeight="1" x14ac:dyDescent="0.3">
      <c r="A530" s="120"/>
      <c r="B530" s="121"/>
      <c r="C530" s="121"/>
      <c r="D530" s="121"/>
      <c r="E530" s="123"/>
      <c r="F530" s="121"/>
      <c r="G530" s="121"/>
      <c r="H530" s="121"/>
      <c r="I530" s="1"/>
      <c r="J530" s="121"/>
      <c r="K530" s="121"/>
      <c r="L530" s="121"/>
      <c r="N530" s="121"/>
      <c r="O530" s="121"/>
      <c r="P530" s="121"/>
      <c r="R530" s="45"/>
    </row>
    <row r="531" spans="1:20" ht="15.75" customHeight="1" thickBot="1" x14ac:dyDescent="0.35">
      <c r="A531" s="28"/>
      <c r="B531" s="1"/>
      <c r="C531" s="1"/>
      <c r="D531" s="1"/>
      <c r="E531" s="1"/>
      <c r="F531" s="1"/>
      <c r="G531" s="1"/>
      <c r="H531" s="1"/>
      <c r="I531" s="1"/>
      <c r="J531" s="1"/>
      <c r="K531" s="1"/>
      <c r="L531" s="1"/>
      <c r="M531" s="1"/>
      <c r="N531" s="1"/>
      <c r="O531" s="1"/>
      <c r="P531" s="1"/>
      <c r="Q531" s="1"/>
      <c r="R531" s="2"/>
    </row>
    <row r="532" spans="1:20" ht="16.5" customHeight="1" thickBot="1" x14ac:dyDescent="0.35">
      <c r="A532" s="29" t="s">
        <v>297</v>
      </c>
      <c r="B532" s="30" t="s">
        <v>8</v>
      </c>
      <c r="C532" s="31" t="s">
        <v>9</v>
      </c>
      <c r="D532" s="31" t="s">
        <v>10</v>
      </c>
      <c r="E532" s="32" t="s">
        <v>11</v>
      </c>
      <c r="F532" s="31" t="s">
        <v>12</v>
      </c>
      <c r="G532" s="31" t="s">
        <v>13</v>
      </c>
      <c r="H532" s="31" t="s">
        <v>14</v>
      </c>
      <c r="I532" s="33" t="s">
        <v>15</v>
      </c>
      <c r="J532" s="31" t="s">
        <v>16</v>
      </c>
      <c r="K532" s="31" t="s">
        <v>17</v>
      </c>
      <c r="L532" s="31" t="s">
        <v>18</v>
      </c>
      <c r="M532" s="33" t="s">
        <v>19</v>
      </c>
      <c r="N532" s="31" t="s">
        <v>20</v>
      </c>
      <c r="O532" s="31" t="s">
        <v>21</v>
      </c>
      <c r="P532" s="31" t="s">
        <v>22</v>
      </c>
      <c r="Q532" s="33" t="s">
        <v>23</v>
      </c>
      <c r="R532" s="34" t="s">
        <v>24</v>
      </c>
    </row>
    <row r="533" spans="1:20" ht="16.5" customHeight="1" thickBot="1" x14ac:dyDescent="0.35">
      <c r="A533" s="59"/>
      <c r="B533" s="75"/>
      <c r="C533" s="75"/>
      <c r="D533" s="75"/>
      <c r="E533" s="69"/>
      <c r="F533" s="75"/>
      <c r="G533" s="75"/>
      <c r="H533" s="75"/>
      <c r="I533" s="82"/>
      <c r="J533" s="75"/>
      <c r="K533" s="75"/>
      <c r="L533" s="75"/>
      <c r="M533" s="82"/>
      <c r="N533" s="75"/>
      <c r="O533" s="75"/>
      <c r="P533" s="75"/>
      <c r="Q533" s="82"/>
      <c r="R533" s="100"/>
    </row>
    <row r="534" spans="1:20" ht="15.75" customHeight="1" x14ac:dyDescent="0.3">
      <c r="A534" s="15" t="s">
        <v>48</v>
      </c>
      <c r="B534" s="1" t="s">
        <v>7</v>
      </c>
      <c r="C534" s="1" t="s">
        <v>7</v>
      </c>
      <c r="D534" s="1" t="s">
        <v>7</v>
      </c>
      <c r="E534" s="55" t="s">
        <v>7</v>
      </c>
      <c r="F534" s="1"/>
      <c r="G534" s="1"/>
      <c r="H534" s="1"/>
      <c r="I534" s="55" t="s">
        <v>7</v>
      </c>
      <c r="J534" s="1" t="s">
        <v>7</v>
      </c>
      <c r="K534" s="1" t="s">
        <v>7</v>
      </c>
      <c r="L534" s="1" t="s">
        <v>7</v>
      </c>
      <c r="M534" s="55" t="s">
        <v>7</v>
      </c>
      <c r="N534" s="1" t="s">
        <v>7</v>
      </c>
      <c r="O534" s="1" t="s">
        <v>7</v>
      </c>
      <c r="P534" s="1" t="s">
        <v>7</v>
      </c>
      <c r="Q534" s="55" t="s">
        <v>7</v>
      </c>
      <c r="R534" s="55" t="s">
        <v>7</v>
      </c>
    </row>
    <row r="535" spans="1:20" ht="15.75" customHeight="1" x14ac:dyDescent="0.3">
      <c r="A535" s="15" t="s">
        <v>49</v>
      </c>
      <c r="B535" s="1"/>
      <c r="C535" s="1"/>
      <c r="D535" s="1"/>
      <c r="E535" s="55" t="s">
        <v>7</v>
      </c>
      <c r="F535" s="1"/>
      <c r="G535" s="1"/>
      <c r="H535" s="1"/>
      <c r="I535" s="55" t="s">
        <v>7</v>
      </c>
      <c r="J535" s="1"/>
      <c r="K535" s="1"/>
      <c r="L535" s="1"/>
      <c r="M535" s="55" t="s">
        <v>7</v>
      </c>
      <c r="N535" s="1"/>
      <c r="O535" s="1"/>
      <c r="P535" s="1"/>
      <c r="Q535" s="55" t="s">
        <v>7</v>
      </c>
      <c r="R535" s="55" t="s">
        <v>7</v>
      </c>
    </row>
    <row r="536" spans="1:20" ht="15.75" customHeight="1" x14ac:dyDescent="0.3">
      <c r="A536" s="71" t="s">
        <v>1225</v>
      </c>
      <c r="B536" s="1"/>
      <c r="C536" s="1"/>
      <c r="D536" s="1"/>
      <c r="E536" s="55">
        <f t="shared" ref="E536:E540" si="216">SUM(B536:D536)</f>
        <v>0</v>
      </c>
      <c r="F536" s="1"/>
      <c r="G536" s="1">
        <v>9</v>
      </c>
      <c r="H536" s="1">
        <v>5</v>
      </c>
      <c r="I536" s="55">
        <f t="shared" ref="I536:I540" si="217">SUM(F536:H536)</f>
        <v>14</v>
      </c>
      <c r="J536" s="1">
        <v>3</v>
      </c>
      <c r="K536" s="1">
        <v>9</v>
      </c>
      <c r="L536" s="1">
        <v>11</v>
      </c>
      <c r="M536" s="55">
        <f t="shared" ref="M536:M540" si="218">SUM(J536:L536)</f>
        <v>23</v>
      </c>
      <c r="N536" s="1">
        <v>8</v>
      </c>
      <c r="O536" s="1"/>
      <c r="P536" s="1"/>
      <c r="Q536" s="55">
        <f t="shared" ref="Q536:Q540" si="219">SUM(N536:P536)</f>
        <v>8</v>
      </c>
      <c r="R536" s="55">
        <f t="shared" ref="R536:R540" si="220">+E536+I536+M536+Q536</f>
        <v>45</v>
      </c>
      <c r="T536" s="4" t="s">
        <v>938</v>
      </c>
    </row>
    <row r="537" spans="1:20" ht="15.75" customHeight="1" x14ac:dyDescent="0.3">
      <c r="A537" s="71" t="s">
        <v>1226</v>
      </c>
      <c r="B537" s="1"/>
      <c r="C537" s="1"/>
      <c r="D537" s="1"/>
      <c r="E537" s="55">
        <f>SUM(B537:D537)</f>
        <v>0</v>
      </c>
      <c r="F537" s="1"/>
      <c r="G537" s="1"/>
      <c r="H537" s="1"/>
      <c r="I537" s="55">
        <f>SUM(F537:H537)</f>
        <v>0</v>
      </c>
      <c r="J537" s="1"/>
      <c r="K537" s="1"/>
      <c r="L537" s="1"/>
      <c r="M537" s="55">
        <f t="shared" si="218"/>
        <v>0</v>
      </c>
      <c r="N537" s="1"/>
      <c r="O537" s="1"/>
      <c r="P537" s="1"/>
      <c r="Q537" s="55">
        <f t="shared" si="219"/>
        <v>0</v>
      </c>
      <c r="R537" s="55">
        <f t="shared" si="220"/>
        <v>0</v>
      </c>
      <c r="T537" s="4" t="s">
        <v>938</v>
      </c>
    </row>
    <row r="538" spans="1:20" ht="15.75" customHeight="1" x14ac:dyDescent="0.3">
      <c r="A538" s="71" t="s">
        <v>1429</v>
      </c>
      <c r="B538" s="1"/>
      <c r="C538" s="1"/>
      <c r="D538" s="1"/>
      <c r="E538" s="55">
        <f t="shared" si="216"/>
        <v>0</v>
      </c>
      <c r="F538" s="1"/>
      <c r="G538" s="1"/>
      <c r="H538" s="1"/>
      <c r="I538" s="55">
        <f t="shared" si="217"/>
        <v>0</v>
      </c>
      <c r="J538" s="1"/>
      <c r="K538" s="1"/>
      <c r="L538" s="1"/>
      <c r="M538" s="55">
        <f t="shared" si="218"/>
        <v>0</v>
      </c>
      <c r="N538" s="1"/>
      <c r="O538" s="1"/>
      <c r="P538" s="1"/>
      <c r="Q538" s="55">
        <f t="shared" si="219"/>
        <v>0</v>
      </c>
      <c r="R538" s="55">
        <f t="shared" si="220"/>
        <v>0</v>
      </c>
    </row>
    <row r="539" spans="1:20" ht="15.75" customHeight="1" x14ac:dyDescent="0.3">
      <c r="A539" s="71" t="s">
        <v>980</v>
      </c>
      <c r="C539" s="1"/>
      <c r="D539" s="1"/>
      <c r="E539" s="55">
        <f t="shared" si="216"/>
        <v>0</v>
      </c>
      <c r="F539" s="1">
        <v>2528</v>
      </c>
      <c r="G539" s="1"/>
      <c r="H539" s="1"/>
      <c r="I539" s="55">
        <f t="shared" si="217"/>
        <v>2528</v>
      </c>
      <c r="J539" s="1"/>
      <c r="K539" s="1"/>
      <c r="L539" s="1"/>
      <c r="M539" s="55">
        <f t="shared" si="218"/>
        <v>0</v>
      </c>
      <c r="N539" s="1">
        <v>76</v>
      </c>
      <c r="O539" s="1"/>
      <c r="P539" s="1"/>
      <c r="Q539" s="55">
        <f t="shared" si="219"/>
        <v>76</v>
      </c>
      <c r="R539" s="55">
        <f t="shared" si="220"/>
        <v>2604</v>
      </c>
      <c r="T539" s="4" t="s">
        <v>938</v>
      </c>
    </row>
    <row r="540" spans="1:20" ht="15.75" customHeight="1" x14ac:dyDescent="0.3">
      <c r="A540" s="72" t="s">
        <v>981</v>
      </c>
      <c r="B540" s="1"/>
      <c r="C540" s="1"/>
      <c r="D540" s="1"/>
      <c r="E540" s="55">
        <f t="shared" si="216"/>
        <v>0</v>
      </c>
      <c r="F540" s="1"/>
      <c r="G540" s="1"/>
      <c r="H540" s="1"/>
      <c r="I540" s="55">
        <f t="shared" si="217"/>
        <v>0</v>
      </c>
      <c r="J540" s="1"/>
      <c r="K540" s="1"/>
      <c r="L540" s="1"/>
      <c r="M540" s="55">
        <f t="shared" si="218"/>
        <v>0</v>
      </c>
      <c r="N540" s="1"/>
      <c r="O540" s="1"/>
      <c r="P540" s="1"/>
      <c r="Q540" s="55">
        <f t="shared" si="219"/>
        <v>0</v>
      </c>
      <c r="R540" s="55">
        <f t="shared" si="220"/>
        <v>0</v>
      </c>
      <c r="T540" s="4" t="s">
        <v>938</v>
      </c>
    </row>
    <row r="541" spans="1:20" ht="15.75" customHeight="1" x14ac:dyDescent="0.3">
      <c r="A541" s="15" t="s">
        <v>50</v>
      </c>
      <c r="B541" s="1"/>
      <c r="C541" s="1"/>
      <c r="D541" s="1"/>
      <c r="E541" s="55" t="s">
        <v>7</v>
      </c>
      <c r="F541" s="1"/>
      <c r="G541" s="1"/>
      <c r="H541" s="1"/>
      <c r="I541" s="55" t="s">
        <v>7</v>
      </c>
      <c r="J541" s="1"/>
      <c r="K541" s="1"/>
      <c r="L541" s="1"/>
      <c r="M541" s="55" t="s">
        <v>7</v>
      </c>
      <c r="N541" s="1"/>
      <c r="O541" s="1"/>
      <c r="P541" s="1"/>
      <c r="Q541" s="55" t="s">
        <v>7</v>
      </c>
      <c r="R541" s="55" t="s">
        <v>7</v>
      </c>
    </row>
    <row r="542" spans="1:20" ht="15.75" customHeight="1" x14ac:dyDescent="0.3">
      <c r="A542" s="71" t="s">
        <v>758</v>
      </c>
      <c r="B542" s="1"/>
      <c r="C542" s="1"/>
      <c r="D542" s="1"/>
      <c r="E542" s="55">
        <f>SUM(B542:D542)</f>
        <v>0</v>
      </c>
      <c r="F542" s="1"/>
      <c r="G542" s="1"/>
      <c r="H542" s="1"/>
      <c r="I542" s="55">
        <f>SUM(F542:H542)</f>
        <v>0</v>
      </c>
      <c r="J542" s="1"/>
      <c r="K542" s="1"/>
      <c r="L542" s="1"/>
      <c r="M542" s="55">
        <f>SUM(J542:L542)</f>
        <v>0</v>
      </c>
      <c r="N542" s="1"/>
      <c r="O542" s="1"/>
      <c r="P542" s="1"/>
      <c r="Q542" s="55">
        <f>SUM(N542:P542)</f>
        <v>0</v>
      </c>
      <c r="R542" s="55">
        <f>+E542+I542+M542+Q542</f>
        <v>0</v>
      </c>
    </row>
    <row r="543" spans="1:20" ht="15.75" customHeight="1" x14ac:dyDescent="0.3">
      <c r="A543" s="71" t="s">
        <v>298</v>
      </c>
      <c r="B543" s="1"/>
      <c r="C543" s="1"/>
      <c r="D543" s="1"/>
      <c r="E543" s="55">
        <f>SUM(B543:D543)</f>
        <v>0</v>
      </c>
      <c r="F543" s="1"/>
      <c r="G543" s="1"/>
      <c r="H543" s="1"/>
      <c r="I543" s="55">
        <f>SUM(F543:H543)</f>
        <v>0</v>
      </c>
      <c r="J543" s="1"/>
      <c r="K543" s="1"/>
      <c r="L543" s="1"/>
      <c r="M543" s="55">
        <f>SUM(J543:L543)</f>
        <v>0</v>
      </c>
      <c r="N543" s="1"/>
      <c r="O543" s="1"/>
      <c r="P543" s="1"/>
      <c r="Q543" s="55">
        <f>SUM(N543:P543)</f>
        <v>0</v>
      </c>
      <c r="R543" s="55">
        <f>+E543+I543+M543+Q543</f>
        <v>0</v>
      </c>
    </row>
    <row r="544" spans="1:20" ht="15.75" customHeight="1" x14ac:dyDescent="0.3">
      <c r="A544" s="15" t="s">
        <v>1186</v>
      </c>
      <c r="B544" s="1"/>
      <c r="C544" s="1"/>
      <c r="D544" s="1"/>
      <c r="E544" s="55" t="s">
        <v>7</v>
      </c>
      <c r="F544" s="1"/>
      <c r="G544" s="1"/>
      <c r="H544" s="1"/>
      <c r="I544" s="55" t="s">
        <v>7</v>
      </c>
      <c r="J544" s="1"/>
      <c r="K544" s="1"/>
      <c r="L544" s="1"/>
      <c r="M544" s="55" t="s">
        <v>7</v>
      </c>
      <c r="N544" s="1"/>
      <c r="O544" s="1"/>
      <c r="P544" s="1"/>
      <c r="Q544" s="55" t="s">
        <v>7</v>
      </c>
      <c r="R544" s="55" t="s">
        <v>7</v>
      </c>
    </row>
    <row r="545" spans="1:20" ht="15.75" customHeight="1" thickBot="1" x14ac:dyDescent="0.35">
      <c r="A545" s="15" t="s">
        <v>53</v>
      </c>
      <c r="B545" s="1"/>
      <c r="C545" s="1"/>
      <c r="D545" s="1"/>
      <c r="E545" s="55" t="s">
        <v>7</v>
      </c>
      <c r="F545" s="1"/>
      <c r="G545" s="1"/>
      <c r="H545" s="1"/>
      <c r="I545" s="55" t="s">
        <v>7</v>
      </c>
      <c r="J545" s="1"/>
      <c r="K545" s="1"/>
      <c r="L545" s="1"/>
      <c r="M545" s="55" t="s">
        <v>7</v>
      </c>
      <c r="N545" s="1"/>
      <c r="O545" s="1"/>
      <c r="P545" s="1"/>
      <c r="Q545" s="55" t="s">
        <v>7</v>
      </c>
      <c r="R545" s="55" t="s">
        <v>7</v>
      </c>
    </row>
    <row r="546" spans="1:20" ht="16.5" customHeight="1" thickBot="1" x14ac:dyDescent="0.35">
      <c r="A546" s="109" t="s">
        <v>54</v>
      </c>
      <c r="B546" s="86">
        <f>SUM(B534:B545)</f>
        <v>0</v>
      </c>
      <c r="C546" s="87">
        <f>SUM(C534:C545)</f>
        <v>0</v>
      </c>
      <c r="D546" s="87">
        <f>SUM(D534:D545)</f>
        <v>0</v>
      </c>
      <c r="E546" s="59">
        <f>SUM(B546:D546)</f>
        <v>0</v>
      </c>
      <c r="F546" s="87">
        <f>SUM(F534:F545)</f>
        <v>2528</v>
      </c>
      <c r="G546" s="87">
        <f>SUM(G534:G545)</f>
        <v>9</v>
      </c>
      <c r="H546" s="87">
        <f>SUM(H534:H545)</f>
        <v>5</v>
      </c>
      <c r="I546" s="59">
        <f>SUM(F546:H546)</f>
        <v>2542</v>
      </c>
      <c r="J546" s="87">
        <f>SUM(J534:J545)</f>
        <v>3</v>
      </c>
      <c r="K546" s="87">
        <f>SUM(K534:K545)</f>
        <v>9</v>
      </c>
      <c r="L546" s="87">
        <f>SUM(L534:L545)</f>
        <v>11</v>
      </c>
      <c r="M546" s="59">
        <f>SUM(J546:L546)</f>
        <v>23</v>
      </c>
      <c r="N546" s="87">
        <f>SUM(N534:N545)</f>
        <v>84</v>
      </c>
      <c r="O546" s="87">
        <f>SUM(O534:O545)</f>
        <v>0</v>
      </c>
      <c r="P546" s="87">
        <f>SUM(P534:P545)</f>
        <v>0</v>
      </c>
      <c r="Q546" s="59">
        <f>SUM(N546:P546)</f>
        <v>84</v>
      </c>
      <c r="R546" s="59">
        <f>+E546+I546+M546+Q546</f>
        <v>2649</v>
      </c>
    </row>
    <row r="547" spans="1:20" ht="15.75" customHeight="1" x14ac:dyDescent="0.3">
      <c r="A547" s="15" t="s">
        <v>55</v>
      </c>
      <c r="B547" s="1"/>
      <c r="C547" s="1"/>
      <c r="D547" s="1"/>
      <c r="E547" s="55" t="s">
        <v>7</v>
      </c>
      <c r="F547" s="1"/>
      <c r="G547" s="1"/>
      <c r="H547" s="1"/>
      <c r="I547" s="55" t="s">
        <v>7</v>
      </c>
      <c r="J547" s="1"/>
      <c r="K547" s="1"/>
      <c r="L547" s="1"/>
      <c r="M547" s="55" t="s">
        <v>7</v>
      </c>
      <c r="N547" s="1" t="s">
        <v>7</v>
      </c>
      <c r="O547" s="1"/>
      <c r="P547" s="1"/>
      <c r="Q547" s="55" t="s">
        <v>7</v>
      </c>
      <c r="R547" s="55" t="s">
        <v>7</v>
      </c>
    </row>
    <row r="548" spans="1:20" ht="15.75" customHeight="1" x14ac:dyDescent="0.3">
      <c r="A548" s="15" t="s">
        <v>57</v>
      </c>
      <c r="B548" s="1"/>
      <c r="C548" s="1"/>
      <c r="D548" s="1"/>
      <c r="E548" s="55" t="s">
        <v>7</v>
      </c>
      <c r="F548" s="1"/>
      <c r="G548" s="1"/>
      <c r="H548" s="1"/>
      <c r="I548" s="55" t="s">
        <v>7</v>
      </c>
      <c r="J548" s="1"/>
      <c r="K548" s="1"/>
      <c r="L548" s="1"/>
      <c r="M548" s="55" t="s">
        <v>7</v>
      </c>
      <c r="N548" s="1"/>
      <c r="O548" s="1"/>
      <c r="P548" s="1"/>
      <c r="Q548" s="55" t="s">
        <v>7</v>
      </c>
      <c r="R548" s="55" t="s">
        <v>7</v>
      </c>
    </row>
    <row r="549" spans="1:20" ht="15.75" customHeight="1" x14ac:dyDescent="0.3">
      <c r="A549" s="71" t="s">
        <v>565</v>
      </c>
      <c r="B549" s="1"/>
      <c r="C549" s="1">
        <v>244</v>
      </c>
      <c r="D549" s="1">
        <f>304+1878</f>
        <v>2182</v>
      </c>
      <c r="E549" s="55">
        <f>SUM(B549:D549)</f>
        <v>2426</v>
      </c>
      <c r="F549" s="1">
        <v>9200</v>
      </c>
      <c r="G549" s="1">
        <v>8411</v>
      </c>
      <c r="H549" s="1">
        <v>9834</v>
      </c>
      <c r="I549" s="55">
        <f>SUM(F549:H549)</f>
        <v>27445</v>
      </c>
      <c r="J549" s="1">
        <v>10444</v>
      </c>
      <c r="K549" s="1">
        <v>6480</v>
      </c>
      <c r="L549" s="1">
        <v>1247</v>
      </c>
      <c r="M549" s="55">
        <f>SUM(J549:L549)</f>
        <v>18171</v>
      </c>
      <c r="N549" s="1">
        <v>274</v>
      </c>
      <c r="O549" s="1"/>
      <c r="P549" s="1">
        <v>719</v>
      </c>
      <c r="Q549" s="55">
        <f>SUM(N549:P549)</f>
        <v>993</v>
      </c>
      <c r="R549" s="55">
        <f>+E549+I549+M549+Q549</f>
        <v>49035</v>
      </c>
    </row>
    <row r="550" spans="1:20" ht="15.75" customHeight="1" thickBot="1" x14ac:dyDescent="0.35">
      <c r="A550" s="15" t="s">
        <v>58</v>
      </c>
      <c r="B550" s="1"/>
      <c r="C550" s="1"/>
      <c r="D550" s="1"/>
      <c r="E550" s="55" t="s">
        <v>7</v>
      </c>
      <c r="F550" s="1"/>
      <c r="G550" s="1"/>
      <c r="H550" s="1"/>
      <c r="I550" s="55" t="s">
        <v>7</v>
      </c>
      <c r="J550" s="1"/>
      <c r="K550" s="1"/>
      <c r="L550" s="1"/>
      <c r="M550" s="55" t="s">
        <v>7</v>
      </c>
      <c r="N550" s="1"/>
      <c r="O550" s="1"/>
      <c r="P550" s="1"/>
      <c r="Q550" s="55" t="s">
        <v>7</v>
      </c>
      <c r="R550" s="55" t="s">
        <v>7</v>
      </c>
    </row>
    <row r="551" spans="1:20" ht="16.5" customHeight="1" thickBot="1" x14ac:dyDescent="0.35">
      <c r="A551" s="57" t="s">
        <v>59</v>
      </c>
      <c r="B551" s="86">
        <f>SUM(B547:B550)</f>
        <v>0</v>
      </c>
      <c r="C551" s="87">
        <f>SUM(C547:C550)</f>
        <v>244</v>
      </c>
      <c r="D551" s="87">
        <f>SUM(D547:D550)</f>
        <v>2182</v>
      </c>
      <c r="E551" s="59">
        <f>SUM(B551:D551)</f>
        <v>2426</v>
      </c>
      <c r="F551" s="87">
        <f>SUM(F547:F550)</f>
        <v>9200</v>
      </c>
      <c r="G551" s="87">
        <f>SUM(G547:G550)</f>
        <v>8411</v>
      </c>
      <c r="H551" s="87">
        <f>SUM(H547:H550)</f>
        <v>9834</v>
      </c>
      <c r="I551" s="59">
        <f>SUM(F551:H551)</f>
        <v>27445</v>
      </c>
      <c r="J551" s="87">
        <f>SUM(J547:J550)</f>
        <v>10444</v>
      </c>
      <c r="K551" s="87">
        <f>SUM(K547:K550)</f>
        <v>6480</v>
      </c>
      <c r="L551" s="87">
        <f>SUM(L547:L550)</f>
        <v>1247</v>
      </c>
      <c r="M551" s="59">
        <f>SUM(J551:L551)</f>
        <v>18171</v>
      </c>
      <c r="N551" s="87">
        <f>SUM(N547:N550)</f>
        <v>274</v>
      </c>
      <c r="O551" s="87">
        <f>SUM(O547:O550)</f>
        <v>0</v>
      </c>
      <c r="P551" s="87">
        <f>SUM(P547:P550)</f>
        <v>719</v>
      </c>
      <c r="Q551" s="59">
        <f>SUM(N551:P551)</f>
        <v>993</v>
      </c>
      <c r="R551" s="59">
        <f>+E551+I551+M551+Q551</f>
        <v>49035</v>
      </c>
    </row>
    <row r="552" spans="1:20" ht="15.75" customHeight="1" x14ac:dyDescent="0.3">
      <c r="A552" s="15" t="s">
        <v>60</v>
      </c>
      <c r="B552" s="1"/>
      <c r="C552" s="1"/>
      <c r="D552" s="1"/>
      <c r="E552" s="55" t="s">
        <v>7</v>
      </c>
      <c r="F552" s="1"/>
      <c r="G552" s="1"/>
      <c r="H552" s="1"/>
      <c r="I552" s="55" t="s">
        <v>7</v>
      </c>
      <c r="J552" s="1"/>
      <c r="K552" s="1"/>
      <c r="L552" s="1"/>
      <c r="M552" s="55" t="s">
        <v>7</v>
      </c>
      <c r="N552" s="1"/>
      <c r="O552" s="1"/>
      <c r="P552" s="1"/>
      <c r="Q552" s="55" t="s">
        <v>7</v>
      </c>
      <c r="R552" s="55" t="s">
        <v>7</v>
      </c>
    </row>
    <row r="553" spans="1:20" ht="15.75" customHeight="1" x14ac:dyDescent="0.3">
      <c r="A553" s="15" t="s">
        <v>61</v>
      </c>
      <c r="B553" s="1"/>
      <c r="C553" s="1"/>
      <c r="D553" s="1"/>
      <c r="E553" s="55" t="s">
        <v>7</v>
      </c>
      <c r="F553" s="1"/>
      <c r="G553" s="1"/>
      <c r="H553" s="1"/>
      <c r="I553" s="55" t="s">
        <v>7</v>
      </c>
      <c r="J553" s="1"/>
      <c r="K553" s="1"/>
      <c r="L553" s="1"/>
      <c r="M553" s="55" t="s">
        <v>7</v>
      </c>
      <c r="N553" s="1"/>
      <c r="O553" s="1"/>
      <c r="P553" s="1"/>
      <c r="Q553" s="55" t="s">
        <v>7</v>
      </c>
      <c r="R553" s="55" t="s">
        <v>7</v>
      </c>
    </row>
    <row r="554" spans="1:20" ht="15.75" customHeight="1" x14ac:dyDescent="0.3">
      <c r="A554" s="15" t="s">
        <v>62</v>
      </c>
      <c r="B554" s="1"/>
      <c r="C554" s="1"/>
      <c r="D554" s="1"/>
      <c r="E554" s="55" t="s">
        <v>7</v>
      </c>
      <c r="F554" s="1"/>
      <c r="G554" s="1"/>
      <c r="H554" s="1"/>
      <c r="I554" s="55" t="s">
        <v>7</v>
      </c>
      <c r="J554" s="1"/>
      <c r="K554" s="1"/>
      <c r="L554" s="1"/>
      <c r="M554" s="55" t="s">
        <v>7</v>
      </c>
      <c r="N554" s="1"/>
      <c r="O554" s="1"/>
      <c r="P554" s="1"/>
      <c r="Q554" s="55" t="s">
        <v>7</v>
      </c>
      <c r="R554" s="55" t="s">
        <v>7</v>
      </c>
    </row>
    <row r="555" spans="1:20" ht="15.75" customHeight="1" x14ac:dyDescent="0.3">
      <c r="A555" s="71" t="s">
        <v>1430</v>
      </c>
      <c r="B555" s="1"/>
      <c r="C555" s="1"/>
      <c r="D555" s="1"/>
      <c r="E555" s="55">
        <f>SUM(B555:D555)</f>
        <v>0</v>
      </c>
      <c r="F555" s="1"/>
      <c r="G555" s="1"/>
      <c r="H555" s="1">
        <v>2000</v>
      </c>
      <c r="I555" s="55">
        <f>SUM(F555:H555)</f>
        <v>2000</v>
      </c>
      <c r="J555" s="1"/>
      <c r="K555" s="1"/>
      <c r="L555" s="1"/>
      <c r="M555" s="55">
        <f>SUM(J555:L555)</f>
        <v>0</v>
      </c>
      <c r="N555" s="1"/>
      <c r="O555" s="1"/>
      <c r="P555" s="1"/>
      <c r="Q555" s="55">
        <f>SUM(N555:P555)</f>
        <v>0</v>
      </c>
      <c r="R555" s="55">
        <f>+E555+I555+M555+Q555</f>
        <v>2000</v>
      </c>
      <c r="T555" s="4" t="s">
        <v>938</v>
      </c>
    </row>
    <row r="556" spans="1:20" ht="15.75" customHeight="1" x14ac:dyDescent="0.3">
      <c r="A556" s="27" t="s">
        <v>1431</v>
      </c>
      <c r="B556" s="1"/>
      <c r="C556" s="1"/>
      <c r="D556" s="1"/>
      <c r="E556" s="55">
        <f>SUM(B556:D556)</f>
        <v>0</v>
      </c>
      <c r="F556" s="1"/>
      <c r="G556" s="1"/>
      <c r="H556" s="1"/>
      <c r="I556" s="55">
        <f>SUM(F556:H556)</f>
        <v>0</v>
      </c>
      <c r="J556" s="1"/>
      <c r="K556" s="1"/>
      <c r="L556" s="1"/>
      <c r="M556" s="55">
        <f>SUM(J556:L556)</f>
        <v>0</v>
      </c>
      <c r="N556" s="1">
        <v>850</v>
      </c>
      <c r="O556" s="1"/>
      <c r="P556" s="1"/>
      <c r="Q556" s="55">
        <f>SUM(N556:P556)</f>
        <v>850</v>
      </c>
      <c r="R556" s="55">
        <f>+E556+I556+M556+Q556</f>
        <v>850</v>
      </c>
    </row>
    <row r="557" spans="1:20" ht="15.75" customHeight="1" thickBot="1" x14ac:dyDescent="0.35">
      <c r="A557" s="359" t="s">
        <v>982</v>
      </c>
      <c r="B557" s="1"/>
      <c r="C557" s="1"/>
      <c r="E557" s="55">
        <f>SUM(B557:D557)</f>
        <v>0</v>
      </c>
      <c r="F557" s="1"/>
      <c r="G557" s="1"/>
      <c r="H557" s="1">
        <v>2000</v>
      </c>
      <c r="I557" s="55">
        <f>SUM(F557:H557)</f>
        <v>2000</v>
      </c>
      <c r="J557" s="1">
        <v>6000</v>
      </c>
      <c r="K557" s="1">
        <v>6000</v>
      </c>
      <c r="L557" s="1">
        <v>6000</v>
      </c>
      <c r="M557" s="55">
        <f>SUM(J557:L557)</f>
        <v>18000</v>
      </c>
      <c r="N557" s="1"/>
      <c r="O557" s="1"/>
      <c r="P557" s="1"/>
      <c r="Q557" s="55">
        <f>SUM(N557:P557)</f>
        <v>0</v>
      </c>
      <c r="R557" s="55">
        <f>+E557+I557+M557+Q557</f>
        <v>20000</v>
      </c>
      <c r="T557" s="4" t="s">
        <v>938</v>
      </c>
    </row>
    <row r="558" spans="1:20" ht="16.5" customHeight="1" thickBot="1" x14ac:dyDescent="0.35">
      <c r="A558" s="114" t="s">
        <v>63</v>
      </c>
      <c r="B558" s="86">
        <f>SUM(B552:B557)</f>
        <v>0</v>
      </c>
      <c r="C558" s="87">
        <f>SUM(C552:C557)</f>
        <v>0</v>
      </c>
      <c r="D558" s="87">
        <f>SUM(D552:D557)</f>
        <v>0</v>
      </c>
      <c r="E558" s="59">
        <f>SUM(B558:D558)</f>
        <v>0</v>
      </c>
      <c r="F558" s="87">
        <f>SUM(F552:F557)</f>
        <v>0</v>
      </c>
      <c r="G558" s="87">
        <f>SUM(G552:G557)</f>
        <v>0</v>
      </c>
      <c r="H558" s="87">
        <f>SUM(H552:H557)</f>
        <v>4000</v>
      </c>
      <c r="I558" s="59">
        <f>SUM(F558:H558)</f>
        <v>4000</v>
      </c>
      <c r="J558" s="87">
        <f>SUM(J552:J557)</f>
        <v>6000</v>
      </c>
      <c r="K558" s="87">
        <f>SUM(K552:K557)</f>
        <v>6000</v>
      </c>
      <c r="L558" s="87">
        <f>SUM(L552:L557)</f>
        <v>6000</v>
      </c>
      <c r="M558" s="59">
        <f>SUM(J558:L558)</f>
        <v>18000</v>
      </c>
      <c r="N558" s="87">
        <f>SUM(N552:N557)</f>
        <v>850</v>
      </c>
      <c r="O558" s="87">
        <f>SUM(O552:O557)</f>
        <v>0</v>
      </c>
      <c r="P558" s="87">
        <f>SUM(P552:P557)</f>
        <v>0</v>
      </c>
      <c r="Q558" s="59">
        <f>SUM(N558:P558)</f>
        <v>850</v>
      </c>
      <c r="R558" s="59">
        <f>+E558+I558+M558+Q558</f>
        <v>22850</v>
      </c>
    </row>
    <row r="559" spans="1:20" ht="15.75" customHeight="1" x14ac:dyDescent="0.3">
      <c r="A559" s="15" t="s">
        <v>64</v>
      </c>
      <c r="B559" s="1"/>
      <c r="C559" s="1"/>
      <c r="D559" s="1"/>
      <c r="E559" s="55" t="s">
        <v>7</v>
      </c>
      <c r="F559" s="1"/>
      <c r="G559" s="1"/>
      <c r="H559" s="1"/>
      <c r="I559" s="55" t="s">
        <v>7</v>
      </c>
      <c r="J559" s="1"/>
      <c r="K559" s="1"/>
      <c r="L559" s="1"/>
      <c r="M559" s="55" t="s">
        <v>7</v>
      </c>
      <c r="N559" s="1"/>
      <c r="O559" s="1"/>
      <c r="P559" s="1"/>
      <c r="Q559" s="55" t="s">
        <v>7</v>
      </c>
      <c r="R559" s="55" t="s">
        <v>7</v>
      </c>
    </row>
    <row r="560" spans="1:20" ht="15.75" customHeight="1" x14ac:dyDescent="0.3">
      <c r="A560" s="15" t="s">
        <v>594</v>
      </c>
      <c r="B560" s="1"/>
      <c r="C560" s="1"/>
      <c r="D560" s="1"/>
      <c r="E560" s="55" t="s">
        <v>7</v>
      </c>
      <c r="F560" s="1"/>
      <c r="G560" s="1"/>
      <c r="H560" s="1"/>
      <c r="I560" s="55" t="s">
        <v>7</v>
      </c>
      <c r="J560" s="1"/>
      <c r="K560" s="1"/>
      <c r="L560" s="1"/>
      <c r="M560" s="55" t="s">
        <v>7</v>
      </c>
      <c r="N560" s="1"/>
      <c r="O560" s="1"/>
      <c r="P560" s="1"/>
      <c r="Q560" s="55" t="s">
        <v>7</v>
      </c>
      <c r="R560" s="55" t="s">
        <v>7</v>
      </c>
    </row>
    <row r="561" spans="1:20" ht="15.75" customHeight="1" x14ac:dyDescent="0.3">
      <c r="A561" s="15" t="s">
        <v>67</v>
      </c>
      <c r="B561" s="1"/>
      <c r="C561" s="1"/>
      <c r="D561" s="1"/>
      <c r="E561" s="55" t="s">
        <v>7</v>
      </c>
      <c r="F561" s="1"/>
      <c r="G561" s="1"/>
      <c r="H561" s="1"/>
      <c r="I561" s="55" t="s">
        <v>7</v>
      </c>
      <c r="J561" s="1"/>
      <c r="K561" s="1"/>
      <c r="L561" s="1"/>
      <c r="M561" s="55" t="s">
        <v>7</v>
      </c>
      <c r="N561" s="1"/>
      <c r="O561" s="1"/>
      <c r="P561" s="1"/>
      <c r="Q561" s="55" t="s">
        <v>7</v>
      </c>
      <c r="R561" s="55" t="s">
        <v>7</v>
      </c>
    </row>
    <row r="562" spans="1:20" ht="15.75" customHeight="1" x14ac:dyDescent="0.3">
      <c r="A562" s="15" t="s">
        <v>600</v>
      </c>
      <c r="B562" s="1"/>
      <c r="C562" s="1"/>
      <c r="D562" s="1"/>
      <c r="E562" s="55" t="s">
        <v>7</v>
      </c>
      <c r="F562" s="1"/>
      <c r="G562" s="1"/>
      <c r="H562" s="1"/>
      <c r="I562" s="55" t="s">
        <v>7</v>
      </c>
      <c r="J562" s="1"/>
      <c r="K562" s="1"/>
      <c r="L562" s="1"/>
      <c r="M562" s="55" t="s">
        <v>7</v>
      </c>
      <c r="N562" s="1"/>
      <c r="O562" s="1"/>
      <c r="P562" s="1"/>
      <c r="Q562" s="55" t="s">
        <v>7</v>
      </c>
      <c r="R562" s="55" t="s">
        <v>7</v>
      </c>
    </row>
    <row r="563" spans="1:20" ht="15.75" customHeight="1" x14ac:dyDescent="0.3">
      <c r="A563" s="15" t="s">
        <v>70</v>
      </c>
      <c r="B563" s="1"/>
      <c r="C563" s="1"/>
      <c r="D563" s="1"/>
      <c r="E563" s="55" t="s">
        <v>7</v>
      </c>
      <c r="F563" s="1"/>
      <c r="G563" s="1"/>
      <c r="H563" s="1"/>
      <c r="I563" s="55" t="s">
        <v>7</v>
      </c>
      <c r="J563" s="1"/>
      <c r="K563" s="1"/>
      <c r="L563" s="1"/>
      <c r="M563" s="55" t="s">
        <v>7</v>
      </c>
      <c r="N563" s="1"/>
      <c r="O563" s="1"/>
      <c r="P563" s="1"/>
      <c r="Q563" s="55" t="s">
        <v>7</v>
      </c>
      <c r="R563" s="55" t="s">
        <v>7</v>
      </c>
    </row>
    <row r="564" spans="1:20" ht="15.75" customHeight="1" x14ac:dyDescent="0.3">
      <c r="A564" s="71" t="s">
        <v>977</v>
      </c>
      <c r="B564" s="1"/>
      <c r="C564" s="1"/>
      <c r="D564" s="1"/>
      <c r="E564" s="55">
        <f t="shared" ref="E564:E565" si="221">SUM(B564:D564)</f>
        <v>0</v>
      </c>
      <c r="F564" s="1"/>
      <c r="G564" s="1"/>
      <c r="H564" s="1"/>
      <c r="I564" s="55">
        <f t="shared" ref="I564:I565" si="222">SUM(F564:H564)</f>
        <v>0</v>
      </c>
      <c r="J564" s="1"/>
      <c r="K564" s="1">
        <v>1500</v>
      </c>
      <c r="L564" s="1">
        <v>3000</v>
      </c>
      <c r="M564" s="55">
        <f t="shared" ref="M564:M565" si="223">SUM(J564:L564)</f>
        <v>4500</v>
      </c>
      <c r="N564" s="1"/>
      <c r="O564" s="1"/>
      <c r="P564" s="1"/>
      <c r="Q564" s="55">
        <f t="shared" ref="Q564:Q565" si="224">SUM(N564:P564)</f>
        <v>0</v>
      </c>
      <c r="R564" s="55">
        <f t="shared" ref="R564:R569" si="225">+E564+I564+M564+Q564</f>
        <v>4500</v>
      </c>
      <c r="T564" s="4" t="s">
        <v>938</v>
      </c>
    </row>
    <row r="565" spans="1:20" ht="15.75" customHeight="1" thickBot="1" x14ac:dyDescent="0.35">
      <c r="A565" s="71" t="s">
        <v>983</v>
      </c>
      <c r="B565" s="1"/>
      <c r="C565" s="1"/>
      <c r="D565" s="1"/>
      <c r="E565" s="55">
        <f t="shared" si="221"/>
        <v>0</v>
      </c>
      <c r="F565" s="1"/>
      <c r="G565" s="1"/>
      <c r="H565" s="1"/>
      <c r="I565" s="55">
        <f t="shared" si="222"/>
        <v>0</v>
      </c>
      <c r="J565" s="1"/>
      <c r="K565" s="1"/>
      <c r="L565" s="1"/>
      <c r="M565" s="55">
        <f t="shared" si="223"/>
        <v>0</v>
      </c>
      <c r="N565" s="1"/>
      <c r="O565" s="1"/>
      <c r="P565" s="1"/>
      <c r="Q565" s="55">
        <f t="shared" si="224"/>
        <v>0</v>
      </c>
      <c r="R565" s="55">
        <f t="shared" si="225"/>
        <v>0</v>
      </c>
      <c r="T565" s="4" t="s">
        <v>938</v>
      </c>
    </row>
    <row r="566" spans="1:20" ht="16.5" customHeight="1" thickBot="1" x14ac:dyDescent="0.35">
      <c r="A566" s="57" t="s">
        <v>71</v>
      </c>
      <c r="B566" s="58">
        <f>SUM(B562:B565)</f>
        <v>0</v>
      </c>
      <c r="C566" s="58">
        <f>SUM(C562:C565)</f>
        <v>0</v>
      </c>
      <c r="D566" s="58">
        <f>SUM(D562:D565)</f>
        <v>0</v>
      </c>
      <c r="E566" s="60">
        <f t="shared" ref="E566:E569" si="226">SUM(B566:D566)</f>
        <v>0</v>
      </c>
      <c r="F566" s="58">
        <f>SUM(F562:F565)</f>
        <v>0</v>
      </c>
      <c r="G566" s="58">
        <f>SUM(G562:G565)</f>
        <v>0</v>
      </c>
      <c r="H566" s="58">
        <f>SUM(H562:H565)</f>
        <v>0</v>
      </c>
      <c r="I566" s="60">
        <f t="shared" ref="I566:I569" si="227">SUM(F566:H566)</f>
        <v>0</v>
      </c>
      <c r="J566" s="58">
        <f>SUM(J562:J565)</f>
        <v>0</v>
      </c>
      <c r="K566" s="58">
        <f>SUM(K562:K565)</f>
        <v>1500</v>
      </c>
      <c r="L566" s="58">
        <f>SUM(L562:L565)</f>
        <v>3000</v>
      </c>
      <c r="M566" s="60">
        <f t="shared" ref="M566:M569" si="228">SUM(J566:L566)</f>
        <v>4500</v>
      </c>
      <c r="N566" s="58">
        <f>SUM(N562:N565)</f>
        <v>0</v>
      </c>
      <c r="O566" s="58">
        <f>SUM(O562:O565)</f>
        <v>0</v>
      </c>
      <c r="P566" s="58">
        <f>SUM(P562:P565)</f>
        <v>0</v>
      </c>
      <c r="Q566" s="60">
        <f t="shared" ref="Q566:Q569" si="229">SUM(N566:P566)</f>
        <v>0</v>
      </c>
      <c r="R566" s="59">
        <f t="shared" si="225"/>
        <v>4500</v>
      </c>
    </row>
    <row r="567" spans="1:20" ht="16.5" customHeight="1" thickBot="1" x14ac:dyDescent="0.35">
      <c r="A567" s="114" t="s">
        <v>72</v>
      </c>
      <c r="B567" s="86">
        <f>SUM(B559:B565)</f>
        <v>0</v>
      </c>
      <c r="C567" s="87">
        <f>SUM(C559:C565)</f>
        <v>0</v>
      </c>
      <c r="D567" s="118">
        <f>SUM(D559:D565)</f>
        <v>0</v>
      </c>
      <c r="E567" s="60">
        <f t="shared" si="226"/>
        <v>0</v>
      </c>
      <c r="F567" s="87">
        <f>SUM(F559:F565)</f>
        <v>0</v>
      </c>
      <c r="G567" s="87">
        <f>SUM(G559:G565)</f>
        <v>0</v>
      </c>
      <c r="H567" s="87">
        <f>SUM(H559:H565)</f>
        <v>0</v>
      </c>
      <c r="I567" s="60">
        <f t="shared" si="227"/>
        <v>0</v>
      </c>
      <c r="J567" s="87">
        <f>SUM(J559:J565)</f>
        <v>0</v>
      </c>
      <c r="K567" s="87">
        <f>SUM(K559:K565)</f>
        <v>1500</v>
      </c>
      <c r="L567" s="87">
        <f>SUM(L559:L565)</f>
        <v>3000</v>
      </c>
      <c r="M567" s="60">
        <f t="shared" si="228"/>
        <v>4500</v>
      </c>
      <c r="N567" s="87">
        <f>SUM(N559:N565)</f>
        <v>0</v>
      </c>
      <c r="O567" s="87">
        <f>SUM(O559:O565)</f>
        <v>0</v>
      </c>
      <c r="P567" s="87">
        <f>SUM(P559:P565)</f>
        <v>0</v>
      </c>
      <c r="Q567" s="60">
        <f t="shared" si="229"/>
        <v>0</v>
      </c>
      <c r="R567" s="59">
        <f t="shared" si="225"/>
        <v>4500</v>
      </c>
    </row>
    <row r="568" spans="1:20" ht="16.5" customHeight="1" thickBot="1" x14ac:dyDescent="0.35">
      <c r="A568" s="57" t="s">
        <v>73</v>
      </c>
      <c r="B568" s="90">
        <f>+B546+B551+B558+B567</f>
        <v>0</v>
      </c>
      <c r="C568" s="58">
        <f>+C546+C551+C558+C567</f>
        <v>244</v>
      </c>
      <c r="D568" s="58">
        <f>+D546+D551+D558+D567</f>
        <v>2182</v>
      </c>
      <c r="E568" s="59">
        <f t="shared" si="226"/>
        <v>2426</v>
      </c>
      <c r="F568" s="58">
        <f>+F546+F551+F558+F567</f>
        <v>11728</v>
      </c>
      <c r="G568" s="58">
        <f>+G546+G551+G558+G567</f>
        <v>8420</v>
      </c>
      <c r="H568" s="58">
        <f>+H546+H551+H558+H567</f>
        <v>13839</v>
      </c>
      <c r="I568" s="59">
        <f t="shared" si="227"/>
        <v>33987</v>
      </c>
      <c r="J568" s="58">
        <f>+J546+J551+J558+J567</f>
        <v>16447</v>
      </c>
      <c r="K568" s="58">
        <f>+K546+K551+K558+K567</f>
        <v>13989</v>
      </c>
      <c r="L568" s="58">
        <f>+L546+L551+L558+L567</f>
        <v>10258</v>
      </c>
      <c r="M568" s="59">
        <f t="shared" si="228"/>
        <v>40694</v>
      </c>
      <c r="N568" s="58">
        <f>+N546+N551+N558+N567</f>
        <v>1208</v>
      </c>
      <c r="O568" s="58">
        <f>+O546+O551+O558+O567</f>
        <v>0</v>
      </c>
      <c r="P568" s="58">
        <f>+P546+P551+P558+P567</f>
        <v>719</v>
      </c>
      <c r="Q568" s="59">
        <f t="shared" si="229"/>
        <v>1927</v>
      </c>
      <c r="R568" s="81">
        <f>+E568+I568+M568+Q568</f>
        <v>79034</v>
      </c>
    </row>
    <row r="569" spans="1:20" ht="16.5" customHeight="1" thickBot="1" x14ac:dyDescent="0.35">
      <c r="A569" s="39" t="s">
        <v>40</v>
      </c>
      <c r="B569" s="21">
        <v>9</v>
      </c>
      <c r="C569" s="21">
        <v>16</v>
      </c>
      <c r="D569" s="21">
        <v>25</v>
      </c>
      <c r="E569" s="55">
        <f t="shared" si="226"/>
        <v>50</v>
      </c>
      <c r="F569" s="21">
        <v>34</v>
      </c>
      <c r="G569" s="21">
        <v>41</v>
      </c>
      <c r="H569" s="21">
        <v>41</v>
      </c>
      <c r="I569" s="55">
        <f t="shared" si="227"/>
        <v>116</v>
      </c>
      <c r="J569" s="21">
        <v>39</v>
      </c>
      <c r="K569" s="21">
        <v>30</v>
      </c>
      <c r="L569" s="21">
        <v>30</v>
      </c>
      <c r="M569" s="55">
        <f t="shared" si="228"/>
        <v>99</v>
      </c>
      <c r="N569" s="21">
        <v>28</v>
      </c>
      <c r="O569" s="21">
        <v>22</v>
      </c>
      <c r="P569" s="21">
        <v>16</v>
      </c>
      <c r="Q569" s="55">
        <f t="shared" si="229"/>
        <v>66</v>
      </c>
      <c r="R569" s="55">
        <f t="shared" si="225"/>
        <v>331</v>
      </c>
    </row>
    <row r="570" spans="1:20" ht="16.5" customHeight="1" thickBot="1" x14ac:dyDescent="0.35">
      <c r="A570" s="74"/>
      <c r="B570" s="75"/>
      <c r="C570" s="75"/>
      <c r="D570" s="75"/>
      <c r="E570" s="59"/>
      <c r="F570" s="75"/>
      <c r="G570" s="75"/>
      <c r="H570" s="75"/>
      <c r="I570" s="59"/>
      <c r="J570" s="75"/>
      <c r="K570" s="75"/>
      <c r="L570" s="75"/>
      <c r="M570" s="59"/>
      <c r="N570" s="75"/>
      <c r="O570" s="75"/>
      <c r="P570" s="75"/>
      <c r="Q570" s="59"/>
      <c r="R570" s="59" t="s">
        <v>7</v>
      </c>
    </row>
    <row r="571" spans="1:20" ht="15.75" customHeight="1" x14ac:dyDescent="0.3">
      <c r="A571" s="76" t="s">
        <v>41</v>
      </c>
      <c r="B571" s="77">
        <f>SUM(B568:B569)</f>
        <v>9</v>
      </c>
      <c r="C571" s="77">
        <f>SUM(C568:C569)</f>
        <v>260</v>
      </c>
      <c r="D571" s="77">
        <f>SUM(D568:D569)</f>
        <v>2207</v>
      </c>
      <c r="E571" s="60">
        <f>SUM(B571:D571)</f>
        <v>2476</v>
      </c>
      <c r="F571" s="77">
        <f>SUM(F568:F569)</f>
        <v>11762</v>
      </c>
      <c r="G571" s="77">
        <f>SUM(G568:G569)</f>
        <v>8461</v>
      </c>
      <c r="H571" s="77">
        <f>SUM(H568:H569)</f>
        <v>13880</v>
      </c>
      <c r="I571" s="60">
        <f>SUM(F571:H571)</f>
        <v>34103</v>
      </c>
      <c r="J571" s="77">
        <f>SUM(J568:J569)</f>
        <v>16486</v>
      </c>
      <c r="K571" s="77">
        <f>SUM(K568:K569)</f>
        <v>14019</v>
      </c>
      <c r="L571" s="77">
        <f>SUM(L568:L569)</f>
        <v>10288</v>
      </c>
      <c r="M571" s="60">
        <f>SUM(J571:L571)</f>
        <v>40793</v>
      </c>
      <c r="N571" s="77">
        <f>SUM(N568:N569)</f>
        <v>1236</v>
      </c>
      <c r="O571" s="77">
        <f>SUM(O568:O569)</f>
        <v>22</v>
      </c>
      <c r="P571" s="77">
        <f>SUM(P568:P569)</f>
        <v>735</v>
      </c>
      <c r="Q571" s="60">
        <f>SUM(N571:P571)</f>
        <v>1993</v>
      </c>
      <c r="R571" s="60">
        <f>+E571+I571+M571+Q571</f>
        <v>79365</v>
      </c>
    </row>
    <row r="572" spans="1:20" ht="15.75" customHeight="1" x14ac:dyDescent="0.3">
      <c r="A572" s="79" t="s">
        <v>42</v>
      </c>
      <c r="B572" s="1">
        <f>(B571/B10)/1.983</f>
        <v>0.14640573910497293</v>
      </c>
      <c r="C572" s="1">
        <f>(C571/C10)/1.983</f>
        <v>4.5211887248508873</v>
      </c>
      <c r="D572" s="1">
        <f>(D571/D10)/1.983</f>
        <v>35.901940689408356</v>
      </c>
      <c r="E572" s="55" t="s">
        <v>7</v>
      </c>
      <c r="F572" s="1">
        <f>(F571/F10)/1.983</f>
        <v>197.71390149604974</v>
      </c>
      <c r="G572" s="1">
        <f>(G571/G10)/1.983</f>
        <v>137.63766206301952</v>
      </c>
      <c r="H572" s="1">
        <f>(H571/H10)/1.983</f>
        <v>233.31652378551016</v>
      </c>
      <c r="I572" s="55" t="s">
        <v>7</v>
      </c>
      <c r="J572" s="1">
        <f>(J571/J10)/1.983</f>
        <v>268.18277943162036</v>
      </c>
      <c r="K572" s="1">
        <f>(K571/K10)/1.983</f>
        <v>228.05133961251281</v>
      </c>
      <c r="L572" s="1">
        <f>(L571/L10)/1.983</f>
        <v>172.93662800470668</v>
      </c>
      <c r="M572" s="55" t="s">
        <v>7</v>
      </c>
      <c r="N572" s="1">
        <f>(N571/N10)/1.983</f>
        <v>20.106388170416277</v>
      </c>
      <c r="O572" s="1">
        <f>(O571/O10)/1.983</f>
        <v>0.36981005210959822</v>
      </c>
      <c r="P572" s="1">
        <f>(P571/P10)/1.983</f>
        <v>11.956468693572788</v>
      </c>
      <c r="Q572" s="55" t="s">
        <v>7</v>
      </c>
      <c r="R572" s="55" t="s">
        <v>7</v>
      </c>
    </row>
    <row r="573" spans="1:20" ht="15.75" customHeight="1" x14ac:dyDescent="0.3">
      <c r="A573" s="79" t="s">
        <v>303</v>
      </c>
      <c r="B573" s="1">
        <f>B571+B618</f>
        <v>14138</v>
      </c>
      <c r="C573" s="1">
        <f>C571+C618</f>
        <v>23040</v>
      </c>
      <c r="D573" s="1">
        <f>D571+D618</f>
        <v>30482</v>
      </c>
      <c r="E573" s="55">
        <f>SUM(B573:D573)</f>
        <v>67660</v>
      </c>
      <c r="F573" s="1">
        <f>F571+F618</f>
        <v>48830</v>
      </c>
      <c r="G573" s="1">
        <f>G571+G618</f>
        <v>43779</v>
      </c>
      <c r="H573" s="1">
        <f>H571+H618</f>
        <v>46499</v>
      </c>
      <c r="I573" s="55">
        <f>SUM(F573:H573)</f>
        <v>139108</v>
      </c>
      <c r="J573" s="1">
        <f>J571+J618</f>
        <v>52305</v>
      </c>
      <c r="K573" s="1">
        <f>K571+K618</f>
        <v>48848</v>
      </c>
      <c r="L573" s="1">
        <f>L571+L618</f>
        <v>35251</v>
      </c>
      <c r="M573" s="55">
        <f>SUM(J573:L573)</f>
        <v>136404</v>
      </c>
      <c r="N573" s="1">
        <f>N571+N618</f>
        <v>15682</v>
      </c>
      <c r="O573" s="1">
        <f>O571+O618</f>
        <v>3531</v>
      </c>
      <c r="P573" s="1">
        <f>P571+P618</f>
        <v>11038</v>
      </c>
      <c r="Q573" s="55">
        <f>SUM(N573:P573)</f>
        <v>30251</v>
      </c>
      <c r="R573" s="55">
        <f>+E573+I573+M573+Q573</f>
        <v>373423</v>
      </c>
    </row>
    <row r="574" spans="1:20" ht="16.5" customHeight="1" thickBot="1" x14ac:dyDescent="0.35">
      <c r="A574" s="80" t="s">
        <v>304</v>
      </c>
      <c r="B574" s="25">
        <f>(B573/B10)/1.983</f>
        <v>229.98714882956745</v>
      </c>
      <c r="C574" s="25">
        <f>(C573/C10)/1.983</f>
        <v>400.64687777140171</v>
      </c>
      <c r="D574" s="25">
        <f>(D573/D10)/1.983</f>
        <v>495.85997104419823</v>
      </c>
      <c r="E574" s="81" t="s">
        <v>7</v>
      </c>
      <c r="F574" s="25">
        <f>(F573/F10)/1.983</f>
        <v>820.81022020507646</v>
      </c>
      <c r="G574" s="25">
        <f>(G573/G10)/1.983</f>
        <v>712.16631691962323</v>
      </c>
      <c r="H574" s="25">
        <f>(H573/H10)/1.983</f>
        <v>781.62716422928224</v>
      </c>
      <c r="I574" s="81" t="s">
        <v>7</v>
      </c>
      <c r="J574" s="25">
        <f>(J573/J10)/1.983</f>
        <v>850.86135376506752</v>
      </c>
      <c r="K574" s="25">
        <f>(K573/K10)/1.983</f>
        <v>794.62528264441301</v>
      </c>
      <c r="L574" s="25">
        <f>(L573/L10)/1.983</f>
        <v>592.55337031433851</v>
      </c>
      <c r="M574" s="81" t="s">
        <v>7</v>
      </c>
      <c r="N574" s="25">
        <f>(N573/N10)/1.983</f>
        <v>255.1038667382428</v>
      </c>
      <c r="O574" s="25">
        <f>(O573/O10)/1.983</f>
        <v>59.35451336359052</v>
      </c>
      <c r="P574" s="25">
        <f>(P573/P10)/1.983</f>
        <v>179.55850536007677</v>
      </c>
      <c r="Q574" s="81" t="s">
        <v>7</v>
      </c>
      <c r="R574" s="81" t="s">
        <v>7</v>
      </c>
    </row>
    <row r="575" spans="1:20" ht="15.75" customHeight="1" x14ac:dyDescent="0.3">
      <c r="A575" s="2"/>
      <c r="B575" s="1"/>
      <c r="C575" s="1"/>
      <c r="D575" s="1"/>
      <c r="E575" s="1"/>
      <c r="F575" s="1"/>
      <c r="G575" s="1"/>
      <c r="H575" s="1"/>
      <c r="I575" s="1"/>
      <c r="J575" s="1"/>
      <c r="K575" s="1"/>
      <c r="L575" s="1"/>
      <c r="M575" s="1"/>
      <c r="N575" s="1"/>
      <c r="O575" s="1"/>
      <c r="P575" s="1"/>
      <c r="Q575" s="1"/>
      <c r="R575" s="2"/>
    </row>
    <row r="576" spans="1:20" ht="15.75" customHeight="1" thickBot="1" x14ac:dyDescent="0.35">
      <c r="A576" s="2"/>
      <c r="B576" s="1"/>
      <c r="C576" s="1"/>
      <c r="D576" s="1"/>
      <c r="E576" s="1"/>
      <c r="F576" s="1"/>
      <c r="G576" s="1"/>
      <c r="H576" s="1"/>
      <c r="I576" s="1"/>
      <c r="J576" s="1"/>
      <c r="K576" s="1"/>
      <c r="L576" s="1"/>
      <c r="M576" s="1"/>
      <c r="N576" s="1"/>
      <c r="O576" s="1"/>
      <c r="P576" s="1"/>
      <c r="Q576" s="1"/>
      <c r="R576" s="2"/>
    </row>
    <row r="577" spans="1:20" ht="16.5" customHeight="1" thickBot="1" x14ac:dyDescent="0.35">
      <c r="A577" s="124" t="s">
        <v>305</v>
      </c>
      <c r="B577" s="30" t="s">
        <v>8</v>
      </c>
      <c r="C577" s="31" t="s">
        <v>9</v>
      </c>
      <c r="D577" s="31" t="s">
        <v>10</v>
      </c>
      <c r="E577" s="32" t="s">
        <v>11</v>
      </c>
      <c r="F577" s="31" t="s">
        <v>12</v>
      </c>
      <c r="G577" s="31" t="s">
        <v>13</v>
      </c>
      <c r="H577" s="31" t="s">
        <v>14</v>
      </c>
      <c r="I577" s="33" t="s">
        <v>15</v>
      </c>
      <c r="J577" s="31" t="s">
        <v>16</v>
      </c>
      <c r="K577" s="31" t="s">
        <v>17</v>
      </c>
      <c r="L577" s="31" t="s">
        <v>18</v>
      </c>
      <c r="M577" s="33" t="s">
        <v>19</v>
      </c>
      <c r="N577" s="31" t="s">
        <v>20</v>
      </c>
      <c r="O577" s="31" t="s">
        <v>21</v>
      </c>
      <c r="P577" s="31" t="s">
        <v>22</v>
      </c>
      <c r="Q577" s="33" t="s">
        <v>23</v>
      </c>
      <c r="R577" s="34" t="s">
        <v>24</v>
      </c>
    </row>
    <row r="578" spans="1:20" ht="16.5" customHeight="1" thickBot="1" x14ac:dyDescent="0.35">
      <c r="A578" s="59"/>
      <c r="B578" s="75"/>
      <c r="C578" s="75"/>
      <c r="D578" s="75"/>
      <c r="E578" s="69"/>
      <c r="F578" s="75"/>
      <c r="G578" s="75"/>
      <c r="H578" s="75"/>
      <c r="I578" s="82"/>
      <c r="J578" s="75"/>
      <c r="K578" s="75"/>
      <c r="L578" s="75"/>
      <c r="M578" s="82"/>
      <c r="N578" s="75"/>
      <c r="O578" s="75"/>
      <c r="P578" s="75"/>
      <c r="Q578" s="82"/>
      <c r="R578" s="100"/>
    </row>
    <row r="579" spans="1:20" ht="15.75" customHeight="1" x14ac:dyDescent="0.3">
      <c r="A579" s="15" t="s">
        <v>48</v>
      </c>
      <c r="B579" s="1" t="s">
        <v>7</v>
      </c>
      <c r="C579" s="1" t="s">
        <v>7</v>
      </c>
      <c r="D579" s="1" t="s">
        <v>7</v>
      </c>
      <c r="E579" s="55" t="s">
        <v>7</v>
      </c>
      <c r="F579" s="1"/>
      <c r="G579" s="1"/>
      <c r="H579" s="1"/>
      <c r="I579" s="55" t="s">
        <v>7</v>
      </c>
      <c r="J579" s="1" t="s">
        <v>7</v>
      </c>
      <c r="K579" s="1" t="s">
        <v>7</v>
      </c>
      <c r="L579" s="1" t="s">
        <v>7</v>
      </c>
      <c r="M579" s="55" t="s">
        <v>7</v>
      </c>
      <c r="N579" s="1" t="s">
        <v>7</v>
      </c>
      <c r="O579" s="1" t="s">
        <v>7</v>
      </c>
      <c r="P579" s="1" t="s">
        <v>7</v>
      </c>
      <c r="Q579" s="55" t="s">
        <v>7</v>
      </c>
      <c r="R579" s="55" t="s">
        <v>7</v>
      </c>
    </row>
    <row r="580" spans="1:20" ht="15.75" customHeight="1" x14ac:dyDescent="0.3">
      <c r="A580" s="15" t="s">
        <v>49</v>
      </c>
      <c r="B580" s="1"/>
      <c r="C580" s="1"/>
      <c r="D580" s="1"/>
      <c r="E580" s="55" t="s">
        <v>7</v>
      </c>
      <c r="F580" s="1"/>
      <c r="G580" s="1"/>
      <c r="H580" s="1"/>
      <c r="I580" s="55" t="s">
        <v>7</v>
      </c>
      <c r="J580" s="1"/>
      <c r="K580" s="1"/>
      <c r="L580" s="1"/>
      <c r="M580" s="55" t="s">
        <v>7</v>
      </c>
      <c r="N580" s="1"/>
      <c r="O580" s="1"/>
      <c r="P580" s="1"/>
      <c r="Q580" s="55" t="s">
        <v>7</v>
      </c>
      <c r="R580" s="55" t="s">
        <v>7</v>
      </c>
    </row>
    <row r="581" spans="1:20" ht="15.75" customHeight="1" x14ac:dyDescent="0.3">
      <c r="A581" s="15" t="s">
        <v>984</v>
      </c>
      <c r="C581" s="1"/>
      <c r="D581" s="1"/>
      <c r="E581" s="55">
        <f>SUM(B581:D581)</f>
        <v>0</v>
      </c>
      <c r="F581" s="1"/>
      <c r="G581" s="1"/>
      <c r="H581" s="1"/>
      <c r="I581" s="55">
        <f>SUM(F581:H581)</f>
        <v>0</v>
      </c>
      <c r="J581" s="1"/>
      <c r="K581" s="1"/>
      <c r="L581" s="1"/>
      <c r="M581" s="55">
        <f>SUM(J581:L581)</f>
        <v>0</v>
      </c>
      <c r="N581" s="1"/>
      <c r="O581" s="1"/>
      <c r="P581" s="1"/>
      <c r="Q581" s="55">
        <f>SUM(N581:P581)</f>
        <v>0</v>
      </c>
      <c r="R581" s="55">
        <f>+E581+I581+M581+Q581</f>
        <v>0</v>
      </c>
      <c r="T581" s="4" t="s">
        <v>939</v>
      </c>
    </row>
    <row r="582" spans="1:20" ht="15.75" customHeight="1" x14ac:dyDescent="0.3">
      <c r="A582" s="71" t="s">
        <v>306</v>
      </c>
      <c r="B582" s="1"/>
      <c r="C582" s="1"/>
      <c r="D582" s="1"/>
      <c r="E582" s="55">
        <f>SUM(B582:D582)</f>
        <v>0</v>
      </c>
      <c r="F582" s="1">
        <v>500</v>
      </c>
      <c r="G582" s="1">
        <v>500</v>
      </c>
      <c r="H582" s="1">
        <v>1000</v>
      </c>
      <c r="I582" s="55">
        <f>SUM(F582:H582)</f>
        <v>2000</v>
      </c>
      <c r="J582" s="1"/>
      <c r="K582" s="1"/>
      <c r="L582" s="1"/>
      <c r="M582" s="55">
        <f>SUM(J582:L582)</f>
        <v>0</v>
      </c>
      <c r="N582" s="1"/>
      <c r="O582" s="1"/>
      <c r="P582" s="1"/>
      <c r="Q582" s="55">
        <f>SUM(N582:P582)</f>
        <v>0</v>
      </c>
      <c r="R582" s="55">
        <f>+E582+I582+M582+Q582</f>
        <v>2000</v>
      </c>
    </row>
    <row r="583" spans="1:20" ht="15.75" customHeight="1" x14ac:dyDescent="0.3">
      <c r="A583" s="71" t="s">
        <v>656</v>
      </c>
      <c r="B583" s="1"/>
      <c r="C583" s="1"/>
      <c r="D583" s="1">
        <v>150</v>
      </c>
      <c r="E583" s="55">
        <f>SUM(B583:D583)</f>
        <v>150</v>
      </c>
      <c r="F583" s="1">
        <v>151</v>
      </c>
      <c r="G583" s="1">
        <v>780</v>
      </c>
      <c r="H583" s="1">
        <v>189</v>
      </c>
      <c r="I583" s="55">
        <f>SUM(F583:H583)</f>
        <v>1120</v>
      </c>
      <c r="J583" s="1">
        <v>1000</v>
      </c>
      <c r="K583" s="1">
        <v>1109</v>
      </c>
      <c r="L583" s="1">
        <v>621</v>
      </c>
      <c r="M583" s="55">
        <f>SUM(J583:L583)</f>
        <v>2730</v>
      </c>
      <c r="N583" s="1"/>
      <c r="O583" s="1"/>
      <c r="P583" s="1"/>
      <c r="Q583" s="55">
        <f>SUM(N583:P583)</f>
        <v>0</v>
      </c>
      <c r="R583" s="55">
        <f>+E583+I583+M583+Q583</f>
        <v>4000</v>
      </c>
    </row>
    <row r="584" spans="1:20" ht="15.75" customHeight="1" x14ac:dyDescent="0.3">
      <c r="A584" s="71" t="s">
        <v>1227</v>
      </c>
      <c r="B584" s="1"/>
      <c r="C584" s="1"/>
      <c r="D584" s="1"/>
      <c r="E584" s="55">
        <f>SUM(B584:D584)</f>
        <v>0</v>
      </c>
      <c r="F584" s="1"/>
      <c r="G584" s="1"/>
      <c r="H584" s="1"/>
      <c r="I584" s="55">
        <f>SUM(F584:H584)</f>
        <v>0</v>
      </c>
      <c r="J584" s="1"/>
      <c r="K584" s="1">
        <v>500</v>
      </c>
      <c r="L584" s="1">
        <v>505</v>
      </c>
      <c r="M584" s="55">
        <f>SUM(J584:L584)</f>
        <v>1005</v>
      </c>
      <c r="N584" s="1">
        <v>294</v>
      </c>
      <c r="O584" s="1"/>
      <c r="P584" s="1"/>
      <c r="Q584" s="55">
        <f>SUM(N584:P584)</f>
        <v>294</v>
      </c>
      <c r="R584" s="55">
        <f>+E584+I584+M584+Q584</f>
        <v>1299</v>
      </c>
    </row>
    <row r="585" spans="1:20" ht="15.75" customHeight="1" x14ac:dyDescent="0.3">
      <c r="A585" s="71" t="s">
        <v>657</v>
      </c>
      <c r="B585" s="1"/>
      <c r="C585" s="1"/>
      <c r="D585" s="1"/>
      <c r="E585" s="55">
        <f>SUM(B585:D585)</f>
        <v>0</v>
      </c>
      <c r="F585" s="1"/>
      <c r="G585" s="1"/>
      <c r="H585" s="1"/>
      <c r="I585" s="55">
        <f>SUM(F585:H585)</f>
        <v>0</v>
      </c>
      <c r="J585" s="1">
        <v>232</v>
      </c>
      <c r="K585" s="1"/>
      <c r="L585" s="1">
        <v>305</v>
      </c>
      <c r="M585" s="55">
        <f>SUM(J585:L585)</f>
        <v>537</v>
      </c>
      <c r="N585" s="1"/>
      <c r="O585" s="1"/>
      <c r="P585" s="1"/>
      <c r="Q585" s="55">
        <f>SUM(N585:P585)</f>
        <v>0</v>
      </c>
      <c r="R585" s="55">
        <f>+E585+I585+M585+Q585</f>
        <v>537</v>
      </c>
    </row>
    <row r="586" spans="1:20" ht="15.75" customHeight="1" x14ac:dyDescent="0.3">
      <c r="A586" s="15" t="s">
        <v>50</v>
      </c>
      <c r="B586" s="1"/>
      <c r="C586" s="1"/>
      <c r="D586" s="1"/>
      <c r="E586" s="55" t="s">
        <v>7</v>
      </c>
      <c r="F586" s="1"/>
      <c r="G586" s="1"/>
      <c r="H586" s="1"/>
      <c r="I586" s="55" t="s">
        <v>7</v>
      </c>
      <c r="J586" s="1"/>
      <c r="K586" s="1"/>
      <c r="L586" s="1"/>
      <c r="M586" s="55" t="s">
        <v>7</v>
      </c>
      <c r="N586" s="1"/>
      <c r="O586" s="1"/>
      <c r="P586" s="1"/>
      <c r="Q586" s="55" t="s">
        <v>7</v>
      </c>
      <c r="R586" s="55" t="s">
        <v>7</v>
      </c>
    </row>
    <row r="587" spans="1:20" ht="15.75" customHeight="1" x14ac:dyDescent="0.3">
      <c r="A587" s="15" t="s">
        <v>1186</v>
      </c>
      <c r="B587" s="1"/>
      <c r="C587" s="1"/>
      <c r="D587" s="1"/>
      <c r="E587" s="55" t="s">
        <v>7</v>
      </c>
      <c r="F587" s="1"/>
      <c r="G587" s="1"/>
      <c r="H587" s="1"/>
      <c r="I587" s="55" t="s">
        <v>7</v>
      </c>
      <c r="J587" s="1"/>
      <c r="K587" s="1"/>
      <c r="L587" s="1"/>
      <c r="M587" s="55" t="s">
        <v>7</v>
      </c>
      <c r="N587" s="1"/>
      <c r="O587" s="1"/>
      <c r="P587" s="1"/>
      <c r="Q587" s="55" t="s">
        <v>7</v>
      </c>
      <c r="R587" s="55" t="s">
        <v>7</v>
      </c>
    </row>
    <row r="588" spans="1:20" ht="15.75" customHeight="1" thickBot="1" x14ac:dyDescent="0.35">
      <c r="A588" s="15" t="s">
        <v>53</v>
      </c>
      <c r="B588" s="1"/>
      <c r="C588" s="1"/>
      <c r="D588" s="1"/>
      <c r="E588" s="55" t="s">
        <v>7</v>
      </c>
      <c r="F588" s="1"/>
      <c r="G588" s="1"/>
      <c r="H588" s="1"/>
      <c r="I588" s="55" t="s">
        <v>7</v>
      </c>
      <c r="J588" s="1"/>
      <c r="K588" s="1"/>
      <c r="L588" s="1"/>
      <c r="M588" s="55" t="s">
        <v>7</v>
      </c>
      <c r="N588" s="1"/>
      <c r="O588" s="1"/>
      <c r="P588" s="1"/>
      <c r="Q588" s="55" t="s">
        <v>7</v>
      </c>
      <c r="R588" s="55" t="s">
        <v>7</v>
      </c>
    </row>
    <row r="589" spans="1:20" ht="16.5" customHeight="1" thickBot="1" x14ac:dyDescent="0.35">
      <c r="A589" s="109" t="s">
        <v>54</v>
      </c>
      <c r="B589" s="86">
        <f>SUM(B579:B588)</f>
        <v>0</v>
      </c>
      <c r="C589" s="87">
        <f>SUM(C579:C588)</f>
        <v>0</v>
      </c>
      <c r="D589" s="87">
        <f>SUM(D579:D588)</f>
        <v>150</v>
      </c>
      <c r="E589" s="59">
        <f>SUM(B589:D589)</f>
        <v>150</v>
      </c>
      <c r="F589" s="87">
        <f>SUM(F579:F588)</f>
        <v>651</v>
      </c>
      <c r="G589" s="87">
        <f>SUM(G579:G588)</f>
        <v>1280</v>
      </c>
      <c r="H589" s="87">
        <f>SUM(H579:H588)</f>
        <v>1189</v>
      </c>
      <c r="I589" s="59">
        <f>SUM(F589:H589)</f>
        <v>3120</v>
      </c>
      <c r="J589" s="87">
        <f>SUM(J579:J588)</f>
        <v>1232</v>
      </c>
      <c r="K589" s="87">
        <f>SUM(K579:K588)</f>
        <v>1609</v>
      </c>
      <c r="L589" s="87">
        <f>SUM(L579:L588)</f>
        <v>1431</v>
      </c>
      <c r="M589" s="59">
        <f>SUM(J589:L589)</f>
        <v>4272</v>
      </c>
      <c r="N589" s="87">
        <f>SUM(N579:N588)</f>
        <v>294</v>
      </c>
      <c r="O589" s="87">
        <f>SUM(O579:O588)</f>
        <v>0</v>
      </c>
      <c r="P589" s="87">
        <f>SUM(P579:P588)</f>
        <v>0</v>
      </c>
      <c r="Q589" s="59">
        <f>SUM(N589:P589)</f>
        <v>294</v>
      </c>
      <c r="R589" s="59">
        <f>+E589+I589+M589+Q589</f>
        <v>7836</v>
      </c>
    </row>
    <row r="590" spans="1:20" ht="15.75" customHeight="1" x14ac:dyDescent="0.3">
      <c r="A590" s="15" t="s">
        <v>55</v>
      </c>
      <c r="B590" s="1"/>
      <c r="C590" s="1"/>
      <c r="D590" s="1"/>
      <c r="E590" s="60" t="s">
        <v>7</v>
      </c>
      <c r="F590" s="1"/>
      <c r="G590" s="1"/>
      <c r="H590" s="1"/>
      <c r="I590" s="60" t="s">
        <v>7</v>
      </c>
      <c r="J590" s="1"/>
      <c r="K590" s="1"/>
      <c r="L590" s="1"/>
      <c r="M590" s="60" t="s">
        <v>7</v>
      </c>
      <c r="N590" s="1"/>
      <c r="O590" s="1"/>
      <c r="P590" s="1"/>
      <c r="Q590" s="60" t="s">
        <v>7</v>
      </c>
      <c r="R590" s="482" t="s">
        <v>7</v>
      </c>
    </row>
    <row r="591" spans="1:20" ht="15.75" customHeight="1" x14ac:dyDescent="0.3">
      <c r="A591" s="15" t="s">
        <v>57</v>
      </c>
      <c r="B591" s="1"/>
      <c r="C591" s="1"/>
      <c r="D591" s="1"/>
      <c r="E591" s="55" t="s">
        <v>7</v>
      </c>
      <c r="F591" s="1"/>
      <c r="G591" s="1"/>
      <c r="H591" s="1"/>
      <c r="I591" s="55" t="s">
        <v>7</v>
      </c>
      <c r="J591" s="1"/>
      <c r="K591" s="1"/>
      <c r="L591" s="1"/>
      <c r="M591" s="55" t="s">
        <v>7</v>
      </c>
      <c r="N591" s="1"/>
      <c r="O591" s="1"/>
      <c r="P591" s="1"/>
      <c r="Q591" s="55" t="s">
        <v>7</v>
      </c>
      <c r="R591" s="482" t="s">
        <v>7</v>
      </c>
    </row>
    <row r="592" spans="1:20" ht="15.75" customHeight="1" x14ac:dyDescent="0.3">
      <c r="A592" s="71" t="s">
        <v>569</v>
      </c>
      <c r="B592" s="1">
        <v>81</v>
      </c>
      <c r="C592" s="1">
        <v>83</v>
      </c>
      <c r="D592" s="1">
        <v>538</v>
      </c>
      <c r="E592" s="55">
        <f>SUM(B592:D592)</f>
        <v>702</v>
      </c>
      <c r="F592" s="1">
        <v>5366</v>
      </c>
      <c r="G592" s="1">
        <v>3643</v>
      </c>
      <c r="H592" s="1">
        <v>4763</v>
      </c>
      <c r="I592" s="55">
        <f>SUM(F592:H592)</f>
        <v>13772</v>
      </c>
      <c r="J592" s="1">
        <v>4877</v>
      </c>
      <c r="K592" s="1">
        <f>2434+3000</f>
        <v>5434</v>
      </c>
      <c r="L592" s="1">
        <v>464</v>
      </c>
      <c r="M592" s="55">
        <f>SUM(J592:L592)</f>
        <v>10775</v>
      </c>
      <c r="N592" s="1">
        <v>373</v>
      </c>
      <c r="O592" s="1">
        <v>25</v>
      </c>
      <c r="P592" s="1">
        <v>63</v>
      </c>
      <c r="Q592" s="55">
        <f>SUM(N592:P592)</f>
        <v>461</v>
      </c>
      <c r="R592" s="55">
        <f>+E592+I592+M592+Q592</f>
        <v>25710</v>
      </c>
      <c r="S592" s="4">
        <f>+SUM(R592,R549,R404)</f>
        <v>91964</v>
      </c>
      <c r="T592" s="4" t="s">
        <v>985</v>
      </c>
    </row>
    <row r="593" spans="1:20" ht="15.75" customHeight="1" x14ac:dyDescent="0.3">
      <c r="A593" s="71" t="s">
        <v>309</v>
      </c>
      <c r="B593" s="1"/>
      <c r="C593" s="1"/>
      <c r="D593" s="1"/>
      <c r="E593" s="55">
        <f>SUM(B593:D593)</f>
        <v>0</v>
      </c>
      <c r="F593" s="1"/>
      <c r="G593" s="1"/>
      <c r="H593" s="1"/>
      <c r="I593" s="55">
        <f>SUM(F593:H593)</f>
        <v>0</v>
      </c>
      <c r="J593" s="1"/>
      <c r="K593" s="1"/>
      <c r="L593" s="1"/>
      <c r="M593" s="55">
        <f>SUM(J593:L593)</f>
        <v>0</v>
      </c>
      <c r="N593" s="1"/>
      <c r="O593" s="1"/>
      <c r="P593" s="1"/>
      <c r="Q593" s="55">
        <f>SUM(N593:P593)</f>
        <v>0</v>
      </c>
      <c r="R593" s="55">
        <f>+E593+I593+M593+Q593</f>
        <v>0</v>
      </c>
    </row>
    <row r="594" spans="1:20" ht="15.75" customHeight="1" thickBot="1" x14ac:dyDescent="0.35">
      <c r="A594" s="15" t="s">
        <v>58</v>
      </c>
      <c r="B594" s="1"/>
      <c r="C594" s="1"/>
      <c r="D594" s="1"/>
      <c r="E594" s="55" t="s">
        <v>7</v>
      </c>
      <c r="F594" s="1"/>
      <c r="G594" s="1"/>
      <c r="H594" s="1"/>
      <c r="I594" s="55" t="s">
        <v>7</v>
      </c>
      <c r="J594" s="1"/>
      <c r="K594" s="1"/>
      <c r="L594" s="1"/>
      <c r="M594" s="55" t="s">
        <v>7</v>
      </c>
      <c r="N594" s="1"/>
      <c r="O594" s="1"/>
      <c r="P594" s="1"/>
      <c r="Q594" s="55" t="s">
        <v>7</v>
      </c>
      <c r="R594" s="482" t="s">
        <v>7</v>
      </c>
    </row>
    <row r="595" spans="1:20" ht="16.5" customHeight="1" thickBot="1" x14ac:dyDescent="0.35">
      <c r="A595" s="57" t="s">
        <v>59</v>
      </c>
      <c r="B595" s="86">
        <f>SUM(B590:B594)</f>
        <v>81</v>
      </c>
      <c r="C595" s="87">
        <f>SUM(C590:C594)</f>
        <v>83</v>
      </c>
      <c r="D595" s="87">
        <f>SUM(D590:D594)</f>
        <v>538</v>
      </c>
      <c r="E595" s="59">
        <f>SUM(B595:D595)</f>
        <v>702</v>
      </c>
      <c r="F595" s="87">
        <f>SUM(F590:F594)</f>
        <v>5366</v>
      </c>
      <c r="G595" s="87">
        <f>SUM(G590:G594)</f>
        <v>3643</v>
      </c>
      <c r="H595" s="87">
        <f>SUM(H590:H594)</f>
        <v>4763</v>
      </c>
      <c r="I595" s="59">
        <f>SUM(F595:H595)</f>
        <v>13772</v>
      </c>
      <c r="J595" s="87">
        <f>SUM(J590:J594)</f>
        <v>4877</v>
      </c>
      <c r="K595" s="87">
        <f>SUM(K590:K594)</f>
        <v>5434</v>
      </c>
      <c r="L595" s="87">
        <f>SUM(L590:L594)</f>
        <v>464</v>
      </c>
      <c r="M595" s="59">
        <f>SUM(J595:L595)</f>
        <v>10775</v>
      </c>
      <c r="N595" s="87">
        <f>SUM(N590:N594)</f>
        <v>373</v>
      </c>
      <c r="O595" s="87">
        <f>SUM(O590:O594)</f>
        <v>25</v>
      </c>
      <c r="P595" s="87">
        <f>SUM(P590:P594)</f>
        <v>63</v>
      </c>
      <c r="Q595" s="59">
        <f>SUM(N595:P595)</f>
        <v>461</v>
      </c>
      <c r="R595" s="59">
        <f>+E595+I595+M595+Q595</f>
        <v>25710</v>
      </c>
    </row>
    <row r="596" spans="1:20" ht="15.75" customHeight="1" x14ac:dyDescent="0.3">
      <c r="A596" s="15" t="s">
        <v>60</v>
      </c>
      <c r="B596" s="1"/>
      <c r="C596" s="1"/>
      <c r="D596" s="1"/>
      <c r="E596" s="55" t="s">
        <v>7</v>
      </c>
      <c r="F596" s="1"/>
      <c r="G596" s="1"/>
      <c r="H596" s="1"/>
      <c r="I596" s="55" t="s">
        <v>7</v>
      </c>
      <c r="J596" s="1"/>
      <c r="K596" s="1"/>
      <c r="L596" s="1"/>
      <c r="M596" s="55" t="s">
        <v>7</v>
      </c>
      <c r="N596" s="1"/>
      <c r="O596" s="1"/>
      <c r="P596" s="1"/>
      <c r="Q596" s="55" t="s">
        <v>7</v>
      </c>
      <c r="R596" s="55" t="s">
        <v>7</v>
      </c>
    </row>
    <row r="597" spans="1:20" ht="15.75" customHeight="1" x14ac:dyDescent="0.3">
      <c r="A597" s="15" t="s">
        <v>61</v>
      </c>
      <c r="B597" s="1"/>
      <c r="C597" s="1"/>
      <c r="D597" s="1"/>
      <c r="E597" s="55" t="s">
        <v>7</v>
      </c>
      <c r="F597" s="1"/>
      <c r="G597" s="1"/>
      <c r="H597" s="1"/>
      <c r="I597" s="55" t="s">
        <v>7</v>
      </c>
      <c r="J597" s="1"/>
      <c r="K597" s="1"/>
      <c r="L597" s="1"/>
      <c r="M597" s="55" t="s">
        <v>7</v>
      </c>
      <c r="N597" s="1"/>
      <c r="O597" s="1"/>
      <c r="P597" s="1"/>
      <c r="Q597" s="55" t="s">
        <v>7</v>
      </c>
      <c r="R597" s="55" t="s">
        <v>7</v>
      </c>
    </row>
    <row r="598" spans="1:20" ht="15.75" customHeight="1" x14ac:dyDescent="0.3">
      <c r="A598" s="15" t="s">
        <v>62</v>
      </c>
      <c r="B598" s="1"/>
      <c r="C598" s="1"/>
      <c r="D598" s="1"/>
      <c r="E598" s="55" t="s">
        <v>7</v>
      </c>
      <c r="F598" s="1"/>
      <c r="G598" s="1"/>
      <c r="H598" s="1"/>
      <c r="I598" s="55" t="s">
        <v>7</v>
      </c>
      <c r="J598" s="1"/>
      <c r="K598" s="1"/>
      <c r="L598" s="1"/>
      <c r="M598" s="55" t="s">
        <v>7</v>
      </c>
      <c r="N598" s="1"/>
      <c r="O598" s="1"/>
      <c r="P598" s="1"/>
      <c r="Q598" s="55" t="s">
        <v>7</v>
      </c>
      <c r="R598" s="55" t="s">
        <v>7</v>
      </c>
    </row>
    <row r="599" spans="1:20" ht="15.75" customHeight="1" thickBot="1" x14ac:dyDescent="0.35">
      <c r="A599" s="359" t="s">
        <v>982</v>
      </c>
      <c r="B599" s="1"/>
      <c r="C599" s="1"/>
      <c r="D599" s="1"/>
      <c r="E599" s="55">
        <f>SUM(B599:D599)</f>
        <v>0</v>
      </c>
      <c r="F599" s="1"/>
      <c r="G599" s="1"/>
      <c r="H599" s="1"/>
      <c r="I599" s="55">
        <f>SUM(F599:H599)</f>
        <v>0</v>
      </c>
      <c r="J599" s="1"/>
      <c r="K599" s="1"/>
      <c r="L599" s="1"/>
      <c r="M599" s="55">
        <f>SUM(J599:L599)</f>
        <v>0</v>
      </c>
      <c r="N599" s="1"/>
      <c r="O599" s="1"/>
      <c r="P599" s="1"/>
      <c r="Q599" s="55">
        <f>SUM(N599:P599)</f>
        <v>0</v>
      </c>
      <c r="R599" s="55">
        <f>+E599+I599+M599+Q599</f>
        <v>0</v>
      </c>
      <c r="T599" s="4" t="s">
        <v>939</v>
      </c>
    </row>
    <row r="600" spans="1:20" ht="16.5" customHeight="1" thickBot="1" x14ac:dyDescent="0.35">
      <c r="A600" s="114" t="s">
        <v>63</v>
      </c>
      <c r="B600" s="86">
        <f>SUM(B596:B599)</f>
        <v>0</v>
      </c>
      <c r="C600" s="87">
        <f>SUM(C596:C599)</f>
        <v>0</v>
      </c>
      <c r="D600" s="87">
        <f>SUM(D596:D599)</f>
        <v>0</v>
      </c>
      <c r="E600" s="59">
        <f>SUM(B600:D600)</f>
        <v>0</v>
      </c>
      <c r="F600" s="87">
        <f>SUM(F596:F599)</f>
        <v>0</v>
      </c>
      <c r="G600" s="87">
        <f>SUM(G596:G599)</f>
        <v>0</v>
      </c>
      <c r="H600" s="87">
        <f>SUM(H596:H599)</f>
        <v>0</v>
      </c>
      <c r="I600" s="59">
        <f>SUM(F600:H600)</f>
        <v>0</v>
      </c>
      <c r="J600" s="87">
        <f>SUM(J596:J599)</f>
        <v>0</v>
      </c>
      <c r="K600" s="87">
        <f>SUM(K596:K599)</f>
        <v>0</v>
      </c>
      <c r="L600" s="87">
        <f>SUM(L596:L599)</f>
        <v>0</v>
      </c>
      <c r="M600" s="59">
        <f>SUM(J600:L600)</f>
        <v>0</v>
      </c>
      <c r="N600" s="87">
        <f>SUM(N596:N599)</f>
        <v>0</v>
      </c>
      <c r="O600" s="87">
        <f>SUM(O596:O599)</f>
        <v>0</v>
      </c>
      <c r="P600" s="87">
        <f>SUM(P596:P599)</f>
        <v>0</v>
      </c>
      <c r="Q600" s="59">
        <f>SUM(N600:P600)</f>
        <v>0</v>
      </c>
      <c r="R600" s="59">
        <f>+E600+I600+M600+Q600</f>
        <v>0</v>
      </c>
    </row>
    <row r="601" spans="1:20" ht="15.75" customHeight="1" x14ac:dyDescent="0.3">
      <c r="A601" s="15" t="s">
        <v>64</v>
      </c>
      <c r="B601" s="1"/>
      <c r="C601" s="1"/>
      <c r="D601" s="1"/>
      <c r="E601" s="55" t="s">
        <v>7</v>
      </c>
      <c r="F601" s="1"/>
      <c r="G601" s="1"/>
      <c r="H601" s="1"/>
      <c r="I601" s="55" t="s">
        <v>7</v>
      </c>
      <c r="J601" s="1"/>
      <c r="K601" s="1"/>
      <c r="L601" s="1"/>
      <c r="M601" s="55" t="s">
        <v>7</v>
      </c>
      <c r="N601" s="1"/>
      <c r="O601" s="1"/>
      <c r="P601" s="1"/>
      <c r="Q601" s="55" t="s">
        <v>7</v>
      </c>
      <c r="R601" s="55" t="s">
        <v>7</v>
      </c>
    </row>
    <row r="602" spans="1:20" ht="15.75" customHeight="1" x14ac:dyDescent="0.3">
      <c r="A602" s="15" t="s">
        <v>594</v>
      </c>
      <c r="B602" s="1"/>
      <c r="C602" s="1"/>
      <c r="D602" s="1"/>
      <c r="E602" s="55" t="s">
        <v>7</v>
      </c>
      <c r="F602" s="1"/>
      <c r="G602" s="1"/>
      <c r="H602" s="1"/>
      <c r="I602" s="55" t="s">
        <v>7</v>
      </c>
      <c r="J602" s="1"/>
      <c r="K602" s="1"/>
      <c r="L602" s="1"/>
      <c r="M602" s="55" t="s">
        <v>7</v>
      </c>
      <c r="N602" s="1"/>
      <c r="O602" s="1"/>
      <c r="P602" s="1"/>
      <c r="Q602" s="55" t="s">
        <v>7</v>
      </c>
      <c r="R602" s="55" t="s">
        <v>7</v>
      </c>
    </row>
    <row r="603" spans="1:20" ht="15.75" customHeight="1" x14ac:dyDescent="0.3">
      <c r="A603" s="15" t="s">
        <v>67</v>
      </c>
      <c r="B603" s="1"/>
      <c r="C603" s="1"/>
      <c r="D603" s="1"/>
      <c r="E603" s="55" t="s">
        <v>7</v>
      </c>
      <c r="F603" s="1"/>
      <c r="G603" s="1"/>
      <c r="H603" s="1"/>
      <c r="I603" s="55" t="s">
        <v>7</v>
      </c>
      <c r="J603" s="1"/>
      <c r="K603" s="1"/>
      <c r="L603" s="1"/>
      <c r="M603" s="55" t="s">
        <v>7</v>
      </c>
      <c r="N603" s="1"/>
      <c r="O603" s="1"/>
      <c r="P603" s="1"/>
      <c r="Q603" s="55" t="s">
        <v>7</v>
      </c>
      <c r="R603" s="55" t="s">
        <v>7</v>
      </c>
    </row>
    <row r="604" spans="1:20" ht="15.75" customHeight="1" x14ac:dyDescent="0.3">
      <c r="A604" s="15" t="s">
        <v>600</v>
      </c>
      <c r="B604" s="1"/>
      <c r="C604" s="1"/>
      <c r="D604" s="1"/>
      <c r="E604" s="55" t="s">
        <v>7</v>
      </c>
      <c r="F604" s="1"/>
      <c r="G604" s="1"/>
      <c r="H604" s="1"/>
      <c r="I604" s="55" t="s">
        <v>7</v>
      </c>
      <c r="J604" s="1"/>
      <c r="K604" s="1"/>
      <c r="L604" s="1"/>
      <c r="M604" s="55" t="s">
        <v>7</v>
      </c>
      <c r="N604" s="1"/>
      <c r="O604" s="1"/>
      <c r="P604" s="1"/>
      <c r="Q604" s="55" t="s">
        <v>7</v>
      </c>
      <c r="R604" s="55" t="s">
        <v>7</v>
      </c>
    </row>
    <row r="605" spans="1:20" ht="15.75" customHeight="1" x14ac:dyDescent="0.3">
      <c r="A605" s="71" t="s">
        <v>1322</v>
      </c>
      <c r="B605" s="1"/>
      <c r="C605" s="1"/>
      <c r="D605" s="1"/>
      <c r="E605" s="55">
        <f>SUM(B605:D605)</f>
        <v>0</v>
      </c>
      <c r="F605" s="1"/>
      <c r="G605" s="1"/>
      <c r="H605" s="1"/>
      <c r="I605" s="55">
        <f>SUM(F605:H605)</f>
        <v>0</v>
      </c>
      <c r="J605" s="1"/>
      <c r="K605" s="1"/>
      <c r="L605" s="1"/>
      <c r="M605" s="55">
        <f>SUM(J605:L605)</f>
        <v>0</v>
      </c>
      <c r="N605" s="1"/>
      <c r="O605" s="1"/>
      <c r="P605" s="1"/>
      <c r="Q605" s="55">
        <f>SUM(N605:P605)</f>
        <v>0</v>
      </c>
      <c r="R605" s="55">
        <f>+E605+I605+M605+Q605</f>
        <v>0</v>
      </c>
    </row>
    <row r="606" spans="1:20" ht="15.75" customHeight="1" x14ac:dyDescent="0.3">
      <c r="A606" s="15" t="s">
        <v>70</v>
      </c>
      <c r="B606" s="1"/>
      <c r="C606" s="1"/>
      <c r="D606" s="1"/>
      <c r="E606" s="55"/>
      <c r="F606" s="1"/>
      <c r="G606" s="1"/>
      <c r="H606" s="1"/>
      <c r="I606" s="55"/>
      <c r="J606" s="1"/>
      <c r="K606" s="1"/>
      <c r="L606" s="1"/>
      <c r="M606" s="55"/>
      <c r="N606" s="1"/>
      <c r="O606" s="1"/>
      <c r="P606" s="1"/>
      <c r="Q606" s="55"/>
      <c r="R606" s="55" t="s">
        <v>7</v>
      </c>
    </row>
    <row r="607" spans="1:20" ht="15.75" customHeight="1" x14ac:dyDescent="0.3">
      <c r="A607" s="71" t="s">
        <v>977</v>
      </c>
      <c r="B607" s="1"/>
      <c r="C607" s="1"/>
      <c r="D607" s="1"/>
      <c r="E607" s="55">
        <f t="shared" ref="E607:E614" si="230">SUM(B607:D607)</f>
        <v>0</v>
      </c>
      <c r="F607" s="1"/>
      <c r="G607" s="1"/>
      <c r="H607" s="1"/>
      <c r="I607" s="55">
        <f t="shared" ref="I607:I614" si="231">SUM(F607:H607)</f>
        <v>0</v>
      </c>
      <c r="J607" s="1"/>
      <c r="K607" s="1"/>
      <c r="L607" s="1"/>
      <c r="M607" s="55">
        <f t="shared" ref="M607:M614" si="232">SUM(J607:L607)</f>
        <v>0</v>
      </c>
      <c r="N607" s="1"/>
      <c r="O607" s="1"/>
      <c r="P607" s="1"/>
      <c r="Q607" s="55">
        <f t="shared" ref="Q607:Q614" si="233">SUM(N607:P607)</f>
        <v>0</v>
      </c>
      <c r="R607" s="55">
        <f t="shared" ref="R607:R614" si="234">+E607+I607+M607+Q607</f>
        <v>0</v>
      </c>
      <c r="T607" s="4" t="s">
        <v>939</v>
      </c>
    </row>
    <row r="608" spans="1:20" ht="15.75" customHeight="1" x14ac:dyDescent="0.3">
      <c r="A608" s="71" t="s">
        <v>986</v>
      </c>
      <c r="B608" s="1"/>
      <c r="C608" s="1"/>
      <c r="D608" s="1"/>
      <c r="E608" s="55">
        <f>SUM(B608:D608)</f>
        <v>0</v>
      </c>
      <c r="F608" s="1"/>
      <c r="G608" s="1"/>
      <c r="H608" s="1"/>
      <c r="I608" s="55">
        <f>SUM(F608:H608)</f>
        <v>0</v>
      </c>
      <c r="J608" s="1"/>
      <c r="K608" s="1"/>
      <c r="L608" s="1"/>
      <c r="M608" s="55">
        <f>SUM(J608:L608)</f>
        <v>0</v>
      </c>
      <c r="N608" s="1"/>
      <c r="O608" s="1"/>
      <c r="P608" s="1"/>
      <c r="Q608" s="55">
        <f>SUM(N608:P608)</f>
        <v>0</v>
      </c>
      <c r="R608" s="55">
        <f>+E608+I608+M608+Q608</f>
        <v>0</v>
      </c>
      <c r="T608" s="4" t="s">
        <v>939</v>
      </c>
    </row>
    <row r="609" spans="1:18" ht="15.75" customHeight="1" x14ac:dyDescent="0.3">
      <c r="A609" s="71" t="s">
        <v>1323</v>
      </c>
      <c r="B609" s="1"/>
      <c r="C609" s="1"/>
      <c r="D609" s="1"/>
      <c r="E609" s="55">
        <f t="shared" ref="E609" si="235">SUM(B609:D609)</f>
        <v>0</v>
      </c>
      <c r="F609" s="1"/>
      <c r="G609" s="1"/>
      <c r="H609" s="1"/>
      <c r="I609" s="55">
        <f t="shared" ref="I609" si="236">SUM(F609:H609)</f>
        <v>0</v>
      </c>
      <c r="J609" s="1"/>
      <c r="K609" s="1"/>
      <c r="L609" s="1"/>
      <c r="M609" s="55">
        <f t="shared" ref="M609" si="237">SUM(J609:L609)</f>
        <v>0</v>
      </c>
      <c r="N609" s="1"/>
      <c r="O609" s="1"/>
      <c r="P609" s="1"/>
      <c r="Q609" s="55">
        <f t="shared" ref="Q609" si="238">SUM(N609:P609)</f>
        <v>0</v>
      </c>
      <c r="R609" s="55">
        <f t="shared" ref="R609" si="239">+E609+I609+M609+Q609</f>
        <v>0</v>
      </c>
    </row>
    <row r="610" spans="1:18" ht="15.75" customHeight="1" thickBot="1" x14ac:dyDescent="0.35">
      <c r="A610" s="71" t="s">
        <v>761</v>
      </c>
      <c r="B610" s="1"/>
      <c r="C610" s="1"/>
      <c r="D610" s="1"/>
      <c r="E610" s="55">
        <f t="shared" si="230"/>
        <v>0</v>
      </c>
      <c r="F610" s="1"/>
      <c r="G610" s="1"/>
      <c r="H610" s="1"/>
      <c r="I610" s="55">
        <f t="shared" si="231"/>
        <v>0</v>
      </c>
      <c r="J610" s="1"/>
      <c r="K610" s="1"/>
      <c r="L610" s="1"/>
      <c r="M610" s="55">
        <f t="shared" si="232"/>
        <v>0</v>
      </c>
      <c r="N610" s="1"/>
      <c r="O610" s="1"/>
      <c r="P610" s="1"/>
      <c r="Q610" s="55">
        <f t="shared" si="233"/>
        <v>0</v>
      </c>
      <c r="R610" s="55">
        <f t="shared" si="234"/>
        <v>0</v>
      </c>
    </row>
    <row r="611" spans="1:18" ht="16.5" customHeight="1" thickBot="1" x14ac:dyDescent="0.35">
      <c r="A611" s="57" t="s">
        <v>71</v>
      </c>
      <c r="B611" s="58">
        <f>SUM(B604:B610)</f>
        <v>0</v>
      </c>
      <c r="C611" s="58">
        <f>SUM(C604:C610)</f>
        <v>0</v>
      </c>
      <c r="D611" s="58">
        <f>SUM(D604:D610)</f>
        <v>0</v>
      </c>
      <c r="E611" s="60">
        <f t="shared" si="230"/>
        <v>0</v>
      </c>
      <c r="F611" s="58">
        <f>SUM(F604:F610)</f>
        <v>0</v>
      </c>
      <c r="G611" s="58">
        <f>SUM(G604:G610)</f>
        <v>0</v>
      </c>
      <c r="H611" s="58">
        <f>SUM(H604:H610)</f>
        <v>0</v>
      </c>
      <c r="I611" s="60">
        <f t="shared" si="231"/>
        <v>0</v>
      </c>
      <c r="J611" s="58">
        <f>SUM(J604:J610)</f>
        <v>0</v>
      </c>
      <c r="K611" s="58">
        <f>SUM(K604:K610)</f>
        <v>0</v>
      </c>
      <c r="L611" s="58">
        <f>SUM(L604:L610)</f>
        <v>0</v>
      </c>
      <c r="M611" s="60">
        <f t="shared" si="232"/>
        <v>0</v>
      </c>
      <c r="N611" s="58">
        <f>SUM(N604:N610)</f>
        <v>0</v>
      </c>
      <c r="O611" s="58">
        <f>SUM(O604:O610)</f>
        <v>0</v>
      </c>
      <c r="P611" s="58">
        <f>SUM(P604:P610)</f>
        <v>0</v>
      </c>
      <c r="Q611" s="60">
        <f t="shared" si="233"/>
        <v>0</v>
      </c>
      <c r="R611" s="59">
        <f t="shared" si="234"/>
        <v>0</v>
      </c>
    </row>
    <row r="612" spans="1:18" ht="16.5" customHeight="1" thickBot="1" x14ac:dyDescent="0.35">
      <c r="A612" s="114" t="s">
        <v>72</v>
      </c>
      <c r="B612" s="86">
        <f>SUM(B601:B610)</f>
        <v>0</v>
      </c>
      <c r="C612" s="87">
        <f>SUM(C601:C610)</f>
        <v>0</v>
      </c>
      <c r="D612" s="118">
        <f>SUM(D601:D610)</f>
        <v>0</v>
      </c>
      <c r="E612" s="60">
        <f t="shared" si="230"/>
        <v>0</v>
      </c>
      <c r="F612" s="87">
        <f>SUM(F601:F610)</f>
        <v>0</v>
      </c>
      <c r="G612" s="87">
        <f>SUM(G601:G610)</f>
        <v>0</v>
      </c>
      <c r="H612" s="87">
        <f>SUM(H601:H610)</f>
        <v>0</v>
      </c>
      <c r="I612" s="60">
        <f t="shared" si="231"/>
        <v>0</v>
      </c>
      <c r="J612" s="87">
        <f>SUM(J601:J610)</f>
        <v>0</v>
      </c>
      <c r="K612" s="87">
        <f>SUM(K601:K610)</f>
        <v>0</v>
      </c>
      <c r="L612" s="87">
        <f>SUM(L601:L610)</f>
        <v>0</v>
      </c>
      <c r="M612" s="60">
        <f t="shared" si="232"/>
        <v>0</v>
      </c>
      <c r="N612" s="87">
        <f>SUM(N601:N610)</f>
        <v>0</v>
      </c>
      <c r="O612" s="87">
        <f>SUM(O601:O610)</f>
        <v>0</v>
      </c>
      <c r="P612" s="87">
        <f>SUM(P601:P610)</f>
        <v>0</v>
      </c>
      <c r="Q612" s="60">
        <f t="shared" si="233"/>
        <v>0</v>
      </c>
      <c r="R612" s="59">
        <f t="shared" si="234"/>
        <v>0</v>
      </c>
    </row>
    <row r="613" spans="1:18" ht="16.5" customHeight="1" thickBot="1" x14ac:dyDescent="0.35">
      <c r="A613" s="57" t="s">
        <v>73</v>
      </c>
      <c r="B613" s="90">
        <f>+B589+B595+B600+B612</f>
        <v>81</v>
      </c>
      <c r="C613" s="58">
        <f>+C589+C595+C600+C612</f>
        <v>83</v>
      </c>
      <c r="D613" s="58">
        <f>+D589+D595+D600+D612</f>
        <v>688</v>
      </c>
      <c r="E613" s="59">
        <f t="shared" si="230"/>
        <v>852</v>
      </c>
      <c r="F613" s="58">
        <f>+F589+F595+F600+F612</f>
        <v>6017</v>
      </c>
      <c r="G613" s="58">
        <f>+G589+G595+G600+G612</f>
        <v>4923</v>
      </c>
      <c r="H613" s="58">
        <f>+H589+H595+H600+H612</f>
        <v>5952</v>
      </c>
      <c r="I613" s="59">
        <f t="shared" si="231"/>
        <v>16892</v>
      </c>
      <c r="J613" s="58">
        <f>+J589+J595+J600+J612</f>
        <v>6109</v>
      </c>
      <c r="K613" s="58">
        <f>+K589+K595+K600+K612</f>
        <v>7043</v>
      </c>
      <c r="L613" s="58">
        <f>+L589+L595+L600+L612</f>
        <v>1895</v>
      </c>
      <c r="M613" s="59">
        <f t="shared" si="232"/>
        <v>15047</v>
      </c>
      <c r="N613" s="58">
        <f>+N589+N595+N600+N612</f>
        <v>667</v>
      </c>
      <c r="O613" s="58">
        <f>+O589+O595+O600+O612</f>
        <v>25</v>
      </c>
      <c r="P613" s="58">
        <f>+P589+P595+P600+P612</f>
        <v>63</v>
      </c>
      <c r="Q613" s="59">
        <f t="shared" si="233"/>
        <v>755</v>
      </c>
      <c r="R613" s="81">
        <f t="shared" si="234"/>
        <v>33546</v>
      </c>
    </row>
    <row r="614" spans="1:18" ht="16.5" customHeight="1" thickBot="1" x14ac:dyDescent="0.35">
      <c r="A614" s="39" t="s">
        <v>40</v>
      </c>
      <c r="B614" s="21">
        <v>23</v>
      </c>
      <c r="C614" s="21">
        <v>43</v>
      </c>
      <c r="D614" s="21">
        <v>66</v>
      </c>
      <c r="E614" s="81">
        <f t="shared" si="230"/>
        <v>132</v>
      </c>
      <c r="F614" s="21">
        <v>91</v>
      </c>
      <c r="G614" s="21">
        <v>108</v>
      </c>
      <c r="H614" s="21">
        <v>109</v>
      </c>
      <c r="I614" s="81">
        <f t="shared" si="231"/>
        <v>308</v>
      </c>
      <c r="J614" s="21">
        <v>104</v>
      </c>
      <c r="K614" s="21">
        <v>79</v>
      </c>
      <c r="L614" s="21">
        <v>80</v>
      </c>
      <c r="M614" s="81">
        <f t="shared" si="232"/>
        <v>263</v>
      </c>
      <c r="N614" s="21">
        <v>74</v>
      </c>
      <c r="O614" s="21">
        <v>58</v>
      </c>
      <c r="P614" s="21">
        <v>42</v>
      </c>
      <c r="Q614" s="81">
        <f t="shared" si="233"/>
        <v>174</v>
      </c>
      <c r="R614" s="55">
        <f t="shared" si="234"/>
        <v>877</v>
      </c>
    </row>
    <row r="615" spans="1:18" ht="16.5" customHeight="1" thickBot="1" x14ac:dyDescent="0.35">
      <c r="A615" s="41"/>
      <c r="B615" s="36"/>
      <c r="C615" s="36"/>
      <c r="D615" s="36"/>
      <c r="E615" s="42"/>
      <c r="F615" s="36"/>
      <c r="G615" s="36"/>
      <c r="H615" s="36"/>
      <c r="I615" s="126"/>
      <c r="J615" s="36"/>
      <c r="K615" s="36"/>
      <c r="L615" s="36"/>
      <c r="M615" s="126"/>
      <c r="N615" s="36"/>
      <c r="O615" s="36"/>
      <c r="P615" s="36"/>
      <c r="Q615" s="126"/>
      <c r="R615" s="42"/>
    </row>
    <row r="616" spans="1:18" ht="15.75" customHeight="1" x14ac:dyDescent="0.3">
      <c r="A616" s="15" t="s">
        <v>314</v>
      </c>
      <c r="B616" s="77">
        <f>SUM(B613:B614)</f>
        <v>104</v>
      </c>
      <c r="C616" s="77">
        <f>SUM(C613:C614)</f>
        <v>126</v>
      </c>
      <c r="D616" s="77">
        <f>SUM(D613:D614)</f>
        <v>754</v>
      </c>
      <c r="E616" s="60">
        <f>SUM(B616:D616)</f>
        <v>984</v>
      </c>
      <c r="F616" s="77">
        <f>SUM(F613:F614)</f>
        <v>6108</v>
      </c>
      <c r="G616" s="77">
        <f>SUM(G613:G614)</f>
        <v>5031</v>
      </c>
      <c r="H616" s="77">
        <f>SUM(H613:H614)</f>
        <v>6061</v>
      </c>
      <c r="I616" s="60">
        <f>SUM(F616:H616)</f>
        <v>17200</v>
      </c>
      <c r="J616" s="77">
        <f>SUM(J613:J614)</f>
        <v>6213</v>
      </c>
      <c r="K616" s="77">
        <f>SUM(K613:K614)</f>
        <v>7122</v>
      </c>
      <c r="L616" s="77">
        <f>SUM(L613:L614)</f>
        <v>1975</v>
      </c>
      <c r="M616" s="60">
        <f>SUM(J616:L616)</f>
        <v>15310</v>
      </c>
      <c r="N616" s="77">
        <f>SUM(N613:N614)</f>
        <v>741</v>
      </c>
      <c r="O616" s="77">
        <f>SUM(O613:O614)</f>
        <v>83</v>
      </c>
      <c r="P616" s="77">
        <f>SUM(P613:P614)</f>
        <v>105</v>
      </c>
      <c r="Q616" s="60">
        <f>SUM(N616:P616)</f>
        <v>929</v>
      </c>
      <c r="R616" s="60">
        <f>+E616+I616+M616+Q616</f>
        <v>34423</v>
      </c>
    </row>
    <row r="617" spans="1:18" ht="15.75" customHeight="1" x14ac:dyDescent="0.3">
      <c r="A617" s="15" t="s">
        <v>42</v>
      </c>
      <c r="B617" s="1">
        <f>(B616/B10)/1.983</f>
        <v>1.6917996518796869</v>
      </c>
      <c r="C617" s="1">
        <f>(C616/C10)/1.983</f>
        <v>2.1910376128123534</v>
      </c>
      <c r="D617" s="1">
        <f>(D616/D10)/1.983</f>
        <v>12.265547476127731</v>
      </c>
      <c r="E617" s="55" t="s">
        <v>7</v>
      </c>
      <c r="F617" s="1">
        <f>(F616/F10)/1.983</f>
        <v>102.672718103883</v>
      </c>
      <c r="G617" s="1">
        <f>(G616/G10)/1.983</f>
        <v>81.840808159679852</v>
      </c>
      <c r="H617" s="1">
        <f>(H616/H10)/1.983</f>
        <v>101.88266935619431</v>
      </c>
      <c r="I617" s="55" t="s">
        <v>7</v>
      </c>
      <c r="J617" s="1">
        <f>(J616/J10)/1.983</f>
        <v>101.0687618954663</v>
      </c>
      <c r="K617" s="1">
        <f>(K616/K10)/1.983</f>
        <v>115.85574154506857</v>
      </c>
      <c r="L617" s="1">
        <f>(L616/L10)/1.983</f>
        <v>33.198856950748024</v>
      </c>
      <c r="M617" s="55" t="s">
        <v>7</v>
      </c>
      <c r="N617" s="1">
        <f>(N616/N10)/1.983</f>
        <v>12.054072519642769</v>
      </c>
      <c r="O617" s="1">
        <f>(O616/O10)/1.983</f>
        <v>1.3951924693225752</v>
      </c>
      <c r="P617" s="1">
        <f>(P616/P10)/1.983</f>
        <v>1.708066956224684</v>
      </c>
      <c r="Q617" s="55" t="s">
        <v>7</v>
      </c>
      <c r="R617" s="55" t="s">
        <v>7</v>
      </c>
    </row>
    <row r="618" spans="1:18" ht="15.75" customHeight="1" x14ac:dyDescent="0.3">
      <c r="A618" s="15" t="s">
        <v>315</v>
      </c>
      <c r="B618" s="1">
        <f>B616+B684</f>
        <v>14129</v>
      </c>
      <c r="C618" s="1">
        <f>C616+C684</f>
        <v>22780</v>
      </c>
      <c r="D618" s="1">
        <f>D616+D684</f>
        <v>28275</v>
      </c>
      <c r="E618" s="55">
        <f>SUM(B618:D618)</f>
        <v>65184</v>
      </c>
      <c r="F618" s="1">
        <f>F616+F684</f>
        <v>37068</v>
      </c>
      <c r="G618" s="1">
        <f>G616+G684</f>
        <v>35318</v>
      </c>
      <c r="H618" s="1">
        <f>H616+H684</f>
        <v>32619</v>
      </c>
      <c r="I618" s="55">
        <f>SUM(F618:H618)</f>
        <v>105005</v>
      </c>
      <c r="J618" s="1">
        <f>J616+J684</f>
        <v>35819</v>
      </c>
      <c r="K618" s="1">
        <f>K616+K684</f>
        <v>34829</v>
      </c>
      <c r="L618" s="1">
        <f>L616+L684</f>
        <v>24963</v>
      </c>
      <c r="M618" s="55">
        <f>SUM(J618:L618)</f>
        <v>95611</v>
      </c>
      <c r="N618" s="1">
        <f>N616+N684</f>
        <v>14446</v>
      </c>
      <c r="O618" s="1">
        <f>O616+O684</f>
        <v>3509</v>
      </c>
      <c r="P618" s="1">
        <f>P616+P684</f>
        <v>10303</v>
      </c>
      <c r="Q618" s="55">
        <f>SUM(N618:P618)</f>
        <v>28258</v>
      </c>
      <c r="R618" s="55">
        <f>+E618+I618+M618+Q618</f>
        <v>294058</v>
      </c>
    </row>
    <row r="619" spans="1:18" ht="16.5" customHeight="1" thickBot="1" x14ac:dyDescent="0.35">
      <c r="A619" s="20" t="s">
        <v>316</v>
      </c>
      <c r="B619" s="25">
        <f>(B618/B10)/1.983</f>
        <v>229.84074309046247</v>
      </c>
      <c r="C619" s="25">
        <f>(C618/C10)/1.983</f>
        <v>396.12568904655086</v>
      </c>
      <c r="D619" s="25">
        <f>(D618/D10)/1.983</f>
        <v>459.95803035478991</v>
      </c>
      <c r="E619" s="81" t="s">
        <v>7</v>
      </c>
      <c r="F619" s="25">
        <f>(F618/F10)/1.983</f>
        <v>623.0963187090266</v>
      </c>
      <c r="G619" s="25">
        <f>(G618/G10)/1.983</f>
        <v>574.52865485660368</v>
      </c>
      <c r="H619" s="25">
        <f>(H618/H10)/1.983</f>
        <v>548.31064044377206</v>
      </c>
      <c r="I619" s="81" t="s">
        <v>7</v>
      </c>
      <c r="J619" s="25">
        <f>(J618/J10)/1.983</f>
        <v>582.67857433344716</v>
      </c>
      <c r="K619" s="25">
        <f>(K618/K10)/1.983</f>
        <v>566.57394303190017</v>
      </c>
      <c r="L619" s="25">
        <f>(L618/L10)/1.983</f>
        <v>419.61674230963189</v>
      </c>
      <c r="M619" s="81" t="s">
        <v>7</v>
      </c>
      <c r="N619" s="25">
        <f>(N618/N10)/1.983</f>
        <v>234.99747856782651</v>
      </c>
      <c r="O619" s="25">
        <f>(O618/O10)/1.983</f>
        <v>58.984703311480921</v>
      </c>
      <c r="P619" s="25">
        <f>(P618/P10)/1.983</f>
        <v>167.60203666650401</v>
      </c>
      <c r="Q619" s="81" t="s">
        <v>7</v>
      </c>
      <c r="R619" s="81" t="s">
        <v>7</v>
      </c>
    </row>
    <row r="620" spans="1:18" ht="15.75" customHeight="1" x14ac:dyDescent="0.3">
      <c r="A620" s="2"/>
      <c r="B620" s="1"/>
      <c r="C620" s="1"/>
      <c r="D620" s="1"/>
      <c r="E620" s="1"/>
      <c r="F620" s="1"/>
      <c r="G620" s="1"/>
      <c r="H620" s="1"/>
      <c r="I620" s="1"/>
      <c r="J620" s="1"/>
      <c r="K620" s="1"/>
      <c r="L620" s="1"/>
      <c r="M620" s="1"/>
      <c r="N620" s="1"/>
      <c r="O620" s="1"/>
      <c r="P620" s="1"/>
      <c r="Q620" s="1"/>
      <c r="R620" s="2"/>
    </row>
    <row r="621" spans="1:18" ht="15.75" customHeight="1" thickBot="1" x14ac:dyDescent="0.35">
      <c r="A621" s="2"/>
      <c r="B621" s="1"/>
      <c r="C621" s="1"/>
      <c r="D621" s="1"/>
      <c r="E621" s="1"/>
      <c r="F621" s="1"/>
      <c r="G621" s="1"/>
      <c r="H621" s="1"/>
      <c r="I621" s="1"/>
      <c r="J621" s="1"/>
      <c r="K621" s="1"/>
      <c r="L621" s="1"/>
      <c r="M621" s="1"/>
      <c r="N621" s="1"/>
      <c r="O621" s="1"/>
      <c r="P621" s="1"/>
      <c r="Q621" s="1"/>
      <c r="R621" s="2"/>
    </row>
    <row r="622" spans="1:18" ht="16.5" customHeight="1" thickBot="1" x14ac:dyDescent="0.35">
      <c r="A622" s="124" t="s">
        <v>317</v>
      </c>
      <c r="B622" s="30" t="s">
        <v>8</v>
      </c>
      <c r="C622" s="31" t="s">
        <v>9</v>
      </c>
      <c r="D622" s="31" t="s">
        <v>10</v>
      </c>
      <c r="E622" s="32" t="s">
        <v>11</v>
      </c>
      <c r="F622" s="31" t="s">
        <v>12</v>
      </c>
      <c r="G622" s="31" t="s">
        <v>13</v>
      </c>
      <c r="H622" s="31" t="s">
        <v>14</v>
      </c>
      <c r="I622" s="33" t="s">
        <v>15</v>
      </c>
      <c r="J622" s="31" t="s">
        <v>16</v>
      </c>
      <c r="K622" s="31" t="s">
        <v>17</v>
      </c>
      <c r="L622" s="31" t="s">
        <v>18</v>
      </c>
      <c r="M622" s="33" t="s">
        <v>19</v>
      </c>
      <c r="N622" s="31" t="s">
        <v>20</v>
      </c>
      <c r="O622" s="31" t="s">
        <v>21</v>
      </c>
      <c r="P622" s="31" t="s">
        <v>22</v>
      </c>
      <c r="Q622" s="33" t="s">
        <v>23</v>
      </c>
      <c r="R622" s="34" t="s">
        <v>24</v>
      </c>
    </row>
    <row r="623" spans="1:18" ht="16.5" customHeight="1" thickBot="1" x14ac:dyDescent="0.35">
      <c r="A623" s="59"/>
      <c r="B623" s="75"/>
      <c r="C623" s="75"/>
      <c r="D623" s="75"/>
      <c r="E623" s="69"/>
      <c r="F623" s="75"/>
      <c r="G623" s="75"/>
      <c r="H623" s="75"/>
      <c r="I623" s="82"/>
      <c r="J623" s="75"/>
      <c r="K623" s="75"/>
      <c r="L623" s="75"/>
      <c r="M623" s="82"/>
      <c r="N623" s="75"/>
      <c r="O623" s="75"/>
      <c r="P623" s="75"/>
      <c r="Q623" s="82"/>
      <c r="R623" s="100"/>
    </row>
    <row r="624" spans="1:18" ht="15.75" customHeight="1" x14ac:dyDescent="0.3">
      <c r="A624" s="15" t="s">
        <v>48</v>
      </c>
      <c r="B624" s="1"/>
      <c r="C624" s="1"/>
      <c r="D624" s="1"/>
      <c r="E624" s="55" t="s">
        <v>7</v>
      </c>
      <c r="F624" s="1"/>
      <c r="G624" s="1"/>
      <c r="H624" s="1"/>
      <c r="I624" s="55" t="s">
        <v>7</v>
      </c>
      <c r="J624" s="1" t="s">
        <v>7</v>
      </c>
      <c r="K624" s="1" t="s">
        <v>7</v>
      </c>
      <c r="L624" s="1" t="s">
        <v>7</v>
      </c>
      <c r="M624" s="55" t="s">
        <v>7</v>
      </c>
      <c r="N624" s="1" t="s">
        <v>7</v>
      </c>
      <c r="O624" s="1" t="s">
        <v>7</v>
      </c>
      <c r="P624" s="1" t="s">
        <v>7</v>
      </c>
      <c r="Q624" s="55" t="s">
        <v>7</v>
      </c>
      <c r="R624" s="55" t="s">
        <v>7</v>
      </c>
    </row>
    <row r="625" spans="1:20" ht="15.75" customHeight="1" x14ac:dyDescent="0.3">
      <c r="A625" s="15" t="s">
        <v>49</v>
      </c>
      <c r="B625" s="1"/>
      <c r="C625" s="1"/>
      <c r="D625" s="1"/>
      <c r="E625" s="55" t="s">
        <v>7</v>
      </c>
      <c r="F625" s="1"/>
      <c r="G625" s="1"/>
      <c r="H625" s="1"/>
      <c r="I625" s="55" t="s">
        <v>7</v>
      </c>
      <c r="J625" s="1"/>
      <c r="K625" s="1"/>
      <c r="L625" s="1"/>
      <c r="M625" s="55" t="s">
        <v>7</v>
      </c>
      <c r="N625" s="1"/>
      <c r="O625" s="1"/>
      <c r="P625" s="1"/>
      <c r="Q625" s="55" t="s">
        <v>7</v>
      </c>
      <c r="R625" s="55" t="s">
        <v>7</v>
      </c>
    </row>
    <row r="626" spans="1:20" ht="15.75" customHeight="1" x14ac:dyDescent="0.3">
      <c r="A626" s="71" t="s">
        <v>762</v>
      </c>
      <c r="B626" s="1"/>
      <c r="C626" s="1"/>
      <c r="D626" s="1"/>
      <c r="E626" s="55">
        <f t="shared" ref="E626" si="240">SUM(B626:D626)</f>
        <v>0</v>
      </c>
      <c r="F626" s="1"/>
      <c r="G626" s="1"/>
      <c r="H626" s="1"/>
      <c r="I626" s="55">
        <f t="shared" ref="I626" si="241">SUM(F626:H626)</f>
        <v>0</v>
      </c>
      <c r="J626" s="1"/>
      <c r="K626" s="1"/>
      <c r="L626" s="1">
        <v>500</v>
      </c>
      <c r="M626" s="55">
        <f t="shared" ref="M626" si="242">SUM(J626:L626)</f>
        <v>500</v>
      </c>
      <c r="N626" s="1">
        <v>498</v>
      </c>
      <c r="O626" s="1"/>
      <c r="P626" s="1"/>
      <c r="Q626" s="55">
        <f t="shared" ref="Q626:Q634" si="243">SUM(N626:P626)</f>
        <v>498</v>
      </c>
      <c r="R626" s="55">
        <f t="shared" ref="R626:R637" si="244">+E626+I626+M626+Q626</f>
        <v>998</v>
      </c>
    </row>
    <row r="627" spans="1:20" ht="15.75" customHeight="1" x14ac:dyDescent="0.3">
      <c r="A627" s="71" t="s">
        <v>320</v>
      </c>
      <c r="B627" s="1"/>
      <c r="C627" s="1"/>
      <c r="D627" s="1"/>
      <c r="E627" s="55">
        <f>SUM(B627:D627)</f>
        <v>0</v>
      </c>
      <c r="F627" s="1"/>
      <c r="G627" s="1"/>
      <c r="H627" s="1"/>
      <c r="I627" s="55">
        <f>SUM(F627:H627)</f>
        <v>0</v>
      </c>
      <c r="J627" s="1">
        <v>500</v>
      </c>
      <c r="K627" s="1"/>
      <c r="L627" s="1"/>
      <c r="M627" s="55">
        <f>SUM(J627:L627)</f>
        <v>500</v>
      </c>
      <c r="N627" s="1"/>
      <c r="O627" s="1"/>
      <c r="P627" s="1"/>
      <c r="Q627" s="55">
        <f>SUM(N627:P627)</f>
        <v>0</v>
      </c>
      <c r="R627" s="55">
        <f>+E627+I627+M627+Q627</f>
        <v>500</v>
      </c>
    </row>
    <row r="628" spans="1:20" ht="15.75" customHeight="1" x14ac:dyDescent="0.3">
      <c r="A628" s="71" t="s">
        <v>318</v>
      </c>
      <c r="B628" s="1"/>
      <c r="C628" s="1"/>
      <c r="D628" s="1">
        <v>424</v>
      </c>
      <c r="E628" s="55">
        <f t="shared" ref="E628" si="245">SUM(B628:D628)</f>
        <v>424</v>
      </c>
      <c r="F628" s="1">
        <v>1200</v>
      </c>
      <c r="G628" s="1">
        <v>658</v>
      </c>
      <c r="H628" s="1">
        <v>1754</v>
      </c>
      <c r="I628" s="55">
        <f t="shared" ref="I628" si="246">SUM(F628:H628)</f>
        <v>3612</v>
      </c>
      <c r="J628" s="1">
        <v>1212</v>
      </c>
      <c r="K628" s="1">
        <v>585</v>
      </c>
      <c r="L628" s="1">
        <v>617</v>
      </c>
      <c r="M628" s="55">
        <f t="shared" ref="M628" si="247">SUM(J628:L628)</f>
        <v>2414</v>
      </c>
      <c r="N628" s="1">
        <v>12</v>
      </c>
      <c r="O628" s="1"/>
      <c r="P628" s="1"/>
      <c r="Q628" s="55">
        <f t="shared" si="243"/>
        <v>12</v>
      </c>
      <c r="R628" s="55">
        <f t="shared" si="244"/>
        <v>6462</v>
      </c>
      <c r="T628" s="4" t="s">
        <v>987</v>
      </c>
    </row>
    <row r="629" spans="1:20" ht="15.75" customHeight="1" x14ac:dyDescent="0.3">
      <c r="A629" s="71" t="s">
        <v>763</v>
      </c>
      <c r="B629" s="1"/>
      <c r="C629" s="1"/>
      <c r="D629" s="1"/>
      <c r="E629" s="55">
        <f>SUM(B629:D629)</f>
        <v>0</v>
      </c>
      <c r="F629" s="1"/>
      <c r="G629" s="1"/>
      <c r="H629" s="1"/>
      <c r="I629" s="55">
        <f>SUM(F629:H629)</f>
        <v>0</v>
      </c>
      <c r="J629" s="1"/>
      <c r="K629" s="1"/>
      <c r="L629" s="1"/>
      <c r="M629" s="55">
        <f>SUM(J629:L629)</f>
        <v>0</v>
      </c>
      <c r="N629" s="1"/>
      <c r="O629" s="1"/>
      <c r="P629" s="1"/>
      <c r="Q629" s="55">
        <f>SUM(N629:P629)</f>
        <v>0</v>
      </c>
      <c r="R629" s="55">
        <f>+E629+I629+M629+Q629</f>
        <v>0</v>
      </c>
      <c r="T629" s="4" t="s">
        <v>988</v>
      </c>
    </row>
    <row r="630" spans="1:20" ht="15.75" customHeight="1" x14ac:dyDescent="0.3">
      <c r="A630" s="71" t="s">
        <v>572</v>
      </c>
      <c r="B630" s="1">
        <v>300</v>
      </c>
      <c r="C630" s="1">
        <v>300</v>
      </c>
      <c r="D630" s="1">
        <v>300</v>
      </c>
      <c r="E630" s="55">
        <f t="shared" ref="E630" si="248">SUM(B630:D630)</f>
        <v>900</v>
      </c>
      <c r="F630" s="1">
        <v>300</v>
      </c>
      <c r="G630" s="1">
        <v>300</v>
      </c>
      <c r="H630" s="1">
        <v>159</v>
      </c>
      <c r="I630" s="55">
        <f t="shared" ref="I630" si="249">SUM(F630:H630)</f>
        <v>759</v>
      </c>
      <c r="J630" s="1">
        <v>300</v>
      </c>
      <c r="K630" s="1">
        <v>396</v>
      </c>
      <c r="L630" s="1">
        <v>300</v>
      </c>
      <c r="M630" s="55">
        <f t="shared" ref="M630" si="250">SUM(J630:L630)</f>
        <v>996</v>
      </c>
      <c r="N630" s="1">
        <v>300</v>
      </c>
      <c r="O630" s="1">
        <v>350</v>
      </c>
      <c r="P630" s="1"/>
      <c r="Q630" s="55">
        <f t="shared" si="243"/>
        <v>650</v>
      </c>
      <c r="R630" s="55">
        <f t="shared" si="244"/>
        <v>3305</v>
      </c>
      <c r="T630" s="4" t="s">
        <v>988</v>
      </c>
    </row>
    <row r="631" spans="1:20" ht="15.75" customHeight="1" x14ac:dyDescent="0.3">
      <c r="A631" s="71" t="s">
        <v>989</v>
      </c>
      <c r="B631" s="1">
        <v>483</v>
      </c>
      <c r="C631" s="1">
        <v>795</v>
      </c>
      <c r="D631" s="1">
        <v>693</v>
      </c>
      <c r="E631" s="55">
        <f>SUM(B631:D631)</f>
        <v>1971</v>
      </c>
      <c r="F631" s="1">
        <f>404+240</f>
        <v>644</v>
      </c>
      <c r="G631" s="1">
        <v>691</v>
      </c>
      <c r="H631" s="1">
        <v>121</v>
      </c>
      <c r="I631" s="55">
        <f>SUM(F631:H631)</f>
        <v>1456</v>
      </c>
      <c r="J631" s="1">
        <v>73</v>
      </c>
      <c r="K631" s="1"/>
      <c r="L631" s="1"/>
      <c r="M631" s="55">
        <f>SUM(J631:L631)</f>
        <v>73</v>
      </c>
      <c r="N631" s="1"/>
      <c r="O631" s="1"/>
      <c r="P631" s="1"/>
      <c r="Q631" s="55">
        <f>SUM(N631:P631)</f>
        <v>0</v>
      </c>
      <c r="R631" s="55">
        <f t="shared" si="244"/>
        <v>3500</v>
      </c>
    </row>
    <row r="632" spans="1:20" ht="15.75" customHeight="1" x14ac:dyDescent="0.3">
      <c r="A632" s="71" t="s">
        <v>319</v>
      </c>
      <c r="B632" s="1"/>
      <c r="C632" s="1"/>
      <c r="D632" s="1"/>
      <c r="E632" s="55">
        <f t="shared" ref="E632:E637" si="251">SUM(B632:D632)</f>
        <v>0</v>
      </c>
      <c r="F632" s="1"/>
      <c r="G632" s="1"/>
      <c r="H632" s="1"/>
      <c r="I632" s="55">
        <f t="shared" ref="I632:I637" si="252">SUM(F632:H632)</f>
        <v>0</v>
      </c>
      <c r="J632" s="1">
        <v>2800</v>
      </c>
      <c r="K632" s="1"/>
      <c r="L632" s="1"/>
      <c r="M632" s="55">
        <f t="shared" ref="M632:M637" si="253">SUM(J632:L632)</f>
        <v>2800</v>
      </c>
      <c r="N632" s="1"/>
      <c r="O632" s="1"/>
      <c r="P632" s="1"/>
      <c r="Q632" s="55">
        <f t="shared" si="243"/>
        <v>0</v>
      </c>
      <c r="R632" s="55">
        <f t="shared" si="244"/>
        <v>2800</v>
      </c>
      <c r="T632" s="4" t="s">
        <v>988</v>
      </c>
    </row>
    <row r="633" spans="1:20" ht="15.75" customHeight="1" x14ac:dyDescent="0.3">
      <c r="A633" s="71" t="s">
        <v>990</v>
      </c>
      <c r="B633" s="1"/>
      <c r="C633" s="1"/>
      <c r="D633" s="1">
        <v>300</v>
      </c>
      <c r="E633" s="55">
        <f t="shared" si="251"/>
        <v>300</v>
      </c>
      <c r="F633" s="1">
        <v>436</v>
      </c>
      <c r="G633" s="1">
        <v>400</v>
      </c>
      <c r="H633" s="1"/>
      <c r="I633" s="55">
        <f t="shared" si="252"/>
        <v>836</v>
      </c>
      <c r="J633" s="1">
        <v>400</v>
      </c>
      <c r="K633" s="1">
        <v>300</v>
      </c>
      <c r="L633" s="1"/>
      <c r="M633" s="55">
        <f t="shared" si="253"/>
        <v>700</v>
      </c>
      <c r="N633" s="1"/>
      <c r="O633" s="1"/>
      <c r="P633" s="1"/>
      <c r="Q633" s="55">
        <f>SUM(N633:P633)</f>
        <v>0</v>
      </c>
      <c r="R633" s="55">
        <f>+E633+I633+M633+Q633</f>
        <v>1836</v>
      </c>
    </row>
    <row r="634" spans="1:20" ht="15.75" customHeight="1" x14ac:dyDescent="0.3">
      <c r="A634" s="71" t="s">
        <v>321</v>
      </c>
      <c r="B634" s="1"/>
      <c r="C634" s="1"/>
      <c r="D634" s="1"/>
      <c r="E634" s="55">
        <f t="shared" si="251"/>
        <v>0</v>
      </c>
      <c r="F634" s="1"/>
      <c r="G634" s="1"/>
      <c r="H634" s="1"/>
      <c r="I634" s="55">
        <f t="shared" si="252"/>
        <v>0</v>
      </c>
      <c r="J634" s="1"/>
      <c r="K634" s="1"/>
      <c r="L634" s="1"/>
      <c r="M634" s="55">
        <f t="shared" si="253"/>
        <v>0</v>
      </c>
      <c r="N634" s="1"/>
      <c r="O634" s="1"/>
      <c r="P634" s="1">
        <v>500</v>
      </c>
      <c r="Q634" s="55">
        <f t="shared" si="243"/>
        <v>500</v>
      </c>
      <c r="R634" s="55">
        <f t="shared" si="244"/>
        <v>500</v>
      </c>
      <c r="T634" s="4" t="s">
        <v>988</v>
      </c>
    </row>
    <row r="635" spans="1:20" ht="15.75" customHeight="1" x14ac:dyDescent="0.3">
      <c r="A635" s="71" t="s">
        <v>1324</v>
      </c>
      <c r="B635" s="1">
        <v>7</v>
      </c>
      <c r="C635" s="1">
        <v>329</v>
      </c>
      <c r="D635" s="1">
        <v>314</v>
      </c>
      <c r="E635" s="55">
        <f t="shared" si="251"/>
        <v>650</v>
      </c>
      <c r="F635" s="1">
        <v>650</v>
      </c>
      <c r="G635" s="1">
        <v>700</v>
      </c>
      <c r="H635" s="1">
        <v>340</v>
      </c>
      <c r="I635" s="55">
        <f t="shared" si="252"/>
        <v>1690</v>
      </c>
      <c r="J635" s="1">
        <v>447</v>
      </c>
      <c r="K635" s="1"/>
      <c r="L635" s="1"/>
      <c r="M635" s="55">
        <f t="shared" si="253"/>
        <v>447</v>
      </c>
      <c r="N635" s="1"/>
      <c r="O635" s="1"/>
      <c r="P635" s="1"/>
      <c r="Q635" s="55">
        <f t="shared" ref="Q635" si="254">SUM(N635:P635)</f>
        <v>0</v>
      </c>
      <c r="R635" s="55">
        <f t="shared" si="244"/>
        <v>2787</v>
      </c>
    </row>
    <row r="636" spans="1:20" ht="15.75" customHeight="1" x14ac:dyDescent="0.3">
      <c r="A636" s="71" t="s">
        <v>1432</v>
      </c>
      <c r="B636" s="1"/>
      <c r="C636" s="1"/>
      <c r="D636" s="1"/>
      <c r="E636" s="55">
        <f t="shared" si="251"/>
        <v>0</v>
      </c>
      <c r="F636" s="1">
        <v>192</v>
      </c>
      <c r="G636" s="1">
        <v>172</v>
      </c>
      <c r="H636" s="1">
        <v>185</v>
      </c>
      <c r="I636" s="55">
        <f t="shared" si="252"/>
        <v>549</v>
      </c>
      <c r="J636" s="1">
        <v>369</v>
      </c>
      <c r="K636" s="1">
        <v>582</v>
      </c>
      <c r="L636" s="1">
        <v>213</v>
      </c>
      <c r="M636" s="55">
        <f t="shared" si="253"/>
        <v>1164</v>
      </c>
      <c r="N636" s="1">
        <v>62</v>
      </c>
      <c r="O636" s="1"/>
      <c r="P636" s="1"/>
      <c r="Q636" s="55">
        <f t="shared" ref="Q636:Q637" si="255">SUM(N636:P636)</f>
        <v>62</v>
      </c>
      <c r="R636" s="55">
        <f t="shared" si="244"/>
        <v>1775</v>
      </c>
    </row>
    <row r="637" spans="1:20" ht="15.75" customHeight="1" x14ac:dyDescent="0.3">
      <c r="A637" s="71" t="s">
        <v>1368</v>
      </c>
      <c r="B637" s="1"/>
      <c r="C637" s="1"/>
      <c r="D637" s="1"/>
      <c r="E637" s="55">
        <f t="shared" si="251"/>
        <v>0</v>
      </c>
      <c r="F637" s="1"/>
      <c r="G637" s="1"/>
      <c r="H637" s="1">
        <v>500</v>
      </c>
      <c r="I637" s="55">
        <f t="shared" si="252"/>
        <v>500</v>
      </c>
      <c r="J637" s="1"/>
      <c r="K637" s="1">
        <v>1500</v>
      </c>
      <c r="L637" s="1"/>
      <c r="M637" s="55">
        <f t="shared" si="253"/>
        <v>1500</v>
      </c>
      <c r="N637" s="1"/>
      <c r="O637" s="1"/>
      <c r="P637" s="1"/>
      <c r="Q637" s="55">
        <f t="shared" si="255"/>
        <v>0</v>
      </c>
      <c r="R637" s="55">
        <f t="shared" si="244"/>
        <v>2000</v>
      </c>
    </row>
    <row r="638" spans="1:20" ht="15.75" customHeight="1" x14ac:dyDescent="0.3">
      <c r="A638" s="71" t="s">
        <v>1326</v>
      </c>
      <c r="B638" s="1">
        <v>3655</v>
      </c>
      <c r="C638" s="1">
        <v>2515</v>
      </c>
      <c r="D638" s="1">
        <v>3837</v>
      </c>
      <c r="E638" s="55">
        <f>SUM(B638:D638)</f>
        <v>10007</v>
      </c>
      <c r="F638" s="1">
        <v>3493</v>
      </c>
      <c r="G638" s="1">
        <v>3561</v>
      </c>
      <c r="H638" s="1"/>
      <c r="I638" s="55">
        <f>SUM(F638:H638)</f>
        <v>7054</v>
      </c>
      <c r="J638" s="1">
        <v>643</v>
      </c>
      <c r="K638" s="1">
        <v>3296</v>
      </c>
      <c r="L638" s="1"/>
      <c r="M638" s="55">
        <f>SUM(J638:L638)</f>
        <v>3939</v>
      </c>
      <c r="N638" s="1"/>
      <c r="O638" s="1"/>
      <c r="P638" s="1"/>
      <c r="Q638" s="55">
        <f>SUM(N638:P638)</f>
        <v>0</v>
      </c>
      <c r="R638" s="55">
        <f>+E638+I638+M638+Q638</f>
        <v>21000</v>
      </c>
      <c r="T638" s="4" t="s">
        <v>987</v>
      </c>
    </row>
    <row r="639" spans="1:20" ht="15.75" customHeight="1" x14ac:dyDescent="0.3">
      <c r="A639" s="15" t="s">
        <v>50</v>
      </c>
      <c r="B639" s="1"/>
      <c r="C639" s="1"/>
      <c r="D639" s="1"/>
      <c r="E639" s="55" t="s">
        <v>7</v>
      </c>
      <c r="F639" s="1"/>
      <c r="G639" s="1"/>
      <c r="H639" s="1"/>
      <c r="I639" s="55" t="s">
        <v>7</v>
      </c>
      <c r="J639" s="1"/>
      <c r="K639" s="1"/>
      <c r="L639" s="1"/>
      <c r="M639" s="55" t="s">
        <v>7</v>
      </c>
      <c r="N639" s="1"/>
      <c r="O639" s="1"/>
      <c r="P639" s="1"/>
      <c r="Q639" s="55" t="s">
        <v>7</v>
      </c>
      <c r="R639" s="55" t="s">
        <v>7</v>
      </c>
    </row>
    <row r="640" spans="1:20" ht="15.75" customHeight="1" x14ac:dyDescent="0.3">
      <c r="A640" s="71" t="s">
        <v>321</v>
      </c>
      <c r="B640" s="1"/>
      <c r="C640" s="1"/>
      <c r="D640" s="1"/>
      <c r="E640" s="55">
        <f>SUM(B640:D640)</f>
        <v>0</v>
      </c>
      <c r="F640" s="1"/>
      <c r="G640" s="1"/>
      <c r="H640" s="1"/>
      <c r="I640" s="55">
        <f>SUM(F640:H640)</f>
        <v>0</v>
      </c>
      <c r="J640" s="1"/>
      <c r="K640" s="1"/>
      <c r="L640" s="1"/>
      <c r="M640" s="55">
        <f>SUM(J640:L640)</f>
        <v>0</v>
      </c>
      <c r="N640" s="1"/>
      <c r="O640" s="1"/>
      <c r="P640" s="1"/>
      <c r="Q640" s="55">
        <f>SUM(N640:P640)</f>
        <v>0</v>
      </c>
      <c r="R640" s="55">
        <f>+E640+I640+M640+Q640</f>
        <v>0</v>
      </c>
      <c r="T640" s="4" t="s">
        <v>988</v>
      </c>
    </row>
    <row r="641" spans="1:20" ht="15.75" customHeight="1" x14ac:dyDescent="0.3">
      <c r="A641" s="15" t="s">
        <v>1186</v>
      </c>
      <c r="B641" s="1"/>
      <c r="C641" s="1"/>
      <c r="D641" s="1"/>
      <c r="E641" s="55" t="s">
        <v>7</v>
      </c>
      <c r="F641" s="1"/>
      <c r="G641" s="1"/>
      <c r="H641" s="1"/>
      <c r="I641" s="55" t="s">
        <v>7</v>
      </c>
      <c r="J641" s="1"/>
      <c r="K641" s="1"/>
      <c r="L641" s="1"/>
      <c r="M641" s="55" t="s">
        <v>7</v>
      </c>
      <c r="N641" s="1"/>
      <c r="O641" s="1"/>
      <c r="P641" s="1"/>
      <c r="Q641" s="55" t="s">
        <v>7</v>
      </c>
      <c r="R641" s="55" t="s">
        <v>7</v>
      </c>
    </row>
    <row r="642" spans="1:20" ht="15.75" customHeight="1" x14ac:dyDescent="0.3">
      <c r="A642" s="71" t="s">
        <v>1327</v>
      </c>
      <c r="B642" s="1"/>
      <c r="C642" s="1"/>
      <c r="D642" s="1"/>
      <c r="E642" s="55">
        <f>SUM(B642:D642)</f>
        <v>0</v>
      </c>
      <c r="F642" s="1"/>
      <c r="G642" s="1"/>
      <c r="H642" s="1"/>
      <c r="I642" s="55">
        <f>SUM(F642:H642)</f>
        <v>0</v>
      </c>
      <c r="J642" s="1"/>
      <c r="K642" s="1"/>
      <c r="L642" s="1"/>
      <c r="M642" s="55">
        <f>SUM(J642:L642)</f>
        <v>0</v>
      </c>
      <c r="N642" s="1"/>
      <c r="O642" s="1"/>
      <c r="P642" s="1"/>
      <c r="Q642" s="55">
        <f>SUM(N642:P642)</f>
        <v>0</v>
      </c>
      <c r="R642" s="55">
        <f>+E642+I642+M642+Q642</f>
        <v>0</v>
      </c>
      <c r="S642" s="478" t="s">
        <v>1259</v>
      </c>
      <c r="T642" s="4" t="s">
        <v>988</v>
      </c>
    </row>
    <row r="643" spans="1:20" ht="15.75" customHeight="1" thickBot="1" x14ac:dyDescent="0.35">
      <c r="A643" s="15" t="s">
        <v>53</v>
      </c>
      <c r="B643" s="1"/>
      <c r="C643" s="1"/>
      <c r="D643" s="1"/>
      <c r="E643" s="55" t="s">
        <v>7</v>
      </c>
      <c r="F643" s="1"/>
      <c r="G643" s="1"/>
      <c r="H643" s="1"/>
      <c r="I643" s="55" t="s">
        <v>7</v>
      </c>
      <c r="J643" s="1"/>
      <c r="K643" s="1"/>
      <c r="L643" s="1"/>
      <c r="M643" s="55" t="s">
        <v>7</v>
      </c>
      <c r="N643" s="1"/>
      <c r="O643" s="1"/>
      <c r="P643" s="1"/>
      <c r="Q643" s="55" t="s">
        <v>7</v>
      </c>
      <c r="R643" s="55" t="s">
        <v>7</v>
      </c>
    </row>
    <row r="644" spans="1:20" ht="16.5" customHeight="1" thickBot="1" x14ac:dyDescent="0.35">
      <c r="A644" s="109" t="s">
        <v>54</v>
      </c>
      <c r="B644" s="86">
        <f>SUM(B624:B643)</f>
        <v>4445</v>
      </c>
      <c r="C644" s="87">
        <f>SUM(C624:C643)</f>
        <v>3939</v>
      </c>
      <c r="D644" s="87">
        <f>SUM(D624:D643)</f>
        <v>5868</v>
      </c>
      <c r="E644" s="59">
        <f>SUM(B644:D644)</f>
        <v>14252</v>
      </c>
      <c r="F644" s="87">
        <f>SUM(F624:F643)</f>
        <v>6915</v>
      </c>
      <c r="G644" s="87">
        <f>SUM(G624:G643)</f>
        <v>6482</v>
      </c>
      <c r="H644" s="87">
        <f>SUM(H624:H643)</f>
        <v>3059</v>
      </c>
      <c r="I644" s="59">
        <f>SUM(F644:H644)</f>
        <v>16456</v>
      </c>
      <c r="J644" s="87">
        <f>SUM(J624:J643)</f>
        <v>6744</v>
      </c>
      <c r="K644" s="87">
        <f>SUM(K624:K643)</f>
        <v>6659</v>
      </c>
      <c r="L644" s="87">
        <f>SUM(L624:L643)</f>
        <v>1630</v>
      </c>
      <c r="M644" s="59">
        <f>SUM(J644:L644)</f>
        <v>15033</v>
      </c>
      <c r="N644" s="87">
        <f>SUM(N624:N643)</f>
        <v>872</v>
      </c>
      <c r="O644" s="87">
        <f>SUM(O624:O643)</f>
        <v>350</v>
      </c>
      <c r="P644" s="87">
        <f>SUM(P624:P643)</f>
        <v>500</v>
      </c>
      <c r="Q644" s="59">
        <f>SUM(N644:P644)</f>
        <v>1722</v>
      </c>
      <c r="R644" s="59">
        <f>+E644+I644+M644+Q644</f>
        <v>47463</v>
      </c>
    </row>
    <row r="645" spans="1:20" ht="15.75" customHeight="1" x14ac:dyDescent="0.3">
      <c r="A645" s="15" t="s">
        <v>55</v>
      </c>
      <c r="B645" s="1"/>
      <c r="C645" s="1"/>
      <c r="D645" s="1"/>
      <c r="E645" s="55" t="s">
        <v>7</v>
      </c>
      <c r="F645" s="1"/>
      <c r="G645" s="1"/>
      <c r="H645" s="1"/>
      <c r="I645" s="55" t="s">
        <v>7</v>
      </c>
      <c r="J645" s="1"/>
      <c r="K645" s="1"/>
      <c r="L645" s="1"/>
      <c r="M645" s="55" t="s">
        <v>7</v>
      </c>
      <c r="N645" s="1"/>
      <c r="O645" s="1"/>
      <c r="P645" s="1"/>
      <c r="Q645" s="55" t="s">
        <v>7</v>
      </c>
      <c r="R645" s="55" t="s">
        <v>7</v>
      </c>
    </row>
    <row r="646" spans="1:20" ht="15.75" customHeight="1" x14ac:dyDescent="0.3">
      <c r="A646" s="15" t="s">
        <v>57</v>
      </c>
      <c r="B646" s="1"/>
      <c r="C646" s="1"/>
      <c r="D646" s="1"/>
      <c r="E646" s="55" t="s">
        <v>7</v>
      </c>
      <c r="F646" s="1"/>
      <c r="G646" s="1"/>
      <c r="H646" s="1"/>
      <c r="I646" s="55" t="s">
        <v>7</v>
      </c>
      <c r="J646" s="1"/>
      <c r="K646" s="1"/>
      <c r="L646" s="1"/>
      <c r="M646" s="55" t="s">
        <v>7</v>
      </c>
      <c r="N646" s="1"/>
      <c r="O646" s="1"/>
      <c r="P646" s="1"/>
      <c r="Q646" s="55" t="s">
        <v>7</v>
      </c>
      <c r="R646" s="55" t="s">
        <v>7</v>
      </c>
    </row>
    <row r="647" spans="1:20" ht="15.75" customHeight="1" x14ac:dyDescent="0.3">
      <c r="A647" s="71" t="s">
        <v>324</v>
      </c>
      <c r="B647" s="1"/>
      <c r="C647" s="1"/>
      <c r="D647" s="1"/>
      <c r="E647" s="55">
        <f>SUM(B647:D647)</f>
        <v>0</v>
      </c>
      <c r="F647" s="1"/>
      <c r="G647" s="1"/>
      <c r="H647" s="1"/>
      <c r="I647" s="55">
        <f>SUM(F647:H647)</f>
        <v>0</v>
      </c>
      <c r="J647" s="1"/>
      <c r="K647" s="1"/>
      <c r="L647" s="1"/>
      <c r="M647" s="55">
        <f>SUM(J647:L647)</f>
        <v>0</v>
      </c>
      <c r="N647" s="1"/>
      <c r="O647" s="1"/>
      <c r="P647" s="1"/>
      <c r="Q647" s="55">
        <f>SUM(N647:P647)</f>
        <v>0</v>
      </c>
      <c r="R647" s="55">
        <f>+E647+I647+M647+Q647</f>
        <v>0</v>
      </c>
    </row>
    <row r="648" spans="1:20" ht="15.75" customHeight="1" x14ac:dyDescent="0.3">
      <c r="A648" s="71" t="s">
        <v>659</v>
      </c>
      <c r="B648" s="1"/>
      <c r="C648" s="1"/>
      <c r="D648" s="1"/>
      <c r="E648" s="55">
        <f>SUM(B648:D648)</f>
        <v>0</v>
      </c>
      <c r="F648" s="1"/>
      <c r="G648" s="1"/>
      <c r="H648" s="1"/>
      <c r="I648" s="55">
        <f>SUM(F648:H648)</f>
        <v>0</v>
      </c>
      <c r="J648" s="1"/>
      <c r="K648" s="1"/>
      <c r="L648" s="1"/>
      <c r="M648" s="55">
        <f>SUM(J648:L648)</f>
        <v>0</v>
      </c>
      <c r="N648" s="1"/>
      <c r="O648" s="1"/>
      <c r="P648" s="1"/>
      <c r="Q648" s="55">
        <f>SUM(N648:P648)</f>
        <v>0</v>
      </c>
      <c r="R648" s="55">
        <f>+E648+I648+M648+Q648</f>
        <v>0</v>
      </c>
    </row>
    <row r="649" spans="1:20" ht="15.75" customHeight="1" thickBot="1" x14ac:dyDescent="0.35">
      <c r="A649" s="15" t="s">
        <v>58</v>
      </c>
      <c r="B649" s="1"/>
      <c r="C649" s="1"/>
      <c r="D649" s="1"/>
      <c r="E649" s="55" t="s">
        <v>7</v>
      </c>
      <c r="F649" s="1"/>
      <c r="G649" s="1"/>
      <c r="H649" s="1"/>
      <c r="I649" s="55" t="s">
        <v>7</v>
      </c>
      <c r="J649" s="1"/>
      <c r="K649" s="1"/>
      <c r="L649" s="1"/>
      <c r="M649" s="55" t="s">
        <v>7</v>
      </c>
      <c r="N649" s="1"/>
      <c r="O649" s="1"/>
      <c r="P649" s="1"/>
      <c r="Q649" s="55" t="s">
        <v>7</v>
      </c>
      <c r="R649" s="55" t="s">
        <v>7</v>
      </c>
    </row>
    <row r="650" spans="1:20" ht="16.5" customHeight="1" thickBot="1" x14ac:dyDescent="0.35">
      <c r="A650" s="57" t="s">
        <v>59</v>
      </c>
      <c r="B650" s="86">
        <f>SUM(B645:B649)</f>
        <v>0</v>
      </c>
      <c r="C650" s="87">
        <f>SUM(C645:C649)</f>
        <v>0</v>
      </c>
      <c r="D650" s="87">
        <f>SUM(D645:D649)</f>
        <v>0</v>
      </c>
      <c r="E650" s="59">
        <f>SUM(B650:D650)</f>
        <v>0</v>
      </c>
      <c r="F650" s="87">
        <f>SUM(F645:F649)</f>
        <v>0</v>
      </c>
      <c r="G650" s="87">
        <f>SUM(G645:G649)</f>
        <v>0</v>
      </c>
      <c r="H650" s="87">
        <f>SUM(H645:H649)</f>
        <v>0</v>
      </c>
      <c r="I650" s="59">
        <f>SUM(F650:H650)</f>
        <v>0</v>
      </c>
      <c r="J650" s="87">
        <f>SUM(J645:J649)</f>
        <v>0</v>
      </c>
      <c r="K650" s="87">
        <f>SUM(K645:K649)</f>
        <v>0</v>
      </c>
      <c r="L650" s="87">
        <f>SUM(L645:L649)</f>
        <v>0</v>
      </c>
      <c r="M650" s="59">
        <f>SUM(J650:L650)</f>
        <v>0</v>
      </c>
      <c r="N650" s="87">
        <f>SUM(N645:N649)</f>
        <v>0</v>
      </c>
      <c r="O650" s="87">
        <f>SUM(O645:O649)</f>
        <v>0</v>
      </c>
      <c r="P650" s="87">
        <f>SUM(P645:P649)</f>
        <v>0</v>
      </c>
      <c r="Q650" s="59">
        <f>SUM(N650:P650)</f>
        <v>0</v>
      </c>
      <c r="R650" s="59">
        <f>+E650+I650+M650+Q650</f>
        <v>0</v>
      </c>
    </row>
    <row r="651" spans="1:20" ht="15.75" customHeight="1" x14ac:dyDescent="0.3">
      <c r="A651" s="15" t="s">
        <v>60</v>
      </c>
      <c r="B651" s="1"/>
      <c r="C651" s="1"/>
      <c r="D651" s="1"/>
      <c r="E651" s="55" t="s">
        <v>7</v>
      </c>
      <c r="F651" s="1"/>
      <c r="G651" s="1"/>
      <c r="H651" s="1"/>
      <c r="I651" s="55" t="s">
        <v>7</v>
      </c>
      <c r="J651" s="1"/>
      <c r="K651" s="1"/>
      <c r="L651" s="1"/>
      <c r="M651" s="55" t="s">
        <v>7</v>
      </c>
      <c r="N651" s="1"/>
      <c r="O651" s="1"/>
      <c r="P651" s="1"/>
      <c r="Q651" s="55" t="s">
        <v>7</v>
      </c>
      <c r="R651" s="55" t="s">
        <v>7</v>
      </c>
    </row>
    <row r="652" spans="1:20" ht="15.75" customHeight="1" x14ac:dyDescent="0.3">
      <c r="A652" s="15" t="s">
        <v>61</v>
      </c>
      <c r="B652" s="1"/>
      <c r="C652" s="1"/>
      <c r="D652" s="1"/>
      <c r="E652" s="55" t="s">
        <v>7</v>
      </c>
      <c r="F652" s="1"/>
      <c r="G652" s="1"/>
      <c r="H652" s="1"/>
      <c r="I652" s="55" t="s">
        <v>7</v>
      </c>
      <c r="J652" s="1"/>
      <c r="K652" s="1"/>
      <c r="L652" s="1"/>
      <c r="M652" s="55" t="s">
        <v>7</v>
      </c>
      <c r="N652" s="1"/>
      <c r="O652" s="1"/>
      <c r="P652" s="1"/>
      <c r="Q652" s="55" t="s">
        <v>7</v>
      </c>
      <c r="R652" s="55" t="s">
        <v>7</v>
      </c>
    </row>
    <row r="653" spans="1:20" ht="15.75" customHeight="1" x14ac:dyDescent="0.3">
      <c r="A653" s="15" t="s">
        <v>62</v>
      </c>
      <c r="B653" s="1"/>
      <c r="C653" s="1"/>
      <c r="D653" s="1"/>
      <c r="E653" s="55" t="s">
        <v>7</v>
      </c>
      <c r="F653" s="1"/>
      <c r="G653" s="1"/>
      <c r="H653" s="1"/>
      <c r="I653" s="55" t="s">
        <v>7</v>
      </c>
      <c r="J653" s="1"/>
      <c r="K653" s="1"/>
      <c r="L653" s="1"/>
      <c r="M653" s="55" t="s">
        <v>7</v>
      </c>
      <c r="N653" s="1"/>
      <c r="O653" s="1"/>
      <c r="P653" s="1"/>
      <c r="Q653" s="55" t="s">
        <v>7</v>
      </c>
      <c r="R653" s="55" t="s">
        <v>7</v>
      </c>
    </row>
    <row r="654" spans="1:20" ht="15.75" customHeight="1" x14ac:dyDescent="0.3">
      <c r="A654" s="71" t="s">
        <v>1229</v>
      </c>
      <c r="B654" s="1"/>
      <c r="C654" s="1"/>
      <c r="D654" s="1"/>
      <c r="E654" s="55">
        <f t="shared" ref="E654:E656" si="256">SUM(B654:D654)</f>
        <v>0</v>
      </c>
      <c r="F654" s="1"/>
      <c r="G654" s="1"/>
      <c r="H654" s="1"/>
      <c r="I654" s="55">
        <f t="shared" ref="I654:I655" si="257">SUM(F654:H654)</f>
        <v>0</v>
      </c>
      <c r="J654" s="1"/>
      <c r="K654" s="1"/>
      <c r="L654" s="1"/>
      <c r="M654" s="55">
        <f t="shared" ref="M654:M656" si="258">SUM(J654:L654)</f>
        <v>0</v>
      </c>
      <c r="N654" s="1"/>
      <c r="O654" s="1"/>
      <c r="P654" s="1"/>
      <c r="Q654" s="55">
        <f>SUM(N654:P654)</f>
        <v>0</v>
      </c>
      <c r="R654" s="55">
        <f>+E654+I654+M654+Q654</f>
        <v>0</v>
      </c>
      <c r="T654" s="4" t="s">
        <v>988</v>
      </c>
    </row>
    <row r="655" spans="1:20" ht="15.75" customHeight="1" x14ac:dyDescent="0.3">
      <c r="A655" s="71" t="s">
        <v>1328</v>
      </c>
      <c r="B655" s="1"/>
      <c r="C655" s="1"/>
      <c r="D655" s="1"/>
      <c r="E655" s="55">
        <f t="shared" si="256"/>
        <v>0</v>
      </c>
      <c r="F655" s="1"/>
      <c r="G655" s="1"/>
      <c r="H655" s="1"/>
      <c r="I655" s="55">
        <f t="shared" si="257"/>
        <v>0</v>
      </c>
      <c r="J655" s="1"/>
      <c r="K655" s="1"/>
      <c r="L655" s="1"/>
      <c r="M655" s="55">
        <f t="shared" si="258"/>
        <v>0</v>
      </c>
      <c r="N655" s="1"/>
      <c r="O655" s="1"/>
      <c r="P655" s="1"/>
      <c r="Q655" s="55">
        <f t="shared" ref="Q655" si="259">SUM(N655:P655)</f>
        <v>0</v>
      </c>
      <c r="R655" s="55">
        <f t="shared" ref="R655:R658" si="260">+E655+I655+M655+Q655</f>
        <v>0</v>
      </c>
    </row>
    <row r="656" spans="1:20" ht="15.75" customHeight="1" x14ac:dyDescent="0.3">
      <c r="A656" s="71" t="s">
        <v>1433</v>
      </c>
      <c r="B656" s="1"/>
      <c r="C656" s="1"/>
      <c r="D656" s="1"/>
      <c r="E656" s="55">
        <f t="shared" si="256"/>
        <v>0</v>
      </c>
      <c r="F656" s="1"/>
      <c r="G656" s="1"/>
      <c r="H656" s="1"/>
      <c r="I656" s="55">
        <f t="shared" ref="I656" si="261">SUM(F656:H656)</f>
        <v>0</v>
      </c>
      <c r="J656" s="1"/>
      <c r="K656" s="1"/>
      <c r="L656" s="1"/>
      <c r="M656" s="55">
        <f t="shared" si="258"/>
        <v>0</v>
      </c>
      <c r="N656" s="1"/>
      <c r="O656" s="1">
        <v>70</v>
      </c>
      <c r="P656" s="1">
        <v>1130</v>
      </c>
      <c r="Q656" s="55">
        <f t="shared" ref="Q656:Q657" si="262">SUM(N656:P656)</f>
        <v>1200</v>
      </c>
      <c r="R656" s="55">
        <f t="shared" si="260"/>
        <v>1200</v>
      </c>
    </row>
    <row r="657" spans="1:20" ht="15.75" customHeight="1" x14ac:dyDescent="0.3">
      <c r="A657" s="71" t="s">
        <v>1329</v>
      </c>
      <c r="B657" s="1"/>
      <c r="C657" s="1"/>
      <c r="D657" s="1"/>
      <c r="E657" s="55">
        <f>SUM(B657:D657)</f>
        <v>0</v>
      </c>
      <c r="F657" s="1"/>
      <c r="G657" s="1"/>
      <c r="H657" s="1"/>
      <c r="I657" s="55">
        <f>SUM(F657:H657)</f>
        <v>0</v>
      </c>
      <c r="J657" s="1"/>
      <c r="K657" s="1"/>
      <c r="L657" s="1"/>
      <c r="M657" s="55">
        <f>SUM(J657:L657)</f>
        <v>0</v>
      </c>
      <c r="N657" s="1"/>
      <c r="O657" s="1"/>
      <c r="P657" s="1"/>
      <c r="Q657" s="55">
        <f t="shared" si="262"/>
        <v>0</v>
      </c>
      <c r="R657" s="55">
        <f t="shared" si="260"/>
        <v>0</v>
      </c>
    </row>
    <row r="658" spans="1:20" ht="15.75" customHeight="1" x14ac:dyDescent="0.3">
      <c r="A658" s="71" t="s">
        <v>1330</v>
      </c>
      <c r="B658" s="1"/>
      <c r="C658" s="1"/>
      <c r="D658" s="1"/>
      <c r="E658" s="55">
        <f>SUM(B658:D658)</f>
        <v>0</v>
      </c>
      <c r="F658" s="1"/>
      <c r="G658" s="1"/>
      <c r="H658" s="1"/>
      <c r="I658" s="55">
        <f>SUM(F658:H658)</f>
        <v>0</v>
      </c>
      <c r="J658" s="1"/>
      <c r="K658" s="1"/>
      <c r="L658" s="1"/>
      <c r="M658" s="55">
        <f>SUM(J658:L658)</f>
        <v>0</v>
      </c>
      <c r="N658" s="1"/>
      <c r="O658" s="1"/>
      <c r="P658" s="1"/>
      <c r="Q658" s="55">
        <f>SUM(N658:P658)</f>
        <v>0</v>
      </c>
      <c r="R658" s="55">
        <f t="shared" si="260"/>
        <v>0</v>
      </c>
    </row>
    <row r="659" spans="1:20" ht="15.75" customHeight="1" thickBot="1" x14ac:dyDescent="0.35">
      <c r="A659" s="71" t="s">
        <v>660</v>
      </c>
      <c r="B659" s="1"/>
      <c r="C659" s="1"/>
      <c r="D659" s="1"/>
      <c r="E659" s="55">
        <f>SUM(B659:D659)</f>
        <v>0</v>
      </c>
      <c r="F659" s="1"/>
      <c r="G659" s="1"/>
      <c r="H659" s="1"/>
      <c r="I659" s="55">
        <f>SUM(F659:H659)</f>
        <v>0</v>
      </c>
      <c r="J659" s="1"/>
      <c r="K659" s="1"/>
      <c r="L659" s="1"/>
      <c r="M659" s="55">
        <f>SUM(J659:L659)</f>
        <v>0</v>
      </c>
      <c r="N659" s="1"/>
      <c r="O659" s="1"/>
      <c r="P659" s="1"/>
      <c r="Q659" s="55">
        <f>SUM(N659:P659)</f>
        <v>0</v>
      </c>
      <c r="R659" s="55">
        <f>+E659+I659+M659+Q659</f>
        <v>0</v>
      </c>
      <c r="T659" s="4" t="s">
        <v>988</v>
      </c>
    </row>
    <row r="660" spans="1:20" ht="16.5" customHeight="1" thickBot="1" x14ac:dyDescent="0.35">
      <c r="A660" s="114" t="s">
        <v>63</v>
      </c>
      <c r="B660" s="86">
        <f>SUM(B651:B659)</f>
        <v>0</v>
      </c>
      <c r="C660" s="87">
        <f>SUM(C651:C659)</f>
        <v>0</v>
      </c>
      <c r="D660" s="87">
        <f>SUM(D651:D659)</f>
        <v>0</v>
      </c>
      <c r="E660" s="59">
        <f>SUM(B660:D660)</f>
        <v>0</v>
      </c>
      <c r="F660" s="87">
        <f>SUM(F651:F659)</f>
        <v>0</v>
      </c>
      <c r="G660" s="87">
        <f>SUM(G651:G659)</f>
        <v>0</v>
      </c>
      <c r="H660" s="87">
        <f>SUM(H651:H659)</f>
        <v>0</v>
      </c>
      <c r="I660" s="59">
        <f>SUM(F660:H660)</f>
        <v>0</v>
      </c>
      <c r="J660" s="87">
        <f>SUM(J651:J659)</f>
        <v>0</v>
      </c>
      <c r="K660" s="87">
        <f>SUM(K651:K659)</f>
        <v>0</v>
      </c>
      <c r="L660" s="87">
        <f>SUM(L651:L659)</f>
        <v>0</v>
      </c>
      <c r="M660" s="59">
        <f>SUM(J660:L660)</f>
        <v>0</v>
      </c>
      <c r="N660" s="87">
        <f>SUM(N651:N659)</f>
        <v>0</v>
      </c>
      <c r="O660" s="87">
        <f>SUM(O651:O659)</f>
        <v>70</v>
      </c>
      <c r="P660" s="87">
        <f>SUM(P651:P659)</f>
        <v>1130</v>
      </c>
      <c r="Q660" s="59">
        <f>SUM(N660:P660)</f>
        <v>1200</v>
      </c>
      <c r="R660" s="59">
        <f>+E660+I660+M660+Q660</f>
        <v>1200</v>
      </c>
    </row>
    <row r="661" spans="1:20" ht="15.75" customHeight="1" x14ac:dyDescent="0.3">
      <c r="A661" s="15" t="s">
        <v>64</v>
      </c>
      <c r="B661" s="1"/>
      <c r="C661" s="1"/>
      <c r="D661" s="1"/>
      <c r="E661" s="55" t="s">
        <v>7</v>
      </c>
      <c r="F661" s="1"/>
      <c r="G661" s="1"/>
      <c r="H661" s="1"/>
      <c r="I661" s="55" t="s">
        <v>7</v>
      </c>
      <c r="J661" s="1"/>
      <c r="K661" s="1"/>
      <c r="L661" s="1"/>
      <c r="M661" s="55" t="s">
        <v>7</v>
      </c>
      <c r="N661" s="1"/>
      <c r="O661" s="1"/>
      <c r="P661" s="1"/>
      <c r="Q661" s="55" t="s">
        <v>7</v>
      </c>
      <c r="R661" s="55" t="s">
        <v>7</v>
      </c>
    </row>
    <row r="662" spans="1:20" ht="15.75" customHeight="1" x14ac:dyDescent="0.3">
      <c r="A662" s="15" t="s">
        <v>594</v>
      </c>
      <c r="B662" s="1"/>
      <c r="C662" s="1"/>
      <c r="D662" s="1"/>
      <c r="E662" s="55" t="s">
        <v>7</v>
      </c>
      <c r="F662" s="1"/>
      <c r="G662" s="1"/>
      <c r="H662" s="1"/>
      <c r="I662" s="55" t="s">
        <v>7</v>
      </c>
      <c r="J662" s="1"/>
      <c r="K662" s="1"/>
      <c r="L662" s="1"/>
      <c r="M662" s="55" t="s">
        <v>7</v>
      </c>
      <c r="N662" s="1"/>
      <c r="O662" s="1"/>
      <c r="P662" s="1"/>
      <c r="Q662" s="55" t="s">
        <v>7</v>
      </c>
      <c r="R662" s="55" t="s">
        <v>7</v>
      </c>
    </row>
    <row r="663" spans="1:20" ht="15.75" customHeight="1" x14ac:dyDescent="0.3">
      <c r="A663" s="71" t="s">
        <v>1331</v>
      </c>
      <c r="B663" s="1"/>
      <c r="C663" s="1"/>
      <c r="D663" s="1"/>
      <c r="E663" s="55">
        <f>SUM(B663:D663)</f>
        <v>0</v>
      </c>
      <c r="F663" s="1"/>
      <c r="G663" s="1"/>
      <c r="H663" s="1"/>
      <c r="I663" s="55">
        <f>SUM(F663:H663)</f>
        <v>0</v>
      </c>
      <c r="J663" s="1"/>
      <c r="K663" s="1"/>
      <c r="L663" s="1"/>
      <c r="M663" s="55">
        <f>SUM(J663:L663)</f>
        <v>0</v>
      </c>
      <c r="N663" s="1"/>
      <c r="O663" s="1"/>
      <c r="P663" s="1"/>
      <c r="Q663" s="55">
        <f>SUM(N663:P663)</f>
        <v>0</v>
      </c>
      <c r="R663" s="55">
        <f>+E663+I663+M663+Q663</f>
        <v>0</v>
      </c>
      <c r="T663" s="4" t="s">
        <v>988</v>
      </c>
    </row>
    <row r="664" spans="1:20" ht="15.75" customHeight="1" x14ac:dyDescent="0.3">
      <c r="A664" s="71" t="s">
        <v>327</v>
      </c>
      <c r="B664" s="1"/>
      <c r="C664" s="1"/>
      <c r="D664" s="1"/>
      <c r="E664" s="55">
        <f>SUM(B664:D664)</f>
        <v>0</v>
      </c>
      <c r="F664" s="1"/>
      <c r="G664" s="1"/>
      <c r="H664" s="1"/>
      <c r="I664" s="55">
        <f>SUM(F664:H664)</f>
        <v>0</v>
      </c>
      <c r="J664" s="1"/>
      <c r="K664" s="1"/>
      <c r="L664" s="1"/>
      <c r="M664" s="55">
        <f>SUM(J664:L664)</f>
        <v>0</v>
      </c>
      <c r="N664" s="1"/>
      <c r="O664" s="1"/>
      <c r="P664" s="1"/>
      <c r="Q664" s="55">
        <f>SUM(N664:P664)</f>
        <v>0</v>
      </c>
      <c r="R664" s="55">
        <f>+E664+I664+M664+Q664</f>
        <v>0</v>
      </c>
      <c r="T664" s="4" t="s">
        <v>988</v>
      </c>
    </row>
    <row r="665" spans="1:20" ht="15.75" customHeight="1" x14ac:dyDescent="0.3">
      <c r="A665" s="15" t="s">
        <v>67</v>
      </c>
      <c r="B665" s="1"/>
      <c r="C665" s="1"/>
      <c r="D665" s="1"/>
      <c r="E665" s="55" t="s">
        <v>7</v>
      </c>
      <c r="F665" s="1"/>
      <c r="G665" s="1"/>
      <c r="H665" s="1"/>
      <c r="I665" s="55" t="s">
        <v>7</v>
      </c>
      <c r="J665" s="1"/>
      <c r="K665" s="1"/>
      <c r="L665" s="1"/>
      <c r="M665" s="55" t="s">
        <v>7</v>
      </c>
      <c r="N665" s="1"/>
      <c r="O665" s="1"/>
      <c r="P665" s="1"/>
      <c r="Q665" s="55" t="s">
        <v>7</v>
      </c>
      <c r="R665" s="55" t="s">
        <v>7</v>
      </c>
    </row>
    <row r="666" spans="1:20" ht="15.75" customHeight="1" x14ac:dyDescent="0.3">
      <c r="A666" s="71" t="s">
        <v>992</v>
      </c>
      <c r="B666" s="1"/>
      <c r="C666" s="1"/>
      <c r="D666" s="1"/>
      <c r="E666" s="55">
        <f>SUM(B666:D666)</f>
        <v>0</v>
      </c>
      <c r="F666" s="1"/>
      <c r="G666" s="1"/>
      <c r="H666" s="1"/>
      <c r="I666" s="55">
        <f>SUM(F666:H666)</f>
        <v>0</v>
      </c>
      <c r="J666" s="1">
        <v>617</v>
      </c>
      <c r="K666" s="1">
        <v>877</v>
      </c>
      <c r="L666" s="1">
        <v>47</v>
      </c>
      <c r="M666" s="55">
        <f>SUM(J666:L666)</f>
        <v>1541</v>
      </c>
      <c r="N666" s="1">
        <v>126</v>
      </c>
      <c r="O666" s="1"/>
      <c r="P666" s="1">
        <v>333</v>
      </c>
      <c r="Q666" s="55">
        <f>SUM(N666:P666)</f>
        <v>459</v>
      </c>
      <c r="R666" s="55">
        <f>+E666+I666+M666+Q666</f>
        <v>2000</v>
      </c>
    </row>
    <row r="667" spans="1:20" ht="15.75" customHeight="1" x14ac:dyDescent="0.3">
      <c r="A667" s="71" t="s">
        <v>768</v>
      </c>
      <c r="B667" s="1"/>
      <c r="C667" s="1"/>
      <c r="D667" s="1"/>
      <c r="E667" s="55">
        <f>SUM(B667:D667)</f>
        <v>0</v>
      </c>
      <c r="F667" s="1"/>
      <c r="G667" s="1"/>
      <c r="H667" s="1"/>
      <c r="I667" s="55">
        <f>SUM(F667:H667)</f>
        <v>0</v>
      </c>
      <c r="J667" s="1"/>
      <c r="K667" s="1"/>
      <c r="L667" s="1"/>
      <c r="M667" s="55">
        <f>SUM(J667:L667)</f>
        <v>0</v>
      </c>
      <c r="N667" s="1"/>
      <c r="O667" s="1"/>
      <c r="P667" s="1"/>
      <c r="Q667" s="55">
        <f>SUM(N667:P667)</f>
        <v>0</v>
      </c>
      <c r="R667" s="55">
        <f>+E667+I667+M667+Q667</f>
        <v>0</v>
      </c>
    </row>
    <row r="668" spans="1:20" ht="15.75" customHeight="1" x14ac:dyDescent="0.3">
      <c r="A668" s="71" t="s">
        <v>769</v>
      </c>
      <c r="B668" s="1"/>
      <c r="C668" s="1"/>
      <c r="D668" s="1"/>
      <c r="E668" s="55">
        <f>SUM(B668:D668)</f>
        <v>0</v>
      </c>
      <c r="F668" s="1"/>
      <c r="G668" s="1"/>
      <c r="H668" s="1"/>
      <c r="I668" s="55">
        <f>SUM(F668:H668)</f>
        <v>0</v>
      </c>
      <c r="J668" s="1"/>
      <c r="K668" s="1"/>
      <c r="L668" s="1"/>
      <c r="M668" s="55">
        <f>SUM(J668:L668)</f>
        <v>0</v>
      </c>
      <c r="N668" s="1"/>
      <c r="O668" s="1"/>
      <c r="P668" s="1"/>
      <c r="Q668" s="55">
        <f>SUM(N668:P668)</f>
        <v>0</v>
      </c>
      <c r="R668" s="55">
        <f>+E668+I668+M668+Q668</f>
        <v>0</v>
      </c>
      <c r="T668" s="4" t="s">
        <v>988</v>
      </c>
    </row>
    <row r="669" spans="1:20" ht="15.75" customHeight="1" x14ac:dyDescent="0.3">
      <c r="A669" s="71" t="s">
        <v>770</v>
      </c>
      <c r="B669" s="1"/>
      <c r="C669" s="1"/>
      <c r="D669" s="1"/>
      <c r="E669" s="55">
        <f>SUM(B669:D669)</f>
        <v>0</v>
      </c>
      <c r="F669" s="1"/>
      <c r="G669" s="1"/>
      <c r="H669" s="1"/>
      <c r="I669" s="55">
        <f>SUM(F669:H669)</f>
        <v>0</v>
      </c>
      <c r="J669" s="1"/>
      <c r="K669" s="1"/>
      <c r="L669" s="1"/>
      <c r="M669" s="55">
        <f>SUM(J669:L669)</f>
        <v>0</v>
      </c>
      <c r="N669" s="1"/>
      <c r="O669" s="1"/>
      <c r="P669" s="1"/>
      <c r="Q669" s="55">
        <f>SUM(N669:P669)</f>
        <v>0</v>
      </c>
      <c r="R669" s="55">
        <f>+E669+I669+M669+Q669</f>
        <v>0</v>
      </c>
      <c r="T669" s="4" t="s">
        <v>988</v>
      </c>
    </row>
    <row r="670" spans="1:20" ht="15.75" customHeight="1" x14ac:dyDescent="0.3">
      <c r="A670" s="15" t="s">
        <v>600</v>
      </c>
      <c r="B670" s="1"/>
      <c r="C670" s="1"/>
      <c r="D670" s="1"/>
      <c r="E670" s="55" t="s">
        <v>7</v>
      </c>
      <c r="F670" s="1"/>
      <c r="G670" s="1"/>
      <c r="H670" s="1"/>
      <c r="I670" s="55" t="s">
        <v>7</v>
      </c>
      <c r="J670" s="1"/>
      <c r="K670" s="1"/>
      <c r="L670" s="1"/>
      <c r="M670" s="55" t="s">
        <v>7</v>
      </c>
      <c r="N670" s="1"/>
      <c r="O670" s="1"/>
      <c r="P670" s="1"/>
      <c r="Q670" s="55" t="s">
        <v>7</v>
      </c>
      <c r="R670" s="55" t="s">
        <v>7</v>
      </c>
    </row>
    <row r="671" spans="1:20" ht="15.75" customHeight="1" x14ac:dyDescent="0.3">
      <c r="A671" s="71" t="s">
        <v>1332</v>
      </c>
      <c r="B671" s="1"/>
      <c r="C671" s="1"/>
      <c r="D671" s="1"/>
      <c r="E671" s="55">
        <f>SUM(B671:D671)</f>
        <v>0</v>
      </c>
      <c r="F671" s="1"/>
      <c r="G671" s="1"/>
      <c r="H671" s="1"/>
      <c r="I671" s="55">
        <f>SUM(F671:H671)</f>
        <v>0</v>
      </c>
      <c r="J671" s="1"/>
      <c r="K671" s="1"/>
      <c r="L671" s="1">
        <v>3495</v>
      </c>
      <c r="M671" s="55">
        <f>SUM(J671:L671)</f>
        <v>3495</v>
      </c>
      <c r="N671" s="1">
        <v>2381</v>
      </c>
      <c r="O671" s="1"/>
      <c r="P671" s="1">
        <v>819</v>
      </c>
      <c r="Q671" s="55">
        <f>SUM(N671:P671)</f>
        <v>3200</v>
      </c>
      <c r="R671" s="55">
        <f>+E671+I671+M671+Q671</f>
        <v>6695</v>
      </c>
    </row>
    <row r="672" spans="1:20" ht="15.75" customHeight="1" x14ac:dyDescent="0.3">
      <c r="A672" s="71" t="s">
        <v>1333</v>
      </c>
      <c r="B672" s="1"/>
      <c r="C672" s="1"/>
      <c r="D672" s="1"/>
      <c r="E672" s="55">
        <f>SUM(B672:D672)</f>
        <v>0</v>
      </c>
      <c r="F672" s="1"/>
      <c r="G672" s="1"/>
      <c r="H672" s="1"/>
      <c r="I672" s="55">
        <f>SUM(F672:H672)</f>
        <v>0</v>
      </c>
      <c r="J672" s="1"/>
      <c r="K672" s="1"/>
      <c r="L672" s="1"/>
      <c r="M672" s="55">
        <f>SUM(J672:L672)</f>
        <v>0</v>
      </c>
      <c r="N672" s="1"/>
      <c r="O672" s="1"/>
      <c r="P672" s="1"/>
      <c r="Q672" s="55">
        <f>SUM(N672:P672)</f>
        <v>0</v>
      </c>
      <c r="R672" s="55">
        <f>+E672+I672+M672+Q672</f>
        <v>0</v>
      </c>
    </row>
    <row r="673" spans="1:18" ht="15.75" customHeight="1" x14ac:dyDescent="0.3">
      <c r="A673" s="15" t="s">
        <v>70</v>
      </c>
      <c r="B673" s="1"/>
      <c r="C673" s="1"/>
      <c r="D673" s="1"/>
      <c r="E673" s="55" t="s">
        <v>7</v>
      </c>
      <c r="F673" s="1"/>
      <c r="G673" s="1"/>
      <c r="H673" s="1"/>
      <c r="I673" s="55" t="s">
        <v>7</v>
      </c>
      <c r="J673" s="1"/>
      <c r="K673" s="1"/>
      <c r="L673" s="1"/>
      <c r="M673" s="55" t="s">
        <v>7</v>
      </c>
      <c r="N673" s="1"/>
      <c r="O673" s="1"/>
      <c r="P673" s="1"/>
      <c r="Q673" s="55" t="s">
        <v>7</v>
      </c>
      <c r="R673" s="55" t="s">
        <v>7</v>
      </c>
    </row>
    <row r="674" spans="1:18" ht="15.75" customHeight="1" x14ac:dyDescent="0.3">
      <c r="A674" s="71" t="s">
        <v>993</v>
      </c>
      <c r="B674" s="1"/>
      <c r="C674" s="1"/>
      <c r="D674" s="1"/>
      <c r="E674" s="55">
        <f t="shared" ref="E674:E676" si="263">SUM(B674:D674)</f>
        <v>0</v>
      </c>
      <c r="F674" s="1"/>
      <c r="G674" s="1"/>
      <c r="H674" s="1"/>
      <c r="I674" s="55">
        <f t="shared" ref="I674:I676" si="264">SUM(F674:H674)</f>
        <v>0</v>
      </c>
      <c r="J674" s="1"/>
      <c r="K674" s="1"/>
      <c r="L674" s="1"/>
      <c r="M674" s="55">
        <f t="shared" ref="M674:M676" si="265">SUM(J674:L674)</f>
        <v>0</v>
      </c>
      <c r="N674" s="1"/>
      <c r="O674" s="1"/>
      <c r="P674" s="1"/>
      <c r="Q674" s="55">
        <f t="shared" ref="Q674:Q680" si="266">SUM(N674:P674)</f>
        <v>0</v>
      </c>
      <c r="R674" s="55">
        <f t="shared" ref="R674:R680" si="267">+E674+I674+M674+Q674</f>
        <v>0</v>
      </c>
    </row>
    <row r="675" spans="1:18" ht="15.75" customHeight="1" x14ac:dyDescent="0.3">
      <c r="A675" s="71" t="s">
        <v>1334</v>
      </c>
      <c r="B675" s="1"/>
      <c r="C675" s="1"/>
      <c r="D675" s="1"/>
      <c r="E675" s="55">
        <f t="shared" ref="E675" si="268">SUM(B675:D675)</f>
        <v>0</v>
      </c>
      <c r="F675" s="1"/>
      <c r="G675" s="1"/>
      <c r="H675" s="1"/>
      <c r="I675" s="55">
        <f t="shared" ref="I675" si="269">SUM(F675:H675)</f>
        <v>0</v>
      </c>
      <c r="J675" s="1"/>
      <c r="K675" s="1"/>
      <c r="L675" s="1"/>
      <c r="M675" s="55">
        <f t="shared" ref="M675" si="270">SUM(J675:L675)</f>
        <v>0</v>
      </c>
      <c r="N675" s="1"/>
      <c r="O675" s="1"/>
      <c r="P675" s="1"/>
      <c r="Q675" s="55">
        <f t="shared" ref="Q675" si="271">SUM(N675:P675)</f>
        <v>0</v>
      </c>
      <c r="R675" s="55">
        <f t="shared" si="267"/>
        <v>0</v>
      </c>
    </row>
    <row r="676" spans="1:18" ht="15.75" customHeight="1" thickBot="1" x14ac:dyDescent="0.35">
      <c r="A676" s="71" t="s">
        <v>771</v>
      </c>
      <c r="B676" s="1"/>
      <c r="C676" s="1"/>
      <c r="D676" s="1"/>
      <c r="E676" s="55">
        <f t="shared" si="263"/>
        <v>0</v>
      </c>
      <c r="F676" s="1"/>
      <c r="G676" s="1"/>
      <c r="H676" s="1"/>
      <c r="I676" s="55">
        <f t="shared" si="264"/>
        <v>0</v>
      </c>
      <c r="J676" s="1"/>
      <c r="K676" s="1"/>
      <c r="L676" s="1"/>
      <c r="M676" s="55">
        <f t="shared" si="265"/>
        <v>0</v>
      </c>
      <c r="N676" s="1"/>
      <c r="O676" s="1"/>
      <c r="P676" s="1"/>
      <c r="Q676" s="55">
        <f t="shared" si="266"/>
        <v>0</v>
      </c>
      <c r="R676" s="55">
        <f t="shared" si="267"/>
        <v>0</v>
      </c>
    </row>
    <row r="677" spans="1:18" ht="16.5" customHeight="1" thickBot="1" x14ac:dyDescent="0.35">
      <c r="A677" s="57" t="s">
        <v>71</v>
      </c>
      <c r="B677" s="146">
        <f>SUM(B670:B676)</f>
        <v>0</v>
      </c>
      <c r="C677" s="146">
        <f>SUM(C670:C676)</f>
        <v>0</v>
      </c>
      <c r="D677" s="146">
        <f>SUM(D670:D676)</f>
        <v>0</v>
      </c>
      <c r="E677" s="60">
        <f t="shared" ref="E677:E680" si="272">SUM(B677:D677)</f>
        <v>0</v>
      </c>
      <c r="F677" s="146">
        <f>SUM(F670:F676)</f>
        <v>0</v>
      </c>
      <c r="G677" s="146">
        <f>SUM(G670:G676)</f>
        <v>0</v>
      </c>
      <c r="H677" s="146">
        <f>SUM(H670:H676)</f>
        <v>0</v>
      </c>
      <c r="I677" s="60">
        <f t="shared" ref="I677:I680" si="273">SUM(F677:H677)</f>
        <v>0</v>
      </c>
      <c r="J677" s="146">
        <f>SUM(J670:J676)</f>
        <v>0</v>
      </c>
      <c r="K677" s="146">
        <f>SUM(K670:K676)</f>
        <v>0</v>
      </c>
      <c r="L677" s="146">
        <f>SUM(L670:L676)</f>
        <v>3495</v>
      </c>
      <c r="M677" s="60">
        <f t="shared" ref="M677:M680" si="274">SUM(J677:L677)</f>
        <v>3495</v>
      </c>
      <c r="N677" s="146">
        <f>SUM(N670:N676)</f>
        <v>2381</v>
      </c>
      <c r="O677" s="146">
        <f>SUM(O670:O676)</f>
        <v>0</v>
      </c>
      <c r="P677" s="146">
        <f>SUM(P670:P676)</f>
        <v>819</v>
      </c>
      <c r="Q677" s="60">
        <f t="shared" si="266"/>
        <v>3200</v>
      </c>
      <c r="R677" s="59">
        <f t="shared" si="267"/>
        <v>6695</v>
      </c>
    </row>
    <row r="678" spans="1:18" ht="16.5" customHeight="1" thickBot="1" x14ac:dyDescent="0.35">
      <c r="A678" s="114" t="s">
        <v>72</v>
      </c>
      <c r="B678" s="86">
        <f>SUM(B661:B676)</f>
        <v>0</v>
      </c>
      <c r="C678" s="87">
        <f>SUM(C661:C676)</f>
        <v>0</v>
      </c>
      <c r="D678" s="118">
        <f>SUM(D661:D676)</f>
        <v>0</v>
      </c>
      <c r="E678" s="60">
        <f t="shared" si="272"/>
        <v>0</v>
      </c>
      <c r="F678" s="86">
        <f>SUM(F661:F676)</f>
        <v>0</v>
      </c>
      <c r="G678" s="87">
        <f>SUM(G661:G676)</f>
        <v>0</v>
      </c>
      <c r="H678" s="118">
        <f>SUM(H661:H676)</f>
        <v>0</v>
      </c>
      <c r="I678" s="60">
        <f t="shared" si="273"/>
        <v>0</v>
      </c>
      <c r="J678" s="86">
        <f>SUM(J661:J676)</f>
        <v>617</v>
      </c>
      <c r="K678" s="87">
        <f>SUM(K661:K676)</f>
        <v>877</v>
      </c>
      <c r="L678" s="118">
        <f>SUM(L661:L676)</f>
        <v>3542</v>
      </c>
      <c r="M678" s="60">
        <f t="shared" si="274"/>
        <v>5036</v>
      </c>
      <c r="N678" s="86">
        <f>SUM(N661:N676)</f>
        <v>2507</v>
      </c>
      <c r="O678" s="87">
        <f>SUM(O661:O676)</f>
        <v>0</v>
      </c>
      <c r="P678" s="118">
        <f>SUM(P661:P676)</f>
        <v>1152</v>
      </c>
      <c r="Q678" s="60">
        <f t="shared" si="266"/>
        <v>3659</v>
      </c>
      <c r="R678" s="59">
        <f t="shared" si="267"/>
        <v>8695</v>
      </c>
    </row>
    <row r="679" spans="1:18" ht="16.5" customHeight="1" thickBot="1" x14ac:dyDescent="0.35">
      <c r="A679" s="57" t="s">
        <v>73</v>
      </c>
      <c r="B679" s="148">
        <f>+B644+B650+B660+B678</f>
        <v>4445</v>
      </c>
      <c r="C679" s="149">
        <f>+C644+C650+C660+C678</f>
        <v>3939</v>
      </c>
      <c r="D679" s="149">
        <f>+D644+D650+D660+D678</f>
        <v>5868</v>
      </c>
      <c r="E679" s="59">
        <f t="shared" si="272"/>
        <v>14252</v>
      </c>
      <c r="F679" s="58">
        <f>+F644+F650+F660+F678</f>
        <v>6915</v>
      </c>
      <c r="G679" s="58">
        <f>+G644+G650+G660+G678</f>
        <v>6482</v>
      </c>
      <c r="H679" s="58">
        <f>+H644+H650+H660+H678</f>
        <v>3059</v>
      </c>
      <c r="I679" s="59">
        <f t="shared" si="273"/>
        <v>16456</v>
      </c>
      <c r="J679" s="58">
        <f>+J644+J650+J660+J678</f>
        <v>7361</v>
      </c>
      <c r="K679" s="58">
        <f>+K644+K650+K660+K678</f>
        <v>7536</v>
      </c>
      <c r="L679" s="58">
        <f>+L644+L650+L660+L678</f>
        <v>5172</v>
      </c>
      <c r="M679" s="59">
        <f t="shared" si="274"/>
        <v>20069</v>
      </c>
      <c r="N679" s="58">
        <f>+N644+N650+N660+N678</f>
        <v>3379</v>
      </c>
      <c r="O679" s="58">
        <f>+O644+O650+O660+O678</f>
        <v>420</v>
      </c>
      <c r="P679" s="58">
        <f>+P644+P650+P660+P678</f>
        <v>2782</v>
      </c>
      <c r="Q679" s="59">
        <f t="shared" si="266"/>
        <v>6581</v>
      </c>
      <c r="R679" s="81">
        <f t="shared" si="267"/>
        <v>57358</v>
      </c>
    </row>
    <row r="680" spans="1:18" ht="16.5" customHeight="1" thickBot="1" x14ac:dyDescent="0.35">
      <c r="A680" s="39" t="s">
        <v>40</v>
      </c>
      <c r="B680" s="21">
        <v>17</v>
      </c>
      <c r="C680" s="21">
        <v>47</v>
      </c>
      <c r="D680" s="21">
        <v>84</v>
      </c>
      <c r="E680" s="55">
        <f t="shared" si="272"/>
        <v>148</v>
      </c>
      <c r="F680" s="21">
        <v>116</v>
      </c>
      <c r="G680" s="21">
        <v>132</v>
      </c>
      <c r="H680" s="21">
        <v>138</v>
      </c>
      <c r="I680" s="55">
        <f t="shared" si="273"/>
        <v>386</v>
      </c>
      <c r="J680" s="21">
        <v>126</v>
      </c>
      <c r="K680" s="21">
        <v>95</v>
      </c>
      <c r="L680" s="21">
        <v>99</v>
      </c>
      <c r="M680" s="55">
        <f t="shared" si="274"/>
        <v>320</v>
      </c>
      <c r="N680" s="21">
        <v>91</v>
      </c>
      <c r="O680" s="21">
        <v>67</v>
      </c>
      <c r="P680" s="21">
        <v>38</v>
      </c>
      <c r="Q680" s="55">
        <f t="shared" si="266"/>
        <v>196</v>
      </c>
      <c r="R680" s="55">
        <f t="shared" si="267"/>
        <v>1050</v>
      </c>
    </row>
    <row r="681" spans="1:18" ht="16.5" customHeight="1" thickBot="1" x14ac:dyDescent="0.35">
      <c r="A681" s="41"/>
      <c r="B681" s="36"/>
      <c r="C681" s="36"/>
      <c r="D681" s="36"/>
      <c r="E681" s="42"/>
      <c r="F681" s="36"/>
      <c r="G681" s="36"/>
      <c r="H681" s="36"/>
      <c r="I681" s="42"/>
      <c r="J681" s="36"/>
      <c r="K681" s="36"/>
      <c r="L681" s="36"/>
      <c r="M681" s="42"/>
      <c r="N681" s="36"/>
      <c r="O681" s="36"/>
      <c r="P681" s="36"/>
      <c r="Q681" s="42"/>
      <c r="R681" s="42"/>
    </row>
    <row r="682" spans="1:18" ht="15.75" customHeight="1" x14ac:dyDescent="0.3">
      <c r="A682" s="76" t="s">
        <v>314</v>
      </c>
      <c r="B682" s="77">
        <f>SUM(B679:B680)</f>
        <v>4462</v>
      </c>
      <c r="C682" s="77">
        <f>SUM(C679:C680)</f>
        <v>3986</v>
      </c>
      <c r="D682" s="77">
        <f>SUM(D679:D680)</f>
        <v>5952</v>
      </c>
      <c r="E682" s="60">
        <f>SUM(B682:D682)</f>
        <v>14400</v>
      </c>
      <c r="F682" s="77">
        <f>SUM(F679:F680)</f>
        <v>7031</v>
      </c>
      <c r="G682" s="77">
        <f>SUM(G679:G680)</f>
        <v>6614</v>
      </c>
      <c r="H682" s="77">
        <f>SUM(H679:H680)</f>
        <v>3197</v>
      </c>
      <c r="I682" s="60">
        <f>SUM(F682:H682)</f>
        <v>16842</v>
      </c>
      <c r="J682" s="77">
        <f>SUM(J679:J680)</f>
        <v>7487</v>
      </c>
      <c r="K682" s="77">
        <f>SUM(K679:K680)</f>
        <v>7631</v>
      </c>
      <c r="L682" s="77">
        <f>SUM(L679:L680)</f>
        <v>5271</v>
      </c>
      <c r="M682" s="60">
        <f>SUM(J682:L682)</f>
        <v>20389</v>
      </c>
      <c r="N682" s="77">
        <f>SUM(N679:N680)</f>
        <v>3470</v>
      </c>
      <c r="O682" s="77">
        <f>SUM(O679:O680)</f>
        <v>487</v>
      </c>
      <c r="P682" s="77">
        <f>SUM(P679:P680)</f>
        <v>2820</v>
      </c>
      <c r="Q682" s="60">
        <f>SUM(N682:P682)</f>
        <v>6777</v>
      </c>
      <c r="R682" s="60">
        <f>+E682+I682+M682+Q682</f>
        <v>58408</v>
      </c>
    </row>
    <row r="683" spans="1:18" ht="15.75" customHeight="1" x14ac:dyDescent="0.3">
      <c r="A683" s="79" t="s">
        <v>42</v>
      </c>
      <c r="B683" s="1">
        <f>(B682/B10)/1.983</f>
        <v>72.584711987376565</v>
      </c>
      <c r="C683" s="1">
        <f>(C682/C10)/1.983</f>
        <v>69.313300989444755</v>
      </c>
      <c r="D683" s="1">
        <f>(D682/D10)/1.983</f>
        <v>96.822995461422082</v>
      </c>
      <c r="E683" s="55" t="s">
        <v>7</v>
      </c>
      <c r="F683" s="1">
        <f>(F682/F10)/1.983</f>
        <v>118.18793074466296</v>
      </c>
      <c r="G683" s="1">
        <f>(G682/G10)/1.983</f>
        <v>107.59195093781008</v>
      </c>
      <c r="H683" s="1">
        <f>(H682/H10)/1.983</f>
        <v>53.740124390653889</v>
      </c>
      <c r="I683" s="55" t="s">
        <v>7</v>
      </c>
      <c r="J683" s="1">
        <f>(J682/J10)/1.983</f>
        <v>121.79330763099247</v>
      </c>
      <c r="K683" s="1">
        <f>(K682/K10)/1.983</f>
        <v>124.13579945667203</v>
      </c>
      <c r="L683" s="1">
        <f>(L682/L10)/1.983</f>
        <v>88.603126575895104</v>
      </c>
      <c r="M683" s="55" t="s">
        <v>7</v>
      </c>
      <c r="N683" s="1">
        <f>(N682/N10)/1.983</f>
        <v>56.447546077139556</v>
      </c>
      <c r="O683" s="1">
        <f>(O682/O10)/1.983</f>
        <v>8.1862497898806517</v>
      </c>
      <c r="P683" s="1">
        <f>(P682/P10)/1.983</f>
        <v>45.873798252891511</v>
      </c>
      <c r="Q683" s="55" t="s">
        <v>7</v>
      </c>
      <c r="R683" s="55" t="s">
        <v>7</v>
      </c>
    </row>
    <row r="684" spans="1:18" ht="15.75" customHeight="1" x14ac:dyDescent="0.3">
      <c r="A684" s="79" t="s">
        <v>332</v>
      </c>
      <c r="B684" s="1">
        <f>B682+B694</f>
        <v>14025</v>
      </c>
      <c r="C684" s="1">
        <f>C682+C694</f>
        <v>22654</v>
      </c>
      <c r="D684" s="1">
        <f>D682+D694</f>
        <v>27521</v>
      </c>
      <c r="E684" s="55">
        <f>SUM(B684:D684)</f>
        <v>64200</v>
      </c>
      <c r="F684" s="1">
        <f>F682+F694</f>
        <v>30960</v>
      </c>
      <c r="G684" s="1">
        <f>G682+G694</f>
        <v>30287</v>
      </c>
      <c r="H684" s="1">
        <f>H682+H694</f>
        <v>26558</v>
      </c>
      <c r="I684" s="55">
        <f>SUM(F684:H684)</f>
        <v>87805</v>
      </c>
      <c r="J684" s="1">
        <f>J682+J694</f>
        <v>29606</v>
      </c>
      <c r="K684" s="1">
        <f>K682+K694</f>
        <v>27707</v>
      </c>
      <c r="L684" s="1">
        <f>L682+L694</f>
        <v>22988</v>
      </c>
      <c r="M684" s="55">
        <f>SUM(J684:L684)</f>
        <v>80301</v>
      </c>
      <c r="N684" s="1">
        <f>N682+N694</f>
        <v>13705</v>
      </c>
      <c r="O684" s="1">
        <f>O682+O694</f>
        <v>3426</v>
      </c>
      <c r="P684" s="1">
        <f>P682+P694</f>
        <v>10198</v>
      </c>
      <c r="Q684" s="55">
        <f>SUM(N684:P684)</f>
        <v>27329</v>
      </c>
      <c r="R684" s="55">
        <f>+E684+I684+M684+Q684</f>
        <v>259635</v>
      </c>
    </row>
    <row r="685" spans="1:18" ht="16.5" customHeight="1" thickBot="1" x14ac:dyDescent="0.35">
      <c r="A685" s="80" t="s">
        <v>333</v>
      </c>
      <c r="B685" s="25">
        <f>(B684/B10)/1.983</f>
        <v>228.14894343858279</v>
      </c>
      <c r="C685" s="25">
        <f>(C684/C10)/1.983</f>
        <v>393.93465143373851</v>
      </c>
      <c r="D685" s="25">
        <f>(D684/D10)/1.983</f>
        <v>447.69248287866213</v>
      </c>
      <c r="E685" s="81" t="s">
        <v>7</v>
      </c>
      <c r="F685" s="25">
        <f>(F684/F10)/1.983</f>
        <v>520.42360060514375</v>
      </c>
      <c r="G685" s="25">
        <f>(G684/G10)/1.983</f>
        <v>492.68784669692383</v>
      </c>
      <c r="H685" s="25">
        <f>(H684/H10)/1.983</f>
        <v>446.4279710875777</v>
      </c>
      <c r="I685" s="81" t="s">
        <v>7</v>
      </c>
      <c r="J685" s="25">
        <f>(J684/J10)/1.983</f>
        <v>481.60981243798085</v>
      </c>
      <c r="K685" s="25">
        <f>(K684/K10)/1.983</f>
        <v>450.71820148683156</v>
      </c>
      <c r="L685" s="25">
        <f>(L684/L10)/1.983</f>
        <v>386.41788535888384</v>
      </c>
      <c r="M685" s="81" t="s">
        <v>7</v>
      </c>
      <c r="N685" s="25">
        <f>(N684/N10)/1.983</f>
        <v>222.94340604818376</v>
      </c>
      <c r="O685" s="25">
        <f>(O684/O10)/1.983</f>
        <v>57.589510842158347</v>
      </c>
      <c r="P685" s="25">
        <f>(P684/P10)/1.983</f>
        <v>165.89396971027929</v>
      </c>
      <c r="Q685" s="81" t="s">
        <v>7</v>
      </c>
      <c r="R685" s="81" t="s">
        <v>7</v>
      </c>
    </row>
    <row r="686" spans="1:18" ht="15.75" customHeight="1" x14ac:dyDescent="0.3">
      <c r="A686" s="2"/>
      <c r="B686" s="1"/>
      <c r="C686" s="1"/>
      <c r="D686" s="1"/>
      <c r="E686" s="1"/>
      <c r="F686" s="1"/>
      <c r="G686" s="1"/>
      <c r="H686" s="1"/>
      <c r="I686" s="1"/>
      <c r="J686" s="1"/>
      <c r="K686" s="1"/>
      <c r="L686" s="1"/>
      <c r="M686" s="1"/>
      <c r="N686" s="1"/>
      <c r="O686" s="1"/>
      <c r="P686" s="1"/>
      <c r="Q686" s="1"/>
      <c r="R686" s="2"/>
    </row>
    <row r="687" spans="1:18" ht="16.5" customHeight="1" thickBot="1" x14ac:dyDescent="0.35">
      <c r="A687" s="106"/>
      <c r="B687" s="21"/>
      <c r="C687" s="21"/>
      <c r="D687" s="21"/>
      <c r="E687" s="21"/>
      <c r="F687" s="21"/>
      <c r="G687" s="21"/>
      <c r="H687" s="21"/>
      <c r="I687" s="21"/>
      <c r="J687" s="21"/>
      <c r="K687" s="21"/>
      <c r="L687" s="21"/>
      <c r="M687" s="21"/>
      <c r="N687" s="21"/>
      <c r="O687" s="21"/>
      <c r="P687" s="21"/>
      <c r="Q687" s="21"/>
      <c r="R687" s="106"/>
    </row>
    <row r="688" spans="1:18" ht="16.5" customHeight="1" thickBot="1" x14ac:dyDescent="0.35">
      <c r="A688" s="124" t="s">
        <v>334</v>
      </c>
      <c r="B688" s="30" t="s">
        <v>8</v>
      </c>
      <c r="C688" s="31" t="s">
        <v>9</v>
      </c>
      <c r="D688" s="31" t="s">
        <v>10</v>
      </c>
      <c r="E688" s="32" t="s">
        <v>11</v>
      </c>
      <c r="F688" s="31" t="s">
        <v>12</v>
      </c>
      <c r="G688" s="31" t="s">
        <v>13</v>
      </c>
      <c r="H688" s="31" t="s">
        <v>14</v>
      </c>
      <c r="I688" s="33" t="s">
        <v>15</v>
      </c>
      <c r="J688" s="31" t="s">
        <v>16</v>
      </c>
      <c r="K688" s="31" t="s">
        <v>17</v>
      </c>
      <c r="L688" s="31" t="s">
        <v>18</v>
      </c>
      <c r="M688" s="33" t="s">
        <v>19</v>
      </c>
      <c r="N688" s="31" t="s">
        <v>20</v>
      </c>
      <c r="O688" s="31" t="s">
        <v>21</v>
      </c>
      <c r="P688" s="31" t="s">
        <v>22</v>
      </c>
      <c r="Q688" s="32" t="s">
        <v>23</v>
      </c>
      <c r="R688" s="49" t="s">
        <v>24</v>
      </c>
    </row>
    <row r="689" spans="1:18" ht="16.5" customHeight="1" thickBot="1" x14ac:dyDescent="0.35">
      <c r="A689" s="41"/>
      <c r="B689" s="36"/>
      <c r="C689" s="36"/>
      <c r="D689" s="36"/>
      <c r="E689" s="37"/>
      <c r="F689" s="36"/>
      <c r="G689" s="36"/>
      <c r="H689" s="36"/>
      <c r="I689" s="37"/>
      <c r="J689" s="36"/>
      <c r="K689" s="36"/>
      <c r="L689" s="36"/>
      <c r="M689" s="37"/>
      <c r="N689" s="36"/>
      <c r="O689" s="36"/>
      <c r="P689" s="36"/>
      <c r="Q689" s="127"/>
      <c r="R689" s="128"/>
    </row>
    <row r="690" spans="1:18" ht="16.5" customHeight="1" thickBot="1" x14ac:dyDescent="0.35">
      <c r="A690" s="39" t="s">
        <v>40</v>
      </c>
      <c r="B690" s="21">
        <v>20</v>
      </c>
      <c r="C690" s="21">
        <v>22</v>
      </c>
      <c r="D690" s="21">
        <v>28</v>
      </c>
      <c r="E690" s="55">
        <f>SUM(B690:D690)</f>
        <v>70</v>
      </c>
      <c r="F690" s="21">
        <v>37</v>
      </c>
      <c r="G690" s="21">
        <v>42</v>
      </c>
      <c r="H690" s="21">
        <v>44</v>
      </c>
      <c r="I690" s="55">
        <f>SUM(F690:H690)</f>
        <v>123</v>
      </c>
      <c r="J690" s="21">
        <v>39</v>
      </c>
      <c r="K690" s="21">
        <v>36</v>
      </c>
      <c r="L690" s="21">
        <v>34</v>
      </c>
      <c r="M690" s="55">
        <f>SUM(J690:L690)</f>
        <v>109</v>
      </c>
      <c r="N690" s="21">
        <v>29</v>
      </c>
      <c r="O690" s="21">
        <v>23</v>
      </c>
      <c r="P690" s="21">
        <v>19</v>
      </c>
      <c r="Q690" s="55">
        <f>SUM(N690:P690)</f>
        <v>71</v>
      </c>
      <c r="R690" s="55">
        <f>+E690+I690+M690+Q690</f>
        <v>373</v>
      </c>
    </row>
    <row r="691" spans="1:18" ht="16.5" customHeight="1" thickBot="1" x14ac:dyDescent="0.35">
      <c r="A691" s="41"/>
      <c r="B691" s="36"/>
      <c r="C691" s="36"/>
      <c r="D691" s="36"/>
      <c r="E691" s="52"/>
      <c r="F691" s="36"/>
      <c r="G691" s="36"/>
      <c r="H691" s="36"/>
      <c r="I691" s="52"/>
      <c r="J691" s="36"/>
      <c r="K691" s="36"/>
      <c r="L691" s="36"/>
      <c r="M691" s="52"/>
      <c r="N691" s="36"/>
      <c r="O691" s="36"/>
      <c r="P691" s="36"/>
      <c r="Q691" s="52"/>
      <c r="R691" s="42"/>
    </row>
    <row r="692" spans="1:18" ht="15.75" customHeight="1" x14ac:dyDescent="0.3">
      <c r="A692" s="76" t="s">
        <v>314</v>
      </c>
      <c r="B692" s="77">
        <f>B690</f>
        <v>20</v>
      </c>
      <c r="C692" s="77">
        <f>C690</f>
        <v>22</v>
      </c>
      <c r="D692" s="77">
        <f>D690</f>
        <v>28</v>
      </c>
      <c r="E692" s="60">
        <f>SUM(B692:D692)</f>
        <v>70</v>
      </c>
      <c r="F692" s="77">
        <f>F690</f>
        <v>37</v>
      </c>
      <c r="G692" s="77">
        <f>G690</f>
        <v>42</v>
      </c>
      <c r="H692" s="77">
        <f>H690</f>
        <v>44</v>
      </c>
      <c r="I692" s="60">
        <f>SUM(F692:H692)</f>
        <v>123</v>
      </c>
      <c r="J692" s="77">
        <f>J690</f>
        <v>39</v>
      </c>
      <c r="K692" s="77">
        <f>K690</f>
        <v>36</v>
      </c>
      <c r="L692" s="77">
        <f>L690</f>
        <v>34</v>
      </c>
      <c r="M692" s="60">
        <f>SUM(J692:L692)</f>
        <v>109</v>
      </c>
      <c r="N692" s="77">
        <f>N690</f>
        <v>29</v>
      </c>
      <c r="O692" s="77">
        <f>O690</f>
        <v>23</v>
      </c>
      <c r="P692" s="77">
        <f>P690</f>
        <v>19</v>
      </c>
      <c r="Q692" s="60">
        <f>SUM(N692:P692)</f>
        <v>71</v>
      </c>
      <c r="R692" s="60">
        <f>+E692+I692+M692+Q692</f>
        <v>373</v>
      </c>
    </row>
    <row r="693" spans="1:18" ht="15.75" customHeight="1" x14ac:dyDescent="0.3">
      <c r="A693" s="79" t="s">
        <v>42</v>
      </c>
      <c r="B693" s="1">
        <f>(B692/B10)/1.983</f>
        <v>0.32534608689993977</v>
      </c>
      <c r="C693" s="1">
        <f>(C692/C10)/1.983</f>
        <v>0.38256212287199814</v>
      </c>
      <c r="D693" s="1">
        <f>(D692/D10)/1.983</f>
        <v>0.45548452165991571</v>
      </c>
      <c r="E693" s="55" t="s">
        <v>7</v>
      </c>
      <c r="F693" s="1">
        <f>(F692/F10)/1.983</f>
        <v>0.62195326945705165</v>
      </c>
      <c r="G693" s="1">
        <f>(G692/G10)/1.983</f>
        <v>0.68322678248987356</v>
      </c>
      <c r="H693" s="1">
        <f>(H692/H10)/1.983</f>
        <v>0.73962010421919644</v>
      </c>
      <c r="I693" s="55" t="s">
        <v>7</v>
      </c>
      <c r="J693" s="1">
        <f>(J692/J10)/1.983</f>
        <v>0.63442486945488263</v>
      </c>
      <c r="K693" s="1">
        <f>(K692/K10)/1.983</f>
        <v>0.5856229564198917</v>
      </c>
      <c r="L693" s="1">
        <f>(L692/L10)/1.983</f>
        <v>0.57152462598756093</v>
      </c>
      <c r="M693" s="55" t="s">
        <v>7</v>
      </c>
      <c r="N693" s="1">
        <f>(N692/N10)/1.983</f>
        <v>0.47175182600491267</v>
      </c>
      <c r="O693" s="1">
        <f>(O692/O10)/1.983</f>
        <v>0.38661959993276179</v>
      </c>
      <c r="P693" s="1">
        <f>(P692/P10)/1.983</f>
        <v>0.30907878255494281</v>
      </c>
      <c r="Q693" s="55" t="s">
        <v>7</v>
      </c>
      <c r="R693" s="55" t="s">
        <v>7</v>
      </c>
    </row>
    <row r="694" spans="1:18" ht="15.75" customHeight="1" x14ac:dyDescent="0.3">
      <c r="A694" s="79" t="s">
        <v>335</v>
      </c>
      <c r="B694" s="1">
        <f>B692+B730</f>
        <v>9563</v>
      </c>
      <c r="C694" s="1">
        <f>C692+C730</f>
        <v>18668</v>
      </c>
      <c r="D694" s="1">
        <f>D692+D730</f>
        <v>21569</v>
      </c>
      <c r="E694" s="55">
        <f>SUM(B694:D694)</f>
        <v>49800</v>
      </c>
      <c r="F694" s="1">
        <f>F692+F730</f>
        <v>23929</v>
      </c>
      <c r="G694" s="1">
        <f>G692+G730</f>
        <v>23673</v>
      </c>
      <c r="H694" s="1">
        <f>H692+H730</f>
        <v>23361</v>
      </c>
      <c r="I694" s="55">
        <f>SUM(F694:H694)</f>
        <v>70963</v>
      </c>
      <c r="J694" s="1">
        <f>J692+J730</f>
        <v>22119</v>
      </c>
      <c r="K694" s="1">
        <f>K692+K730</f>
        <v>20076</v>
      </c>
      <c r="L694" s="1">
        <f>L692+L730</f>
        <v>17717</v>
      </c>
      <c r="M694" s="55">
        <f>SUM(J694:L694)</f>
        <v>59912</v>
      </c>
      <c r="N694" s="1">
        <f>N692+N730</f>
        <v>10235</v>
      </c>
      <c r="O694" s="1">
        <f>O692+O730</f>
        <v>2939</v>
      </c>
      <c r="P694" s="1">
        <f>P692+P730</f>
        <v>7378</v>
      </c>
      <c r="Q694" s="55">
        <f>SUM(N694:P694)</f>
        <v>20552</v>
      </c>
      <c r="R694" s="55">
        <f>+E694+I694+M694+Q694</f>
        <v>201227</v>
      </c>
    </row>
    <row r="695" spans="1:18" ht="16.5" customHeight="1" thickBot="1" x14ac:dyDescent="0.35">
      <c r="A695" s="80" t="s">
        <v>336</v>
      </c>
      <c r="B695" s="25">
        <f>(B694/B10)/1.983</f>
        <v>155.56423145120621</v>
      </c>
      <c r="C695" s="25">
        <f>(C694/C10)/1.983</f>
        <v>324.62135044429374</v>
      </c>
      <c r="D695" s="25">
        <f>(D694/D10)/1.983</f>
        <v>350.86948741724007</v>
      </c>
      <c r="E695" s="81" t="s">
        <v>7</v>
      </c>
      <c r="F695" s="25">
        <f>(F694/F10)/1.983</f>
        <v>402.23566986048075</v>
      </c>
      <c r="G695" s="25">
        <f>(G694/G10)/1.983</f>
        <v>385.09589575911372</v>
      </c>
      <c r="H695" s="25">
        <f>(H694/H10)/1.983</f>
        <v>392.68784669692388</v>
      </c>
      <c r="I695" s="81" t="s">
        <v>7</v>
      </c>
      <c r="J695" s="25">
        <f>(J694/J10)/1.983</f>
        <v>359.81650480698841</v>
      </c>
      <c r="K695" s="25">
        <f>(K694/K10)/1.983</f>
        <v>326.58240203015959</v>
      </c>
      <c r="L695" s="25">
        <f>(L694/L10)/1.983</f>
        <v>297.81475878298875</v>
      </c>
      <c r="M695" s="81" t="s">
        <v>7</v>
      </c>
      <c r="N695" s="25">
        <f>(N694/N10)/1.983</f>
        <v>166.49585997104421</v>
      </c>
      <c r="O695" s="25">
        <f>(O694/O10)/1.983</f>
        <v>49.403261052277692</v>
      </c>
      <c r="P695" s="25">
        <f>(P694/P10)/1.983</f>
        <v>120.02017145738779</v>
      </c>
      <c r="Q695" s="81" t="s">
        <v>7</v>
      </c>
      <c r="R695" s="81" t="s">
        <v>7</v>
      </c>
    </row>
    <row r="696" spans="1:18" ht="15.75" customHeight="1" x14ac:dyDescent="0.3">
      <c r="A696" s="28"/>
      <c r="B696" s="1"/>
      <c r="C696" s="1"/>
      <c r="D696" s="1"/>
      <c r="E696" s="1"/>
      <c r="F696" s="1"/>
      <c r="G696" s="1"/>
      <c r="H696" s="1"/>
      <c r="I696" s="1"/>
      <c r="J696" s="1"/>
      <c r="K696" s="1"/>
      <c r="L696" s="1"/>
      <c r="M696" s="1"/>
      <c r="N696" s="1"/>
      <c r="O696" s="1"/>
      <c r="P696" s="1"/>
      <c r="Q696" s="1"/>
      <c r="R696" s="2"/>
    </row>
    <row r="697" spans="1:18" ht="15.75" customHeight="1" thickBot="1" x14ac:dyDescent="0.35">
      <c r="A697" s="28"/>
      <c r="B697" s="1"/>
      <c r="C697" s="1"/>
      <c r="D697" s="1"/>
      <c r="E697" s="1"/>
      <c r="F697" s="1"/>
      <c r="G697" s="1"/>
      <c r="H697" s="1"/>
      <c r="I697" s="1"/>
      <c r="J697" s="1"/>
      <c r="K697" s="1"/>
      <c r="L697" s="1"/>
      <c r="M697" s="1"/>
      <c r="N697" s="1"/>
      <c r="O697" s="1"/>
      <c r="P697" s="1"/>
      <c r="Q697" s="1"/>
      <c r="R697" s="2"/>
    </row>
    <row r="698" spans="1:18" ht="16.5" customHeight="1" thickBot="1" x14ac:dyDescent="0.35">
      <c r="A698" s="29" t="s">
        <v>337</v>
      </c>
      <c r="B698" s="30" t="s">
        <v>8</v>
      </c>
      <c r="C698" s="31" t="s">
        <v>9</v>
      </c>
      <c r="D698" s="31" t="s">
        <v>10</v>
      </c>
      <c r="E698" s="32" t="s">
        <v>11</v>
      </c>
      <c r="F698" s="31" t="s">
        <v>12</v>
      </c>
      <c r="G698" s="31" t="s">
        <v>13</v>
      </c>
      <c r="H698" s="31" t="s">
        <v>14</v>
      </c>
      <c r="I698" s="33" t="s">
        <v>15</v>
      </c>
      <c r="J698" s="31" t="s">
        <v>16</v>
      </c>
      <c r="K698" s="31" t="s">
        <v>17</v>
      </c>
      <c r="L698" s="31" t="s">
        <v>18</v>
      </c>
      <c r="M698" s="33" t="s">
        <v>19</v>
      </c>
      <c r="N698" s="31" t="s">
        <v>20</v>
      </c>
      <c r="O698" s="31" t="s">
        <v>21</v>
      </c>
      <c r="P698" s="31" t="s">
        <v>22</v>
      </c>
      <c r="Q698" s="33" t="s">
        <v>23</v>
      </c>
      <c r="R698" s="34" t="s">
        <v>24</v>
      </c>
    </row>
    <row r="699" spans="1:18" ht="16.5" customHeight="1" thickBot="1" x14ac:dyDescent="0.35">
      <c r="A699" s="41"/>
      <c r="B699" s="36"/>
      <c r="C699" s="36"/>
      <c r="D699" s="36"/>
      <c r="E699" s="52"/>
      <c r="F699" s="36"/>
      <c r="G699" s="36"/>
      <c r="H699" s="36"/>
      <c r="I699" s="52"/>
      <c r="J699" s="36"/>
      <c r="K699" s="36"/>
      <c r="L699" s="36"/>
      <c r="M699" s="52"/>
      <c r="N699" s="36"/>
      <c r="O699" s="36"/>
      <c r="P699" s="36"/>
      <c r="Q699" s="52"/>
      <c r="R699" s="38"/>
    </row>
    <row r="700" spans="1:18" ht="15.75" customHeight="1" x14ac:dyDescent="0.3">
      <c r="A700" s="15" t="s">
        <v>48</v>
      </c>
      <c r="B700" s="1" t="s">
        <v>7</v>
      </c>
      <c r="C700" s="1" t="s">
        <v>7</v>
      </c>
      <c r="D700" s="1" t="s">
        <v>7</v>
      </c>
      <c r="E700" s="55" t="s">
        <v>7</v>
      </c>
      <c r="F700" s="1" t="s">
        <v>7</v>
      </c>
      <c r="G700" s="1" t="s">
        <v>7</v>
      </c>
      <c r="H700" s="1" t="s">
        <v>7</v>
      </c>
      <c r="I700" s="55" t="s">
        <v>7</v>
      </c>
      <c r="J700" s="1" t="s">
        <v>7</v>
      </c>
      <c r="K700" s="1" t="s">
        <v>7</v>
      </c>
      <c r="L700" s="1" t="s">
        <v>7</v>
      </c>
      <c r="M700" s="55" t="s">
        <v>7</v>
      </c>
      <c r="N700" s="1" t="s">
        <v>7</v>
      </c>
      <c r="O700" s="1" t="s">
        <v>7</v>
      </c>
      <c r="P700" s="1" t="s">
        <v>7</v>
      </c>
      <c r="Q700" s="55" t="s">
        <v>7</v>
      </c>
      <c r="R700" s="55" t="s">
        <v>7</v>
      </c>
    </row>
    <row r="701" spans="1:18" ht="15.75" customHeight="1" x14ac:dyDescent="0.3">
      <c r="A701" s="15" t="s">
        <v>49</v>
      </c>
      <c r="B701" s="1"/>
      <c r="C701" s="1"/>
      <c r="D701" s="1"/>
      <c r="E701" s="55" t="s">
        <v>7</v>
      </c>
      <c r="F701" s="1"/>
      <c r="G701" s="1"/>
      <c r="H701" s="1"/>
      <c r="I701" s="55" t="s">
        <v>7</v>
      </c>
      <c r="J701" s="1"/>
      <c r="K701" s="1"/>
      <c r="L701" s="1"/>
      <c r="M701" s="55" t="s">
        <v>7</v>
      </c>
      <c r="N701" s="1"/>
      <c r="O701" s="1"/>
      <c r="P701" s="1"/>
      <c r="Q701" s="55" t="s">
        <v>7</v>
      </c>
      <c r="R701" s="55" t="s">
        <v>7</v>
      </c>
    </row>
    <row r="702" spans="1:18" ht="15.75" customHeight="1" x14ac:dyDescent="0.3">
      <c r="A702" s="71" t="s">
        <v>994</v>
      </c>
      <c r="B702" s="1">
        <v>3</v>
      </c>
      <c r="C702" s="1">
        <v>823</v>
      </c>
      <c r="D702" s="1">
        <v>234</v>
      </c>
      <c r="E702" s="55">
        <f>SUM(B702:D702)</f>
        <v>1060</v>
      </c>
      <c r="F702" s="1">
        <v>1471</v>
      </c>
      <c r="G702" s="1">
        <v>1027</v>
      </c>
      <c r="H702" s="1">
        <v>1491</v>
      </c>
      <c r="I702" s="55">
        <f>SUM(F702:H702)</f>
        <v>3989</v>
      </c>
      <c r="J702" s="1">
        <v>183</v>
      </c>
      <c r="K702" s="1">
        <v>1280</v>
      </c>
      <c r="L702" s="1">
        <v>659</v>
      </c>
      <c r="M702" s="55">
        <f>SUM(J702:L702)</f>
        <v>2122</v>
      </c>
      <c r="N702" s="1">
        <v>175</v>
      </c>
      <c r="O702" s="1">
        <v>357</v>
      </c>
      <c r="P702" s="1">
        <v>607</v>
      </c>
      <c r="Q702" s="55">
        <f>SUM(N702:P702)</f>
        <v>1139</v>
      </c>
      <c r="R702" s="55">
        <f>+E702+I702+M702+Q702</f>
        <v>8310</v>
      </c>
    </row>
    <row r="703" spans="1:18" ht="15.75" customHeight="1" x14ac:dyDescent="0.3">
      <c r="A703" s="71" t="s">
        <v>995</v>
      </c>
      <c r="B703" s="1">
        <v>308</v>
      </c>
      <c r="C703" s="1">
        <v>690</v>
      </c>
      <c r="D703" s="1">
        <v>930</v>
      </c>
      <c r="E703" s="55">
        <f>SUM(B703:D703)</f>
        <v>1928</v>
      </c>
      <c r="F703" s="1">
        <v>955</v>
      </c>
      <c r="G703" s="1">
        <v>931</v>
      </c>
      <c r="H703" s="1">
        <v>1146</v>
      </c>
      <c r="I703" s="55">
        <f>SUM(F703:H703)</f>
        <v>3032</v>
      </c>
      <c r="J703" s="1">
        <v>720</v>
      </c>
      <c r="K703" s="1">
        <v>727</v>
      </c>
      <c r="L703" s="1">
        <v>30</v>
      </c>
      <c r="M703" s="55">
        <f>SUM(J703:L703)</f>
        <v>1477</v>
      </c>
      <c r="N703" s="1"/>
      <c r="O703" s="1"/>
      <c r="P703" s="1"/>
      <c r="Q703" s="55">
        <f>SUM(N703:P703)</f>
        <v>0</v>
      </c>
      <c r="R703" s="55">
        <f>+E703+I703+M703+Q703</f>
        <v>6437</v>
      </c>
    </row>
    <row r="704" spans="1:18" ht="15.75" customHeight="1" x14ac:dyDescent="0.3">
      <c r="A704" s="71" t="s">
        <v>339</v>
      </c>
      <c r="B704" s="1">
        <v>35</v>
      </c>
      <c r="C704" s="1">
        <v>28</v>
      </c>
      <c r="D704" s="1">
        <v>26</v>
      </c>
      <c r="E704" s="55">
        <f>SUM(B704:D704)</f>
        <v>89</v>
      </c>
      <c r="F704" s="1">
        <v>64</v>
      </c>
      <c r="G704" s="1">
        <v>36</v>
      </c>
      <c r="H704" s="1"/>
      <c r="I704" s="55">
        <f>SUM(F704:H704)</f>
        <v>100</v>
      </c>
      <c r="J704" s="1"/>
      <c r="K704" s="1"/>
      <c r="L704" s="1"/>
      <c r="M704" s="55">
        <f>SUM(J704:L704)</f>
        <v>0</v>
      </c>
      <c r="N704" s="1"/>
      <c r="O704" s="1"/>
      <c r="P704" s="1"/>
      <c r="Q704" s="55">
        <f>SUM(N704:P704)</f>
        <v>0</v>
      </c>
      <c r="R704" s="55">
        <f>+E704+I704+M704+Q704</f>
        <v>189</v>
      </c>
    </row>
    <row r="705" spans="1:18" ht="15.75" customHeight="1" x14ac:dyDescent="0.3">
      <c r="A705" s="15" t="s">
        <v>50</v>
      </c>
      <c r="B705" s="1"/>
      <c r="C705" s="1"/>
      <c r="D705" s="1"/>
      <c r="E705" s="55" t="s">
        <v>7</v>
      </c>
      <c r="F705" s="1"/>
      <c r="G705" s="1"/>
      <c r="H705" s="1"/>
      <c r="I705" s="55" t="s">
        <v>7</v>
      </c>
      <c r="J705" s="1"/>
      <c r="K705" s="1"/>
      <c r="L705" s="1"/>
      <c r="M705" s="55" t="s">
        <v>7</v>
      </c>
      <c r="N705" s="1"/>
      <c r="O705" s="1"/>
      <c r="P705" s="1"/>
      <c r="Q705" s="55" t="s">
        <v>7</v>
      </c>
      <c r="R705" s="55" t="s">
        <v>7</v>
      </c>
    </row>
    <row r="706" spans="1:18" ht="15.75" customHeight="1" x14ac:dyDescent="0.3">
      <c r="A706" s="15" t="s">
        <v>1186</v>
      </c>
      <c r="B706" s="1"/>
      <c r="C706" s="1"/>
      <c r="D706" s="1"/>
      <c r="E706" s="55" t="s">
        <v>7</v>
      </c>
      <c r="F706" s="1"/>
      <c r="G706" s="1"/>
      <c r="H706" s="1"/>
      <c r="I706" s="55" t="s">
        <v>7</v>
      </c>
      <c r="J706" s="1"/>
      <c r="K706" s="1"/>
      <c r="L706" s="1"/>
      <c r="M706" s="55" t="s">
        <v>7</v>
      </c>
      <c r="N706" s="1"/>
      <c r="O706" s="1"/>
      <c r="P706" s="1"/>
      <c r="Q706" s="55" t="s">
        <v>7</v>
      </c>
      <c r="R706" s="55" t="s">
        <v>7</v>
      </c>
    </row>
    <row r="707" spans="1:18" ht="15.75" customHeight="1" thickBot="1" x14ac:dyDescent="0.35">
      <c r="A707" s="15" t="s">
        <v>53</v>
      </c>
      <c r="B707" s="1"/>
      <c r="C707" s="1"/>
      <c r="D707" s="1"/>
      <c r="E707" s="55" t="s">
        <v>7</v>
      </c>
      <c r="F707" s="1"/>
      <c r="G707" s="1"/>
      <c r="H707" s="1"/>
      <c r="I707" s="55" t="s">
        <v>7</v>
      </c>
      <c r="J707" s="1"/>
      <c r="K707" s="1"/>
      <c r="L707" s="1"/>
      <c r="M707" s="55" t="s">
        <v>7</v>
      </c>
      <c r="N707" s="1"/>
      <c r="O707" s="1"/>
      <c r="P707" s="1"/>
      <c r="Q707" s="55" t="s">
        <v>7</v>
      </c>
      <c r="R707" s="55" t="s">
        <v>7</v>
      </c>
    </row>
    <row r="708" spans="1:18" ht="16.5" customHeight="1" thickBot="1" x14ac:dyDescent="0.35">
      <c r="A708" s="109" t="s">
        <v>54</v>
      </c>
      <c r="B708" s="86">
        <f>SUM(B700:B707)</f>
        <v>346</v>
      </c>
      <c r="C708" s="87">
        <f>SUM(C700:C707)</f>
        <v>1541</v>
      </c>
      <c r="D708" s="87">
        <f>SUM(D700:D707)</f>
        <v>1190</v>
      </c>
      <c r="E708" s="59">
        <f>SUM(B708:D708)</f>
        <v>3077</v>
      </c>
      <c r="F708" s="87">
        <f>SUM(F700:F707)</f>
        <v>2490</v>
      </c>
      <c r="G708" s="87">
        <f>SUM(G700:G707)</f>
        <v>1994</v>
      </c>
      <c r="H708" s="87">
        <f>SUM(H700:H707)</f>
        <v>2637</v>
      </c>
      <c r="I708" s="59">
        <f>SUM(F708:H708)</f>
        <v>7121</v>
      </c>
      <c r="J708" s="87">
        <f>SUM(J700:J707)</f>
        <v>903</v>
      </c>
      <c r="K708" s="87">
        <f>SUM(K700:K707)</f>
        <v>2007</v>
      </c>
      <c r="L708" s="87">
        <f>SUM(L700:L707)</f>
        <v>689</v>
      </c>
      <c r="M708" s="59">
        <f>SUM(J708:L708)</f>
        <v>3599</v>
      </c>
      <c r="N708" s="87">
        <f>SUM(N700:N707)</f>
        <v>175</v>
      </c>
      <c r="O708" s="87">
        <f>SUM(O700:O707)</f>
        <v>357</v>
      </c>
      <c r="P708" s="87">
        <f>SUM(P700:P707)</f>
        <v>607</v>
      </c>
      <c r="Q708" s="59">
        <f>SUM(N708:P708)</f>
        <v>1139</v>
      </c>
      <c r="R708" s="59">
        <f>+E708+I708+M708+Q708</f>
        <v>14936</v>
      </c>
    </row>
    <row r="709" spans="1:18" ht="15.75" customHeight="1" x14ac:dyDescent="0.3">
      <c r="A709" s="15" t="s">
        <v>55</v>
      </c>
      <c r="B709" s="1"/>
      <c r="C709" s="1"/>
      <c r="D709" s="1"/>
      <c r="E709" s="55" t="s">
        <v>7</v>
      </c>
      <c r="F709" s="1"/>
      <c r="G709" s="1"/>
      <c r="H709" s="1"/>
      <c r="I709" s="55" t="s">
        <v>7</v>
      </c>
      <c r="J709" s="1"/>
      <c r="K709" s="1"/>
      <c r="L709" s="1"/>
      <c r="M709" s="55" t="s">
        <v>7</v>
      </c>
      <c r="N709" s="1"/>
      <c r="O709" s="1"/>
      <c r="P709" s="1"/>
      <c r="Q709" s="55" t="s">
        <v>7</v>
      </c>
      <c r="R709" s="55" t="s">
        <v>7</v>
      </c>
    </row>
    <row r="710" spans="1:18" ht="15.75" customHeight="1" x14ac:dyDescent="0.3">
      <c r="A710" s="15" t="s">
        <v>57</v>
      </c>
      <c r="B710" s="1"/>
      <c r="C710" s="1"/>
      <c r="D710" s="1"/>
      <c r="E710" s="55" t="s">
        <v>7</v>
      </c>
      <c r="F710" s="1"/>
      <c r="G710" s="1"/>
      <c r="H710" s="1"/>
      <c r="I710" s="55" t="s">
        <v>7</v>
      </c>
      <c r="J710" s="1"/>
      <c r="K710" s="1"/>
      <c r="L710" s="1"/>
      <c r="M710" s="55" t="s">
        <v>7</v>
      </c>
      <c r="N710" s="1"/>
      <c r="O710" s="1"/>
      <c r="P710" s="1"/>
      <c r="Q710" s="55" t="s">
        <v>7</v>
      </c>
      <c r="R710" s="55" t="s">
        <v>7</v>
      </c>
    </row>
    <row r="711" spans="1:18" ht="15.75" customHeight="1" thickBot="1" x14ac:dyDescent="0.35">
      <c r="A711" s="15" t="s">
        <v>58</v>
      </c>
      <c r="B711" s="1"/>
      <c r="C711" s="1"/>
      <c r="D711" s="1"/>
      <c r="E711" s="55" t="s">
        <v>7</v>
      </c>
      <c r="F711" s="1"/>
      <c r="G711" s="1"/>
      <c r="H711" s="1"/>
      <c r="I711" s="55" t="s">
        <v>7</v>
      </c>
      <c r="J711" s="1"/>
      <c r="K711" s="1"/>
      <c r="L711" s="1"/>
      <c r="M711" s="55" t="s">
        <v>7</v>
      </c>
      <c r="N711" s="1"/>
      <c r="O711" s="1"/>
      <c r="P711" s="1"/>
      <c r="Q711" s="55" t="s">
        <v>7</v>
      </c>
      <c r="R711" s="55" t="s">
        <v>7</v>
      </c>
    </row>
    <row r="712" spans="1:18" ht="16.5" customHeight="1" thickBot="1" x14ac:dyDescent="0.35">
      <c r="A712" s="57" t="s">
        <v>59</v>
      </c>
      <c r="B712" s="86">
        <f>SUM(B709:B711)</f>
        <v>0</v>
      </c>
      <c r="C712" s="87">
        <f>SUM(C709:C711)</f>
        <v>0</v>
      </c>
      <c r="D712" s="87">
        <f>SUM(D709:D711)</f>
        <v>0</v>
      </c>
      <c r="E712" s="59">
        <f>SUM(B712:D712)</f>
        <v>0</v>
      </c>
      <c r="F712" s="87">
        <f>SUM(F709:F711)</f>
        <v>0</v>
      </c>
      <c r="G712" s="87">
        <f>SUM(G709:G711)</f>
        <v>0</v>
      </c>
      <c r="H712" s="87">
        <f>SUM(H709:H711)</f>
        <v>0</v>
      </c>
      <c r="I712" s="59">
        <f>SUM(F712:H712)</f>
        <v>0</v>
      </c>
      <c r="J712" s="87">
        <f>SUM(J709:J711)</f>
        <v>0</v>
      </c>
      <c r="K712" s="87">
        <f>SUM(K709:K711)</f>
        <v>0</v>
      </c>
      <c r="L712" s="87">
        <f>SUM(L709:L711)</f>
        <v>0</v>
      </c>
      <c r="M712" s="59">
        <f>SUM(J712:L712)</f>
        <v>0</v>
      </c>
      <c r="N712" s="87">
        <f>SUM(N709:N711)</f>
        <v>0</v>
      </c>
      <c r="O712" s="87">
        <f>SUM(O709:O711)</f>
        <v>0</v>
      </c>
      <c r="P712" s="87">
        <f>SUM(P709:P711)</f>
        <v>0</v>
      </c>
      <c r="Q712" s="59">
        <f>SUM(N712:P712)</f>
        <v>0</v>
      </c>
      <c r="R712" s="59">
        <f>+E712+I712+M712+Q712</f>
        <v>0</v>
      </c>
    </row>
    <row r="713" spans="1:18" ht="15.75" customHeight="1" x14ac:dyDescent="0.3">
      <c r="A713" s="15" t="s">
        <v>60</v>
      </c>
      <c r="B713" s="1"/>
      <c r="C713" s="1"/>
      <c r="D713" s="1"/>
      <c r="E713" s="55" t="s">
        <v>7</v>
      </c>
      <c r="F713" s="1"/>
      <c r="G713" s="1"/>
      <c r="H713" s="1"/>
      <c r="I713" s="55" t="s">
        <v>7</v>
      </c>
      <c r="J713" s="1"/>
      <c r="K713" s="1"/>
      <c r="L713" s="1"/>
      <c r="M713" s="55" t="s">
        <v>7</v>
      </c>
      <c r="N713" s="1"/>
      <c r="O713" s="1"/>
      <c r="P713" s="1"/>
      <c r="Q713" s="55" t="s">
        <v>7</v>
      </c>
      <c r="R713" s="55" t="s">
        <v>7</v>
      </c>
    </row>
    <row r="714" spans="1:18" ht="15.75" customHeight="1" x14ac:dyDescent="0.3">
      <c r="A714" s="15" t="s">
        <v>61</v>
      </c>
      <c r="B714" s="1"/>
      <c r="C714" s="1"/>
      <c r="D714" s="1"/>
      <c r="E714" s="55" t="s">
        <v>7</v>
      </c>
      <c r="F714" s="1"/>
      <c r="G714" s="1"/>
      <c r="H714" s="1"/>
      <c r="I714" s="55" t="s">
        <v>7</v>
      </c>
      <c r="J714" s="1"/>
      <c r="K714" s="1"/>
      <c r="L714" s="1"/>
      <c r="M714" s="55" t="s">
        <v>7</v>
      </c>
      <c r="N714" s="1"/>
      <c r="O714" s="1"/>
      <c r="P714" s="1"/>
      <c r="Q714" s="55" t="s">
        <v>7</v>
      </c>
      <c r="R714" s="55" t="s">
        <v>7</v>
      </c>
    </row>
    <row r="715" spans="1:18" ht="15.75" customHeight="1" thickBot="1" x14ac:dyDescent="0.35">
      <c r="A715" s="15" t="s">
        <v>62</v>
      </c>
      <c r="B715" s="1"/>
      <c r="C715" s="1"/>
      <c r="D715" s="1"/>
      <c r="E715" s="55" t="s">
        <v>7</v>
      </c>
      <c r="F715" s="1"/>
      <c r="G715" s="1"/>
      <c r="H715" s="1"/>
      <c r="I715" s="55" t="s">
        <v>7</v>
      </c>
      <c r="J715" s="1"/>
      <c r="K715" s="1"/>
      <c r="L715" s="1"/>
      <c r="M715" s="55" t="s">
        <v>7</v>
      </c>
      <c r="N715" s="1"/>
      <c r="O715" s="1"/>
      <c r="P715" s="1"/>
      <c r="Q715" s="55" t="s">
        <v>7</v>
      </c>
      <c r="R715" s="55" t="s">
        <v>7</v>
      </c>
    </row>
    <row r="716" spans="1:18" ht="16.5" customHeight="1" thickBot="1" x14ac:dyDescent="0.35">
      <c r="A716" s="114" t="s">
        <v>63</v>
      </c>
      <c r="B716" s="86">
        <f>SUM(B713:B715)</f>
        <v>0</v>
      </c>
      <c r="C716" s="87">
        <f>SUM(C713:C715)</f>
        <v>0</v>
      </c>
      <c r="D716" s="87">
        <f>SUM(D713:D715)</f>
        <v>0</v>
      </c>
      <c r="E716" s="59">
        <f>SUM(B716:D716)</f>
        <v>0</v>
      </c>
      <c r="F716" s="87">
        <f>SUM(F713:F715)</f>
        <v>0</v>
      </c>
      <c r="G716" s="87">
        <f>SUM(G713:G715)</f>
        <v>0</v>
      </c>
      <c r="H716" s="87">
        <f>SUM(H713:H715)</f>
        <v>0</v>
      </c>
      <c r="I716" s="59">
        <f>SUM(F716:H716)</f>
        <v>0</v>
      </c>
      <c r="J716" s="87">
        <f>SUM(J713:J715)</f>
        <v>0</v>
      </c>
      <c r="K716" s="87">
        <f>SUM(K713:K715)</f>
        <v>0</v>
      </c>
      <c r="L716" s="87">
        <f>SUM(L713:L715)</f>
        <v>0</v>
      </c>
      <c r="M716" s="59">
        <f>SUM(J716:L716)</f>
        <v>0</v>
      </c>
      <c r="N716" s="87">
        <f>SUM(N713:N715)</f>
        <v>0</v>
      </c>
      <c r="O716" s="87">
        <f>SUM(O713:O715)</f>
        <v>0</v>
      </c>
      <c r="P716" s="87">
        <f>SUM(P713:P715)</f>
        <v>0</v>
      </c>
      <c r="Q716" s="59">
        <f>SUM(N716:P716)</f>
        <v>0</v>
      </c>
      <c r="R716" s="59">
        <f>+E716+I716+M716+Q716</f>
        <v>0</v>
      </c>
    </row>
    <row r="717" spans="1:18" ht="15.75" customHeight="1" x14ac:dyDescent="0.3">
      <c r="A717" s="15" t="s">
        <v>64</v>
      </c>
      <c r="B717" s="1"/>
      <c r="C717" s="1"/>
      <c r="D717" s="1"/>
      <c r="E717" s="55" t="s">
        <v>7</v>
      </c>
      <c r="F717" s="1"/>
      <c r="G717" s="1"/>
      <c r="H717" s="1"/>
      <c r="I717" s="55" t="s">
        <v>7</v>
      </c>
      <c r="J717" s="1"/>
      <c r="K717" s="1"/>
      <c r="L717" s="1"/>
      <c r="M717" s="55" t="s">
        <v>7</v>
      </c>
      <c r="N717" s="1"/>
      <c r="O717" s="1"/>
      <c r="P717" s="1"/>
      <c r="Q717" s="55" t="s">
        <v>7</v>
      </c>
      <c r="R717" s="55" t="s">
        <v>7</v>
      </c>
    </row>
    <row r="718" spans="1:18" ht="15.75" customHeight="1" x14ac:dyDescent="0.3">
      <c r="A718" s="15" t="s">
        <v>594</v>
      </c>
      <c r="B718" s="1"/>
      <c r="C718" s="1"/>
      <c r="D718" s="1"/>
      <c r="E718" s="55" t="s">
        <v>7</v>
      </c>
      <c r="F718" s="1"/>
      <c r="G718" s="1"/>
      <c r="H718" s="1"/>
      <c r="I718" s="55" t="s">
        <v>7</v>
      </c>
      <c r="J718" s="1"/>
      <c r="K718" s="1"/>
      <c r="L718" s="1"/>
      <c r="M718" s="55" t="s">
        <v>7</v>
      </c>
      <c r="N718" s="1"/>
      <c r="O718" s="1"/>
      <c r="P718" s="1"/>
      <c r="Q718" s="55" t="s">
        <v>7</v>
      </c>
      <c r="R718" s="55" t="s">
        <v>7</v>
      </c>
    </row>
    <row r="719" spans="1:18" ht="15.75" customHeight="1" x14ac:dyDescent="0.3">
      <c r="A719" s="15" t="s">
        <v>67</v>
      </c>
      <c r="B719" s="1"/>
      <c r="C719" s="1"/>
      <c r="D719" s="1"/>
      <c r="E719" s="55" t="s">
        <v>7</v>
      </c>
      <c r="F719" s="1"/>
      <c r="G719" s="1"/>
      <c r="H719" s="1"/>
      <c r="I719" s="55" t="s">
        <v>7</v>
      </c>
      <c r="J719" s="1"/>
      <c r="K719" s="1"/>
      <c r="L719" s="1"/>
      <c r="M719" s="55" t="s">
        <v>7</v>
      </c>
      <c r="N719" s="1"/>
      <c r="O719" s="1"/>
      <c r="P719" s="1"/>
      <c r="Q719" s="55" t="s">
        <v>7</v>
      </c>
      <c r="R719" s="55" t="s">
        <v>7</v>
      </c>
    </row>
    <row r="720" spans="1:18" ht="15.75" customHeight="1" x14ac:dyDescent="0.3">
      <c r="A720" s="71" t="s">
        <v>773</v>
      </c>
      <c r="B720" s="1"/>
      <c r="C720" s="1"/>
      <c r="D720" s="1"/>
      <c r="E720" s="55">
        <f>SUM(B720:D720)</f>
        <v>0</v>
      </c>
      <c r="F720" s="1"/>
      <c r="G720" s="1"/>
      <c r="H720" s="1"/>
      <c r="I720" s="55">
        <f>SUM(F720:H720)</f>
        <v>0</v>
      </c>
      <c r="J720" s="1"/>
      <c r="K720" s="1"/>
      <c r="L720" s="1"/>
      <c r="M720" s="55">
        <f>SUM(J720:L720)</f>
        <v>0</v>
      </c>
      <c r="N720" s="1"/>
      <c r="O720" s="1"/>
      <c r="P720" s="1"/>
      <c r="Q720" s="55">
        <f>SUM(N720:P720)</f>
        <v>0</v>
      </c>
      <c r="R720" s="55">
        <f>+E720+I720+M720+Q720</f>
        <v>0</v>
      </c>
    </row>
    <row r="721" spans="1:18" ht="15.75" customHeight="1" x14ac:dyDescent="0.3">
      <c r="A721" s="15" t="s">
        <v>600</v>
      </c>
      <c r="B721" s="1"/>
      <c r="C721" s="1"/>
      <c r="D721" s="1"/>
      <c r="E721" s="55" t="s">
        <v>7</v>
      </c>
      <c r="F721" s="1"/>
      <c r="G721" s="1"/>
      <c r="H721" s="1"/>
      <c r="I721" s="55" t="s">
        <v>7</v>
      </c>
      <c r="J721" s="1"/>
      <c r="K721" s="1"/>
      <c r="L721" s="1"/>
      <c r="M721" s="55" t="s">
        <v>7</v>
      </c>
      <c r="N721" s="1"/>
      <c r="O721" s="1"/>
      <c r="P721" s="1"/>
      <c r="Q721" s="55" t="s">
        <v>7</v>
      </c>
      <c r="R721" s="55" t="s">
        <v>7</v>
      </c>
    </row>
    <row r="722" spans="1:18" ht="15.75" customHeight="1" thickBot="1" x14ac:dyDescent="0.35">
      <c r="A722" s="15" t="s">
        <v>70</v>
      </c>
      <c r="B722" s="1"/>
      <c r="C722" s="1"/>
      <c r="D722" s="1"/>
      <c r="E722" s="55" t="s">
        <v>7</v>
      </c>
      <c r="F722" s="1"/>
      <c r="G722" s="1"/>
      <c r="H722" s="1"/>
      <c r="I722" s="55" t="s">
        <v>7</v>
      </c>
      <c r="J722" s="1"/>
      <c r="K722" s="1"/>
      <c r="L722" s="1"/>
      <c r="M722" s="55" t="s">
        <v>7</v>
      </c>
      <c r="N722" s="1"/>
      <c r="O722" s="1"/>
      <c r="P722" s="1"/>
      <c r="Q722" s="55" t="s">
        <v>7</v>
      </c>
      <c r="R722" s="55" t="s">
        <v>7</v>
      </c>
    </row>
    <row r="723" spans="1:18" ht="16.5" customHeight="1" thickBot="1" x14ac:dyDescent="0.35">
      <c r="A723" s="57" t="s">
        <v>71</v>
      </c>
      <c r="B723" s="58">
        <f>SUM(B721:B722)</f>
        <v>0</v>
      </c>
      <c r="C723" s="58">
        <f>SUM(C721:C722)</f>
        <v>0</v>
      </c>
      <c r="D723" s="58">
        <f>SUM(D721:D722)</f>
        <v>0</v>
      </c>
      <c r="E723" s="60">
        <f>SUM(B723:D723)</f>
        <v>0</v>
      </c>
      <c r="F723" s="58">
        <f>SUM(F721:F722)</f>
        <v>0</v>
      </c>
      <c r="G723" s="58">
        <f>SUM(G721:G722)</f>
        <v>0</v>
      </c>
      <c r="H723" s="58">
        <f>SUM(H721:H722)</f>
        <v>0</v>
      </c>
      <c r="I723" s="60">
        <f>SUM(F723:H723)</f>
        <v>0</v>
      </c>
      <c r="J723" s="58">
        <f>SUM(J721:J722)</f>
        <v>0</v>
      </c>
      <c r="K723" s="58">
        <f>SUM(K721:K722)</f>
        <v>0</v>
      </c>
      <c r="L723" s="58">
        <f>SUM(L721:L722)</f>
        <v>0</v>
      </c>
      <c r="M723" s="60">
        <f>SUM(J723:L723)</f>
        <v>0</v>
      </c>
      <c r="N723" s="58">
        <f>SUM(N721:N722)</f>
        <v>0</v>
      </c>
      <c r="O723" s="58">
        <f>SUM(O721:O722)</f>
        <v>0</v>
      </c>
      <c r="P723" s="58">
        <f>SUM(P721:P722)</f>
        <v>0</v>
      </c>
      <c r="Q723" s="60">
        <f>SUM(N723:P723)</f>
        <v>0</v>
      </c>
      <c r="R723" s="59">
        <f>+E723+I723+M723+Q723</f>
        <v>0</v>
      </c>
    </row>
    <row r="724" spans="1:18" ht="16.5" customHeight="1" thickBot="1" x14ac:dyDescent="0.35">
      <c r="A724" s="114" t="s">
        <v>72</v>
      </c>
      <c r="B724" s="86">
        <f>SUM(B717:B722)</f>
        <v>0</v>
      </c>
      <c r="C724" s="87">
        <f>SUM(C717:C722)</f>
        <v>0</v>
      </c>
      <c r="D724" s="118">
        <f>SUM(D717:D722)</f>
        <v>0</v>
      </c>
      <c r="E724" s="60">
        <f>SUM(B724:D724)</f>
        <v>0</v>
      </c>
      <c r="F724" s="87">
        <f>SUM(F717:F722)</f>
        <v>0</v>
      </c>
      <c r="G724" s="87">
        <f>SUM(G717:G722)</f>
        <v>0</v>
      </c>
      <c r="H724" s="87">
        <f>SUM(H717:H722)</f>
        <v>0</v>
      </c>
      <c r="I724" s="60">
        <f>SUM(F724:H724)</f>
        <v>0</v>
      </c>
      <c r="J724" s="87">
        <f>SUM(J717:J722)</f>
        <v>0</v>
      </c>
      <c r="K724" s="87">
        <f>SUM(K717:K722)</f>
        <v>0</v>
      </c>
      <c r="L724" s="87">
        <f>SUM(L717:L722)</f>
        <v>0</v>
      </c>
      <c r="M724" s="60">
        <f>SUM(J724:L724)</f>
        <v>0</v>
      </c>
      <c r="N724" s="87">
        <f>SUM(N717:N722)</f>
        <v>0</v>
      </c>
      <c r="O724" s="87">
        <f>SUM(O717:O722)</f>
        <v>0</v>
      </c>
      <c r="P724" s="87">
        <f>SUM(P717:P722)</f>
        <v>0</v>
      </c>
      <c r="Q724" s="60">
        <f>SUM(N724:P724)</f>
        <v>0</v>
      </c>
      <c r="R724" s="59">
        <f>+E724+I724+M724+Q724</f>
        <v>0</v>
      </c>
    </row>
    <row r="725" spans="1:18" ht="16.5" customHeight="1" thickBot="1" x14ac:dyDescent="0.35">
      <c r="A725" s="57" t="s">
        <v>73</v>
      </c>
      <c r="B725" s="90">
        <f>+B708+B712+B716+B724</f>
        <v>346</v>
      </c>
      <c r="C725" s="58">
        <f>+C708+C712+C716+C724</f>
        <v>1541</v>
      </c>
      <c r="D725" s="58">
        <f>+D708+D712+D716+D724</f>
        <v>1190</v>
      </c>
      <c r="E725" s="59">
        <f>SUM(B725:D725)</f>
        <v>3077</v>
      </c>
      <c r="F725" s="58">
        <f>+F708+F712+F716+F724</f>
        <v>2490</v>
      </c>
      <c r="G725" s="58">
        <f>+G708+G712+G716+G724</f>
        <v>1994</v>
      </c>
      <c r="H725" s="58">
        <f>+H708+H712+H716+H724</f>
        <v>2637</v>
      </c>
      <c r="I725" s="59">
        <f>SUM(F725:H725)</f>
        <v>7121</v>
      </c>
      <c r="J725" s="58">
        <f>+J708+J712+J716+J724</f>
        <v>903</v>
      </c>
      <c r="K725" s="58">
        <f>+K708+K712+K716+K724</f>
        <v>2007</v>
      </c>
      <c r="L725" s="58">
        <f>+L708+L712+L716+L724</f>
        <v>689</v>
      </c>
      <c r="M725" s="59">
        <f>SUM(J725:L725)</f>
        <v>3599</v>
      </c>
      <c r="N725" s="58">
        <f>+N708+N712+N716+N724</f>
        <v>175</v>
      </c>
      <c r="O725" s="58">
        <f>+O708+O712+O716+O724</f>
        <v>357</v>
      </c>
      <c r="P725" s="58">
        <f>+P708+P712+P716+P724</f>
        <v>607</v>
      </c>
      <c r="Q725" s="59">
        <f>SUM(N725:P725)</f>
        <v>1139</v>
      </c>
      <c r="R725" s="81">
        <f>+E725+I725+M725+Q725</f>
        <v>14936</v>
      </c>
    </row>
    <row r="726" spans="1:18" ht="16.5" customHeight="1" thickBot="1" x14ac:dyDescent="0.35">
      <c r="A726" s="39" t="s">
        <v>40</v>
      </c>
      <c r="B726" s="21">
        <v>10</v>
      </c>
      <c r="C726" s="21">
        <v>11</v>
      </c>
      <c r="D726" s="21">
        <v>14</v>
      </c>
      <c r="E726" s="55">
        <f>SUM(B726:D726)</f>
        <v>35</v>
      </c>
      <c r="F726" s="21">
        <v>18</v>
      </c>
      <c r="G726" s="21">
        <v>21</v>
      </c>
      <c r="H726" s="21">
        <v>22</v>
      </c>
      <c r="I726" s="55">
        <f>SUM(F726:H726)</f>
        <v>61</v>
      </c>
      <c r="J726" s="21">
        <v>19</v>
      </c>
      <c r="K726" s="21">
        <v>17</v>
      </c>
      <c r="L726" s="21">
        <v>17</v>
      </c>
      <c r="M726" s="55">
        <f>SUM(J726:L726)</f>
        <v>53</v>
      </c>
      <c r="N726" s="21">
        <v>14</v>
      </c>
      <c r="O726" s="21">
        <v>11</v>
      </c>
      <c r="P726" s="21">
        <v>9</v>
      </c>
      <c r="Q726" s="55">
        <f>SUM(N726:P726)</f>
        <v>34</v>
      </c>
      <c r="R726" s="55">
        <f>+E726+I726+M726+Q726</f>
        <v>183</v>
      </c>
    </row>
    <row r="727" spans="1:18" ht="16.5" customHeight="1" thickBot="1" x14ac:dyDescent="0.35">
      <c r="A727" s="41"/>
      <c r="B727" s="36"/>
      <c r="C727" s="36"/>
      <c r="D727" s="36"/>
      <c r="E727" s="52"/>
      <c r="F727" s="36"/>
      <c r="G727" s="36"/>
      <c r="H727" s="36"/>
      <c r="I727" s="52"/>
      <c r="J727" s="36"/>
      <c r="K727" s="36"/>
      <c r="L727" s="36"/>
      <c r="M727" s="129"/>
      <c r="N727" s="36"/>
      <c r="O727" s="36"/>
      <c r="P727" s="36"/>
      <c r="Q727" s="129"/>
      <c r="R727" s="40"/>
    </row>
    <row r="728" spans="1:18" ht="15.75" customHeight="1" x14ac:dyDescent="0.3">
      <c r="A728" s="15" t="s">
        <v>314</v>
      </c>
      <c r="B728" s="1">
        <f>SUM(B725:B726)</f>
        <v>356</v>
      </c>
      <c r="C728" s="1">
        <f>SUM(C725:C726)</f>
        <v>1552</v>
      </c>
      <c r="D728" s="1">
        <f>SUM(D725:D726)</f>
        <v>1204</v>
      </c>
      <c r="E728" s="55">
        <f>SUM(B728:D728)</f>
        <v>3112</v>
      </c>
      <c r="F728" s="1">
        <f>SUM(F725:F726)</f>
        <v>2508</v>
      </c>
      <c r="G728" s="1">
        <f>SUM(G725:G726)</f>
        <v>2015</v>
      </c>
      <c r="H728" s="1">
        <f>SUM(H725:H726)</f>
        <v>2659</v>
      </c>
      <c r="I728" s="60">
        <f>SUM(F728:H728)</f>
        <v>7182</v>
      </c>
      <c r="J728" s="1">
        <f>SUM(J725:J726)</f>
        <v>922</v>
      </c>
      <c r="K728" s="1">
        <f>SUM(K725:K726)</f>
        <v>2024</v>
      </c>
      <c r="L728" s="1">
        <f>SUM(L725:L726)</f>
        <v>706</v>
      </c>
      <c r="M728" s="60">
        <f>SUM(J728:L728)</f>
        <v>3652</v>
      </c>
      <c r="N728" s="1">
        <f>SUM(N725:N726)</f>
        <v>189</v>
      </c>
      <c r="O728" s="1">
        <f>SUM(O725:O726)</f>
        <v>368</v>
      </c>
      <c r="P728" s="1">
        <f>SUM(P725:P726)</f>
        <v>616</v>
      </c>
      <c r="Q728" s="60">
        <f>SUM(N728:P728)</f>
        <v>1173</v>
      </c>
      <c r="R728" s="60">
        <f>+E728+I728+M728+Q728</f>
        <v>15119</v>
      </c>
    </row>
    <row r="729" spans="1:18" ht="15.75" customHeight="1" x14ac:dyDescent="0.3">
      <c r="A729" s="15" t="s">
        <v>42</v>
      </c>
      <c r="B729" s="1">
        <f>(B728/B10)/1.983</f>
        <v>5.7911603468189288</v>
      </c>
      <c r="C729" s="1">
        <f>(C728/C10)/1.983</f>
        <v>26.988018849879143</v>
      </c>
      <c r="D729" s="1">
        <f>(D728/D10)/1.983</f>
        <v>19.585834431376373</v>
      </c>
      <c r="E729" s="55" t="s">
        <v>7</v>
      </c>
      <c r="F729" s="1">
        <f>(F728/F10)/1.983</f>
        <v>42.158345940494193</v>
      </c>
      <c r="G729" s="1">
        <f>(G728/G10)/1.983</f>
        <v>32.778618255168936</v>
      </c>
      <c r="H729" s="1">
        <f>(H728/H10)/1.983</f>
        <v>44.696587661791902</v>
      </c>
      <c r="I729" s="55" t="s">
        <v>7</v>
      </c>
      <c r="J729" s="1">
        <f>(J728/J10)/1.983</f>
        <v>14.998454606087225</v>
      </c>
      <c r="K729" s="1">
        <f>(K728/K10)/1.983</f>
        <v>32.925023994273907</v>
      </c>
      <c r="L729" s="1">
        <f>(L728/L10)/1.983</f>
        <v>11.867540763153471</v>
      </c>
      <c r="M729" s="55" t="s">
        <v>7</v>
      </c>
      <c r="N729" s="1">
        <f>(N728/N10)/1.983</f>
        <v>3.0745205212044309</v>
      </c>
      <c r="O729" s="1">
        <f>(O728/O10)/1.983</f>
        <v>6.1859135989241887</v>
      </c>
      <c r="P729" s="1">
        <f>(P728/P10)/1.983</f>
        <v>10.020659476518146</v>
      </c>
      <c r="Q729" s="55" t="s">
        <v>7</v>
      </c>
      <c r="R729" s="55" t="s">
        <v>7</v>
      </c>
    </row>
    <row r="730" spans="1:18" ht="15.75" customHeight="1" x14ac:dyDescent="0.3">
      <c r="A730" s="15" t="s">
        <v>341</v>
      </c>
      <c r="B730" s="1">
        <f>B728+B782</f>
        <v>9543</v>
      </c>
      <c r="C730" s="1">
        <f>C728+C782</f>
        <v>18646</v>
      </c>
      <c r="D730" s="1">
        <f>D728+D782</f>
        <v>21541</v>
      </c>
      <c r="E730" s="55">
        <f>SUM(B730:D730)</f>
        <v>49730</v>
      </c>
      <c r="F730" s="1">
        <f>F728+F782</f>
        <v>23892</v>
      </c>
      <c r="G730" s="1">
        <f>G728+G782</f>
        <v>23631</v>
      </c>
      <c r="H730" s="1">
        <f>H728+H782</f>
        <v>23317</v>
      </c>
      <c r="I730" s="55">
        <f>SUM(F730:H730)</f>
        <v>70840</v>
      </c>
      <c r="J730" s="1">
        <f>J728+J782</f>
        <v>22080</v>
      </c>
      <c r="K730" s="1">
        <f>K728+K782</f>
        <v>20040</v>
      </c>
      <c r="L730" s="1">
        <f>L728+L782</f>
        <v>17683</v>
      </c>
      <c r="M730" s="55">
        <f>SUM(J730:L730)</f>
        <v>59803</v>
      </c>
      <c r="N730" s="1">
        <f>N728+N782</f>
        <v>10206</v>
      </c>
      <c r="O730" s="1">
        <f>O728+O782</f>
        <v>2916</v>
      </c>
      <c r="P730" s="1">
        <f>P728+P782</f>
        <v>7359</v>
      </c>
      <c r="Q730" s="55">
        <f>SUM(N730:P730)</f>
        <v>20481</v>
      </c>
      <c r="R730" s="55">
        <f>+E730+I730+M730+Q730</f>
        <v>200854</v>
      </c>
    </row>
    <row r="731" spans="1:18" ht="16.5" customHeight="1" thickBot="1" x14ac:dyDescent="0.35">
      <c r="A731" s="20" t="s">
        <v>342</v>
      </c>
      <c r="B731" s="21">
        <f>(B730/B10)/1.983</f>
        <v>155.23888536430627</v>
      </c>
      <c r="C731" s="21">
        <f>(C730/C10)/1.983</f>
        <v>324.23878832142174</v>
      </c>
      <c r="D731" s="21">
        <f>(D730/D10)/1.983</f>
        <v>350.41400289558015</v>
      </c>
      <c r="E731" s="81" t="s">
        <v>7</v>
      </c>
      <c r="F731" s="21">
        <f>(F730/F10)/1.983</f>
        <v>401.61371659102366</v>
      </c>
      <c r="G731" s="21">
        <f>(G730/G10)/1.983</f>
        <v>384.41266897662382</v>
      </c>
      <c r="H731" s="21">
        <f>(H730/H10)/1.983</f>
        <v>391.94822659270466</v>
      </c>
      <c r="I731" s="81" t="s">
        <v>7</v>
      </c>
      <c r="J731" s="21">
        <f>(J730/J10)/1.983</f>
        <v>359.18207993753356</v>
      </c>
      <c r="K731" s="21">
        <f>(K730/K10)/1.983</f>
        <v>325.99677907373967</v>
      </c>
      <c r="L731" s="21">
        <f>(L730/L10)/1.983</f>
        <v>297.24323415700115</v>
      </c>
      <c r="M731" s="81" t="s">
        <v>7</v>
      </c>
      <c r="N731" s="21">
        <f>(N730/N10)/1.983</f>
        <v>166.02410814503929</v>
      </c>
      <c r="O731" s="21">
        <f>(O730/O10)/1.983</f>
        <v>49.016641452344928</v>
      </c>
      <c r="P731" s="21">
        <f>(P730/P10)/1.983</f>
        <v>119.71109267483284</v>
      </c>
      <c r="Q731" s="81" t="s">
        <v>7</v>
      </c>
      <c r="R731" s="81" t="s">
        <v>7</v>
      </c>
    </row>
    <row r="732" spans="1:18" ht="15.75" customHeight="1" x14ac:dyDescent="0.3">
      <c r="A732" s="2"/>
      <c r="B732" s="1"/>
      <c r="C732" s="1"/>
      <c r="D732" s="1"/>
      <c r="E732" s="1"/>
      <c r="F732" s="1"/>
      <c r="G732" s="1"/>
      <c r="H732" s="1"/>
      <c r="I732" s="1"/>
      <c r="J732" s="1"/>
      <c r="K732" s="1"/>
      <c r="L732" s="1"/>
      <c r="M732" s="1"/>
      <c r="N732" s="1"/>
      <c r="O732" s="1"/>
      <c r="P732" s="1"/>
      <c r="Q732" s="1"/>
      <c r="R732" s="2"/>
    </row>
    <row r="733" spans="1:18" ht="16.5" customHeight="1" thickBot="1" x14ac:dyDescent="0.35">
      <c r="A733" s="106"/>
      <c r="B733" s="21"/>
      <c r="C733" s="21"/>
      <c r="D733" s="21"/>
      <c r="E733" s="21"/>
      <c r="F733" s="21"/>
      <c r="G733" s="21"/>
      <c r="H733" s="21"/>
      <c r="I733" s="21"/>
      <c r="J733" s="21"/>
      <c r="K733" s="21"/>
      <c r="L733" s="21"/>
      <c r="M733" s="21"/>
      <c r="N733" s="21"/>
      <c r="O733" s="21"/>
      <c r="P733" s="21"/>
      <c r="Q733" s="21"/>
      <c r="R733" s="106"/>
    </row>
    <row r="734" spans="1:18" ht="15.75" customHeight="1" thickBot="1" x14ac:dyDescent="0.35">
      <c r="A734" s="107" t="s">
        <v>343</v>
      </c>
      <c r="B734" s="47" t="s">
        <v>8</v>
      </c>
      <c r="C734" s="48" t="s">
        <v>9</v>
      </c>
      <c r="D734" s="48" t="s">
        <v>10</v>
      </c>
      <c r="E734" s="32" t="s">
        <v>11</v>
      </c>
      <c r="F734" s="48" t="s">
        <v>12</v>
      </c>
      <c r="G734" s="48" t="s">
        <v>13</v>
      </c>
      <c r="H734" s="48" t="s">
        <v>14</v>
      </c>
      <c r="I734" s="32" t="s">
        <v>15</v>
      </c>
      <c r="J734" s="48" t="s">
        <v>16</v>
      </c>
      <c r="K734" s="48" t="s">
        <v>17</v>
      </c>
      <c r="L734" s="48" t="s">
        <v>18</v>
      </c>
      <c r="M734" s="32" t="s">
        <v>19</v>
      </c>
      <c r="N734" s="48" t="s">
        <v>20</v>
      </c>
      <c r="O734" s="48" t="s">
        <v>21</v>
      </c>
      <c r="P734" s="48" t="s">
        <v>22</v>
      </c>
      <c r="Q734" s="32" t="s">
        <v>23</v>
      </c>
      <c r="R734" s="49" t="s">
        <v>24</v>
      </c>
    </row>
    <row r="735" spans="1:18" ht="16.5" customHeight="1" thickBot="1" x14ac:dyDescent="0.35">
      <c r="A735" s="130"/>
      <c r="B735" s="51"/>
      <c r="C735" s="51"/>
      <c r="D735" s="51"/>
      <c r="E735" s="52"/>
      <c r="F735" s="51"/>
      <c r="G735" s="51"/>
      <c r="H735" s="51"/>
      <c r="I735" s="52"/>
      <c r="J735" s="51"/>
      <c r="K735" s="51"/>
      <c r="L735" s="51"/>
      <c r="M735" s="52"/>
      <c r="N735" s="51"/>
      <c r="O735" s="51"/>
      <c r="P735" s="51"/>
      <c r="Q735" s="52"/>
      <c r="R735" s="53"/>
    </row>
    <row r="736" spans="1:18" ht="15.75" customHeight="1" x14ac:dyDescent="0.3">
      <c r="A736" s="15" t="s">
        <v>48</v>
      </c>
      <c r="B736" s="1" t="s">
        <v>7</v>
      </c>
      <c r="C736" s="1" t="s">
        <v>7</v>
      </c>
      <c r="D736" s="1" t="s">
        <v>7</v>
      </c>
      <c r="E736" s="55" t="s">
        <v>7</v>
      </c>
      <c r="F736" s="1" t="s">
        <v>7</v>
      </c>
      <c r="G736" s="1" t="s">
        <v>7</v>
      </c>
      <c r="H736" s="1" t="s">
        <v>7</v>
      </c>
      <c r="I736" s="55" t="s">
        <v>7</v>
      </c>
      <c r="J736" s="1" t="s">
        <v>7</v>
      </c>
      <c r="K736" s="1" t="s">
        <v>7</v>
      </c>
      <c r="L736" s="1" t="s">
        <v>7</v>
      </c>
      <c r="M736" s="55" t="s">
        <v>7</v>
      </c>
      <c r="N736" s="1" t="s">
        <v>7</v>
      </c>
      <c r="O736" s="1" t="s">
        <v>7</v>
      </c>
      <c r="P736" s="1" t="s">
        <v>7</v>
      </c>
      <c r="Q736" s="55" t="s">
        <v>7</v>
      </c>
      <c r="R736" s="55" t="s">
        <v>7</v>
      </c>
    </row>
    <row r="737" spans="1:18" ht="15.75" customHeight="1" x14ac:dyDescent="0.3">
      <c r="A737" s="15" t="s">
        <v>49</v>
      </c>
      <c r="B737" s="1"/>
      <c r="C737" s="1"/>
      <c r="D737" s="1"/>
      <c r="E737" s="55" t="s">
        <v>7</v>
      </c>
      <c r="F737" s="1"/>
      <c r="G737" s="1"/>
      <c r="H737" s="1"/>
      <c r="I737" s="55" t="s">
        <v>7</v>
      </c>
      <c r="J737" s="1"/>
      <c r="K737" s="1"/>
      <c r="L737" s="1"/>
      <c r="M737" s="55" t="s">
        <v>7</v>
      </c>
      <c r="N737" s="1"/>
      <c r="O737" s="1"/>
      <c r="P737" s="1"/>
      <c r="Q737" s="55" t="s">
        <v>7</v>
      </c>
      <c r="R737" s="55" t="s">
        <v>7</v>
      </c>
    </row>
    <row r="738" spans="1:18" ht="15.75" customHeight="1" x14ac:dyDescent="0.3">
      <c r="A738" s="71" t="s">
        <v>344</v>
      </c>
      <c r="B738" s="1">
        <v>1886</v>
      </c>
      <c r="C738" s="1">
        <v>5258</v>
      </c>
      <c r="D738" s="1">
        <v>7449</v>
      </c>
      <c r="E738" s="55">
        <f t="shared" ref="E738:E739" si="275">SUM(B738:D738)</f>
        <v>14593</v>
      </c>
      <c r="F738" s="1">
        <v>7215</v>
      </c>
      <c r="G738" s="1">
        <v>7243</v>
      </c>
      <c r="H738" s="1">
        <v>7010</v>
      </c>
      <c r="I738" s="55">
        <f t="shared" ref="I738:I739" si="276">SUM(F738:H738)</f>
        <v>21468</v>
      </c>
      <c r="J738" s="1">
        <v>7420</v>
      </c>
      <c r="K738" s="1">
        <v>5712</v>
      </c>
      <c r="L738" s="1">
        <v>5230</v>
      </c>
      <c r="M738" s="55">
        <f t="shared" ref="M738:M739" si="277">SUM(J738:L738)</f>
        <v>18362</v>
      </c>
      <c r="N738" s="1">
        <v>2366</v>
      </c>
      <c r="O738" s="1">
        <v>474</v>
      </c>
      <c r="P738" s="1">
        <v>1419</v>
      </c>
      <c r="Q738" s="55">
        <f t="shared" ref="Q738:Q743" si="278">SUM(N738:P738)</f>
        <v>4259</v>
      </c>
      <c r="R738" s="55">
        <f>+E738+I738+M738+Q738</f>
        <v>58682</v>
      </c>
    </row>
    <row r="739" spans="1:18" ht="15.75" customHeight="1" x14ac:dyDescent="0.3">
      <c r="A739" s="71" t="s">
        <v>345</v>
      </c>
      <c r="B739" s="1">
        <v>1828</v>
      </c>
      <c r="C739" s="1">
        <v>3088</v>
      </c>
      <c r="D739" s="1">
        <v>5072</v>
      </c>
      <c r="E739" s="55">
        <f t="shared" si="275"/>
        <v>9988</v>
      </c>
      <c r="F739" s="1">
        <v>3467</v>
      </c>
      <c r="G739" s="1">
        <v>4959</v>
      </c>
      <c r="H739" s="1">
        <v>1591</v>
      </c>
      <c r="I739" s="55">
        <f t="shared" si="276"/>
        <v>10017</v>
      </c>
      <c r="J739" s="1">
        <v>1826</v>
      </c>
      <c r="K739" s="1">
        <v>93</v>
      </c>
      <c r="L739" s="1">
        <v>27</v>
      </c>
      <c r="M739" s="55">
        <f t="shared" si="277"/>
        <v>1946</v>
      </c>
      <c r="N739" s="1"/>
      <c r="O739" s="1">
        <v>288</v>
      </c>
      <c r="P739" s="1">
        <v>245</v>
      </c>
      <c r="Q739" s="55">
        <f t="shared" si="278"/>
        <v>533</v>
      </c>
      <c r="R739" s="55">
        <f t="shared" ref="R739:R743" si="279">+E739+I739+M739+Q739</f>
        <v>22484</v>
      </c>
    </row>
    <row r="740" spans="1:18" ht="15.75" customHeight="1" x14ac:dyDescent="0.3">
      <c r="A740" s="71" t="s">
        <v>996</v>
      </c>
      <c r="B740" s="1"/>
      <c r="C740" s="1"/>
      <c r="D740" s="1"/>
      <c r="E740" s="55">
        <f t="shared" ref="E740:E743" si="280">SUM(B740:D740)</f>
        <v>0</v>
      </c>
      <c r="F740" s="1"/>
      <c r="G740" s="1"/>
      <c r="H740" s="1"/>
      <c r="I740" s="55">
        <f t="shared" ref="I740:I743" si="281">SUM(F740:H740)</f>
        <v>0</v>
      </c>
      <c r="J740" s="1"/>
      <c r="K740" s="1"/>
      <c r="L740" s="1"/>
      <c r="M740" s="55">
        <f t="shared" ref="M740:M743" si="282">SUM(J740:L740)</f>
        <v>0</v>
      </c>
      <c r="N740" s="1"/>
      <c r="O740" s="1"/>
      <c r="P740" s="1"/>
      <c r="Q740" s="55">
        <f t="shared" si="278"/>
        <v>0</v>
      </c>
      <c r="R740" s="55">
        <f t="shared" si="279"/>
        <v>0</v>
      </c>
    </row>
    <row r="741" spans="1:18" ht="15.75" customHeight="1" x14ac:dyDescent="0.3">
      <c r="A741" s="71" t="s">
        <v>997</v>
      </c>
      <c r="B741" s="1">
        <v>264</v>
      </c>
      <c r="C741" s="1">
        <v>3500</v>
      </c>
      <c r="D741" s="1">
        <v>2800</v>
      </c>
      <c r="E741" s="55">
        <f t="shared" si="280"/>
        <v>6564</v>
      </c>
      <c r="F741" s="1">
        <v>4200</v>
      </c>
      <c r="G741" s="1">
        <v>3000</v>
      </c>
      <c r="H741" s="1">
        <v>6100</v>
      </c>
      <c r="I741" s="55">
        <f t="shared" si="281"/>
        <v>13300</v>
      </c>
      <c r="J741" s="1">
        <v>6076</v>
      </c>
      <c r="K741" s="1"/>
      <c r="L741" s="1"/>
      <c r="M741" s="55">
        <f t="shared" si="282"/>
        <v>6076</v>
      </c>
      <c r="N741" s="1"/>
      <c r="O741" s="1"/>
      <c r="P741" s="1"/>
      <c r="Q741" s="55">
        <f t="shared" si="278"/>
        <v>0</v>
      </c>
      <c r="R741" s="55">
        <f t="shared" si="279"/>
        <v>25940</v>
      </c>
    </row>
    <row r="742" spans="1:18" ht="15.75" customHeight="1" x14ac:dyDescent="0.3">
      <c r="A742" s="71" t="s">
        <v>998</v>
      </c>
      <c r="B742" s="1">
        <v>250</v>
      </c>
      <c r="C742" s="1"/>
      <c r="D742" s="1">
        <v>300</v>
      </c>
      <c r="E742" s="55">
        <f t="shared" si="280"/>
        <v>550</v>
      </c>
      <c r="F742" s="1">
        <v>300</v>
      </c>
      <c r="G742" s="1">
        <v>300</v>
      </c>
      <c r="H742" s="1">
        <v>300</v>
      </c>
      <c r="I742" s="55">
        <f t="shared" si="281"/>
        <v>900</v>
      </c>
      <c r="J742" s="1">
        <v>300</v>
      </c>
      <c r="K742" s="1">
        <v>300</v>
      </c>
      <c r="L742" s="1">
        <v>300</v>
      </c>
      <c r="M742" s="55">
        <f t="shared" si="282"/>
        <v>900</v>
      </c>
      <c r="N742" s="1">
        <v>300</v>
      </c>
      <c r="O742" s="1"/>
      <c r="P742" s="1">
        <v>350</v>
      </c>
      <c r="Q742" s="55">
        <f t="shared" si="278"/>
        <v>650</v>
      </c>
      <c r="R742" s="55">
        <f t="shared" si="279"/>
        <v>3000</v>
      </c>
    </row>
    <row r="743" spans="1:18" ht="15.75" customHeight="1" x14ac:dyDescent="0.3">
      <c r="A743" s="71" t="s">
        <v>999</v>
      </c>
      <c r="B743" s="1">
        <v>120</v>
      </c>
      <c r="C743" s="1">
        <v>120</v>
      </c>
      <c r="D743" s="1">
        <v>120</v>
      </c>
      <c r="E743" s="55">
        <f t="shared" si="280"/>
        <v>360</v>
      </c>
      <c r="F743" s="1">
        <v>120</v>
      </c>
      <c r="G743" s="1">
        <v>130</v>
      </c>
      <c r="H743" s="1">
        <v>130</v>
      </c>
      <c r="I743" s="55">
        <f t="shared" si="281"/>
        <v>380</v>
      </c>
      <c r="J743" s="1">
        <v>130</v>
      </c>
      <c r="K743" s="1">
        <v>130</v>
      </c>
      <c r="L743" s="1">
        <v>130</v>
      </c>
      <c r="M743" s="55">
        <f t="shared" si="282"/>
        <v>390</v>
      </c>
      <c r="N743" s="1">
        <v>130</v>
      </c>
      <c r="O743" s="1"/>
      <c r="P743" s="1">
        <v>60</v>
      </c>
      <c r="Q743" s="55">
        <f t="shared" si="278"/>
        <v>190</v>
      </c>
      <c r="R743" s="55">
        <f t="shared" si="279"/>
        <v>1320</v>
      </c>
    </row>
    <row r="744" spans="1:18" ht="15.75" customHeight="1" x14ac:dyDescent="0.3">
      <c r="A744" s="15" t="s">
        <v>50</v>
      </c>
      <c r="B744" s="1"/>
      <c r="C744" s="1"/>
      <c r="D744" s="1"/>
      <c r="E744" s="55" t="s">
        <v>7</v>
      </c>
      <c r="F744" s="1"/>
      <c r="G744" s="1"/>
      <c r="H744" s="1"/>
      <c r="I744" s="55" t="s">
        <v>7</v>
      </c>
      <c r="J744" s="1"/>
      <c r="K744" s="1"/>
      <c r="L744" s="1"/>
      <c r="M744" s="55" t="s">
        <v>7</v>
      </c>
      <c r="N744" s="1"/>
      <c r="O744" s="1"/>
      <c r="P744" s="1"/>
      <c r="Q744" s="55" t="s">
        <v>7</v>
      </c>
      <c r="R744" s="55" t="s">
        <v>7</v>
      </c>
    </row>
    <row r="745" spans="1:18" ht="15.75" customHeight="1" x14ac:dyDescent="0.3">
      <c r="A745" s="15" t="s">
        <v>1186</v>
      </c>
      <c r="B745" s="1"/>
      <c r="C745" s="1"/>
      <c r="D745" s="1"/>
      <c r="E745" s="55" t="s">
        <v>7</v>
      </c>
      <c r="F745" s="1"/>
      <c r="G745" s="1"/>
      <c r="H745" s="1"/>
      <c r="I745" s="55" t="s">
        <v>7</v>
      </c>
      <c r="J745" s="1"/>
      <c r="K745" s="1"/>
      <c r="L745" s="1"/>
      <c r="M745" s="55" t="s">
        <v>7</v>
      </c>
      <c r="N745" s="1"/>
      <c r="O745" s="1"/>
      <c r="P745" s="1"/>
      <c r="Q745" s="55" t="s">
        <v>7</v>
      </c>
      <c r="R745" s="55" t="s">
        <v>7</v>
      </c>
    </row>
    <row r="746" spans="1:18" ht="15.75" customHeight="1" thickBot="1" x14ac:dyDescent="0.35">
      <c r="A746" s="15" t="s">
        <v>53</v>
      </c>
      <c r="B746" s="1"/>
      <c r="C746" s="1"/>
      <c r="D746" s="1"/>
      <c r="E746" s="55" t="s">
        <v>7</v>
      </c>
      <c r="F746" s="1"/>
      <c r="G746" s="1"/>
      <c r="H746" s="1"/>
      <c r="I746" s="55" t="s">
        <v>7</v>
      </c>
      <c r="J746" s="1"/>
      <c r="K746" s="1"/>
      <c r="L746" s="1"/>
      <c r="M746" s="55" t="s">
        <v>7</v>
      </c>
      <c r="N746" s="1"/>
      <c r="O746" s="1"/>
      <c r="P746" s="1"/>
      <c r="Q746" s="55" t="s">
        <v>7</v>
      </c>
      <c r="R746" s="55" t="s">
        <v>7</v>
      </c>
    </row>
    <row r="747" spans="1:18" ht="16.5" customHeight="1" thickBot="1" x14ac:dyDescent="0.35">
      <c r="A747" s="109" t="s">
        <v>54</v>
      </c>
      <c r="B747" s="86">
        <f>SUM(B736:B746)</f>
        <v>4348</v>
      </c>
      <c r="C747" s="87">
        <f>SUM(C736:C746)</f>
        <v>11966</v>
      </c>
      <c r="D747" s="87">
        <f>SUM(D736:D746)</f>
        <v>15741</v>
      </c>
      <c r="E747" s="59">
        <f>SUM(B747:D747)</f>
        <v>32055</v>
      </c>
      <c r="F747" s="87">
        <f>SUM(F736:F746)</f>
        <v>15302</v>
      </c>
      <c r="G747" s="87">
        <f>SUM(G736:G746)</f>
        <v>15632</v>
      </c>
      <c r="H747" s="87">
        <f>SUM(H736:H746)</f>
        <v>15131</v>
      </c>
      <c r="I747" s="59">
        <f>SUM(F747:H747)</f>
        <v>46065</v>
      </c>
      <c r="J747" s="87">
        <f>SUM(J736:J746)</f>
        <v>15752</v>
      </c>
      <c r="K747" s="87">
        <f>SUM(K736:K746)</f>
        <v>6235</v>
      </c>
      <c r="L747" s="87">
        <f>SUM(L736:L746)</f>
        <v>5687</v>
      </c>
      <c r="M747" s="59">
        <f>SUM(J747:L747)</f>
        <v>27674</v>
      </c>
      <c r="N747" s="87">
        <f>SUM(N736:N746)</f>
        <v>2796</v>
      </c>
      <c r="O747" s="87">
        <f>SUM(O736:O746)</f>
        <v>762</v>
      </c>
      <c r="P747" s="87">
        <f>SUM(P736:P746)</f>
        <v>2074</v>
      </c>
      <c r="Q747" s="59">
        <f>SUM(N747:P747)</f>
        <v>5632</v>
      </c>
      <c r="R747" s="59">
        <f>+E747+I747+M747+Q747</f>
        <v>111426</v>
      </c>
    </row>
    <row r="748" spans="1:18" ht="15.75" customHeight="1" x14ac:dyDescent="0.3">
      <c r="A748" s="15" t="s">
        <v>55</v>
      </c>
      <c r="B748" s="1"/>
      <c r="C748" s="1"/>
      <c r="D748" s="1"/>
      <c r="E748" s="55" t="s">
        <v>7</v>
      </c>
      <c r="F748" s="1"/>
      <c r="G748" s="1"/>
      <c r="H748" s="1"/>
      <c r="I748" s="55" t="s">
        <v>7</v>
      </c>
      <c r="J748" s="1"/>
      <c r="K748" s="1"/>
      <c r="L748" s="1"/>
      <c r="M748" s="55" t="s">
        <v>7</v>
      </c>
      <c r="N748" s="1"/>
      <c r="O748" s="1"/>
      <c r="P748" s="1"/>
      <c r="Q748" s="55" t="s">
        <v>7</v>
      </c>
      <c r="R748" s="55" t="s">
        <v>7</v>
      </c>
    </row>
    <row r="749" spans="1:18" ht="15.75" customHeight="1" x14ac:dyDescent="0.3">
      <c r="A749" s="15" t="s">
        <v>57</v>
      </c>
      <c r="B749" s="1"/>
      <c r="C749" s="1"/>
      <c r="D749" s="1"/>
      <c r="E749" s="55" t="s">
        <v>7</v>
      </c>
      <c r="F749" s="1"/>
      <c r="G749" s="1"/>
      <c r="H749" s="1"/>
      <c r="I749" s="55" t="s">
        <v>7</v>
      </c>
      <c r="J749" s="1"/>
      <c r="K749" s="1"/>
      <c r="L749" s="1"/>
      <c r="M749" s="55" t="s">
        <v>7</v>
      </c>
      <c r="N749" s="1"/>
      <c r="O749" s="1"/>
      <c r="P749" s="1"/>
      <c r="Q749" s="55" t="s">
        <v>7</v>
      </c>
      <c r="R749" s="55" t="s">
        <v>7</v>
      </c>
    </row>
    <row r="750" spans="1:18" ht="15.75" customHeight="1" thickBot="1" x14ac:dyDescent="0.35">
      <c r="A750" s="15" t="s">
        <v>58</v>
      </c>
      <c r="B750" s="1"/>
      <c r="C750" s="1"/>
      <c r="D750" s="1"/>
      <c r="E750" s="55" t="s">
        <v>7</v>
      </c>
      <c r="F750" s="1"/>
      <c r="G750" s="1"/>
      <c r="H750" s="1"/>
      <c r="I750" s="55" t="s">
        <v>7</v>
      </c>
      <c r="J750" s="1"/>
      <c r="K750" s="1"/>
      <c r="L750" s="1"/>
      <c r="M750" s="55" t="s">
        <v>7</v>
      </c>
      <c r="N750" s="1"/>
      <c r="O750" s="1"/>
      <c r="P750" s="1"/>
      <c r="Q750" s="55" t="s">
        <v>7</v>
      </c>
      <c r="R750" s="55" t="s">
        <v>7</v>
      </c>
    </row>
    <row r="751" spans="1:18" ht="16.5" customHeight="1" thickBot="1" x14ac:dyDescent="0.35">
      <c r="A751" s="57" t="s">
        <v>59</v>
      </c>
      <c r="B751" s="86">
        <f>SUM(B748:B750)</f>
        <v>0</v>
      </c>
      <c r="C751" s="87">
        <f>SUM(C748:C750)</f>
        <v>0</v>
      </c>
      <c r="D751" s="87">
        <f>SUM(D748:D750)</f>
        <v>0</v>
      </c>
      <c r="E751" s="59">
        <f>SUM(B751:D751)</f>
        <v>0</v>
      </c>
      <c r="F751" s="87">
        <f>SUM(F748:F750)</f>
        <v>0</v>
      </c>
      <c r="G751" s="87">
        <f>SUM(G748:G750)</f>
        <v>0</v>
      </c>
      <c r="H751" s="87">
        <f>SUM(H748:H750)</f>
        <v>0</v>
      </c>
      <c r="I751" s="59">
        <f>SUM(F751:H751)</f>
        <v>0</v>
      </c>
      <c r="J751" s="87">
        <f>SUM(J748:J750)</f>
        <v>0</v>
      </c>
      <c r="K751" s="87">
        <f>SUM(K748:K750)</f>
        <v>0</v>
      </c>
      <c r="L751" s="87">
        <f>SUM(L748:L750)</f>
        <v>0</v>
      </c>
      <c r="M751" s="59">
        <f>SUM(J751:L751)</f>
        <v>0</v>
      </c>
      <c r="N751" s="87">
        <f>SUM(N748:N750)</f>
        <v>0</v>
      </c>
      <c r="O751" s="87">
        <f>SUM(O748:O750)</f>
        <v>0</v>
      </c>
      <c r="P751" s="87">
        <f>SUM(P748:P750)</f>
        <v>0</v>
      </c>
      <c r="Q751" s="59">
        <f>SUM(N751:P751)</f>
        <v>0</v>
      </c>
      <c r="R751" s="59">
        <f>+E751+I751+M751+Q751</f>
        <v>0</v>
      </c>
    </row>
    <row r="752" spans="1:18" ht="15.75" customHeight="1" x14ac:dyDescent="0.3">
      <c r="A752" s="15" t="s">
        <v>60</v>
      </c>
      <c r="B752" s="1"/>
      <c r="C752" s="1"/>
      <c r="D752" s="1"/>
      <c r="E752" s="55" t="s">
        <v>7</v>
      </c>
      <c r="F752" s="1"/>
      <c r="G752" s="1"/>
      <c r="H752" s="1"/>
      <c r="I752" s="55" t="s">
        <v>7</v>
      </c>
      <c r="J752" s="1"/>
      <c r="K752" s="1"/>
      <c r="L752" s="1"/>
      <c r="M752" s="55" t="s">
        <v>7</v>
      </c>
      <c r="N752" s="1"/>
      <c r="O752" s="1"/>
      <c r="P752" s="1"/>
      <c r="Q752" s="55" t="s">
        <v>7</v>
      </c>
      <c r="R752" s="55" t="s">
        <v>7</v>
      </c>
    </row>
    <row r="753" spans="1:20" ht="15.75" customHeight="1" x14ac:dyDescent="0.3">
      <c r="A753" s="15" t="s">
        <v>61</v>
      </c>
      <c r="B753" s="1"/>
      <c r="C753" s="1"/>
      <c r="D753" s="1"/>
      <c r="E753" s="55" t="s">
        <v>7</v>
      </c>
      <c r="F753" s="1"/>
      <c r="G753" s="1"/>
      <c r="H753" s="1"/>
      <c r="I753" s="55" t="s">
        <v>7</v>
      </c>
      <c r="J753" s="1"/>
      <c r="K753" s="1"/>
      <c r="L753" s="1"/>
      <c r="M753" s="55" t="s">
        <v>7</v>
      </c>
      <c r="N753" s="1"/>
      <c r="O753" s="1"/>
      <c r="P753" s="1"/>
      <c r="Q753" s="55" t="s">
        <v>7</v>
      </c>
      <c r="R753" s="55" t="s">
        <v>7</v>
      </c>
    </row>
    <row r="754" spans="1:20" ht="15.75" customHeight="1" x14ac:dyDescent="0.3">
      <c r="A754" s="71" t="s">
        <v>346</v>
      </c>
      <c r="B754" s="1"/>
      <c r="C754" s="1">
        <v>1145</v>
      </c>
      <c r="D754" s="1">
        <v>528</v>
      </c>
      <c r="E754" s="55">
        <f>SUM(B754:D754)</f>
        <v>1673</v>
      </c>
      <c r="F754" s="1">
        <v>1640</v>
      </c>
      <c r="G754" s="1">
        <v>1856</v>
      </c>
      <c r="H754" s="1">
        <v>1060</v>
      </c>
      <c r="I754" s="55">
        <f>SUM(F754:H754)</f>
        <v>4556</v>
      </c>
      <c r="J754" s="1">
        <v>1117</v>
      </c>
      <c r="K754" s="1">
        <v>1497</v>
      </c>
      <c r="L754" s="1">
        <v>826</v>
      </c>
      <c r="M754" s="55">
        <f>SUM(J754:L754)</f>
        <v>3440</v>
      </c>
      <c r="N754" s="1">
        <v>295</v>
      </c>
      <c r="O754" s="1"/>
      <c r="P754" s="1">
        <v>163</v>
      </c>
      <c r="Q754" s="55">
        <f>SUM(N754:P754)</f>
        <v>458</v>
      </c>
      <c r="R754" s="55">
        <f>+E754+I754+M754+Q754</f>
        <v>10127</v>
      </c>
      <c r="T754" s="4" t="s">
        <v>1000</v>
      </c>
    </row>
    <row r="755" spans="1:20" ht="15.75" customHeight="1" x14ac:dyDescent="0.3">
      <c r="A755" s="15" t="s">
        <v>62</v>
      </c>
      <c r="B755" s="1"/>
      <c r="C755" s="1"/>
      <c r="D755" s="1"/>
      <c r="E755" s="55" t="s">
        <v>7</v>
      </c>
      <c r="F755" s="1"/>
      <c r="G755" s="1"/>
      <c r="H755" s="1"/>
      <c r="I755" s="55" t="s">
        <v>7</v>
      </c>
      <c r="J755" s="1"/>
      <c r="K755" s="1"/>
      <c r="L755" s="1"/>
      <c r="M755" s="55" t="s">
        <v>7</v>
      </c>
      <c r="N755" s="1"/>
      <c r="O755" s="1"/>
      <c r="P755" s="1"/>
      <c r="Q755" s="55" t="s">
        <v>7</v>
      </c>
      <c r="R755" s="55" t="s">
        <v>7</v>
      </c>
    </row>
    <row r="756" spans="1:20" ht="15.75" customHeight="1" x14ac:dyDescent="0.3">
      <c r="A756" s="71" t="s">
        <v>1001</v>
      </c>
      <c r="B756" s="1"/>
      <c r="C756" s="1"/>
      <c r="D756" s="1"/>
      <c r="E756" s="55">
        <f t="shared" ref="E756:E765" si="283">SUM(B756:D756)</f>
        <v>0</v>
      </c>
      <c r="F756" s="1"/>
      <c r="G756" s="1"/>
      <c r="H756" s="1"/>
      <c r="I756" s="55">
        <f t="shared" ref="I756:I765" si="284">SUM(F756:H756)</f>
        <v>0</v>
      </c>
      <c r="J756" s="1"/>
      <c r="K756" s="1"/>
      <c r="L756" s="1"/>
      <c r="M756" s="55">
        <f t="shared" ref="M756:M765" si="285">SUM(J756:L756)</f>
        <v>0</v>
      </c>
      <c r="N756" s="1"/>
      <c r="O756" s="1"/>
      <c r="P756" s="1"/>
      <c r="Q756" s="55">
        <f t="shared" ref="Q756:Q765" si="286">SUM(N756:P756)</f>
        <v>0</v>
      </c>
      <c r="R756" s="55">
        <f t="shared" ref="R756:R765" si="287">+E756+I756+M756+Q756</f>
        <v>0</v>
      </c>
      <c r="T756" s="4" t="s">
        <v>1002</v>
      </c>
    </row>
    <row r="757" spans="1:20" ht="15.75" customHeight="1" x14ac:dyDescent="0.3">
      <c r="A757" s="71" t="s">
        <v>1003</v>
      </c>
      <c r="B757" s="1"/>
      <c r="C757" s="1"/>
      <c r="D757" s="1"/>
      <c r="E757" s="55">
        <f t="shared" si="283"/>
        <v>0</v>
      </c>
      <c r="F757" s="1"/>
      <c r="G757" s="1"/>
      <c r="H757" s="1"/>
      <c r="I757" s="55">
        <f>SUM(F757:H757)</f>
        <v>0</v>
      </c>
      <c r="J757" s="1"/>
      <c r="K757" s="1"/>
      <c r="L757" s="1"/>
      <c r="M757" s="55">
        <f t="shared" si="285"/>
        <v>0</v>
      </c>
      <c r="N757" s="1"/>
      <c r="O757" s="1"/>
      <c r="P757" s="1"/>
      <c r="Q757" s="55">
        <f t="shared" si="286"/>
        <v>0</v>
      </c>
      <c r="R757" s="55">
        <f t="shared" si="287"/>
        <v>0</v>
      </c>
      <c r="T757" s="4" t="s">
        <v>1002</v>
      </c>
    </row>
    <row r="758" spans="1:20" ht="15.75" customHeight="1" x14ac:dyDescent="0.3">
      <c r="A758" s="71" t="s">
        <v>1004</v>
      </c>
      <c r="B758" s="1">
        <v>125</v>
      </c>
      <c r="C758" s="1">
        <v>125</v>
      </c>
      <c r="D758" s="1">
        <v>125</v>
      </c>
      <c r="E758" s="55">
        <f t="shared" si="283"/>
        <v>375</v>
      </c>
      <c r="F758" s="1">
        <v>125</v>
      </c>
      <c r="G758" s="1">
        <v>125</v>
      </c>
      <c r="H758" s="1">
        <v>125</v>
      </c>
      <c r="I758" s="55">
        <f t="shared" si="284"/>
        <v>375</v>
      </c>
      <c r="J758" s="1">
        <v>125</v>
      </c>
      <c r="K758" s="1">
        <v>125</v>
      </c>
      <c r="L758" s="1">
        <v>125</v>
      </c>
      <c r="M758" s="55">
        <f t="shared" si="285"/>
        <v>375</v>
      </c>
      <c r="N758" s="1">
        <v>250</v>
      </c>
      <c r="O758" s="1"/>
      <c r="P758" s="1">
        <v>145</v>
      </c>
      <c r="Q758" s="55">
        <f t="shared" si="286"/>
        <v>395</v>
      </c>
      <c r="R758" s="55">
        <f t="shared" si="287"/>
        <v>1520</v>
      </c>
      <c r="T758" s="4" t="s">
        <v>1002</v>
      </c>
    </row>
    <row r="759" spans="1:20" ht="15.75" customHeight="1" x14ac:dyDescent="0.3">
      <c r="A759" s="71" t="s">
        <v>1371</v>
      </c>
      <c r="B759" s="1">
        <v>1136</v>
      </c>
      <c r="C759" s="1"/>
      <c r="D759" s="1"/>
      <c r="E759" s="55">
        <f t="shared" si="283"/>
        <v>1136</v>
      </c>
      <c r="F759" s="1"/>
      <c r="G759" s="1"/>
      <c r="H759" s="1"/>
      <c r="I759" s="55">
        <f t="shared" si="284"/>
        <v>0</v>
      </c>
      <c r="J759" s="1"/>
      <c r="K759" s="1"/>
      <c r="L759" s="1"/>
      <c r="M759" s="55">
        <f t="shared" si="285"/>
        <v>0</v>
      </c>
      <c r="N759" s="1"/>
      <c r="O759" s="1"/>
      <c r="P759" s="1"/>
      <c r="Q759" s="55">
        <f t="shared" ref="Q759" si="288">SUM(N759:P759)</f>
        <v>0</v>
      </c>
      <c r="R759" s="55">
        <f t="shared" si="287"/>
        <v>1136</v>
      </c>
    </row>
    <row r="760" spans="1:20" ht="15.75" customHeight="1" x14ac:dyDescent="0.3">
      <c r="A760" s="71" t="s">
        <v>1335</v>
      </c>
      <c r="B760" s="1"/>
      <c r="C760" s="1"/>
      <c r="D760" s="1"/>
      <c r="E760" s="55">
        <f t="shared" si="283"/>
        <v>0</v>
      </c>
      <c r="F760" s="1"/>
      <c r="G760" s="1"/>
      <c r="H760" s="1"/>
      <c r="I760" s="55">
        <f t="shared" si="284"/>
        <v>0</v>
      </c>
      <c r="J760" s="1">
        <v>24</v>
      </c>
      <c r="K760" s="1">
        <v>4726</v>
      </c>
      <c r="L760" s="1"/>
      <c r="M760" s="55">
        <f t="shared" si="285"/>
        <v>4750</v>
      </c>
      <c r="N760" s="1"/>
      <c r="O760" s="1"/>
      <c r="P760" s="1"/>
      <c r="Q760" s="55">
        <f t="shared" si="286"/>
        <v>0</v>
      </c>
      <c r="R760" s="55">
        <f t="shared" si="287"/>
        <v>4750</v>
      </c>
    </row>
    <row r="761" spans="1:20" ht="15.75" customHeight="1" x14ac:dyDescent="0.3">
      <c r="A761" s="71" t="s">
        <v>1336</v>
      </c>
      <c r="B761" s="1"/>
      <c r="C761" s="1"/>
      <c r="D761" s="1"/>
      <c r="E761" s="55">
        <f t="shared" si="283"/>
        <v>0</v>
      </c>
      <c r="F761" s="1"/>
      <c r="G761" s="1"/>
      <c r="H761" s="1"/>
      <c r="I761" s="55">
        <f t="shared" si="284"/>
        <v>0</v>
      </c>
      <c r="J761" s="1"/>
      <c r="K761" s="1">
        <v>1474</v>
      </c>
      <c r="L761" s="1">
        <v>6200</v>
      </c>
      <c r="M761" s="55">
        <f t="shared" si="285"/>
        <v>7674</v>
      </c>
      <c r="N761" s="1"/>
      <c r="O761" s="1"/>
      <c r="P761" s="1"/>
      <c r="Q761" s="55">
        <f t="shared" si="286"/>
        <v>0</v>
      </c>
      <c r="R761" s="55">
        <f t="shared" si="287"/>
        <v>7674</v>
      </c>
    </row>
    <row r="762" spans="1:20" ht="15.75" customHeight="1" x14ac:dyDescent="0.3">
      <c r="A762" s="71" t="s">
        <v>1337</v>
      </c>
      <c r="B762" s="1"/>
      <c r="C762" s="1"/>
      <c r="D762" s="1"/>
      <c r="E762" s="55">
        <f t="shared" si="283"/>
        <v>0</v>
      </c>
      <c r="F762" s="1"/>
      <c r="G762" s="1"/>
      <c r="H762" s="1"/>
      <c r="I762" s="55">
        <f t="shared" si="284"/>
        <v>0</v>
      </c>
      <c r="J762" s="1"/>
      <c r="K762" s="1"/>
      <c r="L762" s="1"/>
      <c r="M762" s="55">
        <f t="shared" si="285"/>
        <v>0</v>
      </c>
      <c r="N762" s="1"/>
      <c r="O762" s="1"/>
      <c r="P762" s="1"/>
      <c r="Q762" s="55">
        <f t="shared" si="286"/>
        <v>0</v>
      </c>
      <c r="R762" s="55">
        <f t="shared" si="287"/>
        <v>0</v>
      </c>
    </row>
    <row r="763" spans="1:20" ht="15.75" customHeight="1" x14ac:dyDescent="0.3">
      <c r="A763" s="71" t="s">
        <v>1338</v>
      </c>
      <c r="B763" s="1"/>
      <c r="C763" s="1"/>
      <c r="D763" s="1"/>
      <c r="E763" s="55">
        <f t="shared" si="283"/>
        <v>0</v>
      </c>
      <c r="F763" s="1"/>
      <c r="G763" s="1"/>
      <c r="H763" s="1"/>
      <c r="I763" s="55">
        <f t="shared" si="284"/>
        <v>0</v>
      </c>
      <c r="J763" s="1"/>
      <c r="K763" s="1"/>
      <c r="L763" s="1"/>
      <c r="M763" s="55">
        <f t="shared" si="285"/>
        <v>0</v>
      </c>
      <c r="N763" s="1"/>
      <c r="O763" s="1"/>
      <c r="P763" s="1"/>
      <c r="Q763" s="55">
        <f t="shared" ref="Q763" si="289">SUM(N763:P763)</f>
        <v>0</v>
      </c>
      <c r="R763" s="55">
        <f t="shared" si="287"/>
        <v>0</v>
      </c>
    </row>
    <row r="764" spans="1:20" ht="15.75" customHeight="1" thickBot="1" x14ac:dyDescent="0.35">
      <c r="A764" s="71" t="s">
        <v>775</v>
      </c>
      <c r="B764" s="1"/>
      <c r="C764" s="1"/>
      <c r="D764" s="1"/>
      <c r="E764" s="55">
        <f t="shared" si="283"/>
        <v>0</v>
      </c>
      <c r="F764" s="1"/>
      <c r="G764" s="1"/>
      <c r="H764" s="1"/>
      <c r="I764" s="55">
        <f t="shared" si="284"/>
        <v>0</v>
      </c>
      <c r="J764" s="1"/>
      <c r="K764" s="1"/>
      <c r="L764" s="1"/>
      <c r="M764" s="55">
        <f t="shared" si="285"/>
        <v>0</v>
      </c>
      <c r="N764" s="1"/>
      <c r="O764" s="1"/>
      <c r="P764" s="1"/>
      <c r="Q764" s="55">
        <f t="shared" si="286"/>
        <v>0</v>
      </c>
      <c r="R764" s="55">
        <f t="shared" si="287"/>
        <v>0</v>
      </c>
      <c r="T764" s="4" t="s">
        <v>1002</v>
      </c>
    </row>
    <row r="765" spans="1:20" ht="16.5" customHeight="1" thickBot="1" x14ac:dyDescent="0.35">
      <c r="A765" s="57" t="s">
        <v>63</v>
      </c>
      <c r="B765" s="86">
        <f>SUM(B752:B764)</f>
        <v>1261</v>
      </c>
      <c r="C765" s="87">
        <f>SUM(C752:C764)</f>
        <v>1270</v>
      </c>
      <c r="D765" s="87">
        <f>SUM(D752:D764)</f>
        <v>653</v>
      </c>
      <c r="E765" s="59">
        <f t="shared" si="283"/>
        <v>3184</v>
      </c>
      <c r="F765" s="87">
        <f>SUM(F752:F764)</f>
        <v>1765</v>
      </c>
      <c r="G765" s="87">
        <f>SUM(G752:G764)</f>
        <v>1981</v>
      </c>
      <c r="H765" s="87">
        <f>SUM(H752:H764)</f>
        <v>1185</v>
      </c>
      <c r="I765" s="59">
        <f t="shared" si="284"/>
        <v>4931</v>
      </c>
      <c r="J765" s="87">
        <f>SUM(J752:J764)</f>
        <v>1266</v>
      </c>
      <c r="K765" s="87">
        <f>SUM(K752:K764)</f>
        <v>7822</v>
      </c>
      <c r="L765" s="87">
        <f>SUM(L752:L764)</f>
        <v>7151</v>
      </c>
      <c r="M765" s="59">
        <f t="shared" si="285"/>
        <v>16239</v>
      </c>
      <c r="N765" s="87">
        <f>SUM(N752:N764)</f>
        <v>545</v>
      </c>
      <c r="O765" s="87">
        <f>SUM(O752:O764)</f>
        <v>0</v>
      </c>
      <c r="P765" s="87">
        <f>SUM(P752:P764)</f>
        <v>308</v>
      </c>
      <c r="Q765" s="59">
        <f t="shared" si="286"/>
        <v>853</v>
      </c>
      <c r="R765" s="118">
        <f t="shared" si="287"/>
        <v>25207</v>
      </c>
    </row>
    <row r="766" spans="1:20" ht="15.75" customHeight="1" x14ac:dyDescent="0.3">
      <c r="A766" s="15" t="s">
        <v>64</v>
      </c>
      <c r="B766" s="1"/>
      <c r="C766" s="1"/>
      <c r="D766" s="1"/>
      <c r="E766" s="55" t="s">
        <v>7</v>
      </c>
      <c r="F766" s="1"/>
      <c r="G766" s="1"/>
      <c r="H766" s="1"/>
      <c r="I766" s="55" t="s">
        <v>7</v>
      </c>
      <c r="J766" s="1"/>
      <c r="K766" s="1"/>
      <c r="L766" s="1"/>
      <c r="M766" s="55" t="s">
        <v>7</v>
      </c>
      <c r="N766" s="1"/>
      <c r="O766" s="1"/>
      <c r="P766" s="1"/>
      <c r="Q766" s="55" t="s">
        <v>7</v>
      </c>
      <c r="R766" s="55" t="s">
        <v>7</v>
      </c>
    </row>
    <row r="767" spans="1:20" ht="15.75" customHeight="1" x14ac:dyDescent="0.3">
      <c r="A767" s="15" t="s">
        <v>594</v>
      </c>
      <c r="B767" s="1"/>
      <c r="C767" s="1"/>
      <c r="D767" s="1"/>
      <c r="E767" s="55" t="s">
        <v>7</v>
      </c>
      <c r="F767" s="1"/>
      <c r="G767" s="1"/>
      <c r="H767" s="1"/>
      <c r="I767" s="55" t="s">
        <v>7</v>
      </c>
      <c r="J767" s="1"/>
      <c r="K767" s="1"/>
      <c r="L767" s="1"/>
      <c r="M767" s="55" t="s">
        <v>7</v>
      </c>
      <c r="N767" s="1"/>
      <c r="O767" s="1"/>
      <c r="P767" s="1"/>
      <c r="Q767" s="55" t="s">
        <v>7</v>
      </c>
      <c r="R767" s="55" t="s">
        <v>7</v>
      </c>
    </row>
    <row r="768" spans="1:20" ht="15.75" customHeight="1" x14ac:dyDescent="0.3">
      <c r="A768" s="15" t="s">
        <v>67</v>
      </c>
      <c r="B768" s="1"/>
      <c r="C768" s="1"/>
      <c r="D768" s="1"/>
      <c r="E768" s="55" t="s">
        <v>7</v>
      </c>
      <c r="F768" s="1"/>
      <c r="G768" s="1"/>
      <c r="H768" s="1"/>
      <c r="I768" s="55" t="s">
        <v>7</v>
      </c>
      <c r="J768" s="1"/>
      <c r="K768" s="1"/>
      <c r="L768" s="1"/>
      <c r="M768" s="55" t="s">
        <v>7</v>
      </c>
      <c r="N768" s="1"/>
      <c r="O768" s="1"/>
      <c r="P768" s="1"/>
      <c r="Q768" s="55" t="s">
        <v>7</v>
      </c>
      <c r="R768" s="55" t="s">
        <v>7</v>
      </c>
    </row>
    <row r="769" spans="1:18" ht="15.75" customHeight="1" x14ac:dyDescent="0.3">
      <c r="A769" s="71" t="s">
        <v>776</v>
      </c>
      <c r="B769" s="1"/>
      <c r="C769" s="1"/>
      <c r="D769" s="1"/>
      <c r="E769" s="55">
        <f>SUM(B769:D769)</f>
        <v>0</v>
      </c>
      <c r="F769" s="1"/>
      <c r="G769" s="1"/>
      <c r="H769" s="1"/>
      <c r="I769" s="55">
        <f>SUM(F769:H769)</f>
        <v>0</v>
      </c>
      <c r="J769" s="1"/>
      <c r="K769" s="1"/>
      <c r="L769" s="1"/>
      <c r="M769" s="55">
        <f>SUM(J769:L769)</f>
        <v>0</v>
      </c>
      <c r="N769" s="1"/>
      <c r="O769" s="1"/>
      <c r="P769" s="1"/>
      <c r="Q769" s="55">
        <f>SUM(N769:P769)</f>
        <v>0</v>
      </c>
      <c r="R769" s="55">
        <f>+E769+I769+M769+Q769</f>
        <v>0</v>
      </c>
    </row>
    <row r="770" spans="1:18" ht="15.75" customHeight="1" x14ac:dyDescent="0.3">
      <c r="A770" s="71" t="s">
        <v>777</v>
      </c>
      <c r="B770" s="1"/>
      <c r="C770" s="1"/>
      <c r="D770" s="1"/>
      <c r="E770" s="55">
        <f>SUM(B770:D770)</f>
        <v>0</v>
      </c>
      <c r="F770" s="1"/>
      <c r="G770" s="1"/>
      <c r="H770" s="1"/>
      <c r="I770" s="55">
        <f>SUM(F770:H770)</f>
        <v>0</v>
      </c>
      <c r="J770" s="1"/>
      <c r="K770" s="1"/>
      <c r="L770" s="1"/>
      <c r="M770" s="55">
        <f>SUM(J770:L770)</f>
        <v>0</v>
      </c>
      <c r="N770" s="1"/>
      <c r="O770" s="1"/>
      <c r="P770" s="1"/>
      <c r="Q770" s="55">
        <f>SUM(N770:P770)</f>
        <v>0</v>
      </c>
      <c r="R770" s="55">
        <f>+E770+I770+M770+Q770</f>
        <v>0</v>
      </c>
    </row>
    <row r="771" spans="1:18" ht="15.75" customHeight="1" x14ac:dyDescent="0.3">
      <c r="A771" s="71" t="s">
        <v>778</v>
      </c>
      <c r="B771" s="1"/>
      <c r="C771" s="1"/>
      <c r="D771" s="1"/>
      <c r="E771" s="55">
        <f>SUM(B771:D771)</f>
        <v>0</v>
      </c>
      <c r="F771" s="1"/>
      <c r="G771" s="1"/>
      <c r="H771" s="1"/>
      <c r="I771" s="55">
        <f>SUM(F771:H771)</f>
        <v>0</v>
      </c>
      <c r="J771" s="1"/>
      <c r="K771" s="1"/>
      <c r="L771" s="1"/>
      <c r="M771" s="55">
        <f>SUM(J771:L771)</f>
        <v>0</v>
      </c>
      <c r="N771" s="1">
        <v>2902</v>
      </c>
      <c r="O771" s="1">
        <v>98</v>
      </c>
      <c r="P771" s="1">
        <v>2400</v>
      </c>
      <c r="Q771" s="55">
        <f>SUM(N771:P771)</f>
        <v>5400</v>
      </c>
      <c r="R771" s="55">
        <f>+E771+I771+M771+Q771</f>
        <v>5400</v>
      </c>
    </row>
    <row r="772" spans="1:18" ht="15.75" customHeight="1" x14ac:dyDescent="0.3">
      <c r="A772" s="71" t="s">
        <v>779</v>
      </c>
      <c r="B772" s="1"/>
      <c r="C772" s="1"/>
      <c r="D772" s="1"/>
      <c r="E772" s="55">
        <f>SUM(B772:D772)</f>
        <v>0</v>
      </c>
      <c r="F772" s="1"/>
      <c r="G772" s="1"/>
      <c r="H772" s="1"/>
      <c r="I772" s="55">
        <f>SUM(F772:H772)</f>
        <v>0</v>
      </c>
      <c r="J772" s="1"/>
      <c r="K772" s="1"/>
      <c r="L772" s="1"/>
      <c r="M772" s="55">
        <f>SUM(J772:L772)</f>
        <v>0</v>
      </c>
      <c r="N772" s="1"/>
      <c r="O772" s="1"/>
      <c r="P772" s="1"/>
      <c r="Q772" s="55">
        <f>SUM(N772:P772)</f>
        <v>0</v>
      </c>
      <c r="R772" s="55">
        <f>+E772+I772+M772+Q772</f>
        <v>0</v>
      </c>
    </row>
    <row r="773" spans="1:18" ht="15.75" customHeight="1" x14ac:dyDescent="0.3">
      <c r="A773" s="15" t="s">
        <v>600</v>
      </c>
      <c r="B773" s="1"/>
      <c r="C773" s="1"/>
      <c r="D773" s="1"/>
      <c r="E773" s="55" t="s">
        <v>7</v>
      </c>
      <c r="F773" s="1"/>
      <c r="G773" s="1"/>
      <c r="H773" s="1"/>
      <c r="I773" s="55" t="s">
        <v>7</v>
      </c>
      <c r="J773" s="1"/>
      <c r="K773" s="1"/>
      <c r="L773" s="1"/>
      <c r="M773" s="55" t="s">
        <v>7</v>
      </c>
      <c r="N773" s="1"/>
      <c r="O773" s="1"/>
      <c r="P773" s="1"/>
      <c r="Q773" s="55" t="s">
        <v>7</v>
      </c>
      <c r="R773" s="55" t="s">
        <v>7</v>
      </c>
    </row>
    <row r="774" spans="1:18" ht="15.75" customHeight="1" thickBot="1" x14ac:dyDescent="0.35">
      <c r="A774" s="15" t="s">
        <v>70</v>
      </c>
      <c r="B774" s="1"/>
      <c r="C774" s="1"/>
      <c r="D774" s="1"/>
      <c r="E774" s="55" t="s">
        <v>7</v>
      </c>
      <c r="F774" s="1"/>
      <c r="G774" s="1"/>
      <c r="H774" s="1"/>
      <c r="I774" s="55" t="s">
        <v>7</v>
      </c>
      <c r="J774" s="1"/>
      <c r="K774" s="1"/>
      <c r="L774" s="1"/>
      <c r="M774" s="55" t="s">
        <v>7</v>
      </c>
      <c r="N774" s="1"/>
      <c r="O774" s="1"/>
      <c r="P774" s="1"/>
      <c r="Q774" s="55" t="s">
        <v>7</v>
      </c>
      <c r="R774" s="55" t="s">
        <v>7</v>
      </c>
    </row>
    <row r="775" spans="1:18" ht="16.5" customHeight="1" thickBot="1" x14ac:dyDescent="0.35">
      <c r="A775" s="57" t="s">
        <v>71</v>
      </c>
      <c r="B775" s="58">
        <f>SUM(B773:B774)</f>
        <v>0</v>
      </c>
      <c r="C775" s="58">
        <f>SUM(C773:C774)</f>
        <v>0</v>
      </c>
      <c r="D775" s="58">
        <f>SUM(D773:D774)</f>
        <v>0</v>
      </c>
      <c r="E775" s="60">
        <f>SUM(B775:D775)</f>
        <v>0</v>
      </c>
      <c r="F775" s="58">
        <f>SUM(F773:F774)</f>
        <v>0</v>
      </c>
      <c r="G775" s="58">
        <f>SUM(G773:G774)</f>
        <v>0</v>
      </c>
      <c r="H775" s="58">
        <f>SUM(H773:H774)</f>
        <v>0</v>
      </c>
      <c r="I775" s="60">
        <f>SUM(F775:H775)</f>
        <v>0</v>
      </c>
      <c r="J775" s="58">
        <f>SUM(J773:J774)</f>
        <v>0</v>
      </c>
      <c r="K775" s="58">
        <f>SUM(K773:K774)</f>
        <v>0</v>
      </c>
      <c r="L775" s="58">
        <f>SUM(L773:L774)</f>
        <v>0</v>
      </c>
      <c r="M775" s="60">
        <f>SUM(J775:L775)</f>
        <v>0</v>
      </c>
      <c r="N775" s="58">
        <f>SUM(N773:N774)</f>
        <v>0</v>
      </c>
      <c r="O775" s="58">
        <f>SUM(O773:O774)</f>
        <v>0</v>
      </c>
      <c r="P775" s="58">
        <f>SUM(P773:P774)</f>
        <v>0</v>
      </c>
      <c r="Q775" s="60">
        <f>SUM(N775:P775)</f>
        <v>0</v>
      </c>
      <c r="R775" s="59">
        <f>+E775+I775+M775+Q775</f>
        <v>0</v>
      </c>
    </row>
    <row r="776" spans="1:18" ht="16.5" customHeight="1" thickBot="1" x14ac:dyDescent="0.35">
      <c r="A776" s="114" t="s">
        <v>72</v>
      </c>
      <c r="B776" s="86">
        <f>SUM(B766:B774)</f>
        <v>0</v>
      </c>
      <c r="C776" s="87">
        <f>SUM(C766:C774)</f>
        <v>0</v>
      </c>
      <c r="D776" s="118">
        <f>SUM(D766:D774)</f>
        <v>0</v>
      </c>
      <c r="E776" s="60">
        <f>SUM(B776:D776)</f>
        <v>0</v>
      </c>
      <c r="F776" s="87">
        <f>SUM(F766:F774)</f>
        <v>0</v>
      </c>
      <c r="G776" s="87">
        <f>SUM(G766:G774)</f>
        <v>0</v>
      </c>
      <c r="H776" s="87">
        <f>SUM(H766:H774)</f>
        <v>0</v>
      </c>
      <c r="I776" s="60">
        <f>SUM(F776:H776)</f>
        <v>0</v>
      </c>
      <c r="J776" s="87">
        <f>SUM(J766:J774)</f>
        <v>0</v>
      </c>
      <c r="K776" s="87">
        <f>SUM(K766:K774)</f>
        <v>0</v>
      </c>
      <c r="L776" s="87">
        <f>SUM(L766:L774)</f>
        <v>0</v>
      </c>
      <c r="M776" s="60">
        <f>SUM(J776:L776)</f>
        <v>0</v>
      </c>
      <c r="N776" s="87">
        <f>SUM(N766:N774)</f>
        <v>2902</v>
      </c>
      <c r="O776" s="87">
        <f>SUM(O766:O774)</f>
        <v>98</v>
      </c>
      <c r="P776" s="87">
        <f>SUM(P766:P774)</f>
        <v>2400</v>
      </c>
      <c r="Q776" s="60">
        <f>SUM(N776:P776)</f>
        <v>5400</v>
      </c>
      <c r="R776" s="59">
        <f>+E776+I776+M776+Q776</f>
        <v>5400</v>
      </c>
    </row>
    <row r="777" spans="1:18" ht="16.5" customHeight="1" thickBot="1" x14ac:dyDescent="0.35">
      <c r="A777" s="57" t="s">
        <v>73</v>
      </c>
      <c r="B777" s="90">
        <f>+B747+B751+B765+B776</f>
        <v>5609</v>
      </c>
      <c r="C777" s="58">
        <f>+C747+C751+C765+C776</f>
        <v>13236</v>
      </c>
      <c r="D777" s="58">
        <f>+D747+D751+D765+D776</f>
        <v>16394</v>
      </c>
      <c r="E777" s="59">
        <f>SUM(B777:D777)</f>
        <v>35239</v>
      </c>
      <c r="F777" s="58">
        <f>+F747+F751+F765+F776</f>
        <v>17067</v>
      </c>
      <c r="G777" s="58">
        <f>+G747+G751+G765+G776</f>
        <v>17613</v>
      </c>
      <c r="H777" s="58">
        <f>+H747+H751+H765+H776</f>
        <v>16316</v>
      </c>
      <c r="I777" s="59">
        <f>SUM(F777:H777)</f>
        <v>50996</v>
      </c>
      <c r="J777" s="58">
        <f>+J747+J751+J765+J776</f>
        <v>17018</v>
      </c>
      <c r="K777" s="58">
        <f>+K747+K751+K765+K776</f>
        <v>14057</v>
      </c>
      <c r="L777" s="58">
        <f>+L747+L751+L765+L776</f>
        <v>12838</v>
      </c>
      <c r="M777" s="59">
        <f>SUM(J777:L777)</f>
        <v>43913</v>
      </c>
      <c r="N777" s="58">
        <f>+N747+N751+N765+N776</f>
        <v>6243</v>
      </c>
      <c r="O777" s="58">
        <f>+O747+O751+O765+O776</f>
        <v>860</v>
      </c>
      <c r="P777" s="58">
        <f>+P747+P751+P765+P776</f>
        <v>4782</v>
      </c>
      <c r="Q777" s="59">
        <f>SUM(N777:P777)</f>
        <v>11885</v>
      </c>
      <c r="R777" s="81">
        <f>+E777+I777+M777+Q777</f>
        <v>142033</v>
      </c>
    </row>
    <row r="778" spans="1:18" ht="16.5" customHeight="1" thickBot="1" x14ac:dyDescent="0.35">
      <c r="A778" s="62" t="s">
        <v>40</v>
      </c>
      <c r="B778" s="21">
        <v>22</v>
      </c>
      <c r="C778" s="21">
        <v>24</v>
      </c>
      <c r="D778" s="21">
        <v>31</v>
      </c>
      <c r="E778" s="59">
        <f>SUM(B778:D778)</f>
        <v>77</v>
      </c>
      <c r="F778" s="21">
        <v>40</v>
      </c>
      <c r="G778" s="21">
        <v>45</v>
      </c>
      <c r="H778" s="21">
        <v>48</v>
      </c>
      <c r="I778" s="59">
        <f>SUM(F778:H778)</f>
        <v>133</v>
      </c>
      <c r="J778" s="21">
        <v>42</v>
      </c>
      <c r="K778" s="21">
        <v>39</v>
      </c>
      <c r="L778" s="21">
        <v>38</v>
      </c>
      <c r="M778" s="59">
        <f>SUM(J778:L778)</f>
        <v>119</v>
      </c>
      <c r="N778" s="21">
        <v>32</v>
      </c>
      <c r="O778" s="21">
        <v>25</v>
      </c>
      <c r="P778" s="21">
        <v>21</v>
      </c>
      <c r="Q778" s="59">
        <f>SUM(N778:P778)</f>
        <v>78</v>
      </c>
      <c r="R778" s="60">
        <f>+E778+I778+M778+Q778</f>
        <v>407</v>
      </c>
    </row>
    <row r="779" spans="1:18" ht="16.5" customHeight="1" thickBot="1" x14ac:dyDescent="0.35">
      <c r="A779" s="41"/>
      <c r="B779" s="36"/>
      <c r="C779" s="36"/>
      <c r="D779" s="36"/>
      <c r="E779" s="52"/>
      <c r="F779" s="36"/>
      <c r="G779" s="36"/>
      <c r="H779" s="36"/>
      <c r="I779" s="52"/>
      <c r="J779" s="36"/>
      <c r="K779" s="36"/>
      <c r="L779" s="36"/>
      <c r="M779" s="52"/>
      <c r="N779" s="36"/>
      <c r="O779" s="36"/>
      <c r="P779" s="36"/>
      <c r="Q779" s="52"/>
      <c r="R779" s="42"/>
    </row>
    <row r="780" spans="1:18" ht="15.75" customHeight="1" x14ac:dyDescent="0.3">
      <c r="A780" s="15" t="s">
        <v>314</v>
      </c>
      <c r="B780" s="1">
        <f>+SUM(B777:B778)</f>
        <v>5631</v>
      </c>
      <c r="C780" s="1">
        <f>+SUM(C777:C778)</f>
        <v>13260</v>
      </c>
      <c r="D780" s="1">
        <f>+SUM(D777:D778)</f>
        <v>16425</v>
      </c>
      <c r="E780" s="60">
        <f>SUM(B780:D780)</f>
        <v>35316</v>
      </c>
      <c r="F780" s="1">
        <f>+SUM(F777:F778)</f>
        <v>17107</v>
      </c>
      <c r="G780" s="1">
        <f>+SUM(G777:G778)</f>
        <v>17658</v>
      </c>
      <c r="H780" s="1">
        <f>+SUM(H777:H778)</f>
        <v>16364</v>
      </c>
      <c r="I780" s="60">
        <f>SUM(F780:H780)</f>
        <v>51129</v>
      </c>
      <c r="J780" s="1">
        <f>+SUM(J777:J778)</f>
        <v>17060</v>
      </c>
      <c r="K780" s="1">
        <f>+SUM(K777:K778)</f>
        <v>14096</v>
      </c>
      <c r="L780" s="1">
        <f>+SUM(L777:L778)</f>
        <v>12876</v>
      </c>
      <c r="M780" s="60">
        <f>SUM(J780:L780)</f>
        <v>44032</v>
      </c>
      <c r="N780" s="1">
        <f>+SUM(N777:N778)</f>
        <v>6275</v>
      </c>
      <c r="O780" s="1">
        <f>+SUM(O777:O778)</f>
        <v>885</v>
      </c>
      <c r="P780" s="1">
        <f>+SUM(P777:P778)</f>
        <v>4803</v>
      </c>
      <c r="Q780" s="60">
        <f>SUM(N780:P780)</f>
        <v>11963</v>
      </c>
      <c r="R780" s="60">
        <f>+E780+I780+M780+Q780</f>
        <v>142440</v>
      </c>
    </row>
    <row r="781" spans="1:18" ht="15.75" customHeight="1" x14ac:dyDescent="0.3">
      <c r="A781" s="15" t="s">
        <v>42</v>
      </c>
      <c r="B781" s="1">
        <f>(B780/B10)/1.983</f>
        <v>91.601190766678059</v>
      </c>
      <c r="C781" s="1">
        <f>(C780/C10)/1.983</f>
        <v>230.58062496739527</v>
      </c>
      <c r="D781" s="1">
        <f>(D780/D10)/1.983</f>
        <v>267.19047386657559</v>
      </c>
      <c r="E781" s="55" t="s">
        <v>7</v>
      </c>
      <c r="F781" s="1">
        <f>(F780/F10)/1.983</f>
        <v>287.56093461085896</v>
      </c>
      <c r="G781" s="1">
        <f>(G780/G10)/1.983</f>
        <v>287.24806012395686</v>
      </c>
      <c r="H781" s="1">
        <f>(H780/H10)/1.983</f>
        <v>275.07144057824843</v>
      </c>
      <c r="I781" s="55" t="s">
        <v>7</v>
      </c>
      <c r="J781" s="1">
        <f>(J780/J10)/1.983</f>
        <v>277.5202121256487</v>
      </c>
      <c r="K781" s="1">
        <f>(K780/K10)/1.983</f>
        <v>229.30392204707755</v>
      </c>
      <c r="L781" s="1">
        <f>(L780/L10)/1.983</f>
        <v>216.43973777105396</v>
      </c>
      <c r="M781" s="55" t="s">
        <v>7</v>
      </c>
      <c r="N781" s="1">
        <f>(N780/N10)/1.983</f>
        <v>102.0773347648561</v>
      </c>
      <c r="O781" s="1">
        <f>(O780/O10)/1.983</f>
        <v>14.876449823499748</v>
      </c>
      <c r="P781" s="1">
        <f>(P780/P10)/1.983</f>
        <v>78.131862769020543</v>
      </c>
      <c r="Q781" s="55" t="s">
        <v>7</v>
      </c>
      <c r="R781" s="55" t="s">
        <v>7</v>
      </c>
    </row>
    <row r="782" spans="1:18" ht="15.75" customHeight="1" x14ac:dyDescent="0.3">
      <c r="A782" s="15" t="s">
        <v>351</v>
      </c>
      <c r="B782" s="1">
        <f>B780+B792</f>
        <v>9187</v>
      </c>
      <c r="C782" s="1">
        <f>C780+C792</f>
        <v>17094</v>
      </c>
      <c r="D782" s="1">
        <f>D780+D792</f>
        <v>20337</v>
      </c>
      <c r="E782" s="55">
        <f>SUM(B782:D782)</f>
        <v>46618</v>
      </c>
      <c r="F782" s="1">
        <f>F780+F792</f>
        <v>21384</v>
      </c>
      <c r="G782" s="1">
        <f>G780+G792</f>
        <v>21616</v>
      </c>
      <c r="H782" s="1">
        <f>H780+H792</f>
        <v>20658</v>
      </c>
      <c r="I782" s="55">
        <f>SUM(F782:H782)</f>
        <v>63658</v>
      </c>
      <c r="J782" s="1">
        <f>J780+J792</f>
        <v>21158</v>
      </c>
      <c r="K782" s="1">
        <f>K780+K792</f>
        <v>18016</v>
      </c>
      <c r="L782" s="1">
        <f>L780+L792</f>
        <v>16977</v>
      </c>
      <c r="M782" s="55">
        <f>SUM(J782:L782)</f>
        <v>56151</v>
      </c>
      <c r="N782" s="1">
        <f>N780+N792</f>
        <v>10017</v>
      </c>
      <c r="O782" s="1">
        <f>O780+O792</f>
        <v>2548</v>
      </c>
      <c r="P782" s="1">
        <f>P780+P792</f>
        <v>6743</v>
      </c>
      <c r="Q782" s="55">
        <f>SUM(N782:P782)</f>
        <v>19308</v>
      </c>
      <c r="R782" s="55">
        <f>+E782+I782+M782+Q782</f>
        <v>185735</v>
      </c>
    </row>
    <row r="783" spans="1:18" ht="16.5" customHeight="1" thickBot="1" x14ac:dyDescent="0.35">
      <c r="A783" s="20" t="s">
        <v>352</v>
      </c>
      <c r="B783" s="21">
        <f>(B782/B10)/1.983</f>
        <v>149.44772501748736</v>
      </c>
      <c r="C783" s="21">
        <f>(C782/C10)/1.983</f>
        <v>297.25076947154258</v>
      </c>
      <c r="D783" s="21">
        <f>(D782/D10)/1.983</f>
        <v>330.82816846420377</v>
      </c>
      <c r="E783" s="81" t="s">
        <v>7</v>
      </c>
      <c r="F783" s="21">
        <f>(F782/F10)/1.983</f>
        <v>359.45537065052946</v>
      </c>
      <c r="G783" s="21">
        <f>(G782/G10)/1.983</f>
        <v>351.63405072145491</v>
      </c>
      <c r="H783" s="21">
        <f>(H782/H10)/1.983</f>
        <v>347.25163893091275</v>
      </c>
      <c r="I783" s="81" t="s">
        <v>7</v>
      </c>
      <c r="J783" s="21">
        <f>(J782/J10)/1.983</f>
        <v>344.18362533144631</v>
      </c>
      <c r="K783" s="21">
        <f>(K782/K10)/1.983</f>
        <v>293.07175507946573</v>
      </c>
      <c r="L783" s="21">
        <f>(L782/L10)/1.983</f>
        <v>285.37569339384765</v>
      </c>
      <c r="M783" s="81" t="s">
        <v>7</v>
      </c>
      <c r="N783" s="21">
        <f>(N782/N10)/1.983</f>
        <v>162.94958762383484</v>
      </c>
      <c r="O783" s="21">
        <f>(O782/O10)/1.983</f>
        <v>42.83072785342074</v>
      </c>
      <c r="P783" s="21">
        <f>(P782/P10)/1.983</f>
        <v>109.69043319831471</v>
      </c>
      <c r="Q783" s="81" t="s">
        <v>7</v>
      </c>
      <c r="R783" s="81" t="s">
        <v>7</v>
      </c>
    </row>
    <row r="784" spans="1:18" ht="15.75" customHeight="1" x14ac:dyDescent="0.3">
      <c r="A784" s="2"/>
      <c r="B784" s="1"/>
      <c r="C784" s="1"/>
      <c r="D784" s="1"/>
      <c r="E784" s="1"/>
      <c r="F784" s="1"/>
      <c r="G784" s="1"/>
      <c r="H784" s="1"/>
      <c r="I784" s="1"/>
      <c r="J784" s="1"/>
      <c r="K784" s="1"/>
      <c r="L784" s="1"/>
      <c r="M784" s="1"/>
      <c r="N784" s="1"/>
      <c r="O784" s="1"/>
      <c r="P784" s="1"/>
      <c r="Q784" s="1"/>
      <c r="R784" s="2"/>
    </row>
    <row r="785" spans="1:18" ht="15.75" customHeight="1" thickBot="1" x14ac:dyDescent="0.35">
      <c r="A785" s="2"/>
      <c r="B785" s="1"/>
      <c r="C785" s="1"/>
      <c r="D785" s="1"/>
      <c r="E785" s="1"/>
      <c r="F785" s="1"/>
      <c r="G785" s="1"/>
      <c r="H785" s="1"/>
      <c r="I785" s="1"/>
      <c r="J785" s="1"/>
      <c r="K785" s="1"/>
      <c r="L785" s="1"/>
      <c r="M785" s="1"/>
      <c r="N785" s="1"/>
      <c r="O785" s="1"/>
      <c r="P785" s="1"/>
      <c r="Q785" s="1"/>
      <c r="R785" s="2"/>
    </row>
    <row r="786" spans="1:18" ht="16.5" customHeight="1" thickBot="1" x14ac:dyDescent="0.35">
      <c r="A786" s="124" t="s">
        <v>353</v>
      </c>
      <c r="B786" s="30" t="s">
        <v>8</v>
      </c>
      <c r="C786" s="31" t="s">
        <v>9</v>
      </c>
      <c r="D786" s="31" t="s">
        <v>10</v>
      </c>
      <c r="E786" s="32" t="s">
        <v>11</v>
      </c>
      <c r="F786" s="31" t="s">
        <v>12</v>
      </c>
      <c r="G786" s="31" t="s">
        <v>13</v>
      </c>
      <c r="H786" s="31" t="s">
        <v>14</v>
      </c>
      <c r="I786" s="33" t="s">
        <v>15</v>
      </c>
      <c r="J786" s="31" t="s">
        <v>16</v>
      </c>
      <c r="K786" s="31" t="s">
        <v>17</v>
      </c>
      <c r="L786" s="31" t="s">
        <v>18</v>
      </c>
      <c r="M786" s="33" t="s">
        <v>19</v>
      </c>
      <c r="N786" s="31" t="s">
        <v>20</v>
      </c>
      <c r="O786" s="31" t="s">
        <v>21</v>
      </c>
      <c r="P786" s="31" t="s">
        <v>22</v>
      </c>
      <c r="Q786" s="33" t="s">
        <v>23</v>
      </c>
      <c r="R786" s="34" t="s">
        <v>24</v>
      </c>
    </row>
    <row r="787" spans="1:18" ht="16.5" customHeight="1" thickBot="1" x14ac:dyDescent="0.35">
      <c r="A787" s="41"/>
      <c r="B787" s="36"/>
      <c r="C787" s="36"/>
      <c r="D787" s="36"/>
      <c r="E787" s="37"/>
      <c r="F787" s="36"/>
      <c r="G787" s="36"/>
      <c r="H787" s="36"/>
      <c r="I787" s="37"/>
      <c r="J787" s="36"/>
      <c r="K787" s="36"/>
      <c r="L787" s="36"/>
      <c r="M787" s="37"/>
      <c r="N787" s="36"/>
      <c r="O787" s="36"/>
      <c r="P787" s="36"/>
      <c r="Q787" s="37"/>
      <c r="R787" s="41"/>
    </row>
    <row r="788" spans="1:18" ht="16.5" customHeight="1" thickBot="1" x14ac:dyDescent="0.35">
      <c r="A788" s="39" t="s">
        <v>40</v>
      </c>
      <c r="B788" s="21">
        <v>2</v>
      </c>
      <c r="C788" s="21">
        <v>3</v>
      </c>
      <c r="D788" s="21">
        <v>5</v>
      </c>
      <c r="E788" s="55">
        <f>SUM(B788:D788)</f>
        <v>10</v>
      </c>
      <c r="F788" s="21">
        <v>7</v>
      </c>
      <c r="G788" s="21">
        <v>8</v>
      </c>
      <c r="H788" s="21">
        <v>9</v>
      </c>
      <c r="I788" s="55">
        <f>SUM(F788:H788)</f>
        <v>24</v>
      </c>
      <c r="J788" s="21">
        <v>7</v>
      </c>
      <c r="K788" s="21">
        <v>6</v>
      </c>
      <c r="L788" s="21">
        <v>6</v>
      </c>
      <c r="M788" s="55">
        <f>SUM(J788:L788)</f>
        <v>19</v>
      </c>
      <c r="N788" s="21">
        <v>5</v>
      </c>
      <c r="O788" s="21">
        <v>3</v>
      </c>
      <c r="P788" s="21">
        <v>2</v>
      </c>
      <c r="Q788" s="55">
        <f>SUM(N788:P788)</f>
        <v>10</v>
      </c>
      <c r="R788" s="60">
        <f>+E788+I788+M788+Q788</f>
        <v>63</v>
      </c>
    </row>
    <row r="789" spans="1:18" ht="16.5" customHeight="1" thickBot="1" x14ac:dyDescent="0.35">
      <c r="A789" s="41"/>
      <c r="B789" s="36"/>
      <c r="C789" s="36"/>
      <c r="D789" s="36"/>
      <c r="E789" s="52"/>
      <c r="F789" s="36"/>
      <c r="G789" s="36"/>
      <c r="H789" s="36"/>
      <c r="I789" s="52"/>
      <c r="J789" s="36"/>
      <c r="K789" s="36"/>
      <c r="L789" s="36"/>
      <c r="M789" s="52"/>
      <c r="N789" s="36"/>
      <c r="O789" s="36"/>
      <c r="P789" s="36"/>
      <c r="Q789" s="52"/>
      <c r="R789" s="42"/>
    </row>
    <row r="790" spans="1:18" ht="15.75" customHeight="1" x14ac:dyDescent="0.3">
      <c r="A790" s="15" t="s">
        <v>314</v>
      </c>
      <c r="B790" s="1">
        <f>B788</f>
        <v>2</v>
      </c>
      <c r="C790" s="1">
        <f>C788</f>
        <v>3</v>
      </c>
      <c r="D790" s="1">
        <f>D788</f>
        <v>5</v>
      </c>
      <c r="E790" s="60">
        <f>SUM(B790:D790)</f>
        <v>10</v>
      </c>
      <c r="F790" s="1">
        <f>F788</f>
        <v>7</v>
      </c>
      <c r="G790" s="1">
        <f>G788</f>
        <v>8</v>
      </c>
      <c r="H790" s="1">
        <f>H788</f>
        <v>9</v>
      </c>
      <c r="I790" s="60">
        <f>SUM(F790:H790)</f>
        <v>24</v>
      </c>
      <c r="J790" s="1">
        <f>J788</f>
        <v>7</v>
      </c>
      <c r="K790" s="1">
        <f>K788</f>
        <v>6</v>
      </c>
      <c r="L790" s="1">
        <f>L788</f>
        <v>6</v>
      </c>
      <c r="M790" s="60">
        <f>SUM(J790:L790)</f>
        <v>19</v>
      </c>
      <c r="N790" s="1">
        <f>N788</f>
        <v>5</v>
      </c>
      <c r="O790" s="1">
        <f>O788</f>
        <v>3</v>
      </c>
      <c r="P790" s="1">
        <f>P788</f>
        <v>2</v>
      </c>
      <c r="Q790" s="60">
        <f>SUM(N790:P790)</f>
        <v>10</v>
      </c>
      <c r="R790" s="60">
        <f>+E790+I790+M790+Q790</f>
        <v>63</v>
      </c>
    </row>
    <row r="791" spans="1:18" ht="15.75" customHeight="1" x14ac:dyDescent="0.3">
      <c r="A791" s="15" t="s">
        <v>42</v>
      </c>
      <c r="B791" s="1">
        <f>(B790/B10)/1.983</f>
        <v>3.2534608689993978E-2</v>
      </c>
      <c r="C791" s="1">
        <f>(C790/C10)/1.983</f>
        <v>5.2167562209817935E-2</v>
      </c>
      <c r="D791" s="1">
        <f>(D790/D10)/1.983</f>
        <v>8.1336521724984942E-2</v>
      </c>
      <c r="E791" s="55" t="s">
        <v>7</v>
      </c>
      <c r="F791" s="1">
        <f>(F790/F10)/1.983</f>
        <v>0.1176668347621449</v>
      </c>
      <c r="G791" s="1">
        <f>(G790/G10)/1.983</f>
        <v>0.13013843475997591</v>
      </c>
      <c r="H791" s="1">
        <f>(H790/H10)/1.983</f>
        <v>0.15128593040847199</v>
      </c>
      <c r="I791" s="55" t="s">
        <v>7</v>
      </c>
      <c r="J791" s="1">
        <f>(J790/J10)/1.983</f>
        <v>0.11387113041497893</v>
      </c>
      <c r="K791" s="1">
        <f>(K790/K10)/1.983</f>
        <v>9.7603826069981942E-2</v>
      </c>
      <c r="L791" s="1">
        <f>(L790/L10)/1.983</f>
        <v>0.10085728693898134</v>
      </c>
      <c r="M791" s="55" t="s">
        <v>7</v>
      </c>
      <c r="N791" s="1">
        <f>(N790/N10)/1.983</f>
        <v>8.1336521724984942E-2</v>
      </c>
      <c r="O791" s="1">
        <f>(O790/O10)/1.983</f>
        <v>5.0428643469490671E-2</v>
      </c>
      <c r="P791" s="1">
        <f>(P790/P10)/1.983</f>
        <v>3.2534608689993978E-2</v>
      </c>
      <c r="Q791" s="55" t="s">
        <v>7</v>
      </c>
      <c r="R791" s="55" t="s">
        <v>7</v>
      </c>
    </row>
    <row r="792" spans="1:18" ht="15.75" customHeight="1" x14ac:dyDescent="0.3">
      <c r="A792" s="15" t="s">
        <v>354</v>
      </c>
      <c r="B792" s="1">
        <f>B790+B826+B877-B821</f>
        <v>3556</v>
      </c>
      <c r="C792" s="1">
        <f>C790+C826+C877-C821</f>
        <v>3834</v>
      </c>
      <c r="D792" s="1">
        <f>D790+D826+D877-D821</f>
        <v>3912</v>
      </c>
      <c r="E792" s="55">
        <f>SUM(B792:D792)</f>
        <v>11302</v>
      </c>
      <c r="F792" s="1">
        <f>F790+F826+F877-F821</f>
        <v>4277</v>
      </c>
      <c r="G792" s="1">
        <f>G790+G826+G877-G821</f>
        <v>3958</v>
      </c>
      <c r="H792" s="1">
        <f>H790+H826+H877-H821</f>
        <v>4294</v>
      </c>
      <c r="I792" s="55">
        <f>SUM(F792:H792)</f>
        <v>12529</v>
      </c>
      <c r="J792" s="1">
        <f>J790+J826+J877-J821</f>
        <v>4098</v>
      </c>
      <c r="K792" s="1">
        <f>K790+K826+K877-K821</f>
        <v>3920</v>
      </c>
      <c r="L792" s="1">
        <f>L790+L826+L877-L821</f>
        <v>4101</v>
      </c>
      <c r="M792" s="55">
        <f>SUM(J792:L792)</f>
        <v>12119</v>
      </c>
      <c r="N792" s="1">
        <f>N790+N826+N877-N821</f>
        <v>3742</v>
      </c>
      <c r="O792" s="1">
        <f>O790+O826+O877-O821</f>
        <v>1663</v>
      </c>
      <c r="P792" s="1">
        <f>P790+P826+P877-P821</f>
        <v>1940</v>
      </c>
      <c r="Q792" s="55">
        <f>SUM(N792:P792)</f>
        <v>7345</v>
      </c>
      <c r="R792" s="55">
        <f>+E792+I792+M792+Q792</f>
        <v>43295</v>
      </c>
    </row>
    <row r="793" spans="1:18" ht="16.5" customHeight="1" thickBot="1" x14ac:dyDescent="0.35">
      <c r="A793" s="20" t="s">
        <v>355</v>
      </c>
      <c r="B793" s="21">
        <f>(B792/B10)/1.983</f>
        <v>57.846534250809292</v>
      </c>
      <c r="C793" s="21">
        <f>(C792/C10)/1.983</f>
        <v>66.670144504147316</v>
      </c>
      <c r="D793" s="21">
        <f>(D792/D10)/1.983</f>
        <v>63.637694597628219</v>
      </c>
      <c r="E793" s="81" t="s">
        <v>7</v>
      </c>
      <c r="F793" s="21">
        <f>(F792/F10)/1.983</f>
        <v>71.894436039670524</v>
      </c>
      <c r="G793" s="21">
        <f>(G792/G10)/1.983</f>
        <v>64.385990597498079</v>
      </c>
      <c r="H793" s="21">
        <f>(H792/H10)/1.983</f>
        <v>72.180198352664306</v>
      </c>
      <c r="I793" s="81" t="s">
        <v>7</v>
      </c>
      <c r="J793" s="21">
        <f>(J792/J10)/1.983</f>
        <v>66.663413205797667</v>
      </c>
      <c r="K793" s="21">
        <f>(K792/K10)/1.983</f>
        <v>63.767833032388204</v>
      </c>
      <c r="L793" s="21">
        <f>(L792/L10)/1.983</f>
        <v>68.935955622793742</v>
      </c>
      <c r="M793" s="81" t="s">
        <v>7</v>
      </c>
      <c r="N793" s="21">
        <f>(N792/N10)/1.983</f>
        <v>60.872252858978733</v>
      </c>
      <c r="O793" s="21">
        <f>(O792/O10)/1.983</f>
        <v>27.954278029920992</v>
      </c>
      <c r="P793" s="21">
        <f>(P792/P10)/1.983</f>
        <v>31.558570429294161</v>
      </c>
      <c r="Q793" s="81" t="s">
        <v>7</v>
      </c>
      <c r="R793" s="81" t="s">
        <v>7</v>
      </c>
    </row>
    <row r="794" spans="1:18" ht="15.75" customHeight="1" x14ac:dyDescent="0.3">
      <c r="A794" s="2"/>
      <c r="B794" s="1"/>
      <c r="C794" s="1"/>
      <c r="D794" s="1"/>
      <c r="E794" s="1"/>
      <c r="F794" s="1"/>
      <c r="G794" s="1"/>
      <c r="H794" s="1"/>
      <c r="I794" s="1"/>
      <c r="J794" s="1"/>
      <c r="K794" s="1"/>
      <c r="L794" s="1"/>
      <c r="M794" s="1"/>
      <c r="N794" s="1"/>
      <c r="O794" s="1"/>
      <c r="P794" s="1"/>
      <c r="Q794" s="1"/>
      <c r="R794" s="2"/>
    </row>
    <row r="795" spans="1:18" ht="15.75" customHeight="1" thickBot="1" x14ac:dyDescent="0.35">
      <c r="A795" s="2"/>
      <c r="B795" s="1"/>
      <c r="C795" s="1"/>
      <c r="D795" s="1"/>
      <c r="E795" s="1"/>
      <c r="F795" s="1"/>
      <c r="G795" s="1"/>
      <c r="H795" s="1"/>
      <c r="I795" s="1"/>
      <c r="J795" s="1"/>
      <c r="K795" s="1"/>
      <c r="L795" s="1"/>
      <c r="M795" s="1"/>
      <c r="N795" s="1"/>
      <c r="O795" s="1"/>
      <c r="P795" s="1"/>
      <c r="Q795" s="1"/>
      <c r="R795" s="2"/>
    </row>
    <row r="796" spans="1:18" ht="16.5" customHeight="1" thickBot="1" x14ac:dyDescent="0.35">
      <c r="A796" s="124" t="s">
        <v>356</v>
      </c>
      <c r="B796" s="30" t="s">
        <v>8</v>
      </c>
      <c r="C796" s="31" t="s">
        <v>9</v>
      </c>
      <c r="D796" s="31" t="s">
        <v>10</v>
      </c>
      <c r="E796" s="33" t="s">
        <v>11</v>
      </c>
      <c r="F796" s="31" t="s">
        <v>12</v>
      </c>
      <c r="G796" s="31" t="s">
        <v>13</v>
      </c>
      <c r="H796" s="31" t="s">
        <v>14</v>
      </c>
      <c r="I796" s="33" t="s">
        <v>15</v>
      </c>
      <c r="J796" s="31" t="s">
        <v>16</v>
      </c>
      <c r="K796" s="31" t="s">
        <v>17</v>
      </c>
      <c r="L796" s="31" t="s">
        <v>18</v>
      </c>
      <c r="M796" s="33" t="s">
        <v>19</v>
      </c>
      <c r="N796" s="31" t="s">
        <v>20</v>
      </c>
      <c r="O796" s="31" t="s">
        <v>21</v>
      </c>
      <c r="P796" s="31" t="s">
        <v>22</v>
      </c>
      <c r="Q796" s="33" t="s">
        <v>23</v>
      </c>
      <c r="R796" s="131" t="s">
        <v>24</v>
      </c>
    </row>
    <row r="797" spans="1:18" ht="16.5" customHeight="1" thickBot="1" x14ac:dyDescent="0.35">
      <c r="A797" s="41"/>
      <c r="B797" s="36"/>
      <c r="C797" s="36"/>
      <c r="D797" s="36"/>
      <c r="E797" s="132"/>
      <c r="F797" s="36"/>
      <c r="G797" s="36"/>
      <c r="H797" s="36"/>
      <c r="I797" s="132"/>
      <c r="J797" s="36"/>
      <c r="K797" s="36"/>
      <c r="L797" s="36"/>
      <c r="M797" s="132"/>
      <c r="N797" s="36"/>
      <c r="O797" s="36"/>
      <c r="P797" s="36"/>
      <c r="Q797" s="132"/>
      <c r="R797" s="38"/>
    </row>
    <row r="798" spans="1:18" ht="15.75" customHeight="1" x14ac:dyDescent="0.3">
      <c r="A798" s="15" t="s">
        <v>48</v>
      </c>
      <c r="B798" s="1" t="s">
        <v>7</v>
      </c>
      <c r="C798" s="1" t="s">
        <v>7</v>
      </c>
      <c r="D798" s="1" t="s">
        <v>7</v>
      </c>
      <c r="E798" s="55" t="s">
        <v>7</v>
      </c>
      <c r="F798" s="1" t="s">
        <v>7</v>
      </c>
      <c r="G798" s="1" t="s">
        <v>7</v>
      </c>
      <c r="H798" s="1" t="s">
        <v>7</v>
      </c>
      <c r="I798" s="55" t="s">
        <v>7</v>
      </c>
      <c r="J798" s="1" t="s">
        <v>7</v>
      </c>
      <c r="K798" s="1" t="s">
        <v>7</v>
      </c>
      <c r="L798" s="1" t="s">
        <v>7</v>
      </c>
      <c r="M798" s="55" t="s">
        <v>7</v>
      </c>
      <c r="N798" s="1" t="s">
        <v>7</v>
      </c>
      <c r="O798" s="1" t="s">
        <v>7</v>
      </c>
      <c r="P798" s="1" t="s">
        <v>7</v>
      </c>
      <c r="Q798" s="55" t="s">
        <v>7</v>
      </c>
      <c r="R798" s="55" t="s">
        <v>7</v>
      </c>
    </row>
    <row r="799" spans="1:18" ht="15.75" customHeight="1" x14ac:dyDescent="0.3">
      <c r="A799" s="15" t="s">
        <v>49</v>
      </c>
      <c r="B799" s="1"/>
      <c r="C799" s="1"/>
      <c r="D799" s="1"/>
      <c r="E799" s="55" t="s">
        <v>7</v>
      </c>
      <c r="F799" s="1"/>
      <c r="G799" s="1"/>
      <c r="H799" s="1"/>
      <c r="I799" s="55" t="s">
        <v>7</v>
      </c>
      <c r="J799" s="1"/>
      <c r="K799" s="1"/>
      <c r="L799" s="1"/>
      <c r="M799" s="55" t="s">
        <v>7</v>
      </c>
      <c r="N799" s="1"/>
      <c r="O799" s="1"/>
      <c r="P799" s="1"/>
      <c r="Q799" s="55" t="s">
        <v>7</v>
      </c>
      <c r="R799" s="55" t="s">
        <v>7</v>
      </c>
    </row>
    <row r="800" spans="1:18" ht="15.75" customHeight="1" x14ac:dyDescent="0.3">
      <c r="A800" s="71" t="s">
        <v>357</v>
      </c>
      <c r="B800" s="1"/>
      <c r="C800" s="1"/>
      <c r="D800" s="1"/>
      <c r="E800" s="55">
        <f>SUM(B800:D800)</f>
        <v>0</v>
      </c>
      <c r="F800" s="1"/>
      <c r="G800" s="1"/>
      <c r="H800" s="1">
        <v>11</v>
      </c>
      <c r="I800" s="55">
        <f>SUM(F800:H800)</f>
        <v>11</v>
      </c>
      <c r="J800" s="1"/>
      <c r="K800" s="1"/>
      <c r="L800" s="1"/>
      <c r="M800" s="55">
        <f>SUM(J800:L800)</f>
        <v>0</v>
      </c>
      <c r="N800" s="1"/>
      <c r="O800" s="1"/>
      <c r="P800" s="1"/>
      <c r="Q800" s="55">
        <f>SUM(N800:P800)</f>
        <v>0</v>
      </c>
      <c r="R800" s="55">
        <f>+E800+I800+M800+Q800</f>
        <v>11</v>
      </c>
    </row>
    <row r="801" spans="1:18" ht="15.75" customHeight="1" x14ac:dyDescent="0.3">
      <c r="A801" s="15" t="s">
        <v>50</v>
      </c>
      <c r="B801" s="1"/>
      <c r="C801" s="1"/>
      <c r="D801" s="1"/>
      <c r="E801" s="55" t="s">
        <v>7</v>
      </c>
      <c r="F801" s="1"/>
      <c r="G801" s="1"/>
      <c r="H801" s="1"/>
      <c r="I801" s="55" t="s">
        <v>7</v>
      </c>
      <c r="J801" s="1"/>
      <c r="K801" s="1"/>
      <c r="L801" s="1"/>
      <c r="M801" s="55" t="s">
        <v>7</v>
      </c>
      <c r="N801" s="1"/>
      <c r="O801" s="1"/>
      <c r="P801" s="1"/>
      <c r="Q801" s="55" t="s">
        <v>7</v>
      </c>
      <c r="R801" s="55" t="s">
        <v>7</v>
      </c>
    </row>
    <row r="802" spans="1:18" ht="15.75" customHeight="1" x14ac:dyDescent="0.3">
      <c r="A802" s="15" t="s">
        <v>1186</v>
      </c>
      <c r="B802" s="1"/>
      <c r="C802" s="1"/>
      <c r="D802" s="1"/>
      <c r="E802" s="55" t="s">
        <v>7</v>
      </c>
      <c r="F802" s="1"/>
      <c r="G802" s="1"/>
      <c r="H802" s="1"/>
      <c r="I802" s="55" t="s">
        <v>7</v>
      </c>
      <c r="J802" s="1"/>
      <c r="K802" s="1"/>
      <c r="L802" s="1"/>
      <c r="M802" s="55" t="s">
        <v>7</v>
      </c>
      <c r="N802" s="1"/>
      <c r="O802" s="1"/>
      <c r="P802" s="1"/>
      <c r="Q802" s="55" t="s">
        <v>7</v>
      </c>
      <c r="R802" s="55" t="s">
        <v>7</v>
      </c>
    </row>
    <row r="803" spans="1:18" ht="15.75" customHeight="1" thickBot="1" x14ac:dyDescent="0.35">
      <c r="A803" s="15" t="s">
        <v>53</v>
      </c>
      <c r="B803" s="1"/>
      <c r="C803" s="1"/>
      <c r="D803" s="1"/>
      <c r="E803" s="55" t="s">
        <v>7</v>
      </c>
      <c r="F803" s="1"/>
      <c r="G803" s="1"/>
      <c r="H803" s="1"/>
      <c r="I803" s="55" t="s">
        <v>7</v>
      </c>
      <c r="J803" s="1"/>
      <c r="K803" s="1"/>
      <c r="L803" s="1"/>
      <c r="M803" s="55" t="s">
        <v>7</v>
      </c>
      <c r="N803" s="1"/>
      <c r="O803" s="1"/>
      <c r="P803" s="1"/>
      <c r="Q803" s="55" t="s">
        <v>7</v>
      </c>
      <c r="R803" s="55" t="s">
        <v>7</v>
      </c>
    </row>
    <row r="804" spans="1:18" ht="16.5" customHeight="1" thickBot="1" x14ac:dyDescent="0.35">
      <c r="A804" s="57" t="s">
        <v>54</v>
      </c>
      <c r="B804" s="86">
        <f>SUM(B798:B803)</f>
        <v>0</v>
      </c>
      <c r="C804" s="87">
        <f>SUM(C798:C803)</f>
        <v>0</v>
      </c>
      <c r="D804" s="87">
        <f>SUM(D798:D803)</f>
        <v>0</v>
      </c>
      <c r="E804" s="59">
        <f>SUM(B804:D804)</f>
        <v>0</v>
      </c>
      <c r="F804" s="87">
        <f>SUM(F798:F803)</f>
        <v>0</v>
      </c>
      <c r="G804" s="87">
        <f>SUM(G798:G803)</f>
        <v>0</v>
      </c>
      <c r="H804" s="87">
        <f>SUM(H798:H803)</f>
        <v>11</v>
      </c>
      <c r="I804" s="59">
        <f>SUM(F804:H804)</f>
        <v>11</v>
      </c>
      <c r="J804" s="87">
        <f>SUM(J798:J803)</f>
        <v>0</v>
      </c>
      <c r="K804" s="87">
        <f>SUM(K798:K803)</f>
        <v>0</v>
      </c>
      <c r="L804" s="87">
        <f>SUM(L798:L803)</f>
        <v>0</v>
      </c>
      <c r="M804" s="59">
        <f>SUM(J804:L804)</f>
        <v>0</v>
      </c>
      <c r="N804" s="87">
        <f>SUM(N798:N803)</f>
        <v>0</v>
      </c>
      <c r="O804" s="87">
        <f>SUM(O798:O803)</f>
        <v>0</v>
      </c>
      <c r="P804" s="87">
        <f>SUM(P798:P803)</f>
        <v>0</v>
      </c>
      <c r="Q804" s="59">
        <f>SUM(N804:P804)</f>
        <v>0</v>
      </c>
      <c r="R804" s="59">
        <f>+E804+I804+M804+Q804</f>
        <v>11</v>
      </c>
    </row>
    <row r="805" spans="1:18" ht="15.75" customHeight="1" x14ac:dyDescent="0.3">
      <c r="A805" s="15" t="s">
        <v>55</v>
      </c>
      <c r="B805" s="1"/>
      <c r="C805" s="1"/>
      <c r="D805" s="1"/>
      <c r="E805" s="55" t="s">
        <v>7</v>
      </c>
      <c r="F805" s="1"/>
      <c r="G805" s="1"/>
      <c r="H805" s="1"/>
      <c r="I805" s="55" t="s">
        <v>7</v>
      </c>
      <c r="J805" s="1"/>
      <c r="K805" s="1"/>
      <c r="L805" s="1"/>
      <c r="M805" s="55" t="s">
        <v>7</v>
      </c>
      <c r="N805" s="1"/>
      <c r="O805" s="1"/>
      <c r="P805" s="1"/>
      <c r="Q805" s="55" t="s">
        <v>7</v>
      </c>
      <c r="R805" s="55" t="s">
        <v>7</v>
      </c>
    </row>
    <row r="806" spans="1:18" ht="15.75" customHeight="1" x14ac:dyDescent="0.3">
      <c r="A806" s="15" t="s">
        <v>57</v>
      </c>
      <c r="B806" s="1"/>
      <c r="C806" s="1"/>
      <c r="D806" s="1"/>
      <c r="E806" s="55" t="s">
        <v>7</v>
      </c>
      <c r="F806" s="1"/>
      <c r="G806" s="1"/>
      <c r="H806" s="1"/>
      <c r="I806" s="55" t="s">
        <v>7</v>
      </c>
      <c r="J806" s="1"/>
      <c r="K806" s="1"/>
      <c r="L806" s="1"/>
      <c r="M806" s="55" t="s">
        <v>7</v>
      </c>
      <c r="N806" s="1"/>
      <c r="O806" s="1"/>
      <c r="P806" s="1"/>
      <c r="Q806" s="55" t="s">
        <v>7</v>
      </c>
      <c r="R806" s="55" t="s">
        <v>7</v>
      </c>
    </row>
    <row r="807" spans="1:18" ht="15.75" customHeight="1" thickBot="1" x14ac:dyDescent="0.35">
      <c r="A807" s="15" t="s">
        <v>58</v>
      </c>
      <c r="B807" s="1"/>
      <c r="C807" s="1"/>
      <c r="D807" s="1"/>
      <c r="E807" s="55" t="s">
        <v>7</v>
      </c>
      <c r="F807" s="1"/>
      <c r="G807" s="1"/>
      <c r="H807" s="1"/>
      <c r="I807" s="55" t="s">
        <v>7</v>
      </c>
      <c r="J807" s="1"/>
      <c r="K807" s="1"/>
      <c r="L807" s="1"/>
      <c r="M807" s="55" t="s">
        <v>7</v>
      </c>
      <c r="N807" s="1"/>
      <c r="O807" s="1"/>
      <c r="P807" s="1"/>
      <c r="Q807" s="55" t="s">
        <v>7</v>
      </c>
      <c r="R807" s="55" t="s">
        <v>7</v>
      </c>
    </row>
    <row r="808" spans="1:18" ht="16.5" customHeight="1" thickBot="1" x14ac:dyDescent="0.35">
      <c r="A808" s="57" t="s">
        <v>59</v>
      </c>
      <c r="B808" s="86">
        <f>SUM(B805:B807)</f>
        <v>0</v>
      </c>
      <c r="C808" s="87">
        <f>SUM(C805:C807)</f>
        <v>0</v>
      </c>
      <c r="D808" s="87">
        <f>SUM(D805:D807)</f>
        <v>0</v>
      </c>
      <c r="E808" s="59">
        <f>SUM(B808:D808)</f>
        <v>0</v>
      </c>
      <c r="F808" s="87">
        <f>SUM(F805:F807)</f>
        <v>0</v>
      </c>
      <c r="G808" s="87">
        <f>SUM(G805:G807)</f>
        <v>0</v>
      </c>
      <c r="H808" s="87">
        <f>SUM(H805:H807)</f>
        <v>0</v>
      </c>
      <c r="I808" s="59">
        <f>SUM(F808:H808)</f>
        <v>0</v>
      </c>
      <c r="J808" s="87">
        <f>SUM(J805:J807)</f>
        <v>0</v>
      </c>
      <c r="K808" s="87">
        <f>SUM(K805:K807)</f>
        <v>0</v>
      </c>
      <c r="L808" s="87">
        <f>SUM(L805:L807)</f>
        <v>0</v>
      </c>
      <c r="M808" s="59">
        <f>SUM(J808:L808)</f>
        <v>0</v>
      </c>
      <c r="N808" s="87">
        <f>SUM(N805:N807)</f>
        <v>0</v>
      </c>
      <c r="O808" s="87">
        <f>SUM(O805:O807)</f>
        <v>0</v>
      </c>
      <c r="P808" s="87">
        <f>SUM(P805:P807)</f>
        <v>0</v>
      </c>
      <c r="Q808" s="59">
        <f>SUM(N808:P808)</f>
        <v>0</v>
      </c>
      <c r="R808" s="59">
        <f>+E808+I808+M808+Q808</f>
        <v>0</v>
      </c>
    </row>
    <row r="809" spans="1:18" ht="15.75" customHeight="1" x14ac:dyDescent="0.3">
      <c r="A809" s="15" t="s">
        <v>60</v>
      </c>
      <c r="B809" s="1"/>
      <c r="C809" s="1"/>
      <c r="D809" s="1"/>
      <c r="E809" s="55" t="s">
        <v>7</v>
      </c>
      <c r="F809" s="1"/>
      <c r="G809" s="1"/>
      <c r="H809" s="1"/>
      <c r="I809" s="55" t="s">
        <v>7</v>
      </c>
      <c r="J809" s="1"/>
      <c r="K809" s="1"/>
      <c r="L809" s="1"/>
      <c r="M809" s="55" t="s">
        <v>7</v>
      </c>
      <c r="N809" s="1"/>
      <c r="O809" s="1"/>
      <c r="P809" s="1"/>
      <c r="Q809" s="55" t="s">
        <v>7</v>
      </c>
      <c r="R809" s="55" t="s">
        <v>7</v>
      </c>
    </row>
    <row r="810" spans="1:18" ht="15.75" customHeight="1" x14ac:dyDescent="0.3">
      <c r="A810" s="15" t="s">
        <v>61</v>
      </c>
      <c r="B810" s="1"/>
      <c r="C810" s="1"/>
      <c r="D810" s="1"/>
      <c r="E810" s="55" t="s">
        <v>7</v>
      </c>
      <c r="F810" s="1"/>
      <c r="G810" s="1"/>
      <c r="H810" s="1"/>
      <c r="I810" s="55" t="s">
        <v>7</v>
      </c>
      <c r="J810" s="1"/>
      <c r="K810" s="1"/>
      <c r="L810" s="1"/>
      <c r="M810" s="55" t="s">
        <v>7</v>
      </c>
      <c r="N810" s="1"/>
      <c r="O810" s="1"/>
      <c r="P810" s="1"/>
      <c r="Q810" s="55" t="s">
        <v>7</v>
      </c>
      <c r="R810" s="55" t="s">
        <v>7</v>
      </c>
    </row>
    <row r="811" spans="1:18" ht="15.75" customHeight="1" thickBot="1" x14ac:dyDescent="0.35">
      <c r="A811" s="15" t="s">
        <v>62</v>
      </c>
      <c r="B811" s="1"/>
      <c r="C811" s="1"/>
      <c r="D811" s="1"/>
      <c r="E811" s="55" t="s">
        <v>7</v>
      </c>
      <c r="F811" s="1"/>
      <c r="G811" s="1"/>
      <c r="H811" s="1"/>
      <c r="I811" s="55" t="s">
        <v>7</v>
      </c>
      <c r="J811" s="1"/>
      <c r="K811" s="1"/>
      <c r="L811" s="1"/>
      <c r="M811" s="55" t="s">
        <v>7</v>
      </c>
      <c r="N811" s="1"/>
      <c r="O811" s="1"/>
      <c r="P811" s="1"/>
      <c r="Q811" s="55" t="s">
        <v>7</v>
      </c>
      <c r="R811" s="55" t="s">
        <v>7</v>
      </c>
    </row>
    <row r="812" spans="1:18" ht="16.5" customHeight="1" thickBot="1" x14ac:dyDescent="0.35">
      <c r="A812" s="57" t="s">
        <v>63</v>
      </c>
      <c r="B812" s="86">
        <f>SUM(B809:B811)</f>
        <v>0</v>
      </c>
      <c r="C812" s="87">
        <f>SUM(C809:C811)</f>
        <v>0</v>
      </c>
      <c r="D812" s="87">
        <f>SUM(D809:D811)</f>
        <v>0</v>
      </c>
      <c r="E812" s="59">
        <f>SUM(B812:D812)</f>
        <v>0</v>
      </c>
      <c r="F812" s="87">
        <f>SUM(F809:F811)</f>
        <v>0</v>
      </c>
      <c r="G812" s="87">
        <f>SUM(G809:G811)</f>
        <v>0</v>
      </c>
      <c r="H812" s="87">
        <f>SUM(H809:H811)</f>
        <v>0</v>
      </c>
      <c r="I812" s="59">
        <f>SUM(F812:H812)</f>
        <v>0</v>
      </c>
      <c r="J812" s="87">
        <f>SUM(J809:J811)</f>
        <v>0</v>
      </c>
      <c r="K812" s="87">
        <f>SUM(K809:K811)</f>
        <v>0</v>
      </c>
      <c r="L812" s="87">
        <f>SUM(L809:L811)</f>
        <v>0</v>
      </c>
      <c r="M812" s="59">
        <f>SUM(J812:L812)</f>
        <v>0</v>
      </c>
      <c r="N812" s="87">
        <f>SUM(N809:N811)</f>
        <v>0</v>
      </c>
      <c r="O812" s="87">
        <f>SUM(O809:O811)</f>
        <v>0</v>
      </c>
      <c r="P812" s="87">
        <f>SUM(P809:P811)</f>
        <v>0</v>
      </c>
      <c r="Q812" s="59">
        <f>SUM(N812:P812)</f>
        <v>0</v>
      </c>
      <c r="R812" s="59">
        <f>+E812+I812+M812+Q812</f>
        <v>0</v>
      </c>
    </row>
    <row r="813" spans="1:18" ht="15.75" customHeight="1" x14ac:dyDescent="0.3">
      <c r="A813" s="15" t="s">
        <v>64</v>
      </c>
      <c r="B813" s="1"/>
      <c r="C813" s="1"/>
      <c r="D813" s="1"/>
      <c r="E813" s="55" t="s">
        <v>7</v>
      </c>
      <c r="F813" s="1"/>
      <c r="G813" s="1"/>
      <c r="H813" s="1"/>
      <c r="I813" s="55" t="s">
        <v>7</v>
      </c>
      <c r="J813" s="1"/>
      <c r="K813" s="1"/>
      <c r="L813" s="1"/>
      <c r="M813" s="55" t="s">
        <v>7</v>
      </c>
      <c r="N813" s="1"/>
      <c r="O813" s="1"/>
      <c r="P813" s="1"/>
      <c r="Q813" s="55" t="s">
        <v>7</v>
      </c>
      <c r="R813" s="55" t="s">
        <v>7</v>
      </c>
    </row>
    <row r="814" spans="1:18" ht="15.75" customHeight="1" x14ac:dyDescent="0.3">
      <c r="A814" s="15" t="s">
        <v>594</v>
      </c>
      <c r="B814" s="1"/>
      <c r="C814" s="1"/>
      <c r="D814" s="1"/>
      <c r="E814" s="55" t="s">
        <v>7</v>
      </c>
      <c r="F814" s="1"/>
      <c r="G814" s="1"/>
      <c r="H814" s="1"/>
      <c r="I814" s="55" t="s">
        <v>7</v>
      </c>
      <c r="J814" s="1"/>
      <c r="K814" s="1"/>
      <c r="L814" s="1"/>
      <c r="M814" s="55" t="s">
        <v>7</v>
      </c>
      <c r="N814" s="1"/>
      <c r="O814" s="1"/>
      <c r="P814" s="1"/>
      <c r="Q814" s="55" t="s">
        <v>7</v>
      </c>
      <c r="R814" s="55" t="s">
        <v>7</v>
      </c>
    </row>
    <row r="815" spans="1:18" ht="15.75" customHeight="1" x14ac:dyDescent="0.3">
      <c r="A815" s="15" t="s">
        <v>67</v>
      </c>
      <c r="B815" s="1"/>
      <c r="C815" s="1"/>
      <c r="D815" s="1"/>
      <c r="E815" s="55" t="s">
        <v>7</v>
      </c>
      <c r="F815" s="1"/>
      <c r="G815" s="1"/>
      <c r="H815" s="1"/>
      <c r="I815" s="55" t="s">
        <v>7</v>
      </c>
      <c r="J815" s="1"/>
      <c r="K815" s="1"/>
      <c r="L815" s="1"/>
      <c r="M815" s="55" t="s">
        <v>7</v>
      </c>
      <c r="N815" s="1"/>
      <c r="O815" s="1"/>
      <c r="P815" s="1"/>
      <c r="Q815" s="55" t="s">
        <v>7</v>
      </c>
      <c r="R815" s="55" t="s">
        <v>7</v>
      </c>
    </row>
    <row r="816" spans="1:18" ht="15.75" customHeight="1" x14ac:dyDescent="0.3">
      <c r="A816" s="15" t="s">
        <v>600</v>
      </c>
      <c r="B816" s="1"/>
      <c r="C816" s="1"/>
      <c r="D816" s="1"/>
      <c r="E816" s="55" t="s">
        <v>7</v>
      </c>
      <c r="F816" s="1"/>
      <c r="G816" s="1"/>
      <c r="H816" s="1"/>
      <c r="I816" s="55" t="s">
        <v>7</v>
      </c>
      <c r="J816" s="1"/>
      <c r="K816" s="1"/>
      <c r="L816" s="1"/>
      <c r="M816" s="55" t="s">
        <v>7</v>
      </c>
      <c r="N816" s="1"/>
      <c r="O816" s="1"/>
      <c r="P816" s="1"/>
      <c r="Q816" s="55" t="s">
        <v>7</v>
      </c>
      <c r="R816" s="55" t="s">
        <v>7</v>
      </c>
    </row>
    <row r="817" spans="1:18" ht="15.75" customHeight="1" thickBot="1" x14ac:dyDescent="0.35">
      <c r="A817" s="15" t="s">
        <v>70</v>
      </c>
      <c r="B817" s="1"/>
      <c r="C817" s="1"/>
      <c r="D817" s="1"/>
      <c r="E817" s="55" t="s">
        <v>7</v>
      </c>
      <c r="F817" s="1"/>
      <c r="G817" s="1"/>
      <c r="H817" s="1"/>
      <c r="I817" s="55" t="s">
        <v>7</v>
      </c>
      <c r="J817" s="1"/>
      <c r="K817" s="1"/>
      <c r="L817" s="1"/>
      <c r="M817" s="55" t="s">
        <v>7</v>
      </c>
      <c r="N817" s="1"/>
      <c r="O817" s="1"/>
      <c r="P817" s="1"/>
      <c r="Q817" s="55" t="s">
        <v>7</v>
      </c>
      <c r="R817" s="55" t="s">
        <v>7</v>
      </c>
    </row>
    <row r="818" spans="1:18" ht="16.5" customHeight="1" thickBot="1" x14ac:dyDescent="0.35">
      <c r="A818" s="57" t="s">
        <v>71</v>
      </c>
      <c r="B818" s="58">
        <f>SUM(B816:B817)</f>
        <v>0</v>
      </c>
      <c r="C818" s="58">
        <f>SUM(C816:C817)</f>
        <v>0</v>
      </c>
      <c r="D818" s="58">
        <f>SUM(D816:D817)</f>
        <v>0</v>
      </c>
      <c r="E818" s="60">
        <f>SUM(B818:D818)</f>
        <v>0</v>
      </c>
      <c r="F818" s="58">
        <f>SUM(F816:F817)</f>
        <v>0</v>
      </c>
      <c r="G818" s="58">
        <f>SUM(G816:G817)</f>
        <v>0</v>
      </c>
      <c r="H818" s="58">
        <f>SUM(H816:H817)</f>
        <v>0</v>
      </c>
      <c r="I818" s="60">
        <f>SUM(F818:H818)</f>
        <v>0</v>
      </c>
      <c r="J818" s="58">
        <f>SUM(J816:J817)</f>
        <v>0</v>
      </c>
      <c r="K818" s="58">
        <f>SUM(K816:K817)</f>
        <v>0</v>
      </c>
      <c r="L818" s="58">
        <f>SUM(L816:L817)</f>
        <v>0</v>
      </c>
      <c r="M818" s="60">
        <f>SUM(J818:L818)</f>
        <v>0</v>
      </c>
      <c r="N818" s="58">
        <f>SUM(N816:N817)</f>
        <v>0</v>
      </c>
      <c r="O818" s="58">
        <f>SUM(O816:O817)</f>
        <v>0</v>
      </c>
      <c r="P818" s="58">
        <f>SUM(P816:P817)</f>
        <v>0</v>
      </c>
      <c r="Q818" s="60">
        <f>SUM(N818:P818)</f>
        <v>0</v>
      </c>
      <c r="R818" s="59">
        <f>+E818+I818+M818+Q818</f>
        <v>0</v>
      </c>
    </row>
    <row r="819" spans="1:18" ht="16.5" customHeight="1" thickBot="1" x14ac:dyDescent="0.35">
      <c r="A819" s="57" t="s">
        <v>72</v>
      </c>
      <c r="B819" s="86">
        <f>SUM(B813:B817)</f>
        <v>0</v>
      </c>
      <c r="C819" s="87">
        <f>SUM(C813:C817)</f>
        <v>0</v>
      </c>
      <c r="D819" s="118">
        <f>SUM(D813:D817)</f>
        <v>0</v>
      </c>
      <c r="E819" s="60">
        <f>SUM(B819:D819)</f>
        <v>0</v>
      </c>
      <c r="F819" s="87">
        <f>SUM(F813:F817)</f>
        <v>0</v>
      </c>
      <c r="G819" s="87">
        <f>SUM(G813:G817)</f>
        <v>0</v>
      </c>
      <c r="H819" s="87">
        <f>SUM(H813:H817)</f>
        <v>0</v>
      </c>
      <c r="I819" s="60">
        <f>SUM(F819:H819)</f>
        <v>0</v>
      </c>
      <c r="J819" s="87">
        <f>SUM(J813:J817)</f>
        <v>0</v>
      </c>
      <c r="K819" s="87">
        <f>SUM(K813:K817)</f>
        <v>0</v>
      </c>
      <c r="L819" s="87">
        <f>SUM(L813:L817)</f>
        <v>0</v>
      </c>
      <c r="M819" s="60">
        <f>SUM(J819:L819)</f>
        <v>0</v>
      </c>
      <c r="N819" s="87">
        <f>SUM(N813:N817)</f>
        <v>0</v>
      </c>
      <c r="O819" s="87">
        <f>SUM(O813:O817)</f>
        <v>0</v>
      </c>
      <c r="P819" s="87">
        <f>SUM(P813:P817)</f>
        <v>0</v>
      </c>
      <c r="Q819" s="60">
        <f>SUM(N819:P819)</f>
        <v>0</v>
      </c>
      <c r="R819" s="59">
        <f>+E819+I819+M819+Q819</f>
        <v>0</v>
      </c>
    </row>
    <row r="820" spans="1:18" ht="16.5" customHeight="1" thickBot="1" x14ac:dyDescent="0.35">
      <c r="A820" s="57" t="s">
        <v>73</v>
      </c>
      <c r="B820" s="90">
        <f>+B804+B808+B812+B819</f>
        <v>0</v>
      </c>
      <c r="C820" s="58">
        <f>+C804+C808+C812+C819</f>
        <v>0</v>
      </c>
      <c r="D820" s="58">
        <f>+D804+D808+D812+D819</f>
        <v>0</v>
      </c>
      <c r="E820" s="59">
        <f>SUM(B820:D820)</f>
        <v>0</v>
      </c>
      <c r="F820" s="58">
        <f>+F804+F808+F812+F819</f>
        <v>0</v>
      </c>
      <c r="G820" s="58">
        <f>+G804+G808+G812+G819</f>
        <v>0</v>
      </c>
      <c r="H820" s="58">
        <f>+H804+H808+H812+H819</f>
        <v>11</v>
      </c>
      <c r="I820" s="59">
        <f>SUM(F820:H820)</f>
        <v>11</v>
      </c>
      <c r="J820" s="58">
        <f>+J804+J808+J812+J819</f>
        <v>0</v>
      </c>
      <c r="K820" s="58">
        <f>+K804+K808+K812+K819</f>
        <v>0</v>
      </c>
      <c r="L820" s="58">
        <f>+L804+L808+L812+L819</f>
        <v>0</v>
      </c>
      <c r="M820" s="59">
        <f>SUM(J820:L820)</f>
        <v>0</v>
      </c>
      <c r="N820" s="58">
        <f>+N804+N808+N812+N819</f>
        <v>0</v>
      </c>
      <c r="O820" s="58">
        <f>+O804+O808+O812+O819</f>
        <v>0</v>
      </c>
      <c r="P820" s="58">
        <f>+P804+P808+P812+P819</f>
        <v>0</v>
      </c>
      <c r="Q820" s="59">
        <f>SUM(N820:P820)</f>
        <v>0</v>
      </c>
      <c r="R820" s="81">
        <f>+E820+I820+M820+Q820</f>
        <v>11</v>
      </c>
    </row>
    <row r="821" spans="1:18" ht="15.75" customHeight="1" x14ac:dyDescent="0.3">
      <c r="A821" s="71" t="s">
        <v>358</v>
      </c>
      <c r="B821" s="1">
        <v>4124</v>
      </c>
      <c r="C821" s="1">
        <v>3931</v>
      </c>
      <c r="D821" s="1">
        <v>4341</v>
      </c>
      <c r="E821" s="55">
        <f>SUM(B821:D821)</f>
        <v>12396</v>
      </c>
      <c r="F821" s="1">
        <v>5208</v>
      </c>
      <c r="G821" s="1">
        <v>6866</v>
      </c>
      <c r="H821" s="1">
        <v>7005</v>
      </c>
      <c r="I821" s="55">
        <f>SUM(F821:H821)</f>
        <v>19079</v>
      </c>
      <c r="J821" s="1">
        <v>6711</v>
      </c>
      <c r="K821" s="1">
        <v>6644</v>
      </c>
      <c r="L821" s="1">
        <v>5051</v>
      </c>
      <c r="M821" s="55">
        <f>SUM(J821:L821)</f>
        <v>18406</v>
      </c>
      <c r="N821" s="1">
        <v>141</v>
      </c>
      <c r="O821" s="1">
        <v>4685</v>
      </c>
      <c r="P821" s="1">
        <v>4765</v>
      </c>
      <c r="Q821" s="55">
        <f>SUM(N821:P821)</f>
        <v>9591</v>
      </c>
      <c r="R821" s="55">
        <f>+E821+I821+M821+Q821</f>
        <v>59472</v>
      </c>
    </row>
    <row r="822" spans="1:18" ht="15.75" customHeight="1" thickBot="1" x14ac:dyDescent="0.35">
      <c r="A822" s="71" t="s">
        <v>40</v>
      </c>
      <c r="B822" s="1">
        <v>0</v>
      </c>
      <c r="C822" s="1">
        <v>0</v>
      </c>
      <c r="D822" s="1">
        <v>0</v>
      </c>
      <c r="E822" s="55">
        <f>SUM(B822:D822)</f>
        <v>0</v>
      </c>
      <c r="F822" s="1">
        <v>0</v>
      </c>
      <c r="G822" s="1">
        <v>0</v>
      </c>
      <c r="H822" s="1">
        <v>0</v>
      </c>
      <c r="I822" s="55">
        <f>SUM(F822:H822)</f>
        <v>0</v>
      </c>
      <c r="J822" s="1">
        <v>0</v>
      </c>
      <c r="K822" s="1">
        <v>0</v>
      </c>
      <c r="L822" s="1">
        <v>0</v>
      </c>
      <c r="M822" s="55">
        <f>SUM(J822:L822)</f>
        <v>0</v>
      </c>
      <c r="N822" s="1">
        <v>0</v>
      </c>
      <c r="O822" s="1">
        <v>0</v>
      </c>
      <c r="P822" s="1">
        <v>0</v>
      </c>
      <c r="Q822" s="55">
        <f>SUM(N822:P822)</f>
        <v>0</v>
      </c>
      <c r="R822" s="55">
        <f>+E822+I822+M822+Q822</f>
        <v>0</v>
      </c>
    </row>
    <row r="823" spans="1:18" ht="16.5" customHeight="1" thickBot="1" x14ac:dyDescent="0.35">
      <c r="A823" s="130"/>
      <c r="B823" s="51"/>
      <c r="C823" s="51"/>
      <c r="D823" s="51"/>
      <c r="E823" s="59" t="s">
        <v>7</v>
      </c>
      <c r="F823" s="51"/>
      <c r="G823" s="51"/>
      <c r="H823" s="51"/>
      <c r="I823" s="59" t="s">
        <v>7</v>
      </c>
      <c r="J823" s="51"/>
      <c r="K823" s="51"/>
      <c r="L823" s="51"/>
      <c r="M823" s="59" t="s">
        <v>7</v>
      </c>
      <c r="N823" s="51"/>
      <c r="O823" s="51"/>
      <c r="P823" s="51"/>
      <c r="Q823" s="59"/>
      <c r="R823" s="59"/>
    </row>
    <row r="824" spans="1:18" ht="15.75" customHeight="1" x14ac:dyDescent="0.3">
      <c r="A824" s="15" t="s">
        <v>41</v>
      </c>
      <c r="B824" s="1">
        <f>SUM(B820:B822)</f>
        <v>4124</v>
      </c>
      <c r="C824" s="1">
        <f>SUM(C820:C822)</f>
        <v>3931</v>
      </c>
      <c r="D824" s="1">
        <f>SUM(D820:D822)</f>
        <v>4341</v>
      </c>
      <c r="E824" s="60">
        <f>SUM(B824:D824)</f>
        <v>12396</v>
      </c>
      <c r="F824" s="1">
        <f>SUM(F820:F822)</f>
        <v>5208</v>
      </c>
      <c r="G824" s="1">
        <f>SUM(G820:G822)</f>
        <v>6866</v>
      </c>
      <c r="H824" s="1">
        <f>SUM(H820:H822)</f>
        <v>7016</v>
      </c>
      <c r="I824" s="60">
        <f>SUM(F824:H824)</f>
        <v>19090</v>
      </c>
      <c r="J824" s="1">
        <f>SUM(J820:J822)</f>
        <v>6711</v>
      </c>
      <c r="K824" s="1">
        <f>SUM(K820:K822)</f>
        <v>6644</v>
      </c>
      <c r="L824" s="1">
        <f>SUM(L820:L822)</f>
        <v>5051</v>
      </c>
      <c r="M824" s="60">
        <f>SUM(J824:L824)</f>
        <v>18406</v>
      </c>
      <c r="N824" s="1">
        <f>SUM(N820:N822)</f>
        <v>141</v>
      </c>
      <c r="O824" s="1">
        <f>SUM(O820:O822)</f>
        <v>4685</v>
      </c>
      <c r="P824" s="1">
        <f>SUM(P820:P822)</f>
        <v>4765</v>
      </c>
      <c r="Q824" s="60">
        <f>SUM(N824:P824)</f>
        <v>9591</v>
      </c>
      <c r="R824" s="60">
        <f>+E824+I824+M824+Q824</f>
        <v>59483</v>
      </c>
    </row>
    <row r="825" spans="1:18" ht="15.75" customHeight="1" x14ac:dyDescent="0.3">
      <c r="A825" s="15" t="s">
        <v>42</v>
      </c>
      <c r="B825" s="1">
        <f>(B824/B10)/1.983</f>
        <v>67.086363118767579</v>
      </c>
      <c r="C825" s="1">
        <f>(C824/C10)/1.983</f>
        <v>68.356895682264764</v>
      </c>
      <c r="D825" s="1">
        <f>(D824/D10)/1.983</f>
        <v>70.616368161631925</v>
      </c>
      <c r="E825" s="55" t="s">
        <v>7</v>
      </c>
      <c r="F825" s="1">
        <f>(F824/F10)/1.983</f>
        <v>87.544125063035793</v>
      </c>
      <c r="G825" s="1">
        <f>(G824/G10)/1.983</f>
        <v>111.69131163274932</v>
      </c>
      <c r="H825" s="1">
        <f>(H824/H10)/1.983</f>
        <v>117.93578752731551</v>
      </c>
      <c r="I825" s="55" t="s">
        <v>7</v>
      </c>
      <c r="J825" s="1">
        <f>(J824/J10)/1.983</f>
        <v>109.1698794592748</v>
      </c>
      <c r="K825" s="1">
        <f>(K824/K10)/1.983</f>
        <v>108.07997006815999</v>
      </c>
      <c r="L825" s="1">
        <f>(L824/L10)/1.983</f>
        <v>84.905026054799123</v>
      </c>
      <c r="M825" s="55" t="s">
        <v>7</v>
      </c>
      <c r="N825" s="1">
        <f>(N824/N10)/1.983</f>
        <v>2.2936899126445756</v>
      </c>
      <c r="O825" s="1">
        <f>(O824/O10)/1.983</f>
        <v>78.752731551521251</v>
      </c>
      <c r="P825" s="1">
        <f>(P824/P10)/1.983</f>
        <v>77.513705203910661</v>
      </c>
      <c r="Q825" s="55" t="s">
        <v>7</v>
      </c>
      <c r="R825" s="55" t="s">
        <v>7</v>
      </c>
    </row>
    <row r="826" spans="1:18" ht="15.75" customHeight="1" x14ac:dyDescent="0.3">
      <c r="A826" s="15" t="s">
        <v>359</v>
      </c>
      <c r="B826" s="1">
        <f>B824</f>
        <v>4124</v>
      </c>
      <c r="C826" s="1">
        <f>C824</f>
        <v>3931</v>
      </c>
      <c r="D826" s="1">
        <f>D824</f>
        <v>4341</v>
      </c>
      <c r="E826" s="55">
        <f>SUM(B826:D826)</f>
        <v>12396</v>
      </c>
      <c r="F826" s="1">
        <f>F824</f>
        <v>5208</v>
      </c>
      <c r="G826" s="1">
        <f>G824</f>
        <v>6866</v>
      </c>
      <c r="H826" s="1">
        <f>H824</f>
        <v>7016</v>
      </c>
      <c r="I826" s="55">
        <f>SUM(F826:H826)</f>
        <v>19090</v>
      </c>
      <c r="J826" s="1">
        <f>J824</f>
        <v>6711</v>
      </c>
      <c r="K826" s="1">
        <f>K824</f>
        <v>6644</v>
      </c>
      <c r="L826" s="1">
        <f>L824</f>
        <v>5051</v>
      </c>
      <c r="M826" s="55">
        <f>SUM(J826:L826)</f>
        <v>18406</v>
      </c>
      <c r="N826" s="1">
        <f>N824</f>
        <v>141</v>
      </c>
      <c r="O826" s="1">
        <f>O824</f>
        <v>4685</v>
      </c>
      <c r="P826" s="1">
        <f>P824</f>
        <v>4765</v>
      </c>
      <c r="Q826" s="55">
        <f>SUM(N826:P826)</f>
        <v>9591</v>
      </c>
      <c r="R826" s="55">
        <f>+E826+I826+M826+Q826</f>
        <v>59483</v>
      </c>
    </row>
    <row r="827" spans="1:18" ht="16.5" customHeight="1" thickBot="1" x14ac:dyDescent="0.35">
      <c r="A827" s="20" t="s">
        <v>360</v>
      </c>
      <c r="B827" s="21">
        <f>(B826/B10)/1.983</f>
        <v>67.086363118767579</v>
      </c>
      <c r="C827" s="21">
        <f>(C826/C10)/1.983</f>
        <v>68.356895682264764</v>
      </c>
      <c r="D827" s="21">
        <f>(D826/D10)/1.983</f>
        <v>70.616368161631925</v>
      </c>
      <c r="E827" s="81" t="s">
        <v>7</v>
      </c>
      <c r="F827" s="21">
        <f>(F826/F10)/1.983</f>
        <v>87.544125063035793</v>
      </c>
      <c r="G827" s="21">
        <f>(G826/G10)/1.983</f>
        <v>111.69131163274932</v>
      </c>
      <c r="H827" s="21">
        <f>(H826/H10)/1.983</f>
        <v>117.93578752731551</v>
      </c>
      <c r="I827" s="81" t="s">
        <v>7</v>
      </c>
      <c r="J827" s="21">
        <f>(J826/J10)/1.983</f>
        <v>109.1698794592748</v>
      </c>
      <c r="K827" s="21">
        <f>(K826/K10)/1.983</f>
        <v>108.07997006815999</v>
      </c>
      <c r="L827" s="21">
        <f>(L826/L10)/1.983</f>
        <v>84.905026054799123</v>
      </c>
      <c r="M827" s="81" t="s">
        <v>7</v>
      </c>
      <c r="N827" s="21">
        <f>(N826/N10)/1.983</f>
        <v>2.2936899126445756</v>
      </c>
      <c r="O827" s="21">
        <f>(O826/O10)/1.983</f>
        <v>78.752731551521251</v>
      </c>
      <c r="P827" s="21">
        <f>(P826/P10)/1.983</f>
        <v>77.513705203910661</v>
      </c>
      <c r="Q827" s="81" t="s">
        <v>7</v>
      </c>
      <c r="R827" s="81" t="s">
        <v>7</v>
      </c>
    </row>
    <row r="828" spans="1:18" ht="15.75" customHeight="1" x14ac:dyDescent="0.3">
      <c r="A828" s="2"/>
      <c r="B828" s="1"/>
      <c r="C828" s="1"/>
      <c r="D828" s="1"/>
      <c r="E828" s="1"/>
      <c r="F828" s="1"/>
      <c r="G828" s="1"/>
      <c r="H828" s="1"/>
      <c r="I828" s="1"/>
      <c r="J828" s="1"/>
      <c r="K828" s="1"/>
      <c r="L828" s="1"/>
      <c r="M828" s="1"/>
      <c r="N828" s="1"/>
      <c r="O828" s="1"/>
      <c r="P828" s="1"/>
      <c r="Q828" s="1"/>
      <c r="R828" s="2"/>
    </row>
    <row r="829" spans="1:18" ht="15.75" customHeight="1" thickBot="1" x14ac:dyDescent="0.35">
      <c r="A829" s="2"/>
      <c r="B829" s="1"/>
      <c r="C829" s="1"/>
      <c r="D829" s="1"/>
      <c r="E829" s="1"/>
      <c r="F829" s="1"/>
      <c r="G829" s="1"/>
      <c r="H829" s="1"/>
      <c r="I829" s="1"/>
      <c r="J829" s="1"/>
      <c r="K829" s="1"/>
      <c r="L829" s="1"/>
      <c r="M829" s="1"/>
      <c r="N829" s="1"/>
      <c r="O829" s="1"/>
      <c r="P829" s="1"/>
      <c r="Q829" s="1"/>
      <c r="R829" s="2"/>
    </row>
    <row r="830" spans="1:18" ht="16.5" customHeight="1" thickBot="1" x14ac:dyDescent="0.35">
      <c r="A830" s="124" t="s">
        <v>361</v>
      </c>
      <c r="B830" s="30" t="s">
        <v>8</v>
      </c>
      <c r="C830" s="31" t="s">
        <v>9</v>
      </c>
      <c r="D830" s="31" t="s">
        <v>10</v>
      </c>
      <c r="E830" s="32" t="s">
        <v>11</v>
      </c>
      <c r="F830" s="31" t="s">
        <v>12</v>
      </c>
      <c r="G830" s="31" t="s">
        <v>13</v>
      </c>
      <c r="H830" s="31" t="s">
        <v>14</v>
      </c>
      <c r="I830" s="33" t="s">
        <v>15</v>
      </c>
      <c r="J830" s="31" t="s">
        <v>16</v>
      </c>
      <c r="K830" s="31" t="s">
        <v>17</v>
      </c>
      <c r="L830" s="31" t="s">
        <v>18</v>
      </c>
      <c r="M830" s="33" t="s">
        <v>19</v>
      </c>
      <c r="N830" s="31" t="s">
        <v>20</v>
      </c>
      <c r="O830" s="31" t="s">
        <v>21</v>
      </c>
      <c r="P830" s="31" t="s">
        <v>22</v>
      </c>
      <c r="Q830" s="33" t="s">
        <v>23</v>
      </c>
      <c r="R830" s="133" t="s">
        <v>24</v>
      </c>
    </row>
    <row r="831" spans="1:18" ht="16.5" customHeight="1" thickBot="1" x14ac:dyDescent="0.35">
      <c r="A831" s="41"/>
      <c r="B831" s="36"/>
      <c r="C831" s="36"/>
      <c r="D831" s="36"/>
      <c r="E831" s="52"/>
      <c r="F831" s="36"/>
      <c r="G831" s="36"/>
      <c r="H831" s="36"/>
      <c r="I831" s="132"/>
      <c r="J831" s="36"/>
      <c r="K831" s="36"/>
      <c r="L831" s="36"/>
      <c r="M831" s="132"/>
      <c r="N831" s="36"/>
      <c r="O831" s="36"/>
      <c r="P831" s="36"/>
      <c r="Q831" s="134"/>
      <c r="R831" s="135"/>
    </row>
    <row r="832" spans="1:18" ht="15.75" customHeight="1" x14ac:dyDescent="0.3">
      <c r="A832" s="15" t="s">
        <v>48</v>
      </c>
      <c r="B832" s="1" t="s">
        <v>7</v>
      </c>
      <c r="C832" s="1" t="s">
        <v>7</v>
      </c>
      <c r="D832" s="1" t="s">
        <v>7</v>
      </c>
      <c r="E832" s="136"/>
      <c r="F832" s="1" t="s">
        <v>7</v>
      </c>
      <c r="G832" s="1" t="s">
        <v>7</v>
      </c>
      <c r="H832" s="1" t="s">
        <v>7</v>
      </c>
      <c r="I832" s="136"/>
      <c r="J832" s="1" t="s">
        <v>7</v>
      </c>
      <c r="K832" s="1" t="s">
        <v>7</v>
      </c>
      <c r="L832" s="1" t="s">
        <v>7</v>
      </c>
      <c r="M832" s="136"/>
      <c r="N832" s="1" t="s">
        <v>7</v>
      </c>
      <c r="O832" s="1" t="s">
        <v>7</v>
      </c>
      <c r="P832" s="1" t="s">
        <v>7</v>
      </c>
      <c r="Q832" s="137"/>
      <c r="R832" s="138" t="s">
        <v>7</v>
      </c>
    </row>
    <row r="833" spans="1:20" ht="15.75" customHeight="1" x14ac:dyDescent="0.3">
      <c r="A833" s="15" t="s">
        <v>49</v>
      </c>
      <c r="B833" s="1"/>
      <c r="C833" s="1"/>
      <c r="D833" s="1"/>
      <c r="E833" s="55" t="s">
        <v>7</v>
      </c>
      <c r="F833" s="1"/>
      <c r="G833" s="1"/>
      <c r="H833" s="1"/>
      <c r="I833" s="55" t="s">
        <v>7</v>
      </c>
      <c r="J833" s="1"/>
      <c r="K833" s="1"/>
      <c r="L833" s="1"/>
      <c r="M833" s="55" t="s">
        <v>7</v>
      </c>
      <c r="N833" s="1"/>
      <c r="O833" s="1"/>
      <c r="P833" s="1"/>
      <c r="Q833" s="55" t="s">
        <v>7</v>
      </c>
      <c r="R833" s="55" t="s">
        <v>7</v>
      </c>
    </row>
    <row r="834" spans="1:20" ht="15.75" customHeight="1" x14ac:dyDescent="0.3">
      <c r="A834" s="71" t="s">
        <v>1232</v>
      </c>
      <c r="B834" s="1"/>
      <c r="C834" s="1"/>
      <c r="D834" s="1"/>
      <c r="E834" s="55">
        <f t="shared" ref="E834:E839" si="290">SUM(B834:D834)</f>
        <v>0</v>
      </c>
      <c r="F834" s="1"/>
      <c r="G834" s="1"/>
      <c r="H834" s="1"/>
      <c r="I834" s="55">
        <f t="shared" ref="I834:I839" si="291">SUM(F834:H834)</f>
        <v>0</v>
      </c>
      <c r="J834" s="1"/>
      <c r="K834" s="1"/>
      <c r="L834" s="1"/>
      <c r="M834" s="55">
        <f t="shared" ref="M834:M839" si="292">SUM(J834:L834)</f>
        <v>0</v>
      </c>
      <c r="N834" s="1"/>
      <c r="O834" s="1"/>
      <c r="P834" s="1"/>
      <c r="Q834" s="55">
        <f t="shared" ref="Q834:Q839" si="293">SUM(N834:P834)</f>
        <v>0</v>
      </c>
      <c r="R834" s="55">
        <f t="shared" ref="R834:R839" si="294">+E834+I834+M834+Q834</f>
        <v>0</v>
      </c>
      <c r="T834" s="4" t="s">
        <v>1005</v>
      </c>
    </row>
    <row r="835" spans="1:20" ht="15.75" customHeight="1" x14ac:dyDescent="0.3">
      <c r="A835" s="71" t="s">
        <v>362</v>
      </c>
      <c r="B835" s="1"/>
      <c r="C835" s="1"/>
      <c r="D835" s="1"/>
      <c r="E835" s="55">
        <f t="shared" si="290"/>
        <v>0</v>
      </c>
      <c r="F835" s="1"/>
      <c r="G835" s="1"/>
      <c r="H835" s="1"/>
      <c r="I835" s="55">
        <f t="shared" si="291"/>
        <v>0</v>
      </c>
      <c r="J835" s="1"/>
      <c r="K835" s="1"/>
      <c r="L835" s="1"/>
      <c r="M835" s="55">
        <f t="shared" si="292"/>
        <v>0</v>
      </c>
      <c r="N835" s="1"/>
      <c r="O835" s="1"/>
      <c r="P835" s="1"/>
      <c r="Q835" s="55">
        <f t="shared" si="293"/>
        <v>0</v>
      </c>
      <c r="R835" s="55">
        <f t="shared" si="294"/>
        <v>0</v>
      </c>
    </row>
    <row r="836" spans="1:20" ht="15.75" customHeight="1" x14ac:dyDescent="0.3">
      <c r="A836" s="71" t="s">
        <v>368</v>
      </c>
      <c r="B836" s="1"/>
      <c r="C836" s="1"/>
      <c r="D836" s="1"/>
      <c r="E836" s="55">
        <f t="shared" si="290"/>
        <v>0</v>
      </c>
      <c r="F836" s="1"/>
      <c r="G836" s="1"/>
      <c r="H836" s="1"/>
      <c r="I836" s="55">
        <f t="shared" si="291"/>
        <v>0</v>
      </c>
      <c r="J836" s="1"/>
      <c r="K836" s="1"/>
      <c r="L836" s="1"/>
      <c r="M836" s="55">
        <f t="shared" si="292"/>
        <v>0</v>
      </c>
      <c r="N836" s="1"/>
      <c r="O836" s="1"/>
      <c r="P836" s="1"/>
      <c r="Q836" s="55">
        <f t="shared" si="293"/>
        <v>0</v>
      </c>
      <c r="R836" s="55">
        <f t="shared" si="294"/>
        <v>0</v>
      </c>
    </row>
    <row r="837" spans="1:20" ht="15.75" customHeight="1" x14ac:dyDescent="0.3">
      <c r="A837" s="71" t="s">
        <v>1006</v>
      </c>
      <c r="B837" s="1">
        <v>250</v>
      </c>
      <c r="C837" s="1"/>
      <c r="D837" s="1"/>
      <c r="E837" s="55">
        <f t="shared" si="290"/>
        <v>250</v>
      </c>
      <c r="F837" s="1"/>
      <c r="G837" s="1"/>
      <c r="H837" s="1"/>
      <c r="I837" s="55">
        <f t="shared" si="291"/>
        <v>0</v>
      </c>
      <c r="J837" s="1"/>
      <c r="K837" s="1"/>
      <c r="L837" s="1"/>
      <c r="M837" s="55">
        <f t="shared" si="292"/>
        <v>0</v>
      </c>
      <c r="N837" s="1"/>
      <c r="O837" s="1"/>
      <c r="P837" s="1"/>
      <c r="Q837" s="55">
        <f t="shared" si="293"/>
        <v>0</v>
      </c>
      <c r="R837" s="55">
        <f t="shared" si="294"/>
        <v>250</v>
      </c>
    </row>
    <row r="838" spans="1:20" ht="15.75" customHeight="1" x14ac:dyDescent="0.3">
      <c r="A838" s="71" t="s">
        <v>1434</v>
      </c>
      <c r="B838" s="1"/>
      <c r="C838" s="1"/>
      <c r="D838" s="1"/>
      <c r="E838" s="55">
        <f t="shared" si="290"/>
        <v>0</v>
      </c>
      <c r="F838" s="1"/>
      <c r="G838" s="1"/>
      <c r="H838" s="1"/>
      <c r="I838" s="55">
        <f t="shared" si="291"/>
        <v>0</v>
      </c>
      <c r="J838" s="1"/>
      <c r="K838" s="1"/>
      <c r="L838" s="1"/>
      <c r="M838" s="55">
        <f t="shared" si="292"/>
        <v>0</v>
      </c>
      <c r="N838" s="1"/>
      <c r="O838" s="1"/>
      <c r="P838" s="1"/>
      <c r="Q838" s="55">
        <f t="shared" si="293"/>
        <v>0</v>
      </c>
      <c r="R838" s="55">
        <f t="shared" si="294"/>
        <v>0</v>
      </c>
    </row>
    <row r="839" spans="1:20" ht="15.75" customHeight="1" x14ac:dyDescent="0.3">
      <c r="A839" s="71" t="s">
        <v>664</v>
      </c>
      <c r="B839" s="1">
        <v>2143</v>
      </c>
      <c r="C839" s="1">
        <v>2549</v>
      </c>
      <c r="D839" s="1">
        <v>2713</v>
      </c>
      <c r="E839" s="55">
        <f t="shared" si="290"/>
        <v>7405</v>
      </c>
      <c r="F839" s="1">
        <v>2536</v>
      </c>
      <c r="G839" s="1">
        <v>1947</v>
      </c>
      <c r="H839" s="1">
        <v>2509</v>
      </c>
      <c r="I839" s="55">
        <f t="shared" si="291"/>
        <v>6992</v>
      </c>
      <c r="J839" s="1">
        <v>2473</v>
      </c>
      <c r="K839" s="1">
        <v>2518</v>
      </c>
      <c r="L839" s="1">
        <v>2371</v>
      </c>
      <c r="M839" s="55">
        <f t="shared" si="292"/>
        <v>7362</v>
      </c>
      <c r="N839" s="1">
        <v>241</v>
      </c>
      <c r="O839" s="1"/>
      <c r="P839" s="1"/>
      <c r="Q839" s="55">
        <f t="shared" si="293"/>
        <v>241</v>
      </c>
      <c r="R839" s="55">
        <f t="shared" si="294"/>
        <v>22000</v>
      </c>
    </row>
    <row r="840" spans="1:20" ht="15.75" customHeight="1" x14ac:dyDescent="0.3">
      <c r="A840" s="15" t="s">
        <v>50</v>
      </c>
      <c r="B840" s="1"/>
      <c r="C840" s="1"/>
      <c r="D840" s="1"/>
      <c r="E840" s="55" t="s">
        <v>7</v>
      </c>
      <c r="F840" s="1"/>
      <c r="G840" s="1"/>
      <c r="H840" s="1"/>
      <c r="I840" s="55" t="s">
        <v>7</v>
      </c>
      <c r="J840" s="1"/>
      <c r="K840" s="1"/>
      <c r="L840" s="1"/>
      <c r="M840" s="55" t="s">
        <v>7</v>
      </c>
      <c r="N840" s="1"/>
      <c r="O840" s="1"/>
      <c r="P840" s="1"/>
      <c r="Q840" s="55" t="s">
        <v>7</v>
      </c>
      <c r="R840" s="55" t="s">
        <v>7</v>
      </c>
    </row>
    <row r="841" spans="1:20" ht="15.75" customHeight="1" x14ac:dyDescent="0.3">
      <c r="A841" s="15" t="s">
        <v>1186</v>
      </c>
      <c r="B841" s="1"/>
      <c r="C841" s="1"/>
      <c r="D841" s="1"/>
      <c r="E841" s="55" t="s">
        <v>7</v>
      </c>
      <c r="F841" s="1"/>
      <c r="G841" s="1"/>
      <c r="H841" s="1"/>
      <c r="I841" s="55" t="s">
        <v>7</v>
      </c>
      <c r="J841" s="1"/>
      <c r="K841" s="1"/>
      <c r="L841" s="1"/>
      <c r="M841" s="55" t="s">
        <v>7</v>
      </c>
      <c r="N841" s="1"/>
      <c r="O841" s="1"/>
      <c r="P841" s="1"/>
      <c r="Q841" s="55" t="s">
        <v>7</v>
      </c>
      <c r="R841" s="55" t="s">
        <v>7</v>
      </c>
    </row>
    <row r="842" spans="1:20" ht="15.75" customHeight="1" x14ac:dyDescent="0.3">
      <c r="A842" s="71" t="s">
        <v>1339</v>
      </c>
      <c r="B842" s="1"/>
      <c r="C842" s="1"/>
      <c r="D842" s="1"/>
      <c r="E842" s="55">
        <f>SUM(B842:D842)</f>
        <v>0</v>
      </c>
      <c r="F842" s="1"/>
      <c r="G842" s="1"/>
      <c r="H842" s="1"/>
      <c r="I842" s="55">
        <f>SUM(F842:H842)</f>
        <v>0</v>
      </c>
      <c r="J842" s="1"/>
      <c r="K842" s="1"/>
      <c r="L842" s="1"/>
      <c r="M842" s="55">
        <f>SUM(J842:L842)</f>
        <v>0</v>
      </c>
      <c r="N842" s="1"/>
      <c r="O842" s="1"/>
      <c r="P842" s="1"/>
      <c r="Q842" s="55">
        <f>SUM(N842:P842)</f>
        <v>0</v>
      </c>
      <c r="R842" s="55">
        <f>+E842+I842+M842+Q842</f>
        <v>0</v>
      </c>
      <c r="S842" s="478" t="s">
        <v>1259</v>
      </c>
    </row>
    <row r="843" spans="1:20" ht="15.75" customHeight="1" thickBot="1" x14ac:dyDescent="0.35">
      <c r="A843" s="15" t="s">
        <v>53</v>
      </c>
      <c r="B843" s="1"/>
      <c r="C843" s="1"/>
      <c r="D843" s="1"/>
      <c r="E843" s="55" t="s">
        <v>7</v>
      </c>
      <c r="F843" s="1"/>
      <c r="G843" s="1"/>
      <c r="H843" s="1"/>
      <c r="I843" s="55" t="s">
        <v>7</v>
      </c>
      <c r="J843" s="1"/>
      <c r="K843" s="1"/>
      <c r="L843" s="1"/>
      <c r="M843" s="55" t="s">
        <v>7</v>
      </c>
      <c r="N843" s="1"/>
      <c r="O843" s="1"/>
      <c r="P843" s="1"/>
      <c r="Q843" s="55" t="s">
        <v>7</v>
      </c>
      <c r="R843" s="55" t="s">
        <v>7</v>
      </c>
    </row>
    <row r="844" spans="1:20" ht="16.5" customHeight="1" thickBot="1" x14ac:dyDescent="0.35">
      <c r="A844" s="57" t="s">
        <v>54</v>
      </c>
      <c r="B844" s="86">
        <f>SUM(B832:B843)</f>
        <v>2393</v>
      </c>
      <c r="C844" s="87">
        <f>SUM(C832:C843)</f>
        <v>2549</v>
      </c>
      <c r="D844" s="87">
        <f>SUM(D832:D843)</f>
        <v>2713</v>
      </c>
      <c r="E844" s="59">
        <f>SUM(B844:D844)</f>
        <v>7655</v>
      </c>
      <c r="F844" s="87">
        <f>SUM(F832:F843)</f>
        <v>2536</v>
      </c>
      <c r="G844" s="87">
        <f>SUM(G832:G843)</f>
        <v>1947</v>
      </c>
      <c r="H844" s="87">
        <f>SUM(H832:H843)</f>
        <v>2509</v>
      </c>
      <c r="I844" s="59">
        <f>SUM(F844:H844)</f>
        <v>6992</v>
      </c>
      <c r="J844" s="87">
        <f>SUM(J832:J843)</f>
        <v>2473</v>
      </c>
      <c r="K844" s="87">
        <f>SUM(K832:K843)</f>
        <v>2518</v>
      </c>
      <c r="L844" s="87">
        <f>SUM(L832:L843)</f>
        <v>2371</v>
      </c>
      <c r="M844" s="59">
        <f>SUM(J844:L844)</f>
        <v>7362</v>
      </c>
      <c r="N844" s="87">
        <f>SUM(N832:N843)</f>
        <v>241</v>
      </c>
      <c r="O844" s="87">
        <f>SUM(O832:O843)</f>
        <v>0</v>
      </c>
      <c r="P844" s="87">
        <f>SUM(P832:P843)</f>
        <v>0</v>
      </c>
      <c r="Q844" s="59">
        <f>SUM(N844:P844)</f>
        <v>241</v>
      </c>
      <c r="R844" s="59">
        <f>+E844+I844+M844+Q844</f>
        <v>22250</v>
      </c>
    </row>
    <row r="845" spans="1:20" ht="15.75" customHeight="1" x14ac:dyDescent="0.3">
      <c r="A845" s="15" t="s">
        <v>55</v>
      </c>
      <c r="B845" s="1"/>
      <c r="C845" s="1"/>
      <c r="D845" s="1"/>
      <c r="E845" s="55" t="s">
        <v>7</v>
      </c>
      <c r="F845" s="1"/>
      <c r="G845" s="1"/>
      <c r="H845" s="1"/>
      <c r="I845" s="55" t="s">
        <v>7</v>
      </c>
      <c r="J845" s="1"/>
      <c r="K845" s="1"/>
      <c r="L845" s="1"/>
      <c r="M845" s="55" t="s">
        <v>7</v>
      </c>
      <c r="N845" s="1"/>
      <c r="O845" s="1"/>
      <c r="P845" s="1"/>
      <c r="Q845" s="55" t="s">
        <v>7</v>
      </c>
      <c r="R845" s="55" t="s">
        <v>7</v>
      </c>
    </row>
    <row r="846" spans="1:20" ht="15.75" customHeight="1" x14ac:dyDescent="0.3">
      <c r="A846" s="15" t="s">
        <v>57</v>
      </c>
      <c r="B846" s="1"/>
      <c r="C846" s="1"/>
      <c r="D846" s="1"/>
      <c r="E846" s="55" t="s">
        <v>7</v>
      </c>
      <c r="F846" s="1"/>
      <c r="G846" s="1"/>
      <c r="H846" s="1"/>
      <c r="I846" s="55" t="s">
        <v>7</v>
      </c>
      <c r="J846" s="1"/>
      <c r="K846" s="1"/>
      <c r="L846" s="1"/>
      <c r="M846" s="55" t="s">
        <v>7</v>
      </c>
      <c r="N846" s="1"/>
      <c r="O846" s="1"/>
      <c r="P846" s="1"/>
      <c r="Q846" s="55" t="s">
        <v>7</v>
      </c>
      <c r="R846" s="55" t="s">
        <v>7</v>
      </c>
    </row>
    <row r="847" spans="1:20" ht="15.75" customHeight="1" x14ac:dyDescent="0.3">
      <c r="A847" s="71" t="s">
        <v>781</v>
      </c>
      <c r="B847" s="1"/>
      <c r="C847" s="1"/>
      <c r="D847" s="1"/>
      <c r="E847" s="55">
        <f>SUM(B847:D847)</f>
        <v>0</v>
      </c>
      <c r="F847" s="1"/>
      <c r="G847" s="1"/>
      <c r="H847" s="1"/>
      <c r="I847" s="55">
        <f>SUM(F847:H847)</f>
        <v>0</v>
      </c>
      <c r="J847" s="1"/>
      <c r="K847" s="1"/>
      <c r="L847" s="1"/>
      <c r="M847" s="55">
        <f>SUM(J847:L847)</f>
        <v>0</v>
      </c>
      <c r="N847" s="1"/>
      <c r="O847" s="1"/>
      <c r="P847" s="1"/>
      <c r="Q847" s="55">
        <f>SUM(N847:P847)</f>
        <v>0</v>
      </c>
      <c r="R847" s="55">
        <f>+E847+I847+M847+Q847</f>
        <v>0</v>
      </c>
    </row>
    <row r="848" spans="1:20" ht="15.75" customHeight="1" thickBot="1" x14ac:dyDescent="0.35">
      <c r="A848" s="15" t="s">
        <v>58</v>
      </c>
      <c r="B848" s="1"/>
      <c r="C848" s="1"/>
      <c r="D848" s="1"/>
      <c r="E848" s="55" t="s">
        <v>7</v>
      </c>
      <c r="F848" s="1"/>
      <c r="G848" s="1"/>
      <c r="H848" s="1"/>
      <c r="I848" s="55" t="s">
        <v>7</v>
      </c>
      <c r="J848" s="1"/>
      <c r="K848" s="1"/>
      <c r="L848" s="1"/>
      <c r="M848" s="55" t="s">
        <v>7</v>
      </c>
      <c r="N848" s="1"/>
      <c r="O848" s="1"/>
      <c r="P848" s="1"/>
      <c r="Q848" s="55" t="s">
        <v>7</v>
      </c>
      <c r="R848" s="55" t="s">
        <v>7</v>
      </c>
    </row>
    <row r="849" spans="1:20" ht="16.5" customHeight="1" thickBot="1" x14ac:dyDescent="0.35">
      <c r="A849" s="57" t="s">
        <v>59</v>
      </c>
      <c r="B849" s="86">
        <f>SUM(B845:B848)</f>
        <v>0</v>
      </c>
      <c r="C849" s="87">
        <f>SUM(C845:C848)</f>
        <v>0</v>
      </c>
      <c r="D849" s="87">
        <f>SUM(D845:D848)</f>
        <v>0</v>
      </c>
      <c r="E849" s="59">
        <f>SUM(B849:D849)</f>
        <v>0</v>
      </c>
      <c r="F849" s="87">
        <f>SUM(F845:F848)</f>
        <v>0</v>
      </c>
      <c r="G849" s="87">
        <f>SUM(G845:G848)</f>
        <v>0</v>
      </c>
      <c r="H849" s="87">
        <f>SUM(H845:H848)</f>
        <v>0</v>
      </c>
      <c r="I849" s="59">
        <f>SUM(F849:H849)</f>
        <v>0</v>
      </c>
      <c r="J849" s="87">
        <f>SUM(J845:J848)</f>
        <v>0</v>
      </c>
      <c r="K849" s="87">
        <f>SUM(K845:K848)</f>
        <v>0</v>
      </c>
      <c r="L849" s="87">
        <f>SUM(L845:L848)</f>
        <v>0</v>
      </c>
      <c r="M849" s="59">
        <f>SUM(J849:L849)</f>
        <v>0</v>
      </c>
      <c r="N849" s="87">
        <f>SUM(N845:N848)</f>
        <v>0</v>
      </c>
      <c r="O849" s="87">
        <f>SUM(O845:O848)</f>
        <v>0</v>
      </c>
      <c r="P849" s="87">
        <f>SUM(P845:P848)</f>
        <v>0</v>
      </c>
      <c r="Q849" s="59">
        <f>SUM(N849:P849)</f>
        <v>0</v>
      </c>
      <c r="R849" s="59">
        <f>+E849+I849+M849+Q849</f>
        <v>0</v>
      </c>
    </row>
    <row r="850" spans="1:20" ht="15.75" customHeight="1" x14ac:dyDescent="0.3">
      <c r="A850" s="15" t="s">
        <v>60</v>
      </c>
      <c r="B850" s="1"/>
      <c r="C850" s="1"/>
      <c r="D850" s="1"/>
      <c r="E850" s="55" t="s">
        <v>7</v>
      </c>
      <c r="F850" s="1"/>
      <c r="G850" s="1"/>
      <c r="H850" s="1"/>
      <c r="I850" s="55" t="s">
        <v>7</v>
      </c>
      <c r="J850" s="1" t="s">
        <v>7</v>
      </c>
      <c r="K850" s="1"/>
      <c r="L850" s="1"/>
      <c r="M850" s="55" t="s">
        <v>7</v>
      </c>
      <c r="N850" s="1"/>
      <c r="O850" s="1"/>
      <c r="P850" s="1"/>
      <c r="Q850" s="55" t="s">
        <v>7</v>
      </c>
      <c r="R850" s="55" t="s">
        <v>7</v>
      </c>
    </row>
    <row r="851" spans="1:20" ht="18" customHeight="1" x14ac:dyDescent="0.3">
      <c r="A851" s="15" t="s">
        <v>61</v>
      </c>
      <c r="B851" s="1"/>
      <c r="C851" s="1"/>
      <c r="D851" s="1"/>
      <c r="E851" s="55" t="s">
        <v>7</v>
      </c>
      <c r="F851" s="1"/>
      <c r="G851" s="1"/>
      <c r="H851" s="1"/>
      <c r="I851" s="55" t="s">
        <v>7</v>
      </c>
      <c r="J851" s="1"/>
      <c r="K851" s="1"/>
      <c r="L851" s="1"/>
      <c r="M851" s="55" t="s">
        <v>7</v>
      </c>
      <c r="N851" s="1"/>
      <c r="O851" s="1"/>
      <c r="P851" s="1"/>
      <c r="Q851" s="55" t="s">
        <v>7</v>
      </c>
      <c r="R851" s="55" t="s">
        <v>7</v>
      </c>
    </row>
    <row r="852" spans="1:20" ht="15.75" customHeight="1" x14ac:dyDescent="0.3">
      <c r="A852" s="71" t="s">
        <v>1007</v>
      </c>
      <c r="B852" s="1">
        <v>504</v>
      </c>
      <c r="C852" s="1">
        <v>572</v>
      </c>
      <c r="D852" s="1">
        <v>500</v>
      </c>
      <c r="E852" s="55">
        <f>SUM(B852:D852)</f>
        <v>1576</v>
      </c>
      <c r="F852" s="1">
        <v>959</v>
      </c>
      <c r="G852" s="1">
        <f>1364+2</f>
        <v>1366</v>
      </c>
      <c r="H852" s="1">
        <v>1035</v>
      </c>
      <c r="I852" s="55">
        <f>SUM(F852:H852)</f>
        <v>3360</v>
      </c>
      <c r="J852" s="1">
        <f>767+3</f>
        <v>770</v>
      </c>
      <c r="K852" s="1">
        <v>563</v>
      </c>
      <c r="L852" s="1">
        <v>713</v>
      </c>
      <c r="M852" s="55">
        <f>SUM(J852:L852)</f>
        <v>2046</v>
      </c>
      <c r="N852" s="1">
        <v>422</v>
      </c>
      <c r="O852" s="1">
        <v>292</v>
      </c>
      <c r="P852" s="1">
        <v>264</v>
      </c>
      <c r="Q852" s="55">
        <f>SUM(N852:P852)</f>
        <v>978</v>
      </c>
      <c r="R852" s="55">
        <f>+E852+I852+M852+Q852</f>
        <v>7960</v>
      </c>
      <c r="T852" s="4" t="s">
        <v>1008</v>
      </c>
    </row>
    <row r="853" spans="1:20" ht="15.75" customHeight="1" x14ac:dyDescent="0.3">
      <c r="A853" s="71" t="s">
        <v>1009</v>
      </c>
      <c r="B853" s="1">
        <v>20</v>
      </c>
      <c r="C853" s="1">
        <v>21</v>
      </c>
      <c r="D853" s="1">
        <v>20</v>
      </c>
      <c r="E853" s="55">
        <f>SUM(B853:D853)</f>
        <v>61</v>
      </c>
      <c r="F853" s="1">
        <v>74</v>
      </c>
      <c r="G853" s="1">
        <v>86</v>
      </c>
      <c r="H853" s="1">
        <v>87</v>
      </c>
      <c r="I853" s="55">
        <f t="shared" ref="I853" si="295">SUM(F853:H853)</f>
        <v>247</v>
      </c>
      <c r="J853" s="1">
        <v>58</v>
      </c>
      <c r="K853" s="1">
        <v>89</v>
      </c>
      <c r="L853" s="1">
        <v>45</v>
      </c>
      <c r="M853" s="55">
        <f>SUM(J853:L853)</f>
        <v>192</v>
      </c>
      <c r="N853" s="1"/>
      <c r="O853" s="1"/>
      <c r="P853" s="1"/>
      <c r="Q853" s="55">
        <f>SUM(N853:P853)</f>
        <v>0</v>
      </c>
      <c r="R853" s="55">
        <f>+E853+I853+M853+Q853</f>
        <v>500</v>
      </c>
      <c r="T853" s="4" t="s">
        <v>1010</v>
      </c>
    </row>
    <row r="854" spans="1:20" ht="15.75" customHeight="1" x14ac:dyDescent="0.3">
      <c r="A854" s="15" t="s">
        <v>62</v>
      </c>
      <c r="B854" s="1"/>
      <c r="C854" s="1"/>
      <c r="D854" s="1"/>
      <c r="E854" s="55" t="s">
        <v>7</v>
      </c>
      <c r="F854" s="1"/>
      <c r="G854" s="1"/>
      <c r="H854" s="1"/>
      <c r="I854" s="55" t="s">
        <v>7</v>
      </c>
      <c r="J854" s="1"/>
      <c r="K854" s="1"/>
      <c r="L854" s="1"/>
      <c r="M854" s="55" t="s">
        <v>7</v>
      </c>
      <c r="N854" s="1"/>
      <c r="O854" s="1"/>
      <c r="P854" s="1"/>
      <c r="Q854" s="55" t="s">
        <v>7</v>
      </c>
      <c r="R854" s="55" t="s">
        <v>7</v>
      </c>
    </row>
    <row r="855" spans="1:20" ht="15.75" customHeight="1" x14ac:dyDescent="0.3">
      <c r="A855" s="71" t="s">
        <v>1435</v>
      </c>
      <c r="B855" s="1"/>
      <c r="C855" s="1"/>
      <c r="D855" s="1"/>
      <c r="E855" s="55">
        <f t="shared" ref="E855:E860" si="296">SUM(B855:D855)</f>
        <v>0</v>
      </c>
      <c r="F855" s="1"/>
      <c r="G855" s="1"/>
      <c r="H855" s="1"/>
      <c r="I855" s="55">
        <f t="shared" ref="I855:I860" si="297">SUM(F855:H855)</f>
        <v>0</v>
      </c>
      <c r="J855" s="1"/>
      <c r="K855" s="1"/>
      <c r="L855" s="1">
        <v>362</v>
      </c>
      <c r="M855" s="55">
        <f t="shared" ref="M855:M860" si="298">SUM(J855:L855)</f>
        <v>362</v>
      </c>
      <c r="N855" s="1">
        <v>536</v>
      </c>
      <c r="O855" s="1"/>
      <c r="P855" s="1"/>
      <c r="Q855" s="55">
        <f t="shared" ref="Q855:Q860" si="299">SUM(N855:P855)</f>
        <v>536</v>
      </c>
      <c r="R855" s="55">
        <f t="shared" ref="R855:R860" si="300">+E855+I855+M855+Q855</f>
        <v>898</v>
      </c>
      <c r="T855" s="4" t="s">
        <v>1010</v>
      </c>
    </row>
    <row r="856" spans="1:20" ht="15.75" customHeight="1" x14ac:dyDescent="0.3">
      <c r="A856" s="71" t="s">
        <v>1011</v>
      </c>
      <c r="B856" s="1"/>
      <c r="C856" s="1"/>
      <c r="D856" s="1"/>
      <c r="E856" s="55">
        <f t="shared" si="296"/>
        <v>0</v>
      </c>
      <c r="F856" s="1"/>
      <c r="G856" s="1"/>
      <c r="H856" s="1"/>
      <c r="I856" s="55">
        <f t="shared" si="297"/>
        <v>0</v>
      </c>
      <c r="J856" s="1"/>
      <c r="K856" s="1"/>
      <c r="L856" s="1"/>
      <c r="M856" s="55">
        <f t="shared" si="298"/>
        <v>0</v>
      </c>
      <c r="N856" s="1"/>
      <c r="O856" s="1"/>
      <c r="P856" s="1"/>
      <c r="Q856" s="55">
        <f t="shared" si="299"/>
        <v>0</v>
      </c>
      <c r="R856" s="55">
        <f t="shared" si="300"/>
        <v>0</v>
      </c>
    </row>
    <row r="857" spans="1:20" ht="15.75" customHeight="1" x14ac:dyDescent="0.3">
      <c r="A857" s="71" t="s">
        <v>1012</v>
      </c>
      <c r="B857" s="1"/>
      <c r="C857" s="1"/>
      <c r="D857" s="1"/>
      <c r="E857" s="55">
        <f t="shared" si="296"/>
        <v>0</v>
      </c>
      <c r="F857" s="1"/>
      <c r="G857" s="1"/>
      <c r="H857" s="1"/>
      <c r="I857" s="55">
        <f t="shared" si="297"/>
        <v>0</v>
      </c>
      <c r="J857" s="1"/>
      <c r="K857" s="1"/>
      <c r="L857" s="1">
        <v>32</v>
      </c>
      <c r="M857" s="55">
        <f t="shared" si="298"/>
        <v>32</v>
      </c>
      <c r="N857" s="1">
        <v>102</v>
      </c>
      <c r="O857" s="1">
        <v>22</v>
      </c>
      <c r="P857" s="1">
        <v>25</v>
      </c>
      <c r="Q857" s="55">
        <f t="shared" si="299"/>
        <v>149</v>
      </c>
      <c r="R857" s="55">
        <f t="shared" si="300"/>
        <v>181</v>
      </c>
    </row>
    <row r="858" spans="1:20" ht="15.75" customHeight="1" x14ac:dyDescent="0.3">
      <c r="A858" s="71" t="s">
        <v>666</v>
      </c>
      <c r="B858" s="1"/>
      <c r="C858" s="1"/>
      <c r="D858" s="1"/>
      <c r="E858" s="55">
        <f t="shared" si="296"/>
        <v>0</v>
      </c>
      <c r="F858" s="1"/>
      <c r="G858" s="1"/>
      <c r="H858" s="1"/>
      <c r="I858" s="55">
        <f t="shared" si="297"/>
        <v>0</v>
      </c>
      <c r="J858" s="1"/>
      <c r="K858" s="1"/>
      <c r="L858" s="1"/>
      <c r="M858" s="55">
        <f t="shared" si="298"/>
        <v>0</v>
      </c>
      <c r="N858" s="1"/>
      <c r="O858" s="1"/>
      <c r="P858" s="1"/>
      <c r="Q858" s="55">
        <f t="shared" si="299"/>
        <v>0</v>
      </c>
      <c r="R858" s="55">
        <f t="shared" si="300"/>
        <v>0</v>
      </c>
      <c r="T858" s="4" t="s">
        <v>1005</v>
      </c>
    </row>
    <row r="859" spans="1:20" ht="15.75" customHeight="1" thickBot="1" x14ac:dyDescent="0.35">
      <c r="A859" s="71" t="s">
        <v>782</v>
      </c>
      <c r="B859" s="1">
        <f>113+513</f>
        <v>626</v>
      </c>
      <c r="C859" s="1">
        <f>148+528</f>
        <v>676</v>
      </c>
      <c r="D859" s="1">
        <f>117+540</f>
        <v>657</v>
      </c>
      <c r="E859" s="55">
        <f t="shared" si="296"/>
        <v>1959</v>
      </c>
      <c r="F859" s="1">
        <f>125+555</f>
        <v>680</v>
      </c>
      <c r="G859" s="1">
        <f>149+379</f>
        <v>528</v>
      </c>
      <c r="H859" s="1">
        <f>149+469</f>
        <v>618</v>
      </c>
      <c r="I859" s="55">
        <f t="shared" si="297"/>
        <v>1826</v>
      </c>
      <c r="J859" s="1">
        <f>127+638</f>
        <v>765</v>
      </c>
      <c r="K859" s="1">
        <f>130+593</f>
        <v>723</v>
      </c>
      <c r="L859" s="1">
        <f>88+465</f>
        <v>553</v>
      </c>
      <c r="M859" s="55">
        <f t="shared" si="298"/>
        <v>2041</v>
      </c>
      <c r="N859" s="1">
        <f>132+237</f>
        <v>369</v>
      </c>
      <c r="O859" s="1">
        <f>23+163</f>
        <v>186</v>
      </c>
      <c r="P859" s="1">
        <f>86+449</f>
        <v>535</v>
      </c>
      <c r="Q859" s="55">
        <f t="shared" si="299"/>
        <v>1090</v>
      </c>
      <c r="R859" s="55">
        <f t="shared" si="300"/>
        <v>6916</v>
      </c>
      <c r="T859" s="4" t="s">
        <v>1013</v>
      </c>
    </row>
    <row r="860" spans="1:20" ht="16.5" customHeight="1" thickBot="1" x14ac:dyDescent="0.35">
      <c r="A860" s="57" t="s">
        <v>63</v>
      </c>
      <c r="B860" s="86">
        <f>SUM(B850:B859)</f>
        <v>1150</v>
      </c>
      <c r="C860" s="87">
        <f>SUM(C850:C859)</f>
        <v>1269</v>
      </c>
      <c r="D860" s="87">
        <f>SUM(D850:D859)</f>
        <v>1177</v>
      </c>
      <c r="E860" s="59">
        <f t="shared" si="296"/>
        <v>3596</v>
      </c>
      <c r="F860" s="87">
        <f>SUM(F850:F859)</f>
        <v>1713</v>
      </c>
      <c r="G860" s="87">
        <f>SUM(G850:G859)</f>
        <v>1980</v>
      </c>
      <c r="H860" s="87">
        <f>SUM(H850:H859)</f>
        <v>1740</v>
      </c>
      <c r="I860" s="59">
        <f t="shared" si="297"/>
        <v>5433</v>
      </c>
      <c r="J860" s="87">
        <f>SUM(J850:J859)</f>
        <v>1593</v>
      </c>
      <c r="K860" s="87">
        <f>SUM(K850:K859)</f>
        <v>1375</v>
      </c>
      <c r="L860" s="87">
        <f>SUM(L850:L859)</f>
        <v>1705</v>
      </c>
      <c r="M860" s="59">
        <f t="shared" si="298"/>
        <v>4673</v>
      </c>
      <c r="N860" s="87">
        <f>SUM(N850:N859)</f>
        <v>1429</v>
      </c>
      <c r="O860" s="87">
        <f>SUM(O850:O859)</f>
        <v>500</v>
      </c>
      <c r="P860" s="87">
        <f>SUM(P850:P859)</f>
        <v>824</v>
      </c>
      <c r="Q860" s="59">
        <f t="shared" si="299"/>
        <v>2753</v>
      </c>
      <c r="R860" s="59">
        <f t="shared" si="300"/>
        <v>16455</v>
      </c>
    </row>
    <row r="861" spans="1:20" ht="15.75" customHeight="1" x14ac:dyDescent="0.3">
      <c r="A861" s="15" t="s">
        <v>64</v>
      </c>
      <c r="B861" s="1"/>
      <c r="C861" s="1"/>
      <c r="D861" s="1"/>
      <c r="E861" s="55" t="s">
        <v>7</v>
      </c>
      <c r="F861" s="1"/>
      <c r="G861" s="1"/>
      <c r="H861" s="1"/>
      <c r="I861" s="55" t="s">
        <v>7</v>
      </c>
      <c r="J861" s="1"/>
      <c r="K861" s="1"/>
      <c r="L861" s="1"/>
      <c r="M861" s="55" t="s">
        <v>7</v>
      </c>
      <c r="N861" s="1"/>
      <c r="O861" s="1"/>
      <c r="P861" s="1"/>
      <c r="Q861" s="55" t="s">
        <v>7</v>
      </c>
      <c r="R861" s="55" t="s">
        <v>7</v>
      </c>
    </row>
    <row r="862" spans="1:20" ht="15.75" customHeight="1" x14ac:dyDescent="0.3">
      <c r="A862" s="15" t="s">
        <v>594</v>
      </c>
      <c r="B862" s="1"/>
      <c r="C862" s="1"/>
      <c r="D862" s="1"/>
      <c r="E862" s="55" t="s">
        <v>7</v>
      </c>
      <c r="F862" s="1"/>
      <c r="G862" s="1"/>
      <c r="H862" s="1"/>
      <c r="I862" s="55" t="s">
        <v>7</v>
      </c>
      <c r="J862" s="1"/>
      <c r="K862" s="1"/>
      <c r="L862" s="1"/>
      <c r="M862" s="55" t="s">
        <v>7</v>
      </c>
      <c r="N862" s="1"/>
      <c r="O862" s="1"/>
      <c r="P862" s="1"/>
      <c r="Q862" s="55" t="s">
        <v>7</v>
      </c>
      <c r="R862" s="55" t="s">
        <v>7</v>
      </c>
    </row>
    <row r="863" spans="1:20" ht="15.75" customHeight="1" x14ac:dyDescent="0.3">
      <c r="A863" s="71" t="s">
        <v>1340</v>
      </c>
      <c r="B863" s="1"/>
      <c r="C863" s="1"/>
      <c r="D863" s="1"/>
      <c r="E863" s="55">
        <f>SUM(B863:D863)</f>
        <v>0</v>
      </c>
      <c r="F863" s="1"/>
      <c r="G863" s="1"/>
      <c r="H863" s="1"/>
      <c r="I863" s="55">
        <f>SUM(F863:H863)</f>
        <v>0</v>
      </c>
      <c r="J863" s="1"/>
      <c r="K863" s="1"/>
      <c r="L863" s="1"/>
      <c r="M863" s="55">
        <f>SUM(J863:L863)</f>
        <v>0</v>
      </c>
      <c r="N863" s="1"/>
      <c r="O863" s="1"/>
      <c r="P863" s="1"/>
      <c r="Q863" s="55">
        <f>SUM(N863:P863)</f>
        <v>0</v>
      </c>
      <c r="R863" s="55">
        <f>+E863+I863+M863+Q863</f>
        <v>0</v>
      </c>
    </row>
    <row r="864" spans="1:20" ht="15.75" customHeight="1" x14ac:dyDescent="0.3">
      <c r="A864" s="71" t="s">
        <v>367</v>
      </c>
      <c r="B864" s="1"/>
      <c r="C864" s="1"/>
      <c r="D864" s="1"/>
      <c r="E864" s="55">
        <f>SUM(B864:D864)</f>
        <v>0</v>
      </c>
      <c r="F864" s="1"/>
      <c r="G864" s="1"/>
      <c r="H864" s="1"/>
      <c r="I864" s="55">
        <f>SUM(F864:H864)</f>
        <v>0</v>
      </c>
      <c r="J864" s="1"/>
      <c r="K864" s="1"/>
      <c r="L864" s="1"/>
      <c r="M864" s="55">
        <f>SUM(J864:L864)</f>
        <v>0</v>
      </c>
      <c r="N864" s="1"/>
      <c r="O864" s="1"/>
      <c r="P864" s="1"/>
      <c r="Q864" s="55">
        <f>SUM(N864:P864)</f>
        <v>0</v>
      </c>
      <c r="R864" s="55">
        <f>+E864+I864+M864+Q864</f>
        <v>0</v>
      </c>
    </row>
    <row r="865" spans="1:18" ht="15.75" customHeight="1" x14ac:dyDescent="0.3">
      <c r="A865" s="15" t="s">
        <v>67</v>
      </c>
      <c r="B865" s="1"/>
      <c r="C865" s="1"/>
      <c r="D865" s="1"/>
      <c r="E865" s="55" t="s">
        <v>7</v>
      </c>
      <c r="F865" s="1"/>
      <c r="G865" s="1"/>
      <c r="H865" s="1"/>
      <c r="I865" s="55" t="s">
        <v>7</v>
      </c>
      <c r="J865" s="1"/>
      <c r="K865" s="1"/>
      <c r="L865" s="1"/>
      <c r="M865" s="55" t="s">
        <v>7</v>
      </c>
      <c r="N865" s="1"/>
      <c r="O865" s="1"/>
      <c r="P865" s="1"/>
      <c r="Q865" s="55" t="s">
        <v>7</v>
      </c>
      <c r="R865" s="55" t="s">
        <v>7</v>
      </c>
    </row>
    <row r="866" spans="1:18" ht="15.75" customHeight="1" x14ac:dyDescent="0.3">
      <c r="A866" s="71" t="s">
        <v>783</v>
      </c>
      <c r="B866" s="1"/>
      <c r="C866" s="1"/>
      <c r="D866" s="1"/>
      <c r="E866" s="55">
        <f>SUM(B866:D866)</f>
        <v>0</v>
      </c>
      <c r="F866" s="1"/>
      <c r="G866" s="1"/>
      <c r="H866" s="1"/>
      <c r="I866" s="55">
        <f>SUM(F866:H866)</f>
        <v>0</v>
      </c>
      <c r="J866" s="1"/>
      <c r="K866" s="1"/>
      <c r="L866" s="1"/>
      <c r="M866" s="55">
        <f>SUM(J866:L866)</f>
        <v>0</v>
      </c>
      <c r="N866" s="1">
        <v>2050</v>
      </c>
      <c r="O866" s="1">
        <v>1147</v>
      </c>
      <c r="P866" s="1">
        <v>1103</v>
      </c>
      <c r="Q866" s="55">
        <f>SUM(N866:P866)</f>
        <v>4300</v>
      </c>
      <c r="R866" s="55">
        <f>+E866+I866+M866+Q866</f>
        <v>4300</v>
      </c>
    </row>
    <row r="867" spans="1:18" ht="15.75" customHeight="1" x14ac:dyDescent="0.3">
      <c r="A867" s="71" t="s">
        <v>784</v>
      </c>
      <c r="B867" s="1"/>
      <c r="C867" s="1"/>
      <c r="D867" s="1"/>
      <c r="E867" s="55">
        <f>SUM(B867:D867)</f>
        <v>0</v>
      </c>
      <c r="F867" s="1"/>
      <c r="G867" s="1"/>
      <c r="H867" s="1"/>
      <c r="I867" s="55">
        <f>SUM(F867:H867)</f>
        <v>0</v>
      </c>
      <c r="J867" s="1"/>
      <c r="K867" s="1"/>
      <c r="L867" s="1"/>
      <c r="M867" s="55">
        <f>SUM(J867:L867)</f>
        <v>0</v>
      </c>
      <c r="N867" s="1"/>
      <c r="O867" s="1"/>
      <c r="P867" s="1"/>
      <c r="Q867" s="55">
        <f>SUM(N867:P867)</f>
        <v>0</v>
      </c>
      <c r="R867" s="55">
        <f>+E867+I867+M867+Q867</f>
        <v>0</v>
      </c>
    </row>
    <row r="868" spans="1:18" ht="15.75" customHeight="1" x14ac:dyDescent="0.3">
      <c r="A868" s="15" t="s">
        <v>600</v>
      </c>
      <c r="B868" s="1"/>
      <c r="C868" s="1"/>
      <c r="D868" s="1"/>
      <c r="E868" s="55" t="s">
        <v>7</v>
      </c>
      <c r="F868" s="1"/>
      <c r="G868" s="1"/>
      <c r="H868" s="1"/>
      <c r="I868" s="55" t="s">
        <v>7</v>
      </c>
      <c r="J868" s="1"/>
      <c r="K868" s="1"/>
      <c r="L868" s="1"/>
      <c r="M868" s="55" t="s">
        <v>7</v>
      </c>
      <c r="N868" s="1"/>
      <c r="O868" s="1"/>
      <c r="P868" s="1"/>
      <c r="Q868" s="55" t="s">
        <v>7</v>
      </c>
      <c r="R868" s="55" t="s">
        <v>7</v>
      </c>
    </row>
    <row r="869" spans="1:18" ht="15.75" customHeight="1" thickBot="1" x14ac:dyDescent="0.35">
      <c r="A869" s="15" t="s">
        <v>70</v>
      </c>
      <c r="B869" s="1"/>
      <c r="C869" s="1"/>
      <c r="D869" s="1"/>
      <c r="E869" s="55" t="s">
        <v>7</v>
      </c>
      <c r="F869" s="1"/>
      <c r="G869" s="1"/>
      <c r="H869" s="1"/>
      <c r="I869" s="55" t="s">
        <v>7</v>
      </c>
      <c r="J869" s="1"/>
      <c r="K869" s="1"/>
      <c r="L869" s="1"/>
      <c r="M869" s="55" t="s">
        <v>7</v>
      </c>
      <c r="N869" s="1"/>
      <c r="O869" s="1"/>
      <c r="P869" s="1"/>
      <c r="Q869" s="55" t="s">
        <v>7</v>
      </c>
      <c r="R869" s="55" t="s">
        <v>7</v>
      </c>
    </row>
    <row r="870" spans="1:18" ht="16.5" customHeight="1" thickBot="1" x14ac:dyDescent="0.35">
      <c r="A870" s="57" t="s">
        <v>71</v>
      </c>
      <c r="B870" s="58">
        <f>SUM(B868:B869)</f>
        <v>0</v>
      </c>
      <c r="C870" s="58">
        <f>SUM(C868:C869)</f>
        <v>0</v>
      </c>
      <c r="D870" s="58">
        <f>SUM(D868:D869)</f>
        <v>0</v>
      </c>
      <c r="E870" s="60">
        <f>SUM(B870:D870)</f>
        <v>0</v>
      </c>
      <c r="F870" s="58">
        <f>SUM(F868:F869)</f>
        <v>0</v>
      </c>
      <c r="G870" s="58">
        <f>SUM(G868:G869)</f>
        <v>0</v>
      </c>
      <c r="H870" s="58">
        <f>SUM(H868:H869)</f>
        <v>0</v>
      </c>
      <c r="I870" s="60">
        <f>SUM(F870:H870)</f>
        <v>0</v>
      </c>
      <c r="J870" s="58">
        <f>SUM(J868:J869)</f>
        <v>0</v>
      </c>
      <c r="K870" s="58">
        <f>SUM(K868:K869)</f>
        <v>0</v>
      </c>
      <c r="L870" s="58">
        <f>SUM(L868:L869)</f>
        <v>0</v>
      </c>
      <c r="M870" s="60">
        <f>SUM(J870:L870)</f>
        <v>0</v>
      </c>
      <c r="N870" s="58">
        <f>SUM(N868:N869)</f>
        <v>0</v>
      </c>
      <c r="O870" s="58">
        <f>SUM(O868:O869)</f>
        <v>0</v>
      </c>
      <c r="P870" s="58">
        <f>SUM(P868:P869)</f>
        <v>0</v>
      </c>
      <c r="Q870" s="60">
        <f>SUM(N870:P870)</f>
        <v>0</v>
      </c>
      <c r="R870" s="59">
        <f>+E870+I870+M870+Q870</f>
        <v>0</v>
      </c>
    </row>
    <row r="871" spans="1:18" ht="16.5" customHeight="1" thickBot="1" x14ac:dyDescent="0.35">
      <c r="A871" s="57" t="s">
        <v>72</v>
      </c>
      <c r="B871" s="86">
        <f>SUM(B861:B869)</f>
        <v>0</v>
      </c>
      <c r="C871" s="87">
        <f>SUM(C861:C869)</f>
        <v>0</v>
      </c>
      <c r="D871" s="118">
        <f>SUM(D861:D869)</f>
        <v>0</v>
      </c>
      <c r="E871" s="60">
        <f>SUM(B871:D871)</f>
        <v>0</v>
      </c>
      <c r="F871" s="87">
        <f>SUM(F861:F869)</f>
        <v>0</v>
      </c>
      <c r="G871" s="87">
        <f>SUM(G861:G869)</f>
        <v>0</v>
      </c>
      <c r="H871" s="87">
        <f>SUM(H861:H869)</f>
        <v>0</v>
      </c>
      <c r="I871" s="60">
        <f>SUM(F871:H871)</f>
        <v>0</v>
      </c>
      <c r="J871" s="87">
        <f>SUM(J861:J869)</f>
        <v>0</v>
      </c>
      <c r="K871" s="87">
        <f>SUM(K861:K869)</f>
        <v>0</v>
      </c>
      <c r="L871" s="87">
        <f>SUM(L861:L869)</f>
        <v>0</v>
      </c>
      <c r="M871" s="60">
        <f>SUM(J871:L871)</f>
        <v>0</v>
      </c>
      <c r="N871" s="87">
        <f>SUM(N861:N869)</f>
        <v>2050</v>
      </c>
      <c r="O871" s="87">
        <f>SUM(O861:O869)</f>
        <v>1147</v>
      </c>
      <c r="P871" s="87">
        <f>SUM(P861:P869)</f>
        <v>1103</v>
      </c>
      <c r="Q871" s="60">
        <f>SUM(N871:P871)</f>
        <v>4300</v>
      </c>
      <c r="R871" s="59">
        <f>+E871+I871+M871+Q871</f>
        <v>4300</v>
      </c>
    </row>
    <row r="872" spans="1:18" ht="16.5" customHeight="1" thickBot="1" x14ac:dyDescent="0.35">
      <c r="A872" s="57" t="s">
        <v>73</v>
      </c>
      <c r="B872" s="90">
        <f>+B844+B849+B860+B871</f>
        <v>3543</v>
      </c>
      <c r="C872" s="58">
        <f>+C844+C849+C860+C871</f>
        <v>3818</v>
      </c>
      <c r="D872" s="58">
        <f>+D844+D849+D860+D871</f>
        <v>3890</v>
      </c>
      <c r="E872" s="59">
        <f>SUM(B872:D872)</f>
        <v>11251</v>
      </c>
      <c r="F872" s="58">
        <f>+F844+F849+F860+F871</f>
        <v>4249</v>
      </c>
      <c r="G872" s="58">
        <f>+G844+G849+G860+G871</f>
        <v>3927</v>
      </c>
      <c r="H872" s="58">
        <f>+H844+H849+H860+H871</f>
        <v>4249</v>
      </c>
      <c r="I872" s="59">
        <f>SUM(F872:H872)</f>
        <v>12425</v>
      </c>
      <c r="J872" s="58">
        <f>+J844+J849+J860+J871</f>
        <v>4066</v>
      </c>
      <c r="K872" s="58">
        <f>+K844+K849+K860+K871</f>
        <v>3893</v>
      </c>
      <c r="L872" s="58">
        <f>+L844+L849+L860+L871</f>
        <v>4076</v>
      </c>
      <c r="M872" s="59">
        <f>SUM(J872:L872)</f>
        <v>12035</v>
      </c>
      <c r="N872" s="58">
        <f>+N844+N849+N860+N871</f>
        <v>3720</v>
      </c>
      <c r="O872" s="58">
        <f>+O844+O849+O860+O871</f>
        <v>1647</v>
      </c>
      <c r="P872" s="58">
        <f>+P844+P849+P860+P871</f>
        <v>1927</v>
      </c>
      <c r="Q872" s="59">
        <f>SUM(N872:P872)</f>
        <v>7294</v>
      </c>
      <c r="R872" s="81">
        <f>+E872+I872+M872+Q872</f>
        <v>43005</v>
      </c>
    </row>
    <row r="873" spans="1:18" ht="16.5" customHeight="1" thickBot="1" x14ac:dyDescent="0.35">
      <c r="A873" s="39" t="s">
        <v>40</v>
      </c>
      <c r="B873" s="21">
        <v>11</v>
      </c>
      <c r="C873" s="21">
        <v>13</v>
      </c>
      <c r="D873" s="21">
        <v>17</v>
      </c>
      <c r="E873" s="55">
        <f>SUM(B873:D873)</f>
        <v>41</v>
      </c>
      <c r="F873" s="21">
        <v>21</v>
      </c>
      <c r="G873" s="21">
        <v>23</v>
      </c>
      <c r="H873" s="21">
        <v>25</v>
      </c>
      <c r="I873" s="55">
        <f>SUM(F873:H873)</f>
        <v>69</v>
      </c>
      <c r="J873" s="21">
        <v>25</v>
      </c>
      <c r="K873" s="21">
        <v>21</v>
      </c>
      <c r="L873" s="21">
        <v>19</v>
      </c>
      <c r="M873" s="55">
        <f>SUM(J873:L873)</f>
        <v>65</v>
      </c>
      <c r="N873" s="21">
        <v>17</v>
      </c>
      <c r="O873" s="21">
        <v>13</v>
      </c>
      <c r="P873" s="21">
        <v>11</v>
      </c>
      <c r="Q873" s="55">
        <f>SUM(N873:P873)</f>
        <v>41</v>
      </c>
      <c r="R873" s="55">
        <f>+E873+I873+M873+Q873</f>
        <v>216</v>
      </c>
    </row>
    <row r="874" spans="1:18" ht="16.5" customHeight="1" thickBot="1" x14ac:dyDescent="0.35">
      <c r="A874" s="41"/>
      <c r="B874" s="36"/>
      <c r="C874" s="36"/>
      <c r="D874" s="36"/>
      <c r="E874" s="59" t="s">
        <v>7</v>
      </c>
      <c r="F874" s="36"/>
      <c r="G874" s="36"/>
      <c r="H874" s="36"/>
      <c r="I874" s="59" t="s">
        <v>7</v>
      </c>
      <c r="J874" s="36"/>
      <c r="K874" s="36"/>
      <c r="L874" s="36"/>
      <c r="M874" s="59" t="s">
        <v>7</v>
      </c>
      <c r="N874" s="36"/>
      <c r="O874" s="36"/>
      <c r="P874" s="36"/>
      <c r="Q874" s="59" t="s">
        <v>7</v>
      </c>
      <c r="R874" s="59" t="s">
        <v>7</v>
      </c>
    </row>
    <row r="875" spans="1:18" ht="15.75" customHeight="1" x14ac:dyDescent="0.3">
      <c r="A875" s="15" t="s">
        <v>41</v>
      </c>
      <c r="B875" s="1">
        <f>SUM(B872:B873)</f>
        <v>3554</v>
      </c>
      <c r="C875" s="1">
        <f>SUM(C872:C873)</f>
        <v>3831</v>
      </c>
      <c r="D875" s="1">
        <f>SUM(D872:D873)</f>
        <v>3907</v>
      </c>
      <c r="E875" s="60">
        <f>SUM(B875:D875)</f>
        <v>11292</v>
      </c>
      <c r="F875" s="1">
        <f>SUM(F872:F873)</f>
        <v>4270</v>
      </c>
      <c r="G875" s="1">
        <f>SUM(G872:G873)</f>
        <v>3950</v>
      </c>
      <c r="H875" s="1">
        <f>SUM(H872:H873)</f>
        <v>4274</v>
      </c>
      <c r="I875" s="60">
        <f>SUM(F875:H875)</f>
        <v>12494</v>
      </c>
      <c r="J875" s="1">
        <f>SUM(J872:J873)</f>
        <v>4091</v>
      </c>
      <c r="K875" s="1">
        <f>SUM(K872:K873)</f>
        <v>3914</v>
      </c>
      <c r="L875" s="1">
        <f>SUM(L872:L873)</f>
        <v>4095</v>
      </c>
      <c r="M875" s="60">
        <f>SUM(J875:L875)</f>
        <v>12100</v>
      </c>
      <c r="N875" s="1">
        <f>SUM(N872:N873)</f>
        <v>3737</v>
      </c>
      <c r="O875" s="1">
        <f>SUM(O872:O873)</f>
        <v>1660</v>
      </c>
      <c r="P875" s="1">
        <f>SUM(P872:P873)</f>
        <v>1938</v>
      </c>
      <c r="Q875" s="60">
        <f>SUM(N875:P875)</f>
        <v>7335</v>
      </c>
      <c r="R875" s="60">
        <f>+E875+I875+M875+Q875</f>
        <v>43221</v>
      </c>
    </row>
    <row r="876" spans="1:18" ht="15.75" customHeight="1" x14ac:dyDescent="0.3">
      <c r="A876" s="15" t="s">
        <v>42</v>
      </c>
      <c r="B876" s="1">
        <f>(B875/B10)/1.983</f>
        <v>57.813999642119299</v>
      </c>
      <c r="C876" s="1">
        <f>(C875/C10)/1.983</f>
        <v>66.617976941937499</v>
      </c>
      <c r="D876" s="1">
        <f>(D875/D10)/1.983</f>
        <v>63.55635807590324</v>
      </c>
      <c r="E876" s="55" t="s">
        <v>7</v>
      </c>
      <c r="F876" s="1">
        <f>(F875/F10)/1.983</f>
        <v>71.776769204908391</v>
      </c>
      <c r="G876" s="1">
        <f>(G875/G10)/1.983</f>
        <v>64.255852162738108</v>
      </c>
      <c r="H876" s="1">
        <f>(H875/H10)/1.983</f>
        <v>71.844007396201036</v>
      </c>
      <c r="I876" s="55" t="s">
        <v>7</v>
      </c>
      <c r="J876" s="1">
        <f>(J875/J10)/1.983</f>
        <v>66.549542075382689</v>
      </c>
      <c r="K876" s="1">
        <f>(K875/K10)/1.983</f>
        <v>63.670229206318218</v>
      </c>
      <c r="L876" s="1">
        <f>(L875/L10)/1.983</f>
        <v>68.835098335854767</v>
      </c>
      <c r="M876" s="55" t="s">
        <v>7</v>
      </c>
      <c r="N876" s="1">
        <f>(N875/N10)/1.983</f>
        <v>60.790916337253748</v>
      </c>
      <c r="O876" s="1">
        <f>(O875/O10)/1.983</f>
        <v>27.903849386451505</v>
      </c>
      <c r="P876" s="1">
        <f>(P875/P10)/1.983</f>
        <v>31.526035820604164</v>
      </c>
      <c r="Q876" s="55" t="s">
        <v>7</v>
      </c>
      <c r="R876" s="55" t="s">
        <v>7</v>
      </c>
    </row>
    <row r="877" spans="1:18" ht="15.75" customHeight="1" x14ac:dyDescent="0.3">
      <c r="A877" s="15" t="s">
        <v>372</v>
      </c>
      <c r="B877" s="1">
        <f>B875</f>
        <v>3554</v>
      </c>
      <c r="C877" s="1">
        <f>C875</f>
        <v>3831</v>
      </c>
      <c r="D877" s="1">
        <f>D875</f>
        <v>3907</v>
      </c>
      <c r="E877" s="55">
        <f>SUM(B877:D877)</f>
        <v>11292</v>
      </c>
      <c r="F877" s="1">
        <f>F875</f>
        <v>4270</v>
      </c>
      <c r="G877" s="1">
        <f>G875</f>
        <v>3950</v>
      </c>
      <c r="H877" s="1">
        <f>H875</f>
        <v>4274</v>
      </c>
      <c r="I877" s="55">
        <f>SUM(F877:H877)</f>
        <v>12494</v>
      </c>
      <c r="J877" s="1">
        <f>J875</f>
        <v>4091</v>
      </c>
      <c r="K877" s="1">
        <f>K875</f>
        <v>3914</v>
      </c>
      <c r="L877" s="1">
        <f>L875</f>
        <v>4095</v>
      </c>
      <c r="M877" s="55">
        <f>SUM(J877:L877)</f>
        <v>12100</v>
      </c>
      <c r="N877" s="1">
        <f>N875</f>
        <v>3737</v>
      </c>
      <c r="O877" s="1">
        <f>O875</f>
        <v>1660</v>
      </c>
      <c r="P877" s="1">
        <f>P875</f>
        <v>1938</v>
      </c>
      <c r="Q877" s="55">
        <f>SUM(N877:P877)</f>
        <v>7335</v>
      </c>
      <c r="R877" s="55">
        <f>+E877+I877+M877+Q877</f>
        <v>43221</v>
      </c>
    </row>
    <row r="878" spans="1:18" ht="16.5" customHeight="1" thickBot="1" x14ac:dyDescent="0.35">
      <c r="A878" s="20" t="s">
        <v>373</v>
      </c>
      <c r="B878" s="21">
        <f>(B877/B10)/1.983</f>
        <v>57.813999642119299</v>
      </c>
      <c r="C878" s="21">
        <f>(C877/C10)/1.983</f>
        <v>66.617976941937499</v>
      </c>
      <c r="D878" s="21">
        <f>(D877/D10)/1.983</f>
        <v>63.55635807590324</v>
      </c>
      <c r="E878" s="81" t="s">
        <v>7</v>
      </c>
      <c r="F878" s="21">
        <f>(F877/F10)/1.983</f>
        <v>71.776769204908391</v>
      </c>
      <c r="G878" s="21">
        <f>(G877/G10)/1.983</f>
        <v>64.255852162738108</v>
      </c>
      <c r="H878" s="21">
        <f>(H877/H10)/1.983</f>
        <v>71.844007396201036</v>
      </c>
      <c r="I878" s="81" t="s">
        <v>7</v>
      </c>
      <c r="J878" s="21">
        <f>(J877/J10)/1.983</f>
        <v>66.549542075382689</v>
      </c>
      <c r="K878" s="21">
        <f>(K877/K10)/1.983</f>
        <v>63.670229206318218</v>
      </c>
      <c r="L878" s="21">
        <f>(L877/L10)/1.983</f>
        <v>68.835098335854767</v>
      </c>
      <c r="M878" s="81" t="s">
        <v>7</v>
      </c>
      <c r="N878" s="21">
        <f>(N877/N10)/1.983</f>
        <v>60.790916337253748</v>
      </c>
      <c r="O878" s="21">
        <f>(O877/O10)/1.983</f>
        <v>27.903849386451505</v>
      </c>
      <c r="P878" s="21">
        <f>(P877/P10)/1.983</f>
        <v>31.526035820604164</v>
      </c>
      <c r="Q878" s="81" t="s">
        <v>7</v>
      </c>
      <c r="R878" s="81" t="s">
        <v>7</v>
      </c>
    </row>
    <row r="879" spans="1:18" ht="15.75" customHeight="1" x14ac:dyDescent="0.3">
      <c r="A879" s="28"/>
      <c r="B879" s="1"/>
      <c r="C879" s="1"/>
      <c r="D879" s="1"/>
      <c r="E879" s="2"/>
      <c r="F879" s="1"/>
      <c r="G879" s="1"/>
      <c r="H879" s="1"/>
      <c r="I879" s="2"/>
      <c r="J879" s="1"/>
      <c r="K879" s="1"/>
      <c r="L879" s="1"/>
      <c r="M879" s="2"/>
      <c r="N879" s="1"/>
      <c r="O879" s="1"/>
      <c r="P879" s="1"/>
      <c r="Q879" s="2"/>
      <c r="R879" s="2"/>
    </row>
    <row r="880" spans="1:18" ht="15.75" customHeight="1" x14ac:dyDescent="0.3">
      <c r="A880" s="28"/>
      <c r="B880" s="1"/>
      <c r="C880" s="1"/>
      <c r="D880" s="1"/>
      <c r="E880" s="1"/>
      <c r="F880" s="1"/>
      <c r="G880" s="1"/>
      <c r="H880" s="1"/>
      <c r="I880" s="1"/>
      <c r="J880" s="1"/>
      <c r="K880" s="1"/>
      <c r="L880" s="1"/>
      <c r="M880" s="1"/>
      <c r="N880" s="1"/>
      <c r="O880" s="1"/>
      <c r="P880" s="1"/>
      <c r="Q880" s="338" t="str">
        <f>+Q1</f>
        <v xml:space="preserve">PRINTED:  </v>
      </c>
      <c r="R880" s="360">
        <f ca="1">+R1</f>
        <v>44909.46975358796</v>
      </c>
    </row>
    <row r="881" spans="1:18" ht="15.75" customHeight="1" x14ac:dyDescent="0.3">
      <c r="A881" s="499" t="s">
        <v>1</v>
      </c>
      <c r="B881" s="499"/>
      <c r="C881" s="499"/>
      <c r="D881" s="499"/>
      <c r="E881" s="499"/>
      <c r="F881" s="499"/>
      <c r="G881" s="499"/>
      <c r="H881" s="499"/>
      <c r="I881" s="499"/>
      <c r="J881" s="499"/>
      <c r="K881" s="499"/>
      <c r="L881" s="499"/>
      <c r="M881" s="499"/>
      <c r="N881" s="499"/>
      <c r="O881" s="499"/>
      <c r="P881" s="499"/>
      <c r="Q881" s="499"/>
      <c r="R881" s="499"/>
    </row>
    <row r="882" spans="1:18" ht="15.75" customHeight="1" x14ac:dyDescent="0.3">
      <c r="A882" s="499" t="s">
        <v>2</v>
      </c>
      <c r="B882" s="499"/>
      <c r="C882" s="499"/>
      <c r="D882" s="499"/>
      <c r="E882" s="499"/>
      <c r="F882" s="499"/>
      <c r="G882" s="499"/>
      <c r="H882" s="499"/>
      <c r="I882" s="499"/>
      <c r="J882" s="499"/>
      <c r="K882" s="499"/>
      <c r="L882" s="499"/>
      <c r="M882" s="499"/>
      <c r="N882" s="499"/>
      <c r="O882" s="499"/>
      <c r="P882" s="499"/>
      <c r="Q882" s="499"/>
      <c r="R882" s="499"/>
    </row>
    <row r="883" spans="1:18" ht="15.75" customHeight="1" x14ac:dyDescent="0.3">
      <c r="A883" s="499" t="s">
        <v>3</v>
      </c>
      <c r="B883" s="499"/>
      <c r="C883" s="499"/>
      <c r="D883" s="499"/>
      <c r="E883" s="499"/>
      <c r="F883" s="499"/>
      <c r="G883" s="499"/>
      <c r="H883" s="499"/>
      <c r="I883" s="499"/>
      <c r="J883" s="499"/>
      <c r="K883" s="499"/>
      <c r="L883" s="499"/>
      <c r="M883" s="499"/>
      <c r="N883" s="499"/>
      <c r="O883" s="499"/>
      <c r="P883" s="499"/>
      <c r="Q883" s="499"/>
      <c r="R883" s="499"/>
    </row>
    <row r="884" spans="1:18" ht="15.75" customHeight="1" x14ac:dyDescent="0.3">
      <c r="A884" s="504">
        <f>+A5</f>
        <v>2020</v>
      </c>
      <c r="B884" s="504"/>
      <c r="C884" s="504"/>
      <c r="D884" s="504"/>
      <c r="E884" s="504"/>
      <c r="F884" s="504"/>
      <c r="G884" s="504"/>
      <c r="H884" s="504"/>
      <c r="I884" s="504"/>
      <c r="J884" s="504"/>
      <c r="K884" s="504"/>
      <c r="L884" s="504"/>
      <c r="M884" s="504"/>
      <c r="N884" s="504"/>
      <c r="O884" s="504"/>
      <c r="P884" s="504"/>
      <c r="Q884" s="504"/>
      <c r="R884" s="504"/>
    </row>
    <row r="885" spans="1:18" ht="15.75" customHeight="1" x14ac:dyDescent="0.3">
      <c r="A885" s="1"/>
      <c r="B885" s="1"/>
      <c r="C885" s="1"/>
      <c r="D885" s="5"/>
      <c r="E885" s="5"/>
      <c r="F885" s="5"/>
      <c r="G885" s="6"/>
      <c r="H885" s="5"/>
      <c r="I885" s="5"/>
      <c r="J885" s="6"/>
      <c r="K885" s="6"/>
      <c r="L885" s="6"/>
      <c r="M885" s="6"/>
      <c r="N885" s="1"/>
      <c r="O885" s="6"/>
      <c r="P885" s="6"/>
      <c r="Q885" s="6"/>
      <c r="R885" s="6"/>
    </row>
    <row r="886" spans="1:18" ht="15.75" customHeight="1" x14ac:dyDescent="0.3">
      <c r="A886" s="499" t="str">
        <f>+A8</f>
        <v>Revised:  12/23/2020</v>
      </c>
      <c r="B886" s="499"/>
      <c r="C886" s="499"/>
      <c r="D886" s="499"/>
      <c r="E886" s="499"/>
      <c r="F886" s="499"/>
      <c r="G886" s="499"/>
      <c r="H886" s="499"/>
      <c r="I886" s="499"/>
      <c r="J886" s="499"/>
      <c r="K886" s="499"/>
      <c r="L886" s="499"/>
      <c r="M886" s="499"/>
      <c r="N886" s="499"/>
      <c r="O886" s="499"/>
      <c r="P886" s="499"/>
      <c r="Q886" s="499"/>
      <c r="R886" s="499"/>
    </row>
    <row r="887" spans="1:18" ht="15.75" customHeight="1" x14ac:dyDescent="0.3">
      <c r="A887" s="314"/>
      <c r="B887" s="314"/>
      <c r="C887" s="314"/>
      <c r="D887" s="314"/>
      <c r="E887" s="314"/>
      <c r="F887" s="314"/>
      <c r="G887" s="314"/>
      <c r="H887" s="314"/>
      <c r="I887" s="314"/>
      <c r="J887" s="314"/>
      <c r="K887" s="314"/>
      <c r="L887" s="314"/>
      <c r="M887" s="314"/>
      <c r="N887" s="314"/>
      <c r="O887" s="314"/>
      <c r="P887" s="314"/>
      <c r="Q887" s="314"/>
      <c r="R887" s="314"/>
    </row>
    <row r="888" spans="1:18" ht="15.75" customHeight="1" x14ac:dyDescent="0.3">
      <c r="A888" s="314"/>
      <c r="B888" s="314"/>
      <c r="C888" s="314"/>
      <c r="D888" s="314"/>
      <c r="E888" s="314"/>
      <c r="F888" s="314"/>
      <c r="G888" s="314"/>
      <c r="H888" s="314"/>
      <c r="I888" s="314"/>
      <c r="J888" s="314"/>
      <c r="K888" s="314"/>
      <c r="L888" s="314"/>
      <c r="M888" s="314"/>
      <c r="N888" s="314"/>
      <c r="O888" s="314"/>
      <c r="P888" s="314"/>
      <c r="Q888" s="314"/>
      <c r="R888" s="314"/>
    </row>
    <row r="889" spans="1:18" ht="15.75" customHeight="1" thickBot="1" x14ac:dyDescent="0.35">
      <c r="A889" s="28"/>
      <c r="B889" s="1"/>
      <c r="C889" s="1"/>
      <c r="D889" s="1"/>
      <c r="E889" s="1"/>
      <c r="F889" s="1"/>
      <c r="G889" s="1"/>
      <c r="H889" s="1"/>
      <c r="I889" s="1"/>
      <c r="J889" s="1"/>
      <c r="K889" s="1"/>
      <c r="L889" s="1"/>
      <c r="M889" s="1"/>
      <c r="N889" s="1"/>
      <c r="O889" s="1"/>
      <c r="P889" s="1"/>
      <c r="Q889" s="1"/>
      <c r="R889" s="2"/>
    </row>
    <row r="890" spans="1:18" ht="16.5" customHeight="1" thickBot="1" x14ac:dyDescent="0.35">
      <c r="A890" s="124" t="s">
        <v>374</v>
      </c>
      <c r="B890" s="30" t="s">
        <v>8</v>
      </c>
      <c r="C890" s="31" t="s">
        <v>9</v>
      </c>
      <c r="D890" s="31" t="s">
        <v>10</v>
      </c>
      <c r="E890" s="32" t="s">
        <v>11</v>
      </c>
      <c r="F890" s="31" t="s">
        <v>12</v>
      </c>
      <c r="G890" s="31" t="s">
        <v>13</v>
      </c>
      <c r="H890" s="31" t="s">
        <v>14</v>
      </c>
      <c r="I890" s="33" t="s">
        <v>15</v>
      </c>
      <c r="J890" s="31" t="s">
        <v>16</v>
      </c>
      <c r="K890" s="31" t="s">
        <v>17</v>
      </c>
      <c r="L890" s="31" t="s">
        <v>18</v>
      </c>
      <c r="M890" s="33" t="s">
        <v>19</v>
      </c>
      <c r="N890" s="31" t="s">
        <v>20</v>
      </c>
      <c r="O890" s="31" t="s">
        <v>21</v>
      </c>
      <c r="P890" s="31" t="s">
        <v>22</v>
      </c>
      <c r="Q890" s="33" t="s">
        <v>23</v>
      </c>
      <c r="R890" s="133" t="s">
        <v>24</v>
      </c>
    </row>
    <row r="891" spans="1:18" ht="16.5" customHeight="1" thickBot="1" x14ac:dyDescent="0.35">
      <c r="A891" s="41"/>
      <c r="B891" s="36"/>
      <c r="C891" s="36"/>
      <c r="D891" s="36"/>
      <c r="E891" s="52"/>
      <c r="F891" s="36"/>
      <c r="G891" s="36"/>
      <c r="H891" s="36"/>
      <c r="I891" s="132"/>
      <c r="J891" s="36"/>
      <c r="K891" s="36"/>
      <c r="L891" s="36"/>
      <c r="M891" s="132"/>
      <c r="N891" s="36"/>
      <c r="O891" s="36"/>
      <c r="P891" s="36"/>
      <c r="Q891" s="134"/>
      <c r="R891" s="135"/>
    </row>
    <row r="892" spans="1:18" ht="15.75" customHeight="1" x14ac:dyDescent="0.3">
      <c r="A892" s="15" t="s">
        <v>48</v>
      </c>
      <c r="B892" s="1" t="s">
        <v>7</v>
      </c>
      <c r="C892" s="1" t="s">
        <v>7</v>
      </c>
      <c r="D892" s="1" t="s">
        <v>7</v>
      </c>
      <c r="E892" s="136"/>
      <c r="F892" s="1" t="s">
        <v>7</v>
      </c>
      <c r="G892" s="1" t="s">
        <v>7</v>
      </c>
      <c r="H892" s="1" t="s">
        <v>7</v>
      </c>
      <c r="I892" s="136"/>
      <c r="J892" s="1" t="s">
        <v>7</v>
      </c>
      <c r="K892" s="1" t="s">
        <v>7</v>
      </c>
      <c r="L892" s="1" t="s">
        <v>7</v>
      </c>
      <c r="M892" s="136"/>
      <c r="N892" s="1" t="s">
        <v>7</v>
      </c>
      <c r="O892" s="1" t="s">
        <v>7</v>
      </c>
      <c r="P892" s="1" t="s">
        <v>7</v>
      </c>
      <c r="Q892" s="137"/>
      <c r="R892" s="138" t="s">
        <v>7</v>
      </c>
    </row>
    <row r="893" spans="1:18" ht="15.75" customHeight="1" x14ac:dyDescent="0.3">
      <c r="A893" s="315" t="s">
        <v>49</v>
      </c>
      <c r="B893" s="1">
        <f>+SUM(B71:B85)+SUM(B147:B203)+SUM(B346:B381)+SUM(B535:B540)+SUM(B580:B585)+SUM(B625:B638)+SUM(B701:B704)+SUM(B737:B743)+SUM(B799:B800)+SUM(B833:B839)</f>
        <v>32475</v>
      </c>
      <c r="C893" s="1">
        <f>+SUM(C71:C85)+SUM(C147:C203)+SUM(C346:C381)+SUM(C535:C540)+SUM(C580:C585)+SUM(C625:C638)+SUM(C701:C704)+SUM(C737:C743)+SUM(C799:C800)+SUM(C833:C839)</f>
        <v>38924</v>
      </c>
      <c r="D893" s="1">
        <f>+SUM(D71:D85)+SUM(D147:D203)+SUM(D346:D381)+SUM(D535:D540)+SUM(D580:D585)+SUM(D625:D638)+SUM(D701:D704)+SUM(D737:D743)+SUM(D799:D800)+SUM(D833:D839)</f>
        <v>42894</v>
      </c>
      <c r="E893" s="55">
        <f t="shared" ref="E893:E899" si="301">SUM(B893:D893)</f>
        <v>114293</v>
      </c>
      <c r="F893" s="1">
        <f>+SUM(F71:F85)+SUM(F147:F203)+SUM(F346:F381)+SUM(F535:F540)+SUM(F580:F585)+SUM(F625:F638)+SUM(F701:F704)+SUM(F737:F743)+SUM(F799:F800)+SUM(F833:F839)</f>
        <v>56405</v>
      </c>
      <c r="G893" s="1">
        <f>+SUM(G71:G85)+SUM(G147:G203)+SUM(G346:G381)+SUM(G535:G540)+SUM(G580:G585)+SUM(G625:G638)+SUM(G701:G704)+SUM(G737:G743)+SUM(G799:G800)+SUM(G833:G839)</f>
        <v>63283</v>
      </c>
      <c r="H893" s="1">
        <f>+SUM(H71:H85)+SUM(H147:H203)+SUM(H346:H381)+SUM(H535:H540)+SUM(H580:H585)+SUM(H625:H638)+SUM(H701:H704)+SUM(H737:H743)+SUM(H799:H800)+SUM(H833:H839)</f>
        <v>72042</v>
      </c>
      <c r="I893" s="55">
        <f t="shared" ref="I893:I899" si="302">SUM(F893:H893)</f>
        <v>191730</v>
      </c>
      <c r="J893" s="1">
        <f>+SUM(J71:J85)+SUM(J147:J203)+SUM(J346:J381)+SUM(J535:J540)+SUM(J580:J585)+SUM(J625:J638)+SUM(J701:J704)+SUM(J737:J743)+SUM(J799:J800)+SUM(J833:J839)</f>
        <v>80574</v>
      </c>
      <c r="K893" s="1">
        <f>+SUM(K71:K85)+SUM(K147:K203)+SUM(K346:K381)+SUM(K535:K540)+SUM(K580:K585)+SUM(K625:K638)+SUM(K701:K704)+SUM(K737:K743)+SUM(K799:K800)+SUM(K833:K839)</f>
        <v>73383</v>
      </c>
      <c r="L893" s="1">
        <f>+SUM(L71:L85)+SUM(L147:L203)+SUM(L346:L381)+SUM(L535:L540)+SUM(L580:L585)+SUM(L625:L638)+SUM(L701:L704)+SUM(L737:L743)+SUM(L799:L800)+SUM(L833:L839)</f>
        <v>51997</v>
      </c>
      <c r="M893" s="55">
        <f t="shared" ref="M893:M899" si="303">SUM(J893:L893)</f>
        <v>205954</v>
      </c>
      <c r="N893" s="1">
        <f>+SUM(N71:N85)+SUM(N147:N203)+SUM(N346:N381)+SUM(N535:N540)+SUM(N580:N585)+SUM(N625:N638)+SUM(N701:N704)+SUM(N737:N743)+SUM(N799:N800)+SUM(N833:N839)</f>
        <v>42370</v>
      </c>
      <c r="O893" s="1">
        <f>+SUM(O71:O85)+SUM(O147:O203)+SUM(O346:O381)+SUM(O535:O540)+SUM(O580:O585)+SUM(O625:O638)+SUM(O701:O704)+SUM(O737:O743)+SUM(O799:O800)+SUM(O833:O839)</f>
        <v>28271</v>
      </c>
      <c r="P893" s="1">
        <f>+SUM(P71:P85)+SUM(P147:P203)+SUM(P346:P381)+SUM(P535:P540)+SUM(P580:P585)+SUM(P625:P638)+SUM(P701:P704)+SUM(P737:P743)+SUM(P799:P800)+SUM(P833:P839)</f>
        <v>25498</v>
      </c>
      <c r="Q893" s="55">
        <f t="shared" ref="Q893:Q899" si="304">SUM(N893:P893)</f>
        <v>96139</v>
      </c>
      <c r="R893" s="55">
        <f t="shared" ref="R893:R899" si="305">+E893+I893+M893+Q893</f>
        <v>608116</v>
      </c>
    </row>
    <row r="894" spans="1:18" ht="15.75" customHeight="1" x14ac:dyDescent="0.3">
      <c r="A894" s="15" t="s">
        <v>1014</v>
      </c>
      <c r="B894" s="1">
        <f>+B38+SUM(B86:B87)+SUM(B205:B214)+SUM(B383:B393)+SUM(B542:B543)+B586+SUM(B639:B640)+B705+B744+B801+SUM(B840:B840)</f>
        <v>0</v>
      </c>
      <c r="C894" s="1">
        <f>+C38+SUM(C86:C87)+SUM(C205:C214)+SUM(C383:C393)+SUM(C542:C543)+C586+SUM(C639:C640)+C705+C744+C801+SUM(C840:C840)</f>
        <v>0</v>
      </c>
      <c r="D894" s="1">
        <f>+D38+SUM(D86:D87)+SUM(D205:D214)+SUM(D383:D393)+SUM(D542:D543)+D586+SUM(D639:D640)+D705+D744+D801+SUM(D840:D840)</f>
        <v>0</v>
      </c>
      <c r="E894" s="55">
        <f t="shared" si="301"/>
        <v>0</v>
      </c>
      <c r="F894" s="1">
        <f>+F38+SUM(F86:F87)+SUM(F205:F214)+SUM(F383:F393)+SUM(F542:F543)+F586+SUM(F639:F640)+F705+F744+F801+SUM(F840:F840)</f>
        <v>0</v>
      </c>
      <c r="G894" s="1">
        <f>+G38+SUM(G86:G87)+SUM(G205:G214)+SUM(G383:G393)+SUM(G542:G543)+G586+SUM(G639:G640)+G705+G744+G801+SUM(G840:G840)</f>
        <v>0</v>
      </c>
      <c r="H894" s="1">
        <f>+H38+SUM(H86:H87)+SUM(H205:H214)+SUM(H383:H393)+SUM(H542:H543)+H586+SUM(H639:H640)+H705+H744+H801+SUM(H840:H840)</f>
        <v>0</v>
      </c>
      <c r="I894" s="55">
        <f t="shared" si="302"/>
        <v>0</v>
      </c>
      <c r="J894" s="1">
        <f>+J38+SUM(J86:J87)+SUM(J205:J214)+SUM(J383:J393)+SUM(J542:J543)+J586+SUM(J639:J640)+J705+J744+J801+SUM(J840:J840)</f>
        <v>0</v>
      </c>
      <c r="K894" s="1">
        <f>+K38+SUM(K86:K87)+SUM(K205:K214)+SUM(K383:K393)+SUM(K542:K543)+K586+SUM(K639:K640)+K705+K744+K801+SUM(K840:K840)</f>
        <v>0</v>
      </c>
      <c r="L894" s="1">
        <f>+L38+SUM(L86:L87)+SUM(L205:L214)+SUM(L383:L393)+SUM(L542:L543)+L586+SUM(L639:L640)+L705+L744+L801+SUM(L840:L840)</f>
        <v>0</v>
      </c>
      <c r="M894" s="55">
        <f t="shared" si="303"/>
        <v>0</v>
      </c>
      <c r="N894" s="1">
        <f>+N38+SUM(N86:N87)+SUM(N205:N214)+SUM(N383:N393)+SUM(N542:N543)+N586+SUM(N639:N640)+N705+N744+N801+SUM(N840:N840)</f>
        <v>0</v>
      </c>
      <c r="O894" s="1">
        <f>+O38+SUM(O86:O87)+SUM(O205:O214)+SUM(O383:O393)+SUM(O542:O543)+O586+SUM(O639:O640)+O705+O744+O801+SUM(O840:O840)</f>
        <v>0</v>
      </c>
      <c r="P894" s="1">
        <f>+P38+SUM(P86:P87)+SUM(P205:P214)+SUM(P383:P393)+SUM(P542:P543)+P586+SUM(P639:P640)+P705+P744+P801+SUM(P840:P840)</f>
        <v>0</v>
      </c>
      <c r="Q894" s="55">
        <f t="shared" si="304"/>
        <v>0</v>
      </c>
      <c r="R894" s="55">
        <f t="shared" si="305"/>
        <v>0</v>
      </c>
    </row>
    <row r="895" spans="1:18" ht="15.75" customHeight="1" x14ac:dyDescent="0.3">
      <c r="A895" s="315" t="s">
        <v>1015</v>
      </c>
      <c r="B895" s="1">
        <f>+SUM(B88:B90)+SUM(B215:B218)+SUM(B394:B398)+B544+B587+SUM(B641:B642)+B706+B745+B802+SUM(B841:B842)</f>
        <v>0</v>
      </c>
      <c r="C895" s="1">
        <f>+SUM(C88:C90)+SUM(C215:C218)+SUM(C394:C398)+C544+C587+SUM(C641:C642)+C706+C745+C802+SUM(C841:C842)</f>
        <v>0</v>
      </c>
      <c r="D895" s="1">
        <f>+SUM(D88:D90)+SUM(D215:D218)+SUM(D394:D398)+D544+D587+SUM(D641:D642)+D706+D745+D802+SUM(D841:D842)</f>
        <v>0</v>
      </c>
      <c r="E895" s="55">
        <f t="shared" si="301"/>
        <v>0</v>
      </c>
      <c r="F895" s="1">
        <f>+SUM(F88:F90)+SUM(F215:F218)+SUM(F394:F398)+F544+F587+SUM(F641:F642)+F706+F745+F802+SUM(F841:F842)</f>
        <v>0</v>
      </c>
      <c r="G895" s="1">
        <f>+SUM(G88:G90)+SUM(G215:G218)+SUM(G394:G398)+G544+G587+SUM(G641:G642)+G706+G745+G802+SUM(G841:G842)</f>
        <v>0</v>
      </c>
      <c r="H895" s="1">
        <f>+SUM(H88:H90)+SUM(H215:H218)+SUM(H394:H398)+H544+H587+SUM(H641:H642)+H706+H745+H802+SUM(H841:H842)</f>
        <v>184</v>
      </c>
      <c r="I895" s="55">
        <f t="shared" si="302"/>
        <v>184</v>
      </c>
      <c r="J895" s="1">
        <f>+SUM(J88:J90)+SUM(J215:J218)+SUM(J394:J398)+J544+J587+SUM(J641:J642)+J706+J745+J802+SUM(J841:J842)</f>
        <v>181</v>
      </c>
      <c r="K895" s="1">
        <f>+SUM(K88:K90)+SUM(K215:K218)+SUM(K394:K398)+K544+K587+SUM(K641:K642)+K706+K745+K802+SUM(K841:K842)</f>
        <v>192</v>
      </c>
      <c r="L895" s="1">
        <f>+SUM(L88:L90)+SUM(L215:L218)+SUM(L394:L398)+L544+L587+SUM(L641:L642)+L706+L745+L802+SUM(L841:L842)</f>
        <v>143</v>
      </c>
      <c r="M895" s="55">
        <f t="shared" si="303"/>
        <v>516</v>
      </c>
      <c r="N895" s="1">
        <f>+SUM(N88:N90)+SUM(N215:N218)+SUM(N394:N398)+N544+N587+SUM(N641:N642)+N706+N745+N802+SUM(N841:N842)</f>
        <v>103</v>
      </c>
      <c r="O895" s="1">
        <f>+SUM(O88:O90)+SUM(O215:O218)+SUM(O394:O398)+O544+O587+SUM(O641:O642)+O706+O745+O802+SUM(O841:O842)</f>
        <v>47</v>
      </c>
      <c r="P895" s="1">
        <f>+SUM(P88:P90)+SUM(P215:P218)+SUM(P394:P398)+P544+P587+SUM(P641:P642)+P706+P745+P802+SUM(P841:P842)</f>
        <v>0</v>
      </c>
      <c r="Q895" s="55">
        <f t="shared" si="304"/>
        <v>150</v>
      </c>
      <c r="R895" s="55">
        <f>+E895+I895+M895+Q895</f>
        <v>850</v>
      </c>
    </row>
    <row r="896" spans="1:18" ht="15.75" customHeight="1" x14ac:dyDescent="0.3">
      <c r="A896" s="15" t="s">
        <v>1016</v>
      </c>
      <c r="B896" s="1">
        <f>+B323+B516+B517</f>
        <v>0</v>
      </c>
      <c r="C896" s="1">
        <f>+C323+C516+C517</f>
        <v>0</v>
      </c>
      <c r="D896" s="1">
        <f>+D323+D516+D517</f>
        <v>0</v>
      </c>
      <c r="E896" s="55">
        <f t="shared" si="301"/>
        <v>0</v>
      </c>
      <c r="F896" s="1">
        <f>+F323+F516+F517</f>
        <v>0</v>
      </c>
      <c r="G896" s="1">
        <f>+G323+G516+G517</f>
        <v>0</v>
      </c>
      <c r="H896" s="1">
        <f>+H323+H516+H517</f>
        <v>0</v>
      </c>
      <c r="I896" s="55">
        <f t="shared" si="302"/>
        <v>0</v>
      </c>
      <c r="J896" s="1">
        <f>+J323+J516+J517</f>
        <v>0</v>
      </c>
      <c r="K896" s="1">
        <f>+K323+K516+K517</f>
        <v>0</v>
      </c>
      <c r="L896" s="1">
        <f>+L323+L516+L517</f>
        <v>0</v>
      </c>
      <c r="M896" s="55">
        <f t="shared" si="303"/>
        <v>0</v>
      </c>
      <c r="N896" s="1">
        <f>+N323+N516+N517</f>
        <v>0</v>
      </c>
      <c r="O896" s="1">
        <f>+O323+O516+O517</f>
        <v>0</v>
      </c>
      <c r="P896" s="1">
        <f>+P323+P516+P517</f>
        <v>0</v>
      </c>
      <c r="Q896" s="55">
        <f t="shared" si="304"/>
        <v>0</v>
      </c>
      <c r="R896" s="55">
        <f t="shared" si="305"/>
        <v>0</v>
      </c>
    </row>
    <row r="897" spans="1:20" ht="15.75" customHeight="1" x14ac:dyDescent="0.3">
      <c r="A897" s="315" t="s">
        <v>377</v>
      </c>
      <c r="B897" s="1">
        <f>+B324</f>
        <v>23</v>
      </c>
      <c r="C897" s="1">
        <f>+C324</f>
        <v>67</v>
      </c>
      <c r="D897" s="1">
        <f>+D324</f>
        <v>18</v>
      </c>
      <c r="E897" s="55">
        <f>SUM(B897:D897)</f>
        <v>108</v>
      </c>
      <c r="F897" s="1">
        <f>+F324</f>
        <v>33</v>
      </c>
      <c r="G897" s="1">
        <f>+G324</f>
        <v>45</v>
      </c>
      <c r="H897" s="1">
        <f>+H324</f>
        <v>51</v>
      </c>
      <c r="I897" s="55">
        <f>SUM(F897:H897)</f>
        <v>129</v>
      </c>
      <c r="J897" s="1">
        <f>+J324</f>
        <v>39</v>
      </c>
      <c r="K897" s="1">
        <f>+K324</f>
        <v>21</v>
      </c>
      <c r="L897" s="1">
        <f>+L324</f>
        <v>26</v>
      </c>
      <c r="M897" s="55">
        <f>SUM(J897:L897)</f>
        <v>86</v>
      </c>
      <c r="N897" s="1">
        <f>+N324</f>
        <v>28</v>
      </c>
      <c r="O897" s="1">
        <f>+O324</f>
        <v>41</v>
      </c>
      <c r="P897" s="1">
        <f>+P324</f>
        <v>49</v>
      </c>
      <c r="Q897" s="55">
        <f t="shared" si="304"/>
        <v>118</v>
      </c>
      <c r="R897" s="55">
        <f>+E897+I897+M897+Q897</f>
        <v>441</v>
      </c>
    </row>
    <row r="898" spans="1:20" ht="15.75" customHeight="1" thickBot="1" x14ac:dyDescent="0.35">
      <c r="A898" s="15" t="s">
        <v>53</v>
      </c>
      <c r="B898" s="1">
        <f>+B91+B545+B588+B643+B707+B746+B803+B843</f>
        <v>0</v>
      </c>
      <c r="C898" s="1">
        <f>+C91+C545+C588+C643+C707+C746+C803+C843</f>
        <v>0</v>
      </c>
      <c r="D898" s="1">
        <f>+D91+D545+D588+D643+D707+D746+D803+D843</f>
        <v>0</v>
      </c>
      <c r="E898" s="55">
        <f t="shared" si="301"/>
        <v>0</v>
      </c>
      <c r="F898" s="1">
        <f>+F91+F545+F588+F643+F707+F746+F803+F843</f>
        <v>0</v>
      </c>
      <c r="G898" s="1">
        <f>+G91+G545+G588+G643+G707+G746+G803+G843</f>
        <v>0</v>
      </c>
      <c r="H898" s="1">
        <f>+H91+H545+H588+H643+H707+H746+H803+H843</f>
        <v>0</v>
      </c>
      <c r="I898" s="55">
        <f t="shared" si="302"/>
        <v>0</v>
      </c>
      <c r="J898" s="1">
        <f>+J91+J545+J588+J643+J707+J746+J803+J843</f>
        <v>0</v>
      </c>
      <c r="K898" s="1">
        <f>+K91+K545+K588+K643+K707+K746+K803+K843</f>
        <v>0</v>
      </c>
      <c r="L898" s="1">
        <f>+L91+L545+L588+L643+L707+L746+L803+L843</f>
        <v>0</v>
      </c>
      <c r="M898" s="55">
        <f t="shared" si="303"/>
        <v>0</v>
      </c>
      <c r="N898" s="1">
        <f>+N91+N545+N588+N643+N707+N746+N803+N843</f>
        <v>0</v>
      </c>
      <c r="O898" s="1">
        <f>+O91+O545+O588+O643+O707+O746+O803+O843</f>
        <v>0</v>
      </c>
      <c r="P898" s="1">
        <f>+P91+P545+P588+P643+P707+P746+P803+P843</f>
        <v>0</v>
      </c>
      <c r="Q898" s="55">
        <f t="shared" si="304"/>
        <v>0</v>
      </c>
      <c r="R898" s="55">
        <f t="shared" si="305"/>
        <v>0</v>
      </c>
    </row>
    <row r="899" spans="1:20" ht="16.5" customHeight="1" thickBot="1" x14ac:dyDescent="0.35">
      <c r="A899" s="57" t="s">
        <v>54</v>
      </c>
      <c r="B899" s="86">
        <f>SUM(B892:B898)</f>
        <v>32498</v>
      </c>
      <c r="C899" s="87">
        <f>SUM(C892:C898)</f>
        <v>38991</v>
      </c>
      <c r="D899" s="87">
        <f>SUM(D892:D898)</f>
        <v>42912</v>
      </c>
      <c r="E899" s="59">
        <f t="shared" si="301"/>
        <v>114401</v>
      </c>
      <c r="F899" s="87">
        <f>SUM(F892:F898)</f>
        <v>56438</v>
      </c>
      <c r="G899" s="87">
        <f>SUM(G892:G898)</f>
        <v>63328</v>
      </c>
      <c r="H899" s="87">
        <f>SUM(H892:H898)</f>
        <v>72277</v>
      </c>
      <c r="I899" s="59">
        <f t="shared" si="302"/>
        <v>192043</v>
      </c>
      <c r="J899" s="87">
        <f>SUM(J892:J898)</f>
        <v>80794</v>
      </c>
      <c r="K899" s="87">
        <f>SUM(K892:K898)</f>
        <v>73596</v>
      </c>
      <c r="L899" s="87">
        <f>SUM(L892:L898)</f>
        <v>52166</v>
      </c>
      <c r="M899" s="59">
        <f t="shared" si="303"/>
        <v>206556</v>
      </c>
      <c r="N899" s="87">
        <f>SUM(N892:N898)</f>
        <v>42501</v>
      </c>
      <c r="O899" s="87">
        <f>SUM(O892:O898)</f>
        <v>28359</v>
      </c>
      <c r="P899" s="87">
        <f>SUM(P892:P898)</f>
        <v>25547</v>
      </c>
      <c r="Q899" s="59">
        <f t="shared" si="304"/>
        <v>96407</v>
      </c>
      <c r="R899" s="59">
        <f t="shared" si="305"/>
        <v>609407</v>
      </c>
      <c r="T899" s="4">
        <f>+R899-R896-R895</f>
        <v>608557</v>
      </c>
    </row>
    <row r="900" spans="1:20" ht="15.75" customHeight="1" x14ac:dyDescent="0.3">
      <c r="A900" s="15" t="s">
        <v>55</v>
      </c>
      <c r="B900" s="1"/>
      <c r="C900" s="1"/>
      <c r="D900" s="1"/>
      <c r="E900" s="55" t="s">
        <v>7</v>
      </c>
      <c r="F900" s="1"/>
      <c r="G900" s="1"/>
      <c r="H900" s="1"/>
      <c r="I900" s="55" t="s">
        <v>7</v>
      </c>
      <c r="J900" s="1"/>
      <c r="K900" s="1"/>
      <c r="L900" s="1"/>
      <c r="M900" s="55" t="s">
        <v>7</v>
      </c>
      <c r="N900" s="1"/>
      <c r="O900" s="1"/>
      <c r="P900" s="1"/>
      <c r="Q900" s="55" t="s">
        <v>7</v>
      </c>
      <c r="R900" s="55" t="s">
        <v>7</v>
      </c>
    </row>
    <row r="901" spans="1:20" ht="15.75" customHeight="1" x14ac:dyDescent="0.3">
      <c r="A901" s="15" t="s">
        <v>56</v>
      </c>
      <c r="B901" s="1">
        <f>SUM(B43:B43)+SUM(B222:B222)+SUM(B94:B94)+SUM(B402:B402)</f>
        <v>0</v>
      </c>
      <c r="C901" s="1">
        <f>SUM(C43:C43)+SUM(C222:C222)+SUM(C94:C94)+SUM(C402:C402)</f>
        <v>0</v>
      </c>
      <c r="D901" s="1">
        <f>SUM(D43:D43)+SUM(D222:D222)+SUM(D94:D94)+SUM(D402:D402)</f>
        <v>0</v>
      </c>
      <c r="E901" s="55">
        <f>SUM(B901:D901)</f>
        <v>0</v>
      </c>
      <c r="F901" s="1">
        <f>SUM(F43:F43)+SUM(F222:F222)+SUM(F94:F94)+SUM(F402:F402)</f>
        <v>0</v>
      </c>
      <c r="G901" s="1">
        <f>SUM(G43:G43)+SUM(G222:G222)+SUM(G94:G94)+SUM(G402:G402)</f>
        <v>0</v>
      </c>
      <c r="H901" s="1">
        <f>SUM(H43:H43)+SUM(H222:H222)+SUM(H94:H94)+SUM(H402:H402)</f>
        <v>0</v>
      </c>
      <c r="I901" s="55">
        <f>SUM(F901:H901)</f>
        <v>0</v>
      </c>
      <c r="J901" s="1">
        <f>SUM(J43:J43)+SUM(J222:J222)+SUM(J94:J94)+SUM(J402:J402)</f>
        <v>0</v>
      </c>
      <c r="K901" s="1">
        <f>SUM(K43:K43)+SUM(K222:K222)+SUM(K94:K94)+SUM(K402:K402)</f>
        <v>0</v>
      </c>
      <c r="L901" s="1">
        <f>SUM(L43:L43)+SUM(L222:L222)+SUM(L94:L94)+SUM(L402:L402)</f>
        <v>0</v>
      </c>
      <c r="M901" s="55">
        <f>SUM(J901:L901)</f>
        <v>0</v>
      </c>
      <c r="N901" s="1">
        <f>SUM(N43:N43)+SUM(N222:N222)+SUM(N94:N94)+SUM(N402:N402)</f>
        <v>0</v>
      </c>
      <c r="O901" s="1">
        <f>SUM(O43:O43)+SUM(O222:O222)+SUM(O94:O94)+SUM(O402:O402)</f>
        <v>0</v>
      </c>
      <c r="P901" s="1">
        <f>SUM(P43:P43)+SUM(P222:P222)+SUM(P94:P94)+SUM(P402:P402)</f>
        <v>0</v>
      </c>
      <c r="Q901" s="55">
        <f>SUM(N901:P901)</f>
        <v>0</v>
      </c>
      <c r="R901" s="55">
        <f>+E901+I901+M901+Q901</f>
        <v>0</v>
      </c>
    </row>
    <row r="902" spans="1:20" ht="15.75" customHeight="1" x14ac:dyDescent="0.3">
      <c r="A902" s="315" t="s">
        <v>57</v>
      </c>
      <c r="B902" s="1">
        <f>+SUM(B96:B97)+SUM(B223:B225)+SUM(B403:B412)+B549+SUM(B591:B593)+SUM(B646:B648)+SUM(B710:B710)+B749+B806+SUM(B846:B847)</f>
        <v>2068</v>
      </c>
      <c r="C902" s="1">
        <f>+SUM(C96:C97)+SUM(C223:C225)+SUM(C403:C412)+C549+SUM(C591:C593)+SUM(C646:C648)+SUM(C710:C710)+C749+C806+SUM(C846:C847)</f>
        <v>5849</v>
      </c>
      <c r="D902" s="1">
        <f>+SUM(D96:D97)+SUM(D223:D225)+SUM(D403:D412)+D549+SUM(D591:D593)+SUM(D646:D648)+SUM(D710:D710)+D749+D806+SUM(D846:D847)</f>
        <v>11643</v>
      </c>
      <c r="E902" s="55">
        <f>SUM(B902:D902)</f>
        <v>19560</v>
      </c>
      <c r="F902" s="1">
        <f>+SUM(F96:F97)+SUM(F223:F225)+SUM(F403:F412)+F549+SUM(F591:F593)+SUM(F646:F648)+SUM(F710:F710)+F749+F806+SUM(F846:F847)</f>
        <v>39157</v>
      </c>
      <c r="G902" s="1">
        <f>+SUM(G96:G97)+SUM(G223:G225)+SUM(G403:G412)+G549+SUM(G591:G593)+SUM(G646:G648)+SUM(G710:G710)+G749+G806+SUM(G846:G847)</f>
        <v>45754</v>
      </c>
      <c r="H902" s="1">
        <f>+SUM(H96:H97)+SUM(H223:H225)+SUM(H403:H412)+H549+SUM(H591:H593)+SUM(H646:H648)+SUM(H710:H710)+H749+H806+SUM(H846:H847)</f>
        <v>54158</v>
      </c>
      <c r="I902" s="55">
        <f>SUM(F902:H902)</f>
        <v>139069</v>
      </c>
      <c r="J902" s="1">
        <f>+SUM(J96:J97)+SUM(J223:J225)+SUM(J403:J412)+J549+SUM(J591:J593)+SUM(J646:J648)+SUM(J710:J710)+J749+J806+SUM(J846:J847)</f>
        <v>44542</v>
      </c>
      <c r="K902" s="1">
        <f>+SUM(K96:K97)+SUM(K223:K225)+SUM(K403:K412)+K549+SUM(K591:K593)+SUM(K646:K648)+SUM(K710:K710)+K749+K806+SUM(K846:K847)</f>
        <v>26171</v>
      </c>
      <c r="L902" s="1">
        <f>+SUM(L96:L97)+SUM(L223:L225)+SUM(L403:L412)+L549+SUM(L591:L593)+SUM(L646:L648)+SUM(L710:L710)+L749+L806+SUM(L846:L847)</f>
        <v>5757</v>
      </c>
      <c r="M902" s="55">
        <f>SUM(J902:L902)</f>
        <v>76470</v>
      </c>
      <c r="N902" s="1">
        <f>+SUM(N96:N97)+SUM(N223:N225)+SUM(N403:N412)+N549+SUM(N591:N593)+SUM(N646:N648)+SUM(N710:N710)+N749+N806+SUM(N846:N847)</f>
        <v>5636</v>
      </c>
      <c r="O902" s="1">
        <f>+SUM(O96:O97)+SUM(O223:O225)+SUM(O403:O412)+O549+SUM(O591:O593)+SUM(O646:O648)+SUM(O710:O710)+O749+O806+SUM(O846:O847)</f>
        <v>4856</v>
      </c>
      <c r="P902" s="1">
        <f>+SUM(P96:P97)+SUM(P223:P225)+SUM(P403:P412)+P549+SUM(P591:P593)+SUM(P646:P648)+SUM(P710:P710)+P749+P806+SUM(P846:P847)</f>
        <v>9824</v>
      </c>
      <c r="Q902" s="55">
        <f>SUM(N902:P902)</f>
        <v>20316</v>
      </c>
      <c r="R902" s="55">
        <f>+E902+I902+M902+Q902</f>
        <v>255415</v>
      </c>
    </row>
    <row r="903" spans="1:20" ht="15.75" customHeight="1" thickBot="1" x14ac:dyDescent="0.35">
      <c r="A903" s="15" t="s">
        <v>58</v>
      </c>
      <c r="B903" s="1">
        <f>+B98+B550+B594+B649+B711+B750+B807+B848+B413+B226+B45</f>
        <v>0</v>
      </c>
      <c r="C903" s="1">
        <f>+C98+C550+C594+C649+C711+C750+C807+C848+C413+C226+C45</f>
        <v>0</v>
      </c>
      <c r="D903" s="1">
        <f>+D98+D550+D594+D649+D711+D750+D807+D848+D413+D226+D45</f>
        <v>0</v>
      </c>
      <c r="E903" s="55">
        <f>SUM(B903:D903)</f>
        <v>0</v>
      </c>
      <c r="F903" s="1">
        <f>+F98+F550+F594+F649+F711+F750+F807+F848+F413+F226+F45</f>
        <v>0</v>
      </c>
      <c r="G903" s="1">
        <f>+G98+G550+G594+G649+G711+G750+G807+G848+G413+G226+G45</f>
        <v>0</v>
      </c>
      <c r="H903" s="1">
        <f>+H98+H550+H594+H649+H711+H750+H807+H848+H413+H226+H45</f>
        <v>0</v>
      </c>
      <c r="I903" s="55">
        <f>SUM(F903:H903)</f>
        <v>0</v>
      </c>
      <c r="J903" s="1">
        <f>+J98+J550+J594+J649+J711+J750+J807+J848+J413+J226+J45</f>
        <v>0</v>
      </c>
      <c r="K903" s="1">
        <f>+K98+K550+K594+K649+K711+K750+K807+K848+K413+K226+K45</f>
        <v>0</v>
      </c>
      <c r="L903" s="1">
        <f>+L98+L550+L594+L649+L711+L750+L807+L848+L413+L226+L45</f>
        <v>0</v>
      </c>
      <c r="M903" s="55">
        <f>SUM(J903:L903)</f>
        <v>0</v>
      </c>
      <c r="N903" s="1">
        <f>+N98+N550+N594+N649+N711+N750+N807+N848+N413+N226+N45</f>
        <v>0</v>
      </c>
      <c r="O903" s="1">
        <f>+O98+O550+O594+O649+O711+O750+O807+O848+O413+O226+O45</f>
        <v>0</v>
      </c>
      <c r="P903" s="1">
        <f>+P98+P550+P594+P649+P711+P750+P807+P848+P413+P226+P45</f>
        <v>0</v>
      </c>
      <c r="Q903" s="55">
        <f>SUM(N903:P903)</f>
        <v>0</v>
      </c>
      <c r="R903" s="55">
        <f>+E903+I903+M903+Q903</f>
        <v>0</v>
      </c>
    </row>
    <row r="904" spans="1:20" ht="16.5" customHeight="1" thickBot="1" x14ac:dyDescent="0.35">
      <c r="A904" s="57" t="s">
        <v>59</v>
      </c>
      <c r="B904" s="86">
        <f>SUM(B900:B903)</f>
        <v>2068</v>
      </c>
      <c r="C904" s="87">
        <f>SUM(C900:C903)</f>
        <v>5849</v>
      </c>
      <c r="D904" s="87">
        <f>SUM(D900:D903)</f>
        <v>11643</v>
      </c>
      <c r="E904" s="59">
        <f>SUM(B904:D904)</f>
        <v>19560</v>
      </c>
      <c r="F904" s="87">
        <f>SUM(F900:F903)</f>
        <v>39157</v>
      </c>
      <c r="G904" s="87">
        <f>SUM(G900:G903)</f>
        <v>45754</v>
      </c>
      <c r="H904" s="87">
        <f>SUM(H900:H903)</f>
        <v>54158</v>
      </c>
      <c r="I904" s="59">
        <f>SUM(F904:H904)</f>
        <v>139069</v>
      </c>
      <c r="J904" s="87">
        <f>SUM(J900:J903)</f>
        <v>44542</v>
      </c>
      <c r="K904" s="87">
        <f>SUM(K900:K903)</f>
        <v>26171</v>
      </c>
      <c r="L904" s="87">
        <f>SUM(L900:L903)</f>
        <v>5757</v>
      </c>
      <c r="M904" s="59">
        <f>SUM(J904:L904)</f>
        <v>76470</v>
      </c>
      <c r="N904" s="87">
        <f>SUM(N900:N903)</f>
        <v>5636</v>
      </c>
      <c r="O904" s="87">
        <f>SUM(O900:O903)</f>
        <v>4856</v>
      </c>
      <c r="P904" s="87">
        <f>SUM(P900:P903)</f>
        <v>9824</v>
      </c>
      <c r="Q904" s="59">
        <f>SUM(N904:P904)</f>
        <v>20316</v>
      </c>
      <c r="R904" s="59">
        <f>+E904+I904+M904+Q904</f>
        <v>255415</v>
      </c>
    </row>
    <row r="905" spans="1:20" ht="15.75" customHeight="1" x14ac:dyDescent="0.3">
      <c r="A905" s="15" t="s">
        <v>60</v>
      </c>
      <c r="B905" s="1"/>
      <c r="C905" s="1"/>
      <c r="D905" s="1"/>
      <c r="E905" s="55" t="s">
        <v>7</v>
      </c>
      <c r="F905" s="1"/>
      <c r="G905" s="1"/>
      <c r="H905" s="1"/>
      <c r="I905" s="55" t="s">
        <v>7</v>
      </c>
      <c r="J905" s="1"/>
      <c r="K905" s="1"/>
      <c r="L905" s="1"/>
      <c r="M905" s="55" t="s">
        <v>7</v>
      </c>
      <c r="N905" s="1"/>
      <c r="O905" s="1"/>
      <c r="P905" s="1"/>
      <c r="Q905" s="55" t="s">
        <v>7</v>
      </c>
      <c r="R905" s="55" t="s">
        <v>7</v>
      </c>
    </row>
    <row r="906" spans="1:20" ht="15.75" customHeight="1" x14ac:dyDescent="0.3">
      <c r="A906" s="315" t="s">
        <v>61</v>
      </c>
      <c r="B906" s="1">
        <f>+B48+B101+B229+SUM(B416:B421)+B553+B597+B652+B714+SUM(B753:B754)+B810+SUM(B851:B853)</f>
        <v>2242</v>
      </c>
      <c r="C906" s="1">
        <f>+C48+C101+C229+SUM(C416:C421)+C553+C597+C652+C714+SUM(C753:C754)+C810+SUM(C851:C853)</f>
        <v>5955</v>
      </c>
      <c r="D906" s="1">
        <f>+D48+D101+D229+SUM(D416:D421)+D553+D597+D652+D714+SUM(D753:D754)+D810+SUM(D851:D853)</f>
        <v>7504</v>
      </c>
      <c r="E906" s="55">
        <f>SUM(B906:D906)</f>
        <v>15701</v>
      </c>
      <c r="F906" s="1">
        <f>+F48+F101+F229+SUM(F416:F421)+F553+F597+F652+F714+SUM(F753:F754)+F810+SUM(F851:F853)</f>
        <v>15126</v>
      </c>
      <c r="G906" s="1">
        <f>+G48+G101+G229+SUM(G416:G421)+G553+G597+G652+G714+SUM(G753:G754)+G810+SUM(G851:G853)</f>
        <v>19382</v>
      </c>
      <c r="H906" s="1">
        <f>+H48+H101+H229+SUM(H416:H421)+H553+H597+H652+H714+SUM(H753:H754)+H810+SUM(H851:H853)</f>
        <v>17747</v>
      </c>
      <c r="I906" s="55">
        <f>SUM(F906:H906)</f>
        <v>52255</v>
      </c>
      <c r="J906" s="1">
        <f>+J48+J101+J229+SUM(J416:J421)+J553+J597+J652+J714+SUM(J753:J754)+J810+SUM(J851:J853)</f>
        <v>15536</v>
      </c>
      <c r="K906" s="1">
        <f>+K48+K101+K229+SUM(K416:K421)+K553+K597+K652+K714+SUM(K753:K754)+K810+SUM(K851:K853)</f>
        <v>13495</v>
      </c>
      <c r="L906" s="1">
        <f>+L48+L101+L229+SUM(L416:L421)+L553+L597+L652+L714+SUM(L753:L754)+L810+SUM(L851:L853)</f>
        <v>9817</v>
      </c>
      <c r="M906" s="55">
        <f>SUM(J906:L906)</f>
        <v>38848</v>
      </c>
      <c r="N906" s="1">
        <f>+N48+N101+N229+SUM(N416:N421)+N553+N597+N652+N714+SUM(N753:N754)+N810+SUM(N851:N853)</f>
        <v>7907</v>
      </c>
      <c r="O906" s="1">
        <f>+O48+O101+O229+SUM(O416:O421)+O553+O597+O652+O714+SUM(O753:O754)+O810+SUM(O851:O853)</f>
        <v>2717</v>
      </c>
      <c r="P906" s="1">
        <f>+P48+P101+P229+SUM(P416:P421)+P553+P597+P652+P714+SUM(P753:P754)+P810+SUM(P851:P853)</f>
        <v>2258</v>
      </c>
      <c r="Q906" s="55">
        <f>SUM(N906:P906)</f>
        <v>12882</v>
      </c>
      <c r="R906" s="55">
        <f>+E906+I906+M906+Q906</f>
        <v>119686</v>
      </c>
    </row>
    <row r="907" spans="1:20" ht="15.75" customHeight="1" thickBot="1" x14ac:dyDescent="0.35">
      <c r="A907" s="315" t="s">
        <v>62</v>
      </c>
      <c r="B907" s="1">
        <f>+B49+SUM(B102:B113)+SUM(B230:B298)+SUM(B422:B487)+SUM(B554:B557)+SUM(B598:B599)+SUM(B653:B659)+B715+SUM(B755:B764)+B811+SUM(B854:B859)</f>
        <v>15999</v>
      </c>
      <c r="C907" s="1">
        <f>+C49+SUM(C102:C113)+SUM(C230:C298)+SUM(C422:C487)+SUM(C554:C557)+SUM(C598:C599)+SUM(C653:C659)+C715+SUM(C755:C764)+C811+SUM(C854:C859)</f>
        <v>18603</v>
      </c>
      <c r="D907" s="1">
        <f>+D49+SUM(D102:D113)+SUM(D230:D298)+SUM(D422:D487)+SUM(D554:D557)+SUM(D598:D599)+SUM(D653:D659)+D715+SUM(D755:D764)+D811+SUM(D854:D859)</f>
        <v>25954</v>
      </c>
      <c r="E907" s="55">
        <f>SUM(B907:D907)</f>
        <v>60556</v>
      </c>
      <c r="F907" s="1">
        <f>+F49+SUM(F102:F113)+SUM(F230:F298)+SUM(F422:F487)+SUM(F554:F557)+SUM(F598:F599)+SUM(F653:F659)+F715+SUM(F755:F764)+F811+SUM(F854:F859)</f>
        <v>30990</v>
      </c>
      <c r="G907" s="1">
        <f>+G49+SUM(G102:G113)+SUM(G230:G298)+SUM(G422:G487)+SUM(G554:G557)+SUM(G598:G599)+SUM(G653:G659)+G715+SUM(G755:G764)+G811+SUM(G854:G859)</f>
        <v>45993</v>
      </c>
      <c r="H907" s="1">
        <f>+H49+SUM(H102:H113)+SUM(H230:H298)+SUM(H422:H487)+SUM(H554:H557)+SUM(H598:H599)+SUM(H653:H659)+H715+SUM(H755:H764)+H811+SUM(H854:H859)</f>
        <v>48518</v>
      </c>
      <c r="I907" s="55">
        <f>SUM(F907:H907)</f>
        <v>125501</v>
      </c>
      <c r="J907" s="1">
        <f>+J49+SUM(J102:J113)+SUM(J230:J298)+SUM(J422:J487)+SUM(J554:J557)+SUM(J598:J599)+SUM(J653:J659)+J715+SUM(J755:J764)+J811+SUM(J854:J859)</f>
        <v>42484</v>
      </c>
      <c r="K907" s="1">
        <f>+K49+SUM(K102:K113)+SUM(K230:K298)+SUM(K422:K487)+SUM(K554:K557)+SUM(K598:K599)+SUM(K653:K659)+K715+SUM(K755:K764)+K811+SUM(K854:K859)</f>
        <v>53207</v>
      </c>
      <c r="L907" s="1">
        <f>+L49+SUM(L102:L113)+SUM(L230:L298)+SUM(L422:L487)+SUM(L554:L557)+SUM(L598:L599)+SUM(L653:L659)+L715+SUM(L755:L764)+L811+SUM(L854:L859)</f>
        <v>40383</v>
      </c>
      <c r="M907" s="55">
        <f>SUM(J907:L907)</f>
        <v>136074</v>
      </c>
      <c r="N907" s="1">
        <f>+N49+SUM(N102:N113)+SUM(N230:N298)+SUM(N422:N487)+SUM(N554:N557)+SUM(N598:N599)+SUM(N653:N659)+N715+SUM(N755:N764)+N811+SUM(N854:N859)</f>
        <v>16832</v>
      </c>
      <c r="O907" s="1">
        <f>+O49+SUM(O102:O113)+SUM(O230:O298)+SUM(O422:O487)+SUM(O554:O557)+SUM(O598:O599)+SUM(O653:O659)+O715+SUM(O755:O764)+O811+SUM(O854:O859)</f>
        <v>12544</v>
      </c>
      <c r="P907" s="1">
        <f>+P49+SUM(P102:P113)+SUM(P230:P298)+SUM(P422:P487)+SUM(P554:P557)+SUM(P598:P599)+SUM(P653:P659)+P715+SUM(P755:P764)+P811+SUM(P854:P859)</f>
        <v>11256</v>
      </c>
      <c r="Q907" s="55">
        <f>SUM(N907:P907)</f>
        <v>40632</v>
      </c>
      <c r="R907" s="55">
        <f>+E907+I907+M907+Q907</f>
        <v>362763</v>
      </c>
    </row>
    <row r="908" spans="1:20" ht="16.5" customHeight="1" thickBot="1" x14ac:dyDescent="0.35">
      <c r="A908" s="57" t="s">
        <v>63</v>
      </c>
      <c r="B908" s="86">
        <f>SUM(B905:B907)</f>
        <v>18241</v>
      </c>
      <c r="C908" s="87">
        <f>SUM(C905:C907)</f>
        <v>24558</v>
      </c>
      <c r="D908" s="118">
        <f>SUM(D905:D907)</f>
        <v>33458</v>
      </c>
      <c r="E908" s="59">
        <f>SUM(B908:D908)</f>
        <v>76257</v>
      </c>
      <c r="F908" s="87">
        <f>SUM(F905:F907)</f>
        <v>46116</v>
      </c>
      <c r="G908" s="87">
        <f>SUM(G905:G907)</f>
        <v>65375</v>
      </c>
      <c r="H908" s="87">
        <f>SUM(H905:H907)</f>
        <v>66265</v>
      </c>
      <c r="I908" s="59">
        <f>SUM(F908:H908)</f>
        <v>177756</v>
      </c>
      <c r="J908" s="87">
        <f>SUM(J905:J907)</f>
        <v>58020</v>
      </c>
      <c r="K908" s="87">
        <f>SUM(K905:K907)</f>
        <v>66702</v>
      </c>
      <c r="L908" s="87">
        <f>SUM(L905:L907)</f>
        <v>50200</v>
      </c>
      <c r="M908" s="59">
        <f>SUM(J908:L908)</f>
        <v>174922</v>
      </c>
      <c r="N908" s="87">
        <f>SUM(N905:N907)</f>
        <v>24739</v>
      </c>
      <c r="O908" s="87">
        <f>SUM(O905:O907)</f>
        <v>15261</v>
      </c>
      <c r="P908" s="87">
        <f>SUM(P905:P907)</f>
        <v>13514</v>
      </c>
      <c r="Q908" s="59">
        <f>SUM(N908:P908)</f>
        <v>53514</v>
      </c>
      <c r="R908" s="59">
        <f>+E908+I908+M908+Q908</f>
        <v>482449</v>
      </c>
      <c r="T908" s="4">
        <v>1600000</v>
      </c>
    </row>
    <row r="909" spans="1:20" ht="20.25" customHeight="1" x14ac:dyDescent="0.3">
      <c r="A909" s="15" t="s">
        <v>1018</v>
      </c>
      <c r="B909" s="1"/>
      <c r="C909" s="1"/>
      <c r="D909" s="1"/>
      <c r="E909" s="55" t="s">
        <v>7</v>
      </c>
      <c r="F909" s="1"/>
      <c r="G909" s="1"/>
      <c r="H909" s="1"/>
      <c r="I909" s="55" t="s">
        <v>7</v>
      </c>
      <c r="J909" s="1"/>
      <c r="K909" s="1"/>
      <c r="L909" s="1"/>
      <c r="M909" s="55" t="s">
        <v>7</v>
      </c>
      <c r="N909" s="1"/>
      <c r="O909" s="1"/>
      <c r="P909" s="1"/>
      <c r="Q909" s="55" t="s">
        <v>7</v>
      </c>
      <c r="R909" s="55" t="s">
        <v>7</v>
      </c>
      <c r="T909" s="4">
        <f>+T908-28000-R893-R894-400000-R906-R907+12000</f>
        <v>93435</v>
      </c>
    </row>
    <row r="910" spans="1:20" ht="15.75" customHeight="1" x14ac:dyDescent="0.3">
      <c r="A910" s="15" t="s">
        <v>1019</v>
      </c>
      <c r="B910" s="1">
        <f>SUM(B52:B52)+SUM(B116:B124)+SUM(B301:B304)+SUM(B490:B491)+SUM(B560:B560)+B602+SUM(B662:B664)+B718+B767+B814+SUM(B862:B864)</f>
        <v>0</v>
      </c>
      <c r="C910" s="1">
        <f>SUM(C52:C52)+SUM(C116:C124)+SUM(C301:C304)+SUM(C490:C491)+SUM(C560:C560)+C602+SUM(C662:C664)+C718+C767+C814+SUM(C862:C864)</f>
        <v>0</v>
      </c>
      <c r="D910" s="1">
        <f>SUM(D52:D52)+SUM(D116:D124)+SUM(D301:D304)+SUM(D490:D491)+SUM(D560:D560)+D602+SUM(D662:D664)+D718+D767+D814+SUM(D862:D864)</f>
        <v>0</v>
      </c>
      <c r="E910" s="55">
        <f t="shared" ref="E910:E918" si="306">SUM(B910:D910)</f>
        <v>0</v>
      </c>
      <c r="F910" s="1">
        <f>SUM(F52:F52)+SUM(F116:F124)+SUM(F301:F304)+SUM(F490:F491)+SUM(F560:F560)+F602+SUM(F662:F664)+F718+F767+F814+SUM(F862:F864)</f>
        <v>0</v>
      </c>
      <c r="G910" s="1">
        <f>SUM(G52:G52)+SUM(G116:G124)+SUM(G301:G304)+SUM(G490:G491)+SUM(G560:G560)+G602+SUM(G662:G664)+G718+G767+G814+SUM(G862:G864)</f>
        <v>0</v>
      </c>
      <c r="H910" s="1">
        <f>SUM(H52:H52)+SUM(H116:H124)+SUM(H301:H304)+SUM(H490:H491)+SUM(H560:H560)+H602+SUM(H662:H664)+H718+H767+H814+SUM(H862:H864)</f>
        <v>0</v>
      </c>
      <c r="I910" s="55">
        <f t="shared" ref="I910:I918" si="307">SUM(F910:H910)</f>
        <v>0</v>
      </c>
      <c r="J910" s="1">
        <f>SUM(J52:J52)+SUM(J116:J124)+SUM(J301:J304)+SUM(J490:J491)+SUM(J560:J560)+J602+SUM(J662:J664)+J718+J767+J814+SUM(J862:J864)</f>
        <v>512</v>
      </c>
      <c r="K910" s="1">
        <f>SUM(K52:K52)+SUM(K116:K124)+SUM(K301:K304)+SUM(K490:K491)+SUM(K560:K560)+K602+SUM(K662:K664)+K718+K767+K814+SUM(K862:K864)</f>
        <v>3000</v>
      </c>
      <c r="L910" s="1">
        <f>SUM(L52:L52)+SUM(L116:L124)+SUM(L301:L304)+SUM(L490:L491)+SUM(L560:L560)+L602+SUM(L662:L664)+L718+L767+L814+SUM(L862:L864)</f>
        <v>5188</v>
      </c>
      <c r="M910" s="55">
        <f t="shared" ref="M910:M918" si="308">SUM(J910:L910)</f>
        <v>8700</v>
      </c>
      <c r="N910" s="1">
        <f>SUM(N52:N52)+SUM(N116:N124)+SUM(N301:N304)+SUM(N490:N491)+SUM(N560:N560)+N602+SUM(N662:N664)+N718+N767+N814+SUM(N862:N864)</f>
        <v>2632</v>
      </c>
      <c r="O910" s="1">
        <f>SUM(O52:O52)+SUM(O116:O124)+SUM(O301:O304)+SUM(O490:O491)+SUM(O560:O560)+O602+SUM(O662:O664)+O718+O767+O814+SUM(O862:O864)</f>
        <v>0</v>
      </c>
      <c r="P910" s="1">
        <f>SUM(P52:P52)+SUM(P116:P124)+SUM(P301:P304)+SUM(P490:P491)+SUM(P560:P560)+P602+SUM(P662:P664)+P718+P767+P814+SUM(P862:P864)</f>
        <v>0</v>
      </c>
      <c r="Q910" s="55">
        <f t="shared" ref="Q910:Q918" si="309">SUM(N910:P910)</f>
        <v>2632</v>
      </c>
      <c r="R910" s="55">
        <f>+E910+I910+M910+Q910</f>
        <v>11332</v>
      </c>
    </row>
    <row r="911" spans="1:20" ht="15.75" customHeight="1" x14ac:dyDescent="0.3">
      <c r="A911" s="15" t="s">
        <v>67</v>
      </c>
      <c r="B911" s="1">
        <f>SUM(B53:B54)+SUM(B125:B126)+SUM(B305:B306)+B308+B310+B312+B313+SUM(B492:B494)+B561+B603+SUM(B665:B666)+B668+SUM(B719:B720)+B769+B771+B815+SUM(B865:B866)</f>
        <v>0</v>
      </c>
      <c r="C911" s="1">
        <f>SUM(C53:C54)+SUM(C125:C126)+SUM(C305:C306)+C308+C310+C312+C313+SUM(C492:C494)+C561+C603+SUM(C665:C666)+C668+SUM(C719:C720)+C769+C771+C815+SUM(C865:C866)</f>
        <v>0</v>
      </c>
      <c r="D911" s="1">
        <f>SUM(D53:D54)+SUM(D125:D126)+SUM(D305:D306)+D308+D310+D312+D313+SUM(D492:D494)+D561+D603+SUM(D665:D666)+D668+SUM(D719:D720)+D769+D771+D815+SUM(D865:D866)</f>
        <v>0</v>
      </c>
      <c r="E911" s="55">
        <f t="shared" si="306"/>
        <v>0</v>
      </c>
      <c r="F911" s="1">
        <f>SUM(F53:F54)+SUM(F125:F126)+SUM(F305:F306)+F308+F310+F312+F313+SUM(F492:F494)+F561+F603+SUM(F665:F666)+F668+SUM(F719:F720)+F769+F771+F815+SUM(F865:F866)</f>
        <v>0</v>
      </c>
      <c r="G911" s="1">
        <f>SUM(G53:G54)+SUM(G125:G126)+SUM(G305:G306)+G308+G310+G312+G313+SUM(G492:G494)+G561+G603+SUM(G665:G666)+G668+SUM(G719:G720)+G769+G771+G815+SUM(G865:G866)</f>
        <v>0</v>
      </c>
      <c r="H911" s="1">
        <f>SUM(H53:H54)+SUM(H125:H126)+SUM(H305:H306)+H308+H310+H312+H313+SUM(H492:H494)+H561+H603+SUM(H665:H666)+H668+SUM(H719:H720)+H769+H771+H815+SUM(H865:H866)</f>
        <v>0</v>
      </c>
      <c r="I911" s="55">
        <f t="shared" si="307"/>
        <v>0</v>
      </c>
      <c r="J911" s="1">
        <f>SUM(J53:J54)+SUM(J125:J126)+SUM(J305:J306)+J308+J310+J312+J313+SUM(J492:J494)+J561+J603+SUM(J665:J666)+J668+SUM(J719:J720)+J769+J771+J815+SUM(J865:J866)</f>
        <v>617</v>
      </c>
      <c r="K911" s="1">
        <f>SUM(K53:K54)+SUM(K125:K126)+SUM(K305:K306)+K308+K310+K312+K313+SUM(K492:K494)+K561+K603+SUM(K665:K666)+K668+SUM(K719:K720)+K769+K771+K815+SUM(K865:K866)</f>
        <v>7905</v>
      </c>
      <c r="L911" s="1">
        <f>SUM(L53:L54)+SUM(L125:L126)+SUM(L305:L306)+L308+L310+L312+L313+SUM(L492:L494)+L561+L603+SUM(L665:L666)+L668+SUM(L719:L720)+L769+L771+L815+SUM(L865:L866)</f>
        <v>8047</v>
      </c>
      <c r="M911" s="55">
        <f t="shared" si="308"/>
        <v>16569</v>
      </c>
      <c r="N911" s="1">
        <f>SUM(N53:N54)+SUM(N125:N126)+SUM(N305:N306)+N308+N310+N312+N313+SUM(N492:N494)+N561+N603+SUM(N665:N666)+N668+SUM(N719:N720)+N769+N771+N815+SUM(N865:N866)</f>
        <v>13514</v>
      </c>
      <c r="O911" s="1">
        <f>SUM(O53:O54)+SUM(O125:O126)+SUM(O305:O306)+O308+O310+O312+O313+SUM(O492:O494)+O561+O603+SUM(O665:O666)+O668+SUM(O719:O720)+O769+O771+O815+SUM(O865:O866)</f>
        <v>8248</v>
      </c>
      <c r="P911" s="1">
        <f>SUM(P53:P54)+SUM(P125:P126)+SUM(P305:P306)+P308+P310+P312+P313+SUM(P492:P494)+P561+P603+SUM(P665:P666)+P668+SUM(P719:P720)+P769+P771+P815+SUM(P865:P866)</f>
        <v>7824</v>
      </c>
      <c r="Q911" s="55">
        <f t="shared" si="309"/>
        <v>29586</v>
      </c>
      <c r="R911" s="55">
        <f t="shared" ref="R911:R918" si="310">+E911+I911+M911+Q911</f>
        <v>46155</v>
      </c>
    </row>
    <row r="912" spans="1:20" ht="18" customHeight="1" x14ac:dyDescent="0.3">
      <c r="A912" s="71" t="s">
        <v>1341</v>
      </c>
      <c r="B912" s="1">
        <f>B127+B307+B309+B311+B667+B669+B770+B772+B867</f>
        <v>0</v>
      </c>
      <c r="C912" s="1">
        <f>C127+C307+C309+C311+C667+C669+C770+C772+C867</f>
        <v>0</v>
      </c>
      <c r="D912" s="1">
        <f>D127+D307+D309+D311+D667+D669+D770+D772+D867</f>
        <v>0</v>
      </c>
      <c r="E912" s="55">
        <f t="shared" si="306"/>
        <v>0</v>
      </c>
      <c r="F912" s="1">
        <f>F127+F307+F309+F311+F667+F669+F770+F772+F867</f>
        <v>0</v>
      </c>
      <c r="G912" s="1">
        <f>G127+G307+G309+G311+G667+G669+G770+G772+G867</f>
        <v>0</v>
      </c>
      <c r="H912" s="1">
        <f>H127+H307+H309+H311+H667+H669+H770+H772+H867</f>
        <v>0</v>
      </c>
      <c r="I912" s="55">
        <f t="shared" si="307"/>
        <v>0</v>
      </c>
      <c r="J912" s="1">
        <f>J127+J307+J309+J311+J667+J669+J770+J772+J867</f>
        <v>0</v>
      </c>
      <c r="K912" s="1">
        <f>K127+K307+K309+K311+K667+K669+K770+K772+K867</f>
        <v>0</v>
      </c>
      <c r="L912" s="1">
        <f>L127+L307+L309+L311+L667+L669+L770+L772+L867</f>
        <v>0</v>
      </c>
      <c r="M912" s="55">
        <f t="shared" si="308"/>
        <v>0</v>
      </c>
      <c r="N912" s="1">
        <f>N127+N307+N309+N311+N667+N669+N770+N772+N867</f>
        <v>0</v>
      </c>
      <c r="O912" s="1">
        <f>O127+O307+O309+O311+O667+O669+O770+O772+O867</f>
        <v>0</v>
      </c>
      <c r="P912" s="1">
        <f>P127+P307+P309+P311+P667+P669+P770+P772+P867</f>
        <v>0</v>
      </c>
      <c r="Q912" s="55">
        <f t="shared" si="309"/>
        <v>0</v>
      </c>
      <c r="R912" s="55">
        <f t="shared" si="310"/>
        <v>0</v>
      </c>
    </row>
    <row r="913" spans="1:18" ht="15.75" customHeight="1" x14ac:dyDescent="0.3">
      <c r="A913" s="15" t="s">
        <v>1020</v>
      </c>
      <c r="B913" s="1">
        <f>+B55+SUM(B128:B129)+SUM(B314:B315)+SUM(B495:B501)+SUM(B562:B562)+SUM(B604:B605)+SUM(B670:B672)+B721+B773+B868+B868+B816</f>
        <v>0</v>
      </c>
      <c r="C913" s="1">
        <f>+C55+SUM(C128:C129)+SUM(C314:C315)+SUM(C495:C501)+SUM(C562:C562)+SUM(C604:C605)+SUM(C670:C672)+C721+C773+C868+C868+C816</f>
        <v>0</v>
      </c>
      <c r="D913" s="1">
        <f>+D55+SUM(D128:D129)+SUM(D314:D315)+SUM(D495:D501)+SUM(D562:D562)+SUM(D604:D605)+SUM(D670:D672)+D721+D773+D868+D868+D816</f>
        <v>0</v>
      </c>
      <c r="E913" s="55">
        <f t="shared" si="306"/>
        <v>0</v>
      </c>
      <c r="F913" s="1">
        <f>+F55+SUM(F128:F129)+SUM(F314:F315)+SUM(F495:F501)+SUM(F562:F562)+SUM(F604:F605)+SUM(F670:F672)+F721+F773+F868+F868+F816</f>
        <v>0</v>
      </c>
      <c r="G913" s="1">
        <f>+G55+SUM(G128:G129)+SUM(G314:G315)+SUM(G495:G501)+SUM(G562:G562)+SUM(G604:G605)+SUM(G670:G672)+G721+G773+G868+G868+G816</f>
        <v>0</v>
      </c>
      <c r="H913" s="1">
        <f>+H55+SUM(H128:H129)+SUM(H314:H315)+SUM(H495:H501)+SUM(H562:H562)+SUM(H604:H605)+SUM(H670:H672)+H721+H773+H868+H868+H816</f>
        <v>0</v>
      </c>
      <c r="I913" s="55">
        <f t="shared" si="307"/>
        <v>0</v>
      </c>
      <c r="J913" s="1">
        <f>+J55+SUM(J128:J129)+SUM(J314:J315)+SUM(J495:J501)+SUM(J562:J562)+SUM(J604:J605)+SUM(J670:J672)+J721+J773+J868+J868+J816</f>
        <v>0</v>
      </c>
      <c r="K913" s="1">
        <f>+K55+SUM(K128:K129)+SUM(K314:K315)+SUM(K495:K501)+SUM(K562:K562)+SUM(K604:K605)+SUM(K670:K672)+K721+K773+K868+K868+K816</f>
        <v>0</v>
      </c>
      <c r="L913" s="1">
        <f>+L55+SUM(L128:L129)+SUM(L314:L315)+SUM(L495:L501)+SUM(L562:L562)+SUM(L604:L605)+SUM(L670:L672)+L721+L773+L868+L868+L816</f>
        <v>3495</v>
      </c>
      <c r="M913" s="55">
        <f t="shared" si="308"/>
        <v>3495</v>
      </c>
      <c r="N913" s="1">
        <f>+N55+SUM(N128:N129)+SUM(N314:N315)+SUM(N495:N501)+SUM(N562:N562)+SUM(N604:N605)+SUM(N670:N672)+N721+N773+N868+N868+N816</f>
        <v>2381</v>
      </c>
      <c r="O913" s="1">
        <f>+O55+SUM(O128:O129)+SUM(O314:O315)+SUM(O495:O501)+SUM(O562:O562)+SUM(O604:O605)+SUM(O670:O672)+O721+O773+O868+O868+O816</f>
        <v>0</v>
      </c>
      <c r="P913" s="1">
        <f>+P55+SUM(P128:P129)+SUM(P314:P315)+SUM(P495:P501)+SUM(P562:P562)+SUM(P604:P605)+SUM(P670:P672)+P721+P773+P868+P868+P816</f>
        <v>819</v>
      </c>
      <c r="Q913" s="55">
        <f t="shared" si="309"/>
        <v>3200</v>
      </c>
      <c r="R913" s="55">
        <f>+E913+I913+M913+Q913</f>
        <v>6695</v>
      </c>
    </row>
    <row r="914" spans="1:18" ht="22.5" customHeight="1" x14ac:dyDescent="0.3">
      <c r="A914" s="15" t="s">
        <v>70</v>
      </c>
      <c r="B914" s="1">
        <f>SUM(B132:B132)+SUM(B316:B317)+B503+B506+B507+B509+B512+SUM(B563:B564)+B607+B610+B673+B674+B676+B722+B774+B817+B869</f>
        <v>0</v>
      </c>
      <c r="C914" s="1">
        <f>SUM(C132:C132)+SUM(C316:C317)+C503+C506+C507+C509+C512+SUM(C563:C564)+C607+C610+C673+C674+C676+C722+C774+C817+C869</f>
        <v>0</v>
      </c>
      <c r="D914" s="1">
        <f>SUM(D132:D132)+SUM(D316:D317)+D503+D506+D507+D509+D512+SUM(D563:D564)+D607+D610+D673+D674+D676+D722+D774+D817+D869</f>
        <v>0</v>
      </c>
      <c r="E914" s="55">
        <f t="shared" si="306"/>
        <v>0</v>
      </c>
      <c r="F914" s="1">
        <f>SUM(F132:F132)+SUM(F316:F317)+F503+F506+F507+F509+F512+SUM(F563:F564)+F607+F610+F673+F674+F676+F722+F774+F817+F869</f>
        <v>0</v>
      </c>
      <c r="G914" s="1">
        <f>SUM(G132:G132)+SUM(G316:G317)+G503+G506+G507+G509+G512+SUM(G563:G564)+G607+G610+G673+G674+G676+G722+G774+G817+G869</f>
        <v>0</v>
      </c>
      <c r="H914" s="1">
        <f>SUM(H132:H132)+SUM(H316:H317)+H503+H506+H507+H509+H512+SUM(H563:H564)+H607+H610+H673+H674+H676+H722+H774+H817+H869</f>
        <v>0</v>
      </c>
      <c r="I914" s="55">
        <f t="shared" si="307"/>
        <v>0</v>
      </c>
      <c r="J914" s="1">
        <f>SUM(J132:J132)+SUM(J316:J317)+J503+J506+J507+J509+J512+SUM(J563:J564)+J607+J610+J673+J674+J676+J722+J774+J817+J869</f>
        <v>1451</v>
      </c>
      <c r="K914" s="1">
        <f>SUM(K132:K132)+SUM(K316:K317)+K503+K506+K507+K509+K512+SUM(K563:K564)+K607+K610+K673+K674+K676+K722+K774+K817+K869</f>
        <v>3332</v>
      </c>
      <c r="L914" s="1">
        <f>SUM(L132:L132)+SUM(L316:L317)+L503+L506+L507+L509+L512+SUM(L563:L564)+L607+L610+L673+L674+L676+L722+L774+L817+L869</f>
        <v>4500</v>
      </c>
      <c r="M914" s="55">
        <f t="shared" si="308"/>
        <v>9283</v>
      </c>
      <c r="N914" s="1">
        <f>SUM(N132:N132)+SUM(N316:N317)+N503+N506+N507+N509+N512+SUM(N563:N564)+N607+N610+N673+N674+N676+N722+N774+N817+N869</f>
        <v>1500</v>
      </c>
      <c r="O914" s="1">
        <f>SUM(O132:O132)+SUM(O316:O317)+O503+O506+O507+O509+O512+SUM(O563:O564)+O607+O610+O673+O674+O676+O722+O774+O817+O869</f>
        <v>74</v>
      </c>
      <c r="P914" s="1">
        <f>SUM(P132:P132)+SUM(P316:P317)+P503+P506+P507+P509+P512+SUM(P563:P564)+P607+P610+P673+P674+P676+P722+P774+P817+P869</f>
        <v>2531</v>
      </c>
      <c r="Q914" s="55">
        <f t="shared" si="309"/>
        <v>4105</v>
      </c>
      <c r="R914" s="55">
        <f>+E914+I914+M914+Q914</f>
        <v>13388</v>
      </c>
    </row>
    <row r="915" spans="1:18" ht="18" customHeight="1" thickBot="1" x14ac:dyDescent="0.35">
      <c r="A915" s="71" t="s">
        <v>1342</v>
      </c>
      <c r="B915" s="1">
        <f>+B504+B508+B510+B565+B131+B505+B511+B608+B609+B675</f>
        <v>0</v>
      </c>
      <c r="C915" s="1">
        <f>+C504+C508+C510+C565+C131+C505+C511+C608+C609+C675</f>
        <v>0</v>
      </c>
      <c r="D915" s="1">
        <f>+D504+D508+D510+D565+D131+D505+D511+D608+D609+D675</f>
        <v>0</v>
      </c>
      <c r="E915" s="55">
        <f>SUM(B915:D915)</f>
        <v>0</v>
      </c>
      <c r="F915" s="1">
        <f>+F504+F508+F510+F565+F131+F505+F511+F608+F609+F675</f>
        <v>0</v>
      </c>
      <c r="G915" s="1">
        <f>+G504+G508+G510+G565+G131+G505+G511+G608+G609+G675</f>
        <v>0</v>
      </c>
      <c r="H915" s="1">
        <f>+H504+H508+H510+H565+H131+H505+H511+H608+H609+H675</f>
        <v>0</v>
      </c>
      <c r="I915" s="55">
        <f>SUM(F915:H915)</f>
        <v>0</v>
      </c>
      <c r="J915" s="1">
        <f>+J504+J508+J510+J565+J131+J505+J511+J608+J609+J675</f>
        <v>0</v>
      </c>
      <c r="K915" s="1">
        <f>+K504+K508+K510+K565+K131+K505+K511+K608+K609+K675</f>
        <v>0</v>
      </c>
      <c r="L915" s="1">
        <f>+L504+L508+L510+L565+L131+L505+L511+L608+L609+L675</f>
        <v>0</v>
      </c>
      <c r="M915" s="55">
        <f>SUM(J915:L915)</f>
        <v>0</v>
      </c>
      <c r="N915" s="1">
        <f>+N504+N508+N510+N565+N131+N505+N511+N608+N609+N675</f>
        <v>0</v>
      </c>
      <c r="O915" s="1">
        <f>+O504+O508+O510+O565+O131+O505+O511+O608+O609+O675</f>
        <v>0</v>
      </c>
      <c r="P915" s="1">
        <f>+P504+P508+P510+P565+P131+P505+P511+P608+P609+P675</f>
        <v>0</v>
      </c>
      <c r="Q915" s="55">
        <f>SUM(N915:P915)</f>
        <v>0</v>
      </c>
      <c r="R915" s="55">
        <f>+E915+I915+M915+Q915</f>
        <v>0</v>
      </c>
    </row>
    <row r="916" spans="1:18" ht="16.5" customHeight="1" thickBot="1" x14ac:dyDescent="0.35">
      <c r="A916" s="57" t="s">
        <v>71</v>
      </c>
      <c r="B916" s="146">
        <f>SUM(B913:B915)</f>
        <v>0</v>
      </c>
      <c r="C916" s="146">
        <f>SUM(C913:C915)</f>
        <v>0</v>
      </c>
      <c r="D916" s="146">
        <f>SUM(D913:D915)</f>
        <v>0</v>
      </c>
      <c r="E916" s="60">
        <f t="shared" si="306"/>
        <v>0</v>
      </c>
      <c r="F916" s="146">
        <f>SUM(F913:F915)</f>
        <v>0</v>
      </c>
      <c r="G916" s="146">
        <f>SUM(G913:G915)</f>
        <v>0</v>
      </c>
      <c r="H916" s="146">
        <f>SUM(H913:H915)</f>
        <v>0</v>
      </c>
      <c r="I916" s="60">
        <f t="shared" si="307"/>
        <v>0</v>
      </c>
      <c r="J916" s="146">
        <f>SUM(J913:J915)</f>
        <v>1451</v>
      </c>
      <c r="K916" s="146">
        <f>SUM(K913:K915)</f>
        <v>3332</v>
      </c>
      <c r="L916" s="146">
        <f>SUM(L913:L915)</f>
        <v>7995</v>
      </c>
      <c r="M916" s="60">
        <f t="shared" si="308"/>
        <v>12778</v>
      </c>
      <c r="N916" s="146">
        <f>SUM(N913:N915)</f>
        <v>3881</v>
      </c>
      <c r="O916" s="146">
        <f>SUM(O913:O915)</f>
        <v>74</v>
      </c>
      <c r="P916" s="146">
        <f>SUM(P913:P915)</f>
        <v>3350</v>
      </c>
      <c r="Q916" s="60">
        <f t="shared" si="309"/>
        <v>7305</v>
      </c>
      <c r="R916" s="59">
        <f t="shared" si="310"/>
        <v>20083</v>
      </c>
    </row>
    <row r="917" spans="1:18" ht="16.5" customHeight="1" thickBot="1" x14ac:dyDescent="0.35">
      <c r="A917" s="114" t="s">
        <v>72</v>
      </c>
      <c r="B917" s="86">
        <f>SUM(B909:B915)</f>
        <v>0</v>
      </c>
      <c r="C917" s="87">
        <f>SUM(C909:C915)</f>
        <v>0</v>
      </c>
      <c r="D917" s="118">
        <f>SUM(D909:D915)</f>
        <v>0</v>
      </c>
      <c r="E917" s="147">
        <f t="shared" si="306"/>
        <v>0</v>
      </c>
      <c r="F917" s="86">
        <f>SUM(F909:F915)</f>
        <v>0</v>
      </c>
      <c r="G917" s="87">
        <f>SUM(G909:G915)</f>
        <v>0</v>
      </c>
      <c r="H917" s="118">
        <f>SUM(H909:H915)</f>
        <v>0</v>
      </c>
      <c r="I917" s="60">
        <f t="shared" si="307"/>
        <v>0</v>
      </c>
      <c r="J917" s="86">
        <f>SUM(J909:J915)</f>
        <v>2580</v>
      </c>
      <c r="K917" s="87">
        <f>SUM(K909:K915)</f>
        <v>14237</v>
      </c>
      <c r="L917" s="118">
        <f>SUM(L909:L915)</f>
        <v>21230</v>
      </c>
      <c r="M917" s="60">
        <f t="shared" si="308"/>
        <v>38047</v>
      </c>
      <c r="N917" s="86">
        <f>SUM(N909:N915)</f>
        <v>20027</v>
      </c>
      <c r="O917" s="87">
        <f>SUM(O909:O915)</f>
        <v>8322</v>
      </c>
      <c r="P917" s="118">
        <f>SUM(P909:P915)</f>
        <v>11174</v>
      </c>
      <c r="Q917" s="60">
        <f t="shared" si="309"/>
        <v>39523</v>
      </c>
      <c r="R917" s="59">
        <f t="shared" si="310"/>
        <v>77570</v>
      </c>
    </row>
    <row r="918" spans="1:18" ht="16.5" customHeight="1" thickBot="1" x14ac:dyDescent="0.35">
      <c r="A918" s="57" t="s">
        <v>73</v>
      </c>
      <c r="B918" s="148">
        <f>+B899+B904+B908+B917</f>
        <v>52807</v>
      </c>
      <c r="C918" s="149">
        <f>+C899+C904+C908+C917</f>
        <v>69398</v>
      </c>
      <c r="D918" s="149">
        <f>+D899+D904+D908+D917</f>
        <v>88013</v>
      </c>
      <c r="E918" s="59">
        <f t="shared" si="306"/>
        <v>210218</v>
      </c>
      <c r="F918" s="58">
        <f>+F899+F904+F908+F917</f>
        <v>141711</v>
      </c>
      <c r="G918" s="58">
        <f>+G899+G904+G908+G917</f>
        <v>174457</v>
      </c>
      <c r="H918" s="58">
        <f>+H899+H904+H908+H917</f>
        <v>192700</v>
      </c>
      <c r="I918" s="59">
        <f t="shared" si="307"/>
        <v>508868</v>
      </c>
      <c r="J918" s="58">
        <f>+J899+J904+J908+J917</f>
        <v>185936</v>
      </c>
      <c r="K918" s="58">
        <f>+K899+K904+K908+K917</f>
        <v>180706</v>
      </c>
      <c r="L918" s="58">
        <f>+L899+L904+L908+L917</f>
        <v>129353</v>
      </c>
      <c r="M918" s="59">
        <f t="shared" si="308"/>
        <v>495995</v>
      </c>
      <c r="N918" s="58">
        <f>+N899+N904+N908+N917</f>
        <v>92903</v>
      </c>
      <c r="O918" s="58">
        <f>+O899+O904+O908+O917</f>
        <v>56798</v>
      </c>
      <c r="P918" s="58">
        <f>+P899+P904+P908+P917</f>
        <v>60059</v>
      </c>
      <c r="Q918" s="59">
        <f t="shared" si="309"/>
        <v>209760</v>
      </c>
      <c r="R918" s="81">
        <f t="shared" si="310"/>
        <v>1424841</v>
      </c>
    </row>
    <row r="919" spans="1:18" ht="15.75" customHeight="1" x14ac:dyDescent="0.3">
      <c r="A919" s="1" t="s">
        <v>1343</v>
      </c>
      <c r="B919" s="1"/>
      <c r="C919" s="1"/>
      <c r="D919" s="1"/>
      <c r="E919" s="1"/>
      <c r="F919" s="1"/>
      <c r="G919" s="1"/>
      <c r="H919" s="1"/>
      <c r="I919" s="1"/>
      <c r="J919" s="1"/>
      <c r="K919" s="1"/>
      <c r="L919" s="1"/>
      <c r="M919" s="1"/>
      <c r="N919" s="1"/>
      <c r="O919" s="316"/>
      <c r="P919" s="1"/>
      <c r="Q919" s="1"/>
      <c r="R919" s="2"/>
    </row>
    <row r="920" spans="1:18" ht="15.75" customHeight="1" x14ac:dyDescent="0.3">
      <c r="A920" s="1" t="s">
        <v>1344</v>
      </c>
      <c r="B920" s="1"/>
      <c r="C920" s="1"/>
      <c r="D920" s="1"/>
      <c r="E920" s="1"/>
      <c r="F920" s="1"/>
      <c r="G920" s="1"/>
      <c r="H920" s="1"/>
      <c r="I920" s="1"/>
      <c r="J920" s="1"/>
      <c r="K920" s="1"/>
      <c r="L920" s="1"/>
      <c r="M920" s="1"/>
      <c r="N920" s="1"/>
      <c r="O920" s="316"/>
      <c r="P920" s="1"/>
      <c r="Q920" s="1"/>
      <c r="R920" s="2"/>
    </row>
    <row r="921" spans="1:18" ht="15.75" customHeight="1" x14ac:dyDescent="0.3">
      <c r="A921" s="1"/>
      <c r="B921" s="1"/>
      <c r="C921" s="1"/>
      <c r="D921" s="1"/>
      <c r="E921" s="1"/>
      <c r="F921" s="1"/>
      <c r="G921" s="1"/>
      <c r="H921" s="1"/>
      <c r="I921" s="1"/>
      <c r="J921" s="1"/>
      <c r="K921" s="1"/>
      <c r="L921" s="1"/>
      <c r="M921" s="1"/>
      <c r="N921" s="1"/>
      <c r="O921" s="316"/>
      <c r="P921" s="1"/>
      <c r="Q921" s="338" t="str">
        <f>+Q1</f>
        <v xml:space="preserve">PRINTED:  </v>
      </c>
      <c r="R921" s="360">
        <f ca="1">+R1</f>
        <v>44909.46975358796</v>
      </c>
    </row>
    <row r="922" spans="1:18" ht="15.75" customHeight="1" x14ac:dyDescent="0.3">
      <c r="A922" s="499" t="s">
        <v>1</v>
      </c>
      <c r="B922" s="499"/>
      <c r="C922" s="499"/>
      <c r="D922" s="499"/>
      <c r="E922" s="499"/>
      <c r="F922" s="499"/>
      <c r="G922" s="499"/>
      <c r="H922" s="499"/>
      <c r="I922" s="499"/>
      <c r="J922" s="499"/>
      <c r="K922" s="499"/>
      <c r="L922" s="499"/>
      <c r="M922" s="499"/>
      <c r="N922" s="499"/>
      <c r="O922" s="499"/>
      <c r="P922" s="499"/>
      <c r="Q922" s="499"/>
      <c r="R922" s="499"/>
    </row>
    <row r="923" spans="1:18" ht="15.75" customHeight="1" x14ac:dyDescent="0.3">
      <c r="A923" s="499" t="s">
        <v>2</v>
      </c>
      <c r="B923" s="499"/>
      <c r="C923" s="499"/>
      <c r="D923" s="499"/>
      <c r="E923" s="499"/>
      <c r="F923" s="499"/>
      <c r="G923" s="499"/>
      <c r="H923" s="499"/>
      <c r="I923" s="499"/>
      <c r="J923" s="499"/>
      <c r="K923" s="499"/>
      <c r="L923" s="499"/>
      <c r="M923" s="499"/>
      <c r="N923" s="499"/>
      <c r="O923" s="499"/>
      <c r="P923" s="499"/>
      <c r="Q923" s="499"/>
      <c r="R923" s="499"/>
    </row>
    <row r="924" spans="1:18" ht="15.75" customHeight="1" x14ac:dyDescent="0.3">
      <c r="A924" s="499" t="s">
        <v>3</v>
      </c>
      <c r="B924" s="499"/>
      <c r="C924" s="499"/>
      <c r="D924" s="499"/>
      <c r="E924" s="499"/>
      <c r="F924" s="499"/>
      <c r="G924" s="499"/>
      <c r="H924" s="499"/>
      <c r="I924" s="499"/>
      <c r="J924" s="499"/>
      <c r="K924" s="499"/>
      <c r="L924" s="499"/>
      <c r="M924" s="499"/>
      <c r="N924" s="499"/>
      <c r="O924" s="499"/>
      <c r="P924" s="499"/>
      <c r="Q924" s="499"/>
      <c r="R924" s="499"/>
    </row>
    <row r="925" spans="1:18" ht="15.75" customHeight="1" x14ac:dyDescent="0.3">
      <c r="A925" s="505">
        <f>+A5</f>
        <v>2020</v>
      </c>
      <c r="B925" s="505"/>
      <c r="C925" s="505"/>
      <c r="D925" s="505"/>
      <c r="E925" s="505"/>
      <c r="F925" s="505"/>
      <c r="G925" s="505"/>
      <c r="H925" s="505"/>
      <c r="I925" s="505"/>
      <c r="J925" s="505"/>
      <c r="K925" s="505"/>
      <c r="L925" s="505"/>
      <c r="M925" s="505"/>
      <c r="N925" s="505"/>
      <c r="O925" s="505"/>
      <c r="P925" s="505"/>
      <c r="Q925" s="505"/>
      <c r="R925" s="505"/>
    </row>
    <row r="926" spans="1:18" ht="15.75" customHeight="1" x14ac:dyDescent="0.3">
      <c r="A926" s="1"/>
      <c r="B926" s="1"/>
      <c r="C926" s="1"/>
      <c r="D926" s="5"/>
      <c r="E926" s="5"/>
      <c r="F926" s="5"/>
      <c r="G926" s="6"/>
      <c r="H926" s="5"/>
      <c r="I926" s="5"/>
      <c r="J926" s="6"/>
      <c r="K926" s="6"/>
      <c r="L926" s="6"/>
      <c r="M926" s="6"/>
      <c r="N926" s="1"/>
      <c r="O926" s="6"/>
      <c r="P926" s="6"/>
      <c r="Q926" s="6"/>
      <c r="R926" s="6"/>
    </row>
    <row r="927" spans="1:18" ht="15.75" customHeight="1" x14ac:dyDescent="0.3">
      <c r="A927" s="499" t="str">
        <f>+A8</f>
        <v>Revised:  12/23/2020</v>
      </c>
      <c r="B927" s="499"/>
      <c r="C927" s="499"/>
      <c r="D927" s="499"/>
      <c r="E927" s="499"/>
      <c r="F927" s="499"/>
      <c r="G927" s="499"/>
      <c r="H927" s="499"/>
      <c r="I927" s="499"/>
      <c r="J927" s="499"/>
      <c r="K927" s="499"/>
      <c r="L927" s="499"/>
      <c r="M927" s="499"/>
      <c r="N927" s="499"/>
      <c r="O927" s="499"/>
      <c r="P927" s="499"/>
      <c r="Q927" s="499"/>
      <c r="R927" s="499"/>
    </row>
    <row r="928" spans="1:18" ht="15.75" customHeight="1" x14ac:dyDescent="0.3">
      <c r="A928" s="314"/>
      <c r="B928" s="314"/>
      <c r="C928" s="314"/>
      <c r="D928" s="314"/>
      <c r="E928" s="314"/>
      <c r="F928" s="314"/>
      <c r="G928" s="314"/>
      <c r="H928" s="314"/>
      <c r="I928" s="314"/>
      <c r="J928" s="314"/>
      <c r="K928" s="314"/>
      <c r="L928" s="314"/>
      <c r="M928" s="314"/>
      <c r="N928" s="314"/>
      <c r="O928" s="314"/>
      <c r="P928" s="314"/>
      <c r="Q928" s="314"/>
      <c r="R928" s="314"/>
    </row>
    <row r="929" spans="1:46" ht="15.75" customHeight="1" x14ac:dyDescent="0.3">
      <c r="A929" s="28"/>
      <c r="B929" s="1"/>
      <c r="C929" s="1"/>
      <c r="D929" s="1"/>
      <c r="E929" s="1"/>
      <c r="F929" s="1"/>
      <c r="G929" s="1"/>
      <c r="H929" s="1"/>
      <c r="I929" s="1"/>
      <c r="J929" s="1"/>
      <c r="K929" s="1"/>
      <c r="L929" s="1"/>
      <c r="M929" s="1"/>
      <c r="N929" s="1"/>
      <c r="O929" s="1"/>
      <c r="P929" s="1"/>
      <c r="Q929" s="1"/>
      <c r="R929" s="2"/>
    </row>
    <row r="930" spans="1:46" ht="15.75" customHeight="1" thickBot="1" x14ac:dyDescent="0.35">
      <c r="A930" s="1"/>
      <c r="B930" s="1"/>
      <c r="C930" s="1"/>
      <c r="D930" s="1"/>
      <c r="E930" s="1"/>
      <c r="F930" s="1"/>
      <c r="G930" s="1"/>
      <c r="H930" s="1"/>
      <c r="I930" s="1"/>
      <c r="J930" s="1"/>
      <c r="K930" s="1"/>
      <c r="L930" s="1"/>
      <c r="M930" s="1"/>
      <c r="N930" s="1"/>
      <c r="O930" s="316"/>
      <c r="P930" s="1"/>
      <c r="Q930" s="1"/>
      <c r="R930" s="2"/>
    </row>
    <row r="931" spans="1:46" ht="15.75" customHeight="1" thickBot="1" x14ac:dyDescent="0.35">
      <c r="A931" s="107" t="s">
        <v>380</v>
      </c>
      <c r="B931" s="47" t="s">
        <v>8</v>
      </c>
      <c r="C931" s="48" t="s">
        <v>9</v>
      </c>
      <c r="D931" s="48" t="s">
        <v>10</v>
      </c>
      <c r="E931" s="32" t="s">
        <v>11</v>
      </c>
      <c r="F931" s="48" t="s">
        <v>12</v>
      </c>
      <c r="G931" s="48" t="s">
        <v>13</v>
      </c>
      <c r="H931" s="48" t="s">
        <v>14</v>
      </c>
      <c r="I931" s="32" t="s">
        <v>15</v>
      </c>
      <c r="J931" s="48" t="s">
        <v>16</v>
      </c>
      <c r="K931" s="48" t="s">
        <v>17</v>
      </c>
      <c r="L931" s="48" t="s">
        <v>18</v>
      </c>
      <c r="M931" s="32" t="s">
        <v>19</v>
      </c>
      <c r="N931" s="48" t="s">
        <v>20</v>
      </c>
      <c r="O931" s="48" t="s">
        <v>21</v>
      </c>
      <c r="P931" s="48" t="s">
        <v>22</v>
      </c>
      <c r="Q931" s="32" t="s">
        <v>23</v>
      </c>
      <c r="R931" s="151" t="s">
        <v>24</v>
      </c>
    </row>
    <row r="932" spans="1:46" ht="16.5" customHeight="1" thickBot="1" x14ac:dyDescent="0.35">
      <c r="A932" s="152"/>
      <c r="B932" s="153"/>
      <c r="C932" s="153"/>
      <c r="D932" s="153"/>
      <c r="E932" s="52"/>
      <c r="F932" s="153"/>
      <c r="G932" s="153"/>
      <c r="H932" s="153"/>
      <c r="I932" s="37"/>
      <c r="J932" s="153"/>
      <c r="K932" s="153"/>
      <c r="L932" s="153"/>
      <c r="M932" s="37"/>
      <c r="N932" s="153"/>
      <c r="O932" s="153"/>
      <c r="P932" s="153"/>
      <c r="Q932" s="127"/>
      <c r="R932" s="154"/>
    </row>
    <row r="933" spans="1:46" ht="16.5" customHeight="1" thickBot="1" x14ac:dyDescent="0.35">
      <c r="A933" s="155" t="s">
        <v>381</v>
      </c>
      <c r="B933" s="156">
        <f>+B899</f>
        <v>32498</v>
      </c>
      <c r="C933" s="156">
        <f>+C899</f>
        <v>38991</v>
      </c>
      <c r="D933" s="156">
        <f>+D899</f>
        <v>42912</v>
      </c>
      <c r="E933" s="86">
        <f>+SUM(B933:D933)</f>
        <v>114401</v>
      </c>
      <c r="F933" s="156">
        <f>+F899</f>
        <v>56438</v>
      </c>
      <c r="G933" s="156">
        <f>+G899</f>
        <v>63328</v>
      </c>
      <c r="H933" s="156">
        <f>+H899</f>
        <v>72277</v>
      </c>
      <c r="I933" s="86">
        <f>+SUM(F933:H933)</f>
        <v>192043</v>
      </c>
      <c r="J933" s="156">
        <f>+J899</f>
        <v>80794</v>
      </c>
      <c r="K933" s="156">
        <f>+K899</f>
        <v>73596</v>
      </c>
      <c r="L933" s="156">
        <f>+L899</f>
        <v>52166</v>
      </c>
      <c r="M933" s="86">
        <f>+SUM(J933:L933)</f>
        <v>206556</v>
      </c>
      <c r="N933" s="156">
        <f>+N899</f>
        <v>42501</v>
      </c>
      <c r="O933" s="156">
        <f>+O899</f>
        <v>28359</v>
      </c>
      <c r="P933" s="156">
        <f>+P899</f>
        <v>25547</v>
      </c>
      <c r="Q933" s="86">
        <f>+SUM(N933:P933)</f>
        <v>96407</v>
      </c>
      <c r="R933" s="59">
        <f>+E933+I933+M933+Q933</f>
        <v>609407</v>
      </c>
    </row>
    <row r="934" spans="1:46" ht="16.5" customHeight="1" thickBot="1" x14ac:dyDescent="0.35">
      <c r="A934" s="33"/>
      <c r="B934" s="86"/>
      <c r="C934" s="86"/>
      <c r="D934" s="86"/>
      <c r="E934" s="86"/>
      <c r="F934" s="86"/>
      <c r="G934" s="86"/>
      <c r="H934" s="86"/>
      <c r="I934" s="86"/>
      <c r="J934" s="86"/>
      <c r="K934" s="86"/>
      <c r="L934" s="86"/>
      <c r="M934" s="86"/>
      <c r="N934" s="86"/>
      <c r="O934" s="86"/>
      <c r="P934" s="86"/>
      <c r="Q934" s="86"/>
      <c r="R934" s="59"/>
    </row>
    <row r="935" spans="1:46" ht="16.5" customHeight="1" thickBot="1" x14ac:dyDescent="0.35">
      <c r="A935" s="155" t="s">
        <v>382</v>
      </c>
      <c r="B935" s="156">
        <f>+B904</f>
        <v>2068</v>
      </c>
      <c r="C935" s="156">
        <f>+C904</f>
        <v>5849</v>
      </c>
      <c r="D935" s="156">
        <f>+D904</f>
        <v>11643</v>
      </c>
      <c r="E935" s="86">
        <f>+SUM(B935:D935)</f>
        <v>19560</v>
      </c>
      <c r="F935" s="156">
        <f>+F904</f>
        <v>39157</v>
      </c>
      <c r="G935" s="156">
        <f>+G904</f>
        <v>45754</v>
      </c>
      <c r="H935" s="156">
        <f>+H904</f>
        <v>54158</v>
      </c>
      <c r="I935" s="86">
        <f>+SUM(F935:H935)</f>
        <v>139069</v>
      </c>
      <c r="J935" s="156">
        <f>+J904</f>
        <v>44542</v>
      </c>
      <c r="K935" s="156">
        <f>+K904</f>
        <v>26171</v>
      </c>
      <c r="L935" s="156">
        <f>+L904</f>
        <v>5757</v>
      </c>
      <c r="M935" s="86">
        <f>+SUM(J935:L935)</f>
        <v>76470</v>
      </c>
      <c r="N935" s="156">
        <f>+N904</f>
        <v>5636</v>
      </c>
      <c r="O935" s="156">
        <f>+O904</f>
        <v>4856</v>
      </c>
      <c r="P935" s="156">
        <f>+P904</f>
        <v>9824</v>
      </c>
      <c r="Q935" s="86">
        <f>+SUM(N935:P935)</f>
        <v>20316</v>
      </c>
      <c r="R935" s="59">
        <f>+E935+I935+M935+Q935</f>
        <v>255415</v>
      </c>
    </row>
    <row r="936" spans="1:46" ht="16.5" customHeight="1" thickBot="1" x14ac:dyDescent="0.35">
      <c r="A936" s="33"/>
      <c r="B936" s="86"/>
      <c r="C936" s="86"/>
      <c r="D936" s="86"/>
      <c r="E936" s="86"/>
      <c r="F936" s="86"/>
      <c r="G936" s="86"/>
      <c r="H936" s="86"/>
      <c r="I936" s="86"/>
      <c r="J936" s="86"/>
      <c r="K936" s="86"/>
      <c r="L936" s="86"/>
      <c r="M936" s="86"/>
      <c r="N936" s="86"/>
      <c r="O936" s="86"/>
      <c r="P936" s="86"/>
      <c r="Q936" s="86"/>
      <c r="R936" s="59"/>
      <c r="AC936" s="318"/>
      <c r="AD936" s="319"/>
      <c r="AE936" s="321" t="s">
        <v>423</v>
      </c>
      <c r="AF936" s="319"/>
      <c r="AG936" s="319"/>
      <c r="AH936" s="319"/>
      <c r="AI936" s="319"/>
      <c r="AJ936" s="319"/>
      <c r="AK936" s="319" t="s">
        <v>424</v>
      </c>
      <c r="AL936" s="319"/>
      <c r="AM936" s="319" t="s">
        <v>7</v>
      </c>
      <c r="AN936" s="329" t="str">
        <f>+A8</f>
        <v>Revised:  12/23/2020</v>
      </c>
      <c r="AO936" s="319"/>
      <c r="AP936" s="319"/>
      <c r="AQ936" s="319"/>
      <c r="AR936" s="319"/>
      <c r="AS936" s="361" t="str">
        <f>+Q1</f>
        <v xml:space="preserve">PRINTED:  </v>
      </c>
      <c r="AT936" s="362">
        <f ca="1">+R1</f>
        <v>44909.46975358796</v>
      </c>
    </row>
    <row r="937" spans="1:46" ht="16.5" customHeight="1" thickBot="1" x14ac:dyDescent="0.35">
      <c r="A937" s="155" t="s">
        <v>383</v>
      </c>
      <c r="B937" s="156">
        <f>+B908</f>
        <v>18241</v>
      </c>
      <c r="C937" s="156">
        <f>+C908</f>
        <v>24558</v>
      </c>
      <c r="D937" s="156">
        <f>+D908</f>
        <v>33458</v>
      </c>
      <c r="E937" s="86">
        <f>+SUM(B937:D937)</f>
        <v>76257</v>
      </c>
      <c r="F937" s="156">
        <f>+F908</f>
        <v>46116</v>
      </c>
      <c r="G937" s="156">
        <f>+G908</f>
        <v>65375</v>
      </c>
      <c r="H937" s="156">
        <f>+H908</f>
        <v>66265</v>
      </c>
      <c r="I937" s="86">
        <f>+SUM(F937:H937)</f>
        <v>177756</v>
      </c>
      <c r="J937" s="156">
        <f>+J908</f>
        <v>58020</v>
      </c>
      <c r="K937" s="156">
        <f>+K908</f>
        <v>66702</v>
      </c>
      <c r="L937" s="156">
        <f>+L908</f>
        <v>50200</v>
      </c>
      <c r="M937" s="86">
        <f>+SUM(J937:L937)</f>
        <v>174922</v>
      </c>
      <c r="N937" s="156">
        <f>+N908</f>
        <v>24739</v>
      </c>
      <c r="O937" s="156">
        <f>+O908</f>
        <v>15261</v>
      </c>
      <c r="P937" s="156">
        <f>+P908</f>
        <v>13514</v>
      </c>
      <c r="Q937" s="86">
        <f>+SUM(N937:P937)</f>
        <v>53514</v>
      </c>
      <c r="R937" s="59">
        <f>+E937+I937+M937+Q937</f>
        <v>482449</v>
      </c>
      <c r="AC937" s="323"/>
      <c r="AD937" s="159"/>
      <c r="AE937" s="159"/>
      <c r="AF937" s="159">
        <f>++A5</f>
        <v>2020</v>
      </c>
      <c r="AG937" s="159"/>
      <c r="AH937" s="159"/>
      <c r="AI937" s="159"/>
      <c r="AJ937" s="159"/>
      <c r="AK937" s="159"/>
      <c r="AL937" s="159"/>
      <c r="AM937" s="159"/>
      <c r="AN937" s="159"/>
      <c r="AO937" s="159"/>
      <c r="AP937" s="159"/>
      <c r="AQ937" s="159"/>
      <c r="AR937" s="159"/>
      <c r="AS937" s="159"/>
      <c r="AT937" s="483"/>
    </row>
    <row r="938" spans="1:46" ht="16.5" customHeight="1" thickBot="1" x14ac:dyDescent="0.35">
      <c r="A938" s="33"/>
      <c r="B938" s="86"/>
      <c r="C938" s="86"/>
      <c r="D938" s="86"/>
      <c r="E938" s="86"/>
      <c r="F938" s="86"/>
      <c r="G938" s="86"/>
      <c r="H938" s="86"/>
      <c r="I938" s="86"/>
      <c r="J938" s="86"/>
      <c r="K938" s="86"/>
      <c r="L938" s="86"/>
      <c r="M938" s="86"/>
      <c r="N938" s="86"/>
      <c r="O938" s="86"/>
      <c r="P938" s="86"/>
      <c r="Q938" s="86"/>
      <c r="R938" s="59"/>
      <c r="AC938" s="323"/>
      <c r="AD938" s="159"/>
      <c r="AE938" s="159"/>
      <c r="AF938" s="159"/>
      <c r="AG938" s="159"/>
      <c r="AH938" s="159"/>
      <c r="AI938" s="159"/>
      <c r="AJ938" s="159"/>
      <c r="AK938" s="159"/>
      <c r="AL938" s="159"/>
      <c r="AM938" s="159"/>
      <c r="AN938" s="159"/>
      <c r="AO938" s="159"/>
      <c r="AP938" s="159"/>
      <c r="AQ938" s="159"/>
      <c r="AR938" s="159"/>
      <c r="AS938" s="159"/>
      <c r="AT938" s="483"/>
    </row>
    <row r="939" spans="1:46" ht="16.5" customHeight="1" thickBot="1" x14ac:dyDescent="0.35">
      <c r="A939" s="155" t="s">
        <v>384</v>
      </c>
      <c r="B939" s="156">
        <f>+B917</f>
        <v>0</v>
      </c>
      <c r="C939" s="156">
        <f>+C917</f>
        <v>0</v>
      </c>
      <c r="D939" s="156">
        <f>+D917</f>
        <v>0</v>
      </c>
      <c r="E939" s="86">
        <f>+SUM(B939:D939)</f>
        <v>0</v>
      </c>
      <c r="F939" s="156">
        <f>+F917</f>
        <v>0</v>
      </c>
      <c r="G939" s="156">
        <f>+G917</f>
        <v>0</v>
      </c>
      <c r="H939" s="156">
        <f>+H917</f>
        <v>0</v>
      </c>
      <c r="I939" s="86">
        <f>+SUM(F939:H939)</f>
        <v>0</v>
      </c>
      <c r="J939" s="156">
        <f>+J917</f>
        <v>2580</v>
      </c>
      <c r="K939" s="156">
        <f>+K917</f>
        <v>14237</v>
      </c>
      <c r="L939" s="156">
        <f>+L917</f>
        <v>21230</v>
      </c>
      <c r="M939" s="86">
        <f>+SUM(J939:L939)</f>
        <v>38047</v>
      </c>
      <c r="N939" s="156">
        <f>+N917</f>
        <v>20027</v>
      </c>
      <c r="O939" s="156">
        <f>+O917</f>
        <v>8322</v>
      </c>
      <c r="P939" s="156">
        <f>+P917</f>
        <v>11174</v>
      </c>
      <c r="Q939" s="86">
        <f>+SUM(N939:P939)</f>
        <v>39523</v>
      </c>
      <c r="R939" s="59">
        <f>+E939+I939+M939+Q939</f>
        <v>77570</v>
      </c>
      <c r="AC939" s="323"/>
      <c r="AD939" s="159"/>
      <c r="AE939" s="159"/>
      <c r="AF939" s="159"/>
      <c r="AG939" s="159"/>
      <c r="AH939" s="159"/>
      <c r="AI939" s="164" t="s">
        <v>425</v>
      </c>
      <c r="AJ939" s="159"/>
      <c r="AK939" s="159"/>
      <c r="AL939" s="159"/>
      <c r="AM939" s="159"/>
      <c r="AN939" s="159"/>
      <c r="AO939" s="159"/>
      <c r="AP939" s="159"/>
      <c r="AQ939" s="159"/>
      <c r="AR939" s="159"/>
      <c r="AS939" s="159"/>
      <c r="AT939" s="483"/>
    </row>
    <row r="940" spans="1:46" ht="16.5" customHeight="1" thickBot="1" x14ac:dyDescent="0.35">
      <c r="A940" s="33"/>
      <c r="B940" s="86"/>
      <c r="C940" s="86"/>
      <c r="D940" s="86"/>
      <c r="E940" s="86"/>
      <c r="F940" s="86"/>
      <c r="G940" s="86"/>
      <c r="H940" s="86"/>
      <c r="I940" s="86"/>
      <c r="J940" s="86"/>
      <c r="K940" s="86"/>
      <c r="L940" s="86"/>
      <c r="M940" s="86"/>
      <c r="N940" s="86"/>
      <c r="O940" s="86"/>
      <c r="P940" s="86"/>
      <c r="Q940" s="86"/>
      <c r="R940" s="59"/>
      <c r="AC940" s="323"/>
      <c r="AD940" s="159" t="s">
        <v>424</v>
      </c>
      <c r="AE940" s="159"/>
      <c r="AF940" s="164" t="s">
        <v>426</v>
      </c>
      <c r="AG940" s="164" t="s">
        <v>426</v>
      </c>
      <c r="AH940" s="164" t="s">
        <v>427</v>
      </c>
      <c r="AI940" s="164" t="s">
        <v>404</v>
      </c>
      <c r="AJ940" s="164" t="s">
        <v>428</v>
      </c>
      <c r="AK940" s="164" t="s">
        <v>429</v>
      </c>
      <c r="AL940" s="164" t="s">
        <v>422</v>
      </c>
      <c r="AM940" s="159" t="s">
        <v>424</v>
      </c>
      <c r="AN940" s="164" t="s">
        <v>430</v>
      </c>
      <c r="AO940" s="164" t="s">
        <v>430</v>
      </c>
      <c r="AP940" s="164" t="s">
        <v>430</v>
      </c>
      <c r="AQ940" s="159"/>
      <c r="AR940" s="159"/>
      <c r="AS940" s="159"/>
      <c r="AT940" s="483"/>
    </row>
    <row r="941" spans="1:46" ht="16.5" customHeight="1" thickBot="1" x14ac:dyDescent="0.4">
      <c r="A941" s="33" t="s">
        <v>385</v>
      </c>
      <c r="B941" s="90">
        <f t="shared" ref="B941:Q941" si="311">+SUM(B933:B939)</f>
        <v>52807</v>
      </c>
      <c r="C941" s="90">
        <f t="shared" si="311"/>
        <v>69398</v>
      </c>
      <c r="D941" s="90">
        <f t="shared" si="311"/>
        <v>88013</v>
      </c>
      <c r="E941" s="90">
        <f t="shared" si="311"/>
        <v>210218</v>
      </c>
      <c r="F941" s="90">
        <f t="shared" si="311"/>
        <v>141711</v>
      </c>
      <c r="G941" s="90">
        <f t="shared" si="311"/>
        <v>174457</v>
      </c>
      <c r="H941" s="90">
        <f t="shared" si="311"/>
        <v>192700</v>
      </c>
      <c r="I941" s="90">
        <f t="shared" si="311"/>
        <v>508868</v>
      </c>
      <c r="J941" s="90">
        <f t="shared" si="311"/>
        <v>185936</v>
      </c>
      <c r="K941" s="90">
        <f t="shared" si="311"/>
        <v>180706</v>
      </c>
      <c r="L941" s="90">
        <f t="shared" si="311"/>
        <v>129353</v>
      </c>
      <c r="M941" s="90">
        <f t="shared" si="311"/>
        <v>495995</v>
      </c>
      <c r="N941" s="90">
        <f t="shared" si="311"/>
        <v>92903</v>
      </c>
      <c r="O941" s="90">
        <f t="shared" si="311"/>
        <v>56798</v>
      </c>
      <c r="P941" s="90">
        <f t="shared" si="311"/>
        <v>60059</v>
      </c>
      <c r="Q941" s="90">
        <f t="shared" si="311"/>
        <v>209760</v>
      </c>
      <c r="R941" s="157">
        <f>+SUM(R933:R939)</f>
        <v>1424841</v>
      </c>
      <c r="AC941" s="323"/>
      <c r="AD941" s="164" t="s">
        <v>394</v>
      </c>
      <c r="AE941" s="164" t="s">
        <v>431</v>
      </c>
      <c r="AF941" s="164" t="s">
        <v>432</v>
      </c>
      <c r="AG941" s="164" t="s">
        <v>432</v>
      </c>
      <c r="AH941" s="164" t="s">
        <v>433</v>
      </c>
      <c r="AI941" s="165" t="s">
        <v>434</v>
      </c>
      <c r="AJ941" s="164" t="s">
        <v>435</v>
      </c>
      <c r="AK941" s="164" t="s">
        <v>436</v>
      </c>
      <c r="AL941" s="164" t="s">
        <v>437</v>
      </c>
      <c r="AM941" s="159" t="s">
        <v>424</v>
      </c>
      <c r="AN941" s="164" t="s">
        <v>438</v>
      </c>
      <c r="AO941" s="164" t="s">
        <v>434</v>
      </c>
      <c r="AP941" s="164" t="s">
        <v>407</v>
      </c>
      <c r="AQ941" s="159"/>
      <c r="AR941" s="159"/>
      <c r="AS941" s="159"/>
      <c r="AT941" s="483"/>
    </row>
    <row r="942" spans="1:46" ht="15.75" customHeight="1" x14ac:dyDescent="0.35">
      <c r="A942" s="145"/>
      <c r="B942" s="158"/>
      <c r="C942" s="158"/>
      <c r="D942" s="158"/>
      <c r="E942" s="158"/>
      <c r="F942" s="158"/>
      <c r="G942" s="158"/>
      <c r="H942" s="317" t="s">
        <v>786</v>
      </c>
      <c r="I942" s="158"/>
      <c r="J942" s="158"/>
      <c r="K942" s="158"/>
      <c r="L942" s="158"/>
      <c r="M942" s="158"/>
      <c r="N942" s="158"/>
      <c r="O942" s="158"/>
      <c r="P942" s="158"/>
      <c r="Q942" s="158"/>
      <c r="R942" s="158"/>
      <c r="AC942" s="323"/>
      <c r="AD942" s="164" t="s">
        <v>406</v>
      </c>
      <c r="AE942" s="164" t="s">
        <v>439</v>
      </c>
      <c r="AF942" s="164" t="s">
        <v>440</v>
      </c>
      <c r="AG942" s="164" t="s">
        <v>441</v>
      </c>
      <c r="AH942" s="164" t="s">
        <v>442</v>
      </c>
      <c r="AI942" s="164" t="s">
        <v>442</v>
      </c>
      <c r="AJ942" s="164" t="s">
        <v>442</v>
      </c>
      <c r="AK942" s="164" t="s">
        <v>442</v>
      </c>
      <c r="AL942" s="164" t="s">
        <v>443</v>
      </c>
      <c r="AM942" s="159" t="s">
        <v>424</v>
      </c>
      <c r="AN942" s="164" t="s">
        <v>444</v>
      </c>
      <c r="AO942" s="164" t="s">
        <v>445</v>
      </c>
      <c r="AP942" s="164" t="s">
        <v>445</v>
      </c>
      <c r="AQ942" s="159"/>
      <c r="AR942" s="159"/>
      <c r="AS942" s="159"/>
      <c r="AT942" s="483"/>
    </row>
    <row r="943" spans="1:46" ht="15.75" customHeight="1" x14ac:dyDescent="0.35">
      <c r="A943" s="145"/>
      <c r="B943" s="158"/>
      <c r="C943" s="158"/>
      <c r="D943" s="158"/>
      <c r="E943" s="158"/>
      <c r="F943" s="158"/>
      <c r="G943" s="158"/>
      <c r="H943" s="158"/>
      <c r="I943" s="158"/>
      <c r="J943" s="158"/>
      <c r="K943" s="158"/>
      <c r="L943" s="158"/>
      <c r="M943" s="158"/>
      <c r="N943" s="158"/>
      <c r="O943" s="158"/>
      <c r="P943" s="158"/>
      <c r="Q943" s="158"/>
      <c r="R943" s="158"/>
      <c r="AC943" s="323"/>
      <c r="AD943" s="164" t="s">
        <v>446</v>
      </c>
      <c r="AE943" s="164" t="s">
        <v>447</v>
      </c>
      <c r="AF943" s="164" t="s">
        <v>448</v>
      </c>
      <c r="AG943" s="164" t="s">
        <v>448</v>
      </c>
      <c r="AH943" s="164" t="s">
        <v>448</v>
      </c>
      <c r="AI943" s="164" t="s">
        <v>448</v>
      </c>
      <c r="AJ943" s="164" t="s">
        <v>448</v>
      </c>
      <c r="AK943" s="164" t="s">
        <v>448</v>
      </c>
      <c r="AL943" s="164" t="s">
        <v>448</v>
      </c>
      <c r="AM943" s="159" t="s">
        <v>424</v>
      </c>
      <c r="AN943" s="164" t="s">
        <v>449</v>
      </c>
      <c r="AO943" s="164" t="s">
        <v>449</v>
      </c>
      <c r="AP943" s="164" t="s">
        <v>449</v>
      </c>
      <c r="AQ943" s="159"/>
      <c r="AR943" s="159"/>
      <c r="AS943" s="159"/>
      <c r="AT943" s="483"/>
    </row>
    <row r="944" spans="1:46" ht="15.75" customHeight="1" thickBot="1" x14ac:dyDescent="0.4">
      <c r="A944" s="145"/>
      <c r="B944" s="158"/>
      <c r="C944" s="158"/>
      <c r="D944" s="158"/>
      <c r="E944" s="158"/>
      <c r="F944" s="158"/>
      <c r="G944" s="158"/>
      <c r="H944" s="317"/>
      <c r="I944" s="158"/>
      <c r="J944" s="158"/>
      <c r="K944" s="158"/>
      <c r="L944" s="158"/>
      <c r="M944" s="158"/>
      <c r="N944" s="158"/>
      <c r="O944" s="158"/>
      <c r="P944" s="158"/>
      <c r="Q944" s="158"/>
      <c r="R944" s="158"/>
      <c r="AC944" s="323"/>
      <c r="AD944" s="159" t="s">
        <v>409</v>
      </c>
      <c r="AE944" s="159" t="s">
        <v>409</v>
      </c>
      <c r="AF944" s="159" t="s">
        <v>409</v>
      </c>
      <c r="AG944" s="159" t="s">
        <v>409</v>
      </c>
      <c r="AH944" s="159" t="s">
        <v>409</v>
      </c>
      <c r="AI944" s="159" t="s">
        <v>409</v>
      </c>
      <c r="AJ944" s="159" t="s">
        <v>409</v>
      </c>
      <c r="AK944" s="159" t="s">
        <v>409</v>
      </c>
      <c r="AL944" s="159" t="s">
        <v>409</v>
      </c>
      <c r="AM944" s="159" t="s">
        <v>424</v>
      </c>
      <c r="AN944" s="159" t="s">
        <v>409</v>
      </c>
      <c r="AO944" s="159" t="s">
        <v>409</v>
      </c>
      <c r="AP944" s="159" t="s">
        <v>409</v>
      </c>
      <c r="AQ944" s="159"/>
      <c r="AR944" s="159"/>
      <c r="AS944" s="159"/>
      <c r="AT944" s="483"/>
    </row>
    <row r="945" spans="1:46" ht="15.75" customHeight="1" x14ac:dyDescent="0.3">
      <c r="A945" s="363"/>
      <c r="B945" s="506" t="s">
        <v>386</v>
      </c>
      <c r="C945" s="506"/>
      <c r="D945" s="506"/>
      <c r="E945" s="506"/>
      <c r="F945" s="506"/>
      <c r="G945" s="506"/>
      <c r="H945" s="506"/>
      <c r="I945" s="506"/>
      <c r="J945" s="506"/>
      <c r="K945" s="506"/>
      <c r="L945" s="506"/>
      <c r="M945" s="506"/>
      <c r="N945" s="506"/>
      <c r="O945" s="506"/>
      <c r="P945" s="506"/>
      <c r="Q945" s="361" t="str">
        <f>+Q1</f>
        <v xml:space="preserve">PRINTED:  </v>
      </c>
      <c r="R945" s="362">
        <f ca="1">+R1</f>
        <v>44909.46975358796</v>
      </c>
      <c r="AC945" s="325" t="s">
        <v>410</v>
      </c>
      <c r="AD945" s="159">
        <f t="shared" ref="AD945:AD956" si="312">(F954)</f>
        <v>20718</v>
      </c>
      <c r="AE945" s="159">
        <f t="shared" ref="AE945:AE956" si="313">SUM($B$1009:$E$1009)+(T954-1526.8)/0.7702</f>
        <v>1638.1524430019012</v>
      </c>
      <c r="AF945" s="159">
        <f>(AD945*AE945/1000)</f>
        <v>33939.242314113391</v>
      </c>
      <c r="AG945" s="159">
        <f t="shared" ref="AG945:AG956" si="314">(((B954-F954)*B$1009)+((C954-F954)*C$1009)+((D954-F954)*D$1009)+((E954-F954)*E$1009))/1000</f>
        <v>76053.535000000003</v>
      </c>
      <c r="AH945" s="159">
        <f>(AF945+AG945)</f>
        <v>109992.77731411339</v>
      </c>
      <c r="AI945" s="159">
        <f t="shared" ref="AI945:AI956" si="315">SUM(H1011:Q1011)</f>
        <v>20349</v>
      </c>
      <c r="AJ945" s="159">
        <f>+AH945+AI945</f>
        <v>130341.77731411339</v>
      </c>
      <c r="AK945" s="159">
        <f t="shared" ref="AK945:AK952" si="316">(G1039)</f>
        <v>0</v>
      </c>
      <c r="AL945" s="159">
        <f t="shared" ref="AL945:AL956" si="317">(AJ945-AK945)</f>
        <v>130341.77731411339</v>
      </c>
      <c r="AM945" s="159" t="s">
        <v>424</v>
      </c>
      <c r="AN945" s="159">
        <f>+B954/31/1.98</f>
        <v>1209.9055066797002</v>
      </c>
      <c r="AO945" s="159">
        <f>(AD945*43560/31/24/3600)</f>
        <v>336.94596774193548</v>
      </c>
      <c r="AP945" s="159">
        <f>+B340</f>
        <v>0</v>
      </c>
      <c r="AQ945" s="159"/>
      <c r="AR945" s="159"/>
      <c r="AS945" s="159"/>
      <c r="AT945" s="483"/>
    </row>
    <row r="946" spans="1:46" ht="15.75" customHeight="1" x14ac:dyDescent="0.3">
      <c r="A946" s="325"/>
      <c r="B946" s="503" t="str">
        <f>+A8</f>
        <v>Revised:  12/23/2020</v>
      </c>
      <c r="C946" s="503"/>
      <c r="D946" s="503"/>
      <c r="E946" s="503"/>
      <c r="F946" s="503"/>
      <c r="G946" s="503"/>
      <c r="H946" s="503"/>
      <c r="I946" s="503"/>
      <c r="J946" s="503"/>
      <c r="K946" s="503"/>
      <c r="L946" s="503"/>
      <c r="M946" s="503"/>
      <c r="N946" s="503"/>
      <c r="O946" s="503"/>
      <c r="P946" s="503"/>
      <c r="Q946" s="159"/>
      <c r="R946" s="483"/>
      <c r="AC946" s="325" t="s">
        <v>411</v>
      </c>
      <c r="AD946" s="159">
        <f t="shared" si="312"/>
        <v>2716</v>
      </c>
      <c r="AE946" s="159">
        <f t="shared" si="313"/>
        <v>1642.6450272656455</v>
      </c>
      <c r="AF946" s="159">
        <f>(AD946*AE946/1000)</f>
        <v>4461.4238940534924</v>
      </c>
      <c r="AG946" s="159">
        <f t="shared" si="314"/>
        <v>101762.564</v>
      </c>
      <c r="AH946" s="159">
        <f t="shared" ref="AH946:AH956" si="318">(AF946+AG946)</f>
        <v>106223.98789405348</v>
      </c>
      <c r="AI946" s="159">
        <f t="shared" si="315"/>
        <v>32011</v>
      </c>
      <c r="AJ946" s="159">
        <f t="shared" ref="AJ946:AJ956" si="319">+AH946+AI946</f>
        <v>138234.98789405348</v>
      </c>
      <c r="AK946" s="159">
        <f t="shared" si="316"/>
        <v>0</v>
      </c>
      <c r="AL946" s="159">
        <f t="shared" si="317"/>
        <v>138234.98789405348</v>
      </c>
      <c r="AM946" s="159" t="s">
        <v>424</v>
      </c>
      <c r="AN946" s="159">
        <f>+B955/28/1.98</f>
        <v>1339.8268398268397</v>
      </c>
      <c r="AO946" s="159">
        <f>(AD946*43560/29/24/3600)</f>
        <v>47.21781609195402</v>
      </c>
      <c r="AP946" s="159">
        <f>+C340</f>
        <v>0</v>
      </c>
      <c r="AQ946" s="159"/>
      <c r="AR946" s="159"/>
      <c r="AS946" s="159"/>
      <c r="AT946" s="483"/>
    </row>
    <row r="947" spans="1:46" ht="15.75" customHeight="1" x14ac:dyDescent="0.3">
      <c r="A947" s="325"/>
      <c r="B947" s="503" t="s">
        <v>1024</v>
      </c>
      <c r="C947" s="503"/>
      <c r="D947" s="503"/>
      <c r="E947" s="503"/>
      <c r="F947" s="503"/>
      <c r="G947" s="503"/>
      <c r="H947" s="503"/>
      <c r="I947" s="503"/>
      <c r="J947" s="503"/>
      <c r="K947" s="503"/>
      <c r="L947" s="503"/>
      <c r="M947" s="503"/>
      <c r="N947" s="503"/>
      <c r="O947" s="503"/>
      <c r="P947" s="503"/>
      <c r="Q947" s="159"/>
      <c r="R947" s="483"/>
      <c r="AC947" s="325" t="s">
        <v>412</v>
      </c>
      <c r="AD947" s="159">
        <f t="shared" si="312"/>
        <v>23196</v>
      </c>
      <c r="AE947" s="159">
        <f t="shared" si="313"/>
        <v>1646.592054011945</v>
      </c>
      <c r="AF947" s="159">
        <f t="shared" ref="AF947:AF956" si="320">(AD947*AE947/1000)</f>
        <v>38194.349284861077</v>
      </c>
      <c r="AG947" s="159">
        <f t="shared" si="314"/>
        <v>102156.048</v>
      </c>
      <c r="AH947" s="159">
        <f t="shared" si="318"/>
        <v>140350.39728486107</v>
      </c>
      <c r="AI947" s="159">
        <f t="shared" si="315"/>
        <v>39162</v>
      </c>
      <c r="AJ947" s="159">
        <f t="shared" si="319"/>
        <v>179512.39728486107</v>
      </c>
      <c r="AK947" s="159">
        <f t="shared" si="316"/>
        <v>3056.318613413714</v>
      </c>
      <c r="AL947" s="159">
        <f t="shared" si="317"/>
        <v>176456.07867144735</v>
      </c>
      <c r="AM947" s="159" t="s">
        <v>424</v>
      </c>
      <c r="AN947" s="159">
        <f>+B956/31/1.98</f>
        <v>1551.4825676116</v>
      </c>
      <c r="AO947" s="159">
        <f>(AD947*43560/31/24/3600)</f>
        <v>377.24677419354833</v>
      </c>
      <c r="AP947" s="159">
        <f>+D340</f>
        <v>-313.27574707595204</v>
      </c>
      <c r="AQ947" s="159"/>
      <c r="AR947" s="159"/>
      <c r="AS947" s="159"/>
      <c r="AT947" s="483"/>
    </row>
    <row r="948" spans="1:46" ht="15.75" customHeight="1" x14ac:dyDescent="0.3">
      <c r="A948" s="325"/>
      <c r="B948" s="503"/>
      <c r="C948" s="503"/>
      <c r="D948" s="503"/>
      <c r="E948" s="503"/>
      <c r="F948" s="503"/>
      <c r="G948" s="503"/>
      <c r="H948" s="503"/>
      <c r="I948" s="503"/>
      <c r="J948" s="503"/>
      <c r="K948" s="503"/>
      <c r="L948" s="503"/>
      <c r="M948" s="503"/>
      <c r="N948" s="503"/>
      <c r="O948" s="503"/>
      <c r="P948" s="503"/>
      <c r="Q948" s="159"/>
      <c r="R948" s="483"/>
      <c r="AC948" s="325" t="s">
        <v>413</v>
      </c>
      <c r="AD948" s="159">
        <f t="shared" si="312"/>
        <v>3618</v>
      </c>
      <c r="AE948" s="159">
        <f t="shared" si="313"/>
        <v>1645.8271291131655</v>
      </c>
      <c r="AF948" s="159">
        <f t="shared" si="320"/>
        <v>5954.6025531314326</v>
      </c>
      <c r="AG948" s="159">
        <f t="shared" si="314"/>
        <v>209439.52</v>
      </c>
      <c r="AH948" s="159">
        <f t="shared" si="318"/>
        <v>215394.12255313143</v>
      </c>
      <c r="AI948" s="159">
        <f t="shared" si="315"/>
        <v>50433</v>
      </c>
      <c r="AJ948" s="159">
        <f t="shared" si="319"/>
        <v>265827.12255313143</v>
      </c>
      <c r="AK948" s="159">
        <f t="shared" si="316"/>
        <v>0</v>
      </c>
      <c r="AL948" s="159">
        <f t="shared" si="317"/>
        <v>265827.12255313143</v>
      </c>
      <c r="AM948" s="159" t="s">
        <v>424</v>
      </c>
      <c r="AN948" s="159">
        <f>+B957/30/1.98</f>
        <v>2547.121212121212</v>
      </c>
      <c r="AO948" s="159">
        <f>(AD948*43560/30/24/3600)</f>
        <v>60.802500000000002</v>
      </c>
      <c r="AP948" s="159">
        <f>+F340</f>
        <v>0</v>
      </c>
      <c r="AQ948" s="159"/>
      <c r="AR948" s="159"/>
      <c r="AS948" s="159"/>
      <c r="AT948" s="483"/>
    </row>
    <row r="949" spans="1:46" ht="15.75" customHeight="1" x14ac:dyDescent="0.3">
      <c r="A949" s="325"/>
      <c r="B949" s="509">
        <f>+A5</f>
        <v>2020</v>
      </c>
      <c r="C949" s="509"/>
      <c r="D949" s="509"/>
      <c r="E949" s="509"/>
      <c r="F949" s="509"/>
      <c r="G949" s="509"/>
      <c r="H949" s="509"/>
      <c r="I949" s="509"/>
      <c r="J949" s="509"/>
      <c r="K949" s="509"/>
      <c r="L949" s="509"/>
      <c r="M949" s="509"/>
      <c r="N949" s="509"/>
      <c r="O949" s="509"/>
      <c r="P949" s="509"/>
      <c r="Q949" s="159"/>
      <c r="R949" s="483"/>
      <c r="AC949" s="325" t="s">
        <v>414</v>
      </c>
      <c r="AD949" s="159">
        <f t="shared" si="312"/>
        <v>0</v>
      </c>
      <c r="AE949" s="159">
        <f t="shared" si="313"/>
        <v>1642.8008309529996</v>
      </c>
      <c r="AF949" s="159">
        <f t="shared" si="320"/>
        <v>0</v>
      </c>
      <c r="AG949" s="159">
        <f t="shared" si="314"/>
        <v>253692.19200000001</v>
      </c>
      <c r="AH949" s="159">
        <f t="shared" si="318"/>
        <v>253692.19200000001</v>
      </c>
      <c r="AI949" s="159">
        <f t="shared" si="315"/>
        <v>51415</v>
      </c>
      <c r="AJ949" s="159">
        <f t="shared" si="319"/>
        <v>305107.19200000004</v>
      </c>
      <c r="AK949" s="159">
        <f t="shared" si="316"/>
        <v>1947.3030896759628</v>
      </c>
      <c r="AL949" s="159">
        <f t="shared" si="317"/>
        <v>303159.88891032408</v>
      </c>
      <c r="AM949" s="159" t="s">
        <v>424</v>
      </c>
      <c r="AN949" s="159">
        <f>+B958/31/1.98</f>
        <v>2918.5076572173348</v>
      </c>
      <c r="AO949" s="159">
        <f>(AD949*43560/31/24/3600)</f>
        <v>0</v>
      </c>
      <c r="AP949" s="159">
        <f>+G340</f>
        <v>-205.29338083386202</v>
      </c>
      <c r="AQ949" s="159"/>
      <c r="AR949" s="159"/>
      <c r="AS949" s="159"/>
      <c r="AT949" s="483"/>
    </row>
    <row r="950" spans="1:46" ht="15.75" customHeight="1" x14ac:dyDescent="0.3">
      <c r="A950" s="325"/>
      <c r="B950" s="503" t="s">
        <v>1025</v>
      </c>
      <c r="C950" s="503"/>
      <c r="D950" s="503"/>
      <c r="E950" s="503"/>
      <c r="F950" s="503"/>
      <c r="G950" s="503"/>
      <c r="H950" s="503"/>
      <c r="I950" s="503"/>
      <c r="J950" s="503"/>
      <c r="K950" s="503"/>
      <c r="L950" s="503"/>
      <c r="M950" s="503"/>
      <c r="N950" s="503"/>
      <c r="O950" s="503"/>
      <c r="P950" s="503"/>
      <c r="Q950" s="159"/>
      <c r="R950" s="483"/>
      <c r="AC950" s="325" t="s">
        <v>415</v>
      </c>
      <c r="AD950" s="159">
        <f t="shared" si="312"/>
        <v>0</v>
      </c>
      <c r="AE950" s="159">
        <f t="shared" si="313"/>
        <v>1626.3375746559338</v>
      </c>
      <c r="AF950" s="159">
        <f t="shared" si="320"/>
        <v>0</v>
      </c>
      <c r="AG950" s="159">
        <f t="shared" si="314"/>
        <v>150340.677</v>
      </c>
      <c r="AH950" s="159">
        <f t="shared" si="318"/>
        <v>150340.677</v>
      </c>
      <c r="AI950" s="159">
        <f t="shared" si="315"/>
        <v>51283</v>
      </c>
      <c r="AJ950" s="159">
        <f t="shared" si="319"/>
        <v>201623.677</v>
      </c>
      <c r="AK950" s="159">
        <f t="shared" si="316"/>
        <v>11782.808138658635</v>
      </c>
      <c r="AL950" s="159">
        <f t="shared" si="317"/>
        <v>189840.86886134135</v>
      </c>
      <c r="AM950" s="159" t="s">
        <v>424</v>
      </c>
      <c r="AN950" s="159">
        <f>+B959/30/1.98</f>
        <v>1798.5858585858584</v>
      </c>
      <c r="AO950" s="159">
        <f t="shared" ref="AO950:AO955" si="321">(AD950*43560/30/24/3600)</f>
        <v>0</v>
      </c>
      <c r="AP950" s="159">
        <f>+H340</f>
        <v>-1465.0529500756429</v>
      </c>
      <c r="AQ950" s="159"/>
      <c r="AR950" s="159"/>
      <c r="AS950" s="159"/>
      <c r="AT950" s="483"/>
    </row>
    <row r="951" spans="1:46" ht="15.75" customHeight="1" x14ac:dyDescent="0.3">
      <c r="A951" s="325"/>
      <c r="B951" s="159"/>
      <c r="C951" s="159"/>
      <c r="D951" s="159"/>
      <c r="E951" s="159"/>
      <c r="F951" s="159"/>
      <c r="G951" s="159"/>
      <c r="H951" s="159"/>
      <c r="I951" s="159"/>
      <c r="J951" s="159"/>
      <c r="K951" s="159"/>
      <c r="L951" s="159"/>
      <c r="M951" s="159"/>
      <c r="N951" s="159"/>
      <c r="O951" s="159"/>
      <c r="P951" s="159"/>
      <c r="Q951" s="159"/>
      <c r="R951" s="483"/>
      <c r="AC951" s="325" t="s">
        <v>416</v>
      </c>
      <c r="AD951" s="159">
        <f t="shared" si="312"/>
        <v>0</v>
      </c>
      <c r="AE951" s="159">
        <f t="shared" si="313"/>
        <v>1614.093965893418</v>
      </c>
      <c r="AF951" s="159">
        <f t="shared" si="320"/>
        <v>0</v>
      </c>
      <c r="AG951" s="159">
        <f t="shared" si="314"/>
        <v>103660.06200000001</v>
      </c>
      <c r="AH951" s="159">
        <f t="shared" si="318"/>
        <v>103660.06200000001</v>
      </c>
      <c r="AI951" s="159">
        <f t="shared" si="315"/>
        <v>52619</v>
      </c>
      <c r="AJ951" s="159">
        <f t="shared" si="319"/>
        <v>156279.06200000001</v>
      </c>
      <c r="AK951" s="159">
        <f t="shared" si="316"/>
        <v>13657.388393424346</v>
      </c>
      <c r="AL951" s="159">
        <f t="shared" si="317"/>
        <v>142621.67360657567</v>
      </c>
      <c r="AM951" s="159" t="s">
        <v>424</v>
      </c>
      <c r="AN951" s="159">
        <f>+B960/31/1.98</f>
        <v>1217.0739654610622</v>
      </c>
      <c r="AO951" s="159">
        <f t="shared" si="321"/>
        <v>0</v>
      </c>
      <c r="AP951" s="159">
        <f>+J340</f>
        <v>-1836.4159875067101</v>
      </c>
      <c r="AQ951" s="159"/>
      <c r="AR951" s="159"/>
      <c r="AS951" s="159"/>
      <c r="AT951" s="483"/>
    </row>
    <row r="952" spans="1:46" ht="15.75" customHeight="1" thickBot="1" x14ac:dyDescent="0.35">
      <c r="A952" s="325" t="s">
        <v>433</v>
      </c>
      <c r="B952" s="364" t="s">
        <v>390</v>
      </c>
      <c r="C952" s="364" t="s">
        <v>391</v>
      </c>
      <c r="D952" s="364" t="s">
        <v>392</v>
      </c>
      <c r="E952" s="364" t="s">
        <v>393</v>
      </c>
      <c r="F952" s="364" t="s">
        <v>394</v>
      </c>
      <c r="G952" s="364" t="s">
        <v>394</v>
      </c>
      <c r="H952" s="364" t="s">
        <v>395</v>
      </c>
      <c r="I952" s="364" t="s">
        <v>396</v>
      </c>
      <c r="J952" s="364" t="s">
        <v>397</v>
      </c>
      <c r="K952" s="364" t="s">
        <v>398</v>
      </c>
      <c r="L952" s="364" t="s">
        <v>399</v>
      </c>
      <c r="M952" s="364" t="s">
        <v>400</v>
      </c>
      <c r="N952" s="364" t="s">
        <v>401</v>
      </c>
      <c r="O952" s="364" t="s">
        <v>402</v>
      </c>
      <c r="P952" s="364" t="s">
        <v>403</v>
      </c>
      <c r="Q952" s="364" t="s">
        <v>404</v>
      </c>
      <c r="R952" s="483"/>
      <c r="T952" s="45" t="s">
        <v>1026</v>
      </c>
      <c r="AC952" s="325" t="s">
        <v>417</v>
      </c>
      <c r="AD952" s="159">
        <f t="shared" si="312"/>
        <v>5</v>
      </c>
      <c r="AE952" s="159">
        <f t="shared" si="313"/>
        <v>1600.6037637565339</v>
      </c>
      <c r="AF952" s="159">
        <f t="shared" si="320"/>
        <v>8.0030188187826692</v>
      </c>
      <c r="AG952" s="159">
        <f t="shared" si="314"/>
        <v>84947.448999999993</v>
      </c>
      <c r="AH952" s="159">
        <f t="shared" si="318"/>
        <v>84955.452018818774</v>
      </c>
      <c r="AI952" s="159">
        <f t="shared" si="315"/>
        <v>48464</v>
      </c>
      <c r="AJ952" s="159">
        <f t="shared" si="319"/>
        <v>133419.45201881876</v>
      </c>
      <c r="AK952" s="159">
        <f t="shared" si="316"/>
        <v>12764.783789070392</v>
      </c>
      <c r="AL952" s="159">
        <f t="shared" si="317"/>
        <v>120654.66822974836</v>
      </c>
      <c r="AM952" s="159" t="s">
        <v>424</v>
      </c>
      <c r="AN952" s="159">
        <f>+B961/31/1.98</f>
        <v>1028.4131638970348</v>
      </c>
      <c r="AO952" s="159">
        <f t="shared" si="321"/>
        <v>8.4027777777777785E-2</v>
      </c>
      <c r="AP952" s="159">
        <f>+K340</f>
        <v>-1971.5972866136351</v>
      </c>
      <c r="AQ952" s="159"/>
      <c r="AR952" s="159"/>
      <c r="AS952" s="159"/>
      <c r="AT952" s="483"/>
    </row>
    <row r="953" spans="1:46" ht="15.75" customHeight="1" x14ac:dyDescent="0.3">
      <c r="A953" s="325"/>
      <c r="B953" s="159"/>
      <c r="C953" s="159"/>
      <c r="D953" s="159"/>
      <c r="E953" s="159"/>
      <c r="F953" s="164" t="s">
        <v>406</v>
      </c>
      <c r="G953" s="164" t="s">
        <v>407</v>
      </c>
      <c r="H953" s="159"/>
      <c r="I953" s="159"/>
      <c r="J953" s="159"/>
      <c r="K953" s="159"/>
      <c r="L953" s="159"/>
      <c r="M953" s="159"/>
      <c r="N953" s="159"/>
      <c r="O953" s="159"/>
      <c r="P953" s="159"/>
      <c r="Q953" s="159"/>
      <c r="R953" s="483"/>
      <c r="AC953" s="325" t="s">
        <v>418</v>
      </c>
      <c r="AD953" s="159">
        <f t="shared" si="312"/>
        <v>33393</v>
      </c>
      <c r="AE953" s="159">
        <f t="shared" si="313"/>
        <v>1598.5266164632565</v>
      </c>
      <c r="AF953" s="159">
        <f t="shared" si="320"/>
        <v>53379.599303557523</v>
      </c>
      <c r="AG953" s="159">
        <f t="shared" si="314"/>
        <v>183008.18599999999</v>
      </c>
      <c r="AH953" s="159">
        <f t="shared" si="318"/>
        <v>236387.78530355752</v>
      </c>
      <c r="AI953" s="159">
        <f t="shared" si="315"/>
        <v>37574</v>
      </c>
      <c r="AJ953" s="159">
        <f t="shared" si="319"/>
        <v>273961.78530355752</v>
      </c>
      <c r="AK953" s="159">
        <v>0</v>
      </c>
      <c r="AL953" s="159">
        <f t="shared" si="317"/>
        <v>273961.78530355752</v>
      </c>
      <c r="AM953" s="159" t="s">
        <v>424</v>
      </c>
      <c r="AN953" s="159">
        <f>+B962/30/1.98</f>
        <v>2777.2053872053871</v>
      </c>
      <c r="AO953" s="159">
        <f t="shared" si="321"/>
        <v>561.18791666666664</v>
      </c>
      <c r="AP953" s="159">
        <f>+L340</f>
        <v>-54.244410825348794</v>
      </c>
      <c r="AQ953" s="159"/>
      <c r="AR953" s="159"/>
      <c r="AS953" s="159"/>
      <c r="AT953" s="483"/>
    </row>
    <row r="954" spans="1:46" ht="15.75" customHeight="1" x14ac:dyDescent="0.3">
      <c r="A954" s="365" t="s">
        <v>795</v>
      </c>
      <c r="B954" s="159">
        <f>+B29</f>
        <v>74264</v>
      </c>
      <c r="C954" s="159">
        <f>+B64</f>
        <v>74167</v>
      </c>
      <c r="D954" s="159">
        <f>+B140</f>
        <v>74071</v>
      </c>
      <c r="E954" s="159">
        <f>+B330</f>
        <v>73047</v>
      </c>
      <c r="F954" s="159">
        <f>+B325</f>
        <v>20718</v>
      </c>
      <c r="G954" s="159">
        <f>+B337</f>
        <v>0</v>
      </c>
      <c r="H954" s="159">
        <f>+B522</f>
        <v>29405</v>
      </c>
      <c r="I954" s="159">
        <f>+B573</f>
        <v>14138</v>
      </c>
      <c r="J954" s="159">
        <f>+B618</f>
        <v>14129</v>
      </c>
      <c r="K954" s="159">
        <f>+B684</f>
        <v>14025</v>
      </c>
      <c r="L954" s="159">
        <f>+B694</f>
        <v>9563</v>
      </c>
      <c r="M954" s="159">
        <f>+B730</f>
        <v>9543</v>
      </c>
      <c r="N954" s="159">
        <f>+B782</f>
        <v>9187</v>
      </c>
      <c r="O954" s="159">
        <f>+B792</f>
        <v>3556</v>
      </c>
      <c r="P954" s="159">
        <f>+B826</f>
        <v>4124</v>
      </c>
      <c r="Q954" s="159">
        <f>+B877</f>
        <v>3554</v>
      </c>
      <c r="R954" s="483"/>
      <c r="T954" s="366">
        <f>'[1]Lake Pleasant Forecast'!B35</f>
        <v>1690.1998116000643</v>
      </c>
      <c r="AC954" s="325" t="s">
        <v>419</v>
      </c>
      <c r="AD954" s="159">
        <f t="shared" si="312"/>
        <v>61538</v>
      </c>
      <c r="AE954" s="159">
        <f t="shared" si="313"/>
        <v>1607.0828356271095</v>
      </c>
      <c r="AF954" s="159">
        <f t="shared" si="320"/>
        <v>98896.663538821056</v>
      </c>
      <c r="AG954" s="159">
        <f t="shared" si="314"/>
        <v>141015.33799999999</v>
      </c>
      <c r="AH954" s="159">
        <f t="shared" si="318"/>
        <v>239912.00153882103</v>
      </c>
      <c r="AI954" s="159">
        <f t="shared" si="315"/>
        <v>21584</v>
      </c>
      <c r="AJ954" s="159">
        <f t="shared" si="319"/>
        <v>261496.00153882103</v>
      </c>
      <c r="AK954" s="159">
        <v>0</v>
      </c>
      <c r="AL954" s="159">
        <f t="shared" si="317"/>
        <v>261496.00153882103</v>
      </c>
      <c r="AM954" s="159" t="s">
        <v>424</v>
      </c>
      <c r="AN954" s="159">
        <f>+B963/31/1.98</f>
        <v>2653.0628869338548</v>
      </c>
      <c r="AO954" s="159">
        <f t="shared" si="321"/>
        <v>1034.1802777777777</v>
      </c>
      <c r="AP954" s="159">
        <f>+N340</f>
        <v>-0.37414799993493075</v>
      </c>
      <c r="AQ954" s="159"/>
      <c r="AR954" s="159"/>
      <c r="AS954" s="159"/>
      <c r="AT954" s="483"/>
    </row>
    <row r="955" spans="1:46" ht="15.75" customHeight="1" x14ac:dyDescent="0.3">
      <c r="A955" s="365" t="s">
        <v>9</v>
      </c>
      <c r="B955" s="159">
        <f>+C29</f>
        <v>74280</v>
      </c>
      <c r="C955" s="159">
        <f>+C64</f>
        <v>74132</v>
      </c>
      <c r="D955" s="159">
        <f>+C140</f>
        <v>73987</v>
      </c>
      <c r="E955" s="159">
        <f>+C330</f>
        <v>73220</v>
      </c>
      <c r="F955" s="159">
        <f>+C325</f>
        <v>2716</v>
      </c>
      <c r="G955" s="159">
        <f>+C337</f>
        <v>0</v>
      </c>
      <c r="H955" s="159">
        <f>+C522</f>
        <v>47525</v>
      </c>
      <c r="I955" s="159">
        <f>+C573</f>
        <v>23040</v>
      </c>
      <c r="J955" s="159">
        <f>+C618</f>
        <v>22780</v>
      </c>
      <c r="K955" s="159">
        <f>+C684</f>
        <v>22654</v>
      </c>
      <c r="L955" s="159">
        <f>+C694</f>
        <v>18668</v>
      </c>
      <c r="M955" s="159">
        <f>+C730</f>
        <v>18646</v>
      </c>
      <c r="N955" s="159">
        <f>+C782</f>
        <v>17094</v>
      </c>
      <c r="O955" s="159">
        <f>+C792</f>
        <v>3834</v>
      </c>
      <c r="P955" s="159">
        <f>+C826</f>
        <v>3931</v>
      </c>
      <c r="Q955" s="159">
        <f>+C877</f>
        <v>3831</v>
      </c>
      <c r="R955" s="483"/>
      <c r="T955" s="366">
        <f>'[1]Lake Pleasant Forecast'!B37</f>
        <v>1693.66</v>
      </c>
      <c r="AC955" s="325" t="s">
        <v>420</v>
      </c>
      <c r="AD955" s="159">
        <f t="shared" si="312"/>
        <v>65150</v>
      </c>
      <c r="AE955" s="159">
        <f t="shared" si="313"/>
        <v>1617.5216826798235</v>
      </c>
      <c r="AF955" s="159">
        <f t="shared" si="320"/>
        <v>105381.53762659051</v>
      </c>
      <c r="AG955" s="159">
        <f t="shared" si="314"/>
        <v>79890.956000000006</v>
      </c>
      <c r="AH955" s="159">
        <f t="shared" si="318"/>
        <v>185272.49362659053</v>
      </c>
      <c r="AI955" s="159">
        <f t="shared" si="315"/>
        <v>8609</v>
      </c>
      <c r="AJ955" s="159">
        <f t="shared" si="319"/>
        <v>193881.49362659053</v>
      </c>
      <c r="AK955" s="159">
        <f>(G1049)</f>
        <v>661.03074604370647</v>
      </c>
      <c r="AL955" s="159">
        <f t="shared" si="317"/>
        <v>193220.46288054681</v>
      </c>
      <c r="AM955" s="159" t="s">
        <v>424</v>
      </c>
      <c r="AN955" s="159">
        <f>+B964/30/1.98</f>
        <v>2067.5420875420873</v>
      </c>
      <c r="AO955" s="159">
        <f t="shared" si="321"/>
        <v>1094.8819444444443</v>
      </c>
      <c r="AP955" s="159">
        <f>+O340</f>
        <v>-88.922507984535216</v>
      </c>
      <c r="AQ955" s="159"/>
      <c r="AR955" s="159"/>
      <c r="AS955" s="159"/>
      <c r="AT955" s="483"/>
    </row>
    <row r="956" spans="1:46" ht="15.75" customHeight="1" x14ac:dyDescent="0.3">
      <c r="A956" s="365" t="s">
        <v>10</v>
      </c>
      <c r="B956" s="159">
        <f>+D29</f>
        <v>95230</v>
      </c>
      <c r="C956" s="159">
        <f>+D64</f>
        <v>94956</v>
      </c>
      <c r="D956" s="159">
        <f>+D140</f>
        <v>94695</v>
      </c>
      <c r="E956" s="159">
        <f>+D330</f>
        <v>93118</v>
      </c>
      <c r="F956" s="159">
        <f>+D325</f>
        <v>23196</v>
      </c>
      <c r="G956" s="159">
        <f>+D337</f>
        <v>-19258</v>
      </c>
      <c r="H956" s="159">
        <f>+D522</f>
        <v>64961</v>
      </c>
      <c r="I956" s="159">
        <f>+D573</f>
        <v>30482</v>
      </c>
      <c r="J956" s="159">
        <f>+D618</f>
        <v>28275</v>
      </c>
      <c r="K956" s="159">
        <f>+D684</f>
        <v>27521</v>
      </c>
      <c r="L956" s="159">
        <f>+D694</f>
        <v>21569</v>
      </c>
      <c r="M956" s="159">
        <f>+D730</f>
        <v>21541</v>
      </c>
      <c r="N956" s="159">
        <f>+D782</f>
        <v>20337</v>
      </c>
      <c r="O956" s="159">
        <f>+D792</f>
        <v>3912</v>
      </c>
      <c r="P956" s="159">
        <f>+D826</f>
        <v>4341</v>
      </c>
      <c r="Q956" s="159">
        <f>+D877</f>
        <v>3907</v>
      </c>
      <c r="R956" s="483"/>
      <c r="T956" s="366">
        <f>'[1]Lake Pleasant Forecast'!B39</f>
        <v>1696.7</v>
      </c>
      <c r="AC956" s="325" t="s">
        <v>421</v>
      </c>
      <c r="AD956" s="159">
        <f t="shared" si="312"/>
        <v>77761</v>
      </c>
      <c r="AE956" s="159">
        <f t="shared" si="313"/>
        <v>1621.0530797648637</v>
      </c>
      <c r="AF956" s="159">
        <f t="shared" si="320"/>
        <v>126054.70853559556</v>
      </c>
      <c r="AG956" s="159">
        <f t="shared" si="314"/>
        <v>88334.142000000007</v>
      </c>
      <c r="AH956" s="159">
        <f t="shared" si="318"/>
        <v>214388.85053559556</v>
      </c>
      <c r="AI956" s="159">
        <f t="shared" si="315"/>
        <v>16331</v>
      </c>
      <c r="AJ956" s="159">
        <f t="shared" si="319"/>
        <v>230719.85053559556</v>
      </c>
      <c r="AK956" s="159">
        <f>(G1050)</f>
        <v>0</v>
      </c>
      <c r="AL956" s="159">
        <f t="shared" si="317"/>
        <v>230719.85053559556</v>
      </c>
      <c r="AM956" s="159" t="s">
        <v>424</v>
      </c>
      <c r="AN956" s="159">
        <f>+B965/31/1.98</f>
        <v>2299.006190941675</v>
      </c>
      <c r="AO956" s="159">
        <f>(AD956*43560/31/24/3600)</f>
        <v>1264.6614247311827</v>
      </c>
      <c r="AP956" s="159">
        <f>+P340</f>
        <v>0</v>
      </c>
      <c r="AQ956" s="159"/>
      <c r="AR956" s="159"/>
      <c r="AS956" s="159"/>
      <c r="AT956" s="483"/>
    </row>
    <row r="957" spans="1:46" ht="15.75" customHeight="1" x14ac:dyDescent="0.3">
      <c r="A957" s="365" t="s">
        <v>12</v>
      </c>
      <c r="B957" s="159">
        <f>+F29</f>
        <v>151299</v>
      </c>
      <c r="C957" s="159">
        <f>+F64</f>
        <v>150932</v>
      </c>
      <c r="D957" s="159">
        <f>+F140</f>
        <v>150582</v>
      </c>
      <c r="E957" s="159">
        <f>+F330</f>
        <v>146655</v>
      </c>
      <c r="F957" s="159">
        <f>+F325</f>
        <v>3618</v>
      </c>
      <c r="G957" s="159">
        <f>+F337</f>
        <v>0</v>
      </c>
      <c r="H957" s="159">
        <f>+F522</f>
        <v>105559</v>
      </c>
      <c r="I957" s="159">
        <f>+F573</f>
        <v>48830</v>
      </c>
      <c r="J957" s="159">
        <f>+F618</f>
        <v>37068</v>
      </c>
      <c r="K957" s="159">
        <f>+F684</f>
        <v>30960</v>
      </c>
      <c r="L957" s="159">
        <f>+F694</f>
        <v>23929</v>
      </c>
      <c r="M957" s="159">
        <f>+F730</f>
        <v>23892</v>
      </c>
      <c r="N957" s="159">
        <f>+F782</f>
        <v>21384</v>
      </c>
      <c r="O957" s="159">
        <f>+F792</f>
        <v>4277</v>
      </c>
      <c r="P957" s="159">
        <f>+F826</f>
        <v>5208</v>
      </c>
      <c r="Q957" s="159">
        <f>+F877</f>
        <v>4270</v>
      </c>
      <c r="R957" s="483"/>
      <c r="T957" s="366">
        <f>'[1]Lake Pleasant Forecast'!B41</f>
        <v>1696.11085484296</v>
      </c>
      <c r="AC957" s="323"/>
      <c r="AD957" s="159"/>
      <c r="AE957" s="159"/>
      <c r="AF957" s="159"/>
      <c r="AG957" s="159"/>
      <c r="AH957" s="159"/>
      <c r="AI957" s="159"/>
      <c r="AJ957" s="159"/>
      <c r="AK957" s="159"/>
      <c r="AL957" s="159"/>
      <c r="AM957" s="159" t="s">
        <v>424</v>
      </c>
      <c r="AN957" s="159"/>
      <c r="AO957" s="159"/>
      <c r="AP957" s="159"/>
      <c r="AQ957" s="159"/>
      <c r="AR957" s="159"/>
      <c r="AS957" s="159"/>
      <c r="AT957" s="483"/>
    </row>
    <row r="958" spans="1:46" ht="15.75" customHeight="1" x14ac:dyDescent="0.3">
      <c r="A958" s="365" t="s">
        <v>13</v>
      </c>
      <c r="B958" s="159">
        <f>+G29</f>
        <v>179138</v>
      </c>
      <c r="C958" s="159">
        <f>+G64</f>
        <v>178713</v>
      </c>
      <c r="D958" s="159">
        <f>+G140</f>
        <v>178311</v>
      </c>
      <c r="E958" s="159">
        <f>+G330</f>
        <v>171828</v>
      </c>
      <c r="F958" s="159">
        <f>+G325</f>
        <v>0</v>
      </c>
      <c r="G958" s="159">
        <f>+G337</f>
        <v>-12620</v>
      </c>
      <c r="H958" s="159">
        <f>+G522</f>
        <v>126622</v>
      </c>
      <c r="I958" s="159">
        <f>+G573</f>
        <v>43779</v>
      </c>
      <c r="J958" s="159">
        <f>+G618</f>
        <v>35318</v>
      </c>
      <c r="K958" s="159">
        <f>+G684</f>
        <v>30287</v>
      </c>
      <c r="L958" s="159">
        <f>+G694</f>
        <v>23673</v>
      </c>
      <c r="M958" s="159">
        <f>+G730</f>
        <v>23631</v>
      </c>
      <c r="N958" s="159">
        <f>+G782</f>
        <v>21616</v>
      </c>
      <c r="O958" s="159">
        <f>+G792</f>
        <v>3958</v>
      </c>
      <c r="P958" s="159">
        <f>+G826</f>
        <v>6866</v>
      </c>
      <c r="Q958" s="159">
        <f>+G877</f>
        <v>3950</v>
      </c>
      <c r="R958" s="483"/>
      <c r="T958" s="366">
        <f>'[1]Lake Pleasant Forecast'!B43</f>
        <v>1693.7800000000002</v>
      </c>
      <c r="AC958" s="323" t="s">
        <v>422</v>
      </c>
      <c r="AD958" s="159">
        <f>SUM(AD945:AD956)</f>
        <v>288095</v>
      </c>
      <c r="AE958" s="159"/>
      <c r="AF958" s="159">
        <f t="shared" ref="AF958:AL958" si="322">SUM(AF945:AF956)</f>
        <v>466270.13006954285</v>
      </c>
      <c r="AG958" s="159">
        <f t="shared" si="322"/>
        <v>1574300.669</v>
      </c>
      <c r="AH958" s="159">
        <f t="shared" si="322"/>
        <v>2040570.7990695429</v>
      </c>
      <c r="AI958" s="159">
        <f t="shared" si="322"/>
        <v>429834</v>
      </c>
      <c r="AJ958" s="159">
        <f t="shared" si="322"/>
        <v>2470404.7990695424</v>
      </c>
      <c r="AK958" s="159">
        <f t="shared" si="322"/>
        <v>43869.632770286757</v>
      </c>
      <c r="AL958" s="159">
        <f t="shared" si="322"/>
        <v>2426535.1662992556</v>
      </c>
      <c r="AM958" s="159"/>
      <c r="AN958" s="159"/>
      <c r="AO958" s="159"/>
      <c r="AP958" s="159"/>
      <c r="AQ958" s="159"/>
      <c r="AR958" s="159"/>
      <c r="AS958" s="159"/>
      <c r="AT958" s="483"/>
    </row>
    <row r="959" spans="1:46" ht="15.75" customHeight="1" x14ac:dyDescent="0.3">
      <c r="A959" s="365" t="s">
        <v>14</v>
      </c>
      <c r="B959" s="159">
        <f>+H29</f>
        <v>106836</v>
      </c>
      <c r="C959" s="159">
        <f>+H64</f>
        <v>106419</v>
      </c>
      <c r="D959" s="159">
        <f>+H140</f>
        <v>106023</v>
      </c>
      <c r="E959" s="159">
        <f>+H330</f>
        <v>98377</v>
      </c>
      <c r="F959" s="159">
        <f>+H325</f>
        <v>0</v>
      </c>
      <c r="G959" s="159">
        <f>+H337</f>
        <v>-87156</v>
      </c>
      <c r="H959" s="159">
        <f>+H522</f>
        <v>138214</v>
      </c>
      <c r="I959" s="159">
        <f>+H573</f>
        <v>46499</v>
      </c>
      <c r="J959" s="159">
        <f>+H618</f>
        <v>32619</v>
      </c>
      <c r="K959" s="159">
        <f>+H684</f>
        <v>26558</v>
      </c>
      <c r="L959" s="159">
        <f>+H694</f>
        <v>23361</v>
      </c>
      <c r="M959" s="159">
        <f>+H730</f>
        <v>23317</v>
      </c>
      <c r="N959" s="159">
        <f>+H782</f>
        <v>20658</v>
      </c>
      <c r="O959" s="159">
        <f>+H792</f>
        <v>4294</v>
      </c>
      <c r="P959" s="159">
        <f>+H826</f>
        <v>7016</v>
      </c>
      <c r="Q959" s="159">
        <f>+H877</f>
        <v>4274</v>
      </c>
      <c r="R959" s="483"/>
      <c r="T959" s="366">
        <f>'[1]Lake Pleasant Forecast'!B45</f>
        <v>1681.1000000000001</v>
      </c>
      <c r="AC959" s="323"/>
      <c r="AD959" s="159"/>
      <c r="AE959" s="159"/>
      <c r="AF959" s="159"/>
      <c r="AG959" s="159"/>
      <c r="AH959" s="159"/>
      <c r="AI959" s="159"/>
      <c r="AJ959" s="159"/>
      <c r="AK959" s="159"/>
      <c r="AL959" s="159"/>
      <c r="AM959" s="159"/>
      <c r="AN959" s="159"/>
      <c r="AO959" s="159"/>
      <c r="AP959" s="159"/>
      <c r="AQ959" s="159"/>
      <c r="AR959" s="159"/>
      <c r="AS959" s="159"/>
      <c r="AT959" s="483"/>
    </row>
    <row r="960" spans="1:46" ht="15.75" customHeight="1" x14ac:dyDescent="0.3">
      <c r="A960" s="365" t="s">
        <v>16</v>
      </c>
      <c r="B960" s="159">
        <f>+J29</f>
        <v>74704</v>
      </c>
      <c r="C960" s="159">
        <f>+J64</f>
        <v>74288</v>
      </c>
      <c r="D960" s="159">
        <f>+J140</f>
        <v>73894</v>
      </c>
      <c r="E960" s="159">
        <f>+J330</f>
        <v>62314</v>
      </c>
      <c r="F960" s="159">
        <f>+J325</f>
        <v>0</v>
      </c>
      <c r="G960" s="159">
        <f>+J337</f>
        <v>-112890</v>
      </c>
      <c r="H960" s="159">
        <f>+J522</f>
        <v>129776</v>
      </c>
      <c r="I960" s="159">
        <f>+J573</f>
        <v>52305</v>
      </c>
      <c r="J960" s="159">
        <f>+J618</f>
        <v>35819</v>
      </c>
      <c r="K960" s="159">
        <f>+J684</f>
        <v>29606</v>
      </c>
      <c r="L960" s="159">
        <f>+J694</f>
        <v>22119</v>
      </c>
      <c r="M960" s="159">
        <f>+J730</f>
        <v>22080</v>
      </c>
      <c r="N960" s="159">
        <f>+J782</f>
        <v>21158</v>
      </c>
      <c r="O960" s="159">
        <f>+J792</f>
        <v>4098</v>
      </c>
      <c r="P960" s="159">
        <f>+J826</f>
        <v>6711</v>
      </c>
      <c r="Q960" s="159">
        <f>+J877</f>
        <v>4091</v>
      </c>
      <c r="R960" s="483"/>
      <c r="T960" s="366">
        <f>'[1]Lake Pleasant Forecast'!B47</f>
        <v>1671.6699725311105</v>
      </c>
      <c r="AC960" s="323" t="s">
        <v>450</v>
      </c>
      <c r="AD960" s="159"/>
      <c r="AE960" s="159"/>
      <c r="AF960" s="159"/>
      <c r="AG960" s="159"/>
      <c r="AH960" s="159"/>
      <c r="AI960" s="159"/>
      <c r="AJ960" s="159"/>
      <c r="AK960" s="159"/>
      <c r="AL960" s="159"/>
      <c r="AM960" s="159"/>
      <c r="AN960" s="159"/>
      <c r="AO960" s="159"/>
      <c r="AP960" s="159"/>
      <c r="AQ960" s="159"/>
      <c r="AR960" s="159"/>
      <c r="AS960" s="159"/>
      <c r="AT960" s="483"/>
    </row>
    <row r="961" spans="1:50" ht="15.75" customHeight="1" x14ac:dyDescent="0.3">
      <c r="A961" s="365" t="s">
        <v>17</v>
      </c>
      <c r="B961" s="159">
        <f>+K29</f>
        <v>63124</v>
      </c>
      <c r="C961" s="159">
        <f>+K64</f>
        <v>62790</v>
      </c>
      <c r="D961" s="159">
        <f>+K140</f>
        <v>62472</v>
      </c>
      <c r="E961" s="159">
        <f>+K330</f>
        <v>40585</v>
      </c>
      <c r="F961" s="159">
        <f>+K325</f>
        <v>5</v>
      </c>
      <c r="G961" s="159">
        <f>+K337</f>
        <v>-121200</v>
      </c>
      <c r="H961" s="159">
        <f>+K522</f>
        <v>114384</v>
      </c>
      <c r="I961" s="159">
        <f>+K573</f>
        <v>48848</v>
      </c>
      <c r="J961" s="159">
        <f>+K618</f>
        <v>34829</v>
      </c>
      <c r="K961" s="159">
        <f>+K684</f>
        <v>27707</v>
      </c>
      <c r="L961" s="159">
        <f>+K694</f>
        <v>20076</v>
      </c>
      <c r="M961" s="159">
        <f>+K730</f>
        <v>20040</v>
      </c>
      <c r="N961" s="159">
        <f>+K782</f>
        <v>18016</v>
      </c>
      <c r="O961" s="159">
        <f>+K792</f>
        <v>3920</v>
      </c>
      <c r="P961" s="159">
        <f>+K826</f>
        <v>6644</v>
      </c>
      <c r="Q961" s="159">
        <f>+K877</f>
        <v>3914</v>
      </c>
      <c r="R961" s="483"/>
      <c r="T961" s="366">
        <f>'[1]Lake Pleasant Forecast'!B49</f>
        <v>1661.2798188452823</v>
      </c>
      <c r="AC961" s="323" t="s">
        <v>451</v>
      </c>
      <c r="AD961" s="159"/>
      <c r="AE961" s="159"/>
      <c r="AF961" s="159"/>
      <c r="AG961" s="159"/>
      <c r="AH961" s="159"/>
      <c r="AI961" s="159"/>
      <c r="AJ961" s="159"/>
      <c r="AK961" s="159"/>
      <c r="AL961" s="159"/>
      <c r="AM961" s="159"/>
      <c r="AN961" s="159"/>
      <c r="AO961" s="159"/>
      <c r="AP961" s="159"/>
      <c r="AQ961" s="159"/>
      <c r="AR961" s="159"/>
      <c r="AS961" s="159"/>
      <c r="AT961" s="483"/>
    </row>
    <row r="962" spans="1:50" ht="15.75" customHeight="1" x14ac:dyDescent="0.3">
      <c r="A962" s="365" t="s">
        <v>18</v>
      </c>
      <c r="B962" s="159">
        <f>+L29</f>
        <v>164966</v>
      </c>
      <c r="C962" s="159">
        <f>+L64</f>
        <v>164650</v>
      </c>
      <c r="D962" s="159">
        <f>+L140</f>
        <v>164349</v>
      </c>
      <c r="E962" s="159">
        <f>+L330</f>
        <v>144430</v>
      </c>
      <c r="F962" s="159">
        <f>+L325</f>
        <v>33393</v>
      </c>
      <c r="G962" s="159">
        <f>+L337</f>
        <v>-3227</v>
      </c>
      <c r="H962" s="159">
        <f>+L522</f>
        <v>74986</v>
      </c>
      <c r="I962" s="159">
        <f>+L573</f>
        <v>35251</v>
      </c>
      <c r="J962" s="159">
        <f>+L618</f>
        <v>24963</v>
      </c>
      <c r="K962" s="159">
        <f>+L684</f>
        <v>22988</v>
      </c>
      <c r="L962" s="159">
        <f>+L694</f>
        <v>17717</v>
      </c>
      <c r="M962" s="159">
        <f>+L730</f>
        <v>17683</v>
      </c>
      <c r="N962" s="159">
        <f>+L782</f>
        <v>16977</v>
      </c>
      <c r="O962" s="159">
        <f>+L792</f>
        <v>4101</v>
      </c>
      <c r="P962" s="159">
        <f>+L826</f>
        <v>5051</v>
      </c>
      <c r="Q962" s="159">
        <f>+L877</f>
        <v>4095</v>
      </c>
      <c r="R962" s="483"/>
      <c r="T962" s="366">
        <f>'[1]Lake Pleasant Forecast'!B51</f>
        <v>1659.68</v>
      </c>
      <c r="AC962" s="323"/>
      <c r="AD962" s="159"/>
      <c r="AE962" s="159"/>
      <c r="AF962" s="159"/>
      <c r="AG962" s="159"/>
      <c r="AH962" s="159"/>
      <c r="AI962" s="159"/>
      <c r="AJ962" s="159"/>
      <c r="AK962" s="159"/>
      <c r="AL962" s="159"/>
      <c r="AM962" s="159"/>
      <c r="AN962" s="159"/>
      <c r="AO962" s="159"/>
      <c r="AP962" s="159"/>
      <c r="AQ962" s="159"/>
      <c r="AR962" s="159"/>
      <c r="AS962" s="159"/>
      <c r="AT962" s="483"/>
    </row>
    <row r="963" spans="1:50" ht="15.75" customHeight="1" x14ac:dyDescent="0.3">
      <c r="A963" s="365" t="s">
        <v>20</v>
      </c>
      <c r="B963" s="159">
        <f>+N29</f>
        <v>162845</v>
      </c>
      <c r="C963" s="159">
        <f>+N64</f>
        <v>162560</v>
      </c>
      <c r="D963" s="159">
        <f>+N140</f>
        <v>162288</v>
      </c>
      <c r="E963" s="159">
        <f>+N330</f>
        <v>147583</v>
      </c>
      <c r="F963" s="159">
        <f>+N325</f>
        <v>61538</v>
      </c>
      <c r="G963" s="159">
        <f>+N337</f>
        <v>-23</v>
      </c>
      <c r="H963" s="159">
        <f>+N522</f>
        <v>48733</v>
      </c>
      <c r="I963" s="159">
        <f>+N573</f>
        <v>15682</v>
      </c>
      <c r="J963" s="159">
        <f>+N618</f>
        <v>14446</v>
      </c>
      <c r="K963" s="159">
        <f>+N684</f>
        <v>13705</v>
      </c>
      <c r="L963" s="159">
        <f>+N694</f>
        <v>10235</v>
      </c>
      <c r="M963" s="159">
        <f>+N730</f>
        <v>10206</v>
      </c>
      <c r="N963" s="159">
        <f>+N782</f>
        <v>10017</v>
      </c>
      <c r="O963" s="159">
        <f>+N792</f>
        <v>3742</v>
      </c>
      <c r="P963" s="159">
        <f>+N826</f>
        <v>141</v>
      </c>
      <c r="Q963" s="159">
        <f>+N877</f>
        <v>3737</v>
      </c>
      <c r="R963" s="483"/>
      <c r="T963" s="366">
        <f>'[1]Lake Pleasant Forecast'!B53</f>
        <v>1666.2699999999998</v>
      </c>
      <c r="AC963" s="323" t="s">
        <v>452</v>
      </c>
      <c r="AD963" s="159"/>
      <c r="AE963" s="159"/>
      <c r="AF963" s="159"/>
      <c r="AG963" s="159"/>
      <c r="AH963" s="159"/>
      <c r="AI963" s="159"/>
      <c r="AJ963" s="159"/>
      <c r="AK963" s="159"/>
      <c r="AL963" s="159"/>
      <c r="AM963" s="159"/>
      <c r="AN963" s="159"/>
      <c r="AO963" s="159"/>
      <c r="AP963" s="159"/>
      <c r="AQ963" s="159"/>
      <c r="AR963" s="159"/>
      <c r="AS963" s="159"/>
      <c r="AT963" s="483"/>
    </row>
    <row r="964" spans="1:50" ht="15.75" customHeight="1" x14ac:dyDescent="0.3">
      <c r="A964" s="365" t="s">
        <v>21</v>
      </c>
      <c r="B964" s="159">
        <f>+O29</f>
        <v>122812</v>
      </c>
      <c r="C964" s="159">
        <f>+O64</f>
        <v>122577</v>
      </c>
      <c r="D964" s="159">
        <f>+O140</f>
        <v>122351</v>
      </c>
      <c r="E964" s="159">
        <f>+O330</f>
        <v>112550</v>
      </c>
      <c r="F964" s="159">
        <f>+O325</f>
        <v>65150</v>
      </c>
      <c r="G964" s="159">
        <f>+O337</f>
        <v>-5290</v>
      </c>
      <c r="H964" s="159">
        <f>+O522</f>
        <v>24179</v>
      </c>
      <c r="I964" s="159">
        <f>+O573</f>
        <v>3531</v>
      </c>
      <c r="J964" s="159">
        <f>+O618</f>
        <v>3509</v>
      </c>
      <c r="K964" s="159">
        <f>+O684</f>
        <v>3426</v>
      </c>
      <c r="L964" s="159">
        <f>+O694</f>
        <v>2939</v>
      </c>
      <c r="M964" s="159">
        <f>+O730</f>
        <v>2916</v>
      </c>
      <c r="N964" s="159">
        <f>+O782</f>
        <v>2548</v>
      </c>
      <c r="O964" s="159">
        <f>+O792</f>
        <v>1663</v>
      </c>
      <c r="P964" s="159">
        <f>+O826</f>
        <v>4685</v>
      </c>
      <c r="Q964" s="159">
        <f>+O877</f>
        <v>1660</v>
      </c>
      <c r="R964" s="483"/>
      <c r="T964" s="366">
        <f>'[1]Lake Pleasant Forecast'!B55</f>
        <v>1674.31</v>
      </c>
      <c r="AC964" s="323"/>
      <c r="AD964" s="159"/>
      <c r="AE964" s="159"/>
      <c r="AF964" s="159"/>
      <c r="AG964" s="159"/>
      <c r="AH964" s="159"/>
      <c r="AI964" s="159"/>
      <c r="AJ964" s="159"/>
      <c r="AK964" s="159"/>
      <c r="AL964" s="159"/>
      <c r="AM964" s="159"/>
      <c r="AN964" s="159"/>
      <c r="AO964" s="159"/>
      <c r="AP964" s="159"/>
      <c r="AQ964" s="159"/>
      <c r="AR964" s="159"/>
      <c r="AS964" s="159"/>
      <c r="AT964" s="483"/>
    </row>
    <row r="965" spans="1:50" ht="15.75" customHeight="1" thickBot="1" x14ac:dyDescent="0.35">
      <c r="A965" s="365" t="s">
        <v>22</v>
      </c>
      <c r="B965" s="159">
        <f>+P29</f>
        <v>141113</v>
      </c>
      <c r="C965" s="159">
        <f>+P64</f>
        <v>140927</v>
      </c>
      <c r="D965" s="159">
        <f>+P140</f>
        <v>140748</v>
      </c>
      <c r="E965" s="159">
        <f>+P330</f>
        <v>132271</v>
      </c>
      <c r="F965" s="159">
        <f>+P325</f>
        <v>77761</v>
      </c>
      <c r="G965" s="159">
        <f>+P337</f>
        <v>0</v>
      </c>
      <c r="H965" s="159">
        <f>+P522</f>
        <v>32830</v>
      </c>
      <c r="I965" s="159">
        <f>+P573</f>
        <v>11038</v>
      </c>
      <c r="J965" s="159">
        <f>+P618</f>
        <v>10303</v>
      </c>
      <c r="K965" s="159">
        <f>+P684</f>
        <v>10198</v>
      </c>
      <c r="L965" s="159">
        <f>+P694</f>
        <v>7378</v>
      </c>
      <c r="M965" s="159">
        <f>+P730</f>
        <v>7359</v>
      </c>
      <c r="N965" s="159">
        <f>+P782</f>
        <v>6743</v>
      </c>
      <c r="O965" s="159">
        <f>+P792</f>
        <v>1940</v>
      </c>
      <c r="P965" s="159">
        <f>+P826</f>
        <v>4765</v>
      </c>
      <c r="Q965" s="159">
        <f>+P877</f>
        <v>1938</v>
      </c>
      <c r="R965" s="483"/>
      <c r="T965" s="366">
        <f>'[1]Lake Pleasant Forecast'!B57</f>
        <v>1677.029882034898</v>
      </c>
      <c r="AC965" s="326" t="s">
        <v>453</v>
      </c>
      <c r="AD965" s="327"/>
      <c r="AE965" s="327"/>
      <c r="AF965" s="327"/>
      <c r="AG965" s="327"/>
      <c r="AH965" s="327"/>
      <c r="AI965" s="327"/>
      <c r="AJ965" s="327"/>
      <c r="AK965" s="327"/>
      <c r="AL965" s="327"/>
      <c r="AM965" s="327"/>
      <c r="AN965" s="327"/>
      <c r="AO965" s="327"/>
      <c r="AP965" s="327"/>
      <c r="AQ965" s="327"/>
      <c r="AR965" s="327"/>
      <c r="AS965" s="327"/>
      <c r="AT965" s="328"/>
    </row>
    <row r="966" spans="1:50" ht="15.75" customHeight="1" x14ac:dyDescent="0.3">
      <c r="A966" s="325"/>
      <c r="B966" s="159"/>
      <c r="C966" s="159"/>
      <c r="D966" s="159"/>
      <c r="E966" s="159"/>
      <c r="F966" s="159"/>
      <c r="G966" s="159"/>
      <c r="H966" s="159"/>
      <c r="I966" s="159"/>
      <c r="J966" s="159"/>
      <c r="K966" s="159"/>
      <c r="L966" s="159"/>
      <c r="M966" s="159"/>
      <c r="N966" s="159"/>
      <c r="O966" s="159"/>
      <c r="P966" s="159"/>
      <c r="Q966" s="159"/>
      <c r="R966" s="483"/>
    </row>
    <row r="967" spans="1:50" ht="15.75" customHeight="1" thickBot="1" x14ac:dyDescent="0.35">
      <c r="A967" s="325" t="s">
        <v>422</v>
      </c>
      <c r="B967" s="159">
        <f>SUM(B954:B965)</f>
        <v>1410611</v>
      </c>
      <c r="C967" s="159">
        <f t="shared" ref="C967:Q967" si="323">SUM(C954:C965)</f>
        <v>1407111</v>
      </c>
      <c r="D967" s="159">
        <f t="shared" si="323"/>
        <v>1403771</v>
      </c>
      <c r="E967" s="159">
        <f t="shared" si="323"/>
        <v>1295978</v>
      </c>
      <c r="F967" s="159">
        <f t="shared" si="323"/>
        <v>288095</v>
      </c>
      <c r="G967" s="159">
        <f t="shared" si="323"/>
        <v>-361664</v>
      </c>
      <c r="H967" s="159">
        <f t="shared" si="323"/>
        <v>937174</v>
      </c>
      <c r="I967" s="159">
        <f t="shared" si="323"/>
        <v>373423</v>
      </c>
      <c r="J967" s="159">
        <f t="shared" si="323"/>
        <v>294058</v>
      </c>
      <c r="K967" s="159">
        <f t="shared" si="323"/>
        <v>259635</v>
      </c>
      <c r="L967" s="159">
        <f t="shared" si="323"/>
        <v>201227</v>
      </c>
      <c r="M967" s="159">
        <f t="shared" si="323"/>
        <v>200854</v>
      </c>
      <c r="N967" s="159">
        <f t="shared" si="323"/>
        <v>185735</v>
      </c>
      <c r="O967" s="159">
        <f t="shared" si="323"/>
        <v>43295</v>
      </c>
      <c r="P967" s="159">
        <f t="shared" si="323"/>
        <v>59483</v>
      </c>
      <c r="Q967" s="159">
        <f t="shared" si="323"/>
        <v>43221</v>
      </c>
      <c r="R967" s="483"/>
    </row>
    <row r="968" spans="1:50" ht="15.75" customHeight="1" thickBot="1" x14ac:dyDescent="0.35">
      <c r="A968" s="312"/>
      <c r="B968" s="312"/>
      <c r="C968" s="312"/>
      <c r="D968" s="312"/>
      <c r="E968" s="312"/>
      <c r="F968" s="312"/>
      <c r="G968" s="312"/>
      <c r="H968" s="312"/>
      <c r="I968" s="312"/>
      <c r="J968" s="312"/>
      <c r="K968" s="312"/>
      <c r="L968" s="312"/>
      <c r="M968" s="312"/>
      <c r="N968" s="312"/>
      <c r="O968" s="312"/>
      <c r="P968" s="312"/>
      <c r="Q968" s="312"/>
      <c r="R968" s="328"/>
      <c r="AC968" s="318"/>
      <c r="AD968" s="319"/>
      <c r="AE968" s="319"/>
      <c r="AF968" s="319"/>
      <c r="AG968" s="319"/>
      <c r="AH968" s="319"/>
      <c r="AI968" s="319"/>
      <c r="AJ968" s="319"/>
      <c r="AK968" s="319"/>
      <c r="AL968" s="319"/>
      <c r="AM968" s="319"/>
      <c r="AN968" s="319"/>
      <c r="AO968" s="319"/>
      <c r="AP968" s="319"/>
      <c r="AQ968" s="319"/>
      <c r="AR968" s="319"/>
      <c r="AS968" s="361" t="str">
        <f>+Q1</f>
        <v xml:space="preserve">PRINTED:  </v>
      </c>
      <c r="AT968" s="367">
        <f ca="1">+R1</f>
        <v>44909.46975358796</v>
      </c>
      <c r="AU968" s="332"/>
      <c r="AW968" s="161" t="s">
        <v>467</v>
      </c>
      <c r="AX968" s="159"/>
    </row>
    <row r="969" spans="1:50" ht="15.75" customHeight="1" x14ac:dyDescent="0.35">
      <c r="A969" s="368"/>
      <c r="B969" s="368"/>
      <c r="C969" s="368"/>
      <c r="D969" s="368"/>
      <c r="E969" s="368"/>
      <c r="F969" s="368"/>
      <c r="G969" s="368"/>
      <c r="H969" s="368"/>
      <c r="I969" s="368"/>
      <c r="J969" s="368"/>
      <c r="K969" s="368"/>
      <c r="L969" s="368"/>
      <c r="M969" s="368"/>
      <c r="N969" s="368"/>
      <c r="O969" s="368"/>
      <c r="P969" s="368"/>
      <c r="Q969" s="368"/>
      <c r="R969" s="319"/>
      <c r="AC969" s="323"/>
      <c r="AD969" s="159"/>
      <c r="AE969" s="161" t="s">
        <v>460</v>
      </c>
      <c r="AF969" s="159"/>
      <c r="AG969" s="159"/>
      <c r="AH969" s="159"/>
      <c r="AI969" s="159"/>
      <c r="AJ969" s="159"/>
      <c r="AK969" s="159"/>
      <c r="AL969" s="159"/>
      <c r="AM969" s="159"/>
      <c r="AN969" s="167"/>
      <c r="AO969" s="161" t="s">
        <v>461</v>
      </c>
      <c r="AP969" s="159"/>
      <c r="AQ969" s="159"/>
      <c r="AR969" s="159"/>
      <c r="AS969" s="159"/>
      <c r="AT969" s="159"/>
      <c r="AU969" s="481"/>
      <c r="AW969" s="159" t="s">
        <v>468</v>
      </c>
      <c r="AX969" s="159"/>
    </row>
    <row r="970" spans="1:50" ht="16.5" customHeight="1" x14ac:dyDescent="0.3">
      <c r="A970" s="325" t="s">
        <v>7</v>
      </c>
      <c r="B970" s="159"/>
      <c r="C970" s="159"/>
      <c r="D970" s="159"/>
      <c r="E970" s="159"/>
      <c r="F970" s="159"/>
      <c r="G970" s="159"/>
      <c r="H970" s="159"/>
      <c r="I970" s="159"/>
      <c r="J970" s="159"/>
      <c r="K970" s="159"/>
      <c r="L970" s="159"/>
      <c r="M970" s="159"/>
      <c r="N970" s="159"/>
      <c r="O970" s="159"/>
      <c r="P970" s="159"/>
      <c r="Q970" s="159"/>
      <c r="R970" s="159"/>
      <c r="AC970" s="323"/>
      <c r="AD970" s="159"/>
      <c r="AE970" s="159"/>
      <c r="AF970" s="159"/>
      <c r="AG970" s="159" t="s">
        <v>7</v>
      </c>
      <c r="AH970" s="163" t="str">
        <f>+A8</f>
        <v>Revised:  12/23/2020</v>
      </c>
      <c r="AI970" s="159"/>
      <c r="AJ970" s="159"/>
      <c r="AK970" s="159"/>
      <c r="AL970" s="159"/>
      <c r="AM970" s="159"/>
      <c r="AN970" s="159"/>
      <c r="AO970" s="159"/>
      <c r="AP970" s="159"/>
      <c r="AQ970" s="159"/>
      <c r="AR970" s="159" t="s">
        <v>7</v>
      </c>
      <c r="AS970" s="163" t="str">
        <f>+A8</f>
        <v>Revised:  12/23/2020</v>
      </c>
      <c r="AT970" s="159"/>
      <c r="AU970" s="481"/>
      <c r="AW970" s="159"/>
      <c r="AX970" s="159"/>
    </row>
    <row r="971" spans="1:50" ht="15.75" customHeight="1" x14ac:dyDescent="0.3">
      <c r="A971" s="164"/>
      <c r="B971" s="159"/>
      <c r="C971" s="159"/>
      <c r="D971" s="159"/>
      <c r="E971" s="159"/>
      <c r="F971" s="159"/>
      <c r="G971" s="159"/>
      <c r="H971" s="159"/>
      <c r="I971" s="159"/>
      <c r="J971" s="159"/>
      <c r="K971" s="159"/>
      <c r="L971" s="159"/>
      <c r="M971" s="159"/>
      <c r="N971" s="159"/>
      <c r="O971" s="159"/>
      <c r="P971" s="159"/>
      <c r="Q971" s="159"/>
      <c r="R971" s="159"/>
      <c r="AC971" s="323"/>
      <c r="AD971" s="159"/>
      <c r="AE971" s="159"/>
      <c r="AF971" s="159" t="s">
        <v>787</v>
      </c>
      <c r="AG971" s="159"/>
      <c r="AH971" s="159"/>
      <c r="AI971" s="159"/>
      <c r="AJ971" s="159"/>
      <c r="AK971" s="159"/>
      <c r="AL971" s="159"/>
      <c r="AM971" s="159"/>
      <c r="AN971" s="159"/>
      <c r="AO971" s="159"/>
      <c r="AP971" s="159" t="s">
        <v>787</v>
      </c>
      <c r="AQ971" s="159"/>
      <c r="AR971" s="159"/>
      <c r="AS971" s="159"/>
      <c r="AT971" s="159"/>
      <c r="AU971" s="481"/>
      <c r="AW971" s="159" t="s">
        <v>424</v>
      </c>
      <c r="AX971" s="164" t="s">
        <v>442</v>
      </c>
    </row>
    <row r="972" spans="1:50" ht="15.75" customHeight="1" x14ac:dyDescent="0.3">
      <c r="A972" s="365"/>
      <c r="AC972" s="323"/>
      <c r="AD972" s="159"/>
      <c r="AE972" s="159"/>
      <c r="AF972" s="159"/>
      <c r="AG972" s="159"/>
      <c r="AH972" s="159"/>
      <c r="AI972" s="159"/>
      <c r="AJ972" s="159"/>
      <c r="AK972" s="159"/>
      <c r="AL972" s="159"/>
      <c r="AM972" s="159"/>
      <c r="AN972" s="159"/>
      <c r="AO972" s="159"/>
      <c r="AP972" s="159"/>
      <c r="AQ972" s="159"/>
      <c r="AR972" s="159"/>
      <c r="AS972" s="159"/>
      <c r="AT972" s="159"/>
      <c r="AU972" s="481"/>
      <c r="AW972" s="164" t="s">
        <v>442</v>
      </c>
      <c r="AX972" s="164" t="s">
        <v>439</v>
      </c>
    </row>
    <row r="973" spans="1:50" ht="15.75" customHeight="1" thickBot="1" x14ac:dyDescent="0.35">
      <c r="A973" s="365"/>
      <c r="AC973" s="323"/>
      <c r="AD973" s="159"/>
      <c r="AE973" s="159"/>
      <c r="AF973" s="159"/>
      <c r="AG973" s="159">
        <f>+A5</f>
        <v>2020</v>
      </c>
      <c r="AH973" s="159"/>
      <c r="AI973" s="159"/>
      <c r="AJ973" s="159"/>
      <c r="AK973" s="159"/>
      <c r="AL973" s="159"/>
      <c r="AM973" s="159"/>
      <c r="AN973" s="159"/>
      <c r="AO973" s="159"/>
      <c r="AP973" s="159"/>
      <c r="AQ973" s="159"/>
      <c r="AR973" s="159">
        <f>+A5</f>
        <v>2020</v>
      </c>
      <c r="AS973" s="159"/>
      <c r="AT973" s="159"/>
      <c r="AU973" s="481"/>
      <c r="AW973" s="164" t="s">
        <v>491</v>
      </c>
      <c r="AX973" s="164" t="s">
        <v>492</v>
      </c>
    </row>
    <row r="974" spans="1:50" ht="15.75" customHeight="1" x14ac:dyDescent="0.3">
      <c r="A974" s="363"/>
      <c r="B974" s="506" t="s">
        <v>454</v>
      </c>
      <c r="C974" s="506"/>
      <c r="D974" s="506"/>
      <c r="E974" s="506"/>
      <c r="F974" s="506"/>
      <c r="G974" s="506"/>
      <c r="H974" s="506"/>
      <c r="I974" s="506"/>
      <c r="J974" s="506"/>
      <c r="K974" s="506"/>
      <c r="L974" s="506"/>
      <c r="M974" s="506"/>
      <c r="N974" s="506"/>
      <c r="O974" s="506"/>
      <c r="P974" s="506"/>
      <c r="Q974" s="361" t="str">
        <f>+Q1</f>
        <v xml:space="preserve">PRINTED:  </v>
      </c>
      <c r="R974" s="362">
        <f ca="1">+R1</f>
        <v>44909.46975358796</v>
      </c>
      <c r="AC974" s="323"/>
      <c r="AD974" s="159"/>
      <c r="AE974" s="159"/>
      <c r="AF974" s="159"/>
      <c r="AG974" s="159" t="s">
        <v>457</v>
      </c>
      <c r="AH974" s="159"/>
      <c r="AI974" s="159"/>
      <c r="AJ974" s="159"/>
      <c r="AK974" s="159"/>
      <c r="AL974" s="159"/>
      <c r="AM974" s="159"/>
      <c r="AN974" s="159"/>
      <c r="AO974" s="159"/>
      <c r="AP974" s="159"/>
      <c r="AQ974" s="159"/>
      <c r="AR974" s="159" t="s">
        <v>457</v>
      </c>
      <c r="AS974" s="159"/>
      <c r="AT974" s="159"/>
      <c r="AU974" s="481"/>
      <c r="AW974" s="164" t="s">
        <v>409</v>
      </c>
      <c r="AX974" s="164" t="s">
        <v>409</v>
      </c>
    </row>
    <row r="975" spans="1:50" ht="15.75" customHeight="1" x14ac:dyDescent="0.3">
      <c r="A975" s="325"/>
      <c r="B975" s="503" t="str">
        <f>+A8</f>
        <v>Revised:  12/23/2020</v>
      </c>
      <c r="C975" s="503"/>
      <c r="D975" s="503"/>
      <c r="E975" s="503"/>
      <c r="F975" s="503"/>
      <c r="G975" s="503"/>
      <c r="H975" s="503"/>
      <c r="I975" s="503"/>
      <c r="J975" s="503"/>
      <c r="K975" s="503"/>
      <c r="L975" s="503"/>
      <c r="M975" s="503"/>
      <c r="N975" s="503"/>
      <c r="O975" s="503"/>
      <c r="P975" s="503"/>
      <c r="Q975" s="159"/>
      <c r="R975" s="483"/>
      <c r="AC975" s="323"/>
      <c r="AD975" s="159"/>
      <c r="AE975" s="159"/>
      <c r="AF975" s="159"/>
      <c r="AG975" s="159"/>
      <c r="AH975" s="159"/>
      <c r="AI975" s="159"/>
      <c r="AJ975" s="159"/>
      <c r="AK975" s="159"/>
      <c r="AL975" s="159"/>
      <c r="AM975" s="159"/>
      <c r="AN975" s="159"/>
      <c r="AO975" s="159"/>
      <c r="AP975" s="159"/>
      <c r="AQ975" s="159"/>
      <c r="AR975" s="159"/>
      <c r="AS975" s="159"/>
      <c r="AT975" s="159"/>
      <c r="AU975" s="481"/>
      <c r="AW975" s="159">
        <f t="shared" ref="AW975:AW986" si="324">SUM(L1011:Q1011)</f>
        <v>8056</v>
      </c>
      <c r="AX975" s="172">
        <v>2.4700000000000002</v>
      </c>
    </row>
    <row r="976" spans="1:50" ht="15.75" customHeight="1" x14ac:dyDescent="0.3">
      <c r="A976" s="325"/>
      <c r="B976" s="503" t="s">
        <v>1024</v>
      </c>
      <c r="C976" s="503"/>
      <c r="D976" s="503"/>
      <c r="E976" s="503"/>
      <c r="F976" s="503"/>
      <c r="G976" s="503"/>
      <c r="H976" s="503"/>
      <c r="I976" s="503"/>
      <c r="J976" s="503"/>
      <c r="K976" s="503"/>
      <c r="L976" s="503"/>
      <c r="M976" s="503"/>
      <c r="N976" s="503"/>
      <c r="O976" s="503"/>
      <c r="P976" s="503"/>
      <c r="Q976" s="159"/>
      <c r="R976" s="483"/>
      <c r="AC976" s="323" t="s">
        <v>389</v>
      </c>
      <c r="AD976" s="164" t="s">
        <v>390</v>
      </c>
      <c r="AE976" s="164" t="s">
        <v>391</v>
      </c>
      <c r="AF976" s="164" t="s">
        <v>392</v>
      </c>
      <c r="AG976" s="164" t="s">
        <v>393</v>
      </c>
      <c r="AH976" s="164" t="s">
        <v>394</v>
      </c>
      <c r="AI976" s="159"/>
      <c r="AJ976" s="164" t="s">
        <v>422</v>
      </c>
      <c r="AK976" s="159"/>
      <c r="AL976" s="159"/>
      <c r="AM976" s="159"/>
      <c r="AN976" s="159" t="s">
        <v>389</v>
      </c>
      <c r="AO976" s="164" t="s">
        <v>390</v>
      </c>
      <c r="AP976" s="164" t="s">
        <v>391</v>
      </c>
      <c r="AQ976" s="164" t="s">
        <v>392</v>
      </c>
      <c r="AR976" s="164" t="s">
        <v>393</v>
      </c>
      <c r="AS976" s="164" t="s">
        <v>394</v>
      </c>
      <c r="AT976" s="164" t="s">
        <v>422</v>
      </c>
      <c r="AU976" s="481"/>
      <c r="AW976" s="159">
        <f t="shared" si="324"/>
        <v>12130</v>
      </c>
      <c r="AX976" s="172">
        <v>2.4700000000000002</v>
      </c>
    </row>
    <row r="977" spans="1:50" ht="15.75" customHeight="1" x14ac:dyDescent="0.3">
      <c r="A977" s="325"/>
      <c r="B977" s="503"/>
      <c r="C977" s="503"/>
      <c r="D977" s="503"/>
      <c r="E977" s="503"/>
      <c r="F977" s="503"/>
      <c r="G977" s="503"/>
      <c r="H977" s="503"/>
      <c r="I977" s="503"/>
      <c r="J977" s="503"/>
      <c r="K977" s="503"/>
      <c r="L977" s="503"/>
      <c r="M977" s="503"/>
      <c r="N977" s="503"/>
      <c r="O977" s="503"/>
      <c r="P977" s="503"/>
      <c r="Q977" s="159"/>
      <c r="R977" s="483"/>
      <c r="AC977" s="323" t="s">
        <v>405</v>
      </c>
      <c r="AD977" s="159"/>
      <c r="AE977" s="159"/>
      <c r="AF977" s="159"/>
      <c r="AG977" s="159"/>
      <c r="AH977" s="164" t="s">
        <v>406</v>
      </c>
      <c r="AI977" s="159"/>
      <c r="AJ977" s="164" t="s">
        <v>465</v>
      </c>
      <c r="AK977" s="159"/>
      <c r="AL977" s="159"/>
      <c r="AM977" s="159"/>
      <c r="AN977" s="159" t="s">
        <v>405</v>
      </c>
      <c r="AO977" s="159"/>
      <c r="AP977" s="159"/>
      <c r="AQ977" s="159"/>
      <c r="AR977" s="159"/>
      <c r="AS977" s="164" t="s">
        <v>406</v>
      </c>
      <c r="AT977" s="164" t="s">
        <v>465</v>
      </c>
      <c r="AU977" s="481"/>
      <c r="AW977" s="159">
        <f t="shared" si="324"/>
        <v>13760</v>
      </c>
      <c r="AX977" s="172">
        <v>2.4700000000000002</v>
      </c>
    </row>
    <row r="978" spans="1:50" ht="15.75" customHeight="1" x14ac:dyDescent="0.3">
      <c r="A978" s="325"/>
      <c r="B978" s="509">
        <f>+A5</f>
        <v>2020</v>
      </c>
      <c r="C978" s="509"/>
      <c r="D978" s="509"/>
      <c r="E978" s="509"/>
      <c r="F978" s="509"/>
      <c r="G978" s="509"/>
      <c r="H978" s="509"/>
      <c r="I978" s="509"/>
      <c r="J978" s="509"/>
      <c r="K978" s="509"/>
      <c r="L978" s="509"/>
      <c r="M978" s="509"/>
      <c r="N978" s="509"/>
      <c r="O978" s="509"/>
      <c r="P978" s="509"/>
      <c r="Q978" s="159"/>
      <c r="R978" s="483"/>
      <c r="AC978" s="323" t="s">
        <v>408</v>
      </c>
      <c r="AD978" s="159">
        <f>+$B$1009</f>
        <v>957</v>
      </c>
      <c r="AE978" s="159">
        <f>+C$1009</f>
        <v>122</v>
      </c>
      <c r="AF978" s="159">
        <f>+D$1009</f>
        <v>128</v>
      </c>
      <c r="AG978" s="159">
        <f>+E$1009</f>
        <v>219</v>
      </c>
      <c r="AH978" s="159"/>
      <c r="AI978" s="159"/>
      <c r="AJ978" s="164" t="s">
        <v>442</v>
      </c>
      <c r="AK978" s="159"/>
      <c r="AL978" s="159"/>
      <c r="AM978" s="159"/>
      <c r="AN978" s="159" t="s">
        <v>408</v>
      </c>
      <c r="AO978" s="159">
        <f>+$B$1009</f>
        <v>957</v>
      </c>
      <c r="AP978" s="159">
        <f>+C$1009</f>
        <v>122</v>
      </c>
      <c r="AQ978" s="159">
        <f>+D$1009</f>
        <v>128</v>
      </c>
      <c r="AR978" s="159">
        <f>+E$1009</f>
        <v>219</v>
      </c>
      <c r="AS978" s="159"/>
      <c r="AT978" s="164" t="s">
        <v>442</v>
      </c>
      <c r="AU978" s="481"/>
      <c r="AW978" s="159">
        <f t="shared" si="324"/>
        <v>15064</v>
      </c>
      <c r="AX978" s="172">
        <v>2.4700000000000002</v>
      </c>
    </row>
    <row r="979" spans="1:50" ht="15.75" customHeight="1" x14ac:dyDescent="0.3">
      <c r="A979" s="325"/>
      <c r="B979" s="503" t="s">
        <v>1027</v>
      </c>
      <c r="C979" s="503"/>
      <c r="D979" s="503"/>
      <c r="E979" s="503"/>
      <c r="F979" s="503"/>
      <c r="G979" s="503"/>
      <c r="H979" s="503"/>
      <c r="I979" s="503"/>
      <c r="J979" s="503"/>
      <c r="K979" s="503"/>
      <c r="L979" s="503"/>
      <c r="M979" s="503"/>
      <c r="N979" s="503"/>
      <c r="O979" s="503"/>
      <c r="P979" s="503"/>
      <c r="Q979" s="159"/>
      <c r="R979" s="483"/>
      <c r="AC979" s="323"/>
      <c r="AD979" s="159" t="s">
        <v>409</v>
      </c>
      <c r="AE979" s="159" t="s">
        <v>409</v>
      </c>
      <c r="AF979" s="159" t="s">
        <v>409</v>
      </c>
      <c r="AG979" s="159" t="s">
        <v>409</v>
      </c>
      <c r="AH979" s="159" t="s">
        <v>409</v>
      </c>
      <c r="AI979" s="159"/>
      <c r="AJ979" s="159" t="s">
        <v>459</v>
      </c>
      <c r="AK979" s="159"/>
      <c r="AL979" s="159"/>
      <c r="AM979" s="159"/>
      <c r="AN979" s="159"/>
      <c r="AO979" s="159" t="s">
        <v>409</v>
      </c>
      <c r="AP979" s="159" t="s">
        <v>409</v>
      </c>
      <c r="AQ979" s="159" t="s">
        <v>409</v>
      </c>
      <c r="AR979" s="159" t="s">
        <v>409</v>
      </c>
      <c r="AS979" s="159" t="s">
        <v>409</v>
      </c>
      <c r="AT979" s="159" t="s">
        <v>459</v>
      </c>
      <c r="AU979" s="481"/>
      <c r="AW979" s="159">
        <f t="shared" si="324"/>
        <v>15423</v>
      </c>
      <c r="AX979" s="172">
        <v>2.4700000000000002</v>
      </c>
    </row>
    <row r="980" spans="1:50" ht="15.75" customHeight="1" x14ac:dyDescent="0.3">
      <c r="A980" s="325"/>
      <c r="B980" s="159"/>
      <c r="C980" s="159"/>
      <c r="D980" s="159"/>
      <c r="E980" s="159"/>
      <c r="F980" s="159"/>
      <c r="G980" s="159"/>
      <c r="H980" s="159"/>
      <c r="I980" s="159"/>
      <c r="J980" s="159"/>
      <c r="K980" s="159"/>
      <c r="L980" s="159"/>
      <c r="M980" s="159"/>
      <c r="N980" s="159"/>
      <c r="O980" s="159"/>
      <c r="P980" s="159"/>
      <c r="Q980" s="159"/>
      <c r="R980" s="483"/>
      <c r="AC980" s="325" t="s">
        <v>410</v>
      </c>
      <c r="AD980" s="159">
        <f>ROUND($F954*$AD$978/1000,0)</f>
        <v>19827</v>
      </c>
      <c r="AE980" s="159">
        <f t="shared" ref="AE980:AE991" si="325">ROUND($F954*$AE$978/1000,0)</f>
        <v>2528</v>
      </c>
      <c r="AF980" s="159">
        <f t="shared" ref="AF980:AF991" si="326">ROUND($F954*$AF$978/1000,0)</f>
        <v>2652</v>
      </c>
      <c r="AG980" s="159">
        <f t="shared" ref="AG980:AG991" si="327">ROUND($F954*$AG$978/1000,0)</f>
        <v>4537</v>
      </c>
      <c r="AH980" s="159">
        <f t="shared" ref="AH980:AH991" si="328">(F954*((T954-1526.8)/0.7702))/1000</f>
        <v>4395.3743141133909</v>
      </c>
      <c r="AI980" s="159"/>
      <c r="AJ980" s="159">
        <f t="shared" ref="AJ980:AJ991" si="329">SUM(AD980:AH980)</f>
        <v>33939.374314113389</v>
      </c>
      <c r="AK980" s="159"/>
      <c r="AL980" s="159"/>
      <c r="AM980" s="159"/>
      <c r="AN980" s="164" t="s">
        <v>410</v>
      </c>
      <c r="AO980" s="159">
        <f t="shared" ref="AO980:AO991" si="330">ROUND((B954-$F954)*$AO$978/1000,0)</f>
        <v>51244</v>
      </c>
      <c r="AP980" s="159">
        <f t="shared" ref="AP980:AP991" si="331">ROUND((C954-$F954)*$AP$978/1000,0)</f>
        <v>6521</v>
      </c>
      <c r="AQ980" s="159">
        <f t="shared" ref="AQ980:AQ991" si="332">ROUND((D954-$F954)*$AQ$978/1000,0)</f>
        <v>6829</v>
      </c>
      <c r="AR980" s="159">
        <f t="shared" ref="AR980:AR991" si="333">ROUND((E954-$F954)*$AR$978/1000,0)</f>
        <v>11460</v>
      </c>
      <c r="AS980" s="159">
        <f>((F954-$F954)*((T954-1526.8)/0.7702))/1000</f>
        <v>0</v>
      </c>
      <c r="AT980" s="159">
        <f t="shared" ref="AT980:AT991" si="334">SUM(AN980:AR980)</f>
        <v>76054</v>
      </c>
      <c r="AU980" s="481"/>
      <c r="AW980" s="159">
        <f t="shared" si="324"/>
        <v>15376</v>
      </c>
      <c r="AX980" s="172">
        <v>2.4700000000000002</v>
      </c>
    </row>
    <row r="981" spans="1:50" ht="15.75" customHeight="1" thickBot="1" x14ac:dyDescent="0.35">
      <c r="A981" s="325" t="s">
        <v>433</v>
      </c>
      <c r="B981" s="364" t="s">
        <v>390</v>
      </c>
      <c r="C981" s="364" t="s">
        <v>391</v>
      </c>
      <c r="D981" s="364" t="s">
        <v>392</v>
      </c>
      <c r="E981" s="364" t="s">
        <v>393</v>
      </c>
      <c r="F981" s="364" t="s">
        <v>394</v>
      </c>
      <c r="G981" s="364" t="s">
        <v>394</v>
      </c>
      <c r="H981" s="364" t="s">
        <v>395</v>
      </c>
      <c r="I981" s="364" t="s">
        <v>396</v>
      </c>
      <c r="J981" s="364" t="s">
        <v>397</v>
      </c>
      <c r="K981" s="364" t="s">
        <v>398</v>
      </c>
      <c r="L981" s="364" t="s">
        <v>399</v>
      </c>
      <c r="M981" s="364" t="s">
        <v>400</v>
      </c>
      <c r="N981" s="364" t="s">
        <v>401</v>
      </c>
      <c r="O981" s="364" t="s">
        <v>402</v>
      </c>
      <c r="P981" s="364" t="s">
        <v>403</v>
      </c>
      <c r="Q981" s="364" t="s">
        <v>404</v>
      </c>
      <c r="R981" s="483"/>
      <c r="AC981" s="325" t="s">
        <v>411</v>
      </c>
      <c r="AD981" s="159">
        <f t="shared" ref="AD981:AD991" si="335">ROUND($F955*$AD$978/1000,0)</f>
        <v>2599</v>
      </c>
      <c r="AE981" s="159">
        <f t="shared" si="325"/>
        <v>331</v>
      </c>
      <c r="AF981" s="159">
        <f t="shared" si="326"/>
        <v>348</v>
      </c>
      <c r="AG981" s="159">
        <f t="shared" si="327"/>
        <v>595</v>
      </c>
      <c r="AH981" s="159">
        <f t="shared" si="328"/>
        <v>588.40789405349301</v>
      </c>
      <c r="AI981" s="159"/>
      <c r="AJ981" s="159">
        <f t="shared" si="329"/>
        <v>4461.4078940534928</v>
      </c>
      <c r="AK981" s="159"/>
      <c r="AL981" s="159"/>
      <c r="AM981" s="159"/>
      <c r="AN981" s="164" t="s">
        <v>411</v>
      </c>
      <c r="AO981" s="159">
        <f t="shared" si="330"/>
        <v>68487</v>
      </c>
      <c r="AP981" s="159">
        <f t="shared" si="331"/>
        <v>8713</v>
      </c>
      <c r="AQ981" s="159">
        <f t="shared" si="332"/>
        <v>9123</v>
      </c>
      <c r="AR981" s="159">
        <f t="shared" si="333"/>
        <v>15440</v>
      </c>
      <c r="AS981" s="159">
        <f t="shared" ref="AS981:AS991" si="336">((F955-$F955)*((T955-1526.8)/0.7702))/1000</f>
        <v>0</v>
      </c>
      <c r="AT981" s="159">
        <f t="shared" si="334"/>
        <v>101763</v>
      </c>
      <c r="AU981" s="481"/>
      <c r="AW981" s="159">
        <f t="shared" si="324"/>
        <v>15009</v>
      </c>
      <c r="AX981" s="172">
        <v>2.4700000000000002</v>
      </c>
    </row>
    <row r="982" spans="1:50" ht="15.75" customHeight="1" x14ac:dyDescent="0.3">
      <c r="A982" s="325"/>
      <c r="B982" s="159"/>
      <c r="C982" s="159"/>
      <c r="D982" s="159"/>
      <c r="E982" s="159"/>
      <c r="F982" s="164" t="s">
        <v>406</v>
      </c>
      <c r="G982" s="164" t="s">
        <v>407</v>
      </c>
      <c r="H982" s="159"/>
      <c r="I982" s="159"/>
      <c r="J982" s="159"/>
      <c r="K982" s="159"/>
      <c r="L982" s="159"/>
      <c r="M982" s="159"/>
      <c r="N982" s="159"/>
      <c r="O982" s="159"/>
      <c r="P982" s="159"/>
      <c r="Q982" s="159"/>
      <c r="R982" s="483"/>
      <c r="AC982" s="325" t="s">
        <v>412</v>
      </c>
      <c r="AD982" s="159">
        <f t="shared" si="335"/>
        <v>22199</v>
      </c>
      <c r="AE982" s="159">
        <f t="shared" si="325"/>
        <v>2830</v>
      </c>
      <c r="AF982" s="159">
        <f t="shared" si="326"/>
        <v>2969</v>
      </c>
      <c r="AG982" s="159">
        <f t="shared" si="327"/>
        <v>5080</v>
      </c>
      <c r="AH982" s="159">
        <f t="shared" si="328"/>
        <v>5116.8532848610776</v>
      </c>
      <c r="AI982" s="159"/>
      <c r="AJ982" s="159">
        <f t="shared" si="329"/>
        <v>38194.853284861078</v>
      </c>
      <c r="AK982" s="159"/>
      <c r="AL982" s="159"/>
      <c r="AM982" s="159"/>
      <c r="AN982" s="164" t="s">
        <v>412</v>
      </c>
      <c r="AO982" s="159">
        <f t="shared" si="330"/>
        <v>68937</v>
      </c>
      <c r="AP982" s="159">
        <f t="shared" si="331"/>
        <v>8755</v>
      </c>
      <c r="AQ982" s="159">
        <f t="shared" si="332"/>
        <v>9152</v>
      </c>
      <c r="AR982" s="159">
        <f t="shared" si="333"/>
        <v>15313</v>
      </c>
      <c r="AS982" s="159">
        <f t="shared" si="336"/>
        <v>0</v>
      </c>
      <c r="AT982" s="159">
        <f t="shared" si="334"/>
        <v>102157</v>
      </c>
      <c r="AU982" s="481"/>
      <c r="AW982" s="159">
        <f t="shared" si="324"/>
        <v>13642</v>
      </c>
      <c r="AX982" s="172">
        <v>2.4700000000000002</v>
      </c>
    </row>
    <row r="983" spans="1:50" ht="15.75" customHeight="1" x14ac:dyDescent="0.3">
      <c r="A983" s="365" t="s">
        <v>795</v>
      </c>
      <c r="B983" s="159">
        <f t="shared" ref="B983:Q983" si="337">(B954/$B$10/1.983)</f>
        <v>1208.0750898768565</v>
      </c>
      <c r="C983" s="159">
        <f t="shared" si="337"/>
        <v>1206.4971613553917</v>
      </c>
      <c r="D983" s="159">
        <f t="shared" si="337"/>
        <v>1204.9355001382721</v>
      </c>
      <c r="E983" s="159">
        <f t="shared" si="337"/>
        <v>1188.2777804889952</v>
      </c>
      <c r="F983" s="159">
        <f t="shared" si="337"/>
        <v>337.02601141964766</v>
      </c>
      <c r="G983" s="159">
        <f t="shared" si="337"/>
        <v>0</v>
      </c>
      <c r="H983" s="159">
        <f t="shared" si="337"/>
        <v>478.34008426463646</v>
      </c>
      <c r="I983" s="159">
        <f t="shared" si="337"/>
        <v>229.98714882956745</v>
      </c>
      <c r="J983" s="159">
        <f t="shared" si="337"/>
        <v>229.84074309046247</v>
      </c>
      <c r="K983" s="159">
        <f t="shared" si="337"/>
        <v>228.14894343858279</v>
      </c>
      <c r="L983" s="159">
        <f t="shared" si="337"/>
        <v>155.56423145120621</v>
      </c>
      <c r="M983" s="159">
        <f t="shared" si="337"/>
        <v>155.23888536430627</v>
      </c>
      <c r="N983" s="159">
        <f t="shared" si="337"/>
        <v>149.44772501748736</v>
      </c>
      <c r="O983" s="159">
        <f t="shared" si="337"/>
        <v>57.846534250809292</v>
      </c>
      <c r="P983" s="159">
        <f t="shared" si="337"/>
        <v>67.086363118767579</v>
      </c>
      <c r="Q983" s="159">
        <f t="shared" si="337"/>
        <v>57.813999642119299</v>
      </c>
      <c r="R983" s="483"/>
      <c r="AC983" s="325" t="s">
        <v>413</v>
      </c>
      <c r="AD983" s="159">
        <f t="shared" si="335"/>
        <v>3462</v>
      </c>
      <c r="AE983" s="159">
        <f t="shared" si="325"/>
        <v>441</v>
      </c>
      <c r="AF983" s="159">
        <f t="shared" si="326"/>
        <v>463</v>
      </c>
      <c r="AG983" s="159">
        <f t="shared" si="327"/>
        <v>792</v>
      </c>
      <c r="AH983" s="159">
        <f t="shared" si="328"/>
        <v>795.33455313143236</v>
      </c>
      <c r="AI983" s="159"/>
      <c r="AJ983" s="159">
        <f t="shared" si="329"/>
        <v>5953.3345531314326</v>
      </c>
      <c r="AK983" s="159"/>
      <c r="AL983" s="159"/>
      <c r="AM983" s="159"/>
      <c r="AN983" s="164" t="s">
        <v>413</v>
      </c>
      <c r="AO983" s="159">
        <f t="shared" si="330"/>
        <v>141331</v>
      </c>
      <c r="AP983" s="159">
        <f t="shared" si="331"/>
        <v>17972</v>
      </c>
      <c r="AQ983" s="159">
        <f t="shared" si="332"/>
        <v>18811</v>
      </c>
      <c r="AR983" s="159">
        <f t="shared" si="333"/>
        <v>31325</v>
      </c>
      <c r="AS983" s="159">
        <f t="shared" si="336"/>
        <v>0</v>
      </c>
      <c r="AT983" s="159">
        <f t="shared" si="334"/>
        <v>209439</v>
      </c>
      <c r="AU983" s="481"/>
      <c r="AW983" s="159">
        <f t="shared" si="324"/>
        <v>12442</v>
      </c>
      <c r="AX983" s="172">
        <v>2.4700000000000002</v>
      </c>
    </row>
    <row r="984" spans="1:50" ht="15.75" customHeight="1" x14ac:dyDescent="0.3">
      <c r="A984" s="365" t="s">
        <v>9</v>
      </c>
      <c r="B984" s="159">
        <f t="shared" ref="B984:Q984" si="338">(B955/$C$10/1.983)</f>
        <v>1291.668840315092</v>
      </c>
      <c r="C984" s="159">
        <f t="shared" si="338"/>
        <v>1289.0952405794078</v>
      </c>
      <c r="D984" s="159">
        <f t="shared" si="338"/>
        <v>1286.5738084059331</v>
      </c>
      <c r="E984" s="159">
        <f t="shared" si="338"/>
        <v>1273.2363016676231</v>
      </c>
      <c r="F984" s="159">
        <f t="shared" si="338"/>
        <v>47.229032987288505</v>
      </c>
      <c r="G984" s="159">
        <f t="shared" si="338"/>
        <v>0</v>
      </c>
      <c r="H984" s="159">
        <f t="shared" si="338"/>
        <v>826.42113134053238</v>
      </c>
      <c r="I984" s="159">
        <f t="shared" si="338"/>
        <v>400.64687777140171</v>
      </c>
      <c r="J984" s="159">
        <f t="shared" si="338"/>
        <v>396.12568904655086</v>
      </c>
      <c r="K984" s="159">
        <f t="shared" si="338"/>
        <v>393.93465143373851</v>
      </c>
      <c r="L984" s="159">
        <f t="shared" si="338"/>
        <v>324.62135044429374</v>
      </c>
      <c r="M984" s="159">
        <f t="shared" si="338"/>
        <v>324.23878832142174</v>
      </c>
      <c r="N984" s="159">
        <f t="shared" si="338"/>
        <v>297.25076947154258</v>
      </c>
      <c r="O984" s="159">
        <f t="shared" si="338"/>
        <v>66.670144504147316</v>
      </c>
      <c r="P984" s="159">
        <f t="shared" si="338"/>
        <v>68.356895682264764</v>
      </c>
      <c r="Q984" s="159">
        <f t="shared" si="338"/>
        <v>66.617976941937499</v>
      </c>
      <c r="R984" s="483"/>
      <c r="AC984" s="325" t="s">
        <v>414</v>
      </c>
      <c r="AD984" s="159">
        <f t="shared" si="335"/>
        <v>0</v>
      </c>
      <c r="AE984" s="159">
        <f t="shared" si="325"/>
        <v>0</v>
      </c>
      <c r="AF984" s="159">
        <f t="shared" si="326"/>
        <v>0</v>
      </c>
      <c r="AG984" s="159">
        <f t="shared" si="327"/>
        <v>0</v>
      </c>
      <c r="AH984" s="159">
        <f t="shared" si="328"/>
        <v>0</v>
      </c>
      <c r="AI984" s="159"/>
      <c r="AJ984" s="159">
        <f t="shared" si="329"/>
        <v>0</v>
      </c>
      <c r="AK984" s="159"/>
      <c r="AL984" s="159"/>
      <c r="AM984" s="159"/>
      <c r="AN984" s="164" t="s">
        <v>414</v>
      </c>
      <c r="AO984" s="159">
        <f t="shared" si="330"/>
        <v>171435</v>
      </c>
      <c r="AP984" s="159">
        <f t="shared" si="331"/>
        <v>21803</v>
      </c>
      <c r="AQ984" s="159">
        <f t="shared" si="332"/>
        <v>22824</v>
      </c>
      <c r="AR984" s="159">
        <f t="shared" si="333"/>
        <v>37630</v>
      </c>
      <c r="AS984" s="159">
        <f t="shared" si="336"/>
        <v>0</v>
      </c>
      <c r="AT984" s="159">
        <f t="shared" si="334"/>
        <v>253692</v>
      </c>
      <c r="AU984" s="481"/>
      <c r="AW984" s="159">
        <f t="shared" si="324"/>
        <v>7173</v>
      </c>
      <c r="AX984" s="172">
        <v>2.4700000000000002</v>
      </c>
    </row>
    <row r="985" spans="1:50" ht="15.75" customHeight="1" x14ac:dyDescent="0.3">
      <c r="A985" s="365" t="s">
        <v>10</v>
      </c>
      <c r="B985" s="159">
        <f t="shared" ref="B985:Q985" si="339">(B956/$D$10/1.983)</f>
        <v>1549.1353927740633</v>
      </c>
      <c r="C985" s="159">
        <f t="shared" si="339"/>
        <v>1544.6781513835342</v>
      </c>
      <c r="D985" s="159">
        <f t="shared" si="339"/>
        <v>1540.4323849494899</v>
      </c>
      <c r="E985" s="159">
        <f t="shared" si="339"/>
        <v>1514.7788459974297</v>
      </c>
      <c r="F985" s="159">
        <f t="shared" si="339"/>
        <v>377.33639158655018</v>
      </c>
      <c r="G985" s="159">
        <f t="shared" si="339"/>
        <v>-313.27574707595204</v>
      </c>
      <c r="H985" s="159">
        <f t="shared" si="339"/>
        <v>1056.7403575553494</v>
      </c>
      <c r="I985" s="159">
        <f t="shared" si="339"/>
        <v>495.85997104419823</v>
      </c>
      <c r="J985" s="159">
        <f t="shared" si="339"/>
        <v>459.95803035478991</v>
      </c>
      <c r="K985" s="159">
        <f t="shared" si="339"/>
        <v>447.69248287866213</v>
      </c>
      <c r="L985" s="159">
        <f t="shared" si="339"/>
        <v>350.86948741724007</v>
      </c>
      <c r="M985" s="159">
        <f t="shared" si="339"/>
        <v>350.41400289558015</v>
      </c>
      <c r="N985" s="159">
        <f t="shared" si="339"/>
        <v>330.82816846420377</v>
      </c>
      <c r="O985" s="159">
        <f t="shared" si="339"/>
        <v>63.637694597628219</v>
      </c>
      <c r="P985" s="159">
        <f t="shared" si="339"/>
        <v>70.616368161631925</v>
      </c>
      <c r="Q985" s="159">
        <f t="shared" si="339"/>
        <v>63.55635807590324</v>
      </c>
      <c r="R985" s="483"/>
      <c r="AC985" s="325" t="s">
        <v>415</v>
      </c>
      <c r="AD985" s="159">
        <f t="shared" si="335"/>
        <v>0</v>
      </c>
      <c r="AE985" s="159">
        <f t="shared" si="325"/>
        <v>0</v>
      </c>
      <c r="AF985" s="159">
        <f t="shared" si="326"/>
        <v>0</v>
      </c>
      <c r="AG985" s="159">
        <f t="shared" si="327"/>
        <v>0</v>
      </c>
      <c r="AH985" s="159">
        <f t="shared" si="328"/>
        <v>0</v>
      </c>
      <c r="AI985" s="159"/>
      <c r="AJ985" s="159">
        <f t="shared" si="329"/>
        <v>0</v>
      </c>
      <c r="AK985" s="159"/>
      <c r="AL985" s="159"/>
      <c r="AM985" s="159"/>
      <c r="AN985" s="164" t="s">
        <v>415</v>
      </c>
      <c r="AO985" s="159">
        <f t="shared" si="330"/>
        <v>102242</v>
      </c>
      <c r="AP985" s="159">
        <f t="shared" si="331"/>
        <v>12983</v>
      </c>
      <c r="AQ985" s="159">
        <f t="shared" si="332"/>
        <v>13571</v>
      </c>
      <c r="AR985" s="159">
        <f t="shared" si="333"/>
        <v>21545</v>
      </c>
      <c r="AS985" s="159">
        <f t="shared" si="336"/>
        <v>0</v>
      </c>
      <c r="AT985" s="159">
        <f t="shared" si="334"/>
        <v>150341</v>
      </c>
      <c r="AU985" s="481"/>
      <c r="AW985" s="159">
        <f t="shared" si="324"/>
        <v>3931</v>
      </c>
      <c r="AX985" s="172">
        <v>2.4700000000000002</v>
      </c>
    </row>
    <row r="986" spans="1:50" ht="15.75" customHeight="1" x14ac:dyDescent="0.3">
      <c r="A986" s="365" t="s">
        <v>12</v>
      </c>
      <c r="B986" s="159">
        <f t="shared" ref="B986:Q986" si="340">(B957/$F$10/1.983)</f>
        <v>2543.2677760968231</v>
      </c>
      <c r="C986" s="159">
        <f t="shared" si="340"/>
        <v>2537.0986720457217</v>
      </c>
      <c r="D986" s="159">
        <f t="shared" si="340"/>
        <v>2531.2153303076143</v>
      </c>
      <c r="E986" s="159">
        <f t="shared" si="340"/>
        <v>2465.2042360060514</v>
      </c>
      <c r="F986" s="159">
        <f t="shared" si="340"/>
        <v>60.816944024205746</v>
      </c>
      <c r="G986" s="159">
        <f t="shared" si="340"/>
        <v>0</v>
      </c>
      <c r="H986" s="159">
        <f t="shared" si="340"/>
        <v>1774.3990586653217</v>
      </c>
      <c r="I986" s="159">
        <f t="shared" si="340"/>
        <v>820.81022020507646</v>
      </c>
      <c r="J986" s="159">
        <f t="shared" si="340"/>
        <v>623.0963187090266</v>
      </c>
      <c r="K986" s="159">
        <f t="shared" si="340"/>
        <v>520.42360060514375</v>
      </c>
      <c r="L986" s="159">
        <f t="shared" si="340"/>
        <v>402.23566986048075</v>
      </c>
      <c r="M986" s="159">
        <f t="shared" si="340"/>
        <v>401.61371659102366</v>
      </c>
      <c r="N986" s="159">
        <f t="shared" si="340"/>
        <v>359.45537065052946</v>
      </c>
      <c r="O986" s="159">
        <f t="shared" si="340"/>
        <v>71.894436039670524</v>
      </c>
      <c r="P986" s="159">
        <f t="shared" si="340"/>
        <v>87.544125063035793</v>
      </c>
      <c r="Q986" s="159">
        <f t="shared" si="340"/>
        <v>71.776769204908391</v>
      </c>
      <c r="R986" s="483"/>
      <c r="AC986" s="325" t="s">
        <v>416</v>
      </c>
      <c r="AD986" s="159">
        <f t="shared" si="335"/>
        <v>0</v>
      </c>
      <c r="AE986" s="159">
        <f t="shared" si="325"/>
        <v>0</v>
      </c>
      <c r="AF986" s="159">
        <f t="shared" si="326"/>
        <v>0</v>
      </c>
      <c r="AG986" s="159">
        <f t="shared" si="327"/>
        <v>0</v>
      </c>
      <c r="AH986" s="159">
        <f t="shared" si="328"/>
        <v>0</v>
      </c>
      <c r="AI986" s="159"/>
      <c r="AJ986" s="159">
        <f t="shared" si="329"/>
        <v>0</v>
      </c>
      <c r="AK986" s="159"/>
      <c r="AL986" s="159"/>
      <c r="AM986" s="159"/>
      <c r="AN986" s="164" t="s">
        <v>416</v>
      </c>
      <c r="AO986" s="159">
        <f t="shared" si="330"/>
        <v>71492</v>
      </c>
      <c r="AP986" s="159">
        <f t="shared" si="331"/>
        <v>9063</v>
      </c>
      <c r="AQ986" s="159">
        <f t="shared" si="332"/>
        <v>9458</v>
      </c>
      <c r="AR986" s="159">
        <f t="shared" si="333"/>
        <v>13647</v>
      </c>
      <c r="AS986" s="159">
        <f t="shared" si="336"/>
        <v>0</v>
      </c>
      <c r="AT986" s="159">
        <f t="shared" si="334"/>
        <v>103660</v>
      </c>
      <c r="AU986" s="481"/>
      <c r="AW986" s="159">
        <f t="shared" si="324"/>
        <v>6153</v>
      </c>
      <c r="AX986" s="172">
        <v>2.4700000000000002</v>
      </c>
    </row>
    <row r="987" spans="1:50" ht="15.75" customHeight="1" x14ac:dyDescent="0.3">
      <c r="A987" s="365" t="s">
        <v>13</v>
      </c>
      <c r="B987" s="159">
        <f t="shared" ref="B987:Q987" si="341">(B958/$G$10/1.983)</f>
        <v>2914.0923657540711</v>
      </c>
      <c r="C987" s="159">
        <f t="shared" si="341"/>
        <v>2907.1787614074469</v>
      </c>
      <c r="D987" s="159">
        <f t="shared" si="341"/>
        <v>2900.639305060758</v>
      </c>
      <c r="E987" s="159">
        <f t="shared" si="341"/>
        <v>2795.1783709921428</v>
      </c>
      <c r="F987" s="159">
        <f t="shared" si="341"/>
        <v>0</v>
      </c>
      <c r="G987" s="159">
        <f>(G958/$G$10/1.983)</f>
        <v>-205.29338083386202</v>
      </c>
      <c r="H987" s="159">
        <f t="shared" si="341"/>
        <v>2059.7986107722086</v>
      </c>
      <c r="I987" s="159">
        <f t="shared" si="341"/>
        <v>712.16631691962323</v>
      </c>
      <c r="J987" s="159">
        <f t="shared" si="341"/>
        <v>574.52865485660368</v>
      </c>
      <c r="K987" s="159">
        <f t="shared" si="341"/>
        <v>492.68784669692383</v>
      </c>
      <c r="L987" s="159">
        <f t="shared" si="341"/>
        <v>385.09589575911372</v>
      </c>
      <c r="M987" s="159">
        <f t="shared" si="341"/>
        <v>384.41266897662382</v>
      </c>
      <c r="N987" s="159">
        <f t="shared" si="341"/>
        <v>351.63405072145491</v>
      </c>
      <c r="O987" s="159">
        <f t="shared" si="341"/>
        <v>64.385990597498079</v>
      </c>
      <c r="P987" s="159">
        <f t="shared" si="341"/>
        <v>111.69131163274932</v>
      </c>
      <c r="Q987" s="159">
        <f t="shared" si="341"/>
        <v>64.255852162738108</v>
      </c>
      <c r="R987" s="483"/>
      <c r="AC987" s="325" t="s">
        <v>417</v>
      </c>
      <c r="AD987" s="159">
        <f t="shared" si="335"/>
        <v>5</v>
      </c>
      <c r="AE987" s="159">
        <f t="shared" si="325"/>
        <v>1</v>
      </c>
      <c r="AF987" s="159">
        <f t="shared" si="326"/>
        <v>1</v>
      </c>
      <c r="AG987" s="159">
        <f t="shared" si="327"/>
        <v>1</v>
      </c>
      <c r="AH987" s="159">
        <f t="shared" si="328"/>
        <v>0.87301881878266907</v>
      </c>
      <c r="AI987" s="159"/>
      <c r="AJ987" s="159">
        <f t="shared" si="329"/>
        <v>8.8730188187826684</v>
      </c>
      <c r="AK987" s="159"/>
      <c r="AL987" s="159"/>
      <c r="AM987" s="159"/>
      <c r="AN987" s="164" t="s">
        <v>417</v>
      </c>
      <c r="AO987" s="159">
        <f t="shared" si="330"/>
        <v>60405</v>
      </c>
      <c r="AP987" s="159">
        <f t="shared" si="331"/>
        <v>7660</v>
      </c>
      <c r="AQ987" s="159">
        <f t="shared" si="332"/>
        <v>7996</v>
      </c>
      <c r="AR987" s="159">
        <f t="shared" si="333"/>
        <v>8887</v>
      </c>
      <c r="AS987" s="159">
        <f t="shared" si="336"/>
        <v>0</v>
      </c>
      <c r="AT987" s="159">
        <f t="shared" si="334"/>
        <v>84948</v>
      </c>
      <c r="AU987" s="481"/>
      <c r="AW987" s="159"/>
      <c r="AX987" s="172"/>
    </row>
    <row r="988" spans="1:50" ht="15.75" customHeight="1" x14ac:dyDescent="0.3">
      <c r="A988" s="365" t="s">
        <v>14</v>
      </c>
      <c r="B988" s="159">
        <f t="shared" ref="B988:Q988" si="342">(B959/$H$10/1.983)</f>
        <v>1795.8648512355016</v>
      </c>
      <c r="C988" s="159">
        <f t="shared" si="342"/>
        <v>1788.8552697932425</v>
      </c>
      <c r="D988" s="159">
        <f t="shared" si="342"/>
        <v>1782.1986888552697</v>
      </c>
      <c r="E988" s="159">
        <f t="shared" si="342"/>
        <v>1653.6728861993611</v>
      </c>
      <c r="F988" s="159">
        <f t="shared" si="342"/>
        <v>0</v>
      </c>
      <c r="G988" s="159">
        <f t="shared" si="342"/>
        <v>-1465.0529500756429</v>
      </c>
      <c r="H988" s="159">
        <f t="shared" si="342"/>
        <v>2323.3148428307277</v>
      </c>
      <c r="I988" s="159">
        <f t="shared" si="342"/>
        <v>781.62716422928224</v>
      </c>
      <c r="J988" s="159">
        <f t="shared" si="342"/>
        <v>548.31064044377206</v>
      </c>
      <c r="K988" s="159">
        <f t="shared" si="342"/>
        <v>446.4279710875777</v>
      </c>
      <c r="L988" s="159">
        <f t="shared" si="342"/>
        <v>392.68784669692388</v>
      </c>
      <c r="M988" s="159">
        <f t="shared" si="342"/>
        <v>391.94822659270466</v>
      </c>
      <c r="N988" s="159">
        <f t="shared" si="342"/>
        <v>347.25163893091275</v>
      </c>
      <c r="O988" s="159">
        <f t="shared" si="342"/>
        <v>72.180198352664306</v>
      </c>
      <c r="P988" s="159">
        <f t="shared" si="342"/>
        <v>117.93578752731551</v>
      </c>
      <c r="Q988" s="159">
        <f t="shared" si="342"/>
        <v>71.844007396201036</v>
      </c>
      <c r="R988" s="483"/>
      <c r="AC988" s="325" t="s">
        <v>418</v>
      </c>
      <c r="AD988" s="159">
        <f t="shared" si="335"/>
        <v>31957</v>
      </c>
      <c r="AE988" s="159">
        <f t="shared" si="325"/>
        <v>4074</v>
      </c>
      <c r="AF988" s="159">
        <f t="shared" si="326"/>
        <v>4274</v>
      </c>
      <c r="AG988" s="159">
        <f t="shared" si="327"/>
        <v>7313</v>
      </c>
      <c r="AH988" s="159">
        <f t="shared" si="328"/>
        <v>5761.1813035575215</v>
      </c>
      <c r="AI988" s="159"/>
      <c r="AJ988" s="159">
        <f t="shared" si="329"/>
        <v>53379.181303557518</v>
      </c>
      <c r="AK988" s="159"/>
      <c r="AL988" s="159"/>
      <c r="AM988" s="159"/>
      <c r="AN988" s="164" t="s">
        <v>418</v>
      </c>
      <c r="AO988" s="159">
        <f t="shared" si="330"/>
        <v>125915</v>
      </c>
      <c r="AP988" s="159">
        <f t="shared" si="331"/>
        <v>16013</v>
      </c>
      <c r="AQ988" s="159">
        <f t="shared" si="332"/>
        <v>16762</v>
      </c>
      <c r="AR988" s="159">
        <f t="shared" si="333"/>
        <v>24317</v>
      </c>
      <c r="AS988" s="159">
        <f t="shared" si="336"/>
        <v>0</v>
      </c>
      <c r="AT988" s="159">
        <f t="shared" si="334"/>
        <v>183007</v>
      </c>
      <c r="AU988" s="481"/>
      <c r="AW988" s="159">
        <f>(SUM(AW975:AW986))</f>
        <v>138159</v>
      </c>
      <c r="AX988" s="172"/>
    </row>
    <row r="989" spans="1:50" ht="15.75" customHeight="1" x14ac:dyDescent="0.3">
      <c r="A989" s="365" t="s">
        <v>16</v>
      </c>
      <c r="B989" s="159">
        <f t="shared" ref="B989:Q989" si="343">(B960/$J$10/1.983)</f>
        <v>1215.2327037886553</v>
      </c>
      <c r="C989" s="159">
        <f t="shared" si="343"/>
        <v>1208.4655051811365</v>
      </c>
      <c r="D989" s="159">
        <f t="shared" si="343"/>
        <v>1202.0561872692074</v>
      </c>
      <c r="E989" s="159">
        <f t="shared" si="343"/>
        <v>1013.6808029541425</v>
      </c>
      <c r="F989" s="159">
        <f t="shared" si="343"/>
        <v>0</v>
      </c>
      <c r="G989" s="159">
        <f t="shared" si="343"/>
        <v>-1836.4159875067101</v>
      </c>
      <c r="H989" s="159">
        <f t="shared" si="343"/>
        <v>2111.105688676329</v>
      </c>
      <c r="I989" s="159">
        <f t="shared" si="343"/>
        <v>850.86135376506752</v>
      </c>
      <c r="J989" s="159">
        <f t="shared" si="343"/>
        <v>582.67857433344716</v>
      </c>
      <c r="K989" s="159">
        <f t="shared" si="343"/>
        <v>481.60981243798085</v>
      </c>
      <c r="L989" s="159">
        <f t="shared" si="343"/>
        <v>359.81650480698841</v>
      </c>
      <c r="M989" s="159">
        <f t="shared" si="343"/>
        <v>359.18207993753356</v>
      </c>
      <c r="N989" s="159">
        <f t="shared" si="343"/>
        <v>344.18362533144631</v>
      </c>
      <c r="O989" s="159">
        <f t="shared" si="343"/>
        <v>66.663413205797667</v>
      </c>
      <c r="P989" s="159">
        <f t="shared" si="343"/>
        <v>109.1698794592748</v>
      </c>
      <c r="Q989" s="159">
        <f t="shared" si="343"/>
        <v>66.549542075382689</v>
      </c>
      <c r="R989" s="483"/>
      <c r="AC989" s="325" t="s">
        <v>419</v>
      </c>
      <c r="AD989" s="159">
        <f t="shared" si="335"/>
        <v>58892</v>
      </c>
      <c r="AE989" s="159">
        <f t="shared" si="325"/>
        <v>7508</v>
      </c>
      <c r="AF989" s="159">
        <f t="shared" si="326"/>
        <v>7877</v>
      </c>
      <c r="AG989" s="159">
        <f t="shared" si="327"/>
        <v>13477</v>
      </c>
      <c r="AH989" s="159">
        <f t="shared" si="328"/>
        <v>11143.475538821069</v>
      </c>
      <c r="AI989" s="159"/>
      <c r="AJ989" s="159">
        <f t="shared" si="329"/>
        <v>98897.475538821076</v>
      </c>
      <c r="AK989" s="159"/>
      <c r="AL989" s="159"/>
      <c r="AM989" s="159"/>
      <c r="AN989" s="164" t="s">
        <v>419</v>
      </c>
      <c r="AO989" s="159">
        <f t="shared" si="330"/>
        <v>96951</v>
      </c>
      <c r="AP989" s="159">
        <f t="shared" si="331"/>
        <v>12325</v>
      </c>
      <c r="AQ989" s="159">
        <f t="shared" si="332"/>
        <v>12896</v>
      </c>
      <c r="AR989" s="159">
        <f t="shared" si="333"/>
        <v>18844</v>
      </c>
      <c r="AS989" s="159">
        <f t="shared" si="336"/>
        <v>0</v>
      </c>
      <c r="AT989" s="159">
        <f t="shared" si="334"/>
        <v>141016</v>
      </c>
      <c r="AU989" s="481"/>
    </row>
    <row r="990" spans="1:50" ht="15.75" customHeight="1" x14ac:dyDescent="0.3">
      <c r="A990" s="365" t="s">
        <v>17</v>
      </c>
      <c r="B990" s="159">
        <f t="shared" ref="B990:Q990" si="344">(B961/$K$10/1.983)</f>
        <v>1026.85731947359</v>
      </c>
      <c r="C990" s="159">
        <f t="shared" si="344"/>
        <v>1021.424039822361</v>
      </c>
      <c r="D990" s="159">
        <f t="shared" si="344"/>
        <v>1016.2510370406519</v>
      </c>
      <c r="E990" s="159">
        <f t="shared" si="344"/>
        <v>660.20854684170286</v>
      </c>
      <c r="F990" s="159">
        <f t="shared" si="344"/>
        <v>8.1336521724984942E-2</v>
      </c>
      <c r="G990" s="159">
        <f t="shared" si="344"/>
        <v>-1971.5972866136351</v>
      </c>
      <c r="H990" s="159">
        <f t="shared" si="344"/>
        <v>1860.7193401981358</v>
      </c>
      <c r="I990" s="159">
        <f t="shared" si="344"/>
        <v>794.62528264441301</v>
      </c>
      <c r="J990" s="159">
        <f t="shared" si="344"/>
        <v>566.57394303190017</v>
      </c>
      <c r="K990" s="159">
        <f t="shared" si="344"/>
        <v>450.71820148683156</v>
      </c>
      <c r="L990" s="159">
        <f t="shared" si="344"/>
        <v>326.58240203015959</v>
      </c>
      <c r="M990" s="159">
        <f t="shared" si="344"/>
        <v>325.99677907373967</v>
      </c>
      <c r="N990" s="159">
        <f t="shared" si="344"/>
        <v>293.07175507946573</v>
      </c>
      <c r="O990" s="159">
        <f t="shared" si="344"/>
        <v>63.767833032388204</v>
      </c>
      <c r="P990" s="159">
        <f t="shared" si="344"/>
        <v>108.07997006815999</v>
      </c>
      <c r="Q990" s="159">
        <f t="shared" si="344"/>
        <v>63.670229206318218</v>
      </c>
      <c r="R990" s="483"/>
      <c r="AC990" s="325" t="s">
        <v>420</v>
      </c>
      <c r="AD990" s="159">
        <f t="shared" si="335"/>
        <v>62349</v>
      </c>
      <c r="AE990" s="159">
        <f t="shared" si="325"/>
        <v>7948</v>
      </c>
      <c r="AF990" s="159">
        <f t="shared" si="326"/>
        <v>8339</v>
      </c>
      <c r="AG990" s="159">
        <f t="shared" si="327"/>
        <v>14268</v>
      </c>
      <c r="AH990" s="159">
        <f t="shared" si="328"/>
        <v>12477.637626590496</v>
      </c>
      <c r="AI990" s="159"/>
      <c r="AJ990" s="159">
        <f t="shared" si="329"/>
        <v>105381.6376265905</v>
      </c>
      <c r="AK990" s="159"/>
      <c r="AL990" s="159"/>
      <c r="AM990" s="159"/>
      <c r="AN990" s="164" t="s">
        <v>420</v>
      </c>
      <c r="AO990" s="159">
        <f t="shared" si="330"/>
        <v>55183</v>
      </c>
      <c r="AP990" s="159">
        <f t="shared" si="331"/>
        <v>7006</v>
      </c>
      <c r="AQ990" s="159">
        <f t="shared" si="332"/>
        <v>7322</v>
      </c>
      <c r="AR990" s="159">
        <f t="shared" si="333"/>
        <v>10381</v>
      </c>
      <c r="AS990" s="159">
        <f t="shared" si="336"/>
        <v>0</v>
      </c>
      <c r="AT990" s="159">
        <f t="shared" si="334"/>
        <v>79892</v>
      </c>
      <c r="AU990" s="481"/>
    </row>
    <row r="991" spans="1:50" ht="15.75" customHeight="1" x14ac:dyDescent="0.3">
      <c r="A991" s="365" t="s">
        <v>18</v>
      </c>
      <c r="B991" s="159">
        <f t="shared" ref="B991:Q991" si="345">(B962/$L$10/1.983)</f>
        <v>2773.0038661959993</v>
      </c>
      <c r="C991" s="159">
        <f t="shared" si="345"/>
        <v>2767.6920490838793</v>
      </c>
      <c r="D991" s="159">
        <f t="shared" si="345"/>
        <v>2762.6323751891073</v>
      </c>
      <c r="E991" s="159">
        <f t="shared" si="345"/>
        <v>2427.8029920995123</v>
      </c>
      <c r="F991" s="159">
        <f t="shared" si="345"/>
        <v>561.32123045890057</v>
      </c>
      <c r="G991" s="159">
        <f t="shared" si="345"/>
        <v>-54.244410825348794</v>
      </c>
      <c r="H991" s="159">
        <f t="shared" si="345"/>
        <v>1260.4807530677424</v>
      </c>
      <c r="I991" s="159">
        <f t="shared" si="345"/>
        <v>592.55337031433851</v>
      </c>
      <c r="J991" s="159">
        <f t="shared" si="345"/>
        <v>419.61674230963189</v>
      </c>
      <c r="K991" s="159">
        <f t="shared" si="345"/>
        <v>386.41788535888384</v>
      </c>
      <c r="L991" s="159">
        <f t="shared" si="345"/>
        <v>297.81475878298875</v>
      </c>
      <c r="M991" s="159">
        <f t="shared" si="345"/>
        <v>297.24323415700115</v>
      </c>
      <c r="N991" s="159">
        <f t="shared" si="345"/>
        <v>285.37569339384765</v>
      </c>
      <c r="O991" s="159">
        <f t="shared" si="345"/>
        <v>68.935955622793742</v>
      </c>
      <c r="P991" s="159">
        <f t="shared" si="345"/>
        <v>84.905026054799123</v>
      </c>
      <c r="Q991" s="159">
        <f t="shared" si="345"/>
        <v>68.835098335854767</v>
      </c>
      <c r="R991" s="483"/>
      <c r="AC991" s="325" t="s">
        <v>421</v>
      </c>
      <c r="AD991" s="159">
        <f t="shared" si="335"/>
        <v>74417</v>
      </c>
      <c r="AE991" s="159">
        <f t="shared" si="325"/>
        <v>9487</v>
      </c>
      <c r="AF991" s="159">
        <f t="shared" si="326"/>
        <v>9953</v>
      </c>
      <c r="AG991" s="159">
        <f t="shared" si="327"/>
        <v>17030</v>
      </c>
      <c r="AH991" s="159">
        <f t="shared" si="328"/>
        <v>15167.522535595572</v>
      </c>
      <c r="AI991" s="159"/>
      <c r="AJ991" s="159">
        <f t="shared" si="329"/>
        <v>126054.52253559558</v>
      </c>
      <c r="AK991" s="159"/>
      <c r="AL991" s="159"/>
      <c r="AM991" s="159"/>
      <c r="AN991" s="164" t="s">
        <v>421</v>
      </c>
      <c r="AO991" s="159">
        <f t="shared" si="330"/>
        <v>60628</v>
      </c>
      <c r="AP991" s="159">
        <f t="shared" si="331"/>
        <v>7706</v>
      </c>
      <c r="AQ991" s="159">
        <f t="shared" si="332"/>
        <v>8062</v>
      </c>
      <c r="AR991" s="159">
        <f t="shared" si="333"/>
        <v>11938</v>
      </c>
      <c r="AS991" s="159">
        <f t="shared" si="336"/>
        <v>0</v>
      </c>
      <c r="AT991" s="159">
        <f t="shared" si="334"/>
        <v>88334</v>
      </c>
      <c r="AU991" s="481"/>
    </row>
    <row r="992" spans="1:50" ht="15.75" customHeight="1" x14ac:dyDescent="0.3">
      <c r="A992" s="365" t="s">
        <v>20</v>
      </c>
      <c r="B992" s="159">
        <f t="shared" ref="B992:Q992" si="346">(B963/$N$10/1.983)</f>
        <v>2649.0491760610348</v>
      </c>
      <c r="C992" s="159">
        <f t="shared" si="346"/>
        <v>2644.4129943227108</v>
      </c>
      <c r="D992" s="159">
        <f t="shared" si="346"/>
        <v>2639.9882875408716</v>
      </c>
      <c r="E992" s="159">
        <f t="shared" si="346"/>
        <v>2400.7775771476909</v>
      </c>
      <c r="F992" s="159">
        <f t="shared" si="346"/>
        <v>1001.0573747824247</v>
      </c>
      <c r="G992" s="159">
        <f t="shared" si="346"/>
        <v>-0.37414799993493075</v>
      </c>
      <c r="H992" s="159">
        <f t="shared" si="346"/>
        <v>792.75454264473831</v>
      </c>
      <c r="I992" s="159">
        <f t="shared" si="346"/>
        <v>255.1038667382428</v>
      </c>
      <c r="J992" s="159">
        <f t="shared" si="346"/>
        <v>234.99747856782651</v>
      </c>
      <c r="K992" s="159">
        <f t="shared" si="346"/>
        <v>222.94340604818376</v>
      </c>
      <c r="L992" s="159">
        <f t="shared" si="346"/>
        <v>166.49585997104421</v>
      </c>
      <c r="M992" s="159">
        <f t="shared" si="346"/>
        <v>166.02410814503929</v>
      </c>
      <c r="N992" s="159">
        <f t="shared" si="346"/>
        <v>162.94958762383484</v>
      </c>
      <c r="O992" s="159">
        <f t="shared" si="346"/>
        <v>60.872252858978733</v>
      </c>
      <c r="P992" s="159">
        <f t="shared" si="346"/>
        <v>2.2936899126445756</v>
      </c>
      <c r="Q992" s="159">
        <f t="shared" si="346"/>
        <v>60.790916337253748</v>
      </c>
      <c r="R992" s="483"/>
      <c r="AC992" s="323"/>
      <c r="AD992" s="159"/>
      <c r="AE992" s="159"/>
      <c r="AF992" s="159"/>
      <c r="AG992" s="159"/>
      <c r="AH992" s="159"/>
      <c r="AI992" s="159"/>
      <c r="AJ992" s="159"/>
      <c r="AK992" s="159"/>
      <c r="AL992" s="159"/>
      <c r="AM992" s="159"/>
      <c r="AN992" s="159"/>
      <c r="AO992" s="159"/>
      <c r="AP992" s="159"/>
      <c r="AQ992" s="159"/>
      <c r="AR992" s="159"/>
      <c r="AS992" s="159"/>
      <c r="AT992" s="159"/>
      <c r="AU992" s="481"/>
    </row>
    <row r="993" spans="1:47" ht="15.75" customHeight="1" thickBot="1" x14ac:dyDescent="0.35">
      <c r="A993" s="365" t="s">
        <v>21</v>
      </c>
      <c r="B993" s="159">
        <f t="shared" ref="B993:Q993" si="347">(B964/$O$10/1.983)</f>
        <v>2064.4141872583627</v>
      </c>
      <c r="C993" s="159">
        <f t="shared" si="347"/>
        <v>2060.4639435199192</v>
      </c>
      <c r="D993" s="159">
        <f t="shared" si="347"/>
        <v>2056.6649857118841</v>
      </c>
      <c r="E993" s="159">
        <f t="shared" si="347"/>
        <v>1891.9146074970581</v>
      </c>
      <c r="F993" s="159">
        <f t="shared" si="347"/>
        <v>1095.1420406791055</v>
      </c>
      <c r="G993" s="159">
        <f t="shared" si="347"/>
        <v>-88.922507984535216</v>
      </c>
      <c r="H993" s="159">
        <f t="shared" si="347"/>
        <v>406.43805681627163</v>
      </c>
      <c r="I993" s="159">
        <f t="shared" si="347"/>
        <v>59.35451336359052</v>
      </c>
      <c r="J993" s="159">
        <f t="shared" si="347"/>
        <v>58.984703311480921</v>
      </c>
      <c r="K993" s="159">
        <f t="shared" si="347"/>
        <v>57.589510842158347</v>
      </c>
      <c r="L993" s="159">
        <f t="shared" si="347"/>
        <v>49.403261052277692</v>
      </c>
      <c r="M993" s="159">
        <f t="shared" si="347"/>
        <v>49.016641452344928</v>
      </c>
      <c r="N993" s="159">
        <f t="shared" si="347"/>
        <v>42.83072785342074</v>
      </c>
      <c r="O993" s="159">
        <f t="shared" si="347"/>
        <v>27.954278029920992</v>
      </c>
      <c r="P993" s="159">
        <f t="shared" si="347"/>
        <v>78.752731551521251</v>
      </c>
      <c r="Q993" s="159">
        <f t="shared" si="347"/>
        <v>27.903849386451505</v>
      </c>
      <c r="R993" s="483"/>
      <c r="AC993" s="330" t="s">
        <v>422</v>
      </c>
      <c r="AD993" s="327">
        <f>SUM(AD980:AD991)</f>
        <v>275707</v>
      </c>
      <c r="AE993" s="327">
        <f>SUM(AE980:AE991)</f>
        <v>35148</v>
      </c>
      <c r="AF993" s="327">
        <f>SUM(AF980:AF991)</f>
        <v>36876</v>
      </c>
      <c r="AG993" s="327">
        <f>SUM(AG980:AG991)</f>
        <v>63093</v>
      </c>
      <c r="AH993" s="327">
        <f>SUM(AH980:AH991)</f>
        <v>55446.660069542835</v>
      </c>
      <c r="AI993" s="327"/>
      <c r="AJ993" s="327">
        <f>SUM(AJ980:AJ991)</f>
        <v>466270.66006954282</v>
      </c>
      <c r="AK993" s="327"/>
      <c r="AL993" s="327"/>
      <c r="AM993" s="327"/>
      <c r="AN993" s="335" t="s">
        <v>422</v>
      </c>
      <c r="AO993" s="327">
        <f t="shared" ref="AO993:AT993" si="348">SUM(AO980:AO991)</f>
        <v>1074250</v>
      </c>
      <c r="AP993" s="327">
        <f t="shared" si="348"/>
        <v>136520</v>
      </c>
      <c r="AQ993" s="327">
        <f t="shared" si="348"/>
        <v>142806</v>
      </c>
      <c r="AR993" s="327">
        <f t="shared" si="348"/>
        <v>220727</v>
      </c>
      <c r="AS993" s="327">
        <f t="shared" si="348"/>
        <v>0</v>
      </c>
      <c r="AT993" s="327">
        <f t="shared" si="348"/>
        <v>1574303</v>
      </c>
      <c r="AU993" s="313"/>
    </row>
    <row r="994" spans="1:47" ht="15.75" customHeight="1" thickBot="1" x14ac:dyDescent="0.35">
      <c r="A994" s="369" t="s">
        <v>22</v>
      </c>
      <c r="B994" s="327">
        <f t="shared" ref="B994:Q994" si="349">(B965/$P$10/1.983)</f>
        <v>2295.5281180355601</v>
      </c>
      <c r="C994" s="327">
        <f t="shared" si="349"/>
        <v>2292.5023994273906</v>
      </c>
      <c r="D994" s="327">
        <f t="shared" si="349"/>
        <v>2289.5905519496364</v>
      </c>
      <c r="E994" s="327">
        <f t="shared" si="349"/>
        <v>2151.6926130170968</v>
      </c>
      <c r="F994" s="327">
        <f t="shared" si="349"/>
        <v>1264.9618531713108</v>
      </c>
      <c r="G994" s="327">
        <f t="shared" si="349"/>
        <v>0</v>
      </c>
      <c r="H994" s="327">
        <f t="shared" si="349"/>
        <v>534.05560164625115</v>
      </c>
      <c r="I994" s="327">
        <f t="shared" si="349"/>
        <v>179.55850536007677</v>
      </c>
      <c r="J994" s="327">
        <f t="shared" si="349"/>
        <v>167.60203666650401</v>
      </c>
      <c r="K994" s="327">
        <f t="shared" si="349"/>
        <v>165.89396971027929</v>
      </c>
      <c r="L994" s="327">
        <f t="shared" si="349"/>
        <v>120.02017145738779</v>
      </c>
      <c r="M994" s="327">
        <f t="shared" si="349"/>
        <v>119.71109267483284</v>
      </c>
      <c r="N994" s="327">
        <f t="shared" si="349"/>
        <v>109.69043319831471</v>
      </c>
      <c r="O994" s="327">
        <f t="shared" si="349"/>
        <v>31.558570429294161</v>
      </c>
      <c r="P994" s="327">
        <f t="shared" si="349"/>
        <v>77.513705203910661</v>
      </c>
      <c r="Q994" s="327">
        <f t="shared" si="349"/>
        <v>31.526035820604164</v>
      </c>
      <c r="R994" s="328"/>
    </row>
    <row r="995" spans="1:47" ht="15.75" customHeight="1" x14ac:dyDescent="0.3">
      <c r="R995" s="319"/>
      <c r="AC995" s="370"/>
      <c r="AD995" s="506" t="s">
        <v>1028</v>
      </c>
      <c r="AE995" s="517"/>
      <c r="AF995" s="517"/>
      <c r="AG995" s="517"/>
      <c r="AH995" s="517"/>
      <c r="AI995" s="517"/>
      <c r="AJ995" s="517"/>
      <c r="AK995" s="517"/>
      <c r="AL995" s="517"/>
      <c r="AM995" s="517"/>
      <c r="AN995" s="517"/>
      <c r="AO995" s="517"/>
      <c r="AP995" s="517"/>
      <c r="AQ995" s="517"/>
      <c r="AR995" s="361" t="str">
        <f>$Q$1</f>
        <v xml:space="preserve">PRINTED:  </v>
      </c>
      <c r="AS995" s="371">
        <f ca="1">$R$1</f>
        <v>44909.46975358796</v>
      </c>
    </row>
    <row r="996" spans="1:47" ht="15.75" customHeight="1" x14ac:dyDescent="0.3">
      <c r="R996" s="159"/>
      <c r="AC996" s="306"/>
      <c r="AD996" s="503" t="str">
        <f>+$A$8</f>
        <v>Revised:  12/23/2020</v>
      </c>
      <c r="AE996" s="516"/>
      <c r="AF996" s="516"/>
      <c r="AG996" s="516"/>
      <c r="AH996" s="516"/>
      <c r="AI996" s="516"/>
      <c r="AJ996" s="516"/>
      <c r="AK996" s="516"/>
      <c r="AL996" s="516"/>
      <c r="AM996" s="516"/>
      <c r="AN996" s="516"/>
      <c r="AO996" s="516"/>
      <c r="AP996" s="516"/>
      <c r="AQ996" s="516"/>
      <c r="AR996" s="365"/>
      <c r="AS996" s="481"/>
    </row>
    <row r="997" spans="1:47" ht="15.75" customHeight="1" x14ac:dyDescent="0.3">
      <c r="A997" s="365"/>
      <c r="AC997" s="306"/>
      <c r="AD997" s="503" t="s">
        <v>1024</v>
      </c>
      <c r="AE997" s="508"/>
      <c r="AF997" s="508"/>
      <c r="AG997" s="508"/>
      <c r="AH997" s="508"/>
      <c r="AI997" s="508"/>
      <c r="AJ997" s="508"/>
      <c r="AK997" s="508"/>
      <c r="AL997" s="508"/>
      <c r="AM997" s="508"/>
      <c r="AN997" s="508"/>
      <c r="AO997" s="508"/>
      <c r="AP997" s="508"/>
      <c r="AQ997" s="508"/>
      <c r="AS997" s="481"/>
    </row>
    <row r="998" spans="1:47" ht="15.75" customHeight="1" x14ac:dyDescent="0.3">
      <c r="A998" s="365"/>
      <c r="AC998" s="306"/>
      <c r="AS998" s="481"/>
    </row>
    <row r="999" spans="1:47" ht="15.75" customHeight="1" thickBot="1" x14ac:dyDescent="0.35">
      <c r="A999" s="365"/>
      <c r="AC999" s="306"/>
      <c r="AD999" s="509">
        <f>$A$5</f>
        <v>2020</v>
      </c>
      <c r="AE999" s="508"/>
      <c r="AF999" s="508"/>
      <c r="AG999" s="508"/>
      <c r="AH999" s="508"/>
      <c r="AI999" s="508"/>
      <c r="AJ999" s="508"/>
      <c r="AK999" s="508"/>
      <c r="AL999" s="508"/>
      <c r="AM999" s="508"/>
      <c r="AN999" s="508"/>
      <c r="AO999" s="508"/>
      <c r="AP999" s="508"/>
      <c r="AQ999" s="508"/>
      <c r="AS999" s="481"/>
    </row>
    <row r="1000" spans="1:47" ht="15.75" customHeight="1" x14ac:dyDescent="0.3">
      <c r="A1000" s="363"/>
      <c r="B1000" s="506" t="s">
        <v>456</v>
      </c>
      <c r="C1000" s="506"/>
      <c r="D1000" s="506"/>
      <c r="E1000" s="506"/>
      <c r="F1000" s="506"/>
      <c r="G1000" s="506"/>
      <c r="H1000" s="506"/>
      <c r="I1000" s="506"/>
      <c r="J1000" s="506"/>
      <c r="K1000" s="506"/>
      <c r="L1000" s="506"/>
      <c r="M1000" s="506"/>
      <c r="N1000" s="506"/>
      <c r="O1000" s="506"/>
      <c r="P1000" s="506"/>
      <c r="Q1000" s="361" t="str">
        <f>+Q1</f>
        <v xml:space="preserve">PRINTED:  </v>
      </c>
      <c r="R1000" s="362">
        <f ca="1">+R1</f>
        <v>44909.46975358796</v>
      </c>
      <c r="AC1000" s="306"/>
      <c r="AD1000" s="503" t="s">
        <v>1029</v>
      </c>
      <c r="AE1000" s="516"/>
      <c r="AF1000" s="516"/>
      <c r="AG1000" s="516"/>
      <c r="AH1000" s="516"/>
      <c r="AI1000" s="516"/>
      <c r="AJ1000" s="516"/>
      <c r="AK1000" s="516"/>
      <c r="AL1000" s="516"/>
      <c r="AM1000" s="516"/>
      <c r="AN1000" s="516"/>
      <c r="AO1000" s="516"/>
      <c r="AP1000" s="516"/>
      <c r="AQ1000" s="516"/>
      <c r="AR1000" s="164"/>
      <c r="AS1000" s="481"/>
    </row>
    <row r="1001" spans="1:47" ht="16.5" customHeight="1" x14ac:dyDescent="0.3">
      <c r="A1001" s="325"/>
      <c r="B1001" s="503" t="str">
        <f>+A8</f>
        <v>Revised:  12/23/2020</v>
      </c>
      <c r="C1001" s="503"/>
      <c r="D1001" s="503"/>
      <c r="E1001" s="503"/>
      <c r="F1001" s="503"/>
      <c r="G1001" s="503"/>
      <c r="H1001" s="503"/>
      <c r="I1001" s="503"/>
      <c r="J1001" s="503"/>
      <c r="K1001" s="503"/>
      <c r="L1001" s="503"/>
      <c r="M1001" s="503"/>
      <c r="N1001" s="503"/>
      <c r="O1001" s="503"/>
      <c r="P1001" s="503"/>
      <c r="Q1001" s="159"/>
      <c r="R1001" s="483"/>
      <c r="AC1001" s="306"/>
      <c r="AK1001" s="372"/>
      <c r="AS1001" s="481"/>
    </row>
    <row r="1002" spans="1:47" ht="15.75" customHeight="1" thickBot="1" x14ac:dyDescent="0.35">
      <c r="A1002" s="325"/>
      <c r="B1002" s="503" t="s">
        <v>1024</v>
      </c>
      <c r="C1002" s="503"/>
      <c r="D1002" s="503"/>
      <c r="E1002" s="503"/>
      <c r="F1002" s="503"/>
      <c r="G1002" s="503"/>
      <c r="H1002" s="503"/>
      <c r="I1002" s="503"/>
      <c r="J1002" s="503"/>
      <c r="K1002" s="503"/>
      <c r="L1002" s="503"/>
      <c r="M1002" s="503"/>
      <c r="N1002" s="503"/>
      <c r="O1002" s="503"/>
      <c r="P1002" s="503"/>
      <c r="Q1002" s="159"/>
      <c r="R1002" s="483"/>
      <c r="AC1002" s="306"/>
      <c r="AD1002" s="364" t="s">
        <v>390</v>
      </c>
      <c r="AE1002" s="364" t="s">
        <v>391</v>
      </c>
      <c r="AF1002" s="364" t="s">
        <v>392</v>
      </c>
      <c r="AG1002" s="364" t="s">
        <v>393</v>
      </c>
      <c r="AH1002" s="364" t="s">
        <v>394</v>
      </c>
      <c r="AI1002" s="364" t="s">
        <v>395</v>
      </c>
      <c r="AJ1002" s="364" t="s">
        <v>396</v>
      </c>
      <c r="AK1002" s="364" t="s">
        <v>397</v>
      </c>
      <c r="AL1002" s="364" t="s">
        <v>398</v>
      </c>
      <c r="AM1002" s="364" t="s">
        <v>399</v>
      </c>
      <c r="AN1002" s="364" t="s">
        <v>400</v>
      </c>
      <c r="AO1002" s="364" t="s">
        <v>401</v>
      </c>
      <c r="AP1002" s="364" t="s">
        <v>402</v>
      </c>
      <c r="AQ1002" s="364" t="s">
        <v>403</v>
      </c>
      <c r="AR1002" s="364" t="s">
        <v>404</v>
      </c>
      <c r="AS1002" s="373" t="s">
        <v>422</v>
      </c>
    </row>
    <row r="1003" spans="1:47" ht="15.75" customHeight="1" x14ac:dyDescent="0.3">
      <c r="A1003" s="325"/>
      <c r="B1003" s="159"/>
      <c r="C1003" s="159"/>
      <c r="D1003" s="159"/>
      <c r="E1003" s="159"/>
      <c r="F1003" s="159"/>
      <c r="G1003" s="159"/>
      <c r="H1003" s="159"/>
      <c r="I1003" s="159"/>
      <c r="J1003" s="159"/>
      <c r="K1003" s="159"/>
      <c r="L1003" s="159"/>
      <c r="M1003" s="159"/>
      <c r="N1003" s="159"/>
      <c r="O1003" s="159"/>
      <c r="P1003" s="159"/>
      <c r="Q1003" s="159"/>
      <c r="R1003" s="483"/>
      <c r="AC1003" s="306"/>
      <c r="AD1003" s="159"/>
      <c r="AE1003" s="159"/>
      <c r="AF1003" s="159"/>
      <c r="AG1003" s="159"/>
      <c r="AH1003" s="164" t="s">
        <v>1030</v>
      </c>
      <c r="AI1003" s="159"/>
      <c r="AJ1003" s="159"/>
      <c r="AK1003" s="159"/>
      <c r="AL1003" s="159"/>
      <c r="AM1003" s="159"/>
      <c r="AN1003" s="159"/>
      <c r="AO1003" s="159"/>
      <c r="AP1003" s="159"/>
      <c r="AQ1003" s="159"/>
      <c r="AR1003" s="159"/>
      <c r="AS1003" s="374"/>
    </row>
    <row r="1004" spans="1:47" ht="15.75" customHeight="1" x14ac:dyDescent="0.3">
      <c r="A1004" s="325"/>
      <c r="B1004" s="509">
        <f>A5</f>
        <v>2020</v>
      </c>
      <c r="C1004" s="509"/>
      <c r="D1004" s="509"/>
      <c r="E1004" s="509"/>
      <c r="F1004" s="509"/>
      <c r="G1004" s="509"/>
      <c r="H1004" s="509"/>
      <c r="I1004" s="509"/>
      <c r="J1004" s="509"/>
      <c r="K1004" s="509"/>
      <c r="L1004" s="509"/>
      <c r="M1004" s="509"/>
      <c r="N1004" s="509"/>
      <c r="O1004" s="509"/>
      <c r="P1004" s="509"/>
      <c r="Q1004" s="159"/>
      <c r="R1004" s="483"/>
      <c r="S1004" s="159"/>
      <c r="AC1004" s="375" t="s">
        <v>1031</v>
      </c>
      <c r="AD1004" s="376">
        <v>1.7000000000000001E-2</v>
      </c>
      <c r="AE1004" s="376">
        <v>1.7000000000000001E-2</v>
      </c>
      <c r="AF1004" s="376">
        <v>1.7000000000000001E-2</v>
      </c>
      <c r="AG1004" s="376">
        <v>1.7000000000000001E-2</v>
      </c>
      <c r="AH1004" s="376"/>
      <c r="AI1004" s="376"/>
      <c r="AJ1004" s="376"/>
      <c r="AK1004" s="376"/>
      <c r="AL1004" s="376"/>
      <c r="AM1004" s="376"/>
      <c r="AN1004" s="376"/>
      <c r="AO1004" s="376"/>
      <c r="AP1004" s="376"/>
      <c r="AQ1004" s="376"/>
      <c r="AR1004" s="376"/>
      <c r="AS1004" s="377"/>
    </row>
    <row r="1005" spans="1:47" ht="15.75" customHeight="1" x14ac:dyDescent="0.3">
      <c r="A1005" s="325"/>
      <c r="B1005" s="503" t="s">
        <v>1029</v>
      </c>
      <c r="C1005" s="503"/>
      <c r="D1005" s="503"/>
      <c r="E1005" s="503"/>
      <c r="F1005" s="503"/>
      <c r="G1005" s="503"/>
      <c r="H1005" s="503"/>
      <c r="I1005" s="503"/>
      <c r="J1005" s="503"/>
      <c r="K1005" s="503"/>
      <c r="L1005" s="503"/>
      <c r="M1005" s="503"/>
      <c r="N1005" s="503"/>
      <c r="O1005" s="503"/>
      <c r="P1005" s="503"/>
      <c r="Q1005" s="159"/>
      <c r="R1005" s="483"/>
      <c r="S1005" s="159"/>
      <c r="AC1005" s="375" t="s">
        <v>1032</v>
      </c>
      <c r="AD1005" s="376"/>
      <c r="AE1005" s="376">
        <v>0.03</v>
      </c>
      <c r="AF1005" s="376"/>
      <c r="AG1005" s="376"/>
      <c r="AH1005" s="376"/>
      <c r="AI1005" s="376"/>
      <c r="AJ1005" s="376"/>
      <c r="AK1005" s="376"/>
      <c r="AL1005" s="376"/>
      <c r="AM1005" s="376">
        <v>0.03</v>
      </c>
      <c r="AN1005" s="376">
        <v>0.03</v>
      </c>
      <c r="AO1005" s="376">
        <v>0.03</v>
      </c>
      <c r="AP1005" s="376">
        <v>0.03</v>
      </c>
      <c r="AQ1005" s="376">
        <v>0.03</v>
      </c>
      <c r="AR1005" s="376">
        <v>0.03</v>
      </c>
      <c r="AS1005" s="377"/>
    </row>
    <row r="1006" spans="1:47" ht="15.75" customHeight="1" x14ac:dyDescent="0.3">
      <c r="A1006" s="325"/>
      <c r="B1006" s="159"/>
      <c r="C1006" s="159"/>
      <c r="D1006" s="159"/>
      <c r="E1006" s="159"/>
      <c r="F1006" s="159"/>
      <c r="G1006" s="159"/>
      <c r="H1006" s="159"/>
      <c r="I1006" s="159"/>
      <c r="J1006" s="159"/>
      <c r="K1006" s="159"/>
      <c r="L1006" s="159"/>
      <c r="M1006" s="159"/>
      <c r="N1006" s="159"/>
      <c r="O1006" s="159"/>
      <c r="P1006" s="159"/>
      <c r="Q1006" s="159"/>
      <c r="R1006" s="483"/>
      <c r="S1006" s="159"/>
      <c r="AC1006" s="375" t="s">
        <v>1033</v>
      </c>
      <c r="AD1006" s="376"/>
      <c r="AE1006" s="376"/>
      <c r="AF1006" s="376">
        <v>0.03</v>
      </c>
      <c r="AG1006" s="376">
        <v>0.03</v>
      </c>
      <c r="AH1006" s="376"/>
      <c r="AI1006" s="376"/>
      <c r="AJ1006" s="376"/>
      <c r="AK1006" s="376"/>
      <c r="AL1006" s="376"/>
      <c r="AM1006" s="376"/>
      <c r="AN1006" s="376"/>
      <c r="AO1006" s="376"/>
      <c r="AP1006" s="376"/>
      <c r="AQ1006" s="376"/>
      <c r="AR1006" s="376"/>
      <c r="AS1006" s="377"/>
    </row>
    <row r="1007" spans="1:47" ht="15.75" customHeight="1" thickBot="1" x14ac:dyDescent="0.35">
      <c r="A1007" s="325" t="s">
        <v>433</v>
      </c>
      <c r="B1007" s="364" t="s">
        <v>390</v>
      </c>
      <c r="C1007" s="364" t="s">
        <v>391</v>
      </c>
      <c r="D1007" s="364" t="s">
        <v>392</v>
      </c>
      <c r="E1007" s="364" t="s">
        <v>393</v>
      </c>
      <c r="F1007" s="364" t="s">
        <v>394</v>
      </c>
      <c r="G1007" s="364" t="s">
        <v>394</v>
      </c>
      <c r="H1007" s="364" t="s">
        <v>395</v>
      </c>
      <c r="I1007" s="364" t="s">
        <v>396</v>
      </c>
      <c r="J1007" s="364" t="s">
        <v>397</v>
      </c>
      <c r="K1007" s="364" t="s">
        <v>398</v>
      </c>
      <c r="L1007" s="364" t="s">
        <v>399</v>
      </c>
      <c r="M1007" s="364" t="s">
        <v>400</v>
      </c>
      <c r="N1007" s="364" t="s">
        <v>401</v>
      </c>
      <c r="O1007" s="364" t="s">
        <v>402</v>
      </c>
      <c r="P1007" s="364" t="s">
        <v>403</v>
      </c>
      <c r="Q1007" s="364" t="s">
        <v>404</v>
      </c>
      <c r="R1007" s="373" t="s">
        <v>422</v>
      </c>
      <c r="S1007" s="164"/>
      <c r="AC1007" s="375" t="s">
        <v>822</v>
      </c>
      <c r="AD1007" s="376"/>
      <c r="AE1007" s="376"/>
      <c r="AF1007" s="376"/>
      <c r="AG1007" s="376"/>
      <c r="AH1007" s="376"/>
      <c r="AI1007" s="376">
        <v>0.03</v>
      </c>
      <c r="AJ1007" s="376"/>
      <c r="AK1007" s="376"/>
      <c r="AL1007" s="376"/>
      <c r="AM1007" s="376"/>
      <c r="AN1007" s="376"/>
      <c r="AO1007" s="376"/>
      <c r="AP1007" s="376"/>
      <c r="AQ1007" s="376"/>
      <c r="AR1007" s="376"/>
      <c r="AS1007" s="377"/>
    </row>
    <row r="1008" spans="1:47" ht="15.75" customHeight="1" x14ac:dyDescent="0.3">
      <c r="A1008" s="325"/>
      <c r="B1008" s="159"/>
      <c r="C1008" s="159"/>
      <c r="D1008" s="159"/>
      <c r="E1008" s="159"/>
      <c r="F1008" s="164" t="s">
        <v>406</v>
      </c>
      <c r="G1008" s="164" t="s">
        <v>407</v>
      </c>
      <c r="H1008" s="159"/>
      <c r="I1008" s="159"/>
      <c r="J1008" s="159"/>
      <c r="K1008" s="159"/>
      <c r="L1008" s="159"/>
      <c r="M1008" s="159"/>
      <c r="N1008" s="159"/>
      <c r="O1008" s="159"/>
      <c r="P1008" s="159"/>
      <c r="Q1008" s="159"/>
      <c r="R1008" s="377" t="s">
        <v>458</v>
      </c>
      <c r="S1008" s="164"/>
      <c r="AC1008" s="375" t="s">
        <v>1034</v>
      </c>
      <c r="AD1008" s="376">
        <v>0.03</v>
      </c>
      <c r="AE1008" s="376"/>
      <c r="AF1008" s="376"/>
      <c r="AG1008" s="376"/>
      <c r="AH1008" s="376"/>
      <c r="AI1008" s="376"/>
      <c r="AJ1008" s="376">
        <v>0.03</v>
      </c>
      <c r="AK1008" s="376">
        <v>0.03</v>
      </c>
      <c r="AL1008" s="376">
        <v>0.03</v>
      </c>
      <c r="AM1008" s="376"/>
      <c r="AN1008" s="376"/>
      <c r="AO1008" s="376"/>
      <c r="AP1008" s="376"/>
      <c r="AQ1008" s="376"/>
      <c r="AR1008" s="376"/>
      <c r="AS1008" s="377"/>
    </row>
    <row r="1009" spans="1:48" ht="15.75" customHeight="1" x14ac:dyDescent="0.3">
      <c r="A1009" s="325" t="s">
        <v>1035</v>
      </c>
      <c r="B1009" s="378">
        <v>957</v>
      </c>
      <c r="C1009" s="378">
        <v>122</v>
      </c>
      <c r="D1009" s="378">
        <v>128</v>
      </c>
      <c r="E1009" s="378">
        <v>219</v>
      </c>
      <c r="F1009" s="378"/>
      <c r="G1009" s="378"/>
      <c r="H1009" s="378">
        <v>97</v>
      </c>
      <c r="I1009" s="378">
        <v>160</v>
      </c>
      <c r="J1009" s="378">
        <v>250</v>
      </c>
      <c r="K1009" s="378">
        <v>260</v>
      </c>
      <c r="L1009" s="378">
        <v>100</v>
      </c>
      <c r="M1009" s="378">
        <v>118</v>
      </c>
      <c r="N1009" s="378">
        <v>250</v>
      </c>
      <c r="O1009" s="378">
        <v>190</v>
      </c>
      <c r="P1009" s="378">
        <v>340</v>
      </c>
      <c r="Q1009" s="378">
        <v>450</v>
      </c>
      <c r="R1009" s="377" t="s">
        <v>442</v>
      </c>
      <c r="S1009" s="164"/>
      <c r="AC1009" s="375" t="s">
        <v>422</v>
      </c>
      <c r="AD1009" s="169">
        <f>SUM(AD1004:AD1008)</f>
        <v>4.7E-2</v>
      </c>
      <c r="AE1009" s="169">
        <f t="shared" ref="AE1009:AR1009" si="350">SUM(AE1004:AE1008)</f>
        <v>4.7E-2</v>
      </c>
      <c r="AF1009" s="169">
        <f t="shared" si="350"/>
        <v>4.7E-2</v>
      </c>
      <c r="AG1009" s="169">
        <f t="shared" si="350"/>
        <v>4.7E-2</v>
      </c>
      <c r="AH1009" s="169">
        <f t="shared" si="350"/>
        <v>0</v>
      </c>
      <c r="AI1009" s="169">
        <f t="shared" si="350"/>
        <v>0.03</v>
      </c>
      <c r="AJ1009" s="169">
        <f t="shared" si="350"/>
        <v>0.03</v>
      </c>
      <c r="AK1009" s="169">
        <f t="shared" si="350"/>
        <v>0.03</v>
      </c>
      <c r="AL1009" s="169">
        <f t="shared" si="350"/>
        <v>0.03</v>
      </c>
      <c r="AM1009" s="169">
        <f t="shared" si="350"/>
        <v>0.03</v>
      </c>
      <c r="AN1009" s="169">
        <f t="shared" si="350"/>
        <v>0.03</v>
      </c>
      <c r="AO1009" s="169">
        <f t="shared" si="350"/>
        <v>0.03</v>
      </c>
      <c r="AP1009" s="169">
        <f t="shared" si="350"/>
        <v>0.03</v>
      </c>
      <c r="AQ1009" s="169">
        <f t="shared" si="350"/>
        <v>0.03</v>
      </c>
      <c r="AR1009" s="169">
        <f t="shared" si="350"/>
        <v>0.03</v>
      </c>
      <c r="AS1009" s="377"/>
      <c r="AU1009" s="365" t="s">
        <v>1036</v>
      </c>
      <c r="AV1009" s="4" t="s">
        <v>1037</v>
      </c>
    </row>
    <row r="1010" spans="1:48" ht="15.75" customHeight="1" x14ac:dyDescent="0.3">
      <c r="A1010" s="325"/>
      <c r="B1010" s="164" t="s">
        <v>409</v>
      </c>
      <c r="C1010" s="164" t="s">
        <v>409</v>
      </c>
      <c r="D1010" s="164" t="s">
        <v>409</v>
      </c>
      <c r="E1010" s="164" t="s">
        <v>409</v>
      </c>
      <c r="F1010" s="164" t="s">
        <v>409</v>
      </c>
      <c r="G1010" s="164" t="s">
        <v>409</v>
      </c>
      <c r="H1010" s="164" t="s">
        <v>409</v>
      </c>
      <c r="I1010" s="164" t="s">
        <v>409</v>
      </c>
      <c r="J1010" s="164" t="s">
        <v>409</v>
      </c>
      <c r="K1010" s="164" t="s">
        <v>409</v>
      </c>
      <c r="L1010" s="164" t="s">
        <v>409</v>
      </c>
      <c r="M1010" s="164" t="s">
        <v>409</v>
      </c>
      <c r="N1010" s="164" t="s">
        <v>409</v>
      </c>
      <c r="O1010" s="164" t="s">
        <v>409</v>
      </c>
      <c r="P1010" s="164" t="s">
        <v>409</v>
      </c>
      <c r="Q1010" s="164" t="s">
        <v>409</v>
      </c>
      <c r="R1010" s="377" t="s">
        <v>459</v>
      </c>
      <c r="S1010" s="164"/>
      <c r="T1010" s="164"/>
      <c r="AC1010" s="325" t="s">
        <v>409</v>
      </c>
      <c r="AD1010" s="164" t="s">
        <v>409</v>
      </c>
      <c r="AE1010" s="164" t="s">
        <v>409</v>
      </c>
      <c r="AF1010" s="164" t="s">
        <v>409</v>
      </c>
      <c r="AG1010" s="164" t="s">
        <v>409</v>
      </c>
      <c r="AH1010" s="164" t="s">
        <v>409</v>
      </c>
      <c r="AI1010" s="164" t="s">
        <v>409</v>
      </c>
      <c r="AJ1010" s="164" t="s">
        <v>409</v>
      </c>
      <c r="AK1010" s="164" t="s">
        <v>409</v>
      </c>
      <c r="AL1010" s="164" t="s">
        <v>409</v>
      </c>
      <c r="AM1010" s="164" t="s">
        <v>409</v>
      </c>
      <c r="AN1010" s="164" t="s">
        <v>409</v>
      </c>
      <c r="AO1010" s="164" t="s">
        <v>409</v>
      </c>
      <c r="AP1010" s="164" t="s">
        <v>409</v>
      </c>
      <c r="AQ1010" s="164" t="s">
        <v>409</v>
      </c>
      <c r="AR1010" s="164" t="s">
        <v>409</v>
      </c>
      <c r="AS1010" s="377" t="s">
        <v>409</v>
      </c>
    </row>
    <row r="1011" spans="1:48" ht="15.75" customHeight="1" x14ac:dyDescent="0.3">
      <c r="A1011" s="365" t="s">
        <v>795</v>
      </c>
      <c r="B1011" s="159">
        <f>ROUND((B954*$B$1009)/1000,0)</f>
        <v>71071</v>
      </c>
      <c r="C1011" s="159">
        <f t="shared" ref="C1011:C1022" si="351">ROUND((C954*$C$1009)/1000,0)</f>
        <v>9048</v>
      </c>
      <c r="D1011" s="159">
        <f t="shared" ref="D1011:D1022" si="352">ROUND((D954*$D$1009)/1000,0)</f>
        <v>9481</v>
      </c>
      <c r="E1011" s="159">
        <f t="shared" ref="E1011:E1022" si="353">ROUND((E954*$E$1009)/1000,0)</f>
        <v>15997</v>
      </c>
      <c r="F1011" s="159">
        <f>(F954*((T954-1526.8)/0.7702))/1000</f>
        <v>4395.3743141133909</v>
      </c>
      <c r="G1011" s="159">
        <f t="shared" ref="G1011:G1022" si="354">(G954*((T954-1591.4)/0.6635))/1000</f>
        <v>0</v>
      </c>
      <c r="H1011" s="159">
        <f t="shared" ref="H1011:H1022" si="355">ROUND((H954*$H$1009)/1000,0)</f>
        <v>2852</v>
      </c>
      <c r="I1011" s="159">
        <f t="shared" ref="I1011:I1022" si="356">ROUND((I954*$I$1009)/1000,0)</f>
        <v>2262</v>
      </c>
      <c r="J1011" s="159">
        <f t="shared" ref="J1011:J1022" si="357">ROUND((J954*$J$1009)/1000,0)</f>
        <v>3532</v>
      </c>
      <c r="K1011" s="159">
        <f t="shared" ref="K1011:K1022" si="358">ROUND((K954*$K$1009)/1000,0)</f>
        <v>3647</v>
      </c>
      <c r="L1011" s="159">
        <f t="shared" ref="L1011:L1022" si="359">ROUND((L954*$L$1009)/1000,0)</f>
        <v>956</v>
      </c>
      <c r="M1011" s="159">
        <f t="shared" ref="M1011:M1022" si="360">ROUND((M954*$M$1009)/1000,0)</f>
        <v>1126</v>
      </c>
      <c r="N1011" s="159">
        <f t="shared" ref="N1011:N1022" si="361">ROUND((N954*$N$1009)/1000,0)</f>
        <v>2297</v>
      </c>
      <c r="O1011" s="159">
        <f t="shared" ref="O1011:O1022" si="362">ROUND((O954*$O$1009)/1000,0)</f>
        <v>676</v>
      </c>
      <c r="P1011" s="159">
        <f t="shared" ref="P1011:P1022" si="363">ROUND((P954*$P$1009)/1000,0)</f>
        <v>1402</v>
      </c>
      <c r="Q1011" s="159">
        <f t="shared" ref="Q1011:Q1022" si="364">ROUND((Q954*$Q$1009)/1000,0)</f>
        <v>1599</v>
      </c>
      <c r="R1011" s="379">
        <f>(SUM(B1011:Q1011))</f>
        <v>130341.37431411339</v>
      </c>
      <c r="S1011" s="168"/>
      <c r="AC1011" s="375" t="s">
        <v>795</v>
      </c>
      <c r="AD1011" s="159">
        <f>ROUND(B1011*$AD$1009, 0)</f>
        <v>3340</v>
      </c>
      <c r="AE1011" s="159">
        <f>ROUND(C1011*$AE$1009,0)</f>
        <v>425</v>
      </c>
      <c r="AF1011" s="159">
        <f>ROUND(D1011*$AF$1009,0)</f>
        <v>446</v>
      </c>
      <c r="AG1011" s="159">
        <f>ROUND(E1011*$AG$1009,0)</f>
        <v>752</v>
      </c>
      <c r="AH1011" s="159">
        <f>ROUND(F1011*$AH$1009,0)</f>
        <v>0</v>
      </c>
      <c r="AI1011" s="159">
        <f>ROUND(H1011*$AI$1009,0)</f>
        <v>86</v>
      </c>
      <c r="AJ1011" s="159">
        <f>ROUND(I1011*$AJ$1009,0)</f>
        <v>68</v>
      </c>
      <c r="AK1011" s="159">
        <f>ROUND(J1011*$AK$1009,0)</f>
        <v>106</v>
      </c>
      <c r="AL1011" s="159">
        <f>ROUND(K1011*$AL$1009,0)</f>
        <v>109</v>
      </c>
      <c r="AM1011" s="159">
        <f>ROUND(L1011*$AM$1009,0)</f>
        <v>29</v>
      </c>
      <c r="AN1011" s="159">
        <f>ROUND(M1011*$AN$1009,0)</f>
        <v>34</v>
      </c>
      <c r="AO1011" s="159">
        <f>ROUND(N1011*$AO$1009,0)</f>
        <v>69</v>
      </c>
      <c r="AP1011" s="159">
        <f>ROUND(O1011*$AP$1009,0)</f>
        <v>20</v>
      </c>
      <c r="AQ1011" s="159">
        <f>ROUND(P1011*$AQ$1009,0)</f>
        <v>42</v>
      </c>
      <c r="AR1011" s="159">
        <f>ROUND(Q1011*$AR$1009,0)</f>
        <v>48</v>
      </c>
      <c r="AS1011" s="374">
        <f>SUM(AD1011:AR1011)</f>
        <v>5574</v>
      </c>
      <c r="AU1011" s="380">
        <f>AS1011/R1011</f>
        <v>4.276462504198443E-2</v>
      </c>
    </row>
    <row r="1012" spans="1:48" ht="15.75" customHeight="1" x14ac:dyDescent="0.3">
      <c r="A1012" s="365" t="s">
        <v>9</v>
      </c>
      <c r="B1012" s="159">
        <f t="shared" ref="B1012:B1022" si="365">ROUND((B955*$B$1009)/1000,0)</f>
        <v>71086</v>
      </c>
      <c r="C1012" s="159">
        <f t="shared" si="351"/>
        <v>9044</v>
      </c>
      <c r="D1012" s="159">
        <f t="shared" si="352"/>
        <v>9470</v>
      </c>
      <c r="E1012" s="159">
        <f t="shared" si="353"/>
        <v>16035</v>
      </c>
      <c r="F1012" s="159">
        <f t="shared" ref="F1012:F1022" si="366">(F955*((T955-1526.8)/0.7702))/1000</f>
        <v>588.40789405349301</v>
      </c>
      <c r="G1012" s="159">
        <f>(G955*((T955-1591.4)/0.6635))/1000</f>
        <v>0</v>
      </c>
      <c r="H1012" s="159">
        <f t="shared" si="355"/>
        <v>4610</v>
      </c>
      <c r="I1012" s="159">
        <f t="shared" si="356"/>
        <v>3686</v>
      </c>
      <c r="J1012" s="159">
        <f t="shared" si="357"/>
        <v>5695</v>
      </c>
      <c r="K1012" s="159">
        <f t="shared" si="358"/>
        <v>5890</v>
      </c>
      <c r="L1012" s="159">
        <f t="shared" si="359"/>
        <v>1867</v>
      </c>
      <c r="M1012" s="159">
        <f t="shared" si="360"/>
        <v>2200</v>
      </c>
      <c r="N1012" s="159">
        <f t="shared" si="361"/>
        <v>4274</v>
      </c>
      <c r="O1012" s="159">
        <f t="shared" si="362"/>
        <v>728</v>
      </c>
      <c r="P1012" s="159">
        <f t="shared" si="363"/>
        <v>1337</v>
      </c>
      <c r="Q1012" s="159">
        <f t="shared" si="364"/>
        <v>1724</v>
      </c>
      <c r="R1012" s="379">
        <f>(SUM(B1012:Q1012))</f>
        <v>138234.4078940535</v>
      </c>
      <c r="S1012" s="168"/>
      <c r="AC1012" s="375" t="s">
        <v>9</v>
      </c>
      <c r="AD1012" s="159">
        <f t="shared" ref="AD1012:AD1022" si="367">ROUND(B1012*$AD$1009, 0)</f>
        <v>3341</v>
      </c>
      <c r="AE1012" s="159">
        <f t="shared" ref="AE1012:AE1022" si="368">ROUND(C1012*$AE$1009,0)</f>
        <v>425</v>
      </c>
      <c r="AF1012" s="159">
        <f t="shared" ref="AF1012:AF1022" si="369">ROUND(D1012*$AF$1009,0)</f>
        <v>445</v>
      </c>
      <c r="AG1012" s="159">
        <f t="shared" ref="AG1012:AG1022" si="370">ROUND(E1012*$AG$1009,0)</f>
        <v>754</v>
      </c>
      <c r="AH1012" s="159">
        <f t="shared" ref="AH1012:AH1022" si="371">ROUND(F1012*$AH$1009,0)</f>
        <v>0</v>
      </c>
      <c r="AI1012" s="159">
        <f t="shared" ref="AI1012:AI1022" si="372">ROUND(H1012*$AI$1009,0)</f>
        <v>138</v>
      </c>
      <c r="AJ1012" s="159">
        <f t="shared" ref="AJ1012:AJ1022" si="373">ROUND(I1012*$AJ$1009,0)</f>
        <v>111</v>
      </c>
      <c r="AK1012" s="159">
        <f t="shared" ref="AK1012:AK1022" si="374">ROUND(J1012*$AK$1009,0)</f>
        <v>171</v>
      </c>
      <c r="AL1012" s="159">
        <f t="shared" ref="AL1012:AL1022" si="375">ROUND(K1012*$AL$1009,0)</f>
        <v>177</v>
      </c>
      <c r="AM1012" s="159">
        <f t="shared" ref="AM1012:AM1022" si="376">ROUND(L1012*$AM$1009,0)</f>
        <v>56</v>
      </c>
      <c r="AN1012" s="159">
        <f t="shared" ref="AN1012:AN1022" si="377">ROUND(M1012*$AN$1009,0)</f>
        <v>66</v>
      </c>
      <c r="AO1012" s="159">
        <f t="shared" ref="AO1012:AO1022" si="378">ROUND(N1012*$AO$1009,0)</f>
        <v>128</v>
      </c>
      <c r="AP1012" s="159">
        <f t="shared" ref="AP1012:AP1022" si="379">ROUND(O1012*$AP$1009,0)</f>
        <v>22</v>
      </c>
      <c r="AQ1012" s="159">
        <f t="shared" ref="AQ1012:AQ1022" si="380">ROUND(P1012*$AQ$1009,0)</f>
        <v>40</v>
      </c>
      <c r="AR1012" s="159">
        <f t="shared" ref="AR1012:AR1022" si="381">ROUND(Q1012*$AR$1009,0)</f>
        <v>52</v>
      </c>
      <c r="AS1012" s="374">
        <f t="shared" ref="AS1012:AS1022" si="382">SUM(AD1012:AR1012)</f>
        <v>5926</v>
      </c>
      <c r="AU1012" s="380">
        <f t="shared" ref="AU1012:AU1024" si="383">AS1012/R1012</f>
        <v>4.2869211003832293E-2</v>
      </c>
    </row>
    <row r="1013" spans="1:48" ht="15.75" customHeight="1" x14ac:dyDescent="0.3">
      <c r="A1013" s="365" t="s">
        <v>10</v>
      </c>
      <c r="B1013" s="159">
        <f t="shared" si="365"/>
        <v>91135</v>
      </c>
      <c r="C1013" s="159">
        <f t="shared" si="351"/>
        <v>11585</v>
      </c>
      <c r="D1013" s="159">
        <f t="shared" si="352"/>
        <v>12121</v>
      </c>
      <c r="E1013" s="159">
        <f t="shared" si="353"/>
        <v>20393</v>
      </c>
      <c r="F1013" s="159">
        <f t="shared" si="366"/>
        <v>5116.8532848610776</v>
      </c>
      <c r="G1013" s="159">
        <f t="shared" si="354"/>
        <v>-3056.318613413714</v>
      </c>
      <c r="H1013" s="159">
        <f t="shared" si="355"/>
        <v>6301</v>
      </c>
      <c r="I1013" s="159">
        <f t="shared" si="356"/>
        <v>4877</v>
      </c>
      <c r="J1013" s="159">
        <f t="shared" si="357"/>
        <v>7069</v>
      </c>
      <c r="K1013" s="159">
        <f t="shared" si="358"/>
        <v>7155</v>
      </c>
      <c r="L1013" s="159">
        <f t="shared" si="359"/>
        <v>2157</v>
      </c>
      <c r="M1013" s="159">
        <f t="shared" si="360"/>
        <v>2542</v>
      </c>
      <c r="N1013" s="159">
        <f t="shared" si="361"/>
        <v>5084</v>
      </c>
      <c r="O1013" s="159">
        <f t="shared" si="362"/>
        <v>743</v>
      </c>
      <c r="P1013" s="159">
        <f t="shared" si="363"/>
        <v>1476</v>
      </c>
      <c r="Q1013" s="159">
        <f t="shared" si="364"/>
        <v>1758</v>
      </c>
      <c r="R1013" s="379">
        <f t="shared" ref="R1013:R1022" si="384">(SUM(B1013:Q1013))</f>
        <v>176456.53467144736</v>
      </c>
      <c r="S1013" s="168"/>
      <c r="AC1013" s="375" t="s">
        <v>10</v>
      </c>
      <c r="AD1013" s="159">
        <f t="shared" si="367"/>
        <v>4283</v>
      </c>
      <c r="AE1013" s="159">
        <f t="shared" si="368"/>
        <v>544</v>
      </c>
      <c r="AF1013" s="159">
        <f t="shared" si="369"/>
        <v>570</v>
      </c>
      <c r="AG1013" s="159">
        <f t="shared" si="370"/>
        <v>958</v>
      </c>
      <c r="AH1013" s="159">
        <f t="shared" si="371"/>
        <v>0</v>
      </c>
      <c r="AI1013" s="159">
        <f t="shared" si="372"/>
        <v>189</v>
      </c>
      <c r="AJ1013" s="159">
        <f t="shared" si="373"/>
        <v>146</v>
      </c>
      <c r="AK1013" s="159">
        <f t="shared" si="374"/>
        <v>212</v>
      </c>
      <c r="AL1013" s="159">
        <f t="shared" si="375"/>
        <v>215</v>
      </c>
      <c r="AM1013" s="159">
        <f t="shared" si="376"/>
        <v>65</v>
      </c>
      <c r="AN1013" s="159">
        <f t="shared" si="377"/>
        <v>76</v>
      </c>
      <c r="AO1013" s="159">
        <f t="shared" si="378"/>
        <v>153</v>
      </c>
      <c r="AP1013" s="159">
        <f t="shared" si="379"/>
        <v>22</v>
      </c>
      <c r="AQ1013" s="159">
        <f t="shared" si="380"/>
        <v>44</v>
      </c>
      <c r="AR1013" s="159">
        <f t="shared" si="381"/>
        <v>53</v>
      </c>
      <c r="AS1013" s="374">
        <f t="shared" si="382"/>
        <v>7530</v>
      </c>
      <c r="AU1013" s="380">
        <f t="shared" si="383"/>
        <v>4.2673398375528894E-2</v>
      </c>
    </row>
    <row r="1014" spans="1:48" ht="15.75" customHeight="1" x14ac:dyDescent="0.3">
      <c r="A1014" s="365" t="s">
        <v>12</v>
      </c>
      <c r="B1014" s="159">
        <f t="shared" si="365"/>
        <v>144793</v>
      </c>
      <c r="C1014" s="159">
        <f t="shared" si="351"/>
        <v>18414</v>
      </c>
      <c r="D1014" s="159">
        <f t="shared" si="352"/>
        <v>19274</v>
      </c>
      <c r="E1014" s="159">
        <f t="shared" si="353"/>
        <v>32117</v>
      </c>
      <c r="F1014" s="159">
        <f t="shared" si="366"/>
        <v>795.33455313143236</v>
      </c>
      <c r="G1014" s="159">
        <f t="shared" si="354"/>
        <v>0</v>
      </c>
      <c r="H1014" s="159">
        <f t="shared" si="355"/>
        <v>10239</v>
      </c>
      <c r="I1014" s="159">
        <f t="shared" si="356"/>
        <v>7813</v>
      </c>
      <c r="J1014" s="159">
        <f t="shared" si="357"/>
        <v>9267</v>
      </c>
      <c r="K1014" s="159">
        <f t="shared" si="358"/>
        <v>8050</v>
      </c>
      <c r="L1014" s="159">
        <f t="shared" si="359"/>
        <v>2393</v>
      </c>
      <c r="M1014" s="159">
        <f t="shared" si="360"/>
        <v>2819</v>
      </c>
      <c r="N1014" s="159">
        <f t="shared" si="361"/>
        <v>5346</v>
      </c>
      <c r="O1014" s="159">
        <f t="shared" si="362"/>
        <v>813</v>
      </c>
      <c r="P1014" s="159">
        <f t="shared" si="363"/>
        <v>1771</v>
      </c>
      <c r="Q1014" s="159">
        <f t="shared" si="364"/>
        <v>1922</v>
      </c>
      <c r="R1014" s="379">
        <f t="shared" si="384"/>
        <v>265826.33455313143</v>
      </c>
      <c r="S1014" s="168"/>
      <c r="AC1014" s="375" t="s">
        <v>12</v>
      </c>
      <c r="AD1014" s="159">
        <f t="shared" si="367"/>
        <v>6805</v>
      </c>
      <c r="AE1014" s="159">
        <f t="shared" si="368"/>
        <v>865</v>
      </c>
      <c r="AF1014" s="159">
        <f t="shared" si="369"/>
        <v>906</v>
      </c>
      <c r="AG1014" s="159">
        <f t="shared" si="370"/>
        <v>1509</v>
      </c>
      <c r="AH1014" s="159">
        <f t="shared" si="371"/>
        <v>0</v>
      </c>
      <c r="AI1014" s="159">
        <f t="shared" si="372"/>
        <v>307</v>
      </c>
      <c r="AJ1014" s="159">
        <f t="shared" si="373"/>
        <v>234</v>
      </c>
      <c r="AK1014" s="159">
        <f t="shared" si="374"/>
        <v>278</v>
      </c>
      <c r="AL1014" s="159">
        <f t="shared" si="375"/>
        <v>242</v>
      </c>
      <c r="AM1014" s="159">
        <f t="shared" si="376"/>
        <v>72</v>
      </c>
      <c r="AN1014" s="159">
        <f t="shared" si="377"/>
        <v>85</v>
      </c>
      <c r="AO1014" s="159">
        <f t="shared" si="378"/>
        <v>160</v>
      </c>
      <c r="AP1014" s="159">
        <f t="shared" si="379"/>
        <v>24</v>
      </c>
      <c r="AQ1014" s="159">
        <f t="shared" si="380"/>
        <v>53</v>
      </c>
      <c r="AR1014" s="159">
        <f t="shared" si="381"/>
        <v>58</v>
      </c>
      <c r="AS1014" s="374">
        <f t="shared" si="382"/>
        <v>11598</v>
      </c>
      <c r="AU1014" s="380">
        <f t="shared" si="383"/>
        <v>4.3629988802640157E-2</v>
      </c>
    </row>
    <row r="1015" spans="1:48" ht="15.75" customHeight="1" x14ac:dyDescent="0.3">
      <c r="A1015" s="365" t="s">
        <v>13</v>
      </c>
      <c r="B1015" s="159">
        <f t="shared" si="365"/>
        <v>171435</v>
      </c>
      <c r="C1015" s="159">
        <f t="shared" si="351"/>
        <v>21803</v>
      </c>
      <c r="D1015" s="159">
        <f t="shared" si="352"/>
        <v>22824</v>
      </c>
      <c r="E1015" s="159">
        <f t="shared" si="353"/>
        <v>37630</v>
      </c>
      <c r="F1015" s="159">
        <f t="shared" si="366"/>
        <v>0</v>
      </c>
      <c r="G1015" s="159">
        <f t="shared" si="354"/>
        <v>-1947.3030896759628</v>
      </c>
      <c r="H1015" s="159">
        <f t="shared" si="355"/>
        <v>12282</v>
      </c>
      <c r="I1015" s="159">
        <f t="shared" si="356"/>
        <v>7005</v>
      </c>
      <c r="J1015" s="159">
        <f t="shared" si="357"/>
        <v>8830</v>
      </c>
      <c r="K1015" s="159">
        <f t="shared" si="358"/>
        <v>7875</v>
      </c>
      <c r="L1015" s="159">
        <f t="shared" si="359"/>
        <v>2367</v>
      </c>
      <c r="M1015" s="159">
        <f t="shared" si="360"/>
        <v>2788</v>
      </c>
      <c r="N1015" s="159">
        <f t="shared" si="361"/>
        <v>5404</v>
      </c>
      <c r="O1015" s="159">
        <f t="shared" si="362"/>
        <v>752</v>
      </c>
      <c r="P1015" s="159">
        <f t="shared" si="363"/>
        <v>2334</v>
      </c>
      <c r="Q1015" s="159">
        <f t="shared" si="364"/>
        <v>1778</v>
      </c>
      <c r="R1015" s="379">
        <f t="shared" si="384"/>
        <v>303159.69691032404</v>
      </c>
      <c r="S1015" s="168"/>
      <c r="AC1015" s="375" t="s">
        <v>13</v>
      </c>
      <c r="AD1015" s="159">
        <f t="shared" si="367"/>
        <v>8057</v>
      </c>
      <c r="AE1015" s="159">
        <f t="shared" si="368"/>
        <v>1025</v>
      </c>
      <c r="AF1015" s="159">
        <f t="shared" si="369"/>
        <v>1073</v>
      </c>
      <c r="AG1015" s="159">
        <f t="shared" si="370"/>
        <v>1769</v>
      </c>
      <c r="AH1015" s="159">
        <f t="shared" si="371"/>
        <v>0</v>
      </c>
      <c r="AI1015" s="159">
        <f t="shared" si="372"/>
        <v>368</v>
      </c>
      <c r="AJ1015" s="159">
        <f t="shared" si="373"/>
        <v>210</v>
      </c>
      <c r="AK1015" s="159">
        <f t="shared" si="374"/>
        <v>265</v>
      </c>
      <c r="AL1015" s="159">
        <f t="shared" si="375"/>
        <v>236</v>
      </c>
      <c r="AM1015" s="159">
        <f t="shared" si="376"/>
        <v>71</v>
      </c>
      <c r="AN1015" s="159">
        <f t="shared" si="377"/>
        <v>84</v>
      </c>
      <c r="AO1015" s="159">
        <f t="shared" si="378"/>
        <v>162</v>
      </c>
      <c r="AP1015" s="159">
        <f t="shared" si="379"/>
        <v>23</v>
      </c>
      <c r="AQ1015" s="159">
        <f t="shared" si="380"/>
        <v>70</v>
      </c>
      <c r="AR1015" s="159">
        <f t="shared" si="381"/>
        <v>53</v>
      </c>
      <c r="AS1015" s="374">
        <f t="shared" si="382"/>
        <v>13466</v>
      </c>
      <c r="AU1015" s="380">
        <f t="shared" si="383"/>
        <v>4.441883316694073E-2</v>
      </c>
    </row>
    <row r="1016" spans="1:48" ht="15.75" customHeight="1" x14ac:dyDescent="0.3">
      <c r="A1016" s="365" t="s">
        <v>14</v>
      </c>
      <c r="B1016" s="159">
        <f t="shared" si="365"/>
        <v>102242</v>
      </c>
      <c r="C1016" s="159">
        <f t="shared" si="351"/>
        <v>12983</v>
      </c>
      <c r="D1016" s="159">
        <f t="shared" si="352"/>
        <v>13571</v>
      </c>
      <c r="E1016" s="159">
        <f t="shared" si="353"/>
        <v>21545</v>
      </c>
      <c r="F1016" s="159">
        <f t="shared" si="366"/>
        <v>0</v>
      </c>
      <c r="G1016" s="159">
        <f t="shared" si="354"/>
        <v>-11782.808138658635</v>
      </c>
      <c r="H1016" s="159">
        <f t="shared" si="355"/>
        <v>13407</v>
      </c>
      <c r="I1016" s="159">
        <f t="shared" si="356"/>
        <v>7440</v>
      </c>
      <c r="J1016" s="159">
        <f t="shared" si="357"/>
        <v>8155</v>
      </c>
      <c r="K1016" s="159">
        <f t="shared" si="358"/>
        <v>6905</v>
      </c>
      <c r="L1016" s="159">
        <f t="shared" si="359"/>
        <v>2336</v>
      </c>
      <c r="M1016" s="159">
        <f t="shared" si="360"/>
        <v>2751</v>
      </c>
      <c r="N1016" s="159">
        <f t="shared" si="361"/>
        <v>5165</v>
      </c>
      <c r="O1016" s="159">
        <f t="shared" si="362"/>
        <v>816</v>
      </c>
      <c r="P1016" s="159">
        <f t="shared" si="363"/>
        <v>2385</v>
      </c>
      <c r="Q1016" s="159">
        <f t="shared" si="364"/>
        <v>1923</v>
      </c>
      <c r="R1016" s="379">
        <f>(SUM(B1016:Q1016))</f>
        <v>189841.19186134136</v>
      </c>
      <c r="S1016" s="168"/>
      <c r="AC1016" s="375" t="s">
        <v>14</v>
      </c>
      <c r="AD1016" s="159">
        <f t="shared" si="367"/>
        <v>4805</v>
      </c>
      <c r="AE1016" s="159">
        <f t="shared" si="368"/>
        <v>610</v>
      </c>
      <c r="AF1016" s="159">
        <f t="shared" si="369"/>
        <v>638</v>
      </c>
      <c r="AG1016" s="159">
        <f t="shared" si="370"/>
        <v>1013</v>
      </c>
      <c r="AH1016" s="159">
        <f t="shared" si="371"/>
        <v>0</v>
      </c>
      <c r="AI1016" s="159">
        <f t="shared" si="372"/>
        <v>402</v>
      </c>
      <c r="AJ1016" s="159">
        <f t="shared" si="373"/>
        <v>223</v>
      </c>
      <c r="AK1016" s="159">
        <f t="shared" si="374"/>
        <v>245</v>
      </c>
      <c r="AL1016" s="159">
        <f t="shared" si="375"/>
        <v>207</v>
      </c>
      <c r="AM1016" s="159">
        <f t="shared" si="376"/>
        <v>70</v>
      </c>
      <c r="AN1016" s="159">
        <f t="shared" si="377"/>
        <v>83</v>
      </c>
      <c r="AO1016" s="159">
        <f t="shared" si="378"/>
        <v>155</v>
      </c>
      <c r="AP1016" s="159">
        <f t="shared" si="379"/>
        <v>24</v>
      </c>
      <c r="AQ1016" s="159">
        <f t="shared" si="380"/>
        <v>72</v>
      </c>
      <c r="AR1016" s="159">
        <f t="shared" si="381"/>
        <v>58</v>
      </c>
      <c r="AS1016" s="374">
        <f t="shared" si="382"/>
        <v>8605</v>
      </c>
      <c r="AU1016" s="380">
        <f t="shared" si="383"/>
        <v>4.5327359755963977E-2</v>
      </c>
    </row>
    <row r="1017" spans="1:48" ht="15.75" customHeight="1" x14ac:dyDescent="0.3">
      <c r="A1017" s="365" t="s">
        <v>16</v>
      </c>
      <c r="B1017" s="159">
        <f t="shared" si="365"/>
        <v>71492</v>
      </c>
      <c r="C1017" s="159">
        <f t="shared" si="351"/>
        <v>9063</v>
      </c>
      <c r="D1017" s="159">
        <f t="shared" si="352"/>
        <v>9458</v>
      </c>
      <c r="E1017" s="159">
        <f t="shared" si="353"/>
        <v>13647</v>
      </c>
      <c r="F1017" s="159">
        <f t="shared" si="366"/>
        <v>0</v>
      </c>
      <c r="G1017" s="159">
        <f t="shared" si="354"/>
        <v>-13657.388393424346</v>
      </c>
      <c r="H1017" s="159">
        <f t="shared" si="355"/>
        <v>12588</v>
      </c>
      <c r="I1017" s="159">
        <f t="shared" si="356"/>
        <v>8369</v>
      </c>
      <c r="J1017" s="159">
        <f t="shared" si="357"/>
        <v>8955</v>
      </c>
      <c r="K1017" s="159">
        <f t="shared" si="358"/>
        <v>7698</v>
      </c>
      <c r="L1017" s="159">
        <f t="shared" si="359"/>
        <v>2212</v>
      </c>
      <c r="M1017" s="159">
        <f t="shared" si="360"/>
        <v>2605</v>
      </c>
      <c r="N1017" s="159">
        <f t="shared" si="361"/>
        <v>5290</v>
      </c>
      <c r="O1017" s="159">
        <f t="shared" si="362"/>
        <v>779</v>
      </c>
      <c r="P1017" s="159">
        <f t="shared" si="363"/>
        <v>2282</v>
      </c>
      <c r="Q1017" s="159">
        <f t="shared" si="364"/>
        <v>1841</v>
      </c>
      <c r="R1017" s="379">
        <f t="shared" si="384"/>
        <v>142621.61160657567</v>
      </c>
      <c r="S1017" s="168"/>
      <c r="AC1017" s="375" t="s">
        <v>16</v>
      </c>
      <c r="AD1017" s="159">
        <f t="shared" si="367"/>
        <v>3360</v>
      </c>
      <c r="AE1017" s="159">
        <f t="shared" si="368"/>
        <v>426</v>
      </c>
      <c r="AF1017" s="159">
        <f t="shared" si="369"/>
        <v>445</v>
      </c>
      <c r="AG1017" s="159">
        <f t="shared" si="370"/>
        <v>641</v>
      </c>
      <c r="AH1017" s="159">
        <f t="shared" si="371"/>
        <v>0</v>
      </c>
      <c r="AI1017" s="159">
        <f t="shared" si="372"/>
        <v>378</v>
      </c>
      <c r="AJ1017" s="159">
        <f t="shared" si="373"/>
        <v>251</v>
      </c>
      <c r="AK1017" s="159">
        <f t="shared" si="374"/>
        <v>269</v>
      </c>
      <c r="AL1017" s="159">
        <f t="shared" si="375"/>
        <v>231</v>
      </c>
      <c r="AM1017" s="159">
        <f t="shared" si="376"/>
        <v>66</v>
      </c>
      <c r="AN1017" s="159">
        <f t="shared" si="377"/>
        <v>78</v>
      </c>
      <c r="AO1017" s="159">
        <f t="shared" si="378"/>
        <v>159</v>
      </c>
      <c r="AP1017" s="159">
        <f t="shared" si="379"/>
        <v>23</v>
      </c>
      <c r="AQ1017" s="159">
        <f t="shared" si="380"/>
        <v>68</v>
      </c>
      <c r="AR1017" s="159">
        <f t="shared" si="381"/>
        <v>55</v>
      </c>
      <c r="AS1017" s="374">
        <f t="shared" si="382"/>
        <v>6450</v>
      </c>
      <c r="AU1017" s="380">
        <f t="shared" si="383"/>
        <v>4.5224562584473126E-2</v>
      </c>
    </row>
    <row r="1018" spans="1:48" ht="15.75" customHeight="1" x14ac:dyDescent="0.3">
      <c r="A1018" s="365" t="s">
        <v>17</v>
      </c>
      <c r="B1018" s="159">
        <f t="shared" si="365"/>
        <v>60410</v>
      </c>
      <c r="C1018" s="159">
        <f t="shared" si="351"/>
        <v>7660</v>
      </c>
      <c r="D1018" s="159">
        <f t="shared" si="352"/>
        <v>7996</v>
      </c>
      <c r="E1018" s="159">
        <f t="shared" si="353"/>
        <v>8888</v>
      </c>
      <c r="F1018" s="159">
        <f t="shared" si="366"/>
        <v>0.87301881878266907</v>
      </c>
      <c r="G1018" s="159">
        <f t="shared" si="354"/>
        <v>-12764.783789070392</v>
      </c>
      <c r="H1018" s="159">
        <f t="shared" si="355"/>
        <v>11095</v>
      </c>
      <c r="I1018" s="159">
        <f t="shared" si="356"/>
        <v>7816</v>
      </c>
      <c r="J1018" s="159">
        <f t="shared" si="357"/>
        <v>8707</v>
      </c>
      <c r="K1018" s="159">
        <f t="shared" si="358"/>
        <v>7204</v>
      </c>
      <c r="L1018" s="159">
        <f t="shared" si="359"/>
        <v>2008</v>
      </c>
      <c r="M1018" s="159">
        <f t="shared" si="360"/>
        <v>2365</v>
      </c>
      <c r="N1018" s="159">
        <f t="shared" si="361"/>
        <v>4504</v>
      </c>
      <c r="O1018" s="159">
        <f t="shared" si="362"/>
        <v>745</v>
      </c>
      <c r="P1018" s="159">
        <f t="shared" si="363"/>
        <v>2259</v>
      </c>
      <c r="Q1018" s="159">
        <f t="shared" si="364"/>
        <v>1761</v>
      </c>
      <c r="R1018" s="379">
        <f t="shared" si="384"/>
        <v>120654.08922974838</v>
      </c>
      <c r="S1018" s="168"/>
      <c r="AC1018" s="375" t="s">
        <v>17</v>
      </c>
      <c r="AD1018" s="159">
        <f t="shared" si="367"/>
        <v>2839</v>
      </c>
      <c r="AE1018" s="159">
        <f t="shared" si="368"/>
        <v>360</v>
      </c>
      <c r="AF1018" s="159">
        <f t="shared" si="369"/>
        <v>376</v>
      </c>
      <c r="AG1018" s="159">
        <f t="shared" si="370"/>
        <v>418</v>
      </c>
      <c r="AH1018" s="159">
        <f t="shared" si="371"/>
        <v>0</v>
      </c>
      <c r="AI1018" s="159">
        <f t="shared" si="372"/>
        <v>333</v>
      </c>
      <c r="AJ1018" s="159">
        <f t="shared" si="373"/>
        <v>234</v>
      </c>
      <c r="AK1018" s="159">
        <f t="shared" si="374"/>
        <v>261</v>
      </c>
      <c r="AL1018" s="159">
        <f t="shared" si="375"/>
        <v>216</v>
      </c>
      <c r="AM1018" s="159">
        <f t="shared" si="376"/>
        <v>60</v>
      </c>
      <c r="AN1018" s="159">
        <f t="shared" si="377"/>
        <v>71</v>
      </c>
      <c r="AO1018" s="159">
        <f t="shared" si="378"/>
        <v>135</v>
      </c>
      <c r="AP1018" s="159">
        <f t="shared" si="379"/>
        <v>22</v>
      </c>
      <c r="AQ1018" s="159">
        <f t="shared" si="380"/>
        <v>68</v>
      </c>
      <c r="AR1018" s="159">
        <f t="shared" si="381"/>
        <v>53</v>
      </c>
      <c r="AS1018" s="374">
        <f t="shared" si="382"/>
        <v>5446</v>
      </c>
      <c r="AU1018" s="380">
        <f t="shared" si="383"/>
        <v>4.5137301477033057E-2</v>
      </c>
    </row>
    <row r="1019" spans="1:48" ht="15.75" customHeight="1" x14ac:dyDescent="0.3">
      <c r="A1019" s="365" t="s">
        <v>18</v>
      </c>
      <c r="B1019" s="159">
        <f t="shared" si="365"/>
        <v>157872</v>
      </c>
      <c r="C1019" s="159">
        <f t="shared" si="351"/>
        <v>20087</v>
      </c>
      <c r="D1019" s="159">
        <f t="shared" si="352"/>
        <v>21037</v>
      </c>
      <c r="E1019" s="159">
        <f t="shared" si="353"/>
        <v>31630</v>
      </c>
      <c r="F1019" s="159">
        <f t="shared" si="366"/>
        <v>5761.1813035575215</v>
      </c>
      <c r="G1019" s="159">
        <f t="shared" si="354"/>
        <v>-332.08675207234347</v>
      </c>
      <c r="H1019" s="159">
        <f t="shared" si="355"/>
        <v>7274</v>
      </c>
      <c r="I1019" s="159">
        <f t="shared" si="356"/>
        <v>5640</v>
      </c>
      <c r="J1019" s="159">
        <f t="shared" si="357"/>
        <v>6241</v>
      </c>
      <c r="K1019" s="159">
        <f t="shared" si="358"/>
        <v>5977</v>
      </c>
      <c r="L1019" s="159">
        <f t="shared" si="359"/>
        <v>1772</v>
      </c>
      <c r="M1019" s="159">
        <f t="shared" si="360"/>
        <v>2087</v>
      </c>
      <c r="N1019" s="159">
        <f t="shared" si="361"/>
        <v>4244</v>
      </c>
      <c r="O1019" s="159">
        <f t="shared" si="362"/>
        <v>779</v>
      </c>
      <c r="P1019" s="159">
        <f t="shared" si="363"/>
        <v>1717</v>
      </c>
      <c r="Q1019" s="159">
        <f t="shared" si="364"/>
        <v>1843</v>
      </c>
      <c r="R1019" s="379">
        <f t="shared" si="384"/>
        <v>273629.09455148515</v>
      </c>
      <c r="S1019" s="168"/>
      <c r="AC1019" s="375" t="s">
        <v>18</v>
      </c>
      <c r="AD1019" s="159">
        <f t="shared" si="367"/>
        <v>7420</v>
      </c>
      <c r="AE1019" s="159">
        <f t="shared" si="368"/>
        <v>944</v>
      </c>
      <c r="AF1019" s="159">
        <f t="shared" si="369"/>
        <v>989</v>
      </c>
      <c r="AG1019" s="159">
        <f t="shared" si="370"/>
        <v>1487</v>
      </c>
      <c r="AH1019" s="159">
        <f t="shared" si="371"/>
        <v>0</v>
      </c>
      <c r="AI1019" s="159">
        <f t="shared" si="372"/>
        <v>218</v>
      </c>
      <c r="AJ1019" s="159">
        <f t="shared" si="373"/>
        <v>169</v>
      </c>
      <c r="AK1019" s="159">
        <f t="shared" si="374"/>
        <v>187</v>
      </c>
      <c r="AL1019" s="159">
        <f t="shared" si="375"/>
        <v>179</v>
      </c>
      <c r="AM1019" s="159">
        <f t="shared" si="376"/>
        <v>53</v>
      </c>
      <c r="AN1019" s="159">
        <f t="shared" si="377"/>
        <v>63</v>
      </c>
      <c r="AO1019" s="159">
        <f t="shared" si="378"/>
        <v>127</v>
      </c>
      <c r="AP1019" s="159">
        <f t="shared" si="379"/>
        <v>23</v>
      </c>
      <c r="AQ1019" s="159">
        <f t="shared" si="380"/>
        <v>52</v>
      </c>
      <c r="AR1019" s="159">
        <f t="shared" si="381"/>
        <v>55</v>
      </c>
      <c r="AS1019" s="374">
        <f t="shared" si="382"/>
        <v>11966</v>
      </c>
      <c r="AU1019" s="380">
        <f t="shared" si="383"/>
        <v>4.3730729802742216E-2</v>
      </c>
    </row>
    <row r="1020" spans="1:48" ht="15.75" customHeight="1" x14ac:dyDescent="0.3">
      <c r="A1020" s="365" t="s">
        <v>20</v>
      </c>
      <c r="B1020" s="159">
        <f t="shared" si="365"/>
        <v>155843</v>
      </c>
      <c r="C1020" s="159">
        <f t="shared" si="351"/>
        <v>19832</v>
      </c>
      <c r="D1020" s="159">
        <f t="shared" si="352"/>
        <v>20773</v>
      </c>
      <c r="E1020" s="159">
        <f t="shared" si="353"/>
        <v>32321</v>
      </c>
      <c r="F1020" s="159">
        <f t="shared" si="366"/>
        <v>11143.475538821069</v>
      </c>
      <c r="G1020" s="159">
        <f t="shared" si="354"/>
        <v>-2.5953428786736885</v>
      </c>
      <c r="H1020" s="159">
        <f t="shared" si="355"/>
        <v>4727</v>
      </c>
      <c r="I1020" s="159">
        <f t="shared" si="356"/>
        <v>2509</v>
      </c>
      <c r="J1020" s="159">
        <f t="shared" si="357"/>
        <v>3612</v>
      </c>
      <c r="K1020" s="159">
        <f t="shared" si="358"/>
        <v>3563</v>
      </c>
      <c r="L1020" s="159">
        <f t="shared" si="359"/>
        <v>1024</v>
      </c>
      <c r="M1020" s="159">
        <f t="shared" si="360"/>
        <v>1204</v>
      </c>
      <c r="N1020" s="159">
        <f t="shared" si="361"/>
        <v>2504</v>
      </c>
      <c r="O1020" s="159">
        <f t="shared" si="362"/>
        <v>711</v>
      </c>
      <c r="P1020" s="159">
        <f t="shared" si="363"/>
        <v>48</v>
      </c>
      <c r="Q1020" s="159">
        <f t="shared" si="364"/>
        <v>1682</v>
      </c>
      <c r="R1020" s="379">
        <f t="shared" si="384"/>
        <v>261493.88019594242</v>
      </c>
      <c r="S1020" s="168"/>
      <c r="AC1020" s="375" t="s">
        <v>20</v>
      </c>
      <c r="AD1020" s="159">
        <f t="shared" si="367"/>
        <v>7325</v>
      </c>
      <c r="AE1020" s="159">
        <f t="shared" si="368"/>
        <v>932</v>
      </c>
      <c r="AF1020" s="159">
        <f t="shared" si="369"/>
        <v>976</v>
      </c>
      <c r="AG1020" s="159">
        <f t="shared" si="370"/>
        <v>1519</v>
      </c>
      <c r="AH1020" s="159">
        <f t="shared" si="371"/>
        <v>0</v>
      </c>
      <c r="AI1020" s="159">
        <f t="shared" si="372"/>
        <v>142</v>
      </c>
      <c r="AJ1020" s="159">
        <f t="shared" si="373"/>
        <v>75</v>
      </c>
      <c r="AK1020" s="159">
        <f t="shared" si="374"/>
        <v>108</v>
      </c>
      <c r="AL1020" s="159">
        <f t="shared" si="375"/>
        <v>107</v>
      </c>
      <c r="AM1020" s="159">
        <f t="shared" si="376"/>
        <v>31</v>
      </c>
      <c r="AN1020" s="159">
        <f t="shared" si="377"/>
        <v>36</v>
      </c>
      <c r="AO1020" s="159">
        <f t="shared" si="378"/>
        <v>75</v>
      </c>
      <c r="AP1020" s="159">
        <f t="shared" si="379"/>
        <v>21</v>
      </c>
      <c r="AQ1020" s="159">
        <f t="shared" si="380"/>
        <v>1</v>
      </c>
      <c r="AR1020" s="159">
        <f t="shared" si="381"/>
        <v>50</v>
      </c>
      <c r="AS1020" s="374">
        <f t="shared" si="382"/>
        <v>11398</v>
      </c>
      <c r="AU1020" s="380">
        <f t="shared" si="383"/>
        <v>4.3588018164934711E-2</v>
      </c>
    </row>
    <row r="1021" spans="1:48" ht="15.75" customHeight="1" x14ac:dyDescent="0.3">
      <c r="A1021" s="365" t="s">
        <v>21</v>
      </c>
      <c r="B1021" s="159">
        <f t="shared" si="365"/>
        <v>117531</v>
      </c>
      <c r="C1021" s="159">
        <f t="shared" si="351"/>
        <v>14954</v>
      </c>
      <c r="D1021" s="159">
        <f t="shared" si="352"/>
        <v>15661</v>
      </c>
      <c r="E1021" s="159">
        <f t="shared" si="353"/>
        <v>24648</v>
      </c>
      <c r="F1021" s="159">
        <f t="shared" si="366"/>
        <v>12477.637626590496</v>
      </c>
      <c r="G1021" s="159">
        <f t="shared" si="354"/>
        <v>-661.03074604370647</v>
      </c>
      <c r="H1021" s="159">
        <f t="shared" si="355"/>
        <v>2345</v>
      </c>
      <c r="I1021" s="159">
        <f t="shared" si="356"/>
        <v>565</v>
      </c>
      <c r="J1021" s="159">
        <f t="shared" si="357"/>
        <v>877</v>
      </c>
      <c r="K1021" s="159">
        <f t="shared" si="358"/>
        <v>891</v>
      </c>
      <c r="L1021" s="159">
        <f t="shared" si="359"/>
        <v>294</v>
      </c>
      <c r="M1021" s="159">
        <f t="shared" si="360"/>
        <v>344</v>
      </c>
      <c r="N1021" s="159">
        <f t="shared" si="361"/>
        <v>637</v>
      </c>
      <c r="O1021" s="159">
        <f t="shared" si="362"/>
        <v>316</v>
      </c>
      <c r="P1021" s="159">
        <f t="shared" si="363"/>
        <v>1593</v>
      </c>
      <c r="Q1021" s="159">
        <f t="shared" si="364"/>
        <v>747</v>
      </c>
      <c r="R1021" s="379">
        <f t="shared" si="384"/>
        <v>193219.60688054678</v>
      </c>
      <c r="S1021" s="168"/>
      <c r="AC1021" s="375" t="s">
        <v>21</v>
      </c>
      <c r="AD1021" s="159">
        <f t="shared" si="367"/>
        <v>5524</v>
      </c>
      <c r="AE1021" s="159">
        <f t="shared" si="368"/>
        <v>703</v>
      </c>
      <c r="AF1021" s="159">
        <f t="shared" si="369"/>
        <v>736</v>
      </c>
      <c r="AG1021" s="159">
        <f t="shared" si="370"/>
        <v>1158</v>
      </c>
      <c r="AH1021" s="159">
        <f t="shared" si="371"/>
        <v>0</v>
      </c>
      <c r="AI1021" s="159">
        <f t="shared" si="372"/>
        <v>70</v>
      </c>
      <c r="AJ1021" s="159">
        <f t="shared" si="373"/>
        <v>17</v>
      </c>
      <c r="AK1021" s="159">
        <f t="shared" si="374"/>
        <v>26</v>
      </c>
      <c r="AL1021" s="159">
        <f t="shared" si="375"/>
        <v>27</v>
      </c>
      <c r="AM1021" s="159">
        <f t="shared" si="376"/>
        <v>9</v>
      </c>
      <c r="AN1021" s="159">
        <f t="shared" si="377"/>
        <v>10</v>
      </c>
      <c r="AO1021" s="159">
        <f t="shared" si="378"/>
        <v>19</v>
      </c>
      <c r="AP1021" s="159">
        <f t="shared" si="379"/>
        <v>9</v>
      </c>
      <c r="AQ1021" s="159">
        <f t="shared" si="380"/>
        <v>48</v>
      </c>
      <c r="AR1021" s="159">
        <f t="shared" si="381"/>
        <v>22</v>
      </c>
      <c r="AS1021" s="374">
        <f t="shared" si="382"/>
        <v>8378</v>
      </c>
      <c r="AU1021" s="380">
        <f t="shared" si="383"/>
        <v>4.3359988850300735E-2</v>
      </c>
    </row>
    <row r="1022" spans="1:48" ht="15.75" customHeight="1" x14ac:dyDescent="0.3">
      <c r="A1022" s="365" t="s">
        <v>22</v>
      </c>
      <c r="B1022" s="159">
        <f t="shared" si="365"/>
        <v>135045</v>
      </c>
      <c r="C1022" s="159">
        <f t="shared" si="351"/>
        <v>17193</v>
      </c>
      <c r="D1022" s="159">
        <f t="shared" si="352"/>
        <v>18016</v>
      </c>
      <c r="E1022" s="159">
        <f t="shared" si="353"/>
        <v>28967</v>
      </c>
      <c r="F1022" s="159">
        <f t="shared" si="366"/>
        <v>15167.522535595572</v>
      </c>
      <c r="G1022" s="159">
        <f t="shared" si="354"/>
        <v>0</v>
      </c>
      <c r="H1022" s="159">
        <f t="shared" si="355"/>
        <v>3185</v>
      </c>
      <c r="I1022" s="159">
        <f t="shared" si="356"/>
        <v>1766</v>
      </c>
      <c r="J1022" s="159">
        <f t="shared" si="357"/>
        <v>2576</v>
      </c>
      <c r="K1022" s="159">
        <f t="shared" si="358"/>
        <v>2651</v>
      </c>
      <c r="L1022" s="159">
        <f t="shared" si="359"/>
        <v>738</v>
      </c>
      <c r="M1022" s="159">
        <f t="shared" si="360"/>
        <v>868</v>
      </c>
      <c r="N1022" s="159">
        <f t="shared" si="361"/>
        <v>1686</v>
      </c>
      <c r="O1022" s="159">
        <f t="shared" si="362"/>
        <v>369</v>
      </c>
      <c r="P1022" s="159">
        <f t="shared" si="363"/>
        <v>1620</v>
      </c>
      <c r="Q1022" s="159">
        <f t="shared" si="364"/>
        <v>872</v>
      </c>
      <c r="R1022" s="379">
        <f t="shared" si="384"/>
        <v>230719.52253559558</v>
      </c>
      <c r="S1022" s="168"/>
      <c r="AC1022" s="375" t="s">
        <v>22</v>
      </c>
      <c r="AD1022" s="159">
        <f t="shared" si="367"/>
        <v>6347</v>
      </c>
      <c r="AE1022" s="159">
        <f t="shared" si="368"/>
        <v>808</v>
      </c>
      <c r="AF1022" s="159">
        <f t="shared" si="369"/>
        <v>847</v>
      </c>
      <c r="AG1022" s="159">
        <f t="shared" si="370"/>
        <v>1361</v>
      </c>
      <c r="AH1022" s="159">
        <f t="shared" si="371"/>
        <v>0</v>
      </c>
      <c r="AI1022" s="159">
        <f t="shared" si="372"/>
        <v>96</v>
      </c>
      <c r="AJ1022" s="159">
        <f t="shared" si="373"/>
        <v>53</v>
      </c>
      <c r="AK1022" s="159">
        <f t="shared" si="374"/>
        <v>77</v>
      </c>
      <c r="AL1022" s="159">
        <f t="shared" si="375"/>
        <v>80</v>
      </c>
      <c r="AM1022" s="159">
        <f t="shared" si="376"/>
        <v>22</v>
      </c>
      <c r="AN1022" s="159">
        <f t="shared" si="377"/>
        <v>26</v>
      </c>
      <c r="AO1022" s="159">
        <f t="shared" si="378"/>
        <v>51</v>
      </c>
      <c r="AP1022" s="159">
        <f t="shared" si="379"/>
        <v>11</v>
      </c>
      <c r="AQ1022" s="159">
        <f t="shared" si="380"/>
        <v>49</v>
      </c>
      <c r="AR1022" s="159">
        <f t="shared" si="381"/>
        <v>26</v>
      </c>
      <c r="AS1022" s="374">
        <f t="shared" si="382"/>
        <v>9854</v>
      </c>
      <c r="AU1022" s="380">
        <f t="shared" si="383"/>
        <v>4.2709866472091532E-2</v>
      </c>
    </row>
    <row r="1023" spans="1:48" ht="15.75" customHeight="1" x14ac:dyDescent="0.3">
      <c r="A1023" s="325"/>
      <c r="B1023" s="159"/>
      <c r="C1023" s="159"/>
      <c r="D1023" s="159"/>
      <c r="E1023" s="159"/>
      <c r="F1023" s="159"/>
      <c r="G1023" s="159"/>
      <c r="H1023" s="159"/>
      <c r="I1023" s="159"/>
      <c r="J1023" s="159"/>
      <c r="K1023" s="159"/>
      <c r="L1023" s="159"/>
      <c r="M1023" s="159"/>
      <c r="N1023" s="159"/>
      <c r="O1023" s="159"/>
      <c r="P1023" s="159"/>
      <c r="Q1023" s="159"/>
      <c r="R1023" s="374"/>
      <c r="S1023" s="168"/>
      <c r="AC1023" s="306"/>
      <c r="AD1023" s="159"/>
      <c r="AE1023" s="159"/>
      <c r="AF1023" s="159"/>
      <c r="AG1023" s="159"/>
      <c r="AH1023" s="159"/>
      <c r="AI1023" s="159"/>
      <c r="AJ1023" s="159"/>
      <c r="AK1023" s="159"/>
      <c r="AL1023" s="159"/>
      <c r="AM1023" s="159"/>
      <c r="AN1023" s="159"/>
      <c r="AO1023" s="159"/>
      <c r="AP1023" s="159"/>
      <c r="AQ1023" s="159"/>
      <c r="AR1023" s="159"/>
      <c r="AS1023" s="374"/>
    </row>
    <row r="1024" spans="1:48" ht="15.75" customHeight="1" thickBot="1" x14ac:dyDescent="0.35">
      <c r="A1024" s="325" t="s">
        <v>422</v>
      </c>
      <c r="B1024" s="159">
        <f>SUM(B1011:B1022)</f>
        <v>1349955</v>
      </c>
      <c r="C1024" s="159">
        <f t="shared" ref="C1024:Q1024" si="385">SUM(C1011:C1022)</f>
        <v>171666</v>
      </c>
      <c r="D1024" s="159">
        <f t="shared" si="385"/>
        <v>179682</v>
      </c>
      <c r="E1024" s="159">
        <f t="shared" si="385"/>
        <v>283818</v>
      </c>
      <c r="F1024" s="159">
        <f t="shared" si="385"/>
        <v>55446.660069542835</v>
      </c>
      <c r="G1024" s="159">
        <f t="shared" si="385"/>
        <v>-44204.314865237771</v>
      </c>
      <c r="H1024" s="159">
        <f t="shared" si="385"/>
        <v>90905</v>
      </c>
      <c r="I1024" s="159">
        <f t="shared" si="385"/>
        <v>59748</v>
      </c>
      <c r="J1024" s="159">
        <f t="shared" si="385"/>
        <v>73516</v>
      </c>
      <c r="K1024" s="159">
        <f t="shared" si="385"/>
        <v>67506</v>
      </c>
      <c r="L1024" s="159">
        <f t="shared" si="385"/>
        <v>20124</v>
      </c>
      <c r="M1024" s="159">
        <f t="shared" si="385"/>
        <v>23699</v>
      </c>
      <c r="N1024" s="159">
        <f t="shared" si="385"/>
        <v>46435</v>
      </c>
      <c r="O1024" s="159">
        <f t="shared" si="385"/>
        <v>8227</v>
      </c>
      <c r="P1024" s="159">
        <f t="shared" si="385"/>
        <v>20224</v>
      </c>
      <c r="Q1024" s="159">
        <f t="shared" si="385"/>
        <v>19450</v>
      </c>
      <c r="R1024" s="381">
        <f>SUM(R1011:R1022)</f>
        <v>2426197.3452043049</v>
      </c>
      <c r="S1024" s="168"/>
      <c r="AC1024" s="382" t="s">
        <v>422</v>
      </c>
      <c r="AD1024" s="327">
        <f>SUM(AD1011:AD1022)</f>
        <v>63446</v>
      </c>
      <c r="AE1024" s="327">
        <f t="shared" ref="AE1024:AS1024" si="386">SUM(AE1011:AE1022)</f>
        <v>8067</v>
      </c>
      <c r="AF1024" s="327">
        <f t="shared" si="386"/>
        <v>8447</v>
      </c>
      <c r="AG1024" s="327">
        <f t="shared" si="386"/>
        <v>13339</v>
      </c>
      <c r="AH1024" s="327">
        <f t="shared" si="386"/>
        <v>0</v>
      </c>
      <c r="AI1024" s="327">
        <f t="shared" si="386"/>
        <v>2727</v>
      </c>
      <c r="AJ1024" s="327">
        <f t="shared" si="386"/>
        <v>1791</v>
      </c>
      <c r="AK1024" s="327">
        <f t="shared" si="386"/>
        <v>2205</v>
      </c>
      <c r="AL1024" s="327">
        <f t="shared" si="386"/>
        <v>2026</v>
      </c>
      <c r="AM1024" s="327">
        <f t="shared" si="386"/>
        <v>604</v>
      </c>
      <c r="AN1024" s="327">
        <f t="shared" si="386"/>
        <v>712</v>
      </c>
      <c r="AO1024" s="327">
        <f t="shared" si="386"/>
        <v>1393</v>
      </c>
      <c r="AP1024" s="327">
        <f t="shared" si="386"/>
        <v>244</v>
      </c>
      <c r="AQ1024" s="327">
        <f t="shared" si="386"/>
        <v>607</v>
      </c>
      <c r="AR1024" s="327">
        <f t="shared" si="386"/>
        <v>583</v>
      </c>
      <c r="AS1024" s="383">
        <f t="shared" si="386"/>
        <v>106191</v>
      </c>
      <c r="AU1024" s="380">
        <f t="shared" si="383"/>
        <v>4.3768492373425574E-2</v>
      </c>
    </row>
    <row r="1025" spans="1:45" ht="16.5" customHeight="1" thickBot="1" x14ac:dyDescent="0.35">
      <c r="A1025" s="330" t="s">
        <v>7</v>
      </c>
      <c r="B1025" s="327"/>
      <c r="C1025" s="327"/>
      <c r="D1025" s="327"/>
      <c r="E1025" s="327"/>
      <c r="F1025" s="327"/>
      <c r="G1025" s="327"/>
      <c r="H1025" s="327"/>
      <c r="I1025" s="327"/>
      <c r="J1025" s="327"/>
      <c r="K1025" s="327"/>
      <c r="L1025" s="327"/>
      <c r="M1025" s="327"/>
      <c r="N1025" s="327"/>
      <c r="O1025" s="327"/>
      <c r="P1025" s="327"/>
      <c r="Q1025" s="327"/>
      <c r="R1025" s="383"/>
      <c r="S1025" s="159"/>
    </row>
    <row r="1026" spans="1:45" ht="15.75" customHeight="1" x14ac:dyDescent="0.3">
      <c r="A1026" s="159"/>
      <c r="B1026" s="159"/>
      <c r="C1026" s="159"/>
      <c r="D1026" s="159"/>
      <c r="E1026" s="159"/>
      <c r="F1026" s="159"/>
      <c r="G1026" s="159"/>
      <c r="H1026" s="159"/>
      <c r="I1026" s="159"/>
      <c r="J1026" s="159"/>
      <c r="K1026" s="159"/>
      <c r="L1026" s="159"/>
      <c r="M1026" s="159"/>
      <c r="N1026" s="159"/>
      <c r="O1026" s="159"/>
      <c r="P1026" s="159"/>
      <c r="Q1026" s="159"/>
      <c r="R1026" s="159"/>
    </row>
    <row r="1027" spans="1:45" ht="15.75" customHeight="1" x14ac:dyDescent="0.3"/>
    <row r="1028" spans="1:45" ht="15.75" customHeight="1" thickBot="1" x14ac:dyDescent="0.35"/>
    <row r="1029" spans="1:45" ht="15.75" customHeight="1" thickBot="1" x14ac:dyDescent="0.35">
      <c r="B1029" s="519" t="s">
        <v>1038</v>
      </c>
      <c r="C1029" s="506"/>
      <c r="D1029" s="506"/>
      <c r="E1029" s="506"/>
      <c r="F1029" s="506"/>
      <c r="G1029" s="506"/>
      <c r="H1029" s="506"/>
      <c r="I1029" s="506"/>
      <c r="J1029" s="506"/>
      <c r="K1029" s="506"/>
      <c r="L1029" s="506"/>
      <c r="M1029" s="506"/>
      <c r="N1029" s="506"/>
      <c r="O1029" s="506"/>
      <c r="P1029" s="506"/>
      <c r="Q1029" s="361" t="str">
        <f>+Q1</f>
        <v xml:space="preserve">PRINTED:  </v>
      </c>
      <c r="R1029" s="367">
        <f ca="1">+R1</f>
        <v>44909.46975358796</v>
      </c>
      <c r="S1029" s="319"/>
      <c r="T1029" s="368"/>
      <c r="U1029" s="368"/>
      <c r="V1029" s="332"/>
    </row>
    <row r="1030" spans="1:45" ht="15.75" customHeight="1" x14ac:dyDescent="0.3">
      <c r="B1030" s="520">
        <f>+A5</f>
        <v>2020</v>
      </c>
      <c r="C1030" s="509"/>
      <c r="D1030" s="509"/>
      <c r="E1030" s="509"/>
      <c r="F1030" s="509"/>
      <c r="G1030" s="509"/>
      <c r="H1030" s="509"/>
      <c r="I1030" s="509"/>
      <c r="J1030" s="509"/>
      <c r="K1030" s="509"/>
      <c r="L1030" s="509"/>
      <c r="M1030" s="509"/>
      <c r="N1030" s="509"/>
      <c r="O1030" s="509"/>
      <c r="P1030" s="509"/>
      <c r="Q1030" s="159"/>
      <c r="R1030" s="159"/>
      <c r="S1030" s="159"/>
      <c r="V1030" s="481"/>
      <c r="AC1030" s="370"/>
      <c r="AD1030" s="506" t="s">
        <v>1039</v>
      </c>
      <c r="AE1030" s="517"/>
      <c r="AF1030" s="517"/>
      <c r="AG1030" s="517"/>
      <c r="AH1030" s="517"/>
      <c r="AI1030" s="517"/>
      <c r="AJ1030" s="517"/>
      <c r="AK1030" s="517"/>
      <c r="AL1030" s="517"/>
      <c r="AM1030" s="517"/>
      <c r="AN1030" s="517"/>
      <c r="AO1030" s="517"/>
      <c r="AP1030" s="517"/>
      <c r="AQ1030" s="517"/>
      <c r="AR1030" s="361" t="str">
        <f>$Q$1</f>
        <v xml:space="preserve">PRINTED:  </v>
      </c>
      <c r="AS1030" s="371">
        <f ca="1">$R$1</f>
        <v>44909.46975358796</v>
      </c>
    </row>
    <row r="1031" spans="1:45" ht="15.75" customHeight="1" x14ac:dyDescent="0.3">
      <c r="B1031" s="518" t="str">
        <f>+A8</f>
        <v>Revised:  12/23/2020</v>
      </c>
      <c r="C1031" s="503"/>
      <c r="D1031" s="503"/>
      <c r="E1031" s="503"/>
      <c r="F1031" s="503"/>
      <c r="G1031" s="503"/>
      <c r="H1031" s="503"/>
      <c r="I1031" s="503"/>
      <c r="J1031" s="503"/>
      <c r="K1031" s="503"/>
      <c r="L1031" s="503"/>
      <c r="M1031" s="503"/>
      <c r="N1031" s="503"/>
      <c r="O1031" s="503"/>
      <c r="P1031" s="503"/>
      <c r="Q1031" s="159"/>
      <c r="R1031" s="159"/>
      <c r="S1031" s="159"/>
      <c r="V1031" s="481"/>
      <c r="AC1031" s="306"/>
      <c r="AD1031" s="503" t="str">
        <f>+$A$8</f>
        <v>Revised:  12/23/2020</v>
      </c>
      <c r="AE1031" s="516"/>
      <c r="AF1031" s="516"/>
      <c r="AG1031" s="516"/>
      <c r="AH1031" s="516"/>
      <c r="AI1031" s="516"/>
      <c r="AJ1031" s="516"/>
      <c r="AK1031" s="516"/>
      <c r="AL1031" s="516"/>
      <c r="AM1031" s="516"/>
      <c r="AN1031" s="516"/>
      <c r="AO1031" s="516"/>
      <c r="AP1031" s="516"/>
      <c r="AQ1031" s="516"/>
      <c r="AR1031" s="365"/>
      <c r="AS1031" s="481"/>
    </row>
    <row r="1032" spans="1:45" ht="15.75" customHeight="1" thickBot="1" x14ac:dyDescent="0.35">
      <c r="B1032" s="521" t="s">
        <v>1040</v>
      </c>
      <c r="C1032" s="522"/>
      <c r="D1032" s="522"/>
      <c r="E1032" s="522"/>
      <c r="F1032" s="522"/>
      <c r="G1032" s="522"/>
      <c r="H1032" s="522"/>
      <c r="I1032" s="522"/>
      <c r="J1032" s="522"/>
      <c r="K1032" s="522"/>
      <c r="L1032" s="522"/>
      <c r="M1032" s="522"/>
      <c r="N1032" s="522"/>
      <c r="O1032" s="522"/>
      <c r="P1032" s="522"/>
      <c r="Q1032" s="159"/>
      <c r="R1032" s="159"/>
      <c r="S1032" s="327"/>
      <c r="V1032" s="481"/>
      <c r="AC1032" s="306"/>
      <c r="AD1032" s="503" t="s">
        <v>1024</v>
      </c>
      <c r="AE1032" s="508"/>
      <c r="AF1032" s="508"/>
      <c r="AG1032" s="508"/>
      <c r="AH1032" s="508"/>
      <c r="AI1032" s="508"/>
      <c r="AJ1032" s="508"/>
      <c r="AK1032" s="508"/>
      <c r="AL1032" s="508"/>
      <c r="AM1032" s="508"/>
      <c r="AN1032" s="508"/>
      <c r="AO1032" s="508"/>
      <c r="AP1032" s="508"/>
      <c r="AQ1032" s="508"/>
      <c r="AS1032" s="481"/>
    </row>
    <row r="1033" spans="1:45" ht="15.75" customHeight="1" thickBot="1" x14ac:dyDescent="0.35">
      <c r="A1033" s="384"/>
      <c r="B1033" s="523" t="s">
        <v>1041</v>
      </c>
      <c r="C1033" s="524"/>
      <c r="D1033" s="524"/>
      <c r="E1033" s="524"/>
      <c r="F1033" s="525"/>
      <c r="G1033" s="523" t="s">
        <v>1042</v>
      </c>
      <c r="H1033" s="524"/>
      <c r="I1033" s="524"/>
      <c r="J1033" s="524"/>
      <c r="K1033" s="524"/>
      <c r="L1033" s="524"/>
      <c r="M1033" s="526" t="s">
        <v>1043</v>
      </c>
      <c r="N1033" s="527"/>
      <c r="O1033" s="527"/>
      <c r="P1033" s="527"/>
      <c r="Q1033" s="527"/>
      <c r="R1033" s="528"/>
      <c r="S1033" s="523" t="s">
        <v>1044</v>
      </c>
      <c r="T1033" s="529"/>
      <c r="U1033" s="530"/>
      <c r="V1033" s="481"/>
      <c r="AC1033" s="306"/>
      <c r="AS1033" s="481"/>
    </row>
    <row r="1034" spans="1:45" ht="15.75" customHeight="1" x14ac:dyDescent="0.3">
      <c r="A1034" s="384"/>
      <c r="B1034" s="325" t="s">
        <v>428</v>
      </c>
      <c r="C1034" s="164"/>
      <c r="D1034" s="164" t="s">
        <v>469</v>
      </c>
      <c r="E1034" s="164" t="s">
        <v>470</v>
      </c>
      <c r="F1034" s="484" t="s">
        <v>1045</v>
      </c>
      <c r="G1034" s="325" t="s">
        <v>471</v>
      </c>
      <c r="H1034" s="164"/>
      <c r="I1034" s="164"/>
      <c r="J1034" s="164" t="s">
        <v>472</v>
      </c>
      <c r="K1034" s="164" t="s">
        <v>1046</v>
      </c>
      <c r="L1034" s="164" t="s">
        <v>1047</v>
      </c>
      <c r="M1034" s="531" t="s">
        <v>1048</v>
      </c>
      <c r="N1034" s="532"/>
      <c r="O1034" s="533"/>
      <c r="P1034" s="385"/>
      <c r="Q1034" s="386"/>
      <c r="R1034" s="387"/>
      <c r="S1034" s="164" t="s">
        <v>1049</v>
      </c>
      <c r="T1034" s="388" t="s">
        <v>486</v>
      </c>
      <c r="U1034" s="485" t="s">
        <v>1050</v>
      </c>
      <c r="V1034" s="481"/>
      <c r="AC1034" s="306"/>
      <c r="AD1034" s="509">
        <f>$A$5</f>
        <v>2020</v>
      </c>
      <c r="AE1034" s="508"/>
      <c r="AF1034" s="508"/>
      <c r="AG1034" s="508"/>
      <c r="AH1034" s="508"/>
      <c r="AI1034" s="508"/>
      <c r="AJ1034" s="508"/>
      <c r="AK1034" s="508"/>
      <c r="AL1034" s="508"/>
      <c r="AM1034" s="508"/>
      <c r="AN1034" s="508"/>
      <c r="AO1034" s="508"/>
      <c r="AP1034" s="508"/>
      <c r="AQ1034" s="508"/>
      <c r="AS1034" s="481"/>
    </row>
    <row r="1035" spans="1:45" ht="15.75" customHeight="1" x14ac:dyDescent="0.3">
      <c r="A1035" s="384"/>
      <c r="B1035" s="390" t="s">
        <v>1051</v>
      </c>
      <c r="C1035" s="391" t="s">
        <v>1052</v>
      </c>
      <c r="D1035" s="391" t="s">
        <v>1053</v>
      </c>
      <c r="E1035" s="164" t="s">
        <v>442</v>
      </c>
      <c r="F1035" s="486" t="s">
        <v>1054</v>
      </c>
      <c r="G1035" s="325" t="s">
        <v>429</v>
      </c>
      <c r="H1035" s="164" t="s">
        <v>478</v>
      </c>
      <c r="I1035" s="164" t="s">
        <v>479</v>
      </c>
      <c r="J1035" s="391" t="s">
        <v>1055</v>
      </c>
      <c r="K1035" s="164" t="s">
        <v>1034</v>
      </c>
      <c r="L1035" s="391" t="s">
        <v>1056</v>
      </c>
      <c r="M1035" s="393" t="s">
        <v>1057</v>
      </c>
      <c r="N1035" s="385" t="s">
        <v>1058</v>
      </c>
      <c r="O1035" s="487" t="s">
        <v>422</v>
      </c>
      <c r="P1035" s="385" t="s">
        <v>1059</v>
      </c>
      <c r="Q1035" s="385" t="s">
        <v>1059</v>
      </c>
      <c r="R1035" s="487" t="s">
        <v>1060</v>
      </c>
      <c r="S1035" s="164" t="s">
        <v>1061</v>
      </c>
      <c r="T1035" s="164" t="s">
        <v>1062</v>
      </c>
      <c r="U1035" s="484" t="s">
        <v>1063</v>
      </c>
      <c r="V1035" s="481"/>
      <c r="AC1035" s="306"/>
      <c r="AD1035" s="503" t="s">
        <v>1029</v>
      </c>
      <c r="AE1035" s="516"/>
      <c r="AF1035" s="516"/>
      <c r="AG1035" s="516"/>
      <c r="AH1035" s="516"/>
      <c r="AI1035" s="516"/>
      <c r="AJ1035" s="516"/>
      <c r="AK1035" s="516"/>
      <c r="AL1035" s="516"/>
      <c r="AM1035" s="516"/>
      <c r="AN1035" s="516"/>
      <c r="AO1035" s="516"/>
      <c r="AP1035" s="516"/>
      <c r="AQ1035" s="516"/>
      <c r="AR1035" s="164"/>
      <c r="AS1035" s="481"/>
    </row>
    <row r="1036" spans="1:45" ht="15.75" customHeight="1" x14ac:dyDescent="0.3">
      <c r="A1036" s="384"/>
      <c r="B1036" s="395" t="s">
        <v>1064</v>
      </c>
      <c r="C1036" s="169">
        <v>0</v>
      </c>
      <c r="D1036" s="169"/>
      <c r="E1036" s="164" t="s">
        <v>485</v>
      </c>
      <c r="F1036" s="488" t="s">
        <v>1065</v>
      </c>
      <c r="G1036" s="325" t="s">
        <v>1066</v>
      </c>
      <c r="H1036" s="164" t="s">
        <v>442</v>
      </c>
      <c r="I1036" s="164" t="s">
        <v>442</v>
      </c>
      <c r="J1036" s="164" t="s">
        <v>442</v>
      </c>
      <c r="K1036" s="164" t="s">
        <v>486</v>
      </c>
      <c r="L1036" s="164" t="s">
        <v>1067</v>
      </c>
      <c r="M1036" s="397" t="s">
        <v>434</v>
      </c>
      <c r="N1036" s="386" t="s">
        <v>1068</v>
      </c>
      <c r="O1036" s="487" t="s">
        <v>1069</v>
      </c>
      <c r="P1036" s="386" t="s">
        <v>1070</v>
      </c>
      <c r="Q1036" s="385" t="s">
        <v>1070</v>
      </c>
      <c r="R1036" s="487" t="s">
        <v>1069</v>
      </c>
      <c r="S1036" s="164" t="s">
        <v>442</v>
      </c>
      <c r="T1036" s="164" t="s">
        <v>442</v>
      </c>
      <c r="U1036" s="484" t="s">
        <v>442</v>
      </c>
      <c r="V1036" s="481"/>
      <c r="AC1036" s="306"/>
      <c r="AK1036" s="372"/>
      <c r="AS1036" s="481"/>
    </row>
    <row r="1037" spans="1:45" ht="15.75" customHeight="1" thickBot="1" x14ac:dyDescent="0.35">
      <c r="A1037" s="377" t="s">
        <v>1071</v>
      </c>
      <c r="B1037" s="325" t="s">
        <v>491</v>
      </c>
      <c r="C1037" s="164" t="s">
        <v>491</v>
      </c>
      <c r="D1037" s="164" t="s">
        <v>491</v>
      </c>
      <c r="E1037" s="164" t="s">
        <v>491</v>
      </c>
      <c r="F1037" s="484" t="s">
        <v>491</v>
      </c>
      <c r="G1037" s="325" t="s">
        <v>491</v>
      </c>
      <c r="H1037" s="164" t="s">
        <v>491</v>
      </c>
      <c r="I1037" s="164" t="s">
        <v>491</v>
      </c>
      <c r="J1037" s="164" t="s">
        <v>491</v>
      </c>
      <c r="K1037" s="164" t="s">
        <v>491</v>
      </c>
      <c r="L1037" s="164" t="s">
        <v>491</v>
      </c>
      <c r="M1037" s="397" t="s">
        <v>491</v>
      </c>
      <c r="N1037" s="386" t="s">
        <v>491</v>
      </c>
      <c r="O1037" s="487" t="s">
        <v>491</v>
      </c>
      <c r="P1037" s="386" t="s">
        <v>937</v>
      </c>
      <c r="Q1037" s="385" t="s">
        <v>491</v>
      </c>
      <c r="R1037" s="487" t="s">
        <v>491</v>
      </c>
      <c r="S1037" s="164" t="s">
        <v>491</v>
      </c>
      <c r="T1037" s="164" t="s">
        <v>491</v>
      </c>
      <c r="U1037" s="484" t="s">
        <v>491</v>
      </c>
      <c r="V1037" s="481"/>
      <c r="AC1037" s="306"/>
      <c r="AD1037" s="364" t="s">
        <v>390</v>
      </c>
      <c r="AE1037" s="364" t="s">
        <v>391</v>
      </c>
      <c r="AF1037" s="364" t="s">
        <v>392</v>
      </c>
      <c r="AG1037" s="364" t="s">
        <v>393</v>
      </c>
      <c r="AH1037" s="364" t="s">
        <v>394</v>
      </c>
      <c r="AI1037" s="364" t="s">
        <v>395</v>
      </c>
      <c r="AJ1037" s="364" t="s">
        <v>396</v>
      </c>
      <c r="AK1037" s="364" t="s">
        <v>397</v>
      </c>
      <c r="AL1037" s="364" t="s">
        <v>398</v>
      </c>
      <c r="AM1037" s="364" t="s">
        <v>399</v>
      </c>
      <c r="AN1037" s="364" t="s">
        <v>400</v>
      </c>
      <c r="AO1037" s="364" t="s">
        <v>401</v>
      </c>
      <c r="AP1037" s="364" t="s">
        <v>402</v>
      </c>
      <c r="AQ1037" s="364" t="s">
        <v>403</v>
      </c>
      <c r="AR1037" s="364" t="s">
        <v>404</v>
      </c>
      <c r="AS1037" s="373" t="s">
        <v>422</v>
      </c>
    </row>
    <row r="1038" spans="1:45" ht="15.75" customHeight="1" x14ac:dyDescent="0.3">
      <c r="A1038" s="377" t="s">
        <v>409</v>
      </c>
      <c r="B1038" s="325" t="s">
        <v>409</v>
      </c>
      <c r="C1038" s="164" t="s">
        <v>409</v>
      </c>
      <c r="D1038" s="164" t="s">
        <v>409</v>
      </c>
      <c r="E1038" s="164" t="s">
        <v>493</v>
      </c>
      <c r="F1038" s="484" t="s">
        <v>409</v>
      </c>
      <c r="G1038" s="325" t="s">
        <v>409</v>
      </c>
      <c r="H1038" s="164" t="s">
        <v>494</v>
      </c>
      <c r="I1038" s="164" t="s">
        <v>494</v>
      </c>
      <c r="J1038" s="164" t="s">
        <v>409</v>
      </c>
      <c r="K1038" s="164" t="s">
        <v>409</v>
      </c>
      <c r="L1038" s="164" t="s">
        <v>409</v>
      </c>
      <c r="M1038" s="397" t="s">
        <v>409</v>
      </c>
      <c r="N1038" s="386" t="s">
        <v>409</v>
      </c>
      <c r="O1038" s="487" t="s">
        <v>409</v>
      </c>
      <c r="P1038" s="397" t="s">
        <v>409</v>
      </c>
      <c r="Q1038" s="386" t="s">
        <v>409</v>
      </c>
      <c r="R1038" s="487" t="s">
        <v>409</v>
      </c>
      <c r="S1038" s="164" t="s">
        <v>409</v>
      </c>
      <c r="T1038" s="164" t="s">
        <v>409</v>
      </c>
      <c r="U1038" s="484" t="s">
        <v>409</v>
      </c>
      <c r="V1038" s="481"/>
      <c r="AC1038" s="306"/>
      <c r="AD1038" s="159"/>
      <c r="AE1038" s="159"/>
      <c r="AF1038" s="159"/>
      <c r="AG1038" s="159"/>
      <c r="AH1038" s="164" t="s">
        <v>1030</v>
      </c>
      <c r="AI1038" s="159"/>
      <c r="AJ1038" s="159"/>
      <c r="AK1038" s="159"/>
      <c r="AL1038" s="159"/>
      <c r="AM1038" s="159"/>
      <c r="AN1038" s="159"/>
      <c r="AO1038" s="159"/>
      <c r="AP1038" s="159"/>
      <c r="AQ1038" s="159"/>
      <c r="AR1038" s="159"/>
      <c r="AS1038" s="374"/>
    </row>
    <row r="1039" spans="1:45" ht="15.75" customHeight="1" x14ac:dyDescent="0.3">
      <c r="A1039" s="365" t="s">
        <v>795</v>
      </c>
      <c r="B1039" s="325">
        <f>ROUND(R1011-G1011,0)</f>
        <v>130341</v>
      </c>
      <c r="C1039" s="164">
        <f>+ROUND(B1039*$C$1036,0)</f>
        <v>0</v>
      </c>
      <c r="D1039" s="164">
        <f>AS1011</f>
        <v>5574</v>
      </c>
      <c r="E1039" s="164">
        <f>+B1039+C1039</f>
        <v>130341</v>
      </c>
      <c r="F1039" s="484">
        <f>(D1039+E1039)</f>
        <v>135915</v>
      </c>
      <c r="G1039" s="325">
        <f>ABS(G1011)</f>
        <v>0</v>
      </c>
      <c r="H1039" s="398">
        <v>9026</v>
      </c>
      <c r="I1039" s="398">
        <v>0</v>
      </c>
      <c r="J1039" s="164">
        <f>(H1039+I1039)</f>
        <v>9026</v>
      </c>
      <c r="K1039" s="398">
        <v>0</v>
      </c>
      <c r="L1039" s="398">
        <v>0</v>
      </c>
      <c r="M1039" s="399">
        <f>D1039+E1039-G1039-J1039-K1039-L1039</f>
        <v>126889</v>
      </c>
      <c r="N1039" s="400">
        <v>0</v>
      </c>
      <c r="O1039" s="487">
        <f>M1039+N1039</f>
        <v>126889</v>
      </c>
      <c r="P1039" s="401">
        <v>0.2</v>
      </c>
      <c r="Q1039" s="386">
        <f>-O1039*P1039</f>
        <v>-25377.800000000003</v>
      </c>
      <c r="R1039" s="487">
        <f>O1039+Q1039</f>
        <v>101511.2</v>
      </c>
      <c r="S1039" s="402">
        <f>(F1039-G1039-J1039-K1039-L1039-R1039)</f>
        <v>25377.800000000003</v>
      </c>
      <c r="T1039" s="164">
        <f>+IF(S1039&gt;=0,ABS(S1039),"")</f>
        <v>25377.800000000003</v>
      </c>
      <c r="U1039" s="484" t="str">
        <f>+IF(S1039&lt;=0,ABS(S1039),"")</f>
        <v/>
      </c>
      <c r="V1039" s="481"/>
      <c r="AC1039" s="375" t="s">
        <v>1072</v>
      </c>
      <c r="AD1039" s="376"/>
      <c r="AE1039" s="376"/>
      <c r="AF1039" s="376"/>
      <c r="AG1039" s="376"/>
      <c r="AH1039" s="376">
        <v>1.6E-2</v>
      </c>
      <c r="AI1039" s="376">
        <v>1.6E-2</v>
      </c>
      <c r="AJ1039" s="376">
        <v>1.6E-2</v>
      </c>
      <c r="AK1039" s="376">
        <v>1.6E-2</v>
      </c>
      <c r="AL1039" s="376">
        <v>1.6E-2</v>
      </c>
      <c r="AM1039" s="376">
        <v>1.6E-2</v>
      </c>
      <c r="AN1039" s="376">
        <v>1.6E-2</v>
      </c>
      <c r="AO1039" s="376">
        <v>1.6E-2</v>
      </c>
      <c r="AP1039" s="376">
        <v>1.6E-2</v>
      </c>
      <c r="AQ1039" s="376">
        <v>1.6E-2</v>
      </c>
      <c r="AR1039" s="376">
        <v>1.6E-2</v>
      </c>
      <c r="AS1039" s="377"/>
    </row>
    <row r="1040" spans="1:45" ht="15.75" customHeight="1" x14ac:dyDescent="0.3">
      <c r="A1040" s="365" t="s">
        <v>9</v>
      </c>
      <c r="B1040" s="325">
        <f>ROUND(R1012-G1012,0)</f>
        <v>138234</v>
      </c>
      <c r="C1040" s="164">
        <f t="shared" ref="C1040:C1050" si="387">+ROUND(B1040*$C$1036,0)</f>
        <v>0</v>
      </c>
      <c r="D1040" s="164">
        <f t="shared" ref="D1040:D1050" si="388">AS1012</f>
        <v>5926</v>
      </c>
      <c r="E1040" s="164">
        <f t="shared" ref="E1040:E1052" si="389">+B1040+C1040</f>
        <v>138234</v>
      </c>
      <c r="F1040" s="484">
        <f t="shared" ref="F1040:F1050" si="390">(D1040+E1040)</f>
        <v>144160</v>
      </c>
      <c r="G1040" s="325">
        <f t="shared" ref="G1040:G1050" si="391">ABS(G1012)</f>
        <v>0</v>
      </c>
      <c r="H1040" s="398">
        <v>10267</v>
      </c>
      <c r="I1040" s="398">
        <v>0</v>
      </c>
      <c r="J1040" s="164">
        <f t="shared" ref="J1040:J1049" si="392">(H1040+I1040)</f>
        <v>10267</v>
      </c>
      <c r="K1040" s="398">
        <v>0</v>
      </c>
      <c r="L1040" s="398">
        <v>0</v>
      </c>
      <c r="M1040" s="399">
        <f t="shared" ref="M1040:M1050" si="393">D1040+E1040-G1040-J1040-K1040-L1040</f>
        <v>133893</v>
      </c>
      <c r="N1040" s="400">
        <v>0</v>
      </c>
      <c r="O1040" s="487">
        <f t="shared" ref="O1040:O1050" si="394">M1040+N1040</f>
        <v>133893</v>
      </c>
      <c r="P1040" s="401">
        <v>0.25</v>
      </c>
      <c r="Q1040" s="386">
        <f t="shared" ref="Q1040:Q1050" si="395">-O1040*P1040</f>
        <v>-33473.25</v>
      </c>
      <c r="R1040" s="487">
        <f t="shared" ref="R1040:R1050" si="396">O1040+Q1040</f>
        <v>100419.75</v>
      </c>
      <c r="S1040" s="402">
        <f t="shared" ref="S1040:S1050" si="397">(F1040-G1040-J1040-K1040-L1040-R1040)</f>
        <v>33473.25</v>
      </c>
      <c r="T1040" s="164">
        <f t="shared" ref="T1040:T1050" si="398">+IF(S1040&gt;=0,ABS(S1040),"")</f>
        <v>33473.25</v>
      </c>
      <c r="U1040" s="484" t="str">
        <f t="shared" ref="U1040:U1050" si="399">+IF(S1040&lt;=0,ABS(S1040),"")</f>
        <v/>
      </c>
      <c r="V1040" s="481"/>
      <c r="AC1040" s="375" t="s">
        <v>1032</v>
      </c>
      <c r="AD1040" s="376"/>
      <c r="AE1040" s="376"/>
      <c r="AF1040" s="376"/>
      <c r="AG1040" s="376"/>
      <c r="AH1040" s="376"/>
      <c r="AI1040" s="376"/>
      <c r="AJ1040" s="376"/>
      <c r="AK1040" s="376"/>
      <c r="AL1040" s="376"/>
      <c r="AM1040" s="376"/>
      <c r="AN1040" s="376"/>
      <c r="AO1040" s="376"/>
      <c r="AP1040" s="376"/>
      <c r="AQ1040" s="376"/>
      <c r="AR1040" s="376"/>
      <c r="AS1040" s="377"/>
    </row>
    <row r="1041" spans="1:45" ht="15.75" customHeight="1" x14ac:dyDescent="0.3">
      <c r="A1041" s="365" t="s">
        <v>10</v>
      </c>
      <c r="B1041" s="325">
        <f t="shared" ref="B1041:B1050" si="400">ROUND(R1013-G1013,0)</f>
        <v>179513</v>
      </c>
      <c r="C1041" s="164">
        <f t="shared" si="387"/>
        <v>0</v>
      </c>
      <c r="D1041" s="164">
        <f t="shared" si="388"/>
        <v>7530</v>
      </c>
      <c r="E1041" s="164">
        <f t="shared" si="389"/>
        <v>179513</v>
      </c>
      <c r="F1041" s="484">
        <f t="shared" si="390"/>
        <v>187043</v>
      </c>
      <c r="G1041" s="325">
        <f t="shared" si="391"/>
        <v>3056.318613413714</v>
      </c>
      <c r="H1041" s="398">
        <v>15833</v>
      </c>
      <c r="I1041" s="398">
        <v>0</v>
      </c>
      <c r="J1041" s="164">
        <f t="shared" si="392"/>
        <v>15833</v>
      </c>
      <c r="K1041" s="398">
        <v>0</v>
      </c>
      <c r="L1041" s="398">
        <v>0</v>
      </c>
      <c r="M1041" s="399">
        <f t="shared" si="393"/>
        <v>168153.68138658628</v>
      </c>
      <c r="N1041" s="400">
        <v>0</v>
      </c>
      <c r="O1041" s="487">
        <f t="shared" si="394"/>
        <v>168153.68138658628</v>
      </c>
      <c r="P1041" s="401">
        <v>0.3</v>
      </c>
      <c r="Q1041" s="386">
        <f t="shared" si="395"/>
        <v>-50446.104415975882</v>
      </c>
      <c r="R1041" s="487">
        <f t="shared" si="396"/>
        <v>117707.57697061039</v>
      </c>
      <c r="S1041" s="402">
        <f t="shared" si="397"/>
        <v>50446.104415975889</v>
      </c>
      <c r="T1041" s="164">
        <f t="shared" si="398"/>
        <v>50446.104415975889</v>
      </c>
      <c r="U1041" s="484" t="str">
        <f t="shared" si="399"/>
        <v/>
      </c>
      <c r="V1041" s="481"/>
      <c r="AC1041" s="375" t="s">
        <v>1033</v>
      </c>
      <c r="AD1041" s="376"/>
      <c r="AE1041" s="376"/>
      <c r="AF1041" s="376"/>
      <c r="AG1041" s="376"/>
      <c r="AH1041" s="376"/>
      <c r="AI1041" s="376"/>
      <c r="AJ1041" s="376"/>
      <c r="AK1041" s="376"/>
      <c r="AL1041" s="376"/>
      <c r="AM1041" s="376"/>
      <c r="AN1041" s="376"/>
      <c r="AO1041" s="376"/>
      <c r="AP1041" s="376"/>
      <c r="AQ1041" s="376"/>
      <c r="AR1041" s="376"/>
      <c r="AS1041" s="377"/>
    </row>
    <row r="1042" spans="1:45" ht="15.75" customHeight="1" x14ac:dyDescent="0.3">
      <c r="A1042" s="365" t="s">
        <v>12</v>
      </c>
      <c r="B1042" s="325">
        <f t="shared" si="400"/>
        <v>265826</v>
      </c>
      <c r="C1042" s="164">
        <f t="shared" si="387"/>
        <v>0</v>
      </c>
      <c r="D1042" s="164">
        <f t="shared" si="388"/>
        <v>11598</v>
      </c>
      <c r="E1042" s="164">
        <f t="shared" si="389"/>
        <v>265826</v>
      </c>
      <c r="F1042" s="484">
        <f t="shared" si="390"/>
        <v>277424</v>
      </c>
      <c r="G1042" s="325">
        <f t="shared" si="391"/>
        <v>0</v>
      </c>
      <c r="H1042" s="398">
        <v>15927</v>
      </c>
      <c r="I1042" s="398">
        <v>0</v>
      </c>
      <c r="J1042" s="164">
        <f t="shared" si="392"/>
        <v>15927</v>
      </c>
      <c r="K1042" s="398">
        <v>0</v>
      </c>
      <c r="L1042" s="398">
        <v>0</v>
      </c>
      <c r="M1042" s="399">
        <f t="shared" si="393"/>
        <v>261497</v>
      </c>
      <c r="N1042" s="400">
        <v>-22320</v>
      </c>
      <c r="O1042" s="487">
        <f t="shared" si="394"/>
        <v>239177</v>
      </c>
      <c r="P1042" s="401">
        <v>0.35</v>
      </c>
      <c r="Q1042" s="386">
        <f t="shared" si="395"/>
        <v>-83711.95</v>
      </c>
      <c r="R1042" s="487">
        <f t="shared" si="396"/>
        <v>155465.04999999999</v>
      </c>
      <c r="S1042" s="402">
        <f t="shared" si="397"/>
        <v>106031.95000000001</v>
      </c>
      <c r="T1042" s="164">
        <f t="shared" si="398"/>
        <v>106031.95000000001</v>
      </c>
      <c r="U1042" s="484" t="str">
        <f t="shared" si="399"/>
        <v/>
      </c>
      <c r="V1042" s="481"/>
      <c r="AC1042" s="375" t="s">
        <v>822</v>
      </c>
      <c r="AD1042" s="376"/>
      <c r="AE1042" s="376"/>
      <c r="AF1042" s="376"/>
      <c r="AG1042" s="376"/>
      <c r="AH1042" s="376"/>
      <c r="AI1042" s="376"/>
      <c r="AJ1042" s="376"/>
      <c r="AK1042" s="376"/>
      <c r="AL1042" s="376"/>
      <c r="AM1042" s="376"/>
      <c r="AN1042" s="376"/>
      <c r="AO1042" s="376"/>
      <c r="AP1042" s="376"/>
      <c r="AQ1042" s="376"/>
      <c r="AR1042" s="376"/>
      <c r="AS1042" s="377"/>
    </row>
    <row r="1043" spans="1:45" ht="15.75" customHeight="1" x14ac:dyDescent="0.3">
      <c r="A1043" s="365" t="s">
        <v>13</v>
      </c>
      <c r="B1043" s="325">
        <f t="shared" si="400"/>
        <v>305107</v>
      </c>
      <c r="C1043" s="164">
        <f t="shared" si="387"/>
        <v>0</v>
      </c>
      <c r="D1043" s="164">
        <f t="shared" si="388"/>
        <v>13466</v>
      </c>
      <c r="E1043" s="164">
        <f t="shared" si="389"/>
        <v>305107</v>
      </c>
      <c r="F1043" s="484">
        <f t="shared" si="390"/>
        <v>318573</v>
      </c>
      <c r="G1043" s="325">
        <f t="shared" si="391"/>
        <v>1947.3030896759628</v>
      </c>
      <c r="H1043" s="398">
        <v>14250</v>
      </c>
      <c r="I1043" s="398">
        <v>0</v>
      </c>
      <c r="J1043" s="164">
        <f t="shared" si="392"/>
        <v>14250</v>
      </c>
      <c r="K1043" s="398">
        <v>0</v>
      </c>
      <c r="L1043" s="398">
        <v>0</v>
      </c>
      <c r="M1043" s="399">
        <f t="shared" si="393"/>
        <v>302375.69691032404</v>
      </c>
      <c r="N1043" s="400">
        <v>0</v>
      </c>
      <c r="O1043" s="487">
        <f t="shared" si="394"/>
        <v>302375.69691032404</v>
      </c>
      <c r="P1043" s="401">
        <v>0.35</v>
      </c>
      <c r="Q1043" s="386">
        <f t="shared" si="395"/>
        <v>-105831.49391861341</v>
      </c>
      <c r="R1043" s="487">
        <f t="shared" si="396"/>
        <v>196544.20299171063</v>
      </c>
      <c r="S1043" s="402">
        <f t="shared" si="397"/>
        <v>105831.49391861341</v>
      </c>
      <c r="T1043" s="164">
        <f t="shared" si="398"/>
        <v>105831.49391861341</v>
      </c>
      <c r="U1043" s="484" t="str">
        <f t="shared" si="399"/>
        <v/>
      </c>
      <c r="V1043" s="481"/>
      <c r="AC1043" s="375" t="s">
        <v>1073</v>
      </c>
      <c r="AD1043" s="376"/>
      <c r="AE1043" s="376"/>
      <c r="AF1043" s="376"/>
      <c r="AG1043" s="376"/>
      <c r="AH1043" s="376"/>
      <c r="AI1043" s="376"/>
      <c r="AJ1043" s="376">
        <v>2.5000000000000001E-2</v>
      </c>
      <c r="AK1043" s="376">
        <v>2.5000000000000001E-2</v>
      </c>
      <c r="AL1043" s="376">
        <v>2.5000000000000001E-2</v>
      </c>
      <c r="AM1043" s="376">
        <v>2.5000000000000001E-2</v>
      </c>
      <c r="AN1043" s="376">
        <v>2.5000000000000001E-2</v>
      </c>
      <c r="AO1043" s="376">
        <v>2.5000000000000001E-2</v>
      </c>
      <c r="AP1043" s="376">
        <v>2.5000000000000001E-2</v>
      </c>
      <c r="AQ1043" s="376">
        <v>2.5000000000000001E-2</v>
      </c>
      <c r="AR1043" s="376">
        <v>2.5000000000000001E-2</v>
      </c>
      <c r="AS1043" s="377"/>
    </row>
    <row r="1044" spans="1:45" ht="15.75" customHeight="1" x14ac:dyDescent="0.3">
      <c r="A1044" s="365" t="s">
        <v>14</v>
      </c>
      <c r="B1044" s="325">
        <f>ROUND(R1016-G1016,0)</f>
        <v>201624</v>
      </c>
      <c r="C1044" s="164">
        <f t="shared" si="387"/>
        <v>0</v>
      </c>
      <c r="D1044" s="164">
        <f t="shared" si="388"/>
        <v>8605</v>
      </c>
      <c r="E1044" s="164">
        <f t="shared" si="389"/>
        <v>201624</v>
      </c>
      <c r="F1044" s="484">
        <f t="shared" si="390"/>
        <v>210229</v>
      </c>
      <c r="G1044" s="325">
        <f t="shared" si="391"/>
        <v>11782.808138658635</v>
      </c>
      <c r="H1044" s="398">
        <v>12696</v>
      </c>
      <c r="I1044" s="398">
        <v>0</v>
      </c>
      <c r="J1044" s="164">
        <f t="shared" si="392"/>
        <v>12696</v>
      </c>
      <c r="K1044" s="398">
        <v>0</v>
      </c>
      <c r="L1044" s="398">
        <v>0</v>
      </c>
      <c r="M1044" s="399">
        <f t="shared" si="393"/>
        <v>185750.19186134136</v>
      </c>
      <c r="N1044" s="400">
        <v>47280</v>
      </c>
      <c r="O1044" s="487">
        <f t="shared" si="394"/>
        <v>233030.19186134136</v>
      </c>
      <c r="P1044" s="401">
        <v>7.4999999999999997E-2</v>
      </c>
      <c r="Q1044" s="386">
        <f t="shared" si="395"/>
        <v>-17477.264389600601</v>
      </c>
      <c r="R1044" s="487">
        <f t="shared" si="396"/>
        <v>215552.92747174075</v>
      </c>
      <c r="S1044" s="402">
        <f t="shared" si="397"/>
        <v>-29802.735610399395</v>
      </c>
      <c r="T1044" s="164" t="str">
        <f t="shared" si="398"/>
        <v/>
      </c>
      <c r="U1044" s="484">
        <f t="shared" si="399"/>
        <v>29802.735610399395</v>
      </c>
      <c r="V1044" s="481"/>
      <c r="AC1044" s="375" t="s">
        <v>422</v>
      </c>
      <c r="AD1044" s="169">
        <f>SUM(AD1039:AD1043)</f>
        <v>0</v>
      </c>
      <c r="AE1044" s="169">
        <f t="shared" ref="AE1044:AR1044" si="401">SUM(AE1039:AE1043)</f>
        <v>0</v>
      </c>
      <c r="AF1044" s="169">
        <f t="shared" si="401"/>
        <v>0</v>
      </c>
      <c r="AG1044" s="169">
        <f t="shared" si="401"/>
        <v>0</v>
      </c>
      <c r="AH1044" s="169">
        <f t="shared" si="401"/>
        <v>1.6E-2</v>
      </c>
      <c r="AI1044" s="169">
        <f t="shared" si="401"/>
        <v>1.6E-2</v>
      </c>
      <c r="AJ1044" s="169">
        <f t="shared" si="401"/>
        <v>4.1000000000000002E-2</v>
      </c>
      <c r="AK1044" s="169">
        <f t="shared" si="401"/>
        <v>4.1000000000000002E-2</v>
      </c>
      <c r="AL1044" s="169">
        <f t="shared" si="401"/>
        <v>4.1000000000000002E-2</v>
      </c>
      <c r="AM1044" s="169">
        <f t="shared" si="401"/>
        <v>4.1000000000000002E-2</v>
      </c>
      <c r="AN1044" s="169">
        <f t="shared" si="401"/>
        <v>4.1000000000000002E-2</v>
      </c>
      <c r="AO1044" s="169">
        <f t="shared" si="401"/>
        <v>4.1000000000000002E-2</v>
      </c>
      <c r="AP1044" s="169">
        <f t="shared" si="401"/>
        <v>4.1000000000000002E-2</v>
      </c>
      <c r="AQ1044" s="169">
        <f t="shared" si="401"/>
        <v>4.1000000000000002E-2</v>
      </c>
      <c r="AR1044" s="169">
        <f t="shared" si="401"/>
        <v>4.1000000000000002E-2</v>
      </c>
      <c r="AS1044" s="377"/>
    </row>
    <row r="1045" spans="1:45" ht="15.75" customHeight="1" x14ac:dyDescent="0.3">
      <c r="A1045" s="365" t="s">
        <v>16</v>
      </c>
      <c r="B1045" s="325">
        <f t="shared" si="400"/>
        <v>156279</v>
      </c>
      <c r="C1045" s="164">
        <f t="shared" si="387"/>
        <v>0</v>
      </c>
      <c r="D1045" s="164">
        <f t="shared" si="388"/>
        <v>6450</v>
      </c>
      <c r="E1045" s="164">
        <f t="shared" si="389"/>
        <v>156279</v>
      </c>
      <c r="F1045" s="484">
        <f t="shared" si="390"/>
        <v>162729</v>
      </c>
      <c r="G1045" s="325">
        <f t="shared" si="391"/>
        <v>13657.388393424346</v>
      </c>
      <c r="H1045" s="398">
        <v>11620</v>
      </c>
      <c r="I1045" s="398">
        <v>0</v>
      </c>
      <c r="J1045" s="164">
        <f t="shared" si="392"/>
        <v>11620</v>
      </c>
      <c r="K1045" s="398">
        <v>0</v>
      </c>
      <c r="L1045" s="398">
        <v>0</v>
      </c>
      <c r="M1045" s="399">
        <f t="shared" si="393"/>
        <v>137451.61160657567</v>
      </c>
      <c r="N1045" s="400">
        <v>47120</v>
      </c>
      <c r="O1045" s="487">
        <f t="shared" si="394"/>
        <v>184571.61160657567</v>
      </c>
      <c r="P1045" s="401">
        <v>0.05</v>
      </c>
      <c r="Q1045" s="386">
        <f t="shared" si="395"/>
        <v>-9228.580580328784</v>
      </c>
      <c r="R1045" s="487">
        <f t="shared" si="396"/>
        <v>175343.03102624687</v>
      </c>
      <c r="S1045" s="402">
        <f t="shared" si="397"/>
        <v>-37891.419419671205</v>
      </c>
      <c r="T1045" s="164" t="str">
        <f t="shared" si="398"/>
        <v/>
      </c>
      <c r="U1045" s="484">
        <f t="shared" si="399"/>
        <v>37891.419419671205</v>
      </c>
      <c r="V1045" s="481"/>
      <c r="AC1045" s="325" t="s">
        <v>409</v>
      </c>
      <c r="AD1045" s="164" t="s">
        <v>409</v>
      </c>
      <c r="AE1045" s="164" t="s">
        <v>409</v>
      </c>
      <c r="AF1045" s="164" t="s">
        <v>409</v>
      </c>
      <c r="AG1045" s="164" t="s">
        <v>409</v>
      </c>
      <c r="AH1045" s="164" t="s">
        <v>409</v>
      </c>
      <c r="AI1045" s="164" t="s">
        <v>409</v>
      </c>
      <c r="AJ1045" s="164" t="s">
        <v>409</v>
      </c>
      <c r="AK1045" s="164" t="s">
        <v>409</v>
      </c>
      <c r="AL1045" s="164" t="s">
        <v>409</v>
      </c>
      <c r="AM1045" s="164" t="s">
        <v>409</v>
      </c>
      <c r="AN1045" s="164" t="s">
        <v>409</v>
      </c>
      <c r="AO1045" s="164" t="s">
        <v>409</v>
      </c>
      <c r="AP1045" s="164" t="s">
        <v>409</v>
      </c>
      <c r="AQ1045" s="164" t="s">
        <v>409</v>
      </c>
      <c r="AR1045" s="164" t="s">
        <v>409</v>
      </c>
      <c r="AS1045" s="377" t="s">
        <v>409</v>
      </c>
    </row>
    <row r="1046" spans="1:45" ht="15.75" customHeight="1" x14ac:dyDescent="0.3">
      <c r="A1046" s="365" t="s">
        <v>17</v>
      </c>
      <c r="B1046" s="325">
        <f t="shared" si="400"/>
        <v>133419</v>
      </c>
      <c r="C1046" s="164">
        <f t="shared" si="387"/>
        <v>0</v>
      </c>
      <c r="D1046" s="164">
        <f t="shared" si="388"/>
        <v>5446</v>
      </c>
      <c r="E1046" s="164">
        <f t="shared" si="389"/>
        <v>133419</v>
      </c>
      <c r="F1046" s="484">
        <f t="shared" si="390"/>
        <v>138865</v>
      </c>
      <c r="G1046" s="325">
        <f t="shared" si="391"/>
        <v>12764.783789070392</v>
      </c>
      <c r="H1046" s="398">
        <v>10241</v>
      </c>
      <c r="I1046" s="398">
        <v>0</v>
      </c>
      <c r="J1046" s="164">
        <f t="shared" si="392"/>
        <v>10241</v>
      </c>
      <c r="K1046" s="398">
        <v>0</v>
      </c>
      <c r="L1046" s="398">
        <v>0</v>
      </c>
      <c r="M1046" s="399">
        <f t="shared" si="393"/>
        <v>115859.2162109296</v>
      </c>
      <c r="N1046" s="400">
        <v>58776</v>
      </c>
      <c r="O1046" s="487">
        <f t="shared" si="394"/>
        <v>174635.21621092962</v>
      </c>
      <c r="P1046" s="401">
        <v>0</v>
      </c>
      <c r="Q1046" s="386">
        <f t="shared" si="395"/>
        <v>0</v>
      </c>
      <c r="R1046" s="487">
        <f t="shared" si="396"/>
        <v>174635.21621092962</v>
      </c>
      <c r="S1046" s="402">
        <f t="shared" si="397"/>
        <v>-58776.000000000015</v>
      </c>
      <c r="T1046" s="164" t="str">
        <f t="shared" si="398"/>
        <v/>
      </c>
      <c r="U1046" s="484">
        <f t="shared" si="399"/>
        <v>58776.000000000015</v>
      </c>
      <c r="V1046" s="481"/>
      <c r="AC1046" s="375" t="s">
        <v>795</v>
      </c>
      <c r="AD1046" s="159">
        <f>ROUND(B1011*$AD$1044, 0)</f>
        <v>0</v>
      </c>
      <c r="AE1046" s="159">
        <f>ROUND(C1011*$AE$1044,0)</f>
        <v>0</v>
      </c>
      <c r="AF1046" s="159">
        <f>ROUND(D1011*$AF$1044,0)</f>
        <v>0</v>
      </c>
      <c r="AG1046" s="159">
        <f>ROUND(E1011*$AG$1044,0)</f>
        <v>0</v>
      </c>
      <c r="AH1046" s="159">
        <f>ROUND(F1011*$AH$1044,0)</f>
        <v>70</v>
      </c>
      <c r="AI1046" s="159">
        <f>ROUND(H1011*$AI$1044,0)</f>
        <v>46</v>
      </c>
      <c r="AJ1046" s="159">
        <f>ROUND(I1011*$AJ$1044,0)</f>
        <v>93</v>
      </c>
      <c r="AK1046" s="159">
        <f>ROUND(J1011*$AK$1044,0)</f>
        <v>145</v>
      </c>
      <c r="AL1046" s="159">
        <f>ROUND(K1011*$AL$1044,0)</f>
        <v>150</v>
      </c>
      <c r="AM1046" s="159">
        <f>ROUND(L1011*$AM$1044,0)</f>
        <v>39</v>
      </c>
      <c r="AN1046" s="159">
        <f>ROUND(M1011*$AN$1044,0)</f>
        <v>46</v>
      </c>
      <c r="AO1046" s="159">
        <f>ROUND(N1011*$AO$1044,0)</f>
        <v>94</v>
      </c>
      <c r="AP1046" s="159">
        <f>ROUND(O1011*$AP$1044,0)</f>
        <v>28</v>
      </c>
      <c r="AQ1046" s="159">
        <f>ROUND(P1011*$AQ$1044,0)</f>
        <v>57</v>
      </c>
      <c r="AR1046" s="159">
        <f>ROUND(Q1011*$AR$1044,0)</f>
        <v>66</v>
      </c>
      <c r="AS1046" s="374">
        <f>SUM(AD1046:AR1046)</f>
        <v>834</v>
      </c>
    </row>
    <row r="1047" spans="1:45" ht="15.75" customHeight="1" x14ac:dyDescent="0.3">
      <c r="A1047" s="365" t="s">
        <v>18</v>
      </c>
      <c r="B1047" s="325">
        <f t="shared" si="400"/>
        <v>273961</v>
      </c>
      <c r="C1047" s="164">
        <f t="shared" si="387"/>
        <v>0</v>
      </c>
      <c r="D1047" s="164">
        <f t="shared" si="388"/>
        <v>11966</v>
      </c>
      <c r="E1047" s="164">
        <f t="shared" si="389"/>
        <v>273961</v>
      </c>
      <c r="F1047" s="484">
        <f t="shared" si="390"/>
        <v>285927</v>
      </c>
      <c r="G1047" s="325">
        <f t="shared" si="391"/>
        <v>332.08675207234347</v>
      </c>
      <c r="H1047" s="398">
        <v>10229</v>
      </c>
      <c r="I1047" s="398">
        <v>0</v>
      </c>
      <c r="J1047" s="164">
        <f t="shared" si="392"/>
        <v>10229</v>
      </c>
      <c r="K1047" s="398">
        <v>0</v>
      </c>
      <c r="L1047" s="398">
        <v>0</v>
      </c>
      <c r="M1047" s="399">
        <f t="shared" si="393"/>
        <v>275365.91324792767</v>
      </c>
      <c r="N1047" s="400">
        <v>0</v>
      </c>
      <c r="O1047" s="487">
        <f t="shared" si="394"/>
        <v>275365.91324792767</v>
      </c>
      <c r="P1047" s="401">
        <v>0.05</v>
      </c>
      <c r="Q1047" s="386">
        <f t="shared" si="395"/>
        <v>-13768.295662396384</v>
      </c>
      <c r="R1047" s="487">
        <f t="shared" si="396"/>
        <v>261597.61758553129</v>
      </c>
      <c r="S1047" s="402">
        <f t="shared" si="397"/>
        <v>13768.295662396384</v>
      </c>
      <c r="T1047" s="164">
        <f t="shared" si="398"/>
        <v>13768.295662396384</v>
      </c>
      <c r="U1047" s="484" t="str">
        <f t="shared" si="399"/>
        <v/>
      </c>
      <c r="V1047" s="481"/>
      <c r="AC1047" s="375" t="s">
        <v>9</v>
      </c>
      <c r="AD1047" s="159">
        <f t="shared" ref="AD1047:AD1057" si="402">ROUND(B1012*$AD$1044, 0)</f>
        <v>0</v>
      </c>
      <c r="AE1047" s="159">
        <f t="shared" ref="AE1047:AE1057" si="403">ROUND(C1012*$AE$1044,0)</f>
        <v>0</v>
      </c>
      <c r="AF1047" s="159">
        <f t="shared" ref="AF1047:AF1057" si="404">ROUND(D1012*$AF$1044,0)</f>
        <v>0</v>
      </c>
      <c r="AG1047" s="159">
        <f t="shared" ref="AG1047:AG1057" si="405">ROUND(E1012*$AG$1044,0)</f>
        <v>0</v>
      </c>
      <c r="AH1047" s="159">
        <f t="shared" ref="AH1047:AH1057" si="406">ROUND(F1012*$AH$1044,0)</f>
        <v>9</v>
      </c>
      <c r="AI1047" s="159">
        <f t="shared" ref="AI1047:AI1057" si="407">ROUND(H1012*$AI$1044,0)</f>
        <v>74</v>
      </c>
      <c r="AJ1047" s="159">
        <f t="shared" ref="AJ1047:AJ1057" si="408">ROUND(I1012*$AJ$1044,0)</f>
        <v>151</v>
      </c>
      <c r="AK1047" s="159">
        <f t="shared" ref="AK1047:AK1057" si="409">ROUND(J1012*$AK$1044,0)</f>
        <v>233</v>
      </c>
      <c r="AL1047" s="159">
        <f t="shared" ref="AL1047:AL1057" si="410">ROUND(K1012*$AL$1044,0)</f>
        <v>241</v>
      </c>
      <c r="AM1047" s="159">
        <f t="shared" ref="AM1047:AM1057" si="411">ROUND(L1012*$AM$1044,0)</f>
        <v>77</v>
      </c>
      <c r="AN1047" s="159">
        <f t="shared" ref="AN1047:AN1057" si="412">ROUND(M1012*$AN$1044,0)</f>
        <v>90</v>
      </c>
      <c r="AO1047" s="159">
        <f t="shared" ref="AO1047:AO1057" si="413">ROUND(N1012*$AO$1044,0)</f>
        <v>175</v>
      </c>
      <c r="AP1047" s="159">
        <f t="shared" ref="AP1047:AP1057" si="414">ROUND(O1012*$AP$1044,0)</f>
        <v>30</v>
      </c>
      <c r="AQ1047" s="159">
        <f t="shared" ref="AQ1047:AQ1057" si="415">ROUND(P1012*$AQ$1044,0)</f>
        <v>55</v>
      </c>
      <c r="AR1047" s="159">
        <f t="shared" ref="AR1047:AR1057" si="416">ROUND(Q1012*$AR$1044,0)</f>
        <v>71</v>
      </c>
      <c r="AS1047" s="374">
        <f t="shared" ref="AS1047:AS1057" si="417">SUM(AD1047:AR1047)</f>
        <v>1206</v>
      </c>
    </row>
    <row r="1048" spans="1:45" ht="15.75" customHeight="1" x14ac:dyDescent="0.3">
      <c r="A1048" s="365" t="s">
        <v>20</v>
      </c>
      <c r="B1048" s="325">
        <f t="shared" si="400"/>
        <v>261496</v>
      </c>
      <c r="C1048" s="164">
        <f t="shared" si="387"/>
        <v>0</v>
      </c>
      <c r="D1048" s="164">
        <f t="shared" si="388"/>
        <v>11398</v>
      </c>
      <c r="E1048" s="164">
        <f t="shared" si="389"/>
        <v>261496</v>
      </c>
      <c r="F1048" s="484">
        <f t="shared" si="390"/>
        <v>272894</v>
      </c>
      <c r="G1048" s="325">
        <f t="shared" si="391"/>
        <v>2.5953428786736885</v>
      </c>
      <c r="H1048" s="398">
        <v>10104</v>
      </c>
      <c r="I1048" s="398">
        <v>0</v>
      </c>
      <c r="J1048" s="164">
        <f t="shared" si="392"/>
        <v>10104</v>
      </c>
      <c r="K1048" s="398">
        <v>0</v>
      </c>
      <c r="L1048" s="398">
        <v>0</v>
      </c>
      <c r="M1048" s="399">
        <f t="shared" si="393"/>
        <v>262787.40465712134</v>
      </c>
      <c r="N1048" s="400">
        <v>0</v>
      </c>
      <c r="O1048" s="487">
        <f t="shared" si="394"/>
        <v>262787.40465712134</v>
      </c>
      <c r="P1048" s="401">
        <v>0.2</v>
      </c>
      <c r="Q1048" s="386">
        <f t="shared" si="395"/>
        <v>-52557.480931424274</v>
      </c>
      <c r="R1048" s="487">
        <f t="shared" si="396"/>
        <v>210229.92372569707</v>
      </c>
      <c r="S1048" s="402">
        <f t="shared" si="397"/>
        <v>52557.480931424274</v>
      </c>
      <c r="T1048" s="164">
        <f t="shared" si="398"/>
        <v>52557.480931424274</v>
      </c>
      <c r="U1048" s="484" t="str">
        <f t="shared" si="399"/>
        <v/>
      </c>
      <c r="V1048" s="481"/>
      <c r="AC1048" s="375" t="s">
        <v>10</v>
      </c>
      <c r="AD1048" s="159">
        <f t="shared" si="402"/>
        <v>0</v>
      </c>
      <c r="AE1048" s="159">
        <f t="shared" si="403"/>
        <v>0</v>
      </c>
      <c r="AF1048" s="159">
        <f t="shared" si="404"/>
        <v>0</v>
      </c>
      <c r="AG1048" s="159">
        <f t="shared" si="405"/>
        <v>0</v>
      </c>
      <c r="AH1048" s="159">
        <f t="shared" si="406"/>
        <v>82</v>
      </c>
      <c r="AI1048" s="159">
        <f t="shared" si="407"/>
        <v>101</v>
      </c>
      <c r="AJ1048" s="159">
        <f t="shared" si="408"/>
        <v>200</v>
      </c>
      <c r="AK1048" s="159">
        <f t="shared" si="409"/>
        <v>290</v>
      </c>
      <c r="AL1048" s="159">
        <f t="shared" si="410"/>
        <v>293</v>
      </c>
      <c r="AM1048" s="159">
        <f t="shared" si="411"/>
        <v>88</v>
      </c>
      <c r="AN1048" s="159">
        <f t="shared" si="412"/>
        <v>104</v>
      </c>
      <c r="AO1048" s="159">
        <f t="shared" si="413"/>
        <v>208</v>
      </c>
      <c r="AP1048" s="159">
        <f t="shared" si="414"/>
        <v>30</v>
      </c>
      <c r="AQ1048" s="159">
        <f t="shared" si="415"/>
        <v>61</v>
      </c>
      <c r="AR1048" s="159">
        <f t="shared" si="416"/>
        <v>72</v>
      </c>
      <c r="AS1048" s="374">
        <f t="shared" si="417"/>
        <v>1529</v>
      </c>
    </row>
    <row r="1049" spans="1:45" ht="15.75" customHeight="1" x14ac:dyDescent="0.3">
      <c r="A1049" s="365" t="s">
        <v>21</v>
      </c>
      <c r="B1049" s="325">
        <f t="shared" si="400"/>
        <v>193881</v>
      </c>
      <c r="C1049" s="164">
        <f t="shared" si="387"/>
        <v>0</v>
      </c>
      <c r="D1049" s="164">
        <f t="shared" si="388"/>
        <v>8378</v>
      </c>
      <c r="E1049" s="164">
        <f t="shared" si="389"/>
        <v>193881</v>
      </c>
      <c r="F1049" s="484">
        <f t="shared" si="390"/>
        <v>202259</v>
      </c>
      <c r="G1049" s="325">
        <f t="shared" si="391"/>
        <v>661.03074604370647</v>
      </c>
      <c r="H1049" s="398">
        <v>10826</v>
      </c>
      <c r="I1049" s="398">
        <v>0</v>
      </c>
      <c r="J1049" s="164">
        <f t="shared" si="392"/>
        <v>10826</v>
      </c>
      <c r="K1049" s="398">
        <v>0</v>
      </c>
      <c r="L1049" s="398">
        <v>0</v>
      </c>
      <c r="M1049" s="399">
        <f t="shared" si="393"/>
        <v>190771.96925395628</v>
      </c>
      <c r="N1049" s="400">
        <v>0</v>
      </c>
      <c r="O1049" s="487">
        <f t="shared" si="394"/>
        <v>190771.96925395628</v>
      </c>
      <c r="P1049" s="401">
        <v>0.2</v>
      </c>
      <c r="Q1049" s="386">
        <f t="shared" si="395"/>
        <v>-38154.393850791261</v>
      </c>
      <c r="R1049" s="487">
        <f t="shared" si="396"/>
        <v>152617.57540316501</v>
      </c>
      <c r="S1049" s="402">
        <f t="shared" si="397"/>
        <v>38154.393850791268</v>
      </c>
      <c r="T1049" s="164">
        <f t="shared" si="398"/>
        <v>38154.393850791268</v>
      </c>
      <c r="U1049" s="484" t="str">
        <f t="shared" si="399"/>
        <v/>
      </c>
      <c r="V1049" s="481"/>
      <c r="AC1049" s="375" t="s">
        <v>12</v>
      </c>
      <c r="AD1049" s="159">
        <f t="shared" si="402"/>
        <v>0</v>
      </c>
      <c r="AE1049" s="159">
        <f t="shared" si="403"/>
        <v>0</v>
      </c>
      <c r="AF1049" s="159">
        <f t="shared" si="404"/>
        <v>0</v>
      </c>
      <c r="AG1049" s="159">
        <f t="shared" si="405"/>
        <v>0</v>
      </c>
      <c r="AH1049" s="159">
        <f t="shared" si="406"/>
        <v>13</v>
      </c>
      <c r="AI1049" s="159">
        <f t="shared" si="407"/>
        <v>164</v>
      </c>
      <c r="AJ1049" s="159">
        <f t="shared" si="408"/>
        <v>320</v>
      </c>
      <c r="AK1049" s="159">
        <f t="shared" si="409"/>
        <v>380</v>
      </c>
      <c r="AL1049" s="159">
        <f t="shared" si="410"/>
        <v>330</v>
      </c>
      <c r="AM1049" s="159">
        <f t="shared" si="411"/>
        <v>98</v>
      </c>
      <c r="AN1049" s="159">
        <f t="shared" si="412"/>
        <v>116</v>
      </c>
      <c r="AO1049" s="159">
        <f t="shared" si="413"/>
        <v>219</v>
      </c>
      <c r="AP1049" s="159">
        <f t="shared" si="414"/>
        <v>33</v>
      </c>
      <c r="AQ1049" s="159">
        <f t="shared" si="415"/>
        <v>73</v>
      </c>
      <c r="AR1049" s="159">
        <f t="shared" si="416"/>
        <v>79</v>
      </c>
      <c r="AS1049" s="374">
        <f t="shared" si="417"/>
        <v>1825</v>
      </c>
    </row>
    <row r="1050" spans="1:45" ht="15.75" customHeight="1" x14ac:dyDescent="0.3">
      <c r="A1050" s="365" t="s">
        <v>22</v>
      </c>
      <c r="B1050" s="325">
        <f t="shared" si="400"/>
        <v>230720</v>
      </c>
      <c r="C1050" s="164">
        <f t="shared" si="387"/>
        <v>0</v>
      </c>
      <c r="D1050" s="164">
        <f t="shared" si="388"/>
        <v>9854</v>
      </c>
      <c r="E1050" s="164">
        <f t="shared" si="389"/>
        <v>230720</v>
      </c>
      <c r="F1050" s="484">
        <f t="shared" si="390"/>
        <v>240574</v>
      </c>
      <c r="G1050" s="325">
        <f t="shared" si="391"/>
        <v>0</v>
      </c>
      <c r="H1050" s="398">
        <v>6676</v>
      </c>
      <c r="I1050" s="398">
        <v>0</v>
      </c>
      <c r="J1050" s="164">
        <f>(H1050+I1050)</f>
        <v>6676</v>
      </c>
      <c r="K1050" s="398">
        <v>0</v>
      </c>
      <c r="L1050" s="398">
        <v>0</v>
      </c>
      <c r="M1050" s="399">
        <f t="shared" si="393"/>
        <v>233898</v>
      </c>
      <c r="N1050" s="400">
        <v>0</v>
      </c>
      <c r="O1050" s="487">
        <f t="shared" si="394"/>
        <v>233898</v>
      </c>
      <c r="P1050" s="401">
        <v>0.2</v>
      </c>
      <c r="Q1050" s="386">
        <f t="shared" si="395"/>
        <v>-46779.600000000006</v>
      </c>
      <c r="R1050" s="487">
        <f t="shared" si="396"/>
        <v>187118.4</v>
      </c>
      <c r="S1050" s="402">
        <f t="shared" si="397"/>
        <v>46779.600000000006</v>
      </c>
      <c r="T1050" s="164">
        <f t="shared" si="398"/>
        <v>46779.600000000006</v>
      </c>
      <c r="U1050" s="484" t="str">
        <f t="shared" si="399"/>
        <v/>
      </c>
      <c r="V1050" s="481"/>
      <c r="AC1050" s="375" t="s">
        <v>13</v>
      </c>
      <c r="AD1050" s="159">
        <f t="shared" si="402"/>
        <v>0</v>
      </c>
      <c r="AE1050" s="159">
        <f t="shared" si="403"/>
        <v>0</v>
      </c>
      <c r="AF1050" s="159">
        <f t="shared" si="404"/>
        <v>0</v>
      </c>
      <c r="AG1050" s="159">
        <f t="shared" si="405"/>
        <v>0</v>
      </c>
      <c r="AH1050" s="159">
        <f t="shared" si="406"/>
        <v>0</v>
      </c>
      <c r="AI1050" s="159">
        <f t="shared" si="407"/>
        <v>197</v>
      </c>
      <c r="AJ1050" s="159">
        <f t="shared" si="408"/>
        <v>287</v>
      </c>
      <c r="AK1050" s="159">
        <f t="shared" si="409"/>
        <v>362</v>
      </c>
      <c r="AL1050" s="159">
        <f t="shared" si="410"/>
        <v>323</v>
      </c>
      <c r="AM1050" s="159">
        <f t="shared" si="411"/>
        <v>97</v>
      </c>
      <c r="AN1050" s="159">
        <f t="shared" si="412"/>
        <v>114</v>
      </c>
      <c r="AO1050" s="159">
        <f t="shared" si="413"/>
        <v>222</v>
      </c>
      <c r="AP1050" s="159">
        <f t="shared" si="414"/>
        <v>31</v>
      </c>
      <c r="AQ1050" s="159">
        <f t="shared" si="415"/>
        <v>96</v>
      </c>
      <c r="AR1050" s="159">
        <f t="shared" si="416"/>
        <v>73</v>
      </c>
      <c r="AS1050" s="374">
        <f t="shared" si="417"/>
        <v>1802</v>
      </c>
    </row>
    <row r="1051" spans="1:45" ht="15.75" customHeight="1" x14ac:dyDescent="0.3">
      <c r="A1051" s="377" t="s">
        <v>424</v>
      </c>
      <c r="B1051" s="325" t="s">
        <v>424</v>
      </c>
      <c r="C1051" s="164"/>
      <c r="D1051" s="164"/>
      <c r="E1051" s="164" t="s">
        <v>7</v>
      </c>
      <c r="F1051" s="484"/>
      <c r="G1051" s="325"/>
      <c r="H1051" s="164"/>
      <c r="I1051" s="164" t="s">
        <v>7</v>
      </c>
      <c r="J1051" s="164" t="s">
        <v>7</v>
      </c>
      <c r="K1051" s="403"/>
      <c r="L1051" s="164"/>
      <c r="M1051" s="399"/>
      <c r="N1051" s="400"/>
      <c r="O1051" s="487"/>
      <c r="P1051" s="401"/>
      <c r="Q1051" s="400"/>
      <c r="R1051" s="487"/>
      <c r="S1051" s="402"/>
      <c r="T1051" s="164"/>
      <c r="U1051" s="484"/>
      <c r="V1051" s="481"/>
      <c r="AC1051" s="375" t="s">
        <v>14</v>
      </c>
      <c r="AD1051" s="159">
        <f t="shared" si="402"/>
        <v>0</v>
      </c>
      <c r="AE1051" s="159">
        <f t="shared" si="403"/>
        <v>0</v>
      </c>
      <c r="AF1051" s="159">
        <f t="shared" si="404"/>
        <v>0</v>
      </c>
      <c r="AG1051" s="159">
        <f t="shared" si="405"/>
        <v>0</v>
      </c>
      <c r="AH1051" s="159">
        <f t="shared" si="406"/>
        <v>0</v>
      </c>
      <c r="AI1051" s="159">
        <f t="shared" si="407"/>
        <v>215</v>
      </c>
      <c r="AJ1051" s="159">
        <f t="shared" si="408"/>
        <v>305</v>
      </c>
      <c r="AK1051" s="159">
        <f t="shared" si="409"/>
        <v>334</v>
      </c>
      <c r="AL1051" s="159">
        <f t="shared" si="410"/>
        <v>283</v>
      </c>
      <c r="AM1051" s="159">
        <f t="shared" si="411"/>
        <v>96</v>
      </c>
      <c r="AN1051" s="159">
        <f t="shared" si="412"/>
        <v>113</v>
      </c>
      <c r="AO1051" s="159">
        <f t="shared" si="413"/>
        <v>212</v>
      </c>
      <c r="AP1051" s="159">
        <f t="shared" si="414"/>
        <v>33</v>
      </c>
      <c r="AQ1051" s="159">
        <f t="shared" si="415"/>
        <v>98</v>
      </c>
      <c r="AR1051" s="159">
        <f t="shared" si="416"/>
        <v>79</v>
      </c>
      <c r="AS1051" s="374">
        <f t="shared" si="417"/>
        <v>1768</v>
      </c>
    </row>
    <row r="1052" spans="1:45" ht="16.5" customHeight="1" thickBot="1" x14ac:dyDescent="0.35">
      <c r="A1052" s="404" t="s">
        <v>422</v>
      </c>
      <c r="B1052" s="330">
        <f>SUM(B1039:B1050)</f>
        <v>2470401</v>
      </c>
      <c r="C1052" s="335">
        <f>+SUM(C1039:C1050)</f>
        <v>0</v>
      </c>
      <c r="D1052" s="335">
        <f>SUM(D1039:D1050)</f>
        <v>106191</v>
      </c>
      <c r="E1052" s="335">
        <f t="shared" si="389"/>
        <v>2470401</v>
      </c>
      <c r="F1052" s="405">
        <f>SUM(F1039:F1050)</f>
        <v>2576592</v>
      </c>
      <c r="G1052" s="330">
        <f>SUM(G1039:G1050)</f>
        <v>44204.314865237771</v>
      </c>
      <c r="H1052" s="335">
        <f>SUM(H1039:H1050)</f>
        <v>137695</v>
      </c>
      <c r="I1052" s="335">
        <f>SUM(I1039:I1050)</f>
        <v>0</v>
      </c>
      <c r="J1052" s="335">
        <f>(H1052+I1052)</f>
        <v>137695</v>
      </c>
      <c r="K1052" s="335">
        <f>SUM(K1039:K1050)</f>
        <v>0</v>
      </c>
      <c r="L1052" s="335">
        <f>SUM(L1039:L1050)</f>
        <v>0</v>
      </c>
      <c r="M1052" s="406">
        <f>SUM(M1039:M1050)</f>
        <v>2394692.685134762</v>
      </c>
      <c r="N1052" s="407">
        <f>SUM(N1039:N1050)</f>
        <v>130856</v>
      </c>
      <c r="O1052" s="408">
        <f>+M1052+N1052</f>
        <v>2525548.685134762</v>
      </c>
      <c r="P1052" s="409">
        <f>Q1052/O1052</f>
        <v>-0.18879311911727747</v>
      </c>
      <c r="Q1052" s="410">
        <f>SUM(Q1039:Q1050)</f>
        <v>-476806.21374913061</v>
      </c>
      <c r="R1052" s="408">
        <f>SUM(R1039:R1050)</f>
        <v>2048742.4713856315</v>
      </c>
      <c r="S1052" s="411">
        <f>(F1052-G1052-J1052-K1052-L1052-R1052)</f>
        <v>345950.21374913095</v>
      </c>
      <c r="T1052" s="335">
        <f>+SUM(T1039:T1050)</f>
        <v>472420.36877920129</v>
      </c>
      <c r="U1052" s="405">
        <f>+SUM(U1039:U1050)</f>
        <v>126470.15503007061</v>
      </c>
      <c r="V1052" s="481"/>
      <c r="AC1052" s="375" t="s">
        <v>16</v>
      </c>
      <c r="AD1052" s="159">
        <f t="shared" si="402"/>
        <v>0</v>
      </c>
      <c r="AE1052" s="159">
        <f t="shared" si="403"/>
        <v>0</v>
      </c>
      <c r="AF1052" s="159">
        <f t="shared" si="404"/>
        <v>0</v>
      </c>
      <c r="AG1052" s="159">
        <f t="shared" si="405"/>
        <v>0</v>
      </c>
      <c r="AH1052" s="159">
        <f t="shared" si="406"/>
        <v>0</v>
      </c>
      <c r="AI1052" s="159">
        <f t="shared" si="407"/>
        <v>201</v>
      </c>
      <c r="AJ1052" s="159">
        <f t="shared" si="408"/>
        <v>343</v>
      </c>
      <c r="AK1052" s="159">
        <f t="shared" si="409"/>
        <v>367</v>
      </c>
      <c r="AL1052" s="159">
        <f t="shared" si="410"/>
        <v>316</v>
      </c>
      <c r="AM1052" s="159">
        <f t="shared" si="411"/>
        <v>91</v>
      </c>
      <c r="AN1052" s="159">
        <f t="shared" si="412"/>
        <v>107</v>
      </c>
      <c r="AO1052" s="159">
        <f t="shared" si="413"/>
        <v>217</v>
      </c>
      <c r="AP1052" s="159">
        <f t="shared" si="414"/>
        <v>32</v>
      </c>
      <c r="AQ1052" s="159">
        <f t="shared" si="415"/>
        <v>94</v>
      </c>
      <c r="AR1052" s="159">
        <f t="shared" si="416"/>
        <v>75</v>
      </c>
      <c r="AS1052" s="374">
        <f t="shared" si="417"/>
        <v>1843</v>
      </c>
    </row>
    <row r="1053" spans="1:45" ht="15.75" customHeight="1" x14ac:dyDescent="0.3">
      <c r="A1053" s="306"/>
      <c r="B1053" s="159"/>
      <c r="C1053" s="159"/>
      <c r="D1053" s="159"/>
      <c r="E1053" s="159"/>
      <c r="F1053" s="159" t="s">
        <v>424</v>
      </c>
      <c r="G1053" s="159"/>
      <c r="H1053" s="159"/>
      <c r="I1053" s="159"/>
      <c r="K1053" s="159"/>
      <c r="L1053" s="159"/>
      <c r="M1053" s="173"/>
      <c r="O1053" s="368"/>
      <c r="P1053" s="319"/>
      <c r="V1053" s="481"/>
      <c r="AC1053" s="375" t="s">
        <v>17</v>
      </c>
      <c r="AD1053" s="159">
        <f t="shared" si="402"/>
        <v>0</v>
      </c>
      <c r="AE1053" s="159">
        <f t="shared" si="403"/>
        <v>0</v>
      </c>
      <c r="AF1053" s="159">
        <f t="shared" si="404"/>
        <v>0</v>
      </c>
      <c r="AG1053" s="159">
        <f t="shared" si="405"/>
        <v>0</v>
      </c>
      <c r="AH1053" s="159">
        <f t="shared" si="406"/>
        <v>0</v>
      </c>
      <c r="AI1053" s="159">
        <f t="shared" si="407"/>
        <v>178</v>
      </c>
      <c r="AJ1053" s="159">
        <f t="shared" si="408"/>
        <v>320</v>
      </c>
      <c r="AK1053" s="159">
        <f t="shared" si="409"/>
        <v>357</v>
      </c>
      <c r="AL1053" s="159">
        <f t="shared" si="410"/>
        <v>295</v>
      </c>
      <c r="AM1053" s="159">
        <f t="shared" si="411"/>
        <v>82</v>
      </c>
      <c r="AN1053" s="159">
        <f t="shared" si="412"/>
        <v>97</v>
      </c>
      <c r="AO1053" s="159">
        <f t="shared" si="413"/>
        <v>185</v>
      </c>
      <c r="AP1053" s="159">
        <f t="shared" si="414"/>
        <v>31</v>
      </c>
      <c r="AQ1053" s="159">
        <f t="shared" si="415"/>
        <v>93</v>
      </c>
      <c r="AR1053" s="159">
        <f t="shared" si="416"/>
        <v>72</v>
      </c>
      <c r="AS1053" s="374">
        <f t="shared" si="417"/>
        <v>1710</v>
      </c>
    </row>
    <row r="1054" spans="1:45" ht="15.75" customHeight="1" x14ac:dyDescent="0.3">
      <c r="A1054" s="323" t="s">
        <v>1074</v>
      </c>
      <c r="P1054" s="159"/>
      <c r="Q1054" s="159"/>
      <c r="R1054" s="159"/>
      <c r="V1054" s="481"/>
      <c r="AC1054" s="375" t="s">
        <v>18</v>
      </c>
      <c r="AD1054" s="159">
        <f t="shared" si="402"/>
        <v>0</v>
      </c>
      <c r="AE1054" s="159">
        <f t="shared" si="403"/>
        <v>0</v>
      </c>
      <c r="AF1054" s="159">
        <f t="shared" si="404"/>
        <v>0</v>
      </c>
      <c r="AG1054" s="159">
        <f t="shared" si="405"/>
        <v>0</v>
      </c>
      <c r="AH1054" s="159">
        <f t="shared" si="406"/>
        <v>92</v>
      </c>
      <c r="AI1054" s="159">
        <f t="shared" si="407"/>
        <v>116</v>
      </c>
      <c r="AJ1054" s="159">
        <f t="shared" si="408"/>
        <v>231</v>
      </c>
      <c r="AK1054" s="159">
        <f t="shared" si="409"/>
        <v>256</v>
      </c>
      <c r="AL1054" s="159">
        <f t="shared" si="410"/>
        <v>245</v>
      </c>
      <c r="AM1054" s="159">
        <f t="shared" si="411"/>
        <v>73</v>
      </c>
      <c r="AN1054" s="159">
        <f t="shared" si="412"/>
        <v>86</v>
      </c>
      <c r="AO1054" s="159">
        <f t="shared" si="413"/>
        <v>174</v>
      </c>
      <c r="AP1054" s="159">
        <f t="shared" si="414"/>
        <v>32</v>
      </c>
      <c r="AQ1054" s="159">
        <f t="shared" si="415"/>
        <v>70</v>
      </c>
      <c r="AR1054" s="159">
        <f t="shared" si="416"/>
        <v>76</v>
      </c>
      <c r="AS1054" s="374">
        <f t="shared" si="417"/>
        <v>1451</v>
      </c>
    </row>
    <row r="1055" spans="1:45" ht="15.75" customHeight="1" x14ac:dyDescent="0.3">
      <c r="A1055" s="323" t="s">
        <v>498</v>
      </c>
      <c r="D1055" s="159"/>
      <c r="E1055" s="159"/>
      <c r="F1055" s="159"/>
      <c r="G1055" s="159"/>
      <c r="H1055" s="159"/>
      <c r="I1055" s="159"/>
      <c r="J1055" s="159"/>
      <c r="K1055" s="159"/>
      <c r="L1055" s="159"/>
      <c r="M1055" s="159"/>
      <c r="N1055" s="159"/>
      <c r="O1055" s="159"/>
      <c r="P1055" s="159"/>
      <c r="Q1055" s="159"/>
      <c r="R1055" s="159"/>
      <c r="V1055" s="481"/>
      <c r="AC1055" s="375" t="s">
        <v>20</v>
      </c>
      <c r="AD1055" s="159">
        <f t="shared" si="402"/>
        <v>0</v>
      </c>
      <c r="AE1055" s="159">
        <f t="shared" si="403"/>
        <v>0</v>
      </c>
      <c r="AF1055" s="159">
        <f t="shared" si="404"/>
        <v>0</v>
      </c>
      <c r="AG1055" s="159">
        <f t="shared" si="405"/>
        <v>0</v>
      </c>
      <c r="AH1055" s="159">
        <f t="shared" si="406"/>
        <v>178</v>
      </c>
      <c r="AI1055" s="159">
        <f t="shared" si="407"/>
        <v>76</v>
      </c>
      <c r="AJ1055" s="159">
        <f t="shared" si="408"/>
        <v>103</v>
      </c>
      <c r="AK1055" s="159">
        <f t="shared" si="409"/>
        <v>148</v>
      </c>
      <c r="AL1055" s="159">
        <f t="shared" si="410"/>
        <v>146</v>
      </c>
      <c r="AM1055" s="159">
        <f t="shared" si="411"/>
        <v>42</v>
      </c>
      <c r="AN1055" s="159">
        <f t="shared" si="412"/>
        <v>49</v>
      </c>
      <c r="AO1055" s="159">
        <f t="shared" si="413"/>
        <v>103</v>
      </c>
      <c r="AP1055" s="159">
        <f t="shared" si="414"/>
        <v>29</v>
      </c>
      <c r="AQ1055" s="159">
        <f t="shared" si="415"/>
        <v>2</v>
      </c>
      <c r="AR1055" s="159">
        <f t="shared" si="416"/>
        <v>69</v>
      </c>
      <c r="AS1055" s="374">
        <f t="shared" si="417"/>
        <v>945</v>
      </c>
    </row>
    <row r="1056" spans="1:45" ht="15.75" customHeight="1" x14ac:dyDescent="0.3">
      <c r="A1056" s="323" t="s">
        <v>1075</v>
      </c>
      <c r="D1056" s="159"/>
      <c r="E1056" s="159"/>
      <c r="F1056" s="159"/>
      <c r="G1056" s="159"/>
      <c r="H1056" s="159"/>
      <c r="I1056" s="159"/>
      <c r="J1056" s="159"/>
      <c r="K1056" s="159"/>
      <c r="L1056" s="159"/>
      <c r="M1056" s="159"/>
      <c r="N1056" s="159"/>
      <c r="O1056" s="159"/>
      <c r="P1056" s="159"/>
      <c r="Q1056" s="159"/>
      <c r="R1056" s="159"/>
      <c r="V1056" s="481"/>
      <c r="AC1056" s="375" t="s">
        <v>21</v>
      </c>
      <c r="AD1056" s="159">
        <f t="shared" si="402"/>
        <v>0</v>
      </c>
      <c r="AE1056" s="159">
        <f t="shared" si="403"/>
        <v>0</v>
      </c>
      <c r="AF1056" s="159">
        <f t="shared" si="404"/>
        <v>0</v>
      </c>
      <c r="AG1056" s="159">
        <f t="shared" si="405"/>
        <v>0</v>
      </c>
      <c r="AH1056" s="159">
        <f t="shared" si="406"/>
        <v>200</v>
      </c>
      <c r="AI1056" s="159">
        <f t="shared" si="407"/>
        <v>38</v>
      </c>
      <c r="AJ1056" s="159">
        <f t="shared" si="408"/>
        <v>23</v>
      </c>
      <c r="AK1056" s="159">
        <f t="shared" si="409"/>
        <v>36</v>
      </c>
      <c r="AL1056" s="159">
        <f t="shared" si="410"/>
        <v>37</v>
      </c>
      <c r="AM1056" s="159">
        <f t="shared" si="411"/>
        <v>12</v>
      </c>
      <c r="AN1056" s="159">
        <f t="shared" si="412"/>
        <v>14</v>
      </c>
      <c r="AO1056" s="159">
        <f t="shared" si="413"/>
        <v>26</v>
      </c>
      <c r="AP1056" s="159">
        <f t="shared" si="414"/>
        <v>13</v>
      </c>
      <c r="AQ1056" s="159">
        <f t="shared" si="415"/>
        <v>65</v>
      </c>
      <c r="AR1056" s="159">
        <f t="shared" si="416"/>
        <v>31</v>
      </c>
      <c r="AS1056" s="374">
        <f t="shared" si="417"/>
        <v>495</v>
      </c>
    </row>
    <row r="1057" spans="1:45" ht="15.75" customHeight="1" thickBot="1" x14ac:dyDescent="0.35">
      <c r="A1057" s="326" t="s">
        <v>1076</v>
      </c>
      <c r="B1057" s="312"/>
      <c r="C1057" s="312"/>
      <c r="D1057" s="327"/>
      <c r="E1057" s="327"/>
      <c r="F1057" s="327"/>
      <c r="G1057" s="327"/>
      <c r="H1057" s="327"/>
      <c r="I1057" s="327"/>
      <c r="J1057" s="327"/>
      <c r="K1057" s="327"/>
      <c r="L1057" s="327"/>
      <c r="M1057" s="327"/>
      <c r="N1057" s="327"/>
      <c r="O1057" s="327"/>
      <c r="P1057" s="327"/>
      <c r="Q1057" s="327"/>
      <c r="R1057" s="327"/>
      <c r="S1057" s="312"/>
      <c r="T1057" s="312"/>
      <c r="U1057" s="312"/>
      <c r="V1057" s="313"/>
      <c r="AC1057" s="375" t="s">
        <v>22</v>
      </c>
      <c r="AD1057" s="159">
        <f t="shared" si="402"/>
        <v>0</v>
      </c>
      <c r="AE1057" s="159">
        <f t="shared" si="403"/>
        <v>0</v>
      </c>
      <c r="AF1057" s="159">
        <f t="shared" si="404"/>
        <v>0</v>
      </c>
      <c r="AG1057" s="159">
        <f t="shared" si="405"/>
        <v>0</v>
      </c>
      <c r="AH1057" s="159">
        <f t="shared" si="406"/>
        <v>243</v>
      </c>
      <c r="AI1057" s="159">
        <f t="shared" si="407"/>
        <v>51</v>
      </c>
      <c r="AJ1057" s="159">
        <f t="shared" si="408"/>
        <v>72</v>
      </c>
      <c r="AK1057" s="159">
        <f t="shared" si="409"/>
        <v>106</v>
      </c>
      <c r="AL1057" s="159">
        <f t="shared" si="410"/>
        <v>109</v>
      </c>
      <c r="AM1057" s="159">
        <f t="shared" si="411"/>
        <v>30</v>
      </c>
      <c r="AN1057" s="159">
        <f t="shared" si="412"/>
        <v>36</v>
      </c>
      <c r="AO1057" s="159">
        <f t="shared" si="413"/>
        <v>69</v>
      </c>
      <c r="AP1057" s="159">
        <f t="shared" si="414"/>
        <v>15</v>
      </c>
      <c r="AQ1057" s="159">
        <f t="shared" si="415"/>
        <v>66</v>
      </c>
      <c r="AR1057" s="159">
        <f t="shared" si="416"/>
        <v>36</v>
      </c>
      <c r="AS1057" s="374">
        <f t="shared" si="417"/>
        <v>833</v>
      </c>
    </row>
    <row r="1058" spans="1:45" ht="15.75" customHeight="1" thickBot="1" x14ac:dyDescent="0.35">
      <c r="A1058" s="323"/>
      <c r="D1058" s="159"/>
      <c r="E1058" s="159"/>
      <c r="F1058" s="159"/>
      <c r="G1058" s="159"/>
      <c r="H1058" s="159"/>
      <c r="I1058" s="159"/>
      <c r="J1058" s="159"/>
      <c r="K1058" s="159"/>
      <c r="L1058" s="159"/>
      <c r="M1058" s="159"/>
      <c r="N1058" s="159"/>
      <c r="O1058" s="159"/>
      <c r="P1058" s="159"/>
      <c r="Q1058" s="159"/>
      <c r="R1058" s="159"/>
      <c r="S1058" s="368"/>
      <c r="V1058" s="452"/>
      <c r="AC1058" s="306"/>
      <c r="AD1058" s="159"/>
      <c r="AE1058" s="159"/>
      <c r="AF1058" s="159"/>
      <c r="AG1058" s="159"/>
      <c r="AH1058" s="159"/>
      <c r="AI1058" s="159"/>
      <c r="AJ1058" s="159"/>
      <c r="AK1058" s="159"/>
      <c r="AL1058" s="159"/>
      <c r="AM1058" s="159"/>
      <c r="AN1058" s="159"/>
      <c r="AO1058" s="159"/>
      <c r="AP1058" s="159"/>
      <c r="AQ1058" s="159"/>
      <c r="AR1058" s="159"/>
      <c r="AS1058" s="374"/>
    </row>
    <row r="1059" spans="1:45" ht="15.75" customHeight="1" thickBot="1" x14ac:dyDescent="0.35">
      <c r="A1059" s="365"/>
      <c r="B1059" s="534" t="s">
        <v>1077</v>
      </c>
      <c r="C1059" s="535"/>
      <c r="D1059" s="535"/>
      <c r="E1059" s="535"/>
      <c r="F1059" s="535"/>
      <c r="G1059" s="535"/>
      <c r="H1059" s="535"/>
      <c r="I1059" s="535"/>
      <c r="J1059" s="535"/>
      <c r="K1059" s="535"/>
      <c r="L1059" s="535"/>
      <c r="M1059" s="535"/>
      <c r="N1059" s="535"/>
      <c r="O1059" s="535"/>
      <c r="P1059" s="535"/>
      <c r="Q1059" s="319"/>
      <c r="R1059" s="319"/>
      <c r="S1059" s="452"/>
      <c r="T1059" s="368"/>
      <c r="U1059" s="368"/>
      <c r="V1059" s="332"/>
      <c r="AC1059" s="382" t="s">
        <v>422</v>
      </c>
      <c r="AD1059" s="327">
        <f>SUM(AD1046:AD1057)</f>
        <v>0</v>
      </c>
      <c r="AE1059" s="327">
        <f t="shared" ref="AE1059:AS1059" si="418">SUM(AE1046:AE1057)</f>
        <v>0</v>
      </c>
      <c r="AF1059" s="327">
        <f t="shared" si="418"/>
        <v>0</v>
      </c>
      <c r="AG1059" s="327">
        <f t="shared" si="418"/>
        <v>0</v>
      </c>
      <c r="AH1059" s="327">
        <f t="shared" si="418"/>
        <v>887</v>
      </c>
      <c r="AI1059" s="327">
        <f t="shared" si="418"/>
        <v>1457</v>
      </c>
      <c r="AJ1059" s="327">
        <f t="shared" si="418"/>
        <v>2448</v>
      </c>
      <c r="AK1059" s="327">
        <f t="shared" si="418"/>
        <v>3014</v>
      </c>
      <c r="AL1059" s="327">
        <f t="shared" si="418"/>
        <v>2768</v>
      </c>
      <c r="AM1059" s="327">
        <f t="shared" si="418"/>
        <v>825</v>
      </c>
      <c r="AN1059" s="327">
        <f t="shared" si="418"/>
        <v>972</v>
      </c>
      <c r="AO1059" s="327">
        <f t="shared" si="418"/>
        <v>1904</v>
      </c>
      <c r="AP1059" s="327">
        <f t="shared" si="418"/>
        <v>337</v>
      </c>
      <c r="AQ1059" s="327">
        <f t="shared" si="418"/>
        <v>830</v>
      </c>
      <c r="AR1059" s="327">
        <f t="shared" si="418"/>
        <v>799</v>
      </c>
      <c r="AS1059" s="383">
        <f t="shared" si="418"/>
        <v>16241</v>
      </c>
    </row>
    <row r="1060" spans="1:45" ht="15.75" customHeight="1" thickBot="1" x14ac:dyDescent="0.35">
      <c r="A1060" s="365"/>
      <c r="B1060" s="523" t="s">
        <v>1041</v>
      </c>
      <c r="C1060" s="524"/>
      <c r="D1060" s="524"/>
      <c r="E1060" s="524"/>
      <c r="F1060" s="525"/>
      <c r="G1060" s="523" t="s">
        <v>1042</v>
      </c>
      <c r="H1060" s="524"/>
      <c r="I1060" s="524"/>
      <c r="J1060" s="524"/>
      <c r="K1060" s="524"/>
      <c r="L1060" s="524"/>
      <c r="M1060" s="526" t="s">
        <v>1043</v>
      </c>
      <c r="N1060" s="536"/>
      <c r="O1060" s="536"/>
      <c r="P1060" s="527"/>
      <c r="Q1060" s="527"/>
      <c r="R1060" s="528"/>
      <c r="S1060" s="523" t="s">
        <v>1044</v>
      </c>
      <c r="T1060" s="529"/>
      <c r="U1060" s="530"/>
      <c r="V1060" s="481"/>
    </row>
    <row r="1061" spans="1:45" ht="15.75" customHeight="1" x14ac:dyDescent="0.3">
      <c r="A1061" s="377"/>
      <c r="B1061" s="325" t="s">
        <v>428</v>
      </c>
      <c r="C1061" s="164"/>
      <c r="D1061" s="164" t="s">
        <v>469</v>
      </c>
      <c r="E1061" s="164" t="s">
        <v>470</v>
      </c>
      <c r="F1061" s="484" t="s">
        <v>1045</v>
      </c>
      <c r="G1061" s="325" t="s">
        <v>471</v>
      </c>
      <c r="H1061" s="164"/>
      <c r="I1061" s="164"/>
      <c r="J1061" s="164" t="s">
        <v>472</v>
      </c>
      <c r="K1061" s="164" t="s">
        <v>1046</v>
      </c>
      <c r="L1061" s="164" t="s">
        <v>1047</v>
      </c>
      <c r="M1061" s="537" t="str">
        <f>+M1034</f>
        <v>(NE)* per WAPA</v>
      </c>
      <c r="N1061" s="538"/>
      <c r="O1061" s="538"/>
      <c r="P1061" s="412"/>
      <c r="Q1061" s="386"/>
      <c r="R1061" s="487"/>
      <c r="S1061" s="325" t="s">
        <v>1049</v>
      </c>
      <c r="T1061" s="388" t="s">
        <v>486</v>
      </c>
      <c r="U1061" s="485" t="s">
        <v>1050</v>
      </c>
      <c r="V1061" s="481"/>
    </row>
    <row r="1062" spans="1:45" ht="15.75" customHeight="1" x14ac:dyDescent="0.3">
      <c r="A1062" s="377"/>
      <c r="B1062" s="390" t="s">
        <v>1051</v>
      </c>
      <c r="C1062" s="391" t="s">
        <v>1052</v>
      </c>
      <c r="D1062" s="391" t="s">
        <v>1053</v>
      </c>
      <c r="E1062" s="164" t="s">
        <v>442</v>
      </c>
      <c r="F1062" s="486" t="s">
        <v>1054</v>
      </c>
      <c r="G1062" s="325" t="s">
        <v>429</v>
      </c>
      <c r="H1062" s="164" t="s">
        <v>478</v>
      </c>
      <c r="I1062" s="164" t="s">
        <v>479</v>
      </c>
      <c r="J1062" s="391" t="s">
        <v>1055</v>
      </c>
      <c r="K1062" s="164" t="s">
        <v>1034</v>
      </c>
      <c r="L1062" s="391" t="s">
        <v>1056</v>
      </c>
      <c r="M1062" s="393" t="s">
        <v>1057</v>
      </c>
      <c r="N1062" s="385" t="s">
        <v>1058</v>
      </c>
      <c r="O1062" s="386" t="s">
        <v>422</v>
      </c>
      <c r="P1062" s="393" t="s">
        <v>1059</v>
      </c>
      <c r="Q1062" s="385" t="s">
        <v>1059</v>
      </c>
      <c r="R1062" s="487" t="s">
        <v>1060</v>
      </c>
      <c r="S1062" s="325" t="s">
        <v>1061</v>
      </c>
      <c r="T1062" s="164" t="s">
        <v>1062</v>
      </c>
      <c r="U1062" s="484" t="s">
        <v>1063</v>
      </c>
      <c r="V1062" s="481"/>
    </row>
    <row r="1063" spans="1:45" ht="15.75" customHeight="1" x14ac:dyDescent="0.3">
      <c r="A1063" s="377"/>
      <c r="B1063" s="395" t="s">
        <v>1064</v>
      </c>
      <c r="C1063" s="169">
        <v>5.0000000000000001E-3</v>
      </c>
      <c r="D1063" s="169">
        <v>4.2999999999999997E-2</v>
      </c>
      <c r="E1063" s="164" t="s">
        <v>485</v>
      </c>
      <c r="F1063" s="488" t="s">
        <v>1065</v>
      </c>
      <c r="G1063" s="325" t="s">
        <v>1066</v>
      </c>
      <c r="H1063" s="164" t="s">
        <v>442</v>
      </c>
      <c r="I1063" s="164" t="s">
        <v>442</v>
      </c>
      <c r="J1063" s="164" t="s">
        <v>442</v>
      </c>
      <c r="K1063" s="164" t="s">
        <v>486</v>
      </c>
      <c r="L1063" s="164" t="s">
        <v>1067</v>
      </c>
      <c r="M1063" s="397" t="s">
        <v>434</v>
      </c>
      <c r="N1063" s="386" t="s">
        <v>1068</v>
      </c>
      <c r="O1063" s="386" t="s">
        <v>1069</v>
      </c>
      <c r="P1063" s="397" t="s">
        <v>1070</v>
      </c>
      <c r="Q1063" s="385" t="s">
        <v>1070</v>
      </c>
      <c r="R1063" s="487" t="s">
        <v>1069</v>
      </c>
      <c r="S1063" s="325" t="s">
        <v>442</v>
      </c>
      <c r="T1063" s="164" t="s">
        <v>442</v>
      </c>
      <c r="U1063" s="484" t="s">
        <v>442</v>
      </c>
      <c r="V1063" s="481"/>
    </row>
    <row r="1064" spans="1:45" ht="15.75" customHeight="1" x14ac:dyDescent="0.3">
      <c r="A1064" s="377" t="s">
        <v>1071</v>
      </c>
      <c r="B1064" s="325" t="s">
        <v>1078</v>
      </c>
      <c r="C1064" s="164" t="s">
        <v>1078</v>
      </c>
      <c r="D1064" s="164" t="s">
        <v>1078</v>
      </c>
      <c r="E1064" s="164" t="s">
        <v>1078</v>
      </c>
      <c r="F1064" s="164" t="s">
        <v>1078</v>
      </c>
      <c r="G1064" s="325" t="s">
        <v>1078</v>
      </c>
      <c r="H1064" s="164" t="s">
        <v>1078</v>
      </c>
      <c r="I1064" s="164" t="s">
        <v>1078</v>
      </c>
      <c r="J1064" s="164" t="s">
        <v>1078</v>
      </c>
      <c r="K1064" s="164" t="s">
        <v>1078</v>
      </c>
      <c r="L1064" s="164" t="s">
        <v>1078</v>
      </c>
      <c r="M1064" s="397" t="s">
        <v>1078</v>
      </c>
      <c r="N1064" s="386" t="s">
        <v>1079</v>
      </c>
      <c r="O1064" s="386" t="s">
        <v>1078</v>
      </c>
      <c r="P1064" s="397" t="s">
        <v>937</v>
      </c>
      <c r="Q1064" s="385" t="s">
        <v>491</v>
      </c>
      <c r="R1064" s="487" t="s">
        <v>491</v>
      </c>
      <c r="S1064" s="325" t="s">
        <v>1078</v>
      </c>
      <c r="T1064" s="164" t="s">
        <v>1078</v>
      </c>
      <c r="U1064" s="484" t="s">
        <v>1078</v>
      </c>
      <c r="V1064" s="481"/>
    </row>
    <row r="1065" spans="1:45" ht="15.75" customHeight="1" x14ac:dyDescent="0.3">
      <c r="A1065" s="377" t="s">
        <v>409</v>
      </c>
      <c r="B1065" s="325" t="s">
        <v>409</v>
      </c>
      <c r="C1065" s="164" t="s">
        <v>409</v>
      </c>
      <c r="D1065" s="164" t="s">
        <v>409</v>
      </c>
      <c r="E1065" s="164" t="s">
        <v>493</v>
      </c>
      <c r="F1065" s="484" t="s">
        <v>409</v>
      </c>
      <c r="G1065" s="325" t="s">
        <v>409</v>
      </c>
      <c r="H1065" s="164" t="s">
        <v>494</v>
      </c>
      <c r="I1065" s="164" t="s">
        <v>494</v>
      </c>
      <c r="J1065" s="164" t="s">
        <v>409</v>
      </c>
      <c r="K1065" s="164" t="s">
        <v>409</v>
      </c>
      <c r="L1065" s="164" t="s">
        <v>409</v>
      </c>
      <c r="M1065" s="397" t="s">
        <v>409</v>
      </c>
      <c r="N1065" s="386" t="s">
        <v>409</v>
      </c>
      <c r="O1065" s="386" t="s">
        <v>409</v>
      </c>
      <c r="P1065" s="397" t="s">
        <v>409</v>
      </c>
      <c r="Q1065" s="386" t="s">
        <v>409</v>
      </c>
      <c r="R1065" s="487" t="s">
        <v>409</v>
      </c>
      <c r="S1065" s="325" t="s">
        <v>409</v>
      </c>
      <c r="T1065" s="164" t="s">
        <v>409</v>
      </c>
      <c r="U1065" s="484" t="s">
        <v>409</v>
      </c>
      <c r="V1065" s="481"/>
    </row>
    <row r="1066" spans="1:45" ht="15.75" customHeight="1" x14ac:dyDescent="0.3">
      <c r="A1066" s="365" t="s">
        <v>795</v>
      </c>
      <c r="B1066" s="325">
        <f>+B1039/($B$10*24)</f>
        <v>175.18951612903226</v>
      </c>
      <c r="C1066" s="164">
        <f t="shared" ref="C1066:L1066" si="419">+C1039/($B$10*24)</f>
        <v>0</v>
      </c>
      <c r="D1066" s="164">
        <f t="shared" si="419"/>
        <v>7.491935483870968</v>
      </c>
      <c r="E1066" s="164">
        <f t="shared" si="419"/>
        <v>175.18951612903226</v>
      </c>
      <c r="F1066" s="484">
        <f t="shared" si="419"/>
        <v>182.68145161290323</v>
      </c>
      <c r="G1066" s="164">
        <f t="shared" si="419"/>
        <v>0</v>
      </c>
      <c r="H1066" s="164">
        <f t="shared" si="419"/>
        <v>12.131720430107526</v>
      </c>
      <c r="I1066" s="164">
        <f t="shared" si="419"/>
        <v>0</v>
      </c>
      <c r="J1066" s="164">
        <f t="shared" si="419"/>
        <v>12.131720430107526</v>
      </c>
      <c r="K1066" s="164">
        <f t="shared" si="419"/>
        <v>0</v>
      </c>
      <c r="L1066" s="164">
        <f t="shared" si="419"/>
        <v>0</v>
      </c>
      <c r="M1066" s="397">
        <f>+M1039/($B$10*24)</f>
        <v>170.54973118279571</v>
      </c>
      <c r="N1066" s="386">
        <f t="shared" ref="N1066" si="420">+N1039/($B$10*24)</f>
        <v>0</v>
      </c>
      <c r="O1066" s="386">
        <f>+O1039/($B$10*24)</f>
        <v>170.54973118279571</v>
      </c>
      <c r="P1066" s="413">
        <f>P1039</f>
        <v>0.2</v>
      </c>
      <c r="Q1066" s="386">
        <f>-O1066*P1066</f>
        <v>-34.109946236559146</v>
      </c>
      <c r="R1066" s="487">
        <f>O1066+Q1066</f>
        <v>136.43978494623656</v>
      </c>
      <c r="S1066" s="414">
        <f>+S1039/($B$10*24)</f>
        <v>34.109946236559146</v>
      </c>
      <c r="T1066" s="164">
        <f>+IF(S1066&gt;=0,ABS(S1066),"")</f>
        <v>34.109946236559146</v>
      </c>
      <c r="U1066" s="484" t="str">
        <f>+IF(S1066&lt;=0,ABS(S1066),"")</f>
        <v/>
      </c>
      <c r="V1066" s="481"/>
    </row>
    <row r="1067" spans="1:45" ht="15.75" customHeight="1" x14ac:dyDescent="0.3">
      <c r="A1067" s="365" t="s">
        <v>9</v>
      </c>
      <c r="B1067" s="325">
        <f>+B1040/($C$10*24)</f>
        <v>198.61206896551724</v>
      </c>
      <c r="C1067" s="164">
        <f t="shared" ref="C1067:N1067" si="421">+C1040/($C$10*24)</f>
        <v>0</v>
      </c>
      <c r="D1067" s="164">
        <f t="shared" si="421"/>
        <v>8.5143678160919531</v>
      </c>
      <c r="E1067" s="164">
        <f t="shared" si="421"/>
        <v>198.61206896551724</v>
      </c>
      <c r="F1067" s="484">
        <f t="shared" si="421"/>
        <v>207.12643678160919</v>
      </c>
      <c r="G1067" s="164">
        <f t="shared" si="421"/>
        <v>0</v>
      </c>
      <c r="H1067" s="164">
        <f t="shared" si="421"/>
        <v>14.751436781609195</v>
      </c>
      <c r="I1067" s="164">
        <f t="shared" si="421"/>
        <v>0</v>
      </c>
      <c r="J1067" s="164">
        <f t="shared" si="421"/>
        <v>14.751436781609195</v>
      </c>
      <c r="K1067" s="164">
        <f t="shared" si="421"/>
        <v>0</v>
      </c>
      <c r="L1067" s="164">
        <f t="shared" si="421"/>
        <v>0</v>
      </c>
      <c r="M1067" s="397">
        <f t="shared" si="421"/>
        <v>192.375</v>
      </c>
      <c r="N1067" s="386">
        <f t="shared" si="421"/>
        <v>0</v>
      </c>
      <c r="O1067" s="386">
        <f t="shared" ref="O1067:O1077" si="422">+O1040/($B$10*24)</f>
        <v>179.96370967741936</v>
      </c>
      <c r="P1067" s="413">
        <f t="shared" ref="P1067:P1077" si="423">P1040</f>
        <v>0.25</v>
      </c>
      <c r="Q1067" s="386">
        <f t="shared" ref="Q1067:Q1077" si="424">-O1067*P1067</f>
        <v>-44.99092741935484</v>
      </c>
      <c r="R1067" s="487">
        <f t="shared" ref="R1067:R1077" si="425">O1067+Q1067</f>
        <v>134.97278225806451</v>
      </c>
      <c r="S1067" s="414">
        <f>+S1040/($C$10*24)</f>
        <v>48.09375</v>
      </c>
      <c r="T1067" s="164">
        <f t="shared" ref="T1067:T1077" si="426">+IF(S1067&gt;=0,ABS(S1067),"")</f>
        <v>48.09375</v>
      </c>
      <c r="U1067" s="484" t="str">
        <f t="shared" ref="U1067:U1077" si="427">+IF(S1067&lt;=0,ABS(S1067),"")</f>
        <v/>
      </c>
      <c r="V1067" s="481"/>
    </row>
    <row r="1068" spans="1:45" ht="15.75" customHeight="1" x14ac:dyDescent="0.3">
      <c r="A1068" s="365" t="s">
        <v>10</v>
      </c>
      <c r="B1068" s="325">
        <f>+B1041/($D$10*24)</f>
        <v>241.28091397849462</v>
      </c>
      <c r="C1068" s="164">
        <f t="shared" ref="C1068:N1068" si="428">+C1041/($D$10*24)</f>
        <v>0</v>
      </c>
      <c r="D1068" s="164">
        <f t="shared" si="428"/>
        <v>10.120967741935484</v>
      </c>
      <c r="E1068" s="164">
        <f t="shared" si="428"/>
        <v>241.28091397849462</v>
      </c>
      <c r="F1068" s="484">
        <f t="shared" si="428"/>
        <v>251.40188172043011</v>
      </c>
      <c r="G1068" s="164">
        <f t="shared" si="428"/>
        <v>4.1079551255560673</v>
      </c>
      <c r="H1068" s="164">
        <f>+H1041/($D$10*24)</f>
        <v>21.280913978494624</v>
      </c>
      <c r="I1068" s="164">
        <f t="shared" si="428"/>
        <v>0</v>
      </c>
      <c r="J1068" s="164">
        <f t="shared" si="428"/>
        <v>21.280913978494624</v>
      </c>
      <c r="K1068" s="164">
        <f t="shared" si="428"/>
        <v>0</v>
      </c>
      <c r="L1068" s="164">
        <f t="shared" si="428"/>
        <v>0</v>
      </c>
      <c r="M1068" s="397">
        <f t="shared" si="428"/>
        <v>226.0130126163794</v>
      </c>
      <c r="N1068" s="386">
        <f t="shared" si="428"/>
        <v>0</v>
      </c>
      <c r="O1068" s="386">
        <f t="shared" si="422"/>
        <v>226.0130126163794</v>
      </c>
      <c r="P1068" s="413">
        <f t="shared" si="423"/>
        <v>0.3</v>
      </c>
      <c r="Q1068" s="386">
        <f t="shared" si="424"/>
        <v>-67.803903784913814</v>
      </c>
      <c r="R1068" s="487">
        <f t="shared" si="425"/>
        <v>158.20910883146558</v>
      </c>
      <c r="S1068" s="414">
        <f>+S1041/($D$10*24)</f>
        <v>67.803903784913828</v>
      </c>
      <c r="T1068" s="164">
        <f t="shared" si="426"/>
        <v>67.803903784913828</v>
      </c>
      <c r="U1068" s="484" t="str">
        <f t="shared" si="427"/>
        <v/>
      </c>
      <c r="V1068" s="481"/>
    </row>
    <row r="1069" spans="1:45" ht="15.75" customHeight="1" x14ac:dyDescent="0.3">
      <c r="A1069" s="365" t="s">
        <v>12</v>
      </c>
      <c r="B1069" s="325">
        <f>+B1042/($F$10*24)</f>
        <v>369.20277777777778</v>
      </c>
      <c r="C1069" s="164">
        <f t="shared" ref="C1069:N1069" si="429">+C1042/($F$10*24)</f>
        <v>0</v>
      </c>
      <c r="D1069" s="164">
        <f t="shared" si="429"/>
        <v>16.108333333333334</v>
      </c>
      <c r="E1069" s="164">
        <f t="shared" si="429"/>
        <v>369.20277777777778</v>
      </c>
      <c r="F1069" s="484">
        <f t="shared" si="429"/>
        <v>385.31111111111113</v>
      </c>
      <c r="G1069" s="164">
        <f t="shared" si="429"/>
        <v>0</v>
      </c>
      <c r="H1069" s="164">
        <f t="shared" si="429"/>
        <v>22.120833333333334</v>
      </c>
      <c r="I1069" s="164">
        <f t="shared" si="429"/>
        <v>0</v>
      </c>
      <c r="J1069" s="164">
        <f t="shared" si="429"/>
        <v>22.120833333333334</v>
      </c>
      <c r="K1069" s="164">
        <f t="shared" si="429"/>
        <v>0</v>
      </c>
      <c r="L1069" s="164">
        <f t="shared" si="429"/>
        <v>0</v>
      </c>
      <c r="M1069" s="397">
        <f t="shared" si="429"/>
        <v>363.19027777777779</v>
      </c>
      <c r="N1069" s="386">
        <f t="shared" si="429"/>
        <v>-31</v>
      </c>
      <c r="O1069" s="386">
        <f t="shared" si="422"/>
        <v>321.47446236559142</v>
      </c>
      <c r="P1069" s="413">
        <f t="shared" si="423"/>
        <v>0.35</v>
      </c>
      <c r="Q1069" s="386">
        <f t="shared" si="424"/>
        <v>-112.51606182795699</v>
      </c>
      <c r="R1069" s="487">
        <f t="shared" si="425"/>
        <v>208.95840053763442</v>
      </c>
      <c r="S1069" s="414">
        <f>+S1042/($F$10*24)</f>
        <v>147.26659722222223</v>
      </c>
      <c r="T1069" s="164">
        <f t="shared" si="426"/>
        <v>147.26659722222223</v>
      </c>
      <c r="U1069" s="484" t="str">
        <f t="shared" si="427"/>
        <v/>
      </c>
      <c r="V1069" s="481"/>
    </row>
    <row r="1070" spans="1:45" ht="15.75" customHeight="1" x14ac:dyDescent="0.3">
      <c r="A1070" s="365" t="s">
        <v>13</v>
      </c>
      <c r="B1070" s="325">
        <f>+B1043/($G$10*24)</f>
        <v>410.09005376344084</v>
      </c>
      <c r="C1070" s="164">
        <f t="shared" ref="C1070:N1070" si="430">+C1043/($G$10*24)</f>
        <v>0</v>
      </c>
      <c r="D1070" s="164">
        <f t="shared" si="430"/>
        <v>18.099462365591396</v>
      </c>
      <c r="E1070" s="164">
        <f t="shared" si="430"/>
        <v>410.09005376344084</v>
      </c>
      <c r="F1070" s="484">
        <f t="shared" si="430"/>
        <v>428.18951612903226</v>
      </c>
      <c r="G1070" s="164">
        <f t="shared" si="430"/>
        <v>2.6173428624676918</v>
      </c>
      <c r="H1070" s="164">
        <f t="shared" si="430"/>
        <v>19.153225806451612</v>
      </c>
      <c r="I1070" s="164">
        <f t="shared" si="430"/>
        <v>0</v>
      </c>
      <c r="J1070" s="164">
        <f t="shared" si="430"/>
        <v>19.153225806451612</v>
      </c>
      <c r="K1070" s="164">
        <f t="shared" si="430"/>
        <v>0</v>
      </c>
      <c r="L1070" s="164">
        <f t="shared" si="430"/>
        <v>0</v>
      </c>
      <c r="M1070" s="397">
        <f t="shared" si="430"/>
        <v>406.41894746011297</v>
      </c>
      <c r="N1070" s="386">
        <f t="shared" si="430"/>
        <v>0</v>
      </c>
      <c r="O1070" s="386">
        <f t="shared" si="422"/>
        <v>406.41894746011297</v>
      </c>
      <c r="P1070" s="413">
        <f t="shared" si="423"/>
        <v>0.35</v>
      </c>
      <c r="Q1070" s="386">
        <f t="shared" si="424"/>
        <v>-142.24663161103953</v>
      </c>
      <c r="R1070" s="487">
        <f t="shared" si="425"/>
        <v>264.17231584907347</v>
      </c>
      <c r="S1070" s="414">
        <f>+S1043/($G$10*24)</f>
        <v>142.24663161103953</v>
      </c>
      <c r="T1070" s="164">
        <f t="shared" si="426"/>
        <v>142.24663161103953</v>
      </c>
      <c r="U1070" s="484" t="str">
        <f t="shared" si="427"/>
        <v/>
      </c>
      <c r="V1070" s="481"/>
    </row>
    <row r="1071" spans="1:45" ht="15.75" customHeight="1" x14ac:dyDescent="0.3">
      <c r="A1071" s="365" t="s">
        <v>14</v>
      </c>
      <c r="B1071" s="325">
        <f>+B1044/($H$10*24)</f>
        <v>280.03333333333336</v>
      </c>
      <c r="C1071" s="164">
        <f t="shared" ref="C1071:N1071" si="431">+C1044/($H$10*24)</f>
        <v>0</v>
      </c>
      <c r="D1071" s="164">
        <f t="shared" si="431"/>
        <v>11.951388888888889</v>
      </c>
      <c r="E1071" s="164">
        <f t="shared" si="431"/>
        <v>280.03333333333336</v>
      </c>
      <c r="F1071" s="484">
        <f t="shared" si="431"/>
        <v>291.98472222222222</v>
      </c>
      <c r="G1071" s="164">
        <f t="shared" si="431"/>
        <v>16.365011303692548</v>
      </c>
      <c r="H1071" s="164">
        <f t="shared" si="431"/>
        <v>17.633333333333333</v>
      </c>
      <c r="I1071" s="164">
        <f t="shared" si="431"/>
        <v>0</v>
      </c>
      <c r="J1071" s="164">
        <f t="shared" si="431"/>
        <v>17.633333333333333</v>
      </c>
      <c r="K1071" s="164">
        <f t="shared" si="431"/>
        <v>0</v>
      </c>
      <c r="L1071" s="164">
        <f t="shared" si="431"/>
        <v>0</v>
      </c>
      <c r="M1071" s="397">
        <f t="shared" si="431"/>
        <v>257.98637758519635</v>
      </c>
      <c r="N1071" s="386">
        <f t="shared" si="431"/>
        <v>65.666666666666671</v>
      </c>
      <c r="O1071" s="386">
        <f t="shared" si="422"/>
        <v>313.21262346954484</v>
      </c>
      <c r="P1071" s="413">
        <f t="shared" si="423"/>
        <v>7.4999999999999997E-2</v>
      </c>
      <c r="Q1071" s="386">
        <f t="shared" si="424"/>
        <v>-23.490946760215863</v>
      </c>
      <c r="R1071" s="487">
        <f t="shared" si="425"/>
        <v>289.72167670932896</v>
      </c>
      <c r="S1071" s="414">
        <f>+S1044/($H$10*24)</f>
        <v>-41.392688347776939</v>
      </c>
      <c r="T1071" s="164" t="str">
        <f t="shared" si="426"/>
        <v/>
      </c>
      <c r="U1071" s="484">
        <f t="shared" si="427"/>
        <v>41.392688347776939</v>
      </c>
      <c r="V1071" s="481"/>
    </row>
    <row r="1072" spans="1:45" ht="15.75" customHeight="1" x14ac:dyDescent="0.3">
      <c r="A1072" s="365" t="s">
        <v>16</v>
      </c>
      <c r="B1072" s="325">
        <f>+B1045/($J$10*24)</f>
        <v>210.05241935483872</v>
      </c>
      <c r="C1072" s="164">
        <f t="shared" ref="C1072:N1072" si="432">+C1045/($J$10*24)</f>
        <v>0</v>
      </c>
      <c r="D1072" s="164">
        <f t="shared" si="432"/>
        <v>8.6693548387096779</v>
      </c>
      <c r="E1072" s="164">
        <f t="shared" si="432"/>
        <v>210.05241935483872</v>
      </c>
      <c r="F1072" s="484">
        <f t="shared" si="432"/>
        <v>218.72177419354838</v>
      </c>
      <c r="G1072" s="164">
        <f t="shared" si="432"/>
        <v>18.356704829871433</v>
      </c>
      <c r="H1072" s="164">
        <f t="shared" si="432"/>
        <v>15.618279569892474</v>
      </c>
      <c r="I1072" s="164">
        <f t="shared" si="432"/>
        <v>0</v>
      </c>
      <c r="J1072" s="164">
        <f t="shared" si="432"/>
        <v>15.618279569892474</v>
      </c>
      <c r="K1072" s="164">
        <f t="shared" si="432"/>
        <v>0</v>
      </c>
      <c r="L1072" s="164">
        <f t="shared" si="432"/>
        <v>0</v>
      </c>
      <c r="M1072" s="397">
        <f t="shared" si="432"/>
        <v>184.7467897937845</v>
      </c>
      <c r="N1072" s="386">
        <f t="shared" si="432"/>
        <v>63.333333333333336</v>
      </c>
      <c r="O1072" s="386">
        <f t="shared" si="422"/>
        <v>248.08012312711782</v>
      </c>
      <c r="P1072" s="413">
        <f t="shared" si="423"/>
        <v>0.05</v>
      </c>
      <c r="Q1072" s="386">
        <f t="shared" si="424"/>
        <v>-12.404006156355891</v>
      </c>
      <c r="R1072" s="487">
        <f t="shared" si="425"/>
        <v>235.67611697076194</v>
      </c>
      <c r="S1072" s="414">
        <f>+S1045/($J$10*24)</f>
        <v>-50.929327176977424</v>
      </c>
      <c r="T1072" s="164" t="str">
        <f t="shared" si="426"/>
        <v/>
      </c>
      <c r="U1072" s="484">
        <f t="shared" si="427"/>
        <v>50.929327176977424</v>
      </c>
      <c r="V1072" s="481"/>
    </row>
    <row r="1073" spans="1:36" ht="15.75" customHeight="1" x14ac:dyDescent="0.3">
      <c r="A1073" s="365" t="s">
        <v>17</v>
      </c>
      <c r="B1073" s="325">
        <f>+B1046/($K$10*24)</f>
        <v>179.32661290322579</v>
      </c>
      <c r="C1073" s="164">
        <f t="shared" ref="C1073:N1073" si="433">+C1046/($K$10*24)</f>
        <v>0</v>
      </c>
      <c r="D1073" s="164">
        <f t="shared" si="433"/>
        <v>7.31989247311828</v>
      </c>
      <c r="E1073" s="164">
        <f t="shared" si="433"/>
        <v>179.32661290322579</v>
      </c>
      <c r="F1073" s="484">
        <f t="shared" si="433"/>
        <v>186.64650537634409</v>
      </c>
      <c r="G1073" s="164">
        <f t="shared" si="433"/>
        <v>17.156967458427946</v>
      </c>
      <c r="H1073" s="164">
        <f t="shared" si="433"/>
        <v>13.76478494623656</v>
      </c>
      <c r="I1073" s="164">
        <f t="shared" si="433"/>
        <v>0</v>
      </c>
      <c r="J1073" s="164">
        <f t="shared" si="433"/>
        <v>13.76478494623656</v>
      </c>
      <c r="K1073" s="164">
        <f t="shared" si="433"/>
        <v>0</v>
      </c>
      <c r="L1073" s="164">
        <f t="shared" si="433"/>
        <v>0</v>
      </c>
      <c r="M1073" s="397">
        <f t="shared" si="433"/>
        <v>155.72475297167958</v>
      </c>
      <c r="N1073" s="386">
        <f t="shared" si="433"/>
        <v>79</v>
      </c>
      <c r="O1073" s="386">
        <f t="shared" si="422"/>
        <v>234.72475297167961</v>
      </c>
      <c r="P1073" s="413">
        <f t="shared" si="423"/>
        <v>0</v>
      </c>
      <c r="Q1073" s="386">
        <f t="shared" si="424"/>
        <v>0</v>
      </c>
      <c r="R1073" s="487">
        <f t="shared" si="425"/>
        <v>234.72475297167961</v>
      </c>
      <c r="S1073" s="414">
        <f>+S1046/($K$10*24)</f>
        <v>-79.000000000000014</v>
      </c>
      <c r="T1073" s="164" t="str">
        <f t="shared" si="426"/>
        <v/>
      </c>
      <c r="U1073" s="484">
        <f t="shared" si="427"/>
        <v>79.000000000000014</v>
      </c>
      <c r="V1073" s="481"/>
    </row>
    <row r="1074" spans="1:36" ht="15.75" customHeight="1" x14ac:dyDescent="0.3">
      <c r="A1074" s="365" t="s">
        <v>18</v>
      </c>
      <c r="B1074" s="325">
        <f>+B1047/($L$10*24)</f>
        <v>380.50138888888887</v>
      </c>
      <c r="C1074" s="164">
        <f t="shared" ref="C1074:N1074" si="434">+C1047/($L$10*24)</f>
        <v>0</v>
      </c>
      <c r="D1074" s="164">
        <f t="shared" si="434"/>
        <v>16.619444444444444</v>
      </c>
      <c r="E1074" s="164">
        <f t="shared" si="434"/>
        <v>380.50138888888887</v>
      </c>
      <c r="F1074" s="484">
        <f t="shared" si="434"/>
        <v>397.12083333333334</v>
      </c>
      <c r="G1074" s="164">
        <f t="shared" si="434"/>
        <v>0.46123160010047703</v>
      </c>
      <c r="H1074" s="164">
        <f t="shared" si="434"/>
        <v>14.206944444444444</v>
      </c>
      <c r="I1074" s="164">
        <f t="shared" si="434"/>
        <v>0</v>
      </c>
      <c r="J1074" s="164">
        <f t="shared" si="434"/>
        <v>14.206944444444444</v>
      </c>
      <c r="K1074" s="164">
        <f t="shared" si="434"/>
        <v>0</v>
      </c>
      <c r="L1074" s="164">
        <f t="shared" si="434"/>
        <v>0</v>
      </c>
      <c r="M1074" s="397">
        <f t="shared" si="434"/>
        <v>382.45265728878843</v>
      </c>
      <c r="N1074" s="386">
        <f t="shared" si="434"/>
        <v>0</v>
      </c>
      <c r="O1074" s="386">
        <f t="shared" si="422"/>
        <v>370.1154747956017</v>
      </c>
      <c r="P1074" s="413">
        <f t="shared" si="423"/>
        <v>0.05</v>
      </c>
      <c r="Q1074" s="386">
        <f t="shared" si="424"/>
        <v>-18.505773739780086</v>
      </c>
      <c r="R1074" s="487">
        <f t="shared" si="425"/>
        <v>351.60970105582163</v>
      </c>
      <c r="S1074" s="414">
        <f>+S1047/($L$10*24)</f>
        <v>19.122632864439421</v>
      </c>
      <c r="T1074" s="164">
        <f t="shared" si="426"/>
        <v>19.122632864439421</v>
      </c>
      <c r="U1074" s="484" t="str">
        <f t="shared" si="427"/>
        <v/>
      </c>
      <c r="V1074" s="481"/>
    </row>
    <row r="1075" spans="1:36" ht="15.75" customHeight="1" x14ac:dyDescent="0.3">
      <c r="A1075" s="365" t="s">
        <v>20</v>
      </c>
      <c r="B1075" s="325">
        <f>+B1048/($N$10*24)</f>
        <v>351.47311827956992</v>
      </c>
      <c r="C1075" s="164">
        <f t="shared" ref="C1075:N1075" si="435">+C1048/($N$10*24)</f>
        <v>0</v>
      </c>
      <c r="D1075" s="164">
        <f t="shared" si="435"/>
        <v>15.31989247311828</v>
      </c>
      <c r="E1075" s="164">
        <f t="shared" si="435"/>
        <v>351.47311827956992</v>
      </c>
      <c r="F1075" s="484">
        <f t="shared" si="435"/>
        <v>366.79301075268819</v>
      </c>
      <c r="G1075" s="164">
        <f t="shared" si="435"/>
        <v>3.4883640842388285E-3</v>
      </c>
      <c r="H1075" s="164">
        <f t="shared" si="435"/>
        <v>13.580645161290322</v>
      </c>
      <c r="I1075" s="164">
        <f t="shared" si="435"/>
        <v>0</v>
      </c>
      <c r="J1075" s="164">
        <f t="shared" si="435"/>
        <v>13.580645161290322</v>
      </c>
      <c r="K1075" s="164">
        <f t="shared" si="435"/>
        <v>0</v>
      </c>
      <c r="L1075" s="164">
        <f t="shared" si="435"/>
        <v>0</v>
      </c>
      <c r="M1075" s="397">
        <f t="shared" si="435"/>
        <v>353.20887722731362</v>
      </c>
      <c r="N1075" s="386">
        <f t="shared" si="435"/>
        <v>0</v>
      </c>
      <c r="O1075" s="386">
        <f t="shared" si="422"/>
        <v>353.20887722731362</v>
      </c>
      <c r="P1075" s="413">
        <f t="shared" si="423"/>
        <v>0.2</v>
      </c>
      <c r="Q1075" s="386">
        <f t="shared" si="424"/>
        <v>-70.641775445462727</v>
      </c>
      <c r="R1075" s="487">
        <f t="shared" si="425"/>
        <v>282.56710178185091</v>
      </c>
      <c r="S1075" s="414">
        <f>+S1048/($N$10*24)</f>
        <v>70.641775445462727</v>
      </c>
      <c r="T1075" s="164">
        <f t="shared" si="426"/>
        <v>70.641775445462727</v>
      </c>
      <c r="U1075" s="484" t="str">
        <f t="shared" si="427"/>
        <v/>
      </c>
      <c r="V1075" s="481"/>
    </row>
    <row r="1076" spans="1:36" ht="15.75" customHeight="1" x14ac:dyDescent="0.3">
      <c r="A1076" s="365" t="s">
        <v>21</v>
      </c>
      <c r="B1076" s="325">
        <f>+B1049/($O$10*24)</f>
        <v>269.27916666666664</v>
      </c>
      <c r="C1076" s="164">
        <f t="shared" ref="C1076:N1076" si="436">+C1049/($O$10*24)</f>
        <v>0</v>
      </c>
      <c r="D1076" s="164">
        <f t="shared" si="436"/>
        <v>11.636111111111111</v>
      </c>
      <c r="E1076" s="164">
        <f t="shared" si="436"/>
        <v>269.27916666666664</v>
      </c>
      <c r="F1076" s="484">
        <f t="shared" si="436"/>
        <v>280.91527777777776</v>
      </c>
      <c r="G1076" s="164">
        <f t="shared" si="436"/>
        <v>0.9180982583940368</v>
      </c>
      <c r="H1076" s="164">
        <f t="shared" si="436"/>
        <v>15.036111111111111</v>
      </c>
      <c r="I1076" s="164">
        <f t="shared" si="436"/>
        <v>0</v>
      </c>
      <c r="J1076" s="164">
        <f t="shared" si="436"/>
        <v>15.036111111111111</v>
      </c>
      <c r="K1076" s="164">
        <f t="shared" si="436"/>
        <v>0</v>
      </c>
      <c r="L1076" s="164">
        <f t="shared" si="436"/>
        <v>0</v>
      </c>
      <c r="M1076" s="397">
        <f t="shared" si="436"/>
        <v>264.96106840827264</v>
      </c>
      <c r="N1076" s="386">
        <f t="shared" si="436"/>
        <v>0</v>
      </c>
      <c r="O1076" s="386">
        <f t="shared" si="422"/>
        <v>256.4139371692961</v>
      </c>
      <c r="P1076" s="413">
        <f t="shared" si="423"/>
        <v>0.2</v>
      </c>
      <c r="Q1076" s="386">
        <f t="shared" si="424"/>
        <v>-51.282787433859227</v>
      </c>
      <c r="R1076" s="487">
        <f t="shared" si="425"/>
        <v>205.13114973543688</v>
      </c>
      <c r="S1076" s="414">
        <f>+S1049/($O$10*24)</f>
        <v>52.99221368165454</v>
      </c>
      <c r="T1076" s="164">
        <f t="shared" si="426"/>
        <v>52.99221368165454</v>
      </c>
      <c r="U1076" s="484" t="str">
        <f t="shared" si="427"/>
        <v/>
      </c>
      <c r="V1076" s="481"/>
    </row>
    <row r="1077" spans="1:36" ht="15.75" customHeight="1" thickBot="1" x14ac:dyDescent="0.35">
      <c r="A1077" s="365" t="s">
        <v>22</v>
      </c>
      <c r="B1077" s="330">
        <f>+B1050/($P$10*24)</f>
        <v>310.10752688172045</v>
      </c>
      <c r="C1077" s="335">
        <f t="shared" ref="C1077:N1077" si="437">+C1050/($P$10*24)</f>
        <v>0</v>
      </c>
      <c r="D1077" s="335">
        <f t="shared" si="437"/>
        <v>13.244623655913978</v>
      </c>
      <c r="E1077" s="335">
        <f t="shared" si="437"/>
        <v>310.10752688172045</v>
      </c>
      <c r="F1077" s="405">
        <f t="shared" si="437"/>
        <v>323.35215053763443</v>
      </c>
      <c r="G1077" s="335">
        <f t="shared" si="437"/>
        <v>0</v>
      </c>
      <c r="H1077" s="335">
        <f t="shared" si="437"/>
        <v>8.9731182795698921</v>
      </c>
      <c r="I1077" s="335">
        <f t="shared" si="437"/>
        <v>0</v>
      </c>
      <c r="J1077" s="335">
        <f t="shared" si="437"/>
        <v>8.9731182795698921</v>
      </c>
      <c r="K1077" s="335">
        <f t="shared" si="437"/>
        <v>0</v>
      </c>
      <c r="L1077" s="335">
        <f t="shared" si="437"/>
        <v>0</v>
      </c>
      <c r="M1077" s="406">
        <f t="shared" si="437"/>
        <v>314.37903225806451</v>
      </c>
      <c r="N1077" s="407">
        <f t="shared" si="437"/>
        <v>0</v>
      </c>
      <c r="O1077" s="408">
        <f t="shared" si="422"/>
        <v>314.37903225806451</v>
      </c>
      <c r="P1077" s="409">
        <f t="shared" si="423"/>
        <v>0.2</v>
      </c>
      <c r="Q1077" s="407">
        <f t="shared" si="424"/>
        <v>-62.875806451612902</v>
      </c>
      <c r="R1077" s="408">
        <f t="shared" si="425"/>
        <v>251.50322580645161</v>
      </c>
      <c r="S1077" s="415">
        <f>+S1050/($P$10*24)</f>
        <v>62.87580645161291</v>
      </c>
      <c r="T1077" s="335">
        <f t="shared" si="426"/>
        <v>62.87580645161291</v>
      </c>
      <c r="U1077" s="405" t="str">
        <f t="shared" si="427"/>
        <v/>
      </c>
      <c r="V1077" s="481"/>
    </row>
    <row r="1078" spans="1:36" ht="15.75" customHeight="1" x14ac:dyDescent="0.3">
      <c r="A1078" s="416"/>
      <c r="V1078" s="481"/>
    </row>
    <row r="1079" spans="1:36" ht="16.5" customHeight="1" thickBot="1" x14ac:dyDescent="0.35">
      <c r="A1079" s="417"/>
      <c r="B1079" s="312"/>
      <c r="C1079" s="312"/>
      <c r="D1079" s="312"/>
      <c r="E1079" s="312"/>
      <c r="F1079" s="312"/>
      <c r="G1079" s="312"/>
      <c r="H1079" s="312"/>
      <c r="I1079" s="312"/>
      <c r="J1079" s="312"/>
      <c r="K1079" s="312"/>
      <c r="L1079" s="312"/>
      <c r="M1079" s="312"/>
      <c r="N1079" s="312"/>
      <c r="O1079" s="312"/>
      <c r="P1079" s="312"/>
      <c r="Q1079" s="312"/>
      <c r="R1079" s="312"/>
      <c r="S1079" s="312"/>
      <c r="T1079" s="312"/>
      <c r="U1079" s="312"/>
      <c r="V1079" s="313"/>
    </row>
    <row r="1080" spans="1:36" ht="15.75" customHeight="1" x14ac:dyDescent="0.3">
      <c r="A1080" s="166"/>
      <c r="B1080" s="159"/>
      <c r="C1080" s="159"/>
      <c r="D1080" s="159"/>
      <c r="E1080" s="159"/>
      <c r="F1080" s="159"/>
      <c r="G1080" s="159"/>
      <c r="H1080" s="159"/>
      <c r="I1080" s="159"/>
      <c r="J1080" s="159"/>
      <c r="K1080" s="159"/>
      <c r="L1080" s="159"/>
      <c r="M1080" s="159"/>
      <c r="N1080" s="159"/>
      <c r="O1080" s="159"/>
      <c r="P1080" s="159"/>
      <c r="Q1080" s="159"/>
      <c r="R1080" s="159"/>
    </row>
    <row r="1081" spans="1:36" ht="15.75" customHeight="1" x14ac:dyDescent="0.3">
      <c r="A1081" s="418"/>
    </row>
    <row r="1082" spans="1:36" ht="15.75" customHeight="1" thickBot="1" x14ac:dyDescent="0.35">
      <c r="A1082" s="418"/>
    </row>
    <row r="1083" spans="1:36" ht="15.75" customHeight="1" x14ac:dyDescent="0.3">
      <c r="A1083" s="419"/>
      <c r="B1083" s="506" t="s">
        <v>1080</v>
      </c>
      <c r="C1083" s="506"/>
      <c r="D1083" s="506"/>
      <c r="E1083" s="506"/>
      <c r="F1083" s="506"/>
      <c r="G1083" s="506"/>
      <c r="H1083" s="506"/>
      <c r="I1083" s="506"/>
      <c r="J1083" s="506"/>
      <c r="K1083" s="506"/>
      <c r="L1083" s="506"/>
      <c r="M1083" s="506"/>
      <c r="N1083" s="506"/>
      <c r="O1083" s="506"/>
      <c r="P1083" s="506"/>
      <c r="Q1083" s="361" t="str">
        <f>+Q1</f>
        <v xml:space="preserve">PRINTED:  </v>
      </c>
      <c r="R1083" s="367">
        <f ca="1">+R1</f>
        <v>44909.46975358796</v>
      </c>
      <c r="S1083" s="332"/>
    </row>
    <row r="1084" spans="1:36" ht="15.75" customHeight="1" x14ac:dyDescent="0.3">
      <c r="A1084" s="420"/>
      <c r="B1084" s="503" t="str">
        <f>+A8</f>
        <v>Revised:  12/23/2020</v>
      </c>
      <c r="C1084" s="503"/>
      <c r="D1084" s="503"/>
      <c r="E1084" s="503"/>
      <c r="F1084" s="503"/>
      <c r="G1084" s="503"/>
      <c r="H1084" s="503"/>
      <c r="I1084" s="503"/>
      <c r="J1084" s="503"/>
      <c r="K1084" s="503"/>
      <c r="L1084" s="503"/>
      <c r="M1084" s="503"/>
      <c r="N1084" s="503"/>
      <c r="O1084" s="503"/>
      <c r="P1084" s="503"/>
      <c r="Q1084" s="159"/>
      <c r="R1084" s="159"/>
      <c r="S1084" s="481"/>
    </row>
    <row r="1085" spans="1:36" ht="16.5" customHeight="1" x14ac:dyDescent="0.3">
      <c r="A1085" s="420"/>
      <c r="B1085" s="503" t="s">
        <v>1024</v>
      </c>
      <c r="C1085" s="503"/>
      <c r="D1085" s="503"/>
      <c r="E1085" s="503"/>
      <c r="F1085" s="503"/>
      <c r="G1085" s="503"/>
      <c r="H1085" s="503"/>
      <c r="I1085" s="503"/>
      <c r="J1085" s="503"/>
      <c r="K1085" s="503"/>
      <c r="L1085" s="503"/>
      <c r="M1085" s="503"/>
      <c r="N1085" s="503"/>
      <c r="O1085" s="503"/>
      <c r="P1085" s="503"/>
      <c r="Q1085" s="159"/>
      <c r="R1085" s="159"/>
      <c r="S1085" s="481"/>
    </row>
    <row r="1086" spans="1:36" ht="15.75" customHeight="1" x14ac:dyDescent="0.3">
      <c r="A1086" s="420"/>
      <c r="B1086" s="159"/>
      <c r="C1086" s="159"/>
      <c r="D1086" s="159"/>
      <c r="E1086" s="159"/>
      <c r="F1086" s="159"/>
      <c r="G1086" s="159"/>
      <c r="H1086" s="159"/>
      <c r="I1086" s="159"/>
      <c r="J1086" s="159"/>
      <c r="K1086" s="159"/>
      <c r="L1086" s="159"/>
      <c r="M1086" s="159"/>
      <c r="N1086" s="159"/>
      <c r="O1086" s="159"/>
      <c r="P1086" s="159"/>
      <c r="Q1086" s="159"/>
      <c r="R1086" s="159"/>
      <c r="S1086" s="481"/>
      <c r="AG1086" s="365"/>
    </row>
    <row r="1087" spans="1:36" ht="15.75" customHeight="1" x14ac:dyDescent="0.3">
      <c r="A1087" s="420"/>
      <c r="B1087" s="539">
        <f>+A5</f>
        <v>2020</v>
      </c>
      <c r="C1087" s="509"/>
      <c r="D1087" s="509"/>
      <c r="E1087" s="509"/>
      <c r="F1087" s="509"/>
      <c r="G1087" s="509"/>
      <c r="H1087" s="509"/>
      <c r="I1087" s="509"/>
      <c r="J1087" s="509"/>
      <c r="K1087" s="509"/>
      <c r="L1087" s="509"/>
      <c r="M1087" s="509"/>
      <c r="N1087" s="509"/>
      <c r="O1087" s="509"/>
      <c r="P1087" s="509"/>
      <c r="Q1087" s="159"/>
      <c r="R1087" s="159"/>
      <c r="S1087" s="481"/>
      <c r="AE1087" s="4" t="s">
        <v>1081</v>
      </c>
      <c r="AF1087" s="4" t="s">
        <v>1082</v>
      </c>
    </row>
    <row r="1088" spans="1:36" ht="15.75" customHeight="1" thickBot="1" x14ac:dyDescent="0.35">
      <c r="A1088" s="420"/>
      <c r="B1088" s="503" t="s">
        <v>457</v>
      </c>
      <c r="C1088" s="503"/>
      <c r="D1088" s="503"/>
      <c r="E1088" s="503"/>
      <c r="F1088" s="503"/>
      <c r="G1088" s="503"/>
      <c r="H1088" s="503"/>
      <c r="I1088" s="503"/>
      <c r="J1088" s="503"/>
      <c r="K1088" s="503"/>
      <c r="L1088" s="503"/>
      <c r="M1088" s="503"/>
      <c r="N1088" s="503"/>
      <c r="O1088" s="503"/>
      <c r="P1088" s="503"/>
      <c r="Q1088" s="159"/>
      <c r="R1088" s="159"/>
      <c r="S1088" s="481"/>
      <c r="V1088" s="4" t="s">
        <v>1233</v>
      </c>
      <c r="AC1088" s="4" t="s">
        <v>1083</v>
      </c>
      <c r="AD1088" s="421" t="s">
        <v>1234</v>
      </c>
      <c r="AE1088" s="4">
        <f>DAY(DATE($A$5,MONTH(CONCATENATE(1,"-",AD1088,"-",$A$5))+1,1)-1)</f>
        <v>29</v>
      </c>
      <c r="AI1088" s="468"/>
      <c r="AJ1088" s="468"/>
    </row>
    <row r="1089" spans="1:50" ht="15.75" customHeight="1" x14ac:dyDescent="0.3">
      <c r="A1089" s="420"/>
      <c r="B1089" s="546" t="s">
        <v>1084</v>
      </c>
      <c r="C1089" s="547"/>
      <c r="D1089" s="548"/>
      <c r="E1089" s="164"/>
      <c r="F1089" s="164"/>
      <c r="G1089" s="164"/>
      <c r="H1089" s="164"/>
      <c r="I1089" s="164"/>
      <c r="J1089" s="164"/>
      <c r="K1089" s="164"/>
      <c r="L1089" s="164"/>
      <c r="M1089" s="164"/>
      <c r="N1089" s="164"/>
      <c r="O1089" s="164"/>
      <c r="P1089" s="164"/>
      <c r="Q1089" s="159"/>
      <c r="R1089" s="159"/>
      <c r="S1089" s="422"/>
      <c r="T1089" s="540" t="s">
        <v>1235</v>
      </c>
      <c r="U1089" s="541"/>
      <c r="V1089" s="541" t="s">
        <v>1236</v>
      </c>
      <c r="W1089" s="541"/>
      <c r="X1089" s="469" t="s">
        <v>429</v>
      </c>
      <c r="Y1089" s="469" t="s">
        <v>1237</v>
      </c>
      <c r="Z1089" s="469" t="s">
        <v>1238</v>
      </c>
    </row>
    <row r="1090" spans="1:50" ht="15.75" customHeight="1" thickBot="1" x14ac:dyDescent="0.35">
      <c r="A1090" s="364" t="s">
        <v>1071</v>
      </c>
      <c r="B1090" s="423" t="s">
        <v>1085</v>
      </c>
      <c r="C1090" s="424" t="s">
        <v>1086</v>
      </c>
      <c r="D1090" s="425" t="s">
        <v>1087</v>
      </c>
      <c r="E1090" s="424" t="s">
        <v>391</v>
      </c>
      <c r="F1090" s="424" t="s">
        <v>392</v>
      </c>
      <c r="G1090" s="424" t="s">
        <v>393</v>
      </c>
      <c r="H1090" s="424" t="s">
        <v>1088</v>
      </c>
      <c r="I1090" s="424" t="s">
        <v>1089</v>
      </c>
      <c r="J1090" s="424" t="s">
        <v>395</v>
      </c>
      <c r="K1090" s="424" t="s">
        <v>396</v>
      </c>
      <c r="L1090" s="424" t="s">
        <v>397</v>
      </c>
      <c r="M1090" s="424" t="s">
        <v>398</v>
      </c>
      <c r="N1090" s="424" t="s">
        <v>399</v>
      </c>
      <c r="O1090" s="424" t="s">
        <v>400</v>
      </c>
      <c r="P1090" s="424" t="s">
        <v>401</v>
      </c>
      <c r="Q1090" s="424" t="s">
        <v>402</v>
      </c>
      <c r="R1090" s="424" t="s">
        <v>403</v>
      </c>
      <c r="S1090" s="425" t="s">
        <v>404</v>
      </c>
      <c r="T1090" s="424" t="s">
        <v>1239</v>
      </c>
      <c r="U1090" s="424" t="s">
        <v>1086</v>
      </c>
      <c r="V1090" s="424" t="s">
        <v>1240</v>
      </c>
      <c r="W1090" s="424" t="s">
        <v>1086</v>
      </c>
      <c r="X1090" s="424" t="s">
        <v>406</v>
      </c>
      <c r="Y1090" s="424" t="s">
        <v>1241</v>
      </c>
      <c r="Z1090" s="424" t="s">
        <v>1242</v>
      </c>
      <c r="AD1090" s="364" t="s">
        <v>390</v>
      </c>
      <c r="AE1090" s="364" t="s">
        <v>391</v>
      </c>
      <c r="AF1090" s="364" t="s">
        <v>392</v>
      </c>
      <c r="AG1090" s="364" t="s">
        <v>393</v>
      </c>
      <c r="AH1090" s="364" t="s">
        <v>394</v>
      </c>
      <c r="AI1090" s="364" t="s">
        <v>395</v>
      </c>
      <c r="AJ1090" s="364" t="s">
        <v>396</v>
      </c>
      <c r="AK1090" s="364" t="s">
        <v>397</v>
      </c>
      <c r="AL1090" s="364" t="s">
        <v>398</v>
      </c>
      <c r="AM1090" s="364" t="s">
        <v>399</v>
      </c>
      <c r="AN1090" s="364" t="s">
        <v>400</v>
      </c>
      <c r="AO1090" s="364" t="s">
        <v>401</v>
      </c>
      <c r="AP1090" s="364" t="s">
        <v>402</v>
      </c>
      <c r="AQ1090" s="364" t="s">
        <v>403</v>
      </c>
      <c r="AR1090" s="364" t="s">
        <v>404</v>
      </c>
      <c r="AS1090" s="364" t="s">
        <v>422</v>
      </c>
      <c r="AT1090" s="364" t="s">
        <v>477</v>
      </c>
      <c r="AU1090" s="364" t="s">
        <v>422</v>
      </c>
      <c r="AW1090" s="426" t="s">
        <v>1093</v>
      </c>
      <c r="AX1090" s="426" t="s">
        <v>1094</v>
      </c>
    </row>
    <row r="1091" spans="1:50" ht="15.75" customHeight="1" x14ac:dyDescent="0.3">
      <c r="A1091" s="375" t="s">
        <v>795</v>
      </c>
      <c r="B1091" s="375">
        <f>+F1118</f>
        <v>196</v>
      </c>
      <c r="C1091" s="365">
        <f t="shared" ref="B1091:C1102" si="438">+G1118</f>
        <v>0</v>
      </c>
      <c r="D1091" s="489" t="s">
        <v>1095</v>
      </c>
      <c r="E1091" s="365">
        <f>+C1011/$B$10/24</f>
        <v>12.161290322580646</v>
      </c>
      <c r="F1091" s="365">
        <f t="shared" ref="F1091:S1091" si="439">+D1011/$B$10/24</f>
        <v>12.743279569892472</v>
      </c>
      <c r="G1091" s="365">
        <f t="shared" si="439"/>
        <v>21.501344086021504</v>
      </c>
      <c r="H1091" s="365">
        <f t="shared" si="439"/>
        <v>5.9077611748835901</v>
      </c>
      <c r="I1091" s="365">
        <f t="shared" si="439"/>
        <v>0</v>
      </c>
      <c r="J1091" s="365">
        <f t="shared" si="439"/>
        <v>3.8333333333333335</v>
      </c>
      <c r="K1091" s="365">
        <f t="shared" si="439"/>
        <v>3.0403225806451615</v>
      </c>
      <c r="L1091" s="365">
        <f t="shared" si="439"/>
        <v>4.747311827956989</v>
      </c>
      <c r="M1091" s="365">
        <f t="shared" si="439"/>
        <v>4.9018817204301071</v>
      </c>
      <c r="N1091" s="365">
        <f t="shared" si="439"/>
        <v>1.2849462365591398</v>
      </c>
      <c r="O1091" s="365">
        <f t="shared" si="439"/>
        <v>1.5134408602150538</v>
      </c>
      <c r="P1091" s="365">
        <f t="shared" si="439"/>
        <v>3.0873655913978495</v>
      </c>
      <c r="Q1091" s="365">
        <f t="shared" si="439"/>
        <v>0.90860215053763438</v>
      </c>
      <c r="R1091" s="365">
        <f t="shared" si="439"/>
        <v>1.8844086021505377</v>
      </c>
      <c r="S1091" s="489">
        <f t="shared" si="439"/>
        <v>2.1491935483870965</v>
      </c>
      <c r="T1091" s="365">
        <f>+B1091+SUM(E1091:S1091)</f>
        <v>275.66448160499112</v>
      </c>
      <c r="U1091" s="365">
        <f t="shared" ref="U1091:U1102" si="440">+C1091+SUM(E1091:S1091)</f>
        <v>79.664481604991138</v>
      </c>
      <c r="V1091" s="365">
        <f>+B1091+SUM(E1091:G1091)</f>
        <v>242.40591397849462</v>
      </c>
      <c r="W1091" s="365">
        <f>+C1091+SUM(E1091:G1091)</f>
        <v>46.405913978494624</v>
      </c>
      <c r="X1091" s="365">
        <f>+H1091</f>
        <v>5.9077611748835901</v>
      </c>
      <c r="Y1091" s="365">
        <f>+I1091</f>
        <v>0</v>
      </c>
      <c r="Z1091" s="365">
        <f>+SUM(J1091:S1091)</f>
        <v>27.3508064516129</v>
      </c>
      <c r="AC1091" s="4">
        <v>1</v>
      </c>
      <c r="AD1091" s="365">
        <f>IF($AF$1088=1,VLOOKUP($AD$1088,$A$1118:$P$1129,12,FALSE),VLOOKUP($AD$1088,$A$1091:$S$1102,2,FALSE))</f>
        <v>98</v>
      </c>
      <c r="AE1091" s="365">
        <f>VLOOKUP($AD$1088,$A$1091:$S$1102,5,FALSE)</f>
        <v>12.994252873563219</v>
      </c>
      <c r="AF1091" s="365">
        <f>VLOOKUP($AD$1088,$A$1091:$S$1102,6,FALSE)</f>
        <v>13.60632183908046</v>
      </c>
      <c r="AG1091" s="365">
        <f>VLOOKUP($AD$1088,$A$1091:$S$1102,7,FALSE)</f>
        <v>23.038793103448274</v>
      </c>
      <c r="AH1091" s="365">
        <f>VLOOKUP($AD$1088,$A$1091:$S$1102,8,FALSE)</f>
        <v>0.84541364088145554</v>
      </c>
      <c r="AI1091" s="365">
        <f>VLOOKUP($AD$1088,$A$1091:$S$1102,10,FALSE)</f>
        <v>6.623563218390804</v>
      </c>
      <c r="AJ1091" s="365">
        <f>VLOOKUP($AD$1088,$A$1091:$S$1102,11,FALSE)</f>
        <v>5.2959770114942524</v>
      </c>
      <c r="AK1091" s="365">
        <f>VLOOKUP($AD$1088,$A$1091:$S$1102,12,FALSE)</f>
        <v>8.1824712643678161</v>
      </c>
      <c r="AL1091" s="365">
        <f>VLOOKUP($AD$1088,$A$1091:$S$1102,13,FALSE)</f>
        <v>8.4626436781609193</v>
      </c>
      <c r="AM1091" s="365">
        <f>VLOOKUP($AD$1088,$A$1091:$S$1102,14,FALSE)</f>
        <v>2.6824712643678161</v>
      </c>
      <c r="AN1091" s="365">
        <f>VLOOKUP($AD$1088,$A$1091:$S$1102,15,FALSE)</f>
        <v>3.1609195402298851</v>
      </c>
      <c r="AO1091" s="365">
        <f>VLOOKUP($AD$1088,$A$1091:$S$1102,16,FALSE)</f>
        <v>6.1408045977011492</v>
      </c>
      <c r="AP1091" s="365">
        <f>VLOOKUP($AD$1088,$A$1091:$S$1102,17,FALSE)</f>
        <v>1.0459770114942528</v>
      </c>
      <c r="AQ1091" s="365">
        <f>VLOOKUP($AD$1088,$A$1091:$S$1102,18,FALSE)</f>
        <v>1.920977011494253</v>
      </c>
      <c r="AR1091" s="365">
        <f>VLOOKUP($AD$1088,$A$1091:$S$1102,19,FALSE)</f>
        <v>2.4770114942528738</v>
      </c>
      <c r="AS1091" s="365">
        <f>SUM(AD1091:AR1091)</f>
        <v>194.47759754892746</v>
      </c>
      <c r="AT1091" s="365">
        <f>VLOOKUP($AD$1088,$AC$1011:$AS$1022,17,FALSE)/$AE$1088*(AS1091/$AS$1115)</f>
        <v>12.821737051807277</v>
      </c>
      <c r="AU1091" s="365">
        <f>AS1091+AT1091</f>
        <v>207.29933460073474</v>
      </c>
      <c r="AW1091" s="365">
        <f>VLOOKUP($AD$1088,$A$1039:$O$1052,15,FALSE)/$AE$1088/24</f>
        <v>192.375</v>
      </c>
      <c r="AX1091" s="365">
        <f>AU1091-AW1091</f>
        <v>14.924334600734738</v>
      </c>
    </row>
    <row r="1092" spans="1:50" ht="15.75" customHeight="1" x14ac:dyDescent="0.3">
      <c r="A1092" s="375" t="s">
        <v>9</v>
      </c>
      <c r="B1092" s="375">
        <f t="shared" si="438"/>
        <v>98</v>
      </c>
      <c r="C1092" s="365">
        <f t="shared" si="438"/>
        <v>0</v>
      </c>
      <c r="D1092" s="489" t="s">
        <v>1095</v>
      </c>
      <c r="E1092" s="365">
        <f t="shared" ref="E1092:S1092" si="441">+C1012/$C$10/24</f>
        <v>12.994252873563219</v>
      </c>
      <c r="F1092" s="365">
        <f t="shared" si="441"/>
        <v>13.60632183908046</v>
      </c>
      <c r="G1092" s="365">
        <f t="shared" si="441"/>
        <v>23.038793103448274</v>
      </c>
      <c r="H1092" s="365">
        <f t="shared" si="441"/>
        <v>0.84541364088145554</v>
      </c>
      <c r="I1092" s="365">
        <f t="shared" si="441"/>
        <v>0</v>
      </c>
      <c r="J1092" s="365">
        <f t="shared" si="441"/>
        <v>6.623563218390804</v>
      </c>
      <c r="K1092" s="365">
        <f t="shared" si="441"/>
        <v>5.2959770114942524</v>
      </c>
      <c r="L1092" s="365">
        <f t="shared" si="441"/>
        <v>8.1824712643678161</v>
      </c>
      <c r="M1092" s="365">
        <f t="shared" si="441"/>
        <v>8.4626436781609193</v>
      </c>
      <c r="N1092" s="365">
        <f t="shared" si="441"/>
        <v>2.6824712643678161</v>
      </c>
      <c r="O1092" s="365">
        <f t="shared" si="441"/>
        <v>3.1609195402298851</v>
      </c>
      <c r="P1092" s="365">
        <f t="shared" si="441"/>
        <v>6.1408045977011492</v>
      </c>
      <c r="Q1092" s="365">
        <f t="shared" si="441"/>
        <v>1.0459770114942528</v>
      </c>
      <c r="R1092" s="365">
        <f t="shared" si="441"/>
        <v>1.920977011494253</v>
      </c>
      <c r="S1092" s="489">
        <f t="shared" si="441"/>
        <v>2.4770114942528738</v>
      </c>
      <c r="T1092" s="365">
        <f t="shared" ref="T1092:T1102" si="442">+B1092+SUM(E1092:S1092)</f>
        <v>194.47759754892743</v>
      </c>
      <c r="U1092" s="365">
        <f t="shared" si="440"/>
        <v>96.477597548927434</v>
      </c>
      <c r="V1092" s="365">
        <f t="shared" ref="V1092:V1102" si="443">+B1092+SUM(E1092:G1092)</f>
        <v>147.63936781609195</v>
      </c>
      <c r="W1092" s="365">
        <f t="shared" ref="W1092:W1102" si="444">+C1092+SUM(E1092:G1092)</f>
        <v>49.639367816091948</v>
      </c>
      <c r="X1092" s="365">
        <f t="shared" ref="X1092:Y1102" si="445">+H1092</f>
        <v>0.84541364088145554</v>
      </c>
      <c r="Y1092" s="365">
        <f t="shared" si="445"/>
        <v>0</v>
      </c>
      <c r="Z1092" s="365">
        <f t="shared" ref="Z1092:Z1102" si="446">+SUM(J1092:S1092)</f>
        <v>45.992816091954012</v>
      </c>
      <c r="AC1092" s="4">
        <v>2</v>
      </c>
      <c r="AD1092" s="365">
        <f t="shared" ref="AD1092:AD1096" si="447">IF($AF$1088=1,VLOOKUP($AD$1088,$A$1118:$P$1129,12,FALSE),VLOOKUP($AD$1088,$A$1091:$S$1102,2,FALSE))</f>
        <v>98</v>
      </c>
      <c r="AE1092" s="365">
        <f t="shared" ref="AE1092:AE1114" si="448">VLOOKUP($AD$1088,$A$1091:$S$1102,5,FALSE)</f>
        <v>12.994252873563219</v>
      </c>
      <c r="AF1092" s="365">
        <f t="shared" ref="AF1092:AF1114" si="449">VLOOKUP($AD$1088,$A$1091:$S$1102,6,FALSE)</f>
        <v>13.60632183908046</v>
      </c>
      <c r="AG1092" s="365">
        <f t="shared" ref="AG1092:AG1114" si="450">VLOOKUP($AD$1088,$A$1091:$S$1102,7,FALSE)</f>
        <v>23.038793103448274</v>
      </c>
      <c r="AH1092" s="365">
        <f t="shared" ref="AH1092:AH1114" si="451">VLOOKUP($AD$1088,$A$1091:$S$1102,8,FALSE)</f>
        <v>0.84541364088145554</v>
      </c>
      <c r="AI1092" s="365">
        <f t="shared" ref="AI1092:AI1114" si="452">VLOOKUP($AD$1088,$A$1091:$S$1102,10,FALSE)</f>
        <v>6.623563218390804</v>
      </c>
      <c r="AJ1092" s="365">
        <f t="shared" ref="AJ1092:AJ1114" si="453">VLOOKUP($AD$1088,$A$1091:$S$1102,11,FALSE)</f>
        <v>5.2959770114942524</v>
      </c>
      <c r="AK1092" s="365">
        <f t="shared" ref="AK1092:AK1114" si="454">VLOOKUP($AD$1088,$A$1091:$S$1102,12,FALSE)</f>
        <v>8.1824712643678161</v>
      </c>
      <c r="AL1092" s="365">
        <f t="shared" ref="AL1092:AL1114" si="455">VLOOKUP($AD$1088,$A$1091:$S$1102,13,FALSE)</f>
        <v>8.4626436781609193</v>
      </c>
      <c r="AM1092" s="365">
        <f t="shared" ref="AM1092:AM1114" si="456">VLOOKUP($AD$1088,$A$1091:$S$1102,14,FALSE)</f>
        <v>2.6824712643678161</v>
      </c>
      <c r="AN1092" s="365">
        <f t="shared" ref="AN1092:AN1114" si="457">VLOOKUP($AD$1088,$A$1091:$S$1102,15,FALSE)</f>
        <v>3.1609195402298851</v>
      </c>
      <c r="AO1092" s="365">
        <f t="shared" ref="AO1092:AO1114" si="458">VLOOKUP($AD$1088,$A$1091:$S$1102,16,FALSE)</f>
        <v>6.1408045977011492</v>
      </c>
      <c r="AP1092" s="365">
        <f t="shared" ref="AP1092:AP1114" si="459">VLOOKUP($AD$1088,$A$1091:$S$1102,17,FALSE)</f>
        <v>1.0459770114942528</v>
      </c>
      <c r="AQ1092" s="365">
        <f t="shared" ref="AQ1092:AQ1114" si="460">VLOOKUP($AD$1088,$A$1091:$S$1102,18,FALSE)</f>
        <v>1.920977011494253</v>
      </c>
      <c r="AR1092" s="365">
        <f t="shared" ref="AR1092:AR1114" si="461">VLOOKUP($AD$1088,$A$1091:$S$1102,19,FALSE)</f>
        <v>2.4770114942528738</v>
      </c>
      <c r="AS1092" s="365">
        <f t="shared" ref="AS1092:AS1114" si="462">SUM(AD1092:AR1092)</f>
        <v>194.47759754892746</v>
      </c>
      <c r="AT1092" s="365">
        <f t="shared" ref="AT1092:AT1114" si="463">VLOOKUP($AD$1088,$AC$1011:$AS$1022,17,FALSE)/$AE$1088*(AS1092/$AS$1115)</f>
        <v>12.821737051807277</v>
      </c>
      <c r="AU1092" s="365">
        <f t="shared" ref="AU1092:AU1114" si="464">AS1092+AT1092</f>
        <v>207.29933460073474</v>
      </c>
      <c r="AW1092" s="365">
        <f t="shared" ref="AW1092:AW1114" si="465">VLOOKUP($AD$1088,$A$1039:$O$1052,15,FALSE)/$AE$1088/24</f>
        <v>192.375</v>
      </c>
      <c r="AX1092" s="365">
        <f t="shared" ref="AX1092:AX1114" si="466">AU1092-AW1092</f>
        <v>14.924334600734738</v>
      </c>
    </row>
    <row r="1093" spans="1:50" ht="15.75" customHeight="1" x14ac:dyDescent="0.3">
      <c r="A1093" s="375" t="s">
        <v>10</v>
      </c>
      <c r="B1093" s="375">
        <f t="shared" si="438"/>
        <v>294</v>
      </c>
      <c r="C1093" s="365">
        <f t="shared" si="438"/>
        <v>0</v>
      </c>
      <c r="D1093" s="489" t="s">
        <v>1095</v>
      </c>
      <c r="E1093" s="365">
        <f t="shared" ref="E1093:S1093" si="467">+C1013/$D$10/24</f>
        <v>15.571236559139784</v>
      </c>
      <c r="F1093" s="365">
        <f t="shared" si="467"/>
        <v>16.291666666666668</v>
      </c>
      <c r="G1093" s="365">
        <f t="shared" si="467"/>
        <v>27.40994623655914</v>
      </c>
      <c r="H1093" s="365">
        <f t="shared" si="467"/>
        <v>6.8774909742756414</v>
      </c>
      <c r="I1093" s="365">
        <f t="shared" si="467"/>
        <v>-4.1079551255560673</v>
      </c>
      <c r="J1093" s="365">
        <f t="shared" si="467"/>
        <v>8.469086021505376</v>
      </c>
      <c r="K1093" s="365">
        <f t="shared" si="467"/>
        <v>6.55510752688172</v>
      </c>
      <c r="L1093" s="365">
        <f t="shared" si="467"/>
        <v>9.5013440860215059</v>
      </c>
      <c r="M1093" s="365">
        <f t="shared" si="467"/>
        <v>9.616935483870968</v>
      </c>
      <c r="N1093" s="365">
        <f t="shared" si="467"/>
        <v>2.8991935483870965</v>
      </c>
      <c r="O1093" s="365">
        <f t="shared" si="467"/>
        <v>3.4166666666666665</v>
      </c>
      <c r="P1093" s="365">
        <f t="shared" si="467"/>
        <v>6.833333333333333</v>
      </c>
      <c r="Q1093" s="365">
        <f t="shared" si="467"/>
        <v>0.99865591397849462</v>
      </c>
      <c r="R1093" s="365">
        <f t="shared" si="467"/>
        <v>1.9838709677419353</v>
      </c>
      <c r="S1093" s="489">
        <f t="shared" si="467"/>
        <v>2.3629032258064515</v>
      </c>
      <c r="T1093" s="365">
        <f t="shared" si="442"/>
        <v>408.67948208527872</v>
      </c>
      <c r="U1093" s="365">
        <f t="shared" si="440"/>
        <v>114.67948208527872</v>
      </c>
      <c r="V1093" s="365">
        <f t="shared" si="443"/>
        <v>353.27284946236557</v>
      </c>
      <c r="W1093" s="365">
        <f t="shared" si="444"/>
        <v>59.272849462365592</v>
      </c>
      <c r="X1093" s="365">
        <f t="shared" si="445"/>
        <v>6.8774909742756414</v>
      </c>
      <c r="Y1093" s="365">
        <f t="shared" si="445"/>
        <v>-4.1079551255560673</v>
      </c>
      <c r="Z1093" s="365">
        <f t="shared" si="446"/>
        <v>52.637096774193544</v>
      </c>
      <c r="AC1093" s="4">
        <v>3</v>
      </c>
      <c r="AD1093" s="365">
        <f t="shared" si="447"/>
        <v>98</v>
      </c>
      <c r="AE1093" s="365">
        <f t="shared" si="448"/>
        <v>12.994252873563219</v>
      </c>
      <c r="AF1093" s="365">
        <f t="shared" si="449"/>
        <v>13.60632183908046</v>
      </c>
      <c r="AG1093" s="365">
        <f t="shared" si="450"/>
        <v>23.038793103448274</v>
      </c>
      <c r="AH1093" s="365">
        <f t="shared" si="451"/>
        <v>0.84541364088145554</v>
      </c>
      <c r="AI1093" s="365">
        <f t="shared" si="452"/>
        <v>6.623563218390804</v>
      </c>
      <c r="AJ1093" s="365">
        <f t="shared" si="453"/>
        <v>5.2959770114942524</v>
      </c>
      <c r="AK1093" s="365">
        <f t="shared" si="454"/>
        <v>8.1824712643678161</v>
      </c>
      <c r="AL1093" s="365">
        <f t="shared" si="455"/>
        <v>8.4626436781609193</v>
      </c>
      <c r="AM1093" s="365">
        <f t="shared" si="456"/>
        <v>2.6824712643678161</v>
      </c>
      <c r="AN1093" s="365">
        <f t="shared" si="457"/>
        <v>3.1609195402298851</v>
      </c>
      <c r="AO1093" s="365">
        <f t="shared" si="458"/>
        <v>6.1408045977011492</v>
      </c>
      <c r="AP1093" s="365">
        <f t="shared" si="459"/>
        <v>1.0459770114942528</v>
      </c>
      <c r="AQ1093" s="365">
        <f t="shared" si="460"/>
        <v>1.920977011494253</v>
      </c>
      <c r="AR1093" s="365">
        <f t="shared" si="461"/>
        <v>2.4770114942528738</v>
      </c>
      <c r="AS1093" s="365">
        <f t="shared" si="462"/>
        <v>194.47759754892746</v>
      </c>
      <c r="AT1093" s="365">
        <f t="shared" si="463"/>
        <v>12.821737051807277</v>
      </c>
      <c r="AU1093" s="365">
        <f t="shared" si="464"/>
        <v>207.29933460073474</v>
      </c>
      <c r="AW1093" s="365">
        <f t="shared" si="465"/>
        <v>192.375</v>
      </c>
      <c r="AX1093" s="365">
        <f t="shared" si="466"/>
        <v>14.924334600734738</v>
      </c>
    </row>
    <row r="1094" spans="1:50" ht="15.75" customHeight="1" x14ac:dyDescent="0.3">
      <c r="A1094" s="375" t="s">
        <v>12</v>
      </c>
      <c r="B1094" s="375">
        <f t="shared" si="438"/>
        <v>294</v>
      </c>
      <c r="C1094" s="365">
        <f t="shared" si="438"/>
        <v>0</v>
      </c>
      <c r="D1094" s="489" t="s">
        <v>1095</v>
      </c>
      <c r="E1094" s="365">
        <f t="shared" ref="E1094:S1094" si="468">+C1014/$F$10/24</f>
        <v>25.574999999999999</v>
      </c>
      <c r="F1094" s="365">
        <f t="shared" si="468"/>
        <v>26.769444444444446</v>
      </c>
      <c r="G1094" s="365">
        <f t="shared" si="468"/>
        <v>44.606944444444444</v>
      </c>
      <c r="H1094" s="365">
        <f t="shared" si="468"/>
        <v>1.104631323793656</v>
      </c>
      <c r="I1094" s="365">
        <f t="shared" si="468"/>
        <v>0</v>
      </c>
      <c r="J1094" s="365">
        <f t="shared" si="468"/>
        <v>14.220833333333333</v>
      </c>
      <c r="K1094" s="365">
        <f t="shared" si="468"/>
        <v>10.85138888888889</v>
      </c>
      <c r="L1094" s="365">
        <f t="shared" si="468"/>
        <v>12.870833333333332</v>
      </c>
      <c r="M1094" s="365">
        <f t="shared" si="468"/>
        <v>11.180555555555555</v>
      </c>
      <c r="N1094" s="365">
        <f t="shared" si="468"/>
        <v>3.3236111111111111</v>
      </c>
      <c r="O1094" s="365">
        <f t="shared" si="468"/>
        <v>3.9152777777777779</v>
      </c>
      <c r="P1094" s="365">
        <f t="shared" si="468"/>
        <v>7.4249999999999998</v>
      </c>
      <c r="Q1094" s="365">
        <f t="shared" si="468"/>
        <v>1.1291666666666667</v>
      </c>
      <c r="R1094" s="365">
        <f t="shared" si="468"/>
        <v>2.4597222222222221</v>
      </c>
      <c r="S1094" s="489">
        <f t="shared" si="468"/>
        <v>2.6694444444444443</v>
      </c>
      <c r="T1094" s="365">
        <f t="shared" si="442"/>
        <v>462.10185354601589</v>
      </c>
      <c r="U1094" s="365">
        <f t="shared" si="440"/>
        <v>168.10185354601589</v>
      </c>
      <c r="V1094" s="365">
        <f t="shared" si="443"/>
        <v>390.95138888888891</v>
      </c>
      <c r="W1094" s="365">
        <f t="shared" si="444"/>
        <v>96.951388888888886</v>
      </c>
      <c r="X1094" s="365">
        <f t="shared" si="445"/>
        <v>1.104631323793656</v>
      </c>
      <c r="Y1094" s="365">
        <f t="shared" si="445"/>
        <v>0</v>
      </c>
      <c r="Z1094" s="365">
        <f t="shared" si="446"/>
        <v>70.04583333333332</v>
      </c>
      <c r="AC1094" s="4">
        <v>4</v>
      </c>
      <c r="AD1094" s="365">
        <f t="shared" si="447"/>
        <v>98</v>
      </c>
      <c r="AE1094" s="365">
        <f t="shared" si="448"/>
        <v>12.994252873563219</v>
      </c>
      <c r="AF1094" s="365">
        <f t="shared" si="449"/>
        <v>13.60632183908046</v>
      </c>
      <c r="AG1094" s="365">
        <f t="shared" si="450"/>
        <v>23.038793103448274</v>
      </c>
      <c r="AH1094" s="365">
        <f t="shared" si="451"/>
        <v>0.84541364088145554</v>
      </c>
      <c r="AI1094" s="365">
        <f t="shared" si="452"/>
        <v>6.623563218390804</v>
      </c>
      <c r="AJ1094" s="365">
        <f t="shared" si="453"/>
        <v>5.2959770114942524</v>
      </c>
      <c r="AK1094" s="365">
        <f t="shared" si="454"/>
        <v>8.1824712643678161</v>
      </c>
      <c r="AL1094" s="365">
        <f t="shared" si="455"/>
        <v>8.4626436781609193</v>
      </c>
      <c r="AM1094" s="365">
        <f t="shared" si="456"/>
        <v>2.6824712643678161</v>
      </c>
      <c r="AN1094" s="365">
        <f t="shared" si="457"/>
        <v>3.1609195402298851</v>
      </c>
      <c r="AO1094" s="365">
        <f t="shared" si="458"/>
        <v>6.1408045977011492</v>
      </c>
      <c r="AP1094" s="365">
        <f t="shared" si="459"/>
        <v>1.0459770114942528</v>
      </c>
      <c r="AQ1094" s="365">
        <f t="shared" si="460"/>
        <v>1.920977011494253</v>
      </c>
      <c r="AR1094" s="365">
        <f t="shared" si="461"/>
        <v>2.4770114942528738</v>
      </c>
      <c r="AS1094" s="365">
        <f t="shared" si="462"/>
        <v>194.47759754892746</v>
      </c>
      <c r="AT1094" s="365">
        <f t="shared" si="463"/>
        <v>12.821737051807277</v>
      </c>
      <c r="AU1094" s="365">
        <f t="shared" si="464"/>
        <v>207.29933460073474</v>
      </c>
      <c r="AW1094" s="365">
        <f t="shared" si="465"/>
        <v>192.375</v>
      </c>
      <c r="AX1094" s="365">
        <f t="shared" si="466"/>
        <v>14.924334600734738</v>
      </c>
    </row>
    <row r="1095" spans="1:50" ht="15.75" customHeight="1" x14ac:dyDescent="0.3">
      <c r="A1095" s="375" t="s">
        <v>13</v>
      </c>
      <c r="B1095" s="375">
        <f t="shared" si="438"/>
        <v>294</v>
      </c>
      <c r="C1095" s="365">
        <f t="shared" si="438"/>
        <v>0</v>
      </c>
      <c r="D1095" s="489" t="s">
        <v>1095</v>
      </c>
      <c r="E1095" s="365">
        <f t="shared" ref="E1095:S1095" si="469">+C1015/$G$10/24</f>
        <v>29.305107526881724</v>
      </c>
      <c r="F1095" s="365">
        <f t="shared" si="469"/>
        <v>30.677419354838708</v>
      </c>
      <c r="G1095" s="365">
        <f t="shared" si="469"/>
        <v>50.577956989247305</v>
      </c>
      <c r="H1095" s="365">
        <f t="shared" si="469"/>
        <v>0</v>
      </c>
      <c r="I1095" s="365">
        <f t="shared" si="469"/>
        <v>-2.6173428624676922</v>
      </c>
      <c r="J1095" s="365">
        <f t="shared" si="469"/>
        <v>16.508064516129032</v>
      </c>
      <c r="K1095" s="365">
        <f t="shared" si="469"/>
        <v>9.4153225806451619</v>
      </c>
      <c r="L1095" s="365">
        <f t="shared" si="469"/>
        <v>11.868279569892472</v>
      </c>
      <c r="M1095" s="365">
        <f t="shared" si="469"/>
        <v>10.584677419354838</v>
      </c>
      <c r="N1095" s="365">
        <f t="shared" si="469"/>
        <v>3.181451612903226</v>
      </c>
      <c r="O1095" s="365">
        <f t="shared" si="469"/>
        <v>3.7473118279569895</v>
      </c>
      <c r="P1095" s="365">
        <f t="shared" si="469"/>
        <v>7.2634408602150531</v>
      </c>
      <c r="Q1095" s="365">
        <f t="shared" si="469"/>
        <v>1.010752688172043</v>
      </c>
      <c r="R1095" s="365">
        <f t="shared" si="469"/>
        <v>3.1370967741935485</v>
      </c>
      <c r="S1095" s="489">
        <f t="shared" si="469"/>
        <v>2.389784946236559</v>
      </c>
      <c r="T1095" s="365">
        <f t="shared" si="442"/>
        <v>471.04932380419893</v>
      </c>
      <c r="U1095" s="365">
        <f t="shared" si="440"/>
        <v>177.04932380419893</v>
      </c>
      <c r="V1095" s="365">
        <f t="shared" si="443"/>
        <v>404.56048387096774</v>
      </c>
      <c r="W1095" s="365">
        <f t="shared" si="444"/>
        <v>110.56048387096774</v>
      </c>
      <c r="X1095" s="365">
        <f t="shared" si="445"/>
        <v>0</v>
      </c>
      <c r="Y1095" s="365">
        <f t="shared" si="445"/>
        <v>-2.6173428624676922</v>
      </c>
      <c r="Z1095" s="365">
        <f t="shared" si="446"/>
        <v>69.106182795698928</v>
      </c>
      <c r="AC1095" s="4">
        <v>5</v>
      </c>
      <c r="AD1095" s="365">
        <f t="shared" si="447"/>
        <v>98</v>
      </c>
      <c r="AE1095" s="365">
        <f t="shared" si="448"/>
        <v>12.994252873563219</v>
      </c>
      <c r="AF1095" s="365">
        <f t="shared" si="449"/>
        <v>13.60632183908046</v>
      </c>
      <c r="AG1095" s="365">
        <f t="shared" si="450"/>
        <v>23.038793103448274</v>
      </c>
      <c r="AH1095" s="365">
        <f t="shared" si="451"/>
        <v>0.84541364088145554</v>
      </c>
      <c r="AI1095" s="365">
        <f t="shared" si="452"/>
        <v>6.623563218390804</v>
      </c>
      <c r="AJ1095" s="365">
        <f t="shared" si="453"/>
        <v>5.2959770114942524</v>
      </c>
      <c r="AK1095" s="365">
        <f t="shared" si="454"/>
        <v>8.1824712643678161</v>
      </c>
      <c r="AL1095" s="365">
        <f t="shared" si="455"/>
        <v>8.4626436781609193</v>
      </c>
      <c r="AM1095" s="365">
        <f t="shared" si="456"/>
        <v>2.6824712643678161</v>
      </c>
      <c r="AN1095" s="365">
        <f t="shared" si="457"/>
        <v>3.1609195402298851</v>
      </c>
      <c r="AO1095" s="365">
        <f t="shared" si="458"/>
        <v>6.1408045977011492</v>
      </c>
      <c r="AP1095" s="365">
        <f t="shared" si="459"/>
        <v>1.0459770114942528</v>
      </c>
      <c r="AQ1095" s="365">
        <f t="shared" si="460"/>
        <v>1.920977011494253</v>
      </c>
      <c r="AR1095" s="365">
        <f t="shared" si="461"/>
        <v>2.4770114942528738</v>
      </c>
      <c r="AS1095" s="365">
        <f t="shared" si="462"/>
        <v>194.47759754892746</v>
      </c>
      <c r="AT1095" s="365">
        <f t="shared" si="463"/>
        <v>12.821737051807277</v>
      </c>
      <c r="AU1095" s="365">
        <f t="shared" si="464"/>
        <v>207.29933460073474</v>
      </c>
      <c r="AW1095" s="365">
        <f t="shared" si="465"/>
        <v>192.375</v>
      </c>
      <c r="AX1095" s="365">
        <f t="shared" si="466"/>
        <v>14.924334600734738</v>
      </c>
    </row>
    <row r="1096" spans="1:50" ht="15.75" customHeight="1" x14ac:dyDescent="0.3">
      <c r="A1096" s="375" t="s">
        <v>14</v>
      </c>
      <c r="B1096" s="375">
        <f t="shared" si="438"/>
        <v>147</v>
      </c>
      <c r="C1096" s="365">
        <f t="shared" si="438"/>
        <v>0</v>
      </c>
      <c r="D1096" s="489" t="str">
        <f>H1123</f>
        <v>n/a</v>
      </c>
      <c r="E1096" s="365">
        <f t="shared" ref="E1096:S1096" si="470">+C1016/$H$10/24</f>
        <v>18.031944444444445</v>
      </c>
      <c r="F1096" s="365">
        <f t="shared" si="470"/>
        <v>18.848611111111111</v>
      </c>
      <c r="G1096" s="365">
        <f t="shared" si="470"/>
        <v>29.923611111111111</v>
      </c>
      <c r="H1096" s="365">
        <f t="shared" si="470"/>
        <v>0</v>
      </c>
      <c r="I1096" s="365">
        <f t="shared" si="470"/>
        <v>-16.365011303692548</v>
      </c>
      <c r="J1096" s="365">
        <f t="shared" si="470"/>
        <v>18.620833333333334</v>
      </c>
      <c r="K1096" s="365">
        <f t="shared" si="470"/>
        <v>10.333333333333334</v>
      </c>
      <c r="L1096" s="365">
        <f t="shared" si="470"/>
        <v>11.326388888888888</v>
      </c>
      <c r="M1096" s="365">
        <f t="shared" si="470"/>
        <v>9.5902777777777768</v>
      </c>
      <c r="N1096" s="365">
        <f t="shared" si="470"/>
        <v>3.244444444444444</v>
      </c>
      <c r="O1096" s="365">
        <f t="shared" si="470"/>
        <v>3.8208333333333333</v>
      </c>
      <c r="P1096" s="365">
        <f t="shared" si="470"/>
        <v>7.1736111111111107</v>
      </c>
      <c r="Q1096" s="365">
        <f t="shared" si="470"/>
        <v>1.1333333333333333</v>
      </c>
      <c r="R1096" s="365">
        <f t="shared" si="470"/>
        <v>3.3125</v>
      </c>
      <c r="S1096" s="489">
        <f t="shared" si="470"/>
        <v>2.6708333333333329</v>
      </c>
      <c r="T1096" s="365">
        <f t="shared" si="442"/>
        <v>268.66554425186303</v>
      </c>
      <c r="U1096" s="365">
        <f t="shared" si="440"/>
        <v>121.66554425186301</v>
      </c>
      <c r="V1096" s="365">
        <f t="shared" si="443"/>
        <v>213.80416666666667</v>
      </c>
      <c r="W1096" s="365">
        <f t="shared" si="444"/>
        <v>66.804166666666674</v>
      </c>
      <c r="X1096" s="365">
        <f t="shared" si="445"/>
        <v>0</v>
      </c>
      <c r="Y1096" s="365">
        <f t="shared" si="445"/>
        <v>-16.365011303692548</v>
      </c>
      <c r="Z1096" s="365">
        <f t="shared" si="446"/>
        <v>71.226388888888891</v>
      </c>
      <c r="AC1096" s="4">
        <v>6</v>
      </c>
      <c r="AD1096" s="365">
        <f t="shared" si="447"/>
        <v>98</v>
      </c>
      <c r="AE1096" s="365">
        <f t="shared" si="448"/>
        <v>12.994252873563219</v>
      </c>
      <c r="AF1096" s="365">
        <f t="shared" si="449"/>
        <v>13.60632183908046</v>
      </c>
      <c r="AG1096" s="365">
        <f t="shared" si="450"/>
        <v>23.038793103448274</v>
      </c>
      <c r="AH1096" s="365">
        <f t="shared" si="451"/>
        <v>0.84541364088145554</v>
      </c>
      <c r="AI1096" s="365">
        <f t="shared" si="452"/>
        <v>6.623563218390804</v>
      </c>
      <c r="AJ1096" s="365">
        <f t="shared" si="453"/>
        <v>5.2959770114942524</v>
      </c>
      <c r="AK1096" s="365">
        <f t="shared" si="454"/>
        <v>8.1824712643678161</v>
      </c>
      <c r="AL1096" s="365">
        <f t="shared" si="455"/>
        <v>8.4626436781609193</v>
      </c>
      <c r="AM1096" s="365">
        <f t="shared" si="456"/>
        <v>2.6824712643678161</v>
      </c>
      <c r="AN1096" s="365">
        <f t="shared" si="457"/>
        <v>3.1609195402298851</v>
      </c>
      <c r="AO1096" s="365">
        <f t="shared" si="458"/>
        <v>6.1408045977011492</v>
      </c>
      <c r="AP1096" s="365">
        <f t="shared" si="459"/>
        <v>1.0459770114942528</v>
      </c>
      <c r="AQ1096" s="365">
        <f t="shared" si="460"/>
        <v>1.920977011494253</v>
      </c>
      <c r="AR1096" s="365">
        <f t="shared" si="461"/>
        <v>2.4770114942528738</v>
      </c>
      <c r="AS1096" s="365">
        <f t="shared" si="462"/>
        <v>194.47759754892746</v>
      </c>
      <c r="AT1096" s="365">
        <f t="shared" si="463"/>
        <v>12.821737051807277</v>
      </c>
      <c r="AU1096" s="365">
        <f t="shared" si="464"/>
        <v>207.29933460073474</v>
      </c>
      <c r="AW1096" s="365">
        <f t="shared" si="465"/>
        <v>192.375</v>
      </c>
      <c r="AX1096" s="365">
        <f t="shared" si="466"/>
        <v>14.924334600734738</v>
      </c>
    </row>
    <row r="1097" spans="1:50" ht="15.75" customHeight="1" x14ac:dyDescent="0.3">
      <c r="A1097" s="375" t="s">
        <v>16</v>
      </c>
      <c r="B1097" s="375">
        <f t="shared" si="438"/>
        <v>147</v>
      </c>
      <c r="C1097" s="365">
        <f t="shared" si="438"/>
        <v>0</v>
      </c>
      <c r="D1097" s="489" t="str">
        <f>H1124</f>
        <v>n/a</v>
      </c>
      <c r="E1097" s="365">
        <f t="shared" ref="E1097:S1097" si="471">+C1017/$J$10/24</f>
        <v>12.181451612903226</v>
      </c>
      <c r="F1097" s="365">
        <f t="shared" si="471"/>
        <v>12.71236559139785</v>
      </c>
      <c r="G1097" s="365">
        <f t="shared" si="471"/>
        <v>18.342741935483872</v>
      </c>
      <c r="H1097" s="365">
        <f t="shared" si="471"/>
        <v>0</v>
      </c>
      <c r="I1097" s="365">
        <f t="shared" si="471"/>
        <v>-18.356704829871433</v>
      </c>
      <c r="J1097" s="365">
        <f t="shared" si="471"/>
        <v>16.919354838709676</v>
      </c>
      <c r="K1097" s="365">
        <f t="shared" si="471"/>
        <v>11.248655913978494</v>
      </c>
      <c r="L1097" s="365">
        <f t="shared" si="471"/>
        <v>12.036290322580646</v>
      </c>
      <c r="M1097" s="365">
        <f t="shared" si="471"/>
        <v>10.346774193548386</v>
      </c>
      <c r="N1097" s="365">
        <f t="shared" si="471"/>
        <v>2.9731182795698925</v>
      </c>
      <c r="O1097" s="365">
        <f t="shared" si="471"/>
        <v>3.5013440860215055</v>
      </c>
      <c r="P1097" s="365">
        <f t="shared" si="471"/>
        <v>7.110215053763441</v>
      </c>
      <c r="Q1097" s="365">
        <f t="shared" si="471"/>
        <v>1.0470430107526882</v>
      </c>
      <c r="R1097" s="365">
        <f t="shared" si="471"/>
        <v>3.0672043010752685</v>
      </c>
      <c r="S1097" s="489">
        <f t="shared" si="471"/>
        <v>2.474462365591398</v>
      </c>
      <c r="T1097" s="365">
        <f t="shared" si="442"/>
        <v>242.60431667550489</v>
      </c>
      <c r="U1097" s="365">
        <f t="shared" si="440"/>
        <v>95.60431667550489</v>
      </c>
      <c r="V1097" s="365">
        <f t="shared" si="443"/>
        <v>190.23655913978496</v>
      </c>
      <c r="W1097" s="365">
        <f t="shared" si="444"/>
        <v>43.236559139784944</v>
      </c>
      <c r="X1097" s="365">
        <f t="shared" si="445"/>
        <v>0</v>
      </c>
      <c r="Y1097" s="365">
        <f t="shared" si="445"/>
        <v>-18.356704829871433</v>
      </c>
      <c r="Z1097" s="365">
        <f t="shared" si="446"/>
        <v>70.724462365591393</v>
      </c>
      <c r="AC1097" s="4">
        <v>7</v>
      </c>
      <c r="AD1097" s="365">
        <f>IF($AF$1088=1,VLOOKUP($AD$1088,$A$1118:$P$1129,12,FALSE),IF(OR($AD$1088="JAN",$AD$1088="FEB",$AD$1088="NOV",$AD$1088="DEC"),VLOOKUP($AD$1088,$A$1091:$S$1102,2,FALSE),VLOOKUP($AD$1088,$A$1091:$S$1102,3,FALSE)))</f>
        <v>98</v>
      </c>
      <c r="AE1097" s="365">
        <f t="shared" si="448"/>
        <v>12.994252873563219</v>
      </c>
      <c r="AF1097" s="365">
        <f t="shared" si="449"/>
        <v>13.60632183908046</v>
      </c>
      <c r="AG1097" s="365">
        <f t="shared" si="450"/>
        <v>23.038793103448274</v>
      </c>
      <c r="AH1097" s="365">
        <f t="shared" si="451"/>
        <v>0.84541364088145554</v>
      </c>
      <c r="AI1097" s="365">
        <f t="shared" si="452"/>
        <v>6.623563218390804</v>
      </c>
      <c r="AJ1097" s="365">
        <f t="shared" si="453"/>
        <v>5.2959770114942524</v>
      </c>
      <c r="AK1097" s="365">
        <f t="shared" si="454"/>
        <v>8.1824712643678161</v>
      </c>
      <c r="AL1097" s="365">
        <f t="shared" si="455"/>
        <v>8.4626436781609193</v>
      </c>
      <c r="AM1097" s="365">
        <f t="shared" si="456"/>
        <v>2.6824712643678161</v>
      </c>
      <c r="AN1097" s="365">
        <f t="shared" si="457"/>
        <v>3.1609195402298851</v>
      </c>
      <c r="AO1097" s="365">
        <f t="shared" si="458"/>
        <v>6.1408045977011492</v>
      </c>
      <c r="AP1097" s="365">
        <f t="shared" si="459"/>
        <v>1.0459770114942528</v>
      </c>
      <c r="AQ1097" s="365">
        <f t="shared" si="460"/>
        <v>1.920977011494253</v>
      </c>
      <c r="AR1097" s="365">
        <f t="shared" si="461"/>
        <v>2.4770114942528738</v>
      </c>
      <c r="AS1097" s="365">
        <f t="shared" si="462"/>
        <v>194.47759754892746</v>
      </c>
      <c r="AT1097" s="365">
        <f t="shared" si="463"/>
        <v>12.821737051807277</v>
      </c>
      <c r="AU1097" s="365">
        <f t="shared" si="464"/>
        <v>207.29933460073474</v>
      </c>
      <c r="AW1097" s="365">
        <f t="shared" si="465"/>
        <v>192.375</v>
      </c>
      <c r="AX1097" s="365">
        <f t="shared" si="466"/>
        <v>14.924334600734738</v>
      </c>
    </row>
    <row r="1098" spans="1:50" ht="15.75" customHeight="1" x14ac:dyDescent="0.3">
      <c r="A1098" s="375" t="s">
        <v>17</v>
      </c>
      <c r="B1098" s="375">
        <f t="shared" si="438"/>
        <v>147</v>
      </c>
      <c r="C1098" s="365">
        <f t="shared" si="438"/>
        <v>0</v>
      </c>
      <c r="D1098" s="489" t="str">
        <f>H1125</f>
        <v>n/a</v>
      </c>
      <c r="E1098" s="365">
        <f t="shared" ref="E1098:S1098" si="472">+C1018/$K$10/24</f>
        <v>10.295698924731182</v>
      </c>
      <c r="F1098" s="365">
        <f t="shared" si="472"/>
        <v>10.74731182795699</v>
      </c>
      <c r="G1098" s="365">
        <f t="shared" si="472"/>
        <v>11.946236559139784</v>
      </c>
      <c r="H1098" s="365">
        <f t="shared" si="472"/>
        <v>1.1734123908369207E-3</v>
      </c>
      <c r="I1098" s="365">
        <f t="shared" si="472"/>
        <v>-17.156967458427946</v>
      </c>
      <c r="J1098" s="365">
        <f t="shared" si="472"/>
        <v>14.91263440860215</v>
      </c>
      <c r="K1098" s="365">
        <f t="shared" si="472"/>
        <v>10.505376344086022</v>
      </c>
      <c r="L1098" s="365">
        <f t="shared" si="472"/>
        <v>11.702956989247312</v>
      </c>
      <c r="M1098" s="365">
        <f t="shared" si="472"/>
        <v>9.6827956989247301</v>
      </c>
      <c r="N1098" s="365">
        <f t="shared" si="472"/>
        <v>2.698924731182796</v>
      </c>
      <c r="O1098" s="365">
        <f t="shared" si="472"/>
        <v>3.1787634408602155</v>
      </c>
      <c r="P1098" s="365">
        <f t="shared" si="472"/>
        <v>6.053763440860215</v>
      </c>
      <c r="Q1098" s="365">
        <f t="shared" si="472"/>
        <v>1.0013440860215053</v>
      </c>
      <c r="R1098" s="365">
        <f t="shared" si="472"/>
        <v>3.0362903225806455</v>
      </c>
      <c r="S1098" s="489">
        <f t="shared" si="472"/>
        <v>2.3669354838709675</v>
      </c>
      <c r="T1098" s="365">
        <f t="shared" si="442"/>
        <v>227.97323821202735</v>
      </c>
      <c r="U1098" s="365">
        <f t="shared" si="440"/>
        <v>80.973238212027368</v>
      </c>
      <c r="V1098" s="365">
        <f t="shared" si="443"/>
        <v>179.98924731182797</v>
      </c>
      <c r="W1098" s="365">
        <f t="shared" si="444"/>
        <v>32.989247311827953</v>
      </c>
      <c r="X1098" s="365">
        <f t="shared" si="445"/>
        <v>1.1734123908369207E-3</v>
      </c>
      <c r="Y1098" s="365">
        <f t="shared" si="445"/>
        <v>-17.156967458427946</v>
      </c>
      <c r="Z1098" s="365">
        <f t="shared" si="446"/>
        <v>65.13978494623656</v>
      </c>
      <c r="AC1098" s="4">
        <v>8</v>
      </c>
      <c r="AD1098" s="365">
        <f>IF($AF$1088=1,VLOOKUP($AD$1088,$A$1118:$P$1129,12,FALSE),VLOOKUP($AD$1088,$A$1091:$S$1102,3,FALSE))</f>
        <v>0</v>
      </c>
      <c r="AE1098" s="365">
        <f t="shared" si="448"/>
        <v>12.994252873563219</v>
      </c>
      <c r="AF1098" s="365">
        <f t="shared" si="449"/>
        <v>13.60632183908046</v>
      </c>
      <c r="AG1098" s="365">
        <f t="shared" si="450"/>
        <v>23.038793103448274</v>
      </c>
      <c r="AH1098" s="365">
        <f t="shared" si="451"/>
        <v>0.84541364088145554</v>
      </c>
      <c r="AI1098" s="365">
        <f t="shared" si="452"/>
        <v>6.623563218390804</v>
      </c>
      <c r="AJ1098" s="365">
        <f t="shared" si="453"/>
        <v>5.2959770114942524</v>
      </c>
      <c r="AK1098" s="365">
        <f t="shared" si="454"/>
        <v>8.1824712643678161</v>
      </c>
      <c r="AL1098" s="365">
        <f t="shared" si="455"/>
        <v>8.4626436781609193</v>
      </c>
      <c r="AM1098" s="365">
        <f t="shared" si="456"/>
        <v>2.6824712643678161</v>
      </c>
      <c r="AN1098" s="365">
        <f t="shared" si="457"/>
        <v>3.1609195402298851</v>
      </c>
      <c r="AO1098" s="365">
        <f t="shared" si="458"/>
        <v>6.1408045977011492</v>
      </c>
      <c r="AP1098" s="365">
        <f t="shared" si="459"/>
        <v>1.0459770114942528</v>
      </c>
      <c r="AQ1098" s="365">
        <f t="shared" si="460"/>
        <v>1.920977011494253</v>
      </c>
      <c r="AR1098" s="365">
        <f t="shared" si="461"/>
        <v>2.4770114942528738</v>
      </c>
      <c r="AS1098" s="365">
        <f t="shared" si="462"/>
        <v>96.477597548927434</v>
      </c>
      <c r="AT1098" s="365">
        <f t="shared" si="463"/>
        <v>6.3606831982342937</v>
      </c>
      <c r="AU1098" s="365">
        <f t="shared" si="464"/>
        <v>102.83828074716173</v>
      </c>
      <c r="AW1098" s="365">
        <f t="shared" si="465"/>
        <v>192.375</v>
      </c>
      <c r="AX1098" s="365">
        <f t="shared" si="466"/>
        <v>-89.536719252838267</v>
      </c>
    </row>
    <row r="1099" spans="1:50" ht="15.75" customHeight="1" x14ac:dyDescent="0.3">
      <c r="A1099" s="375" t="s">
        <v>18</v>
      </c>
      <c r="B1099" s="375">
        <f t="shared" si="438"/>
        <v>245</v>
      </c>
      <c r="C1099" s="365">
        <f t="shared" si="438"/>
        <v>0</v>
      </c>
      <c r="D1099" s="489" t="s">
        <v>1095</v>
      </c>
      <c r="E1099" s="365">
        <f t="shared" ref="E1099:S1099" si="473">+C1019/$L$10/24</f>
        <v>27.898611111111112</v>
      </c>
      <c r="F1099" s="365">
        <f t="shared" si="473"/>
        <v>29.218055555555555</v>
      </c>
      <c r="G1099" s="365">
        <f t="shared" si="473"/>
        <v>43.93055555555555</v>
      </c>
      <c r="H1099" s="365">
        <f t="shared" si="473"/>
        <v>8.0016406993854456</v>
      </c>
      <c r="I1099" s="365">
        <f t="shared" si="473"/>
        <v>-0.46123160010047703</v>
      </c>
      <c r="J1099" s="365">
        <f t="shared" si="473"/>
        <v>10.102777777777778</v>
      </c>
      <c r="K1099" s="365">
        <f t="shared" si="473"/>
        <v>7.833333333333333</v>
      </c>
      <c r="L1099" s="365">
        <f t="shared" si="473"/>
        <v>8.6680555555555561</v>
      </c>
      <c r="M1099" s="365">
        <f t="shared" si="473"/>
        <v>8.3013888888888889</v>
      </c>
      <c r="N1099" s="365">
        <f t="shared" si="473"/>
        <v>2.4611111111111112</v>
      </c>
      <c r="O1099" s="365">
        <f t="shared" si="473"/>
        <v>2.8986111111111108</v>
      </c>
      <c r="P1099" s="365">
        <f t="shared" si="473"/>
        <v>5.8944444444444448</v>
      </c>
      <c r="Q1099" s="365">
        <f t="shared" si="473"/>
        <v>1.0819444444444444</v>
      </c>
      <c r="R1099" s="365">
        <f t="shared" si="473"/>
        <v>2.3847222222222224</v>
      </c>
      <c r="S1099" s="489">
        <f t="shared" si="473"/>
        <v>2.5597222222222222</v>
      </c>
      <c r="T1099" s="365">
        <f t="shared" si="442"/>
        <v>405.77374243261829</v>
      </c>
      <c r="U1099" s="365">
        <f t="shared" si="440"/>
        <v>160.77374243261829</v>
      </c>
      <c r="V1099" s="365">
        <f t="shared" si="443"/>
        <v>346.04722222222222</v>
      </c>
      <c r="W1099" s="365">
        <f t="shared" si="444"/>
        <v>101.04722222222222</v>
      </c>
      <c r="X1099" s="365">
        <f t="shared" si="445"/>
        <v>8.0016406993854456</v>
      </c>
      <c r="Y1099" s="365">
        <f t="shared" si="445"/>
        <v>-0.46123160010047703</v>
      </c>
      <c r="Z1099" s="365">
        <f t="shared" si="446"/>
        <v>52.186111111111103</v>
      </c>
      <c r="AC1099" s="4">
        <v>9</v>
      </c>
      <c r="AD1099" s="365">
        <f>IF($AF$1088=1,VLOOKUP($AD$1088,$A$1118:$P$1129,12,FALSE),VLOOKUP($AD$1088,$A$1091:$S$1102,3,FALSE))</f>
        <v>0</v>
      </c>
      <c r="AE1099" s="365">
        <f t="shared" si="448"/>
        <v>12.994252873563219</v>
      </c>
      <c r="AF1099" s="365">
        <f t="shared" si="449"/>
        <v>13.60632183908046</v>
      </c>
      <c r="AG1099" s="365">
        <f t="shared" si="450"/>
        <v>23.038793103448274</v>
      </c>
      <c r="AH1099" s="365">
        <f t="shared" si="451"/>
        <v>0.84541364088145554</v>
      </c>
      <c r="AI1099" s="365">
        <f t="shared" si="452"/>
        <v>6.623563218390804</v>
      </c>
      <c r="AJ1099" s="365">
        <f t="shared" si="453"/>
        <v>5.2959770114942524</v>
      </c>
      <c r="AK1099" s="365">
        <f t="shared" si="454"/>
        <v>8.1824712643678161</v>
      </c>
      <c r="AL1099" s="365">
        <f t="shared" si="455"/>
        <v>8.4626436781609193</v>
      </c>
      <c r="AM1099" s="365">
        <f t="shared" si="456"/>
        <v>2.6824712643678161</v>
      </c>
      <c r="AN1099" s="365">
        <f t="shared" si="457"/>
        <v>3.1609195402298851</v>
      </c>
      <c r="AO1099" s="365">
        <f t="shared" si="458"/>
        <v>6.1408045977011492</v>
      </c>
      <c r="AP1099" s="365">
        <f t="shared" si="459"/>
        <v>1.0459770114942528</v>
      </c>
      <c r="AQ1099" s="365">
        <f t="shared" si="460"/>
        <v>1.920977011494253</v>
      </c>
      <c r="AR1099" s="365">
        <f t="shared" si="461"/>
        <v>2.4770114942528738</v>
      </c>
      <c r="AS1099" s="365">
        <f t="shared" si="462"/>
        <v>96.477597548927434</v>
      </c>
      <c r="AT1099" s="365">
        <f t="shared" si="463"/>
        <v>6.3606831982342937</v>
      </c>
      <c r="AU1099" s="365">
        <f t="shared" si="464"/>
        <v>102.83828074716173</v>
      </c>
      <c r="AW1099" s="365">
        <f t="shared" si="465"/>
        <v>192.375</v>
      </c>
      <c r="AX1099" s="365">
        <f t="shared" si="466"/>
        <v>-89.536719252838267</v>
      </c>
    </row>
    <row r="1100" spans="1:50" ht="15.75" customHeight="1" x14ac:dyDescent="0.3">
      <c r="A1100" s="375" t="s">
        <v>20</v>
      </c>
      <c r="B1100" s="375">
        <f t="shared" si="438"/>
        <v>245</v>
      </c>
      <c r="C1100" s="365">
        <f t="shared" si="438"/>
        <v>0</v>
      </c>
      <c r="D1100" s="489" t="s">
        <v>1095</v>
      </c>
      <c r="E1100" s="365">
        <f t="shared" ref="E1100:S1100" si="474">+C1020/$N$10/24</f>
        <v>26.655913978494624</v>
      </c>
      <c r="F1100" s="365">
        <f t="shared" si="474"/>
        <v>27.920698924731184</v>
      </c>
      <c r="G1100" s="365">
        <f t="shared" si="474"/>
        <v>43.442204301075265</v>
      </c>
      <c r="H1100" s="365">
        <f t="shared" si="474"/>
        <v>14.977789702716491</v>
      </c>
      <c r="I1100" s="365">
        <f t="shared" si="474"/>
        <v>-3.4883640842388285E-3</v>
      </c>
      <c r="J1100" s="365">
        <f t="shared" si="474"/>
        <v>6.3534946236559131</v>
      </c>
      <c r="K1100" s="365">
        <f t="shared" si="474"/>
        <v>3.3723118279569895</v>
      </c>
      <c r="L1100" s="365">
        <f t="shared" si="474"/>
        <v>4.854838709677419</v>
      </c>
      <c r="M1100" s="365">
        <f t="shared" si="474"/>
        <v>4.788978494623656</v>
      </c>
      <c r="N1100" s="365">
        <f t="shared" si="474"/>
        <v>1.3763440860215053</v>
      </c>
      <c r="O1100" s="365">
        <f t="shared" si="474"/>
        <v>1.618279569892473</v>
      </c>
      <c r="P1100" s="365">
        <f t="shared" si="474"/>
        <v>3.3655913978494625</v>
      </c>
      <c r="Q1100" s="365">
        <f t="shared" si="474"/>
        <v>0.95564516129032251</v>
      </c>
      <c r="R1100" s="365">
        <f t="shared" si="474"/>
        <v>6.4516129032258063E-2</v>
      </c>
      <c r="S1100" s="489">
        <f t="shared" si="474"/>
        <v>2.260752688172043</v>
      </c>
      <c r="T1100" s="365">
        <f t="shared" si="442"/>
        <v>387.00387123110539</v>
      </c>
      <c r="U1100" s="365">
        <f t="shared" si="440"/>
        <v>142.00387123110539</v>
      </c>
      <c r="V1100" s="365">
        <f t="shared" si="443"/>
        <v>343.01881720430106</v>
      </c>
      <c r="W1100" s="365">
        <f t="shared" si="444"/>
        <v>98.018817204301072</v>
      </c>
      <c r="X1100" s="365">
        <f t="shared" si="445"/>
        <v>14.977789702716491</v>
      </c>
      <c r="Y1100" s="365">
        <f t="shared" si="445"/>
        <v>-3.4883640842388285E-3</v>
      </c>
      <c r="Z1100" s="365">
        <f t="shared" si="446"/>
        <v>29.010752688172044</v>
      </c>
      <c r="AC1100" s="4">
        <v>10</v>
      </c>
      <c r="AD1100" s="365">
        <f>IF($AF$1088=1,VLOOKUP($AD$1088,$A$1118:$P$1129,12,FALSE),VLOOKUP($AD$1088,$A$1091:$S$1102,3,FALSE))</f>
        <v>0</v>
      </c>
      <c r="AE1100" s="365">
        <f t="shared" si="448"/>
        <v>12.994252873563219</v>
      </c>
      <c r="AF1100" s="365">
        <f t="shared" si="449"/>
        <v>13.60632183908046</v>
      </c>
      <c r="AG1100" s="365">
        <f t="shared" si="450"/>
        <v>23.038793103448274</v>
      </c>
      <c r="AH1100" s="365">
        <f t="shared" si="451"/>
        <v>0.84541364088145554</v>
      </c>
      <c r="AI1100" s="365">
        <f t="shared" si="452"/>
        <v>6.623563218390804</v>
      </c>
      <c r="AJ1100" s="365">
        <f t="shared" si="453"/>
        <v>5.2959770114942524</v>
      </c>
      <c r="AK1100" s="365">
        <f t="shared" si="454"/>
        <v>8.1824712643678161</v>
      </c>
      <c r="AL1100" s="365">
        <f t="shared" si="455"/>
        <v>8.4626436781609193</v>
      </c>
      <c r="AM1100" s="365">
        <f t="shared" si="456"/>
        <v>2.6824712643678161</v>
      </c>
      <c r="AN1100" s="365">
        <f t="shared" si="457"/>
        <v>3.1609195402298851</v>
      </c>
      <c r="AO1100" s="365">
        <f t="shared" si="458"/>
        <v>6.1408045977011492</v>
      </c>
      <c r="AP1100" s="365">
        <f t="shared" si="459"/>
        <v>1.0459770114942528</v>
      </c>
      <c r="AQ1100" s="365">
        <f t="shared" si="460"/>
        <v>1.920977011494253</v>
      </c>
      <c r="AR1100" s="365">
        <f t="shared" si="461"/>
        <v>2.4770114942528738</v>
      </c>
      <c r="AS1100" s="365">
        <f t="shared" si="462"/>
        <v>96.477597548927434</v>
      </c>
      <c r="AT1100" s="365">
        <f t="shared" si="463"/>
        <v>6.3606831982342937</v>
      </c>
      <c r="AU1100" s="365">
        <f t="shared" si="464"/>
        <v>102.83828074716173</v>
      </c>
      <c r="AW1100" s="365">
        <f t="shared" si="465"/>
        <v>192.375</v>
      </c>
      <c r="AX1100" s="365">
        <f t="shared" si="466"/>
        <v>-89.536719252838267</v>
      </c>
    </row>
    <row r="1101" spans="1:50" ht="15.75" customHeight="1" x14ac:dyDescent="0.3">
      <c r="A1101" s="375" t="s">
        <v>21</v>
      </c>
      <c r="B1101" s="375">
        <f t="shared" si="438"/>
        <v>245</v>
      </c>
      <c r="C1101" s="365">
        <f t="shared" si="438"/>
        <v>0</v>
      </c>
      <c r="D1101" s="489" t="s">
        <v>1095</v>
      </c>
      <c r="E1101" s="365">
        <f t="shared" ref="E1101:S1101" si="475">+C1021/$O$10/24</f>
        <v>20.769444444444442</v>
      </c>
      <c r="F1101" s="365">
        <f t="shared" si="475"/>
        <v>21.751388888888886</v>
      </c>
      <c r="G1101" s="365">
        <f t="shared" si="475"/>
        <v>34.233333333333334</v>
      </c>
      <c r="H1101" s="365">
        <f t="shared" si="475"/>
        <v>17.330052259153465</v>
      </c>
      <c r="I1101" s="365">
        <f t="shared" si="475"/>
        <v>-0.9180982583940368</v>
      </c>
      <c r="J1101" s="365">
        <f t="shared" si="475"/>
        <v>3.2569444444444446</v>
      </c>
      <c r="K1101" s="365">
        <f t="shared" si="475"/>
        <v>0.78472222222222221</v>
      </c>
      <c r="L1101" s="365">
        <f t="shared" si="475"/>
        <v>1.2180555555555557</v>
      </c>
      <c r="M1101" s="365">
        <f t="shared" si="475"/>
        <v>1.2375</v>
      </c>
      <c r="N1101" s="365">
        <f t="shared" si="475"/>
        <v>0.40833333333333338</v>
      </c>
      <c r="O1101" s="365">
        <f t="shared" si="475"/>
        <v>0.4777777777777778</v>
      </c>
      <c r="P1101" s="365">
        <f t="shared" si="475"/>
        <v>0.8847222222222223</v>
      </c>
      <c r="Q1101" s="365">
        <f t="shared" si="475"/>
        <v>0.43888888888888888</v>
      </c>
      <c r="R1101" s="365">
        <f t="shared" si="475"/>
        <v>2.2124999999999999</v>
      </c>
      <c r="S1101" s="489">
        <f t="shared" si="475"/>
        <v>1.0374999999999999</v>
      </c>
      <c r="T1101" s="365">
        <f t="shared" si="442"/>
        <v>350.12306511187052</v>
      </c>
      <c r="U1101" s="365">
        <f t="shared" si="440"/>
        <v>105.12306511187052</v>
      </c>
      <c r="V1101" s="365">
        <f t="shared" si="443"/>
        <v>321.75416666666666</v>
      </c>
      <c r="W1101" s="365">
        <f t="shared" si="444"/>
        <v>76.754166666666663</v>
      </c>
      <c r="X1101" s="365">
        <f t="shared" si="445"/>
        <v>17.330052259153465</v>
      </c>
      <c r="Y1101" s="365">
        <f t="shared" si="445"/>
        <v>-0.9180982583940368</v>
      </c>
      <c r="Z1101" s="365">
        <f t="shared" si="446"/>
        <v>11.956944444444444</v>
      </c>
      <c r="AC1101" s="4">
        <v>11</v>
      </c>
      <c r="AD1101" s="365">
        <f>IF($AF$1088=1,VLOOKUP($AD$1088,$A$1118:$P$1129,12,FALSE),VLOOKUP($AD$1088,$A$1091:$S$1102,3,FALSE))</f>
        <v>0</v>
      </c>
      <c r="AE1101" s="365">
        <f t="shared" si="448"/>
        <v>12.994252873563219</v>
      </c>
      <c r="AF1101" s="365">
        <f t="shared" si="449"/>
        <v>13.60632183908046</v>
      </c>
      <c r="AG1101" s="365">
        <f t="shared" si="450"/>
        <v>23.038793103448274</v>
      </c>
      <c r="AH1101" s="365">
        <f t="shared" si="451"/>
        <v>0.84541364088145554</v>
      </c>
      <c r="AI1101" s="365">
        <f t="shared" si="452"/>
        <v>6.623563218390804</v>
      </c>
      <c r="AJ1101" s="365">
        <f t="shared" si="453"/>
        <v>5.2959770114942524</v>
      </c>
      <c r="AK1101" s="365">
        <f t="shared" si="454"/>
        <v>8.1824712643678161</v>
      </c>
      <c r="AL1101" s="365">
        <f t="shared" si="455"/>
        <v>8.4626436781609193</v>
      </c>
      <c r="AM1101" s="365">
        <f t="shared" si="456"/>
        <v>2.6824712643678161</v>
      </c>
      <c r="AN1101" s="365">
        <f t="shared" si="457"/>
        <v>3.1609195402298851</v>
      </c>
      <c r="AO1101" s="365">
        <f t="shared" si="458"/>
        <v>6.1408045977011492</v>
      </c>
      <c r="AP1101" s="365">
        <f t="shared" si="459"/>
        <v>1.0459770114942528</v>
      </c>
      <c r="AQ1101" s="365">
        <f t="shared" si="460"/>
        <v>1.920977011494253</v>
      </c>
      <c r="AR1101" s="365">
        <f t="shared" si="461"/>
        <v>2.4770114942528738</v>
      </c>
      <c r="AS1101" s="365">
        <f t="shared" si="462"/>
        <v>96.477597548927434</v>
      </c>
      <c r="AT1101" s="365">
        <f t="shared" si="463"/>
        <v>6.3606831982342937</v>
      </c>
      <c r="AU1101" s="365">
        <f t="shared" si="464"/>
        <v>102.83828074716173</v>
      </c>
      <c r="AW1101" s="365">
        <f t="shared" si="465"/>
        <v>192.375</v>
      </c>
      <c r="AX1101" s="365">
        <f t="shared" si="466"/>
        <v>-89.536719252838267</v>
      </c>
    </row>
    <row r="1102" spans="1:50" ht="15.75" customHeight="1" thickBot="1" x14ac:dyDescent="0.35">
      <c r="A1102" s="382" t="s">
        <v>22</v>
      </c>
      <c r="B1102" s="382">
        <f t="shared" si="438"/>
        <v>245</v>
      </c>
      <c r="C1102" s="369">
        <f t="shared" si="438"/>
        <v>0</v>
      </c>
      <c r="D1102" s="429" t="s">
        <v>1095</v>
      </c>
      <c r="E1102" s="369">
        <f t="shared" ref="E1102:S1102" si="476">+C1022/$P$10/24</f>
        <v>23.108870967741936</v>
      </c>
      <c r="F1102" s="369">
        <f t="shared" si="476"/>
        <v>24.21505376344086</v>
      </c>
      <c r="G1102" s="369">
        <f t="shared" si="476"/>
        <v>38.934139784946233</v>
      </c>
      <c r="H1102" s="369">
        <f t="shared" si="476"/>
        <v>20.38645502096179</v>
      </c>
      <c r="I1102" s="369">
        <f t="shared" si="476"/>
        <v>0</v>
      </c>
      <c r="J1102" s="369">
        <f t="shared" si="476"/>
        <v>4.2809139784946231</v>
      </c>
      <c r="K1102" s="369">
        <f t="shared" si="476"/>
        <v>2.3736559139784945</v>
      </c>
      <c r="L1102" s="369">
        <f t="shared" si="476"/>
        <v>3.4623655913978495</v>
      </c>
      <c r="M1102" s="369">
        <f t="shared" si="476"/>
        <v>3.5631720430107525</v>
      </c>
      <c r="N1102" s="369">
        <f t="shared" si="476"/>
        <v>0.99193548387096764</v>
      </c>
      <c r="O1102" s="369">
        <f t="shared" si="476"/>
        <v>1.1666666666666667</v>
      </c>
      <c r="P1102" s="369">
        <f t="shared" si="476"/>
        <v>2.2661290322580645</v>
      </c>
      <c r="Q1102" s="369">
        <f t="shared" si="476"/>
        <v>0.49596774193548382</v>
      </c>
      <c r="R1102" s="369">
        <f t="shared" si="476"/>
        <v>2.1774193548387095</v>
      </c>
      <c r="S1102" s="429">
        <f t="shared" si="476"/>
        <v>1.1720430107526882</v>
      </c>
      <c r="T1102" s="365">
        <f t="shared" si="442"/>
        <v>373.59478835429513</v>
      </c>
      <c r="U1102" s="365">
        <f t="shared" si="440"/>
        <v>128.59478835429513</v>
      </c>
      <c r="V1102" s="365">
        <f t="shared" si="443"/>
        <v>331.25806451612902</v>
      </c>
      <c r="W1102" s="365">
        <f t="shared" si="444"/>
        <v>86.258064516129025</v>
      </c>
      <c r="X1102" s="365">
        <f t="shared" si="445"/>
        <v>20.38645502096179</v>
      </c>
      <c r="Y1102" s="365">
        <f t="shared" si="445"/>
        <v>0</v>
      </c>
      <c r="Z1102" s="365">
        <f t="shared" si="446"/>
        <v>21.9502688172043</v>
      </c>
      <c r="AC1102" s="4">
        <v>12</v>
      </c>
      <c r="AD1102" s="365">
        <f>IF($AF$1088=1,VLOOKUP($AD$1088,$A$1118:$P$1129,12,FALSE),VLOOKUP($AD$1088,$A$1091:$S$1102,3,FALSE))</f>
        <v>0</v>
      </c>
      <c r="AE1102" s="365">
        <f t="shared" si="448"/>
        <v>12.994252873563219</v>
      </c>
      <c r="AF1102" s="365">
        <f t="shared" si="449"/>
        <v>13.60632183908046</v>
      </c>
      <c r="AG1102" s="365">
        <f t="shared" si="450"/>
        <v>23.038793103448274</v>
      </c>
      <c r="AH1102" s="365">
        <f t="shared" si="451"/>
        <v>0.84541364088145554</v>
      </c>
      <c r="AI1102" s="365">
        <f t="shared" si="452"/>
        <v>6.623563218390804</v>
      </c>
      <c r="AJ1102" s="365">
        <f t="shared" si="453"/>
        <v>5.2959770114942524</v>
      </c>
      <c r="AK1102" s="365">
        <f t="shared" si="454"/>
        <v>8.1824712643678161</v>
      </c>
      <c r="AL1102" s="365">
        <f t="shared" si="455"/>
        <v>8.4626436781609193</v>
      </c>
      <c r="AM1102" s="365">
        <f t="shared" si="456"/>
        <v>2.6824712643678161</v>
      </c>
      <c r="AN1102" s="365">
        <f t="shared" si="457"/>
        <v>3.1609195402298851</v>
      </c>
      <c r="AO1102" s="365">
        <f t="shared" si="458"/>
        <v>6.1408045977011492</v>
      </c>
      <c r="AP1102" s="365">
        <f t="shared" si="459"/>
        <v>1.0459770114942528</v>
      </c>
      <c r="AQ1102" s="365">
        <f t="shared" si="460"/>
        <v>1.920977011494253</v>
      </c>
      <c r="AR1102" s="365">
        <f t="shared" si="461"/>
        <v>2.4770114942528738</v>
      </c>
      <c r="AS1102" s="365">
        <f t="shared" si="462"/>
        <v>96.477597548927434</v>
      </c>
      <c r="AT1102" s="365">
        <f t="shared" si="463"/>
        <v>6.3606831982342937</v>
      </c>
      <c r="AU1102" s="365">
        <f t="shared" si="464"/>
        <v>102.83828074716173</v>
      </c>
      <c r="AW1102" s="365">
        <f t="shared" si="465"/>
        <v>192.375</v>
      </c>
      <c r="AX1102" s="365">
        <f t="shared" si="466"/>
        <v>-89.536719252838267</v>
      </c>
    </row>
    <row r="1103" spans="1:50" ht="15.75" customHeight="1" x14ac:dyDescent="0.3">
      <c r="A1103" s="418"/>
      <c r="AC1103" s="4">
        <v>13</v>
      </c>
      <c r="AD1103" s="365">
        <f>IF($AF$1088=1,VLOOKUP($AD$1088,$A$1118:$P$1129,12,FALSE),IF(OR($AD$1088="JUN",$AD$1088="JUL",$AD$1088="AUG"),VLOOKUP($AD$1088,$A$1091:$S$1102,4,FALSE),VLOOKUP($AD$1088,$A$1091:$S$1102,3,FALSE)))</f>
        <v>0</v>
      </c>
      <c r="AE1103" s="365">
        <f t="shared" si="448"/>
        <v>12.994252873563219</v>
      </c>
      <c r="AF1103" s="365">
        <f t="shared" si="449"/>
        <v>13.60632183908046</v>
      </c>
      <c r="AG1103" s="365">
        <f t="shared" si="450"/>
        <v>23.038793103448274</v>
      </c>
      <c r="AH1103" s="365">
        <f t="shared" si="451"/>
        <v>0.84541364088145554</v>
      </c>
      <c r="AI1103" s="365">
        <f t="shared" si="452"/>
        <v>6.623563218390804</v>
      </c>
      <c r="AJ1103" s="365">
        <f t="shared" si="453"/>
        <v>5.2959770114942524</v>
      </c>
      <c r="AK1103" s="365">
        <f t="shared" si="454"/>
        <v>8.1824712643678161</v>
      </c>
      <c r="AL1103" s="365">
        <f t="shared" si="455"/>
        <v>8.4626436781609193</v>
      </c>
      <c r="AM1103" s="365">
        <f t="shared" si="456"/>
        <v>2.6824712643678161</v>
      </c>
      <c r="AN1103" s="365">
        <f t="shared" si="457"/>
        <v>3.1609195402298851</v>
      </c>
      <c r="AO1103" s="365">
        <f t="shared" si="458"/>
        <v>6.1408045977011492</v>
      </c>
      <c r="AP1103" s="365">
        <f t="shared" si="459"/>
        <v>1.0459770114942528</v>
      </c>
      <c r="AQ1103" s="365">
        <f t="shared" si="460"/>
        <v>1.920977011494253</v>
      </c>
      <c r="AR1103" s="365">
        <f t="shared" si="461"/>
        <v>2.4770114942528738</v>
      </c>
      <c r="AS1103" s="365">
        <f t="shared" si="462"/>
        <v>96.477597548927434</v>
      </c>
      <c r="AT1103" s="365">
        <f t="shared" si="463"/>
        <v>6.3606831982342937</v>
      </c>
      <c r="AU1103" s="365">
        <f t="shared" si="464"/>
        <v>102.83828074716173</v>
      </c>
      <c r="AW1103" s="365">
        <f t="shared" si="465"/>
        <v>192.375</v>
      </c>
      <c r="AX1103" s="365">
        <f t="shared" si="466"/>
        <v>-89.536719252838267</v>
      </c>
    </row>
    <row r="1104" spans="1:50" ht="27.75" customHeight="1" x14ac:dyDescent="0.3">
      <c r="A1104" s="418" t="s">
        <v>1096</v>
      </c>
      <c r="AC1104" s="4">
        <v>14</v>
      </c>
      <c r="AD1104" s="365">
        <f t="shared" ref="AD1104:AD1110" si="477">IF($AF$1088=1,VLOOKUP($AD$1088,$A$1118:$P$1129,12,FALSE),IF(OR($AD$1088="JUN",$AD$1088="JUL",$AD$1088="AUG"),VLOOKUP($AD$1088,$A$1091:$S$1102,4,FALSE),VLOOKUP($AD$1088,$A$1091:$S$1102,3,FALSE)))</f>
        <v>0</v>
      </c>
      <c r="AE1104" s="365">
        <f t="shared" si="448"/>
        <v>12.994252873563219</v>
      </c>
      <c r="AF1104" s="365">
        <f t="shared" si="449"/>
        <v>13.60632183908046</v>
      </c>
      <c r="AG1104" s="365">
        <f t="shared" si="450"/>
        <v>23.038793103448274</v>
      </c>
      <c r="AH1104" s="365">
        <f t="shared" si="451"/>
        <v>0.84541364088145554</v>
      </c>
      <c r="AI1104" s="365">
        <f t="shared" si="452"/>
        <v>6.623563218390804</v>
      </c>
      <c r="AJ1104" s="365">
        <f t="shared" si="453"/>
        <v>5.2959770114942524</v>
      </c>
      <c r="AK1104" s="365">
        <f t="shared" si="454"/>
        <v>8.1824712643678161</v>
      </c>
      <c r="AL1104" s="365">
        <f t="shared" si="455"/>
        <v>8.4626436781609193</v>
      </c>
      <c r="AM1104" s="365">
        <f t="shared" si="456"/>
        <v>2.6824712643678161</v>
      </c>
      <c r="AN1104" s="365">
        <f t="shared" si="457"/>
        <v>3.1609195402298851</v>
      </c>
      <c r="AO1104" s="365">
        <f t="shared" si="458"/>
        <v>6.1408045977011492</v>
      </c>
      <c r="AP1104" s="365">
        <f t="shared" si="459"/>
        <v>1.0459770114942528</v>
      </c>
      <c r="AQ1104" s="365">
        <f t="shared" si="460"/>
        <v>1.920977011494253</v>
      </c>
      <c r="AR1104" s="365">
        <f t="shared" si="461"/>
        <v>2.4770114942528738</v>
      </c>
      <c r="AS1104" s="365">
        <f t="shared" si="462"/>
        <v>96.477597548927434</v>
      </c>
      <c r="AT1104" s="365">
        <f t="shared" si="463"/>
        <v>6.3606831982342937</v>
      </c>
      <c r="AU1104" s="365">
        <f t="shared" si="464"/>
        <v>102.83828074716173</v>
      </c>
      <c r="AW1104" s="365">
        <f t="shared" si="465"/>
        <v>192.375</v>
      </c>
      <c r="AX1104" s="365">
        <f t="shared" si="466"/>
        <v>-89.536719252838267</v>
      </c>
    </row>
    <row r="1105" spans="1:50" ht="15.75" customHeight="1" x14ac:dyDescent="0.3">
      <c r="A1105" s="418"/>
      <c r="AC1105" s="4">
        <v>15</v>
      </c>
      <c r="AD1105" s="365">
        <f t="shared" si="477"/>
        <v>0</v>
      </c>
      <c r="AE1105" s="365">
        <f t="shared" si="448"/>
        <v>12.994252873563219</v>
      </c>
      <c r="AF1105" s="365">
        <f t="shared" si="449"/>
        <v>13.60632183908046</v>
      </c>
      <c r="AG1105" s="365">
        <f t="shared" si="450"/>
        <v>23.038793103448274</v>
      </c>
      <c r="AH1105" s="365">
        <f t="shared" si="451"/>
        <v>0.84541364088145554</v>
      </c>
      <c r="AI1105" s="365">
        <f t="shared" si="452"/>
        <v>6.623563218390804</v>
      </c>
      <c r="AJ1105" s="365">
        <f t="shared" si="453"/>
        <v>5.2959770114942524</v>
      </c>
      <c r="AK1105" s="365">
        <f t="shared" si="454"/>
        <v>8.1824712643678161</v>
      </c>
      <c r="AL1105" s="365">
        <f t="shared" si="455"/>
        <v>8.4626436781609193</v>
      </c>
      <c r="AM1105" s="365">
        <f t="shared" si="456"/>
        <v>2.6824712643678161</v>
      </c>
      <c r="AN1105" s="365">
        <f t="shared" si="457"/>
        <v>3.1609195402298851</v>
      </c>
      <c r="AO1105" s="365">
        <f t="shared" si="458"/>
        <v>6.1408045977011492</v>
      </c>
      <c r="AP1105" s="365">
        <f t="shared" si="459"/>
        <v>1.0459770114942528</v>
      </c>
      <c r="AQ1105" s="365">
        <f t="shared" si="460"/>
        <v>1.920977011494253</v>
      </c>
      <c r="AR1105" s="365">
        <f t="shared" si="461"/>
        <v>2.4770114942528738</v>
      </c>
      <c r="AS1105" s="365">
        <f t="shared" si="462"/>
        <v>96.477597548927434</v>
      </c>
      <c r="AT1105" s="365">
        <f t="shared" si="463"/>
        <v>6.3606831982342937</v>
      </c>
      <c r="AU1105" s="365">
        <f t="shared" si="464"/>
        <v>102.83828074716173</v>
      </c>
      <c r="AW1105" s="365">
        <f t="shared" si="465"/>
        <v>192.375</v>
      </c>
      <c r="AX1105" s="365">
        <f t="shared" si="466"/>
        <v>-89.536719252838267</v>
      </c>
    </row>
    <row r="1106" spans="1:50" ht="15.75" customHeight="1" x14ac:dyDescent="0.3">
      <c r="A1106" s="418"/>
      <c r="AC1106" s="4">
        <v>16</v>
      </c>
      <c r="AD1106" s="365">
        <f t="shared" si="477"/>
        <v>0</v>
      </c>
      <c r="AE1106" s="365">
        <f t="shared" si="448"/>
        <v>12.994252873563219</v>
      </c>
      <c r="AF1106" s="365">
        <f t="shared" si="449"/>
        <v>13.60632183908046</v>
      </c>
      <c r="AG1106" s="365">
        <f t="shared" si="450"/>
        <v>23.038793103448274</v>
      </c>
      <c r="AH1106" s="365">
        <f t="shared" si="451"/>
        <v>0.84541364088145554</v>
      </c>
      <c r="AI1106" s="365">
        <f t="shared" si="452"/>
        <v>6.623563218390804</v>
      </c>
      <c r="AJ1106" s="365">
        <f t="shared" si="453"/>
        <v>5.2959770114942524</v>
      </c>
      <c r="AK1106" s="365">
        <f t="shared" si="454"/>
        <v>8.1824712643678161</v>
      </c>
      <c r="AL1106" s="365">
        <f t="shared" si="455"/>
        <v>8.4626436781609193</v>
      </c>
      <c r="AM1106" s="365">
        <f t="shared" si="456"/>
        <v>2.6824712643678161</v>
      </c>
      <c r="AN1106" s="365">
        <f t="shared" si="457"/>
        <v>3.1609195402298851</v>
      </c>
      <c r="AO1106" s="365">
        <f t="shared" si="458"/>
        <v>6.1408045977011492</v>
      </c>
      <c r="AP1106" s="365">
        <f t="shared" si="459"/>
        <v>1.0459770114942528</v>
      </c>
      <c r="AQ1106" s="365">
        <f t="shared" si="460"/>
        <v>1.920977011494253</v>
      </c>
      <c r="AR1106" s="365">
        <f t="shared" si="461"/>
        <v>2.4770114942528738</v>
      </c>
      <c r="AS1106" s="365">
        <f t="shared" si="462"/>
        <v>96.477597548927434</v>
      </c>
      <c r="AT1106" s="365">
        <f t="shared" si="463"/>
        <v>6.3606831982342937</v>
      </c>
      <c r="AU1106" s="365">
        <f t="shared" si="464"/>
        <v>102.83828074716173</v>
      </c>
      <c r="AW1106" s="365">
        <f t="shared" si="465"/>
        <v>192.375</v>
      </c>
      <c r="AX1106" s="365">
        <f t="shared" si="466"/>
        <v>-89.536719252838267</v>
      </c>
    </row>
    <row r="1107" spans="1:50" ht="15.75" customHeight="1" thickBot="1" x14ac:dyDescent="0.35">
      <c r="A1107" s="418"/>
      <c r="AC1107" s="4">
        <v>17</v>
      </c>
      <c r="AD1107" s="365">
        <f t="shared" si="477"/>
        <v>0</v>
      </c>
      <c r="AE1107" s="365">
        <f t="shared" si="448"/>
        <v>12.994252873563219</v>
      </c>
      <c r="AF1107" s="365">
        <f t="shared" si="449"/>
        <v>13.60632183908046</v>
      </c>
      <c r="AG1107" s="365">
        <f t="shared" si="450"/>
        <v>23.038793103448274</v>
      </c>
      <c r="AH1107" s="365">
        <f t="shared" si="451"/>
        <v>0.84541364088145554</v>
      </c>
      <c r="AI1107" s="365">
        <f t="shared" si="452"/>
        <v>6.623563218390804</v>
      </c>
      <c r="AJ1107" s="365">
        <f t="shared" si="453"/>
        <v>5.2959770114942524</v>
      </c>
      <c r="AK1107" s="365">
        <f t="shared" si="454"/>
        <v>8.1824712643678161</v>
      </c>
      <c r="AL1107" s="365">
        <f t="shared" si="455"/>
        <v>8.4626436781609193</v>
      </c>
      <c r="AM1107" s="365">
        <f t="shared" si="456"/>
        <v>2.6824712643678161</v>
      </c>
      <c r="AN1107" s="365">
        <f t="shared" si="457"/>
        <v>3.1609195402298851</v>
      </c>
      <c r="AO1107" s="365">
        <f t="shared" si="458"/>
        <v>6.1408045977011492</v>
      </c>
      <c r="AP1107" s="365">
        <f t="shared" si="459"/>
        <v>1.0459770114942528</v>
      </c>
      <c r="AQ1107" s="365">
        <f t="shared" si="460"/>
        <v>1.920977011494253</v>
      </c>
      <c r="AR1107" s="365">
        <f t="shared" si="461"/>
        <v>2.4770114942528738</v>
      </c>
      <c r="AS1107" s="365">
        <f t="shared" si="462"/>
        <v>96.477597548927434</v>
      </c>
      <c r="AT1107" s="365">
        <f t="shared" si="463"/>
        <v>6.3606831982342937</v>
      </c>
      <c r="AU1107" s="365">
        <f t="shared" si="464"/>
        <v>102.83828074716173</v>
      </c>
      <c r="AW1107" s="365">
        <f t="shared" si="465"/>
        <v>192.375</v>
      </c>
      <c r="AX1107" s="365">
        <f t="shared" si="466"/>
        <v>-89.536719252838267</v>
      </c>
    </row>
    <row r="1108" spans="1:50" ht="15.75" customHeight="1" x14ac:dyDescent="0.3">
      <c r="A1108" s="430"/>
      <c r="B1108" s="506" t="s">
        <v>1097</v>
      </c>
      <c r="C1108" s="506"/>
      <c r="D1108" s="506"/>
      <c r="E1108" s="506"/>
      <c r="F1108" s="506"/>
      <c r="G1108" s="506"/>
      <c r="H1108" s="506"/>
      <c r="I1108" s="506"/>
      <c r="J1108" s="506"/>
      <c r="K1108" s="506"/>
      <c r="L1108" s="506"/>
      <c r="M1108" s="506"/>
      <c r="N1108" s="506"/>
      <c r="O1108" s="506"/>
      <c r="P1108" s="506"/>
      <c r="Q1108" s="361" t="str">
        <f>+Q1</f>
        <v xml:space="preserve">PRINTED:  </v>
      </c>
      <c r="R1108" s="362">
        <f ca="1">+R1</f>
        <v>44909.46975358796</v>
      </c>
      <c r="AC1108" s="4">
        <v>18</v>
      </c>
      <c r="AD1108" s="365">
        <f t="shared" si="477"/>
        <v>0</v>
      </c>
      <c r="AE1108" s="365">
        <f t="shared" si="448"/>
        <v>12.994252873563219</v>
      </c>
      <c r="AF1108" s="365">
        <f t="shared" si="449"/>
        <v>13.60632183908046</v>
      </c>
      <c r="AG1108" s="365">
        <f t="shared" si="450"/>
        <v>23.038793103448274</v>
      </c>
      <c r="AH1108" s="365">
        <f t="shared" si="451"/>
        <v>0.84541364088145554</v>
      </c>
      <c r="AI1108" s="365">
        <f t="shared" si="452"/>
        <v>6.623563218390804</v>
      </c>
      <c r="AJ1108" s="365">
        <f t="shared" si="453"/>
        <v>5.2959770114942524</v>
      </c>
      <c r="AK1108" s="365">
        <f t="shared" si="454"/>
        <v>8.1824712643678161</v>
      </c>
      <c r="AL1108" s="365">
        <f t="shared" si="455"/>
        <v>8.4626436781609193</v>
      </c>
      <c r="AM1108" s="365">
        <f t="shared" si="456"/>
        <v>2.6824712643678161</v>
      </c>
      <c r="AN1108" s="365">
        <f t="shared" si="457"/>
        <v>3.1609195402298851</v>
      </c>
      <c r="AO1108" s="365">
        <f t="shared" si="458"/>
        <v>6.1408045977011492</v>
      </c>
      <c r="AP1108" s="365">
        <f t="shared" si="459"/>
        <v>1.0459770114942528</v>
      </c>
      <c r="AQ1108" s="365">
        <f t="shared" si="460"/>
        <v>1.920977011494253</v>
      </c>
      <c r="AR1108" s="365">
        <f t="shared" si="461"/>
        <v>2.4770114942528738</v>
      </c>
      <c r="AS1108" s="365">
        <f t="shared" si="462"/>
        <v>96.477597548927434</v>
      </c>
      <c r="AT1108" s="365">
        <f t="shared" si="463"/>
        <v>6.3606831982342937</v>
      </c>
      <c r="AU1108" s="365">
        <f t="shared" si="464"/>
        <v>102.83828074716173</v>
      </c>
      <c r="AW1108" s="365">
        <f t="shared" si="465"/>
        <v>192.375</v>
      </c>
      <c r="AX1108" s="365">
        <f t="shared" si="466"/>
        <v>-89.536719252838267</v>
      </c>
    </row>
    <row r="1109" spans="1:50" ht="16.5" customHeight="1" x14ac:dyDescent="0.3">
      <c r="A1109" s="416"/>
      <c r="B1109" s="503" t="str">
        <f>+A8</f>
        <v>Revised:  12/23/2020</v>
      </c>
      <c r="C1109" s="503"/>
      <c r="D1109" s="503"/>
      <c r="E1109" s="503"/>
      <c r="F1109" s="503"/>
      <c r="G1109" s="503"/>
      <c r="H1109" s="503"/>
      <c r="I1109" s="503"/>
      <c r="J1109" s="503"/>
      <c r="K1109" s="503"/>
      <c r="L1109" s="503"/>
      <c r="M1109" s="503"/>
      <c r="N1109" s="503"/>
      <c r="O1109" s="503"/>
      <c r="P1109" s="503"/>
      <c r="R1109" s="481"/>
      <c r="AC1109" s="4">
        <v>19</v>
      </c>
      <c r="AD1109" s="365">
        <f t="shared" si="477"/>
        <v>0</v>
      </c>
      <c r="AE1109" s="365">
        <f t="shared" si="448"/>
        <v>12.994252873563219</v>
      </c>
      <c r="AF1109" s="365">
        <f t="shared" si="449"/>
        <v>13.60632183908046</v>
      </c>
      <c r="AG1109" s="365">
        <f t="shared" si="450"/>
        <v>23.038793103448274</v>
      </c>
      <c r="AH1109" s="365">
        <f t="shared" si="451"/>
        <v>0.84541364088145554</v>
      </c>
      <c r="AI1109" s="365">
        <f t="shared" si="452"/>
        <v>6.623563218390804</v>
      </c>
      <c r="AJ1109" s="365">
        <f t="shared" si="453"/>
        <v>5.2959770114942524</v>
      </c>
      <c r="AK1109" s="365">
        <f t="shared" si="454"/>
        <v>8.1824712643678161</v>
      </c>
      <c r="AL1109" s="365">
        <f t="shared" si="455"/>
        <v>8.4626436781609193</v>
      </c>
      <c r="AM1109" s="365">
        <f t="shared" si="456"/>
        <v>2.6824712643678161</v>
      </c>
      <c r="AN1109" s="365">
        <f t="shared" si="457"/>
        <v>3.1609195402298851</v>
      </c>
      <c r="AO1109" s="365">
        <f t="shared" si="458"/>
        <v>6.1408045977011492</v>
      </c>
      <c r="AP1109" s="365">
        <f t="shared" si="459"/>
        <v>1.0459770114942528</v>
      </c>
      <c r="AQ1109" s="365">
        <f t="shared" si="460"/>
        <v>1.920977011494253</v>
      </c>
      <c r="AR1109" s="365">
        <f t="shared" si="461"/>
        <v>2.4770114942528738</v>
      </c>
      <c r="AS1109" s="365">
        <f t="shared" si="462"/>
        <v>96.477597548927434</v>
      </c>
      <c r="AT1109" s="365">
        <f t="shared" si="463"/>
        <v>6.3606831982342937</v>
      </c>
      <c r="AU1109" s="365">
        <f t="shared" si="464"/>
        <v>102.83828074716173</v>
      </c>
      <c r="AW1109" s="365">
        <f t="shared" si="465"/>
        <v>192.375</v>
      </c>
      <c r="AX1109" s="365">
        <f t="shared" si="466"/>
        <v>-89.536719252838267</v>
      </c>
    </row>
    <row r="1110" spans="1:50" ht="16.5" customHeight="1" x14ac:dyDescent="0.3">
      <c r="A1110" s="416"/>
      <c r="B1110" s="503" t="s">
        <v>1024</v>
      </c>
      <c r="C1110" s="503"/>
      <c r="D1110" s="503"/>
      <c r="E1110" s="503"/>
      <c r="F1110" s="503"/>
      <c r="G1110" s="503"/>
      <c r="H1110" s="503"/>
      <c r="I1110" s="503"/>
      <c r="J1110" s="503"/>
      <c r="K1110" s="503"/>
      <c r="L1110" s="503"/>
      <c r="M1110" s="503"/>
      <c r="N1110" s="503"/>
      <c r="O1110" s="503"/>
      <c r="P1110" s="503"/>
      <c r="R1110" s="481"/>
      <c r="AC1110" s="4">
        <v>20</v>
      </c>
      <c r="AD1110" s="365">
        <f t="shared" si="477"/>
        <v>0</v>
      </c>
      <c r="AE1110" s="365">
        <f t="shared" si="448"/>
        <v>12.994252873563219</v>
      </c>
      <c r="AF1110" s="365">
        <f t="shared" si="449"/>
        <v>13.60632183908046</v>
      </c>
      <c r="AG1110" s="365">
        <f t="shared" si="450"/>
        <v>23.038793103448274</v>
      </c>
      <c r="AH1110" s="365">
        <f t="shared" si="451"/>
        <v>0.84541364088145554</v>
      </c>
      <c r="AI1110" s="365">
        <f t="shared" si="452"/>
        <v>6.623563218390804</v>
      </c>
      <c r="AJ1110" s="365">
        <f t="shared" si="453"/>
        <v>5.2959770114942524</v>
      </c>
      <c r="AK1110" s="365">
        <f t="shared" si="454"/>
        <v>8.1824712643678161</v>
      </c>
      <c r="AL1110" s="365">
        <f t="shared" si="455"/>
        <v>8.4626436781609193</v>
      </c>
      <c r="AM1110" s="365">
        <f t="shared" si="456"/>
        <v>2.6824712643678161</v>
      </c>
      <c r="AN1110" s="365">
        <f t="shared" si="457"/>
        <v>3.1609195402298851</v>
      </c>
      <c r="AO1110" s="365">
        <f t="shared" si="458"/>
        <v>6.1408045977011492</v>
      </c>
      <c r="AP1110" s="365">
        <f t="shared" si="459"/>
        <v>1.0459770114942528</v>
      </c>
      <c r="AQ1110" s="365">
        <f t="shared" si="460"/>
        <v>1.920977011494253</v>
      </c>
      <c r="AR1110" s="365">
        <f t="shared" si="461"/>
        <v>2.4770114942528738</v>
      </c>
      <c r="AS1110" s="365">
        <f t="shared" si="462"/>
        <v>96.477597548927434</v>
      </c>
      <c r="AT1110" s="365">
        <f t="shared" si="463"/>
        <v>6.3606831982342937</v>
      </c>
      <c r="AU1110" s="365">
        <f t="shared" si="464"/>
        <v>102.83828074716173</v>
      </c>
      <c r="AW1110" s="365">
        <f t="shared" si="465"/>
        <v>192.375</v>
      </c>
      <c r="AX1110" s="365">
        <f t="shared" si="466"/>
        <v>-89.536719252838267</v>
      </c>
    </row>
    <row r="1111" spans="1:50" ht="16.5" customHeight="1" x14ac:dyDescent="0.3">
      <c r="A1111" s="416"/>
      <c r="B1111" s="159"/>
      <c r="C1111" s="159"/>
      <c r="D1111" s="159"/>
      <c r="E1111" s="159"/>
      <c r="F1111" s="159"/>
      <c r="G1111" s="159"/>
      <c r="H1111" s="159"/>
      <c r="I1111" s="159"/>
      <c r="J1111" s="159"/>
      <c r="K1111" s="159"/>
      <c r="L1111" s="159"/>
      <c r="M1111" s="159"/>
      <c r="N1111" s="159"/>
      <c r="O1111" s="159"/>
      <c r="P1111" s="159"/>
      <c r="R1111" s="481"/>
      <c r="AC1111" s="4">
        <v>21</v>
      </c>
      <c r="AD1111" s="365">
        <f>IF($AF$1088=1,VLOOKUP($AD$1088,$A$1118:$P$1129,12,FALSE),VLOOKUP($AD$1088,$A$1091:$S$1102,3,FALSE))</f>
        <v>0</v>
      </c>
      <c r="AE1111" s="365">
        <f t="shared" si="448"/>
        <v>12.994252873563219</v>
      </c>
      <c r="AF1111" s="365">
        <f t="shared" si="449"/>
        <v>13.60632183908046</v>
      </c>
      <c r="AG1111" s="365">
        <f t="shared" si="450"/>
        <v>23.038793103448274</v>
      </c>
      <c r="AH1111" s="365">
        <f t="shared" si="451"/>
        <v>0.84541364088145554</v>
      </c>
      <c r="AI1111" s="365">
        <f t="shared" si="452"/>
        <v>6.623563218390804</v>
      </c>
      <c r="AJ1111" s="365">
        <f t="shared" si="453"/>
        <v>5.2959770114942524</v>
      </c>
      <c r="AK1111" s="365">
        <f t="shared" si="454"/>
        <v>8.1824712643678161</v>
      </c>
      <c r="AL1111" s="365">
        <f t="shared" si="455"/>
        <v>8.4626436781609193</v>
      </c>
      <c r="AM1111" s="365">
        <f t="shared" si="456"/>
        <v>2.6824712643678161</v>
      </c>
      <c r="AN1111" s="365">
        <f t="shared" si="457"/>
        <v>3.1609195402298851</v>
      </c>
      <c r="AO1111" s="365">
        <f t="shared" si="458"/>
        <v>6.1408045977011492</v>
      </c>
      <c r="AP1111" s="365">
        <f t="shared" si="459"/>
        <v>1.0459770114942528</v>
      </c>
      <c r="AQ1111" s="365">
        <f t="shared" si="460"/>
        <v>1.920977011494253</v>
      </c>
      <c r="AR1111" s="365">
        <f t="shared" si="461"/>
        <v>2.4770114942528738</v>
      </c>
      <c r="AS1111" s="365">
        <f t="shared" si="462"/>
        <v>96.477597548927434</v>
      </c>
      <c r="AT1111" s="365">
        <f t="shared" si="463"/>
        <v>6.3606831982342937</v>
      </c>
      <c r="AU1111" s="365">
        <f t="shared" si="464"/>
        <v>102.83828074716173</v>
      </c>
      <c r="AW1111" s="365">
        <f t="shared" si="465"/>
        <v>192.375</v>
      </c>
      <c r="AX1111" s="365">
        <f t="shared" si="466"/>
        <v>-89.536719252838267</v>
      </c>
    </row>
    <row r="1112" spans="1:50" ht="16.5" customHeight="1" x14ac:dyDescent="0.3">
      <c r="A1112" s="416"/>
      <c r="B1112" s="539">
        <f>+A5</f>
        <v>2020</v>
      </c>
      <c r="C1112" s="509"/>
      <c r="D1112" s="509"/>
      <c r="E1112" s="509"/>
      <c r="F1112" s="509"/>
      <c r="G1112" s="509"/>
      <c r="H1112" s="509"/>
      <c r="I1112" s="509"/>
      <c r="J1112" s="509"/>
      <c r="K1112" s="509"/>
      <c r="L1112" s="509"/>
      <c r="M1112" s="509"/>
      <c r="N1112" s="509"/>
      <c r="O1112" s="509"/>
      <c r="P1112" s="509"/>
      <c r="R1112" s="481"/>
      <c r="AC1112" s="4">
        <v>22</v>
      </c>
      <c r="AD1112" s="365">
        <f>IF($AF$1088=1,VLOOKUP($AD$1088,$A$1118:$P$1129,12,FALSE),VLOOKUP($AD$1088,$A$1091:$S$1102,3,FALSE))</f>
        <v>0</v>
      </c>
      <c r="AE1112" s="365">
        <f t="shared" si="448"/>
        <v>12.994252873563219</v>
      </c>
      <c r="AF1112" s="365">
        <f t="shared" si="449"/>
        <v>13.60632183908046</v>
      </c>
      <c r="AG1112" s="365">
        <f t="shared" si="450"/>
        <v>23.038793103448274</v>
      </c>
      <c r="AH1112" s="365">
        <f t="shared" si="451"/>
        <v>0.84541364088145554</v>
      </c>
      <c r="AI1112" s="365">
        <f t="shared" si="452"/>
        <v>6.623563218390804</v>
      </c>
      <c r="AJ1112" s="365">
        <f t="shared" si="453"/>
        <v>5.2959770114942524</v>
      </c>
      <c r="AK1112" s="365">
        <f t="shared" si="454"/>
        <v>8.1824712643678161</v>
      </c>
      <c r="AL1112" s="365">
        <f t="shared" si="455"/>
        <v>8.4626436781609193</v>
      </c>
      <c r="AM1112" s="365">
        <f t="shared" si="456"/>
        <v>2.6824712643678161</v>
      </c>
      <c r="AN1112" s="365">
        <f t="shared" si="457"/>
        <v>3.1609195402298851</v>
      </c>
      <c r="AO1112" s="365">
        <f t="shared" si="458"/>
        <v>6.1408045977011492</v>
      </c>
      <c r="AP1112" s="365">
        <f t="shared" si="459"/>
        <v>1.0459770114942528</v>
      </c>
      <c r="AQ1112" s="365">
        <f t="shared" si="460"/>
        <v>1.920977011494253</v>
      </c>
      <c r="AR1112" s="365">
        <f t="shared" si="461"/>
        <v>2.4770114942528738</v>
      </c>
      <c r="AS1112" s="365">
        <f t="shared" si="462"/>
        <v>96.477597548927434</v>
      </c>
      <c r="AT1112" s="365">
        <f t="shared" si="463"/>
        <v>6.3606831982342937</v>
      </c>
      <c r="AU1112" s="365">
        <f t="shared" si="464"/>
        <v>102.83828074716173</v>
      </c>
      <c r="AW1112" s="365">
        <f t="shared" si="465"/>
        <v>192.375</v>
      </c>
      <c r="AX1112" s="365">
        <f t="shared" si="466"/>
        <v>-89.536719252838267</v>
      </c>
    </row>
    <row r="1113" spans="1:50" ht="15.75" customHeight="1" x14ac:dyDescent="0.3">
      <c r="A1113" s="416"/>
      <c r="B1113" s="503" t="s">
        <v>457</v>
      </c>
      <c r="C1113" s="503"/>
      <c r="D1113" s="503"/>
      <c r="E1113" s="503"/>
      <c r="F1113" s="503"/>
      <c r="G1113" s="503"/>
      <c r="H1113" s="503"/>
      <c r="I1113" s="503"/>
      <c r="J1113" s="503"/>
      <c r="K1113" s="503"/>
      <c r="L1113" s="503"/>
      <c r="M1113" s="503"/>
      <c r="N1113" s="503"/>
      <c r="O1113" s="503"/>
      <c r="P1113" s="503"/>
      <c r="R1113" s="481"/>
      <c r="AC1113" s="4">
        <v>23</v>
      </c>
      <c r="AD1113" s="365">
        <f>IF($AF$1088=1,VLOOKUP($AD$1088,$A$1118:$P$1129,12,FALSE),IF(OR($AD$1088="JAN",$AD$1088="FEB",$AD$1088="NOV",$AD$1088="DEC"),VLOOKUP($AD$1088,$A$1091:$S$1102,3,FALSE),VLOOKUP($AD$1088,$A$1091:$S$1102,2,FALSE)))</f>
        <v>0</v>
      </c>
      <c r="AE1113" s="365">
        <f t="shared" si="448"/>
        <v>12.994252873563219</v>
      </c>
      <c r="AF1113" s="365">
        <f t="shared" si="449"/>
        <v>13.60632183908046</v>
      </c>
      <c r="AG1113" s="365">
        <f t="shared" si="450"/>
        <v>23.038793103448274</v>
      </c>
      <c r="AH1113" s="365">
        <f t="shared" si="451"/>
        <v>0.84541364088145554</v>
      </c>
      <c r="AI1113" s="365">
        <f t="shared" si="452"/>
        <v>6.623563218390804</v>
      </c>
      <c r="AJ1113" s="365">
        <f t="shared" si="453"/>
        <v>5.2959770114942524</v>
      </c>
      <c r="AK1113" s="365">
        <f t="shared" si="454"/>
        <v>8.1824712643678161</v>
      </c>
      <c r="AL1113" s="365">
        <f t="shared" si="455"/>
        <v>8.4626436781609193</v>
      </c>
      <c r="AM1113" s="365">
        <f t="shared" si="456"/>
        <v>2.6824712643678161</v>
      </c>
      <c r="AN1113" s="365">
        <f t="shared" si="457"/>
        <v>3.1609195402298851</v>
      </c>
      <c r="AO1113" s="365">
        <f t="shared" si="458"/>
        <v>6.1408045977011492</v>
      </c>
      <c r="AP1113" s="365">
        <f t="shared" si="459"/>
        <v>1.0459770114942528</v>
      </c>
      <c r="AQ1113" s="365">
        <f t="shared" si="460"/>
        <v>1.920977011494253</v>
      </c>
      <c r="AR1113" s="365">
        <f t="shared" si="461"/>
        <v>2.4770114942528738</v>
      </c>
      <c r="AS1113" s="365">
        <f t="shared" si="462"/>
        <v>96.477597548927434</v>
      </c>
      <c r="AT1113" s="365">
        <f t="shared" si="463"/>
        <v>6.3606831982342937</v>
      </c>
      <c r="AU1113" s="365">
        <f t="shared" si="464"/>
        <v>102.83828074716173</v>
      </c>
      <c r="AW1113" s="365">
        <f t="shared" si="465"/>
        <v>192.375</v>
      </c>
      <c r="AX1113" s="365">
        <f t="shared" si="466"/>
        <v>-89.536719252838267</v>
      </c>
    </row>
    <row r="1114" spans="1:50" ht="15.75" customHeight="1" thickBot="1" x14ac:dyDescent="0.35">
      <c r="A1114" s="416"/>
      <c r="R1114" s="481"/>
      <c r="AC1114" s="4">
        <v>24</v>
      </c>
      <c r="AD1114" s="365">
        <f>IF($AF$1088=1,VLOOKUP($AD$1088,$A$1118:$P$1129,12,FALSE),VLOOKUP($AD$1088,$A$1091:$S$1102,2,FALSE))</f>
        <v>98</v>
      </c>
      <c r="AE1114" s="365">
        <f t="shared" si="448"/>
        <v>12.994252873563219</v>
      </c>
      <c r="AF1114" s="365">
        <f t="shared" si="449"/>
        <v>13.60632183908046</v>
      </c>
      <c r="AG1114" s="365">
        <f t="shared" si="450"/>
        <v>23.038793103448274</v>
      </c>
      <c r="AH1114" s="365">
        <f t="shared" si="451"/>
        <v>0.84541364088145554</v>
      </c>
      <c r="AI1114" s="365">
        <f t="shared" si="452"/>
        <v>6.623563218390804</v>
      </c>
      <c r="AJ1114" s="365">
        <f t="shared" si="453"/>
        <v>5.2959770114942524</v>
      </c>
      <c r="AK1114" s="365">
        <f t="shared" si="454"/>
        <v>8.1824712643678161</v>
      </c>
      <c r="AL1114" s="365">
        <f t="shared" si="455"/>
        <v>8.4626436781609193</v>
      </c>
      <c r="AM1114" s="365">
        <f t="shared" si="456"/>
        <v>2.6824712643678161</v>
      </c>
      <c r="AN1114" s="365">
        <f t="shared" si="457"/>
        <v>3.1609195402298851</v>
      </c>
      <c r="AO1114" s="365">
        <f t="shared" si="458"/>
        <v>6.1408045977011492</v>
      </c>
      <c r="AP1114" s="365">
        <f t="shared" si="459"/>
        <v>1.0459770114942528</v>
      </c>
      <c r="AQ1114" s="365">
        <f t="shared" si="460"/>
        <v>1.920977011494253</v>
      </c>
      <c r="AR1114" s="365">
        <f t="shared" si="461"/>
        <v>2.4770114942528738</v>
      </c>
      <c r="AS1114" s="365">
        <f t="shared" si="462"/>
        <v>194.47759754892746</v>
      </c>
      <c r="AT1114" s="365">
        <f t="shared" si="463"/>
        <v>12.821737051807277</v>
      </c>
      <c r="AU1114" s="365">
        <f t="shared" si="464"/>
        <v>207.29933460073474</v>
      </c>
      <c r="AW1114" s="365">
        <f t="shared" si="465"/>
        <v>192.375</v>
      </c>
      <c r="AX1114" s="365">
        <f t="shared" si="466"/>
        <v>14.924334600734738</v>
      </c>
    </row>
    <row r="1115" spans="1:50" ht="15.75" customHeight="1" x14ac:dyDescent="0.3">
      <c r="A1115" s="416"/>
      <c r="B1115" s="542" t="s">
        <v>1098</v>
      </c>
      <c r="C1115" s="543"/>
      <c r="D1115" s="543"/>
      <c r="E1115" s="543"/>
      <c r="F1115" s="543"/>
      <c r="G1115" s="543"/>
      <c r="H1115" s="543"/>
      <c r="I1115" s="543"/>
      <c r="J1115" s="543"/>
      <c r="K1115" s="543"/>
      <c r="L1115" s="544"/>
      <c r="M1115" s="545" t="s">
        <v>1099</v>
      </c>
      <c r="N1115" s="543"/>
      <c r="O1115" s="543"/>
      <c r="P1115" s="543"/>
      <c r="Q1115" s="365" t="s">
        <v>1100</v>
      </c>
      <c r="R1115" s="489" t="s">
        <v>1101</v>
      </c>
      <c r="S1115" s="365" t="s">
        <v>1243</v>
      </c>
      <c r="T1115" s="365" t="s">
        <v>1082</v>
      </c>
      <c r="AC1115" s="4" t="s">
        <v>422</v>
      </c>
      <c r="AD1115" s="365">
        <f>SUM(AD1091:AD1114)</f>
        <v>784</v>
      </c>
      <c r="AE1115" s="365">
        <f>SUM(AE1091:AE1114)</f>
        <v>311.86206896551727</v>
      </c>
      <c r="AF1115" s="365">
        <f t="shared" ref="AF1115:AW1115" si="478">SUM(AF1091:AF1114)</f>
        <v>326.5517241379311</v>
      </c>
      <c r="AG1115" s="365">
        <f t="shared" si="478"/>
        <v>552.93103448275849</v>
      </c>
      <c r="AH1115" s="365">
        <f t="shared" si="478"/>
        <v>20.289927381154936</v>
      </c>
      <c r="AI1115" s="365">
        <f t="shared" si="478"/>
        <v>158.9655172413793</v>
      </c>
      <c r="AJ1115" s="365">
        <f t="shared" si="478"/>
        <v>127.10344827586212</v>
      </c>
      <c r="AK1115" s="365">
        <f t="shared" si="478"/>
        <v>196.37931034482764</v>
      </c>
      <c r="AL1115" s="365">
        <f t="shared" si="478"/>
        <v>203.10344827586212</v>
      </c>
      <c r="AM1115" s="365">
        <f t="shared" si="478"/>
        <v>64.37931034482763</v>
      </c>
      <c r="AN1115" s="365">
        <f t="shared" si="478"/>
        <v>75.862068965517224</v>
      </c>
      <c r="AO1115" s="365">
        <f t="shared" si="478"/>
        <v>147.37931034482762</v>
      </c>
      <c r="AP1115" s="365">
        <f t="shared" si="478"/>
        <v>25.103448275862061</v>
      </c>
      <c r="AQ1115" s="365">
        <f t="shared" si="478"/>
        <v>46.10344827586205</v>
      </c>
      <c r="AR1115" s="365">
        <f t="shared" si="478"/>
        <v>59.44827586206894</v>
      </c>
      <c r="AS1115" s="365">
        <f t="shared" si="478"/>
        <v>3099.4623411742582</v>
      </c>
      <c r="AT1115" s="365">
        <f t="shared" si="478"/>
        <v>204.34482758620686</v>
      </c>
      <c r="AU1115" s="365">
        <f t="shared" si="478"/>
        <v>3303.8071687604647</v>
      </c>
      <c r="AW1115" s="365">
        <f t="shared" si="478"/>
        <v>4617</v>
      </c>
      <c r="AX1115" s="365">
        <f>SUMIF(AX1091:AX1114,"&gt;0")</f>
        <v>119.39467680587791</v>
      </c>
    </row>
    <row r="1116" spans="1:50" ht="15.75" customHeight="1" thickBot="1" x14ac:dyDescent="0.35">
      <c r="A1116" s="416" t="s">
        <v>1071</v>
      </c>
      <c r="B1116" s="431" t="s">
        <v>1102</v>
      </c>
      <c r="C1116" s="432" t="s">
        <v>1085</v>
      </c>
      <c r="D1116" s="432" t="s">
        <v>1086</v>
      </c>
      <c r="E1116" s="432" t="s">
        <v>1103</v>
      </c>
      <c r="F1116" s="432" t="s">
        <v>1085</v>
      </c>
      <c r="G1116" s="432" t="s">
        <v>1086</v>
      </c>
      <c r="H1116" s="432" t="s">
        <v>1087</v>
      </c>
      <c r="I1116" s="432" t="s">
        <v>1085</v>
      </c>
      <c r="J1116" s="432" t="s">
        <v>1086</v>
      </c>
      <c r="K1116" s="432" t="s">
        <v>1087</v>
      </c>
      <c r="L1116" s="433" t="s">
        <v>1104</v>
      </c>
      <c r="M1116" s="431" t="s">
        <v>1105</v>
      </c>
      <c r="N1116" s="432" t="s">
        <v>1085</v>
      </c>
      <c r="O1116" s="432" t="s">
        <v>1085</v>
      </c>
      <c r="P1116" s="433" t="s">
        <v>1104</v>
      </c>
      <c r="Q1116" s="434" t="s">
        <v>422</v>
      </c>
      <c r="R1116" s="490" t="s">
        <v>1106</v>
      </c>
      <c r="S1116" s="432" t="s">
        <v>1244</v>
      </c>
      <c r="T1116" s="432" t="s">
        <v>1244</v>
      </c>
      <c r="AU1116" s="365"/>
      <c r="AW1116" s="365"/>
      <c r="AX1116" s="365"/>
    </row>
    <row r="1117" spans="1:50" ht="15.75" customHeight="1" thickTop="1" thickBot="1" x14ac:dyDescent="0.35">
      <c r="A1117" s="416"/>
      <c r="B1117" s="436"/>
      <c r="C1117" s="437" t="s">
        <v>1107</v>
      </c>
      <c r="D1117" s="437" t="s">
        <v>1107</v>
      </c>
      <c r="E1117" s="437" t="s">
        <v>1107</v>
      </c>
      <c r="F1117" s="438" t="s">
        <v>1079</v>
      </c>
      <c r="G1117" s="438" t="s">
        <v>1079</v>
      </c>
      <c r="H1117" s="438" t="s">
        <v>1079</v>
      </c>
      <c r="I1117" s="438" t="s">
        <v>1108</v>
      </c>
      <c r="J1117" s="438" t="s">
        <v>1108</v>
      </c>
      <c r="K1117" s="438" t="s">
        <v>1108</v>
      </c>
      <c r="L1117" s="491" t="s">
        <v>1109</v>
      </c>
      <c r="M1117" s="440"/>
      <c r="N1117" s="437" t="s">
        <v>1107</v>
      </c>
      <c r="O1117" s="438" t="s">
        <v>1079</v>
      </c>
      <c r="P1117" s="491" t="s">
        <v>1108</v>
      </c>
      <c r="Q1117" s="434" t="s">
        <v>1108</v>
      </c>
      <c r="R1117" s="490" t="s">
        <v>1108</v>
      </c>
      <c r="S1117" s="438" t="s">
        <v>1245</v>
      </c>
      <c r="T1117" s="438" t="s">
        <v>1245</v>
      </c>
    </row>
    <row r="1118" spans="1:50" ht="15.75" customHeight="1" x14ac:dyDescent="0.3">
      <c r="A1118" s="416" t="s">
        <v>795</v>
      </c>
      <c r="B1118" s="375" t="e">
        <f ca="1">+$B$10-M1118</f>
        <v>#NAME?</v>
      </c>
      <c r="C1118" s="441">
        <v>4</v>
      </c>
      <c r="D1118" s="441">
        <v>0</v>
      </c>
      <c r="E1118" s="441" t="s">
        <v>1095</v>
      </c>
      <c r="F1118" s="365">
        <f>+I1118/(24-S1118)</f>
        <v>196</v>
      </c>
      <c r="G1118" s="365">
        <f>+J1118/S1118</f>
        <v>0</v>
      </c>
      <c r="H1118" s="365" t="s">
        <v>1095</v>
      </c>
      <c r="I1118" s="365">
        <f>+C1118*49*(24-S1118)</f>
        <v>3724</v>
      </c>
      <c r="J1118" s="365">
        <f>+D1118*49*S1118</f>
        <v>0</v>
      </c>
      <c r="K1118" s="365" t="s">
        <v>1095</v>
      </c>
      <c r="L1118" s="489">
        <f>+J1118+I1118</f>
        <v>3724</v>
      </c>
      <c r="M1118" s="375" t="e">
        <f ca="1">SUMPRODUCT(--(WEEKDAY(ROW(INDIRECT(DATE($B$1112,MonthFromText(A1118),1)&amp;":"&amp;DATE($B$1112,MonthFromText(A1118),$B$10))),1)=1))</f>
        <v>#NAME?</v>
      </c>
      <c r="N1118" s="441">
        <v>4</v>
      </c>
      <c r="O1118" s="4">
        <f>+P1118/(24-T1118)</f>
        <v>196</v>
      </c>
      <c r="P1118" s="489">
        <f>+N1118*49*(24-T1118)</f>
        <v>3724</v>
      </c>
      <c r="Q1118" s="365" t="e">
        <f ca="1">+(L1118*B1118)+(M1118*P1118)</f>
        <v>#NAME?</v>
      </c>
      <c r="R1118" s="489" t="e">
        <f ca="1">+Q1118-B1011</f>
        <v>#NAME?</v>
      </c>
      <c r="S1118" s="470">
        <v>5</v>
      </c>
      <c r="T1118" s="470">
        <v>5</v>
      </c>
      <c r="AD1118" s="370"/>
      <c r="AE1118" s="368"/>
      <c r="AF1118" s="471" t="s">
        <v>1246</v>
      </c>
      <c r="AG1118" s="472" t="s">
        <v>1247</v>
      </c>
      <c r="AH1118" s="472" t="s">
        <v>1248</v>
      </c>
      <c r="AI1118" s="472" t="s">
        <v>1249</v>
      </c>
      <c r="AJ1118" s="332"/>
    </row>
    <row r="1119" spans="1:50" ht="15.75" customHeight="1" x14ac:dyDescent="0.3">
      <c r="A1119" s="416" t="s">
        <v>9</v>
      </c>
      <c r="B1119" s="375" t="e">
        <f ca="1">+$C$10-M1119</f>
        <v>#NAME?</v>
      </c>
      <c r="C1119" s="441">
        <v>2</v>
      </c>
      <c r="D1119" s="441">
        <v>0</v>
      </c>
      <c r="E1119" s="441" t="s">
        <v>1095</v>
      </c>
      <c r="F1119" s="365">
        <f t="shared" ref="F1119:F1129" si="479">+I1119/(24-S1119)</f>
        <v>98</v>
      </c>
      <c r="G1119" s="365">
        <f t="shared" ref="G1119:G1129" si="480">+J1119/S1119</f>
        <v>0</v>
      </c>
      <c r="H1119" s="365" t="s">
        <v>1095</v>
      </c>
      <c r="I1119" s="365">
        <f t="shared" ref="I1119:I1129" si="481">+C1119*49*(24-S1119)</f>
        <v>1862</v>
      </c>
      <c r="J1119" s="365">
        <f t="shared" ref="J1119:J1129" si="482">+D1119*49*S1119</f>
        <v>0</v>
      </c>
      <c r="K1119" s="365" t="s">
        <v>1095</v>
      </c>
      <c r="L1119" s="489">
        <f t="shared" ref="L1119:L1129" si="483">+J1119+I1119</f>
        <v>1862</v>
      </c>
      <c r="M1119" s="375" t="e">
        <f ca="1">SUMPRODUCT(--(WEEKDAY(ROW(INDIRECT(DATE($B$1112,MonthFromText(A1119),1)&amp;":"&amp;DATE($B$1112,MonthFromText(A1119),$C$10))),1)=1))</f>
        <v>#NAME?</v>
      </c>
      <c r="N1119" s="441">
        <f t="shared" ref="N1119:N1127" si="484">+C1119</f>
        <v>2</v>
      </c>
      <c r="O1119" s="4">
        <f t="shared" ref="O1119:O1129" si="485">+P1119/24</f>
        <v>98</v>
      </c>
      <c r="P1119" s="489">
        <f t="shared" ref="P1119:P1129" si="486">+N1119*49*24</f>
        <v>2352</v>
      </c>
      <c r="Q1119" s="365" t="e">
        <f ca="1">+(L1119*B1119)+(M1119*P1119)</f>
        <v>#NAME?</v>
      </c>
      <c r="R1119" s="489" t="e">
        <f t="shared" ref="R1119:R1129" ca="1" si="487">+Q1119-B1012</f>
        <v>#NAME?</v>
      </c>
      <c r="S1119" s="470">
        <v>5</v>
      </c>
      <c r="T1119" s="470">
        <v>5</v>
      </c>
      <c r="AD1119" s="473" t="s">
        <v>410</v>
      </c>
      <c r="AE1119" s="474" t="s">
        <v>1250</v>
      </c>
      <c r="AF1119" s="4">
        <f>V1091</f>
        <v>242.40591397849462</v>
      </c>
      <c r="AG1119" s="4">
        <f>X1091</f>
        <v>5.9077611748835901</v>
      </c>
      <c r="AH1119" s="4">
        <f>Y1091</f>
        <v>0</v>
      </c>
      <c r="AI1119" s="4">
        <f>Z1091</f>
        <v>27.3508064516129</v>
      </c>
      <c r="AJ1119" s="481"/>
    </row>
    <row r="1120" spans="1:50" ht="16.5" customHeight="1" x14ac:dyDescent="0.3">
      <c r="A1120" s="416" t="s">
        <v>10</v>
      </c>
      <c r="B1120" s="375" t="e">
        <f ca="1">+$D$10-M1120</f>
        <v>#NAME?</v>
      </c>
      <c r="C1120" s="441">
        <v>6</v>
      </c>
      <c r="D1120" s="441">
        <v>0</v>
      </c>
      <c r="E1120" s="441" t="s">
        <v>1095</v>
      </c>
      <c r="F1120" s="365">
        <f t="shared" si="479"/>
        <v>294</v>
      </c>
      <c r="G1120" s="365">
        <f t="shared" si="480"/>
        <v>0</v>
      </c>
      <c r="H1120" s="365" t="s">
        <v>1095</v>
      </c>
      <c r="I1120" s="365">
        <f t="shared" si="481"/>
        <v>5586</v>
      </c>
      <c r="J1120" s="365">
        <f t="shared" si="482"/>
        <v>0</v>
      </c>
      <c r="K1120" s="365" t="s">
        <v>1095</v>
      </c>
      <c r="L1120" s="489">
        <f t="shared" si="483"/>
        <v>5586</v>
      </c>
      <c r="M1120" s="375" t="e">
        <f ca="1">SUMPRODUCT(--(WEEKDAY(ROW(INDIRECT(DATE($B$1112,MonthFromText(A1120),1)&amp;":"&amp;DATE($B$1112,MonthFromText(A1120),$D$10))),1)=1))</f>
        <v>#NAME?</v>
      </c>
      <c r="N1120" s="441">
        <v>3</v>
      </c>
      <c r="O1120" s="4">
        <f t="shared" si="485"/>
        <v>147</v>
      </c>
      <c r="P1120" s="489">
        <f t="shared" si="486"/>
        <v>3528</v>
      </c>
      <c r="Q1120" s="365" t="e">
        <f t="shared" ref="Q1120:Q1129" ca="1" si="488">+(L1120*B1120)+(M1120*P1120)</f>
        <v>#NAME?</v>
      </c>
      <c r="R1120" s="489" t="e">
        <f t="shared" ca="1" si="487"/>
        <v>#NAME?</v>
      </c>
      <c r="S1120" s="470">
        <v>5</v>
      </c>
      <c r="T1120" s="470">
        <v>5</v>
      </c>
      <c r="AD1120" s="473"/>
      <c r="AE1120" s="474" t="s">
        <v>1244</v>
      </c>
      <c r="AF1120" s="4">
        <f>W1091</f>
        <v>46.405913978494624</v>
      </c>
      <c r="AG1120" s="4">
        <f>X1091</f>
        <v>5.9077611748835901</v>
      </c>
      <c r="AH1120" s="4">
        <f>Y1091</f>
        <v>0</v>
      </c>
      <c r="AI1120" s="4">
        <f>Z1091</f>
        <v>27.3508064516129</v>
      </c>
      <c r="AJ1120" s="481"/>
    </row>
    <row r="1121" spans="1:36" ht="16.5" customHeight="1" x14ac:dyDescent="0.3">
      <c r="A1121" s="416" t="s">
        <v>12</v>
      </c>
      <c r="B1121" s="375" t="e">
        <f ca="1">+$F$10-M1121</f>
        <v>#NAME?</v>
      </c>
      <c r="C1121" s="441">
        <v>6</v>
      </c>
      <c r="D1121" s="441">
        <v>0</v>
      </c>
      <c r="E1121" s="441" t="s">
        <v>1095</v>
      </c>
      <c r="F1121" s="365">
        <f t="shared" si="479"/>
        <v>294</v>
      </c>
      <c r="G1121" s="365">
        <f t="shared" si="480"/>
        <v>0</v>
      </c>
      <c r="H1121" s="365" t="s">
        <v>1095</v>
      </c>
      <c r="I1121" s="365">
        <f t="shared" si="481"/>
        <v>5586</v>
      </c>
      <c r="J1121" s="365">
        <f t="shared" si="482"/>
        <v>0</v>
      </c>
      <c r="K1121" s="365" t="s">
        <v>1095</v>
      </c>
      <c r="L1121" s="489">
        <f t="shared" si="483"/>
        <v>5586</v>
      </c>
      <c r="M1121" s="375" t="e">
        <f ca="1">SUMPRODUCT(--(WEEKDAY(ROW(INDIRECT(DATE($B$1112,MonthFromText(A1121),1)&amp;":"&amp;DATE($B$1112,MonthFromText(A1121),$F$10))),1)=1))</f>
        <v>#NAME?</v>
      </c>
      <c r="N1121" s="441">
        <v>5</v>
      </c>
      <c r="O1121" s="4">
        <f t="shared" si="485"/>
        <v>245</v>
      </c>
      <c r="P1121" s="489">
        <f t="shared" si="486"/>
        <v>5880</v>
      </c>
      <c r="Q1121" s="365" t="e">
        <f t="shared" ca="1" si="488"/>
        <v>#NAME?</v>
      </c>
      <c r="R1121" s="489" t="e">
        <f t="shared" ca="1" si="487"/>
        <v>#NAME?</v>
      </c>
      <c r="S1121" s="470">
        <v>5</v>
      </c>
      <c r="T1121" s="470">
        <v>5</v>
      </c>
      <c r="AD1121" s="473" t="s">
        <v>1251</v>
      </c>
      <c r="AE1121" s="474" t="s">
        <v>7</v>
      </c>
      <c r="AJ1121" s="481"/>
    </row>
    <row r="1122" spans="1:36" ht="15.75" customHeight="1" x14ac:dyDescent="0.3">
      <c r="A1122" s="416" t="s">
        <v>13</v>
      </c>
      <c r="B1122" s="375" t="e">
        <f ca="1">+$G$10-M1122</f>
        <v>#NAME?</v>
      </c>
      <c r="C1122" s="441">
        <v>6</v>
      </c>
      <c r="D1122" s="441">
        <v>0</v>
      </c>
      <c r="E1122" s="441" t="s">
        <v>1095</v>
      </c>
      <c r="F1122" s="365">
        <f t="shared" si="479"/>
        <v>294</v>
      </c>
      <c r="G1122" s="365">
        <f t="shared" si="480"/>
        <v>0</v>
      </c>
      <c r="H1122" s="365" t="s">
        <v>1095</v>
      </c>
      <c r="I1122" s="365">
        <f t="shared" si="481"/>
        <v>5586</v>
      </c>
      <c r="J1122" s="365">
        <f t="shared" si="482"/>
        <v>0</v>
      </c>
      <c r="K1122" s="365" t="s">
        <v>1095</v>
      </c>
      <c r="L1122" s="489">
        <f t="shared" si="483"/>
        <v>5586</v>
      </c>
      <c r="M1122" s="375" t="e">
        <f ca="1">SUMPRODUCT(--(WEEKDAY(ROW(INDIRECT(DATE($B$1112,MonthFromText(A1122),1)&amp;":"&amp;DATE($B$1112,MonthFromText(A1122),$G$10))),1)=1))</f>
        <v>#NAME?</v>
      </c>
      <c r="N1122" s="441">
        <f t="shared" si="484"/>
        <v>6</v>
      </c>
      <c r="O1122" s="4">
        <f t="shared" si="485"/>
        <v>294</v>
      </c>
      <c r="P1122" s="489">
        <f t="shared" si="486"/>
        <v>7056</v>
      </c>
      <c r="Q1122" s="365" t="e">
        <f t="shared" ca="1" si="488"/>
        <v>#NAME?</v>
      </c>
      <c r="R1122" s="489" t="e">
        <f t="shared" ca="1" si="487"/>
        <v>#NAME?</v>
      </c>
      <c r="S1122" s="470">
        <v>5</v>
      </c>
      <c r="T1122" s="470">
        <v>5</v>
      </c>
      <c r="AD1122" s="473" t="s">
        <v>411</v>
      </c>
      <c r="AE1122" s="474" t="s">
        <v>1250</v>
      </c>
      <c r="AF1122" s="4">
        <f>V1092</f>
        <v>147.63936781609195</v>
      </c>
      <c r="AG1122" s="4">
        <f>X1092</f>
        <v>0.84541364088145554</v>
      </c>
      <c r="AH1122" s="4">
        <f>Y1092</f>
        <v>0</v>
      </c>
      <c r="AI1122" s="4">
        <f>Z1092</f>
        <v>45.992816091954012</v>
      </c>
      <c r="AJ1122" s="481"/>
    </row>
    <row r="1123" spans="1:36" ht="15.75" customHeight="1" x14ac:dyDescent="0.3">
      <c r="A1123" s="416" t="s">
        <v>14</v>
      </c>
      <c r="B1123" s="375" t="e">
        <f ca="1">+$H$10-M1123</f>
        <v>#NAME?</v>
      </c>
      <c r="C1123" s="441">
        <v>3</v>
      </c>
      <c r="D1123" s="441">
        <v>0</v>
      </c>
      <c r="E1123" s="441">
        <v>0</v>
      </c>
      <c r="F1123" s="365">
        <f t="shared" si="479"/>
        <v>147</v>
      </c>
      <c r="G1123" s="365">
        <f t="shared" si="480"/>
        <v>0</v>
      </c>
      <c r="H1123" s="365" t="s">
        <v>1095</v>
      </c>
      <c r="I1123" s="365">
        <f t="shared" si="481"/>
        <v>2205</v>
      </c>
      <c r="J1123" s="365">
        <f t="shared" si="482"/>
        <v>0</v>
      </c>
      <c r="K1123" s="365" t="s">
        <v>1095</v>
      </c>
      <c r="L1123" s="489">
        <f t="shared" si="483"/>
        <v>2205</v>
      </c>
      <c r="M1123" s="375" t="e">
        <f ca="1">SUMPRODUCT(--(WEEKDAY(ROW(INDIRECT(DATE($B$1112,MonthFromText(A1123),1)&amp;":"&amp;DATE($B$1112,MonthFromText(A1123),$H$10))),1)=1))</f>
        <v>#NAME?</v>
      </c>
      <c r="N1123" s="441">
        <f t="shared" si="484"/>
        <v>3</v>
      </c>
      <c r="O1123" s="4">
        <f t="shared" si="485"/>
        <v>147</v>
      </c>
      <c r="P1123" s="489">
        <f t="shared" si="486"/>
        <v>3528</v>
      </c>
      <c r="Q1123" s="365" t="e">
        <f ca="1">+(L1123*B1123)+(M1123*P1123)</f>
        <v>#NAME?</v>
      </c>
      <c r="R1123" s="489" t="e">
        <f t="shared" ca="1" si="487"/>
        <v>#NAME?</v>
      </c>
      <c r="S1123" s="470">
        <v>9</v>
      </c>
      <c r="T1123" s="470">
        <v>9</v>
      </c>
      <c r="AD1123" s="473"/>
      <c r="AE1123" s="474" t="s">
        <v>1244</v>
      </c>
      <c r="AF1123" s="4">
        <f>W1092</f>
        <v>49.639367816091948</v>
      </c>
      <c r="AG1123" s="4">
        <f>X1092</f>
        <v>0.84541364088145554</v>
      </c>
      <c r="AH1123" s="4">
        <f>Y1092</f>
        <v>0</v>
      </c>
      <c r="AI1123" s="4">
        <f>Z1092</f>
        <v>45.992816091954012</v>
      </c>
      <c r="AJ1123" s="481"/>
    </row>
    <row r="1124" spans="1:36" ht="15.75" customHeight="1" x14ac:dyDescent="0.3">
      <c r="A1124" s="416" t="s">
        <v>16</v>
      </c>
      <c r="B1124" s="375" t="e">
        <f ca="1">+$J$10-M1124</f>
        <v>#NAME?</v>
      </c>
      <c r="C1124" s="441">
        <v>3</v>
      </c>
      <c r="D1124" s="441">
        <v>0</v>
      </c>
      <c r="E1124" s="441">
        <v>0</v>
      </c>
      <c r="F1124" s="365">
        <f t="shared" si="479"/>
        <v>147</v>
      </c>
      <c r="G1124" s="365">
        <f t="shared" si="480"/>
        <v>0</v>
      </c>
      <c r="H1124" s="365" t="s">
        <v>1095</v>
      </c>
      <c r="I1124" s="365">
        <f t="shared" si="481"/>
        <v>2205</v>
      </c>
      <c r="J1124" s="365">
        <f t="shared" si="482"/>
        <v>0</v>
      </c>
      <c r="K1124" s="365" t="s">
        <v>1095</v>
      </c>
      <c r="L1124" s="489">
        <f t="shared" si="483"/>
        <v>2205</v>
      </c>
      <c r="M1124" s="375" t="e">
        <f ca="1">SUMPRODUCT(--(WEEKDAY(ROW(INDIRECT(DATE($B$1112,MonthFromText(A1124),1)&amp;":"&amp;DATE($B$1112,MonthFromText(A1124),$J$10))),1)=1))</f>
        <v>#NAME?</v>
      </c>
      <c r="N1124" s="441">
        <f t="shared" si="484"/>
        <v>3</v>
      </c>
      <c r="O1124" s="4">
        <f t="shared" si="485"/>
        <v>147</v>
      </c>
      <c r="P1124" s="489">
        <f t="shared" si="486"/>
        <v>3528</v>
      </c>
      <c r="Q1124" s="365" t="e">
        <f t="shared" ca="1" si="488"/>
        <v>#NAME?</v>
      </c>
      <c r="R1124" s="489" t="e">
        <f t="shared" ca="1" si="487"/>
        <v>#NAME?</v>
      </c>
      <c r="S1124" s="470">
        <v>9</v>
      </c>
      <c r="T1124" s="470">
        <v>9</v>
      </c>
      <c r="AD1124" s="473" t="s">
        <v>1251</v>
      </c>
      <c r="AE1124" s="474" t="s">
        <v>7</v>
      </c>
      <c r="AJ1124" s="481"/>
    </row>
    <row r="1125" spans="1:36" ht="15.75" customHeight="1" x14ac:dyDescent="0.3">
      <c r="A1125" s="416" t="s">
        <v>17</v>
      </c>
      <c r="B1125" s="375" t="e">
        <f ca="1">+$K$10-M1125</f>
        <v>#NAME?</v>
      </c>
      <c r="C1125" s="441">
        <v>3</v>
      </c>
      <c r="D1125" s="441">
        <v>0</v>
      </c>
      <c r="E1125" s="441">
        <v>0</v>
      </c>
      <c r="F1125" s="365">
        <f t="shared" si="479"/>
        <v>147</v>
      </c>
      <c r="G1125" s="365">
        <f t="shared" si="480"/>
        <v>0</v>
      </c>
      <c r="H1125" s="365" t="s">
        <v>1095</v>
      </c>
      <c r="I1125" s="365">
        <f t="shared" si="481"/>
        <v>2205</v>
      </c>
      <c r="J1125" s="365">
        <f t="shared" si="482"/>
        <v>0</v>
      </c>
      <c r="K1125" s="365" t="s">
        <v>1095</v>
      </c>
      <c r="L1125" s="489">
        <f t="shared" si="483"/>
        <v>2205</v>
      </c>
      <c r="M1125" s="375" t="e">
        <f ca="1">SUMPRODUCT(--(WEEKDAY(ROW(INDIRECT(DATE($B$1112,MonthFromText(A1125),1)&amp;":"&amp;DATE($B$1112,MonthFromText(A1125),$K$10))),1)=1))</f>
        <v>#NAME?</v>
      </c>
      <c r="N1125" s="441">
        <f t="shared" si="484"/>
        <v>3</v>
      </c>
      <c r="O1125" s="4">
        <f t="shared" si="485"/>
        <v>147</v>
      </c>
      <c r="P1125" s="489">
        <f t="shared" si="486"/>
        <v>3528</v>
      </c>
      <c r="Q1125" s="365" t="e">
        <f t="shared" ca="1" si="488"/>
        <v>#NAME?</v>
      </c>
      <c r="R1125" s="489" t="e">
        <f t="shared" ca="1" si="487"/>
        <v>#NAME?</v>
      </c>
      <c r="S1125" s="470">
        <v>9</v>
      </c>
      <c r="T1125" s="470">
        <v>9</v>
      </c>
      <c r="AD1125" s="473" t="s">
        <v>412</v>
      </c>
      <c r="AE1125" s="474" t="s">
        <v>1250</v>
      </c>
      <c r="AF1125" s="4">
        <f>V1093</f>
        <v>353.27284946236557</v>
      </c>
      <c r="AG1125" s="4">
        <f>X1093</f>
        <v>6.8774909742756414</v>
      </c>
      <c r="AH1125" s="4">
        <f>Y1093</f>
        <v>-4.1079551255560673</v>
      </c>
      <c r="AI1125" s="4">
        <f>Z1093</f>
        <v>52.637096774193544</v>
      </c>
      <c r="AJ1125" s="481"/>
    </row>
    <row r="1126" spans="1:36" ht="15.75" customHeight="1" x14ac:dyDescent="0.3">
      <c r="A1126" s="416" t="s">
        <v>18</v>
      </c>
      <c r="B1126" s="375" t="e">
        <f ca="1">+$L$10-M1126</f>
        <v>#NAME?</v>
      </c>
      <c r="C1126" s="441">
        <v>5</v>
      </c>
      <c r="D1126" s="441">
        <v>0</v>
      </c>
      <c r="E1126" s="441" t="s">
        <v>1095</v>
      </c>
      <c r="F1126" s="365">
        <f t="shared" si="479"/>
        <v>245</v>
      </c>
      <c r="G1126" s="365">
        <f t="shared" si="480"/>
        <v>0</v>
      </c>
      <c r="H1126" s="365" t="s">
        <v>1095</v>
      </c>
      <c r="I1126" s="365">
        <f t="shared" si="481"/>
        <v>4410</v>
      </c>
      <c r="J1126" s="365">
        <f t="shared" si="482"/>
        <v>0</v>
      </c>
      <c r="K1126" s="365" t="s">
        <v>1095</v>
      </c>
      <c r="L1126" s="489">
        <f t="shared" si="483"/>
        <v>4410</v>
      </c>
      <c r="M1126" s="375" t="e">
        <f ca="1">SUMPRODUCT(--(WEEKDAY(ROW(INDIRECT(DATE($B$1112,MonthFromText(A1126),1)&amp;":"&amp;DATE($B$1112,MonthFromText(A1126),$L$10))),1)=1))</f>
        <v>#NAME?</v>
      </c>
      <c r="N1126" s="441">
        <f t="shared" si="484"/>
        <v>5</v>
      </c>
      <c r="O1126" s="4">
        <f t="shared" si="485"/>
        <v>245</v>
      </c>
      <c r="P1126" s="489">
        <f t="shared" si="486"/>
        <v>5880</v>
      </c>
      <c r="Q1126" s="365" t="e">
        <f t="shared" ca="1" si="488"/>
        <v>#NAME?</v>
      </c>
      <c r="R1126" s="489" t="e">
        <f t="shared" ca="1" si="487"/>
        <v>#NAME?</v>
      </c>
      <c r="S1126" s="470">
        <v>6</v>
      </c>
      <c r="T1126" s="470">
        <v>4</v>
      </c>
      <c r="AD1126" s="473"/>
      <c r="AE1126" s="474" t="s">
        <v>1244</v>
      </c>
      <c r="AF1126" s="4">
        <f>W1093</f>
        <v>59.272849462365592</v>
      </c>
      <c r="AG1126" s="4">
        <f>X1093</f>
        <v>6.8774909742756414</v>
      </c>
      <c r="AH1126" s="4">
        <f>Y1093</f>
        <v>-4.1079551255560673</v>
      </c>
      <c r="AI1126" s="4">
        <f>Z1093</f>
        <v>52.637096774193544</v>
      </c>
      <c r="AJ1126" s="481"/>
    </row>
    <row r="1127" spans="1:36" ht="15.75" customHeight="1" x14ac:dyDescent="0.3">
      <c r="A1127" s="416" t="s">
        <v>20</v>
      </c>
      <c r="B1127" s="375" t="e">
        <f ca="1">+$N$10-M1127</f>
        <v>#NAME?</v>
      </c>
      <c r="C1127" s="441">
        <v>5</v>
      </c>
      <c r="D1127" s="441">
        <v>0</v>
      </c>
      <c r="E1127" s="441" t="s">
        <v>1095</v>
      </c>
      <c r="F1127" s="365">
        <f t="shared" si="479"/>
        <v>245</v>
      </c>
      <c r="G1127" s="365">
        <f t="shared" si="480"/>
        <v>0</v>
      </c>
      <c r="H1127" s="365" t="s">
        <v>1095</v>
      </c>
      <c r="I1127" s="365">
        <f t="shared" si="481"/>
        <v>4410</v>
      </c>
      <c r="J1127" s="365">
        <f t="shared" si="482"/>
        <v>0</v>
      </c>
      <c r="K1127" s="365" t="s">
        <v>1095</v>
      </c>
      <c r="L1127" s="489">
        <f t="shared" si="483"/>
        <v>4410</v>
      </c>
      <c r="M1127" s="375" t="e">
        <f ca="1">SUMPRODUCT(--(WEEKDAY(ROW(INDIRECT(DATE($B$1112,MonthFromText(A1127),1)&amp;":"&amp;DATE($B$1112,MonthFromText(A1127),$N$10))),1)=1))</f>
        <v>#NAME?</v>
      </c>
      <c r="N1127" s="441">
        <f t="shared" si="484"/>
        <v>5</v>
      </c>
      <c r="O1127" s="4">
        <f t="shared" si="485"/>
        <v>245</v>
      </c>
      <c r="P1127" s="489">
        <f t="shared" si="486"/>
        <v>5880</v>
      </c>
      <c r="Q1127" s="365" t="e">
        <f t="shared" ca="1" si="488"/>
        <v>#NAME?</v>
      </c>
      <c r="R1127" s="489" t="e">
        <f t="shared" ca="1" si="487"/>
        <v>#NAME?</v>
      </c>
      <c r="S1127" s="470">
        <v>6</v>
      </c>
      <c r="T1127" s="470">
        <v>4</v>
      </c>
      <c r="AD1127" s="473" t="s">
        <v>1251</v>
      </c>
      <c r="AE1127" s="474" t="s">
        <v>7</v>
      </c>
      <c r="AJ1127" s="481"/>
    </row>
    <row r="1128" spans="1:36" ht="15.75" customHeight="1" x14ac:dyDescent="0.3">
      <c r="A1128" s="416" t="s">
        <v>21</v>
      </c>
      <c r="B1128" s="375" t="e">
        <f ca="1">+$O$10-M1128</f>
        <v>#NAME?</v>
      </c>
      <c r="C1128" s="441">
        <v>5</v>
      </c>
      <c r="D1128" s="441">
        <v>0</v>
      </c>
      <c r="E1128" s="441" t="s">
        <v>1095</v>
      </c>
      <c r="F1128" s="365">
        <f t="shared" si="479"/>
        <v>245</v>
      </c>
      <c r="G1128" s="365">
        <f t="shared" si="480"/>
        <v>0</v>
      </c>
      <c r="H1128" s="365" t="s">
        <v>1095</v>
      </c>
      <c r="I1128" s="365">
        <f t="shared" si="481"/>
        <v>4410</v>
      </c>
      <c r="J1128" s="365">
        <f t="shared" si="482"/>
        <v>0</v>
      </c>
      <c r="K1128" s="365" t="s">
        <v>1095</v>
      </c>
      <c r="L1128" s="489">
        <f t="shared" si="483"/>
        <v>4410</v>
      </c>
      <c r="M1128" s="375" t="e">
        <f ca="1">SUMPRODUCT(--(WEEKDAY(ROW(INDIRECT(DATE($B$1112,MonthFromText(A1128),1)&amp;":"&amp;DATE($B$1112,MonthFromText(A1128),$O$10))),1)=1))</f>
        <v>#NAME?</v>
      </c>
      <c r="N1128" s="441">
        <v>3</v>
      </c>
      <c r="O1128" s="4">
        <f t="shared" si="485"/>
        <v>147</v>
      </c>
      <c r="P1128" s="489">
        <f t="shared" si="486"/>
        <v>3528</v>
      </c>
      <c r="Q1128" s="365" t="e">
        <f t="shared" ca="1" si="488"/>
        <v>#NAME?</v>
      </c>
      <c r="R1128" s="489" t="e">
        <f t="shared" ca="1" si="487"/>
        <v>#NAME?</v>
      </c>
      <c r="S1128" s="470">
        <v>6</v>
      </c>
      <c r="T1128" s="470">
        <v>4</v>
      </c>
      <c r="AD1128" s="473" t="s">
        <v>413</v>
      </c>
      <c r="AE1128" s="474" t="s">
        <v>1250</v>
      </c>
      <c r="AF1128" s="4">
        <f>V1094</f>
        <v>390.95138888888891</v>
      </c>
      <c r="AG1128" s="4">
        <f>X1094</f>
        <v>1.104631323793656</v>
      </c>
      <c r="AH1128" s="4">
        <f>Y1094</f>
        <v>0</v>
      </c>
      <c r="AI1128" s="4">
        <f>Z1094</f>
        <v>70.04583333333332</v>
      </c>
      <c r="AJ1128" s="481"/>
    </row>
    <row r="1129" spans="1:36" ht="15.75" customHeight="1" thickBot="1" x14ac:dyDescent="0.35">
      <c r="A1129" s="416" t="s">
        <v>22</v>
      </c>
      <c r="B1129" s="382" t="e">
        <f ca="1">+$P$10-M1129</f>
        <v>#NAME?</v>
      </c>
      <c r="C1129" s="442">
        <v>5</v>
      </c>
      <c r="D1129" s="442">
        <v>0</v>
      </c>
      <c r="E1129" s="441" t="s">
        <v>1095</v>
      </c>
      <c r="F1129" s="365">
        <f t="shared" si="479"/>
        <v>245</v>
      </c>
      <c r="G1129" s="365">
        <f t="shared" si="480"/>
        <v>0</v>
      </c>
      <c r="H1129" s="365" t="s">
        <v>1095</v>
      </c>
      <c r="I1129" s="365">
        <f t="shared" si="481"/>
        <v>4410</v>
      </c>
      <c r="J1129" s="365">
        <f t="shared" si="482"/>
        <v>0</v>
      </c>
      <c r="K1129" s="365" t="s">
        <v>1095</v>
      </c>
      <c r="L1129" s="489">
        <f t="shared" si="483"/>
        <v>4410</v>
      </c>
      <c r="M1129" s="382" t="e">
        <f ca="1">SUMPRODUCT(--(WEEKDAY(ROW(INDIRECT(DATE($B$1112,MonthFromText(A1129),1)&amp;":"&amp;DATE($B$1112,MonthFromText(A1129),$P$10))),1)=1))</f>
        <v>#NAME?</v>
      </c>
      <c r="N1129" s="441">
        <v>3</v>
      </c>
      <c r="O1129" s="312">
        <f t="shared" si="485"/>
        <v>147</v>
      </c>
      <c r="P1129" s="429">
        <f t="shared" si="486"/>
        <v>3528</v>
      </c>
      <c r="Q1129" s="443" t="e">
        <f t="shared" ca="1" si="488"/>
        <v>#NAME?</v>
      </c>
      <c r="R1129" s="444" t="e">
        <f t="shared" ca="1" si="487"/>
        <v>#NAME?</v>
      </c>
      <c r="S1129" s="470">
        <v>6</v>
      </c>
      <c r="T1129" s="470">
        <v>4</v>
      </c>
      <c r="AD1129" s="473"/>
      <c r="AE1129" s="474" t="s">
        <v>1244</v>
      </c>
      <c r="AF1129" s="4">
        <f>W1094</f>
        <v>96.951388888888886</v>
      </c>
      <c r="AG1129" s="4">
        <f>X1094</f>
        <v>1.104631323793656</v>
      </c>
      <c r="AH1129" s="4">
        <f>Y1094</f>
        <v>0</v>
      </c>
      <c r="AI1129" s="4">
        <f>Z1094</f>
        <v>70.04583333333332</v>
      </c>
      <c r="AJ1129" s="481"/>
    </row>
    <row r="1130" spans="1:36" ht="15.75" customHeight="1" thickBot="1" x14ac:dyDescent="0.35">
      <c r="A1130" s="311"/>
      <c r="B1130" s="312"/>
      <c r="C1130" s="312"/>
      <c r="D1130" s="312"/>
      <c r="E1130" s="452"/>
      <c r="F1130" s="452"/>
      <c r="G1130" s="452"/>
      <c r="H1130" s="452"/>
      <c r="I1130" s="452"/>
      <c r="J1130" s="452"/>
      <c r="K1130" s="452"/>
      <c r="L1130" s="452"/>
      <c r="M1130" s="312"/>
      <c r="N1130" s="312"/>
      <c r="O1130" s="312"/>
      <c r="P1130" s="312"/>
      <c r="Q1130" s="369" t="e">
        <f ca="1">+SUM(Q1118:Q1129)</f>
        <v>#NAME?</v>
      </c>
      <c r="R1130" s="429" t="e">
        <f ca="1">+Q1130-B1024</f>
        <v>#NAME?</v>
      </c>
      <c r="AD1130" s="473" t="s">
        <v>1251</v>
      </c>
      <c r="AE1130" s="474" t="s">
        <v>7</v>
      </c>
      <c r="AJ1130" s="481"/>
    </row>
    <row r="1131" spans="1:36" ht="15.75" customHeight="1" x14ac:dyDescent="0.3">
      <c r="A1131" s="418" t="s">
        <v>1110</v>
      </c>
      <c r="J1131" s="365"/>
      <c r="AD1131" s="473" t="s">
        <v>414</v>
      </c>
      <c r="AE1131" s="474" t="s">
        <v>1250</v>
      </c>
      <c r="AF1131" s="4">
        <f>V1095</f>
        <v>404.56048387096774</v>
      </c>
      <c r="AG1131" s="4">
        <f>X1095</f>
        <v>0</v>
      </c>
      <c r="AH1131" s="4">
        <f>Y1095</f>
        <v>-2.6173428624676922</v>
      </c>
      <c r="AI1131" s="4">
        <f>Z1095</f>
        <v>69.106182795698928</v>
      </c>
      <c r="AJ1131" s="481"/>
    </row>
    <row r="1132" spans="1:36" ht="15.75" customHeight="1" x14ac:dyDescent="0.3">
      <c r="A1132" s="418" t="s">
        <v>1111</v>
      </c>
      <c r="AD1132" s="473"/>
      <c r="AE1132" s="474" t="s">
        <v>1244</v>
      </c>
      <c r="AF1132" s="4">
        <f>W1095</f>
        <v>110.56048387096774</v>
      </c>
      <c r="AG1132" s="4">
        <f>X1095</f>
        <v>0</v>
      </c>
      <c r="AH1132" s="4">
        <f>Y1095</f>
        <v>-2.6173428624676922</v>
      </c>
      <c r="AI1132" s="4">
        <f>Z1095</f>
        <v>69.106182795698928</v>
      </c>
      <c r="AJ1132" s="481"/>
    </row>
    <row r="1133" spans="1:36" ht="15.75" customHeight="1" x14ac:dyDescent="0.3">
      <c r="A1133" s="418" t="s">
        <v>1112</v>
      </c>
      <c r="AD1133" s="473" t="s">
        <v>1251</v>
      </c>
      <c r="AE1133" s="474" t="s">
        <v>7</v>
      </c>
      <c r="AJ1133" s="481"/>
    </row>
    <row r="1134" spans="1:36" ht="15.75" customHeight="1" x14ac:dyDescent="0.3">
      <c r="AD1134" s="473" t="s">
        <v>415</v>
      </c>
      <c r="AE1134" s="474" t="s">
        <v>1250</v>
      </c>
      <c r="AF1134" s="4">
        <f>V1096</f>
        <v>213.80416666666667</v>
      </c>
      <c r="AG1134" s="4">
        <f>X1096</f>
        <v>0</v>
      </c>
      <c r="AH1134" s="4">
        <f>Y1096</f>
        <v>-16.365011303692548</v>
      </c>
      <c r="AI1134" s="4">
        <f>Z1096</f>
        <v>71.226388888888891</v>
      </c>
      <c r="AJ1134" s="481"/>
    </row>
    <row r="1135" spans="1:36" ht="15.75" customHeight="1" x14ac:dyDescent="0.3">
      <c r="A1135" s="4" t="s">
        <v>1252</v>
      </c>
      <c r="AD1135" s="473"/>
      <c r="AE1135" s="474" t="s">
        <v>1244</v>
      </c>
      <c r="AF1135" s="4">
        <f>W1096</f>
        <v>66.804166666666674</v>
      </c>
      <c r="AG1135" s="4">
        <f>X1096</f>
        <v>0</v>
      </c>
      <c r="AH1135" s="4">
        <f>Y1096</f>
        <v>-16.365011303692548</v>
      </c>
      <c r="AI1135" s="4">
        <f>Z1096</f>
        <v>71.226388888888891</v>
      </c>
      <c r="AJ1135" s="481"/>
    </row>
    <row r="1136" spans="1:36" ht="15.75" customHeight="1" x14ac:dyDescent="0.3">
      <c r="AD1136" s="473" t="s">
        <v>1251</v>
      </c>
      <c r="AE1136" s="474" t="s">
        <v>7</v>
      </c>
      <c r="AJ1136" s="481"/>
    </row>
    <row r="1137" spans="9:36" ht="15.75" customHeight="1" x14ac:dyDescent="0.3">
      <c r="AD1137" s="473" t="s">
        <v>416</v>
      </c>
      <c r="AE1137" s="474" t="s">
        <v>1250</v>
      </c>
      <c r="AF1137" s="4">
        <f>V1097</f>
        <v>190.23655913978496</v>
      </c>
      <c r="AG1137" s="4">
        <f>X1097</f>
        <v>0</v>
      </c>
      <c r="AH1137" s="4">
        <f>Y1097</f>
        <v>-18.356704829871433</v>
      </c>
      <c r="AI1137" s="4">
        <f>Z1097</f>
        <v>70.724462365591393</v>
      </c>
      <c r="AJ1137" s="481"/>
    </row>
    <row r="1138" spans="9:36" ht="16.5" customHeight="1" x14ac:dyDescent="0.3">
      <c r="AD1138" s="473"/>
      <c r="AE1138" s="474" t="s">
        <v>1244</v>
      </c>
      <c r="AF1138" s="4">
        <f>W1097</f>
        <v>43.236559139784944</v>
      </c>
      <c r="AG1138" s="4">
        <f>X1097</f>
        <v>0</v>
      </c>
      <c r="AH1138" s="4">
        <f>Y1097</f>
        <v>-18.356704829871433</v>
      </c>
      <c r="AI1138" s="4">
        <f>Z1097</f>
        <v>70.724462365591393</v>
      </c>
      <c r="AJ1138" s="481"/>
    </row>
    <row r="1139" spans="9:36" ht="15.75" customHeight="1" x14ac:dyDescent="0.3">
      <c r="AD1139" s="473" t="s">
        <v>1251</v>
      </c>
      <c r="AE1139" s="474" t="s">
        <v>7</v>
      </c>
      <c r="AJ1139" s="481"/>
    </row>
    <row r="1140" spans="9:36" ht="16.5" customHeight="1" x14ac:dyDescent="0.3">
      <c r="AD1140" s="473" t="s">
        <v>417</v>
      </c>
      <c r="AE1140" s="474" t="s">
        <v>1250</v>
      </c>
      <c r="AF1140" s="4">
        <f>V1098</f>
        <v>179.98924731182797</v>
      </c>
      <c r="AG1140" s="4">
        <f>X1098</f>
        <v>1.1734123908369207E-3</v>
      </c>
      <c r="AH1140" s="4">
        <f>Y1098</f>
        <v>-17.156967458427946</v>
      </c>
      <c r="AI1140" s="4">
        <f>Z1098</f>
        <v>65.13978494623656</v>
      </c>
      <c r="AJ1140" s="481"/>
    </row>
    <row r="1141" spans="9:36" ht="15.75" customHeight="1" x14ac:dyDescent="0.3">
      <c r="AD1141" s="473"/>
      <c r="AE1141" s="474" t="s">
        <v>1244</v>
      </c>
      <c r="AF1141" s="4">
        <f>W1098</f>
        <v>32.989247311827953</v>
      </c>
      <c r="AG1141" s="4">
        <f>X1098</f>
        <v>1.1734123908369207E-3</v>
      </c>
      <c r="AH1141" s="4">
        <f>Y1098</f>
        <v>-17.156967458427946</v>
      </c>
      <c r="AI1141" s="4">
        <f>Z1098</f>
        <v>65.13978494623656</v>
      </c>
      <c r="AJ1141" s="481"/>
    </row>
    <row r="1142" spans="9:36" ht="15.75" customHeight="1" x14ac:dyDescent="0.3">
      <c r="AD1142" s="473" t="s">
        <v>1251</v>
      </c>
      <c r="AE1142" s="474" t="s">
        <v>7</v>
      </c>
      <c r="AJ1142" s="481"/>
    </row>
    <row r="1143" spans="9:36" ht="15.75" customHeight="1" x14ac:dyDescent="0.3">
      <c r="AD1143" s="473" t="s">
        <v>1253</v>
      </c>
      <c r="AE1143" s="474" t="s">
        <v>1250</v>
      </c>
      <c r="AF1143" s="4">
        <f>V1099</f>
        <v>346.04722222222222</v>
      </c>
      <c r="AG1143" s="4">
        <f>X1099</f>
        <v>8.0016406993854456</v>
      </c>
      <c r="AH1143" s="4">
        <f>Y1099</f>
        <v>-0.46123160010047703</v>
      </c>
      <c r="AI1143" s="4">
        <f>Z1099</f>
        <v>52.186111111111103</v>
      </c>
      <c r="AJ1143" s="481"/>
    </row>
    <row r="1144" spans="9:36" ht="15.75" customHeight="1" x14ac:dyDescent="0.3">
      <c r="AD1144" s="473"/>
      <c r="AE1144" s="474" t="s">
        <v>1244</v>
      </c>
      <c r="AF1144" s="4">
        <f>W1099</f>
        <v>101.04722222222222</v>
      </c>
      <c r="AG1144" s="4">
        <f>X1099</f>
        <v>8.0016406993854456</v>
      </c>
      <c r="AH1144" s="4">
        <f>Y1099</f>
        <v>-0.46123160010047703</v>
      </c>
      <c r="AI1144" s="4">
        <f>Z1099</f>
        <v>52.186111111111103</v>
      </c>
      <c r="AJ1144" s="481"/>
    </row>
    <row r="1145" spans="9:36" ht="15.75" customHeight="1" x14ac:dyDescent="0.3">
      <c r="I1145" s="365"/>
      <c r="J1145" s="365"/>
      <c r="AD1145" s="473" t="s">
        <v>1251</v>
      </c>
      <c r="AE1145" s="474" t="s">
        <v>7</v>
      </c>
      <c r="AJ1145" s="481"/>
    </row>
    <row r="1146" spans="9:36" ht="15.75" customHeight="1" x14ac:dyDescent="0.3">
      <c r="AD1146" s="473" t="s">
        <v>419</v>
      </c>
      <c r="AE1146" s="474" t="s">
        <v>1250</v>
      </c>
      <c r="AF1146" s="4">
        <f>V1100</f>
        <v>343.01881720430106</v>
      </c>
      <c r="AG1146" s="4">
        <f>X1100</f>
        <v>14.977789702716491</v>
      </c>
      <c r="AH1146" s="4">
        <f>Y1100</f>
        <v>-3.4883640842388285E-3</v>
      </c>
      <c r="AI1146" s="4">
        <f>Z1100</f>
        <v>29.010752688172044</v>
      </c>
      <c r="AJ1146" s="481"/>
    </row>
    <row r="1147" spans="9:36" ht="15.75" customHeight="1" x14ac:dyDescent="0.3">
      <c r="AD1147" s="473"/>
      <c r="AE1147" s="474" t="s">
        <v>1244</v>
      </c>
      <c r="AF1147" s="4">
        <f>W1100</f>
        <v>98.018817204301072</v>
      </c>
      <c r="AG1147" s="4">
        <f>X1100</f>
        <v>14.977789702716491</v>
      </c>
      <c r="AH1147" s="4">
        <f>Y1100</f>
        <v>-3.4883640842388285E-3</v>
      </c>
      <c r="AI1147" s="4">
        <f>Z1100</f>
        <v>29.010752688172044</v>
      </c>
      <c r="AJ1147" s="481"/>
    </row>
    <row r="1148" spans="9:36" ht="15.75" customHeight="1" x14ac:dyDescent="0.3">
      <c r="AD1148" s="473" t="s">
        <v>1251</v>
      </c>
      <c r="AE1148" s="474" t="s">
        <v>7</v>
      </c>
      <c r="AJ1148" s="481"/>
    </row>
    <row r="1149" spans="9:36" ht="15.75" customHeight="1" x14ac:dyDescent="0.3">
      <c r="AD1149" s="473" t="s">
        <v>420</v>
      </c>
      <c r="AE1149" s="474" t="s">
        <v>1250</v>
      </c>
      <c r="AF1149" s="4">
        <f>V1101</f>
        <v>321.75416666666666</v>
      </c>
      <c r="AG1149" s="4">
        <f>X1101</f>
        <v>17.330052259153465</v>
      </c>
      <c r="AH1149" s="4">
        <f>Y1101</f>
        <v>-0.9180982583940368</v>
      </c>
      <c r="AI1149" s="4">
        <f>Z1101</f>
        <v>11.956944444444444</v>
      </c>
      <c r="AJ1149" s="481"/>
    </row>
    <row r="1150" spans="9:36" ht="15.75" customHeight="1" x14ac:dyDescent="0.3">
      <c r="AD1150" s="473"/>
      <c r="AE1150" s="474" t="s">
        <v>1244</v>
      </c>
      <c r="AF1150" s="4">
        <f>W1101</f>
        <v>76.754166666666663</v>
      </c>
      <c r="AG1150" s="4">
        <f>X1101</f>
        <v>17.330052259153465</v>
      </c>
      <c r="AH1150" s="4">
        <f>Y1101</f>
        <v>-0.9180982583940368</v>
      </c>
      <c r="AI1150" s="4">
        <f>Z1101</f>
        <v>11.956944444444444</v>
      </c>
      <c r="AJ1150" s="481"/>
    </row>
    <row r="1151" spans="9:36" ht="15.75" customHeight="1" x14ac:dyDescent="0.3">
      <c r="AD1151" s="473" t="s">
        <v>1251</v>
      </c>
      <c r="AE1151" s="474" t="s">
        <v>7</v>
      </c>
      <c r="AJ1151" s="481"/>
    </row>
    <row r="1152" spans="9:36" ht="15.75" customHeight="1" thickBot="1" x14ac:dyDescent="0.35">
      <c r="AD1152" s="473" t="s">
        <v>421</v>
      </c>
      <c r="AE1152" s="474" t="s">
        <v>1250</v>
      </c>
      <c r="AF1152" s="4">
        <f>V1102</f>
        <v>331.25806451612902</v>
      </c>
      <c r="AG1152" s="4">
        <f>X1102</f>
        <v>20.38645502096179</v>
      </c>
      <c r="AH1152" s="4">
        <f>Y1102</f>
        <v>0</v>
      </c>
      <c r="AI1152" s="4">
        <f>Z1102</f>
        <v>21.9502688172043</v>
      </c>
      <c r="AJ1152" s="481"/>
    </row>
    <row r="1153" spans="1:36" ht="15.75" customHeight="1" x14ac:dyDescent="0.35">
      <c r="A1153" s="318"/>
      <c r="B1153" s="319"/>
      <c r="C1153" s="336"/>
      <c r="D1153" s="336"/>
      <c r="E1153" s="336"/>
      <c r="F1153" s="336"/>
      <c r="G1153" s="336"/>
      <c r="H1153" s="321" t="s">
        <v>506</v>
      </c>
      <c r="I1153" s="319"/>
      <c r="J1153" s="319"/>
      <c r="K1153" s="319"/>
      <c r="L1153" s="319"/>
      <c r="M1153" s="319"/>
      <c r="N1153" s="319"/>
      <c r="O1153" s="319"/>
      <c r="P1153" s="319"/>
      <c r="Q1153" s="361" t="str">
        <f>+Q1</f>
        <v xml:space="preserve">PRINTED:  </v>
      </c>
      <c r="R1153" s="367">
        <f ca="1">+R1</f>
        <v>44909.46975358796</v>
      </c>
      <c r="S1153" s="332"/>
      <c r="AD1153" s="473"/>
      <c r="AE1153" s="474" t="s">
        <v>1244</v>
      </c>
      <c r="AF1153" s="4">
        <f>W1102</f>
        <v>86.258064516129025</v>
      </c>
      <c r="AG1153" s="4">
        <f>X1102</f>
        <v>20.38645502096179</v>
      </c>
      <c r="AH1153" s="4">
        <f>Y1102</f>
        <v>0</v>
      </c>
      <c r="AI1153" s="4">
        <f>Z1102</f>
        <v>21.9502688172043</v>
      </c>
      <c r="AJ1153" s="481"/>
    </row>
    <row r="1154" spans="1:36" ht="15.75" customHeight="1" thickBot="1" x14ac:dyDescent="0.4">
      <c r="A1154" s="323"/>
      <c r="B1154" s="159"/>
      <c r="C1154" s="167"/>
      <c r="D1154" s="167"/>
      <c r="E1154" s="167"/>
      <c r="F1154" s="167"/>
      <c r="G1154" s="167"/>
      <c r="H1154" s="159" t="s">
        <v>424</v>
      </c>
      <c r="I1154" s="159" t="s">
        <v>7</v>
      </c>
      <c r="J1154" s="163" t="str">
        <f>+A8</f>
        <v>Revised:  12/23/2020</v>
      </c>
      <c r="K1154" s="159"/>
      <c r="L1154" s="159"/>
      <c r="M1154" s="159"/>
      <c r="N1154" s="159"/>
      <c r="O1154" s="159"/>
      <c r="P1154" s="159"/>
      <c r="Q1154" s="159"/>
      <c r="R1154" s="159"/>
      <c r="S1154" s="481"/>
      <c r="AD1154" s="475" t="s">
        <v>1251</v>
      </c>
      <c r="AE1154" s="476" t="s">
        <v>7</v>
      </c>
      <c r="AF1154" s="312"/>
      <c r="AG1154" s="312"/>
      <c r="AH1154" s="312"/>
      <c r="AI1154" s="312"/>
      <c r="AJ1154" s="313"/>
    </row>
    <row r="1155" spans="1:36" ht="15.75" customHeight="1" x14ac:dyDescent="0.35">
      <c r="A1155" s="323"/>
      <c r="B1155" s="159"/>
      <c r="C1155" s="167"/>
      <c r="D1155" s="167"/>
      <c r="E1155" s="167"/>
      <c r="F1155" s="167"/>
      <c r="G1155" s="167"/>
      <c r="H1155" s="159" t="s">
        <v>387</v>
      </c>
      <c r="I1155" s="159"/>
      <c r="J1155" s="159"/>
      <c r="K1155" s="159"/>
      <c r="L1155" s="159"/>
      <c r="M1155" s="159"/>
      <c r="N1155" s="159"/>
      <c r="O1155" s="159"/>
      <c r="P1155" s="159"/>
      <c r="Q1155" s="159"/>
      <c r="R1155" s="159"/>
      <c r="S1155" s="481"/>
    </row>
    <row r="1156" spans="1:36" ht="15.75" customHeight="1" x14ac:dyDescent="0.35">
      <c r="A1156" s="323"/>
      <c r="B1156" s="159"/>
      <c r="C1156" s="167"/>
      <c r="D1156" s="167"/>
      <c r="E1156" s="167"/>
      <c r="F1156" s="167"/>
      <c r="G1156" s="167"/>
      <c r="H1156" s="159"/>
      <c r="I1156" s="159"/>
      <c r="J1156" s="159"/>
      <c r="K1156" s="159"/>
      <c r="L1156" s="159"/>
      <c r="M1156" s="159"/>
      <c r="N1156" s="159"/>
      <c r="O1156" s="159"/>
      <c r="P1156" s="159"/>
      <c r="Q1156" s="159"/>
      <c r="R1156" s="159"/>
      <c r="S1156" s="481"/>
    </row>
    <row r="1157" spans="1:36" ht="15.75" customHeight="1" x14ac:dyDescent="0.35">
      <c r="A1157" s="323"/>
      <c r="B1157" s="159"/>
      <c r="C1157" s="167"/>
      <c r="D1157" s="167"/>
      <c r="E1157" s="167"/>
      <c r="F1157" s="167"/>
      <c r="G1157" s="167"/>
      <c r="H1157" s="159" t="s">
        <v>424</v>
      </c>
      <c r="I1157" s="446">
        <f>+A5</f>
        <v>2020</v>
      </c>
      <c r="J1157" s="159"/>
      <c r="K1157" s="159"/>
      <c r="L1157" s="159"/>
      <c r="M1157" s="159"/>
      <c r="N1157" s="159"/>
      <c r="O1157" s="159"/>
      <c r="P1157" s="159"/>
      <c r="Q1157" s="159"/>
      <c r="R1157" s="159"/>
      <c r="S1157" s="481"/>
    </row>
    <row r="1158" spans="1:36" ht="15.75" customHeight="1" x14ac:dyDescent="0.3">
      <c r="A1158" s="323"/>
      <c r="B1158" s="159"/>
      <c r="C1158" s="159"/>
      <c r="D1158" s="159"/>
      <c r="E1158" s="159"/>
      <c r="F1158" s="159"/>
      <c r="G1158" s="159"/>
      <c r="H1158" s="159"/>
      <c r="I1158" s="159"/>
      <c r="J1158" s="159"/>
      <c r="K1158" s="159"/>
      <c r="L1158" s="159"/>
      <c r="M1158" s="159"/>
      <c r="N1158" s="159"/>
      <c r="O1158" s="159"/>
      <c r="P1158" s="159"/>
      <c r="Q1158" s="159"/>
      <c r="R1158" s="159"/>
      <c r="S1158" s="481"/>
    </row>
    <row r="1159" spans="1:36" ht="15.75" customHeight="1" x14ac:dyDescent="0.3">
      <c r="A1159" s="323"/>
      <c r="B1159" s="159"/>
      <c r="C1159" s="161" t="s">
        <v>507</v>
      </c>
      <c r="D1159" s="159"/>
      <c r="E1159" s="159"/>
      <c r="F1159" s="159"/>
      <c r="G1159" s="161" t="s">
        <v>508</v>
      </c>
      <c r="H1159" s="159"/>
      <c r="I1159" s="159"/>
      <c r="J1159" s="159"/>
      <c r="K1159" s="160" t="s">
        <v>509</v>
      </c>
      <c r="L1159" s="159"/>
      <c r="M1159" s="159"/>
      <c r="N1159" s="159"/>
      <c r="O1159" s="160" t="s">
        <v>510</v>
      </c>
      <c r="P1159" s="159"/>
      <c r="Q1159" s="159"/>
      <c r="R1159" s="159"/>
      <c r="S1159" s="481"/>
    </row>
    <row r="1160" spans="1:36" ht="15.75" customHeight="1" x14ac:dyDescent="0.3">
      <c r="A1160" s="323"/>
      <c r="B1160" s="159"/>
      <c r="C1160" s="159">
        <f>+A5</f>
        <v>2020</v>
      </c>
      <c r="D1160" s="159"/>
      <c r="E1160" s="159"/>
      <c r="F1160" s="159" t="s">
        <v>511</v>
      </c>
      <c r="G1160" s="159"/>
      <c r="H1160" s="159"/>
      <c r="I1160" s="159"/>
      <c r="J1160" s="159"/>
      <c r="K1160" s="159">
        <f>+A5</f>
        <v>2020</v>
      </c>
      <c r="L1160" s="159"/>
      <c r="M1160" s="159"/>
      <c r="N1160" s="159"/>
      <c r="O1160" s="159">
        <f>+A5</f>
        <v>2020</v>
      </c>
      <c r="P1160" s="159"/>
      <c r="Q1160" s="159"/>
      <c r="R1160" s="159"/>
      <c r="S1160" s="481"/>
    </row>
    <row r="1161" spans="1:36" ht="15.75" customHeight="1" x14ac:dyDescent="0.3">
      <c r="A1161" s="323"/>
      <c r="B1161" s="159"/>
      <c r="C1161" s="159"/>
      <c r="D1161" s="159"/>
      <c r="E1161" s="159"/>
      <c r="F1161" s="159"/>
      <c r="G1161" s="159">
        <f>+A5</f>
        <v>2020</v>
      </c>
      <c r="H1161" s="159"/>
      <c r="I1161" s="159"/>
      <c r="J1161" s="159"/>
      <c r="K1161" s="159"/>
      <c r="L1161" s="159"/>
      <c r="M1161" s="159"/>
      <c r="N1161" s="159"/>
      <c r="O1161" s="159"/>
      <c r="P1161" s="159"/>
      <c r="Q1161" s="159"/>
      <c r="R1161" s="159"/>
      <c r="S1161" s="481"/>
    </row>
    <row r="1162" spans="1:36" ht="15.75" customHeight="1" x14ac:dyDescent="0.3">
      <c r="A1162" s="323"/>
      <c r="B1162" s="159"/>
      <c r="C1162" s="164" t="s">
        <v>475</v>
      </c>
      <c r="D1162" s="164" t="s">
        <v>512</v>
      </c>
      <c r="E1162" s="164" t="s">
        <v>513</v>
      </c>
      <c r="F1162" s="159"/>
      <c r="G1162" s="164" t="s">
        <v>473</v>
      </c>
      <c r="H1162" s="164" t="s">
        <v>512</v>
      </c>
      <c r="I1162" s="164" t="s">
        <v>514</v>
      </c>
      <c r="J1162" s="159"/>
      <c r="K1162" s="164" t="s">
        <v>472</v>
      </c>
      <c r="L1162" s="164" t="s">
        <v>512</v>
      </c>
      <c r="M1162" s="164" t="s">
        <v>515</v>
      </c>
      <c r="N1162" s="159"/>
      <c r="O1162" s="164" t="s">
        <v>472</v>
      </c>
      <c r="P1162" s="164" t="s">
        <v>512</v>
      </c>
      <c r="Q1162" s="164" t="s">
        <v>515</v>
      </c>
      <c r="R1162" s="159"/>
      <c r="S1162" s="481"/>
    </row>
    <row r="1163" spans="1:36" ht="15.75" customHeight="1" x14ac:dyDescent="0.3">
      <c r="A1163" s="323"/>
      <c r="B1163" s="159"/>
      <c r="C1163" s="164" t="s">
        <v>483</v>
      </c>
      <c r="D1163" s="164" t="s">
        <v>442</v>
      </c>
      <c r="E1163" s="164" t="s">
        <v>462</v>
      </c>
      <c r="F1163" s="159"/>
      <c r="G1163" s="164" t="s">
        <v>481</v>
      </c>
      <c r="H1163" s="164" t="s">
        <v>442</v>
      </c>
      <c r="I1163" s="164" t="s">
        <v>462</v>
      </c>
      <c r="J1163" s="159"/>
      <c r="K1163" s="164" t="s">
        <v>480</v>
      </c>
      <c r="L1163" s="164" t="s">
        <v>442</v>
      </c>
      <c r="M1163" s="164" t="s">
        <v>462</v>
      </c>
      <c r="N1163" s="159"/>
      <c r="O1163" s="164" t="s">
        <v>480</v>
      </c>
      <c r="P1163" s="164" t="s">
        <v>442</v>
      </c>
      <c r="Q1163" s="164" t="s">
        <v>462</v>
      </c>
      <c r="R1163" s="159"/>
      <c r="S1163" s="481"/>
    </row>
    <row r="1164" spans="1:36" ht="15.75" customHeight="1" x14ac:dyDescent="0.3">
      <c r="A1164" s="323"/>
      <c r="B1164" s="159"/>
      <c r="C1164" s="164" t="s">
        <v>442</v>
      </c>
      <c r="D1164" s="164" t="s">
        <v>439</v>
      </c>
      <c r="E1164" s="164" t="s">
        <v>463</v>
      </c>
      <c r="F1164" s="159"/>
      <c r="G1164" s="164" t="s">
        <v>486</v>
      </c>
      <c r="H1164" s="164" t="s">
        <v>439</v>
      </c>
      <c r="I1164" s="164" t="s">
        <v>463</v>
      </c>
      <c r="J1164" s="159"/>
      <c r="K1164" s="164" t="s">
        <v>442</v>
      </c>
      <c r="L1164" s="164" t="s">
        <v>439</v>
      </c>
      <c r="M1164" s="164" t="s">
        <v>463</v>
      </c>
      <c r="N1164" s="159"/>
      <c r="O1164" s="164" t="s">
        <v>442</v>
      </c>
      <c r="P1164" s="164" t="s">
        <v>439</v>
      </c>
      <c r="Q1164" s="164" t="s">
        <v>463</v>
      </c>
      <c r="R1164" s="159"/>
      <c r="S1164" s="481"/>
    </row>
    <row r="1165" spans="1:36" ht="15.75" customHeight="1" x14ac:dyDescent="0.3">
      <c r="A1165" s="323"/>
      <c r="B1165" s="159"/>
      <c r="C1165" s="164" t="s">
        <v>448</v>
      </c>
      <c r="D1165" s="164" t="s">
        <v>516</v>
      </c>
      <c r="E1165" s="164" t="s">
        <v>464</v>
      </c>
      <c r="F1165" s="159"/>
      <c r="G1165" s="164" t="s">
        <v>448</v>
      </c>
      <c r="H1165" s="164" t="s">
        <v>516</v>
      </c>
      <c r="I1165" s="164" t="s">
        <v>464</v>
      </c>
      <c r="J1165" s="159"/>
      <c r="K1165" s="164" t="s">
        <v>448</v>
      </c>
      <c r="L1165" s="164" t="s">
        <v>516</v>
      </c>
      <c r="M1165" s="164" t="s">
        <v>464</v>
      </c>
      <c r="N1165" s="159"/>
      <c r="O1165" s="164" t="s">
        <v>448</v>
      </c>
      <c r="P1165" s="164" t="s">
        <v>516</v>
      </c>
      <c r="Q1165" s="164" t="s">
        <v>464</v>
      </c>
      <c r="R1165" s="159"/>
      <c r="S1165" s="481"/>
    </row>
    <row r="1166" spans="1:36" ht="15.75" customHeight="1" x14ac:dyDescent="0.3">
      <c r="A1166" s="323"/>
      <c r="B1166" s="159"/>
      <c r="C1166" s="159" t="s">
        <v>409</v>
      </c>
      <c r="D1166" s="159" t="s">
        <v>409</v>
      </c>
      <c r="E1166" s="159" t="s">
        <v>409</v>
      </c>
      <c r="F1166" s="159"/>
      <c r="G1166" s="164" t="s">
        <v>409</v>
      </c>
      <c r="H1166" s="164" t="s">
        <v>409</v>
      </c>
      <c r="I1166" s="164" t="s">
        <v>409</v>
      </c>
      <c r="J1166" s="159"/>
      <c r="K1166" s="159" t="s">
        <v>409</v>
      </c>
      <c r="L1166" s="159" t="s">
        <v>409</v>
      </c>
      <c r="M1166" s="159" t="s">
        <v>409</v>
      </c>
      <c r="N1166" s="159"/>
      <c r="O1166" s="159" t="s">
        <v>409</v>
      </c>
      <c r="P1166" s="159" t="s">
        <v>409</v>
      </c>
      <c r="Q1166" s="159" t="s">
        <v>409</v>
      </c>
      <c r="R1166" s="159"/>
      <c r="S1166" s="481"/>
    </row>
    <row r="1167" spans="1:36" ht="15.75" customHeight="1" x14ac:dyDescent="0.3">
      <c r="A1167" s="325" t="s">
        <v>410</v>
      </c>
      <c r="B1167" s="159"/>
      <c r="C1167" s="159">
        <f t="shared" ref="C1167:C1178" si="489">(P1039)</f>
        <v>0.2</v>
      </c>
      <c r="D1167" s="172">
        <v>0</v>
      </c>
      <c r="E1167" s="168">
        <f t="shared" ref="E1167:E1178" si="490">(P1039*D1167/1000)</f>
        <v>0</v>
      </c>
      <c r="F1167" s="159"/>
      <c r="G1167" s="159">
        <v>0</v>
      </c>
      <c r="H1167" s="172">
        <v>0</v>
      </c>
      <c r="I1167" s="168">
        <f t="shared" ref="I1167:I1178" si="491">(G1167*H1167/1000)</f>
        <v>0</v>
      </c>
      <c r="J1167" s="159"/>
      <c r="K1167" s="447">
        <v>11848</v>
      </c>
      <c r="L1167" s="448">
        <v>0</v>
      </c>
      <c r="M1167" s="168">
        <f t="shared" ref="M1167:M1178" si="492">(K1167*L1167/1000)</f>
        <v>0</v>
      </c>
      <c r="N1167" s="159"/>
      <c r="O1167" s="447">
        <v>0</v>
      </c>
      <c r="P1167" s="172">
        <v>0</v>
      </c>
      <c r="Q1167" s="168">
        <f t="shared" ref="Q1167:Q1178" si="493">(O1167*P1167/1000)</f>
        <v>0</v>
      </c>
      <c r="R1167" s="159"/>
      <c r="S1167" s="481"/>
    </row>
    <row r="1168" spans="1:36" ht="15.75" customHeight="1" x14ac:dyDescent="0.3">
      <c r="A1168" s="325" t="s">
        <v>411</v>
      </c>
      <c r="B1168" s="159"/>
      <c r="C1168" s="159">
        <f t="shared" si="489"/>
        <v>0.25</v>
      </c>
      <c r="D1168" s="172">
        <v>0</v>
      </c>
      <c r="E1168" s="168">
        <f t="shared" si="490"/>
        <v>0</v>
      </c>
      <c r="F1168" s="159"/>
      <c r="G1168" s="159" t="e">
        <f>#REF!</f>
        <v>#REF!</v>
      </c>
      <c r="H1168" s="172">
        <v>0</v>
      </c>
      <c r="I1168" s="168" t="e">
        <f t="shared" si="491"/>
        <v>#REF!</v>
      </c>
      <c r="J1168" s="159"/>
      <c r="K1168" s="447">
        <v>11489</v>
      </c>
      <c r="L1168" s="448">
        <v>0</v>
      </c>
      <c r="M1168" s="168">
        <f t="shared" si="492"/>
        <v>0</v>
      </c>
      <c r="N1168" s="159"/>
      <c r="O1168" s="447">
        <v>0</v>
      </c>
      <c r="P1168" s="172">
        <v>0</v>
      </c>
      <c r="Q1168" s="168">
        <f t="shared" si="493"/>
        <v>0</v>
      </c>
      <c r="R1168" s="159"/>
      <c r="S1168" s="481"/>
    </row>
    <row r="1169" spans="1:19" ht="15.75" customHeight="1" x14ac:dyDescent="0.3">
      <c r="A1169" s="325" t="s">
        <v>412</v>
      </c>
      <c r="B1169" s="159"/>
      <c r="C1169" s="159">
        <f t="shared" si="489"/>
        <v>0.3</v>
      </c>
      <c r="D1169" s="172">
        <v>0</v>
      </c>
      <c r="E1169" s="168">
        <f t="shared" si="490"/>
        <v>0</v>
      </c>
      <c r="F1169" s="159">
        <f>SUM(E1167:E1169)</f>
        <v>0</v>
      </c>
      <c r="G1169" s="159" t="e">
        <f>#REF!</f>
        <v>#REF!</v>
      </c>
      <c r="H1169" s="172">
        <v>0</v>
      </c>
      <c r="I1169" s="168" t="e">
        <f t="shared" si="491"/>
        <v>#REF!</v>
      </c>
      <c r="J1169" s="159" t="e">
        <f>SUM(I1167:I1169)</f>
        <v>#REF!</v>
      </c>
      <c r="K1169" s="447">
        <v>16247</v>
      </c>
      <c r="L1169" s="448">
        <v>0</v>
      </c>
      <c r="M1169" s="168">
        <f t="shared" si="492"/>
        <v>0</v>
      </c>
      <c r="N1169" s="159">
        <f>SUM(M1167:M1169)</f>
        <v>0</v>
      </c>
      <c r="O1169" s="447">
        <v>0</v>
      </c>
      <c r="P1169" s="172">
        <v>0</v>
      </c>
      <c r="Q1169" s="168">
        <f t="shared" si="493"/>
        <v>0</v>
      </c>
      <c r="R1169" s="159">
        <f>SUM(Q1167:Q1169)</f>
        <v>0</v>
      </c>
      <c r="S1169" s="481"/>
    </row>
    <row r="1170" spans="1:19" ht="15.75" customHeight="1" x14ac:dyDescent="0.3">
      <c r="A1170" s="325" t="s">
        <v>413</v>
      </c>
      <c r="B1170" s="159"/>
      <c r="C1170" s="159">
        <f t="shared" si="489"/>
        <v>0.35</v>
      </c>
      <c r="D1170" s="172">
        <v>0</v>
      </c>
      <c r="E1170" s="168">
        <f t="shared" si="490"/>
        <v>0</v>
      </c>
      <c r="F1170" s="159"/>
      <c r="G1170" s="159" t="e">
        <f>#REF!</f>
        <v>#REF!</v>
      </c>
      <c r="H1170" s="172">
        <v>0</v>
      </c>
      <c r="I1170" s="168" t="e">
        <f t="shared" si="491"/>
        <v>#REF!</v>
      </c>
      <c r="J1170" s="159"/>
      <c r="K1170" s="447">
        <v>17740</v>
      </c>
      <c r="L1170" s="448">
        <v>0</v>
      </c>
      <c r="M1170" s="168">
        <f t="shared" si="492"/>
        <v>0</v>
      </c>
      <c r="N1170" s="159"/>
      <c r="O1170" s="447">
        <v>0</v>
      </c>
      <c r="P1170" s="172">
        <v>0</v>
      </c>
      <c r="Q1170" s="168">
        <f t="shared" si="493"/>
        <v>0</v>
      </c>
      <c r="R1170" s="159"/>
      <c r="S1170" s="481"/>
    </row>
    <row r="1171" spans="1:19" ht="15.75" customHeight="1" x14ac:dyDescent="0.3">
      <c r="A1171" s="325" t="s">
        <v>414</v>
      </c>
      <c r="B1171" s="159"/>
      <c r="C1171" s="159">
        <f t="shared" si="489"/>
        <v>0.35</v>
      </c>
      <c r="D1171" s="172">
        <v>0</v>
      </c>
      <c r="E1171" s="168">
        <f t="shared" si="490"/>
        <v>0</v>
      </c>
      <c r="F1171" s="159"/>
      <c r="G1171" s="159" t="e">
        <f>#REF!</f>
        <v>#REF!</v>
      </c>
      <c r="H1171" s="172">
        <v>0</v>
      </c>
      <c r="I1171" s="168" t="e">
        <f t="shared" si="491"/>
        <v>#REF!</v>
      </c>
      <c r="J1171" s="159"/>
      <c r="K1171" s="447">
        <v>15434</v>
      </c>
      <c r="L1171" s="448">
        <v>0</v>
      </c>
      <c r="M1171" s="168">
        <f t="shared" si="492"/>
        <v>0</v>
      </c>
      <c r="N1171" s="159"/>
      <c r="O1171" s="447">
        <v>0</v>
      </c>
      <c r="P1171" s="172">
        <v>0</v>
      </c>
      <c r="Q1171" s="168">
        <f t="shared" si="493"/>
        <v>0</v>
      </c>
      <c r="R1171" s="159"/>
      <c r="S1171" s="481"/>
    </row>
    <row r="1172" spans="1:19" ht="15.75" customHeight="1" x14ac:dyDescent="0.3">
      <c r="A1172" s="325" t="s">
        <v>415</v>
      </c>
      <c r="B1172" s="159"/>
      <c r="C1172" s="159">
        <f t="shared" si="489"/>
        <v>7.4999999999999997E-2</v>
      </c>
      <c r="D1172" s="172">
        <v>0</v>
      </c>
      <c r="E1172" s="168">
        <f t="shared" si="490"/>
        <v>0</v>
      </c>
      <c r="F1172" s="159">
        <f>SUM(E1170:E1172)</f>
        <v>0</v>
      </c>
      <c r="G1172" s="159" t="e">
        <f>#REF!</f>
        <v>#REF!</v>
      </c>
      <c r="H1172" s="172">
        <v>0</v>
      </c>
      <c r="I1172" s="168" t="e">
        <f t="shared" si="491"/>
        <v>#REF!</v>
      </c>
      <c r="J1172" s="159" t="e">
        <f>SUM(I1170:I1172)</f>
        <v>#REF!</v>
      </c>
      <c r="K1172" s="447">
        <v>14355</v>
      </c>
      <c r="L1172" s="448">
        <v>0</v>
      </c>
      <c r="M1172" s="168">
        <f t="shared" si="492"/>
        <v>0</v>
      </c>
      <c r="N1172" s="159">
        <f>SUM(M1170:M1172)</f>
        <v>0</v>
      </c>
      <c r="O1172" s="447">
        <v>0</v>
      </c>
      <c r="P1172" s="172">
        <v>0</v>
      </c>
      <c r="Q1172" s="168">
        <f t="shared" si="493"/>
        <v>0</v>
      </c>
      <c r="R1172" s="159">
        <f>SUM(Q1170:Q1172)</f>
        <v>0</v>
      </c>
      <c r="S1172" s="481"/>
    </row>
    <row r="1173" spans="1:19" ht="15.75" customHeight="1" x14ac:dyDescent="0.3">
      <c r="A1173" s="325" t="s">
        <v>416</v>
      </c>
      <c r="B1173" s="159"/>
      <c r="C1173" s="159">
        <f t="shared" si="489"/>
        <v>0.05</v>
      </c>
      <c r="D1173" s="172">
        <v>0</v>
      </c>
      <c r="E1173" s="168">
        <f t="shared" si="490"/>
        <v>0</v>
      </c>
      <c r="F1173" s="159"/>
      <c r="G1173" s="159" t="e">
        <f>#REF!</f>
        <v>#REF!</v>
      </c>
      <c r="H1173" s="172">
        <v>0</v>
      </c>
      <c r="I1173" s="168" t="e">
        <f t="shared" si="491"/>
        <v>#REF!</v>
      </c>
      <c r="J1173" s="159"/>
      <c r="K1173" s="447">
        <v>13129</v>
      </c>
      <c r="L1173" s="448">
        <v>0</v>
      </c>
      <c r="M1173" s="168">
        <f t="shared" si="492"/>
        <v>0</v>
      </c>
      <c r="N1173" s="159"/>
      <c r="O1173" s="447">
        <v>0</v>
      </c>
      <c r="P1173" s="172">
        <v>0</v>
      </c>
      <c r="Q1173" s="168">
        <f t="shared" si="493"/>
        <v>0</v>
      </c>
      <c r="R1173" s="159"/>
      <c r="S1173" s="481"/>
    </row>
    <row r="1174" spans="1:19" ht="15.75" customHeight="1" x14ac:dyDescent="0.3">
      <c r="A1174" s="325" t="s">
        <v>417</v>
      </c>
      <c r="B1174" s="159"/>
      <c r="C1174" s="159">
        <f t="shared" si="489"/>
        <v>0</v>
      </c>
      <c r="D1174" s="172">
        <v>0</v>
      </c>
      <c r="E1174" s="168">
        <f t="shared" si="490"/>
        <v>0</v>
      </c>
      <c r="F1174" s="159"/>
      <c r="G1174" s="159" t="e">
        <f>#REF!</f>
        <v>#REF!</v>
      </c>
      <c r="H1174" s="172">
        <v>0</v>
      </c>
      <c r="I1174" s="168" t="e">
        <f t="shared" si="491"/>
        <v>#REF!</v>
      </c>
      <c r="J1174" s="159"/>
      <c r="K1174" s="447">
        <v>12545</v>
      </c>
      <c r="L1174" s="448">
        <v>0</v>
      </c>
      <c r="M1174" s="168">
        <f t="shared" si="492"/>
        <v>0</v>
      </c>
      <c r="N1174" s="159"/>
      <c r="O1174" s="447">
        <v>0</v>
      </c>
      <c r="P1174" s="172">
        <v>0</v>
      </c>
      <c r="Q1174" s="168">
        <f t="shared" si="493"/>
        <v>0</v>
      </c>
      <c r="R1174" s="159"/>
      <c r="S1174" s="481"/>
    </row>
    <row r="1175" spans="1:19" ht="15.75" customHeight="1" x14ac:dyDescent="0.3">
      <c r="A1175" s="325" t="s">
        <v>418</v>
      </c>
      <c r="B1175" s="159"/>
      <c r="C1175" s="159">
        <f t="shared" si="489"/>
        <v>0.05</v>
      </c>
      <c r="D1175" s="172">
        <v>0</v>
      </c>
      <c r="E1175" s="168">
        <f t="shared" si="490"/>
        <v>0</v>
      </c>
      <c r="F1175" s="159">
        <f>SUM(E1173:E1175)</f>
        <v>0</v>
      </c>
      <c r="G1175" s="159" t="e">
        <f>#REF!</f>
        <v>#REF!</v>
      </c>
      <c r="H1175" s="172">
        <v>0</v>
      </c>
      <c r="I1175" s="168" t="e">
        <f t="shared" si="491"/>
        <v>#REF!</v>
      </c>
      <c r="J1175" s="159" t="e">
        <f>SUM(I1173:I1175)</f>
        <v>#REF!</v>
      </c>
      <c r="K1175" s="447">
        <v>9350</v>
      </c>
      <c r="L1175" s="448">
        <v>0</v>
      </c>
      <c r="M1175" s="168">
        <f t="shared" si="492"/>
        <v>0</v>
      </c>
      <c r="N1175" s="159">
        <f>SUM(M1173:M1175)</f>
        <v>0</v>
      </c>
      <c r="O1175" s="447">
        <v>0</v>
      </c>
      <c r="P1175" s="172">
        <v>0</v>
      </c>
      <c r="Q1175" s="168">
        <f t="shared" si="493"/>
        <v>0</v>
      </c>
      <c r="R1175" s="159">
        <f>SUM(Q1173:Q1175)</f>
        <v>0</v>
      </c>
      <c r="S1175" s="481"/>
    </row>
    <row r="1176" spans="1:19" ht="15.75" customHeight="1" x14ac:dyDescent="0.3">
      <c r="A1176" s="325" t="s">
        <v>419</v>
      </c>
      <c r="B1176" s="159"/>
      <c r="C1176" s="159">
        <f t="shared" si="489"/>
        <v>0.2</v>
      </c>
      <c r="D1176" s="172">
        <v>0</v>
      </c>
      <c r="E1176" s="168">
        <f t="shared" si="490"/>
        <v>0</v>
      </c>
      <c r="F1176" s="159"/>
      <c r="G1176" s="159" t="e">
        <f>#REF!</f>
        <v>#REF!</v>
      </c>
      <c r="H1176" s="172">
        <v>0</v>
      </c>
      <c r="I1176" s="168" t="e">
        <f t="shared" si="491"/>
        <v>#REF!</v>
      </c>
      <c r="J1176" s="159"/>
      <c r="K1176" s="447">
        <v>11649</v>
      </c>
      <c r="L1176" s="448">
        <v>0</v>
      </c>
      <c r="M1176" s="168">
        <f t="shared" si="492"/>
        <v>0</v>
      </c>
      <c r="N1176" s="159"/>
      <c r="O1176" s="447">
        <v>0</v>
      </c>
      <c r="P1176" s="172">
        <v>0</v>
      </c>
      <c r="Q1176" s="168">
        <f t="shared" si="493"/>
        <v>0</v>
      </c>
      <c r="R1176" s="159"/>
      <c r="S1176" s="481"/>
    </row>
    <row r="1177" spans="1:19" ht="15.75" customHeight="1" x14ac:dyDescent="0.3">
      <c r="A1177" s="325" t="s">
        <v>420</v>
      </c>
      <c r="B1177" s="159"/>
      <c r="C1177" s="159">
        <f t="shared" si="489"/>
        <v>0.2</v>
      </c>
      <c r="D1177" s="172">
        <v>0</v>
      </c>
      <c r="E1177" s="168">
        <f t="shared" si="490"/>
        <v>0</v>
      </c>
      <c r="F1177" s="159"/>
      <c r="G1177" s="159" t="e">
        <f>#REF!</f>
        <v>#REF!</v>
      </c>
      <c r="H1177" s="172">
        <v>0</v>
      </c>
      <c r="I1177" s="168" t="e">
        <f t="shared" si="491"/>
        <v>#REF!</v>
      </c>
      <c r="J1177" s="159"/>
      <c r="K1177" s="447">
        <v>8035</v>
      </c>
      <c r="L1177" s="448">
        <v>0</v>
      </c>
      <c r="M1177" s="168">
        <f t="shared" si="492"/>
        <v>0</v>
      </c>
      <c r="N1177" s="159"/>
      <c r="O1177" s="447">
        <v>0</v>
      </c>
      <c r="P1177" s="172">
        <v>0</v>
      </c>
      <c r="Q1177" s="168">
        <f t="shared" si="493"/>
        <v>0</v>
      </c>
      <c r="R1177" s="159"/>
      <c r="S1177" s="481"/>
    </row>
    <row r="1178" spans="1:19" ht="15.75" customHeight="1" x14ac:dyDescent="0.3">
      <c r="A1178" s="325" t="s">
        <v>421</v>
      </c>
      <c r="B1178" s="159"/>
      <c r="C1178" s="159">
        <f t="shared" si="489"/>
        <v>0.2</v>
      </c>
      <c r="D1178" s="172">
        <v>0</v>
      </c>
      <c r="E1178" s="168">
        <f t="shared" si="490"/>
        <v>0</v>
      </c>
      <c r="F1178" s="159">
        <f>SUM(E1176:E1178)</f>
        <v>0</v>
      </c>
      <c r="G1178" s="159" t="e">
        <f>#REF!</f>
        <v>#REF!</v>
      </c>
      <c r="H1178" s="172">
        <v>0</v>
      </c>
      <c r="I1178" s="168" t="e">
        <f t="shared" si="491"/>
        <v>#REF!</v>
      </c>
      <c r="J1178" s="159" t="e">
        <f>SUM(I1176:I1178)</f>
        <v>#REF!</v>
      </c>
      <c r="K1178" s="447">
        <v>8092</v>
      </c>
      <c r="L1178" s="448">
        <v>0</v>
      </c>
      <c r="M1178" s="168">
        <f t="shared" si="492"/>
        <v>0</v>
      </c>
      <c r="N1178" s="159">
        <f>SUM(M1176:M1178)</f>
        <v>0</v>
      </c>
      <c r="O1178" s="447">
        <v>0</v>
      </c>
      <c r="P1178" s="172">
        <v>0</v>
      </c>
      <c r="Q1178" s="168">
        <f t="shared" si="493"/>
        <v>0</v>
      </c>
      <c r="R1178" s="159">
        <f>SUM(Q1176:Q1178)</f>
        <v>0</v>
      </c>
      <c r="S1178" s="481"/>
    </row>
    <row r="1179" spans="1:19" ht="15.75" customHeight="1" x14ac:dyDescent="0.3">
      <c r="A1179" s="323"/>
      <c r="B1179" s="159"/>
      <c r="C1179" s="159"/>
      <c r="D1179" s="159"/>
      <c r="E1179" s="159"/>
      <c r="F1179" s="159"/>
      <c r="G1179" s="159"/>
      <c r="H1179" s="159"/>
      <c r="I1179" s="159"/>
      <c r="J1179" s="159"/>
      <c r="K1179" s="159"/>
      <c r="L1179" s="159"/>
      <c r="M1179" s="159"/>
      <c r="N1179" s="159"/>
      <c r="O1179" s="159"/>
      <c r="P1179" s="159"/>
      <c r="Q1179" s="159"/>
      <c r="R1179" s="159"/>
      <c r="S1179" s="481"/>
    </row>
    <row r="1180" spans="1:19" ht="15.75" customHeight="1" x14ac:dyDescent="0.3">
      <c r="A1180" s="323"/>
      <c r="B1180" s="159"/>
      <c r="C1180" s="159"/>
      <c r="D1180" s="159"/>
      <c r="E1180" s="159"/>
      <c r="F1180" s="159"/>
      <c r="G1180" s="159"/>
      <c r="H1180" s="159"/>
      <c r="I1180" s="159"/>
      <c r="J1180" s="159"/>
      <c r="K1180" s="159"/>
      <c r="L1180" s="159"/>
      <c r="M1180" s="159"/>
      <c r="N1180" s="159"/>
      <c r="O1180" s="159"/>
      <c r="P1180" s="159"/>
      <c r="Q1180" s="159"/>
      <c r="R1180" s="159"/>
      <c r="S1180" s="481"/>
    </row>
    <row r="1181" spans="1:19" ht="16.5" customHeight="1" thickBot="1" x14ac:dyDescent="0.35">
      <c r="A1181" s="326" t="s">
        <v>422</v>
      </c>
      <c r="B1181" s="327"/>
      <c r="C1181" s="327">
        <f>SUM(C1167:C1178)</f>
        <v>2.2250000000000005</v>
      </c>
      <c r="D1181" s="327"/>
      <c r="E1181" s="337">
        <f>SUM(E1167:E1178)</f>
        <v>0</v>
      </c>
      <c r="F1181" s="327"/>
      <c r="G1181" s="327" t="e">
        <f>SUM(G1167:G1178)</f>
        <v>#REF!</v>
      </c>
      <c r="H1181" s="327" t="s">
        <v>424</v>
      </c>
      <c r="I1181" s="337" t="e">
        <f>SUM(I1167:I1178)</f>
        <v>#REF!</v>
      </c>
      <c r="J1181" s="327"/>
      <c r="K1181" s="327">
        <f>SUM(K1167:K1178)</f>
        <v>149913</v>
      </c>
      <c r="L1181" s="327" t="s">
        <v>424</v>
      </c>
      <c r="M1181" s="337">
        <f>SUM(M1167:M1178)</f>
        <v>0</v>
      </c>
      <c r="N1181" s="327"/>
      <c r="O1181" s="327">
        <f>(SUM(O1167:O1178))</f>
        <v>0</v>
      </c>
      <c r="P1181" s="327" t="s">
        <v>424</v>
      </c>
      <c r="Q1181" s="337">
        <f>SUM(Q1167:Q1178)</f>
        <v>0</v>
      </c>
      <c r="R1181" s="327"/>
      <c r="S1181" s="313"/>
    </row>
  </sheetData>
  <scenarios current="0">
    <scenario name="Jan" count="1" user="Windows User" comment="Created by Windows User on 4/11/2013">
      <inputCells r="B325" val="57771.3688407242" numFmtId="37"/>
    </scenario>
  </scenarios>
  <autoFilter ref="A31:R965" xr:uid="{00000000-0009-0000-0000-000003000000}"/>
  <mergeCells count="73">
    <mergeCell ref="B1112:P1112"/>
    <mergeCell ref="B1113:P1113"/>
    <mergeCell ref="B1115:L1115"/>
    <mergeCell ref="M1115:P1115"/>
    <mergeCell ref="B1089:D1089"/>
    <mergeCell ref="T1089:U1089"/>
    <mergeCell ref="V1089:W1089"/>
    <mergeCell ref="B1108:P1108"/>
    <mergeCell ref="B1109:P1109"/>
    <mergeCell ref="B1110:P1110"/>
    <mergeCell ref="B1088:P1088"/>
    <mergeCell ref="M1034:O1034"/>
    <mergeCell ref="AD1034:AQ1034"/>
    <mergeCell ref="AD1035:AQ1035"/>
    <mergeCell ref="B1059:P1059"/>
    <mergeCell ref="B1060:F1060"/>
    <mergeCell ref="G1060:L1060"/>
    <mergeCell ref="M1060:R1060"/>
    <mergeCell ref="S1060:U1060"/>
    <mergeCell ref="M1061:O1061"/>
    <mergeCell ref="B1083:P1083"/>
    <mergeCell ref="B1084:P1084"/>
    <mergeCell ref="B1085:P1085"/>
    <mergeCell ref="B1087:P1087"/>
    <mergeCell ref="B1032:P1032"/>
    <mergeCell ref="AD1032:AQ1032"/>
    <mergeCell ref="B1033:F1033"/>
    <mergeCell ref="G1033:L1033"/>
    <mergeCell ref="M1033:R1033"/>
    <mergeCell ref="S1033:U1033"/>
    <mergeCell ref="B1031:P1031"/>
    <mergeCell ref="AD1031:AQ1031"/>
    <mergeCell ref="AD997:AQ997"/>
    <mergeCell ref="AD999:AQ999"/>
    <mergeCell ref="B1000:P1000"/>
    <mergeCell ref="AD1000:AQ1000"/>
    <mergeCell ref="B1001:P1001"/>
    <mergeCell ref="B1002:P1002"/>
    <mergeCell ref="B1004:P1004"/>
    <mergeCell ref="B1005:P1005"/>
    <mergeCell ref="B1029:P1029"/>
    <mergeCell ref="B1030:P1030"/>
    <mergeCell ref="AD1030:AQ1030"/>
    <mergeCell ref="AD996:AQ996"/>
    <mergeCell ref="B947:P947"/>
    <mergeCell ref="B948:P948"/>
    <mergeCell ref="B949:P949"/>
    <mergeCell ref="B950:P950"/>
    <mergeCell ref="B974:P974"/>
    <mergeCell ref="B975:P975"/>
    <mergeCell ref="B976:P976"/>
    <mergeCell ref="B977:P977"/>
    <mergeCell ref="B978:P978"/>
    <mergeCell ref="B979:P979"/>
    <mergeCell ref="AD995:AQ995"/>
    <mergeCell ref="B946:P946"/>
    <mergeCell ref="A881:R881"/>
    <mergeCell ref="A882:R882"/>
    <mergeCell ref="A883:R883"/>
    <mergeCell ref="A884:R884"/>
    <mergeCell ref="A886:R886"/>
    <mergeCell ref="A922:R922"/>
    <mergeCell ref="A923:R923"/>
    <mergeCell ref="A924:R924"/>
    <mergeCell ref="A925:R925"/>
    <mergeCell ref="A927:R927"/>
    <mergeCell ref="B945:P945"/>
    <mergeCell ref="A8:R8"/>
    <mergeCell ref="A2:R2"/>
    <mergeCell ref="A3:R3"/>
    <mergeCell ref="A4:R4"/>
    <mergeCell ref="A5:R5"/>
    <mergeCell ref="A6:R6"/>
  </mergeCells>
  <conditionalFormatting sqref="S1039:S1050 S1052">
    <cfRule type="cellIs" dxfId="35" priority="3" operator="lessThan">
      <formula>0</formula>
    </cfRule>
    <cfRule type="cellIs" dxfId="34" priority="4" operator="greaterThan">
      <formula>0</formula>
    </cfRule>
  </conditionalFormatting>
  <conditionalFormatting sqref="S1066:S1077">
    <cfRule type="cellIs" dxfId="33" priority="1" operator="lessThan">
      <formula>0</formula>
    </cfRule>
    <cfRule type="cellIs" dxfId="32" priority="2" operator="greaterThan">
      <formula>0</formula>
    </cfRule>
  </conditionalFormatting>
  <printOptions horizontalCentered="1"/>
  <pageMargins left="0.25" right="0.25" top="0.25" bottom="0.25" header="0" footer="0"/>
  <pageSetup paperSize="3" scale="10" orientation="landscape" r:id="rId1"/>
  <headerFooter alignWithMargins="0"/>
  <rowBreaks count="5" manualBreakCount="5">
    <brk id="891" max="17" man="1"/>
    <brk id="931" max="17" man="1"/>
    <brk id="984" max="18" man="1"/>
    <brk id="1012" max="18" man="1"/>
    <brk id="980" min="28" max="46"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83ECD-9FB2-4633-99A3-7B4D62E043BB}">
  <sheetPr codeName="Sheet31">
    <pageSetUpPr fitToPage="1"/>
  </sheetPr>
  <dimension ref="A1:AX1150"/>
  <sheetViews>
    <sheetView topLeftCell="A8" zoomScale="60" zoomScaleNormal="60" workbookViewId="0">
      <pane ySplit="24" topLeftCell="A1000" activePane="bottomLeft" state="frozen"/>
      <selection activeCell="C410" sqref="C410"/>
      <selection pane="bottomLeft" activeCell="D1032" sqref="D1032"/>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218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1093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338" t="s">
        <v>791</v>
      </c>
      <c r="R1" s="3">
        <f ca="1">NOW()</f>
        <v>44909.46975358796</v>
      </c>
    </row>
    <row r="2" spans="1:36" ht="19.5" customHeight="1" x14ac:dyDescent="0.35">
      <c r="A2" s="500" t="s">
        <v>1</v>
      </c>
      <c r="B2" s="500"/>
      <c r="C2" s="500"/>
      <c r="D2" s="500"/>
      <c r="E2" s="500"/>
      <c r="F2" s="500"/>
      <c r="G2" s="500"/>
      <c r="H2" s="500"/>
      <c r="I2" s="500"/>
      <c r="J2" s="500"/>
      <c r="K2" s="500"/>
      <c r="L2" s="500"/>
      <c r="M2" s="500"/>
      <c r="N2" s="500"/>
      <c r="O2" s="500"/>
      <c r="P2" s="500"/>
      <c r="Q2" s="500"/>
      <c r="R2" s="500"/>
    </row>
    <row r="3" spans="1:36" ht="19.5" customHeight="1" x14ac:dyDescent="0.35">
      <c r="A3" s="500" t="s">
        <v>2</v>
      </c>
      <c r="B3" s="500"/>
      <c r="C3" s="500"/>
      <c r="D3" s="500"/>
      <c r="E3" s="500"/>
      <c r="F3" s="500"/>
      <c r="G3" s="500"/>
      <c r="H3" s="500"/>
      <c r="I3" s="500"/>
      <c r="J3" s="500"/>
      <c r="K3" s="500"/>
      <c r="L3" s="500"/>
      <c r="M3" s="500"/>
      <c r="N3" s="500"/>
      <c r="O3" s="500"/>
      <c r="P3" s="500"/>
      <c r="Q3" s="500"/>
      <c r="R3" s="500"/>
    </row>
    <row r="4" spans="1:36" ht="19.5" customHeight="1" x14ac:dyDescent="0.35">
      <c r="A4" s="501" t="s">
        <v>3</v>
      </c>
      <c r="B4" s="501"/>
      <c r="C4" s="501"/>
      <c r="D4" s="501"/>
      <c r="E4" s="501"/>
      <c r="F4" s="501"/>
      <c r="G4" s="501"/>
      <c r="H4" s="501"/>
      <c r="I4" s="501"/>
      <c r="J4" s="501"/>
      <c r="K4" s="501"/>
      <c r="L4" s="501"/>
      <c r="M4" s="501"/>
      <c r="N4" s="501"/>
      <c r="O4" s="501"/>
      <c r="P4" s="501"/>
      <c r="Q4" s="501"/>
      <c r="R4" s="501"/>
    </row>
    <row r="5" spans="1:36" ht="19.5" customHeight="1" x14ac:dyDescent="0.35">
      <c r="A5" s="502">
        <v>2019</v>
      </c>
      <c r="B5" s="502"/>
      <c r="C5" s="502"/>
      <c r="D5" s="502"/>
      <c r="E5" s="502"/>
      <c r="F5" s="502"/>
      <c r="G5" s="502"/>
      <c r="H5" s="502"/>
      <c r="I5" s="502"/>
      <c r="J5" s="502"/>
      <c r="K5" s="502"/>
      <c r="L5" s="502"/>
      <c r="M5" s="502"/>
      <c r="N5" s="502"/>
      <c r="O5" s="502"/>
      <c r="P5" s="502"/>
      <c r="Q5" s="502"/>
      <c r="R5" s="502"/>
    </row>
    <row r="6" spans="1:36" ht="19.5" customHeight="1" x14ac:dyDescent="0.35">
      <c r="A6" s="501" t="s">
        <v>1345</v>
      </c>
      <c r="B6" s="501"/>
      <c r="C6" s="501"/>
      <c r="D6" s="501"/>
      <c r="E6" s="501"/>
      <c r="F6" s="501"/>
      <c r="G6" s="501"/>
      <c r="H6" s="501"/>
      <c r="I6" s="501"/>
      <c r="J6" s="501"/>
      <c r="K6" s="501"/>
      <c r="L6" s="501"/>
      <c r="M6" s="501"/>
      <c r="N6" s="501"/>
      <c r="O6" s="501"/>
      <c r="P6" s="501"/>
      <c r="Q6" s="501"/>
      <c r="R6" s="501"/>
    </row>
    <row r="7" spans="1:36" ht="19.5" customHeight="1" x14ac:dyDescent="0.35">
      <c r="A7" s="296"/>
      <c r="B7" s="296"/>
      <c r="C7" s="296"/>
      <c r="D7" s="296"/>
      <c r="E7" s="296"/>
      <c r="F7" s="296"/>
      <c r="G7" s="296"/>
      <c r="H7" s="296"/>
      <c r="I7" s="296"/>
      <c r="J7" s="296"/>
      <c r="K7" s="296"/>
      <c r="L7" s="296"/>
      <c r="M7" s="296"/>
      <c r="N7" s="296"/>
      <c r="O7" s="296"/>
      <c r="P7" s="296"/>
      <c r="Q7" s="296"/>
      <c r="R7" s="296"/>
    </row>
    <row r="8" spans="1:36" ht="15.75" customHeight="1" x14ac:dyDescent="0.3">
      <c r="A8" s="499" t="s">
        <v>1346</v>
      </c>
      <c r="B8" s="499"/>
      <c r="C8" s="499"/>
      <c r="D8" s="499"/>
      <c r="E8" s="499"/>
      <c r="F8" s="499"/>
      <c r="G8" s="499"/>
      <c r="H8" s="499"/>
      <c r="I8" s="499"/>
      <c r="J8" s="499"/>
      <c r="K8" s="499"/>
      <c r="L8" s="499"/>
      <c r="M8" s="499"/>
      <c r="N8" s="499"/>
      <c r="O8" s="499"/>
      <c r="P8" s="499"/>
      <c r="Q8" s="499"/>
      <c r="R8" s="499"/>
    </row>
    <row r="9" spans="1:36" ht="15.75" customHeight="1" x14ac:dyDescent="0.3">
      <c r="A9" s="5"/>
      <c r="B9" s="6"/>
      <c r="C9" s="6"/>
      <c r="D9" s="6"/>
      <c r="E9" s="6"/>
      <c r="F9" s="6"/>
      <c r="G9" s="6"/>
      <c r="H9" s="6"/>
      <c r="I9" s="6"/>
      <c r="J9" s="6"/>
      <c r="K9" s="6"/>
      <c r="L9" s="6"/>
      <c r="M9" s="6"/>
      <c r="N9" s="6"/>
      <c r="O9" s="6"/>
      <c r="P9" s="6"/>
      <c r="Q9" s="6"/>
      <c r="R9" s="6"/>
    </row>
    <row r="10" spans="1:36" ht="16.5" customHeight="1" thickBot="1" x14ac:dyDescent="0.35">
      <c r="A10" s="1" t="s">
        <v>794</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297" t="s">
        <v>7</v>
      </c>
      <c r="B11" s="298" t="s">
        <v>795</v>
      </c>
      <c r="C11" s="48" t="s">
        <v>9</v>
      </c>
      <c r="D11" s="48" t="s">
        <v>10</v>
      </c>
      <c r="E11" s="32" t="s">
        <v>11</v>
      </c>
      <c r="F11" s="48" t="s">
        <v>12</v>
      </c>
      <c r="G11" s="48" t="s">
        <v>13</v>
      </c>
      <c r="H11" s="48" t="s">
        <v>14</v>
      </c>
      <c r="I11" s="32" t="s">
        <v>15</v>
      </c>
      <c r="J11" s="48" t="s">
        <v>16</v>
      </c>
      <c r="K11" s="48" t="s">
        <v>17</v>
      </c>
      <c r="L11" s="48" t="s">
        <v>18</v>
      </c>
      <c r="M11" s="32" t="s">
        <v>19</v>
      </c>
      <c r="N11" s="48" t="s">
        <v>20</v>
      </c>
      <c r="O11" s="48" t="s">
        <v>21</v>
      </c>
      <c r="P11" s="48" t="s">
        <v>22</v>
      </c>
      <c r="Q11" s="32" t="s">
        <v>23</v>
      </c>
      <c r="R11" s="49" t="s">
        <v>24</v>
      </c>
    </row>
    <row r="12" spans="1:36" ht="16.5" customHeight="1" thickBot="1" x14ac:dyDescent="0.35">
      <c r="A12" s="67"/>
      <c r="B12" s="51"/>
      <c r="C12" s="51"/>
      <c r="D12" s="51"/>
      <c r="E12" s="52"/>
      <c r="F12" s="51"/>
      <c r="G12" s="51"/>
      <c r="H12" s="51"/>
      <c r="I12" s="52"/>
      <c r="J12" s="51"/>
      <c r="K12" s="51"/>
      <c r="L12" s="51"/>
      <c r="M12" s="52"/>
      <c r="N12" s="51"/>
      <c r="O12" s="51"/>
      <c r="P12" s="51"/>
      <c r="Q12" s="52"/>
      <c r="R12" s="52"/>
    </row>
    <row r="13" spans="1:36" ht="15.75" customHeight="1" x14ac:dyDescent="0.3">
      <c r="A13" s="15" t="s">
        <v>25</v>
      </c>
      <c r="B13" s="1">
        <f>+B910</f>
        <v>42078</v>
      </c>
      <c r="C13" s="1">
        <f>+C910</f>
        <v>50313</v>
      </c>
      <c r="D13" s="1">
        <f>+D910</f>
        <v>82174</v>
      </c>
      <c r="E13" s="16">
        <f>SUM(B13:D13)</f>
        <v>174565</v>
      </c>
      <c r="F13" s="1">
        <f>+F910</f>
        <v>143255</v>
      </c>
      <c r="G13" s="1">
        <f>+G910</f>
        <v>140285</v>
      </c>
      <c r="H13" s="1">
        <f>+H910</f>
        <v>183443</v>
      </c>
      <c r="I13" s="16">
        <f t="shared" ref="I13:I19" si="0">SUM(F13:H13)</f>
        <v>466983</v>
      </c>
      <c r="J13" s="1">
        <f>+J910</f>
        <v>188724</v>
      </c>
      <c r="K13" s="1">
        <f>+K910</f>
        <v>181776</v>
      </c>
      <c r="L13" s="1">
        <f>+L910</f>
        <v>124651</v>
      </c>
      <c r="M13" s="16">
        <f t="shared" ref="M13:M20" si="1">SUM(J13:L13)</f>
        <v>495151</v>
      </c>
      <c r="N13" s="1">
        <f>+N910</f>
        <v>103093</v>
      </c>
      <c r="O13" s="1">
        <f>+O910</f>
        <v>23617</v>
      </c>
      <c r="P13" s="1">
        <f>+P910</f>
        <v>48082</v>
      </c>
      <c r="Q13" s="17">
        <f t="shared" ref="Q13:Q19" si="2">SUM(N13:P13)</f>
        <v>174792</v>
      </c>
      <c r="R13" s="16">
        <f t="shared" ref="R13:R20" si="3">+E13+I13+M13+Q13</f>
        <v>1311491</v>
      </c>
      <c r="S13" s="4">
        <f>R13-13500</f>
        <v>1297991</v>
      </c>
      <c r="T13" s="4">
        <f>+R13-S13</f>
        <v>13500</v>
      </c>
      <c r="V13" s="339"/>
      <c r="W13" s="339"/>
      <c r="X13" s="339"/>
      <c r="Z13" s="339"/>
      <c r="AA13" s="339"/>
      <c r="AB13" s="339"/>
      <c r="AD13" s="339"/>
      <c r="AE13" s="339"/>
      <c r="AF13" s="339"/>
      <c r="AH13" s="339"/>
      <c r="AI13" s="339"/>
      <c r="AJ13" s="339"/>
    </row>
    <row r="14" spans="1:36" ht="15.75" customHeight="1" x14ac:dyDescent="0.3">
      <c r="A14" s="15" t="s">
        <v>27</v>
      </c>
      <c r="B14" s="1">
        <f>B25+B60+B129+B314+B488+B538+B583+B650+B660+B696+B749+B759+B793+B842</f>
        <v>739</v>
      </c>
      <c r="C14" s="1">
        <f>C25+C60+C129+C314+C488+C538+C583+C650+C660+C696+C749+C759+C793+C842</f>
        <v>1283</v>
      </c>
      <c r="D14" s="1">
        <f>D25+D60+D129+D314+D488+D538+D583+D650+D660+D696+D749+D759+D793+D842</f>
        <v>2185</v>
      </c>
      <c r="E14" s="16">
        <f t="shared" ref="E14:E19" si="4">SUM(B14:D14)</f>
        <v>4207</v>
      </c>
      <c r="F14" s="1">
        <f>F25+F60+F129+F314+F488+F538+F583+F650+F660+F696+F749+F759+F793+F842</f>
        <v>2959</v>
      </c>
      <c r="G14" s="1">
        <f>G25+G60+G129+G314+G488+G538+G583+G650+G660+G696+G749+G759+G793+G842</f>
        <v>3425</v>
      </c>
      <c r="H14" s="1">
        <f>H25+H60+H129+H314+H488+H538+H583+H650+H660+H696+H749+H759+H793+H842</f>
        <v>3464</v>
      </c>
      <c r="I14" s="16">
        <f t="shared" si="0"/>
        <v>9848</v>
      </c>
      <c r="J14" s="1">
        <f>J25+J60+J129+J314+J488+J538+J583+J650+J660+J696+J749+J759+J793+J842</f>
        <v>3382</v>
      </c>
      <c r="K14" s="1">
        <f>K25+K60+K129+K314+K488+K538+K583+K650+K660+K696+K749+K759+K793+K842</f>
        <v>2663</v>
      </c>
      <c r="L14" s="1">
        <f>L25+L60+L129+L314+L488+L538+L583+L650+L660+L696+L749+L759+L793+L842</f>
        <v>2559</v>
      </c>
      <c r="M14" s="16">
        <f t="shared" si="1"/>
        <v>8604</v>
      </c>
      <c r="N14" s="1">
        <f>N25+N60+N129+N314+N488+N538+N583+N650+N660+N696+N749+N759+N793+N842</f>
        <v>2343</v>
      </c>
      <c r="O14" s="1">
        <f>O25+O60+O129+O314+O488+O538+O583+O650+O660+O696+O749+O759+O793+O842</f>
        <v>1892</v>
      </c>
      <c r="P14" s="1">
        <f>P25+P60+P129+P314+P488+P538+P583+P650+P660+P696+P749+P759+P793+P842</f>
        <v>1423</v>
      </c>
      <c r="Q14" s="17">
        <f t="shared" si="2"/>
        <v>5658</v>
      </c>
      <c r="R14" s="16">
        <f t="shared" si="3"/>
        <v>28317</v>
      </c>
    </row>
    <row r="15" spans="1:36" ht="15.75" customHeight="1" x14ac:dyDescent="0.3">
      <c r="A15" s="15" t="s">
        <v>28</v>
      </c>
      <c r="B15" s="1">
        <f>B309</f>
        <v>0</v>
      </c>
      <c r="C15" s="1">
        <f>C309</f>
        <v>55</v>
      </c>
      <c r="D15" s="1">
        <f>D309</f>
        <v>1056</v>
      </c>
      <c r="E15" s="16">
        <f t="shared" si="4"/>
        <v>1111</v>
      </c>
      <c r="F15" s="1">
        <f>F309</f>
        <v>1915</v>
      </c>
      <c r="G15" s="1">
        <f>G309</f>
        <v>2784</v>
      </c>
      <c r="H15" s="1">
        <f>H309</f>
        <v>2521</v>
      </c>
      <c r="I15" s="16">
        <f t="shared" si="0"/>
        <v>7220</v>
      </c>
      <c r="J15" s="1">
        <f>J309</f>
        <v>2267</v>
      </c>
      <c r="K15" s="1">
        <f>K309</f>
        <v>2783</v>
      </c>
      <c r="L15" s="1">
        <f>L309</f>
        <v>1859</v>
      </c>
      <c r="M15" s="16">
        <f t="shared" si="1"/>
        <v>6909</v>
      </c>
      <c r="N15" s="1">
        <f>N309</f>
        <v>2787</v>
      </c>
      <c r="O15" s="1">
        <f>O309</f>
        <v>2962</v>
      </c>
      <c r="P15" s="1">
        <f>P309</f>
        <v>659</v>
      </c>
      <c r="Q15" s="17">
        <f t="shared" si="2"/>
        <v>6408</v>
      </c>
      <c r="R15" s="16">
        <f t="shared" si="3"/>
        <v>21648</v>
      </c>
    </row>
    <row r="16" spans="1:36" ht="15.75" customHeight="1" x14ac:dyDescent="0.3">
      <c r="A16" s="18" t="s">
        <v>29</v>
      </c>
      <c r="B16" s="1">
        <f>+B310</f>
        <v>0</v>
      </c>
      <c r="C16" s="1">
        <f>+C310</f>
        <v>0</v>
      </c>
      <c r="D16" s="1">
        <f>+D310</f>
        <v>-2608</v>
      </c>
      <c r="E16" s="16">
        <f t="shared" si="4"/>
        <v>-2608</v>
      </c>
      <c r="F16" s="1">
        <f>+F310</f>
        <v>2028</v>
      </c>
      <c r="G16" s="1">
        <f>+G310</f>
        <v>3526</v>
      </c>
      <c r="H16" s="1">
        <f>+H310</f>
        <v>80</v>
      </c>
      <c r="I16" s="16">
        <f t="shared" si="0"/>
        <v>5634</v>
      </c>
      <c r="J16" s="1">
        <f>+J310</f>
        <v>-3173</v>
      </c>
      <c r="K16" s="1">
        <f>+K310</f>
        <v>-8011</v>
      </c>
      <c r="L16" s="1">
        <f>+L310</f>
        <v>-1070</v>
      </c>
      <c r="M16" s="16">
        <f t="shared" si="1"/>
        <v>-12254</v>
      </c>
      <c r="N16" s="1">
        <f>+N310</f>
        <v>2064</v>
      </c>
      <c r="O16" s="1">
        <f>+O310</f>
        <v>-6509</v>
      </c>
      <c r="P16" s="1">
        <f>+P310</f>
        <v>-2166</v>
      </c>
      <c r="Q16" s="17">
        <f t="shared" si="2"/>
        <v>-6611</v>
      </c>
      <c r="R16" s="16">
        <f t="shared" si="3"/>
        <v>-15839</v>
      </c>
    </row>
    <row r="17" spans="1:20" ht="15.75" customHeight="1" x14ac:dyDescent="0.3">
      <c r="A17" s="19" t="s">
        <v>31</v>
      </c>
      <c r="B17" s="1">
        <f>B313</f>
        <v>62928</v>
      </c>
      <c r="C17" s="1">
        <f>C313</f>
        <v>99729</v>
      </c>
      <c r="D17" s="1">
        <f>D313</f>
        <v>62</v>
      </c>
      <c r="E17" s="16">
        <f t="shared" si="4"/>
        <v>162719</v>
      </c>
      <c r="F17" s="1">
        <f>F313</f>
        <v>11000</v>
      </c>
      <c r="G17" s="1">
        <f>G313</f>
        <v>18293</v>
      </c>
      <c r="H17" s="1">
        <f>H313</f>
        <v>1475</v>
      </c>
      <c r="I17" s="16">
        <f t="shared" si="0"/>
        <v>30768</v>
      </c>
      <c r="J17" s="1">
        <f>J313</f>
        <v>0</v>
      </c>
      <c r="K17" s="1">
        <f>K313</f>
        <v>29</v>
      </c>
      <c r="L17" s="1">
        <f>L313</f>
        <v>31893</v>
      </c>
      <c r="M17" s="16">
        <f t="shared" si="1"/>
        <v>31922</v>
      </c>
      <c r="N17" s="1">
        <f>N313</f>
        <v>39398</v>
      </c>
      <c r="O17" s="1">
        <f>O313</f>
        <v>102175</v>
      </c>
      <c r="P17" s="1">
        <f>P313</f>
        <v>25914</v>
      </c>
      <c r="Q17" s="17">
        <f t="shared" si="2"/>
        <v>167487</v>
      </c>
      <c r="R17" s="16">
        <f t="shared" si="3"/>
        <v>392896</v>
      </c>
    </row>
    <row r="18" spans="1:20" ht="15.75" customHeight="1" x14ac:dyDescent="0.3">
      <c r="A18" s="19" t="s">
        <v>32</v>
      </c>
      <c r="B18" s="1">
        <f>B325</f>
        <v>-18404</v>
      </c>
      <c r="C18" s="1">
        <f>C325</f>
        <v>0</v>
      </c>
      <c r="D18" s="1">
        <f>D325</f>
        <v>-127</v>
      </c>
      <c r="E18" s="16">
        <f t="shared" si="4"/>
        <v>-18531</v>
      </c>
      <c r="F18" s="1">
        <f>F325</f>
        <v>-13494</v>
      </c>
      <c r="G18" s="1">
        <f>G325</f>
        <v>-15508</v>
      </c>
      <c r="H18" s="1">
        <f>H325</f>
        <v>-84160</v>
      </c>
      <c r="I18" s="16">
        <f t="shared" si="0"/>
        <v>-113162</v>
      </c>
      <c r="J18" s="1">
        <f>J325</f>
        <v>-93396</v>
      </c>
      <c r="K18" s="1">
        <f>K325</f>
        <v>-75286</v>
      </c>
      <c r="L18" s="1">
        <f>L325</f>
        <v>0</v>
      </c>
      <c r="M18" s="16">
        <f t="shared" si="1"/>
        <v>-168682</v>
      </c>
      <c r="N18" s="1">
        <f>N325</f>
        <v>0</v>
      </c>
      <c r="O18" s="1">
        <f>O325</f>
        <v>-1783</v>
      </c>
      <c r="P18" s="1">
        <f>P325</f>
        <v>0</v>
      </c>
      <c r="Q18" s="17">
        <f t="shared" si="2"/>
        <v>-1783</v>
      </c>
      <c r="R18" s="16">
        <f t="shared" si="3"/>
        <v>-302158</v>
      </c>
    </row>
    <row r="19" spans="1:20" ht="16.5" customHeight="1" thickBot="1" x14ac:dyDescent="0.35">
      <c r="A19" s="20" t="s">
        <v>33</v>
      </c>
      <c r="B19" s="21">
        <f>(B29)</f>
        <v>87341</v>
      </c>
      <c r="C19" s="21">
        <f>(C29)</f>
        <v>151380</v>
      </c>
      <c r="D19" s="21">
        <f>(D29)</f>
        <v>82742</v>
      </c>
      <c r="E19" s="22">
        <f t="shared" si="4"/>
        <v>321463</v>
      </c>
      <c r="F19" s="21">
        <f>(F29)</f>
        <v>147663</v>
      </c>
      <c r="G19" s="21">
        <f>(G29)</f>
        <v>152805</v>
      </c>
      <c r="H19" s="21">
        <f>(H29)</f>
        <v>106823</v>
      </c>
      <c r="I19" s="22">
        <f t="shared" si="0"/>
        <v>407291</v>
      </c>
      <c r="J19" s="21">
        <f>(J29)</f>
        <v>97804</v>
      </c>
      <c r="K19" s="21">
        <f>(K29)</f>
        <v>103954</v>
      </c>
      <c r="L19" s="21">
        <f>(L29)</f>
        <v>159892</v>
      </c>
      <c r="M19" s="22">
        <f t="shared" si="1"/>
        <v>361650</v>
      </c>
      <c r="N19" s="21">
        <f>(N29)</f>
        <v>149685</v>
      </c>
      <c r="O19" s="21">
        <f>(O29)</f>
        <v>122354</v>
      </c>
      <c r="P19" s="21">
        <f>(P29)</f>
        <v>73912</v>
      </c>
      <c r="Q19" s="23">
        <f t="shared" si="2"/>
        <v>345951</v>
      </c>
      <c r="R19" s="22">
        <f t="shared" si="3"/>
        <v>1436355</v>
      </c>
    </row>
    <row r="20" spans="1:20" ht="16.5" customHeight="1" thickBot="1" x14ac:dyDescent="0.35">
      <c r="A20" s="20" t="s">
        <v>36</v>
      </c>
      <c r="B20" s="21">
        <v>90530</v>
      </c>
      <c r="C20" s="21">
        <v>150723</v>
      </c>
      <c r="D20" s="21">
        <v>82674</v>
      </c>
      <c r="E20" s="22">
        <f>SUM(B20:D20)</f>
        <v>323927</v>
      </c>
      <c r="F20" s="21">
        <v>143769</v>
      </c>
      <c r="G20" s="21">
        <v>153751</v>
      </c>
      <c r="H20" s="21">
        <v>103850</v>
      </c>
      <c r="I20" s="22">
        <f>SUM(F20:H20)</f>
        <v>401370</v>
      </c>
      <c r="J20" s="21">
        <v>92195</v>
      </c>
      <c r="K20" s="21">
        <v>101771</v>
      </c>
      <c r="L20" s="21">
        <v>160158</v>
      </c>
      <c r="M20" s="22">
        <f t="shared" si="1"/>
        <v>354124</v>
      </c>
      <c r="N20" s="21">
        <v>151035</v>
      </c>
      <c r="O20" s="21">
        <v>125435</v>
      </c>
      <c r="P20" s="21">
        <f>+P19</f>
        <v>73912</v>
      </c>
      <c r="Q20" s="23">
        <f>SUM(N20:P20)</f>
        <v>350382</v>
      </c>
      <c r="R20" s="22">
        <f t="shared" si="3"/>
        <v>1429803</v>
      </c>
    </row>
    <row r="21" spans="1:20" ht="15.75" customHeight="1" x14ac:dyDescent="0.3">
      <c r="A21" s="1"/>
      <c r="B21" s="1"/>
      <c r="C21" s="1"/>
      <c r="D21" s="1"/>
      <c r="E21" s="1"/>
      <c r="F21" s="1"/>
      <c r="G21" s="1"/>
      <c r="H21" s="1"/>
      <c r="I21" s="1"/>
      <c r="J21" s="1"/>
      <c r="K21" s="1"/>
      <c r="L21" s="1"/>
      <c r="M21" s="1"/>
      <c r="N21" s="1"/>
      <c r="O21" s="1"/>
      <c r="P21" s="1"/>
      <c r="Q21" s="1"/>
      <c r="R21" s="2"/>
    </row>
    <row r="22" spans="1:20" ht="15.75" customHeight="1" thickBot="1" x14ac:dyDescent="0.35">
      <c r="A22" s="1"/>
      <c r="B22" s="1"/>
      <c r="C22" s="1"/>
      <c r="D22" s="1"/>
      <c r="E22" s="1"/>
      <c r="F22" s="27" t="s">
        <v>7</v>
      </c>
      <c r="G22" s="27" t="s">
        <v>7</v>
      </c>
      <c r="H22" s="1"/>
      <c r="I22" s="1"/>
      <c r="J22" s="1"/>
      <c r="K22" s="1"/>
      <c r="L22" s="1"/>
      <c r="M22" s="1"/>
      <c r="N22" s="27" t="s">
        <v>7</v>
      </c>
      <c r="O22" s="27" t="s">
        <v>7</v>
      </c>
      <c r="P22" s="27" t="s">
        <v>7</v>
      </c>
      <c r="Q22" s="27"/>
      <c r="R22" s="28" t="s">
        <v>7</v>
      </c>
    </row>
    <row r="23" spans="1:20" ht="16.5" customHeight="1" thickBot="1" x14ac:dyDescent="0.35">
      <c r="A23" s="29" t="s">
        <v>39</v>
      </c>
      <c r="B23" s="30" t="s">
        <v>8</v>
      </c>
      <c r="C23" s="31" t="s">
        <v>9</v>
      </c>
      <c r="D23" s="31" t="s">
        <v>10</v>
      </c>
      <c r="E23" s="32" t="s">
        <v>11</v>
      </c>
      <c r="F23" s="31" t="s">
        <v>12</v>
      </c>
      <c r="G23" s="31" t="s">
        <v>13</v>
      </c>
      <c r="H23" s="31" t="s">
        <v>14</v>
      </c>
      <c r="I23" s="33" t="s">
        <v>15</v>
      </c>
      <c r="J23" s="31" t="s">
        <v>16</v>
      </c>
      <c r="K23" s="31" t="s">
        <v>17</v>
      </c>
      <c r="L23" s="31" t="s">
        <v>18</v>
      </c>
      <c r="M23" s="33" t="s">
        <v>19</v>
      </c>
      <c r="N23" s="31" t="s">
        <v>20</v>
      </c>
      <c r="O23" s="31" t="s">
        <v>21</v>
      </c>
      <c r="P23" s="31" t="s">
        <v>22</v>
      </c>
      <c r="Q23" s="33" t="s">
        <v>23</v>
      </c>
      <c r="R23" s="34" t="s">
        <v>24</v>
      </c>
    </row>
    <row r="24" spans="1:20" ht="16.5" customHeight="1" thickBot="1" x14ac:dyDescent="0.35">
      <c r="A24" s="35"/>
      <c r="B24" s="36"/>
      <c r="C24" s="36"/>
      <c r="D24" s="36"/>
      <c r="E24" s="37"/>
      <c r="F24" s="36"/>
      <c r="G24" s="36"/>
      <c r="H24" s="36"/>
      <c r="I24" s="37"/>
      <c r="J24" s="36"/>
      <c r="K24" s="36"/>
      <c r="L24" s="36"/>
      <c r="M24" s="37"/>
      <c r="N24" s="36"/>
      <c r="O24" s="36"/>
      <c r="P24" s="36"/>
      <c r="Q24" s="37"/>
      <c r="R24" s="38"/>
    </row>
    <row r="25" spans="1:20" ht="16.5" customHeight="1" thickBot="1" x14ac:dyDescent="0.35">
      <c r="A25" s="39" t="s">
        <v>40</v>
      </c>
      <c r="B25" s="21">
        <v>97</v>
      </c>
      <c r="C25" s="21">
        <v>148</v>
      </c>
      <c r="D25" s="21">
        <v>274</v>
      </c>
      <c r="E25" s="40">
        <f>SUM(B25:D25)</f>
        <v>519</v>
      </c>
      <c r="F25" s="21">
        <v>367</v>
      </c>
      <c r="G25" s="21">
        <v>425</v>
      </c>
      <c r="H25" s="21">
        <v>417</v>
      </c>
      <c r="I25" s="40">
        <f>SUM(F25:H25)</f>
        <v>1209</v>
      </c>
      <c r="J25" s="21">
        <v>416</v>
      </c>
      <c r="K25" s="21">
        <v>334</v>
      </c>
      <c r="L25" s="21">
        <v>316</v>
      </c>
      <c r="M25" s="40">
        <f>SUM(J25:L25)</f>
        <v>1066</v>
      </c>
      <c r="N25" s="21">
        <v>285</v>
      </c>
      <c r="O25" s="21">
        <v>235</v>
      </c>
      <c r="P25" s="21">
        <v>186</v>
      </c>
      <c r="Q25" s="40">
        <f>SUM(N25:P25)</f>
        <v>706</v>
      </c>
      <c r="R25" s="22">
        <f>+E25+I25+M25+Q25</f>
        <v>3500</v>
      </c>
    </row>
    <row r="26" spans="1:20" ht="17.25" customHeight="1" thickBot="1" x14ac:dyDescent="0.35">
      <c r="A26" s="41"/>
      <c r="B26" s="36"/>
      <c r="C26" s="36"/>
      <c r="D26" s="36"/>
      <c r="E26" s="42"/>
      <c r="F26" s="36"/>
      <c r="G26" s="36"/>
      <c r="H26" s="36"/>
      <c r="I26" s="42"/>
      <c r="J26" s="36"/>
      <c r="K26" s="36"/>
      <c r="L26" s="36"/>
      <c r="M26" s="42"/>
      <c r="N26" s="36"/>
      <c r="O26" s="36"/>
      <c r="P26" s="36"/>
      <c r="Q26" s="42"/>
      <c r="R26" s="43"/>
    </row>
    <row r="27" spans="1:20" ht="15.75" customHeight="1" x14ac:dyDescent="0.3">
      <c r="A27" s="15" t="s">
        <v>41</v>
      </c>
      <c r="B27" s="1">
        <f>B25</f>
        <v>97</v>
      </c>
      <c r="C27" s="1">
        <f>C25</f>
        <v>148</v>
      </c>
      <c r="D27" s="1">
        <f>D25</f>
        <v>274</v>
      </c>
      <c r="E27" s="40">
        <f>SUM(B27:D27)</f>
        <v>519</v>
      </c>
      <c r="F27" s="1">
        <f>F25</f>
        <v>367</v>
      </c>
      <c r="G27" s="1">
        <f>G25</f>
        <v>425</v>
      </c>
      <c r="H27" s="1">
        <f>H25</f>
        <v>417</v>
      </c>
      <c r="I27" s="40">
        <f>SUM(F27:H27)</f>
        <v>1209</v>
      </c>
      <c r="J27" s="1">
        <f>J25</f>
        <v>416</v>
      </c>
      <c r="K27" s="1">
        <f>K25</f>
        <v>334</v>
      </c>
      <c r="L27" s="1">
        <f>L25</f>
        <v>316</v>
      </c>
      <c r="M27" s="40">
        <f>SUM(J27:L27)</f>
        <v>1066</v>
      </c>
      <c r="N27" s="1">
        <f>N25</f>
        <v>285</v>
      </c>
      <c r="O27" s="1">
        <f>O25</f>
        <v>235</v>
      </c>
      <c r="P27" s="1">
        <f>P25</f>
        <v>186</v>
      </c>
      <c r="Q27" s="44">
        <f>SUM(N27:P27)</f>
        <v>706</v>
      </c>
      <c r="R27" s="40">
        <f>+E27+I27+M27+Q27</f>
        <v>3500</v>
      </c>
    </row>
    <row r="28" spans="1:20" ht="15.75" customHeight="1" x14ac:dyDescent="0.3">
      <c r="A28" s="15" t="s">
        <v>42</v>
      </c>
      <c r="B28" s="1">
        <f>(B27/B10)/1.983</f>
        <v>1.5779285214647079</v>
      </c>
      <c r="C28" s="1">
        <f>(C27/C10)/1.983</f>
        <v>2.6655140119587926</v>
      </c>
      <c r="D28" s="1">
        <f>(D27/D10)/1.983</f>
        <v>4.457241390529175</v>
      </c>
      <c r="E28" s="16"/>
      <c r="F28" s="1">
        <f>(F27/F10)/1.983</f>
        <v>6.1691040511010247</v>
      </c>
      <c r="G28" s="1">
        <f>(G27/G10)/1.983</f>
        <v>6.9136043466237203</v>
      </c>
      <c r="H28" s="1">
        <f>(H27/H10)/1.983</f>
        <v>7.0095814422592033</v>
      </c>
      <c r="I28" s="16"/>
      <c r="J28" s="1">
        <f>(J27/J10)/1.983</f>
        <v>6.7671986075187478</v>
      </c>
      <c r="K28" s="1">
        <f>(K27/K10)/1.983</f>
        <v>5.433279651228994</v>
      </c>
      <c r="L28" s="1">
        <f>(L27/L10)/1.983</f>
        <v>5.3118171121196838</v>
      </c>
      <c r="M28" s="16"/>
      <c r="N28" s="1">
        <f>(N27/N10)/1.983</f>
        <v>4.6361817383241419</v>
      </c>
      <c r="O28" s="1">
        <f>(O27/O10)/1.983</f>
        <v>3.9502437384434357</v>
      </c>
      <c r="P28" s="1">
        <f>(P27/P10)/1.983</f>
        <v>3.02571860816944</v>
      </c>
      <c r="Q28" s="17"/>
      <c r="R28" s="16"/>
    </row>
    <row r="29" spans="1:20" ht="15.75" customHeight="1" x14ac:dyDescent="0.3">
      <c r="A29" s="15" t="s">
        <v>43</v>
      </c>
      <c r="B29" s="1">
        <f>B27+B64</f>
        <v>87341</v>
      </c>
      <c r="C29" s="1">
        <f>C27+C64</f>
        <v>151380</v>
      </c>
      <c r="D29" s="1">
        <f>D27+D64</f>
        <v>82742</v>
      </c>
      <c r="E29" s="16">
        <f>SUM(B29:D29)</f>
        <v>321463</v>
      </c>
      <c r="F29" s="1">
        <f>F27+F64</f>
        <v>147663</v>
      </c>
      <c r="G29" s="1">
        <f>G27+G64</f>
        <v>152805</v>
      </c>
      <c r="H29" s="1">
        <f>H27+H64</f>
        <v>106823</v>
      </c>
      <c r="I29" s="16">
        <f>SUM(F29:H29)</f>
        <v>407291</v>
      </c>
      <c r="J29" s="1">
        <f>J27+J64</f>
        <v>97804</v>
      </c>
      <c r="K29" s="1">
        <f>K27+K64</f>
        <v>103954</v>
      </c>
      <c r="L29" s="1">
        <f>L27+L64</f>
        <v>159892</v>
      </c>
      <c r="M29" s="16">
        <f>SUM(J29:L29)</f>
        <v>361650</v>
      </c>
      <c r="N29" s="1">
        <f>N27+N64</f>
        <v>149685</v>
      </c>
      <c r="O29" s="1">
        <f>O27+O64</f>
        <v>122354</v>
      </c>
      <c r="P29" s="1">
        <f>P27+P64</f>
        <v>73912</v>
      </c>
      <c r="Q29" s="17">
        <f>SUM(N29:P29)</f>
        <v>345951</v>
      </c>
      <c r="R29" s="16">
        <f>+E29+I29+M29+Q29</f>
        <v>1436355</v>
      </c>
    </row>
    <row r="30" spans="1:20" s="344" customFormat="1" ht="16.5" customHeight="1" thickBot="1" x14ac:dyDescent="0.35">
      <c r="A30" s="340" t="s">
        <v>44</v>
      </c>
      <c r="B30" s="341">
        <f>(B29/B10)/1.983</f>
        <v>1420.8026287963821</v>
      </c>
      <c r="C30" s="341">
        <f>(C29/C10)/1.983</f>
        <v>2726.3885887183919</v>
      </c>
      <c r="D30" s="341">
        <f>(D29/D10)/1.983</f>
        <v>1345.9892961137409</v>
      </c>
      <c r="E30" s="342"/>
      <c r="F30" s="341">
        <f>(F29/F10)/1.983</f>
        <v>2482.1482602118003</v>
      </c>
      <c r="G30" s="341">
        <f>(G29/G10)/1.983</f>
        <v>2485.7254404372648</v>
      </c>
      <c r="H30" s="341">
        <f>(H29/H10)/1.983</f>
        <v>1795.6463271138007</v>
      </c>
      <c r="I30" s="342"/>
      <c r="J30" s="341">
        <f>(J29/J10)/1.983</f>
        <v>1591.0074341580855</v>
      </c>
      <c r="K30" s="341">
        <f>(K29/K10)/1.983</f>
        <v>1691.051355879817</v>
      </c>
      <c r="L30" s="341">
        <f>(L29/L10)/1.983</f>
        <v>2687.7122205412675</v>
      </c>
      <c r="M30" s="342"/>
      <c r="N30" s="341">
        <f>(N29/N10)/1.983</f>
        <v>2434.9714508808747</v>
      </c>
      <c r="O30" s="341">
        <f>(O29/O10)/1.983</f>
        <v>2056.7154143553539</v>
      </c>
      <c r="P30" s="341">
        <f>(P29/P10)/1.983</f>
        <v>1202.3489987474177</v>
      </c>
      <c r="Q30" s="343"/>
      <c r="R30" s="342"/>
      <c r="T30" s="345" t="s">
        <v>45</v>
      </c>
    </row>
    <row r="31" spans="1:20" ht="15.75" customHeight="1" x14ac:dyDescent="0.3">
      <c r="A31" s="2"/>
      <c r="B31" s="1"/>
      <c r="C31" s="1"/>
      <c r="D31" s="1"/>
      <c r="E31" s="1"/>
      <c r="F31" s="1"/>
      <c r="G31" s="1"/>
      <c r="H31" s="1"/>
      <c r="I31" s="1"/>
      <c r="J31" s="1"/>
      <c r="K31" s="1"/>
      <c r="L31" s="1"/>
      <c r="M31" s="1"/>
      <c r="N31" s="1"/>
      <c r="O31" s="1"/>
      <c r="P31" s="1"/>
      <c r="Q31" s="1"/>
      <c r="R31" s="2"/>
      <c r="T31" s="45" t="s">
        <v>46</v>
      </c>
    </row>
    <row r="32" spans="1:20" ht="15.75" customHeight="1" thickBot="1" x14ac:dyDescent="0.35">
      <c r="A32" s="2"/>
      <c r="B32" s="1"/>
      <c r="C32" s="1"/>
      <c r="D32" s="1"/>
      <c r="E32" s="1"/>
      <c r="F32" s="1"/>
      <c r="G32" s="1"/>
      <c r="H32" s="1"/>
      <c r="I32" s="1"/>
      <c r="J32" s="1"/>
      <c r="K32" s="1"/>
      <c r="L32" s="1"/>
      <c r="M32" s="1"/>
      <c r="N32" s="1"/>
      <c r="O32" s="1"/>
      <c r="P32" s="1"/>
      <c r="Q32" s="1"/>
      <c r="R32" s="2"/>
    </row>
    <row r="33" spans="1:18" ht="15.75" customHeight="1" thickBot="1" x14ac:dyDescent="0.35">
      <c r="A33" s="46" t="s">
        <v>47</v>
      </c>
      <c r="B33" s="47" t="s">
        <v>8</v>
      </c>
      <c r="C33" s="48" t="s">
        <v>9</v>
      </c>
      <c r="D33" s="48" t="s">
        <v>10</v>
      </c>
      <c r="E33" s="32" t="s">
        <v>11</v>
      </c>
      <c r="F33" s="48" t="s">
        <v>12</v>
      </c>
      <c r="G33" s="48" t="s">
        <v>13</v>
      </c>
      <c r="H33" s="48" t="s">
        <v>14</v>
      </c>
      <c r="I33" s="32" t="s">
        <v>15</v>
      </c>
      <c r="J33" s="48" t="s">
        <v>16</v>
      </c>
      <c r="K33" s="48" t="s">
        <v>17</v>
      </c>
      <c r="L33" s="48" t="s">
        <v>18</v>
      </c>
      <c r="M33" s="32" t="s">
        <v>19</v>
      </c>
      <c r="N33" s="48" t="s">
        <v>20</v>
      </c>
      <c r="O33" s="48" t="s">
        <v>21</v>
      </c>
      <c r="P33" s="48" t="s">
        <v>22</v>
      </c>
      <c r="Q33" s="32" t="s">
        <v>23</v>
      </c>
      <c r="R33" s="49" t="s">
        <v>24</v>
      </c>
    </row>
    <row r="34" spans="1:18" ht="16.5" customHeight="1" thickBot="1" x14ac:dyDescent="0.35">
      <c r="A34" s="42"/>
      <c r="B34" s="50"/>
      <c r="C34" s="51"/>
      <c r="D34" s="51"/>
      <c r="E34" s="52"/>
      <c r="F34" s="51"/>
      <c r="G34" s="51"/>
      <c r="H34" s="51"/>
      <c r="I34" s="52"/>
      <c r="J34" s="51"/>
      <c r="K34" s="51"/>
      <c r="L34" s="51"/>
      <c r="M34" s="52"/>
      <c r="N34" s="51"/>
      <c r="O34" s="51"/>
      <c r="P34" s="51"/>
      <c r="Q34" s="52"/>
      <c r="R34" s="53"/>
    </row>
    <row r="35" spans="1:18" ht="15.75" customHeight="1" x14ac:dyDescent="0.3">
      <c r="A35" s="54" t="s">
        <v>48</v>
      </c>
      <c r="B35" s="28"/>
      <c r="C35" s="28"/>
      <c r="D35" s="28"/>
      <c r="E35" s="55" t="s">
        <v>7</v>
      </c>
      <c r="F35" s="28"/>
      <c r="G35" s="28"/>
      <c r="H35" s="28"/>
      <c r="I35" s="55" t="s">
        <v>7</v>
      </c>
      <c r="J35" s="28"/>
      <c r="K35" s="28"/>
      <c r="L35" s="28"/>
      <c r="M35" s="55" t="s">
        <v>7</v>
      </c>
      <c r="N35" s="28"/>
      <c r="O35" s="28"/>
      <c r="P35" s="28"/>
      <c r="Q35" s="55" t="s">
        <v>7</v>
      </c>
      <c r="R35" s="55" t="s">
        <v>7</v>
      </c>
    </row>
    <row r="36" spans="1:18" ht="15.75" customHeight="1" x14ac:dyDescent="0.3">
      <c r="A36" s="18" t="s">
        <v>49</v>
      </c>
      <c r="B36" s="28" t="s">
        <v>7</v>
      </c>
      <c r="C36" s="56"/>
      <c r="D36" s="56"/>
      <c r="E36" s="55" t="s">
        <v>7</v>
      </c>
      <c r="F36" s="56"/>
      <c r="G36" s="56"/>
      <c r="H36" s="56"/>
      <c r="I36" s="55" t="s">
        <v>7</v>
      </c>
      <c r="J36" s="56"/>
      <c r="K36" s="56"/>
      <c r="L36" s="56"/>
      <c r="M36" s="55" t="s">
        <v>7</v>
      </c>
      <c r="N36" s="56"/>
      <c r="O36" s="56"/>
      <c r="P36" s="56"/>
      <c r="Q36" s="55" t="s">
        <v>7</v>
      </c>
      <c r="R36" s="55" t="s">
        <v>7</v>
      </c>
    </row>
    <row r="37" spans="1:18" ht="15.75" customHeight="1" x14ac:dyDescent="0.3">
      <c r="A37" s="18" t="s">
        <v>50</v>
      </c>
      <c r="B37" s="28"/>
      <c r="C37" s="28"/>
      <c r="D37" s="28"/>
      <c r="E37" s="55" t="s">
        <v>7</v>
      </c>
      <c r="F37" s="28"/>
      <c r="G37" s="28"/>
      <c r="H37" s="28"/>
      <c r="I37" s="55" t="s">
        <v>7</v>
      </c>
      <c r="J37" s="28"/>
      <c r="K37" s="28"/>
      <c r="L37" s="28"/>
      <c r="M37" s="55" t="s">
        <v>7</v>
      </c>
      <c r="N37" s="28"/>
      <c r="O37" s="28"/>
      <c r="P37" s="28"/>
      <c r="Q37" s="55" t="s">
        <v>7</v>
      </c>
      <c r="R37" s="55" t="s">
        <v>7</v>
      </c>
    </row>
    <row r="38" spans="1:18" ht="15.75" customHeight="1" x14ac:dyDescent="0.3">
      <c r="A38" s="61" t="s">
        <v>797</v>
      </c>
      <c r="B38" s="1"/>
      <c r="C38" s="1"/>
      <c r="D38" s="1"/>
      <c r="E38" s="55">
        <f>SUM(B38:D38)</f>
        <v>0</v>
      </c>
      <c r="F38" s="1"/>
      <c r="G38" s="1"/>
      <c r="H38" s="1"/>
      <c r="I38" s="55">
        <f>SUM(F38:H38)</f>
        <v>0</v>
      </c>
      <c r="J38" s="1"/>
      <c r="K38" s="1"/>
      <c r="L38" s="1"/>
      <c r="M38" s="55">
        <f>SUM(J38:L38)</f>
        <v>0</v>
      </c>
      <c r="N38" s="1"/>
      <c r="O38" s="1"/>
      <c r="P38" s="1"/>
      <c r="Q38" s="55">
        <f>SUM(N38:P38)</f>
        <v>0</v>
      </c>
      <c r="R38" s="55">
        <f>+E38+I38+M38+Q38</f>
        <v>0</v>
      </c>
    </row>
    <row r="39" spans="1:18" ht="15.75" customHeight="1" x14ac:dyDescent="0.3">
      <c r="A39" s="18" t="s">
        <v>1186</v>
      </c>
      <c r="B39" s="28"/>
      <c r="C39" s="28"/>
      <c r="D39" s="28"/>
      <c r="E39" s="55" t="s">
        <v>52</v>
      </c>
      <c r="F39" s="28"/>
      <c r="G39" s="28"/>
      <c r="H39" s="28"/>
      <c r="I39" s="55" t="s">
        <v>52</v>
      </c>
      <c r="J39" s="28"/>
      <c r="K39" s="28"/>
      <c r="L39" s="28"/>
      <c r="M39" s="55" t="s">
        <v>52</v>
      </c>
      <c r="N39" s="28"/>
      <c r="O39" s="28"/>
      <c r="P39" s="28"/>
      <c r="Q39" s="55" t="s">
        <v>52</v>
      </c>
      <c r="R39" s="55" t="s">
        <v>52</v>
      </c>
    </row>
    <row r="40" spans="1:18" ht="15.75" customHeight="1" thickBot="1" x14ac:dyDescent="0.35">
      <c r="A40" s="18" t="s">
        <v>53</v>
      </c>
      <c r="B40" s="56"/>
      <c r="C40" s="56"/>
      <c r="D40" s="56"/>
      <c r="E40" s="55" t="s">
        <v>7</v>
      </c>
      <c r="F40" s="56"/>
      <c r="G40" s="56"/>
      <c r="H40" s="56"/>
      <c r="I40" s="55" t="s">
        <v>7</v>
      </c>
      <c r="J40" s="56"/>
      <c r="K40" s="56"/>
      <c r="L40" s="56"/>
      <c r="M40" s="55" t="s">
        <v>7</v>
      </c>
      <c r="N40" s="56"/>
      <c r="O40" s="56"/>
      <c r="P40" s="56"/>
      <c r="Q40" s="55" t="s">
        <v>7</v>
      </c>
      <c r="R40" s="55" t="s">
        <v>7</v>
      </c>
    </row>
    <row r="41" spans="1:18" ht="16.5" customHeight="1" thickBot="1" x14ac:dyDescent="0.35">
      <c r="A41" s="57" t="s">
        <v>54</v>
      </c>
      <c r="B41" s="58">
        <f>SUM(B35:B40)</f>
        <v>0</v>
      </c>
      <c r="C41" s="58">
        <f>SUM(C35:C40)</f>
        <v>0</v>
      </c>
      <c r="D41" s="58">
        <f>SUM(D35:D40)</f>
        <v>0</v>
      </c>
      <c r="E41" s="59">
        <f>SUM(B41:D41)</f>
        <v>0</v>
      </c>
      <c r="F41" s="58">
        <f>SUM(F35:F40)</f>
        <v>0</v>
      </c>
      <c r="G41" s="58">
        <f>SUM(G35:G40)</f>
        <v>0</v>
      </c>
      <c r="H41" s="58">
        <f>SUM(H35:H40)</f>
        <v>0</v>
      </c>
      <c r="I41" s="59">
        <f>SUM(F41:H41)</f>
        <v>0</v>
      </c>
      <c r="J41" s="58">
        <f>SUM(J35:J40)</f>
        <v>0</v>
      </c>
      <c r="K41" s="58">
        <f>SUM(K35:K40)</f>
        <v>0</v>
      </c>
      <c r="L41" s="58">
        <f>SUM(L35:L40)</f>
        <v>0</v>
      </c>
      <c r="M41" s="59">
        <f>SUM(J41:L41)</f>
        <v>0</v>
      </c>
      <c r="N41" s="58">
        <f>SUM(N35:N40)</f>
        <v>0</v>
      </c>
      <c r="O41" s="58">
        <f>SUM(O35:O40)</f>
        <v>0</v>
      </c>
      <c r="P41" s="58">
        <f>SUM(P35:P40)</f>
        <v>0</v>
      </c>
      <c r="Q41" s="59">
        <f>SUM(N41:P41)</f>
        <v>0</v>
      </c>
      <c r="R41" s="59">
        <f>+E41+I41+M41+Q41</f>
        <v>0</v>
      </c>
    </row>
    <row r="42" spans="1:18" ht="15.75" customHeight="1" x14ac:dyDescent="0.3">
      <c r="A42" s="18" t="s">
        <v>55</v>
      </c>
      <c r="B42" s="56"/>
      <c r="C42" s="56"/>
      <c r="D42" s="56"/>
      <c r="E42" s="55" t="s">
        <v>7</v>
      </c>
      <c r="F42" s="56"/>
      <c r="G42" s="56"/>
      <c r="H42" s="56"/>
      <c r="I42" s="55" t="s">
        <v>7</v>
      </c>
      <c r="J42" s="56"/>
      <c r="K42" s="56"/>
      <c r="L42" s="56"/>
      <c r="M42" s="55" t="s">
        <v>7</v>
      </c>
      <c r="N42" s="56"/>
      <c r="O42" s="56"/>
      <c r="P42" s="56"/>
      <c r="Q42" s="55" t="s">
        <v>7</v>
      </c>
      <c r="R42" s="60" t="s">
        <v>7</v>
      </c>
    </row>
    <row r="43" spans="1:18" ht="15.75" customHeight="1" x14ac:dyDescent="0.3">
      <c r="A43" s="18" t="s">
        <v>56</v>
      </c>
      <c r="B43" s="56"/>
      <c r="C43" s="56"/>
      <c r="D43" s="56"/>
      <c r="E43" s="55"/>
      <c r="F43" s="56"/>
      <c r="G43" s="56"/>
      <c r="H43" s="56"/>
      <c r="I43" s="55"/>
      <c r="J43" s="56"/>
      <c r="K43" s="56"/>
      <c r="L43" s="56"/>
      <c r="M43" s="55"/>
      <c r="N43" s="56"/>
      <c r="O43" s="56"/>
      <c r="P43" s="56"/>
      <c r="Q43" s="55"/>
      <c r="R43" s="55"/>
    </row>
    <row r="44" spans="1:18" ht="15.75" customHeight="1" x14ac:dyDescent="0.3">
      <c r="A44" s="18" t="s">
        <v>57</v>
      </c>
      <c r="B44" s="56"/>
      <c r="C44" s="56"/>
      <c r="D44" s="56"/>
      <c r="E44" s="55" t="s">
        <v>7</v>
      </c>
      <c r="F44" s="56"/>
      <c r="G44" s="56"/>
      <c r="H44" s="56"/>
      <c r="I44" s="55" t="s">
        <v>7</v>
      </c>
      <c r="J44" s="56"/>
      <c r="K44" s="56"/>
      <c r="L44" s="56"/>
      <c r="M44" s="55" t="s">
        <v>7</v>
      </c>
      <c r="N44" s="56"/>
      <c r="O44" s="56"/>
      <c r="P44" s="56"/>
      <c r="Q44" s="55" t="s">
        <v>7</v>
      </c>
      <c r="R44" s="55" t="s">
        <v>7</v>
      </c>
    </row>
    <row r="45" spans="1:18" ht="15.75" customHeight="1" thickBot="1" x14ac:dyDescent="0.35">
      <c r="A45" s="18" t="s">
        <v>58</v>
      </c>
      <c r="B45" s="56"/>
      <c r="C45" s="56"/>
      <c r="D45" s="56"/>
      <c r="E45" s="55" t="s">
        <v>7</v>
      </c>
      <c r="F45" s="56"/>
      <c r="G45" s="56"/>
      <c r="H45" s="56"/>
      <c r="I45" s="55" t="s">
        <v>7</v>
      </c>
      <c r="J45" s="56"/>
      <c r="K45" s="56"/>
      <c r="L45" s="56"/>
      <c r="M45" s="55" t="s">
        <v>7</v>
      </c>
      <c r="N45" s="56"/>
      <c r="O45" s="56"/>
      <c r="P45" s="56"/>
      <c r="Q45" s="55" t="s">
        <v>7</v>
      </c>
      <c r="R45" s="55" t="s">
        <v>7</v>
      </c>
    </row>
    <row r="46" spans="1:18" ht="16.5" customHeight="1" thickBot="1" x14ac:dyDescent="0.35">
      <c r="A46" s="57" t="s">
        <v>59</v>
      </c>
      <c r="B46" s="58">
        <f>SUM(B42:B45)</f>
        <v>0</v>
      </c>
      <c r="C46" s="58">
        <f>SUM(C42:C45)</f>
        <v>0</v>
      </c>
      <c r="D46" s="58">
        <f>SUM(D42:D45)</f>
        <v>0</v>
      </c>
      <c r="E46" s="59">
        <f>SUM(B46:D46)</f>
        <v>0</v>
      </c>
      <c r="F46" s="58">
        <f>SUM(F42:F45)</f>
        <v>0</v>
      </c>
      <c r="G46" s="58">
        <f>SUM(G42:G45)</f>
        <v>0</v>
      </c>
      <c r="H46" s="58">
        <f>SUM(H42:H45)</f>
        <v>0</v>
      </c>
      <c r="I46" s="59">
        <f>SUM(F46:H46)</f>
        <v>0</v>
      </c>
      <c r="J46" s="58">
        <f>SUM(J42:J45)</f>
        <v>0</v>
      </c>
      <c r="K46" s="58">
        <f>SUM(K42:K45)</f>
        <v>0</v>
      </c>
      <c r="L46" s="58">
        <f>SUM(L42:L45)</f>
        <v>0</v>
      </c>
      <c r="M46" s="59">
        <f>SUM(J46:L46)</f>
        <v>0</v>
      </c>
      <c r="N46" s="58">
        <f>SUM(N42:N45)</f>
        <v>0</v>
      </c>
      <c r="O46" s="58">
        <f>SUM(O42:O45)</f>
        <v>0</v>
      </c>
      <c r="P46" s="58">
        <f>SUM(P42:P45)</f>
        <v>0</v>
      </c>
      <c r="Q46" s="59">
        <f>SUM(N46:P46)</f>
        <v>0</v>
      </c>
      <c r="R46" s="59">
        <f>+E46+I46+M46+Q46</f>
        <v>0</v>
      </c>
    </row>
    <row r="47" spans="1:18" ht="15.75" customHeight="1" x14ac:dyDescent="0.3">
      <c r="A47" s="18" t="s">
        <v>60</v>
      </c>
      <c r="B47" s="56"/>
      <c r="C47" s="56"/>
      <c r="D47" s="56"/>
      <c r="E47" s="55" t="s">
        <v>7</v>
      </c>
      <c r="F47" s="56"/>
      <c r="G47" s="56"/>
      <c r="H47" s="56"/>
      <c r="I47" s="55" t="s">
        <v>7</v>
      </c>
      <c r="J47" s="56"/>
      <c r="K47" s="56"/>
      <c r="L47" s="56"/>
      <c r="M47" s="55" t="s">
        <v>7</v>
      </c>
      <c r="N47" s="56"/>
      <c r="O47" s="56"/>
      <c r="P47" s="56"/>
      <c r="Q47" s="55" t="s">
        <v>7</v>
      </c>
      <c r="R47" s="55" t="s">
        <v>7</v>
      </c>
    </row>
    <row r="48" spans="1:18" ht="15.75" customHeight="1" x14ac:dyDescent="0.3">
      <c r="A48" s="18" t="s">
        <v>61</v>
      </c>
      <c r="B48" s="56"/>
      <c r="C48" s="56"/>
      <c r="D48" s="56"/>
      <c r="E48" s="55" t="s">
        <v>7</v>
      </c>
      <c r="F48" s="56"/>
      <c r="G48" s="56"/>
      <c r="H48" s="56"/>
      <c r="I48" s="55" t="s">
        <v>7</v>
      </c>
      <c r="J48" s="56"/>
      <c r="K48" s="56"/>
      <c r="L48" s="56"/>
      <c r="M48" s="55" t="s">
        <v>7</v>
      </c>
      <c r="N48" s="56"/>
      <c r="O48" s="56"/>
      <c r="P48" s="56"/>
      <c r="Q48" s="55" t="s">
        <v>7</v>
      </c>
      <c r="R48" s="55" t="s">
        <v>7</v>
      </c>
    </row>
    <row r="49" spans="1:18" ht="15.75" customHeight="1" thickBot="1" x14ac:dyDescent="0.35">
      <c r="A49" s="18" t="s">
        <v>62</v>
      </c>
      <c r="B49" s="56"/>
      <c r="C49" s="56"/>
      <c r="D49" s="56"/>
      <c r="E49" s="55"/>
      <c r="F49" s="56"/>
      <c r="G49" s="56"/>
      <c r="H49" s="56"/>
      <c r="I49" s="55"/>
      <c r="J49" s="56"/>
      <c r="K49" s="56"/>
      <c r="L49" s="56"/>
      <c r="M49" s="55"/>
      <c r="N49" s="56"/>
      <c r="O49" s="56"/>
      <c r="P49" s="56"/>
      <c r="Q49" s="55"/>
      <c r="R49" s="55"/>
    </row>
    <row r="50" spans="1:18" ht="16.5" customHeight="1" thickBot="1" x14ac:dyDescent="0.35">
      <c r="A50" s="57" t="s">
        <v>63</v>
      </c>
      <c r="B50" s="58">
        <f>SUM(B47:B49)</f>
        <v>0</v>
      </c>
      <c r="C50" s="58">
        <f>SUM(C47:C49)</f>
        <v>0</v>
      </c>
      <c r="D50" s="58">
        <f>SUM(D47:D49)</f>
        <v>0</v>
      </c>
      <c r="E50" s="59">
        <f>SUM(B50:D50)</f>
        <v>0</v>
      </c>
      <c r="F50" s="58">
        <f>SUM(F47:F49)</f>
        <v>0</v>
      </c>
      <c r="G50" s="58">
        <f>SUM(G47:G49)</f>
        <v>0</v>
      </c>
      <c r="H50" s="58">
        <f>SUM(H47:H49)</f>
        <v>0</v>
      </c>
      <c r="I50" s="59">
        <f>SUM(F50:H50)</f>
        <v>0</v>
      </c>
      <c r="J50" s="58">
        <f>SUM(J47:J49)</f>
        <v>0</v>
      </c>
      <c r="K50" s="58">
        <f>SUM(K47:K49)</f>
        <v>0</v>
      </c>
      <c r="L50" s="58">
        <f>SUM(L47:L49)</f>
        <v>0</v>
      </c>
      <c r="M50" s="59">
        <f>SUM(J50:L50)</f>
        <v>0</v>
      </c>
      <c r="N50" s="58">
        <f>SUM(N47:N49)</f>
        <v>0</v>
      </c>
      <c r="O50" s="58">
        <f>SUM(O47:O49)</f>
        <v>0</v>
      </c>
      <c r="P50" s="58">
        <f>SUM(P47:P49)</f>
        <v>0</v>
      </c>
      <c r="Q50" s="59">
        <f>SUM(N50:P50)</f>
        <v>0</v>
      </c>
      <c r="R50" s="59">
        <f>+E50+I50+M50+Q50</f>
        <v>0</v>
      </c>
    </row>
    <row r="51" spans="1:18" ht="15.75" customHeight="1" x14ac:dyDescent="0.3">
      <c r="A51" s="18" t="s">
        <v>64</v>
      </c>
      <c r="B51" s="56"/>
      <c r="C51" s="56"/>
      <c r="D51" s="56"/>
      <c r="E51" s="55" t="s">
        <v>7</v>
      </c>
      <c r="F51" s="56"/>
      <c r="G51" s="56"/>
      <c r="H51" s="56"/>
      <c r="I51" s="55" t="s">
        <v>7</v>
      </c>
      <c r="J51" s="56"/>
      <c r="K51" s="56"/>
      <c r="L51" s="56"/>
      <c r="M51" s="55" t="s">
        <v>7</v>
      </c>
      <c r="N51" s="56"/>
      <c r="O51" s="56"/>
      <c r="P51" s="56"/>
      <c r="Q51" s="55" t="s">
        <v>7</v>
      </c>
      <c r="R51" s="55" t="s">
        <v>7</v>
      </c>
    </row>
    <row r="52" spans="1:18" ht="15.75" customHeight="1" x14ac:dyDescent="0.3">
      <c r="A52" s="18" t="s">
        <v>594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67</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61" t="s">
        <v>685</v>
      </c>
      <c r="B54" s="1"/>
      <c r="C54" s="1"/>
      <c r="D54" s="1"/>
      <c r="E54" s="55">
        <f>SUM(B54:D54)</f>
        <v>0</v>
      </c>
      <c r="F54" s="1"/>
      <c r="G54" s="1"/>
      <c r="H54" s="1"/>
      <c r="I54" s="55">
        <f>SUM(F54:H54)</f>
        <v>0</v>
      </c>
      <c r="J54" s="1"/>
      <c r="K54" s="1"/>
      <c r="L54" s="1"/>
      <c r="M54" s="55">
        <f>SUM(J54:L54)</f>
        <v>0</v>
      </c>
      <c r="N54" s="1"/>
      <c r="O54" s="1"/>
      <c r="P54" s="1"/>
      <c r="Q54" s="55">
        <f>SUM(N54:P54)</f>
        <v>0</v>
      </c>
      <c r="R54" s="55">
        <f>+E54+I54+M54+Q54</f>
        <v>0</v>
      </c>
    </row>
    <row r="55" spans="1:18" ht="15.75" customHeight="1" x14ac:dyDescent="0.3">
      <c r="A55" s="18" t="s">
        <v>600</v>
      </c>
      <c r="B55" s="56"/>
      <c r="C55" s="56"/>
      <c r="D55" s="56"/>
      <c r="E55" s="55" t="s">
        <v>7</v>
      </c>
      <c r="F55" s="56"/>
      <c r="G55" s="56"/>
      <c r="H55" s="56"/>
      <c r="I55" s="55" t="s">
        <v>7</v>
      </c>
      <c r="J55" s="56"/>
      <c r="K55" s="56"/>
      <c r="L55" s="56"/>
      <c r="M55" s="55" t="s">
        <v>7</v>
      </c>
      <c r="N55" s="56"/>
      <c r="O55" s="56"/>
      <c r="P55" s="56"/>
      <c r="Q55" s="55" t="s">
        <v>7</v>
      </c>
      <c r="R55" s="55" t="s">
        <v>7</v>
      </c>
    </row>
    <row r="56" spans="1:18" ht="15.75" customHeight="1" thickBot="1" x14ac:dyDescent="0.35">
      <c r="A56" s="18" t="s">
        <v>70</v>
      </c>
      <c r="B56" s="56"/>
      <c r="C56" s="56"/>
      <c r="D56" s="56"/>
      <c r="E56" s="55" t="s">
        <v>7</v>
      </c>
      <c r="F56" s="56"/>
      <c r="G56" s="56"/>
      <c r="H56" s="56"/>
      <c r="I56" s="55" t="s">
        <v>7</v>
      </c>
      <c r="J56" s="56"/>
      <c r="K56" s="56"/>
      <c r="L56" s="56"/>
      <c r="M56" s="55" t="s">
        <v>7</v>
      </c>
      <c r="N56" s="56"/>
      <c r="O56" s="56"/>
      <c r="P56" s="56"/>
      <c r="Q56" s="55" t="s">
        <v>7</v>
      </c>
      <c r="R56" s="55" t="s">
        <v>7</v>
      </c>
    </row>
    <row r="57" spans="1:18" ht="16.5" customHeight="1" thickBot="1" x14ac:dyDescent="0.35">
      <c r="A57" s="57" t="s">
        <v>71</v>
      </c>
      <c r="B57" s="58">
        <f>SUM(B55:B56)</f>
        <v>0</v>
      </c>
      <c r="C57" s="58">
        <f>SUM(C55:C56)</f>
        <v>0</v>
      </c>
      <c r="D57" s="58">
        <f>SUM(D55:D56)</f>
        <v>0</v>
      </c>
      <c r="E57" s="60">
        <f>SUM(B57:D57)</f>
        <v>0</v>
      </c>
      <c r="F57" s="58">
        <f>SUM(F55:F56)</f>
        <v>0</v>
      </c>
      <c r="G57" s="58">
        <f>SUM(G55:G56)</f>
        <v>0</v>
      </c>
      <c r="H57" s="58">
        <f>SUM(H55:H56)</f>
        <v>0</v>
      </c>
      <c r="I57" s="60">
        <f>SUM(F57:H57)</f>
        <v>0</v>
      </c>
      <c r="J57" s="58">
        <f>SUM(J55:J56)</f>
        <v>0</v>
      </c>
      <c r="K57" s="58">
        <f>SUM(K55:K56)</f>
        <v>0</v>
      </c>
      <c r="L57" s="58">
        <f>SUM(L55:L56)</f>
        <v>0</v>
      </c>
      <c r="M57" s="60">
        <f>SUM(J57:L57)</f>
        <v>0</v>
      </c>
      <c r="N57" s="58">
        <f>SUM(N55:N56)</f>
        <v>0</v>
      </c>
      <c r="O57" s="58">
        <f>SUM(O55:O56)</f>
        <v>0</v>
      </c>
      <c r="P57" s="58">
        <f>SUM(P55:P56)</f>
        <v>0</v>
      </c>
      <c r="Q57" s="60">
        <f>SUM(N57:P57)</f>
        <v>0</v>
      </c>
      <c r="R57" s="59">
        <f>+E57+I57+M57+Q57</f>
        <v>0</v>
      </c>
    </row>
    <row r="58" spans="1:18" ht="16.5" customHeight="1" thickBot="1" x14ac:dyDescent="0.35">
      <c r="A58" s="57" t="s">
        <v>72</v>
      </c>
      <c r="B58" s="58">
        <f>SUM(B51:B56)</f>
        <v>0</v>
      </c>
      <c r="C58" s="58">
        <f>SUM(C51:C56)</f>
        <v>0</v>
      </c>
      <c r="D58" s="58">
        <f>SUM(D51:D56)</f>
        <v>0</v>
      </c>
      <c r="E58" s="60">
        <f>SUM(B58:D58)</f>
        <v>0</v>
      </c>
      <c r="F58" s="58">
        <f>SUM(F51:F56)</f>
        <v>0</v>
      </c>
      <c r="G58" s="58">
        <f>SUM(G51:G56)</f>
        <v>0</v>
      </c>
      <c r="H58" s="58">
        <f>SUM(H51:H56)</f>
        <v>0</v>
      </c>
      <c r="I58" s="60">
        <f>SUM(F58:H58)</f>
        <v>0</v>
      </c>
      <c r="J58" s="58">
        <f>SUM(J51:J56)</f>
        <v>0</v>
      </c>
      <c r="K58" s="58">
        <f>SUM(K51:K56)</f>
        <v>0</v>
      </c>
      <c r="L58" s="58">
        <f>SUM(L51:L56)</f>
        <v>0</v>
      </c>
      <c r="M58" s="60">
        <f>SUM(J58:L58)</f>
        <v>0</v>
      </c>
      <c r="N58" s="58">
        <f>SUM(N51:N56)</f>
        <v>0</v>
      </c>
      <c r="O58" s="58">
        <f>SUM(O51:O56)</f>
        <v>0</v>
      </c>
      <c r="P58" s="58">
        <f>SUM(P51:P56)</f>
        <v>0</v>
      </c>
      <c r="Q58" s="60">
        <f>SUM(N58:P58)</f>
        <v>0</v>
      </c>
      <c r="R58" s="59">
        <f>+E58+I58+M58+Q58</f>
        <v>0</v>
      </c>
    </row>
    <row r="59" spans="1:18" ht="16.5" customHeight="1" thickBot="1" x14ac:dyDescent="0.35">
      <c r="A59" s="57" t="s">
        <v>73</v>
      </c>
      <c r="B59" s="58">
        <f>+B41+B46+B50+B58</f>
        <v>0</v>
      </c>
      <c r="C59" s="58">
        <f>+C41+C46+C50+C58</f>
        <v>0</v>
      </c>
      <c r="D59" s="58">
        <f>+D41+D46+D50+D58</f>
        <v>0</v>
      </c>
      <c r="E59" s="59">
        <f>SUM(B59:D59)</f>
        <v>0</v>
      </c>
      <c r="F59" s="58">
        <f>+F41+F46+F50+F58</f>
        <v>0</v>
      </c>
      <c r="G59" s="58">
        <f>+G41+G46+G50+G58</f>
        <v>0</v>
      </c>
      <c r="H59" s="58">
        <f>+H41+H46+H50+H58</f>
        <v>0</v>
      </c>
      <c r="I59" s="59">
        <f>SUM(F59:H59)</f>
        <v>0</v>
      </c>
      <c r="J59" s="58">
        <f>+J41+J46+J50+J58</f>
        <v>0</v>
      </c>
      <c r="K59" s="58">
        <f>+K41+K46+K50+K58</f>
        <v>0</v>
      </c>
      <c r="L59" s="58">
        <f>+L41+L46+L50+L58</f>
        <v>0</v>
      </c>
      <c r="M59" s="59">
        <f>SUM(J59:L59)</f>
        <v>0</v>
      </c>
      <c r="N59" s="58">
        <f>+N41+N46+N50+N58</f>
        <v>0</v>
      </c>
      <c r="O59" s="58">
        <f>+O41+O46+O50+O58</f>
        <v>0</v>
      </c>
      <c r="P59" s="58">
        <f>+P41+P46+P50+P58</f>
        <v>0</v>
      </c>
      <c r="Q59" s="59">
        <f>SUM(N59:P59)</f>
        <v>0</v>
      </c>
      <c r="R59" s="59">
        <f>+E59+I59+M59+Q59</f>
        <v>0</v>
      </c>
    </row>
    <row r="60" spans="1:18" ht="16.5" customHeight="1" thickBot="1" x14ac:dyDescent="0.35">
      <c r="A60" s="62" t="s">
        <v>40</v>
      </c>
      <c r="B60" s="63">
        <v>96</v>
      </c>
      <c r="C60" s="63">
        <v>145</v>
      </c>
      <c r="D60" s="63">
        <v>261</v>
      </c>
      <c r="E60" s="42">
        <f>SUM(B60:D60)</f>
        <v>502</v>
      </c>
      <c r="F60" s="63">
        <v>350</v>
      </c>
      <c r="G60" s="63">
        <v>402</v>
      </c>
      <c r="H60" s="63">
        <v>396</v>
      </c>
      <c r="I60" s="42">
        <f>SUM(F60:H60)</f>
        <v>1148</v>
      </c>
      <c r="J60" s="63">
        <v>394</v>
      </c>
      <c r="K60" s="63">
        <v>318</v>
      </c>
      <c r="L60" s="63">
        <v>301</v>
      </c>
      <c r="M60" s="42">
        <f>SUM(J60:L60)</f>
        <v>1013</v>
      </c>
      <c r="N60" s="63">
        <v>272</v>
      </c>
      <c r="O60" s="63">
        <v>226</v>
      </c>
      <c r="P60" s="63">
        <v>179</v>
      </c>
      <c r="Q60" s="42">
        <f>SUM(N60:P60)</f>
        <v>677</v>
      </c>
      <c r="R60" s="42">
        <f>+E60+I60+M60+Q60</f>
        <v>3340</v>
      </c>
    </row>
    <row r="61" spans="1:18" ht="16.5" customHeight="1" thickBot="1" x14ac:dyDescent="0.35">
      <c r="A61" s="41"/>
      <c r="B61" s="36"/>
      <c r="C61" s="36"/>
      <c r="D61" s="36"/>
      <c r="E61" s="22"/>
      <c r="F61" s="36"/>
      <c r="G61" s="36"/>
      <c r="H61" s="36"/>
      <c r="I61" s="22"/>
      <c r="J61" s="36"/>
      <c r="K61" s="36"/>
      <c r="L61" s="36"/>
      <c r="M61" s="22"/>
      <c r="N61" s="36"/>
      <c r="O61" s="36"/>
      <c r="P61" s="36"/>
      <c r="Q61" s="22"/>
      <c r="R61" s="41"/>
    </row>
    <row r="62" spans="1:18" ht="15.75" customHeight="1" x14ac:dyDescent="0.3">
      <c r="A62" s="15" t="s">
        <v>41</v>
      </c>
      <c r="B62" s="1">
        <f>+B59+B60</f>
        <v>96</v>
      </c>
      <c r="C62" s="1">
        <f>+C59+C60</f>
        <v>145</v>
      </c>
      <c r="D62" s="1">
        <f>+D59+D60</f>
        <v>261</v>
      </c>
      <c r="E62" s="40">
        <f>SUM(B62:D62)</f>
        <v>502</v>
      </c>
      <c r="F62" s="1">
        <f>+F59+F60</f>
        <v>350</v>
      </c>
      <c r="G62" s="1">
        <f>+G59+G60</f>
        <v>402</v>
      </c>
      <c r="H62" s="1">
        <f>+H59+H60</f>
        <v>396</v>
      </c>
      <c r="I62" s="40">
        <f>SUM(F62:H62)</f>
        <v>1148</v>
      </c>
      <c r="J62" s="1">
        <f>+J59+J60</f>
        <v>394</v>
      </c>
      <c r="K62" s="1">
        <f>+K59+K60</f>
        <v>318</v>
      </c>
      <c r="L62" s="1">
        <f>+L59+L60</f>
        <v>301</v>
      </c>
      <c r="M62" s="40">
        <f>SUM(J62:L62)</f>
        <v>1013</v>
      </c>
      <c r="N62" s="1">
        <f>+N59+N60</f>
        <v>272</v>
      </c>
      <c r="O62" s="1">
        <f>+O59+O60</f>
        <v>226</v>
      </c>
      <c r="P62" s="1">
        <f>+P59+P60</f>
        <v>179</v>
      </c>
      <c r="Q62" s="44">
        <f>SUM(N62:P62)</f>
        <v>677</v>
      </c>
      <c r="R62" s="16">
        <f>+E62+I62+M62+Q62</f>
        <v>3340</v>
      </c>
    </row>
    <row r="63" spans="1:18" ht="15.75" customHeight="1" x14ac:dyDescent="0.3">
      <c r="A63" s="15" t="s">
        <v>42</v>
      </c>
      <c r="B63" s="1">
        <f>(B62/B10)/1.983</f>
        <v>1.5616612171197111</v>
      </c>
      <c r="C63" s="1">
        <f>(C62/C10)/1.983</f>
        <v>2.6114833225271954</v>
      </c>
      <c r="D63" s="1">
        <f>(D62/D10)/1.983</f>
        <v>4.2457664340442145</v>
      </c>
      <c r="E63" s="16"/>
      <c r="F63" s="1">
        <f>(F62/F10)/1.983</f>
        <v>5.8833417381072444</v>
      </c>
      <c r="G63" s="1">
        <f>(G62/G10)/1.983</f>
        <v>6.5394563466887892</v>
      </c>
      <c r="H63" s="1">
        <f>(H62/H10)/1.983</f>
        <v>6.6565809379727678</v>
      </c>
      <c r="I63" s="16"/>
      <c r="J63" s="1">
        <f>(J62/J10)/1.983</f>
        <v>6.4093179119288139</v>
      </c>
      <c r="K63" s="1">
        <f>(K62/K10)/1.983</f>
        <v>5.1730027817090427</v>
      </c>
      <c r="L63" s="1">
        <f>(L62/L10)/1.983</f>
        <v>5.0596738947722306</v>
      </c>
      <c r="M63" s="16"/>
      <c r="N63" s="1">
        <f>(N62/N10)/1.983</f>
        <v>4.4247067818391805</v>
      </c>
      <c r="O63" s="1">
        <f>(O62/O10)/1.983</f>
        <v>3.7989578080349635</v>
      </c>
      <c r="P63" s="1">
        <f>(P62/P10)/1.983</f>
        <v>2.9118474777544612</v>
      </c>
      <c r="Q63" s="17"/>
      <c r="R63" s="64"/>
    </row>
    <row r="64" spans="1:18" ht="15.75" customHeight="1" x14ac:dyDescent="0.3">
      <c r="A64" s="15" t="s">
        <v>74</v>
      </c>
      <c r="B64" s="1">
        <f>B62+B133</f>
        <v>87244</v>
      </c>
      <c r="C64" s="1">
        <f>C62+C133</f>
        <v>151232</v>
      </c>
      <c r="D64" s="1">
        <f>D62+D133</f>
        <v>82468</v>
      </c>
      <c r="E64" s="16">
        <f>SUM(B64:D64)</f>
        <v>320944</v>
      </c>
      <c r="F64" s="1">
        <f>F62+F133</f>
        <v>147296</v>
      </c>
      <c r="G64" s="1">
        <f>G62+G133</f>
        <v>152380</v>
      </c>
      <c r="H64" s="1">
        <f>H62+H133</f>
        <v>106406</v>
      </c>
      <c r="I64" s="16">
        <f>SUM(F64:H64)</f>
        <v>406082</v>
      </c>
      <c r="J64" s="1">
        <f>J62+J133</f>
        <v>97388</v>
      </c>
      <c r="K64" s="1">
        <f>K62+K133</f>
        <v>103620</v>
      </c>
      <c r="L64" s="1">
        <f>L62+L133</f>
        <v>159576</v>
      </c>
      <c r="M64" s="16">
        <f>SUM(J64:L64)</f>
        <v>360584</v>
      </c>
      <c r="N64" s="1">
        <f>N62+N133</f>
        <v>149400</v>
      </c>
      <c r="O64" s="1">
        <f>O62+O133</f>
        <v>122119</v>
      </c>
      <c r="P64" s="1">
        <f>P62+P133</f>
        <v>73726</v>
      </c>
      <c r="Q64" s="17">
        <f>SUM(N64:P64)</f>
        <v>345245</v>
      </c>
      <c r="R64" s="16">
        <f>+E64+I64+M64+Q64</f>
        <v>1432855</v>
      </c>
    </row>
    <row r="65" spans="1:20" ht="16.5" customHeight="1" thickBot="1" x14ac:dyDescent="0.35">
      <c r="A65" s="20" t="s">
        <v>75</v>
      </c>
      <c r="B65" s="21">
        <f>(B64/B10)/1.983</f>
        <v>1419.2247002749175</v>
      </c>
      <c r="C65" s="21">
        <f>(C64/C10)/1.983</f>
        <v>2723.7230747064332</v>
      </c>
      <c r="D65" s="21">
        <f>(D64/D10)/1.983</f>
        <v>1341.5320547232118</v>
      </c>
      <c r="E65" s="22"/>
      <c r="F65" s="21">
        <f>(F64/F10)/1.983</f>
        <v>2475.9791561606994</v>
      </c>
      <c r="G65" s="21">
        <f>(G64/G10)/1.983</f>
        <v>2478.811836090641</v>
      </c>
      <c r="H65" s="21">
        <f>(H64/H10)/1.983</f>
        <v>1788.6367456715413</v>
      </c>
      <c r="I65" s="22"/>
      <c r="J65" s="21">
        <f>(J64/J10)/1.983</f>
        <v>1584.2402355505669</v>
      </c>
      <c r="K65" s="21">
        <f>(K64/K10)/1.983</f>
        <v>1685.6180762285881</v>
      </c>
      <c r="L65" s="21">
        <f>(L64/L10)/1.983</f>
        <v>2682.4004034291474</v>
      </c>
      <c r="M65" s="22"/>
      <c r="N65" s="21">
        <f>(N64/N10)/1.983</f>
        <v>2430.3352691425503</v>
      </c>
      <c r="O65" s="21">
        <f>(O64/O10)/1.983</f>
        <v>2052.7651706169104</v>
      </c>
      <c r="P65" s="21">
        <f>(P64/P10)/1.983</f>
        <v>1199.3232801392483</v>
      </c>
      <c r="Q65" s="23"/>
      <c r="R65" s="65" t="s">
        <v>7</v>
      </c>
    </row>
    <row r="66" spans="1:20" ht="15.75" customHeight="1" x14ac:dyDescent="0.3">
      <c r="A66" s="2"/>
      <c r="B66" s="1"/>
      <c r="C66" s="1"/>
      <c r="D66" s="1"/>
      <c r="E66" s="1"/>
      <c r="F66" s="1"/>
      <c r="G66" s="1"/>
      <c r="H66" s="1"/>
      <c r="I66" s="1"/>
      <c r="J66" s="1"/>
      <c r="K66" s="1"/>
      <c r="L66" s="1"/>
      <c r="M66" s="1"/>
      <c r="N66" s="1"/>
      <c r="O66" s="1"/>
      <c r="P66" s="1"/>
      <c r="Q66" s="1"/>
      <c r="R66" s="2"/>
    </row>
    <row r="67" spans="1:20" ht="15.75" customHeight="1" thickBot="1" x14ac:dyDescent="0.35">
      <c r="A67" s="2"/>
      <c r="B67" s="1"/>
      <c r="C67" s="1"/>
      <c r="D67" s="1"/>
      <c r="E67" s="1"/>
      <c r="F67" s="1"/>
      <c r="G67" s="1"/>
      <c r="H67" s="1"/>
      <c r="I67" s="1"/>
      <c r="J67" s="1"/>
      <c r="K67" s="1"/>
      <c r="L67" s="1"/>
      <c r="M67" s="1"/>
      <c r="N67" s="1"/>
      <c r="O67" s="1"/>
      <c r="P67" s="1"/>
      <c r="Q67" s="1"/>
      <c r="R67" s="2"/>
    </row>
    <row r="68" spans="1:20" ht="16.5" customHeight="1" thickBot="1" x14ac:dyDescent="0.35">
      <c r="A68" s="29" t="s">
        <v>76</v>
      </c>
      <c r="B68" s="30" t="s">
        <v>8</v>
      </c>
      <c r="C68" s="31" t="s">
        <v>9</v>
      </c>
      <c r="D68" s="31" t="s">
        <v>10</v>
      </c>
      <c r="E68" s="32" t="s">
        <v>11</v>
      </c>
      <c r="F68" s="31" t="s">
        <v>12</v>
      </c>
      <c r="G68" s="31" t="s">
        <v>13</v>
      </c>
      <c r="H68" s="31" t="s">
        <v>14</v>
      </c>
      <c r="I68" s="33" t="s">
        <v>15</v>
      </c>
      <c r="J68" s="31" t="s">
        <v>16</v>
      </c>
      <c r="K68" s="31" t="s">
        <v>17</v>
      </c>
      <c r="L68" s="31" t="s">
        <v>18</v>
      </c>
      <c r="M68" s="33" t="s">
        <v>19</v>
      </c>
      <c r="N68" s="31" t="s">
        <v>20</v>
      </c>
      <c r="O68" s="31" t="s">
        <v>21</v>
      </c>
      <c r="P68" s="31" t="s">
        <v>22</v>
      </c>
      <c r="Q68" s="33" t="s">
        <v>23</v>
      </c>
      <c r="R68" s="34" t="s">
        <v>24</v>
      </c>
    </row>
    <row r="69" spans="1:20" ht="16.5" customHeight="1" thickBot="1" x14ac:dyDescent="0.35">
      <c r="A69" s="66"/>
      <c r="B69" s="67"/>
      <c r="C69" s="68"/>
      <c r="D69" s="68"/>
      <c r="E69" s="69"/>
      <c r="F69" s="68"/>
      <c r="G69" s="68"/>
      <c r="H69" s="68"/>
      <c r="I69" s="69"/>
      <c r="J69" s="68"/>
      <c r="K69" s="68"/>
      <c r="L69" s="68"/>
      <c r="M69" s="69"/>
      <c r="N69" s="68"/>
      <c r="O69" s="68"/>
      <c r="P69" s="70"/>
      <c r="Q69" s="69"/>
      <c r="R69" s="59"/>
    </row>
    <row r="70" spans="1:20" ht="15.75" customHeight="1" x14ac:dyDescent="0.3">
      <c r="A70" s="54" t="s">
        <v>48</v>
      </c>
      <c r="B70" s="28"/>
      <c r="C70" s="28"/>
      <c r="D70" s="28"/>
      <c r="E70" s="55" t="s">
        <v>7</v>
      </c>
      <c r="F70" s="28"/>
      <c r="G70" s="28"/>
      <c r="H70" s="28"/>
      <c r="I70" s="55" t="s">
        <v>7</v>
      </c>
      <c r="J70" s="28"/>
      <c r="K70" s="28"/>
      <c r="L70" s="28"/>
      <c r="M70" s="55" t="s">
        <v>7</v>
      </c>
      <c r="N70" s="28"/>
      <c r="O70" s="28"/>
      <c r="P70" s="28"/>
      <c r="Q70" s="55" t="s">
        <v>7</v>
      </c>
      <c r="R70" s="55" t="s">
        <v>7</v>
      </c>
    </row>
    <row r="71" spans="1:20" ht="15.75" customHeight="1" x14ac:dyDescent="0.3">
      <c r="A71" s="18" t="s">
        <v>49</v>
      </c>
      <c r="B71" s="28"/>
      <c r="C71" s="56"/>
      <c r="D71" s="56"/>
      <c r="E71" s="55" t="s">
        <v>7</v>
      </c>
      <c r="F71" s="56"/>
      <c r="G71" s="56"/>
      <c r="H71" s="56"/>
      <c r="I71" s="55" t="s">
        <v>7</v>
      </c>
      <c r="J71" s="56"/>
      <c r="K71" s="56"/>
      <c r="L71" s="56"/>
      <c r="M71" s="55" t="s">
        <v>7</v>
      </c>
      <c r="N71" s="56"/>
      <c r="O71" s="56"/>
      <c r="P71" s="56"/>
      <c r="Q71" s="55" t="s">
        <v>7</v>
      </c>
      <c r="R71" s="55" t="s">
        <v>7</v>
      </c>
    </row>
    <row r="72" spans="1:20" ht="15.75" customHeight="1" x14ac:dyDescent="0.3">
      <c r="A72" s="71" t="s">
        <v>798</v>
      </c>
      <c r="B72" s="1"/>
      <c r="C72" s="1"/>
      <c r="D72" s="1"/>
      <c r="E72" s="55">
        <f t="shared" ref="E72:E82" si="5">SUM(B72:D72)</f>
        <v>0</v>
      </c>
      <c r="F72" s="1"/>
      <c r="G72" s="1"/>
      <c r="H72" s="1"/>
      <c r="I72" s="55">
        <f t="shared" ref="I72:I82" si="6">SUM(F72:H72)</f>
        <v>0</v>
      </c>
      <c r="J72" s="1"/>
      <c r="K72" s="1"/>
      <c r="L72" s="1"/>
      <c r="M72" s="55">
        <f t="shared" ref="M72:M82" si="7">SUM(J72:L72)</f>
        <v>0</v>
      </c>
      <c r="N72" s="1"/>
      <c r="O72" s="1"/>
      <c r="P72" s="1"/>
      <c r="Q72" s="55">
        <f t="shared" ref="Q72:Q82" si="8">SUM(N72:P72)</f>
        <v>0</v>
      </c>
      <c r="R72" s="55">
        <f t="shared" ref="R72:R82" si="9">+E72+I72+M72+Q72</f>
        <v>0</v>
      </c>
    </row>
    <row r="73" spans="1:20" ht="15.75" customHeight="1" x14ac:dyDescent="0.3">
      <c r="A73" s="71" t="s">
        <v>799</v>
      </c>
      <c r="B73" s="1"/>
      <c r="C73" s="1"/>
      <c r="D73" s="1"/>
      <c r="E73" s="55">
        <f>SUM(B73:D73)</f>
        <v>0</v>
      </c>
      <c r="F73" s="1"/>
      <c r="G73" s="1"/>
      <c r="H73" s="1"/>
      <c r="I73" s="55">
        <f>SUM(F73:H73)</f>
        <v>0</v>
      </c>
      <c r="J73" s="1"/>
      <c r="K73" s="1"/>
      <c r="L73" s="1"/>
      <c r="M73" s="55">
        <f>SUM(J73:L73)</f>
        <v>0</v>
      </c>
      <c r="N73" s="1"/>
      <c r="O73" s="1"/>
      <c r="P73" s="1"/>
      <c r="Q73" s="55">
        <f>SUM(N73:P73)</f>
        <v>0</v>
      </c>
      <c r="R73" s="55">
        <f>+E73+I73+M73+Q73</f>
        <v>0</v>
      </c>
    </row>
    <row r="74" spans="1:20" ht="15.75" customHeight="1" x14ac:dyDescent="0.3">
      <c r="A74" s="71" t="s">
        <v>524</v>
      </c>
      <c r="B74" s="1"/>
      <c r="C74" s="1"/>
      <c r="D74" s="1"/>
      <c r="E74" s="55">
        <f t="shared" si="5"/>
        <v>0</v>
      </c>
      <c r="F74" s="1"/>
      <c r="G74" s="1"/>
      <c r="H74" s="1"/>
      <c r="I74" s="55">
        <f t="shared" si="6"/>
        <v>0</v>
      </c>
      <c r="J74" s="1"/>
      <c r="K74" s="1"/>
      <c r="L74" s="1"/>
      <c r="M74" s="55">
        <f t="shared" si="7"/>
        <v>0</v>
      </c>
      <c r="N74" s="1"/>
      <c r="O74" s="1"/>
      <c r="P74" s="1"/>
      <c r="Q74" s="55">
        <f t="shared" si="8"/>
        <v>0</v>
      </c>
      <c r="R74" s="55">
        <f t="shared" si="9"/>
        <v>0</v>
      </c>
    </row>
    <row r="75" spans="1:20" ht="15.75" customHeight="1" x14ac:dyDescent="0.3">
      <c r="A75" s="71" t="s">
        <v>800</v>
      </c>
      <c r="B75" s="1"/>
      <c r="C75" s="1"/>
      <c r="D75" s="1"/>
      <c r="E75" s="55">
        <f t="shared" si="5"/>
        <v>0</v>
      </c>
      <c r="F75" s="1"/>
      <c r="G75" s="1"/>
      <c r="H75" s="1"/>
      <c r="I75" s="55">
        <f t="shared" si="6"/>
        <v>0</v>
      </c>
      <c r="K75" s="1"/>
      <c r="L75" s="1"/>
      <c r="M75" s="55">
        <f t="shared" si="7"/>
        <v>0</v>
      </c>
      <c r="N75" s="1"/>
      <c r="O75" s="1"/>
      <c r="P75" s="1"/>
      <c r="Q75" s="55">
        <f t="shared" si="8"/>
        <v>0</v>
      </c>
      <c r="R75" s="55">
        <f t="shared" si="9"/>
        <v>0</v>
      </c>
      <c r="T75" s="4" t="s">
        <v>801</v>
      </c>
    </row>
    <row r="76" spans="1:20" ht="15.75" customHeight="1" x14ac:dyDescent="0.3">
      <c r="A76" s="71" t="s">
        <v>1256</v>
      </c>
      <c r="B76" s="1">
        <v>361</v>
      </c>
      <c r="C76" s="1">
        <v>48</v>
      </c>
      <c r="D76" s="1">
        <v>798</v>
      </c>
      <c r="E76" s="55">
        <f t="shared" si="5"/>
        <v>1207</v>
      </c>
      <c r="F76" s="1">
        <v>1707</v>
      </c>
      <c r="G76" s="1">
        <v>1573</v>
      </c>
      <c r="H76" s="1">
        <v>1619</v>
      </c>
      <c r="I76" s="55">
        <f t="shared" si="6"/>
        <v>4899</v>
      </c>
      <c r="J76" s="1">
        <v>721</v>
      </c>
      <c r="K76" s="1">
        <v>467</v>
      </c>
      <c r="L76" s="1"/>
      <c r="M76" s="55">
        <f t="shared" si="7"/>
        <v>1188</v>
      </c>
      <c r="N76" s="1"/>
      <c r="O76" s="1"/>
      <c r="P76" s="1"/>
      <c r="Q76" s="55">
        <f t="shared" si="8"/>
        <v>0</v>
      </c>
      <c r="R76" s="55">
        <f t="shared" si="9"/>
        <v>7294</v>
      </c>
      <c r="S76" s="477" t="s">
        <v>1257</v>
      </c>
      <c r="T76" s="4" t="s">
        <v>801</v>
      </c>
    </row>
    <row r="77" spans="1:20" ht="15.75" customHeight="1" x14ac:dyDescent="0.3">
      <c r="A77" s="71" t="s">
        <v>78</v>
      </c>
      <c r="B77" s="1"/>
      <c r="C77" s="1"/>
      <c r="D77" s="1"/>
      <c r="E77" s="55">
        <f t="shared" si="5"/>
        <v>0</v>
      </c>
      <c r="F77" s="1"/>
      <c r="G77" s="1"/>
      <c r="H77" s="1"/>
      <c r="I77" s="55">
        <f t="shared" si="6"/>
        <v>0</v>
      </c>
      <c r="J77" s="1"/>
      <c r="K77" s="1"/>
      <c r="L77" s="1"/>
      <c r="M77" s="55">
        <f t="shared" si="7"/>
        <v>0</v>
      </c>
      <c r="N77" s="1"/>
      <c r="O77" s="1"/>
      <c r="P77" s="1"/>
      <c r="Q77" s="55">
        <f t="shared" si="8"/>
        <v>0</v>
      </c>
      <c r="R77" s="55">
        <f t="shared" si="9"/>
        <v>0</v>
      </c>
    </row>
    <row r="78" spans="1:20" ht="15.75" customHeight="1" x14ac:dyDescent="0.3">
      <c r="A78" s="71" t="s">
        <v>525</v>
      </c>
      <c r="B78" s="1"/>
      <c r="C78" s="1"/>
      <c r="D78" s="1"/>
      <c r="E78" s="55">
        <f t="shared" si="5"/>
        <v>0</v>
      </c>
      <c r="F78" s="1"/>
      <c r="G78" s="1"/>
      <c r="H78" s="1"/>
      <c r="I78" s="55">
        <f t="shared" si="6"/>
        <v>0</v>
      </c>
      <c r="J78" s="1"/>
      <c r="K78" s="1"/>
      <c r="L78" s="1"/>
      <c r="M78" s="55">
        <f t="shared" si="7"/>
        <v>0</v>
      </c>
      <c r="N78" s="1"/>
      <c r="O78" s="1"/>
      <c r="P78" s="1"/>
      <c r="Q78" s="55">
        <f t="shared" si="8"/>
        <v>0</v>
      </c>
      <c r="R78" s="55">
        <f t="shared" si="9"/>
        <v>0</v>
      </c>
      <c r="T78" s="4" t="s">
        <v>803</v>
      </c>
    </row>
    <row r="79" spans="1:20" ht="15.75" customHeight="1" x14ac:dyDescent="0.3">
      <c r="A79" s="72" t="s">
        <v>1187</v>
      </c>
      <c r="B79" s="1"/>
      <c r="C79" s="1"/>
      <c r="D79" s="1"/>
      <c r="E79" s="55">
        <f t="shared" si="5"/>
        <v>0</v>
      </c>
      <c r="F79" s="1"/>
      <c r="G79" s="1">
        <v>512</v>
      </c>
      <c r="H79" s="1">
        <v>512</v>
      </c>
      <c r="I79" s="55">
        <f t="shared" si="6"/>
        <v>1024</v>
      </c>
      <c r="J79" s="1">
        <v>512</v>
      </c>
      <c r="K79" s="1">
        <v>512</v>
      </c>
      <c r="L79" s="1"/>
      <c r="M79" s="55">
        <f t="shared" si="7"/>
        <v>1024</v>
      </c>
      <c r="N79" s="1"/>
      <c r="O79" s="1"/>
      <c r="P79" s="1"/>
      <c r="Q79" s="55">
        <f t="shared" si="8"/>
        <v>0</v>
      </c>
      <c r="R79" s="55">
        <f t="shared" si="9"/>
        <v>2048</v>
      </c>
    </row>
    <row r="80" spans="1:20" ht="15.75" customHeight="1" x14ac:dyDescent="0.3">
      <c r="A80" s="72" t="s">
        <v>79</v>
      </c>
      <c r="B80" s="1"/>
      <c r="C80" s="1"/>
      <c r="D80" s="1"/>
      <c r="E80" s="55">
        <f t="shared" si="5"/>
        <v>0</v>
      </c>
      <c r="F80" s="1"/>
      <c r="G80" s="1"/>
      <c r="H80" s="1"/>
      <c r="I80" s="55">
        <f t="shared" si="6"/>
        <v>0</v>
      </c>
      <c r="J80" s="1"/>
      <c r="K80" s="1"/>
      <c r="L80" s="1"/>
      <c r="M80" s="55">
        <f t="shared" si="7"/>
        <v>0</v>
      </c>
      <c r="N80" s="1"/>
      <c r="O80" s="1"/>
      <c r="P80" s="1"/>
      <c r="Q80" s="55">
        <f t="shared" si="8"/>
        <v>0</v>
      </c>
      <c r="R80" s="55">
        <f t="shared" si="9"/>
        <v>0</v>
      </c>
    </row>
    <row r="81" spans="1:20" ht="15.75" customHeight="1" x14ac:dyDescent="0.3">
      <c r="A81" s="72" t="s">
        <v>804</v>
      </c>
      <c r="B81" s="1"/>
      <c r="C81" s="1"/>
      <c r="D81" s="1"/>
      <c r="E81" s="55">
        <f>SUM(B81:D81)</f>
        <v>0</v>
      </c>
      <c r="F81" s="1"/>
      <c r="G81" s="1"/>
      <c r="H81" s="1"/>
      <c r="I81" s="55">
        <f>SUM(F81:H81)</f>
        <v>0</v>
      </c>
      <c r="J81" s="1"/>
      <c r="K81" s="1"/>
      <c r="L81" s="1"/>
      <c r="M81" s="55">
        <f>SUM(J81:L81)</f>
        <v>0</v>
      </c>
      <c r="N81" s="1"/>
      <c r="O81" s="1"/>
      <c r="P81" s="1"/>
      <c r="Q81" s="55">
        <f>SUM(N81:P81)</f>
        <v>0</v>
      </c>
      <c r="R81" s="55">
        <f t="shared" si="9"/>
        <v>0</v>
      </c>
    </row>
    <row r="82" spans="1:20" ht="15.75" customHeight="1" x14ac:dyDescent="0.3">
      <c r="A82" s="72" t="s">
        <v>80</v>
      </c>
      <c r="B82" s="1"/>
      <c r="C82" s="1"/>
      <c r="D82" s="1"/>
      <c r="E82" s="55">
        <f t="shared" si="5"/>
        <v>0</v>
      </c>
      <c r="F82" s="1"/>
      <c r="G82" s="1"/>
      <c r="H82" s="1"/>
      <c r="I82" s="55">
        <f t="shared" si="6"/>
        <v>0</v>
      </c>
      <c r="J82" s="1"/>
      <c r="K82" s="1"/>
      <c r="L82" s="1"/>
      <c r="M82" s="55">
        <f t="shared" si="7"/>
        <v>0</v>
      </c>
      <c r="N82" s="1"/>
      <c r="O82" s="1"/>
      <c r="P82" s="1"/>
      <c r="Q82" s="55">
        <f t="shared" si="8"/>
        <v>0</v>
      </c>
      <c r="R82" s="55">
        <f t="shared" si="9"/>
        <v>0</v>
      </c>
      <c r="S82" s="4">
        <f>SUM(R72:R82)</f>
        <v>9342</v>
      </c>
    </row>
    <row r="83" spans="1:20" ht="15.75" customHeight="1" x14ac:dyDescent="0.3">
      <c r="A83" s="18" t="s">
        <v>50</v>
      </c>
      <c r="B83" s="28"/>
      <c r="C83" s="28"/>
      <c r="D83" s="28"/>
      <c r="E83" s="55" t="s">
        <v>7</v>
      </c>
      <c r="F83" s="28"/>
      <c r="G83" s="28"/>
      <c r="H83" s="28"/>
      <c r="I83" s="55" t="s">
        <v>7</v>
      </c>
      <c r="J83" s="28"/>
      <c r="K83" s="28"/>
      <c r="L83" s="28"/>
      <c r="M83" s="55" t="s">
        <v>7</v>
      </c>
      <c r="N83" s="28"/>
      <c r="O83" s="28"/>
      <c r="P83" s="28"/>
      <c r="Q83" s="55" t="s">
        <v>7</v>
      </c>
      <c r="R83" s="55" t="s">
        <v>7</v>
      </c>
    </row>
    <row r="84" spans="1:20" ht="15.75" customHeight="1" x14ac:dyDescent="0.3">
      <c r="A84" s="72" t="s">
        <v>83</v>
      </c>
      <c r="B84" s="1"/>
      <c r="C84" s="1"/>
      <c r="D84" s="1"/>
      <c r="E84" s="55">
        <f>SUM(B84:D84)</f>
        <v>0</v>
      </c>
      <c r="F84" s="1"/>
      <c r="G84" s="1"/>
      <c r="H84" s="1"/>
      <c r="I84" s="55">
        <f>SUM(F84:H84)</f>
        <v>0</v>
      </c>
      <c r="J84" s="1"/>
      <c r="K84" s="1"/>
      <c r="L84" s="1"/>
      <c r="M84" s="55">
        <f>SUM(J84:L84)</f>
        <v>0</v>
      </c>
      <c r="N84" s="1"/>
      <c r="O84" s="1"/>
      <c r="P84" s="1"/>
      <c r="Q84" s="55">
        <f>SUM(N84:P84)</f>
        <v>0</v>
      </c>
      <c r="R84" s="55">
        <f>+E84+I84+M84+Q84</f>
        <v>0</v>
      </c>
    </row>
    <row r="85" spans="1:20" ht="15.75" customHeight="1" x14ac:dyDescent="0.3">
      <c r="A85" s="18" t="s">
        <v>1186</v>
      </c>
      <c r="B85" s="28"/>
      <c r="C85" s="28"/>
      <c r="D85" s="28"/>
      <c r="E85" s="55" t="s">
        <v>52</v>
      </c>
      <c r="F85" s="28"/>
      <c r="G85" s="28"/>
      <c r="H85" s="28"/>
      <c r="I85" s="55" t="s">
        <v>52</v>
      </c>
      <c r="J85" s="28"/>
      <c r="K85" s="28"/>
      <c r="L85" s="28"/>
      <c r="M85" s="55" t="s">
        <v>52</v>
      </c>
      <c r="N85" s="28"/>
      <c r="O85" s="28"/>
      <c r="P85" s="28"/>
      <c r="Q85" s="55" t="s">
        <v>52</v>
      </c>
      <c r="R85" s="55" t="s">
        <v>52</v>
      </c>
    </row>
    <row r="86" spans="1:20" ht="15.75" customHeight="1" x14ac:dyDescent="0.3">
      <c r="A86" s="61" t="s">
        <v>1258</v>
      </c>
      <c r="B86" s="1"/>
      <c r="C86" s="1"/>
      <c r="D86" s="1"/>
      <c r="E86" s="55">
        <f>SUM(B86:D86)</f>
        <v>0</v>
      </c>
      <c r="F86" s="1"/>
      <c r="G86" s="1"/>
      <c r="H86" s="1"/>
      <c r="I86" s="55">
        <f>SUM(F86:H86)</f>
        <v>0</v>
      </c>
      <c r="J86" s="1"/>
      <c r="K86" s="1"/>
      <c r="L86" s="1"/>
      <c r="M86" s="55">
        <f>SUM(J86:L86)</f>
        <v>0</v>
      </c>
      <c r="N86" s="1"/>
      <c r="O86" s="1"/>
      <c r="P86" s="1"/>
      <c r="Q86" s="55">
        <f>SUM(N86:P86)</f>
        <v>0</v>
      </c>
      <c r="R86" s="55">
        <f>+E86+I86+M86+Q86</f>
        <v>0</v>
      </c>
      <c r="S86" s="478" t="s">
        <v>1259</v>
      </c>
    </row>
    <row r="87" spans="1:20" ht="15.75" customHeight="1" x14ac:dyDescent="0.3">
      <c r="A87" s="61" t="s">
        <v>1260</v>
      </c>
      <c r="B87" s="1"/>
      <c r="C87" s="1"/>
      <c r="D87" s="1"/>
      <c r="E87" s="55">
        <f>SUM(B87:D87)</f>
        <v>0</v>
      </c>
      <c r="F87" s="1"/>
      <c r="G87" s="1"/>
      <c r="H87" s="1"/>
      <c r="I87" s="55">
        <f>SUM(F87:H87)</f>
        <v>0</v>
      </c>
      <c r="J87" s="1"/>
      <c r="K87" s="1">
        <v>766</v>
      </c>
      <c r="L87" s="1">
        <v>1352</v>
      </c>
      <c r="M87" s="55">
        <f>SUM(J87:L87)</f>
        <v>2118</v>
      </c>
      <c r="N87" s="1">
        <v>1588</v>
      </c>
      <c r="O87" s="1"/>
      <c r="P87" s="1"/>
      <c r="Q87" s="55">
        <f>SUM(N87:P87)</f>
        <v>1588</v>
      </c>
      <c r="R87" s="55">
        <f>+E87+I87+M87+Q87</f>
        <v>3706</v>
      </c>
      <c r="S87" s="478" t="s">
        <v>1259</v>
      </c>
      <c r="T87" s="4" t="s">
        <v>801</v>
      </c>
    </row>
    <row r="88" spans="1:20" ht="15.75" customHeight="1" thickBot="1" x14ac:dyDescent="0.35">
      <c r="A88" s="18" t="s">
        <v>53</v>
      </c>
      <c r="B88" s="56"/>
      <c r="C88" s="56"/>
      <c r="D88" s="56"/>
      <c r="E88" s="55" t="s">
        <v>7</v>
      </c>
      <c r="F88" s="56"/>
      <c r="G88" s="56"/>
      <c r="H88" s="56"/>
      <c r="I88" s="55" t="s">
        <v>7</v>
      </c>
      <c r="J88" s="56"/>
      <c r="K88" s="56"/>
      <c r="L88" s="56"/>
      <c r="M88" s="55" t="s">
        <v>7</v>
      </c>
      <c r="N88" s="56"/>
      <c r="O88" s="56"/>
      <c r="P88" s="56"/>
      <c r="Q88" s="55" t="s">
        <v>7</v>
      </c>
      <c r="R88" s="55" t="s">
        <v>7</v>
      </c>
    </row>
    <row r="89" spans="1:20" ht="16.5" customHeight="1" thickBot="1" x14ac:dyDescent="0.35">
      <c r="A89" s="57" t="s">
        <v>54</v>
      </c>
      <c r="B89" s="58">
        <f>SUM(B70:B88)</f>
        <v>361</v>
      </c>
      <c r="C89" s="58">
        <f>SUM(C70:C88)</f>
        <v>48</v>
      </c>
      <c r="D89" s="58">
        <f>SUM(D70:D88)</f>
        <v>798</v>
      </c>
      <c r="E89" s="59">
        <f>SUM(B89:D89)</f>
        <v>1207</v>
      </c>
      <c r="F89" s="58">
        <f>SUM(F70:F88)</f>
        <v>1707</v>
      </c>
      <c r="G89" s="58">
        <f>SUM(G70:G88)</f>
        <v>2085</v>
      </c>
      <c r="H89" s="58">
        <f>SUM(H70:H88)</f>
        <v>2131</v>
      </c>
      <c r="I89" s="59">
        <f>SUM(F89:H89)</f>
        <v>5923</v>
      </c>
      <c r="J89" s="58">
        <f>SUM(J70:J88)</f>
        <v>1233</v>
      </c>
      <c r="K89" s="58">
        <f>SUM(K70:K88)</f>
        <v>1745</v>
      </c>
      <c r="L89" s="58">
        <f>SUM(L70:L88)</f>
        <v>1352</v>
      </c>
      <c r="M89" s="59">
        <f>SUM(J89:L89)</f>
        <v>4330</v>
      </c>
      <c r="N89" s="58">
        <f>SUM(N70:N88)</f>
        <v>1588</v>
      </c>
      <c r="O89" s="58">
        <f>SUM(O70:O88)</f>
        <v>0</v>
      </c>
      <c r="P89" s="58">
        <f>SUM(P70:P88)</f>
        <v>0</v>
      </c>
      <c r="Q89" s="59">
        <f>SUM(N89:P89)</f>
        <v>1588</v>
      </c>
      <c r="R89" s="59">
        <f>+E89+I89+M89+Q89</f>
        <v>13048</v>
      </c>
    </row>
    <row r="90" spans="1:20" ht="15.75" customHeight="1" x14ac:dyDescent="0.3">
      <c r="A90" s="18" t="s">
        <v>55</v>
      </c>
      <c r="B90" s="56"/>
      <c r="C90" s="56"/>
      <c r="D90" s="56"/>
      <c r="E90" s="55" t="s">
        <v>7</v>
      </c>
      <c r="F90" s="56"/>
      <c r="G90" s="56"/>
      <c r="H90" s="56"/>
      <c r="I90" s="55" t="s">
        <v>7</v>
      </c>
      <c r="J90" s="56"/>
      <c r="K90" s="56"/>
      <c r="L90" s="56"/>
      <c r="M90" s="55" t="s">
        <v>7</v>
      </c>
      <c r="N90" s="56"/>
      <c r="O90" s="56"/>
      <c r="P90" s="56"/>
      <c r="Q90" s="55" t="s">
        <v>7</v>
      </c>
      <c r="R90" s="60" t="s">
        <v>7</v>
      </c>
    </row>
    <row r="91" spans="1:20" ht="15.75" customHeight="1" x14ac:dyDescent="0.3">
      <c r="A91" s="18" t="s">
        <v>56</v>
      </c>
      <c r="B91" s="56"/>
      <c r="C91" s="56"/>
      <c r="D91" s="56"/>
      <c r="E91" s="55" t="s">
        <v>7</v>
      </c>
      <c r="F91" s="56"/>
      <c r="G91" s="56"/>
      <c r="H91" s="56"/>
      <c r="I91" s="55" t="s">
        <v>7</v>
      </c>
      <c r="J91" s="56"/>
      <c r="K91" s="56"/>
      <c r="L91" s="56"/>
      <c r="M91" s="55" t="s">
        <v>7</v>
      </c>
      <c r="N91" s="56"/>
      <c r="O91" s="56"/>
      <c r="P91" s="56"/>
      <c r="Q91" s="55" t="s">
        <v>7</v>
      </c>
      <c r="R91" s="55" t="s">
        <v>7</v>
      </c>
    </row>
    <row r="92" spans="1:20" ht="15.75" customHeight="1" x14ac:dyDescent="0.3">
      <c r="A92" s="18" t="s">
        <v>57</v>
      </c>
      <c r="B92" s="56"/>
      <c r="C92" s="56"/>
      <c r="D92" s="56"/>
      <c r="E92" s="55" t="s">
        <v>7</v>
      </c>
      <c r="F92" s="56"/>
      <c r="G92" s="56"/>
      <c r="H92" s="56"/>
      <c r="I92" s="55" t="s">
        <v>7</v>
      </c>
      <c r="J92" s="56"/>
      <c r="K92" s="56"/>
      <c r="L92" s="56"/>
      <c r="M92" s="55" t="s">
        <v>7</v>
      </c>
      <c r="N92" s="56"/>
      <c r="O92" s="56"/>
      <c r="P92" s="56"/>
      <c r="Q92" s="55" t="s">
        <v>7</v>
      </c>
      <c r="R92" s="55" t="s">
        <v>7</v>
      </c>
    </row>
    <row r="93" spans="1:20" ht="15.75" customHeight="1" x14ac:dyDescent="0.3">
      <c r="A93" s="72" t="s">
        <v>81</v>
      </c>
      <c r="B93" s="1">
        <v>133</v>
      </c>
      <c r="C93" s="1">
        <v>149</v>
      </c>
      <c r="D93" s="1">
        <v>493</v>
      </c>
      <c r="E93" s="55">
        <f>SUM(B93:D93)</f>
        <v>775</v>
      </c>
      <c r="F93" s="1">
        <v>2137</v>
      </c>
      <c r="G93" s="1">
        <v>2076</v>
      </c>
      <c r="H93" s="1">
        <v>3656</v>
      </c>
      <c r="I93" s="55">
        <f>SUM(F93:H93)</f>
        <v>7869</v>
      </c>
      <c r="J93" s="1">
        <v>5536</v>
      </c>
      <c r="K93" s="1">
        <v>5302</v>
      </c>
      <c r="L93" s="1">
        <v>2958</v>
      </c>
      <c r="M93" s="55">
        <f>SUM(J93:L93)</f>
        <v>13796</v>
      </c>
      <c r="N93" s="1">
        <v>3000</v>
      </c>
      <c r="O93" s="1">
        <v>1213</v>
      </c>
      <c r="P93" s="1">
        <v>2748</v>
      </c>
      <c r="Q93" s="55">
        <f>SUM(N93:P93)</f>
        <v>6961</v>
      </c>
      <c r="R93" s="55">
        <f>+E93+I93+M93+Q93</f>
        <v>29401</v>
      </c>
      <c r="T93" s="4" t="s">
        <v>805</v>
      </c>
    </row>
    <row r="94" spans="1:20" ht="15.75" customHeight="1" x14ac:dyDescent="0.3">
      <c r="A94" s="72" t="s">
        <v>87</v>
      </c>
      <c r="B94" s="1"/>
      <c r="C94" s="1">
        <v>24</v>
      </c>
      <c r="D94" s="1">
        <v>290</v>
      </c>
      <c r="E94" s="55">
        <f>SUM(B94:D94)</f>
        <v>314</v>
      </c>
      <c r="F94" s="1">
        <v>386</v>
      </c>
      <c r="G94" s="1">
        <v>188</v>
      </c>
      <c r="H94" s="1">
        <v>188</v>
      </c>
      <c r="I94" s="55">
        <f>SUM(F94:H94)</f>
        <v>762</v>
      </c>
      <c r="J94" s="1">
        <v>444</v>
      </c>
      <c r="K94" s="1">
        <f>380+200</f>
        <v>580</v>
      </c>
      <c r="L94" s="1">
        <f>202+200</f>
        <v>402</v>
      </c>
      <c r="M94" s="55">
        <f>SUM(J94:L94)</f>
        <v>1426</v>
      </c>
      <c r="N94" s="1">
        <f>128+122</f>
        <v>250</v>
      </c>
      <c r="O94" s="1">
        <v>200</v>
      </c>
      <c r="P94" s="1">
        <v>100</v>
      </c>
      <c r="Q94" s="55">
        <f>SUM(N94:P94)</f>
        <v>550</v>
      </c>
      <c r="R94" s="55">
        <f>+E94+I94+M94+Q94</f>
        <v>3052</v>
      </c>
      <c r="T94" s="4" t="s">
        <v>801</v>
      </c>
    </row>
    <row r="95" spans="1:20" ht="15.75" customHeight="1" thickBot="1" x14ac:dyDescent="0.35">
      <c r="A95" s="18" t="s">
        <v>58</v>
      </c>
      <c r="B95" s="56"/>
      <c r="C95" s="56"/>
      <c r="D95" s="56"/>
      <c r="E95" s="55" t="s">
        <v>7</v>
      </c>
      <c r="F95" s="56"/>
      <c r="G95" s="56"/>
      <c r="H95" s="56"/>
      <c r="I95" s="55" t="s">
        <v>7</v>
      </c>
      <c r="J95" s="56"/>
      <c r="K95" s="56"/>
      <c r="L95" s="56"/>
      <c r="M95" s="55" t="s">
        <v>7</v>
      </c>
      <c r="N95" s="56"/>
      <c r="O95" s="56"/>
      <c r="P95" s="56"/>
      <c r="Q95" s="55" t="s">
        <v>7</v>
      </c>
      <c r="R95" s="55" t="s">
        <v>7</v>
      </c>
    </row>
    <row r="96" spans="1:20" ht="16.5" customHeight="1" thickBot="1" x14ac:dyDescent="0.35">
      <c r="A96" s="57" t="s">
        <v>59</v>
      </c>
      <c r="B96" s="58">
        <f>SUM(B90:B95)</f>
        <v>133</v>
      </c>
      <c r="C96" s="58">
        <f>SUM(C90:C95)</f>
        <v>173</v>
      </c>
      <c r="D96" s="58">
        <f>SUM(D90:D95)</f>
        <v>783</v>
      </c>
      <c r="E96" s="59">
        <f>SUM(B96:D96)</f>
        <v>1089</v>
      </c>
      <c r="F96" s="58">
        <f>SUM(F90:F95)</f>
        <v>2523</v>
      </c>
      <c r="G96" s="58">
        <f>SUM(G90:G95)</f>
        <v>2264</v>
      </c>
      <c r="H96" s="58">
        <f>SUM(H90:H95)</f>
        <v>3844</v>
      </c>
      <c r="I96" s="59">
        <f>SUM(F96:H96)</f>
        <v>8631</v>
      </c>
      <c r="J96" s="58">
        <f>SUM(J90:J95)</f>
        <v>5980</v>
      </c>
      <c r="K96" s="58">
        <f>SUM(K90:K95)</f>
        <v>5882</v>
      </c>
      <c r="L96" s="58">
        <f>SUM(L90:L95)</f>
        <v>3360</v>
      </c>
      <c r="M96" s="59">
        <f>SUM(J96:L96)</f>
        <v>15222</v>
      </c>
      <c r="N96" s="58">
        <f>SUM(N90:N95)</f>
        <v>3250</v>
      </c>
      <c r="O96" s="58">
        <f>SUM(O90:O95)</f>
        <v>1413</v>
      </c>
      <c r="P96" s="58">
        <f>SUM(P90:P95)</f>
        <v>2848</v>
      </c>
      <c r="Q96" s="59">
        <f>SUM(N96:P96)</f>
        <v>7511</v>
      </c>
      <c r="R96" s="59">
        <f>+E96+I96+M96+Q96</f>
        <v>32453</v>
      </c>
    </row>
    <row r="97" spans="1:20" ht="15.75" customHeight="1" x14ac:dyDescent="0.3">
      <c r="A97" s="18" t="s">
        <v>60</v>
      </c>
      <c r="B97" s="56"/>
      <c r="C97" s="56"/>
      <c r="D97" s="56"/>
      <c r="E97" s="55" t="s">
        <v>7</v>
      </c>
      <c r="F97" s="56"/>
      <c r="G97" s="56"/>
      <c r="H97" s="56"/>
      <c r="I97" s="55" t="s">
        <v>7</v>
      </c>
      <c r="J97" s="56"/>
      <c r="K97" s="56"/>
      <c r="L97" s="56"/>
      <c r="M97" s="55" t="s">
        <v>7</v>
      </c>
      <c r="N97" s="56"/>
      <c r="O97" s="56"/>
      <c r="P97" s="56"/>
      <c r="Q97" s="55" t="s">
        <v>7</v>
      </c>
      <c r="R97" s="55" t="s">
        <v>7</v>
      </c>
    </row>
    <row r="98" spans="1:20" ht="15.75" customHeight="1" x14ac:dyDescent="0.3">
      <c r="A98" s="18" t="s">
        <v>61</v>
      </c>
      <c r="B98" s="56"/>
      <c r="C98" s="56"/>
      <c r="D98" s="56"/>
      <c r="E98" s="55" t="s">
        <v>7</v>
      </c>
      <c r="F98" s="56"/>
      <c r="G98" s="56"/>
      <c r="H98" s="56"/>
      <c r="I98" s="55" t="s">
        <v>7</v>
      </c>
      <c r="J98" s="56"/>
      <c r="K98" s="56"/>
      <c r="L98" s="56"/>
      <c r="M98" s="55" t="s">
        <v>7</v>
      </c>
      <c r="N98" s="56"/>
      <c r="O98" s="56"/>
      <c r="P98" s="56"/>
      <c r="Q98" s="55" t="s">
        <v>7</v>
      </c>
      <c r="R98" s="55" t="s">
        <v>7</v>
      </c>
    </row>
    <row r="99" spans="1:20" ht="15.75" customHeight="1" x14ac:dyDescent="0.3">
      <c r="A99" s="18" t="s">
        <v>62</v>
      </c>
      <c r="B99" s="56"/>
      <c r="C99" s="56"/>
      <c r="D99" s="56"/>
      <c r="E99" s="55"/>
      <c r="F99" s="56"/>
      <c r="G99" s="56"/>
      <c r="H99" s="56"/>
      <c r="I99" s="55"/>
      <c r="J99" s="56"/>
      <c r="K99" s="56"/>
      <c r="L99" s="56"/>
      <c r="M99" s="55"/>
      <c r="N99" s="56"/>
      <c r="O99" s="56"/>
      <c r="P99" s="56"/>
      <c r="Q99" s="55"/>
      <c r="R99" s="55"/>
    </row>
    <row r="100" spans="1:20" ht="15.75" customHeight="1" x14ac:dyDescent="0.3">
      <c r="A100" s="72" t="s">
        <v>88</v>
      </c>
      <c r="B100" s="1"/>
      <c r="C100" s="1"/>
      <c r="D100" s="1"/>
      <c r="E100" s="55">
        <f t="shared" ref="E100:E107" si="10">SUM(B100:D100)</f>
        <v>0</v>
      </c>
      <c r="F100" s="1"/>
      <c r="G100" s="1"/>
      <c r="H100" s="1"/>
      <c r="I100" s="55">
        <f t="shared" ref="I100:I107" si="11">SUM(F100:H100)</f>
        <v>0</v>
      </c>
      <c r="J100" s="1"/>
      <c r="K100" s="1"/>
      <c r="L100" s="1"/>
      <c r="M100" s="55">
        <f t="shared" ref="M100:M107" si="12">SUM(J100:L100)</f>
        <v>0</v>
      </c>
      <c r="N100" s="1"/>
      <c r="O100" s="1"/>
      <c r="P100" s="1"/>
      <c r="Q100" s="55">
        <f t="shared" ref="Q100:Q107" si="13">SUM(N100:P100)</f>
        <v>0</v>
      </c>
      <c r="R100" s="55">
        <f t="shared" ref="R100:R107" si="14">+E100+I100+M100+Q100</f>
        <v>0</v>
      </c>
    </row>
    <row r="101" spans="1:20" ht="15.75" customHeight="1" x14ac:dyDescent="0.3">
      <c r="A101" s="72" t="s">
        <v>89</v>
      </c>
      <c r="B101" s="1"/>
      <c r="C101" s="1"/>
      <c r="D101" s="1"/>
      <c r="E101" s="55">
        <f t="shared" si="10"/>
        <v>0</v>
      </c>
      <c r="F101" s="1"/>
      <c r="G101" s="1"/>
      <c r="H101" s="1"/>
      <c r="I101" s="55">
        <f t="shared" si="11"/>
        <v>0</v>
      </c>
      <c r="J101" s="1"/>
      <c r="K101" s="1"/>
      <c r="L101" s="1"/>
      <c r="M101" s="55">
        <f t="shared" si="12"/>
        <v>0</v>
      </c>
      <c r="N101" s="1"/>
      <c r="O101" s="1"/>
      <c r="P101" s="1"/>
      <c r="Q101" s="55">
        <f t="shared" si="13"/>
        <v>0</v>
      </c>
      <c r="R101" s="55">
        <f t="shared" si="14"/>
        <v>0</v>
      </c>
    </row>
    <row r="102" spans="1:20" ht="15.75" customHeight="1" x14ac:dyDescent="0.3">
      <c r="A102" s="72" t="s">
        <v>1261</v>
      </c>
      <c r="B102" s="1"/>
      <c r="C102" s="1"/>
      <c r="D102" s="1"/>
      <c r="E102" s="55">
        <f>SUM(B102:D102)</f>
        <v>0</v>
      </c>
      <c r="F102" s="1"/>
      <c r="G102" s="1"/>
      <c r="H102" s="1"/>
      <c r="I102" s="55">
        <f>SUM(F102:H102)</f>
        <v>0</v>
      </c>
      <c r="J102" s="1"/>
      <c r="K102" s="1"/>
      <c r="L102" s="1"/>
      <c r="M102" s="55">
        <f>SUM(J102:L102)</f>
        <v>0</v>
      </c>
      <c r="N102" s="1"/>
      <c r="O102" s="1"/>
      <c r="P102" s="1"/>
      <c r="Q102" s="55">
        <f>SUM(N102:P102)</f>
        <v>0</v>
      </c>
      <c r="R102" s="55">
        <f>+E102+I102+M102+Q102</f>
        <v>0</v>
      </c>
    </row>
    <row r="103" spans="1:20" ht="15.75" customHeight="1" x14ac:dyDescent="0.3">
      <c r="A103" s="72" t="s">
        <v>1188</v>
      </c>
      <c r="B103" s="1"/>
      <c r="C103" s="1"/>
      <c r="D103" s="1"/>
      <c r="E103" s="55">
        <f>SUM(B103:D103)</f>
        <v>0</v>
      </c>
      <c r="F103" s="1"/>
      <c r="G103" s="1"/>
      <c r="H103" s="1"/>
      <c r="I103" s="55">
        <f>SUM(F103:H103)</f>
        <v>0</v>
      </c>
      <c r="J103" s="1"/>
      <c r="K103" s="1"/>
      <c r="L103" s="1"/>
      <c r="M103" s="55">
        <f>SUM(J103:L103)</f>
        <v>0</v>
      </c>
      <c r="N103" s="1"/>
      <c r="O103" s="1"/>
      <c r="P103" s="1"/>
      <c r="Q103" s="55">
        <f>SUM(N103:P103)</f>
        <v>0</v>
      </c>
      <c r="R103" s="55">
        <f>+E103+I103+M103+Q103</f>
        <v>0</v>
      </c>
      <c r="T103" s="4" t="s">
        <v>803</v>
      </c>
    </row>
    <row r="104" spans="1:20" ht="15.75" customHeight="1" x14ac:dyDescent="0.3">
      <c r="A104" s="72" t="s">
        <v>528</v>
      </c>
      <c r="B104" s="1"/>
      <c r="C104" s="1"/>
      <c r="D104" s="1"/>
      <c r="E104" s="55">
        <f>SUM(B104:D104)</f>
        <v>0</v>
      </c>
      <c r="F104" s="1"/>
      <c r="G104" s="1"/>
      <c r="H104" s="1"/>
      <c r="I104" s="55">
        <f>SUM(F104:H104)</f>
        <v>0</v>
      </c>
      <c r="J104" s="1"/>
      <c r="K104" s="1"/>
      <c r="L104" s="1"/>
      <c r="M104" s="55">
        <f>SUM(J104:L104)</f>
        <v>0</v>
      </c>
      <c r="N104" s="1"/>
      <c r="O104" s="1"/>
      <c r="P104" s="1"/>
      <c r="Q104" s="55">
        <f>SUM(N104:P104)</f>
        <v>0</v>
      </c>
      <c r="R104" s="55">
        <f>+E104+I104+M104+Q104</f>
        <v>0</v>
      </c>
    </row>
    <row r="105" spans="1:20" ht="15.75" customHeight="1" x14ac:dyDescent="0.3">
      <c r="A105" s="72" t="s">
        <v>1262</v>
      </c>
      <c r="B105" s="1"/>
      <c r="C105" s="1"/>
      <c r="D105" s="1"/>
      <c r="E105" s="55">
        <f t="shared" si="10"/>
        <v>0</v>
      </c>
      <c r="F105" s="1"/>
      <c r="G105" s="1"/>
      <c r="H105" s="1"/>
      <c r="I105" s="55">
        <f t="shared" si="11"/>
        <v>0</v>
      </c>
      <c r="J105" s="1"/>
      <c r="K105" s="1"/>
      <c r="L105" s="1"/>
      <c r="M105" s="55">
        <f t="shared" si="12"/>
        <v>0</v>
      </c>
      <c r="N105" s="1"/>
      <c r="O105" s="1"/>
      <c r="P105" s="1"/>
      <c r="Q105" s="55">
        <f t="shared" si="13"/>
        <v>0</v>
      </c>
      <c r="R105" s="55">
        <f t="shared" si="14"/>
        <v>0</v>
      </c>
    </row>
    <row r="106" spans="1:20" ht="15.75" customHeight="1" thickBot="1" x14ac:dyDescent="0.35">
      <c r="A106" s="72" t="s">
        <v>95</v>
      </c>
      <c r="B106" s="1"/>
      <c r="C106" s="1"/>
      <c r="D106" s="1"/>
      <c r="E106" s="55">
        <f t="shared" si="10"/>
        <v>0</v>
      </c>
      <c r="F106" s="1"/>
      <c r="G106" s="1"/>
      <c r="H106" s="1"/>
      <c r="I106" s="55">
        <f t="shared" si="11"/>
        <v>0</v>
      </c>
      <c r="J106" s="1"/>
      <c r="K106" s="1"/>
      <c r="L106" s="1"/>
      <c r="M106" s="55">
        <f t="shared" si="12"/>
        <v>0</v>
      </c>
      <c r="N106" s="1"/>
      <c r="O106" s="1"/>
      <c r="P106" s="1"/>
      <c r="Q106" s="55">
        <f t="shared" si="13"/>
        <v>0</v>
      </c>
      <c r="R106" s="55">
        <f t="shared" si="14"/>
        <v>0</v>
      </c>
    </row>
    <row r="107" spans="1:20" ht="16.5" customHeight="1" thickBot="1" x14ac:dyDescent="0.35">
      <c r="A107" s="57" t="s">
        <v>63</v>
      </c>
      <c r="B107" s="58">
        <f>SUM(B97:B106)</f>
        <v>0</v>
      </c>
      <c r="C107" s="58">
        <f>SUM(C97:C106)</f>
        <v>0</v>
      </c>
      <c r="D107" s="58">
        <f>SUM(D97:D106)</f>
        <v>0</v>
      </c>
      <c r="E107" s="59">
        <f t="shared" si="10"/>
        <v>0</v>
      </c>
      <c r="F107" s="58">
        <f>SUM(F97:F106)</f>
        <v>0</v>
      </c>
      <c r="G107" s="58">
        <f>SUM(G97:G106)</f>
        <v>0</v>
      </c>
      <c r="H107" s="58">
        <f>SUM(H97:H106)</f>
        <v>0</v>
      </c>
      <c r="I107" s="59">
        <f t="shared" si="11"/>
        <v>0</v>
      </c>
      <c r="J107" s="58">
        <f>SUM(J97:J106)</f>
        <v>0</v>
      </c>
      <c r="K107" s="58">
        <f>SUM(K97:K106)</f>
        <v>0</v>
      </c>
      <c r="L107" s="58">
        <f>SUM(L97:L106)</f>
        <v>0</v>
      </c>
      <c r="M107" s="59">
        <f t="shared" si="12"/>
        <v>0</v>
      </c>
      <c r="N107" s="58">
        <f>SUM(N97:N106)</f>
        <v>0</v>
      </c>
      <c r="O107" s="58">
        <f>SUM(O97:O106)</f>
        <v>0</v>
      </c>
      <c r="P107" s="58">
        <f>SUM(P97:P106)</f>
        <v>0</v>
      </c>
      <c r="Q107" s="59">
        <f t="shared" si="13"/>
        <v>0</v>
      </c>
      <c r="R107" s="59">
        <f t="shared" si="14"/>
        <v>0</v>
      </c>
    </row>
    <row r="108" spans="1:20" ht="15.75" customHeight="1" x14ac:dyDescent="0.3">
      <c r="A108" s="18" t="s">
        <v>64</v>
      </c>
      <c r="B108" s="56"/>
      <c r="C108" s="56"/>
      <c r="D108" s="56"/>
      <c r="E108" s="55" t="s">
        <v>7</v>
      </c>
      <c r="F108" s="56"/>
      <c r="G108" s="56"/>
      <c r="H108" s="56"/>
      <c r="I108" s="55" t="s">
        <v>7</v>
      </c>
      <c r="J108" s="56"/>
      <c r="K108" s="56"/>
      <c r="L108" s="56"/>
      <c r="M108" s="55" t="s">
        <v>7</v>
      </c>
      <c r="N108" s="56"/>
      <c r="O108" s="56"/>
      <c r="P108" s="56"/>
      <c r="Q108" s="55" t="s">
        <v>7</v>
      </c>
      <c r="R108" s="55" t="s">
        <v>7</v>
      </c>
    </row>
    <row r="109" spans="1:20" ht="15.75" customHeight="1" x14ac:dyDescent="0.3">
      <c r="A109" s="18" t="s">
        <v>594</v>
      </c>
      <c r="B109" s="56"/>
      <c r="C109" s="56"/>
      <c r="D109" s="56"/>
      <c r="E109" s="55" t="s">
        <v>7</v>
      </c>
      <c r="F109" s="56"/>
      <c r="G109" s="56"/>
      <c r="H109" s="56"/>
      <c r="I109" s="55" t="s">
        <v>7</v>
      </c>
      <c r="J109" s="56"/>
      <c r="K109" s="56"/>
      <c r="L109" s="56"/>
      <c r="M109" s="55" t="s">
        <v>7</v>
      </c>
      <c r="N109" s="56"/>
      <c r="O109" s="56"/>
      <c r="P109" s="56"/>
      <c r="Q109" s="55" t="s">
        <v>7</v>
      </c>
      <c r="R109" s="55" t="s">
        <v>7</v>
      </c>
    </row>
    <row r="110" spans="1:20" ht="15.75" customHeight="1" x14ac:dyDescent="0.3">
      <c r="A110" s="61" t="s">
        <v>806</v>
      </c>
      <c r="B110" s="1"/>
      <c r="C110" s="1"/>
      <c r="D110" s="1"/>
      <c r="E110" s="55">
        <f t="shared" ref="E110:E115" si="15">SUM(B110:D110)</f>
        <v>0</v>
      </c>
      <c r="F110" s="1"/>
      <c r="G110" s="1"/>
      <c r="H110" s="1"/>
      <c r="I110" s="55">
        <f t="shared" ref="I110:I115" si="16">SUM(F110:H110)</f>
        <v>0</v>
      </c>
      <c r="J110" s="1"/>
      <c r="K110" s="1"/>
      <c r="L110" s="1"/>
      <c r="M110" s="55">
        <f t="shared" ref="M110:M115" si="17">SUM(J110:L110)</f>
        <v>0</v>
      </c>
      <c r="N110" s="1"/>
      <c r="O110" s="1"/>
      <c r="P110" s="1"/>
      <c r="Q110" s="55">
        <f t="shared" ref="Q110:Q115" si="18">SUM(N110:P110)</f>
        <v>0</v>
      </c>
      <c r="R110" s="55">
        <f t="shared" ref="R110:R115" si="19">+E110+I110+M110+Q110</f>
        <v>0</v>
      </c>
    </row>
    <row r="111" spans="1:20" ht="15.75" customHeight="1" x14ac:dyDescent="0.3">
      <c r="A111" s="61" t="s">
        <v>1263</v>
      </c>
      <c r="B111" s="1"/>
      <c r="C111" s="1"/>
      <c r="D111" s="1"/>
      <c r="E111" s="55">
        <f t="shared" si="15"/>
        <v>0</v>
      </c>
      <c r="F111" s="1"/>
      <c r="G111" s="1"/>
      <c r="H111" s="1"/>
      <c r="I111" s="55">
        <f t="shared" si="16"/>
        <v>0</v>
      </c>
      <c r="J111" s="1"/>
      <c r="K111" s="1"/>
      <c r="L111" s="1"/>
      <c r="M111" s="55">
        <f t="shared" si="17"/>
        <v>0</v>
      </c>
      <c r="N111" s="1"/>
      <c r="O111" s="1"/>
      <c r="P111" s="1"/>
      <c r="Q111" s="55">
        <f t="shared" si="18"/>
        <v>0</v>
      </c>
      <c r="R111" s="55">
        <f t="shared" si="19"/>
        <v>0</v>
      </c>
    </row>
    <row r="112" spans="1:20" ht="15.75" customHeight="1" x14ac:dyDescent="0.3">
      <c r="A112" s="61" t="s">
        <v>692</v>
      </c>
      <c r="B112" s="1"/>
      <c r="C112" s="1"/>
      <c r="D112" s="1"/>
      <c r="E112" s="55">
        <f t="shared" si="15"/>
        <v>0</v>
      </c>
      <c r="F112" s="1"/>
      <c r="G112" s="1"/>
      <c r="H112" s="1"/>
      <c r="I112" s="55">
        <f t="shared" si="16"/>
        <v>0</v>
      </c>
      <c r="J112" s="1"/>
      <c r="K112" s="1"/>
      <c r="L112" s="1"/>
      <c r="M112" s="55">
        <f t="shared" si="17"/>
        <v>0</v>
      </c>
      <c r="N112" s="1"/>
      <c r="O112" s="1"/>
      <c r="P112" s="1"/>
      <c r="Q112" s="55">
        <f t="shared" si="18"/>
        <v>0</v>
      </c>
      <c r="R112" s="55">
        <f t="shared" si="19"/>
        <v>0</v>
      </c>
    </row>
    <row r="113" spans="1:20" ht="15.75" customHeight="1" x14ac:dyDescent="0.3">
      <c r="A113" s="61" t="s">
        <v>530</v>
      </c>
      <c r="B113" s="1"/>
      <c r="C113" s="1"/>
      <c r="D113" s="1"/>
      <c r="E113" s="55">
        <f t="shared" si="15"/>
        <v>0</v>
      </c>
      <c r="F113" s="1"/>
      <c r="G113" s="1"/>
      <c r="H113" s="1"/>
      <c r="I113" s="55">
        <f t="shared" si="16"/>
        <v>0</v>
      </c>
      <c r="J113" s="1"/>
      <c r="K113" s="1"/>
      <c r="L113" s="1"/>
      <c r="M113" s="55">
        <f t="shared" si="17"/>
        <v>0</v>
      </c>
      <c r="N113" s="1"/>
      <c r="O113" s="1"/>
      <c r="P113" s="1"/>
      <c r="Q113" s="55">
        <f t="shared" si="18"/>
        <v>0</v>
      </c>
      <c r="R113" s="55">
        <f t="shared" si="19"/>
        <v>0</v>
      </c>
    </row>
    <row r="114" spans="1:20" ht="15.75" customHeight="1" x14ac:dyDescent="0.3">
      <c r="A114" s="61" t="s">
        <v>597</v>
      </c>
      <c r="B114" s="1"/>
      <c r="C114" s="1"/>
      <c r="D114" s="1"/>
      <c r="E114" s="55">
        <f t="shared" si="15"/>
        <v>0</v>
      </c>
      <c r="F114" s="1"/>
      <c r="G114" s="1"/>
      <c r="H114" s="1"/>
      <c r="I114" s="55">
        <f t="shared" si="16"/>
        <v>0</v>
      </c>
      <c r="J114" s="1"/>
      <c r="K114" s="1"/>
      <c r="L114" s="1"/>
      <c r="M114" s="55">
        <f t="shared" si="17"/>
        <v>0</v>
      </c>
      <c r="N114" s="1"/>
      <c r="O114" s="1"/>
      <c r="P114" s="1"/>
      <c r="Q114" s="55">
        <f t="shared" si="18"/>
        <v>0</v>
      </c>
      <c r="R114" s="55">
        <f t="shared" si="19"/>
        <v>0</v>
      </c>
    </row>
    <row r="115" spans="1:20" ht="15.75" customHeight="1" x14ac:dyDescent="0.3">
      <c r="A115" s="61" t="s">
        <v>807</v>
      </c>
      <c r="B115" s="1"/>
      <c r="C115" s="1"/>
      <c r="D115" s="1"/>
      <c r="E115" s="55">
        <f t="shared" si="15"/>
        <v>0</v>
      </c>
      <c r="F115" s="1"/>
      <c r="G115" s="1"/>
      <c r="H115" s="1"/>
      <c r="I115" s="55">
        <f t="shared" si="16"/>
        <v>0</v>
      </c>
      <c r="J115" s="1"/>
      <c r="K115" s="1"/>
      <c r="L115" s="1"/>
      <c r="M115" s="55">
        <f t="shared" si="17"/>
        <v>0</v>
      </c>
      <c r="N115" s="1"/>
      <c r="O115" s="1"/>
      <c r="P115" s="1"/>
      <c r="Q115" s="55">
        <f t="shared" si="18"/>
        <v>0</v>
      </c>
      <c r="R115" s="55">
        <f t="shared" si="19"/>
        <v>0</v>
      </c>
    </row>
    <row r="116" spans="1:20" ht="15.75" customHeight="1" x14ac:dyDescent="0.3">
      <c r="A116" s="61" t="s">
        <v>808</v>
      </c>
      <c r="B116" s="1"/>
      <c r="C116" s="1"/>
      <c r="D116" s="1"/>
      <c r="E116" s="55">
        <f>SUM(B116:D116)</f>
        <v>0</v>
      </c>
      <c r="F116" s="1"/>
      <c r="G116" s="1"/>
      <c r="H116" s="1"/>
      <c r="I116" s="55">
        <f>SUM(F116:H116)</f>
        <v>0</v>
      </c>
      <c r="J116" s="1"/>
      <c r="K116" s="1"/>
      <c r="L116" s="1"/>
      <c r="M116" s="55">
        <f>SUM(J116:L116)</f>
        <v>0</v>
      </c>
      <c r="N116" s="1"/>
      <c r="O116" s="1"/>
      <c r="P116" s="1"/>
      <c r="Q116" s="55">
        <f>SUM(N116:P116)</f>
        <v>0</v>
      </c>
      <c r="R116" s="55">
        <f>+E116+I116+M116+Q116</f>
        <v>0</v>
      </c>
    </row>
    <row r="117" spans="1:20" ht="15.75" customHeight="1" x14ac:dyDescent="0.3">
      <c r="A117" s="346" t="s">
        <v>702</v>
      </c>
      <c r="B117" s="1"/>
      <c r="C117" s="1"/>
      <c r="D117" s="1"/>
      <c r="E117" s="55">
        <f>SUM(B117:D117)</f>
        <v>0</v>
      </c>
      <c r="F117" s="1"/>
      <c r="G117" s="1"/>
      <c r="H117" s="1"/>
      <c r="I117" s="55">
        <f>SUM(F117:H117)</f>
        <v>0</v>
      </c>
      <c r="J117" s="1"/>
      <c r="K117" s="1"/>
      <c r="L117" s="1"/>
      <c r="M117" s="55">
        <f>SUM(J117:L117)</f>
        <v>0</v>
      </c>
      <c r="N117" s="1"/>
      <c r="O117" s="1"/>
      <c r="P117" s="1"/>
      <c r="Q117" s="55">
        <f>SUM(N117:P117)</f>
        <v>0</v>
      </c>
      <c r="R117" s="55">
        <f>+E117+I117+M117+Q117</f>
        <v>0</v>
      </c>
      <c r="T117" s="4" t="s">
        <v>809</v>
      </c>
    </row>
    <row r="118" spans="1:20" ht="15.75" customHeight="1" x14ac:dyDescent="0.3">
      <c r="A118" s="18" t="s">
        <v>67</v>
      </c>
      <c r="B118" s="56"/>
      <c r="C118" s="56"/>
      <c r="D118" s="56"/>
      <c r="E118" s="55" t="s">
        <v>7</v>
      </c>
      <c r="F118" s="56"/>
      <c r="G118" s="56"/>
      <c r="H118" s="56"/>
      <c r="I118" s="55" t="s">
        <v>7</v>
      </c>
      <c r="J118" s="56"/>
      <c r="K118" s="56"/>
      <c r="L118" s="56"/>
      <c r="M118" s="55" t="s">
        <v>7</v>
      </c>
      <c r="N118" s="56"/>
      <c r="O118" s="56"/>
      <c r="P118" s="56"/>
      <c r="Q118" s="55" t="s">
        <v>7</v>
      </c>
      <c r="R118" s="55" t="s">
        <v>7</v>
      </c>
    </row>
    <row r="119" spans="1:20" ht="15.75" customHeight="1" x14ac:dyDescent="0.3">
      <c r="A119" s="61" t="s">
        <v>810</v>
      </c>
      <c r="B119" s="1"/>
      <c r="C119" s="1"/>
      <c r="D119" s="1"/>
      <c r="E119" s="55">
        <f>SUM(B119:D119)</f>
        <v>0</v>
      </c>
      <c r="F119" s="1"/>
      <c r="G119" s="1"/>
      <c r="H119" s="1"/>
      <c r="I119" s="55">
        <f>SUM(F119:H119)</f>
        <v>0</v>
      </c>
      <c r="J119" s="1"/>
      <c r="K119" s="1"/>
      <c r="L119" s="1"/>
      <c r="M119" s="55">
        <f>SUM(J119:L119)</f>
        <v>0</v>
      </c>
      <c r="N119" s="1"/>
      <c r="O119" s="1"/>
      <c r="P119" s="1"/>
      <c r="Q119" s="55">
        <f>SUM(N119:P119)</f>
        <v>0</v>
      </c>
      <c r="R119" s="55">
        <f>+E119+I119+M119+Q119</f>
        <v>0</v>
      </c>
    </row>
    <row r="120" spans="1:20" ht="15.75" customHeight="1" x14ac:dyDescent="0.3">
      <c r="A120" s="61" t="s">
        <v>695</v>
      </c>
      <c r="B120" s="1"/>
      <c r="C120" s="1"/>
      <c r="D120" s="1"/>
      <c r="E120" s="55">
        <f>SUM(B120:D120)</f>
        <v>0</v>
      </c>
      <c r="F120" s="1"/>
      <c r="G120" s="1"/>
      <c r="H120" s="1"/>
      <c r="I120" s="55">
        <f>SUM(F120:H120)</f>
        <v>0</v>
      </c>
      <c r="J120" s="1"/>
      <c r="K120" s="1"/>
      <c r="L120" s="1"/>
      <c r="M120" s="55">
        <f>SUM(J120:L120)</f>
        <v>0</v>
      </c>
      <c r="N120" s="1"/>
      <c r="O120" s="1"/>
      <c r="P120" s="1"/>
      <c r="Q120" s="55">
        <f>SUM(N120:P120)</f>
        <v>0</v>
      </c>
      <c r="R120" s="55">
        <f>+E120+I120+M120+Q120</f>
        <v>0</v>
      </c>
    </row>
    <row r="121" spans="1:20" ht="15.75" customHeight="1" x14ac:dyDescent="0.3">
      <c r="A121" s="18" t="s">
        <v>600</v>
      </c>
      <c r="B121" s="56"/>
      <c r="C121" s="56"/>
      <c r="D121" s="56"/>
      <c r="E121" s="55" t="s">
        <v>7</v>
      </c>
      <c r="F121" s="56"/>
      <c r="G121" s="56"/>
      <c r="H121" s="56"/>
      <c r="I121" s="55" t="s">
        <v>7</v>
      </c>
      <c r="J121" s="56"/>
      <c r="K121" s="56"/>
      <c r="L121" s="56"/>
      <c r="M121" s="55" t="s">
        <v>7</v>
      </c>
      <c r="N121" s="56"/>
      <c r="O121" s="56"/>
      <c r="P121" s="56"/>
      <c r="Q121" s="55" t="s">
        <v>7</v>
      </c>
      <c r="R121" s="55" t="s">
        <v>7</v>
      </c>
    </row>
    <row r="122" spans="1:20" ht="15.75" customHeight="1" x14ac:dyDescent="0.3">
      <c r="A122" s="61" t="s">
        <v>1265</v>
      </c>
      <c r="B122" s="1"/>
      <c r="C122" s="1"/>
      <c r="D122" s="1"/>
      <c r="E122" s="55">
        <f>SUM(B122:D122)</f>
        <v>0</v>
      </c>
      <c r="F122" s="1"/>
      <c r="G122" s="1"/>
      <c r="H122" s="1"/>
      <c r="I122" s="55">
        <f>SUM(F122:H122)</f>
        <v>0</v>
      </c>
      <c r="J122" s="1"/>
      <c r="K122" s="1"/>
      <c r="L122" s="1"/>
      <c r="M122" s="55">
        <f>SUM(J122:L122)</f>
        <v>0</v>
      </c>
      <c r="N122" s="1"/>
      <c r="O122" s="1"/>
      <c r="P122" s="1"/>
      <c r="Q122" s="55">
        <f>SUM(N122:P122)</f>
        <v>0</v>
      </c>
      <c r="R122" s="55">
        <f>+E122+I122+M122+Q122</f>
        <v>0</v>
      </c>
      <c r="T122" s="4" t="s">
        <v>801</v>
      </c>
    </row>
    <row r="123" spans="1:20" ht="15.75" customHeight="1" x14ac:dyDescent="0.3">
      <c r="A123" s="18" t="s">
        <v>70</v>
      </c>
      <c r="B123" s="56"/>
      <c r="C123" s="56"/>
      <c r="D123" s="56"/>
      <c r="E123" s="55" t="s">
        <v>7</v>
      </c>
      <c r="F123" s="56"/>
      <c r="G123" s="56"/>
      <c r="H123" s="56"/>
      <c r="I123" s="55" t="s">
        <v>7</v>
      </c>
      <c r="J123" s="56"/>
      <c r="K123" s="56"/>
      <c r="L123" s="56"/>
      <c r="M123" s="55" t="s">
        <v>7</v>
      </c>
      <c r="N123" s="56"/>
      <c r="O123" s="56"/>
      <c r="P123" s="56"/>
      <c r="Q123" s="55" t="s">
        <v>7</v>
      </c>
      <c r="R123" s="55" t="s">
        <v>7</v>
      </c>
    </row>
    <row r="124" spans="1:20" ht="15.75" customHeight="1" x14ac:dyDescent="0.3">
      <c r="A124" s="61" t="s">
        <v>1266</v>
      </c>
      <c r="B124" s="1"/>
      <c r="C124" s="1"/>
      <c r="D124" s="1"/>
      <c r="E124" s="55">
        <f t="shared" ref="E124:E129" si="20">SUM(B124:D124)</f>
        <v>0</v>
      </c>
      <c r="F124" s="1"/>
      <c r="G124" s="1"/>
      <c r="H124" s="1"/>
      <c r="I124" s="55">
        <f t="shared" ref="I124:I129" si="21">SUM(F124:H124)</f>
        <v>0</v>
      </c>
      <c r="J124" s="1"/>
      <c r="K124" s="1"/>
      <c r="L124" s="1"/>
      <c r="M124" s="55">
        <f t="shared" ref="M124:M129" si="22">SUM(J124:L124)</f>
        <v>0</v>
      </c>
      <c r="N124" s="1"/>
      <c r="O124" s="1"/>
      <c r="P124" s="1"/>
      <c r="Q124" s="55">
        <f t="shared" ref="Q124:Q129" si="23">SUM(N124:P124)</f>
        <v>0</v>
      </c>
      <c r="R124" s="55">
        <f t="shared" ref="R124:R129" si="24">+E124+I124+M124+Q124</f>
        <v>0</v>
      </c>
    </row>
    <row r="125" spans="1:20" ht="15.75" customHeight="1" thickBot="1" x14ac:dyDescent="0.35">
      <c r="A125" s="61" t="s">
        <v>1267</v>
      </c>
      <c r="B125" s="1"/>
      <c r="C125" s="1"/>
      <c r="D125" s="1"/>
      <c r="E125" s="55">
        <f t="shared" si="20"/>
        <v>0</v>
      </c>
      <c r="F125" s="1"/>
      <c r="G125" s="1"/>
      <c r="H125" s="1"/>
      <c r="I125" s="55">
        <f t="shared" si="21"/>
        <v>0</v>
      </c>
      <c r="J125" s="1"/>
      <c r="K125" s="1"/>
      <c r="L125" s="1"/>
      <c r="M125" s="55">
        <f t="shared" si="22"/>
        <v>0</v>
      </c>
      <c r="N125" s="1"/>
      <c r="O125" s="1"/>
      <c r="P125" s="1"/>
      <c r="Q125" s="55">
        <f t="shared" si="23"/>
        <v>0</v>
      </c>
      <c r="R125" s="55">
        <f t="shared" si="24"/>
        <v>0</v>
      </c>
    </row>
    <row r="126" spans="1:20" ht="16.5" customHeight="1" thickBot="1" x14ac:dyDescent="0.35">
      <c r="A126" s="57" t="s">
        <v>71</v>
      </c>
      <c r="B126" s="58">
        <f>SUM(B121:B125)</f>
        <v>0</v>
      </c>
      <c r="C126" s="58">
        <f>SUM(C121:C125)</f>
        <v>0</v>
      </c>
      <c r="D126" s="58">
        <f>SUM(D121:D125)</f>
        <v>0</v>
      </c>
      <c r="E126" s="60">
        <f t="shared" si="20"/>
        <v>0</v>
      </c>
      <c r="F126" s="58">
        <f>SUM(F121:F125)</f>
        <v>0</v>
      </c>
      <c r="G126" s="58">
        <f>SUM(G121:G125)</f>
        <v>0</v>
      </c>
      <c r="H126" s="58">
        <f>SUM(H121:H125)</f>
        <v>0</v>
      </c>
      <c r="I126" s="60">
        <f t="shared" si="21"/>
        <v>0</v>
      </c>
      <c r="J126" s="58">
        <f>SUM(J121:J125)</f>
        <v>0</v>
      </c>
      <c r="K126" s="58">
        <f>SUM(K121:K125)</f>
        <v>0</v>
      </c>
      <c r="L126" s="58">
        <f>SUM(L121:L125)</f>
        <v>0</v>
      </c>
      <c r="M126" s="60">
        <f t="shared" si="22"/>
        <v>0</v>
      </c>
      <c r="N126" s="58">
        <f>SUM(N121:N125)</f>
        <v>0</v>
      </c>
      <c r="O126" s="58">
        <f>SUM(O121:O125)</f>
        <v>0</v>
      </c>
      <c r="P126" s="58">
        <f>SUM(P121:P125)</f>
        <v>0</v>
      </c>
      <c r="Q126" s="60">
        <f t="shared" si="23"/>
        <v>0</v>
      </c>
      <c r="R126" s="59">
        <f t="shared" si="24"/>
        <v>0</v>
      </c>
    </row>
    <row r="127" spans="1:20" ht="16.5" customHeight="1" thickBot="1" x14ac:dyDescent="0.35">
      <c r="A127" s="57" t="s">
        <v>72</v>
      </c>
      <c r="B127" s="58">
        <f>SUM(B108:B125)</f>
        <v>0</v>
      </c>
      <c r="C127" s="58">
        <f>SUM(C108:C125)</f>
        <v>0</v>
      </c>
      <c r="D127" s="58">
        <f>SUM(D108:D125)</f>
        <v>0</v>
      </c>
      <c r="E127" s="60">
        <f t="shared" si="20"/>
        <v>0</v>
      </c>
      <c r="F127" s="58">
        <f>SUM(F108:F125)</f>
        <v>0</v>
      </c>
      <c r="G127" s="58">
        <f>SUM(G108:G125)</f>
        <v>0</v>
      </c>
      <c r="H127" s="58">
        <f>SUM(H108:H125)</f>
        <v>0</v>
      </c>
      <c r="I127" s="60">
        <f t="shared" si="21"/>
        <v>0</v>
      </c>
      <c r="J127" s="58">
        <f>SUM(J108:J125)</f>
        <v>0</v>
      </c>
      <c r="K127" s="58">
        <f>SUM(K108:K125)</f>
        <v>0</v>
      </c>
      <c r="L127" s="58">
        <f>SUM(L108:L125)</f>
        <v>0</v>
      </c>
      <c r="M127" s="60">
        <f t="shared" si="22"/>
        <v>0</v>
      </c>
      <c r="N127" s="58">
        <f>SUM(N108:N125)</f>
        <v>0</v>
      </c>
      <c r="O127" s="58">
        <f>SUM(O108:O125)</f>
        <v>0</v>
      </c>
      <c r="P127" s="58">
        <f>SUM(P108:P125)</f>
        <v>0</v>
      </c>
      <c r="Q127" s="60">
        <f t="shared" si="23"/>
        <v>0</v>
      </c>
      <c r="R127" s="59">
        <f t="shared" si="24"/>
        <v>0</v>
      </c>
    </row>
    <row r="128" spans="1:20" ht="16.5" customHeight="1" thickBot="1" x14ac:dyDescent="0.35">
      <c r="A128" s="57" t="s">
        <v>73</v>
      </c>
      <c r="B128" s="58">
        <f>+B89+B96+B107+B127</f>
        <v>494</v>
      </c>
      <c r="C128" s="58">
        <f>+C89+C96+C107+C127</f>
        <v>221</v>
      </c>
      <c r="D128" s="58">
        <f>+D89+D96+D107+D127</f>
        <v>1581</v>
      </c>
      <c r="E128" s="59">
        <f t="shared" si="20"/>
        <v>2296</v>
      </c>
      <c r="F128" s="58">
        <f>+F89+F96+F107+F127</f>
        <v>4230</v>
      </c>
      <c r="G128" s="58">
        <f>+G89+G96+G107+G127</f>
        <v>4349</v>
      </c>
      <c r="H128" s="58">
        <f>+H89+H96+H107+H127</f>
        <v>5975</v>
      </c>
      <c r="I128" s="59">
        <f t="shared" si="21"/>
        <v>14554</v>
      </c>
      <c r="J128" s="58">
        <f>+J89+J96+J107+J127</f>
        <v>7213</v>
      </c>
      <c r="K128" s="58">
        <f>+K89+K96+K107+K127</f>
        <v>7627</v>
      </c>
      <c r="L128" s="58">
        <f>+L89+L96+L107+L127</f>
        <v>4712</v>
      </c>
      <c r="M128" s="59">
        <f t="shared" si="22"/>
        <v>19552</v>
      </c>
      <c r="N128" s="58">
        <f>+N89+N96+N107+N127</f>
        <v>4838</v>
      </c>
      <c r="O128" s="58">
        <f>+O89+O96+O107+O127</f>
        <v>1413</v>
      </c>
      <c r="P128" s="58">
        <f>+P89+P96+P107+P127</f>
        <v>2848</v>
      </c>
      <c r="Q128" s="59">
        <f t="shared" si="23"/>
        <v>9099</v>
      </c>
      <c r="R128" s="59">
        <f t="shared" si="24"/>
        <v>45501</v>
      </c>
    </row>
    <row r="129" spans="1:20" ht="16.5" customHeight="1" thickBot="1" x14ac:dyDescent="0.35">
      <c r="A129" s="73" t="s">
        <v>40</v>
      </c>
      <c r="B129" s="21">
        <v>173</v>
      </c>
      <c r="C129" s="21">
        <v>260</v>
      </c>
      <c r="D129" s="21">
        <v>471</v>
      </c>
      <c r="E129" s="55">
        <f t="shared" si="20"/>
        <v>904</v>
      </c>
      <c r="F129" s="21">
        <v>629</v>
      </c>
      <c r="G129" s="21">
        <v>725</v>
      </c>
      <c r="H129" s="21">
        <v>712</v>
      </c>
      <c r="I129" s="55">
        <f t="shared" si="21"/>
        <v>2066</v>
      </c>
      <c r="J129" s="21">
        <v>711</v>
      </c>
      <c r="K129" s="21">
        <v>573</v>
      </c>
      <c r="L129" s="21">
        <v>542</v>
      </c>
      <c r="M129" s="55">
        <f t="shared" si="22"/>
        <v>1826</v>
      </c>
      <c r="N129" s="21">
        <v>490</v>
      </c>
      <c r="O129" s="21">
        <v>407</v>
      </c>
      <c r="P129" s="21">
        <v>323</v>
      </c>
      <c r="Q129" s="55">
        <f t="shared" si="23"/>
        <v>1220</v>
      </c>
      <c r="R129" s="55">
        <f t="shared" si="24"/>
        <v>6016</v>
      </c>
    </row>
    <row r="130" spans="1:20" ht="16.5" customHeight="1" thickBot="1" x14ac:dyDescent="0.35">
      <c r="A130" s="74"/>
      <c r="B130" s="75"/>
      <c r="C130" s="75"/>
      <c r="D130" s="75"/>
      <c r="E130" s="59" t="s">
        <v>7</v>
      </c>
      <c r="F130" s="75"/>
      <c r="G130" s="75"/>
      <c r="H130" s="75"/>
      <c r="I130" s="59" t="s">
        <v>7</v>
      </c>
      <c r="J130" s="75"/>
      <c r="K130" s="75"/>
      <c r="L130" s="75"/>
      <c r="M130" s="59" t="s">
        <v>7</v>
      </c>
      <c r="N130" s="75"/>
      <c r="O130" s="75"/>
      <c r="P130" s="75"/>
      <c r="Q130" s="59" t="s">
        <v>7</v>
      </c>
      <c r="R130" s="59" t="s">
        <v>7</v>
      </c>
    </row>
    <row r="131" spans="1:20" ht="15.75" customHeight="1" x14ac:dyDescent="0.3">
      <c r="A131" s="76" t="s">
        <v>41</v>
      </c>
      <c r="B131" s="77">
        <f>+B128+B129</f>
        <v>667</v>
      </c>
      <c r="C131" s="77">
        <f>+C128+C129</f>
        <v>481</v>
      </c>
      <c r="D131" s="77">
        <f>+D128+D129</f>
        <v>2052</v>
      </c>
      <c r="E131" s="55">
        <f>SUM(B131:D131)</f>
        <v>3200</v>
      </c>
      <c r="F131" s="77">
        <f>+F128+F129</f>
        <v>4859</v>
      </c>
      <c r="G131" s="77">
        <f>+G128+G129</f>
        <v>5074</v>
      </c>
      <c r="H131" s="77">
        <f>+H128+H129</f>
        <v>6687</v>
      </c>
      <c r="I131" s="55">
        <f>SUM(F131:H131)</f>
        <v>16620</v>
      </c>
      <c r="J131" s="77">
        <f>+J128+J129</f>
        <v>7924</v>
      </c>
      <c r="K131" s="77">
        <f>+K128+K129</f>
        <v>8200</v>
      </c>
      <c r="L131" s="77">
        <f>+L128+L129</f>
        <v>5254</v>
      </c>
      <c r="M131" s="55">
        <f>SUM(J131:L131)</f>
        <v>21378</v>
      </c>
      <c r="N131" s="77">
        <f>+N128+N129</f>
        <v>5328</v>
      </c>
      <c r="O131" s="77">
        <f>+O128+O129</f>
        <v>1820</v>
      </c>
      <c r="P131" s="77">
        <f>+P128+P129</f>
        <v>3171</v>
      </c>
      <c r="Q131" s="55">
        <f>SUM(N131:P131)</f>
        <v>10319</v>
      </c>
      <c r="R131" s="55">
        <f>+E131+I131+M131+Q131</f>
        <v>51517</v>
      </c>
    </row>
    <row r="132" spans="1:20" ht="15.75" customHeight="1" x14ac:dyDescent="0.3">
      <c r="A132" s="78" t="s">
        <v>42</v>
      </c>
      <c r="B132" s="1">
        <f>(B131/B10)/1.983</f>
        <v>10.850291998112992</v>
      </c>
      <c r="C132" s="1">
        <f>(C131/C10)/1.983</f>
        <v>8.662920538866075</v>
      </c>
      <c r="D132" s="1">
        <f>(D131/D10)/1.983</f>
        <v>33.380508515933819</v>
      </c>
      <c r="E132" s="55" t="s">
        <v>7</v>
      </c>
      <c r="F132" s="1">
        <f>(F131/F10)/1.983</f>
        <v>81.677592872751717</v>
      </c>
      <c r="G132" s="1">
        <f>(G131/G10)/1.983</f>
        <v>82.540302246514727</v>
      </c>
      <c r="H132" s="1">
        <f>(H131/H10)/1.983</f>
        <v>112.40544629349471</v>
      </c>
      <c r="I132" s="55" t="s">
        <v>7</v>
      </c>
      <c r="J132" s="1">
        <f>(J131/J10)/1.983</f>
        <v>128.90211962975616</v>
      </c>
      <c r="K132" s="1">
        <f>(K131/K10)/1.983</f>
        <v>133.39189562897531</v>
      </c>
      <c r="L132" s="1">
        <f>(L131/L10)/1.983</f>
        <v>88.317364262901322</v>
      </c>
      <c r="M132" s="55" t="s">
        <v>7</v>
      </c>
      <c r="N132" s="1">
        <f>(N131/N10)/1.983</f>
        <v>86.672197550143963</v>
      </c>
      <c r="O132" s="1">
        <f>(O131/O10)/1.983</f>
        <v>30.593377038157669</v>
      </c>
      <c r="P132" s="1">
        <f>(P131/P10)/1.983</f>
        <v>51.58362207798546</v>
      </c>
      <c r="Q132" s="55" t="s">
        <v>7</v>
      </c>
      <c r="R132" s="55" t="s">
        <v>7</v>
      </c>
    </row>
    <row r="133" spans="1:20" ht="15.75" customHeight="1" x14ac:dyDescent="0.3">
      <c r="A133" s="79" t="s">
        <v>106</v>
      </c>
      <c r="B133" s="1">
        <f>B131+B318</f>
        <v>87148</v>
      </c>
      <c r="C133" s="1">
        <f>C131+C318</f>
        <v>151087</v>
      </c>
      <c r="D133" s="1">
        <f>D131+D318</f>
        <v>82207</v>
      </c>
      <c r="E133" s="55">
        <f>SUM(B133:D133)</f>
        <v>320442</v>
      </c>
      <c r="F133" s="1">
        <f>F131+F318</f>
        <v>146946</v>
      </c>
      <c r="G133" s="1">
        <f>G131+G318</f>
        <v>151978</v>
      </c>
      <c r="H133" s="1">
        <f>H131+H318</f>
        <v>106010</v>
      </c>
      <c r="I133" s="55">
        <f>SUM(F133:H133)</f>
        <v>404934</v>
      </c>
      <c r="J133" s="1">
        <f>J131+J318</f>
        <v>96994</v>
      </c>
      <c r="K133" s="1">
        <f>K131+K318</f>
        <v>103302</v>
      </c>
      <c r="L133" s="1">
        <f>L131+L318</f>
        <v>159275</v>
      </c>
      <c r="M133" s="55">
        <f>SUM(J133:L133)</f>
        <v>359571</v>
      </c>
      <c r="N133" s="1">
        <f>N131+N318</f>
        <v>149128</v>
      </c>
      <c r="O133" s="1">
        <f>O131+O318</f>
        <v>121893</v>
      </c>
      <c r="P133" s="1">
        <f>P131+P318</f>
        <v>73547</v>
      </c>
      <c r="Q133" s="55">
        <f>SUM(N133:P133)</f>
        <v>344568</v>
      </c>
      <c r="R133" s="55">
        <f>+E133+I133+M133+Q133</f>
        <v>1429515</v>
      </c>
    </row>
    <row r="134" spans="1:20" ht="16.5" customHeight="1" thickBot="1" x14ac:dyDescent="0.35">
      <c r="A134" s="80" t="s">
        <v>107</v>
      </c>
      <c r="B134" s="25">
        <f>(B133/B10)/1.983</f>
        <v>1417.6630390577975</v>
      </c>
      <c r="C134" s="25">
        <f>(C133/C10)/1.983</f>
        <v>2721.1115913839058</v>
      </c>
      <c r="D134" s="25">
        <f>(D133/D10)/1.983</f>
        <v>1337.2862882891677</v>
      </c>
      <c r="E134" s="81" t="s">
        <v>7</v>
      </c>
      <c r="F134" s="25">
        <f>(F133/F10)/1.983</f>
        <v>2470.095814422592</v>
      </c>
      <c r="G134" s="25">
        <f>(G133/G10)/1.983</f>
        <v>2472.2723797439526</v>
      </c>
      <c r="H134" s="25">
        <f>(H133/H10)/1.983</f>
        <v>1781.9801647335685</v>
      </c>
      <c r="I134" s="81" t="s">
        <v>7</v>
      </c>
      <c r="J134" s="25">
        <f>(J133/J10)/1.983</f>
        <v>1577.8309176386381</v>
      </c>
      <c r="K134" s="25">
        <f>(K133/K10)/1.983</f>
        <v>1680.4450734468792</v>
      </c>
      <c r="L134" s="25">
        <f>(L133/L10)/1.983</f>
        <v>2677.3407295343754</v>
      </c>
      <c r="M134" s="81" t="s">
        <v>7</v>
      </c>
      <c r="N134" s="25">
        <f>(N133/N10)/1.983</f>
        <v>2425.9105623607111</v>
      </c>
      <c r="O134" s="25">
        <f>(O133/O10)/1.983</f>
        <v>2048.9662128088753</v>
      </c>
      <c r="P134" s="25">
        <f>(P133/P10)/1.983</f>
        <v>1196.4114326614936</v>
      </c>
      <c r="Q134" s="81" t="s">
        <v>7</v>
      </c>
      <c r="R134" s="81" t="s">
        <v>7</v>
      </c>
    </row>
    <row r="135" spans="1:20" ht="15.75" customHeight="1" x14ac:dyDescent="0.3">
      <c r="A135" s="28"/>
      <c r="B135" s="1"/>
      <c r="C135" s="1"/>
      <c r="D135" s="1"/>
      <c r="E135" s="1"/>
      <c r="F135" s="1"/>
      <c r="G135" s="1"/>
      <c r="H135" s="1"/>
      <c r="I135" s="1"/>
      <c r="J135" s="1"/>
      <c r="K135" s="1"/>
      <c r="L135" s="1"/>
      <c r="M135" s="1"/>
      <c r="N135" s="1"/>
      <c r="O135" s="1"/>
      <c r="P135" s="1"/>
      <c r="Q135" s="1"/>
      <c r="R135" s="2"/>
    </row>
    <row r="136" spans="1:20" ht="15.75" customHeight="1" thickBot="1" x14ac:dyDescent="0.35">
      <c r="A136" s="28" t="s">
        <v>7</v>
      </c>
      <c r="B136" s="1"/>
      <c r="C136" s="1"/>
      <c r="D136" s="1"/>
      <c r="E136" s="1"/>
      <c r="F136" s="1"/>
      <c r="G136" s="1"/>
      <c r="H136" s="1"/>
      <c r="I136" s="1"/>
      <c r="J136" s="1"/>
      <c r="K136" s="1"/>
      <c r="L136" s="1"/>
      <c r="M136" s="1"/>
      <c r="N136" s="1"/>
      <c r="O136" s="1"/>
      <c r="P136" s="1"/>
      <c r="Q136" s="1"/>
      <c r="R136" s="2"/>
    </row>
    <row r="137" spans="1:20" ht="16.5" customHeight="1" thickBot="1" x14ac:dyDescent="0.35">
      <c r="A137" s="29" t="s">
        <v>108</v>
      </c>
      <c r="B137" s="30" t="s">
        <v>8</v>
      </c>
      <c r="C137" s="31" t="s">
        <v>9</v>
      </c>
      <c r="D137" s="31" t="s">
        <v>10</v>
      </c>
      <c r="E137" s="32" t="s">
        <v>11</v>
      </c>
      <c r="F137" s="31" t="s">
        <v>12</v>
      </c>
      <c r="G137" s="31" t="s">
        <v>13</v>
      </c>
      <c r="H137" s="31" t="s">
        <v>14</v>
      </c>
      <c r="I137" s="33" t="s">
        <v>15</v>
      </c>
      <c r="J137" s="31" t="s">
        <v>16</v>
      </c>
      <c r="K137" s="31" t="s">
        <v>17</v>
      </c>
      <c r="L137" s="31" t="s">
        <v>18</v>
      </c>
      <c r="M137" s="33" t="s">
        <v>19</v>
      </c>
      <c r="N137" s="31" t="s">
        <v>20</v>
      </c>
      <c r="O137" s="31" t="s">
        <v>21</v>
      </c>
      <c r="P137" s="31" t="s">
        <v>22</v>
      </c>
      <c r="Q137" s="33" t="s">
        <v>23</v>
      </c>
      <c r="R137" s="34" t="s">
        <v>24</v>
      </c>
    </row>
    <row r="138" spans="1:20" ht="16.5" customHeight="1" thickBot="1" x14ac:dyDescent="0.35">
      <c r="A138" s="74"/>
      <c r="B138" s="75"/>
      <c r="C138" s="75"/>
      <c r="D138" s="75"/>
      <c r="E138" s="82"/>
      <c r="F138" s="75"/>
      <c r="G138" s="75"/>
      <c r="H138" s="75"/>
      <c r="I138" s="82"/>
      <c r="J138" s="75"/>
      <c r="K138" s="75"/>
      <c r="L138" s="75"/>
      <c r="M138" s="82"/>
      <c r="N138" s="75"/>
      <c r="O138" s="75"/>
      <c r="P138" s="75"/>
      <c r="Q138" s="82"/>
      <c r="R138" s="74"/>
    </row>
    <row r="139" spans="1:20" ht="15.75" customHeight="1" x14ac:dyDescent="0.3">
      <c r="A139" s="15" t="s">
        <v>48</v>
      </c>
      <c r="B139" s="1" t="s">
        <v>7</v>
      </c>
      <c r="C139" s="1" t="s">
        <v>7</v>
      </c>
      <c r="D139" s="1" t="s">
        <v>7</v>
      </c>
      <c r="E139" s="55" t="s">
        <v>7</v>
      </c>
      <c r="F139" s="1" t="s">
        <v>7</v>
      </c>
      <c r="G139" s="1" t="s">
        <v>7</v>
      </c>
      <c r="H139" s="1" t="s">
        <v>7</v>
      </c>
      <c r="I139" s="55" t="s">
        <v>7</v>
      </c>
      <c r="J139" s="1" t="s">
        <v>7</v>
      </c>
      <c r="K139" s="1" t="s">
        <v>7</v>
      </c>
      <c r="L139" s="1" t="s">
        <v>7</v>
      </c>
      <c r="M139" s="55" t="s">
        <v>7</v>
      </c>
      <c r="N139" s="1" t="s">
        <v>7</v>
      </c>
      <c r="O139" s="1" t="s">
        <v>7</v>
      </c>
      <c r="P139" s="1" t="s">
        <v>7</v>
      </c>
      <c r="Q139" s="55" t="s">
        <v>7</v>
      </c>
      <c r="R139" s="83" t="s">
        <v>7</v>
      </c>
    </row>
    <row r="140" spans="1:20" ht="15.75" customHeight="1" x14ac:dyDescent="0.3">
      <c r="A140" s="15" t="s">
        <v>49</v>
      </c>
      <c r="B140" s="1"/>
      <c r="C140" s="1"/>
      <c r="D140" s="1"/>
      <c r="E140" s="55" t="s">
        <v>7</v>
      </c>
      <c r="F140" s="1"/>
      <c r="G140" s="1"/>
      <c r="H140" s="1"/>
      <c r="I140" s="55" t="s">
        <v>7</v>
      </c>
      <c r="J140" s="1"/>
      <c r="K140" s="1"/>
      <c r="L140" s="1"/>
      <c r="M140" s="55" t="s">
        <v>7</v>
      </c>
      <c r="N140" s="1"/>
      <c r="O140" s="1"/>
      <c r="P140" s="1"/>
      <c r="Q140" s="55" t="s">
        <v>7</v>
      </c>
      <c r="R140" s="83"/>
    </row>
    <row r="141" spans="1:20" ht="15.75" customHeight="1" x14ac:dyDescent="0.3">
      <c r="A141" s="84" t="s">
        <v>811</v>
      </c>
      <c r="B141" s="1"/>
      <c r="C141" s="1">
        <v>40</v>
      </c>
      <c r="D141" s="1">
        <v>599</v>
      </c>
      <c r="E141" s="55">
        <f t="shared" ref="E141:E144" si="25">SUM(B141:D141)</f>
        <v>639</v>
      </c>
      <c r="F141" s="1">
        <v>584</v>
      </c>
      <c r="G141" s="1">
        <v>624</v>
      </c>
      <c r="H141" s="1">
        <v>534</v>
      </c>
      <c r="I141" s="55">
        <f t="shared" ref="I141:I144" si="26">SUM(F141:H141)</f>
        <v>1742</v>
      </c>
      <c r="J141" s="1">
        <v>468</v>
      </c>
      <c r="K141" s="1">
        <v>468</v>
      </c>
      <c r="L141" s="1">
        <v>475</v>
      </c>
      <c r="M141" s="55">
        <f t="shared" ref="M141:M144" si="27">SUM(J141:L141)</f>
        <v>1411</v>
      </c>
      <c r="N141" s="1">
        <v>397</v>
      </c>
      <c r="O141" s="1"/>
      <c r="P141" s="1"/>
      <c r="Q141" s="55">
        <f t="shared" ref="Q141:Q147" si="28">SUM(N141:P141)</f>
        <v>397</v>
      </c>
      <c r="R141" s="55">
        <f>+E141+I141+M141+Q141</f>
        <v>4189</v>
      </c>
      <c r="T141" s="4" t="s">
        <v>812</v>
      </c>
    </row>
    <row r="142" spans="1:20" ht="15.75" customHeight="1" x14ac:dyDescent="0.3">
      <c r="A142" s="84" t="s">
        <v>813</v>
      </c>
      <c r="B142" s="1"/>
      <c r="C142" s="1">
        <v>190</v>
      </c>
      <c r="D142" s="1">
        <v>710</v>
      </c>
      <c r="E142" s="55">
        <f t="shared" si="25"/>
        <v>900</v>
      </c>
      <c r="F142" s="1">
        <v>1017</v>
      </c>
      <c r="G142" s="1">
        <v>1193</v>
      </c>
      <c r="H142" s="1">
        <v>1653</v>
      </c>
      <c r="I142" s="55">
        <f t="shared" si="26"/>
        <v>3863</v>
      </c>
      <c r="J142" s="1">
        <v>1777</v>
      </c>
      <c r="K142" s="1">
        <v>1780</v>
      </c>
      <c r="L142" s="1">
        <v>1520</v>
      </c>
      <c r="M142" s="55">
        <f>SUM(J142:L142)</f>
        <v>5077</v>
      </c>
      <c r="N142" s="1">
        <v>1253</v>
      </c>
      <c r="O142" s="1"/>
      <c r="P142" s="1"/>
      <c r="Q142" s="55">
        <f t="shared" si="28"/>
        <v>1253</v>
      </c>
      <c r="R142" s="55">
        <f t="shared" ref="R142:R192" si="29">+E142+I142+M142+Q142</f>
        <v>11093</v>
      </c>
      <c r="T142" s="4" t="s">
        <v>812</v>
      </c>
    </row>
    <row r="143" spans="1:20" ht="15.75" customHeight="1" x14ac:dyDescent="0.3">
      <c r="A143" s="84" t="s">
        <v>814</v>
      </c>
      <c r="B143" s="1"/>
      <c r="C143" s="1">
        <v>27</v>
      </c>
      <c r="D143" s="1">
        <v>339</v>
      </c>
      <c r="E143" s="55">
        <f t="shared" si="25"/>
        <v>366</v>
      </c>
      <c r="F143" s="1">
        <v>339</v>
      </c>
      <c r="G143" s="1">
        <v>363</v>
      </c>
      <c r="H143" s="1">
        <v>309</v>
      </c>
      <c r="I143" s="55">
        <f t="shared" si="26"/>
        <v>1011</v>
      </c>
      <c r="J143" s="1">
        <v>272</v>
      </c>
      <c r="K143" s="1">
        <v>272</v>
      </c>
      <c r="L143" s="1">
        <v>276</v>
      </c>
      <c r="M143" s="55">
        <f t="shared" si="27"/>
        <v>820</v>
      </c>
      <c r="N143" s="1">
        <v>175</v>
      </c>
      <c r="O143" s="1"/>
      <c r="P143" s="1"/>
      <c r="Q143" s="55">
        <f t="shared" si="28"/>
        <v>175</v>
      </c>
      <c r="R143" s="55">
        <f t="shared" si="29"/>
        <v>2372</v>
      </c>
      <c r="T143" s="4" t="s">
        <v>812</v>
      </c>
    </row>
    <row r="144" spans="1:20" ht="15.75" customHeight="1" x14ac:dyDescent="0.3">
      <c r="A144" s="84" t="s">
        <v>815</v>
      </c>
      <c r="B144" s="1"/>
      <c r="C144" s="1">
        <v>33</v>
      </c>
      <c r="D144" s="1">
        <v>323</v>
      </c>
      <c r="E144" s="55">
        <f t="shared" si="25"/>
        <v>356</v>
      </c>
      <c r="F144" s="1">
        <v>452</v>
      </c>
      <c r="G144" s="1">
        <v>484</v>
      </c>
      <c r="H144" s="1">
        <v>413</v>
      </c>
      <c r="I144" s="55">
        <f t="shared" si="26"/>
        <v>1349</v>
      </c>
      <c r="J144" s="1">
        <v>362</v>
      </c>
      <c r="K144" s="1">
        <v>362</v>
      </c>
      <c r="L144" s="1">
        <v>368</v>
      </c>
      <c r="M144" s="55">
        <f t="shared" si="27"/>
        <v>1092</v>
      </c>
      <c r="N144" s="1">
        <v>434</v>
      </c>
      <c r="O144" s="1"/>
      <c r="P144" s="1"/>
      <c r="Q144" s="55">
        <f t="shared" si="28"/>
        <v>434</v>
      </c>
      <c r="R144" s="55">
        <f t="shared" si="29"/>
        <v>3231</v>
      </c>
      <c r="T144" s="4" t="s">
        <v>812</v>
      </c>
    </row>
    <row r="145" spans="1:20" ht="15.75" customHeight="1" x14ac:dyDescent="0.3">
      <c r="A145" s="71" t="s">
        <v>111</v>
      </c>
      <c r="B145" s="1">
        <v>15</v>
      </c>
      <c r="C145" s="1">
        <v>10</v>
      </c>
      <c r="D145" s="1">
        <v>7</v>
      </c>
      <c r="E145" s="55">
        <f t="shared" ref="E145:E146" si="30">SUM(B145:D145)</f>
        <v>32</v>
      </c>
      <c r="F145" s="1">
        <v>9</v>
      </c>
      <c r="G145" s="1">
        <v>8</v>
      </c>
      <c r="H145" s="1">
        <v>12</v>
      </c>
      <c r="I145" s="55">
        <f t="shared" ref="I145:I189" si="31">SUM(F145:H145)</f>
        <v>29</v>
      </c>
      <c r="J145" s="1">
        <v>13</v>
      </c>
      <c r="K145" s="1">
        <v>9</v>
      </c>
      <c r="L145" s="1">
        <v>14</v>
      </c>
      <c r="M145" s="55">
        <f t="shared" ref="M145:M189" si="32">SUM(J145:L145)</f>
        <v>36</v>
      </c>
      <c r="N145" s="1">
        <v>25</v>
      </c>
      <c r="O145" s="1">
        <v>25</v>
      </c>
      <c r="P145" s="1">
        <v>145</v>
      </c>
      <c r="Q145" s="55">
        <f t="shared" si="28"/>
        <v>195</v>
      </c>
      <c r="R145" s="55">
        <f t="shared" si="29"/>
        <v>292</v>
      </c>
      <c r="T145" s="4" t="s">
        <v>406</v>
      </c>
    </row>
    <row r="146" spans="1:20" ht="15.75" customHeight="1" x14ac:dyDescent="0.3">
      <c r="A146" s="71" t="s">
        <v>1268</v>
      </c>
      <c r="B146" s="1"/>
      <c r="C146" s="1">
        <v>348</v>
      </c>
      <c r="D146" s="1"/>
      <c r="E146" s="55">
        <f t="shared" si="30"/>
        <v>348</v>
      </c>
      <c r="F146" s="1"/>
      <c r="G146" s="1">
        <v>652</v>
      </c>
      <c r="H146" s="1"/>
      <c r="I146" s="55">
        <f t="shared" si="31"/>
        <v>652</v>
      </c>
      <c r="J146" s="1"/>
      <c r="K146" s="1"/>
      <c r="L146" s="1"/>
      <c r="M146" s="55">
        <f t="shared" si="32"/>
        <v>0</v>
      </c>
      <c r="N146" s="1"/>
      <c r="O146" s="1"/>
      <c r="P146" s="1"/>
      <c r="Q146" s="55">
        <f t="shared" ref="Q146" si="33">SUM(N146:P146)</f>
        <v>0</v>
      </c>
      <c r="R146" s="55">
        <f t="shared" si="29"/>
        <v>1000</v>
      </c>
    </row>
    <row r="147" spans="1:20" ht="15.75" customHeight="1" x14ac:dyDescent="0.3">
      <c r="A147" s="84" t="s">
        <v>816</v>
      </c>
      <c r="C147" s="1"/>
      <c r="D147" s="1"/>
      <c r="E147" s="55">
        <f>SUM(C147:D147)</f>
        <v>0</v>
      </c>
      <c r="F147" s="1"/>
      <c r="G147" s="1"/>
      <c r="H147" s="1">
        <v>750</v>
      </c>
      <c r="I147" s="55">
        <f t="shared" si="31"/>
        <v>750</v>
      </c>
      <c r="J147" s="1"/>
      <c r="K147" s="1"/>
      <c r="L147" s="1"/>
      <c r="M147" s="55">
        <f t="shared" si="32"/>
        <v>0</v>
      </c>
      <c r="N147" s="1"/>
      <c r="O147" s="1"/>
      <c r="P147" s="1"/>
      <c r="Q147" s="55">
        <f t="shared" si="28"/>
        <v>0</v>
      </c>
      <c r="R147" s="55">
        <f t="shared" si="29"/>
        <v>750</v>
      </c>
      <c r="T147" s="4" t="s">
        <v>812</v>
      </c>
    </row>
    <row r="148" spans="1:20" ht="15.75" customHeight="1" x14ac:dyDescent="0.3">
      <c r="A148" s="71" t="s">
        <v>1347</v>
      </c>
      <c r="C148" s="1"/>
      <c r="D148" s="1"/>
      <c r="E148" s="55">
        <f>SUM(C148:D148)</f>
        <v>0</v>
      </c>
      <c r="F148" s="1"/>
      <c r="G148" s="1">
        <v>1087</v>
      </c>
      <c r="H148" s="1">
        <v>4112</v>
      </c>
      <c r="I148" s="55">
        <f t="shared" si="31"/>
        <v>5199</v>
      </c>
      <c r="J148" s="1">
        <v>5359</v>
      </c>
      <c r="K148" s="1">
        <v>6212</v>
      </c>
      <c r="L148" s="1">
        <v>4230</v>
      </c>
      <c r="M148" s="55">
        <f t="shared" si="32"/>
        <v>15801</v>
      </c>
      <c r="N148" s="1"/>
      <c r="O148" s="1"/>
      <c r="P148" s="1"/>
      <c r="Q148" s="55">
        <f t="shared" ref="Q148:Q195" si="34">SUM(N148:P148)</f>
        <v>0</v>
      </c>
      <c r="R148" s="55">
        <f t="shared" si="29"/>
        <v>21000</v>
      </c>
    </row>
    <row r="149" spans="1:20" ht="15.75" customHeight="1" x14ac:dyDescent="0.3">
      <c r="A149" s="84" t="s">
        <v>817</v>
      </c>
      <c r="B149" s="1"/>
      <c r="C149" s="1"/>
      <c r="D149" s="1"/>
      <c r="E149" s="55">
        <f t="shared" ref="E149:E164" si="35">SUM(B149:D149)</f>
        <v>0</v>
      </c>
      <c r="F149" s="1"/>
      <c r="G149" s="1"/>
      <c r="H149" s="1"/>
      <c r="I149" s="55">
        <f t="shared" si="31"/>
        <v>0</v>
      </c>
      <c r="J149" s="1"/>
      <c r="K149" s="1"/>
      <c r="L149" s="1"/>
      <c r="M149" s="55">
        <f t="shared" si="32"/>
        <v>0</v>
      </c>
      <c r="N149" s="1"/>
      <c r="O149" s="1"/>
      <c r="P149" s="1"/>
      <c r="Q149" s="55">
        <f t="shared" si="34"/>
        <v>0</v>
      </c>
      <c r="R149" s="55">
        <f t="shared" si="29"/>
        <v>0</v>
      </c>
      <c r="T149" s="4" t="s">
        <v>818</v>
      </c>
    </row>
    <row r="150" spans="1:20" ht="15.75" customHeight="1" x14ac:dyDescent="0.3">
      <c r="A150" s="84" t="s">
        <v>112</v>
      </c>
      <c r="B150" s="1"/>
      <c r="C150" s="1"/>
      <c r="D150" s="1"/>
      <c r="E150" s="55">
        <f t="shared" si="35"/>
        <v>0</v>
      </c>
      <c r="F150" s="1"/>
      <c r="G150" s="1"/>
      <c r="H150" s="4">
        <v>2696</v>
      </c>
      <c r="I150" s="55">
        <f t="shared" si="31"/>
        <v>2696</v>
      </c>
      <c r="J150" s="1"/>
      <c r="K150" s="1"/>
      <c r="L150" s="1"/>
      <c r="M150" s="55">
        <f t="shared" si="32"/>
        <v>0</v>
      </c>
      <c r="N150" s="1"/>
      <c r="O150" s="1"/>
      <c r="P150" s="1"/>
      <c r="Q150" s="55">
        <f t="shared" si="34"/>
        <v>0</v>
      </c>
      <c r="R150" s="55">
        <f t="shared" si="29"/>
        <v>2696</v>
      </c>
      <c r="T150" s="4" t="s">
        <v>819</v>
      </c>
    </row>
    <row r="151" spans="1:20" ht="15.75" customHeight="1" x14ac:dyDescent="0.3">
      <c r="A151" s="71" t="s">
        <v>820</v>
      </c>
      <c r="B151" s="1"/>
      <c r="C151" s="1"/>
      <c r="D151" s="1"/>
      <c r="E151" s="55">
        <f t="shared" si="35"/>
        <v>0</v>
      </c>
      <c r="F151" s="1"/>
      <c r="G151" s="1"/>
      <c r="H151" s="1">
        <v>2720</v>
      </c>
      <c r="I151" s="55">
        <f t="shared" si="31"/>
        <v>2720</v>
      </c>
      <c r="J151" s="1"/>
      <c r="K151" s="1"/>
      <c r="L151" s="1"/>
      <c r="M151" s="55">
        <f t="shared" si="32"/>
        <v>0</v>
      </c>
      <c r="N151" s="1"/>
      <c r="O151" s="1"/>
      <c r="P151" s="1"/>
      <c r="Q151" s="55">
        <f t="shared" si="34"/>
        <v>0</v>
      </c>
      <c r="R151" s="55">
        <f t="shared" si="29"/>
        <v>2720</v>
      </c>
      <c r="S151" s="4" t="s">
        <v>821</v>
      </c>
      <c r="T151" s="4" t="s">
        <v>822</v>
      </c>
    </row>
    <row r="152" spans="1:20" ht="15.75" customHeight="1" x14ac:dyDescent="0.3">
      <c r="A152" s="72" t="s">
        <v>1269</v>
      </c>
      <c r="B152" s="1"/>
      <c r="C152" s="1">
        <v>1</v>
      </c>
      <c r="D152" s="1">
        <f>27+10</f>
        <v>37</v>
      </c>
      <c r="E152" s="55">
        <f>SUM(B152:D152)</f>
        <v>38</v>
      </c>
      <c r="F152" s="1">
        <f>40+20</f>
        <v>60</v>
      </c>
      <c r="G152" s="1">
        <f>34+41</f>
        <v>75</v>
      </c>
      <c r="H152" s="1">
        <f>75+32</f>
        <v>107</v>
      </c>
      <c r="I152" s="55">
        <f>SUM(F152:H152)</f>
        <v>242</v>
      </c>
      <c r="K152" s="1"/>
      <c r="L152" s="1"/>
      <c r="M152" s="55">
        <f>SUM(J152:L152)</f>
        <v>0</v>
      </c>
      <c r="N152" s="1"/>
      <c r="O152" s="1"/>
      <c r="P152" s="1"/>
      <c r="Q152" s="55">
        <f>SUM(N152:P152)</f>
        <v>0</v>
      </c>
      <c r="R152" s="55">
        <f>+E152+I152+M152+Q152</f>
        <v>280</v>
      </c>
      <c r="S152" s="465"/>
    </row>
    <row r="153" spans="1:20" ht="15.75" customHeight="1" x14ac:dyDescent="0.3">
      <c r="A153" s="84" t="s">
        <v>1270</v>
      </c>
      <c r="B153" s="1"/>
      <c r="C153" s="1"/>
      <c r="D153" s="1"/>
      <c r="E153" s="55">
        <f t="shared" si="35"/>
        <v>0</v>
      </c>
      <c r="F153" s="1"/>
      <c r="G153" s="1"/>
      <c r="H153" s="1"/>
      <c r="I153" s="55">
        <f t="shared" si="31"/>
        <v>0</v>
      </c>
      <c r="J153" s="1"/>
      <c r="K153" s="1"/>
      <c r="L153" s="1"/>
      <c r="M153" s="55">
        <f t="shared" si="32"/>
        <v>0</v>
      </c>
      <c r="N153" s="1">
        <v>545</v>
      </c>
      <c r="O153" s="1"/>
      <c r="P153" s="1"/>
      <c r="Q153" s="55">
        <f t="shared" si="34"/>
        <v>545</v>
      </c>
      <c r="R153" s="55">
        <f t="shared" si="29"/>
        <v>545</v>
      </c>
      <c r="S153" s="477" t="s">
        <v>1257</v>
      </c>
      <c r="T153" s="4" t="s">
        <v>818</v>
      </c>
    </row>
    <row r="154" spans="1:20" ht="15.75" customHeight="1" x14ac:dyDescent="0.3">
      <c r="A154" s="84" t="s">
        <v>1271</v>
      </c>
      <c r="B154" s="1"/>
      <c r="C154" s="1"/>
      <c r="E154" s="55">
        <f t="shared" si="35"/>
        <v>0</v>
      </c>
      <c r="F154" s="1"/>
      <c r="G154" s="1"/>
      <c r="H154" s="1"/>
      <c r="I154" s="55">
        <f t="shared" si="31"/>
        <v>0</v>
      </c>
      <c r="J154" s="1"/>
      <c r="K154" s="1"/>
      <c r="L154" s="1">
        <v>156</v>
      </c>
      <c r="M154" s="55">
        <f t="shared" si="32"/>
        <v>156</v>
      </c>
      <c r="N154" s="1">
        <v>1</v>
      </c>
      <c r="O154" s="1"/>
      <c r="P154" s="1"/>
      <c r="Q154" s="55">
        <f t="shared" si="34"/>
        <v>1</v>
      </c>
      <c r="R154" s="55">
        <f t="shared" si="29"/>
        <v>157</v>
      </c>
      <c r="S154" s="477" t="s">
        <v>1257</v>
      </c>
      <c r="T154" s="4" t="s">
        <v>819</v>
      </c>
    </row>
    <row r="155" spans="1:20" ht="15.75" customHeight="1" x14ac:dyDescent="0.3">
      <c r="A155" s="84" t="s">
        <v>1272</v>
      </c>
      <c r="B155" s="1"/>
      <c r="C155" s="1"/>
      <c r="D155" s="1"/>
      <c r="E155" s="55">
        <f t="shared" si="35"/>
        <v>0</v>
      </c>
      <c r="F155" s="1"/>
      <c r="G155" s="1"/>
      <c r="H155" s="1"/>
      <c r="I155" s="55">
        <f t="shared" si="31"/>
        <v>0</v>
      </c>
      <c r="J155" s="1"/>
      <c r="K155" s="1"/>
      <c r="L155" s="1"/>
      <c r="M155" s="55">
        <f t="shared" si="32"/>
        <v>0</v>
      </c>
      <c r="N155" s="1"/>
      <c r="O155" s="1"/>
      <c r="P155" s="1"/>
      <c r="Q155" s="55">
        <f t="shared" si="34"/>
        <v>0</v>
      </c>
      <c r="R155" s="55">
        <f t="shared" si="29"/>
        <v>0</v>
      </c>
      <c r="S155" s="477" t="s">
        <v>1257</v>
      </c>
      <c r="T155" s="4" t="s">
        <v>812</v>
      </c>
    </row>
    <row r="156" spans="1:20" ht="15.75" customHeight="1" x14ac:dyDescent="0.3">
      <c r="A156" s="71" t="s">
        <v>114</v>
      </c>
      <c r="B156" s="1">
        <v>46</v>
      </c>
      <c r="C156" s="1">
        <v>47</v>
      </c>
      <c r="D156" s="1">
        <v>43</v>
      </c>
      <c r="E156" s="55">
        <f t="shared" si="35"/>
        <v>136</v>
      </c>
      <c r="F156" s="1">
        <v>58</v>
      </c>
      <c r="G156" s="1">
        <v>60</v>
      </c>
      <c r="H156" s="1">
        <v>67</v>
      </c>
      <c r="I156" s="55">
        <f t="shared" si="31"/>
        <v>185</v>
      </c>
      <c r="J156" s="1">
        <v>63</v>
      </c>
      <c r="K156" s="1">
        <f>12+51</f>
        <v>63</v>
      </c>
      <c r="L156" s="1">
        <v>61</v>
      </c>
      <c r="M156" s="55">
        <f t="shared" si="32"/>
        <v>187</v>
      </c>
      <c r="N156" s="1">
        <f>12+43</f>
        <v>55</v>
      </c>
      <c r="O156" s="1">
        <f>12+43</f>
        <v>55</v>
      </c>
      <c r="P156" s="1">
        <v>37</v>
      </c>
      <c r="Q156" s="55">
        <f t="shared" si="34"/>
        <v>147</v>
      </c>
      <c r="R156" s="55">
        <f t="shared" si="29"/>
        <v>655</v>
      </c>
      <c r="T156" s="4" t="s">
        <v>824</v>
      </c>
    </row>
    <row r="157" spans="1:20" ht="15.75" customHeight="1" x14ac:dyDescent="0.3">
      <c r="A157" s="71" t="s">
        <v>115</v>
      </c>
      <c r="B157" s="1">
        <v>127</v>
      </c>
      <c r="C157" s="1">
        <v>98</v>
      </c>
      <c r="D157" s="1">
        <v>144</v>
      </c>
      <c r="E157" s="55">
        <f t="shared" si="35"/>
        <v>369</v>
      </c>
      <c r="F157" s="1">
        <v>149</v>
      </c>
      <c r="G157" s="1">
        <v>162</v>
      </c>
      <c r="H157" s="1">
        <v>190</v>
      </c>
      <c r="I157" s="55">
        <f t="shared" si="31"/>
        <v>501</v>
      </c>
      <c r="J157" s="1">
        <v>214</v>
      </c>
      <c r="K157" s="1">
        <v>224</v>
      </c>
      <c r="L157" s="1">
        <v>177</v>
      </c>
      <c r="M157" s="55">
        <f t="shared" si="32"/>
        <v>615</v>
      </c>
      <c r="N157" s="1">
        <v>180</v>
      </c>
      <c r="O157" s="1">
        <v>180</v>
      </c>
      <c r="P157" s="1">
        <v>360</v>
      </c>
      <c r="Q157" s="55">
        <f t="shared" si="34"/>
        <v>720</v>
      </c>
      <c r="R157" s="55">
        <f t="shared" si="29"/>
        <v>2205</v>
      </c>
      <c r="T157" s="4" t="s">
        <v>825</v>
      </c>
    </row>
    <row r="158" spans="1:20" ht="15.75" customHeight="1" x14ac:dyDescent="0.3">
      <c r="A158" s="71" t="s">
        <v>826</v>
      </c>
      <c r="B158" s="1"/>
      <c r="C158" s="1"/>
      <c r="D158" s="1"/>
      <c r="E158" s="55">
        <f t="shared" si="35"/>
        <v>0</v>
      </c>
      <c r="F158" s="1"/>
      <c r="G158" s="1">
        <v>410</v>
      </c>
      <c r="H158" s="1"/>
      <c r="I158" s="55">
        <f t="shared" si="31"/>
        <v>410</v>
      </c>
      <c r="J158" s="1"/>
      <c r="K158" s="1">
        <v>445</v>
      </c>
      <c r="L158" s="1">
        <f>580+357</f>
        <v>937</v>
      </c>
      <c r="M158" s="55">
        <f t="shared" si="32"/>
        <v>1382</v>
      </c>
      <c r="N158" s="1">
        <v>750</v>
      </c>
      <c r="O158" s="1">
        <v>492</v>
      </c>
      <c r="P158" s="1">
        <v>352</v>
      </c>
      <c r="Q158" s="55">
        <f t="shared" si="34"/>
        <v>1594</v>
      </c>
      <c r="R158" s="55">
        <f t="shared" si="29"/>
        <v>3386</v>
      </c>
      <c r="S158" s="4" t="s">
        <v>821</v>
      </c>
    </row>
    <row r="159" spans="1:20" ht="15.75" customHeight="1" x14ac:dyDescent="0.3">
      <c r="A159" s="84" t="s">
        <v>1348</v>
      </c>
      <c r="B159" s="1"/>
      <c r="C159" s="1">
        <v>300</v>
      </c>
      <c r="D159" s="1">
        <v>539</v>
      </c>
      <c r="E159" s="55">
        <f>SUM(B159:D159)</f>
        <v>839</v>
      </c>
      <c r="F159" s="1">
        <v>509</v>
      </c>
      <c r="G159" s="1">
        <v>544</v>
      </c>
      <c r="H159" s="1">
        <v>465</v>
      </c>
      <c r="I159" s="55">
        <f t="shared" si="31"/>
        <v>1518</v>
      </c>
      <c r="J159" s="1">
        <v>408</v>
      </c>
      <c r="K159" s="1">
        <v>408</v>
      </c>
      <c r="L159" s="1">
        <v>414</v>
      </c>
      <c r="M159" s="55">
        <f t="shared" si="32"/>
        <v>1230</v>
      </c>
      <c r="N159" s="1">
        <v>13</v>
      </c>
      <c r="O159" s="1"/>
      <c r="P159" s="1"/>
      <c r="Q159" s="55">
        <f t="shared" si="34"/>
        <v>13</v>
      </c>
      <c r="R159" s="55">
        <f t="shared" si="29"/>
        <v>3600</v>
      </c>
      <c r="T159" s="4" t="s">
        <v>812</v>
      </c>
    </row>
    <row r="160" spans="1:20" ht="15.75" customHeight="1" x14ac:dyDescent="0.3">
      <c r="A160" s="71" t="s">
        <v>1349</v>
      </c>
      <c r="B160" s="1">
        <v>334</v>
      </c>
      <c r="C160" s="1">
        <v>314</v>
      </c>
      <c r="D160" s="1">
        <v>375</v>
      </c>
      <c r="E160" s="55">
        <f t="shared" si="35"/>
        <v>1023</v>
      </c>
      <c r="F160" s="1">
        <v>358</v>
      </c>
      <c r="G160" s="1">
        <v>306</v>
      </c>
      <c r="H160" s="1">
        <v>394</v>
      </c>
      <c r="I160" s="55">
        <f t="shared" si="31"/>
        <v>1058</v>
      </c>
      <c r="J160" s="1">
        <v>493</v>
      </c>
      <c r="K160" s="1">
        <v>524</v>
      </c>
      <c r="L160" s="1">
        <v>537</v>
      </c>
      <c r="M160" s="55">
        <f t="shared" si="32"/>
        <v>1554</v>
      </c>
      <c r="N160" s="1">
        <v>377</v>
      </c>
      <c r="O160" s="1">
        <v>90</v>
      </c>
      <c r="P160" s="1">
        <v>1201</v>
      </c>
      <c r="Q160" s="55">
        <f t="shared" si="34"/>
        <v>1668</v>
      </c>
      <c r="R160" s="55">
        <f t="shared" si="29"/>
        <v>5303</v>
      </c>
      <c r="T160" s="4" t="s">
        <v>829</v>
      </c>
    </row>
    <row r="161" spans="1:20" ht="15.75" customHeight="1" x14ac:dyDescent="0.3">
      <c r="A161" s="84" t="s">
        <v>1350</v>
      </c>
      <c r="B161" s="1"/>
      <c r="C161" s="1"/>
      <c r="D161" s="1"/>
      <c r="E161" s="55">
        <f t="shared" si="35"/>
        <v>0</v>
      </c>
      <c r="F161" s="1"/>
      <c r="G161" s="1"/>
      <c r="H161" s="1"/>
      <c r="I161" s="55">
        <f t="shared" si="31"/>
        <v>0</v>
      </c>
      <c r="J161" s="1">
        <v>508</v>
      </c>
      <c r="K161" s="1"/>
      <c r="L161" s="1"/>
      <c r="M161" s="55">
        <f t="shared" si="32"/>
        <v>508</v>
      </c>
      <c r="N161" s="1"/>
      <c r="O161" s="1"/>
      <c r="P161" s="1"/>
      <c r="Q161" s="55">
        <f t="shared" si="34"/>
        <v>0</v>
      </c>
      <c r="R161" s="55">
        <f t="shared" si="29"/>
        <v>508</v>
      </c>
      <c r="T161" s="4" t="s">
        <v>818</v>
      </c>
    </row>
    <row r="162" spans="1:20" ht="15.75" customHeight="1" x14ac:dyDescent="0.3">
      <c r="A162" s="72" t="s">
        <v>1273</v>
      </c>
      <c r="B162" s="1"/>
      <c r="C162" s="1"/>
      <c r="D162" s="1"/>
      <c r="E162" s="55">
        <f t="shared" ref="E162" si="36">SUM(B162:D162)</f>
        <v>0</v>
      </c>
      <c r="F162" s="1"/>
      <c r="G162" s="1"/>
      <c r="H162" s="1">
        <v>1325</v>
      </c>
      <c r="I162" s="55">
        <f t="shared" ref="I162" si="37">SUM(F162:H162)</f>
        <v>1325</v>
      </c>
      <c r="J162" s="1">
        <v>1581</v>
      </c>
      <c r="K162" s="1"/>
      <c r="L162" s="1"/>
      <c r="M162" s="55">
        <f t="shared" ref="M162" si="38">SUM(J162:L162)</f>
        <v>1581</v>
      </c>
      <c r="N162" s="1"/>
      <c r="O162" s="1"/>
      <c r="P162" s="1"/>
      <c r="Q162" s="55">
        <f t="shared" ref="Q162" si="39">SUM(N162:P162)</f>
        <v>0</v>
      </c>
      <c r="R162" s="55">
        <f t="shared" si="29"/>
        <v>2906</v>
      </c>
    </row>
    <row r="163" spans="1:20" ht="15.75" customHeight="1" x14ac:dyDescent="0.3">
      <c r="A163" s="72" t="s">
        <v>1190</v>
      </c>
      <c r="B163" s="1"/>
      <c r="C163" s="1"/>
      <c r="D163" s="1"/>
      <c r="E163" s="55">
        <f t="shared" si="35"/>
        <v>0</v>
      </c>
      <c r="F163" s="1"/>
      <c r="G163" s="1"/>
      <c r="H163" s="1"/>
      <c r="I163" s="55">
        <f t="shared" si="31"/>
        <v>0</v>
      </c>
      <c r="J163" s="1"/>
      <c r="K163" s="1"/>
      <c r="L163" s="1"/>
      <c r="M163" s="55">
        <f t="shared" si="32"/>
        <v>0</v>
      </c>
      <c r="N163" s="1"/>
      <c r="O163" s="1"/>
      <c r="P163" s="1"/>
      <c r="Q163" s="55">
        <f t="shared" si="34"/>
        <v>0</v>
      </c>
      <c r="R163" s="55">
        <f t="shared" si="29"/>
        <v>0</v>
      </c>
    </row>
    <row r="164" spans="1:20" ht="15.75" customHeight="1" x14ac:dyDescent="0.3">
      <c r="A164" s="71" t="s">
        <v>831</v>
      </c>
      <c r="B164" s="1"/>
      <c r="C164" s="1"/>
      <c r="D164" s="1"/>
      <c r="E164" s="55">
        <f t="shared" si="35"/>
        <v>0</v>
      </c>
      <c r="F164" s="1"/>
      <c r="G164" s="1"/>
      <c r="H164" s="1"/>
      <c r="I164" s="55">
        <f t="shared" si="31"/>
        <v>0</v>
      </c>
      <c r="J164" s="1"/>
      <c r="K164" s="1"/>
      <c r="L164" s="1"/>
      <c r="M164" s="55">
        <f t="shared" si="32"/>
        <v>0</v>
      </c>
      <c r="N164" s="1"/>
      <c r="O164" s="1"/>
      <c r="P164" s="1"/>
      <c r="Q164" s="55">
        <f t="shared" si="34"/>
        <v>0</v>
      </c>
      <c r="R164" s="55">
        <f t="shared" si="29"/>
        <v>0</v>
      </c>
      <c r="S164" s="4" t="s">
        <v>821</v>
      </c>
      <c r="T164" s="4" t="s">
        <v>822</v>
      </c>
    </row>
    <row r="165" spans="1:20" s="123" customFormat="1" ht="15.75" customHeight="1" x14ac:dyDescent="0.3">
      <c r="A165" s="289" t="s">
        <v>697</v>
      </c>
      <c r="B165" s="301"/>
      <c r="C165" s="301"/>
      <c r="D165" s="301"/>
      <c r="E165" s="113">
        <f t="shared" ref="E165:E188" si="40">SUM(B165:D165)</f>
        <v>0</v>
      </c>
      <c r="F165" s="301"/>
      <c r="G165" s="301"/>
      <c r="H165" s="301"/>
      <c r="I165" s="113">
        <f t="shared" si="31"/>
        <v>0</v>
      </c>
      <c r="J165" s="301"/>
      <c r="K165" s="301"/>
      <c r="L165" s="301"/>
      <c r="M165" s="113">
        <f t="shared" si="32"/>
        <v>0</v>
      </c>
      <c r="N165" s="301">
        <v>-11000</v>
      </c>
      <c r="O165" s="301">
        <v>-10000</v>
      </c>
      <c r="P165" s="301">
        <v>-15000</v>
      </c>
      <c r="Q165" s="113">
        <f t="shared" si="34"/>
        <v>-36000</v>
      </c>
      <c r="R165" s="113">
        <f t="shared" si="29"/>
        <v>-36000</v>
      </c>
    </row>
    <row r="166" spans="1:20" ht="15.75" customHeight="1" x14ac:dyDescent="0.3">
      <c r="A166" s="71" t="s">
        <v>698</v>
      </c>
      <c r="B166" s="1"/>
      <c r="C166" s="1"/>
      <c r="D166" s="1"/>
      <c r="E166" s="55">
        <f t="shared" si="40"/>
        <v>0</v>
      </c>
      <c r="F166" s="1">
        <v>758</v>
      </c>
      <c r="G166" s="1">
        <v>1756</v>
      </c>
      <c r="H166" s="1">
        <v>1873</v>
      </c>
      <c r="I166" s="55">
        <f t="shared" si="31"/>
        <v>4387</v>
      </c>
      <c r="J166" s="1">
        <v>1751</v>
      </c>
      <c r="K166" s="1">
        <v>1854</v>
      </c>
      <c r="L166" s="1">
        <v>1717</v>
      </c>
      <c r="M166" s="55">
        <f t="shared" si="32"/>
        <v>5322</v>
      </c>
      <c r="N166" s="1">
        <v>1500</v>
      </c>
      <c r="O166" s="1">
        <v>1700</v>
      </c>
      <c r="P166" s="1">
        <v>1795</v>
      </c>
      <c r="Q166" s="55">
        <f t="shared" si="34"/>
        <v>4995</v>
      </c>
      <c r="R166" s="55">
        <f>+E166+I166+M166+Q166</f>
        <v>14704</v>
      </c>
      <c r="T166" s="4" t="s">
        <v>832</v>
      </c>
    </row>
    <row r="167" spans="1:20" ht="15.75" customHeight="1" x14ac:dyDescent="0.3">
      <c r="A167" s="84" t="s">
        <v>833</v>
      </c>
      <c r="B167" s="1"/>
      <c r="C167" s="1"/>
      <c r="D167" s="1"/>
      <c r="E167" s="55">
        <f t="shared" si="40"/>
        <v>0</v>
      </c>
      <c r="F167" s="1"/>
      <c r="G167" s="1"/>
      <c r="H167" s="1"/>
      <c r="I167" s="55">
        <f t="shared" si="31"/>
        <v>0</v>
      </c>
      <c r="J167" s="1"/>
      <c r="K167" s="1"/>
      <c r="L167" s="1">
        <v>500</v>
      </c>
      <c r="M167" s="55">
        <f t="shared" si="32"/>
        <v>500</v>
      </c>
      <c r="N167" s="1"/>
      <c r="O167" s="1"/>
      <c r="P167" s="1"/>
      <c r="Q167" s="55">
        <f t="shared" si="34"/>
        <v>0</v>
      </c>
      <c r="R167" s="55">
        <f t="shared" ref="R167:R173" si="41">+E167+I167+M167+Q167</f>
        <v>500</v>
      </c>
      <c r="T167" s="4" t="s">
        <v>812</v>
      </c>
    </row>
    <row r="168" spans="1:20" ht="15.75" customHeight="1" x14ac:dyDescent="0.3">
      <c r="A168" s="84" t="s">
        <v>834</v>
      </c>
      <c r="B168" s="1"/>
      <c r="C168" s="1"/>
      <c r="D168" s="1"/>
      <c r="E168" s="55">
        <f t="shared" si="40"/>
        <v>0</v>
      </c>
      <c r="F168" s="1"/>
      <c r="G168" s="1">
        <v>500</v>
      </c>
      <c r="H168" s="1">
        <v>300</v>
      </c>
      <c r="I168" s="55">
        <f t="shared" si="31"/>
        <v>800</v>
      </c>
      <c r="J168" s="1">
        <v>832</v>
      </c>
      <c r="K168" s="1"/>
      <c r="L168" s="1"/>
      <c r="M168" s="55">
        <f t="shared" si="32"/>
        <v>832</v>
      </c>
      <c r="N168" s="1">
        <v>200</v>
      </c>
      <c r="O168" s="1"/>
      <c r="P168" s="1"/>
      <c r="Q168" s="55">
        <f t="shared" si="34"/>
        <v>200</v>
      </c>
      <c r="R168" s="55">
        <f t="shared" si="41"/>
        <v>1832</v>
      </c>
      <c r="T168" s="4" t="s">
        <v>819</v>
      </c>
    </row>
    <row r="169" spans="1:20" ht="15.75" customHeight="1" x14ac:dyDescent="0.3">
      <c r="A169" s="84" t="s">
        <v>1191</v>
      </c>
      <c r="B169" s="1"/>
      <c r="C169" s="1"/>
      <c r="D169" s="1"/>
      <c r="E169" s="55">
        <f t="shared" si="40"/>
        <v>0</v>
      </c>
      <c r="F169" s="1"/>
      <c r="G169" s="1"/>
      <c r="H169" s="1"/>
      <c r="I169" s="55">
        <f t="shared" si="31"/>
        <v>0</v>
      </c>
      <c r="J169" s="1"/>
      <c r="K169" s="1"/>
      <c r="L169" s="1">
        <v>200</v>
      </c>
      <c r="M169" s="55">
        <f t="shared" si="32"/>
        <v>200</v>
      </c>
      <c r="N169" s="1"/>
      <c r="O169" s="1"/>
      <c r="P169" s="1"/>
      <c r="Q169" s="55">
        <f t="shared" ref="Q169" si="42">SUM(N169:P169)</f>
        <v>0</v>
      </c>
      <c r="R169" s="55">
        <f t="shared" si="41"/>
        <v>200</v>
      </c>
    </row>
    <row r="170" spans="1:20" ht="15.75" customHeight="1" x14ac:dyDescent="0.3">
      <c r="A170" s="71" t="s">
        <v>835</v>
      </c>
      <c r="B170" s="1"/>
      <c r="C170" s="1"/>
      <c r="D170" s="1"/>
      <c r="E170" s="55">
        <f t="shared" si="40"/>
        <v>0</v>
      </c>
      <c r="F170" s="1"/>
      <c r="G170" s="1"/>
      <c r="H170" s="1"/>
      <c r="I170" s="55">
        <f t="shared" si="31"/>
        <v>0</v>
      </c>
      <c r="J170" s="1"/>
      <c r="K170" s="1"/>
      <c r="L170" s="1"/>
      <c r="M170" s="55">
        <f t="shared" si="32"/>
        <v>0</v>
      </c>
      <c r="N170" s="1"/>
      <c r="O170" s="1"/>
      <c r="P170" s="1"/>
      <c r="Q170" s="55">
        <f t="shared" si="34"/>
        <v>0</v>
      </c>
      <c r="R170" s="55">
        <f t="shared" si="41"/>
        <v>0</v>
      </c>
      <c r="S170" s="465" t="s">
        <v>821</v>
      </c>
      <c r="T170" s="4" t="s">
        <v>836</v>
      </c>
    </row>
    <row r="171" spans="1:20" ht="15.75" customHeight="1" x14ac:dyDescent="0.3">
      <c r="A171" s="84" t="s">
        <v>837</v>
      </c>
      <c r="B171" s="1"/>
      <c r="C171" s="1"/>
      <c r="D171" s="1"/>
      <c r="E171" s="55">
        <f t="shared" si="40"/>
        <v>0</v>
      </c>
      <c r="F171" s="1"/>
      <c r="G171" s="1"/>
      <c r="H171" s="1"/>
      <c r="I171" s="55">
        <f t="shared" si="31"/>
        <v>0</v>
      </c>
      <c r="J171" s="1"/>
      <c r="K171" s="1"/>
      <c r="L171" s="1"/>
      <c r="M171" s="55">
        <f t="shared" si="32"/>
        <v>0</v>
      </c>
      <c r="N171" s="1"/>
      <c r="O171" s="1"/>
      <c r="P171" s="1"/>
      <c r="Q171" s="55">
        <f t="shared" si="34"/>
        <v>0</v>
      </c>
      <c r="R171" s="55">
        <f t="shared" si="41"/>
        <v>0</v>
      </c>
      <c r="T171" s="4" t="s">
        <v>818</v>
      </c>
    </row>
    <row r="172" spans="1:20" ht="15.75" customHeight="1" x14ac:dyDescent="0.3">
      <c r="A172" s="84" t="s">
        <v>838</v>
      </c>
      <c r="B172" s="1"/>
      <c r="C172" s="1"/>
      <c r="D172" s="1"/>
      <c r="E172" s="55">
        <f t="shared" si="40"/>
        <v>0</v>
      </c>
      <c r="F172" s="1"/>
      <c r="G172" s="1"/>
      <c r="H172" s="1"/>
      <c r="I172" s="55">
        <f t="shared" si="31"/>
        <v>0</v>
      </c>
      <c r="J172" s="1"/>
      <c r="K172" s="1"/>
      <c r="L172" s="1"/>
      <c r="M172" s="55">
        <f t="shared" si="32"/>
        <v>0</v>
      </c>
      <c r="N172" s="1"/>
      <c r="O172" s="1"/>
      <c r="P172" s="1"/>
      <c r="Q172" s="55">
        <f t="shared" si="34"/>
        <v>0</v>
      </c>
      <c r="R172" s="55">
        <f t="shared" si="41"/>
        <v>0</v>
      </c>
      <c r="T172" s="4" t="s">
        <v>819</v>
      </c>
    </row>
    <row r="173" spans="1:20" ht="15.75" customHeight="1" x14ac:dyDescent="0.3">
      <c r="A173" s="71" t="s">
        <v>120</v>
      </c>
      <c r="B173" s="1">
        <v>10</v>
      </c>
      <c r="C173" s="1">
        <v>11</v>
      </c>
      <c r="D173" s="1">
        <v>27</v>
      </c>
      <c r="E173" s="55">
        <f t="shared" si="40"/>
        <v>48</v>
      </c>
      <c r="F173" s="1">
        <v>53</v>
      </c>
      <c r="G173" s="1">
        <v>56</v>
      </c>
      <c r="H173" s="1">
        <v>83</v>
      </c>
      <c r="I173" s="55">
        <f t="shared" si="31"/>
        <v>192</v>
      </c>
      <c r="J173" s="1">
        <v>69</v>
      </c>
      <c r="K173" s="1">
        <v>85</v>
      </c>
      <c r="L173" s="1">
        <v>42</v>
      </c>
      <c r="M173" s="55">
        <f t="shared" si="32"/>
        <v>196</v>
      </c>
      <c r="N173" s="1">
        <v>75</v>
      </c>
      <c r="O173" s="1">
        <v>35</v>
      </c>
      <c r="P173" s="1">
        <v>39</v>
      </c>
      <c r="Q173" s="55">
        <f t="shared" si="34"/>
        <v>149</v>
      </c>
      <c r="R173" s="55">
        <f t="shared" si="41"/>
        <v>585</v>
      </c>
      <c r="T173" s="4" t="s">
        <v>406</v>
      </c>
    </row>
    <row r="174" spans="1:20" ht="15.75" customHeight="1" x14ac:dyDescent="0.3">
      <c r="A174" s="84" t="s">
        <v>839</v>
      </c>
      <c r="B174" s="1"/>
      <c r="C174" s="1"/>
      <c r="D174" s="1"/>
      <c r="E174" s="55">
        <f t="shared" si="40"/>
        <v>0</v>
      </c>
      <c r="F174" s="1">
        <f>1353+564</f>
        <v>1917</v>
      </c>
      <c r="G174" s="1">
        <f>1008+1328</f>
        <v>2336</v>
      </c>
      <c r="H174" s="1">
        <f>1167+1505</f>
        <v>2672</v>
      </c>
      <c r="I174" s="55">
        <f t="shared" si="31"/>
        <v>6925</v>
      </c>
      <c r="J174" s="1">
        <f>964+824</f>
        <v>1788</v>
      </c>
      <c r="K174" s="1">
        <f>232+671</f>
        <v>903</v>
      </c>
      <c r="L174" s="1">
        <f>70+149</f>
        <v>219</v>
      </c>
      <c r="M174" s="55">
        <f t="shared" si="32"/>
        <v>2910</v>
      </c>
      <c r="N174" s="1">
        <v>900</v>
      </c>
      <c r="O174" s="1"/>
      <c r="P174" s="1">
        <v>166</v>
      </c>
      <c r="Q174" s="55">
        <f t="shared" si="34"/>
        <v>1066</v>
      </c>
      <c r="R174" s="55">
        <f t="shared" si="29"/>
        <v>10901</v>
      </c>
      <c r="T174" s="4" t="s">
        <v>818</v>
      </c>
    </row>
    <row r="175" spans="1:20" ht="15.75" customHeight="1" x14ac:dyDescent="0.3">
      <c r="A175" s="84" t="s">
        <v>840</v>
      </c>
      <c r="B175" s="1"/>
      <c r="C175" s="1"/>
      <c r="D175" s="1"/>
      <c r="E175" s="55">
        <f t="shared" si="40"/>
        <v>0</v>
      </c>
      <c r="F175" s="1"/>
      <c r="G175" s="1">
        <v>86</v>
      </c>
      <c r="H175" s="1">
        <v>553</v>
      </c>
      <c r="I175" s="55">
        <f t="shared" si="31"/>
        <v>639</v>
      </c>
      <c r="J175" s="1">
        <v>1618</v>
      </c>
      <c r="K175" s="1"/>
      <c r="L175" s="1"/>
      <c r="M175" s="55">
        <f t="shared" si="32"/>
        <v>1618</v>
      </c>
      <c r="N175" s="1"/>
      <c r="O175" s="1"/>
      <c r="P175" s="1"/>
      <c r="Q175" s="55">
        <f t="shared" si="34"/>
        <v>0</v>
      </c>
      <c r="R175" s="55">
        <f t="shared" si="29"/>
        <v>2257</v>
      </c>
      <c r="T175" s="4" t="s">
        <v>819</v>
      </c>
    </row>
    <row r="176" spans="1:20" ht="15.75" customHeight="1" x14ac:dyDescent="0.3">
      <c r="A176" s="84" t="s">
        <v>841</v>
      </c>
      <c r="B176" s="1">
        <v>22</v>
      </c>
      <c r="C176" s="1">
        <v>14</v>
      </c>
      <c r="D176" s="1">
        <v>30</v>
      </c>
      <c r="E176" s="55">
        <f t="shared" si="40"/>
        <v>66</v>
      </c>
      <c r="F176" s="1">
        <v>42</v>
      </c>
      <c r="G176" s="1">
        <v>57</v>
      </c>
      <c r="H176" s="1">
        <v>82</v>
      </c>
      <c r="I176" s="55">
        <f>SUM(F176:H176)</f>
        <v>181</v>
      </c>
      <c r="J176" s="1">
        <v>76</v>
      </c>
      <c r="K176" s="1">
        <v>78</v>
      </c>
      <c r="L176" s="1">
        <v>58</v>
      </c>
      <c r="M176" s="55">
        <f t="shared" si="32"/>
        <v>212</v>
      </c>
      <c r="N176" s="1">
        <v>70</v>
      </c>
      <c r="O176" s="1">
        <v>31</v>
      </c>
      <c r="P176" s="1">
        <v>15</v>
      </c>
      <c r="Q176" s="55">
        <f t="shared" si="34"/>
        <v>116</v>
      </c>
      <c r="R176" s="55">
        <f t="shared" si="29"/>
        <v>575</v>
      </c>
      <c r="T176" s="4" t="s">
        <v>842</v>
      </c>
    </row>
    <row r="177" spans="1:20" ht="15.75" customHeight="1" x14ac:dyDescent="0.3">
      <c r="A177" s="84" t="s">
        <v>843</v>
      </c>
      <c r="B177" s="1">
        <v>1</v>
      </c>
      <c r="C177" s="1">
        <v>1</v>
      </c>
      <c r="D177" s="1">
        <v>3</v>
      </c>
      <c r="E177" s="55">
        <f t="shared" si="40"/>
        <v>5</v>
      </c>
      <c r="F177" s="1">
        <v>29</v>
      </c>
      <c r="G177" s="1">
        <v>36</v>
      </c>
      <c r="H177" s="1">
        <v>103</v>
      </c>
      <c r="I177" s="55">
        <f t="shared" si="31"/>
        <v>168</v>
      </c>
      <c r="J177" s="1">
        <v>91</v>
      </c>
      <c r="K177" s="1">
        <v>106</v>
      </c>
      <c r="L177" s="1">
        <v>46</v>
      </c>
      <c r="M177" s="55">
        <f t="shared" si="32"/>
        <v>243</v>
      </c>
      <c r="N177" s="1">
        <v>70</v>
      </c>
      <c r="O177" s="1">
        <v>23</v>
      </c>
      <c r="P177" s="1">
        <v>26</v>
      </c>
      <c r="Q177" s="55">
        <f t="shared" si="34"/>
        <v>119</v>
      </c>
      <c r="R177" s="55">
        <f t="shared" si="29"/>
        <v>535</v>
      </c>
      <c r="T177" s="4" t="s">
        <v>406</v>
      </c>
    </row>
    <row r="178" spans="1:20" ht="15.75" customHeight="1" x14ac:dyDescent="0.3">
      <c r="A178" s="84" t="s">
        <v>844</v>
      </c>
      <c r="B178" s="1"/>
      <c r="C178" s="1"/>
      <c r="D178" s="1">
        <v>1</v>
      </c>
      <c r="E178" s="55">
        <f t="shared" si="40"/>
        <v>1</v>
      </c>
      <c r="F178" s="1">
        <v>7</v>
      </c>
      <c r="G178" s="1">
        <v>9</v>
      </c>
      <c r="H178" s="1">
        <v>29</v>
      </c>
      <c r="I178" s="55">
        <f t="shared" si="31"/>
        <v>45</v>
      </c>
      <c r="J178" s="1">
        <v>44</v>
      </c>
      <c r="K178" s="1">
        <v>21</v>
      </c>
      <c r="L178" s="1">
        <v>9</v>
      </c>
      <c r="M178" s="55">
        <f t="shared" si="32"/>
        <v>74</v>
      </c>
      <c r="N178" s="1">
        <v>34</v>
      </c>
      <c r="O178" s="1">
        <v>6</v>
      </c>
      <c r="P178" s="1"/>
      <c r="Q178" s="55">
        <f t="shared" si="34"/>
        <v>40</v>
      </c>
      <c r="R178" s="55">
        <f t="shared" si="29"/>
        <v>160</v>
      </c>
      <c r="T178" s="4" t="s">
        <v>812</v>
      </c>
    </row>
    <row r="179" spans="1:20" ht="15.75" customHeight="1" x14ac:dyDescent="0.3">
      <c r="A179" s="71" t="s">
        <v>845</v>
      </c>
      <c r="B179" s="1"/>
      <c r="C179" s="1"/>
      <c r="D179" s="1"/>
      <c r="E179" s="55">
        <f t="shared" si="40"/>
        <v>0</v>
      </c>
      <c r="F179" s="1">
        <v>928</v>
      </c>
      <c r="G179" s="1">
        <v>1040</v>
      </c>
      <c r="H179" s="1">
        <v>1071</v>
      </c>
      <c r="I179" s="55">
        <f t="shared" si="31"/>
        <v>3039</v>
      </c>
      <c r="J179" s="1">
        <v>1115</v>
      </c>
      <c r="K179" s="1">
        <v>1056</v>
      </c>
      <c r="L179" s="1">
        <v>992</v>
      </c>
      <c r="M179" s="55">
        <f t="shared" si="32"/>
        <v>3163</v>
      </c>
      <c r="N179" s="1">
        <v>1109</v>
      </c>
      <c r="O179" s="1">
        <v>1100</v>
      </c>
      <c r="P179" s="1">
        <v>397</v>
      </c>
      <c r="Q179" s="55">
        <f t="shared" si="34"/>
        <v>2606</v>
      </c>
      <c r="R179" s="55">
        <f t="shared" si="29"/>
        <v>8808</v>
      </c>
      <c r="T179" s="4" t="s">
        <v>832</v>
      </c>
    </row>
    <row r="180" spans="1:20" ht="15.75" customHeight="1" x14ac:dyDescent="0.3">
      <c r="A180" s="71" t="s">
        <v>846</v>
      </c>
      <c r="B180" s="1"/>
      <c r="C180" s="1"/>
      <c r="D180" s="1"/>
      <c r="E180" s="55">
        <f t="shared" si="40"/>
        <v>0</v>
      </c>
      <c r="F180" s="1"/>
      <c r="G180" s="1"/>
      <c r="H180" s="1"/>
      <c r="I180" s="55">
        <f t="shared" si="31"/>
        <v>0</v>
      </c>
      <c r="J180" s="1">
        <v>2000</v>
      </c>
      <c r="K180" s="1"/>
      <c r="L180" s="1"/>
      <c r="M180" s="55">
        <f t="shared" si="32"/>
        <v>2000</v>
      </c>
      <c r="N180" s="1"/>
      <c r="O180" s="1"/>
      <c r="P180" s="1"/>
      <c r="Q180" s="55">
        <f t="shared" si="34"/>
        <v>0</v>
      </c>
      <c r="R180" s="55">
        <f t="shared" si="29"/>
        <v>2000</v>
      </c>
      <c r="S180" s="465" t="s">
        <v>821</v>
      </c>
      <c r="T180" s="4" t="s">
        <v>822</v>
      </c>
    </row>
    <row r="181" spans="1:20" ht="15.75" customHeight="1" x14ac:dyDescent="0.3">
      <c r="A181" s="71" t="s">
        <v>847</v>
      </c>
      <c r="B181" s="1"/>
      <c r="C181" s="1"/>
      <c r="D181" s="1"/>
      <c r="E181" s="55">
        <f t="shared" si="40"/>
        <v>0</v>
      </c>
      <c r="F181" s="1"/>
      <c r="G181" s="1"/>
      <c r="H181" s="1"/>
      <c r="I181" s="55">
        <f t="shared" si="31"/>
        <v>0</v>
      </c>
      <c r="J181" s="1"/>
      <c r="K181" s="1"/>
      <c r="L181" s="1"/>
      <c r="M181" s="55">
        <f t="shared" si="32"/>
        <v>0</v>
      </c>
      <c r="N181" s="1"/>
      <c r="O181" s="1"/>
      <c r="P181" s="1"/>
      <c r="Q181" s="55">
        <f t="shared" si="34"/>
        <v>0</v>
      </c>
      <c r="R181" s="55">
        <f t="shared" si="29"/>
        <v>0</v>
      </c>
      <c r="T181" s="4" t="s">
        <v>822</v>
      </c>
    </row>
    <row r="182" spans="1:20" ht="15.75" customHeight="1" x14ac:dyDescent="0.3">
      <c r="A182" s="84" t="s">
        <v>1351</v>
      </c>
      <c r="B182" s="1"/>
      <c r="C182" s="1"/>
      <c r="D182" s="1"/>
      <c r="E182" s="55">
        <f t="shared" si="40"/>
        <v>0</v>
      </c>
      <c r="F182" s="1"/>
      <c r="G182" s="1"/>
      <c r="H182" s="1"/>
      <c r="I182" s="55">
        <f t="shared" si="31"/>
        <v>0</v>
      </c>
      <c r="J182" s="1"/>
      <c r="K182" s="1"/>
      <c r="L182" s="1"/>
      <c r="M182" s="55">
        <f t="shared" si="32"/>
        <v>0</v>
      </c>
      <c r="N182" s="1"/>
      <c r="O182" s="1"/>
      <c r="P182" s="1"/>
      <c r="Q182" s="55">
        <f t="shared" si="34"/>
        <v>0</v>
      </c>
      <c r="R182" s="55">
        <f t="shared" si="29"/>
        <v>0</v>
      </c>
    </row>
    <row r="183" spans="1:20" ht="15.75" customHeight="1" x14ac:dyDescent="0.3">
      <c r="A183" s="71" t="s">
        <v>122</v>
      </c>
      <c r="B183" s="1">
        <f>2292+5871</f>
        <v>8163</v>
      </c>
      <c r="C183" s="1">
        <f>2204+5520</f>
        <v>7724</v>
      </c>
      <c r="D183" s="1">
        <f>2559+6604</f>
        <v>9163</v>
      </c>
      <c r="E183" s="55">
        <f t="shared" si="40"/>
        <v>25050</v>
      </c>
      <c r="F183" s="1">
        <f>2503+7612</f>
        <v>10115</v>
      </c>
      <c r="G183" s="1">
        <f>2563+7461</f>
        <v>10024</v>
      </c>
      <c r="H183" s="1">
        <f>2416+9372</f>
        <v>11788</v>
      </c>
      <c r="I183" s="55">
        <f t="shared" si="31"/>
        <v>31927</v>
      </c>
      <c r="J183" s="1">
        <f>2487+11293</f>
        <v>13780</v>
      </c>
      <c r="K183" s="1">
        <f>2530+10768</f>
        <v>13298</v>
      </c>
      <c r="L183" s="1">
        <f>2462+7648</f>
        <v>10110</v>
      </c>
      <c r="M183" s="55">
        <f t="shared" si="32"/>
        <v>37188</v>
      </c>
      <c r="N183" s="1">
        <v>10044</v>
      </c>
      <c r="O183" s="1">
        <v>3497</v>
      </c>
      <c r="P183" s="1">
        <v>4328</v>
      </c>
      <c r="Q183" s="55">
        <f t="shared" si="34"/>
        <v>17869</v>
      </c>
      <c r="R183" s="55">
        <f t="shared" si="29"/>
        <v>112034</v>
      </c>
      <c r="S183" s="4" t="s">
        <v>821</v>
      </c>
    </row>
    <row r="184" spans="1:20" ht="15.75" customHeight="1" x14ac:dyDescent="0.3">
      <c r="A184" s="71" t="s">
        <v>1352</v>
      </c>
      <c r="B184" s="1">
        <f>1+1+14</f>
        <v>16</v>
      </c>
      <c r="C184" s="1">
        <f>1+1+4</f>
        <v>6</v>
      </c>
      <c r="D184" s="1">
        <f>1+1+30</f>
        <v>32</v>
      </c>
      <c r="E184" s="55">
        <f t="shared" si="40"/>
        <v>54</v>
      </c>
      <c r="F184" s="1">
        <f>1+1+59</f>
        <v>61</v>
      </c>
      <c r="G184" s="1">
        <f>1+1+210</f>
        <v>212</v>
      </c>
      <c r="H184" s="1">
        <f>1+1+92</f>
        <v>94</v>
      </c>
      <c r="I184" s="55">
        <f t="shared" si="31"/>
        <v>367</v>
      </c>
      <c r="J184" s="1">
        <f>1+2+98</f>
        <v>101</v>
      </c>
      <c r="K184" s="1">
        <f>1+2+80</f>
        <v>83</v>
      </c>
      <c r="L184" s="1"/>
      <c r="M184" s="55">
        <f t="shared" si="32"/>
        <v>184</v>
      </c>
      <c r="N184" s="1"/>
      <c r="O184" s="1"/>
      <c r="P184" s="1"/>
      <c r="Q184" s="55">
        <f t="shared" ref="Q184" si="43">SUM(N184:P184)</f>
        <v>0</v>
      </c>
      <c r="R184" s="55">
        <f t="shared" si="29"/>
        <v>605</v>
      </c>
    </row>
    <row r="185" spans="1:20" ht="15.75" customHeight="1" x14ac:dyDescent="0.3">
      <c r="A185" s="71" t="s">
        <v>848</v>
      </c>
      <c r="B185" s="1"/>
      <c r="C185" s="1"/>
      <c r="D185" s="1"/>
      <c r="E185" s="55">
        <f t="shared" si="40"/>
        <v>0</v>
      </c>
      <c r="F185" s="1"/>
      <c r="G185" s="1"/>
      <c r="H185" s="1"/>
      <c r="I185" s="55">
        <f>SUM(F185:H185)</f>
        <v>0</v>
      </c>
      <c r="J185" s="1"/>
      <c r="K185" s="1"/>
      <c r="L185" s="1"/>
      <c r="M185" s="55">
        <f t="shared" si="32"/>
        <v>0</v>
      </c>
      <c r="N185" s="1">
        <v>4921</v>
      </c>
      <c r="O185" s="1">
        <v>534</v>
      </c>
      <c r="P185" s="1">
        <v>640</v>
      </c>
      <c r="Q185" s="55">
        <f t="shared" si="34"/>
        <v>6095</v>
      </c>
      <c r="R185" s="55">
        <f>+E185+I185+M185+Q185</f>
        <v>6095</v>
      </c>
      <c r="S185" s="465"/>
      <c r="T185" s="4" t="s">
        <v>822</v>
      </c>
    </row>
    <row r="186" spans="1:20" ht="15.75" customHeight="1" x14ac:dyDescent="0.3">
      <c r="A186" s="71" t="s">
        <v>1353</v>
      </c>
      <c r="B186" s="1">
        <v>864</v>
      </c>
      <c r="C186" s="1">
        <f>864+181</f>
        <v>1045</v>
      </c>
      <c r="D186" s="1">
        <f>1210+235</f>
        <v>1445</v>
      </c>
      <c r="E186" s="55">
        <f t="shared" si="40"/>
        <v>3354</v>
      </c>
      <c r="F186" s="1">
        <f>864+592</f>
        <v>1456</v>
      </c>
      <c r="G186" s="1">
        <f>1210+507+5000</f>
        <v>6717</v>
      </c>
      <c r="H186" s="1">
        <f>1210+395+250</f>
        <v>1855</v>
      </c>
      <c r="I186" s="55">
        <f>SUM(F186:H186)</f>
        <v>10028</v>
      </c>
      <c r="J186" s="1">
        <f>605+395</f>
        <v>1000</v>
      </c>
      <c r="K186" s="1"/>
      <c r="L186" s="1"/>
      <c r="M186" s="55">
        <f t="shared" si="32"/>
        <v>1000</v>
      </c>
      <c r="N186" s="1"/>
      <c r="O186" s="1"/>
      <c r="P186" s="1"/>
      <c r="Q186" s="55">
        <f t="shared" ref="Q186" si="44">SUM(N186:P186)</f>
        <v>0</v>
      </c>
      <c r="R186" s="55">
        <f>+E186+I186+M186+Q186</f>
        <v>14382</v>
      </c>
      <c r="S186" s="465"/>
    </row>
    <row r="187" spans="1:20" ht="15.75" customHeight="1" x14ac:dyDescent="0.3">
      <c r="A187" s="71" t="s">
        <v>849</v>
      </c>
      <c r="B187" s="1">
        <v>40</v>
      </c>
      <c r="C187" s="1">
        <v>45</v>
      </c>
      <c r="D187" s="1"/>
      <c r="E187" s="55">
        <f t="shared" si="40"/>
        <v>85</v>
      </c>
      <c r="F187" s="1">
        <v>45</v>
      </c>
      <c r="G187" s="1">
        <v>90</v>
      </c>
      <c r="H187" s="1">
        <v>50</v>
      </c>
      <c r="I187" s="55">
        <f t="shared" si="31"/>
        <v>185</v>
      </c>
      <c r="J187" s="1">
        <v>55</v>
      </c>
      <c r="K187" s="1">
        <v>55</v>
      </c>
      <c r="L187" s="1">
        <v>45</v>
      </c>
      <c r="M187" s="55">
        <f t="shared" si="32"/>
        <v>155</v>
      </c>
      <c r="N187" s="1">
        <v>45</v>
      </c>
      <c r="O187" s="1">
        <v>45</v>
      </c>
      <c r="P187" s="1">
        <v>45</v>
      </c>
      <c r="Q187" s="55">
        <f t="shared" si="34"/>
        <v>135</v>
      </c>
      <c r="R187" s="55">
        <f t="shared" si="29"/>
        <v>560</v>
      </c>
      <c r="S187" s="4" t="s">
        <v>821</v>
      </c>
      <c r="T187" s="4" t="s">
        <v>822</v>
      </c>
    </row>
    <row r="188" spans="1:20" ht="15.75" customHeight="1" x14ac:dyDescent="0.3">
      <c r="A188" s="71" t="s">
        <v>124</v>
      </c>
      <c r="B188" s="1">
        <v>3283</v>
      </c>
      <c r="C188" s="1"/>
      <c r="D188" s="1"/>
      <c r="E188" s="55">
        <f t="shared" si="40"/>
        <v>3283</v>
      </c>
      <c r="F188" s="1"/>
      <c r="G188" s="1">
        <v>74</v>
      </c>
      <c r="H188" s="1">
        <f>49+5522+634+120</f>
        <v>6325</v>
      </c>
      <c r="I188" s="55">
        <f t="shared" si="31"/>
        <v>6399</v>
      </c>
      <c r="J188" s="1">
        <f>55+6055+675+193</f>
        <v>6978</v>
      </c>
      <c r="K188" s="1">
        <f>44+6226+540+152</f>
        <v>6962</v>
      </c>
      <c r="L188" s="1">
        <f>32+5330+292+124</f>
        <v>5778</v>
      </c>
      <c r="M188" s="55">
        <f t="shared" si="32"/>
        <v>19718</v>
      </c>
      <c r="N188" s="1">
        <f>6030+190+114+58</f>
        <v>6392</v>
      </c>
      <c r="O188" s="1">
        <f>5209+85+28</f>
        <v>5322</v>
      </c>
      <c r="P188" s="1">
        <v>6103</v>
      </c>
      <c r="Q188" s="55">
        <f t="shared" si="34"/>
        <v>17817</v>
      </c>
      <c r="R188" s="55">
        <f>+E188+I188+M188+Q188</f>
        <v>47217</v>
      </c>
    </row>
    <row r="189" spans="1:20" ht="15.75" customHeight="1" x14ac:dyDescent="0.3">
      <c r="A189" s="71" t="s">
        <v>850</v>
      </c>
      <c r="B189" s="1"/>
      <c r="C189" s="1"/>
      <c r="D189" s="1"/>
      <c r="E189" s="55">
        <f t="shared" ref="E189" si="45">SUM(B189:D189)</f>
        <v>0</v>
      </c>
      <c r="F189" s="1"/>
      <c r="G189" s="1">
        <v>138</v>
      </c>
      <c r="H189" s="1">
        <f>138+500</f>
        <v>638</v>
      </c>
      <c r="I189" s="55">
        <f t="shared" si="31"/>
        <v>776</v>
      </c>
      <c r="J189" s="1">
        <f>104+500+1588</f>
        <v>2192</v>
      </c>
      <c r="K189" s="1">
        <f>72+500+500</f>
        <v>1072</v>
      </c>
      <c r="L189" s="1">
        <f>59+200</f>
        <v>259</v>
      </c>
      <c r="M189" s="55">
        <f t="shared" si="32"/>
        <v>3523</v>
      </c>
      <c r="N189" s="1">
        <f>2490</f>
        <v>2490</v>
      </c>
      <c r="O189" s="1"/>
      <c r="P189" s="1"/>
      <c r="Q189" s="55">
        <f t="shared" si="34"/>
        <v>2490</v>
      </c>
      <c r="R189" s="55">
        <f t="shared" si="29"/>
        <v>6789</v>
      </c>
      <c r="S189" s="4" t="s">
        <v>821</v>
      </c>
    </row>
    <row r="190" spans="1:20" ht="15.75" customHeight="1" x14ac:dyDescent="0.3">
      <c r="A190" s="84" t="s">
        <v>851</v>
      </c>
      <c r="B190" s="1"/>
      <c r="C190" s="1"/>
      <c r="D190" s="1"/>
      <c r="E190" s="55">
        <f t="shared" ref="E190:E195" si="46">SUM(B190:D190)</f>
        <v>0</v>
      </c>
      <c r="F190" s="1"/>
      <c r="G190" s="1"/>
      <c r="H190" s="1"/>
      <c r="I190" s="55">
        <f t="shared" ref="I190:I195" si="47">SUM(F190:H190)</f>
        <v>0</v>
      </c>
      <c r="J190" s="1"/>
      <c r="K190" s="1"/>
      <c r="L190" s="1"/>
      <c r="M190" s="55">
        <f t="shared" ref="M190:M195" si="48">SUM(J190:L190)</f>
        <v>0</v>
      </c>
      <c r="N190" s="1"/>
      <c r="O190" s="1"/>
      <c r="P190" s="1"/>
      <c r="Q190" s="55">
        <f t="shared" si="34"/>
        <v>0</v>
      </c>
      <c r="R190" s="55">
        <f t="shared" si="29"/>
        <v>0</v>
      </c>
      <c r="T190" s="4" t="s">
        <v>818</v>
      </c>
    </row>
    <row r="191" spans="1:20" ht="15.75" customHeight="1" x14ac:dyDescent="0.3">
      <c r="A191" s="84" t="s">
        <v>852</v>
      </c>
      <c r="B191" s="1"/>
      <c r="C191" s="1"/>
      <c r="D191" s="1"/>
      <c r="E191" s="55">
        <f t="shared" si="46"/>
        <v>0</v>
      </c>
      <c r="F191" s="1"/>
      <c r="G191" s="1"/>
      <c r="H191" s="1"/>
      <c r="I191" s="55">
        <f t="shared" si="47"/>
        <v>0</v>
      </c>
      <c r="J191" s="1"/>
      <c r="K191" s="1"/>
      <c r="L191" s="1"/>
      <c r="M191" s="55">
        <f t="shared" si="48"/>
        <v>0</v>
      </c>
      <c r="N191" s="1"/>
      <c r="O191" s="1"/>
      <c r="P191" s="1"/>
      <c r="Q191" s="55">
        <f t="shared" si="34"/>
        <v>0</v>
      </c>
      <c r="R191" s="55">
        <f>+E191+I191+M191+Q191</f>
        <v>0</v>
      </c>
    </row>
    <row r="192" spans="1:20" ht="15.75" customHeight="1" x14ac:dyDescent="0.3">
      <c r="A192" s="84" t="s">
        <v>853</v>
      </c>
      <c r="B192" s="1"/>
      <c r="C192" s="1"/>
      <c r="D192" s="1"/>
      <c r="E192" s="55">
        <f t="shared" si="46"/>
        <v>0</v>
      </c>
      <c r="F192" s="1">
        <v>1000</v>
      </c>
      <c r="G192" s="1">
        <v>1000</v>
      </c>
      <c r="H192" s="1">
        <v>1502</v>
      </c>
      <c r="I192" s="55">
        <f t="shared" si="47"/>
        <v>3502</v>
      </c>
      <c r="J192" s="1">
        <v>1000</v>
      </c>
      <c r="K192" s="1">
        <v>799</v>
      </c>
      <c r="L192" s="1">
        <v>900</v>
      </c>
      <c r="M192" s="55">
        <f t="shared" si="48"/>
        <v>2699</v>
      </c>
      <c r="N192" s="1">
        <v>900</v>
      </c>
      <c r="O192" s="1">
        <v>900</v>
      </c>
      <c r="P192" s="1"/>
      <c r="Q192" s="55">
        <f t="shared" si="34"/>
        <v>1800</v>
      </c>
      <c r="R192" s="55">
        <f t="shared" si="29"/>
        <v>8001</v>
      </c>
    </row>
    <row r="193" spans="1:20" ht="15.75" customHeight="1" x14ac:dyDescent="0.3">
      <c r="A193" s="71" t="s">
        <v>854</v>
      </c>
      <c r="B193" s="1">
        <v>122</v>
      </c>
      <c r="C193" s="1">
        <v>300</v>
      </c>
      <c r="D193" s="1"/>
      <c r="E193" s="55">
        <f t="shared" si="46"/>
        <v>422</v>
      </c>
      <c r="F193" s="1">
        <v>350</v>
      </c>
      <c r="G193" s="1">
        <v>750</v>
      </c>
      <c r="H193" s="1">
        <v>450</v>
      </c>
      <c r="I193" s="55">
        <f t="shared" si="47"/>
        <v>1550</v>
      </c>
      <c r="J193" s="1">
        <v>493</v>
      </c>
      <c r="K193" s="1">
        <v>401</v>
      </c>
      <c r="L193" s="1">
        <v>301</v>
      </c>
      <c r="M193" s="55">
        <f t="shared" si="48"/>
        <v>1195</v>
      </c>
      <c r="N193" s="1">
        <v>450</v>
      </c>
      <c r="O193" s="1">
        <v>350</v>
      </c>
      <c r="P193" s="1">
        <v>348</v>
      </c>
      <c r="Q193" s="55">
        <f t="shared" si="34"/>
        <v>1148</v>
      </c>
      <c r="R193" s="55">
        <f>+E193+I193+M193+Q193</f>
        <v>4315</v>
      </c>
      <c r="S193" s="4" t="s">
        <v>821</v>
      </c>
      <c r="T193" s="4" t="s">
        <v>822</v>
      </c>
    </row>
    <row r="194" spans="1:20" ht="15.75" customHeight="1" x14ac:dyDescent="0.3">
      <c r="A194" s="71" t="s">
        <v>700</v>
      </c>
      <c r="B194" s="1">
        <v>2</v>
      </c>
      <c r="C194" s="1">
        <v>2</v>
      </c>
      <c r="D194" s="1">
        <v>2</v>
      </c>
      <c r="E194" s="55">
        <f t="shared" si="46"/>
        <v>6</v>
      </c>
      <c r="F194" s="1">
        <v>3</v>
      </c>
      <c r="G194" s="1">
        <v>3</v>
      </c>
      <c r="H194" s="1">
        <v>4</v>
      </c>
      <c r="I194" s="55">
        <f t="shared" si="47"/>
        <v>10</v>
      </c>
      <c r="J194" s="1">
        <v>4</v>
      </c>
      <c r="K194" s="1">
        <v>3</v>
      </c>
      <c r="L194" s="1">
        <v>2</v>
      </c>
      <c r="M194" s="55">
        <f t="shared" si="48"/>
        <v>9</v>
      </c>
      <c r="N194" s="1">
        <v>3</v>
      </c>
      <c r="O194" s="1">
        <v>3</v>
      </c>
      <c r="P194" s="1">
        <v>7</v>
      </c>
      <c r="Q194" s="55">
        <f t="shared" si="34"/>
        <v>13</v>
      </c>
      <c r="R194" s="55">
        <f>+E194+I194+M194+Q194</f>
        <v>38</v>
      </c>
      <c r="S194" s="4">
        <f>SUM(R141:R194)</f>
        <v>275981</v>
      </c>
    </row>
    <row r="195" spans="1:20" ht="15.75" customHeight="1" x14ac:dyDescent="0.3">
      <c r="A195" s="71" t="s">
        <v>855</v>
      </c>
      <c r="B195" s="1"/>
      <c r="C195" s="1"/>
      <c r="D195" s="1"/>
      <c r="E195" s="55">
        <f t="shared" si="46"/>
        <v>0</v>
      </c>
      <c r="F195" s="1"/>
      <c r="G195" s="1"/>
      <c r="H195" s="1"/>
      <c r="I195" s="55">
        <f t="shared" si="47"/>
        <v>0</v>
      </c>
      <c r="J195" s="1"/>
      <c r="K195" s="1"/>
      <c r="L195" s="1"/>
      <c r="M195" s="55">
        <f t="shared" si="48"/>
        <v>0</v>
      </c>
      <c r="N195" s="1"/>
      <c r="O195" s="1"/>
      <c r="P195" s="1"/>
      <c r="Q195" s="55">
        <f t="shared" si="34"/>
        <v>0</v>
      </c>
      <c r="R195" s="55">
        <f>+E195+I195+M195+Q195</f>
        <v>0</v>
      </c>
      <c r="S195" s="465" t="s">
        <v>821</v>
      </c>
      <c r="T195" s="4" t="s">
        <v>822</v>
      </c>
    </row>
    <row r="196" spans="1:20" ht="15.75" customHeight="1" x14ac:dyDescent="0.3">
      <c r="A196" s="15" t="s">
        <v>50</v>
      </c>
      <c r="B196" s="1"/>
      <c r="C196" s="1"/>
      <c r="D196" s="1"/>
      <c r="E196" s="55" t="s">
        <v>7</v>
      </c>
      <c r="F196" s="1"/>
      <c r="G196" s="1"/>
      <c r="H196" s="1"/>
      <c r="I196" s="55" t="s">
        <v>7</v>
      </c>
      <c r="J196" s="1"/>
      <c r="K196" s="1"/>
      <c r="L196" s="1"/>
      <c r="M196" s="55" t="s">
        <v>7</v>
      </c>
      <c r="N196" s="1"/>
      <c r="O196" s="1"/>
      <c r="P196" s="1"/>
      <c r="Q196" s="55" t="s">
        <v>7</v>
      </c>
      <c r="R196" s="55" t="s">
        <v>7</v>
      </c>
    </row>
    <row r="197" spans="1:20" ht="15.75" customHeight="1" x14ac:dyDescent="0.3">
      <c r="A197" s="71" t="s">
        <v>701</v>
      </c>
      <c r="B197" s="1"/>
      <c r="C197" s="1"/>
      <c r="D197" s="1"/>
      <c r="E197" s="55">
        <f t="shared" ref="E197:E206" si="49">SUM(B197:D197)</f>
        <v>0</v>
      </c>
      <c r="F197" s="1"/>
      <c r="G197" s="1"/>
      <c r="H197" s="1"/>
      <c r="I197" s="55">
        <f t="shared" ref="I197:I206" si="50">SUM(F197:H197)</f>
        <v>0</v>
      </c>
      <c r="J197" s="1"/>
      <c r="K197" s="1"/>
      <c r="L197" s="1"/>
      <c r="M197" s="55">
        <f t="shared" ref="M197:M206" si="51">SUM(J197:L197)</f>
        <v>0</v>
      </c>
      <c r="N197" s="1"/>
      <c r="O197" s="1"/>
      <c r="P197" s="1"/>
      <c r="Q197" s="55">
        <f t="shared" ref="Q197:Q206" si="52">SUM(N197:P197)</f>
        <v>0</v>
      </c>
      <c r="R197" s="55">
        <f t="shared" ref="R197:R206" si="53">+E197+I197+M197+Q197</f>
        <v>0</v>
      </c>
    </row>
    <row r="198" spans="1:20" ht="15.75" customHeight="1" x14ac:dyDescent="0.3">
      <c r="A198" s="71" t="s">
        <v>127</v>
      </c>
      <c r="B198" s="1"/>
      <c r="C198" s="1"/>
      <c r="D198" s="1"/>
      <c r="E198" s="55">
        <f>SUM(B198:D198)</f>
        <v>0</v>
      </c>
      <c r="F198" s="1"/>
      <c r="G198" s="1"/>
      <c r="H198" s="1"/>
      <c r="I198" s="55">
        <f>SUM(F198:H198)</f>
        <v>0</v>
      </c>
      <c r="J198" s="1"/>
      <c r="K198" s="1"/>
      <c r="L198" s="1"/>
      <c r="M198" s="55">
        <f>SUM(J198:L198)</f>
        <v>0</v>
      </c>
      <c r="N198" s="1"/>
      <c r="O198" s="1"/>
      <c r="P198" s="1"/>
      <c r="Q198" s="55">
        <f>SUM(N198:P198)</f>
        <v>0</v>
      </c>
      <c r="R198" s="55">
        <f>+E198+I198+M198+Q198</f>
        <v>0</v>
      </c>
      <c r="T198" s="4" t="s">
        <v>406</v>
      </c>
    </row>
    <row r="199" spans="1:20" ht="15.75" customHeight="1" x14ac:dyDescent="0.3">
      <c r="A199" s="71" t="s">
        <v>128</v>
      </c>
      <c r="B199" s="1"/>
      <c r="C199" s="1"/>
      <c r="D199" s="1"/>
      <c r="E199" s="55">
        <f t="shared" si="49"/>
        <v>0</v>
      </c>
      <c r="F199" s="1"/>
      <c r="G199" s="1"/>
      <c r="H199" s="1"/>
      <c r="I199" s="55">
        <f t="shared" si="50"/>
        <v>0</v>
      </c>
      <c r="J199" s="1"/>
      <c r="K199" s="1"/>
      <c r="L199" s="1"/>
      <c r="M199" s="55">
        <f t="shared" si="51"/>
        <v>0</v>
      </c>
      <c r="N199" s="1"/>
      <c r="O199" s="1"/>
      <c r="P199" s="1"/>
      <c r="Q199" s="55">
        <f t="shared" si="52"/>
        <v>0</v>
      </c>
      <c r="R199" s="55">
        <f t="shared" si="53"/>
        <v>0</v>
      </c>
    </row>
    <row r="200" spans="1:20" ht="15.75" customHeight="1" x14ac:dyDescent="0.3">
      <c r="A200" s="71" t="s">
        <v>856</v>
      </c>
      <c r="B200" s="1"/>
      <c r="C200" s="1"/>
      <c r="D200" s="1"/>
      <c r="E200" s="55">
        <f t="shared" si="49"/>
        <v>0</v>
      </c>
      <c r="F200" s="1"/>
      <c r="G200" s="1"/>
      <c r="H200" s="1"/>
      <c r="I200" s="55">
        <f t="shared" si="50"/>
        <v>0</v>
      </c>
      <c r="J200" s="1"/>
      <c r="K200" s="1"/>
      <c r="L200" s="1"/>
      <c r="M200" s="55">
        <f t="shared" si="51"/>
        <v>0</v>
      </c>
      <c r="N200" s="1"/>
      <c r="O200" s="1"/>
      <c r="P200" s="1"/>
      <c r="Q200" s="55">
        <f t="shared" si="52"/>
        <v>0</v>
      </c>
      <c r="R200" s="55">
        <f t="shared" si="53"/>
        <v>0</v>
      </c>
      <c r="T200" s="4" t="s">
        <v>822</v>
      </c>
    </row>
    <row r="201" spans="1:20" ht="15.75" customHeight="1" x14ac:dyDescent="0.3">
      <c r="A201" s="71" t="s">
        <v>540</v>
      </c>
      <c r="B201" s="1"/>
      <c r="C201" s="1"/>
      <c r="D201" s="1"/>
      <c r="E201" s="55">
        <f t="shared" si="49"/>
        <v>0</v>
      </c>
      <c r="F201" s="1"/>
      <c r="G201" s="1"/>
      <c r="H201" s="1"/>
      <c r="I201" s="55">
        <f t="shared" si="50"/>
        <v>0</v>
      </c>
      <c r="J201" s="1"/>
      <c r="K201" s="1"/>
      <c r="L201" s="1"/>
      <c r="M201" s="55">
        <f t="shared" si="51"/>
        <v>0</v>
      </c>
      <c r="N201" s="1"/>
      <c r="O201" s="1"/>
      <c r="P201" s="1"/>
      <c r="Q201" s="55">
        <f t="shared" si="52"/>
        <v>0</v>
      </c>
      <c r="R201" s="55">
        <f t="shared" si="53"/>
        <v>0</v>
      </c>
    </row>
    <row r="202" spans="1:20" ht="15.75" customHeight="1" x14ac:dyDescent="0.3">
      <c r="A202" s="71" t="s">
        <v>132</v>
      </c>
      <c r="B202" s="1"/>
      <c r="C202" s="1"/>
      <c r="D202" s="1"/>
      <c r="E202" s="55">
        <f t="shared" si="49"/>
        <v>0</v>
      </c>
      <c r="F202" s="1"/>
      <c r="G202" s="1"/>
      <c r="H202" s="1"/>
      <c r="I202" s="55">
        <f t="shared" si="50"/>
        <v>0</v>
      </c>
      <c r="J202" s="1"/>
      <c r="K202" s="1"/>
      <c r="L202" s="1"/>
      <c r="M202" s="55">
        <f t="shared" si="51"/>
        <v>0</v>
      </c>
      <c r="N202" s="1"/>
      <c r="O202" s="1"/>
      <c r="P202" s="1"/>
      <c r="Q202" s="55">
        <f t="shared" si="52"/>
        <v>0</v>
      </c>
      <c r="R202" s="55">
        <f t="shared" si="53"/>
        <v>0</v>
      </c>
    </row>
    <row r="203" spans="1:20" ht="15.75" customHeight="1" x14ac:dyDescent="0.3">
      <c r="A203" s="84" t="s">
        <v>614</v>
      </c>
      <c r="B203" s="1"/>
      <c r="C203" s="1"/>
      <c r="D203" s="1"/>
      <c r="E203" s="55">
        <f t="shared" si="49"/>
        <v>0</v>
      </c>
      <c r="F203" s="1"/>
      <c r="G203" s="1"/>
      <c r="H203" s="1"/>
      <c r="I203" s="55">
        <f t="shared" si="50"/>
        <v>0</v>
      </c>
      <c r="J203" s="1"/>
      <c r="K203" s="1"/>
      <c r="L203" s="1"/>
      <c r="M203" s="55">
        <f t="shared" si="51"/>
        <v>0</v>
      </c>
      <c r="N203" s="1"/>
      <c r="O203" s="1"/>
      <c r="P203" s="1"/>
      <c r="Q203" s="55">
        <f t="shared" si="52"/>
        <v>0</v>
      </c>
      <c r="R203" s="55">
        <f t="shared" si="53"/>
        <v>0</v>
      </c>
      <c r="T203" s="4" t="s">
        <v>812</v>
      </c>
    </row>
    <row r="204" spans="1:20" ht="15.75" customHeight="1" x14ac:dyDescent="0.3">
      <c r="A204" s="71" t="s">
        <v>857</v>
      </c>
      <c r="B204" s="1"/>
      <c r="C204" s="1"/>
      <c r="D204" s="1"/>
      <c r="E204" s="55">
        <f t="shared" si="49"/>
        <v>0</v>
      </c>
      <c r="F204" s="1"/>
      <c r="G204" s="1"/>
      <c r="H204" s="1"/>
      <c r="I204" s="55">
        <f t="shared" si="50"/>
        <v>0</v>
      </c>
      <c r="J204" s="1"/>
      <c r="K204" s="1"/>
      <c r="L204" s="1"/>
      <c r="M204" s="55">
        <f t="shared" si="51"/>
        <v>0</v>
      </c>
      <c r="N204" s="1"/>
      <c r="O204" s="1"/>
      <c r="P204" s="1"/>
      <c r="Q204" s="55">
        <f t="shared" si="52"/>
        <v>0</v>
      </c>
      <c r="R204" s="55">
        <f t="shared" si="53"/>
        <v>0</v>
      </c>
      <c r="T204" s="4" t="s">
        <v>822</v>
      </c>
    </row>
    <row r="205" spans="1:20" ht="15.75" customHeight="1" x14ac:dyDescent="0.3">
      <c r="A205" s="71" t="s">
        <v>858</v>
      </c>
      <c r="B205" s="1"/>
      <c r="C205" s="1"/>
      <c r="D205" s="1"/>
      <c r="E205" s="55">
        <f t="shared" si="49"/>
        <v>0</v>
      </c>
      <c r="F205" s="1"/>
      <c r="G205" s="1"/>
      <c r="H205" s="1"/>
      <c r="I205" s="55">
        <f t="shared" si="50"/>
        <v>0</v>
      </c>
      <c r="J205" s="1"/>
      <c r="K205" s="1"/>
      <c r="L205" s="1"/>
      <c r="M205" s="55">
        <f t="shared" si="51"/>
        <v>0</v>
      </c>
      <c r="N205" s="1"/>
      <c r="O205" s="1"/>
      <c r="P205" s="1"/>
      <c r="Q205" s="55">
        <f t="shared" si="52"/>
        <v>0</v>
      </c>
      <c r="R205" s="55">
        <f t="shared" si="53"/>
        <v>0</v>
      </c>
      <c r="T205" s="4" t="s">
        <v>859</v>
      </c>
    </row>
    <row r="206" spans="1:20" ht="15.75" customHeight="1" x14ac:dyDescent="0.3">
      <c r="A206" s="84" t="s">
        <v>135</v>
      </c>
      <c r="B206" s="1"/>
      <c r="C206" s="1"/>
      <c r="D206" s="1"/>
      <c r="E206" s="55">
        <f t="shared" si="49"/>
        <v>0</v>
      </c>
      <c r="F206" s="1"/>
      <c r="G206" s="1"/>
      <c r="H206" s="1"/>
      <c r="I206" s="55">
        <f t="shared" si="50"/>
        <v>0</v>
      </c>
      <c r="J206" s="1"/>
      <c r="K206" s="1"/>
      <c r="L206" s="1"/>
      <c r="M206" s="55">
        <f t="shared" si="51"/>
        <v>0</v>
      </c>
      <c r="N206" s="1"/>
      <c r="O206" s="1"/>
      <c r="P206" s="1"/>
      <c r="Q206" s="55">
        <f t="shared" si="52"/>
        <v>0</v>
      </c>
      <c r="R206" s="55">
        <f t="shared" si="53"/>
        <v>0</v>
      </c>
    </row>
    <row r="207" spans="1:20" ht="15.75" customHeight="1" x14ac:dyDescent="0.3">
      <c r="A207" s="15" t="s">
        <v>1186</v>
      </c>
      <c r="B207" s="1"/>
      <c r="C207" s="1"/>
      <c r="D207" s="1"/>
      <c r="E207" s="55" t="s">
        <v>7</v>
      </c>
      <c r="F207" s="1"/>
      <c r="G207" s="1"/>
      <c r="H207" s="1"/>
      <c r="I207" s="55" t="s">
        <v>7</v>
      </c>
      <c r="J207" s="1"/>
      <c r="K207" s="1"/>
      <c r="L207" s="1"/>
      <c r="M207" s="55" t="s">
        <v>7</v>
      </c>
      <c r="N207" s="1"/>
      <c r="O207" s="1"/>
      <c r="P207" s="1"/>
      <c r="Q207" s="55" t="s">
        <v>7</v>
      </c>
      <c r="R207" s="55" t="s">
        <v>7</v>
      </c>
    </row>
    <row r="208" spans="1:20" ht="15.75" customHeight="1" x14ac:dyDescent="0.3">
      <c r="A208" s="85" t="s">
        <v>1276</v>
      </c>
      <c r="B208" s="1"/>
      <c r="C208" s="1"/>
      <c r="D208" s="1"/>
      <c r="E208" s="55">
        <f>SUM(B208:D208)</f>
        <v>0</v>
      </c>
      <c r="F208" s="1"/>
      <c r="G208" s="1"/>
      <c r="H208" s="1"/>
      <c r="I208" s="55">
        <f>SUM(F208:H208)</f>
        <v>0</v>
      </c>
      <c r="J208" s="1"/>
      <c r="K208" s="1"/>
      <c r="L208" s="1"/>
      <c r="M208" s="55">
        <f>SUM(J208:L208)</f>
        <v>0</v>
      </c>
      <c r="N208" s="1"/>
      <c r="O208" s="1"/>
      <c r="P208" s="1"/>
      <c r="Q208" s="55">
        <f>SUM(N208:P208)</f>
        <v>0</v>
      </c>
      <c r="R208" s="55">
        <f>+E208+I208+M208+Q208</f>
        <v>0</v>
      </c>
      <c r="S208" s="478" t="s">
        <v>1259</v>
      </c>
      <c r="T208" s="4" t="s">
        <v>818</v>
      </c>
    </row>
    <row r="209" spans="1:20" ht="15.75" customHeight="1" x14ac:dyDescent="0.3">
      <c r="A209" s="85" t="s">
        <v>1277</v>
      </c>
      <c r="B209" s="1"/>
      <c r="C209" s="1"/>
      <c r="D209" s="1"/>
      <c r="E209" s="55">
        <f>SUM(B209:D209)</f>
        <v>0</v>
      </c>
      <c r="F209" s="1"/>
      <c r="G209" s="1"/>
      <c r="H209" s="1"/>
      <c r="I209" s="55">
        <f>SUM(F209:H209)</f>
        <v>0</v>
      </c>
      <c r="J209" s="1"/>
      <c r="K209" s="1"/>
      <c r="L209" s="1"/>
      <c r="M209" s="55">
        <f>SUM(J209:L209)</f>
        <v>0</v>
      </c>
      <c r="N209" s="1">
        <v>80</v>
      </c>
      <c r="O209" s="1"/>
      <c r="P209" s="1"/>
      <c r="Q209" s="55">
        <f>SUM(N209:P209)</f>
        <v>80</v>
      </c>
      <c r="R209" s="55">
        <f>+E209+I209+M209+Q209</f>
        <v>80</v>
      </c>
      <c r="S209" s="478" t="s">
        <v>1259</v>
      </c>
      <c r="T209" s="4" t="s">
        <v>819</v>
      </c>
    </row>
    <row r="210" spans="1:20" ht="15.75" customHeight="1" x14ac:dyDescent="0.3">
      <c r="A210" s="61" t="s">
        <v>1278</v>
      </c>
      <c r="B210" s="1">
        <v>10</v>
      </c>
      <c r="C210" s="1">
        <v>3</v>
      </c>
      <c r="D210" s="1">
        <v>18</v>
      </c>
      <c r="E210" s="55">
        <f>SUM(B210:D210)</f>
        <v>31</v>
      </c>
      <c r="F210" s="1">
        <v>113</v>
      </c>
      <c r="G210" s="1">
        <v>102</v>
      </c>
      <c r="H210" s="1">
        <v>164</v>
      </c>
      <c r="I210" s="55">
        <f>SUM(F210:H210)</f>
        <v>379</v>
      </c>
      <c r="J210" s="1">
        <v>182</v>
      </c>
      <c r="K210" s="1">
        <v>170</v>
      </c>
      <c r="L210" s="1">
        <v>96</v>
      </c>
      <c r="M210" s="55">
        <f>SUM(J210:L210)</f>
        <v>448</v>
      </c>
      <c r="N210" s="1">
        <v>118</v>
      </c>
      <c r="O210" s="1">
        <v>44</v>
      </c>
      <c r="P210" s="1">
        <v>240</v>
      </c>
      <c r="Q210" s="55">
        <f>SUM(N210:P210)</f>
        <v>402</v>
      </c>
      <c r="R210" s="55">
        <f>+E210+I210+M210+Q210</f>
        <v>1260</v>
      </c>
      <c r="S210" s="478" t="s">
        <v>1259</v>
      </c>
      <c r="T210" s="4" t="s">
        <v>862</v>
      </c>
    </row>
    <row r="211" spans="1:20" ht="15.75" customHeight="1" thickBot="1" x14ac:dyDescent="0.35">
      <c r="A211" s="15" t="s">
        <v>53</v>
      </c>
      <c r="B211" s="1"/>
      <c r="C211" s="1"/>
      <c r="D211" s="1"/>
      <c r="E211" s="55" t="s">
        <v>7</v>
      </c>
      <c r="F211" s="1"/>
      <c r="G211" s="1"/>
      <c r="H211" s="1"/>
      <c r="I211" s="55" t="s">
        <v>7</v>
      </c>
      <c r="J211" s="1"/>
      <c r="K211" s="1"/>
      <c r="L211" s="1"/>
      <c r="M211" s="55" t="s">
        <v>7</v>
      </c>
      <c r="N211" s="1"/>
      <c r="O211" s="1"/>
      <c r="P211" s="1"/>
      <c r="Q211" s="55" t="s">
        <v>7</v>
      </c>
      <c r="R211" s="55" t="s">
        <v>7</v>
      </c>
    </row>
    <row r="212" spans="1:20" ht="16.5" customHeight="1" thickBot="1" x14ac:dyDescent="0.35">
      <c r="A212" s="57" t="s">
        <v>54</v>
      </c>
      <c r="B212" s="86">
        <f>SUM(B139:B211)</f>
        <v>13055</v>
      </c>
      <c r="C212" s="87">
        <f>SUM(C139:C211)</f>
        <v>10559</v>
      </c>
      <c r="D212" s="87">
        <f>SUM(D139:D211)</f>
        <v>13837</v>
      </c>
      <c r="E212" s="59">
        <f>SUM(B212:D212)</f>
        <v>37451</v>
      </c>
      <c r="F212" s="87">
        <f>SUM(F139:F211)</f>
        <v>20412</v>
      </c>
      <c r="G212" s="87">
        <f>SUM(G139:G211)</f>
        <v>30954</v>
      </c>
      <c r="H212" s="87">
        <f>SUM(H139:H211)</f>
        <v>45383</v>
      </c>
      <c r="I212" s="59">
        <f>SUM(F212:H212)</f>
        <v>96749</v>
      </c>
      <c r="J212" s="87">
        <f>SUM(J139:J211)</f>
        <v>46687</v>
      </c>
      <c r="K212" s="87">
        <f>SUM(K139:K211)</f>
        <v>37713</v>
      </c>
      <c r="L212" s="87">
        <f>SUM(L139:L211)</f>
        <v>30439</v>
      </c>
      <c r="M212" s="59">
        <f>SUM(J212:L212)</f>
        <v>114839</v>
      </c>
      <c r="N212" s="87">
        <f>SUM(N139:N211)</f>
        <v>22606</v>
      </c>
      <c r="O212" s="87">
        <f>SUM(O139:O211)</f>
        <v>4432</v>
      </c>
      <c r="P212" s="87">
        <f>SUM(P139:P211)</f>
        <v>1244</v>
      </c>
      <c r="Q212" s="59">
        <f>SUM(N212:P212)</f>
        <v>28282</v>
      </c>
      <c r="R212" s="59">
        <f>+E212+I212+M212+Q212</f>
        <v>277321</v>
      </c>
    </row>
    <row r="213" spans="1:20" ht="15.75" customHeight="1" x14ac:dyDescent="0.3">
      <c r="A213" s="15" t="s">
        <v>55</v>
      </c>
      <c r="B213" s="1"/>
      <c r="C213" s="1"/>
      <c r="D213" s="1"/>
      <c r="E213" s="55" t="s">
        <v>7</v>
      </c>
      <c r="F213" s="1"/>
      <c r="G213" s="1"/>
      <c r="H213" s="1"/>
      <c r="I213" s="55" t="s">
        <v>7</v>
      </c>
      <c r="J213" s="1"/>
      <c r="K213" s="1"/>
      <c r="L213" s="1"/>
      <c r="M213" s="55" t="s">
        <v>7</v>
      </c>
      <c r="N213" s="1"/>
      <c r="O213" s="1"/>
      <c r="P213" s="1"/>
      <c r="Q213" s="55" t="s">
        <v>7</v>
      </c>
      <c r="R213" s="55" t="s">
        <v>7</v>
      </c>
    </row>
    <row r="214" spans="1:20" ht="15.75" customHeight="1" x14ac:dyDescent="0.3">
      <c r="A214" s="15" t="s">
        <v>56</v>
      </c>
      <c r="B214" s="1"/>
      <c r="C214" s="1"/>
      <c r="D214" s="1"/>
      <c r="E214" s="55" t="s">
        <v>7</v>
      </c>
      <c r="F214" s="1"/>
      <c r="G214" s="1"/>
      <c r="H214" s="1"/>
      <c r="I214" s="55" t="s">
        <v>7</v>
      </c>
      <c r="J214" s="1"/>
      <c r="K214" s="1"/>
      <c r="L214" s="1"/>
      <c r="M214" s="55" t="s">
        <v>7</v>
      </c>
      <c r="N214" s="1"/>
      <c r="O214" s="1"/>
      <c r="P214" s="1"/>
      <c r="Q214" s="55" t="s">
        <v>7</v>
      </c>
      <c r="R214" s="55" t="s">
        <v>7</v>
      </c>
    </row>
    <row r="215" spans="1:20" ht="15.75" customHeight="1" x14ac:dyDescent="0.3">
      <c r="A215" s="15" t="s">
        <v>57</v>
      </c>
      <c r="B215" s="1"/>
      <c r="C215" s="1"/>
      <c r="D215" s="1"/>
      <c r="E215" s="55" t="s">
        <v>7</v>
      </c>
      <c r="F215" s="1"/>
      <c r="G215" s="1"/>
      <c r="H215" s="1"/>
      <c r="I215" s="55" t="s">
        <v>7</v>
      </c>
      <c r="J215" s="1"/>
      <c r="K215" s="1"/>
      <c r="L215" s="1"/>
      <c r="M215" s="55" t="s">
        <v>7</v>
      </c>
      <c r="N215" s="1"/>
      <c r="O215" s="1"/>
      <c r="P215" s="1"/>
      <c r="Q215" s="55" t="s">
        <v>7</v>
      </c>
      <c r="R215" s="55" t="s">
        <v>7</v>
      </c>
    </row>
    <row r="216" spans="1:20" ht="15.75" customHeight="1" x14ac:dyDescent="0.3">
      <c r="A216" s="85" t="s">
        <v>616</v>
      </c>
      <c r="B216" s="1"/>
      <c r="C216" s="1"/>
      <c r="D216" s="1"/>
      <c r="E216" s="55">
        <f>SUM(B216:D216)</f>
        <v>0</v>
      </c>
      <c r="F216" s="1"/>
      <c r="G216" s="1"/>
      <c r="H216" s="1"/>
      <c r="I216" s="55">
        <f>SUM(F216:H216)</f>
        <v>0</v>
      </c>
      <c r="J216" s="1"/>
      <c r="K216" s="1"/>
      <c r="L216" s="1"/>
      <c r="M216" s="55">
        <f>SUM(J216:L216)</f>
        <v>0</v>
      </c>
      <c r="N216" s="1"/>
      <c r="O216" s="1"/>
      <c r="P216" s="1"/>
      <c r="Q216" s="55">
        <f>SUM(N216:P216)</f>
        <v>0</v>
      </c>
      <c r="R216" s="55">
        <f>+E216+I216+M216+Q216</f>
        <v>0</v>
      </c>
      <c r="T216" s="4" t="s">
        <v>812</v>
      </c>
    </row>
    <row r="217" spans="1:20" ht="15.75" customHeight="1" x14ac:dyDescent="0.3">
      <c r="A217" s="72" t="s">
        <v>863</v>
      </c>
      <c r="B217" s="1"/>
      <c r="C217" s="1"/>
      <c r="D217" s="1"/>
      <c r="E217" s="55">
        <f>SUM(B217:D217)</f>
        <v>0</v>
      </c>
      <c r="F217" s="1"/>
      <c r="G217" s="1"/>
      <c r="H217" s="1"/>
      <c r="I217" s="55">
        <f>SUM(F217:H217)</f>
        <v>0</v>
      </c>
      <c r="J217" s="1"/>
      <c r="K217" s="1"/>
      <c r="L217" s="1"/>
      <c r="M217" s="55">
        <f>SUM(J217:L217)</f>
        <v>0</v>
      </c>
      <c r="N217" s="1"/>
      <c r="O217" s="1"/>
      <c r="P217" s="1"/>
      <c r="Q217" s="55">
        <f>SUM(N217:P217)</f>
        <v>0</v>
      </c>
      <c r="R217" s="55">
        <f>+E217+I217+M217+Q217</f>
        <v>0</v>
      </c>
      <c r="S217" s="4" t="s">
        <v>821</v>
      </c>
      <c r="T217" s="4" t="s">
        <v>822</v>
      </c>
    </row>
    <row r="218" spans="1:20" ht="15.75" customHeight="1" thickBot="1" x14ac:dyDescent="0.35">
      <c r="A218" s="15" t="s">
        <v>58</v>
      </c>
      <c r="B218" s="1"/>
      <c r="C218" s="1"/>
      <c r="D218" s="1"/>
      <c r="E218" s="55" t="s">
        <v>7</v>
      </c>
      <c r="F218" s="1"/>
      <c r="G218" s="1"/>
      <c r="H218" s="1"/>
      <c r="I218" s="55" t="s">
        <v>7</v>
      </c>
      <c r="J218" s="1"/>
      <c r="K218" s="1"/>
      <c r="L218" s="1"/>
      <c r="M218" s="55" t="s">
        <v>7</v>
      </c>
      <c r="N218" s="1"/>
      <c r="O218" s="1"/>
      <c r="P218" s="1"/>
      <c r="Q218" s="55" t="s">
        <v>7</v>
      </c>
      <c r="R218" s="55" t="s">
        <v>7</v>
      </c>
    </row>
    <row r="219" spans="1:20" ht="16.5" customHeight="1" thickBot="1" x14ac:dyDescent="0.35">
      <c r="A219" s="57" t="s">
        <v>59</v>
      </c>
      <c r="B219" s="86">
        <f>SUM(B213:B218)</f>
        <v>0</v>
      </c>
      <c r="C219" s="87">
        <f>SUM(C213:C218)</f>
        <v>0</v>
      </c>
      <c r="D219" s="87">
        <f>SUM(D213:D218)</f>
        <v>0</v>
      </c>
      <c r="E219" s="59">
        <f>SUM(B219:D219)</f>
        <v>0</v>
      </c>
      <c r="F219" s="87"/>
      <c r="G219" s="87"/>
      <c r="H219" s="87"/>
      <c r="I219" s="59">
        <f>SUM(F219:H219)</f>
        <v>0</v>
      </c>
      <c r="J219" s="87">
        <f>SUM(J213:J218)</f>
        <v>0</v>
      </c>
      <c r="K219" s="87">
        <f>SUM(K213:K218)</f>
        <v>0</v>
      </c>
      <c r="L219" s="87">
        <f>SUM(L213:L218)</f>
        <v>0</v>
      </c>
      <c r="M219" s="59">
        <f>SUM(J219:L219)</f>
        <v>0</v>
      </c>
      <c r="N219" s="87">
        <f>SUM(N213:N218)</f>
        <v>0</v>
      </c>
      <c r="O219" s="87">
        <f>SUM(O213:O218)</f>
        <v>0</v>
      </c>
      <c r="P219" s="87">
        <f>SUM(P213:P218)</f>
        <v>0</v>
      </c>
      <c r="Q219" s="59">
        <f>SUM(N219:P219)</f>
        <v>0</v>
      </c>
      <c r="R219" s="59">
        <f>+E219+I219+M219+Q219</f>
        <v>0</v>
      </c>
    </row>
    <row r="220" spans="1:20" ht="15.75" customHeight="1" x14ac:dyDescent="0.3">
      <c r="A220" s="15" t="s">
        <v>60</v>
      </c>
      <c r="B220" s="1"/>
      <c r="C220" s="1"/>
      <c r="D220" s="1"/>
      <c r="E220" s="55" t="s">
        <v>7</v>
      </c>
      <c r="F220" s="1"/>
      <c r="G220" s="1"/>
      <c r="H220" s="1"/>
      <c r="I220" s="55" t="s">
        <v>7</v>
      </c>
      <c r="J220" s="1"/>
      <c r="K220" s="1"/>
      <c r="L220" s="1"/>
      <c r="M220" s="55" t="s">
        <v>7</v>
      </c>
      <c r="N220" s="1"/>
      <c r="O220" s="1"/>
      <c r="P220" s="1"/>
      <c r="Q220" s="55" t="s">
        <v>7</v>
      </c>
      <c r="R220" s="55" t="s">
        <v>7</v>
      </c>
    </row>
    <row r="221" spans="1:20" ht="15.75" customHeight="1" x14ac:dyDescent="0.3">
      <c r="A221" s="15" t="s">
        <v>61</v>
      </c>
      <c r="B221" s="1"/>
      <c r="C221" s="1"/>
      <c r="D221" s="1"/>
      <c r="E221" s="55" t="s">
        <v>7</v>
      </c>
      <c r="F221" s="1"/>
      <c r="G221" s="1"/>
      <c r="H221" s="1"/>
      <c r="I221" s="55" t="s">
        <v>7</v>
      </c>
      <c r="J221" s="1"/>
      <c r="K221" s="1"/>
      <c r="L221" s="1"/>
      <c r="M221" s="55" t="s">
        <v>7</v>
      </c>
      <c r="N221" s="1"/>
      <c r="O221" s="1"/>
      <c r="P221" s="1"/>
      <c r="Q221" s="55" t="s">
        <v>7</v>
      </c>
      <c r="R221" s="55" t="s">
        <v>7</v>
      </c>
    </row>
    <row r="222" spans="1:20" ht="15.75" customHeight="1" x14ac:dyDescent="0.3">
      <c r="A222" s="15" t="s">
        <v>62</v>
      </c>
      <c r="B222" s="1"/>
      <c r="C222" s="1"/>
      <c r="D222" s="1"/>
      <c r="E222" s="55" t="s">
        <v>7</v>
      </c>
      <c r="F222" s="1"/>
      <c r="G222" s="1"/>
      <c r="H222" s="1"/>
      <c r="I222" s="55" t="s">
        <v>7</v>
      </c>
      <c r="J222" s="1"/>
      <c r="K222" s="1"/>
      <c r="L222" s="1"/>
      <c r="M222" s="55" t="s">
        <v>7</v>
      </c>
      <c r="N222" s="1"/>
      <c r="O222" s="1"/>
      <c r="P222" s="1"/>
      <c r="Q222" s="55" t="s">
        <v>7</v>
      </c>
      <c r="R222" s="55" t="s">
        <v>7</v>
      </c>
    </row>
    <row r="223" spans="1:20" ht="15.75" customHeight="1" x14ac:dyDescent="0.3">
      <c r="A223" s="88" t="s">
        <v>142</v>
      </c>
      <c r="B223" s="1">
        <v>243</v>
      </c>
      <c r="C223" s="1">
        <v>204</v>
      </c>
      <c r="D223" s="1">
        <v>259</v>
      </c>
      <c r="E223" s="55">
        <f t="shared" ref="E223:E230" si="54">SUM(B223:D223)</f>
        <v>706</v>
      </c>
      <c r="F223" s="1">
        <v>356</v>
      </c>
      <c r="G223" s="1">
        <v>394</v>
      </c>
      <c r="H223" s="1">
        <v>466</v>
      </c>
      <c r="I223" s="55">
        <f t="shared" ref="I223:I230" si="55">SUM(F223:H223)</f>
        <v>1216</v>
      </c>
      <c r="J223" s="1">
        <v>525</v>
      </c>
      <c r="K223" s="1">
        <v>482</v>
      </c>
      <c r="L223" s="1">
        <v>440</v>
      </c>
      <c r="M223" s="55">
        <f t="shared" ref="M223:M230" si="56">SUM(J223:L223)</f>
        <v>1447</v>
      </c>
      <c r="N223" s="1">
        <v>468</v>
      </c>
      <c r="O223" s="1">
        <v>389</v>
      </c>
      <c r="P223" s="1">
        <v>342</v>
      </c>
      <c r="Q223" s="55">
        <f t="shared" ref="Q223:Q229" si="57">SUM(N223:P223)</f>
        <v>1199</v>
      </c>
      <c r="R223" s="55">
        <f t="shared" ref="R223:R287" si="58">+E223+I223+M223+Q223</f>
        <v>4568</v>
      </c>
      <c r="T223" s="4" t="s">
        <v>865</v>
      </c>
    </row>
    <row r="224" spans="1:20" ht="15.75" customHeight="1" x14ac:dyDescent="0.3">
      <c r="A224" s="88" t="s">
        <v>143</v>
      </c>
      <c r="B224" s="1"/>
      <c r="C224" s="1"/>
      <c r="D224" s="1">
        <v>357</v>
      </c>
      <c r="E224" s="55">
        <f t="shared" si="54"/>
        <v>357</v>
      </c>
      <c r="F224" s="1"/>
      <c r="G224" s="1"/>
      <c r="H224" s="1"/>
      <c r="I224" s="55">
        <f t="shared" si="55"/>
        <v>0</v>
      </c>
      <c r="J224" s="1"/>
      <c r="K224" s="1"/>
      <c r="L224" s="1"/>
      <c r="M224" s="55">
        <f t="shared" si="56"/>
        <v>0</v>
      </c>
      <c r="N224" s="1"/>
      <c r="O224" s="1"/>
      <c r="P224" s="1"/>
      <c r="Q224" s="55">
        <f t="shared" si="57"/>
        <v>0</v>
      </c>
      <c r="R224" s="55">
        <f t="shared" si="58"/>
        <v>357</v>
      </c>
      <c r="T224" s="4" t="s">
        <v>812</v>
      </c>
    </row>
    <row r="225" spans="1:20" ht="15.75" customHeight="1" x14ac:dyDescent="0.3">
      <c r="A225" s="72" t="s">
        <v>1194</v>
      </c>
      <c r="B225" s="1"/>
      <c r="C225" s="1"/>
      <c r="D225" s="1"/>
      <c r="E225" s="55">
        <f t="shared" si="54"/>
        <v>0</v>
      </c>
      <c r="F225" s="1"/>
      <c r="G225" s="1"/>
      <c r="H225" s="1"/>
      <c r="I225" s="55">
        <f t="shared" si="55"/>
        <v>0</v>
      </c>
      <c r="J225" s="1"/>
      <c r="K225" s="1">
        <v>8</v>
      </c>
      <c r="L225" s="1">
        <v>10</v>
      </c>
      <c r="M225" s="55">
        <f t="shared" si="56"/>
        <v>18</v>
      </c>
      <c r="N225" s="1"/>
      <c r="O225" s="1"/>
      <c r="P225" s="1"/>
      <c r="Q225" s="55">
        <f t="shared" si="57"/>
        <v>0</v>
      </c>
      <c r="R225" s="55">
        <f t="shared" si="58"/>
        <v>18</v>
      </c>
    </row>
    <row r="226" spans="1:20" ht="15.75" customHeight="1" x14ac:dyDescent="0.3">
      <c r="A226" s="88" t="s">
        <v>1279</v>
      </c>
      <c r="B226" s="1">
        <f>17+19</f>
        <v>36</v>
      </c>
      <c r="C226" s="1"/>
      <c r="D226" s="1"/>
      <c r="E226" s="55">
        <f t="shared" si="54"/>
        <v>36</v>
      </c>
      <c r="F226" s="1">
        <v>2</v>
      </c>
      <c r="G226" s="1"/>
      <c r="H226" s="1">
        <v>51</v>
      </c>
      <c r="I226" s="55">
        <f t="shared" si="55"/>
        <v>53</v>
      </c>
      <c r="J226" s="1">
        <f>54+68</f>
        <v>122</v>
      </c>
      <c r="K226" s="1">
        <f>67+68</f>
        <v>135</v>
      </c>
      <c r="L226" s="1">
        <f>49+34</f>
        <v>83</v>
      </c>
      <c r="M226" s="55">
        <f t="shared" si="56"/>
        <v>340</v>
      </c>
      <c r="N226" s="1">
        <v>134</v>
      </c>
      <c r="O226" s="1">
        <v>42</v>
      </c>
      <c r="P226" s="1">
        <v>39</v>
      </c>
      <c r="Q226" s="55">
        <f t="shared" si="57"/>
        <v>215</v>
      </c>
      <c r="R226" s="55">
        <f t="shared" si="58"/>
        <v>644</v>
      </c>
      <c r="T226" s="4" t="s">
        <v>406</v>
      </c>
    </row>
    <row r="227" spans="1:20" ht="15.75" customHeight="1" x14ac:dyDescent="0.3">
      <c r="A227" s="88" t="s">
        <v>866</v>
      </c>
      <c r="B227" s="1"/>
      <c r="C227" s="1"/>
      <c r="D227" s="1"/>
      <c r="E227" s="55">
        <f t="shared" si="54"/>
        <v>0</v>
      </c>
      <c r="F227" s="1"/>
      <c r="G227" s="1"/>
      <c r="H227" s="1"/>
      <c r="I227" s="55">
        <f t="shared" si="55"/>
        <v>0</v>
      </c>
      <c r="J227" s="1"/>
      <c r="K227" s="1">
        <v>100</v>
      </c>
      <c r="L227" s="1"/>
      <c r="M227" s="55">
        <f t="shared" si="56"/>
        <v>100</v>
      </c>
      <c r="N227" s="1">
        <v>800</v>
      </c>
      <c r="O227" s="1"/>
      <c r="P227" s="1"/>
      <c r="Q227" s="55">
        <f t="shared" si="57"/>
        <v>800</v>
      </c>
      <c r="R227" s="55">
        <f>+E227+I227+M227+Q227</f>
        <v>900</v>
      </c>
      <c r="T227" s="4" t="s">
        <v>819</v>
      </c>
    </row>
    <row r="228" spans="1:20" ht="15.75" customHeight="1" x14ac:dyDescent="0.3">
      <c r="A228" s="88" t="s">
        <v>864</v>
      </c>
      <c r="B228" s="1"/>
      <c r="C228" s="1"/>
      <c r="D228" s="1"/>
      <c r="E228" s="55">
        <f t="shared" si="54"/>
        <v>0</v>
      </c>
      <c r="F228" s="1"/>
      <c r="G228" s="1"/>
      <c r="H228" s="1"/>
      <c r="I228" s="55">
        <f t="shared" si="55"/>
        <v>0</v>
      </c>
      <c r="J228" s="1"/>
      <c r="K228" s="1">
        <v>1021</v>
      </c>
      <c r="L228" s="1">
        <v>979</v>
      </c>
      <c r="M228" s="55">
        <f t="shared" si="56"/>
        <v>2000</v>
      </c>
      <c r="N228" s="1"/>
      <c r="O228" s="1"/>
      <c r="P228" s="1"/>
      <c r="Q228" s="55">
        <f t="shared" si="57"/>
        <v>0</v>
      </c>
      <c r="R228" s="55">
        <f>+E228+I228+M228+Q228</f>
        <v>2000</v>
      </c>
      <c r="T228" s="4" t="s">
        <v>819</v>
      </c>
    </row>
    <row r="229" spans="1:20" ht="15.75" customHeight="1" x14ac:dyDescent="0.3">
      <c r="A229" s="72" t="s">
        <v>867</v>
      </c>
      <c r="B229" s="1"/>
      <c r="C229" s="1"/>
      <c r="D229" s="1"/>
      <c r="E229" s="55">
        <f t="shared" si="54"/>
        <v>0</v>
      </c>
      <c r="F229" s="1"/>
      <c r="G229" s="1"/>
      <c r="H229" s="1"/>
      <c r="I229" s="55">
        <f t="shared" si="55"/>
        <v>0</v>
      </c>
      <c r="J229" s="1"/>
      <c r="K229" s="1"/>
      <c r="L229" s="1"/>
      <c r="M229" s="55">
        <f t="shared" si="56"/>
        <v>0</v>
      </c>
      <c r="N229" s="1"/>
      <c r="O229" s="1"/>
      <c r="P229" s="1"/>
      <c r="Q229" s="55">
        <f t="shared" si="57"/>
        <v>0</v>
      </c>
      <c r="R229" s="55">
        <f>+E229+I229+M229+Q229</f>
        <v>0</v>
      </c>
      <c r="S229" s="465"/>
      <c r="T229" s="4" t="s">
        <v>822</v>
      </c>
    </row>
    <row r="230" spans="1:20" ht="15.75" customHeight="1" x14ac:dyDescent="0.3">
      <c r="A230" s="72" t="s">
        <v>1354</v>
      </c>
      <c r="B230" s="1"/>
      <c r="C230" s="1"/>
      <c r="D230" s="1"/>
      <c r="E230" s="55">
        <f t="shared" si="54"/>
        <v>0</v>
      </c>
      <c r="F230" s="1">
        <v>200</v>
      </c>
      <c r="G230" s="1"/>
      <c r="H230" s="1"/>
      <c r="I230" s="55">
        <f t="shared" si="55"/>
        <v>200</v>
      </c>
      <c r="J230" s="1"/>
      <c r="K230" s="1"/>
      <c r="L230" s="1"/>
      <c r="M230" s="55">
        <f t="shared" si="56"/>
        <v>0</v>
      </c>
      <c r="N230" s="1"/>
      <c r="O230" s="1"/>
      <c r="P230" s="1"/>
      <c r="Q230" s="55">
        <f t="shared" ref="Q230" si="59">SUM(N230:P230)</f>
        <v>0</v>
      </c>
      <c r="R230" s="55">
        <f>+E230+I230+M230+Q230</f>
        <v>200</v>
      </c>
      <c r="S230" s="465"/>
    </row>
    <row r="231" spans="1:20" ht="15.75" customHeight="1" x14ac:dyDescent="0.3">
      <c r="A231" s="72" t="s">
        <v>868</v>
      </c>
      <c r="B231" s="1"/>
      <c r="C231" s="1">
        <v>200</v>
      </c>
      <c r="D231" s="1">
        <v>300</v>
      </c>
      <c r="E231" s="55">
        <f>SUM(B231:D231)</f>
        <v>500</v>
      </c>
      <c r="F231" s="1">
        <v>400</v>
      </c>
      <c r="G231" s="1"/>
      <c r="H231" s="1"/>
      <c r="I231" s="55">
        <f t="shared" ref="I231:I285" si="60">SUM(F231:H231)</f>
        <v>400</v>
      </c>
      <c r="J231" s="1"/>
      <c r="K231" s="1"/>
      <c r="L231" s="1"/>
      <c r="M231" s="55">
        <f t="shared" ref="M231:M285" si="61">SUM(J231:L231)</f>
        <v>0</v>
      </c>
      <c r="N231" s="1"/>
      <c r="O231" s="1"/>
      <c r="P231" s="1"/>
      <c r="Q231" s="55">
        <f t="shared" ref="Q231:Q285" si="62">SUM(N231:P231)</f>
        <v>0</v>
      </c>
      <c r="R231" s="55">
        <f t="shared" si="58"/>
        <v>900</v>
      </c>
      <c r="S231" s="4" t="s">
        <v>821</v>
      </c>
    </row>
    <row r="232" spans="1:20" ht="15.75" customHeight="1" x14ac:dyDescent="0.3">
      <c r="A232" s="359" t="s">
        <v>1119</v>
      </c>
      <c r="B232" s="1">
        <v>370</v>
      </c>
      <c r="C232" s="1"/>
      <c r="D232" s="1"/>
      <c r="E232" s="55">
        <f t="shared" ref="E232" si="63">SUM(B232:D232)</f>
        <v>370</v>
      </c>
      <c r="F232" s="1"/>
      <c r="G232" s="1"/>
      <c r="H232" s="1"/>
      <c r="I232" s="55">
        <f t="shared" si="60"/>
        <v>0</v>
      </c>
      <c r="J232" s="1"/>
      <c r="K232" s="1"/>
      <c r="L232" s="1"/>
      <c r="M232" s="55">
        <f t="shared" si="61"/>
        <v>0</v>
      </c>
      <c r="N232" s="1"/>
      <c r="O232" s="1"/>
      <c r="P232" s="1"/>
      <c r="Q232" s="55">
        <f t="shared" si="62"/>
        <v>0</v>
      </c>
      <c r="R232" s="55">
        <f>+E232+I232+M232+Q232</f>
        <v>370</v>
      </c>
      <c r="T232" s="4" t="s">
        <v>919</v>
      </c>
    </row>
    <row r="233" spans="1:20" ht="15.75" customHeight="1" x14ac:dyDescent="0.3">
      <c r="A233" s="72" t="s">
        <v>148</v>
      </c>
      <c r="B233" s="1">
        <v>682</v>
      </c>
      <c r="C233" s="1"/>
      <c r="D233" s="1"/>
      <c r="E233" s="55">
        <f>SUM(B233:D233)</f>
        <v>682</v>
      </c>
      <c r="F233" s="1"/>
      <c r="G233" s="1"/>
      <c r="H233" s="1"/>
      <c r="I233" s="55">
        <f>SUM(F233:H233)</f>
        <v>0</v>
      </c>
      <c r="J233" s="1"/>
      <c r="K233" s="1"/>
      <c r="L233" s="1"/>
      <c r="M233" s="55">
        <f>SUM(J233:L233)</f>
        <v>0</v>
      </c>
      <c r="N233" s="1"/>
      <c r="O233" s="1"/>
      <c r="P233" s="1"/>
      <c r="Q233" s="55">
        <f>SUM(N233:P233)</f>
        <v>0</v>
      </c>
      <c r="R233" s="55">
        <f t="shared" si="58"/>
        <v>682</v>
      </c>
      <c r="T233" s="4" t="s">
        <v>832</v>
      </c>
    </row>
    <row r="234" spans="1:20" ht="15.75" customHeight="1" x14ac:dyDescent="0.3">
      <c r="A234" s="88" t="s">
        <v>1280</v>
      </c>
      <c r="B234" s="1"/>
      <c r="C234" s="1"/>
      <c r="D234" s="1"/>
      <c r="E234" s="55">
        <f>SUM(B234:D234)</f>
        <v>0</v>
      </c>
      <c r="F234" s="1"/>
      <c r="G234" s="1"/>
      <c r="H234" s="1"/>
      <c r="I234" s="55">
        <f>SUM(F234:H234)</f>
        <v>0</v>
      </c>
      <c r="J234" s="1"/>
      <c r="K234" s="1"/>
      <c r="L234" s="1"/>
      <c r="M234" s="55">
        <f>SUM(J234:L234)</f>
        <v>0</v>
      </c>
      <c r="N234" s="1"/>
      <c r="O234" s="1"/>
      <c r="P234" s="1"/>
      <c r="Q234" s="55">
        <f>SUM(N234:P234)</f>
        <v>0</v>
      </c>
      <c r="R234" s="55">
        <f t="shared" si="58"/>
        <v>0</v>
      </c>
    </row>
    <row r="235" spans="1:20" ht="15.75" customHeight="1" x14ac:dyDescent="0.3">
      <c r="A235" s="72" t="s">
        <v>150</v>
      </c>
      <c r="B235" s="1"/>
      <c r="C235" s="1"/>
      <c r="D235" s="1"/>
      <c r="E235" s="55">
        <f t="shared" ref="E235:E277" si="64">SUM(B235:D235)</f>
        <v>0</v>
      </c>
      <c r="F235" s="1"/>
      <c r="G235" s="1"/>
      <c r="H235" s="1"/>
      <c r="I235" s="55">
        <f t="shared" si="60"/>
        <v>0</v>
      </c>
      <c r="J235" s="1"/>
      <c r="K235" s="1"/>
      <c r="L235" s="1"/>
      <c r="M235" s="55">
        <f t="shared" si="61"/>
        <v>0</v>
      </c>
      <c r="N235" s="1"/>
      <c r="O235" s="1"/>
      <c r="P235" s="1"/>
      <c r="Q235" s="55">
        <f t="shared" si="62"/>
        <v>0</v>
      </c>
      <c r="R235" s="55">
        <f t="shared" si="58"/>
        <v>0</v>
      </c>
    </row>
    <row r="236" spans="1:20" ht="15.75" customHeight="1" x14ac:dyDescent="0.3">
      <c r="A236" s="72" t="s">
        <v>151</v>
      </c>
      <c r="B236" s="1">
        <v>23</v>
      </c>
      <c r="C236" s="1"/>
      <c r="D236" s="1"/>
      <c r="E236" s="55">
        <f t="shared" si="64"/>
        <v>23</v>
      </c>
      <c r="F236" s="1"/>
      <c r="G236" s="1"/>
      <c r="H236" s="1"/>
      <c r="I236" s="55">
        <f t="shared" si="60"/>
        <v>0</v>
      </c>
      <c r="J236" s="1"/>
      <c r="K236" s="1"/>
      <c r="L236" s="1"/>
      <c r="M236" s="55">
        <f t="shared" si="61"/>
        <v>0</v>
      </c>
      <c r="N236" s="1"/>
      <c r="O236" s="1"/>
      <c r="P236" s="1"/>
      <c r="Q236" s="55">
        <f t="shared" si="62"/>
        <v>0</v>
      </c>
      <c r="R236" s="55">
        <f t="shared" si="58"/>
        <v>23</v>
      </c>
    </row>
    <row r="237" spans="1:20" ht="15.75" customHeight="1" x14ac:dyDescent="0.3">
      <c r="A237" s="72" t="s">
        <v>870</v>
      </c>
      <c r="B237" s="1">
        <v>23</v>
      </c>
      <c r="C237" s="1"/>
      <c r="D237" s="1"/>
      <c r="E237" s="55">
        <f t="shared" si="64"/>
        <v>23</v>
      </c>
      <c r="F237" s="1"/>
      <c r="G237" s="1"/>
      <c r="H237" s="1"/>
      <c r="I237" s="55">
        <f t="shared" si="60"/>
        <v>0</v>
      </c>
      <c r="J237" s="1"/>
      <c r="K237" s="1"/>
      <c r="L237" s="1"/>
      <c r="M237" s="55">
        <f t="shared" si="61"/>
        <v>0</v>
      </c>
      <c r="N237" s="1"/>
      <c r="O237" s="1"/>
      <c r="P237" s="1"/>
      <c r="Q237" s="55">
        <f t="shared" si="62"/>
        <v>0</v>
      </c>
      <c r="R237" s="55">
        <f t="shared" si="58"/>
        <v>23</v>
      </c>
      <c r="S237" s="4" t="s">
        <v>821</v>
      </c>
      <c r="T237" s="4" t="s">
        <v>822</v>
      </c>
    </row>
    <row r="238" spans="1:20" ht="15.75" customHeight="1" x14ac:dyDescent="0.3">
      <c r="A238" s="72" t="s">
        <v>1195</v>
      </c>
      <c r="B238" s="1"/>
      <c r="C238" s="1"/>
      <c r="D238" s="1"/>
      <c r="E238" s="55">
        <f t="shared" si="64"/>
        <v>0</v>
      </c>
      <c r="F238" s="1"/>
      <c r="G238" s="1"/>
      <c r="H238" s="1"/>
      <c r="I238" s="55">
        <f t="shared" si="60"/>
        <v>0</v>
      </c>
      <c r="J238" s="1"/>
      <c r="K238" s="1"/>
      <c r="L238" s="1"/>
      <c r="M238" s="55">
        <f t="shared" si="61"/>
        <v>0</v>
      </c>
      <c r="N238" s="1"/>
      <c r="O238" s="1"/>
      <c r="P238" s="1"/>
      <c r="Q238" s="55">
        <f t="shared" si="62"/>
        <v>0</v>
      </c>
      <c r="R238" s="55">
        <f t="shared" si="58"/>
        <v>0</v>
      </c>
      <c r="S238" s="4" t="s">
        <v>821</v>
      </c>
      <c r="T238" s="4" t="s">
        <v>822</v>
      </c>
    </row>
    <row r="239" spans="1:20" ht="15.75" customHeight="1" x14ac:dyDescent="0.3">
      <c r="A239" s="72" t="s">
        <v>1196</v>
      </c>
      <c r="B239" s="1"/>
      <c r="C239" s="1"/>
      <c r="D239" s="1"/>
      <c r="E239" s="55">
        <f t="shared" si="64"/>
        <v>0</v>
      </c>
      <c r="G239" s="1"/>
      <c r="H239" s="1"/>
      <c r="I239" s="55">
        <f t="shared" si="60"/>
        <v>0</v>
      </c>
      <c r="J239" s="1"/>
      <c r="K239" s="1"/>
      <c r="L239" s="1"/>
      <c r="M239" s="55">
        <f t="shared" si="61"/>
        <v>0</v>
      </c>
      <c r="N239" s="1"/>
      <c r="O239" s="1"/>
      <c r="P239" s="1"/>
      <c r="Q239" s="55">
        <f t="shared" si="62"/>
        <v>0</v>
      </c>
      <c r="R239" s="55">
        <f t="shared" si="58"/>
        <v>0</v>
      </c>
    </row>
    <row r="240" spans="1:20" ht="15.75" customHeight="1" x14ac:dyDescent="0.3">
      <c r="A240" s="72" t="s">
        <v>1197</v>
      </c>
      <c r="B240" s="1"/>
      <c r="C240" s="1"/>
      <c r="D240" s="1"/>
      <c r="E240" s="55">
        <f t="shared" si="64"/>
        <v>0</v>
      </c>
      <c r="H240" s="1"/>
      <c r="I240" s="55">
        <f t="shared" si="60"/>
        <v>0</v>
      </c>
      <c r="J240" s="1"/>
      <c r="K240" s="1"/>
      <c r="L240" s="1"/>
      <c r="M240" s="55">
        <f t="shared" si="61"/>
        <v>0</v>
      </c>
      <c r="N240" s="1"/>
      <c r="O240" s="1"/>
      <c r="P240" s="1"/>
      <c r="Q240" s="55">
        <f t="shared" si="62"/>
        <v>0</v>
      </c>
      <c r="R240" s="55">
        <f t="shared" si="58"/>
        <v>0</v>
      </c>
    </row>
    <row r="241" spans="1:20" ht="15.75" customHeight="1" x14ac:dyDescent="0.3">
      <c r="A241" s="88" t="s">
        <v>872</v>
      </c>
      <c r="B241" s="1"/>
      <c r="C241" s="1"/>
      <c r="D241" s="1"/>
      <c r="E241" s="55">
        <f t="shared" si="64"/>
        <v>0</v>
      </c>
      <c r="F241" s="1"/>
      <c r="G241" s="1"/>
      <c r="H241" s="1"/>
      <c r="I241" s="55">
        <f t="shared" si="60"/>
        <v>0</v>
      </c>
      <c r="J241" s="1"/>
      <c r="K241" s="1"/>
      <c r="L241" s="1"/>
      <c r="M241" s="55">
        <f t="shared" si="61"/>
        <v>0</v>
      </c>
      <c r="N241" s="1"/>
      <c r="O241" s="1"/>
      <c r="P241" s="1"/>
      <c r="Q241" s="55">
        <f t="shared" si="62"/>
        <v>0</v>
      </c>
      <c r="R241" s="55">
        <f t="shared" si="58"/>
        <v>0</v>
      </c>
      <c r="T241" s="4" t="s">
        <v>812</v>
      </c>
    </row>
    <row r="242" spans="1:20" ht="15.75" customHeight="1" x14ac:dyDescent="0.3">
      <c r="A242" s="72" t="s">
        <v>873</v>
      </c>
      <c r="B242" s="1"/>
      <c r="C242" s="1"/>
      <c r="D242" s="1"/>
      <c r="E242" s="55">
        <f t="shared" si="64"/>
        <v>0</v>
      </c>
      <c r="F242" s="1"/>
      <c r="G242" s="1">
        <v>550</v>
      </c>
      <c r="H242" s="1"/>
      <c r="I242" s="55">
        <f t="shared" si="60"/>
        <v>550</v>
      </c>
      <c r="J242" s="1"/>
      <c r="K242" s="1"/>
      <c r="L242" s="1"/>
      <c r="M242" s="55">
        <f t="shared" si="61"/>
        <v>0</v>
      </c>
      <c r="N242" s="1"/>
      <c r="O242" s="1"/>
      <c r="P242" s="1"/>
      <c r="Q242" s="55">
        <f>SUM(N242:P242)</f>
        <v>0</v>
      </c>
      <c r="R242" s="55">
        <f>+E242+I242+M242+Q242</f>
        <v>550</v>
      </c>
      <c r="S242" s="465"/>
      <c r="T242" s="4" t="s">
        <v>822</v>
      </c>
    </row>
    <row r="243" spans="1:20" ht="15.75" customHeight="1" x14ac:dyDescent="0.3">
      <c r="A243" s="88" t="s">
        <v>874</v>
      </c>
      <c r="B243" s="1"/>
      <c r="C243" s="1"/>
      <c r="D243" s="1"/>
      <c r="E243" s="55">
        <f>SUM(B243:D243)</f>
        <v>0</v>
      </c>
      <c r="F243" s="1"/>
      <c r="G243" s="1"/>
      <c r="H243" s="1"/>
      <c r="I243" s="55">
        <f t="shared" si="60"/>
        <v>0</v>
      </c>
      <c r="J243" s="1"/>
      <c r="K243" s="1"/>
      <c r="L243" s="1"/>
      <c r="M243" s="55">
        <f t="shared" si="61"/>
        <v>0</v>
      </c>
      <c r="N243" s="1"/>
      <c r="O243" s="1"/>
      <c r="P243" s="1"/>
      <c r="Q243" s="55">
        <f t="shared" si="62"/>
        <v>0</v>
      </c>
      <c r="R243" s="55">
        <f t="shared" si="58"/>
        <v>0</v>
      </c>
    </row>
    <row r="244" spans="1:20" ht="15.75" customHeight="1" x14ac:dyDescent="0.3">
      <c r="A244" s="88" t="s">
        <v>875</v>
      </c>
      <c r="B244" s="1"/>
      <c r="C244" s="1"/>
      <c r="D244" s="1"/>
      <c r="E244" s="55">
        <f t="shared" si="64"/>
        <v>0</v>
      </c>
      <c r="F244" s="1"/>
      <c r="G244" s="1"/>
      <c r="H244" s="1"/>
      <c r="I244" s="55">
        <f t="shared" si="60"/>
        <v>0</v>
      </c>
      <c r="J244" s="1"/>
      <c r="K244" s="1"/>
      <c r="L244" s="1"/>
      <c r="M244" s="55">
        <f t="shared" si="61"/>
        <v>0</v>
      </c>
      <c r="N244" s="1"/>
      <c r="O244" s="1"/>
      <c r="P244" s="1"/>
      <c r="Q244" s="55">
        <f t="shared" si="62"/>
        <v>0</v>
      </c>
      <c r="R244" s="55">
        <f t="shared" si="58"/>
        <v>0</v>
      </c>
    </row>
    <row r="245" spans="1:20" ht="15.75" customHeight="1" x14ac:dyDescent="0.3">
      <c r="A245" s="88" t="s">
        <v>876</v>
      </c>
      <c r="B245" s="1"/>
      <c r="C245" s="1">
        <f>630+778</f>
        <v>1408</v>
      </c>
      <c r="D245" s="1">
        <f>1206+1403</f>
        <v>2609</v>
      </c>
      <c r="E245" s="55">
        <f t="shared" ref="E245:E246" si="65">SUM(B245:D245)</f>
        <v>4017</v>
      </c>
      <c r="F245" s="1">
        <v>596</v>
      </c>
      <c r="G245" s="1"/>
      <c r="H245" s="1"/>
      <c r="I245" s="55">
        <f t="shared" si="60"/>
        <v>596</v>
      </c>
      <c r="J245" s="1"/>
      <c r="K245" s="1"/>
      <c r="L245" s="1"/>
      <c r="M245" s="55">
        <f t="shared" si="61"/>
        <v>0</v>
      </c>
      <c r="N245" s="1"/>
      <c r="O245" s="1"/>
      <c r="P245" s="1"/>
      <c r="Q245" s="55">
        <f t="shared" si="62"/>
        <v>0</v>
      </c>
      <c r="R245" s="55">
        <f t="shared" si="58"/>
        <v>4613</v>
      </c>
    </row>
    <row r="246" spans="1:20" ht="15.75" customHeight="1" x14ac:dyDescent="0.3">
      <c r="A246" s="88" t="s">
        <v>877</v>
      </c>
      <c r="B246" s="1"/>
      <c r="C246" s="1"/>
      <c r="D246" s="1"/>
      <c r="E246" s="55">
        <f t="shared" si="65"/>
        <v>0</v>
      </c>
      <c r="F246" s="1"/>
      <c r="G246" s="1"/>
      <c r="H246" s="1"/>
      <c r="I246" s="55">
        <f t="shared" si="60"/>
        <v>0</v>
      </c>
      <c r="J246" s="1"/>
      <c r="K246" s="1"/>
      <c r="L246" s="1"/>
      <c r="M246" s="55">
        <f t="shared" si="61"/>
        <v>0</v>
      </c>
      <c r="N246" s="1"/>
      <c r="O246" s="1"/>
      <c r="P246" s="1"/>
      <c r="Q246" s="55">
        <f t="shared" si="62"/>
        <v>0</v>
      </c>
      <c r="R246" s="55">
        <f t="shared" si="58"/>
        <v>0</v>
      </c>
    </row>
    <row r="247" spans="1:20" ht="15.75" customHeight="1" x14ac:dyDescent="0.3">
      <c r="A247" s="72" t="s">
        <v>878</v>
      </c>
      <c r="B247" s="1">
        <v>809</v>
      </c>
      <c r="C247" s="1">
        <v>732</v>
      </c>
      <c r="D247" s="1">
        <v>846</v>
      </c>
      <c r="E247" s="55">
        <f>SUM(B247:D247)</f>
        <v>2387</v>
      </c>
      <c r="F247" s="1"/>
      <c r="G247" s="1"/>
      <c r="H247" s="1"/>
      <c r="I247" s="55">
        <f t="shared" ref="I247" si="66">SUM(F247:H247)</f>
        <v>0</v>
      </c>
      <c r="J247" s="1"/>
      <c r="K247" s="1"/>
      <c r="L247" s="1"/>
      <c r="M247" s="55">
        <f t="shared" si="61"/>
        <v>0</v>
      </c>
      <c r="N247" s="1"/>
      <c r="O247" s="1"/>
      <c r="P247" s="1"/>
      <c r="Q247" s="55">
        <f t="shared" si="62"/>
        <v>0</v>
      </c>
      <c r="R247" s="55">
        <f t="shared" si="58"/>
        <v>2387</v>
      </c>
    </row>
    <row r="248" spans="1:20" ht="15.75" customHeight="1" x14ac:dyDescent="0.3">
      <c r="A248" s="84" t="s">
        <v>879</v>
      </c>
      <c r="B248" s="1"/>
      <c r="C248" s="1"/>
      <c r="D248" s="1"/>
      <c r="E248" s="55">
        <f>SUM(B248:D248)</f>
        <v>0</v>
      </c>
      <c r="F248" s="1"/>
      <c r="G248" s="1"/>
      <c r="H248" s="1"/>
      <c r="I248" s="55">
        <f t="shared" si="60"/>
        <v>0</v>
      </c>
      <c r="J248" s="1"/>
      <c r="K248" s="1"/>
      <c r="L248" s="1"/>
      <c r="M248" s="55">
        <f t="shared" si="61"/>
        <v>0</v>
      </c>
      <c r="N248" s="1"/>
      <c r="O248" s="1"/>
      <c r="P248" s="1"/>
      <c r="Q248" s="55">
        <f t="shared" si="62"/>
        <v>0</v>
      </c>
      <c r="R248" s="55">
        <f t="shared" si="58"/>
        <v>0</v>
      </c>
    </row>
    <row r="249" spans="1:20" ht="15.75" customHeight="1" x14ac:dyDescent="0.3">
      <c r="A249" s="84" t="s">
        <v>880</v>
      </c>
      <c r="B249" s="1"/>
      <c r="C249" s="1"/>
      <c r="D249" s="1"/>
      <c r="E249" s="55">
        <f>SUM(B249:D249)</f>
        <v>0</v>
      </c>
      <c r="F249" s="1"/>
      <c r="G249" s="1"/>
      <c r="H249" s="1"/>
      <c r="I249" s="55">
        <f t="shared" si="60"/>
        <v>0</v>
      </c>
      <c r="J249" s="1"/>
      <c r="K249" s="1"/>
      <c r="L249" s="1"/>
      <c r="M249" s="55">
        <f t="shared" si="61"/>
        <v>0</v>
      </c>
      <c r="N249" s="1"/>
      <c r="O249" s="1"/>
      <c r="P249" s="1"/>
      <c r="Q249" s="55">
        <f t="shared" si="62"/>
        <v>0</v>
      </c>
      <c r="R249" s="55">
        <f t="shared" si="58"/>
        <v>0</v>
      </c>
    </row>
    <row r="250" spans="1:20" ht="15.75" customHeight="1" x14ac:dyDescent="0.3">
      <c r="A250" s="84" t="s">
        <v>881</v>
      </c>
      <c r="B250" s="1"/>
      <c r="C250" s="1"/>
      <c r="D250" s="1"/>
      <c r="E250" s="55">
        <f>SUM(B250:D250)</f>
        <v>0</v>
      </c>
      <c r="F250" s="1"/>
      <c r="G250" s="1"/>
      <c r="H250" s="1"/>
      <c r="I250" s="55">
        <f t="shared" si="60"/>
        <v>0</v>
      </c>
      <c r="J250" s="1"/>
      <c r="K250" s="1"/>
      <c r="L250" s="1"/>
      <c r="M250" s="55">
        <f t="shared" si="61"/>
        <v>0</v>
      </c>
      <c r="N250" s="1"/>
      <c r="O250" s="1"/>
      <c r="P250" s="1"/>
      <c r="Q250" s="55">
        <f t="shared" si="62"/>
        <v>0</v>
      </c>
      <c r="R250" s="55">
        <f t="shared" si="58"/>
        <v>0</v>
      </c>
      <c r="T250" s="4" t="s">
        <v>812</v>
      </c>
    </row>
    <row r="251" spans="1:20" ht="15.75" customHeight="1" x14ac:dyDescent="0.3">
      <c r="A251" s="479" t="s">
        <v>1355</v>
      </c>
      <c r="B251" s="1"/>
      <c r="C251" s="1"/>
      <c r="D251" s="1"/>
      <c r="E251" s="55">
        <f>SUM(B251:D251)</f>
        <v>0</v>
      </c>
      <c r="F251" s="1"/>
      <c r="G251" s="1"/>
      <c r="H251" s="1"/>
      <c r="I251" s="55">
        <f t="shared" si="60"/>
        <v>0</v>
      </c>
      <c r="J251" s="1"/>
      <c r="K251" s="1"/>
      <c r="L251" s="1"/>
      <c r="M251" s="55">
        <f t="shared" si="61"/>
        <v>0</v>
      </c>
      <c r="N251" s="1"/>
      <c r="O251" s="1"/>
      <c r="P251" s="1"/>
      <c r="Q251" s="55">
        <f>SUM(N251:P251)</f>
        <v>0</v>
      </c>
      <c r="R251" s="55">
        <f t="shared" si="58"/>
        <v>0</v>
      </c>
    </row>
    <row r="252" spans="1:20" ht="15.75" customHeight="1" x14ac:dyDescent="0.3">
      <c r="A252" s="72" t="s">
        <v>1198</v>
      </c>
      <c r="B252" s="1"/>
      <c r="C252" s="1"/>
      <c r="D252" s="1"/>
      <c r="E252" s="55">
        <f t="shared" ref="E252:E255" si="67">SUM(B252:D252)</f>
        <v>0</v>
      </c>
      <c r="F252" s="1"/>
      <c r="G252" s="1"/>
      <c r="H252" s="1"/>
      <c r="I252" s="55">
        <f>SUM(F252:H252)</f>
        <v>0</v>
      </c>
      <c r="J252" s="1"/>
      <c r="K252" s="1"/>
      <c r="L252" s="1"/>
      <c r="M252" s="55">
        <f t="shared" ref="M252:M253" si="68">SUM(J252:L252)</f>
        <v>0</v>
      </c>
      <c r="N252" s="1">
        <v>1490</v>
      </c>
      <c r="O252" s="1">
        <v>3952</v>
      </c>
      <c r="P252" s="1"/>
      <c r="Q252" s="55">
        <f t="shared" ref="Q252" si="69">SUM(N252:P252)</f>
        <v>5442</v>
      </c>
      <c r="R252" s="55">
        <f t="shared" si="58"/>
        <v>5442</v>
      </c>
      <c r="S252" s="466" t="s">
        <v>821</v>
      </c>
    </row>
    <row r="253" spans="1:20" ht="15.75" customHeight="1" x14ac:dyDescent="0.3">
      <c r="A253" s="72" t="s">
        <v>621</v>
      </c>
      <c r="B253" s="1"/>
      <c r="C253" s="1"/>
      <c r="D253" s="1"/>
      <c r="E253" s="55">
        <f t="shared" si="67"/>
        <v>0</v>
      </c>
      <c r="F253" s="1"/>
      <c r="G253" s="1"/>
      <c r="H253" s="1"/>
      <c r="I253" s="55">
        <f>SUM(F253:H253)</f>
        <v>0</v>
      </c>
      <c r="J253" s="1"/>
      <c r="K253" s="1"/>
      <c r="L253" s="1"/>
      <c r="M253" s="55">
        <f t="shared" si="68"/>
        <v>0</v>
      </c>
      <c r="N253" s="1"/>
      <c r="O253" s="1"/>
      <c r="P253" s="1"/>
      <c r="Q253" s="55">
        <f>SUM(N253:P253)</f>
        <v>0</v>
      </c>
      <c r="R253" s="55">
        <f t="shared" si="58"/>
        <v>0</v>
      </c>
      <c r="S253" s="4" t="s">
        <v>821</v>
      </c>
    </row>
    <row r="254" spans="1:20" ht="15.75" customHeight="1" x14ac:dyDescent="0.3">
      <c r="A254" s="72" t="s">
        <v>622</v>
      </c>
      <c r="B254" s="1"/>
      <c r="C254" s="1"/>
      <c r="D254" s="1"/>
      <c r="E254" s="55">
        <f t="shared" si="67"/>
        <v>0</v>
      </c>
      <c r="F254" s="1">
        <f>5021+287+134+37-60-95</f>
        <v>5324</v>
      </c>
      <c r="G254" s="1">
        <v>5768</v>
      </c>
      <c r="H254" s="1"/>
      <c r="I254" s="55">
        <f t="shared" si="60"/>
        <v>11092</v>
      </c>
      <c r="J254" s="1"/>
      <c r="K254" s="1"/>
      <c r="L254" s="1"/>
      <c r="M254" s="55">
        <f t="shared" si="61"/>
        <v>0</v>
      </c>
      <c r="N254" s="1"/>
      <c r="O254" s="1"/>
      <c r="P254" s="1"/>
      <c r="Q254" s="55">
        <f t="shared" si="62"/>
        <v>0</v>
      </c>
      <c r="R254" s="55">
        <f t="shared" si="58"/>
        <v>11092</v>
      </c>
      <c r="S254" s="4" t="s">
        <v>821</v>
      </c>
    </row>
    <row r="255" spans="1:20" ht="15.75" customHeight="1" x14ac:dyDescent="0.3">
      <c r="A255" s="72" t="s">
        <v>882</v>
      </c>
      <c r="B255" s="1"/>
      <c r="C255" s="1"/>
      <c r="D255" s="1"/>
      <c r="E255" s="55">
        <f t="shared" si="67"/>
        <v>0</v>
      </c>
      <c r="F255" s="1">
        <v>98</v>
      </c>
      <c r="G255" s="1"/>
      <c r="H255" s="1"/>
      <c r="I255" s="55">
        <f t="shared" si="60"/>
        <v>98</v>
      </c>
      <c r="J255" s="1"/>
      <c r="K255" s="1"/>
      <c r="L255" s="1"/>
      <c r="M255" s="55">
        <f t="shared" si="61"/>
        <v>0</v>
      </c>
      <c r="N255" s="1"/>
      <c r="O255" s="1"/>
      <c r="P255" s="1"/>
      <c r="Q255" s="55">
        <f>SUM(N255:P255)</f>
        <v>0</v>
      </c>
      <c r="R255" s="55">
        <f t="shared" si="58"/>
        <v>98</v>
      </c>
    </row>
    <row r="256" spans="1:20" ht="15.75" customHeight="1" x14ac:dyDescent="0.3">
      <c r="A256" s="72" t="s">
        <v>883</v>
      </c>
      <c r="B256" s="1"/>
      <c r="C256" s="1"/>
      <c r="D256" s="1"/>
      <c r="E256" s="55">
        <f>SUM(B256:D256)</f>
        <v>0</v>
      </c>
      <c r="F256" s="1"/>
      <c r="G256" s="1">
        <v>90</v>
      </c>
      <c r="H256" s="1">
        <v>2496</v>
      </c>
      <c r="I256" s="55">
        <f t="shared" si="60"/>
        <v>2586</v>
      </c>
      <c r="J256" s="1"/>
      <c r="K256" s="1"/>
      <c r="L256" s="1"/>
      <c r="M256" s="55">
        <f t="shared" si="61"/>
        <v>0</v>
      </c>
      <c r="N256" s="1"/>
      <c r="O256" s="1"/>
      <c r="P256" s="1"/>
      <c r="Q256" s="55">
        <f t="shared" si="62"/>
        <v>0</v>
      </c>
      <c r="R256" s="55">
        <f t="shared" si="58"/>
        <v>2586</v>
      </c>
      <c r="S256" s="4" t="s">
        <v>821</v>
      </c>
      <c r="T256" s="4" t="s">
        <v>822</v>
      </c>
    </row>
    <row r="257" spans="1:21" ht="15.75" customHeight="1" x14ac:dyDescent="0.3">
      <c r="A257" s="72" t="s">
        <v>884</v>
      </c>
      <c r="B257" s="1"/>
      <c r="C257" s="1"/>
      <c r="D257" s="1"/>
      <c r="E257" s="55">
        <f t="shared" ref="E257" si="70">SUM(B257:D257)</f>
        <v>0</v>
      </c>
      <c r="F257" s="1"/>
      <c r="G257" s="1">
        <v>44</v>
      </c>
      <c r="H257" s="1"/>
      <c r="I257" s="55">
        <f t="shared" si="60"/>
        <v>44</v>
      </c>
      <c r="J257" s="1"/>
      <c r="K257" s="1"/>
      <c r="L257" s="1"/>
      <c r="M257" s="55">
        <f t="shared" si="61"/>
        <v>0</v>
      </c>
      <c r="N257" s="1"/>
      <c r="O257" s="1"/>
      <c r="P257" s="1"/>
      <c r="Q257" s="55">
        <f t="shared" si="62"/>
        <v>0</v>
      </c>
      <c r="R257" s="55">
        <f t="shared" si="58"/>
        <v>44</v>
      </c>
      <c r="S257" s="89" t="s">
        <v>821</v>
      </c>
      <c r="T257" s="89" t="s">
        <v>822</v>
      </c>
      <c r="U257" s="89"/>
    </row>
    <row r="258" spans="1:21" ht="15.75" customHeight="1" x14ac:dyDescent="0.3">
      <c r="A258" s="72" t="s">
        <v>161</v>
      </c>
      <c r="B258" s="1"/>
      <c r="C258" s="1"/>
      <c r="D258" s="1">
        <v>919</v>
      </c>
      <c r="E258" s="55">
        <f>SUM(B258:D258)</f>
        <v>919</v>
      </c>
      <c r="F258" s="1">
        <v>895</v>
      </c>
      <c r="G258" s="1"/>
      <c r="H258" s="1"/>
      <c r="I258" s="55">
        <f>SUM(F258:H258)</f>
        <v>895</v>
      </c>
      <c r="J258" s="1"/>
      <c r="K258" s="1"/>
      <c r="L258" s="1"/>
      <c r="M258" s="55">
        <f t="shared" si="61"/>
        <v>0</v>
      </c>
      <c r="N258" s="1"/>
      <c r="O258" s="1"/>
      <c r="P258" s="1"/>
      <c r="Q258" s="55">
        <f t="shared" si="62"/>
        <v>0</v>
      </c>
      <c r="R258" s="55">
        <f t="shared" si="58"/>
        <v>1814</v>
      </c>
      <c r="T258" s="4" t="s">
        <v>885</v>
      </c>
    </row>
    <row r="259" spans="1:21" ht="15.75" customHeight="1" x14ac:dyDescent="0.3">
      <c r="A259" s="84" t="s">
        <v>886</v>
      </c>
      <c r="B259" s="1"/>
      <c r="C259" s="1"/>
      <c r="D259" s="1"/>
      <c r="E259" s="55">
        <f>SUM(B259:D259)</f>
        <v>0</v>
      </c>
      <c r="F259" s="1"/>
      <c r="G259" s="1"/>
      <c r="H259" s="1"/>
      <c r="I259" s="55">
        <f>SUM(F259:H259)</f>
        <v>0</v>
      </c>
      <c r="J259" s="1"/>
      <c r="K259" s="1"/>
      <c r="L259" s="1"/>
      <c r="M259" s="55">
        <f t="shared" si="61"/>
        <v>0</v>
      </c>
      <c r="N259" s="1"/>
      <c r="O259" s="1"/>
      <c r="P259" s="1"/>
      <c r="Q259" s="55">
        <f>SUM(N259:P259)</f>
        <v>0</v>
      </c>
      <c r="R259" s="55">
        <f>+E259+I259+M259+Q259</f>
        <v>0</v>
      </c>
      <c r="T259" s="4" t="s">
        <v>819</v>
      </c>
    </row>
    <row r="260" spans="1:21" ht="15.75" customHeight="1" x14ac:dyDescent="0.3">
      <c r="A260" s="72" t="s">
        <v>163</v>
      </c>
      <c r="B260" s="1"/>
      <c r="C260" s="1"/>
      <c r="D260" s="1"/>
      <c r="E260" s="55">
        <f t="shared" si="64"/>
        <v>0</v>
      </c>
      <c r="F260" s="1"/>
      <c r="G260" s="1"/>
      <c r="H260" s="1"/>
      <c r="I260" s="55">
        <f t="shared" si="60"/>
        <v>0</v>
      </c>
      <c r="J260" s="1"/>
      <c r="K260" s="1"/>
      <c r="L260" s="1">
        <f>1+2+65</f>
        <v>68</v>
      </c>
      <c r="M260" s="55">
        <f t="shared" si="61"/>
        <v>68</v>
      </c>
      <c r="N260" s="1"/>
      <c r="O260" s="1"/>
      <c r="P260" s="1"/>
      <c r="Q260" s="55">
        <f t="shared" si="62"/>
        <v>0</v>
      </c>
      <c r="R260" s="55">
        <f t="shared" si="58"/>
        <v>68</v>
      </c>
    </row>
    <row r="261" spans="1:21" ht="15.75" customHeight="1" x14ac:dyDescent="0.3">
      <c r="A261" s="72" t="s">
        <v>1199</v>
      </c>
      <c r="B261" s="1"/>
      <c r="C261" s="1"/>
      <c r="D261" s="1"/>
      <c r="E261" s="55">
        <f t="shared" si="64"/>
        <v>0</v>
      </c>
      <c r="F261" s="1"/>
      <c r="G261" s="1"/>
      <c r="H261" s="1"/>
      <c r="I261" s="55">
        <f t="shared" si="60"/>
        <v>0</v>
      </c>
      <c r="J261" s="1"/>
      <c r="K261" s="1"/>
      <c r="L261" s="1">
        <f>513+395</f>
        <v>908</v>
      </c>
      <c r="M261" s="55">
        <f t="shared" si="61"/>
        <v>908</v>
      </c>
      <c r="N261" s="1"/>
      <c r="O261" s="1"/>
      <c r="P261" s="1"/>
      <c r="Q261" s="55">
        <f t="shared" si="62"/>
        <v>0</v>
      </c>
      <c r="R261" s="55">
        <f t="shared" si="58"/>
        <v>908</v>
      </c>
    </row>
    <row r="262" spans="1:21" ht="15.75" customHeight="1" x14ac:dyDescent="0.3">
      <c r="A262" s="72" t="s">
        <v>164</v>
      </c>
      <c r="B262" s="1"/>
      <c r="C262" s="1"/>
      <c r="D262" s="1"/>
      <c r="E262" s="55">
        <f t="shared" si="64"/>
        <v>0</v>
      </c>
      <c r="F262" s="1">
        <v>60</v>
      </c>
      <c r="G262" s="1"/>
      <c r="H262" s="1"/>
      <c r="I262" s="55">
        <f t="shared" si="60"/>
        <v>60</v>
      </c>
      <c r="J262" s="1"/>
      <c r="K262" s="1"/>
      <c r="L262" s="1"/>
      <c r="M262" s="55">
        <f t="shared" si="61"/>
        <v>0</v>
      </c>
      <c r="N262" s="1"/>
      <c r="O262" s="1"/>
      <c r="P262" s="1"/>
      <c r="Q262" s="55">
        <f t="shared" si="62"/>
        <v>0</v>
      </c>
      <c r="R262" s="55">
        <f t="shared" si="58"/>
        <v>60</v>
      </c>
    </row>
    <row r="263" spans="1:21" ht="15.75" customHeight="1" x14ac:dyDescent="0.3">
      <c r="A263" s="72" t="s">
        <v>887</v>
      </c>
      <c r="B263" s="1">
        <v>60</v>
      </c>
      <c r="C263" s="1"/>
      <c r="D263" s="1"/>
      <c r="E263" s="55">
        <f t="shared" si="64"/>
        <v>60</v>
      </c>
      <c r="F263" s="1"/>
      <c r="G263" s="1"/>
      <c r="H263" s="1"/>
      <c r="I263" s="55">
        <f t="shared" si="60"/>
        <v>0</v>
      </c>
      <c r="J263" s="1"/>
      <c r="K263" s="1"/>
      <c r="L263" s="1"/>
      <c r="M263" s="55">
        <f t="shared" si="61"/>
        <v>0</v>
      </c>
      <c r="N263" s="1"/>
      <c r="O263" s="1"/>
      <c r="P263" s="1"/>
      <c r="Q263" s="55">
        <f t="shared" si="62"/>
        <v>0</v>
      </c>
      <c r="R263" s="55">
        <f t="shared" si="58"/>
        <v>60</v>
      </c>
      <c r="S263" s="4" t="s">
        <v>821</v>
      </c>
      <c r="T263" s="4" t="s">
        <v>822</v>
      </c>
    </row>
    <row r="264" spans="1:21" ht="15.75" customHeight="1" x14ac:dyDescent="0.3">
      <c r="A264" s="72" t="s">
        <v>1200</v>
      </c>
      <c r="B264" s="1"/>
      <c r="C264" s="1"/>
      <c r="D264" s="1"/>
      <c r="E264" s="55">
        <f t="shared" si="64"/>
        <v>0</v>
      </c>
      <c r="F264" s="1"/>
      <c r="G264" s="1">
        <v>250</v>
      </c>
      <c r="H264" s="1"/>
      <c r="I264" s="55">
        <f t="shared" si="60"/>
        <v>250</v>
      </c>
      <c r="J264" s="1"/>
      <c r="K264" s="1"/>
      <c r="L264" s="1"/>
      <c r="M264" s="55">
        <f t="shared" si="61"/>
        <v>0</v>
      </c>
      <c r="N264" s="1"/>
      <c r="O264" s="1"/>
      <c r="P264" s="1"/>
      <c r="Q264" s="55">
        <f t="shared" si="62"/>
        <v>0</v>
      </c>
      <c r="R264" s="55">
        <f t="shared" si="58"/>
        <v>250</v>
      </c>
      <c r="T264" s="4" t="s">
        <v>822</v>
      </c>
    </row>
    <row r="265" spans="1:21" ht="15.75" customHeight="1" x14ac:dyDescent="0.3">
      <c r="A265" s="72" t="s">
        <v>1281</v>
      </c>
      <c r="B265" s="1">
        <v>518</v>
      </c>
      <c r="C265" s="1">
        <v>518</v>
      </c>
      <c r="D265" s="1">
        <v>725</v>
      </c>
      <c r="E265" s="55">
        <f t="shared" ref="E265" si="71">SUM(B265:D265)</f>
        <v>1761</v>
      </c>
      <c r="F265" s="1">
        <v>518</v>
      </c>
      <c r="G265" s="1">
        <v>725</v>
      </c>
      <c r="H265" s="1">
        <v>725</v>
      </c>
      <c r="I265" s="55">
        <f t="shared" ref="I265:I267" si="72">SUM(F265:H265)</f>
        <v>1968</v>
      </c>
      <c r="J265" s="1">
        <v>486</v>
      </c>
      <c r="K265" s="1">
        <v>378</v>
      </c>
      <c r="L265" s="1">
        <v>307</v>
      </c>
      <c r="M265" s="55">
        <f t="shared" ref="M265:M267" si="73">SUM(J265:L265)</f>
        <v>1171</v>
      </c>
      <c r="N265" s="1"/>
      <c r="O265" s="1"/>
      <c r="P265" s="1"/>
      <c r="Q265" s="55">
        <f t="shared" ref="Q265" si="74">SUM(N265:P265)</f>
        <v>0</v>
      </c>
      <c r="R265" s="55">
        <f t="shared" si="58"/>
        <v>4900</v>
      </c>
      <c r="S265" s="4" t="s">
        <v>821</v>
      </c>
      <c r="T265" s="4" t="s">
        <v>822</v>
      </c>
    </row>
    <row r="266" spans="1:21" ht="15.75" customHeight="1" x14ac:dyDescent="0.3">
      <c r="A266" s="72" t="s">
        <v>890</v>
      </c>
      <c r="B266" s="1"/>
      <c r="C266" s="1"/>
      <c r="D266" s="1"/>
      <c r="E266" s="55">
        <f t="shared" si="64"/>
        <v>0</v>
      </c>
      <c r="F266" s="1"/>
      <c r="G266" s="1"/>
      <c r="H266" s="1"/>
      <c r="I266" s="55">
        <f t="shared" si="72"/>
        <v>0</v>
      </c>
      <c r="J266" s="1"/>
      <c r="K266" s="1">
        <v>5000</v>
      </c>
      <c r="L266" s="1">
        <v>5000</v>
      </c>
      <c r="M266" s="55">
        <f t="shared" si="73"/>
        <v>10000</v>
      </c>
      <c r="N266" s="1"/>
      <c r="O266" s="1"/>
      <c r="P266" s="1"/>
      <c r="Q266" s="55">
        <f t="shared" si="62"/>
        <v>0</v>
      </c>
      <c r="R266" s="55">
        <f>+E266+I266+M266+Q266</f>
        <v>10000</v>
      </c>
      <c r="S266" s="465" t="s">
        <v>821</v>
      </c>
      <c r="T266" s="4" t="s">
        <v>822</v>
      </c>
    </row>
    <row r="267" spans="1:21" ht="15.75" customHeight="1" x14ac:dyDescent="0.3">
      <c r="A267" s="72" t="s">
        <v>1356</v>
      </c>
      <c r="B267" s="1"/>
      <c r="C267" s="1"/>
      <c r="D267" s="1"/>
      <c r="E267" s="55">
        <f t="shared" si="64"/>
        <v>0</v>
      </c>
      <c r="F267" s="1"/>
      <c r="G267" s="1"/>
      <c r="H267" s="1"/>
      <c r="I267" s="55">
        <f t="shared" si="72"/>
        <v>0</v>
      </c>
      <c r="J267" s="1"/>
      <c r="K267" s="1"/>
      <c r="L267" s="1"/>
      <c r="M267" s="55">
        <f t="shared" si="73"/>
        <v>0</v>
      </c>
      <c r="N267" s="1"/>
      <c r="O267" s="1"/>
      <c r="P267" s="1"/>
      <c r="Q267" s="55">
        <f t="shared" ref="Q267" si="75">SUM(N267:P267)</f>
        <v>0</v>
      </c>
      <c r="R267" s="55">
        <f>+E267+I267+M267+Q267</f>
        <v>0</v>
      </c>
      <c r="S267" s="465"/>
    </row>
    <row r="268" spans="1:21" ht="15.75" customHeight="1" x14ac:dyDescent="0.3">
      <c r="A268" s="84" t="s">
        <v>891</v>
      </c>
      <c r="B268" s="1"/>
      <c r="C268" s="1"/>
      <c r="D268" s="1"/>
      <c r="E268" s="55">
        <f t="shared" si="64"/>
        <v>0</v>
      </c>
      <c r="F268" s="1"/>
      <c r="G268" s="1"/>
      <c r="H268" s="1"/>
      <c r="I268" s="55">
        <f t="shared" si="60"/>
        <v>0</v>
      </c>
      <c r="J268" s="1"/>
      <c r="K268" s="1"/>
      <c r="L268" s="1"/>
      <c r="M268" s="55">
        <f t="shared" si="61"/>
        <v>0</v>
      </c>
      <c r="N268" s="1"/>
      <c r="O268" s="1">
        <v>2200</v>
      </c>
      <c r="P268" s="1">
        <v>58</v>
      </c>
      <c r="Q268" s="55">
        <f>SUM(N268:P268)</f>
        <v>2258</v>
      </c>
      <c r="R268" s="55">
        <f t="shared" si="58"/>
        <v>2258</v>
      </c>
      <c r="T268" s="4" t="s">
        <v>818</v>
      </c>
    </row>
    <row r="269" spans="1:21" ht="15.75" customHeight="1" x14ac:dyDescent="0.3">
      <c r="A269" s="84" t="s">
        <v>892</v>
      </c>
      <c r="B269" s="1"/>
      <c r="C269" s="1"/>
      <c r="D269" s="1"/>
      <c r="E269" s="55">
        <f>SUM(B269:D269)</f>
        <v>0</v>
      </c>
      <c r="F269" s="1"/>
      <c r="G269" s="1"/>
      <c r="H269" s="1"/>
      <c r="I269" s="55">
        <f t="shared" ref="I269:I270" si="76">SUM(F269:H269)</f>
        <v>0</v>
      </c>
      <c r="J269" s="1">
        <v>1650</v>
      </c>
      <c r="K269" s="1">
        <f>1550+530</f>
        <v>2080</v>
      </c>
      <c r="L269" s="1"/>
      <c r="M269" s="55">
        <f t="shared" ref="M269" si="77">SUM(J269:L269)</f>
        <v>3730</v>
      </c>
      <c r="N269" s="1"/>
      <c r="O269" s="1">
        <v>2200</v>
      </c>
      <c r="P269" s="1">
        <v>8223</v>
      </c>
      <c r="Q269" s="55">
        <f>SUM(N269:P269)</f>
        <v>10423</v>
      </c>
      <c r="R269" s="55">
        <f t="shared" si="58"/>
        <v>14153</v>
      </c>
      <c r="T269" s="4" t="s">
        <v>819</v>
      </c>
    </row>
    <row r="270" spans="1:21" ht="15.75" customHeight="1" x14ac:dyDescent="0.3">
      <c r="A270" s="72" t="s">
        <v>1282</v>
      </c>
      <c r="B270" s="1"/>
      <c r="C270" s="1"/>
      <c r="D270" s="1"/>
      <c r="E270" s="55">
        <f>SUM(B270:D270)</f>
        <v>0</v>
      </c>
      <c r="F270" s="1"/>
      <c r="G270" s="1"/>
      <c r="H270" s="1">
        <v>709</v>
      </c>
      <c r="I270" s="55">
        <f t="shared" si="76"/>
        <v>709</v>
      </c>
      <c r="J270" s="1">
        <v>500</v>
      </c>
      <c r="K270" s="1">
        <v>355</v>
      </c>
      <c r="L270" s="1"/>
      <c r="M270" s="55">
        <f>SUM(J270:L270)</f>
        <v>855</v>
      </c>
      <c r="N270" s="1"/>
      <c r="O270" s="1"/>
      <c r="P270" s="1"/>
      <c r="Q270" s="55">
        <f t="shared" si="62"/>
        <v>0</v>
      </c>
      <c r="R270" s="55">
        <f t="shared" si="58"/>
        <v>1564</v>
      </c>
      <c r="S270" s="4" t="s">
        <v>821</v>
      </c>
      <c r="T270" s="4" t="s">
        <v>822</v>
      </c>
    </row>
    <row r="271" spans="1:21" ht="15.75" customHeight="1" x14ac:dyDescent="0.3">
      <c r="A271" s="72" t="s">
        <v>1283</v>
      </c>
      <c r="B271" s="1">
        <v>21</v>
      </c>
      <c r="C271" s="1">
        <v>809</v>
      </c>
      <c r="D271" s="1"/>
      <c r="E271" s="55">
        <f t="shared" ref="E271:E272" si="78">SUM(B271:D271)</f>
        <v>830</v>
      </c>
      <c r="F271" s="1"/>
      <c r="G271" s="1"/>
      <c r="H271" s="1"/>
      <c r="I271" s="55">
        <f t="shared" si="60"/>
        <v>0</v>
      </c>
      <c r="J271" s="1"/>
      <c r="K271" s="1"/>
      <c r="L271" s="1"/>
      <c r="M271" s="55">
        <f t="shared" si="61"/>
        <v>0</v>
      </c>
      <c r="N271" s="1"/>
      <c r="O271" s="1"/>
      <c r="P271" s="1"/>
      <c r="Q271" s="55">
        <f t="shared" si="62"/>
        <v>0</v>
      </c>
      <c r="R271" s="55">
        <f t="shared" si="58"/>
        <v>830</v>
      </c>
      <c r="T271" s="4" t="s">
        <v>822</v>
      </c>
    </row>
    <row r="272" spans="1:21" ht="15.75" customHeight="1" x14ac:dyDescent="0.3">
      <c r="A272" s="84" t="s">
        <v>1284</v>
      </c>
      <c r="B272" s="1"/>
      <c r="C272" s="1"/>
      <c r="D272" s="1"/>
      <c r="E272" s="55">
        <f t="shared" si="78"/>
        <v>0</v>
      </c>
      <c r="F272" s="1"/>
      <c r="G272" s="1"/>
      <c r="H272" s="1"/>
      <c r="I272" s="55">
        <f t="shared" si="60"/>
        <v>0</v>
      </c>
      <c r="J272" s="1"/>
      <c r="K272" s="1"/>
      <c r="L272" s="1"/>
      <c r="M272" s="55">
        <f t="shared" si="61"/>
        <v>0</v>
      </c>
      <c r="N272" s="1"/>
      <c r="O272" s="1"/>
      <c r="P272" s="1"/>
      <c r="Q272" s="55">
        <f t="shared" ref="Q272" si="79">SUM(N272:P272)</f>
        <v>0</v>
      </c>
      <c r="R272" s="55">
        <f t="shared" si="58"/>
        <v>0</v>
      </c>
    </row>
    <row r="273" spans="1:20" ht="15.75" customHeight="1" x14ac:dyDescent="0.3">
      <c r="A273" s="72" t="s">
        <v>1285</v>
      </c>
      <c r="B273" s="1">
        <v>1026</v>
      </c>
      <c r="C273" s="1">
        <v>1312</v>
      </c>
      <c r="D273" s="1">
        <v>512</v>
      </c>
      <c r="E273" s="55">
        <f t="shared" si="64"/>
        <v>2850</v>
      </c>
      <c r="F273" s="1"/>
      <c r="G273" s="1"/>
      <c r="H273" s="1"/>
      <c r="I273" s="55">
        <f t="shared" si="60"/>
        <v>0</v>
      </c>
      <c r="J273" s="1"/>
      <c r="K273" s="1"/>
      <c r="L273" s="1"/>
      <c r="M273" s="55">
        <f t="shared" si="61"/>
        <v>0</v>
      </c>
      <c r="N273" s="1"/>
      <c r="O273" s="1"/>
      <c r="P273" s="1"/>
      <c r="Q273" s="55">
        <f t="shared" si="62"/>
        <v>0</v>
      </c>
      <c r="R273" s="55">
        <f t="shared" si="58"/>
        <v>2850</v>
      </c>
      <c r="T273" s="4" t="s">
        <v>832</v>
      </c>
    </row>
    <row r="274" spans="1:20" ht="15.75" customHeight="1" x14ac:dyDescent="0.3">
      <c r="A274" s="72" t="s">
        <v>1287</v>
      </c>
      <c r="B274" s="1"/>
      <c r="C274" s="1"/>
      <c r="D274" s="1"/>
      <c r="E274" s="55">
        <f t="shared" si="64"/>
        <v>0</v>
      </c>
      <c r="F274" s="1"/>
      <c r="G274" s="1"/>
      <c r="H274" s="1"/>
      <c r="I274" s="55">
        <f>SUM(F274:H274)</f>
        <v>0</v>
      </c>
      <c r="J274" s="1"/>
      <c r="K274" s="1"/>
      <c r="L274" s="1"/>
      <c r="M274" s="55">
        <f t="shared" si="61"/>
        <v>0</v>
      </c>
      <c r="N274" s="1"/>
      <c r="O274" s="1"/>
      <c r="P274" s="1"/>
      <c r="Q274" s="55">
        <f t="shared" si="62"/>
        <v>0</v>
      </c>
      <c r="R274" s="55">
        <f t="shared" si="58"/>
        <v>0</v>
      </c>
      <c r="S274" s="4" t="s">
        <v>821</v>
      </c>
    </row>
    <row r="275" spans="1:20" ht="15.75" customHeight="1" x14ac:dyDescent="0.3">
      <c r="A275" s="72" t="s">
        <v>1288</v>
      </c>
      <c r="B275" s="1"/>
      <c r="C275" s="1"/>
      <c r="D275" s="1"/>
      <c r="E275" s="55">
        <f t="shared" si="64"/>
        <v>0</v>
      </c>
      <c r="F275" s="1"/>
      <c r="G275" s="1"/>
      <c r="H275" s="1"/>
      <c r="I275" s="55">
        <f>SUM(F275:H275)</f>
        <v>0</v>
      </c>
      <c r="J275" s="1"/>
      <c r="K275" s="1">
        <v>984</v>
      </c>
      <c r="L275" s="1"/>
      <c r="M275" s="55">
        <f t="shared" si="61"/>
        <v>984</v>
      </c>
      <c r="N275" s="1"/>
      <c r="O275" s="1"/>
      <c r="P275" s="1"/>
      <c r="Q275" s="55">
        <f t="shared" ref="Q275" si="80">SUM(N275:P275)</f>
        <v>0</v>
      </c>
      <c r="R275" s="55">
        <f t="shared" si="58"/>
        <v>984</v>
      </c>
    </row>
    <row r="276" spans="1:20" ht="15.75" customHeight="1" x14ac:dyDescent="0.3">
      <c r="A276" s="72" t="s">
        <v>1289</v>
      </c>
      <c r="B276" s="1"/>
      <c r="C276" s="1"/>
      <c r="D276" s="1"/>
      <c r="E276" s="55">
        <f t="shared" si="64"/>
        <v>0</v>
      </c>
      <c r="F276" s="1">
        <v>95</v>
      </c>
      <c r="G276" s="1"/>
      <c r="H276" s="1"/>
      <c r="I276" s="55">
        <f t="shared" si="60"/>
        <v>95</v>
      </c>
      <c r="J276" s="1"/>
      <c r="K276" s="1"/>
      <c r="L276" s="1"/>
      <c r="M276" s="55">
        <f t="shared" si="61"/>
        <v>0</v>
      </c>
      <c r="N276" s="1"/>
      <c r="O276" s="1"/>
      <c r="P276" s="1"/>
      <c r="Q276" s="55">
        <f t="shared" si="62"/>
        <v>0</v>
      </c>
      <c r="R276" s="55">
        <f t="shared" si="58"/>
        <v>95</v>
      </c>
    </row>
    <row r="277" spans="1:20" ht="15.75" customHeight="1" x14ac:dyDescent="0.3">
      <c r="A277" s="72" t="s">
        <v>1290</v>
      </c>
      <c r="B277" s="1">
        <v>95</v>
      </c>
      <c r="C277" s="1"/>
      <c r="D277" s="1"/>
      <c r="E277" s="55">
        <f t="shared" si="64"/>
        <v>95</v>
      </c>
      <c r="F277" s="1"/>
      <c r="G277" s="1"/>
      <c r="H277" s="1"/>
      <c r="I277" s="55">
        <f t="shared" si="60"/>
        <v>0</v>
      </c>
      <c r="J277" s="1"/>
      <c r="K277" s="1"/>
      <c r="L277" s="1"/>
      <c r="M277" s="55">
        <f t="shared" si="61"/>
        <v>0</v>
      </c>
      <c r="N277" s="1"/>
      <c r="O277" s="1"/>
      <c r="P277" s="1"/>
      <c r="Q277" s="55">
        <f t="shared" si="62"/>
        <v>0</v>
      </c>
      <c r="R277" s="55">
        <f t="shared" si="58"/>
        <v>95</v>
      </c>
      <c r="S277" s="4" t="s">
        <v>821</v>
      </c>
      <c r="T277" s="4" t="s">
        <v>822</v>
      </c>
    </row>
    <row r="278" spans="1:20" ht="15.75" customHeight="1" x14ac:dyDescent="0.3">
      <c r="A278" s="72" t="s">
        <v>889</v>
      </c>
      <c r="B278" s="1"/>
      <c r="C278" s="1"/>
      <c r="D278" s="1"/>
      <c r="E278" s="55">
        <f>SUM(B278:D278)</f>
        <v>0</v>
      </c>
      <c r="F278" s="1">
        <v>1400</v>
      </c>
      <c r="G278" s="1">
        <v>1000</v>
      </c>
      <c r="H278" s="1">
        <v>400</v>
      </c>
      <c r="I278" s="55">
        <f>SUM(F278:H278)</f>
        <v>2800</v>
      </c>
      <c r="J278" s="1">
        <f>400+149</f>
        <v>549</v>
      </c>
      <c r="K278" s="1">
        <v>1500</v>
      </c>
      <c r="L278" s="1">
        <v>2200</v>
      </c>
      <c r="M278" s="55">
        <f>SUM(J278:L278)</f>
        <v>4249</v>
      </c>
      <c r="N278" s="1">
        <v>1200</v>
      </c>
      <c r="O278" s="1">
        <v>1100</v>
      </c>
      <c r="P278" s="1">
        <v>1100</v>
      </c>
      <c r="Q278" s="55">
        <f>SUM(N278:P278)</f>
        <v>3400</v>
      </c>
      <c r="R278" s="55">
        <f>+E278+I278+M278+Q278</f>
        <v>10449</v>
      </c>
      <c r="S278" s="4" t="s">
        <v>821</v>
      </c>
      <c r="T278" s="4" t="s">
        <v>822</v>
      </c>
    </row>
    <row r="279" spans="1:20" ht="15.75" customHeight="1" x14ac:dyDescent="0.3">
      <c r="A279" s="72" t="s">
        <v>1291</v>
      </c>
      <c r="B279" s="1"/>
      <c r="C279" s="1"/>
      <c r="D279" s="1"/>
      <c r="E279" s="55">
        <f>SUM(B279:D279)</f>
        <v>0</v>
      </c>
      <c r="F279" s="1"/>
      <c r="G279" s="1"/>
      <c r="H279" s="1"/>
      <c r="I279" s="55">
        <f>SUM(F279:H279)</f>
        <v>0</v>
      </c>
      <c r="J279" s="1"/>
      <c r="K279" s="1"/>
      <c r="L279" s="1"/>
      <c r="M279" s="55">
        <f>SUM(J279:L279)</f>
        <v>0</v>
      </c>
      <c r="N279" s="1"/>
      <c r="O279" s="1"/>
      <c r="P279" s="1"/>
      <c r="Q279" s="55">
        <f t="shared" ref="Q279" si="81">SUM(N279:P279)</f>
        <v>0</v>
      </c>
      <c r="R279" s="55">
        <f>+E279+I279+M279+Q279</f>
        <v>0</v>
      </c>
      <c r="T279" s="4" t="s">
        <v>822</v>
      </c>
    </row>
    <row r="280" spans="1:20" ht="15.75" customHeight="1" x14ac:dyDescent="0.3">
      <c r="A280" s="72" t="s">
        <v>1292</v>
      </c>
      <c r="B280" s="1"/>
      <c r="C280" s="1"/>
      <c r="D280" s="1"/>
      <c r="E280" s="55">
        <f t="shared" ref="E280" si="82">SUM(B280:D280)</f>
        <v>0</v>
      </c>
      <c r="F280" s="1"/>
      <c r="G280" s="1"/>
      <c r="H280" s="1"/>
      <c r="I280" s="55">
        <f t="shared" ref="I280" si="83">SUM(F280:H280)</f>
        <v>0</v>
      </c>
      <c r="J280" s="1"/>
      <c r="K280" s="1"/>
      <c r="L280" s="1"/>
      <c r="M280" s="55">
        <f t="shared" ref="M280" si="84">SUM(J280:L280)</f>
        <v>0</v>
      </c>
      <c r="N280" s="1"/>
      <c r="O280" s="1"/>
      <c r="P280" s="1"/>
      <c r="Q280" s="55">
        <f t="shared" ref="Q280" si="85">SUM(N280:P280)</f>
        <v>0</v>
      </c>
      <c r="R280" s="55">
        <f>+E280+I280+M280+Q280</f>
        <v>0</v>
      </c>
      <c r="T280" s="4" t="s">
        <v>822</v>
      </c>
    </row>
    <row r="281" spans="1:20" ht="15.75" customHeight="1" x14ac:dyDescent="0.3">
      <c r="A281" s="72" t="s">
        <v>896</v>
      </c>
      <c r="B281" s="1"/>
      <c r="C281" s="1"/>
      <c r="D281" s="1"/>
      <c r="E281" s="55">
        <f t="shared" ref="E281" si="86">SUM(B281:D281)</f>
        <v>0</v>
      </c>
      <c r="F281" s="1">
        <v>550</v>
      </c>
      <c r="G281" s="1">
        <v>750</v>
      </c>
      <c r="H281" s="1">
        <v>1100</v>
      </c>
      <c r="I281" s="55">
        <f t="shared" ref="I281" si="87">SUM(F281:H281)</f>
        <v>2400</v>
      </c>
      <c r="J281" s="1">
        <v>550</v>
      </c>
      <c r="K281" s="1">
        <v>200</v>
      </c>
      <c r="L281" s="1">
        <v>200</v>
      </c>
      <c r="M281" s="55">
        <f t="shared" ref="M281" si="88">SUM(J281:L281)</f>
        <v>950</v>
      </c>
      <c r="N281" s="1">
        <v>75</v>
      </c>
      <c r="O281" s="1"/>
      <c r="P281" s="1"/>
      <c r="Q281" s="55">
        <f t="shared" si="62"/>
        <v>75</v>
      </c>
      <c r="R281" s="55">
        <f t="shared" si="58"/>
        <v>3425</v>
      </c>
      <c r="S281" s="4" t="s">
        <v>821</v>
      </c>
    </row>
    <row r="282" spans="1:20" ht="15.75" customHeight="1" x14ac:dyDescent="0.3">
      <c r="A282" s="72" t="s">
        <v>709</v>
      </c>
      <c r="B282" s="1"/>
      <c r="C282" s="1">
        <v>3634</v>
      </c>
      <c r="D282" s="1">
        <v>4754</v>
      </c>
      <c r="E282" s="55">
        <f>SUM(B282:D282)</f>
        <v>8388</v>
      </c>
      <c r="F282" s="1"/>
      <c r="G282" s="1"/>
      <c r="H282" s="1"/>
      <c r="I282" s="55">
        <f>SUM(F282:H282)</f>
        <v>0</v>
      </c>
      <c r="J282" s="1"/>
      <c r="K282" s="1"/>
      <c r="L282" s="1"/>
      <c r="M282" s="55">
        <f>SUM(J282:L282)</f>
        <v>0</v>
      </c>
      <c r="N282" s="1"/>
      <c r="O282" s="1"/>
      <c r="P282" s="1"/>
      <c r="Q282" s="55">
        <f>SUM(N282:P282)</f>
        <v>0</v>
      </c>
      <c r="R282" s="55">
        <f>+E282+I282+M282+Q282</f>
        <v>8388</v>
      </c>
      <c r="S282" s="4" t="s">
        <v>821</v>
      </c>
    </row>
    <row r="283" spans="1:20" ht="15.75" customHeight="1" x14ac:dyDescent="0.3">
      <c r="A283" s="72" t="s">
        <v>897</v>
      </c>
      <c r="B283" s="1">
        <v>86</v>
      </c>
      <c r="C283" s="1">
        <v>99</v>
      </c>
      <c r="D283" s="1">
        <v>138</v>
      </c>
      <c r="E283" s="55">
        <f>SUM(B283:D283)</f>
        <v>323</v>
      </c>
      <c r="F283" s="1"/>
      <c r="G283" s="1"/>
      <c r="H283" s="1"/>
      <c r="I283" s="55">
        <f>SUM(F283:H283)</f>
        <v>0</v>
      </c>
      <c r="J283" s="1"/>
      <c r="K283" s="1"/>
      <c r="L283" s="1"/>
      <c r="M283" s="55">
        <f>SUM(J283:L283)</f>
        <v>0</v>
      </c>
      <c r="N283" s="1"/>
      <c r="O283" s="1"/>
      <c r="P283" s="1"/>
      <c r="Q283" s="55">
        <f>SUM(N283:P283)</f>
        <v>0</v>
      </c>
      <c r="R283" s="55">
        <f>+E283+I283+M283+Q283</f>
        <v>323</v>
      </c>
    </row>
    <row r="284" spans="1:20" ht="15.75" customHeight="1" x14ac:dyDescent="0.3">
      <c r="A284" s="72" t="s">
        <v>1205</v>
      </c>
      <c r="B284" s="1">
        <v>13</v>
      </c>
      <c r="C284" s="1"/>
      <c r="D284" s="1"/>
      <c r="E284" s="55">
        <f t="shared" ref="E284" si="89">SUM(B284:D284)</f>
        <v>13</v>
      </c>
      <c r="F284" s="1"/>
      <c r="G284" s="1"/>
      <c r="H284" s="1"/>
      <c r="I284" s="55">
        <f t="shared" ref="I284" si="90">SUM(F284:H284)</f>
        <v>0</v>
      </c>
      <c r="J284" s="1"/>
      <c r="K284" s="1"/>
      <c r="L284" s="1"/>
      <c r="M284" s="55">
        <f t="shared" ref="M284" si="91">SUM(J284:L284)</f>
        <v>0</v>
      </c>
      <c r="N284" s="1"/>
      <c r="O284" s="1"/>
      <c r="P284" s="1"/>
      <c r="Q284" s="55">
        <f t="shared" ref="Q284" si="92">SUM(N284:P284)</f>
        <v>0</v>
      </c>
      <c r="R284" s="55">
        <f t="shared" ref="R284" si="93">+E284+I284+M284+Q284</f>
        <v>13</v>
      </c>
    </row>
    <row r="285" spans="1:20" ht="15.75" customHeight="1" x14ac:dyDescent="0.3">
      <c r="A285" s="72" t="s">
        <v>175</v>
      </c>
      <c r="B285" s="1">
        <v>487</v>
      </c>
      <c r="C285" s="1"/>
      <c r="D285" s="1"/>
      <c r="E285" s="55">
        <f t="shared" ref="E285" si="94">SUM(B285:D285)</f>
        <v>487</v>
      </c>
      <c r="F285" s="1"/>
      <c r="G285" s="1"/>
      <c r="H285" s="1"/>
      <c r="I285" s="55">
        <f t="shared" si="60"/>
        <v>0</v>
      </c>
      <c r="J285" s="1"/>
      <c r="K285" s="1"/>
      <c r="L285" s="1"/>
      <c r="M285" s="55">
        <f t="shared" si="61"/>
        <v>0</v>
      </c>
      <c r="N285" s="1"/>
      <c r="O285" s="1"/>
      <c r="P285" s="1"/>
      <c r="Q285" s="55">
        <f t="shared" si="62"/>
        <v>0</v>
      </c>
      <c r="R285" s="55">
        <f t="shared" si="58"/>
        <v>487</v>
      </c>
    </row>
    <row r="286" spans="1:20" ht="15.75" customHeight="1" thickBot="1" x14ac:dyDescent="0.35">
      <c r="A286" s="72" t="s">
        <v>898</v>
      </c>
      <c r="B286" s="1"/>
      <c r="C286" s="1"/>
      <c r="D286" s="1"/>
      <c r="E286" s="55">
        <f>SUM(B286:D286)</f>
        <v>0</v>
      </c>
      <c r="F286" s="1"/>
      <c r="G286" s="1"/>
      <c r="H286" s="1"/>
      <c r="I286" s="55">
        <f>SUM(F286:H286)</f>
        <v>0</v>
      </c>
      <c r="J286" s="1"/>
      <c r="K286" s="1"/>
      <c r="L286" s="1"/>
      <c r="M286" s="55">
        <f>SUM(J286:L286)</f>
        <v>0</v>
      </c>
      <c r="N286" s="1"/>
      <c r="O286" s="1"/>
      <c r="P286" s="1"/>
      <c r="Q286" s="55">
        <f>SUM(N286:P286)</f>
        <v>0</v>
      </c>
      <c r="R286" s="55">
        <f t="shared" si="58"/>
        <v>0</v>
      </c>
      <c r="S286" s="465" t="s">
        <v>821</v>
      </c>
    </row>
    <row r="287" spans="1:20" ht="16.5" customHeight="1" thickBot="1" x14ac:dyDescent="0.35">
      <c r="A287" s="57" t="s">
        <v>63</v>
      </c>
      <c r="B287" s="86">
        <f>SUM(B220:B286)</f>
        <v>4492</v>
      </c>
      <c r="C287" s="87">
        <f>SUM(C220:C286)</f>
        <v>8916</v>
      </c>
      <c r="D287" s="87">
        <f>SUM(D220:D286)</f>
        <v>11419</v>
      </c>
      <c r="E287" s="59">
        <f t="shared" ref="E287" si="95">SUM(B287:D287)</f>
        <v>24827</v>
      </c>
      <c r="F287" s="87">
        <f>SUM(F220:F286)</f>
        <v>10494</v>
      </c>
      <c r="G287" s="87">
        <f>SUM(G220:G286)</f>
        <v>9571</v>
      </c>
      <c r="H287" s="87">
        <f>SUM(H220:H286)</f>
        <v>5947</v>
      </c>
      <c r="I287" s="59">
        <f t="shared" ref="I287" si="96">SUM(F287:H287)</f>
        <v>26012</v>
      </c>
      <c r="J287" s="87">
        <f>SUM(J220:J286)</f>
        <v>4382</v>
      </c>
      <c r="K287" s="87">
        <f>SUM(K220:K286)</f>
        <v>12243</v>
      </c>
      <c r="L287" s="87">
        <f>SUM(L220:L286)</f>
        <v>10195</v>
      </c>
      <c r="M287" s="59">
        <f t="shared" ref="M287" si="97">SUM(J287:L287)</f>
        <v>26820</v>
      </c>
      <c r="N287" s="87">
        <f>SUM(N220:N286)</f>
        <v>4167</v>
      </c>
      <c r="O287" s="87">
        <f>SUM(O220:O286)</f>
        <v>9883</v>
      </c>
      <c r="P287" s="87">
        <f>SUM(P220:P286)</f>
        <v>9762</v>
      </c>
      <c r="Q287" s="59">
        <f t="shared" ref="Q287" si="98">SUM(N287:P287)</f>
        <v>23812</v>
      </c>
      <c r="R287" s="59">
        <f t="shared" si="58"/>
        <v>101471</v>
      </c>
    </row>
    <row r="288" spans="1:20" ht="15.75" customHeight="1" x14ac:dyDescent="0.3">
      <c r="A288" s="15" t="s">
        <v>64</v>
      </c>
      <c r="B288" s="1"/>
      <c r="C288" s="1"/>
      <c r="D288" s="1"/>
      <c r="E288" s="55" t="s">
        <v>7</v>
      </c>
      <c r="F288" s="1"/>
      <c r="G288" s="1"/>
      <c r="H288" s="1"/>
      <c r="I288" s="55" t="s">
        <v>7</v>
      </c>
      <c r="J288" s="1"/>
      <c r="K288" s="1"/>
      <c r="L288" s="1"/>
      <c r="M288" s="55" t="s">
        <v>7</v>
      </c>
      <c r="N288" s="1"/>
      <c r="O288" s="1"/>
      <c r="P288" s="1"/>
      <c r="Q288" s="55" t="s">
        <v>7</v>
      </c>
      <c r="R288" s="55" t="s">
        <v>7</v>
      </c>
    </row>
    <row r="289" spans="1:20" ht="15.75" customHeight="1" x14ac:dyDescent="0.3">
      <c r="A289" s="15" t="s">
        <v>594</v>
      </c>
      <c r="B289" s="1"/>
      <c r="C289" s="1"/>
      <c r="D289" s="1"/>
      <c r="E289" s="55" t="s">
        <v>7</v>
      </c>
      <c r="F289" s="1"/>
      <c r="G289" s="1"/>
      <c r="H289" s="1"/>
      <c r="I289" s="55" t="s">
        <v>7</v>
      </c>
      <c r="J289" s="1"/>
      <c r="K289" s="1"/>
      <c r="L289" s="1"/>
      <c r="M289" s="55" t="s">
        <v>7</v>
      </c>
      <c r="N289" s="1"/>
      <c r="O289" s="1"/>
      <c r="P289" s="1"/>
      <c r="Q289" s="55" t="s">
        <v>7</v>
      </c>
      <c r="R289" s="55" t="s">
        <v>7</v>
      </c>
    </row>
    <row r="290" spans="1:20" ht="15.75" customHeight="1" x14ac:dyDescent="0.3">
      <c r="A290" s="346" t="s">
        <v>899</v>
      </c>
      <c r="B290" s="1"/>
      <c r="C290" s="1"/>
      <c r="D290" s="1"/>
      <c r="E290" s="55">
        <f>SUM(B290:D290)</f>
        <v>0</v>
      </c>
      <c r="F290" s="1"/>
      <c r="G290" s="1"/>
      <c r="H290" s="1"/>
      <c r="I290" s="55">
        <f>SUM(F290:H290)</f>
        <v>0</v>
      </c>
      <c r="J290" s="1"/>
      <c r="K290" s="1"/>
      <c r="L290" s="1"/>
      <c r="M290" s="55">
        <f>SUM(J290:L290)</f>
        <v>0</v>
      </c>
      <c r="N290" s="1"/>
      <c r="O290" s="1"/>
      <c r="P290" s="1"/>
      <c r="Q290" s="55">
        <f>SUM(N290:P290)</f>
        <v>0</v>
      </c>
      <c r="R290" s="55">
        <f>+E290+I290+M290+Q290</f>
        <v>0</v>
      </c>
      <c r="T290" s="4" t="s">
        <v>822</v>
      </c>
    </row>
    <row r="291" spans="1:20" ht="15.75" customHeight="1" x14ac:dyDescent="0.3">
      <c r="A291" s="85" t="s">
        <v>1293</v>
      </c>
      <c r="B291" s="1"/>
      <c r="C291" s="1"/>
      <c r="D291" s="1"/>
      <c r="E291" s="55">
        <f>SUM(B291:D291)</f>
        <v>0</v>
      </c>
      <c r="F291" s="1"/>
      <c r="G291" s="1"/>
      <c r="H291" s="1"/>
      <c r="I291" s="55">
        <f>SUM(F291:H291)</f>
        <v>0</v>
      </c>
      <c r="J291" s="1"/>
      <c r="K291" s="1"/>
      <c r="L291" s="1"/>
      <c r="M291" s="55">
        <f>SUM(J291:L291)</f>
        <v>0</v>
      </c>
      <c r="N291" s="1"/>
      <c r="O291" s="1">
        <v>500</v>
      </c>
      <c r="P291" s="1">
        <v>800</v>
      </c>
      <c r="Q291" s="55">
        <f>SUM(N291:P291)</f>
        <v>1300</v>
      </c>
      <c r="R291" s="55">
        <f>+E291+I291+M291+Q291</f>
        <v>1300</v>
      </c>
      <c r="T291" s="4" t="s">
        <v>818</v>
      </c>
    </row>
    <row r="292" spans="1:20" ht="15.75" customHeight="1" x14ac:dyDescent="0.3">
      <c r="A292" s="85" t="s">
        <v>1294</v>
      </c>
      <c r="B292" s="1"/>
      <c r="C292" s="1"/>
      <c r="D292" s="1"/>
      <c r="E292" s="55">
        <f>SUM(B292:D292)</f>
        <v>0</v>
      </c>
      <c r="F292" s="1"/>
      <c r="G292" s="1"/>
      <c r="H292" s="1"/>
      <c r="I292" s="55">
        <f>SUM(F292:H292)</f>
        <v>0</v>
      </c>
      <c r="J292" s="1"/>
      <c r="K292" s="1"/>
      <c r="L292" s="1"/>
      <c r="M292" s="55">
        <f>SUM(J292:L292)</f>
        <v>0</v>
      </c>
      <c r="N292" s="1"/>
      <c r="O292" s="1">
        <v>1500</v>
      </c>
      <c r="P292" s="1">
        <v>500</v>
      </c>
      <c r="Q292" s="55">
        <f>SUM(N292:P292)</f>
        <v>2000</v>
      </c>
      <c r="R292" s="55">
        <f>+E292+I292+M292+Q292</f>
        <v>2000</v>
      </c>
      <c r="T292" s="4" t="s">
        <v>819</v>
      </c>
    </row>
    <row r="293" spans="1:20" ht="15.75" customHeight="1" x14ac:dyDescent="0.3">
      <c r="A293" s="15" t="s">
        <v>67</v>
      </c>
      <c r="B293" s="1"/>
      <c r="C293" s="1"/>
      <c r="D293" s="1"/>
      <c r="E293" s="55" t="s">
        <v>7</v>
      </c>
      <c r="F293" s="1"/>
      <c r="G293" s="1"/>
      <c r="H293" s="1"/>
      <c r="I293" s="55" t="s">
        <v>7</v>
      </c>
      <c r="J293" s="1"/>
      <c r="K293" s="1"/>
      <c r="L293" s="1"/>
      <c r="M293" s="55" t="s">
        <v>7</v>
      </c>
      <c r="N293" s="1"/>
      <c r="O293" s="1"/>
      <c r="P293" s="1"/>
      <c r="Q293" s="55" t="s">
        <v>7</v>
      </c>
      <c r="R293" s="55" t="s">
        <v>7</v>
      </c>
    </row>
    <row r="294" spans="1:20" ht="15.75" customHeight="1" x14ac:dyDescent="0.3">
      <c r="A294" s="85" t="s">
        <v>900</v>
      </c>
      <c r="B294" s="1"/>
      <c r="C294" s="1"/>
      <c r="D294" s="1"/>
      <c r="E294" s="55">
        <f>SUM(B294:D294)</f>
        <v>0</v>
      </c>
      <c r="F294" s="1"/>
      <c r="G294" s="1"/>
      <c r="H294" s="1"/>
      <c r="I294" s="55">
        <f>SUM(F294:H294)</f>
        <v>0</v>
      </c>
      <c r="J294" s="1"/>
      <c r="K294" s="1"/>
      <c r="L294" s="1"/>
      <c r="M294" s="55">
        <f>SUM(J294:L294)</f>
        <v>0</v>
      </c>
      <c r="N294" s="1"/>
      <c r="O294" s="1"/>
      <c r="P294" s="1"/>
      <c r="Q294" s="55">
        <f>SUM(N294:P294)</f>
        <v>0</v>
      </c>
      <c r="R294" s="55">
        <f>+E294+I294+M294+Q294</f>
        <v>0</v>
      </c>
    </row>
    <row r="295" spans="1:20" ht="15.75" customHeight="1" x14ac:dyDescent="0.3">
      <c r="A295" s="85" t="s">
        <v>901</v>
      </c>
      <c r="B295" s="1"/>
      <c r="C295" s="1"/>
      <c r="D295" s="1"/>
      <c r="E295" s="55">
        <f>SUM(B295:D295)</f>
        <v>0</v>
      </c>
      <c r="F295" s="1"/>
      <c r="G295" s="1"/>
      <c r="H295" s="1"/>
      <c r="I295" s="55">
        <f>SUM(F295:H295)</f>
        <v>0</v>
      </c>
      <c r="J295" s="1"/>
      <c r="K295" s="1"/>
      <c r="L295" s="1"/>
      <c r="M295" s="55">
        <f>SUM(J295:L295)</f>
        <v>0</v>
      </c>
      <c r="N295" s="1"/>
      <c r="O295" s="1"/>
      <c r="P295" s="1"/>
      <c r="Q295" s="55">
        <f>SUM(N295:P295)</f>
        <v>0</v>
      </c>
      <c r="R295" s="55">
        <f>+E295+I295+M295+Q295</f>
        <v>0</v>
      </c>
      <c r="T295" s="4">
        <f>24000-SUM(R149,R153,R171,R174,R190,R208,R244,R245,R268,R291,R294,R295)</f>
        <v>4383</v>
      </c>
    </row>
    <row r="296" spans="1:20" ht="15.75" customHeight="1" x14ac:dyDescent="0.3">
      <c r="A296" s="71" t="s">
        <v>902</v>
      </c>
      <c r="B296" s="1"/>
      <c r="C296" s="1"/>
      <c r="D296" s="1"/>
      <c r="E296" s="55">
        <f t="shared" ref="E296:E301" si="99">SUM(B296:D296)</f>
        <v>0</v>
      </c>
      <c r="F296" s="1"/>
      <c r="G296" s="1"/>
      <c r="H296" s="1"/>
      <c r="I296" s="55">
        <f t="shared" ref="I296:I301" si="100">SUM(F296:H296)</f>
        <v>0</v>
      </c>
      <c r="J296" s="1"/>
      <c r="K296" s="1"/>
      <c r="L296" s="1"/>
      <c r="M296" s="55">
        <f t="shared" ref="M296:M301" si="101">SUM(J296:L296)</f>
        <v>0</v>
      </c>
      <c r="N296" s="1"/>
      <c r="O296" s="1"/>
      <c r="P296" s="1"/>
      <c r="Q296" s="55">
        <f t="shared" ref="Q296:Q301" si="102">SUM(N296:P296)</f>
        <v>0</v>
      </c>
      <c r="R296" s="55">
        <f t="shared" ref="R296:R301" si="103">+E296+I296+M296+Q296</f>
        <v>0</v>
      </c>
      <c r="S296" s="4" t="s">
        <v>821</v>
      </c>
    </row>
    <row r="297" spans="1:20" ht="15.75" customHeight="1" x14ac:dyDescent="0.3">
      <c r="A297" s="71" t="s">
        <v>713</v>
      </c>
      <c r="B297" s="1"/>
      <c r="C297" s="1"/>
      <c r="D297" s="1"/>
      <c r="E297" s="55">
        <f t="shared" si="99"/>
        <v>0</v>
      </c>
      <c r="F297" s="1"/>
      <c r="G297" s="1"/>
      <c r="H297" s="1"/>
      <c r="I297" s="55">
        <f t="shared" si="100"/>
        <v>0</v>
      </c>
      <c r="J297" s="1"/>
      <c r="K297" s="1"/>
      <c r="L297" s="1"/>
      <c r="M297" s="55">
        <f t="shared" si="101"/>
        <v>0</v>
      </c>
      <c r="N297" s="1"/>
      <c r="O297" s="1"/>
      <c r="P297" s="1"/>
      <c r="Q297" s="55">
        <f t="shared" si="102"/>
        <v>0</v>
      </c>
      <c r="R297" s="55">
        <f t="shared" si="103"/>
        <v>0</v>
      </c>
    </row>
    <row r="298" spans="1:20" ht="15.75" customHeight="1" x14ac:dyDescent="0.3">
      <c r="A298" s="84" t="s">
        <v>903</v>
      </c>
      <c r="B298" s="1"/>
      <c r="C298" s="1"/>
      <c r="D298" s="1"/>
      <c r="E298" s="55">
        <f t="shared" si="99"/>
        <v>0</v>
      </c>
      <c r="F298" s="1"/>
      <c r="G298" s="1"/>
      <c r="H298" s="1"/>
      <c r="I298" s="55">
        <f t="shared" si="100"/>
        <v>0</v>
      </c>
      <c r="J298" s="1"/>
      <c r="K298" s="1"/>
      <c r="L298" s="1"/>
      <c r="M298" s="55">
        <f t="shared" si="101"/>
        <v>0</v>
      </c>
      <c r="N298" s="1"/>
      <c r="O298" s="1"/>
      <c r="P298" s="1"/>
      <c r="Q298" s="55">
        <f t="shared" si="102"/>
        <v>0</v>
      </c>
      <c r="R298" s="55">
        <f t="shared" si="103"/>
        <v>0</v>
      </c>
    </row>
    <row r="299" spans="1:20" ht="15.75" customHeight="1" x14ac:dyDescent="0.3">
      <c r="A299" s="84" t="s">
        <v>715</v>
      </c>
      <c r="B299" s="1"/>
      <c r="C299" s="1"/>
      <c r="D299" s="1"/>
      <c r="E299" s="55">
        <f t="shared" si="99"/>
        <v>0</v>
      </c>
      <c r="F299" s="1"/>
      <c r="G299" s="1"/>
      <c r="H299" s="1"/>
      <c r="I299" s="55">
        <f t="shared" si="100"/>
        <v>0</v>
      </c>
      <c r="J299" s="1"/>
      <c r="K299" s="1"/>
      <c r="L299" s="1"/>
      <c r="M299" s="55">
        <f t="shared" si="101"/>
        <v>0</v>
      </c>
      <c r="N299" s="1"/>
      <c r="O299" s="1"/>
      <c r="P299" s="1"/>
      <c r="Q299" s="55">
        <f t="shared" si="102"/>
        <v>0</v>
      </c>
      <c r="R299" s="55">
        <f t="shared" si="103"/>
        <v>0</v>
      </c>
    </row>
    <row r="300" spans="1:20" ht="15.75" customHeight="1" x14ac:dyDescent="0.3">
      <c r="A300" s="61" t="s">
        <v>716</v>
      </c>
      <c r="B300" s="1"/>
      <c r="C300" s="1"/>
      <c r="D300" s="1"/>
      <c r="E300" s="55">
        <f t="shared" si="99"/>
        <v>0</v>
      </c>
      <c r="F300" s="1"/>
      <c r="G300" s="1"/>
      <c r="H300" s="1"/>
      <c r="I300" s="55">
        <f t="shared" si="100"/>
        <v>0</v>
      </c>
      <c r="J300" s="1"/>
      <c r="K300" s="1"/>
      <c r="L300" s="1"/>
      <c r="M300" s="55">
        <f t="shared" si="101"/>
        <v>0</v>
      </c>
      <c r="N300" s="1"/>
      <c r="O300" s="1"/>
      <c r="P300" s="1"/>
      <c r="Q300" s="55">
        <f t="shared" si="102"/>
        <v>0</v>
      </c>
      <c r="R300" s="55">
        <f t="shared" si="103"/>
        <v>0</v>
      </c>
    </row>
    <row r="301" spans="1:20" ht="15.75" customHeight="1" x14ac:dyDescent="0.3">
      <c r="A301" s="61" t="s">
        <v>717</v>
      </c>
      <c r="B301" s="1"/>
      <c r="C301" s="1"/>
      <c r="D301" s="1"/>
      <c r="E301" s="55">
        <f t="shared" si="99"/>
        <v>0</v>
      </c>
      <c r="F301" s="1"/>
      <c r="G301" s="1"/>
      <c r="H301" s="1"/>
      <c r="I301" s="55">
        <f t="shared" si="100"/>
        <v>0</v>
      </c>
      <c r="J301" s="1"/>
      <c r="K301" s="1"/>
      <c r="L301" s="1"/>
      <c r="M301" s="55">
        <f t="shared" si="101"/>
        <v>0</v>
      </c>
      <c r="N301" s="1"/>
      <c r="O301" s="1"/>
      <c r="P301" s="1"/>
      <c r="Q301" s="55">
        <f t="shared" si="102"/>
        <v>0</v>
      </c>
      <c r="R301" s="55">
        <f t="shared" si="103"/>
        <v>0</v>
      </c>
    </row>
    <row r="302" spans="1:20" ht="15.75" customHeight="1" x14ac:dyDescent="0.3">
      <c r="A302" s="15" t="s">
        <v>600</v>
      </c>
      <c r="B302" s="1"/>
      <c r="C302" s="1"/>
      <c r="D302" s="1"/>
      <c r="E302" s="55" t="s">
        <v>7</v>
      </c>
      <c r="F302" s="1"/>
      <c r="G302" s="1"/>
      <c r="H302" s="1"/>
      <c r="I302" s="55" t="s">
        <v>7</v>
      </c>
      <c r="J302" s="1"/>
      <c r="K302" s="1"/>
      <c r="L302" s="1"/>
      <c r="M302" s="55" t="s">
        <v>7</v>
      </c>
      <c r="N302" s="1"/>
      <c r="O302" s="1"/>
      <c r="P302" s="1"/>
      <c r="Q302" s="55" t="s">
        <v>7</v>
      </c>
      <c r="R302" s="55" t="s">
        <v>7</v>
      </c>
    </row>
    <row r="303" spans="1:20" ht="15.75" customHeight="1" x14ac:dyDescent="0.3">
      <c r="A303" s="85" t="s">
        <v>1295</v>
      </c>
      <c r="B303" s="1"/>
      <c r="C303" s="1"/>
      <c r="D303" s="1"/>
      <c r="E303" s="55">
        <f t="shared" ref="E303" si="104">SUM(B303:D303)</f>
        <v>0</v>
      </c>
      <c r="F303" s="1"/>
      <c r="G303" s="1"/>
      <c r="H303" s="1"/>
      <c r="I303" s="55">
        <f t="shared" ref="I303" si="105">SUM(F303:H303)</f>
        <v>0</v>
      </c>
      <c r="J303" s="1"/>
      <c r="K303" s="1"/>
      <c r="L303" s="1"/>
      <c r="M303" s="55">
        <f t="shared" ref="M303" si="106">SUM(J303:L303)</f>
        <v>0</v>
      </c>
      <c r="N303" s="1"/>
      <c r="O303" s="1"/>
      <c r="P303" s="1"/>
      <c r="Q303" s="55">
        <f t="shared" ref="Q303" si="107">SUM(N303:P303)</f>
        <v>0</v>
      </c>
      <c r="R303" s="55">
        <f t="shared" ref="R303" si="108">+E303+I303+M303+Q303</f>
        <v>0</v>
      </c>
    </row>
    <row r="304" spans="1:20" ht="15.75" customHeight="1" x14ac:dyDescent="0.3">
      <c r="A304" s="15" t="s">
        <v>70</v>
      </c>
      <c r="B304" s="1"/>
      <c r="C304" s="1"/>
      <c r="D304" s="1"/>
      <c r="E304" s="55" t="s">
        <v>7</v>
      </c>
      <c r="F304" s="1"/>
      <c r="G304" s="1"/>
      <c r="H304" s="1"/>
      <c r="I304" s="55" t="s">
        <v>7</v>
      </c>
      <c r="J304" s="1"/>
      <c r="K304" s="1"/>
      <c r="L304" s="1"/>
      <c r="M304" s="55" t="s">
        <v>7</v>
      </c>
      <c r="N304" s="1"/>
      <c r="O304" s="1"/>
      <c r="P304" s="1"/>
      <c r="Q304" s="55" t="s">
        <v>7</v>
      </c>
      <c r="R304" s="55" t="s">
        <v>7</v>
      </c>
    </row>
    <row r="305" spans="1:20" ht="15.75" customHeight="1" thickBot="1" x14ac:dyDescent="0.35">
      <c r="A305" s="71" t="s">
        <v>904</v>
      </c>
      <c r="B305" s="1"/>
      <c r="C305" s="1"/>
      <c r="D305" s="1"/>
      <c r="E305" s="55">
        <f t="shared" ref="E305" si="109">SUM(B305:D305)</f>
        <v>0</v>
      </c>
      <c r="F305" s="1"/>
      <c r="G305" s="1"/>
      <c r="H305" s="1"/>
      <c r="I305" s="55">
        <f t="shared" ref="I305:I314" si="110">SUM(F305:H305)</f>
        <v>0</v>
      </c>
      <c r="J305" s="1"/>
      <c r="K305" s="1"/>
      <c r="L305" s="1"/>
      <c r="M305" s="55">
        <f t="shared" ref="M305:M314" si="111">SUM(J305:L305)</f>
        <v>0</v>
      </c>
      <c r="N305" s="1"/>
      <c r="O305" s="1"/>
      <c r="P305" s="1"/>
      <c r="Q305" s="55">
        <f t="shared" ref="Q305:Q314" si="112">SUM(N305:P305)</f>
        <v>0</v>
      </c>
      <c r="R305" s="55">
        <f t="shared" ref="R305:R314" si="113">+E305+I305+M305+Q305</f>
        <v>0</v>
      </c>
      <c r="S305" s="4" t="s">
        <v>821</v>
      </c>
    </row>
    <row r="306" spans="1:20" ht="16.5" customHeight="1" thickBot="1" x14ac:dyDescent="0.35">
      <c r="A306" s="57" t="s">
        <v>71</v>
      </c>
      <c r="B306" s="58">
        <f>SUM(B302:B305)</f>
        <v>0</v>
      </c>
      <c r="C306" s="58">
        <f>SUM(C302:C305)</f>
        <v>0</v>
      </c>
      <c r="D306" s="58">
        <f>SUM(D302:D305)</f>
        <v>0</v>
      </c>
      <c r="E306" s="60">
        <f t="shared" ref="E306:E311" si="114">SUM(B306:D306)</f>
        <v>0</v>
      </c>
      <c r="F306" s="58">
        <f>SUM(F302:F305)</f>
        <v>0</v>
      </c>
      <c r="G306" s="58">
        <f>SUM(G302:G305)</f>
        <v>0</v>
      </c>
      <c r="H306" s="58">
        <f>SUM(H302:H305)</f>
        <v>0</v>
      </c>
      <c r="I306" s="60">
        <f t="shared" si="110"/>
        <v>0</v>
      </c>
      <c r="J306" s="58">
        <f>SUM(J302:J305)</f>
        <v>0</v>
      </c>
      <c r="K306" s="58">
        <f>SUM(K302:K305)</f>
        <v>0</v>
      </c>
      <c r="L306" s="58">
        <f>SUM(L302:L305)</f>
        <v>0</v>
      </c>
      <c r="M306" s="60">
        <f t="shared" si="111"/>
        <v>0</v>
      </c>
      <c r="N306" s="58">
        <f>SUM(N302:N305)</f>
        <v>0</v>
      </c>
      <c r="O306" s="58">
        <f>SUM(O302:O305)</f>
        <v>0</v>
      </c>
      <c r="P306" s="58">
        <f>SUM(P302:P305)</f>
        <v>0</v>
      </c>
      <c r="Q306" s="60">
        <f t="shared" si="112"/>
        <v>0</v>
      </c>
      <c r="R306" s="59">
        <f t="shared" si="113"/>
        <v>0</v>
      </c>
    </row>
    <row r="307" spans="1:20" ht="16.5" customHeight="1" thickBot="1" x14ac:dyDescent="0.35">
      <c r="A307" s="57" t="s">
        <v>72</v>
      </c>
      <c r="B307" s="86">
        <f>SUM(B288:B305)</f>
        <v>0</v>
      </c>
      <c r="C307" s="87">
        <f>SUM(C288:C305)</f>
        <v>0</v>
      </c>
      <c r="D307" s="87">
        <f>SUM(D288:D305)</f>
        <v>0</v>
      </c>
      <c r="E307" s="59">
        <f t="shared" si="114"/>
        <v>0</v>
      </c>
      <c r="F307" s="87">
        <f>SUM(F288:F305)</f>
        <v>0</v>
      </c>
      <c r="G307" s="87">
        <f>SUM(G288:G305)</f>
        <v>0</v>
      </c>
      <c r="H307" s="87">
        <f>SUM(H288:H305)</f>
        <v>0</v>
      </c>
      <c r="I307" s="59">
        <f t="shared" si="110"/>
        <v>0</v>
      </c>
      <c r="J307" s="87">
        <f>SUM(J288:J305)</f>
        <v>0</v>
      </c>
      <c r="K307" s="87">
        <f>SUM(K288:K305)</f>
        <v>0</v>
      </c>
      <c r="L307" s="87">
        <f>SUM(L288:L305)</f>
        <v>0</v>
      </c>
      <c r="M307" s="59">
        <f t="shared" si="111"/>
        <v>0</v>
      </c>
      <c r="N307" s="87">
        <f>SUM(N288:N305)</f>
        <v>0</v>
      </c>
      <c r="O307" s="87">
        <f>SUM(O288:O305)</f>
        <v>2000</v>
      </c>
      <c r="P307" s="87">
        <f>SUM(P288:P305)</f>
        <v>1300</v>
      </c>
      <c r="Q307" s="59">
        <f t="shared" si="112"/>
        <v>3300</v>
      </c>
      <c r="R307" s="59">
        <f t="shared" si="113"/>
        <v>3300</v>
      </c>
    </row>
    <row r="308" spans="1:20" ht="16.5" customHeight="1" thickBot="1" x14ac:dyDescent="0.35">
      <c r="A308" s="57" t="s">
        <v>73</v>
      </c>
      <c r="B308" s="90">
        <f>+B212+B219+B287+B307</f>
        <v>17547</v>
      </c>
      <c r="C308" s="58">
        <f>+C212+C219+C287+C307</f>
        <v>19475</v>
      </c>
      <c r="D308" s="58">
        <f>+D212+D219+D287+D307</f>
        <v>25256</v>
      </c>
      <c r="E308" s="81">
        <f t="shared" si="114"/>
        <v>62278</v>
      </c>
      <c r="F308" s="58">
        <f>+F212+F219+F287+F307</f>
        <v>30906</v>
      </c>
      <c r="G308" s="58">
        <f>+G212+G219+G287+G307</f>
        <v>40525</v>
      </c>
      <c r="H308" s="58">
        <f>+H212+H219+H287+H307</f>
        <v>51330</v>
      </c>
      <c r="I308" s="81">
        <f t="shared" si="110"/>
        <v>122761</v>
      </c>
      <c r="J308" s="58">
        <f>+J212+J219+J287+J307</f>
        <v>51069</v>
      </c>
      <c r="K308" s="58">
        <f>+K212+K219+K287+K307</f>
        <v>49956</v>
      </c>
      <c r="L308" s="58">
        <f>+L212+L219+L287+L307</f>
        <v>40634</v>
      </c>
      <c r="M308" s="81">
        <f t="shared" si="111"/>
        <v>141659</v>
      </c>
      <c r="N308" s="58">
        <f>+N212+N219+N287+N307</f>
        <v>26773</v>
      </c>
      <c r="O308" s="58">
        <f>+O212+O219+O287+O307</f>
        <v>16315</v>
      </c>
      <c r="P308" s="58">
        <f>+P212+P219+P287+P307</f>
        <v>12306</v>
      </c>
      <c r="Q308" s="81">
        <f t="shared" si="112"/>
        <v>55394</v>
      </c>
      <c r="R308" s="81">
        <f t="shared" si="113"/>
        <v>382092</v>
      </c>
    </row>
    <row r="309" spans="1:20" ht="15.75" customHeight="1" x14ac:dyDescent="0.3">
      <c r="A309" s="88" t="s">
        <v>905</v>
      </c>
      <c r="B309" s="1">
        <v>0</v>
      </c>
      <c r="C309" s="1">
        <v>55</v>
      </c>
      <c r="D309" s="1">
        <v>1056</v>
      </c>
      <c r="E309" s="55">
        <f t="shared" si="114"/>
        <v>1111</v>
      </c>
      <c r="F309" s="1">
        <v>1915</v>
      </c>
      <c r="G309" s="1">
        <v>2784</v>
      </c>
      <c r="H309" s="1">
        <v>2521</v>
      </c>
      <c r="I309" s="55">
        <f t="shared" si="110"/>
        <v>7220</v>
      </c>
      <c r="J309" s="1">
        <v>2267</v>
      </c>
      <c r="K309" s="1">
        <v>2783</v>
      </c>
      <c r="L309" s="1">
        <v>1859</v>
      </c>
      <c r="M309" s="55">
        <f t="shared" si="111"/>
        <v>6909</v>
      </c>
      <c r="N309" s="1">
        <v>2787</v>
      </c>
      <c r="O309" s="1">
        <v>2962</v>
      </c>
      <c r="P309" s="1">
        <v>659</v>
      </c>
      <c r="Q309" s="55">
        <f t="shared" si="112"/>
        <v>6408</v>
      </c>
      <c r="R309" s="55">
        <f t="shared" si="113"/>
        <v>21648</v>
      </c>
      <c r="T309" s="4" t="s">
        <v>812</v>
      </c>
    </row>
    <row r="310" spans="1:20" ht="15.75" customHeight="1" x14ac:dyDescent="0.3">
      <c r="A310" s="91" t="s">
        <v>193</v>
      </c>
      <c r="B310" s="1"/>
      <c r="C310" s="1"/>
      <c r="D310" s="1">
        <v>-2608</v>
      </c>
      <c r="E310" s="55">
        <f t="shared" si="114"/>
        <v>-2608</v>
      </c>
      <c r="F310" s="1">
        <v>2028</v>
      </c>
      <c r="G310" s="1">
        <v>3526</v>
      </c>
      <c r="H310" s="1">
        <v>80</v>
      </c>
      <c r="I310" s="55">
        <f t="shared" si="110"/>
        <v>5634</v>
      </c>
      <c r="J310" s="1">
        <v>-3173</v>
      </c>
      <c r="K310" s="1">
        <v>-8011</v>
      </c>
      <c r="L310" s="1">
        <v>-1070</v>
      </c>
      <c r="M310" s="55">
        <f t="shared" si="111"/>
        <v>-12254</v>
      </c>
      <c r="N310" s="1">
        <v>2064</v>
      </c>
      <c r="O310" s="1">
        <v>-6509</v>
      </c>
      <c r="P310" s="1">
        <v>-2166</v>
      </c>
      <c r="Q310" s="55">
        <f t="shared" si="112"/>
        <v>-6611</v>
      </c>
      <c r="R310" s="55">
        <f t="shared" si="113"/>
        <v>-15839</v>
      </c>
    </row>
    <row r="311" spans="1:20" ht="15.75" customHeight="1" x14ac:dyDescent="0.3">
      <c r="A311" s="71" t="s">
        <v>718</v>
      </c>
      <c r="B311" s="1"/>
      <c r="C311" s="1"/>
      <c r="D311" s="1"/>
      <c r="E311" s="55">
        <f t="shared" si="114"/>
        <v>0</v>
      </c>
      <c r="F311" s="1"/>
      <c r="G311" s="1"/>
      <c r="H311" s="1"/>
      <c r="I311" s="55">
        <f t="shared" si="110"/>
        <v>0</v>
      </c>
      <c r="J311" s="1"/>
      <c r="K311" s="1"/>
      <c r="L311" s="1"/>
      <c r="M311" s="55">
        <f t="shared" si="111"/>
        <v>0</v>
      </c>
      <c r="N311" s="1"/>
      <c r="O311" s="1"/>
      <c r="P311" s="1"/>
      <c r="Q311" s="55">
        <f t="shared" si="112"/>
        <v>0</v>
      </c>
      <c r="R311" s="55">
        <f t="shared" si="113"/>
        <v>0</v>
      </c>
    </row>
    <row r="312" spans="1:20" ht="15.75" customHeight="1" x14ac:dyDescent="0.3">
      <c r="A312" s="91" t="s">
        <v>195</v>
      </c>
      <c r="B312" s="1">
        <v>29</v>
      </c>
      <c r="C312" s="1">
        <v>21</v>
      </c>
      <c r="D312" s="1">
        <v>26</v>
      </c>
      <c r="E312" s="55">
        <f>SUM(B312:D312)</f>
        <v>76</v>
      </c>
      <c r="F312" s="1">
        <v>23</v>
      </c>
      <c r="G312" s="1">
        <v>91</v>
      </c>
      <c r="H312" s="1">
        <v>31</v>
      </c>
      <c r="I312" s="55">
        <f>SUM(F312:H312)</f>
        <v>145</v>
      </c>
      <c r="J312" s="1">
        <v>29</v>
      </c>
      <c r="K312" s="1">
        <v>203</v>
      </c>
      <c r="L312" s="1">
        <v>59</v>
      </c>
      <c r="M312" s="55">
        <f>SUM(J312:L312)</f>
        <v>291</v>
      </c>
      <c r="N312" s="1">
        <v>58</v>
      </c>
      <c r="O312" s="1">
        <v>43</v>
      </c>
      <c r="P312" s="1">
        <v>12</v>
      </c>
      <c r="Q312" s="55">
        <f>SUM(N312:P312)</f>
        <v>113</v>
      </c>
      <c r="R312" s="55">
        <f t="shared" si="113"/>
        <v>625</v>
      </c>
    </row>
    <row r="313" spans="1:20" ht="15.75" customHeight="1" x14ac:dyDescent="0.3">
      <c r="A313" s="84" t="s">
        <v>196</v>
      </c>
      <c r="B313" s="1">
        <v>62928</v>
      </c>
      <c r="C313" s="1">
        <v>99729</v>
      </c>
      <c r="D313" s="1">
        <v>62</v>
      </c>
      <c r="E313" s="55">
        <f t="shared" ref="E313" si="115">SUM(B313:D313)</f>
        <v>162719</v>
      </c>
      <c r="F313" s="1">
        <v>11000</v>
      </c>
      <c r="G313" s="1">
        <v>18293</v>
      </c>
      <c r="H313" s="1">
        <v>1475</v>
      </c>
      <c r="I313" s="55">
        <f t="shared" ref="I313" si="116">SUM(F313:H313)</f>
        <v>30768</v>
      </c>
      <c r="J313" s="1"/>
      <c r="K313" s="1">
        <v>29</v>
      </c>
      <c r="L313" s="1">
        <v>31893</v>
      </c>
      <c r="M313" s="55">
        <f t="shared" ref="M313" si="117">SUM(J313:L313)</f>
        <v>31922</v>
      </c>
      <c r="N313" s="1">
        <v>39398</v>
      </c>
      <c r="O313" s="1">
        <v>102175</v>
      </c>
      <c r="P313" s="1">
        <v>25914</v>
      </c>
      <c r="Q313" s="55">
        <f t="shared" si="112"/>
        <v>167487</v>
      </c>
      <c r="R313" s="55">
        <f t="shared" si="113"/>
        <v>392896</v>
      </c>
    </row>
    <row r="314" spans="1:20" ht="16.5" customHeight="1" thickBot="1" x14ac:dyDescent="0.35">
      <c r="A314" s="39" t="s">
        <v>40</v>
      </c>
      <c r="B314" s="21">
        <v>104</v>
      </c>
      <c r="C314" s="21">
        <v>268</v>
      </c>
      <c r="D314" s="21">
        <v>474</v>
      </c>
      <c r="E314" s="55">
        <f>SUM(B314:D314)</f>
        <v>846</v>
      </c>
      <c r="F314" s="21">
        <v>647</v>
      </c>
      <c r="G314" s="21">
        <v>742</v>
      </c>
      <c r="H314" s="21">
        <v>781</v>
      </c>
      <c r="I314" s="55">
        <f t="shared" si="110"/>
        <v>2170</v>
      </c>
      <c r="J314" s="21">
        <v>774</v>
      </c>
      <c r="K314" s="21">
        <v>596</v>
      </c>
      <c r="L314" s="21">
        <v>546</v>
      </c>
      <c r="M314" s="55">
        <f t="shared" si="111"/>
        <v>1916</v>
      </c>
      <c r="N314" s="21">
        <v>517</v>
      </c>
      <c r="O314" s="21">
        <v>413</v>
      </c>
      <c r="P314" s="21">
        <v>302</v>
      </c>
      <c r="Q314" s="55">
        <f t="shared" si="112"/>
        <v>1232</v>
      </c>
      <c r="R314" s="55">
        <f t="shared" si="113"/>
        <v>6164</v>
      </c>
    </row>
    <row r="315" spans="1:20" ht="16.5" customHeight="1" thickBot="1" x14ac:dyDescent="0.35">
      <c r="A315" s="74"/>
      <c r="B315" s="75"/>
      <c r="C315" s="75"/>
      <c r="D315" s="75"/>
      <c r="E315" s="60"/>
      <c r="F315" s="75"/>
      <c r="G315" s="75"/>
      <c r="H315" s="75"/>
      <c r="I315" s="59"/>
      <c r="J315" s="75"/>
      <c r="K315" s="75"/>
      <c r="L315" s="75"/>
      <c r="M315" s="59"/>
      <c r="N315" s="75"/>
      <c r="O315" s="75"/>
      <c r="P315" s="75"/>
      <c r="Q315" s="59"/>
      <c r="R315" s="59" t="s">
        <v>7</v>
      </c>
    </row>
    <row r="316" spans="1:20" ht="15.75" customHeight="1" x14ac:dyDescent="0.3">
      <c r="A316" s="76" t="s">
        <v>41</v>
      </c>
      <c r="B316" s="77">
        <f>SUM(B308:B314)</f>
        <v>80608</v>
      </c>
      <c r="C316" s="77">
        <f>SUM(C308:C314)</f>
        <v>119548</v>
      </c>
      <c r="D316" s="77">
        <f>SUM(D308:D314)</f>
        <v>24266</v>
      </c>
      <c r="E316" s="60">
        <f>SUM(B316:D316)</f>
        <v>224422</v>
      </c>
      <c r="F316" s="77">
        <f>SUM(F308:F314)</f>
        <v>46519</v>
      </c>
      <c r="G316" s="77">
        <f>SUM(G308:G314)</f>
        <v>65961</v>
      </c>
      <c r="H316" s="77">
        <f>SUM(H308:H314)</f>
        <v>56218</v>
      </c>
      <c r="I316" s="60">
        <f>SUM(F316:H316)</f>
        <v>168698</v>
      </c>
      <c r="J316" s="77">
        <f>SUM(J308:J314)</f>
        <v>50966</v>
      </c>
      <c r="K316" s="77">
        <f>SUM(K308:K314)</f>
        <v>45556</v>
      </c>
      <c r="L316" s="77">
        <f>SUM(L308:L314)</f>
        <v>73921</v>
      </c>
      <c r="M316" s="60">
        <f>SUM(J316:L316)</f>
        <v>170443</v>
      </c>
      <c r="N316" s="77">
        <f>SUM(N308:N314)</f>
        <v>71597</v>
      </c>
      <c r="O316" s="77">
        <f>SUM(O308:O314)</f>
        <v>115399</v>
      </c>
      <c r="P316" s="77">
        <f>SUM(P308:P314)</f>
        <v>37027</v>
      </c>
      <c r="Q316" s="92">
        <f>SUM(N316:P316)</f>
        <v>224023</v>
      </c>
      <c r="R316" s="60">
        <f>+E316+I316+M316+Q316</f>
        <v>787586</v>
      </c>
    </row>
    <row r="317" spans="1:20" ht="15.75" customHeight="1" x14ac:dyDescent="0.3">
      <c r="A317" s="79" t="s">
        <v>42</v>
      </c>
      <c r="B317" s="1">
        <f>(B316/B10)/1.983</f>
        <v>1311.2748686415175</v>
      </c>
      <c r="C317" s="1">
        <f>(C316/C10)/1.983</f>
        <v>2153.0869533895252</v>
      </c>
      <c r="D317" s="1">
        <f>(D316/D10)/1.983</f>
        <v>394.74240723569693</v>
      </c>
      <c r="E317" s="55" t="s">
        <v>7</v>
      </c>
      <c r="F317" s="1">
        <f>(F316/F10)/1.983</f>
        <v>781.96335518574551</v>
      </c>
      <c r="G317" s="1">
        <f>(G316/G10)/1.983</f>
        <v>1073.0076619003466</v>
      </c>
      <c r="H317" s="1">
        <f>(H316/H10)/1.983</f>
        <v>944.99915952260881</v>
      </c>
      <c r="I317" s="55" t="s">
        <v>7</v>
      </c>
      <c r="J317" s="1">
        <f>(J316/J10)/1.983</f>
        <v>829.07943324711653</v>
      </c>
      <c r="K317" s="1">
        <f>(K316/K10)/1.983</f>
        <v>741.0733167406828</v>
      </c>
      <c r="L317" s="1">
        <f>(L316/L10)/1.983</f>
        <v>1242.5785846360732</v>
      </c>
      <c r="M317" s="55" t="s">
        <v>7</v>
      </c>
      <c r="N317" s="1">
        <f>(N316/N10)/1.983</f>
        <v>1164.6901891887494</v>
      </c>
      <c r="O317" s="1">
        <f>(O316/O10)/1.983</f>
        <v>1939.8050092452511</v>
      </c>
      <c r="P317" s="1">
        <f>(P316/P10)/1.983</f>
        <v>602.32947798220357</v>
      </c>
      <c r="Q317" s="93" t="s">
        <v>7</v>
      </c>
      <c r="R317" s="55" t="s">
        <v>7</v>
      </c>
    </row>
    <row r="318" spans="1:20" ht="15.75" customHeight="1" x14ac:dyDescent="0.3">
      <c r="A318" s="79" t="s">
        <v>197</v>
      </c>
      <c r="B318" s="1">
        <f>(+B316+B492)+B325</f>
        <v>86481</v>
      </c>
      <c r="C318" s="1">
        <f>(+C316+C492)+C325</f>
        <v>150606</v>
      </c>
      <c r="D318" s="1">
        <f>(+D316+D492)+D325</f>
        <v>80155</v>
      </c>
      <c r="E318" s="55">
        <f>SUM(B318:D318)</f>
        <v>317242</v>
      </c>
      <c r="F318" s="1">
        <f>(+F316+F492)+F325</f>
        <v>142087</v>
      </c>
      <c r="G318" s="1">
        <f>(+G316+G492)+G325</f>
        <v>146904</v>
      </c>
      <c r="H318" s="1">
        <f>(+H316+H492)+H325</f>
        <v>99323</v>
      </c>
      <c r="I318" s="55">
        <f>SUM(F318:H318)</f>
        <v>388314</v>
      </c>
      <c r="J318" s="1">
        <f>(+J316+J492)+J325</f>
        <v>89070</v>
      </c>
      <c r="K318" s="1">
        <f>(+K316+K492)+K325</f>
        <v>95102</v>
      </c>
      <c r="L318" s="1">
        <f>(+L316+L492)+L325</f>
        <v>154021</v>
      </c>
      <c r="M318" s="55">
        <f>SUM(J318:L318)</f>
        <v>338193</v>
      </c>
      <c r="N318" s="1">
        <f>(+N316+N492)+N325</f>
        <v>143800</v>
      </c>
      <c r="O318" s="1">
        <f>(+O316+O492)+O325</f>
        <v>120073</v>
      </c>
      <c r="P318" s="1">
        <f>(+P316+P492)+P325</f>
        <v>70376</v>
      </c>
      <c r="Q318" s="93">
        <f>SUM(N318:P318)</f>
        <v>334249</v>
      </c>
      <c r="R318" s="55">
        <f>+E318+I318+M318+Q318</f>
        <v>1377998</v>
      </c>
    </row>
    <row r="319" spans="1:20" ht="16.5" customHeight="1" thickBot="1" x14ac:dyDescent="0.35">
      <c r="A319" s="80" t="s">
        <v>198</v>
      </c>
      <c r="B319" s="25">
        <f>(B318/B10)/1.983</f>
        <v>1406.8127470596846</v>
      </c>
      <c r="C319" s="25">
        <f>(C318/C10)/1.983</f>
        <v>2712.4486708450399</v>
      </c>
      <c r="D319" s="25">
        <f>(D318/D10)/1.983</f>
        <v>1303.9057797732337</v>
      </c>
      <c r="E319" s="81" t="s">
        <v>7</v>
      </c>
      <c r="F319" s="25">
        <f>(F318/F10)/1.983</f>
        <v>2388.4182215498404</v>
      </c>
      <c r="G319" s="25">
        <f>(G318/G10)/1.983</f>
        <v>2389.7320774974378</v>
      </c>
      <c r="H319" s="25">
        <f>(H318/H10)/1.983</f>
        <v>1669.5747184400741</v>
      </c>
      <c r="I319" s="81" t="s">
        <v>7</v>
      </c>
      <c r="J319" s="25">
        <f>(J318/J10)/1.983</f>
        <v>1448.9287980088818</v>
      </c>
      <c r="K319" s="25">
        <f>(K318/K10)/1.983</f>
        <v>1547.0531778179038</v>
      </c>
      <c r="L319" s="25">
        <f>(L318/L10)/1.983</f>
        <v>2589.0233652714742</v>
      </c>
      <c r="M319" s="81" t="s">
        <v>7</v>
      </c>
      <c r="N319" s="25">
        <f>(N318/N10)/1.983</f>
        <v>2339.2383648105674</v>
      </c>
      <c r="O319" s="25">
        <f>(O318/O10)/1.983</f>
        <v>2018.3728357707178</v>
      </c>
      <c r="P319" s="25">
        <f>(P318/P10)/1.983</f>
        <v>1144.8278105835082</v>
      </c>
      <c r="Q319" s="94" t="s">
        <v>7</v>
      </c>
      <c r="R319" s="81" t="s">
        <v>7</v>
      </c>
    </row>
    <row r="320" spans="1:20" ht="16.5" customHeight="1" thickBot="1" x14ac:dyDescent="0.35">
      <c r="A320" s="95" t="s">
        <v>199</v>
      </c>
      <c r="B320" s="96">
        <f>+(B318-(B141+B142+B143+B144+B147+B149+B150+B153+B154+B155+B159+B161++B167+B168+B169+B171+B172+B174+B175+B176+B177+B178+B182+B190+B191+B192+B203+B206+B208+B209+B216+B223+B224+B226+B227+B228+B234+B241+B243+B244+B245+B246+B248+B249+B250+B251+B259+B268+B269+B272+B291+B292+B294+B295+B298+B299+B303+B309+B313+B321)-B325)/(B10*1.983)</f>
        <v>677.61456249084961</v>
      </c>
      <c r="C320" s="96">
        <f>+(C318-(C141+C142+C143+C144+C147+C149+C150+C153+C154+C155+C159+C161++C167+C168+C169+C171+C172+C174+C175+C176+C177+C178+C182+C190+C191+C192+C203+C206+C208+C209+C216+C223+C224+C226+C227+C228+C234+C241+C243+C244+C245+C246+C248+C249+C250+C251+C259+C268+C269+C272+C291+C292+C294+C295+C298+C299+C303+C309+C313+C321)-C325)/(C10*1.983)</f>
        <v>875.38721994092646</v>
      </c>
      <c r="D320" s="96">
        <f>+(D318-(D141+D142+D143+D144+D147+D149+D150+D153+D154+D155+D159+D161++D167+D168+D169+D171+D172+D174+D175+D176+D177+D178+D182+D190+D191+D192+D203+D206+D208+D209+D216+D223+D224+D226+D227+D228+D234+D241+D243+D244+D245+D246+D248+D249+D250+D251+D259+D268+D269+D272+D291+D292+D294+D295+D298+D299+D303+D309+D313+D321)-D325)/(D10*1.983)</f>
        <v>1193.9388024010541</v>
      </c>
      <c r="E320" s="97"/>
      <c r="F320" s="96">
        <f>+(F318-(F141+F142+F143+F144+F147+F149+F150+F153+F154+F155+F159+F161++F167+F168+F169+F171+F172+F174+F175+F176+F177+F178+F182+F190+F191+F192+F203+F206+F208+F209+F216+F223+F224+F226+F227+F228+F234+F241+F243+F244+F245+F246+F248+F249+F250+F251+F259+F268+F269+F272+F291+F292+F294+F295+F298+F299+F303+F309+F313+F321)-F325)/(F10*1.983)</f>
        <v>2283.0055471507817</v>
      </c>
      <c r="G320" s="96">
        <f>+(G318-(G141+G142+G143+G144+G147+G149+G150+G153+G154+G155+G159+G161++G167+G168+G169+G171+G172+G174+G175+G176+G177+G178+G182+G190+G191+G192+G203+G206+G208+G209+G216+G223+G224+G226+G227+G228+G234+G241+G243+G244+G245+G246+G248+G249+G250+G251+G259+G268+G269+G272+G291+G292+G294+G295+G298+G299+G303+G309+G313+G321)-G325)/(G10*1.983)</f>
        <v>2175.0849966652022</v>
      </c>
      <c r="H320" s="96">
        <f>+(H318-(H141+H142+H143+H144+H147+H149+H150+H153+H154+H155+H159+H161++H167+H168+H169+H171+H172+H174+H175+H176+H177+H178+H182+H190+H191+H192+H203+H206+H208+H209+H216+H223+H224+H226+H227+H228+H234+H241+H243+H244+H245+H246+H248+H249+H250+H251+H259+H268+H269+H272+H291+H292+H294+H295+H298+H299+H303+H309+H313+H321)-H325)/(H10*1.983)</f>
        <v>2805.6648176164058</v>
      </c>
      <c r="I320" s="97"/>
      <c r="J320" s="96">
        <f>+(J318-(J141+J142+J143+J144+J147+J149+J150+J153+J154+J155+J159+J161++J167+J168+J169+J171+J172+J174+J175+J176+J177+J178+J182+J190+J191+J192+J203+J206+J208+J209+J216+J223+J224+J226+J227+J228+J234+J241+J243+J244+J245+J246+J248+J249+J250+J251+J259+J268+J269+J272+J291+J292+J294+J295+J298+J299+J303+J309+J313+J321)-J325)/(J10*1.983)</f>
        <v>2743.6110162185023</v>
      </c>
      <c r="K320" s="96">
        <f>+(K318-(K141+K142+K143+K144+K147+K149+K150+K153+K154+K155+K159+K161++K167+K168+K169+K171+K172+K174+K175+K176+K177+K178+K182+K190+K191+K192+K203+K206+K208+K209+K216+K223+K224+K226+K227+K228+K234+K241+K243+K244+K245+K246+K248+K249+K250+K251+K259+K268+K269+K272+K291+K292+K294+K295+K298+K299+K303+K309+K313+K321)-K325)/(K10*1.983)</f>
        <v>2579.3600442470674</v>
      </c>
      <c r="L320" s="96">
        <f>+(L318-(L141+L142+L143+L144+L147+L149+L150+L153+L154+L155+L159+L161++L167+L168+L169+L171+L172+L174+L175+L176+L177+L178+L182+L190+L191+L192+L203+L206+L208+L209+L216+L223+L224+L226+L227+L228+L234+L241+L243+L244+L245+L246+L248+L249+L250+L251+L259+L268+L269+L272+L291+L292+L294+L295+L298+L299+L303+L309+L313+L321)-L325)/(L10*1.983)</f>
        <v>1910.0016809547822</v>
      </c>
      <c r="M320" s="97"/>
      <c r="N320" s="96">
        <f>+(N318-(N141+N142+N143+N144+N147+N149+N150+N153+N154+N155+N159+N161++N167+N168+N169+N171+N172+N174+N175+N176+N177+N178+N182+N190+N191+N192+N203+N206+N208+N209+N216+N223+N224+N226+N227+N228+N234+N241+N243+N244+N245+N246+N248+N249+N250+N251+N259+N268+N269+N272+N291+N292+N294+N295+N298+N299+N303+N309+N313+N321)-N325)/(N10*1.983)</f>
        <v>1547.6876026873585</v>
      </c>
      <c r="O320" s="96">
        <f>+(O318-(O141+O142+O143+O144+O147+O149+O150+O153+O154+O155+O159+O161++O167+O168+O169+O171+O172+O174+O175+O176+O177+O178+O182+O190+O191+O192+O203+O206+O208+O209+O216+O223+O224+O226+O227+O228+O234+O241+O243+O244+O245+O246+O248+O249+O250+O251+O259+O268+O269+O272+O291+O292+O294+O295+O298+O299+O303+O309+O313+O321)-O325)/(O10*1.983)</f>
        <v>150.07564296520422</v>
      </c>
      <c r="P320" s="96">
        <f>+(P318-(P141+P142+P143+P144+P147+P149+P150+P153+P154+P155+P159+P161++P167+P168+P169+P171+P172+P174+P175+P176+P177+P178+P182+P190+P191+P192+P203+P206+P208+P209+P216+P223+P224+P226+P227+P228+P234+P241+P243+P244+P245+P246+P248+P249+P250+P251+P259+P268+P269+P272+P291+P292+P294+P295+P298+P299+P303+P309+P313+P321)-P325)/(P10*1.983)</f>
        <v>547.13451433962871</v>
      </c>
      <c r="Q320" s="98"/>
      <c r="R320" s="97"/>
    </row>
    <row r="321" spans="1:20" ht="15.75" customHeight="1" x14ac:dyDescent="0.3">
      <c r="A321" s="299" t="s">
        <v>719</v>
      </c>
      <c r="B321" s="1"/>
      <c r="C321" s="1"/>
      <c r="D321" s="1"/>
      <c r="E321" s="1"/>
      <c r="F321" s="1"/>
      <c r="G321" s="1"/>
      <c r="H321" s="1"/>
      <c r="I321" s="1"/>
      <c r="J321" s="1"/>
      <c r="K321" s="1"/>
      <c r="L321" s="1"/>
      <c r="M321" s="1"/>
      <c r="N321" s="1"/>
      <c r="O321" s="1"/>
      <c r="P321" s="1"/>
      <c r="Q321" s="1"/>
      <c r="R321" s="2"/>
    </row>
    <row r="322" spans="1:20" ht="15.75" customHeight="1" thickBot="1" x14ac:dyDescent="0.35">
      <c r="A322" s="28"/>
      <c r="B322" s="1"/>
      <c r="C322" s="1"/>
      <c r="D322" s="1"/>
      <c r="E322" s="1"/>
      <c r="F322" s="1"/>
      <c r="G322" s="1"/>
      <c r="H322" s="1"/>
      <c r="I322" s="1"/>
      <c r="J322" s="1"/>
      <c r="K322" s="1"/>
      <c r="L322" s="1"/>
      <c r="M322" s="1"/>
      <c r="N322" s="1"/>
      <c r="O322" s="1"/>
      <c r="P322" s="1"/>
      <c r="Q322" s="1"/>
      <c r="R322" s="2"/>
    </row>
    <row r="323" spans="1:20" ht="16.5" customHeight="1" thickBot="1" x14ac:dyDescent="0.35">
      <c r="A323" s="29" t="s">
        <v>201</v>
      </c>
      <c r="B323" s="30" t="s">
        <v>8</v>
      </c>
      <c r="C323" s="31" t="s">
        <v>9</v>
      </c>
      <c r="D323" s="31" t="s">
        <v>10</v>
      </c>
      <c r="E323" s="32" t="s">
        <v>11</v>
      </c>
      <c r="F323" s="31" t="s">
        <v>12</v>
      </c>
      <c r="G323" s="31" t="s">
        <v>13</v>
      </c>
      <c r="H323" s="31" t="s">
        <v>14</v>
      </c>
      <c r="I323" s="33" t="s">
        <v>15</v>
      </c>
      <c r="J323" s="31" t="s">
        <v>16</v>
      </c>
      <c r="K323" s="31" t="s">
        <v>17</v>
      </c>
      <c r="L323" s="31" t="s">
        <v>18</v>
      </c>
      <c r="M323" s="33" t="s">
        <v>19</v>
      </c>
      <c r="N323" s="31" t="s">
        <v>20</v>
      </c>
      <c r="O323" s="31" t="s">
        <v>21</v>
      </c>
      <c r="P323" s="31" t="s">
        <v>22</v>
      </c>
      <c r="Q323" s="33" t="s">
        <v>23</v>
      </c>
      <c r="R323" s="34" t="s">
        <v>24</v>
      </c>
    </row>
    <row r="324" spans="1:20" ht="16.5" customHeight="1" thickBot="1" x14ac:dyDescent="0.35">
      <c r="A324" s="74"/>
      <c r="B324" s="75"/>
      <c r="C324" s="75"/>
      <c r="D324" s="75"/>
      <c r="E324" s="82"/>
      <c r="F324" s="75"/>
      <c r="G324" s="75"/>
      <c r="H324" s="75"/>
      <c r="I324" s="82"/>
      <c r="J324" s="75"/>
      <c r="K324" s="75"/>
      <c r="L324" s="75"/>
      <c r="M324" s="82"/>
      <c r="N324" s="75"/>
      <c r="O324" s="75"/>
      <c r="P324" s="75"/>
      <c r="Q324" s="82"/>
      <c r="R324" s="100"/>
    </row>
    <row r="325" spans="1:20" ht="15.75" customHeight="1" thickBot="1" x14ac:dyDescent="0.35">
      <c r="A325" s="71" t="s">
        <v>202</v>
      </c>
      <c r="B325" s="1">
        <v>-18404</v>
      </c>
      <c r="C325" s="1"/>
      <c r="D325" s="1">
        <v>-127</v>
      </c>
      <c r="E325" s="55">
        <f>SUM(B325:D325)</f>
        <v>-18531</v>
      </c>
      <c r="F325" s="1">
        <v>-13494</v>
      </c>
      <c r="G325" s="1">
        <v>-15508</v>
      </c>
      <c r="H325" s="1">
        <v>-84160</v>
      </c>
      <c r="I325" s="55">
        <f>SUM(F325:H325)</f>
        <v>-113162</v>
      </c>
      <c r="J325" s="1">
        <v>-93396</v>
      </c>
      <c r="K325" s="1">
        <v>-75286</v>
      </c>
      <c r="L325" s="1"/>
      <c r="M325" s="55">
        <f>SUM(J325:L325)</f>
        <v>-168682</v>
      </c>
      <c r="N325" s="1"/>
      <c r="O325" s="1">
        <v>-1783</v>
      </c>
      <c r="P325" s="1"/>
      <c r="Q325" s="55">
        <f>SUM(N325:P325)</f>
        <v>-1783</v>
      </c>
      <c r="R325" s="55">
        <f>+E325+I325+M325+Q325</f>
        <v>-302158</v>
      </c>
    </row>
    <row r="326" spans="1:20" ht="16.5" customHeight="1" thickBot="1" x14ac:dyDescent="0.35">
      <c r="A326" s="101"/>
      <c r="B326" s="102"/>
      <c r="C326" s="102"/>
      <c r="D326" s="102"/>
      <c r="E326" s="103"/>
      <c r="F326" s="102"/>
      <c r="G326" s="102"/>
      <c r="H326" s="102"/>
      <c r="I326" s="103"/>
      <c r="J326" s="102"/>
      <c r="K326" s="102"/>
      <c r="L326" s="102"/>
      <c r="M326" s="103"/>
      <c r="N326" s="102"/>
      <c r="O326" s="102"/>
      <c r="P326" s="102"/>
      <c r="Q326" s="103"/>
      <c r="R326" s="104"/>
    </row>
    <row r="327" spans="1:20" ht="15.75" customHeight="1" x14ac:dyDescent="0.3">
      <c r="A327" s="15" t="s">
        <v>32</v>
      </c>
      <c r="B327" s="1">
        <f>B325</f>
        <v>-18404</v>
      </c>
      <c r="C327" s="1">
        <f>C325</f>
        <v>0</v>
      </c>
      <c r="D327" s="1">
        <f>D325</f>
        <v>-127</v>
      </c>
      <c r="E327" s="55">
        <f>SUM(B327:D327)</f>
        <v>-18531</v>
      </c>
      <c r="F327" s="1">
        <f>F325</f>
        <v>-13494</v>
      </c>
      <c r="G327" s="1">
        <f>G325</f>
        <v>-15508</v>
      </c>
      <c r="H327" s="1">
        <f>H325</f>
        <v>-84160</v>
      </c>
      <c r="I327" s="55">
        <f>SUM(F327:H327)</f>
        <v>-113162</v>
      </c>
      <c r="J327" s="1">
        <f>J325</f>
        <v>-93396</v>
      </c>
      <c r="K327" s="1">
        <f>K325</f>
        <v>-75286</v>
      </c>
      <c r="L327" s="1">
        <f>L325</f>
        <v>0</v>
      </c>
      <c r="M327" s="55">
        <f>SUM(J327:L327)</f>
        <v>-168682</v>
      </c>
      <c r="N327" s="1">
        <f>N325</f>
        <v>0</v>
      </c>
      <c r="O327" s="1">
        <f>O325</f>
        <v>-1783</v>
      </c>
      <c r="P327" s="1">
        <f>P325</f>
        <v>0</v>
      </c>
      <c r="Q327" s="55">
        <f>SUM(N327:P327)</f>
        <v>-1783</v>
      </c>
      <c r="R327" s="105">
        <f>R325</f>
        <v>-302158</v>
      </c>
    </row>
    <row r="328" spans="1:20" ht="16.5" customHeight="1" thickBot="1" x14ac:dyDescent="0.35">
      <c r="A328" s="20" t="s">
        <v>42</v>
      </c>
      <c r="B328" s="21">
        <f>(B327/B10)/1.983</f>
        <v>-299.38346916532458</v>
      </c>
      <c r="C328" s="21">
        <f>(C327/C10)/1.983</f>
        <v>0</v>
      </c>
      <c r="D328" s="21">
        <f>(D327/D10)/1.983</f>
        <v>-2.0659476518146178</v>
      </c>
      <c r="E328" s="81"/>
      <c r="F328" s="21">
        <f>(F327/F10)/1.983</f>
        <v>-226.82803832576903</v>
      </c>
      <c r="G328" s="21">
        <f>(G327/G10)/1.983</f>
        <v>-252.27335578221332</v>
      </c>
      <c r="H328" s="21">
        <f>(H327/H10)/1.983</f>
        <v>-1414.691544797445</v>
      </c>
      <c r="I328" s="81"/>
      <c r="J328" s="21">
        <f>(J327/J10)/1.983</f>
        <v>-1519.301156605339</v>
      </c>
      <c r="K328" s="21">
        <f>(K327/K10)/1.983</f>
        <v>-1224.7002749174433</v>
      </c>
      <c r="L328" s="21">
        <f>(L327/L10)/1.983</f>
        <v>0</v>
      </c>
      <c r="M328" s="81"/>
      <c r="N328" s="21">
        <f>(N327/N10)/1.983</f>
        <v>0</v>
      </c>
      <c r="O328" s="21">
        <f>(O327/O10)/1.983</f>
        <v>-29.971423768700618</v>
      </c>
      <c r="P328" s="21">
        <f>(P327/P10)/1.983</f>
        <v>0</v>
      </c>
      <c r="Q328" s="81"/>
      <c r="R328" s="100" t="s">
        <v>7</v>
      </c>
    </row>
    <row r="329" spans="1:20" ht="15.75" customHeight="1" x14ac:dyDescent="0.3">
      <c r="A329" s="2"/>
      <c r="B329" s="1"/>
      <c r="C329" s="1"/>
      <c r="D329" s="1"/>
      <c r="E329" s="1"/>
      <c r="F329" s="1"/>
      <c r="G329" s="1"/>
      <c r="H329" s="1"/>
      <c r="I329" s="1"/>
      <c r="J329" s="1"/>
      <c r="K329" s="1"/>
      <c r="L329" s="1"/>
      <c r="M329" s="1"/>
      <c r="N329" s="1"/>
      <c r="O329" s="1"/>
      <c r="P329" s="1"/>
      <c r="Q329" s="1"/>
      <c r="R329" s="2"/>
    </row>
    <row r="330" spans="1:20" ht="16.5" customHeight="1" thickBot="1" x14ac:dyDescent="0.35">
      <c r="A330" s="106"/>
      <c r="B330" s="21"/>
      <c r="C330" s="21"/>
      <c r="D330" s="21"/>
      <c r="E330" s="21"/>
      <c r="F330" s="21"/>
      <c r="G330" s="21"/>
      <c r="H330" s="21"/>
      <c r="I330" s="21"/>
      <c r="J330" s="21"/>
      <c r="K330" s="21"/>
      <c r="L330" s="21"/>
      <c r="M330" s="21"/>
      <c r="N330" s="21"/>
      <c r="O330" s="21"/>
      <c r="P330" s="21"/>
      <c r="Q330" s="21"/>
      <c r="R330" s="106"/>
    </row>
    <row r="331" spans="1:20" ht="16.5" customHeight="1" thickBot="1" x14ac:dyDescent="0.35">
      <c r="A331" s="107" t="s">
        <v>203</v>
      </c>
      <c r="B331" s="30" t="s">
        <v>8</v>
      </c>
      <c r="C331" s="31" t="s">
        <v>9</v>
      </c>
      <c r="D331" s="31" t="s">
        <v>10</v>
      </c>
      <c r="E331" s="32" t="s">
        <v>11</v>
      </c>
      <c r="F331" s="31" t="s">
        <v>12</v>
      </c>
      <c r="G331" s="31" t="s">
        <v>13</v>
      </c>
      <c r="H331" s="31" t="s">
        <v>14</v>
      </c>
      <c r="I331" s="33" t="s">
        <v>15</v>
      </c>
      <c r="J331" s="31" t="s">
        <v>16</v>
      </c>
      <c r="K331" s="31" t="s">
        <v>17</v>
      </c>
      <c r="L331" s="31" t="s">
        <v>18</v>
      </c>
      <c r="M331" s="33" t="s">
        <v>19</v>
      </c>
      <c r="N331" s="31" t="s">
        <v>20</v>
      </c>
      <c r="O331" s="31" t="s">
        <v>21</v>
      </c>
      <c r="P331" s="31" t="s">
        <v>22</v>
      </c>
      <c r="Q331" s="33" t="s">
        <v>23</v>
      </c>
      <c r="R331" s="34" t="s">
        <v>24</v>
      </c>
    </row>
    <row r="332" spans="1:20" ht="16.5" customHeight="1" thickBot="1" x14ac:dyDescent="0.35">
      <c r="A332" s="59"/>
      <c r="B332" s="75"/>
      <c r="C332" s="75"/>
      <c r="D332" s="75"/>
      <c r="E332" s="69"/>
      <c r="F332" s="75"/>
      <c r="G332" s="75"/>
      <c r="H332" s="75"/>
      <c r="I332" s="82"/>
      <c r="J332" s="75"/>
      <c r="K332" s="75"/>
      <c r="L332" s="75"/>
      <c r="M332" s="82"/>
      <c r="N332" s="75"/>
      <c r="O332" s="75"/>
      <c r="P332" s="75"/>
      <c r="Q332" s="82"/>
      <c r="R332" s="105"/>
    </row>
    <row r="333" spans="1:20" ht="15.75" customHeight="1" x14ac:dyDescent="0.3">
      <c r="A333" s="15" t="s">
        <v>48</v>
      </c>
      <c r="B333" s="1"/>
      <c r="C333" s="1"/>
      <c r="D333" s="1"/>
      <c r="E333" s="55" t="s">
        <v>7</v>
      </c>
      <c r="F333" s="1" t="s">
        <v>7</v>
      </c>
      <c r="G333" s="1" t="s">
        <v>7</v>
      </c>
      <c r="H333" s="1" t="s">
        <v>7</v>
      </c>
      <c r="I333" s="55" t="s">
        <v>7</v>
      </c>
      <c r="J333" s="1" t="s">
        <v>7</v>
      </c>
      <c r="K333" s="1" t="s">
        <v>7</v>
      </c>
      <c r="L333" s="1" t="s">
        <v>7</v>
      </c>
      <c r="M333" s="55" t="s">
        <v>7</v>
      </c>
      <c r="N333" s="1" t="s">
        <v>7</v>
      </c>
      <c r="O333" s="1" t="s">
        <v>7</v>
      </c>
      <c r="P333" s="1" t="s">
        <v>7</v>
      </c>
      <c r="Q333" s="55" t="s">
        <v>7</v>
      </c>
      <c r="R333" s="60" t="s">
        <v>7</v>
      </c>
    </row>
    <row r="334" spans="1:20" ht="15.75" customHeight="1" x14ac:dyDescent="0.3">
      <c r="A334" s="15" t="s">
        <v>49</v>
      </c>
      <c r="B334" s="1"/>
      <c r="C334" s="1"/>
      <c r="D334" s="1"/>
      <c r="E334" s="55" t="s">
        <v>7</v>
      </c>
      <c r="F334" s="1"/>
      <c r="G334" s="1"/>
      <c r="H334" s="1"/>
      <c r="I334" s="55" t="s">
        <v>7</v>
      </c>
      <c r="J334" s="1"/>
      <c r="K334" s="1"/>
      <c r="L334" s="1"/>
      <c r="M334" s="55" t="s">
        <v>7</v>
      </c>
      <c r="N334" s="1"/>
      <c r="O334" s="1"/>
      <c r="P334" s="1"/>
      <c r="Q334" s="55" t="s">
        <v>7</v>
      </c>
      <c r="R334" s="55" t="s">
        <v>7</v>
      </c>
    </row>
    <row r="335" spans="1:20" ht="15.75" customHeight="1" x14ac:dyDescent="0.3">
      <c r="A335" s="72" t="s">
        <v>906</v>
      </c>
      <c r="B335" s="1"/>
      <c r="C335" s="1"/>
      <c r="D335" s="1"/>
      <c r="E335" s="55">
        <f t="shared" ref="E335:E363" si="118">SUM(B335:D335)</f>
        <v>0</v>
      </c>
      <c r="F335" s="1"/>
      <c r="G335" s="1"/>
      <c r="H335" s="1"/>
      <c r="I335" s="55">
        <f t="shared" ref="I335:I363" si="119">SUM(F335:H335)</f>
        <v>0</v>
      </c>
      <c r="J335" s="1">
        <v>52</v>
      </c>
      <c r="K335" s="1">
        <f>127+1+1</f>
        <v>129</v>
      </c>
      <c r="L335" s="1">
        <f>119+2+2</f>
        <v>123</v>
      </c>
      <c r="M335" s="55">
        <f t="shared" ref="M335:M363" si="120">SUM(J335:L335)</f>
        <v>304</v>
      </c>
      <c r="N335" s="1">
        <f>1+2+115</f>
        <v>118</v>
      </c>
      <c r="O335" s="1">
        <f>1+2+110</f>
        <v>113</v>
      </c>
      <c r="P335" s="1">
        <v>51</v>
      </c>
      <c r="Q335" s="55">
        <f t="shared" ref="Q335:Q366" si="121">SUM(N335:P335)</f>
        <v>282</v>
      </c>
      <c r="R335" s="55">
        <f t="shared" ref="R335:R366" si="122">+E335+I335+M335+Q335</f>
        <v>586</v>
      </c>
      <c r="T335" s="4" t="s">
        <v>907</v>
      </c>
    </row>
    <row r="336" spans="1:20" ht="15.75" customHeight="1" x14ac:dyDescent="0.3">
      <c r="A336" s="72" t="s">
        <v>908</v>
      </c>
      <c r="B336" s="1"/>
      <c r="C336" s="1"/>
      <c r="D336" s="1"/>
      <c r="E336" s="55">
        <f t="shared" si="118"/>
        <v>0</v>
      </c>
      <c r="F336" s="1"/>
      <c r="G336" s="1"/>
      <c r="H336" s="1"/>
      <c r="I336" s="55">
        <f t="shared" si="119"/>
        <v>0</v>
      </c>
      <c r="J336" s="1"/>
      <c r="K336" s="1">
        <v>400</v>
      </c>
      <c r="L336" s="1"/>
      <c r="M336" s="55">
        <f t="shared" si="120"/>
        <v>400</v>
      </c>
      <c r="N336" s="1"/>
      <c r="O336" s="1"/>
      <c r="P336" s="1"/>
      <c r="Q336" s="55">
        <f t="shared" si="121"/>
        <v>0</v>
      </c>
      <c r="R336" s="55">
        <f t="shared" si="122"/>
        <v>400</v>
      </c>
    </row>
    <row r="337" spans="1:20" ht="15.75" customHeight="1" x14ac:dyDescent="0.3">
      <c r="A337" s="72" t="s">
        <v>111</v>
      </c>
      <c r="B337" s="1"/>
      <c r="C337" s="1"/>
      <c r="D337" s="1"/>
      <c r="E337" s="55">
        <f t="shared" si="118"/>
        <v>0</v>
      </c>
      <c r="F337" s="1"/>
      <c r="G337" s="1">
        <v>1</v>
      </c>
      <c r="H337" s="1">
        <v>3</v>
      </c>
      <c r="I337" s="55">
        <f t="shared" si="119"/>
        <v>4</v>
      </c>
      <c r="J337" s="1">
        <v>3</v>
      </c>
      <c r="K337" s="1">
        <v>1</v>
      </c>
      <c r="L337" s="1"/>
      <c r="M337" s="55">
        <f t="shared" si="120"/>
        <v>4</v>
      </c>
      <c r="N337" s="1"/>
      <c r="O337" s="1"/>
      <c r="P337" s="1"/>
      <c r="Q337" s="55">
        <f t="shared" ref="Q337" si="123">SUM(N337:P337)</f>
        <v>0</v>
      </c>
      <c r="R337" s="55">
        <f t="shared" si="122"/>
        <v>8</v>
      </c>
      <c r="T337" s="4" t="s">
        <v>209</v>
      </c>
    </row>
    <row r="338" spans="1:20" ht="15.75" customHeight="1" x14ac:dyDescent="0.3">
      <c r="A338" s="72" t="s">
        <v>208</v>
      </c>
      <c r="B338" s="1">
        <v>20</v>
      </c>
      <c r="C338" s="1">
        <v>48</v>
      </c>
      <c r="D338" s="1">
        <v>111</v>
      </c>
      <c r="E338" s="55">
        <f t="shared" si="118"/>
        <v>179</v>
      </c>
      <c r="F338" s="1">
        <v>275</v>
      </c>
      <c r="G338" s="1">
        <v>208</v>
      </c>
      <c r="H338" s="1">
        <v>254</v>
      </c>
      <c r="I338" s="55">
        <f t="shared" si="119"/>
        <v>737</v>
      </c>
      <c r="J338" s="1">
        <v>319</v>
      </c>
      <c r="K338" s="1">
        <v>277</v>
      </c>
      <c r="L338" s="1">
        <v>205</v>
      </c>
      <c r="M338" s="55">
        <f t="shared" si="120"/>
        <v>801</v>
      </c>
      <c r="N338" s="1">
        <v>210</v>
      </c>
      <c r="O338" s="1">
        <v>95</v>
      </c>
      <c r="P338" s="1">
        <v>533</v>
      </c>
      <c r="Q338" s="55">
        <f t="shared" si="121"/>
        <v>838</v>
      </c>
      <c r="R338" s="55">
        <f t="shared" si="122"/>
        <v>2555</v>
      </c>
      <c r="T338" s="4" t="s">
        <v>209</v>
      </c>
    </row>
    <row r="339" spans="1:20" ht="15.75" customHeight="1" x14ac:dyDescent="0.3">
      <c r="A339" s="72" t="s">
        <v>1296</v>
      </c>
      <c r="B339" s="1"/>
      <c r="C339" s="1"/>
      <c r="D339" s="1"/>
      <c r="E339" s="55">
        <f>SUM(B339:D339)</f>
        <v>0</v>
      </c>
      <c r="F339" s="1"/>
      <c r="G339" s="1"/>
      <c r="H339" s="1"/>
      <c r="I339" s="55">
        <f t="shared" ref="I339" si="124">SUM(F339:H339)</f>
        <v>0</v>
      </c>
      <c r="J339" s="1"/>
      <c r="K339" s="1"/>
      <c r="L339" s="1"/>
      <c r="M339" s="55">
        <f t="shared" ref="M339" si="125">SUM(J339:L339)</f>
        <v>0</v>
      </c>
      <c r="N339" s="1"/>
      <c r="O339" s="1"/>
      <c r="P339" s="1">
        <v>79</v>
      </c>
      <c r="Q339" s="55">
        <f t="shared" ref="Q339" si="126">SUM(N339:P339)</f>
        <v>79</v>
      </c>
      <c r="R339" s="55">
        <f t="shared" si="122"/>
        <v>79</v>
      </c>
      <c r="T339" s="4" t="s">
        <v>910</v>
      </c>
    </row>
    <row r="340" spans="1:20" ht="15.75" customHeight="1" x14ac:dyDescent="0.3">
      <c r="A340" s="72" t="s">
        <v>909</v>
      </c>
      <c r="B340" s="1"/>
      <c r="C340" s="1"/>
      <c r="D340" s="1"/>
      <c r="E340" s="55">
        <f t="shared" si="118"/>
        <v>0</v>
      </c>
      <c r="F340" s="1"/>
      <c r="G340" s="1">
        <v>300</v>
      </c>
      <c r="H340" s="1"/>
      <c r="I340" s="55">
        <f t="shared" si="119"/>
        <v>300</v>
      </c>
      <c r="J340" s="1"/>
      <c r="K340" s="1">
        <v>300</v>
      </c>
      <c r="L340" s="1"/>
      <c r="M340" s="55">
        <f t="shared" si="120"/>
        <v>300</v>
      </c>
      <c r="N340" s="1"/>
      <c r="O340" s="1"/>
      <c r="P340" s="1"/>
      <c r="Q340" s="55">
        <f t="shared" si="121"/>
        <v>0</v>
      </c>
      <c r="R340" s="55">
        <f t="shared" si="122"/>
        <v>600</v>
      </c>
      <c r="T340" s="4" t="s">
        <v>910</v>
      </c>
    </row>
    <row r="341" spans="1:20" ht="15.75" customHeight="1" x14ac:dyDescent="0.3">
      <c r="A341" s="72" t="s">
        <v>911</v>
      </c>
      <c r="C341" s="1"/>
      <c r="D341" s="1"/>
      <c r="E341" s="55">
        <f>SUM(B341:D341)</f>
        <v>0</v>
      </c>
      <c r="F341" s="1"/>
      <c r="G341" s="1"/>
      <c r="H341" s="1">
        <v>2800</v>
      </c>
      <c r="I341" s="55">
        <f>SUM(F341:H341)</f>
        <v>2800</v>
      </c>
      <c r="J341" s="1"/>
      <c r="K341" s="1"/>
      <c r="L341" s="1">
        <v>250</v>
      </c>
      <c r="M341" s="55">
        <f t="shared" ref="M341:M346" si="127">SUM(J341:L341)</f>
        <v>250</v>
      </c>
      <c r="N341" s="1"/>
      <c r="O341" s="1"/>
      <c r="P341" s="1"/>
      <c r="Q341" s="55">
        <f>SUM(N341:P341)</f>
        <v>0</v>
      </c>
      <c r="R341" s="55">
        <f t="shared" si="122"/>
        <v>3050</v>
      </c>
      <c r="T341" s="4" t="s">
        <v>209</v>
      </c>
    </row>
    <row r="342" spans="1:20" ht="15.75" customHeight="1" x14ac:dyDescent="0.3">
      <c r="A342" s="72" t="s">
        <v>912</v>
      </c>
      <c r="B342" s="1"/>
      <c r="C342" s="1"/>
      <c r="D342" s="1"/>
      <c r="E342" s="55">
        <f t="shared" ref="E342:E346" si="128">SUM(B342:D342)</f>
        <v>0</v>
      </c>
      <c r="F342" s="1"/>
      <c r="G342" s="1">
        <v>2000</v>
      </c>
      <c r="H342" s="1"/>
      <c r="I342" s="55">
        <f t="shared" ref="I342:I346" si="129">SUM(F342:H342)</f>
        <v>2000</v>
      </c>
      <c r="J342" s="1"/>
      <c r="K342" s="1"/>
      <c r="L342" s="1"/>
      <c r="M342" s="55">
        <f t="shared" si="127"/>
        <v>0</v>
      </c>
      <c r="N342" s="1"/>
      <c r="O342" s="1"/>
      <c r="P342" s="1"/>
      <c r="Q342" s="55">
        <f>SUM(N342:P342)</f>
        <v>0</v>
      </c>
      <c r="R342" s="55">
        <f t="shared" si="122"/>
        <v>2000</v>
      </c>
      <c r="T342" s="4" t="s">
        <v>910</v>
      </c>
    </row>
    <row r="343" spans="1:20" ht="15.75" customHeight="1" x14ac:dyDescent="0.3">
      <c r="A343" s="72" t="s">
        <v>913</v>
      </c>
      <c r="B343" s="1">
        <f>25+73</f>
        <v>98</v>
      </c>
      <c r="C343" s="1">
        <f>6+18</f>
        <v>24</v>
      </c>
      <c r="D343" s="1">
        <f>21+120</f>
        <v>141</v>
      </c>
      <c r="E343" s="55">
        <f t="shared" si="128"/>
        <v>263</v>
      </c>
      <c r="F343" s="1">
        <f>28+216</f>
        <v>244</v>
      </c>
      <c r="G343" s="1">
        <f>48+251</f>
        <v>299</v>
      </c>
      <c r="H343" s="1">
        <f>61+406</f>
        <v>467</v>
      </c>
      <c r="I343" s="55">
        <f t="shared" si="129"/>
        <v>1010</v>
      </c>
      <c r="J343" s="1">
        <f>55+369</f>
        <v>424</v>
      </c>
      <c r="K343" s="1">
        <f>47+318</f>
        <v>365</v>
      </c>
      <c r="L343" s="1">
        <f>32+174</f>
        <v>206</v>
      </c>
      <c r="M343" s="55">
        <f t="shared" si="127"/>
        <v>995</v>
      </c>
      <c r="N343" s="1">
        <f>35+370</f>
        <v>405</v>
      </c>
      <c r="O343" s="1">
        <f>30+149</f>
        <v>179</v>
      </c>
      <c r="P343" s="1">
        <v>229</v>
      </c>
      <c r="Q343" s="55">
        <f>SUM(N343:P343)</f>
        <v>813</v>
      </c>
      <c r="R343" s="55">
        <f>+E343+I343+M343+Q343</f>
        <v>3081</v>
      </c>
      <c r="T343" s="4" t="s">
        <v>914</v>
      </c>
    </row>
    <row r="344" spans="1:20" ht="15.75" customHeight="1" x14ac:dyDescent="0.3">
      <c r="A344" s="72" t="s">
        <v>915</v>
      </c>
      <c r="B344" s="1"/>
      <c r="C344" s="1"/>
      <c r="D344" s="1"/>
      <c r="E344" s="55">
        <f t="shared" si="128"/>
        <v>0</v>
      </c>
      <c r="F344" s="1"/>
      <c r="G344" s="1"/>
      <c r="H344" s="1"/>
      <c r="I344" s="55">
        <f t="shared" si="129"/>
        <v>0</v>
      </c>
      <c r="J344" s="1"/>
      <c r="K344" s="1">
        <v>1008</v>
      </c>
      <c r="L344" s="1">
        <v>1712</v>
      </c>
      <c r="M344" s="55">
        <f t="shared" si="127"/>
        <v>2720</v>
      </c>
      <c r="N344" s="1">
        <v>480</v>
      </c>
      <c r="O344" s="1"/>
      <c r="P344" s="1"/>
      <c r="Q344" s="55">
        <f>SUM(N344:P344)</f>
        <v>480</v>
      </c>
      <c r="R344" s="55">
        <f>+E344+I344+M344+Q344</f>
        <v>3200</v>
      </c>
      <c r="T344" s="4" t="s">
        <v>224</v>
      </c>
    </row>
    <row r="345" spans="1:20" ht="15.75" customHeight="1" x14ac:dyDescent="0.3">
      <c r="A345" s="72" t="s">
        <v>1207</v>
      </c>
      <c r="B345" s="1"/>
      <c r="C345" s="1"/>
      <c r="D345" s="1"/>
      <c r="E345" s="55">
        <f t="shared" si="128"/>
        <v>0</v>
      </c>
      <c r="F345" s="1"/>
      <c r="G345" s="1"/>
      <c r="H345" s="1"/>
      <c r="I345" s="55">
        <f t="shared" si="129"/>
        <v>0</v>
      </c>
      <c r="J345" s="1"/>
      <c r="K345" s="1"/>
      <c r="L345" s="1"/>
      <c r="M345" s="55">
        <f t="shared" si="127"/>
        <v>0</v>
      </c>
      <c r="N345" s="1"/>
      <c r="O345" s="1"/>
      <c r="P345" s="1"/>
      <c r="Q345" s="55">
        <f t="shared" ref="Q345" si="130">SUM(N345:P345)</f>
        <v>0</v>
      </c>
      <c r="R345" s="55">
        <f>+E345+I345+M345+Q345</f>
        <v>0</v>
      </c>
    </row>
    <row r="346" spans="1:20" ht="15.75" customHeight="1" x14ac:dyDescent="0.3">
      <c r="A346" s="72" t="s">
        <v>1297</v>
      </c>
      <c r="B346" s="1"/>
      <c r="C346" s="1"/>
      <c r="D346" s="1">
        <v>315</v>
      </c>
      <c r="E346" s="55">
        <f t="shared" si="128"/>
        <v>315</v>
      </c>
      <c r="F346" s="1"/>
      <c r="G346" s="1"/>
      <c r="H346" s="1"/>
      <c r="I346" s="55">
        <f t="shared" si="129"/>
        <v>0</v>
      </c>
      <c r="J346" s="1"/>
      <c r="K346" s="1"/>
      <c r="L346" s="1"/>
      <c r="M346" s="55">
        <f t="shared" si="127"/>
        <v>0</v>
      </c>
      <c r="N346" s="1"/>
      <c r="O346" s="1"/>
      <c r="P346" s="1"/>
      <c r="Q346" s="55">
        <f>SUM(N346:P346)</f>
        <v>0</v>
      </c>
      <c r="R346" s="55">
        <f>+E346+I346+M346+Q346</f>
        <v>315</v>
      </c>
      <c r="S346" s="477" t="s">
        <v>1257</v>
      </c>
    </row>
    <row r="347" spans="1:20" ht="15.75" customHeight="1" x14ac:dyDescent="0.3">
      <c r="A347" s="72" t="s">
        <v>1208</v>
      </c>
      <c r="B347" s="1"/>
      <c r="C347" s="1"/>
      <c r="D347" s="1"/>
      <c r="E347" s="55">
        <f>SUM(B347:D347)</f>
        <v>0</v>
      </c>
      <c r="F347" s="1"/>
      <c r="G347" s="1">
        <v>1000</v>
      </c>
      <c r="H347" s="1"/>
      <c r="I347" s="55">
        <f t="shared" ref="I347:I348" si="131">SUM(F347:H347)</f>
        <v>1000</v>
      </c>
      <c r="J347" s="1"/>
      <c r="K347" s="1"/>
      <c r="L347" s="1"/>
      <c r="M347" s="55">
        <f t="shared" ref="M347:M348" si="132">SUM(J347:L347)</f>
        <v>0</v>
      </c>
      <c r="N347" s="1"/>
      <c r="O347" s="1"/>
      <c r="P347" s="1"/>
      <c r="Q347" s="55">
        <f t="shared" ref="Q347:Q348" si="133">SUM(N347:P347)</f>
        <v>0</v>
      </c>
      <c r="R347" s="55">
        <f t="shared" ref="R347:R348" si="134">+E347+I347+M347+Q347</f>
        <v>1000</v>
      </c>
    </row>
    <row r="348" spans="1:20" ht="15.75" customHeight="1" x14ac:dyDescent="0.3">
      <c r="A348" s="72" t="s">
        <v>917</v>
      </c>
      <c r="B348" s="1"/>
      <c r="C348" s="1"/>
      <c r="D348" s="1"/>
      <c r="E348" s="55">
        <f>SUM(B348:D348)</f>
        <v>0</v>
      </c>
      <c r="F348" s="1">
        <v>1542</v>
      </c>
      <c r="G348" s="1"/>
      <c r="H348" s="1"/>
      <c r="I348" s="55">
        <f t="shared" si="131"/>
        <v>1542</v>
      </c>
      <c r="J348" s="1"/>
      <c r="K348" s="1">
        <v>855</v>
      </c>
      <c r="L348" s="1">
        <v>845</v>
      </c>
      <c r="M348" s="55">
        <f t="shared" si="132"/>
        <v>1700</v>
      </c>
      <c r="N348" s="1"/>
      <c r="O348" s="1"/>
      <c r="P348" s="1"/>
      <c r="Q348" s="55">
        <f t="shared" si="133"/>
        <v>0</v>
      </c>
      <c r="R348" s="55">
        <f t="shared" si="134"/>
        <v>3242</v>
      </c>
      <c r="T348" s="4" t="s">
        <v>241</v>
      </c>
    </row>
    <row r="349" spans="1:20" ht="15.75" customHeight="1" x14ac:dyDescent="0.3">
      <c r="A349" s="72" t="s">
        <v>918</v>
      </c>
      <c r="B349" s="1"/>
      <c r="C349" s="1"/>
      <c r="D349" s="1"/>
      <c r="E349" s="55">
        <f t="shared" ref="E349:E350" si="135">SUM(B349:D349)</f>
        <v>0</v>
      </c>
      <c r="F349" s="1"/>
      <c r="G349" s="1"/>
      <c r="H349" s="1"/>
      <c r="I349" s="55">
        <f t="shared" ref="I349:I350" si="136">SUM(F349:H349)</f>
        <v>0</v>
      </c>
      <c r="J349" s="1"/>
      <c r="K349" s="1">
        <v>454</v>
      </c>
      <c r="L349" s="1">
        <v>1367</v>
      </c>
      <c r="M349" s="55">
        <f t="shared" ref="M349:M350" si="137">SUM(J349:L349)</f>
        <v>1821</v>
      </c>
      <c r="N349" s="1">
        <v>1427</v>
      </c>
      <c r="O349" s="1"/>
      <c r="P349" s="1">
        <v>687</v>
      </c>
      <c r="Q349" s="55">
        <f t="shared" si="121"/>
        <v>2114</v>
      </c>
      <c r="R349" s="55">
        <f t="shared" si="122"/>
        <v>3935</v>
      </c>
      <c r="T349" s="4" t="s">
        <v>919</v>
      </c>
    </row>
    <row r="350" spans="1:20" ht="15.75" customHeight="1" x14ac:dyDescent="0.3">
      <c r="A350" s="72" t="s">
        <v>1357</v>
      </c>
      <c r="B350" s="1">
        <v>200</v>
      </c>
      <c r="C350" s="1">
        <f>39+161</f>
        <v>200</v>
      </c>
      <c r="D350" s="1">
        <v>200</v>
      </c>
      <c r="E350" s="55">
        <f t="shared" si="135"/>
        <v>600</v>
      </c>
      <c r="F350" s="1">
        <v>200</v>
      </c>
      <c r="G350" s="1">
        <v>200</v>
      </c>
      <c r="H350" s="1">
        <v>200</v>
      </c>
      <c r="I350" s="55">
        <f t="shared" si="136"/>
        <v>600</v>
      </c>
      <c r="J350" s="1">
        <v>200</v>
      </c>
      <c r="K350" s="1">
        <v>200</v>
      </c>
      <c r="L350" s="1">
        <v>200</v>
      </c>
      <c r="M350" s="55">
        <f t="shared" si="137"/>
        <v>600</v>
      </c>
      <c r="N350" s="1">
        <v>200</v>
      </c>
      <c r="O350" s="1"/>
      <c r="P350" s="1"/>
      <c r="Q350" s="55">
        <f t="shared" si="121"/>
        <v>200</v>
      </c>
      <c r="R350" s="55">
        <f t="shared" si="122"/>
        <v>2000</v>
      </c>
      <c r="T350" s="4" t="s">
        <v>209</v>
      </c>
    </row>
    <row r="351" spans="1:20" ht="15.75" customHeight="1" x14ac:dyDescent="0.3">
      <c r="A351" s="72" t="s">
        <v>921</v>
      </c>
      <c r="B351" s="1"/>
      <c r="C351" s="1"/>
      <c r="D351" s="1"/>
      <c r="E351" s="55">
        <f t="shared" si="118"/>
        <v>0</v>
      </c>
      <c r="F351" s="1"/>
      <c r="G351" s="1"/>
      <c r="H351" s="1"/>
      <c r="I351" s="55">
        <f t="shared" si="119"/>
        <v>0</v>
      </c>
      <c r="J351" s="1"/>
      <c r="K351" s="1"/>
      <c r="L351" s="1"/>
      <c r="M351" s="55">
        <f t="shared" si="120"/>
        <v>0</v>
      </c>
      <c r="N351" s="1"/>
      <c r="O351" s="1"/>
      <c r="P351" s="1"/>
      <c r="Q351" s="55">
        <f t="shared" si="121"/>
        <v>0</v>
      </c>
      <c r="R351" s="55">
        <f t="shared" si="122"/>
        <v>0</v>
      </c>
      <c r="T351" s="4" t="s">
        <v>209</v>
      </c>
    </row>
    <row r="352" spans="1:20" ht="15.75" customHeight="1" x14ac:dyDescent="0.3">
      <c r="A352" s="72" t="s">
        <v>922</v>
      </c>
      <c r="B352" s="1"/>
      <c r="C352" s="1"/>
      <c r="D352" s="1"/>
      <c r="E352" s="55">
        <f>SUM(B352:D352)</f>
        <v>0</v>
      </c>
      <c r="F352" s="1"/>
      <c r="G352" s="1"/>
      <c r="H352" s="1"/>
      <c r="I352" s="55">
        <f>SUM(F352:H352)</f>
        <v>0</v>
      </c>
      <c r="J352" s="1"/>
      <c r="K352" s="1"/>
      <c r="L352" s="1"/>
      <c r="M352" s="55">
        <f t="shared" si="120"/>
        <v>0</v>
      </c>
      <c r="N352" s="1"/>
      <c r="O352" s="1"/>
      <c r="P352" s="1">
        <v>140</v>
      </c>
      <c r="Q352" s="55">
        <f>SUM(N352:P352)</f>
        <v>140</v>
      </c>
      <c r="R352" s="55">
        <f t="shared" si="122"/>
        <v>140</v>
      </c>
      <c r="T352" s="4" t="s">
        <v>241</v>
      </c>
    </row>
    <row r="353" spans="1:20" ht="15.75" customHeight="1" x14ac:dyDescent="0.3">
      <c r="A353" s="72" t="s">
        <v>118</v>
      </c>
      <c r="B353" s="1"/>
      <c r="C353" s="1"/>
      <c r="D353" s="1"/>
      <c r="E353" s="55">
        <f t="shared" ref="E353" si="138">SUM(B353:D353)</f>
        <v>0</v>
      </c>
      <c r="F353" s="1"/>
      <c r="G353" s="1"/>
      <c r="H353" s="1"/>
      <c r="I353" s="55">
        <f t="shared" ref="I353" si="139">SUM(F353:H353)</f>
        <v>0</v>
      </c>
      <c r="J353" s="1">
        <v>1456</v>
      </c>
      <c r="K353" s="1">
        <v>2474</v>
      </c>
      <c r="L353" s="1">
        <v>2322</v>
      </c>
      <c r="M353" s="55">
        <f t="shared" si="120"/>
        <v>6252</v>
      </c>
      <c r="N353" s="1">
        <v>503</v>
      </c>
      <c r="O353" s="1"/>
      <c r="P353" s="1">
        <v>340</v>
      </c>
      <c r="Q353" s="55">
        <f t="shared" si="121"/>
        <v>843</v>
      </c>
      <c r="R353" s="55">
        <f t="shared" si="122"/>
        <v>7095</v>
      </c>
      <c r="T353" s="4" t="s">
        <v>919</v>
      </c>
    </row>
    <row r="354" spans="1:20" ht="15.75" customHeight="1" x14ac:dyDescent="0.3">
      <c r="A354" s="72" t="s">
        <v>923</v>
      </c>
      <c r="B354" s="1"/>
      <c r="C354" s="1"/>
      <c r="D354" s="1"/>
      <c r="E354" s="55">
        <f>SUM(B354:D354)</f>
        <v>0</v>
      </c>
      <c r="F354" s="1"/>
      <c r="G354" s="1"/>
      <c r="H354" s="1"/>
      <c r="I354" s="55">
        <f>SUM(F354:H354)</f>
        <v>0</v>
      </c>
      <c r="J354" s="1"/>
      <c r="K354" s="1"/>
      <c r="L354" s="1"/>
      <c r="M354" s="55">
        <f>SUM(J354:L354)</f>
        <v>0</v>
      </c>
      <c r="N354" s="1"/>
      <c r="O354" s="1"/>
      <c r="P354" s="1"/>
      <c r="Q354" s="55">
        <f>SUM(N354:P354)</f>
        <v>0</v>
      </c>
      <c r="R354" s="55">
        <f t="shared" si="122"/>
        <v>0</v>
      </c>
      <c r="T354" s="4" t="s">
        <v>241</v>
      </c>
    </row>
    <row r="355" spans="1:20" ht="15.75" customHeight="1" x14ac:dyDescent="0.3">
      <c r="A355" s="72" t="s">
        <v>924</v>
      </c>
      <c r="B355" s="1"/>
      <c r="C355" s="1"/>
      <c r="D355" s="1"/>
      <c r="E355" s="55">
        <f t="shared" si="118"/>
        <v>0</v>
      </c>
      <c r="F355" s="1"/>
      <c r="G355" s="1"/>
      <c r="H355" s="1"/>
      <c r="I355" s="55">
        <f t="shared" si="119"/>
        <v>0</v>
      </c>
      <c r="J355" s="1"/>
      <c r="K355" s="1"/>
      <c r="L355" s="1"/>
      <c r="M355" s="55">
        <f t="shared" si="120"/>
        <v>0</v>
      </c>
      <c r="N355" s="1"/>
      <c r="O355" s="1"/>
      <c r="P355" s="1"/>
      <c r="Q355" s="55">
        <f t="shared" si="121"/>
        <v>0</v>
      </c>
      <c r="R355" s="55">
        <f t="shared" si="122"/>
        <v>0</v>
      </c>
      <c r="S355" s="300"/>
      <c r="T355" s="4" t="s">
        <v>214</v>
      </c>
    </row>
    <row r="356" spans="1:20" ht="15.75" customHeight="1" x14ac:dyDescent="0.3">
      <c r="A356" s="72" t="s">
        <v>925</v>
      </c>
      <c r="B356" s="1">
        <v>20</v>
      </c>
      <c r="C356" s="1">
        <v>6</v>
      </c>
      <c r="D356" s="1">
        <v>23</v>
      </c>
      <c r="E356" s="55">
        <f t="shared" si="118"/>
        <v>49</v>
      </c>
      <c r="F356" s="1">
        <v>49</v>
      </c>
      <c r="G356" s="1">
        <v>65</v>
      </c>
      <c r="H356" s="1">
        <v>60</v>
      </c>
      <c r="I356" s="55">
        <f>SUM(F356:H356)</f>
        <v>174</v>
      </c>
      <c r="J356" s="1">
        <v>68</v>
      </c>
      <c r="K356" s="1">
        <v>65</v>
      </c>
      <c r="L356" s="1">
        <v>32</v>
      </c>
      <c r="M356" s="55">
        <f>SUM(J356:L356)</f>
        <v>165</v>
      </c>
      <c r="N356" s="1">
        <v>60</v>
      </c>
      <c r="O356" s="1">
        <v>44</v>
      </c>
      <c r="P356" s="1">
        <v>125</v>
      </c>
      <c r="Q356" s="55">
        <f>SUM(N356:P356)</f>
        <v>229</v>
      </c>
      <c r="R356" s="55">
        <f>+E356+I356+M356+Q356</f>
        <v>617</v>
      </c>
      <c r="T356" s="4" t="s">
        <v>406</v>
      </c>
    </row>
    <row r="357" spans="1:20" ht="15.75" customHeight="1" x14ac:dyDescent="0.3">
      <c r="A357" s="72" t="s">
        <v>215</v>
      </c>
      <c r="B357" s="1">
        <v>1924</v>
      </c>
      <c r="C357" s="1">
        <v>286</v>
      </c>
      <c r="D357" s="1">
        <v>153</v>
      </c>
      <c r="E357" s="55">
        <f t="shared" ref="E357:E358" si="140">SUM(B357:D357)</f>
        <v>2363</v>
      </c>
      <c r="F357" s="1">
        <f>1202+2328-668-627</f>
        <v>2235</v>
      </c>
      <c r="G357" s="1">
        <f>1572+3291-1001-2622</f>
        <v>1240</v>
      </c>
      <c r="H357" s="1">
        <f>1716+3853</f>
        <v>5569</v>
      </c>
      <c r="I357" s="55">
        <f t="shared" ref="I357:I358" si="141">SUM(F357:H357)</f>
        <v>9044</v>
      </c>
      <c r="J357" s="1">
        <f>1942+4320</f>
        <v>6262</v>
      </c>
      <c r="K357" s="1">
        <f>1817+4206</f>
        <v>6023</v>
      </c>
      <c r="L357" s="1">
        <f>1615+3690</f>
        <v>5305</v>
      </c>
      <c r="M357" s="55">
        <f t="shared" ref="M357:M359" si="142">SUM(J357:L357)</f>
        <v>17590</v>
      </c>
      <c r="N357" s="1">
        <f>3705+2600</f>
        <v>6305</v>
      </c>
      <c r="O357" s="1"/>
      <c r="P357" s="1">
        <v>8338</v>
      </c>
      <c r="Q357" s="55">
        <f t="shared" si="121"/>
        <v>14643</v>
      </c>
      <c r="R357" s="55">
        <f t="shared" si="122"/>
        <v>43640</v>
      </c>
      <c r="T357" s="4" t="s">
        <v>210</v>
      </c>
    </row>
    <row r="358" spans="1:20" ht="15.75" customHeight="1" x14ac:dyDescent="0.3">
      <c r="A358" s="72" t="s">
        <v>1358</v>
      </c>
      <c r="B358" s="1"/>
      <c r="C358" s="1"/>
      <c r="D358" s="1"/>
      <c r="E358" s="55">
        <f t="shared" si="140"/>
        <v>0</v>
      </c>
      <c r="F358" s="1"/>
      <c r="G358" s="1"/>
      <c r="H358" s="1"/>
      <c r="I358" s="55">
        <f t="shared" si="141"/>
        <v>0</v>
      </c>
      <c r="J358" s="1"/>
      <c r="K358" s="1"/>
      <c r="L358" s="1">
        <f>10+1642</f>
        <v>1652</v>
      </c>
      <c r="M358" s="55">
        <f t="shared" si="142"/>
        <v>1652</v>
      </c>
      <c r="N358" s="1">
        <v>2000</v>
      </c>
      <c r="O358" s="1"/>
      <c r="P358" s="1">
        <v>423</v>
      </c>
      <c r="Q358" s="55">
        <f t="shared" ref="Q358" si="143">SUM(N358:P358)</f>
        <v>2423</v>
      </c>
      <c r="R358" s="55">
        <f t="shared" si="122"/>
        <v>4075</v>
      </c>
    </row>
    <row r="359" spans="1:20" ht="15.75" customHeight="1" x14ac:dyDescent="0.3">
      <c r="A359" s="72" t="s">
        <v>1211</v>
      </c>
      <c r="B359" s="1"/>
      <c r="C359" s="1"/>
      <c r="D359" s="1"/>
      <c r="E359" s="55">
        <f t="shared" si="118"/>
        <v>0</v>
      </c>
      <c r="F359" s="1"/>
      <c r="G359" s="1"/>
      <c r="H359" s="1"/>
      <c r="I359" s="55">
        <f t="shared" si="119"/>
        <v>0</v>
      </c>
      <c r="J359" s="1"/>
      <c r="K359" s="1"/>
      <c r="L359" s="1"/>
      <c r="M359" s="55">
        <f t="shared" si="142"/>
        <v>0</v>
      </c>
      <c r="N359" s="1"/>
      <c r="O359" s="1"/>
      <c r="P359" s="1"/>
      <c r="Q359" s="55">
        <f t="shared" si="121"/>
        <v>0</v>
      </c>
      <c r="R359" s="55">
        <f t="shared" si="122"/>
        <v>0</v>
      </c>
      <c r="T359" s="4" t="s">
        <v>256</v>
      </c>
    </row>
    <row r="360" spans="1:20" ht="15.75" customHeight="1" x14ac:dyDescent="0.3">
      <c r="A360" s="72" t="s">
        <v>1359</v>
      </c>
      <c r="B360" s="1"/>
      <c r="C360" s="1"/>
      <c r="D360" s="1">
        <v>1513</v>
      </c>
      <c r="E360" s="55">
        <f t="shared" si="118"/>
        <v>1513</v>
      </c>
      <c r="F360" s="1">
        <v>1513</v>
      </c>
      <c r="G360" s="1">
        <v>1513</v>
      </c>
      <c r="H360" s="1"/>
      <c r="I360" s="55">
        <f t="shared" si="119"/>
        <v>3026</v>
      </c>
      <c r="J360" s="1"/>
      <c r="K360" s="1"/>
      <c r="L360" s="1"/>
      <c r="M360" s="55">
        <f t="shared" si="120"/>
        <v>0</v>
      </c>
      <c r="N360" s="1"/>
      <c r="O360" s="1"/>
      <c r="P360" s="1"/>
      <c r="Q360" s="55">
        <f t="shared" ref="Q360" si="144">SUM(N360:P360)</f>
        <v>0</v>
      </c>
      <c r="R360" s="55">
        <f t="shared" si="122"/>
        <v>4539</v>
      </c>
    </row>
    <row r="361" spans="1:20" ht="15.75" customHeight="1" x14ac:dyDescent="0.3">
      <c r="A361" s="72" t="s">
        <v>1212</v>
      </c>
      <c r="B361" s="1">
        <f>69+37+118</f>
        <v>224</v>
      </c>
      <c r="C361" s="1">
        <f>34+190</f>
        <v>224</v>
      </c>
      <c r="D361" s="1">
        <f>224</f>
        <v>224</v>
      </c>
      <c r="E361" s="55">
        <f t="shared" si="118"/>
        <v>672</v>
      </c>
      <c r="F361" s="1">
        <v>224</v>
      </c>
      <c r="G361" s="1">
        <v>224</v>
      </c>
      <c r="H361" s="1">
        <v>227</v>
      </c>
      <c r="I361" s="55">
        <f t="shared" si="119"/>
        <v>675</v>
      </c>
      <c r="J361" s="1">
        <v>227</v>
      </c>
      <c r="K361" s="1">
        <v>226</v>
      </c>
      <c r="L361" s="1">
        <v>224</v>
      </c>
      <c r="M361" s="55">
        <f t="shared" si="120"/>
        <v>677</v>
      </c>
      <c r="N361" s="1">
        <v>224</v>
      </c>
      <c r="O361" s="1"/>
      <c r="P361" s="1"/>
      <c r="Q361" s="55">
        <f t="shared" si="121"/>
        <v>224</v>
      </c>
      <c r="R361" s="55">
        <f t="shared" si="122"/>
        <v>2248</v>
      </c>
    </row>
    <row r="362" spans="1:20" ht="15.75" customHeight="1" x14ac:dyDescent="0.3">
      <c r="A362" s="72" t="s">
        <v>1298</v>
      </c>
      <c r="B362" s="1"/>
      <c r="C362" s="1"/>
      <c r="D362" s="1"/>
      <c r="E362" s="55">
        <f t="shared" si="118"/>
        <v>0</v>
      </c>
      <c r="F362" s="1"/>
      <c r="G362" s="1"/>
      <c r="H362" s="1"/>
      <c r="I362" s="55">
        <f t="shared" si="119"/>
        <v>0</v>
      </c>
      <c r="J362" s="1"/>
      <c r="K362" s="1"/>
      <c r="L362" s="1"/>
      <c r="M362" s="55">
        <f t="shared" si="120"/>
        <v>0</v>
      </c>
      <c r="N362" s="1"/>
      <c r="O362" s="1"/>
      <c r="P362" s="1"/>
      <c r="Q362" s="55">
        <f t="shared" si="121"/>
        <v>0</v>
      </c>
      <c r="R362" s="55">
        <f t="shared" si="122"/>
        <v>0</v>
      </c>
      <c r="S362" s="477" t="s">
        <v>1257</v>
      </c>
    </row>
    <row r="363" spans="1:20" ht="15.75" customHeight="1" x14ac:dyDescent="0.3">
      <c r="A363" s="72" t="s">
        <v>926</v>
      </c>
      <c r="B363" s="1"/>
      <c r="C363" s="1"/>
      <c r="D363" s="1"/>
      <c r="E363" s="55">
        <f t="shared" si="118"/>
        <v>0</v>
      </c>
      <c r="F363" s="1"/>
      <c r="G363" s="1"/>
      <c r="H363" s="1"/>
      <c r="I363" s="55">
        <f t="shared" si="119"/>
        <v>0</v>
      </c>
      <c r="J363" s="1"/>
      <c r="K363" s="1"/>
      <c r="L363" s="1">
        <v>2083</v>
      </c>
      <c r="M363" s="55">
        <f t="shared" si="120"/>
        <v>2083</v>
      </c>
      <c r="N363" s="1">
        <v>4</v>
      </c>
      <c r="O363" s="1"/>
      <c r="P363" s="1"/>
      <c r="Q363" s="55">
        <f>SUM(N363:P363)</f>
        <v>4</v>
      </c>
      <c r="R363" s="55">
        <f>+E363+I363+M363+Q363</f>
        <v>2087</v>
      </c>
      <c r="T363" s="4" t="s">
        <v>241</v>
      </c>
    </row>
    <row r="364" spans="1:20" ht="15.75" customHeight="1" x14ac:dyDescent="0.3">
      <c r="A364" s="72" t="s">
        <v>927</v>
      </c>
      <c r="B364" s="1">
        <v>32</v>
      </c>
      <c r="C364" s="1">
        <v>20</v>
      </c>
      <c r="D364" s="1"/>
      <c r="E364" s="55">
        <f>SUM(B364:D364)</f>
        <v>52</v>
      </c>
      <c r="F364" s="1">
        <v>96</v>
      </c>
      <c r="G364" s="1">
        <v>57</v>
      </c>
      <c r="H364" s="1">
        <v>75</v>
      </c>
      <c r="I364" s="55">
        <f>SUM(F364:H364)</f>
        <v>228</v>
      </c>
      <c r="J364" s="1">
        <v>81</v>
      </c>
      <c r="K364" s="1">
        <v>81</v>
      </c>
      <c r="L364" s="1">
        <v>39</v>
      </c>
      <c r="M364" s="55">
        <f>SUM(J364:L364)</f>
        <v>201</v>
      </c>
      <c r="N364" s="1">
        <v>68</v>
      </c>
      <c r="O364" s="1">
        <v>50</v>
      </c>
      <c r="P364" s="1">
        <v>103</v>
      </c>
      <c r="Q364" s="55">
        <f>SUM(N364:P364)</f>
        <v>221</v>
      </c>
      <c r="R364" s="55">
        <f>+E364+I364+M364+Q364</f>
        <v>702</v>
      </c>
      <c r="T364" s="4" t="s">
        <v>406</v>
      </c>
    </row>
    <row r="365" spans="1:20" ht="15.75" customHeight="1" x14ac:dyDescent="0.3">
      <c r="A365" s="71" t="s">
        <v>929</v>
      </c>
      <c r="B365" s="1"/>
      <c r="C365" s="1"/>
      <c r="D365" s="1"/>
      <c r="E365" s="55">
        <f>SUM(B365:D365)</f>
        <v>0</v>
      </c>
      <c r="F365" s="1"/>
      <c r="G365" s="1"/>
      <c r="H365" s="1"/>
      <c r="I365" s="55">
        <f>SUM(F365:H365)</f>
        <v>0</v>
      </c>
      <c r="J365" s="1"/>
      <c r="K365" s="1">
        <v>33</v>
      </c>
      <c r="L365" s="1"/>
      <c r="M365" s="55">
        <f>SUM(J365:L365)</f>
        <v>33</v>
      </c>
      <c r="N365" s="1"/>
      <c r="O365" s="1"/>
      <c r="P365" s="1"/>
      <c r="Q365" s="55">
        <f>SUM(N365:P365)</f>
        <v>0</v>
      </c>
      <c r="R365" s="55">
        <f t="shared" si="122"/>
        <v>33</v>
      </c>
    </row>
    <row r="366" spans="1:20" ht="15.75" customHeight="1" x14ac:dyDescent="0.3">
      <c r="A366" s="72" t="s">
        <v>930</v>
      </c>
      <c r="B366" s="1"/>
      <c r="C366" s="1"/>
      <c r="D366" s="1"/>
      <c r="E366" s="55">
        <f t="shared" ref="E366" si="145">SUM(B366:D366)</f>
        <v>0</v>
      </c>
      <c r="F366" s="1"/>
      <c r="G366" s="1">
        <v>68</v>
      </c>
      <c r="H366" s="1">
        <v>179</v>
      </c>
      <c r="I366" s="55">
        <f t="shared" ref="I366" si="146">SUM(F366:H366)</f>
        <v>247</v>
      </c>
      <c r="J366" s="1">
        <v>142</v>
      </c>
      <c r="K366" s="1">
        <v>84</v>
      </c>
      <c r="L366" s="1">
        <v>22</v>
      </c>
      <c r="M366" s="55">
        <f t="shared" ref="M366" si="147">SUM(J366:L366)</f>
        <v>248</v>
      </c>
      <c r="N366" s="1"/>
      <c r="O366" s="1"/>
      <c r="P366" s="1"/>
      <c r="Q366" s="55">
        <f t="shared" si="121"/>
        <v>0</v>
      </c>
      <c r="R366" s="55">
        <f t="shared" si="122"/>
        <v>495</v>
      </c>
      <c r="S366" s="4">
        <f>SUM(R335:R366)</f>
        <v>91722</v>
      </c>
      <c r="T366" s="4" t="s">
        <v>214</v>
      </c>
    </row>
    <row r="367" spans="1:20" ht="15.75" customHeight="1" x14ac:dyDescent="0.3">
      <c r="A367" s="72" t="s">
        <v>931</v>
      </c>
      <c r="B367" s="1">
        <v>70</v>
      </c>
      <c r="C367" s="1">
        <v>1</v>
      </c>
      <c r="D367" s="1">
        <v>3</v>
      </c>
      <c r="E367" s="55">
        <f>SUM(B367:D367)</f>
        <v>74</v>
      </c>
      <c r="F367" s="1">
        <v>6</v>
      </c>
      <c r="G367" s="1">
        <v>6</v>
      </c>
      <c r="H367" s="1">
        <v>11</v>
      </c>
      <c r="I367" s="55">
        <f>SUM(F367:H367)</f>
        <v>23</v>
      </c>
      <c r="J367" s="1">
        <v>7</v>
      </c>
      <c r="K367" s="1">
        <v>12</v>
      </c>
      <c r="L367" s="1">
        <v>4</v>
      </c>
      <c r="M367" s="55">
        <f>SUM(J367:L367)</f>
        <v>23</v>
      </c>
      <c r="N367" s="1">
        <v>42</v>
      </c>
      <c r="O367" s="1">
        <v>31</v>
      </c>
      <c r="P367" s="1">
        <v>243</v>
      </c>
      <c r="Q367" s="55">
        <f>SUM(N367:P367)</f>
        <v>316</v>
      </c>
      <c r="R367" s="55">
        <f>+E367+I367+M367+Q367</f>
        <v>436</v>
      </c>
      <c r="T367" s="4" t="s">
        <v>406</v>
      </c>
    </row>
    <row r="368" spans="1:20" ht="15.75" customHeight="1" x14ac:dyDescent="0.3">
      <c r="A368" s="15" t="s">
        <v>50</v>
      </c>
      <c r="B368" s="1"/>
      <c r="C368" s="1"/>
      <c r="D368" s="1"/>
      <c r="E368" s="55" t="s">
        <v>7</v>
      </c>
      <c r="F368" s="1"/>
      <c r="G368" s="1"/>
      <c r="H368" s="1"/>
      <c r="I368" s="55" t="s">
        <v>7</v>
      </c>
      <c r="J368" s="1"/>
      <c r="K368" s="1"/>
      <c r="L368" s="1"/>
      <c r="M368" s="55" t="s">
        <v>7</v>
      </c>
      <c r="N368" s="1"/>
      <c r="O368" s="1"/>
      <c r="P368" s="1"/>
      <c r="Q368" s="55" t="s">
        <v>7</v>
      </c>
      <c r="R368" s="55" t="s">
        <v>7</v>
      </c>
    </row>
    <row r="369" spans="1:20" ht="15.75" customHeight="1" x14ac:dyDescent="0.3">
      <c r="A369" s="72" t="s">
        <v>217</v>
      </c>
      <c r="B369" s="1"/>
      <c r="C369" s="1"/>
      <c r="D369" s="1"/>
      <c r="E369" s="55">
        <f t="shared" ref="E369:E379" si="148">SUM(B369:D369)</f>
        <v>0</v>
      </c>
      <c r="F369" s="1"/>
      <c r="G369" s="1"/>
      <c r="H369" s="1"/>
      <c r="I369" s="55">
        <f t="shared" ref="I369:I379" si="149">SUM(F369:H369)</f>
        <v>0</v>
      </c>
      <c r="J369" s="1"/>
      <c r="K369" s="1"/>
      <c r="L369" s="1"/>
      <c r="M369" s="55">
        <f t="shared" ref="M369:M379" si="150">SUM(J369:L369)</f>
        <v>0</v>
      </c>
      <c r="N369" s="1"/>
      <c r="O369" s="1"/>
      <c r="P369" s="1"/>
      <c r="Q369" s="55">
        <f t="shared" ref="Q369:Q379" si="151">SUM(N369:P369)</f>
        <v>0</v>
      </c>
      <c r="R369" s="55">
        <f t="shared" ref="R369:R379" si="152">+E369+I369+M369+Q369</f>
        <v>0</v>
      </c>
    </row>
    <row r="370" spans="1:20" ht="15.75" customHeight="1" x14ac:dyDescent="0.3">
      <c r="A370" s="72" t="s">
        <v>932</v>
      </c>
      <c r="B370" s="1"/>
      <c r="C370" s="1"/>
      <c r="D370" s="1"/>
      <c r="E370" s="55">
        <f>SUM(B370:D370)</f>
        <v>0</v>
      </c>
      <c r="F370" s="1"/>
      <c r="G370" s="1"/>
      <c r="H370" s="1"/>
      <c r="I370" s="55">
        <f>SUM(F370:H370)</f>
        <v>0</v>
      </c>
      <c r="J370" s="1"/>
      <c r="K370" s="1"/>
      <c r="L370" s="1"/>
      <c r="M370" s="55">
        <f>SUM(J370:L370)</f>
        <v>0</v>
      </c>
      <c r="N370" s="1"/>
      <c r="O370" s="1"/>
      <c r="P370" s="1"/>
      <c r="Q370" s="55">
        <f>SUM(N370:P370)</f>
        <v>0</v>
      </c>
      <c r="R370" s="55">
        <f>+E370+I370+M370+Q370</f>
        <v>0</v>
      </c>
      <c r="T370" s="4" t="s">
        <v>220</v>
      </c>
    </row>
    <row r="371" spans="1:20" ht="15.75" customHeight="1" x14ac:dyDescent="0.3">
      <c r="A371" s="72" t="s">
        <v>643</v>
      </c>
      <c r="B371" s="1"/>
      <c r="C371" s="1"/>
      <c r="D371" s="1"/>
      <c r="E371" s="55">
        <f>SUM(B371:D371)</f>
        <v>0</v>
      </c>
      <c r="F371" s="1"/>
      <c r="G371" s="1"/>
      <c r="H371" s="1"/>
      <c r="I371" s="55">
        <f>SUM(F371:H371)</f>
        <v>0</v>
      </c>
      <c r="J371" s="1"/>
      <c r="K371" s="1"/>
      <c r="L371" s="1"/>
      <c r="M371" s="55">
        <f>SUM(J371:L371)</f>
        <v>0</v>
      </c>
      <c r="N371" s="1"/>
      <c r="O371" s="1"/>
      <c r="P371" s="1"/>
      <c r="Q371" s="55">
        <f>SUM(N371:P371)</f>
        <v>0</v>
      </c>
      <c r="R371" s="55">
        <f>+E371+I371+M371+Q371</f>
        <v>0</v>
      </c>
      <c r="T371" s="4" t="s">
        <v>256</v>
      </c>
    </row>
    <row r="372" spans="1:20" ht="15.75" customHeight="1" x14ac:dyDescent="0.3">
      <c r="A372" s="72" t="s">
        <v>924</v>
      </c>
      <c r="B372" s="1"/>
      <c r="C372" s="1"/>
      <c r="D372" s="1"/>
      <c r="E372" s="55">
        <f t="shared" si="148"/>
        <v>0</v>
      </c>
      <c r="F372" s="1"/>
      <c r="G372" s="1"/>
      <c r="H372" s="1"/>
      <c r="I372" s="55">
        <f t="shared" si="149"/>
        <v>0</v>
      </c>
      <c r="J372" s="1"/>
      <c r="K372" s="1"/>
      <c r="L372" s="1"/>
      <c r="M372" s="55">
        <f t="shared" si="150"/>
        <v>0</v>
      </c>
      <c r="N372" s="1"/>
      <c r="O372" s="1"/>
      <c r="P372" s="1"/>
      <c r="Q372" s="55">
        <f t="shared" si="151"/>
        <v>0</v>
      </c>
      <c r="R372" s="55">
        <f>+E372+I372+M372+Q372</f>
        <v>0</v>
      </c>
      <c r="T372" s="4" t="s">
        <v>214</v>
      </c>
    </row>
    <row r="373" spans="1:20" ht="15.75" customHeight="1" x14ac:dyDescent="0.3">
      <c r="A373" s="72" t="s">
        <v>721</v>
      </c>
      <c r="B373" s="1"/>
      <c r="C373" s="1"/>
      <c r="D373" s="1"/>
      <c r="E373" s="55">
        <f>SUM(B373:D373)</f>
        <v>0</v>
      </c>
      <c r="F373" s="1"/>
      <c r="G373" s="1"/>
      <c r="H373" s="1"/>
      <c r="I373" s="55">
        <f>SUM(F373:H373)</f>
        <v>0</v>
      </c>
      <c r="J373" s="1"/>
      <c r="K373" s="1"/>
      <c r="L373" s="1"/>
      <c r="M373" s="55">
        <f>SUM(J373:L373)</f>
        <v>0</v>
      </c>
      <c r="N373" s="1"/>
      <c r="O373" s="1"/>
      <c r="P373" s="1"/>
      <c r="Q373" s="55">
        <f>SUM(N373:P373)</f>
        <v>0</v>
      </c>
      <c r="R373" s="55">
        <f>+E373+I373+M373+Q373</f>
        <v>0</v>
      </c>
      <c r="T373" s="4" t="s">
        <v>218</v>
      </c>
    </row>
    <row r="374" spans="1:20" ht="15.75" customHeight="1" x14ac:dyDescent="0.3">
      <c r="A374" s="72" t="s">
        <v>222</v>
      </c>
      <c r="B374" s="1"/>
      <c r="C374" s="1"/>
      <c r="D374" s="1"/>
      <c r="E374" s="55">
        <f t="shared" si="148"/>
        <v>0</v>
      </c>
      <c r="F374" s="1"/>
      <c r="G374" s="1"/>
      <c r="H374" s="1"/>
      <c r="I374" s="55">
        <f t="shared" si="149"/>
        <v>0</v>
      </c>
      <c r="J374" s="1"/>
      <c r="K374" s="1"/>
      <c r="L374" s="1"/>
      <c r="M374" s="55">
        <f t="shared" si="150"/>
        <v>0</v>
      </c>
      <c r="N374" s="1"/>
      <c r="O374" s="1"/>
      <c r="P374" s="1"/>
      <c r="Q374" s="55">
        <f t="shared" si="151"/>
        <v>0</v>
      </c>
      <c r="R374" s="55">
        <f t="shared" si="152"/>
        <v>0</v>
      </c>
    </row>
    <row r="375" spans="1:20" ht="15.75" customHeight="1" x14ac:dyDescent="0.3">
      <c r="A375" s="72" t="s">
        <v>933</v>
      </c>
      <c r="B375" s="1"/>
      <c r="C375" s="1"/>
      <c r="D375" s="1"/>
      <c r="E375" s="55">
        <f t="shared" si="148"/>
        <v>0</v>
      </c>
      <c r="F375" s="1"/>
      <c r="G375" s="1"/>
      <c r="H375" s="1"/>
      <c r="I375" s="55">
        <f t="shared" si="149"/>
        <v>0</v>
      </c>
      <c r="J375" s="1"/>
      <c r="K375" s="1"/>
      <c r="L375" s="1"/>
      <c r="M375" s="55">
        <f t="shared" si="150"/>
        <v>0</v>
      </c>
      <c r="N375" s="1"/>
      <c r="O375" s="1"/>
      <c r="P375" s="1"/>
      <c r="Q375" s="55">
        <f t="shared" si="151"/>
        <v>0</v>
      </c>
      <c r="R375" s="55">
        <f t="shared" si="152"/>
        <v>0</v>
      </c>
      <c r="T375" s="4" t="s">
        <v>226</v>
      </c>
    </row>
    <row r="376" spans="1:20" ht="15.75" customHeight="1" x14ac:dyDescent="0.3">
      <c r="A376" s="72" t="s">
        <v>227</v>
      </c>
      <c r="B376" s="1"/>
      <c r="C376" s="1"/>
      <c r="D376" s="1"/>
      <c r="E376" s="55">
        <f t="shared" si="148"/>
        <v>0</v>
      </c>
      <c r="F376" s="1"/>
      <c r="G376" s="1"/>
      <c r="H376" s="1"/>
      <c r="I376" s="55">
        <f t="shared" si="149"/>
        <v>0</v>
      </c>
      <c r="J376" s="1"/>
      <c r="K376" s="1"/>
      <c r="L376" s="1"/>
      <c r="M376" s="55">
        <f t="shared" si="150"/>
        <v>0</v>
      </c>
      <c r="N376" s="1"/>
      <c r="O376" s="1"/>
      <c r="P376" s="1"/>
      <c r="Q376" s="55">
        <f t="shared" si="151"/>
        <v>0</v>
      </c>
      <c r="R376" s="55">
        <f t="shared" si="152"/>
        <v>0</v>
      </c>
      <c r="T376" s="4" t="s">
        <v>226</v>
      </c>
    </row>
    <row r="377" spans="1:20" ht="15.75" customHeight="1" x14ac:dyDescent="0.3">
      <c r="A377" s="72" t="s">
        <v>934</v>
      </c>
      <c r="B377" s="1"/>
      <c r="C377" s="1"/>
      <c r="D377" s="1"/>
      <c r="E377" s="55">
        <f t="shared" si="148"/>
        <v>0</v>
      </c>
      <c r="F377" s="1"/>
      <c r="G377" s="1"/>
      <c r="H377" s="1"/>
      <c r="I377" s="55">
        <f t="shared" si="149"/>
        <v>0</v>
      </c>
      <c r="J377" s="1"/>
      <c r="K377" s="1"/>
      <c r="L377" s="1"/>
      <c r="M377" s="55">
        <f t="shared" si="150"/>
        <v>0</v>
      </c>
      <c r="N377" s="1"/>
      <c r="O377" s="1"/>
      <c r="P377" s="1"/>
      <c r="Q377" s="55">
        <f t="shared" si="151"/>
        <v>0</v>
      </c>
      <c r="R377" s="55">
        <f t="shared" si="152"/>
        <v>0</v>
      </c>
      <c r="T377" s="4" t="s">
        <v>406</v>
      </c>
    </row>
    <row r="378" spans="1:20" ht="15.75" customHeight="1" x14ac:dyDescent="0.3">
      <c r="A378" s="72" t="s">
        <v>634</v>
      </c>
      <c r="B378" s="1"/>
      <c r="C378" s="1"/>
      <c r="D378" s="1"/>
      <c r="E378" s="55">
        <f>SUM(B378:D378)</f>
        <v>0</v>
      </c>
      <c r="F378" s="1"/>
      <c r="G378" s="1"/>
      <c r="H378" s="1"/>
      <c r="I378" s="55">
        <f>SUM(F378:H378)</f>
        <v>0</v>
      </c>
      <c r="J378" s="1"/>
      <c r="K378" s="1"/>
      <c r="L378" s="1"/>
      <c r="M378" s="55">
        <f>SUM(J378:L378)</f>
        <v>0</v>
      </c>
      <c r="N378" s="1"/>
      <c r="O378" s="1"/>
      <c r="P378" s="1"/>
      <c r="Q378" s="55">
        <f>SUM(N378:P378)</f>
        <v>0</v>
      </c>
      <c r="R378" s="55">
        <f>+E378+I378+M378+Q378</f>
        <v>0</v>
      </c>
      <c r="T378" s="4" t="s">
        <v>406</v>
      </c>
    </row>
    <row r="379" spans="1:20" ht="15.75" customHeight="1" x14ac:dyDescent="0.3">
      <c r="A379" s="72" t="s">
        <v>635</v>
      </c>
      <c r="B379" s="1"/>
      <c r="C379" s="1"/>
      <c r="D379" s="1"/>
      <c r="E379" s="55">
        <f t="shared" si="148"/>
        <v>0</v>
      </c>
      <c r="F379" s="1"/>
      <c r="G379" s="1"/>
      <c r="H379" s="1"/>
      <c r="I379" s="55">
        <f t="shared" si="149"/>
        <v>0</v>
      </c>
      <c r="J379" s="1"/>
      <c r="K379" s="1"/>
      <c r="L379" s="1"/>
      <c r="M379" s="55">
        <f t="shared" si="150"/>
        <v>0</v>
      </c>
      <c r="N379" s="1"/>
      <c r="O379" s="1"/>
      <c r="P379" s="1"/>
      <c r="Q379" s="55">
        <f t="shared" si="151"/>
        <v>0</v>
      </c>
      <c r="R379" s="55">
        <f t="shared" si="152"/>
        <v>0</v>
      </c>
      <c r="T379" s="4" t="s">
        <v>232</v>
      </c>
    </row>
    <row r="380" spans="1:20" ht="15.75" customHeight="1" x14ac:dyDescent="0.3">
      <c r="A380" s="15" t="s">
        <v>1186</v>
      </c>
      <c r="B380" s="1"/>
      <c r="C380" s="1"/>
      <c r="D380" s="1"/>
      <c r="E380" s="55" t="s">
        <v>7</v>
      </c>
      <c r="F380" s="1"/>
      <c r="G380" s="1"/>
      <c r="H380" s="1"/>
      <c r="I380" s="55" t="s">
        <v>7</v>
      </c>
      <c r="J380" s="1"/>
      <c r="K380" s="1"/>
      <c r="L380" s="1"/>
      <c r="M380" s="55" t="s">
        <v>7</v>
      </c>
      <c r="N380" s="1"/>
      <c r="O380" s="1"/>
      <c r="P380" s="1"/>
      <c r="Q380" s="55" t="s">
        <v>7</v>
      </c>
      <c r="R380" s="55" t="s">
        <v>7</v>
      </c>
    </row>
    <row r="381" spans="1:20" ht="15.75" customHeight="1" x14ac:dyDescent="0.3">
      <c r="A381" s="72" t="s">
        <v>1299</v>
      </c>
      <c r="B381" s="1"/>
      <c r="C381" s="1"/>
      <c r="D381" s="1"/>
      <c r="E381" s="55">
        <f>SUM(B381:D381)</f>
        <v>0</v>
      </c>
      <c r="F381" s="1"/>
      <c r="G381" s="1"/>
      <c r="H381" s="1"/>
      <c r="I381" s="55">
        <f>SUM(F381:H381)</f>
        <v>0</v>
      </c>
      <c r="J381" s="1"/>
      <c r="K381" s="1"/>
      <c r="L381" s="1"/>
      <c r="M381" s="55">
        <f>SUM(J381:L381)</f>
        <v>0</v>
      </c>
      <c r="N381" s="1"/>
      <c r="O381" s="1"/>
      <c r="P381" s="1"/>
      <c r="Q381" s="55">
        <f>SUM(N381:P381)</f>
        <v>0</v>
      </c>
      <c r="R381" s="55">
        <f>+E381+I381+M381+Q381</f>
        <v>0</v>
      </c>
      <c r="S381" s="478" t="s">
        <v>1259</v>
      </c>
      <c r="T381" s="4" t="s">
        <v>209</v>
      </c>
    </row>
    <row r="382" spans="1:20" ht="15.75" customHeight="1" x14ac:dyDescent="0.3">
      <c r="A382" s="72" t="s">
        <v>1300</v>
      </c>
      <c r="B382" s="1"/>
      <c r="C382" s="1"/>
      <c r="D382" s="1"/>
      <c r="E382" s="55">
        <f>SUM(B382:D382)</f>
        <v>0</v>
      </c>
      <c r="F382" s="1"/>
      <c r="G382" s="1">
        <v>2000</v>
      </c>
      <c r="H382" s="1">
        <v>2000</v>
      </c>
      <c r="I382" s="55">
        <f>SUM(F382:H382)</f>
        <v>4000</v>
      </c>
      <c r="J382" s="1">
        <v>2000</v>
      </c>
      <c r="K382" s="1"/>
      <c r="L382" s="1"/>
      <c r="M382" s="55">
        <f>SUM(J382:L382)</f>
        <v>2000</v>
      </c>
      <c r="N382" s="1"/>
      <c r="O382" s="1"/>
      <c r="P382" s="1"/>
      <c r="Q382" s="55">
        <f>SUM(N382:P382)</f>
        <v>0</v>
      </c>
      <c r="R382" s="55">
        <f>+E382+I382+M382+Q382</f>
        <v>6000</v>
      </c>
      <c r="S382" s="478" t="s">
        <v>1259</v>
      </c>
    </row>
    <row r="383" spans="1:20" ht="15.75" customHeight="1" x14ac:dyDescent="0.3">
      <c r="A383" s="72" t="s">
        <v>1301</v>
      </c>
      <c r="B383" s="1"/>
      <c r="C383" s="1"/>
      <c r="D383" s="1"/>
      <c r="E383" s="55">
        <f>SUM(B383:D383)</f>
        <v>0</v>
      </c>
      <c r="F383" s="1"/>
      <c r="G383" s="1">
        <v>1518</v>
      </c>
      <c r="H383" s="1">
        <f>2077+90</f>
        <v>2167</v>
      </c>
      <c r="I383" s="55">
        <f>SUM(F383:H383)</f>
        <v>3685</v>
      </c>
      <c r="J383" s="1"/>
      <c r="K383" s="1"/>
      <c r="L383" s="1"/>
      <c r="M383" s="55">
        <f>SUM(J383:L383)</f>
        <v>0</v>
      </c>
      <c r="N383" s="1"/>
      <c r="O383" s="1"/>
      <c r="P383" s="1"/>
      <c r="Q383" s="55">
        <f>SUM(N383:P383)</f>
        <v>0</v>
      </c>
      <c r="R383" s="55">
        <f>+E383+I383+M383+Q383</f>
        <v>3685</v>
      </c>
      <c r="S383" s="478" t="s">
        <v>1259</v>
      </c>
      <c r="T383" s="4" t="s">
        <v>214</v>
      </c>
    </row>
    <row r="384" spans="1:20" ht="15.75" customHeight="1" x14ac:dyDescent="0.3">
      <c r="A384" s="72" t="s">
        <v>1302</v>
      </c>
      <c r="B384" s="1"/>
      <c r="C384" s="1"/>
      <c r="D384" s="1"/>
      <c r="E384" s="55">
        <f>SUM(B384:D384)</f>
        <v>0</v>
      </c>
      <c r="F384" s="1"/>
      <c r="G384" s="1"/>
      <c r="H384" s="1"/>
      <c r="I384" s="55">
        <f>SUM(F384:H384)</f>
        <v>0</v>
      </c>
      <c r="J384" s="1"/>
      <c r="K384" s="1"/>
      <c r="L384" s="1"/>
      <c r="M384" s="55">
        <f>SUM(J384:L384)</f>
        <v>0</v>
      </c>
      <c r="N384" s="1"/>
      <c r="O384" s="1"/>
      <c r="P384" s="1"/>
      <c r="Q384" s="55">
        <f>SUM(N384:P384)</f>
        <v>0</v>
      </c>
      <c r="R384" s="55">
        <f>+E384+I384+M384+Q384</f>
        <v>0</v>
      </c>
      <c r="S384" s="478" t="s">
        <v>1259</v>
      </c>
      <c r="T384" s="4" t="s">
        <v>241</v>
      </c>
    </row>
    <row r="385" spans="1:39" ht="16.5" customHeight="1" thickBot="1" x14ac:dyDescent="0.35">
      <c r="A385" s="15" t="s">
        <v>53</v>
      </c>
      <c r="B385" s="1"/>
      <c r="C385" s="1"/>
      <c r="D385" s="1"/>
      <c r="E385" s="55" t="s">
        <v>7</v>
      </c>
      <c r="F385" s="1"/>
      <c r="G385" s="1"/>
      <c r="H385" s="1"/>
      <c r="I385" s="55" t="s">
        <v>7</v>
      </c>
      <c r="J385" s="1"/>
      <c r="K385" s="1"/>
      <c r="L385" s="1"/>
      <c r="M385" s="55" t="s">
        <v>7</v>
      </c>
      <c r="N385" s="1"/>
      <c r="O385" s="1"/>
      <c r="P385" s="1"/>
      <c r="Q385" s="55" t="s">
        <v>7</v>
      </c>
      <c r="R385" s="81" t="s">
        <v>7</v>
      </c>
      <c r="V385" s="4" t="s">
        <v>936</v>
      </c>
      <c r="W385" s="4" t="s">
        <v>937</v>
      </c>
    </row>
    <row r="386" spans="1:39" ht="16.5" customHeight="1" thickBot="1" x14ac:dyDescent="0.35">
      <c r="A386" s="109" t="s">
        <v>54</v>
      </c>
      <c r="B386" s="86">
        <f>SUM(B333:B385)</f>
        <v>2588</v>
      </c>
      <c r="C386" s="87">
        <f>SUM(C333:C385)</f>
        <v>809</v>
      </c>
      <c r="D386" s="87">
        <f>SUM(D333:D385)</f>
        <v>2683</v>
      </c>
      <c r="E386" s="59">
        <f>SUM(B386:D386)</f>
        <v>6080</v>
      </c>
      <c r="F386" s="87">
        <f>SUM(F333:F385)</f>
        <v>6384</v>
      </c>
      <c r="G386" s="87">
        <f>SUM(G333:G385)</f>
        <v>10699</v>
      </c>
      <c r="H386" s="87">
        <f>SUM(H333:H385)</f>
        <v>14012</v>
      </c>
      <c r="I386" s="59">
        <f>SUM(F386:H386)</f>
        <v>31095</v>
      </c>
      <c r="J386" s="87">
        <f>SUM(J333:J385)</f>
        <v>11241</v>
      </c>
      <c r="K386" s="87">
        <f>SUM(K333:K385)</f>
        <v>12987</v>
      </c>
      <c r="L386" s="87">
        <f>SUM(L333:L385)</f>
        <v>16591</v>
      </c>
      <c r="M386" s="59">
        <f>SUM(J386:L386)</f>
        <v>40819</v>
      </c>
      <c r="N386" s="87">
        <f>SUM(N333:N385)</f>
        <v>12046</v>
      </c>
      <c r="O386" s="87">
        <f>SUM(O333:O385)</f>
        <v>512</v>
      </c>
      <c r="P386" s="87">
        <f>SUM(P333:P385)</f>
        <v>11291</v>
      </c>
      <c r="Q386" s="59">
        <f>SUM(N386:P386)</f>
        <v>23849</v>
      </c>
      <c r="R386" s="59">
        <f>+E386+I386+M386+Q386</f>
        <v>101843</v>
      </c>
      <c r="T386" s="89"/>
      <c r="V386" s="4" t="s">
        <v>209</v>
      </c>
      <c r="W386" s="348">
        <v>0.18</v>
      </c>
    </row>
    <row r="387" spans="1:39" ht="15.75" customHeight="1" x14ac:dyDescent="0.3">
      <c r="A387" s="15" t="s">
        <v>55</v>
      </c>
      <c r="B387" s="1"/>
      <c r="C387" s="1"/>
      <c r="D387" s="1"/>
      <c r="E387" s="55" t="s">
        <v>7</v>
      </c>
      <c r="F387" s="1"/>
      <c r="G387" s="1"/>
      <c r="H387" s="1"/>
      <c r="I387" s="55" t="s">
        <v>7</v>
      </c>
      <c r="J387" s="1"/>
      <c r="K387" s="1"/>
      <c r="L387" s="1"/>
      <c r="M387" s="55" t="s">
        <v>7</v>
      </c>
      <c r="N387" s="1"/>
      <c r="O387" s="1"/>
      <c r="P387" s="1"/>
      <c r="Q387" s="55" t="s">
        <v>7</v>
      </c>
      <c r="R387" s="55" t="s">
        <v>7</v>
      </c>
      <c r="V387" s="4" t="s">
        <v>938</v>
      </c>
      <c r="W387" s="348">
        <v>0.52</v>
      </c>
    </row>
    <row r="388" spans="1:39" ht="15.75" customHeight="1" x14ac:dyDescent="0.3">
      <c r="A388" s="15" t="s">
        <v>242</v>
      </c>
      <c r="B388" s="1"/>
      <c r="C388" s="1"/>
      <c r="D388" s="1"/>
      <c r="E388" s="55"/>
      <c r="F388" s="1"/>
      <c r="G388" s="1"/>
      <c r="H388" s="1"/>
      <c r="I388" s="55"/>
      <c r="J388" s="1"/>
      <c r="K388" s="1"/>
      <c r="L388" s="1"/>
      <c r="M388" s="55"/>
      <c r="N388" s="1"/>
      <c r="O388" s="1"/>
      <c r="P388" s="1"/>
      <c r="Q388" s="55"/>
      <c r="R388" s="55"/>
      <c r="V388" s="4" t="s">
        <v>939</v>
      </c>
      <c r="W388" s="348">
        <v>0.3</v>
      </c>
    </row>
    <row r="389" spans="1:39" ht="15.75" customHeight="1" x14ac:dyDescent="0.3">
      <c r="A389" s="15" t="s">
        <v>57</v>
      </c>
      <c r="B389" s="1"/>
      <c r="C389" s="1"/>
      <c r="D389" s="1"/>
      <c r="E389" s="55" t="s">
        <v>7</v>
      </c>
      <c r="F389" s="1"/>
      <c r="G389" s="1"/>
      <c r="H389" s="1"/>
      <c r="I389" s="55" t="s">
        <v>7</v>
      </c>
      <c r="J389" s="1"/>
      <c r="K389" s="1"/>
      <c r="L389" s="1"/>
      <c r="M389" s="55" t="s">
        <v>7</v>
      </c>
      <c r="N389" s="1"/>
      <c r="O389" s="1"/>
      <c r="P389" s="1"/>
      <c r="Q389" s="55" t="s">
        <v>7</v>
      </c>
      <c r="R389" s="55" t="s">
        <v>7</v>
      </c>
      <c r="W389" s="349">
        <f>+SUM(W386:W388)</f>
        <v>1</v>
      </c>
    </row>
    <row r="390" spans="1:39" ht="15.75" customHeight="1" x14ac:dyDescent="0.3">
      <c r="A390" s="72" t="s">
        <v>553</v>
      </c>
      <c r="B390" s="1">
        <v>3</v>
      </c>
      <c r="C390" s="1">
        <v>47</v>
      </c>
      <c r="D390" s="1">
        <v>427</v>
      </c>
      <c r="E390" s="55">
        <f>SUM(B390:D390)</f>
        <v>477</v>
      </c>
      <c r="F390" s="1">
        <v>2363</v>
      </c>
      <c r="G390" s="1">
        <v>999</v>
      </c>
      <c r="H390" s="1">
        <v>2323</v>
      </c>
      <c r="I390" s="55">
        <f>SUM(F390:H390)</f>
        <v>5685</v>
      </c>
      <c r="J390" s="1">
        <v>4148</v>
      </c>
      <c r="K390" s="1">
        <v>5275</v>
      </c>
      <c r="L390" s="1">
        <v>3230</v>
      </c>
      <c r="M390" s="55">
        <f>SUM(J390:L390)</f>
        <v>12653</v>
      </c>
      <c r="N390" s="1"/>
      <c r="O390" s="1"/>
      <c r="P390" s="1"/>
      <c r="Q390" s="55">
        <f>SUM(N390:P390)</f>
        <v>0</v>
      </c>
      <c r="R390" s="55">
        <f t="shared" ref="R390:R398" si="153">+E390+I390+M390+Q390</f>
        <v>18815</v>
      </c>
      <c r="T390" s="4" t="s">
        <v>209</v>
      </c>
      <c r="V390" s="351" t="s">
        <v>729</v>
      </c>
      <c r="W390" s="28" t="s">
        <v>8</v>
      </c>
      <c r="X390" s="338" t="s">
        <v>9</v>
      </c>
      <c r="Y390" s="338" t="s">
        <v>10</v>
      </c>
      <c r="Z390" s="352" t="s">
        <v>11</v>
      </c>
      <c r="AA390" s="338" t="s">
        <v>12</v>
      </c>
      <c r="AB390" s="338" t="s">
        <v>13</v>
      </c>
      <c r="AC390" s="338" t="s">
        <v>14</v>
      </c>
      <c r="AD390" s="352" t="s">
        <v>15</v>
      </c>
      <c r="AE390" s="338" t="s">
        <v>16</v>
      </c>
      <c r="AF390" s="338" t="s">
        <v>17</v>
      </c>
      <c r="AG390" s="338" t="s">
        <v>18</v>
      </c>
      <c r="AH390" s="352" t="s">
        <v>19</v>
      </c>
      <c r="AI390" s="338" t="s">
        <v>20</v>
      </c>
      <c r="AJ390" s="338" t="s">
        <v>21</v>
      </c>
      <c r="AK390" s="338" t="s">
        <v>22</v>
      </c>
      <c r="AL390" s="352" t="s">
        <v>23</v>
      </c>
      <c r="AM390" s="353" t="s">
        <v>24</v>
      </c>
    </row>
    <row r="391" spans="1:39" ht="15.75" customHeight="1" x14ac:dyDescent="0.3">
      <c r="A391" s="72" t="s">
        <v>244</v>
      </c>
      <c r="B391" s="1"/>
      <c r="C391" s="1"/>
      <c r="D391" s="1"/>
      <c r="E391" s="55">
        <f>SUM(B391:D391)</f>
        <v>0</v>
      </c>
      <c r="F391" s="1">
        <v>18</v>
      </c>
      <c r="G391" s="1">
        <v>22</v>
      </c>
      <c r="H391" s="1"/>
      <c r="I391" s="55">
        <f>SUM(F391:H391)</f>
        <v>40</v>
      </c>
      <c r="J391" s="1">
        <v>57</v>
      </c>
      <c r="K391" s="1">
        <v>9</v>
      </c>
      <c r="L391" s="1">
        <v>13</v>
      </c>
      <c r="M391" s="55">
        <f>SUM(J391:L391)</f>
        <v>79</v>
      </c>
      <c r="N391" s="1"/>
      <c r="O391" s="1"/>
      <c r="P391" s="1"/>
      <c r="Q391" s="55">
        <f>SUM(N391:P391)</f>
        <v>0</v>
      </c>
      <c r="R391" s="55">
        <f t="shared" si="153"/>
        <v>119</v>
      </c>
      <c r="T391" s="4" t="s">
        <v>214</v>
      </c>
      <c r="V391" s="306" t="s">
        <v>942</v>
      </c>
      <c r="W391" s="354">
        <v>1500</v>
      </c>
      <c r="X391" s="354">
        <v>1500</v>
      </c>
      <c r="Y391" s="354">
        <v>6800</v>
      </c>
      <c r="Z391" s="4">
        <f>+SUM(W391:Y391)</f>
        <v>9800</v>
      </c>
      <c r="AA391" s="354">
        <f>8000+1500</f>
        <v>9500</v>
      </c>
      <c r="AB391" s="354">
        <f>10000+2000</f>
        <v>12000</v>
      </c>
      <c r="AC391" s="354">
        <f>12000+1500</f>
        <v>13500</v>
      </c>
      <c r="AD391" s="4">
        <f>+SUM(AA391:AC391)</f>
        <v>35000</v>
      </c>
      <c r="AE391" s="354">
        <v>25500</v>
      </c>
      <c r="AF391" s="354">
        <v>19000</v>
      </c>
      <c r="AG391" s="354">
        <v>4000</v>
      </c>
      <c r="AH391" s="4">
        <f>+SUM(AE391:AG391)</f>
        <v>48500</v>
      </c>
      <c r="AI391" s="354">
        <v>1500</v>
      </c>
      <c r="AJ391" s="354">
        <v>1000</v>
      </c>
      <c r="AK391" s="354">
        <v>1069</v>
      </c>
      <c r="AL391" s="4">
        <f>+SUM(AI391:AK391)</f>
        <v>3569</v>
      </c>
      <c r="AM391" s="307">
        <f>+Z391+AD391+AH391+AL391</f>
        <v>96869</v>
      </c>
    </row>
    <row r="392" spans="1:39" ht="15.75" customHeight="1" x14ac:dyDescent="0.3">
      <c r="A392" s="72" t="s">
        <v>245</v>
      </c>
      <c r="B392" s="1">
        <v>201</v>
      </c>
      <c r="C392" s="1">
        <v>175</v>
      </c>
      <c r="D392" s="1">
        <v>2106</v>
      </c>
      <c r="E392" s="55">
        <f t="shared" ref="E392:E393" si="154">SUM(B392:D392)</f>
        <v>2482</v>
      </c>
      <c r="F392" s="1">
        <v>4270</v>
      </c>
      <c r="G392" s="1">
        <v>1842</v>
      </c>
      <c r="H392" s="1">
        <v>7638</v>
      </c>
      <c r="I392" s="55">
        <f t="shared" ref="I392:I397" si="155">SUM(F392:H392)</f>
        <v>13750</v>
      </c>
      <c r="J392" s="1">
        <v>10019</v>
      </c>
      <c r="K392" s="1">
        <v>5223</v>
      </c>
      <c r="L392" s="1"/>
      <c r="M392" s="55">
        <f t="shared" ref="M392:M397" si="156">SUM(J392:L392)</f>
        <v>15242</v>
      </c>
      <c r="N392" s="1"/>
      <c r="O392" s="1"/>
      <c r="P392" s="1"/>
      <c r="Q392" s="55">
        <f t="shared" ref="Q392:Q398" si="157">SUM(N392:P392)</f>
        <v>0</v>
      </c>
      <c r="R392" s="55">
        <f t="shared" si="153"/>
        <v>31474</v>
      </c>
      <c r="T392" s="4" t="s">
        <v>910</v>
      </c>
      <c r="V392" s="306" t="s">
        <v>209</v>
      </c>
      <c r="W392" s="4">
        <f>+$W$386*W391</f>
        <v>270</v>
      </c>
      <c r="X392" s="4">
        <f>+$W$386*X391</f>
        <v>270</v>
      </c>
      <c r="Y392" s="4">
        <f>+$W$386*Y391</f>
        <v>1224</v>
      </c>
      <c r="Z392" s="4">
        <f>+SUM(W392:Y392)</f>
        <v>1764</v>
      </c>
      <c r="AA392" s="4">
        <f>+$W$386*AA391</f>
        <v>1710</v>
      </c>
      <c r="AB392" s="4">
        <f>+$W$386*AB391</f>
        <v>2160</v>
      </c>
      <c r="AC392" s="4">
        <f>+$W$386*AC391</f>
        <v>2430</v>
      </c>
      <c r="AD392" s="4">
        <f>+SUM(AA392:AC392)</f>
        <v>6300</v>
      </c>
      <c r="AE392" s="4">
        <f>+$W$386*AE391</f>
        <v>4590</v>
      </c>
      <c r="AF392" s="4">
        <f>+$W$386*AF391</f>
        <v>3420</v>
      </c>
      <c r="AG392" s="4">
        <f>+$W$386*AG391</f>
        <v>720</v>
      </c>
      <c r="AH392" s="4">
        <f>+SUM(AE392:AG392)</f>
        <v>8730</v>
      </c>
      <c r="AI392" s="4">
        <f>+$W$386*AI391</f>
        <v>270</v>
      </c>
      <c r="AJ392" s="4">
        <f>+$W$386*AJ391</f>
        <v>180</v>
      </c>
      <c r="AK392" s="4">
        <f>+$W$386*AK391</f>
        <v>192.42</v>
      </c>
      <c r="AL392" s="4">
        <f>+SUM(AI392:AK392)</f>
        <v>642.41999999999996</v>
      </c>
      <c r="AM392" s="307">
        <f>+Z392+AD392+AH392+AL392</f>
        <v>17436.419999999998</v>
      </c>
    </row>
    <row r="393" spans="1:39" ht="15.75" customHeight="1" x14ac:dyDescent="0.3">
      <c r="A393" s="72" t="s">
        <v>727</v>
      </c>
      <c r="B393" s="1">
        <v>1078</v>
      </c>
      <c r="C393" s="1">
        <v>1291</v>
      </c>
      <c r="D393" s="1">
        <v>1316</v>
      </c>
      <c r="E393" s="55">
        <f t="shared" si="154"/>
        <v>3685</v>
      </c>
      <c r="F393" s="1">
        <v>15102</v>
      </c>
      <c r="G393" s="1">
        <v>14476</v>
      </c>
      <c r="H393" s="1">
        <v>22253</v>
      </c>
      <c r="I393" s="55">
        <f t="shared" ref="I393" si="158">SUM(F393:H393)</f>
        <v>51831</v>
      </c>
      <c r="J393" s="1">
        <v>17587</v>
      </c>
      <c r="K393" s="1">
        <v>12033</v>
      </c>
      <c r="L393" s="1">
        <v>3449</v>
      </c>
      <c r="M393" s="55">
        <f t="shared" ref="M393" si="159">SUM(J393:L393)</f>
        <v>33069</v>
      </c>
      <c r="N393" s="1">
        <v>10899</v>
      </c>
      <c r="O393" s="1">
        <v>370</v>
      </c>
      <c r="P393" s="1">
        <v>356</v>
      </c>
      <c r="Q393" s="55">
        <f t="shared" si="157"/>
        <v>11625</v>
      </c>
      <c r="R393" s="55">
        <f t="shared" si="153"/>
        <v>100210</v>
      </c>
      <c r="T393" s="4" t="s">
        <v>209</v>
      </c>
      <c r="V393" s="306" t="s">
        <v>938</v>
      </c>
      <c r="W393" s="4">
        <f>+$W$387*W391</f>
        <v>780</v>
      </c>
      <c r="X393" s="4">
        <f>+$W$387*X391</f>
        <v>780</v>
      </c>
      <c r="Y393" s="4">
        <f>+$W$387*Y391</f>
        <v>3536</v>
      </c>
      <c r="Z393" s="4">
        <f>+SUM(W393:Y393)</f>
        <v>5096</v>
      </c>
      <c r="AA393" s="4">
        <f>+$W$387*AA391</f>
        <v>4940</v>
      </c>
      <c r="AB393" s="4">
        <f>+$W$387*AB391</f>
        <v>6240</v>
      </c>
      <c r="AC393" s="4">
        <f>+$W$387*AC391</f>
        <v>7020</v>
      </c>
      <c r="AD393" s="4">
        <f>+SUM(AA393:AC393)</f>
        <v>18200</v>
      </c>
      <c r="AE393" s="4">
        <f>+$W$387*AE391</f>
        <v>13260</v>
      </c>
      <c r="AF393" s="4">
        <f>+$W$387*AF391</f>
        <v>9880</v>
      </c>
      <c r="AG393" s="4">
        <f>+$W$387*AG391</f>
        <v>2080</v>
      </c>
      <c r="AH393" s="4">
        <f>+SUM(AE393:AG393)</f>
        <v>25220</v>
      </c>
      <c r="AI393" s="4">
        <f>+$W$387*AI391</f>
        <v>780</v>
      </c>
      <c r="AJ393" s="4">
        <f>+$W$387*AJ391</f>
        <v>520</v>
      </c>
      <c r="AK393" s="4">
        <f>+$W$387*AK391</f>
        <v>555.88</v>
      </c>
      <c r="AL393" s="4">
        <f>+SUM(AI393:AK393)</f>
        <v>1855.88</v>
      </c>
      <c r="AM393" s="307">
        <f>+Z393+AD393+AH393+AL393</f>
        <v>50371.88</v>
      </c>
    </row>
    <row r="394" spans="1:39" ht="15.75" customHeight="1" x14ac:dyDescent="0.3">
      <c r="A394" s="72" t="s">
        <v>943</v>
      </c>
      <c r="B394" s="1"/>
      <c r="C394" s="1"/>
      <c r="D394" s="1"/>
      <c r="E394" s="55">
        <f t="shared" ref="E394:E397" si="160">SUM(B394:D394)</f>
        <v>0</v>
      </c>
      <c r="F394" s="1"/>
      <c r="G394" s="1"/>
      <c r="H394" s="1"/>
      <c r="I394" s="55">
        <f t="shared" si="155"/>
        <v>0</v>
      </c>
      <c r="J394" s="1"/>
      <c r="K394" s="1"/>
      <c r="L394" s="1"/>
      <c r="M394" s="55">
        <f t="shared" si="156"/>
        <v>0</v>
      </c>
      <c r="N394" s="1"/>
      <c r="O394" s="1"/>
      <c r="P394" s="1"/>
      <c r="Q394" s="55">
        <f t="shared" si="157"/>
        <v>0</v>
      </c>
      <c r="R394" s="55">
        <f t="shared" si="153"/>
        <v>0</v>
      </c>
      <c r="T394" s="4" t="s">
        <v>944</v>
      </c>
      <c r="V394" s="306" t="s">
        <v>939</v>
      </c>
      <c r="W394" s="4">
        <f>+$W$388*W391</f>
        <v>450</v>
      </c>
      <c r="X394" s="4">
        <f>+$W$388*X391</f>
        <v>450</v>
      </c>
      <c r="Y394" s="4">
        <f>+$W$388*Y391</f>
        <v>2040</v>
      </c>
      <c r="Z394" s="4">
        <f>+SUM(W394:Y394)</f>
        <v>2940</v>
      </c>
      <c r="AA394" s="4">
        <f>+$W$388*AA391</f>
        <v>2850</v>
      </c>
      <c r="AB394" s="4">
        <f>+$W$388*AB391</f>
        <v>3600</v>
      </c>
      <c r="AC394" s="4">
        <f>+$W$388*AC391</f>
        <v>4050</v>
      </c>
      <c r="AD394" s="4">
        <f>+SUM(AA394:AC394)</f>
        <v>10500</v>
      </c>
      <c r="AE394" s="4">
        <f>+$W$388*AE391</f>
        <v>7650</v>
      </c>
      <c r="AF394" s="4">
        <f>+$W$388*AF391</f>
        <v>5700</v>
      </c>
      <c r="AG394" s="4">
        <f>+$W$388*AG391</f>
        <v>1200</v>
      </c>
      <c r="AH394" s="4">
        <f>+SUM(AE394:AG394)</f>
        <v>14550</v>
      </c>
      <c r="AI394" s="4">
        <f>+$W$388*AI391</f>
        <v>450</v>
      </c>
      <c r="AJ394" s="4">
        <f>+$W$388*AJ391</f>
        <v>300</v>
      </c>
      <c r="AK394" s="4">
        <f>+$W$388*AK391</f>
        <v>320.7</v>
      </c>
      <c r="AL394" s="4">
        <f>+$W$388*AL391</f>
        <v>1070.7</v>
      </c>
      <c r="AM394" s="307">
        <f>+Z394+AD394+AH394+AL394</f>
        <v>29060.7</v>
      </c>
    </row>
    <row r="395" spans="1:39" ht="15.75" customHeight="1" thickBot="1" x14ac:dyDescent="0.35">
      <c r="A395" s="72" t="s">
        <v>945</v>
      </c>
      <c r="B395" s="1"/>
      <c r="C395" s="1">
        <v>12</v>
      </c>
      <c r="D395" s="1">
        <v>454</v>
      </c>
      <c r="E395" s="55">
        <f t="shared" ref="E395" si="161">SUM(B395:D395)</f>
        <v>466</v>
      </c>
      <c r="F395" s="1">
        <v>1845</v>
      </c>
      <c r="G395" s="1">
        <v>56</v>
      </c>
      <c r="H395" s="1"/>
      <c r="I395" s="55">
        <f t="shared" ref="I395" si="162">SUM(F395:H395)</f>
        <v>1901</v>
      </c>
      <c r="J395" s="1">
        <v>48</v>
      </c>
      <c r="K395" s="1"/>
      <c r="L395" s="1"/>
      <c r="M395" s="55">
        <f t="shared" ref="M395" si="163">SUM(J395:L395)</f>
        <v>48</v>
      </c>
      <c r="N395" s="1"/>
      <c r="O395" s="1"/>
      <c r="P395" s="1"/>
      <c r="Q395" s="55">
        <f t="shared" si="157"/>
        <v>0</v>
      </c>
      <c r="R395" s="55">
        <f t="shared" si="153"/>
        <v>2415</v>
      </c>
      <c r="T395" s="4" t="s">
        <v>214</v>
      </c>
      <c r="V395" s="311"/>
      <c r="W395" s="312"/>
      <c r="X395" s="312"/>
      <c r="Y395" s="312"/>
      <c r="Z395" s="312"/>
      <c r="AA395" s="312"/>
      <c r="AB395" s="312"/>
      <c r="AC395" s="312"/>
      <c r="AD395" s="312"/>
      <c r="AE395" s="312"/>
      <c r="AF395" s="312"/>
      <c r="AG395" s="312"/>
      <c r="AH395" s="312"/>
      <c r="AI395" s="312"/>
      <c r="AJ395" s="312"/>
      <c r="AK395" s="312"/>
      <c r="AL395" s="312"/>
      <c r="AM395" s="313"/>
    </row>
    <row r="396" spans="1:39" s="355" customFormat="1" ht="15.75" customHeight="1" x14ac:dyDescent="0.3">
      <c r="A396" s="467" t="s">
        <v>1215</v>
      </c>
      <c r="B396" s="301"/>
      <c r="C396" s="301"/>
      <c r="D396" s="301"/>
      <c r="E396" s="302">
        <f t="shared" si="160"/>
        <v>0</v>
      </c>
      <c r="F396" s="301"/>
      <c r="G396" s="301"/>
      <c r="H396" s="301"/>
      <c r="I396" s="302">
        <f t="shared" si="155"/>
        <v>0</v>
      </c>
      <c r="J396" s="301"/>
      <c r="K396" s="301"/>
      <c r="L396" s="301"/>
      <c r="M396" s="302">
        <f t="shared" si="156"/>
        <v>0</v>
      </c>
      <c r="N396" s="301">
        <v>-5000</v>
      </c>
      <c r="O396" s="301"/>
      <c r="P396" s="301">
        <v>5000</v>
      </c>
      <c r="Q396" s="302">
        <f t="shared" ref="Q396" si="164">SUM(N396:P396)</f>
        <v>0</v>
      </c>
      <c r="R396" s="302">
        <f t="shared" si="153"/>
        <v>0</v>
      </c>
    </row>
    <row r="397" spans="1:39" ht="15.75" customHeight="1" x14ac:dyDescent="0.3">
      <c r="A397" s="72" t="s">
        <v>946</v>
      </c>
      <c r="B397" s="1"/>
      <c r="C397" s="1"/>
      <c r="D397" s="1"/>
      <c r="E397" s="55">
        <f t="shared" si="160"/>
        <v>0</v>
      </c>
      <c r="F397" s="1"/>
      <c r="G397" s="1"/>
      <c r="H397" s="1"/>
      <c r="I397" s="55">
        <f t="shared" si="155"/>
        <v>0</v>
      </c>
      <c r="J397" s="1"/>
      <c r="K397" s="1"/>
      <c r="L397" s="1"/>
      <c r="M397" s="55">
        <f t="shared" si="156"/>
        <v>0</v>
      </c>
      <c r="N397" s="1">
        <v>1</v>
      </c>
      <c r="O397" s="1"/>
      <c r="P397" s="1"/>
      <c r="Q397" s="55">
        <f t="shared" si="157"/>
        <v>1</v>
      </c>
      <c r="R397" s="55">
        <f t="shared" si="153"/>
        <v>1</v>
      </c>
      <c r="T397" s="4" t="s">
        <v>224</v>
      </c>
    </row>
    <row r="398" spans="1:39" ht="15.75" customHeight="1" x14ac:dyDescent="0.3">
      <c r="A398" s="72" t="s">
        <v>252</v>
      </c>
      <c r="B398" s="1"/>
      <c r="C398" s="1">
        <v>53</v>
      </c>
      <c r="D398" s="1"/>
      <c r="E398" s="55">
        <f t="shared" ref="E398" si="165">SUM(B398:D398)</f>
        <v>53</v>
      </c>
      <c r="F398" s="1">
        <v>97</v>
      </c>
      <c r="G398" s="1"/>
      <c r="H398" s="1"/>
      <c r="I398" s="55">
        <f t="shared" ref="I398" si="166">SUM(F398:H398)</f>
        <v>97</v>
      </c>
      <c r="J398" s="1">
        <v>256</v>
      </c>
      <c r="K398" s="1">
        <v>288</v>
      </c>
      <c r="L398" s="1">
        <f>60+1293+154</f>
        <v>1507</v>
      </c>
      <c r="M398" s="55">
        <f t="shared" ref="M398" si="167">SUM(J398:L398)</f>
        <v>2051</v>
      </c>
      <c r="N398" s="1">
        <v>799</v>
      </c>
      <c r="O398" s="1"/>
      <c r="P398" s="1"/>
      <c r="Q398" s="55">
        <f t="shared" si="157"/>
        <v>799</v>
      </c>
      <c r="R398" s="55">
        <f t="shared" si="153"/>
        <v>3000</v>
      </c>
    </row>
    <row r="399" spans="1:39" ht="15.75" customHeight="1" thickBot="1" x14ac:dyDescent="0.35">
      <c r="A399" s="15" t="s">
        <v>58</v>
      </c>
      <c r="B399" s="1"/>
      <c r="C399" s="1"/>
      <c r="D399" s="1"/>
      <c r="E399" s="55" t="s">
        <v>7</v>
      </c>
      <c r="F399" s="1"/>
      <c r="G399" s="1"/>
      <c r="H399" s="1"/>
      <c r="I399" s="55" t="s">
        <v>7</v>
      </c>
      <c r="J399" s="1"/>
      <c r="K399" s="1"/>
      <c r="L399" s="1"/>
      <c r="M399" s="55" t="s">
        <v>7</v>
      </c>
      <c r="N399" s="1"/>
      <c r="O399" s="1"/>
      <c r="P399" s="1"/>
      <c r="Q399" s="55" t="s">
        <v>7</v>
      </c>
      <c r="R399" s="55" t="s">
        <v>7</v>
      </c>
    </row>
    <row r="400" spans="1:39" ht="16.5" customHeight="1" thickBot="1" x14ac:dyDescent="0.35">
      <c r="A400" s="57" t="s">
        <v>59</v>
      </c>
      <c r="B400" s="86">
        <f>SUM(B387:B399)</f>
        <v>1282</v>
      </c>
      <c r="C400" s="87">
        <f>SUM(C387:C399)</f>
        <v>1578</v>
      </c>
      <c r="D400" s="87">
        <f>SUM(D387:D399)</f>
        <v>4303</v>
      </c>
      <c r="E400" s="59">
        <f>SUM(B400:D400)</f>
        <v>7163</v>
      </c>
      <c r="F400" s="87">
        <f>SUM(F387:F399)</f>
        <v>23695</v>
      </c>
      <c r="G400" s="87">
        <f>SUM(G387:G399)</f>
        <v>17395</v>
      </c>
      <c r="H400" s="87">
        <f>SUM(H387:H399)</f>
        <v>32214</v>
      </c>
      <c r="I400" s="59">
        <f>SUM(F400:H400)</f>
        <v>73304</v>
      </c>
      <c r="J400" s="87">
        <f>SUM(J387:J399)</f>
        <v>32115</v>
      </c>
      <c r="K400" s="87">
        <f>SUM(K387:K399)</f>
        <v>22828</v>
      </c>
      <c r="L400" s="87">
        <f>SUM(L387:L399)</f>
        <v>8199</v>
      </c>
      <c r="M400" s="59">
        <f>SUM(J400:L400)</f>
        <v>63142</v>
      </c>
      <c r="N400" s="87">
        <f>SUM(N387:N399)</f>
        <v>6699</v>
      </c>
      <c r="O400" s="87">
        <f>SUM(O387:O399)</f>
        <v>370</v>
      </c>
      <c r="P400" s="87">
        <f>SUM(P387:P399)</f>
        <v>5356</v>
      </c>
      <c r="Q400" s="59">
        <f>SUM(N400:P400)</f>
        <v>12425</v>
      </c>
      <c r="R400" s="59">
        <f>+E400+I400+M400+Q400</f>
        <v>156034</v>
      </c>
    </row>
    <row r="401" spans="1:20" ht="15.75" customHeight="1" x14ac:dyDescent="0.3">
      <c r="A401" s="15" t="s">
        <v>60</v>
      </c>
      <c r="B401" s="1"/>
      <c r="C401" s="1"/>
      <c r="D401" s="1"/>
      <c r="E401" s="55" t="s">
        <v>7</v>
      </c>
      <c r="F401" s="1"/>
      <c r="G401" s="1"/>
      <c r="H401" s="1"/>
      <c r="I401" s="55" t="s">
        <v>7</v>
      </c>
      <c r="J401" s="1"/>
      <c r="K401" s="1"/>
      <c r="L401" s="1"/>
      <c r="M401" s="55" t="s">
        <v>7</v>
      </c>
      <c r="N401" s="1"/>
      <c r="O401" s="1"/>
      <c r="P401" s="1"/>
      <c r="Q401" s="55" t="s">
        <v>7</v>
      </c>
      <c r="R401" s="55" t="s">
        <v>7</v>
      </c>
    </row>
    <row r="402" spans="1:20" ht="15.75" customHeight="1" x14ac:dyDescent="0.3">
      <c r="A402" s="15" t="s">
        <v>61</v>
      </c>
      <c r="B402" s="1"/>
      <c r="C402" s="1"/>
      <c r="D402" s="1"/>
      <c r="E402" s="55" t="s">
        <v>7</v>
      </c>
      <c r="F402" s="1"/>
      <c r="G402" s="1"/>
      <c r="H402" s="1"/>
      <c r="I402" s="55" t="s">
        <v>7</v>
      </c>
      <c r="J402" s="1"/>
      <c r="K402" s="1"/>
      <c r="L402" s="1"/>
      <c r="M402" s="55" t="s">
        <v>7</v>
      </c>
      <c r="N402" s="1"/>
      <c r="O402" s="1"/>
      <c r="P402" s="1"/>
      <c r="Q402" s="55" t="s">
        <v>7</v>
      </c>
      <c r="R402" s="55" t="s">
        <v>7</v>
      </c>
    </row>
    <row r="403" spans="1:20" ht="15.75" customHeight="1" x14ac:dyDescent="0.3">
      <c r="A403" s="72" t="s">
        <v>254</v>
      </c>
      <c r="B403" s="1">
        <v>431</v>
      </c>
      <c r="C403" s="1">
        <v>2533</v>
      </c>
      <c r="D403" s="1">
        <v>5731</v>
      </c>
      <c r="E403" s="55">
        <f>SUM(B403:D403)</f>
        <v>8695</v>
      </c>
      <c r="F403" s="1">
        <v>8808</v>
      </c>
      <c r="G403" s="1">
        <v>10272</v>
      </c>
      <c r="H403" s="1">
        <v>11718</v>
      </c>
      <c r="I403" s="55">
        <f>SUM(F403:H403)</f>
        <v>30798</v>
      </c>
      <c r="J403" s="1">
        <v>11648</v>
      </c>
      <c r="K403" s="1">
        <v>9985</v>
      </c>
      <c r="L403" s="1">
        <v>5320</v>
      </c>
      <c r="M403" s="55">
        <f>SUM(J403:L403)</f>
        <v>26953</v>
      </c>
      <c r="N403" s="1">
        <v>3975</v>
      </c>
      <c r="O403" s="1">
        <v>2221</v>
      </c>
      <c r="P403" s="1">
        <v>512</v>
      </c>
      <c r="Q403" s="55">
        <f>SUM(N403:P403)</f>
        <v>6708</v>
      </c>
      <c r="R403" s="55">
        <f>+E403+I403+M403+Q403</f>
        <v>73154</v>
      </c>
      <c r="T403" s="4" t="s">
        <v>209</v>
      </c>
    </row>
    <row r="404" spans="1:20" ht="15.75" customHeight="1" x14ac:dyDescent="0.3">
      <c r="A404" s="72" t="s">
        <v>947</v>
      </c>
      <c r="B404" s="1">
        <f>41+127</f>
        <v>168</v>
      </c>
      <c r="C404" s="1">
        <f>895+103</f>
        <v>998</v>
      </c>
      <c r="D404" s="1">
        <f>623+355</f>
        <v>978</v>
      </c>
      <c r="E404" s="55">
        <f>SUM(B404:D404)</f>
        <v>2144</v>
      </c>
      <c r="F404" s="1">
        <f>1860+1303</f>
        <v>3163</v>
      </c>
      <c r="G404" s="1">
        <f>1570+2395</f>
        <v>3965</v>
      </c>
      <c r="H404" s="1">
        <f>2044+258</f>
        <v>2302</v>
      </c>
      <c r="I404" s="55">
        <f>SUM(F404:H404)</f>
        <v>9430</v>
      </c>
      <c r="J404" s="1">
        <f>2602+183</f>
        <v>2785</v>
      </c>
      <c r="K404" s="1">
        <f>2592+183</f>
        <v>2775</v>
      </c>
      <c r="L404" s="1">
        <f>2174+386</f>
        <v>2560</v>
      </c>
      <c r="M404" s="55">
        <f>SUM(J404:L404)</f>
        <v>8120</v>
      </c>
      <c r="N404" s="1">
        <v>5495</v>
      </c>
      <c r="O404" s="1"/>
      <c r="P404" s="1">
        <v>4609</v>
      </c>
      <c r="Q404" s="55">
        <f>SUM(N404:P404)</f>
        <v>10104</v>
      </c>
      <c r="R404" s="55">
        <f>+E404+I404+M404+Q404</f>
        <v>29798</v>
      </c>
      <c r="T404" s="4" t="s">
        <v>256</v>
      </c>
    </row>
    <row r="405" spans="1:20" ht="15.75" customHeight="1" x14ac:dyDescent="0.3">
      <c r="A405" s="15" t="s">
        <v>62</v>
      </c>
      <c r="B405" s="1"/>
      <c r="C405" s="1"/>
      <c r="D405" s="1"/>
      <c r="E405" s="55" t="s">
        <v>7</v>
      </c>
      <c r="F405" s="1"/>
      <c r="G405" s="1"/>
      <c r="H405" s="1"/>
      <c r="I405" s="55" t="s">
        <v>7</v>
      </c>
      <c r="J405" s="1"/>
      <c r="K405" s="1"/>
      <c r="L405" s="1"/>
      <c r="M405" s="55" t="s">
        <v>7</v>
      </c>
      <c r="N405" s="1"/>
      <c r="O405" s="1"/>
      <c r="P405" s="1"/>
      <c r="Q405" s="55" t="s">
        <v>7</v>
      </c>
      <c r="R405" s="55" t="s">
        <v>7</v>
      </c>
    </row>
    <row r="406" spans="1:20" ht="15.75" customHeight="1" x14ac:dyDescent="0.3">
      <c r="A406" s="72" t="s">
        <v>1216</v>
      </c>
      <c r="B406" s="1"/>
      <c r="C406" s="1"/>
      <c r="D406" s="1"/>
      <c r="E406" s="55">
        <f>SUM(B406:D406)</f>
        <v>0</v>
      </c>
      <c r="F406" s="1"/>
      <c r="G406" s="1"/>
      <c r="H406" s="1"/>
      <c r="I406" s="55">
        <f>SUM(F406:H406)</f>
        <v>0</v>
      </c>
      <c r="J406" s="1">
        <v>2056</v>
      </c>
      <c r="K406" s="1">
        <v>3944</v>
      </c>
      <c r="L406" s="1"/>
      <c r="M406" s="55">
        <f>SUM(J406:L406)</f>
        <v>6000</v>
      </c>
      <c r="N406" s="1"/>
      <c r="O406" s="1"/>
      <c r="P406" s="1"/>
      <c r="Q406" s="55">
        <f>SUM(N406:P406)</f>
        <v>0</v>
      </c>
      <c r="R406" s="55">
        <f t="shared" ref="R406:R457" si="168">+E406+I406+M406+Q406</f>
        <v>6000</v>
      </c>
    </row>
    <row r="407" spans="1:20" ht="15.75" customHeight="1" x14ac:dyDescent="0.3">
      <c r="A407" s="72" t="s">
        <v>1360</v>
      </c>
      <c r="B407" s="1"/>
      <c r="C407" s="1"/>
      <c r="D407" s="1"/>
      <c r="E407" s="55">
        <f>SUM(B407:D407)</f>
        <v>0</v>
      </c>
      <c r="F407" s="1"/>
      <c r="G407" s="1"/>
      <c r="H407" s="1"/>
      <c r="I407" s="55">
        <f>SUM(F407:H407)</f>
        <v>0</v>
      </c>
      <c r="J407" s="1">
        <v>1613</v>
      </c>
      <c r="K407" s="1"/>
      <c r="L407" s="1"/>
      <c r="M407" s="55">
        <f>SUM(J407:L407)</f>
        <v>1613</v>
      </c>
      <c r="N407" s="1"/>
      <c r="O407" s="1"/>
      <c r="P407" s="1"/>
      <c r="Q407" s="55">
        <f>SUM(N407:P407)</f>
        <v>0</v>
      </c>
      <c r="R407" s="55">
        <f t="shared" si="168"/>
        <v>1613</v>
      </c>
    </row>
    <row r="408" spans="1:20" ht="15.75" customHeight="1" x14ac:dyDescent="0.3">
      <c r="A408" s="72" t="s">
        <v>1361</v>
      </c>
      <c r="B408" s="1"/>
      <c r="C408" s="1"/>
      <c r="D408" s="1"/>
      <c r="E408" s="55">
        <f t="shared" ref="E408:E411" si="169">SUM(B408:D408)</f>
        <v>0</v>
      </c>
      <c r="F408" s="1"/>
      <c r="G408" s="1"/>
      <c r="H408" s="1"/>
      <c r="I408" s="55">
        <f t="shared" ref="I408:I458" si="170">SUM(F408:H408)</f>
        <v>0</v>
      </c>
      <c r="J408" s="1"/>
      <c r="K408" s="1"/>
      <c r="L408" s="1"/>
      <c r="M408" s="55">
        <f t="shared" ref="M408:M458" si="171">SUM(J408:L408)</f>
        <v>0</v>
      </c>
      <c r="N408" s="1"/>
      <c r="O408" s="1"/>
      <c r="P408" s="1"/>
      <c r="Q408" s="55">
        <f t="shared" ref="Q408:Q458" si="172">SUM(N408:P408)</f>
        <v>0</v>
      </c>
      <c r="R408" s="55">
        <f t="shared" si="168"/>
        <v>0</v>
      </c>
    </row>
    <row r="409" spans="1:20" ht="15.75" customHeight="1" x14ac:dyDescent="0.3">
      <c r="A409" s="72" t="s">
        <v>948</v>
      </c>
      <c r="B409" s="1"/>
      <c r="C409" s="1"/>
      <c r="D409" s="1"/>
      <c r="E409" s="55">
        <f t="shared" si="169"/>
        <v>0</v>
      </c>
      <c r="F409" s="1">
        <v>72</v>
      </c>
      <c r="G409" s="1"/>
      <c r="H409" s="1"/>
      <c r="I409" s="55">
        <f t="shared" si="170"/>
        <v>72</v>
      </c>
      <c r="J409" s="1"/>
      <c r="K409" s="1"/>
      <c r="L409" s="1"/>
      <c r="M409" s="55">
        <f t="shared" si="171"/>
        <v>0</v>
      </c>
      <c r="N409" s="1"/>
      <c r="O409" s="1"/>
      <c r="P409" s="1"/>
      <c r="Q409" s="55">
        <f t="shared" si="172"/>
        <v>0</v>
      </c>
      <c r="R409" s="55">
        <f t="shared" si="168"/>
        <v>72</v>
      </c>
      <c r="T409" s="4" t="s">
        <v>241</v>
      </c>
    </row>
    <row r="410" spans="1:20" ht="15.75" customHeight="1" x14ac:dyDescent="0.3">
      <c r="A410" s="72" t="s">
        <v>949</v>
      </c>
      <c r="B410" s="1">
        <v>1167</v>
      </c>
      <c r="C410" s="1"/>
      <c r="D410" s="1"/>
      <c r="E410" s="55">
        <f t="shared" si="169"/>
        <v>1167</v>
      </c>
      <c r="F410" s="1"/>
      <c r="G410" s="1"/>
      <c r="H410" s="1"/>
      <c r="I410" s="55">
        <f t="shared" si="170"/>
        <v>0</v>
      </c>
      <c r="J410" s="1"/>
      <c r="K410" s="1"/>
      <c r="L410" s="1"/>
      <c r="M410" s="55">
        <f t="shared" si="171"/>
        <v>0</v>
      </c>
      <c r="N410" s="1"/>
      <c r="O410" s="1"/>
      <c r="P410" s="1"/>
      <c r="Q410" s="55">
        <f t="shared" si="172"/>
        <v>0</v>
      </c>
      <c r="R410" s="55">
        <f t="shared" si="168"/>
        <v>1167</v>
      </c>
      <c r="T410" s="4" t="s">
        <v>919</v>
      </c>
    </row>
    <row r="411" spans="1:20" ht="15.75" customHeight="1" x14ac:dyDescent="0.3">
      <c r="A411" s="72" t="s">
        <v>950</v>
      </c>
      <c r="B411" s="1"/>
      <c r="C411" s="1"/>
      <c r="D411" s="1"/>
      <c r="E411" s="55">
        <f t="shared" si="169"/>
        <v>0</v>
      </c>
      <c r="F411" s="1"/>
      <c r="G411" s="1"/>
      <c r="H411" s="1"/>
      <c r="I411" s="55">
        <f t="shared" si="170"/>
        <v>0</v>
      </c>
      <c r="J411" s="1"/>
      <c r="K411" s="1"/>
      <c r="L411" s="1"/>
      <c r="M411" s="55">
        <f t="shared" si="171"/>
        <v>0</v>
      </c>
      <c r="N411" s="1"/>
      <c r="O411" s="1"/>
      <c r="P411" s="1"/>
      <c r="Q411" s="55">
        <f t="shared" si="172"/>
        <v>0</v>
      </c>
      <c r="R411" s="55">
        <f t="shared" si="168"/>
        <v>0</v>
      </c>
      <c r="T411" s="4" t="s">
        <v>241</v>
      </c>
    </row>
    <row r="412" spans="1:20" ht="15.75" customHeight="1" x14ac:dyDescent="0.3">
      <c r="A412" s="72" t="s">
        <v>149</v>
      </c>
      <c r="B412" s="1"/>
      <c r="C412" s="1"/>
      <c r="D412" s="1"/>
      <c r="E412" s="55">
        <f t="shared" ref="E412:E458" si="173">SUM(B412:D412)</f>
        <v>0</v>
      </c>
      <c r="F412" s="1">
        <v>627</v>
      </c>
      <c r="G412" s="1"/>
      <c r="H412" s="1"/>
      <c r="I412" s="55">
        <f t="shared" si="170"/>
        <v>627</v>
      </c>
      <c r="J412" s="1"/>
      <c r="K412" s="1"/>
      <c r="L412" s="1"/>
      <c r="M412" s="55">
        <f t="shared" si="171"/>
        <v>0</v>
      </c>
      <c r="N412" s="1"/>
      <c r="O412" s="1"/>
      <c r="P412" s="1"/>
      <c r="Q412" s="55">
        <f t="shared" si="172"/>
        <v>0</v>
      </c>
      <c r="R412" s="55">
        <f t="shared" si="168"/>
        <v>627</v>
      </c>
    </row>
    <row r="413" spans="1:20" ht="15.75" customHeight="1" x14ac:dyDescent="0.3">
      <c r="A413" s="72" t="s">
        <v>1303</v>
      </c>
      <c r="B413" s="1"/>
      <c r="C413" s="1"/>
      <c r="D413" s="1"/>
      <c r="E413" s="55">
        <f t="shared" si="173"/>
        <v>0</v>
      </c>
      <c r="F413" s="1"/>
      <c r="G413" s="1"/>
      <c r="H413" s="1"/>
      <c r="I413" s="55">
        <f t="shared" si="170"/>
        <v>0</v>
      </c>
      <c r="J413" s="1"/>
      <c r="K413" s="1"/>
      <c r="L413" s="1"/>
      <c r="M413" s="55">
        <f t="shared" si="171"/>
        <v>0</v>
      </c>
      <c r="N413" s="1"/>
      <c r="O413" s="1"/>
      <c r="P413" s="1"/>
      <c r="Q413" s="55">
        <f t="shared" si="172"/>
        <v>0</v>
      </c>
      <c r="R413" s="55">
        <f t="shared" si="168"/>
        <v>0</v>
      </c>
    </row>
    <row r="414" spans="1:20" ht="15.75" customHeight="1" x14ac:dyDescent="0.3">
      <c r="A414" s="72" t="s">
        <v>951</v>
      </c>
      <c r="B414" s="1"/>
      <c r="C414" s="1"/>
      <c r="D414" s="1"/>
      <c r="E414" s="55">
        <f t="shared" si="173"/>
        <v>0</v>
      </c>
      <c r="F414" s="1"/>
      <c r="G414" s="1"/>
      <c r="H414" s="1"/>
      <c r="I414" s="55">
        <f t="shared" si="170"/>
        <v>0</v>
      </c>
      <c r="J414" s="1"/>
      <c r="K414" s="1"/>
      <c r="L414" s="1"/>
      <c r="M414" s="55">
        <f t="shared" si="171"/>
        <v>0</v>
      </c>
      <c r="N414" s="1"/>
      <c r="O414" s="1"/>
      <c r="P414" s="1"/>
      <c r="Q414" s="55">
        <f t="shared" si="172"/>
        <v>0</v>
      </c>
      <c r="R414" s="55">
        <f>+E414+I414+M414+Q414</f>
        <v>0</v>
      </c>
      <c r="T414" s="4" t="s">
        <v>224</v>
      </c>
    </row>
    <row r="415" spans="1:20" ht="15.75" customHeight="1" x14ac:dyDescent="0.3">
      <c r="A415" s="72" t="s">
        <v>952</v>
      </c>
      <c r="B415" s="1"/>
      <c r="C415" s="1"/>
      <c r="D415" s="1"/>
      <c r="E415" s="55">
        <f t="shared" si="173"/>
        <v>0</v>
      </c>
      <c r="F415" s="1"/>
      <c r="G415" s="1"/>
      <c r="H415" s="1"/>
      <c r="I415" s="55">
        <f t="shared" si="170"/>
        <v>0</v>
      </c>
      <c r="J415" s="1"/>
      <c r="K415" s="1"/>
      <c r="L415" s="1"/>
      <c r="M415" s="55">
        <f t="shared" si="171"/>
        <v>0</v>
      </c>
      <c r="N415" s="1"/>
      <c r="O415" s="1"/>
      <c r="P415" s="1"/>
      <c r="Q415" s="55">
        <f t="shared" si="172"/>
        <v>0</v>
      </c>
      <c r="R415" s="55">
        <f t="shared" si="168"/>
        <v>0</v>
      </c>
      <c r="T415" s="4" t="s">
        <v>209</v>
      </c>
    </row>
    <row r="416" spans="1:20" ht="15.75" customHeight="1" x14ac:dyDescent="0.3">
      <c r="A416" s="72" t="s">
        <v>953</v>
      </c>
      <c r="B416" s="1"/>
      <c r="C416" s="1">
        <f>142+68</f>
        <v>210</v>
      </c>
      <c r="D416" s="1">
        <f>138+459+4</f>
        <v>601</v>
      </c>
      <c r="E416" s="55">
        <f t="shared" si="173"/>
        <v>811</v>
      </c>
      <c r="F416" s="1">
        <f>1871+1054</f>
        <v>2925</v>
      </c>
      <c r="G416" s="1">
        <f>144+32+752</f>
        <v>928</v>
      </c>
      <c r="H416" s="1">
        <f>3068</f>
        <v>3068</v>
      </c>
      <c r="I416" s="55">
        <f t="shared" si="170"/>
        <v>6921</v>
      </c>
      <c r="J416" s="1">
        <f>613+2697</f>
        <v>3310</v>
      </c>
      <c r="K416" s="1">
        <f>1180+233+2995</f>
        <v>4408</v>
      </c>
      <c r="L416" s="1">
        <f>683+776+1654</f>
        <v>3113</v>
      </c>
      <c r="M416" s="55">
        <f t="shared" si="171"/>
        <v>10831</v>
      </c>
      <c r="N416" s="1">
        <v>4000</v>
      </c>
      <c r="O416" s="1"/>
      <c r="P416" s="1">
        <v>1437</v>
      </c>
      <c r="Q416" s="55">
        <f t="shared" si="172"/>
        <v>5437</v>
      </c>
      <c r="R416" s="55">
        <f t="shared" si="168"/>
        <v>24000</v>
      </c>
    </row>
    <row r="417" spans="1:20" ht="15.75" customHeight="1" x14ac:dyDescent="0.3">
      <c r="A417" s="72" t="s">
        <v>641</v>
      </c>
      <c r="B417" s="1"/>
      <c r="C417" s="1"/>
      <c r="D417" s="1">
        <v>1050</v>
      </c>
      <c r="E417" s="55">
        <f t="shared" si="173"/>
        <v>1050</v>
      </c>
      <c r="F417" s="1">
        <v>1060</v>
      </c>
      <c r="G417" s="1">
        <v>1670</v>
      </c>
      <c r="H417" s="1">
        <v>2010</v>
      </c>
      <c r="I417" s="55">
        <f t="shared" si="170"/>
        <v>4740</v>
      </c>
      <c r="J417" s="1">
        <v>210</v>
      </c>
      <c r="K417" s="1"/>
      <c r="L417" s="1">
        <v>2500</v>
      </c>
      <c r="M417" s="55">
        <f t="shared" si="171"/>
        <v>2710</v>
      </c>
      <c r="N417" s="1">
        <v>6738</v>
      </c>
      <c r="O417" s="1"/>
      <c r="P417" s="1">
        <v>443</v>
      </c>
      <c r="Q417" s="55">
        <f t="shared" si="172"/>
        <v>7181</v>
      </c>
      <c r="R417" s="55">
        <f t="shared" si="168"/>
        <v>15681</v>
      </c>
      <c r="T417" s="4" t="s">
        <v>209</v>
      </c>
    </row>
    <row r="418" spans="1:20" ht="15.75" customHeight="1" x14ac:dyDescent="0.3">
      <c r="A418" s="72" t="s">
        <v>640</v>
      </c>
      <c r="B418" s="1"/>
      <c r="C418" s="1"/>
      <c r="D418" s="1"/>
      <c r="E418" s="55">
        <f t="shared" si="173"/>
        <v>0</v>
      </c>
      <c r="F418" s="1"/>
      <c r="G418" s="1"/>
      <c r="H418" s="1"/>
      <c r="I418" s="55">
        <f t="shared" si="170"/>
        <v>0</v>
      </c>
      <c r="J418" s="1"/>
      <c r="K418" s="1">
        <v>4321</v>
      </c>
      <c r="L418" s="1">
        <f>4882+368</f>
        <v>5250</v>
      </c>
      <c r="M418" s="55">
        <f t="shared" si="171"/>
        <v>9571</v>
      </c>
      <c r="N418" s="1">
        <v>5429</v>
      </c>
      <c r="O418" s="1"/>
      <c r="P418" s="1"/>
      <c r="Q418" s="55">
        <f t="shared" si="172"/>
        <v>5429</v>
      </c>
      <c r="R418" s="55">
        <f t="shared" si="168"/>
        <v>15000</v>
      </c>
    </row>
    <row r="419" spans="1:20" ht="15.75" customHeight="1" x14ac:dyDescent="0.3">
      <c r="A419" s="72" t="s">
        <v>954</v>
      </c>
      <c r="B419" s="1">
        <v>1099</v>
      </c>
      <c r="C419" s="1">
        <v>850</v>
      </c>
      <c r="D419" s="1">
        <v>1281</v>
      </c>
      <c r="E419" s="55">
        <f t="shared" si="173"/>
        <v>3230</v>
      </c>
      <c r="F419" s="1">
        <v>5635</v>
      </c>
      <c r="G419" s="1">
        <v>5628</v>
      </c>
      <c r="H419" s="1">
        <v>6362</v>
      </c>
      <c r="I419" s="55">
        <f t="shared" si="170"/>
        <v>17625</v>
      </c>
      <c r="J419" s="1">
        <v>595</v>
      </c>
      <c r="K419" s="1"/>
      <c r="L419" s="1"/>
      <c r="M419" s="55">
        <f t="shared" si="171"/>
        <v>595</v>
      </c>
      <c r="N419" s="1"/>
      <c r="O419" s="1"/>
      <c r="P419" s="1"/>
      <c r="Q419" s="55">
        <f t="shared" si="172"/>
        <v>0</v>
      </c>
      <c r="R419" s="55">
        <f t="shared" si="168"/>
        <v>21450</v>
      </c>
    </row>
    <row r="420" spans="1:20" ht="15.75" customHeight="1" x14ac:dyDescent="0.3">
      <c r="A420" s="72" t="s">
        <v>1218</v>
      </c>
      <c r="B420" s="1"/>
      <c r="C420" s="1"/>
      <c r="D420" s="1"/>
      <c r="E420" s="55">
        <f t="shared" si="173"/>
        <v>0</v>
      </c>
      <c r="F420" s="1"/>
      <c r="G420" s="1"/>
      <c r="H420" s="1"/>
      <c r="I420" s="55">
        <f t="shared" si="170"/>
        <v>0</v>
      </c>
      <c r="J420" s="1"/>
      <c r="K420" s="1"/>
      <c r="L420" s="1"/>
      <c r="M420" s="55">
        <f t="shared" si="171"/>
        <v>0</v>
      </c>
      <c r="N420" s="1"/>
      <c r="O420" s="1"/>
      <c r="P420" s="1"/>
      <c r="Q420" s="55">
        <f t="shared" ref="Q420" si="174">SUM(N420:P420)</f>
        <v>0</v>
      </c>
      <c r="R420" s="55">
        <f t="shared" si="168"/>
        <v>0</v>
      </c>
    </row>
    <row r="421" spans="1:20" ht="15.75" customHeight="1" x14ac:dyDescent="0.3">
      <c r="A421" s="72" t="s">
        <v>955</v>
      </c>
      <c r="B421" s="1">
        <v>116</v>
      </c>
      <c r="C421" s="1">
        <f>107+1</f>
        <v>108</v>
      </c>
      <c r="D421" s="1">
        <f>121+11</f>
        <v>132</v>
      </c>
      <c r="E421" s="55">
        <f t="shared" si="173"/>
        <v>356</v>
      </c>
      <c r="F421" s="1">
        <f>117+1+2</f>
        <v>120</v>
      </c>
      <c r="G421" s="1">
        <f>118+1</f>
        <v>119</v>
      </c>
      <c r="H421" s="1">
        <f>118+1+2</f>
        <v>121</v>
      </c>
      <c r="I421" s="55">
        <f t="shared" si="170"/>
        <v>360</v>
      </c>
      <c r="J421" s="1">
        <f>134+1+1-52</f>
        <v>84</v>
      </c>
      <c r="K421" s="1"/>
      <c r="L421" s="1"/>
      <c r="M421" s="55">
        <f t="shared" si="171"/>
        <v>84</v>
      </c>
      <c r="N421" s="1"/>
      <c r="O421" s="1"/>
      <c r="P421" s="1"/>
      <c r="Q421" s="55">
        <f t="shared" si="172"/>
        <v>0</v>
      </c>
      <c r="R421" s="55">
        <f t="shared" si="168"/>
        <v>800</v>
      </c>
    </row>
    <row r="422" spans="1:20" ht="15.75" customHeight="1" x14ac:dyDescent="0.3">
      <c r="A422" s="72" t="s">
        <v>956</v>
      </c>
      <c r="B422" s="1"/>
      <c r="C422" s="1">
        <v>3536</v>
      </c>
      <c r="D422" s="1">
        <v>6783</v>
      </c>
      <c r="E422" s="55">
        <f t="shared" si="173"/>
        <v>10319</v>
      </c>
      <c r="F422" s="1"/>
      <c r="G422" s="1"/>
      <c r="H422" s="1"/>
      <c r="I422" s="55">
        <f t="shared" si="170"/>
        <v>0</v>
      </c>
      <c r="J422" s="1"/>
      <c r="K422" s="1"/>
      <c r="L422" s="1"/>
      <c r="M422" s="55">
        <f t="shared" si="171"/>
        <v>0</v>
      </c>
      <c r="N422" s="1"/>
      <c r="O422" s="1"/>
      <c r="P422" s="1"/>
      <c r="Q422" s="55">
        <f t="shared" si="172"/>
        <v>0</v>
      </c>
      <c r="R422" s="55">
        <f t="shared" si="168"/>
        <v>10319</v>
      </c>
      <c r="T422" s="4" t="s">
        <v>241</v>
      </c>
    </row>
    <row r="423" spans="1:20" ht="15.75" customHeight="1" x14ac:dyDescent="0.3">
      <c r="A423" s="72" t="s">
        <v>957</v>
      </c>
      <c r="B423" s="1">
        <v>4</v>
      </c>
      <c r="C423" s="1">
        <v>33</v>
      </c>
      <c r="D423" s="1">
        <v>19</v>
      </c>
      <c r="E423" s="55">
        <f t="shared" si="173"/>
        <v>56</v>
      </c>
      <c r="F423" s="1">
        <v>18</v>
      </c>
      <c r="G423" s="1">
        <v>18</v>
      </c>
      <c r="H423" s="1">
        <v>18</v>
      </c>
      <c r="I423" s="55">
        <f t="shared" si="170"/>
        <v>54</v>
      </c>
      <c r="J423" s="1">
        <v>18</v>
      </c>
      <c r="K423" s="1">
        <v>24</v>
      </c>
      <c r="L423" s="1">
        <v>18</v>
      </c>
      <c r="M423" s="55">
        <f t="shared" si="171"/>
        <v>60</v>
      </c>
      <c r="N423" s="1">
        <v>23</v>
      </c>
      <c r="O423" s="1">
        <v>16</v>
      </c>
      <c r="P423" s="1">
        <v>141</v>
      </c>
      <c r="Q423" s="55">
        <f t="shared" si="172"/>
        <v>180</v>
      </c>
      <c r="R423" s="55">
        <f t="shared" si="168"/>
        <v>350</v>
      </c>
      <c r="T423" s="4" t="s">
        <v>220</v>
      </c>
    </row>
    <row r="424" spans="1:20" ht="15.75" customHeight="1" x14ac:dyDescent="0.3">
      <c r="A424" s="72" t="s">
        <v>958</v>
      </c>
      <c r="B424" s="1">
        <v>1119</v>
      </c>
      <c r="C424" s="1">
        <v>1271</v>
      </c>
      <c r="D424" s="1">
        <v>1318</v>
      </c>
      <c r="E424" s="55">
        <f t="shared" si="173"/>
        <v>3708</v>
      </c>
      <c r="F424" s="1">
        <v>1180</v>
      </c>
      <c r="G424" s="1">
        <v>1409</v>
      </c>
      <c r="H424" s="1">
        <v>1373</v>
      </c>
      <c r="I424" s="55">
        <f t="shared" si="170"/>
        <v>3962</v>
      </c>
      <c r="J424" s="1">
        <v>1426</v>
      </c>
      <c r="K424" s="1">
        <v>969</v>
      </c>
      <c r="L424" s="1"/>
      <c r="M424" s="55">
        <f t="shared" si="171"/>
        <v>2395</v>
      </c>
      <c r="N424" s="1"/>
      <c r="O424" s="1"/>
      <c r="P424" s="1"/>
      <c r="Q424" s="55">
        <f t="shared" si="172"/>
        <v>0</v>
      </c>
      <c r="R424" s="55">
        <f t="shared" si="168"/>
        <v>10065</v>
      </c>
      <c r="T424" s="4" t="s">
        <v>919</v>
      </c>
    </row>
    <row r="425" spans="1:20" ht="15.75" customHeight="1" x14ac:dyDescent="0.3">
      <c r="A425" s="72" t="s">
        <v>642</v>
      </c>
      <c r="B425" s="1">
        <v>583</v>
      </c>
      <c r="C425" s="1">
        <v>2246</v>
      </c>
      <c r="D425" s="1">
        <v>2980</v>
      </c>
      <c r="E425" s="55">
        <f t="shared" si="173"/>
        <v>5809</v>
      </c>
      <c r="F425" s="1">
        <v>878</v>
      </c>
      <c r="G425" s="1"/>
      <c r="H425" s="1"/>
      <c r="I425" s="55">
        <f t="shared" si="170"/>
        <v>878</v>
      </c>
      <c r="J425" s="1"/>
      <c r="K425" s="1"/>
      <c r="L425" s="1"/>
      <c r="M425" s="55">
        <f t="shared" si="171"/>
        <v>0</v>
      </c>
      <c r="N425" s="1"/>
      <c r="O425" s="1"/>
      <c r="P425" s="1"/>
      <c r="Q425" s="55">
        <f t="shared" si="172"/>
        <v>0</v>
      </c>
      <c r="R425" s="55">
        <f>+E425+I425+M425+Q425</f>
        <v>6687</v>
      </c>
    </row>
    <row r="426" spans="1:20" ht="15.75" customHeight="1" x14ac:dyDescent="0.3">
      <c r="A426" s="72" t="s">
        <v>737</v>
      </c>
      <c r="B426" s="1"/>
      <c r="C426" s="1"/>
      <c r="D426" s="1"/>
      <c r="E426" s="55">
        <f t="shared" si="173"/>
        <v>0</v>
      </c>
      <c r="F426" s="1"/>
      <c r="G426" s="1"/>
      <c r="H426" s="1"/>
      <c r="I426" s="55">
        <f t="shared" si="170"/>
        <v>0</v>
      </c>
      <c r="J426" s="1"/>
      <c r="K426" s="1"/>
      <c r="L426" s="1"/>
      <c r="M426" s="55">
        <f t="shared" si="171"/>
        <v>0</v>
      </c>
      <c r="N426" s="1"/>
      <c r="O426" s="1"/>
      <c r="P426" s="1"/>
      <c r="Q426" s="55">
        <f t="shared" si="172"/>
        <v>0</v>
      </c>
      <c r="R426" s="55">
        <f>+E426+I426+M426+Q426</f>
        <v>0</v>
      </c>
    </row>
    <row r="427" spans="1:20" ht="15.75" customHeight="1" x14ac:dyDescent="0.3">
      <c r="A427" s="72" t="s">
        <v>1219</v>
      </c>
      <c r="B427" s="1"/>
      <c r="C427" s="1"/>
      <c r="D427" s="1"/>
      <c r="E427" s="55">
        <f t="shared" si="173"/>
        <v>0</v>
      </c>
      <c r="F427" s="1"/>
      <c r="G427" s="1"/>
      <c r="H427" s="1"/>
      <c r="I427" s="55">
        <f t="shared" si="170"/>
        <v>0</v>
      </c>
      <c r="J427" s="1"/>
      <c r="K427" s="1"/>
      <c r="L427" s="1"/>
      <c r="M427" s="55">
        <f t="shared" si="171"/>
        <v>0</v>
      </c>
      <c r="N427" s="1"/>
      <c r="O427" s="1"/>
      <c r="P427" s="1"/>
      <c r="Q427" s="55">
        <f t="shared" si="172"/>
        <v>0</v>
      </c>
      <c r="R427" s="55">
        <f>+E427+I427+M427+Q427</f>
        <v>0</v>
      </c>
    </row>
    <row r="428" spans="1:20" ht="15.75" customHeight="1" x14ac:dyDescent="0.3">
      <c r="A428" s="72" t="s">
        <v>1220</v>
      </c>
      <c r="B428" s="1"/>
      <c r="C428" s="1"/>
      <c r="D428" s="1"/>
      <c r="E428" s="55">
        <f t="shared" si="173"/>
        <v>0</v>
      </c>
      <c r="F428" s="1"/>
      <c r="G428" s="1"/>
      <c r="H428" s="1"/>
      <c r="I428" s="55">
        <f t="shared" si="170"/>
        <v>0</v>
      </c>
      <c r="J428" s="1"/>
      <c r="K428" s="1"/>
      <c r="L428" s="1"/>
      <c r="M428" s="55">
        <f t="shared" si="171"/>
        <v>0</v>
      </c>
      <c r="N428" s="1"/>
      <c r="O428" s="1"/>
      <c r="P428" s="1"/>
      <c r="Q428" s="55">
        <f t="shared" si="172"/>
        <v>0</v>
      </c>
      <c r="R428" s="55">
        <f>+E428+I428+M428+Q428</f>
        <v>0</v>
      </c>
      <c r="T428" s="4" t="s">
        <v>241</v>
      </c>
    </row>
    <row r="429" spans="1:20" ht="15.75" customHeight="1" x14ac:dyDescent="0.3">
      <c r="A429" s="72" t="s">
        <v>1221</v>
      </c>
      <c r="B429" s="1"/>
      <c r="C429" s="1"/>
      <c r="D429" s="1"/>
      <c r="E429" s="55">
        <f t="shared" ref="E429" si="175">SUM(B429:D429)</f>
        <v>0</v>
      </c>
      <c r="F429" s="1"/>
      <c r="G429" s="1"/>
      <c r="H429" s="1"/>
      <c r="I429" s="55">
        <f t="shared" ref="I429" si="176">SUM(F429:H429)</f>
        <v>0</v>
      </c>
      <c r="J429" s="1"/>
      <c r="K429" s="1"/>
      <c r="L429" s="1"/>
      <c r="M429" s="55">
        <f t="shared" ref="M429" si="177">SUM(J429:L429)</f>
        <v>0</v>
      </c>
      <c r="N429" s="1"/>
      <c r="O429" s="1"/>
      <c r="P429" s="1"/>
      <c r="Q429" s="55">
        <f t="shared" ref="Q429" si="178">SUM(N429:P429)</f>
        <v>0</v>
      </c>
      <c r="R429" s="55">
        <f t="shared" ref="R429:R430" si="179">+E429+I429+M429+Q429</f>
        <v>0</v>
      </c>
      <c r="T429" s="4" t="s">
        <v>822</v>
      </c>
    </row>
    <row r="430" spans="1:20" ht="16.5" customHeight="1" x14ac:dyDescent="0.3">
      <c r="A430" s="72" t="s">
        <v>961</v>
      </c>
      <c r="B430" s="1"/>
      <c r="C430" s="1"/>
      <c r="D430" s="1"/>
      <c r="E430" s="55">
        <f t="shared" si="173"/>
        <v>0</v>
      </c>
      <c r="F430" s="1"/>
      <c r="G430" s="1"/>
      <c r="H430" s="1"/>
      <c r="I430" s="55">
        <f t="shared" si="170"/>
        <v>0</v>
      </c>
      <c r="J430" s="1"/>
      <c r="K430" s="1"/>
      <c r="L430" s="1"/>
      <c r="M430" s="55">
        <f t="shared" si="171"/>
        <v>0</v>
      </c>
      <c r="N430" s="1"/>
      <c r="O430" s="1"/>
      <c r="P430" s="1"/>
      <c r="Q430" s="55">
        <f t="shared" ref="Q430" si="180">SUM(N430:P430)</f>
        <v>0</v>
      </c>
      <c r="R430" s="55">
        <f t="shared" si="179"/>
        <v>0</v>
      </c>
      <c r="T430" s="4" t="s">
        <v>944</v>
      </c>
    </row>
    <row r="431" spans="1:20" ht="15.75" customHeight="1" x14ac:dyDescent="0.3">
      <c r="A431" s="72" t="s">
        <v>1222</v>
      </c>
      <c r="B431" s="1"/>
      <c r="C431" s="1"/>
      <c r="D431" s="1"/>
      <c r="E431" s="55">
        <f t="shared" si="173"/>
        <v>0</v>
      </c>
      <c r="F431" s="1"/>
      <c r="G431" s="1"/>
      <c r="H431" s="1"/>
      <c r="I431" s="55">
        <f t="shared" si="170"/>
        <v>0</v>
      </c>
      <c r="J431" s="1"/>
      <c r="K431" s="1"/>
      <c r="L431" s="1"/>
      <c r="M431" s="55">
        <f t="shared" si="171"/>
        <v>0</v>
      </c>
      <c r="N431" s="1"/>
      <c r="O431" s="1"/>
      <c r="P431" s="1"/>
      <c r="Q431" s="55">
        <f t="shared" ref="Q431" si="181">SUM(N431:P431)</f>
        <v>0</v>
      </c>
      <c r="R431" s="55">
        <f t="shared" si="168"/>
        <v>0</v>
      </c>
      <c r="T431" s="4" t="s">
        <v>214</v>
      </c>
    </row>
    <row r="432" spans="1:20" ht="15.75" customHeight="1" x14ac:dyDescent="0.3">
      <c r="A432" s="72" t="s">
        <v>962</v>
      </c>
      <c r="B432" s="1">
        <v>262</v>
      </c>
      <c r="C432" s="1">
        <v>249</v>
      </c>
      <c r="D432" s="1">
        <v>350</v>
      </c>
      <c r="E432" s="55">
        <f t="shared" si="173"/>
        <v>861</v>
      </c>
      <c r="F432" s="1">
        <v>325</v>
      </c>
      <c r="G432" s="1">
        <v>350</v>
      </c>
      <c r="H432" s="1">
        <v>25</v>
      </c>
      <c r="I432" s="55">
        <f t="shared" si="170"/>
        <v>700</v>
      </c>
      <c r="J432" s="1">
        <v>510</v>
      </c>
      <c r="K432" s="1"/>
      <c r="L432" s="1"/>
      <c r="M432" s="55">
        <f t="shared" si="171"/>
        <v>510</v>
      </c>
      <c r="N432" s="1"/>
      <c r="O432" s="1"/>
      <c r="P432" s="1"/>
      <c r="Q432" s="55">
        <f t="shared" si="172"/>
        <v>0</v>
      </c>
      <c r="R432" s="55">
        <f t="shared" si="168"/>
        <v>2071</v>
      </c>
      <c r="T432" s="4" t="s">
        <v>214</v>
      </c>
    </row>
    <row r="433" spans="1:20" ht="15.75" customHeight="1" x14ac:dyDescent="0.3">
      <c r="A433" s="72" t="s">
        <v>1362</v>
      </c>
      <c r="B433" s="1"/>
      <c r="C433" s="1"/>
      <c r="D433" s="1"/>
      <c r="E433" s="55">
        <f t="shared" si="173"/>
        <v>0</v>
      </c>
      <c r="F433" s="1"/>
      <c r="G433" s="1"/>
      <c r="H433" s="1"/>
      <c r="I433" s="55">
        <f t="shared" si="170"/>
        <v>0</v>
      </c>
      <c r="J433" s="1"/>
      <c r="K433" s="1"/>
      <c r="L433" s="1"/>
      <c r="M433" s="55">
        <f t="shared" si="171"/>
        <v>0</v>
      </c>
      <c r="N433" s="1">
        <v>2000</v>
      </c>
      <c r="O433" s="1"/>
      <c r="P433" s="1"/>
      <c r="Q433" s="55">
        <f t="shared" si="172"/>
        <v>2000</v>
      </c>
      <c r="R433" s="55">
        <f t="shared" si="168"/>
        <v>2000</v>
      </c>
      <c r="T433" s="4" t="s">
        <v>919</v>
      </c>
    </row>
    <row r="434" spans="1:20" ht="15.75" customHeight="1" x14ac:dyDescent="0.3">
      <c r="A434" s="72" t="s">
        <v>1223</v>
      </c>
      <c r="B434" s="1"/>
      <c r="C434" s="1"/>
      <c r="D434" s="1"/>
      <c r="E434" s="55">
        <f t="shared" si="173"/>
        <v>0</v>
      </c>
      <c r="F434" s="1"/>
      <c r="G434" s="1">
        <v>356</v>
      </c>
      <c r="H434" s="1">
        <v>356</v>
      </c>
      <c r="I434" s="55">
        <f t="shared" si="170"/>
        <v>712</v>
      </c>
      <c r="J434" s="1">
        <v>356</v>
      </c>
      <c r="K434" s="1">
        <v>1002</v>
      </c>
      <c r="L434" s="1"/>
      <c r="M434" s="55">
        <f t="shared" si="171"/>
        <v>1358</v>
      </c>
      <c r="N434" s="1"/>
      <c r="O434" s="1"/>
      <c r="P434" s="1"/>
      <c r="Q434" s="55">
        <f t="shared" si="172"/>
        <v>0</v>
      </c>
      <c r="R434" s="55">
        <f t="shared" si="168"/>
        <v>2070</v>
      </c>
    </row>
    <row r="435" spans="1:20" ht="15.75" customHeight="1" x14ac:dyDescent="0.3">
      <c r="A435" s="72" t="s">
        <v>1363</v>
      </c>
      <c r="B435" s="1"/>
      <c r="C435" s="1"/>
      <c r="D435" s="1"/>
      <c r="E435" s="55">
        <f t="shared" si="173"/>
        <v>0</v>
      </c>
      <c r="F435" s="1"/>
      <c r="G435" s="1"/>
      <c r="H435" s="1"/>
      <c r="I435" s="55">
        <f t="shared" si="170"/>
        <v>0</v>
      </c>
      <c r="J435" s="1"/>
      <c r="K435" s="1"/>
      <c r="L435" s="1">
        <v>2075</v>
      </c>
      <c r="M435" s="55">
        <f t="shared" si="171"/>
        <v>2075</v>
      </c>
      <c r="N435" s="1">
        <v>500</v>
      </c>
      <c r="O435" s="1"/>
      <c r="P435" s="1"/>
      <c r="Q435" s="55">
        <f t="shared" si="172"/>
        <v>500</v>
      </c>
      <c r="R435" s="55">
        <f t="shared" si="168"/>
        <v>2575</v>
      </c>
      <c r="T435" s="4" t="s">
        <v>241</v>
      </c>
    </row>
    <row r="436" spans="1:20" ht="15.75" customHeight="1" x14ac:dyDescent="0.3">
      <c r="A436" s="72" t="s">
        <v>1304</v>
      </c>
      <c r="B436" s="1"/>
      <c r="C436" s="1"/>
      <c r="D436" s="1">
        <v>1100</v>
      </c>
      <c r="E436" s="55">
        <f t="shared" si="173"/>
        <v>1100</v>
      </c>
      <c r="F436" s="1">
        <v>1100</v>
      </c>
      <c r="G436" s="1">
        <v>1300</v>
      </c>
      <c r="H436" s="1">
        <v>1300</v>
      </c>
      <c r="I436" s="55">
        <f t="shared" si="170"/>
        <v>3700</v>
      </c>
      <c r="J436" s="1">
        <v>1500</v>
      </c>
      <c r="K436" s="1">
        <v>1300</v>
      </c>
      <c r="L436" s="1">
        <v>1000</v>
      </c>
      <c r="M436" s="55">
        <f t="shared" si="171"/>
        <v>3800</v>
      </c>
      <c r="N436" s="1">
        <v>400</v>
      </c>
      <c r="O436" s="1"/>
      <c r="P436" s="1"/>
      <c r="Q436" s="55">
        <f t="shared" si="172"/>
        <v>400</v>
      </c>
      <c r="R436" s="55">
        <f t="shared" si="168"/>
        <v>9000</v>
      </c>
    </row>
    <row r="437" spans="1:20" ht="15.75" customHeight="1" x14ac:dyDescent="0.3">
      <c r="A437" s="72" t="s">
        <v>1364</v>
      </c>
      <c r="B437" s="1"/>
      <c r="C437" s="1"/>
      <c r="D437" s="1"/>
      <c r="E437" s="55">
        <f>SUM(B437:D437)</f>
        <v>0</v>
      </c>
      <c r="F437" s="1"/>
      <c r="G437" s="1"/>
      <c r="H437" s="1"/>
      <c r="I437" s="55">
        <f>SUM(F437:H437)</f>
        <v>0</v>
      </c>
      <c r="J437" s="1">
        <v>3551</v>
      </c>
      <c r="K437" s="1"/>
      <c r="L437" s="1"/>
      <c r="M437" s="55">
        <f>SUM(J437:L437)</f>
        <v>3551</v>
      </c>
      <c r="N437" s="1"/>
      <c r="O437" s="1"/>
      <c r="P437" s="1"/>
      <c r="Q437" s="55">
        <f>SUM(N437:P437)</f>
        <v>0</v>
      </c>
      <c r="R437" s="55">
        <f>+E437+I437+M437+Q437</f>
        <v>3551</v>
      </c>
    </row>
    <row r="438" spans="1:20" ht="15.75" customHeight="1" x14ac:dyDescent="0.3">
      <c r="A438" s="72" t="s">
        <v>1305</v>
      </c>
      <c r="B438" s="1"/>
      <c r="C438" s="1"/>
      <c r="D438" s="1"/>
      <c r="E438" s="55">
        <f>SUM(B438:D438)</f>
        <v>0</v>
      </c>
      <c r="F438" s="1"/>
      <c r="G438" s="1"/>
      <c r="H438" s="1"/>
      <c r="I438" s="55">
        <f>SUM(F438:H438)</f>
        <v>0</v>
      </c>
      <c r="J438" s="1"/>
      <c r="K438" s="1"/>
      <c r="L438" s="1"/>
      <c r="M438" s="55">
        <f>SUM(J438:L438)</f>
        <v>0</v>
      </c>
      <c r="N438" s="1"/>
      <c r="O438" s="1"/>
      <c r="P438" s="1"/>
      <c r="Q438" s="55">
        <f>SUM(N438:P438)</f>
        <v>0</v>
      </c>
      <c r="R438" s="55">
        <f>+E438+I438+M438+Q438</f>
        <v>0</v>
      </c>
    </row>
    <row r="439" spans="1:20" ht="15.75" customHeight="1" x14ac:dyDescent="0.3">
      <c r="A439" s="72" t="s">
        <v>965</v>
      </c>
      <c r="B439" s="1"/>
      <c r="C439" s="1"/>
      <c r="D439" s="1"/>
      <c r="E439" s="55">
        <f t="shared" si="173"/>
        <v>0</v>
      </c>
      <c r="F439" s="1">
        <v>810</v>
      </c>
      <c r="G439" s="1"/>
      <c r="H439" s="1"/>
      <c r="I439" s="55">
        <f t="shared" si="170"/>
        <v>810</v>
      </c>
      <c r="J439" s="1"/>
      <c r="K439" s="1"/>
      <c r="L439" s="1"/>
      <c r="M439" s="55">
        <f t="shared" si="171"/>
        <v>0</v>
      </c>
      <c r="N439" s="1"/>
      <c r="O439" s="1"/>
      <c r="P439" s="1"/>
      <c r="Q439" s="55">
        <f>SUM(N439:P439)</f>
        <v>0</v>
      </c>
      <c r="R439" s="55">
        <f t="shared" si="168"/>
        <v>810</v>
      </c>
    </row>
    <row r="440" spans="1:20" ht="15.75" customHeight="1" x14ac:dyDescent="0.3">
      <c r="A440" s="72" t="s">
        <v>966</v>
      </c>
      <c r="B440" s="1"/>
      <c r="C440" s="1"/>
      <c r="D440" s="1"/>
      <c r="E440" s="55">
        <f t="shared" si="173"/>
        <v>0</v>
      </c>
      <c r="F440" s="1">
        <v>3789</v>
      </c>
      <c r="G440" s="1"/>
      <c r="H440" s="1"/>
      <c r="I440" s="55">
        <f t="shared" si="170"/>
        <v>3789</v>
      </c>
      <c r="J440" s="1"/>
      <c r="K440" s="1"/>
      <c r="L440" s="1"/>
      <c r="M440" s="55">
        <f t="shared" si="171"/>
        <v>0</v>
      </c>
      <c r="N440" s="1"/>
      <c r="O440" s="1"/>
      <c r="P440" s="1"/>
      <c r="Q440" s="55">
        <f t="shared" si="172"/>
        <v>0</v>
      </c>
      <c r="R440" s="55">
        <f t="shared" si="168"/>
        <v>3789</v>
      </c>
    </row>
    <row r="441" spans="1:20" ht="15.75" customHeight="1" x14ac:dyDescent="0.3">
      <c r="A441" s="72" t="s">
        <v>1306</v>
      </c>
      <c r="B441" s="1"/>
      <c r="C441" s="1"/>
      <c r="D441" s="1"/>
      <c r="E441" s="55">
        <f t="shared" ref="E441" si="182">SUM(B441:D441)</f>
        <v>0</v>
      </c>
      <c r="F441" s="1"/>
      <c r="G441" s="1"/>
      <c r="H441" s="1"/>
      <c r="I441" s="55">
        <f t="shared" ref="I441" si="183">SUM(F441:H441)</f>
        <v>0</v>
      </c>
      <c r="J441" s="1"/>
      <c r="K441" s="1"/>
      <c r="L441" s="1"/>
      <c r="M441" s="55">
        <f t="shared" ref="M441" si="184">SUM(J441:L441)</f>
        <v>0</v>
      </c>
      <c r="N441" s="1"/>
      <c r="O441" s="1"/>
      <c r="P441" s="1"/>
      <c r="Q441" s="55">
        <f t="shared" ref="Q441" si="185">SUM(N441:P441)</f>
        <v>0</v>
      </c>
      <c r="R441" s="55">
        <f t="shared" si="168"/>
        <v>0</v>
      </c>
      <c r="T441" s="4" t="s">
        <v>919</v>
      </c>
    </row>
    <row r="442" spans="1:20" ht="15.75" customHeight="1" x14ac:dyDescent="0.3">
      <c r="A442" s="72" t="s">
        <v>967</v>
      </c>
      <c r="B442" s="1"/>
      <c r="C442" s="1"/>
      <c r="D442" s="1"/>
      <c r="E442" s="55">
        <f t="shared" si="173"/>
        <v>0</v>
      </c>
      <c r="F442" s="1"/>
      <c r="G442" s="1"/>
      <c r="H442" s="1"/>
      <c r="I442" s="55">
        <f t="shared" si="170"/>
        <v>0</v>
      </c>
      <c r="J442" s="1"/>
      <c r="K442" s="1"/>
      <c r="L442" s="1"/>
      <c r="M442" s="55">
        <f t="shared" si="171"/>
        <v>0</v>
      </c>
      <c r="N442" s="1"/>
      <c r="O442" s="1"/>
      <c r="P442" s="1"/>
      <c r="Q442" s="55">
        <f t="shared" si="172"/>
        <v>0</v>
      </c>
      <c r="R442" s="55">
        <f t="shared" si="168"/>
        <v>0</v>
      </c>
      <c r="T442" s="4" t="s">
        <v>919</v>
      </c>
    </row>
    <row r="443" spans="1:20" ht="15.75" customHeight="1" x14ac:dyDescent="0.3">
      <c r="A443" s="72" t="s">
        <v>968</v>
      </c>
      <c r="B443" s="1"/>
      <c r="C443" s="1"/>
      <c r="D443" s="1"/>
      <c r="E443" s="55">
        <f t="shared" si="173"/>
        <v>0</v>
      </c>
      <c r="F443" s="1"/>
      <c r="G443" s="1">
        <v>1237</v>
      </c>
      <c r="H443" s="1">
        <v>1861</v>
      </c>
      <c r="I443" s="55">
        <f t="shared" si="170"/>
        <v>3098</v>
      </c>
      <c r="J443" s="1">
        <v>946</v>
      </c>
      <c r="K443" s="1"/>
      <c r="L443" s="1"/>
      <c r="M443" s="55">
        <f t="shared" si="171"/>
        <v>946</v>
      </c>
      <c r="N443" s="1"/>
      <c r="O443" s="1"/>
      <c r="P443" s="1"/>
      <c r="Q443" s="55">
        <f t="shared" si="172"/>
        <v>0</v>
      </c>
      <c r="R443" s="55">
        <f t="shared" si="168"/>
        <v>4044</v>
      </c>
      <c r="T443" s="4" t="s">
        <v>919</v>
      </c>
    </row>
    <row r="444" spans="1:20" ht="15.75" customHeight="1" x14ac:dyDescent="0.3">
      <c r="A444" s="72" t="s">
        <v>969</v>
      </c>
      <c r="B444" s="1"/>
      <c r="C444" s="1"/>
      <c r="D444" s="1"/>
      <c r="E444" s="55">
        <f t="shared" si="173"/>
        <v>0</v>
      </c>
      <c r="F444" s="1"/>
      <c r="G444" s="1"/>
      <c r="H444" s="1"/>
      <c r="I444" s="55">
        <f t="shared" si="170"/>
        <v>0</v>
      </c>
      <c r="J444" s="1"/>
      <c r="K444" s="1"/>
      <c r="L444" s="1"/>
      <c r="M444" s="55">
        <f t="shared" si="171"/>
        <v>0</v>
      </c>
      <c r="N444" s="1"/>
      <c r="O444" s="1"/>
      <c r="P444" s="1"/>
      <c r="Q444" s="55">
        <f t="shared" si="172"/>
        <v>0</v>
      </c>
      <c r="R444" s="55">
        <f t="shared" si="168"/>
        <v>0</v>
      </c>
      <c r="T444" s="4" t="s">
        <v>241</v>
      </c>
    </row>
    <row r="445" spans="1:20" ht="15.75" customHeight="1" x14ac:dyDescent="0.3">
      <c r="A445" s="72" t="s">
        <v>162</v>
      </c>
      <c r="B445" s="1"/>
      <c r="C445" s="1"/>
      <c r="D445" s="1"/>
      <c r="E445" s="55">
        <f t="shared" si="173"/>
        <v>0</v>
      </c>
      <c r="F445" s="1">
        <v>668</v>
      </c>
      <c r="G445" s="1">
        <v>1001</v>
      </c>
      <c r="H445" s="1"/>
      <c r="I445" s="55">
        <f t="shared" si="170"/>
        <v>1669</v>
      </c>
      <c r="J445" s="1"/>
      <c r="K445" s="1"/>
      <c r="L445" s="1"/>
      <c r="M445" s="55">
        <f t="shared" si="171"/>
        <v>0</v>
      </c>
      <c r="N445" s="1"/>
      <c r="O445" s="1"/>
      <c r="P445" s="1"/>
      <c r="Q445" s="55">
        <f t="shared" si="172"/>
        <v>0</v>
      </c>
      <c r="R445" s="55">
        <f t="shared" si="168"/>
        <v>1669</v>
      </c>
    </row>
    <row r="446" spans="1:20" ht="15.75" customHeight="1" x14ac:dyDescent="0.3">
      <c r="A446" s="72" t="s">
        <v>970</v>
      </c>
      <c r="B446" s="1"/>
      <c r="C446" s="1"/>
      <c r="D446" s="1"/>
      <c r="E446" s="55">
        <f t="shared" si="173"/>
        <v>0</v>
      </c>
      <c r="F446" s="1"/>
      <c r="G446" s="1"/>
      <c r="H446" s="1"/>
      <c r="I446" s="55">
        <f t="shared" si="170"/>
        <v>0</v>
      </c>
      <c r="J446" s="1"/>
      <c r="K446" s="1"/>
      <c r="L446" s="1"/>
      <c r="M446" s="55">
        <f t="shared" si="171"/>
        <v>0</v>
      </c>
      <c r="N446" s="1"/>
      <c r="O446" s="1"/>
      <c r="P446" s="1"/>
      <c r="Q446" s="55">
        <f t="shared" si="172"/>
        <v>0</v>
      </c>
      <c r="R446" s="55">
        <f t="shared" si="168"/>
        <v>0</v>
      </c>
      <c r="T446" s="4" t="s">
        <v>241</v>
      </c>
    </row>
    <row r="447" spans="1:20" ht="15.75" customHeight="1" x14ac:dyDescent="0.3">
      <c r="A447" s="72" t="s">
        <v>1307</v>
      </c>
      <c r="B447" s="1"/>
      <c r="C447" s="1"/>
      <c r="D447" s="1"/>
      <c r="E447" s="55">
        <f t="shared" si="173"/>
        <v>0</v>
      </c>
      <c r="F447" s="1"/>
      <c r="G447" s="1"/>
      <c r="H447" s="1"/>
      <c r="I447" s="55">
        <f t="shared" si="170"/>
        <v>0</v>
      </c>
      <c r="J447" s="1"/>
      <c r="K447" s="1"/>
      <c r="L447" s="1"/>
      <c r="M447" s="55">
        <f t="shared" si="171"/>
        <v>0</v>
      </c>
      <c r="N447" s="1"/>
      <c r="O447" s="1"/>
      <c r="P447" s="1"/>
      <c r="Q447" s="55">
        <f t="shared" si="172"/>
        <v>0</v>
      </c>
      <c r="R447" s="55">
        <f t="shared" si="168"/>
        <v>0</v>
      </c>
      <c r="T447" s="4" t="s">
        <v>919</v>
      </c>
    </row>
    <row r="448" spans="1:20" ht="15.75" customHeight="1" x14ac:dyDescent="0.3">
      <c r="A448" s="72" t="s">
        <v>1308</v>
      </c>
      <c r="B448" s="1"/>
      <c r="C448" s="1"/>
      <c r="D448" s="1"/>
      <c r="E448" s="55">
        <f t="shared" si="173"/>
        <v>0</v>
      </c>
      <c r="F448" s="1"/>
      <c r="G448" s="1"/>
      <c r="H448" s="1">
        <v>1000</v>
      </c>
      <c r="I448" s="55">
        <f t="shared" si="170"/>
        <v>1000</v>
      </c>
      <c r="J448" s="1">
        <v>1500</v>
      </c>
      <c r="K448" s="1"/>
      <c r="L448" s="1"/>
      <c r="M448" s="55">
        <f t="shared" si="171"/>
        <v>1500</v>
      </c>
      <c r="N448" s="1"/>
      <c r="O448" s="1"/>
      <c r="P448" s="1"/>
      <c r="Q448" s="55">
        <f t="shared" si="172"/>
        <v>0</v>
      </c>
      <c r="R448" s="55">
        <f>+E448+I448+M448+Q448</f>
        <v>2500</v>
      </c>
    </row>
    <row r="449" spans="1:21" ht="15.75" customHeight="1" x14ac:dyDescent="0.3">
      <c r="A449" s="72" t="s">
        <v>1309</v>
      </c>
      <c r="B449" s="1"/>
      <c r="C449" s="1"/>
      <c r="D449" s="1"/>
      <c r="E449" s="55">
        <f t="shared" si="173"/>
        <v>0</v>
      </c>
      <c r="F449" s="1"/>
      <c r="G449" s="1"/>
      <c r="H449" s="1"/>
      <c r="I449" s="55">
        <f t="shared" si="170"/>
        <v>0</v>
      </c>
      <c r="J449" s="1"/>
      <c r="K449" s="1"/>
      <c r="L449" s="1"/>
      <c r="M449" s="55">
        <f t="shared" si="171"/>
        <v>0</v>
      </c>
      <c r="N449" s="1"/>
      <c r="O449" s="1"/>
      <c r="P449" s="1"/>
      <c r="Q449" s="55">
        <f t="shared" si="172"/>
        <v>0</v>
      </c>
      <c r="R449" s="55">
        <f>+E449+I449+M449+Q449</f>
        <v>0</v>
      </c>
      <c r="T449" s="4" t="s">
        <v>241</v>
      </c>
    </row>
    <row r="450" spans="1:21" ht="15.75" customHeight="1" x14ac:dyDescent="0.3">
      <c r="A450" s="72" t="s">
        <v>1310</v>
      </c>
      <c r="B450" s="1"/>
      <c r="C450" s="1">
        <v>1365</v>
      </c>
      <c r="D450" s="1">
        <v>1652</v>
      </c>
      <c r="E450" s="55">
        <f t="shared" si="173"/>
        <v>3017</v>
      </c>
      <c r="F450" s="1">
        <v>1878</v>
      </c>
      <c r="G450" s="1">
        <v>699</v>
      </c>
      <c r="H450" s="1"/>
      <c r="I450" s="55">
        <f t="shared" si="170"/>
        <v>2577</v>
      </c>
      <c r="J450" s="1"/>
      <c r="K450" s="1"/>
      <c r="L450" s="1"/>
      <c r="M450" s="55">
        <f t="shared" si="171"/>
        <v>0</v>
      </c>
      <c r="N450" s="1"/>
      <c r="O450" s="1"/>
      <c r="P450" s="1"/>
      <c r="Q450" s="55">
        <f t="shared" si="172"/>
        <v>0</v>
      </c>
      <c r="R450" s="55">
        <f t="shared" si="168"/>
        <v>5594</v>
      </c>
      <c r="T450" s="4" t="s">
        <v>919</v>
      </c>
    </row>
    <row r="451" spans="1:21" ht="15.75" customHeight="1" x14ac:dyDescent="0.3">
      <c r="A451" s="72" t="s">
        <v>1311</v>
      </c>
      <c r="B451" s="1"/>
      <c r="C451" s="1"/>
      <c r="D451" s="1"/>
      <c r="E451" s="55">
        <f t="shared" si="173"/>
        <v>0</v>
      </c>
      <c r="F451" s="1"/>
      <c r="G451" s="1"/>
      <c r="H451" s="1"/>
      <c r="I451" s="55">
        <f t="shared" si="170"/>
        <v>0</v>
      </c>
      <c r="J451" s="1"/>
      <c r="K451" s="1"/>
      <c r="L451" s="1"/>
      <c r="M451" s="55">
        <f t="shared" si="171"/>
        <v>0</v>
      </c>
      <c r="N451" s="1"/>
      <c r="O451" s="1"/>
      <c r="P451" s="1"/>
      <c r="Q451" s="55">
        <f t="shared" si="172"/>
        <v>0</v>
      </c>
      <c r="R451" s="55">
        <f t="shared" si="168"/>
        <v>0</v>
      </c>
      <c r="T451" s="4" t="s">
        <v>241</v>
      </c>
    </row>
    <row r="452" spans="1:21" ht="15.75" customHeight="1" x14ac:dyDescent="0.3">
      <c r="A452" s="72" t="s">
        <v>1312</v>
      </c>
      <c r="B452" s="1"/>
      <c r="C452" s="1"/>
      <c r="D452" s="1"/>
      <c r="E452" s="55">
        <f t="shared" ref="E452:E453" si="186">SUM(B452:D452)</f>
        <v>0</v>
      </c>
      <c r="F452" s="1"/>
      <c r="G452" s="1"/>
      <c r="H452" s="1"/>
      <c r="I452" s="55">
        <f t="shared" ref="I452:I454" si="187">SUM(F452:H452)</f>
        <v>0</v>
      </c>
      <c r="J452" s="1"/>
      <c r="K452" s="1"/>
      <c r="L452" s="1"/>
      <c r="M452" s="55">
        <f t="shared" ref="M452:M454" si="188">SUM(J452:L452)</f>
        <v>0</v>
      </c>
      <c r="N452" s="1"/>
      <c r="O452" s="1"/>
      <c r="P452" s="1"/>
      <c r="Q452" s="55">
        <f t="shared" ref="Q452:Q454" si="189">SUM(N452:P452)</f>
        <v>0</v>
      </c>
      <c r="R452" s="55">
        <f t="shared" si="168"/>
        <v>0</v>
      </c>
    </row>
    <row r="453" spans="1:21" ht="15.75" customHeight="1" x14ac:dyDescent="0.3">
      <c r="A453" s="72" t="s">
        <v>1313</v>
      </c>
      <c r="B453" s="1"/>
      <c r="C453" s="1"/>
      <c r="D453" s="1"/>
      <c r="E453" s="55">
        <f t="shared" si="186"/>
        <v>0</v>
      </c>
      <c r="F453" s="1"/>
      <c r="G453" s="1"/>
      <c r="H453" s="1"/>
      <c r="I453" s="55">
        <f t="shared" si="187"/>
        <v>0</v>
      </c>
      <c r="J453" s="1"/>
      <c r="K453" s="1"/>
      <c r="L453" s="1"/>
      <c r="M453" s="55">
        <f t="shared" si="188"/>
        <v>0</v>
      </c>
      <c r="N453" s="1"/>
      <c r="O453" s="1"/>
      <c r="P453" s="1"/>
      <c r="Q453" s="55">
        <f t="shared" si="189"/>
        <v>0</v>
      </c>
      <c r="R453" s="55">
        <f>+E453+I453+M453+Q453</f>
        <v>0</v>
      </c>
    </row>
    <row r="454" spans="1:21" ht="15.75" customHeight="1" x14ac:dyDescent="0.3">
      <c r="A454" s="72" t="s">
        <v>1314</v>
      </c>
      <c r="B454" s="1"/>
      <c r="C454" s="1"/>
      <c r="D454" s="1"/>
      <c r="E454" s="55">
        <f>SUM(B454:D454)</f>
        <v>0</v>
      </c>
      <c r="F454" s="1"/>
      <c r="G454" s="1"/>
      <c r="H454" s="1"/>
      <c r="I454" s="55">
        <f t="shared" si="187"/>
        <v>0</v>
      </c>
      <c r="J454" s="1"/>
      <c r="K454" s="1"/>
      <c r="L454" s="1"/>
      <c r="M454" s="55">
        <f t="shared" si="188"/>
        <v>0</v>
      </c>
      <c r="N454" s="1"/>
      <c r="O454" s="1"/>
      <c r="P454" s="1"/>
      <c r="Q454" s="55">
        <f t="shared" si="189"/>
        <v>0</v>
      </c>
      <c r="R454" s="55">
        <f t="shared" si="168"/>
        <v>0</v>
      </c>
    </row>
    <row r="455" spans="1:21" ht="15.75" customHeight="1" x14ac:dyDescent="0.3">
      <c r="A455" s="72" t="s">
        <v>1286</v>
      </c>
      <c r="B455" s="1"/>
      <c r="C455" s="1"/>
      <c r="D455" s="1"/>
      <c r="E455" s="55">
        <f t="shared" si="173"/>
        <v>0</v>
      </c>
      <c r="F455" s="1"/>
      <c r="G455" s="1">
        <v>2622</v>
      </c>
      <c r="H455" s="1"/>
      <c r="I455" s="55">
        <f t="shared" si="170"/>
        <v>2622</v>
      </c>
      <c r="J455" s="1"/>
      <c r="K455" s="1"/>
      <c r="L455" s="1"/>
      <c r="M455" s="55">
        <f t="shared" si="171"/>
        <v>0</v>
      </c>
      <c r="N455" s="1"/>
      <c r="O455" s="1"/>
      <c r="P455" s="1"/>
      <c r="Q455" s="55">
        <f t="shared" si="172"/>
        <v>0</v>
      </c>
      <c r="R455" s="55">
        <f t="shared" si="168"/>
        <v>2622</v>
      </c>
    </row>
    <row r="456" spans="1:21" ht="15.75" customHeight="1" x14ac:dyDescent="0.3">
      <c r="A456" s="72" t="s">
        <v>1365</v>
      </c>
      <c r="B456" s="1"/>
      <c r="C456" s="1"/>
      <c r="D456" s="1"/>
      <c r="E456" s="55">
        <f t="shared" si="173"/>
        <v>0</v>
      </c>
      <c r="F456" s="1"/>
      <c r="G456" s="1"/>
      <c r="H456" s="1"/>
      <c r="I456" s="55">
        <f t="shared" si="170"/>
        <v>0</v>
      </c>
      <c r="J456" s="1"/>
      <c r="K456" s="1">
        <v>1925</v>
      </c>
      <c r="L456" s="1"/>
      <c r="M456" s="55">
        <f t="shared" si="171"/>
        <v>1925</v>
      </c>
      <c r="N456" s="1"/>
      <c r="O456" s="1"/>
      <c r="P456" s="1"/>
      <c r="Q456" s="55">
        <f t="shared" ref="Q456" si="190">SUM(N456:P456)</f>
        <v>0</v>
      </c>
      <c r="R456" s="55">
        <f t="shared" si="168"/>
        <v>1925</v>
      </c>
    </row>
    <row r="457" spans="1:21" ht="15.75" customHeight="1" thickBot="1" x14ac:dyDescent="0.35">
      <c r="A457" s="72" t="s">
        <v>975</v>
      </c>
      <c r="B457" s="1">
        <f>88+22</f>
        <v>110</v>
      </c>
      <c r="C457" s="1">
        <f>210</f>
        <v>210</v>
      </c>
      <c r="D457" s="1">
        <f>43+557</f>
        <v>600</v>
      </c>
      <c r="E457" s="55">
        <f t="shared" si="173"/>
        <v>920</v>
      </c>
      <c r="F457" s="1">
        <f>612+862+1452</f>
        <v>2926</v>
      </c>
      <c r="G457" s="1">
        <f>356+572</f>
        <v>928</v>
      </c>
      <c r="H457" s="1">
        <f>1545+762+37+725</f>
        <v>3069</v>
      </c>
      <c r="I457" s="55">
        <f t="shared" si="170"/>
        <v>6923</v>
      </c>
      <c r="J457" s="1">
        <f>1007+500+963+840</f>
        <v>3310</v>
      </c>
      <c r="K457" s="1">
        <f>1375+3034</f>
        <v>4409</v>
      </c>
      <c r="L457" s="1">
        <f>406+2708</f>
        <v>3114</v>
      </c>
      <c r="M457" s="55">
        <f t="shared" si="171"/>
        <v>10833</v>
      </c>
      <c r="N457" s="1">
        <v>2580</v>
      </c>
      <c r="O457" s="1">
        <v>1744</v>
      </c>
      <c r="P457" s="1">
        <v>2000</v>
      </c>
      <c r="Q457" s="55">
        <f t="shared" si="172"/>
        <v>6324</v>
      </c>
      <c r="R457" s="55">
        <f t="shared" si="168"/>
        <v>25000</v>
      </c>
    </row>
    <row r="458" spans="1:21" ht="16.5" customHeight="1" thickBot="1" x14ac:dyDescent="0.35">
      <c r="A458" s="114" t="s">
        <v>63</v>
      </c>
      <c r="B458" s="90">
        <f>SUM(B401:B457)</f>
        <v>5059</v>
      </c>
      <c r="C458" s="58">
        <f>SUM(C401:C457)</f>
        <v>13609</v>
      </c>
      <c r="D458" s="58">
        <f>SUM(D401:D457)</f>
        <v>24575</v>
      </c>
      <c r="E458" s="59">
        <f t="shared" si="173"/>
        <v>43243</v>
      </c>
      <c r="F458" s="58">
        <f>SUM(F401:F457)</f>
        <v>35982</v>
      </c>
      <c r="G458" s="58">
        <f>SUM(G401:G457)</f>
        <v>32502</v>
      </c>
      <c r="H458" s="58">
        <f>SUM(H401:H457)</f>
        <v>34583</v>
      </c>
      <c r="I458" s="59">
        <f t="shared" si="170"/>
        <v>103067</v>
      </c>
      <c r="J458" s="58">
        <f>SUM(J401:J457)</f>
        <v>35418</v>
      </c>
      <c r="K458" s="58">
        <f>SUM(K401:K457)</f>
        <v>35062</v>
      </c>
      <c r="L458" s="58">
        <f>SUM(L401:L457)</f>
        <v>24950</v>
      </c>
      <c r="M458" s="59">
        <f t="shared" si="171"/>
        <v>95430</v>
      </c>
      <c r="N458" s="58">
        <f>SUM(N401:N457)</f>
        <v>31140</v>
      </c>
      <c r="O458" s="58">
        <f>SUM(O401:O457)</f>
        <v>3981</v>
      </c>
      <c r="P458" s="58">
        <f>SUM(P401:P457)</f>
        <v>9142</v>
      </c>
      <c r="Q458" s="59">
        <f t="shared" si="172"/>
        <v>44263</v>
      </c>
      <c r="R458" s="59">
        <f>+E458+I458+M458+Q458</f>
        <v>286003</v>
      </c>
      <c r="T458" s="89"/>
    </row>
    <row r="459" spans="1:21" ht="15.75" customHeight="1" x14ac:dyDescent="0.3">
      <c r="A459" s="15" t="s">
        <v>64</v>
      </c>
      <c r="B459" s="1"/>
      <c r="C459" s="1"/>
      <c r="D459" s="1"/>
      <c r="E459" s="55" t="s">
        <v>7</v>
      </c>
      <c r="F459" s="1"/>
      <c r="G459" s="1"/>
      <c r="H459" s="1"/>
      <c r="I459" s="55" t="s">
        <v>7</v>
      </c>
      <c r="J459" s="1"/>
      <c r="K459" s="1"/>
      <c r="L459" s="1"/>
      <c r="M459" s="55" t="s">
        <v>7</v>
      </c>
      <c r="N459" s="1"/>
      <c r="O459" s="1"/>
      <c r="P459" s="1"/>
      <c r="Q459" s="55" t="s">
        <v>7</v>
      </c>
      <c r="R459" s="55" t="s">
        <v>7</v>
      </c>
    </row>
    <row r="460" spans="1:21" ht="15.75" customHeight="1" x14ac:dyDescent="0.3">
      <c r="A460" s="15" t="s">
        <v>594</v>
      </c>
      <c r="B460" s="1"/>
      <c r="C460" s="1"/>
      <c r="D460" s="1"/>
      <c r="E460" s="55" t="s">
        <v>7</v>
      </c>
      <c r="F460" s="1"/>
      <c r="G460" s="1"/>
      <c r="H460" s="1"/>
      <c r="I460" s="55" t="s">
        <v>7</v>
      </c>
      <c r="J460" s="1"/>
      <c r="K460" s="1"/>
      <c r="L460" s="1"/>
      <c r="M460" s="55" t="s">
        <v>7</v>
      </c>
      <c r="N460" s="1"/>
      <c r="O460" s="1"/>
      <c r="P460" s="1"/>
      <c r="Q460" s="55" t="s">
        <v>7</v>
      </c>
      <c r="R460" s="55" t="s">
        <v>7</v>
      </c>
    </row>
    <row r="461" spans="1:21" ht="15.75" customHeight="1" x14ac:dyDescent="0.3">
      <c r="A461" s="72" t="s">
        <v>1315</v>
      </c>
      <c r="B461" s="1"/>
      <c r="C461" s="1"/>
      <c r="D461" s="1"/>
      <c r="E461" s="55">
        <f>SUM(B461:D461)</f>
        <v>0</v>
      </c>
      <c r="F461" s="1"/>
      <c r="G461" s="1"/>
      <c r="H461" s="1"/>
      <c r="I461" s="55">
        <f>SUM(F461:H461)</f>
        <v>0</v>
      </c>
      <c r="J461" s="1"/>
      <c r="K461" s="1"/>
      <c r="L461" s="1"/>
      <c r="M461" s="55">
        <f>SUM(J461:L461)</f>
        <v>0</v>
      </c>
      <c r="N461" s="1"/>
      <c r="O461" s="1"/>
      <c r="P461" s="1"/>
      <c r="Q461" s="55">
        <f>SUM(N461:P461)</f>
        <v>0</v>
      </c>
      <c r="R461" s="55">
        <f>+E461+I461+M461+Q461</f>
        <v>0</v>
      </c>
      <c r="U461" s="355"/>
    </row>
    <row r="462" spans="1:21" ht="15.75" customHeight="1" x14ac:dyDescent="0.3">
      <c r="A462" s="15" t="s">
        <v>67</v>
      </c>
      <c r="B462" s="1"/>
      <c r="C462" s="1"/>
      <c r="D462" s="1"/>
      <c r="E462" s="55" t="s">
        <v>7</v>
      </c>
      <c r="F462" s="1"/>
      <c r="G462" s="1"/>
      <c r="H462" s="1"/>
      <c r="I462" s="55" t="s">
        <v>7</v>
      </c>
      <c r="J462" s="1"/>
      <c r="K462" s="1"/>
      <c r="L462" s="1"/>
      <c r="M462" s="55" t="s">
        <v>7</v>
      </c>
      <c r="N462" s="1"/>
      <c r="O462" s="1"/>
      <c r="P462" s="1"/>
      <c r="Q462" s="55" t="s">
        <v>7</v>
      </c>
      <c r="R462" s="55" t="s">
        <v>7</v>
      </c>
    </row>
    <row r="463" spans="1:21" ht="15.75" customHeight="1" x14ac:dyDescent="0.3">
      <c r="A463" s="72" t="s">
        <v>744</v>
      </c>
      <c r="B463" s="1"/>
      <c r="C463" s="1"/>
      <c r="D463" s="1"/>
      <c r="E463" s="55">
        <f>SUM(B463:D463)</f>
        <v>0</v>
      </c>
      <c r="F463" s="1"/>
      <c r="G463" s="1"/>
      <c r="H463" s="1"/>
      <c r="I463" s="55">
        <f>SUM(F463:H463)</f>
        <v>0</v>
      </c>
      <c r="J463" s="1"/>
      <c r="K463" s="1"/>
      <c r="L463" s="1"/>
      <c r="M463" s="55">
        <f>SUM(J463:L463)</f>
        <v>0</v>
      </c>
      <c r="N463" s="1"/>
      <c r="O463" s="1"/>
      <c r="P463" s="1"/>
      <c r="Q463" s="55">
        <f>SUM(N463:P463)</f>
        <v>0</v>
      </c>
      <c r="R463" s="55">
        <f>+E463+I463+M463+Q463</f>
        <v>0</v>
      </c>
    </row>
    <row r="464" spans="1:21" ht="15.75" customHeight="1" x14ac:dyDescent="0.3">
      <c r="A464" s="72" t="s">
        <v>745</v>
      </c>
      <c r="B464" s="1"/>
      <c r="C464" s="1"/>
      <c r="D464" s="1"/>
      <c r="E464" s="55">
        <f>SUM(B464:D464)</f>
        <v>0</v>
      </c>
      <c r="F464" s="1"/>
      <c r="G464" s="1"/>
      <c r="H464" s="1"/>
      <c r="I464" s="55">
        <f>SUM(F464:H464)</f>
        <v>0</v>
      </c>
      <c r="J464" s="1"/>
      <c r="K464" s="1"/>
      <c r="L464" s="1"/>
      <c r="M464" s="55">
        <f>SUM(J464:L464)</f>
        <v>0</v>
      </c>
      <c r="N464" s="1"/>
      <c r="O464" s="1"/>
      <c r="P464" s="1"/>
      <c r="Q464" s="55">
        <f>SUM(N464:P464)</f>
        <v>0</v>
      </c>
      <c r="R464" s="55">
        <f>+E464+I464+M464+Q464</f>
        <v>0</v>
      </c>
    </row>
    <row r="465" spans="1:21" ht="15.75" customHeight="1" x14ac:dyDescent="0.3">
      <c r="A465" s="15" t="s">
        <v>600</v>
      </c>
      <c r="B465" s="1"/>
      <c r="C465" s="1"/>
      <c r="D465" s="1"/>
      <c r="E465" s="55" t="s">
        <v>7</v>
      </c>
      <c r="F465" s="1"/>
      <c r="G465" s="1"/>
      <c r="H465" s="1"/>
      <c r="I465" s="55" t="s">
        <v>7</v>
      </c>
      <c r="J465" s="1"/>
      <c r="K465" s="1"/>
      <c r="L465" s="1"/>
      <c r="M465" s="55" t="s">
        <v>7</v>
      </c>
      <c r="N465" s="1"/>
      <c r="O465" s="1"/>
      <c r="P465" s="1"/>
      <c r="Q465" s="55" t="s">
        <v>7</v>
      </c>
      <c r="R465" s="55" t="s">
        <v>7</v>
      </c>
    </row>
    <row r="466" spans="1:21" ht="15.75" customHeight="1" x14ac:dyDescent="0.3">
      <c r="A466" s="72" t="s">
        <v>270</v>
      </c>
      <c r="B466" s="1"/>
      <c r="C466" s="1"/>
      <c r="D466" s="1"/>
      <c r="E466" s="55">
        <f t="shared" ref="E466:E471" si="191">SUM(B466:D466)</f>
        <v>0</v>
      </c>
      <c r="F466" s="1"/>
      <c r="G466" s="1"/>
      <c r="H466" s="1"/>
      <c r="I466" s="55">
        <f t="shared" ref="I466:I471" si="192">SUM(F466:H466)</f>
        <v>0</v>
      </c>
      <c r="J466" s="1"/>
      <c r="K466" s="1"/>
      <c r="L466" s="1"/>
      <c r="M466" s="55">
        <f t="shared" ref="M466:M471" si="193">SUM(J466:L466)</f>
        <v>0</v>
      </c>
      <c r="N466" s="1"/>
      <c r="O466" s="1"/>
      <c r="P466" s="1"/>
      <c r="Q466" s="55">
        <f t="shared" ref="Q466:Q471" si="194">SUM(N466:P466)</f>
        <v>0</v>
      </c>
      <c r="R466" s="55">
        <f t="shared" ref="R466:R471" si="195">+E466+I466+M466+Q466</f>
        <v>0</v>
      </c>
      <c r="T466" s="4" t="s">
        <v>224</v>
      </c>
    </row>
    <row r="467" spans="1:21" ht="15.75" customHeight="1" x14ac:dyDescent="0.3">
      <c r="A467" s="72" t="s">
        <v>646</v>
      </c>
      <c r="B467" s="1"/>
      <c r="C467" s="1"/>
      <c r="D467" s="1"/>
      <c r="E467" s="55">
        <f t="shared" ref="E467" si="196">SUM(B467:D467)</f>
        <v>0</v>
      </c>
      <c r="F467" s="1"/>
      <c r="G467" s="1"/>
      <c r="H467" s="1"/>
      <c r="I467" s="55">
        <f t="shared" si="192"/>
        <v>0</v>
      </c>
      <c r="J467" s="1"/>
      <c r="K467" s="1"/>
      <c r="L467" s="1"/>
      <c r="M467" s="55">
        <f t="shared" si="193"/>
        <v>0</v>
      </c>
      <c r="N467" s="1"/>
      <c r="O467" s="1"/>
      <c r="P467" s="1"/>
      <c r="Q467" s="55">
        <f t="shared" si="194"/>
        <v>0</v>
      </c>
      <c r="R467" s="55">
        <f t="shared" si="195"/>
        <v>0</v>
      </c>
      <c r="T467" s="4" t="s">
        <v>224</v>
      </c>
    </row>
    <row r="468" spans="1:21" ht="15.75" customHeight="1" x14ac:dyDescent="0.3">
      <c r="A468" s="72" t="s">
        <v>1316</v>
      </c>
      <c r="B468" s="1"/>
      <c r="C468" s="1"/>
      <c r="D468" s="1"/>
      <c r="E468" s="55">
        <f t="shared" si="191"/>
        <v>0</v>
      </c>
      <c r="F468" s="1"/>
      <c r="G468" s="1"/>
      <c r="H468" s="1"/>
      <c r="I468" s="55">
        <f t="shared" si="192"/>
        <v>0</v>
      </c>
      <c r="J468" s="1"/>
      <c r="K468" s="1"/>
      <c r="L468" s="1"/>
      <c r="M468" s="55">
        <f t="shared" si="193"/>
        <v>0</v>
      </c>
      <c r="N468" s="1"/>
      <c r="O468" s="1"/>
      <c r="P468" s="1"/>
      <c r="Q468" s="55">
        <f t="shared" si="194"/>
        <v>0</v>
      </c>
      <c r="R468" s="55">
        <f t="shared" si="195"/>
        <v>0</v>
      </c>
      <c r="T468" s="4" t="s">
        <v>214</v>
      </c>
    </row>
    <row r="469" spans="1:21" ht="15.75" customHeight="1" x14ac:dyDescent="0.3">
      <c r="A469" s="72" t="s">
        <v>1317</v>
      </c>
      <c r="B469" s="1"/>
      <c r="C469" s="1"/>
      <c r="D469" s="1"/>
      <c r="E469" s="55">
        <f t="shared" si="191"/>
        <v>0</v>
      </c>
      <c r="F469" s="1"/>
      <c r="G469" s="1"/>
      <c r="H469" s="1"/>
      <c r="I469" s="55">
        <f t="shared" si="192"/>
        <v>0</v>
      </c>
      <c r="J469" s="1"/>
      <c r="K469" s="1"/>
      <c r="L469" s="1"/>
      <c r="M469" s="55">
        <f t="shared" si="193"/>
        <v>0</v>
      </c>
      <c r="N469" s="1"/>
      <c r="O469" s="1"/>
      <c r="P469" s="1"/>
      <c r="Q469" s="55">
        <f t="shared" si="194"/>
        <v>0</v>
      </c>
      <c r="R469" s="55">
        <f t="shared" si="195"/>
        <v>0</v>
      </c>
    </row>
    <row r="470" spans="1:21" ht="15.75" customHeight="1" x14ac:dyDescent="0.3">
      <c r="A470" s="72" t="s">
        <v>652</v>
      </c>
      <c r="B470" s="1"/>
      <c r="C470" s="1"/>
      <c r="D470" s="1"/>
      <c r="E470" s="55">
        <f t="shared" si="191"/>
        <v>0</v>
      </c>
      <c r="F470" s="1"/>
      <c r="G470" s="1"/>
      <c r="H470" s="1"/>
      <c r="I470" s="55">
        <f t="shared" si="192"/>
        <v>0</v>
      </c>
      <c r="J470" s="1"/>
      <c r="K470" s="1"/>
      <c r="L470" s="1"/>
      <c r="M470" s="55">
        <f t="shared" si="193"/>
        <v>0</v>
      </c>
      <c r="N470" s="1"/>
      <c r="O470" s="1"/>
      <c r="P470" s="1"/>
      <c r="Q470" s="55">
        <f t="shared" si="194"/>
        <v>0</v>
      </c>
      <c r="R470" s="55">
        <f t="shared" si="195"/>
        <v>0</v>
      </c>
    </row>
    <row r="471" spans="1:21" ht="15.75" customHeight="1" x14ac:dyDescent="0.3">
      <c r="A471" s="72" t="s">
        <v>746</v>
      </c>
      <c r="B471" s="1"/>
      <c r="C471" s="1"/>
      <c r="D471" s="1"/>
      <c r="E471" s="55">
        <f t="shared" si="191"/>
        <v>0</v>
      </c>
      <c r="F471" s="1"/>
      <c r="G471" s="1"/>
      <c r="H471" s="1"/>
      <c r="I471" s="55">
        <f t="shared" si="192"/>
        <v>0</v>
      </c>
      <c r="J471" s="1"/>
      <c r="K471" s="1"/>
      <c r="L471" s="1"/>
      <c r="M471" s="55">
        <f t="shared" si="193"/>
        <v>0</v>
      </c>
      <c r="N471" s="1"/>
      <c r="O471" s="1"/>
      <c r="P471" s="1"/>
      <c r="Q471" s="55">
        <f t="shared" si="194"/>
        <v>0</v>
      </c>
      <c r="R471" s="55">
        <f t="shared" si="195"/>
        <v>0</v>
      </c>
      <c r="T471" s="4" t="s">
        <v>224</v>
      </c>
    </row>
    <row r="472" spans="1:21" ht="15.75" customHeight="1" x14ac:dyDescent="0.3">
      <c r="A472" s="15" t="s">
        <v>70</v>
      </c>
      <c r="B472" s="1"/>
      <c r="C472" s="1"/>
      <c r="D472" s="1"/>
      <c r="E472" s="55" t="s">
        <v>7</v>
      </c>
      <c r="F472" s="1"/>
      <c r="G472" s="1"/>
      <c r="H472" s="1"/>
      <c r="I472" s="55" t="s">
        <v>7</v>
      </c>
      <c r="J472" s="1"/>
      <c r="K472" s="1"/>
      <c r="L472" s="1"/>
      <c r="M472" s="55" t="s">
        <v>7</v>
      </c>
      <c r="N472" s="1"/>
      <c r="O472" s="1"/>
      <c r="P472" s="1"/>
      <c r="Q472" s="55" t="s">
        <v>7</v>
      </c>
      <c r="R472" s="55" t="s">
        <v>7</v>
      </c>
    </row>
    <row r="473" spans="1:21" ht="15.75" customHeight="1" x14ac:dyDescent="0.3">
      <c r="A473" s="72" t="s">
        <v>977</v>
      </c>
      <c r="B473" s="1"/>
      <c r="C473" s="1"/>
      <c r="D473" s="1"/>
      <c r="E473" s="55">
        <f>SUM(B473:D473)</f>
        <v>0</v>
      </c>
      <c r="F473" s="1"/>
      <c r="G473" s="1"/>
      <c r="H473" s="1"/>
      <c r="I473" s="55">
        <f>SUM(F473:H473)</f>
        <v>0</v>
      </c>
      <c r="J473" s="1"/>
      <c r="K473" s="1"/>
      <c r="L473" s="1"/>
      <c r="M473" s="55">
        <f>SUM(J473:L473)</f>
        <v>0</v>
      </c>
      <c r="N473" s="1"/>
      <c r="O473" s="1"/>
      <c r="P473" s="1"/>
      <c r="Q473" s="55">
        <f>SUM(N473:P473)</f>
        <v>0</v>
      </c>
      <c r="R473" s="55">
        <f>+E473+I473+M473+Q473</f>
        <v>0</v>
      </c>
      <c r="T473" s="4" t="s">
        <v>209</v>
      </c>
    </row>
    <row r="474" spans="1:21" ht="15.75" customHeight="1" x14ac:dyDescent="0.3">
      <c r="A474" s="72" t="s">
        <v>978</v>
      </c>
      <c r="B474" s="1"/>
      <c r="C474" s="1"/>
      <c r="D474" s="1"/>
      <c r="E474" s="55">
        <f>SUM(B474:D474)</f>
        <v>0</v>
      </c>
      <c r="F474" s="1"/>
      <c r="G474" s="1"/>
      <c r="H474" s="1"/>
      <c r="I474" s="55">
        <f>SUM(F474:H474)</f>
        <v>0</v>
      </c>
      <c r="J474" s="1"/>
      <c r="K474" s="1"/>
      <c r="L474" s="1"/>
      <c r="M474" s="55">
        <f>SUM(J474:L474)</f>
        <v>0</v>
      </c>
      <c r="N474" s="1"/>
      <c r="O474" s="1"/>
      <c r="P474" s="1"/>
      <c r="Q474" s="55">
        <f>SUM(N474:P474)</f>
        <v>0</v>
      </c>
      <c r="R474" s="55">
        <f>+E474+I474+M474+Q474</f>
        <v>0</v>
      </c>
      <c r="T474" s="4" t="s">
        <v>209</v>
      </c>
    </row>
    <row r="475" spans="1:21" ht="15.75" customHeight="1" x14ac:dyDescent="0.3">
      <c r="A475" s="72" t="s">
        <v>1318</v>
      </c>
      <c r="B475" s="1"/>
      <c r="C475" s="1"/>
      <c r="D475" s="1"/>
      <c r="E475" s="55">
        <f>SUM(B475:D475)</f>
        <v>0</v>
      </c>
      <c r="F475" s="1"/>
      <c r="G475" s="1"/>
      <c r="H475" s="1"/>
      <c r="I475" s="55">
        <f>SUM(F475:H475)</f>
        <v>0</v>
      </c>
      <c r="J475" s="1"/>
      <c r="K475" s="1"/>
      <c r="L475" s="1"/>
      <c r="M475" s="55">
        <f>SUM(J475:L475)</f>
        <v>0</v>
      </c>
      <c r="N475" s="1"/>
      <c r="O475" s="1"/>
      <c r="P475" s="1"/>
      <c r="Q475" s="55">
        <f>SUM(N475:P475)</f>
        <v>0</v>
      </c>
      <c r="R475" s="55">
        <f>+E475+I475+M475+Q475</f>
        <v>0</v>
      </c>
    </row>
    <row r="476" spans="1:21" ht="15.75" customHeight="1" x14ac:dyDescent="0.3">
      <c r="A476" s="72" t="s">
        <v>750</v>
      </c>
      <c r="B476" s="1"/>
      <c r="C476" s="1"/>
      <c r="D476" s="1"/>
      <c r="E476" s="55">
        <f>SUM(B476:D476)</f>
        <v>0</v>
      </c>
      <c r="F476" s="1"/>
      <c r="G476" s="1"/>
      <c r="H476" s="1"/>
      <c r="I476" s="55">
        <f>SUM(F476:H476)</f>
        <v>0</v>
      </c>
      <c r="J476" s="1"/>
      <c r="K476" s="1"/>
      <c r="L476" s="1"/>
      <c r="M476" s="55">
        <f>SUM(J476:L476)</f>
        <v>0</v>
      </c>
      <c r="N476" s="1"/>
      <c r="O476" s="1"/>
      <c r="P476" s="1"/>
      <c r="Q476" s="55">
        <f>SUM(N476:P476)</f>
        <v>0</v>
      </c>
      <c r="R476" s="55">
        <f>+E476+I476+M476+Q476</f>
        <v>0</v>
      </c>
    </row>
    <row r="477" spans="1:21" ht="15.75" customHeight="1" x14ac:dyDescent="0.3">
      <c r="A477" s="72" t="s">
        <v>751</v>
      </c>
      <c r="B477" s="1"/>
      <c r="C477" s="1"/>
      <c r="D477" s="1"/>
      <c r="E477" s="55">
        <f t="shared" ref="E477" si="197">SUM(B477:D477)</f>
        <v>0</v>
      </c>
      <c r="F477" s="1"/>
      <c r="G477" s="1"/>
      <c r="H477" s="1"/>
      <c r="I477" s="55">
        <f t="shared" ref="I477" si="198">SUM(F477:H477)</f>
        <v>0</v>
      </c>
      <c r="J477" s="1"/>
      <c r="K477" s="1"/>
      <c r="L477" s="1"/>
      <c r="M477" s="55">
        <f t="shared" ref="M477" si="199">SUM(J477:L477)</f>
        <v>0</v>
      </c>
      <c r="N477" s="1"/>
      <c r="O477" s="1"/>
      <c r="P477" s="1"/>
      <c r="Q477" s="55">
        <f t="shared" ref="Q477:Q488" si="200">SUM(N477:P477)</f>
        <v>0</v>
      </c>
      <c r="R477" s="55">
        <f t="shared" ref="R477:R488" si="201">+E477+I477+M477+Q477</f>
        <v>0</v>
      </c>
    </row>
    <row r="478" spans="1:21" ht="15.75" customHeight="1" x14ac:dyDescent="0.3">
      <c r="A478" s="72" t="s">
        <v>752</v>
      </c>
      <c r="B478" s="1"/>
      <c r="C478" s="1"/>
      <c r="D478" s="1"/>
      <c r="E478" s="55">
        <f>SUM(B478:D478)</f>
        <v>0</v>
      </c>
      <c r="F478" s="1"/>
      <c r="G478" s="1"/>
      <c r="H478" s="1"/>
      <c r="I478" s="55">
        <f>SUM(F478:H478)</f>
        <v>0</v>
      </c>
      <c r="J478" s="1"/>
      <c r="K478" s="1"/>
      <c r="L478" s="1"/>
      <c r="M478" s="55">
        <f>SUM(J478:L478)</f>
        <v>0</v>
      </c>
      <c r="N478" s="1"/>
      <c r="O478" s="1"/>
      <c r="P478" s="1"/>
      <c r="Q478" s="55">
        <f>SUM(N478:P478)</f>
        <v>0</v>
      </c>
      <c r="R478" s="55">
        <f>+E478+I478+M478+Q478</f>
        <v>0</v>
      </c>
    </row>
    <row r="479" spans="1:21" ht="15.75" customHeight="1" x14ac:dyDescent="0.3">
      <c r="A479" s="72" t="s">
        <v>753</v>
      </c>
      <c r="B479" s="1"/>
      <c r="C479" s="1"/>
      <c r="D479" s="1"/>
      <c r="E479" s="55">
        <f>SUM(B479:D479)</f>
        <v>0</v>
      </c>
      <c r="F479" s="1"/>
      <c r="G479" s="1"/>
      <c r="H479" s="1"/>
      <c r="I479" s="55">
        <f>SUM(F479:H479)</f>
        <v>0</v>
      </c>
      <c r="J479" s="1"/>
      <c r="K479" s="1"/>
      <c r="L479" s="1"/>
      <c r="M479" s="55">
        <f>SUM(J479:L479)</f>
        <v>0</v>
      </c>
      <c r="N479" s="1"/>
      <c r="O479" s="1"/>
      <c r="P479" s="1"/>
      <c r="Q479" s="55">
        <f>SUM(N479:P479)</f>
        <v>0</v>
      </c>
      <c r="R479" s="55">
        <f>+E479+I479+M479+Q479</f>
        <v>0</v>
      </c>
      <c r="T479" s="4" t="s">
        <v>209</v>
      </c>
      <c r="U479" s="355"/>
    </row>
    <row r="480" spans="1:21" ht="15.75" customHeight="1" x14ac:dyDescent="0.3">
      <c r="A480" s="72" t="s">
        <v>754</v>
      </c>
      <c r="B480" s="1"/>
      <c r="C480" s="1"/>
      <c r="D480" s="1"/>
      <c r="E480" s="55">
        <f>SUM(B480:D480)</f>
        <v>0</v>
      </c>
      <c r="F480" s="1"/>
      <c r="G480" s="1"/>
      <c r="H480" s="1"/>
      <c r="I480" s="55">
        <f>SUM(F480:H480)</f>
        <v>0</v>
      </c>
      <c r="J480" s="1"/>
      <c r="K480" s="1"/>
      <c r="L480" s="1"/>
      <c r="M480" s="55">
        <f>SUM(J480:L480)</f>
        <v>0</v>
      </c>
      <c r="N480" s="1"/>
      <c r="O480" s="1"/>
      <c r="P480" s="1"/>
      <c r="Q480" s="55">
        <f>SUM(N480:P480)</f>
        <v>0</v>
      </c>
      <c r="R480" s="55">
        <f>+E480+I480+M480+Q480</f>
        <v>0</v>
      </c>
    </row>
    <row r="481" spans="1:20" ht="15.75" customHeight="1" x14ac:dyDescent="0.3">
      <c r="A481" s="72" t="s">
        <v>1319</v>
      </c>
      <c r="B481" s="1"/>
      <c r="C481" s="1"/>
      <c r="D481" s="1"/>
      <c r="E481" s="55">
        <f>SUM(B481:D481)</f>
        <v>0</v>
      </c>
      <c r="F481" s="1"/>
      <c r="G481" s="1"/>
      <c r="H481" s="1"/>
      <c r="I481" s="55">
        <f>SUM(F481:H481)</f>
        <v>0</v>
      </c>
      <c r="J481" s="1"/>
      <c r="K481" s="1"/>
      <c r="L481" s="1"/>
      <c r="M481" s="55">
        <f>SUM(J481:L481)</f>
        <v>0</v>
      </c>
      <c r="N481" s="1"/>
      <c r="O481" s="1"/>
      <c r="P481" s="1"/>
      <c r="Q481" s="55">
        <f>SUM(N481:P481)</f>
        <v>0</v>
      </c>
      <c r="R481" s="55">
        <f>+E481+I481+M481+Q481</f>
        <v>0</v>
      </c>
      <c r="T481" s="4" t="s">
        <v>214</v>
      </c>
    </row>
    <row r="482" spans="1:20" ht="15.75" customHeight="1" thickBot="1" x14ac:dyDescent="0.35">
      <c r="A482" s="72" t="s">
        <v>755</v>
      </c>
      <c r="B482" s="1"/>
      <c r="C482" s="1"/>
      <c r="D482" s="1"/>
      <c r="E482" s="55">
        <f>SUM(B482:D482)</f>
        <v>0</v>
      </c>
      <c r="F482" s="1"/>
      <c r="G482" s="1"/>
      <c r="H482" s="1"/>
      <c r="I482" s="55">
        <f>SUM(F482:H482)</f>
        <v>0</v>
      </c>
      <c r="J482" s="1"/>
      <c r="K482" s="1"/>
      <c r="L482" s="1"/>
      <c r="M482" s="55">
        <f>SUM(J482:L482)</f>
        <v>0</v>
      </c>
      <c r="N482" s="1"/>
      <c r="O482" s="1"/>
      <c r="P482" s="1"/>
      <c r="Q482" s="55">
        <f>SUM(N482:P482)</f>
        <v>0</v>
      </c>
      <c r="R482" s="55">
        <f>+E482+I482+M482+Q482</f>
        <v>0</v>
      </c>
      <c r="T482" s="4" t="s">
        <v>214</v>
      </c>
    </row>
    <row r="483" spans="1:20" ht="16.5" customHeight="1" thickBot="1" x14ac:dyDescent="0.35">
      <c r="A483" s="57" t="s">
        <v>71</v>
      </c>
      <c r="B483" s="58">
        <f>SUM(B465:B482)</f>
        <v>0</v>
      </c>
      <c r="C483" s="58">
        <f>SUM(C465:C482)</f>
        <v>0</v>
      </c>
      <c r="D483" s="58">
        <f>SUM(D465:D482)</f>
        <v>0</v>
      </c>
      <c r="E483" s="60">
        <f t="shared" ref="E483:E488" si="202">SUM(B483:D483)</f>
        <v>0</v>
      </c>
      <c r="F483" s="58">
        <f>SUM(F465:F482)</f>
        <v>0</v>
      </c>
      <c r="G483" s="58">
        <f>SUM(G465:G482)</f>
        <v>0</v>
      </c>
      <c r="H483" s="58">
        <f>SUM(H465:H482)</f>
        <v>0</v>
      </c>
      <c r="I483" s="60">
        <f t="shared" ref="I483:I488" si="203">SUM(F483:H483)</f>
        <v>0</v>
      </c>
      <c r="J483" s="58">
        <f>SUM(J465:J482)</f>
        <v>0</v>
      </c>
      <c r="K483" s="58">
        <f>SUM(K465:K482)</f>
        <v>0</v>
      </c>
      <c r="L483" s="58">
        <f>SUM(L465:L482)</f>
        <v>0</v>
      </c>
      <c r="M483" s="60">
        <f t="shared" ref="M483:M488" si="204">SUM(J483:L483)</f>
        <v>0</v>
      </c>
      <c r="N483" s="58">
        <f>SUM(N465:N482)</f>
        <v>0</v>
      </c>
      <c r="O483" s="58">
        <f>SUM(O465:O482)</f>
        <v>0</v>
      </c>
      <c r="P483" s="58">
        <f>SUM(P465:P482)</f>
        <v>0</v>
      </c>
      <c r="Q483" s="60">
        <f t="shared" si="200"/>
        <v>0</v>
      </c>
      <c r="R483" s="59">
        <f t="shared" si="201"/>
        <v>0</v>
      </c>
    </row>
    <row r="484" spans="1:20" ht="16.5" customHeight="1" thickBot="1" x14ac:dyDescent="0.35">
      <c r="A484" s="114" t="s">
        <v>72</v>
      </c>
      <c r="B484" s="86">
        <f>SUM(B459:B482)</f>
        <v>0</v>
      </c>
      <c r="C484" s="87">
        <f>SUM(C459:C482)</f>
        <v>0</v>
      </c>
      <c r="D484" s="118">
        <f>SUM(D459:D482)</f>
        <v>0</v>
      </c>
      <c r="E484" s="60">
        <f t="shared" si="202"/>
        <v>0</v>
      </c>
      <c r="F484" s="87">
        <f>SUM(F459:F482)</f>
        <v>0</v>
      </c>
      <c r="G484" s="87">
        <f>SUM(G459:G482)</f>
        <v>0</v>
      </c>
      <c r="H484" s="87">
        <f>SUM(H459:H482)</f>
        <v>0</v>
      </c>
      <c r="I484" s="60">
        <f t="shared" si="203"/>
        <v>0</v>
      </c>
      <c r="J484" s="87">
        <f>SUM(J459:J482)</f>
        <v>0</v>
      </c>
      <c r="K484" s="87">
        <f>SUM(K459:K482)</f>
        <v>0</v>
      </c>
      <c r="L484" s="87">
        <f>SUM(L459:L482)</f>
        <v>0</v>
      </c>
      <c r="M484" s="60">
        <f t="shared" si="204"/>
        <v>0</v>
      </c>
      <c r="N484" s="87">
        <f>SUM(N459:N482)</f>
        <v>0</v>
      </c>
      <c r="O484" s="87">
        <f>SUM(O459:O482)</f>
        <v>0</v>
      </c>
      <c r="P484" s="87">
        <f>SUM(P459:P482)</f>
        <v>0</v>
      </c>
      <c r="Q484" s="60">
        <f t="shared" si="200"/>
        <v>0</v>
      </c>
      <c r="R484" s="59">
        <f t="shared" si="201"/>
        <v>0</v>
      </c>
    </row>
    <row r="485" spans="1:20" ht="16.5" customHeight="1" thickBot="1" x14ac:dyDescent="0.35">
      <c r="A485" s="57" t="s">
        <v>73</v>
      </c>
      <c r="B485" s="90">
        <f>+B386+B400+B458+B484</f>
        <v>8929</v>
      </c>
      <c r="C485" s="58">
        <f>+C386+C400+C458+C484</f>
        <v>15996</v>
      </c>
      <c r="D485" s="58">
        <f>+D386+D400+D458+D484</f>
        <v>31561</v>
      </c>
      <c r="E485" s="59">
        <f t="shared" si="202"/>
        <v>56486</v>
      </c>
      <c r="F485" s="58">
        <f>+F386+F400+F458+F484</f>
        <v>66061</v>
      </c>
      <c r="G485" s="58">
        <f>+G386+G400+G458+G484</f>
        <v>60596</v>
      </c>
      <c r="H485" s="58">
        <f>+H386+H400+H458+H484</f>
        <v>80809</v>
      </c>
      <c r="I485" s="59">
        <f t="shared" si="203"/>
        <v>207466</v>
      </c>
      <c r="J485" s="58">
        <f>+J386+J400+J458+J484</f>
        <v>78774</v>
      </c>
      <c r="K485" s="58">
        <f>+K386+K400+K458+K484</f>
        <v>70877</v>
      </c>
      <c r="L485" s="58">
        <f>+L386+L400+L458+L484</f>
        <v>49740</v>
      </c>
      <c r="M485" s="59">
        <f t="shared" si="204"/>
        <v>199391</v>
      </c>
      <c r="N485" s="58">
        <f>+N386+N400+N458+N484</f>
        <v>49885</v>
      </c>
      <c r="O485" s="58">
        <f>+O386+O400+O458+O484</f>
        <v>4863</v>
      </c>
      <c r="P485" s="58">
        <f>+P386+P400+P458+P484</f>
        <v>25789</v>
      </c>
      <c r="Q485" s="59">
        <f t="shared" si="200"/>
        <v>80537</v>
      </c>
      <c r="R485" s="81">
        <f t="shared" si="201"/>
        <v>543880</v>
      </c>
    </row>
    <row r="486" spans="1:20" ht="15.75" customHeight="1" x14ac:dyDescent="0.3">
      <c r="A486" s="71" t="s">
        <v>756</v>
      </c>
      <c r="B486" s="1"/>
      <c r="C486" s="1"/>
      <c r="D486" s="1"/>
      <c r="E486" s="55">
        <f t="shared" si="202"/>
        <v>0</v>
      </c>
      <c r="F486" s="1"/>
      <c r="G486" s="1"/>
      <c r="H486" s="1"/>
      <c r="I486" s="55">
        <f t="shared" si="203"/>
        <v>0</v>
      </c>
      <c r="J486" s="1"/>
      <c r="K486" s="1"/>
      <c r="L486" s="1"/>
      <c r="M486" s="55">
        <f t="shared" si="204"/>
        <v>0</v>
      </c>
      <c r="N486" s="1"/>
      <c r="O486" s="1"/>
      <c r="P486" s="1"/>
      <c r="Q486" s="55">
        <f t="shared" si="200"/>
        <v>0</v>
      </c>
      <c r="R486" s="55">
        <f t="shared" si="201"/>
        <v>0</v>
      </c>
    </row>
    <row r="487" spans="1:20" ht="15.75" customHeight="1" x14ac:dyDescent="0.3">
      <c r="A487" s="71" t="s">
        <v>757</v>
      </c>
      <c r="B487" s="1"/>
      <c r="C487" s="1"/>
      <c r="D487" s="1"/>
      <c r="E487" s="55">
        <f t="shared" si="202"/>
        <v>0</v>
      </c>
      <c r="F487" s="1"/>
      <c r="G487" s="1"/>
      <c r="H487" s="1"/>
      <c r="I487" s="55">
        <f t="shared" si="203"/>
        <v>0</v>
      </c>
      <c r="J487" s="1"/>
      <c r="K487" s="1"/>
      <c r="L487" s="1"/>
      <c r="M487" s="55">
        <f t="shared" si="204"/>
        <v>0</v>
      </c>
      <c r="N487" s="1"/>
      <c r="O487" s="1"/>
      <c r="P487" s="1"/>
      <c r="Q487" s="55">
        <f t="shared" si="200"/>
        <v>0</v>
      </c>
      <c r="R487" s="55">
        <f t="shared" si="201"/>
        <v>0</v>
      </c>
    </row>
    <row r="488" spans="1:20" ht="16.5" customHeight="1" thickBot="1" x14ac:dyDescent="0.35">
      <c r="A488" s="73" t="s">
        <v>40</v>
      </c>
      <c r="B488" s="21">
        <v>155</v>
      </c>
      <c r="C488" s="21">
        <v>283</v>
      </c>
      <c r="D488" s="21">
        <v>435</v>
      </c>
      <c r="E488" s="81">
        <f t="shared" si="202"/>
        <v>873</v>
      </c>
      <c r="F488" s="21">
        <v>602</v>
      </c>
      <c r="G488" s="21">
        <v>711</v>
      </c>
      <c r="H488" s="21">
        <v>722</v>
      </c>
      <c r="I488" s="81">
        <f t="shared" si="203"/>
        <v>2035</v>
      </c>
      <c r="J488" s="21">
        <v>686</v>
      </c>
      <c r="K488" s="21">
        <v>519</v>
      </c>
      <c r="L488" s="21">
        <v>531</v>
      </c>
      <c r="M488" s="81">
        <f t="shared" si="204"/>
        <v>1736</v>
      </c>
      <c r="N488" s="21">
        <v>489</v>
      </c>
      <c r="O488" s="21">
        <v>389</v>
      </c>
      <c r="P488" s="21">
        <v>275</v>
      </c>
      <c r="Q488" s="81">
        <f t="shared" si="200"/>
        <v>1153</v>
      </c>
      <c r="R488" s="55">
        <f t="shared" si="201"/>
        <v>5797</v>
      </c>
    </row>
    <row r="489" spans="1:20" ht="16.5" customHeight="1" thickBot="1" x14ac:dyDescent="0.35">
      <c r="A489" s="74"/>
      <c r="B489" s="75"/>
      <c r="C489" s="75"/>
      <c r="D489" s="75"/>
      <c r="E489" s="59"/>
      <c r="F489" s="75"/>
      <c r="G489" s="75"/>
      <c r="H489" s="75"/>
      <c r="I489" s="59"/>
      <c r="J489" s="75"/>
      <c r="K489" s="75"/>
      <c r="L489" s="75"/>
      <c r="M489" s="59"/>
      <c r="N489" s="75"/>
      <c r="O489" s="75"/>
      <c r="P489" s="75"/>
      <c r="Q489" s="59"/>
      <c r="R489" s="59" t="s">
        <v>7</v>
      </c>
    </row>
    <row r="490" spans="1:20" ht="15.75" customHeight="1" x14ac:dyDescent="0.3">
      <c r="A490" s="76" t="s">
        <v>41</v>
      </c>
      <c r="B490" s="77">
        <f>SUM(B485:B488)</f>
        <v>9084</v>
      </c>
      <c r="C490" s="77">
        <f>SUM(C485:C488)</f>
        <v>16279</v>
      </c>
      <c r="D490" s="77">
        <f>SUM(D485:D488)</f>
        <v>31996</v>
      </c>
      <c r="E490" s="60">
        <f>SUM(B490:D490)</f>
        <v>57359</v>
      </c>
      <c r="F490" s="77">
        <f>SUM(F485:F488)</f>
        <v>66663</v>
      </c>
      <c r="G490" s="77">
        <f>SUM(G485:G488)</f>
        <v>61307</v>
      </c>
      <c r="H490" s="77">
        <f>SUM(H485:H488)</f>
        <v>81531</v>
      </c>
      <c r="I490" s="60">
        <f>SUM(F490:H490)</f>
        <v>209501</v>
      </c>
      <c r="J490" s="77">
        <f>SUM(J485:J488)</f>
        <v>79460</v>
      </c>
      <c r="K490" s="77">
        <f>SUM(K485:K488)</f>
        <v>71396</v>
      </c>
      <c r="L490" s="77">
        <f>SUM(L485:L488)</f>
        <v>50271</v>
      </c>
      <c r="M490" s="60">
        <f>SUM(J490:L490)</f>
        <v>201127</v>
      </c>
      <c r="N490" s="77">
        <f>SUM(N485:N488)</f>
        <v>50374</v>
      </c>
      <c r="O490" s="77">
        <f>SUM(O485:O488)</f>
        <v>5252</v>
      </c>
      <c r="P490" s="77">
        <f>SUM(P485:P488)</f>
        <v>26064</v>
      </c>
      <c r="Q490" s="60">
        <f>SUM(N490:P490)</f>
        <v>81690</v>
      </c>
      <c r="R490" s="60">
        <f>+E490+I490+M490+Q490</f>
        <v>549677</v>
      </c>
    </row>
    <row r="491" spans="1:20" ht="15.75" customHeight="1" x14ac:dyDescent="0.3">
      <c r="A491" s="79" t="s">
        <v>42</v>
      </c>
      <c r="B491" s="1">
        <f>(B490/B10)/1.983</f>
        <v>147.77219266995266</v>
      </c>
      <c r="C491" s="1">
        <f>(C490/C10)/1.983</f>
        <v>293.18853108565662</v>
      </c>
      <c r="D491" s="1">
        <f>(D490/D10)/1.983</f>
        <v>520.48866982252378</v>
      </c>
      <c r="E491" s="55" t="s">
        <v>7</v>
      </c>
      <c r="F491" s="1">
        <f>(F490/F10)/1.983</f>
        <v>1120.5748865355522</v>
      </c>
      <c r="G491" s="1">
        <f>(G490/G10)/1.983</f>
        <v>997.29962747873049</v>
      </c>
      <c r="H491" s="1">
        <f>(H490/H10)/1.983</f>
        <v>1370.4992435703477</v>
      </c>
      <c r="I491" s="55" t="s">
        <v>7</v>
      </c>
      <c r="J491" s="1">
        <f>(J490/J10)/1.983</f>
        <v>1292.6000032534607</v>
      </c>
      <c r="K491" s="1">
        <f>(K490/K10)/1.983</f>
        <v>1161.420461015405</v>
      </c>
      <c r="L491" s="1">
        <f>(L490/L10)/1.983</f>
        <v>845.03277861825518</v>
      </c>
      <c r="M491" s="55" t="s">
        <v>7</v>
      </c>
      <c r="N491" s="1">
        <f>(N490/N10)/1.983</f>
        <v>819.4491890748784</v>
      </c>
      <c r="O491" s="1">
        <f>(O490/O10)/1.983</f>
        <v>88.283745167254992</v>
      </c>
      <c r="P491" s="1">
        <f>(P490/P10)/1.983</f>
        <v>423.99102044800151</v>
      </c>
      <c r="Q491" s="55" t="s">
        <v>7</v>
      </c>
      <c r="R491" s="55" t="s">
        <v>7</v>
      </c>
    </row>
    <row r="492" spans="1:20" ht="15.75" customHeight="1" x14ac:dyDescent="0.3">
      <c r="A492" s="79" t="s">
        <v>289</v>
      </c>
      <c r="B492" s="1">
        <f>B490+B542</f>
        <v>24277</v>
      </c>
      <c r="C492" s="1">
        <f>C490+C542</f>
        <v>31058</v>
      </c>
      <c r="D492" s="1">
        <f>D490+D542</f>
        <v>56016</v>
      </c>
      <c r="E492" s="55">
        <f>SUM(B492:D492)</f>
        <v>111351</v>
      </c>
      <c r="F492" s="1">
        <f>F490+F542</f>
        <v>109062</v>
      </c>
      <c r="G492" s="1">
        <f>G490+G542</f>
        <v>96451</v>
      </c>
      <c r="H492" s="1">
        <f>H490+H542</f>
        <v>127265</v>
      </c>
      <c r="I492" s="55">
        <f>SUM(F492:H492)</f>
        <v>332778</v>
      </c>
      <c r="J492" s="1">
        <f>J490+J542</f>
        <v>131500</v>
      </c>
      <c r="K492" s="1">
        <f>K490+K542</f>
        <v>124832</v>
      </c>
      <c r="L492" s="1">
        <f>L490+L542</f>
        <v>80100</v>
      </c>
      <c r="M492" s="55">
        <f>SUM(J492:L492)</f>
        <v>336432</v>
      </c>
      <c r="N492" s="1">
        <f>N490+N542</f>
        <v>72203</v>
      </c>
      <c r="O492" s="1">
        <f>O490+O542</f>
        <v>6457</v>
      </c>
      <c r="P492" s="1">
        <f>P490+P542</f>
        <v>33349</v>
      </c>
      <c r="Q492" s="55">
        <f>SUM(N492:P492)</f>
        <v>112009</v>
      </c>
      <c r="R492" s="55">
        <f>+E492+I492+M492+Q492</f>
        <v>892570</v>
      </c>
    </row>
    <row r="493" spans="1:20" s="344" customFormat="1" ht="16.5" customHeight="1" thickBot="1" x14ac:dyDescent="0.35">
      <c r="A493" s="356" t="s">
        <v>290</v>
      </c>
      <c r="B493" s="357">
        <f>(B492/B10)/1.983</f>
        <v>394.92134758349192</v>
      </c>
      <c r="C493" s="357">
        <f>(C492/C10)/1.983</f>
        <v>559.36171745551474</v>
      </c>
      <c r="D493" s="357">
        <f>(D492/D10)/1.983</f>
        <v>911.22932018935137</v>
      </c>
      <c r="E493" s="358" t="s">
        <v>7</v>
      </c>
      <c r="F493" s="357">
        <f>(F492/F10)/1.983</f>
        <v>1833.2829046898637</v>
      </c>
      <c r="G493" s="357">
        <f>(G492/G10)/1.983</f>
        <v>1568.9977713793048</v>
      </c>
      <c r="H493" s="357">
        <f>(H492/H10)/1.983</f>
        <v>2139.2671037149103</v>
      </c>
      <c r="I493" s="358" t="s">
        <v>7</v>
      </c>
      <c r="J493" s="357">
        <f>(J492/J10)/1.983</f>
        <v>2139.1505213671044</v>
      </c>
      <c r="K493" s="357">
        <f>(K492/K10)/1.983</f>
        <v>2030.6801359946644</v>
      </c>
      <c r="L493" s="357">
        <f>(L492/L10)/1.983</f>
        <v>1346.4447806354008</v>
      </c>
      <c r="M493" s="358" t="s">
        <v>7</v>
      </c>
      <c r="N493" s="357">
        <f>(N492/N10)/1.983</f>
        <v>1174.5481756218176</v>
      </c>
      <c r="O493" s="357">
        <f>(O492/O10)/1.983</f>
        <v>108.53925029416708</v>
      </c>
      <c r="P493" s="357">
        <f>(P492/P10)/1.983</f>
        <v>542.49833260130458</v>
      </c>
      <c r="Q493" s="358" t="s">
        <v>7</v>
      </c>
      <c r="R493" s="358" t="s">
        <v>7</v>
      </c>
    </row>
    <row r="494" spans="1:20" ht="15.75" customHeight="1" x14ac:dyDescent="0.3">
      <c r="A494" s="120" t="s">
        <v>291</v>
      </c>
      <c r="B494" s="121">
        <f>B$495+(SUMIF($T$326:$T$469,"FLG",B$333:B$487)/B10/1.98)+(SUMIF($T$326:$T$469,"FCA",B$333:B$487)/B10/1.98)+(SUMIF($T$326:$T$469,"NSC",B$333:B$487)/B10/1.98)</f>
        <v>336.6245540663578</v>
      </c>
      <c r="C494" s="121">
        <f>C$495+(SUMIF($T$326:$T$469,"FLG",C$333:C$487)/C10/1.98)+(SUMIF($T$326:$T$469,"FCA",C$333:C$487)/C10/1.98)+(SUMIF($T$326:$T$469,"NSC",C$333:C$487)/C10/1.98)</f>
        <v>386.50146919814085</v>
      </c>
      <c r="D494" s="121">
        <f>D$495+(SUMIF($T$326:$T$469,"FLG",D$333:D$487)/D10/1.98)+(SUMIF($T$326:$T$469,"FCA",D$333:D$487)/D10/1.98)+(SUMIF($T$326:$T$469,"NSC",D$333:D$487)/D10/1.98)</f>
        <v>595.31868881583387</v>
      </c>
      <c r="E494" s="122"/>
      <c r="F494" s="121">
        <f>F$495+(SUMIF($T$326:$T$469,"FLG",F$333:F$487)/F10/1.98)+(SUMIF($T$326:$T$469,"FCA",F$333:F$487)/F10/1.98)+(SUMIF($T$326:$T$469,"NSC",F$333:F$487)/F10/1.98)</f>
        <v>1195.064920511214</v>
      </c>
      <c r="G494" s="121">
        <f>G$495+(SUMIF($T$326:$T$469,"FLG",G$333:G$487)/G10/1.98)+(SUMIF($T$326:$T$469,"FCA",G$333:G$487)/G10/1.98)+(SUMIF($T$326:$T$469,"NSC",G$333:G$487)/G10/1.98)</f>
        <v>899.36187801592132</v>
      </c>
      <c r="H494" s="121">
        <f>H$495+(SUMIF($T$326:$T$469,"FLG",H$333:H$487)/H10/1.98)+(SUMIF($T$326:$T$469,"FCA",H$333:H$487)/H10/1.98)+(SUMIF($T$326:$T$469,"NSC",H$333:H$487)/H10/1.98)</f>
        <v>1430.9732473499491</v>
      </c>
      <c r="I494" s="45"/>
      <c r="J494" s="121">
        <f>J$495+(SUMIF($T$326:$T$469,"FLG",J$333:J$487)/J10/1.98)+(SUMIF($T$326:$T$469,"FCA",J$333:J$487)/J10/1.98)+(SUMIF($T$326:$T$469,"NSC",J$333:J$487)/J10/1.98)</f>
        <v>1497.3325317988829</v>
      </c>
      <c r="K494" s="121">
        <f>K$495+(SUMIF($T$326:$T$469,"FLG",K$333:K$487)/K10/1.98)+(SUMIF($T$326:$T$469,"FCA",K$333:K$487)/K10/1.98)+(SUMIF($T$326:$T$469,"NSC",K$333:K$487)/K10/1.98)</f>
        <v>1386.80610704182</v>
      </c>
      <c r="L494" s="121">
        <f>L$495+(SUMIF($T$326:$T$469,"FLG",L$333:L$487)/L10/1.98)+(SUMIF($T$326:$T$469,"FCA",L$333:L$487)/L10/1.98)+(SUMIF($T$326:$T$469,"NSC",L$333:L$487)/L10/1.98)</f>
        <v>799.98102558616927</v>
      </c>
      <c r="M494" s="45"/>
      <c r="N494" s="121">
        <f>N$495+(SUMIF($T$326:$T$469,"FLG",N$333:N$487)/N10/1.98)+(SUMIF($T$326:$T$469,"FCA",N$333:N$487)/N10/1.98)+(SUMIF($T$326:$T$469,"NSC",N$333:N$487)/N10/1.98)</f>
        <v>607.37985979555447</v>
      </c>
      <c r="O494" s="121">
        <f>O$495+(SUMIF($T$326:$T$469,"FLG",O$333:O$487)/O10/1.98)+(SUMIF($T$326:$T$469,"FCA",O$333:O$487)/O10/1.98)+(SUMIF($T$326:$T$469,"NSC",O$333:O$487)/O10/1.98)</f>
        <v>26.484461355868312</v>
      </c>
      <c r="P494" s="121">
        <f>P$495+(SUMIF($T$326:$T$469,"FLG",P$333:P$487)/P10/1.98)+(SUMIF($T$326:$T$469,"FCA",P$333:P$487)/P10/1.98)+(SUMIF($T$326:$T$469,"NSC",P$333:P$487)/P10/1.98)</f>
        <v>348.50079537259273</v>
      </c>
      <c r="Q494" s="45"/>
      <c r="R494" s="45"/>
    </row>
    <row r="495" spans="1:20" ht="15.75" customHeight="1" x14ac:dyDescent="0.3">
      <c r="A495" s="120" t="s">
        <v>292</v>
      </c>
      <c r="B495" s="121">
        <f>B$496+(SUMIF($T$326:$T$469,"FCI",B$333:B$487)/B10/1.98)+(SUMIF($T$326:$T$469,"FCC",B$333:B$487)/B10/1.98)</f>
        <v>336.6245540663578</v>
      </c>
      <c r="C495" s="121">
        <f>C$496+(SUMIF($T$326:$T$469,"FCI",C$333:C$487)/C10/1.98)+(SUMIF($T$326:$T$469,"FCC",C$333:C$487)/C10/1.98)</f>
        <v>386.50146919814085</v>
      </c>
      <c r="D495" s="121">
        <f>D$496+(SUMIF($T$326:$T$469,"FCI",D$333:D$487)/D10/1.98)+(SUMIF($T$326:$T$469,"FCC",D$333:D$487)/D10/1.98)</f>
        <v>595.31868881583387</v>
      </c>
      <c r="E495" s="122"/>
      <c r="F495" s="121">
        <f>F$496+(SUMIF($T$326:$T$469,"FCI",F$333:F$487)/F10/1.98)+(SUMIF($T$326:$T$469,"FCC",F$333:F$487)/F10/1.98)</f>
        <v>1195.064920511214</v>
      </c>
      <c r="G495" s="121">
        <f>G$496+(SUMIF($T$326:$T$469,"FCI",G$333:G$487)/G10/1.98)+(SUMIF($T$326:$T$469,"FCC",G$333:G$487)/G10/1.98)</f>
        <v>899.36187801592132</v>
      </c>
      <c r="H495" s="121">
        <f>H$496+(SUMIF($T$326:$T$469,"FCI",H$333:H$487)/H10/1.98)+(SUMIF($T$326:$T$469,"FCC",H$333:H$487)/H10/1.98)</f>
        <v>1430.9732473499491</v>
      </c>
      <c r="I495" s="45"/>
      <c r="J495" s="121">
        <f>J$496+(SUMIF($T$326:$T$469,"FCI",J$333:J$487)/J10/1.98)+(SUMIF($T$326:$T$469,"FCC",J$333:J$487)/J10/1.98)</f>
        <v>1497.3325317988829</v>
      </c>
      <c r="K495" s="121">
        <f>K$496+(SUMIF($T$326:$T$469,"FCI",K$333:K$487)/K10/1.98)+(SUMIF($T$326:$T$469,"FCC",K$333:K$487)/K10/1.98)</f>
        <v>1386.80610704182</v>
      </c>
      <c r="L495" s="121">
        <f>L$496+(SUMIF($T$326:$T$469,"FCI",L$333:L$487)/L10/1.98)+(SUMIF($T$326:$T$469,"FCC",L$333:L$487)/L10/1.98)</f>
        <v>799.98102558616927</v>
      </c>
      <c r="M495" s="45"/>
      <c r="N495" s="121">
        <f>N$496+(SUMIF($T$326:$T$469,"FCI",N$333:N$487)/N10/1.98)+(SUMIF($T$326:$T$469,"FCC",N$333:N$487)/N10/1.98)</f>
        <v>607.37985979555447</v>
      </c>
      <c r="O495" s="121">
        <f>O$496+(SUMIF($T$326:$T$469,"FCI",O$333:O$487)/O10/1.98)+(SUMIF($T$326:$T$469,"FCC",O$333:O$487)/O10/1.98)</f>
        <v>26.484461355868312</v>
      </c>
      <c r="P495" s="121">
        <f>P$496+(SUMIF($T$326:$T$469,"FCI",P$333:P$487)/P10/1.98)+(SUMIF($T$326:$T$469,"FCC",P$333:P$487)/P10/1.98)</f>
        <v>348.50079537259273</v>
      </c>
      <c r="Q495" s="45"/>
      <c r="R495" s="45"/>
    </row>
    <row r="496" spans="1:20" ht="15.75" customHeight="1" x14ac:dyDescent="0.3">
      <c r="A496" s="120" t="s">
        <v>293</v>
      </c>
      <c r="B496" s="121">
        <f>B$497+(SUMIF($T$326:$T$469,"PIL",B$333:B$487)/B10/1.98)+(SUMIF($T$326:$T$469,"KLK",B$333:B$487)/B10/1.98)</f>
        <v>336.6245540663578</v>
      </c>
      <c r="C496" s="121">
        <f>C$497+(SUMIF($T$326:$T$469,"PIL",C$333:C$487)/C10/1.98)+(SUMIF($T$326:$T$469,"KLK",C$333:C$487)/C10/1.98)</f>
        <v>386.50146919814085</v>
      </c>
      <c r="D496" s="121">
        <f>D$497+(SUMIF($T$326:$T$469,"PIL",D$333:D$487)/D10/1.98)+(SUMIF($T$326:$T$469,"KLK",D$333:D$487)/D10/1.98)</f>
        <v>595.31868881583387</v>
      </c>
      <c r="E496" s="122"/>
      <c r="F496" s="121">
        <f>F$497+(SUMIF($T$326:$T$469,"PIL",F$333:F$487)/F10/1.98)+(SUMIF($T$326:$T$469,"KLK",F$333:F$487)/F10/1.98)</f>
        <v>1195.064920511214</v>
      </c>
      <c r="G496" s="121">
        <f>G$497+(SUMIF($T$326:$T$469,"PIL",G$333:G$487)/G10/1.98)+(SUMIF($T$326:$T$469,"KLK",G$333:G$487)/G10/1.98)</f>
        <v>899.36187801592132</v>
      </c>
      <c r="H496" s="121">
        <f>H$497+(SUMIF($T$326:$T$469,"PIL",H$333:H$487)/H10/1.98)+(SUMIF($T$326:$T$469,"KLK",H$333:H$487)/H10/1.98)</f>
        <v>1430.9732473499491</v>
      </c>
      <c r="I496" s="45"/>
      <c r="J496" s="121">
        <f>J$497+(SUMIF($T$326:$T$469,"PIL",J$333:J$487)/J10/1.98)+(SUMIF($T$326:$T$469,"KLK",J$333:J$487)/J10/1.98)</f>
        <v>1497.3325317988829</v>
      </c>
      <c r="K496" s="121">
        <f>K$497+(SUMIF($T$326:$T$469,"PIL",K$333:K$487)/K10/1.98)+(SUMIF($T$326:$T$469,"KLK",K$333:K$487)/K10/1.98)</f>
        <v>1386.80610704182</v>
      </c>
      <c r="L496" s="121">
        <f>L$497+(SUMIF($T$326:$T$469,"PIL",L$333:L$487)/L10/1.98)+(SUMIF($T$326:$T$469,"KLK",L$333:L$487)/L10/1.98)</f>
        <v>799.98102558616927</v>
      </c>
      <c r="M496" s="45"/>
      <c r="N496" s="121">
        <f>N$497+(SUMIF($T$326:$T$469,"PIL",N$333:N$487)/N10/1.98)+(SUMIF($T$326:$T$469,"KLK",N$333:N$487)/N10/1.98)</f>
        <v>607.37985979555447</v>
      </c>
      <c r="O496" s="121">
        <f>O$497+(SUMIF($T$326:$T$469,"PIL",O$333:O$487)/O10/1.98)+(SUMIF($T$326:$T$469,"KLK",O$333:O$487)/O10/1.98)</f>
        <v>26.484461355868312</v>
      </c>
      <c r="P496" s="121">
        <f>P$497+(SUMIF($T$326:$T$469,"PIL",P$333:P$487)/P10/1.98)+(SUMIF($T$326:$T$469,"KLK",P$333:P$487)/P10/1.98)</f>
        <v>348.50079537259273</v>
      </c>
      <c r="Q496" s="45"/>
      <c r="R496" s="45"/>
    </row>
    <row r="497" spans="1:20" ht="15.75" customHeight="1" x14ac:dyDescent="0.3">
      <c r="A497" s="120" t="s">
        <v>294</v>
      </c>
      <c r="B497" s="121">
        <f>B$498+(SUMIF($T$326:$T$469,"CGE",B$333:B$487)/B10/1.98)</f>
        <v>336.6245540663578</v>
      </c>
      <c r="C497" s="121">
        <f>C$498+(SUMIF($T$326:$T$469,"CGE",C$333:C$487)/C10/1.98)</f>
        <v>386.50146919814085</v>
      </c>
      <c r="D497" s="121">
        <f>D$498+(SUMIF($T$326:$T$469,"CGE",D$333:D$487)/D10/1.98)</f>
        <v>595.31868881583387</v>
      </c>
      <c r="E497" s="122"/>
      <c r="F497" s="121">
        <f>F$498+(SUMIF($T$326:$T$469,"CGE",F$333:F$487)/F10/1.98)</f>
        <v>1195.064920511214</v>
      </c>
      <c r="G497" s="121">
        <f>G$498+(SUMIF($T$326:$T$469,"CGE",G$333:G$487)/G10/1.98)</f>
        <v>898.25402529516532</v>
      </c>
      <c r="H497" s="121">
        <f>H$498+(SUMIF($T$326:$T$469,"CGE",H$333:H$487)/H10/1.98)</f>
        <v>1427.9597793364812</v>
      </c>
      <c r="I497" s="45"/>
      <c r="J497" s="121">
        <f>J$498+(SUMIF($T$326:$T$469,"CGE",J$333:J$487)/J10/1.98)</f>
        <v>1495.019074646716</v>
      </c>
      <c r="K497" s="121">
        <f>K$498+(SUMIF($T$326:$T$469,"CGE",K$333:K$487)/K10/1.98)</f>
        <v>1385.437583092651</v>
      </c>
      <c r="L497" s="121">
        <f>L$498+(SUMIF($T$326:$T$469,"CGE",L$333:L$487)/L10/1.98)</f>
        <v>799.61065521579894</v>
      </c>
      <c r="M497" s="45"/>
      <c r="N497" s="121">
        <f>N$498+(SUMIF($T$326:$T$469,"CGE",N$333:N$487)/N10/1.98)</f>
        <v>607.37985979555447</v>
      </c>
      <c r="O497" s="121">
        <f>O$498+(SUMIF($T$326:$T$469,"CGE",O$333:O$487)/O10/1.98)</f>
        <v>26.484461355868312</v>
      </c>
      <c r="P497" s="121">
        <f>P$498+(SUMIF($T$326:$T$469,"CGE",P$333:P$487)/P10/1.98)</f>
        <v>348.50079537259273</v>
      </c>
      <c r="Q497" s="45"/>
      <c r="R497" s="45"/>
    </row>
    <row r="498" spans="1:20" ht="15.75" customHeight="1" x14ac:dyDescent="0.3">
      <c r="A498" s="120" t="s">
        <v>295</v>
      </c>
      <c r="B498" s="121">
        <f>B$499+(SUMIF($T$326:$T$469,"SRO",B$333:B$487)/B10/1.98)</f>
        <v>336.6245540663578</v>
      </c>
      <c r="C498" s="121">
        <f>C$499+(SUMIF($T$326:$T$469,"SRO",C$333:C$487)/C10/1.98)</f>
        <v>386.50146919814085</v>
      </c>
      <c r="D498" s="121">
        <f>D$499+(SUMIF($T$326:$T$469,"SRO",D$333:D$487)/D10/1.98)</f>
        <v>595.31868881583387</v>
      </c>
      <c r="E498" s="122"/>
      <c r="F498" s="121">
        <f>F$499+(SUMIF($T$326:$T$469,"SRO",F$333:F$487)/F10/1.98)</f>
        <v>1195.064920511214</v>
      </c>
      <c r="G498" s="121">
        <f>G$499+(SUMIF($T$326:$T$469,"SRO",G$333:G$487)/G10/1.98)</f>
        <v>898.25402529516532</v>
      </c>
      <c r="H498" s="121">
        <f>H$499+(SUMIF($T$326:$T$469,"SRO",H$333:H$487)/H10/1.98)</f>
        <v>1427.9597793364812</v>
      </c>
      <c r="I498" s="45"/>
      <c r="J498" s="121">
        <f>J$499+(SUMIF($T$326:$T$469,"SRO",J$333:J$487)/J10/1.98)</f>
        <v>1495.019074646716</v>
      </c>
      <c r="K498" s="121">
        <f>K$499+(SUMIF($T$326:$T$469,"SRO",K$333:K$487)/K10/1.98)</f>
        <v>1385.437583092651</v>
      </c>
      <c r="L498" s="121">
        <f>L$499+(SUMIF($T$326:$T$469,"SRO",L$333:L$487)/L10/1.98)</f>
        <v>799.61065521579894</v>
      </c>
      <c r="M498" s="45"/>
      <c r="N498" s="121">
        <f>N$499+(SUMIF($T$326:$T$469,"SRO",N$333:N$487)/N10/1.98)</f>
        <v>607.37985979555447</v>
      </c>
      <c r="O498" s="121">
        <f>O$499+(SUMIF($T$326:$T$469,"SRO",O$333:O$487)/O10/1.98)</f>
        <v>26.484461355868312</v>
      </c>
      <c r="P498" s="121">
        <f>P$499+(SUMIF($T$326:$T$469,"SRO",P$333:P$487)/P10/1.98)</f>
        <v>348.50079537259273</v>
      </c>
      <c r="Q498" s="45"/>
      <c r="R498" s="45"/>
    </row>
    <row r="499" spans="1:20" ht="15.75" customHeight="1" x14ac:dyDescent="0.3">
      <c r="A499" s="120" t="s">
        <v>296</v>
      </c>
      <c r="B499" s="121">
        <f>B$542/B10/1.983</f>
        <v>247.14915491353929</v>
      </c>
      <c r="C499" s="121">
        <f>C$542/C10/1.983</f>
        <v>266.17318636985806</v>
      </c>
      <c r="D499" s="121">
        <f>D$542/D10/1.983</f>
        <v>390.74065036682771</v>
      </c>
      <c r="E499" s="123"/>
      <c r="F499" s="121">
        <f>F$542/F10/1.983</f>
        <v>712.70801815431162</v>
      </c>
      <c r="G499" s="121">
        <f>G$542/G10/1.983</f>
        <v>571.69814390057422</v>
      </c>
      <c r="H499" s="121">
        <f>H$542/H10/1.983</f>
        <v>768.76786014456206</v>
      </c>
      <c r="I499" s="1"/>
      <c r="J499" s="121">
        <f>J$542/J10/1.983</f>
        <v>846.55051811364342</v>
      </c>
      <c r="K499" s="121">
        <f>K$542/K10/1.983</f>
        <v>869.2596749792591</v>
      </c>
      <c r="L499" s="121">
        <f>L$542/L10/1.983</f>
        <v>501.41200201714571</v>
      </c>
      <c r="N499" s="121">
        <f>N$542/N10/1.983</f>
        <v>355.09898654693927</v>
      </c>
      <c r="O499" s="121">
        <f>O$542/O10/1.983</f>
        <v>20.255505126912084</v>
      </c>
      <c r="P499" s="121">
        <f>P$542/P10/1.983</f>
        <v>118.50731215330308</v>
      </c>
      <c r="R499" s="45"/>
    </row>
    <row r="500" spans="1:20" ht="15.75" customHeight="1" x14ac:dyDescent="0.3">
      <c r="A500" s="120"/>
      <c r="B500" s="121"/>
      <c r="C500" s="121"/>
      <c r="D500" s="121"/>
      <c r="E500" s="123"/>
      <c r="F500" s="121"/>
      <c r="G500" s="121"/>
      <c r="H500" s="121"/>
      <c r="I500" s="1"/>
      <c r="J500" s="121"/>
      <c r="K500" s="121"/>
      <c r="L500" s="121"/>
      <c r="N500" s="121"/>
      <c r="O500" s="121"/>
      <c r="P500" s="121"/>
      <c r="R500" s="45"/>
    </row>
    <row r="501" spans="1:20" ht="15.75" customHeight="1" thickBot="1" x14ac:dyDescent="0.35">
      <c r="A501" s="28"/>
      <c r="B501" s="1"/>
      <c r="C501" s="1"/>
      <c r="D501" s="1"/>
      <c r="E501" s="1"/>
      <c r="F501" s="1"/>
      <c r="G501" s="1"/>
      <c r="H501" s="1"/>
      <c r="I501" s="1"/>
      <c r="J501" s="1"/>
      <c r="K501" s="1"/>
      <c r="L501" s="1"/>
      <c r="M501" s="1"/>
      <c r="N501" s="1"/>
      <c r="O501" s="1"/>
      <c r="P501" s="1"/>
      <c r="Q501" s="1"/>
      <c r="R501" s="2"/>
    </row>
    <row r="502" spans="1:20" ht="16.5" customHeight="1" thickBot="1" x14ac:dyDescent="0.35">
      <c r="A502" s="29" t="s">
        <v>297</v>
      </c>
      <c r="B502" s="30" t="s">
        <v>8</v>
      </c>
      <c r="C502" s="31" t="s">
        <v>9</v>
      </c>
      <c r="D502" s="31" t="s">
        <v>10</v>
      </c>
      <c r="E502" s="32" t="s">
        <v>11</v>
      </c>
      <c r="F502" s="31" t="s">
        <v>12</v>
      </c>
      <c r="G502" s="31" t="s">
        <v>13</v>
      </c>
      <c r="H502" s="31" t="s">
        <v>14</v>
      </c>
      <c r="I502" s="33" t="s">
        <v>15</v>
      </c>
      <c r="J502" s="31" t="s">
        <v>16</v>
      </c>
      <c r="K502" s="31" t="s">
        <v>17</v>
      </c>
      <c r="L502" s="31" t="s">
        <v>18</v>
      </c>
      <c r="M502" s="33" t="s">
        <v>19</v>
      </c>
      <c r="N502" s="31" t="s">
        <v>20</v>
      </c>
      <c r="O502" s="31" t="s">
        <v>21</v>
      </c>
      <c r="P502" s="31" t="s">
        <v>22</v>
      </c>
      <c r="Q502" s="33" t="s">
        <v>23</v>
      </c>
      <c r="R502" s="34" t="s">
        <v>24</v>
      </c>
    </row>
    <row r="503" spans="1:20" ht="16.5" customHeight="1" thickBot="1" x14ac:dyDescent="0.35">
      <c r="A503" s="59"/>
      <c r="B503" s="75"/>
      <c r="C503" s="75"/>
      <c r="D503" s="75"/>
      <c r="E503" s="69"/>
      <c r="F503" s="75"/>
      <c r="G503" s="75"/>
      <c r="H503" s="75"/>
      <c r="I503" s="82"/>
      <c r="J503" s="75"/>
      <c r="K503" s="75"/>
      <c r="L503" s="75"/>
      <c r="M503" s="82"/>
      <c r="N503" s="75"/>
      <c r="O503" s="75"/>
      <c r="P503" s="75"/>
      <c r="Q503" s="82"/>
      <c r="R503" s="100"/>
    </row>
    <row r="504" spans="1:20" ht="15.75" customHeight="1" x14ac:dyDescent="0.3">
      <c r="A504" s="15" t="s">
        <v>48</v>
      </c>
      <c r="B504" s="1" t="s">
        <v>7</v>
      </c>
      <c r="C504" s="1" t="s">
        <v>7</v>
      </c>
      <c r="D504" s="1" t="s">
        <v>7</v>
      </c>
      <c r="E504" s="55" t="s">
        <v>7</v>
      </c>
      <c r="F504" s="1"/>
      <c r="G504" s="1"/>
      <c r="H504" s="1"/>
      <c r="I504" s="55" t="s">
        <v>7</v>
      </c>
      <c r="J504" s="1" t="s">
        <v>7</v>
      </c>
      <c r="K504" s="1" t="s">
        <v>7</v>
      </c>
      <c r="L504" s="1" t="s">
        <v>7</v>
      </c>
      <c r="M504" s="55" t="s">
        <v>7</v>
      </c>
      <c r="N504" s="1" t="s">
        <v>7</v>
      </c>
      <c r="O504" s="1" t="s">
        <v>7</v>
      </c>
      <c r="P504" s="1" t="s">
        <v>7</v>
      </c>
      <c r="Q504" s="55" t="s">
        <v>7</v>
      </c>
      <c r="R504" s="55" t="s">
        <v>7</v>
      </c>
    </row>
    <row r="505" spans="1:20" ht="15.75" customHeight="1" x14ac:dyDescent="0.3">
      <c r="A505" s="15" t="s">
        <v>49</v>
      </c>
      <c r="B505" s="1"/>
      <c r="C505" s="1"/>
      <c r="D505" s="1"/>
      <c r="E505" s="55" t="s">
        <v>7</v>
      </c>
      <c r="F505" s="1"/>
      <c r="G505" s="1"/>
      <c r="H505" s="1"/>
      <c r="I505" s="55" t="s">
        <v>7</v>
      </c>
      <c r="J505" s="1"/>
      <c r="K505" s="1"/>
      <c r="L505" s="1"/>
      <c r="M505" s="55" t="s">
        <v>7</v>
      </c>
      <c r="N505" s="1"/>
      <c r="O505" s="1"/>
      <c r="P505" s="1"/>
      <c r="Q505" s="55" t="s">
        <v>7</v>
      </c>
      <c r="R505" s="55" t="s">
        <v>7</v>
      </c>
    </row>
    <row r="506" spans="1:20" ht="15.75" customHeight="1" x14ac:dyDescent="0.3">
      <c r="A506" s="71" t="s">
        <v>1225</v>
      </c>
      <c r="B506" s="1"/>
      <c r="C506" s="1"/>
      <c r="D506" s="1"/>
      <c r="E506" s="55">
        <f t="shared" ref="E506:E510" si="205">SUM(B506:D506)</f>
        <v>0</v>
      </c>
      <c r="F506" s="1">
        <v>2</v>
      </c>
      <c r="G506" s="1"/>
      <c r="H506" s="1">
        <v>32</v>
      </c>
      <c r="I506" s="55">
        <f t="shared" ref="I506:I510" si="206">SUM(F506:H506)</f>
        <v>34</v>
      </c>
      <c r="J506" s="1">
        <v>14</v>
      </c>
      <c r="K506" s="1">
        <v>4</v>
      </c>
      <c r="L506" s="1"/>
      <c r="M506" s="55">
        <f t="shared" ref="M506:M510" si="207">SUM(J506:L506)</f>
        <v>18</v>
      </c>
      <c r="N506" s="1">
        <v>8</v>
      </c>
      <c r="O506" s="1"/>
      <c r="P506" s="1"/>
      <c r="Q506" s="55">
        <f t="shared" ref="Q506:Q510" si="208">SUM(N506:P506)</f>
        <v>8</v>
      </c>
      <c r="R506" s="55">
        <f t="shared" ref="R506:R510" si="209">+E506+I506+M506+Q506</f>
        <v>60</v>
      </c>
      <c r="T506" s="4" t="s">
        <v>938</v>
      </c>
    </row>
    <row r="507" spans="1:20" ht="15.75" customHeight="1" x14ac:dyDescent="0.3">
      <c r="A507" s="71" t="s">
        <v>1226</v>
      </c>
      <c r="B507" s="1"/>
      <c r="C507" s="1"/>
      <c r="D507" s="1"/>
      <c r="E507" s="55">
        <f t="shared" si="205"/>
        <v>0</v>
      </c>
      <c r="F507" s="1"/>
      <c r="G507" s="1"/>
      <c r="H507" s="1"/>
      <c r="I507" s="55">
        <f t="shared" si="206"/>
        <v>0</v>
      </c>
      <c r="J507" s="1"/>
      <c r="K507" s="1"/>
      <c r="L507" s="1"/>
      <c r="M507" s="55">
        <f t="shared" si="207"/>
        <v>0</v>
      </c>
      <c r="N507" s="1"/>
      <c r="O507" s="1"/>
      <c r="P507" s="1"/>
      <c r="Q507" s="55">
        <f t="shared" si="208"/>
        <v>0</v>
      </c>
      <c r="R507" s="55">
        <f t="shared" si="209"/>
        <v>0</v>
      </c>
      <c r="T507" s="4" t="s">
        <v>938</v>
      </c>
    </row>
    <row r="508" spans="1:20" ht="15.75" customHeight="1" x14ac:dyDescent="0.3">
      <c r="A508" s="71" t="s">
        <v>1320</v>
      </c>
      <c r="B508" s="1"/>
      <c r="C508" s="1"/>
      <c r="D508" s="1"/>
      <c r="E508" s="55">
        <f t="shared" si="205"/>
        <v>0</v>
      </c>
      <c r="F508" s="1"/>
      <c r="G508" s="1"/>
      <c r="H508" s="1"/>
      <c r="I508" s="55">
        <f t="shared" si="206"/>
        <v>0</v>
      </c>
      <c r="J508" s="1"/>
      <c r="K508" s="1"/>
      <c r="L508" s="1"/>
      <c r="M508" s="55">
        <f t="shared" si="207"/>
        <v>0</v>
      </c>
      <c r="N508" s="1"/>
      <c r="O508" s="1"/>
      <c r="P508" s="1"/>
      <c r="Q508" s="55">
        <f t="shared" si="208"/>
        <v>0</v>
      </c>
      <c r="R508" s="55">
        <f t="shared" si="209"/>
        <v>0</v>
      </c>
    </row>
    <row r="509" spans="1:20" ht="15.75" customHeight="1" x14ac:dyDescent="0.3">
      <c r="A509" s="71" t="s">
        <v>980</v>
      </c>
      <c r="C509" s="1"/>
      <c r="D509" s="1"/>
      <c r="E509" s="55">
        <f t="shared" si="205"/>
        <v>0</v>
      </c>
      <c r="F509" s="1"/>
      <c r="G509" s="1">
        <v>2300</v>
      </c>
      <c r="H509" s="1"/>
      <c r="I509" s="55">
        <f t="shared" si="206"/>
        <v>2300</v>
      </c>
      <c r="J509" s="1"/>
      <c r="K509" s="1"/>
      <c r="L509" s="1">
        <v>300</v>
      </c>
      <c r="M509" s="55">
        <f t="shared" si="207"/>
        <v>300</v>
      </c>
      <c r="N509" s="1"/>
      <c r="O509" s="1"/>
      <c r="P509" s="1"/>
      <c r="Q509" s="55">
        <f t="shared" si="208"/>
        <v>0</v>
      </c>
      <c r="R509" s="55">
        <f t="shared" si="209"/>
        <v>2600</v>
      </c>
      <c r="T509" s="4" t="s">
        <v>938</v>
      </c>
    </row>
    <row r="510" spans="1:20" ht="15.75" customHeight="1" x14ac:dyDescent="0.3">
      <c r="A510" s="72" t="s">
        <v>981</v>
      </c>
      <c r="B510" s="1"/>
      <c r="C510" s="1"/>
      <c r="D510" s="1"/>
      <c r="E510" s="55">
        <f t="shared" si="205"/>
        <v>0</v>
      </c>
      <c r="F510" s="1"/>
      <c r="G510" s="1"/>
      <c r="H510" s="1"/>
      <c r="I510" s="55">
        <f t="shared" si="206"/>
        <v>0</v>
      </c>
      <c r="J510" s="1"/>
      <c r="K510" s="1"/>
      <c r="L510" s="1"/>
      <c r="M510" s="55">
        <f t="shared" si="207"/>
        <v>0</v>
      </c>
      <c r="N510" s="1"/>
      <c r="O510" s="1"/>
      <c r="P510" s="1"/>
      <c r="Q510" s="55">
        <f t="shared" si="208"/>
        <v>0</v>
      </c>
      <c r="R510" s="55">
        <f t="shared" si="209"/>
        <v>0</v>
      </c>
      <c r="T510" s="4" t="s">
        <v>938</v>
      </c>
    </row>
    <row r="511" spans="1:20" ht="15.75" customHeight="1" x14ac:dyDescent="0.3">
      <c r="A511" s="15" t="s">
        <v>50</v>
      </c>
      <c r="B511" s="1"/>
      <c r="C511" s="1"/>
      <c r="D511" s="1"/>
      <c r="E511" s="55" t="s">
        <v>7</v>
      </c>
      <c r="F511" s="1"/>
      <c r="G511" s="1"/>
      <c r="H511" s="1"/>
      <c r="I511" s="55" t="s">
        <v>7</v>
      </c>
      <c r="J511" s="1"/>
      <c r="K511" s="1"/>
      <c r="L511" s="1"/>
      <c r="M511" s="55" t="s">
        <v>7</v>
      </c>
      <c r="N511" s="1"/>
      <c r="O511" s="1"/>
      <c r="P511" s="1"/>
      <c r="Q511" s="55" t="s">
        <v>7</v>
      </c>
      <c r="R511" s="55" t="s">
        <v>7</v>
      </c>
    </row>
    <row r="512" spans="1:20" ht="15.75" customHeight="1" x14ac:dyDescent="0.3">
      <c r="A512" s="71" t="s">
        <v>758</v>
      </c>
      <c r="B512" s="1"/>
      <c r="C512" s="1"/>
      <c r="D512" s="1"/>
      <c r="E512" s="55">
        <f>SUM(B512:D512)</f>
        <v>0</v>
      </c>
      <c r="F512" s="1"/>
      <c r="G512" s="1"/>
      <c r="H512" s="1"/>
      <c r="I512" s="55">
        <f>SUM(F512:H512)</f>
        <v>0</v>
      </c>
      <c r="J512" s="1"/>
      <c r="K512" s="1"/>
      <c r="L512" s="1"/>
      <c r="M512" s="55">
        <f>SUM(J512:L512)</f>
        <v>0</v>
      </c>
      <c r="N512" s="1"/>
      <c r="O512" s="1"/>
      <c r="P512" s="1"/>
      <c r="Q512" s="55">
        <f>SUM(N512:P512)</f>
        <v>0</v>
      </c>
      <c r="R512" s="55">
        <f>+E512+I512+M512+Q512</f>
        <v>0</v>
      </c>
    </row>
    <row r="513" spans="1:20" ht="15.75" customHeight="1" x14ac:dyDescent="0.3">
      <c r="A513" s="71" t="s">
        <v>298</v>
      </c>
      <c r="B513" s="1"/>
      <c r="C513" s="1"/>
      <c r="D513" s="1"/>
      <c r="E513" s="55">
        <f>SUM(B513:D513)</f>
        <v>0</v>
      </c>
      <c r="F513" s="1"/>
      <c r="G513" s="1"/>
      <c r="H513" s="1"/>
      <c r="I513" s="55">
        <f>SUM(F513:H513)</f>
        <v>0</v>
      </c>
      <c r="J513" s="1"/>
      <c r="K513" s="1"/>
      <c r="L513" s="1"/>
      <c r="M513" s="55">
        <f>SUM(J513:L513)</f>
        <v>0</v>
      </c>
      <c r="N513" s="1"/>
      <c r="O513" s="1"/>
      <c r="P513" s="1"/>
      <c r="Q513" s="55">
        <f>SUM(N513:P513)</f>
        <v>0</v>
      </c>
      <c r="R513" s="55">
        <f>+E513+I513+M513+Q513</f>
        <v>0</v>
      </c>
    </row>
    <row r="514" spans="1:20" ht="15.75" customHeight="1" x14ac:dyDescent="0.3">
      <c r="A514" s="15" t="s">
        <v>1186</v>
      </c>
      <c r="B514" s="1"/>
      <c r="C514" s="1"/>
      <c r="D514" s="1"/>
      <c r="E514" s="55" t="s">
        <v>7</v>
      </c>
      <c r="F514" s="1"/>
      <c r="G514" s="1"/>
      <c r="H514" s="1"/>
      <c r="I514" s="55" t="s">
        <v>7</v>
      </c>
      <c r="J514" s="1"/>
      <c r="K514" s="1"/>
      <c r="L514" s="1"/>
      <c r="M514" s="55" t="s">
        <v>7</v>
      </c>
      <c r="N514" s="1"/>
      <c r="O514" s="1"/>
      <c r="P514" s="1"/>
      <c r="Q514" s="55" t="s">
        <v>7</v>
      </c>
      <c r="R514" s="55" t="s">
        <v>7</v>
      </c>
    </row>
    <row r="515" spans="1:20" ht="15.75" customHeight="1" thickBot="1" x14ac:dyDescent="0.35">
      <c r="A515" s="15" t="s">
        <v>53</v>
      </c>
      <c r="B515" s="1"/>
      <c r="C515" s="1"/>
      <c r="D515" s="1"/>
      <c r="E515" s="55" t="s">
        <v>7</v>
      </c>
      <c r="F515" s="1"/>
      <c r="G515" s="1"/>
      <c r="H515" s="1"/>
      <c r="I515" s="55" t="s">
        <v>7</v>
      </c>
      <c r="J515" s="1"/>
      <c r="K515" s="1"/>
      <c r="L515" s="1"/>
      <c r="M515" s="55" t="s">
        <v>7</v>
      </c>
      <c r="N515" s="1"/>
      <c r="O515" s="1"/>
      <c r="P515" s="1"/>
      <c r="Q515" s="55" t="s">
        <v>7</v>
      </c>
      <c r="R515" s="55" t="s">
        <v>7</v>
      </c>
    </row>
    <row r="516" spans="1:20" ht="16.5" customHeight="1" thickBot="1" x14ac:dyDescent="0.35">
      <c r="A516" s="109" t="s">
        <v>54</v>
      </c>
      <c r="B516" s="86">
        <f>SUM(B504:B515)</f>
        <v>0</v>
      </c>
      <c r="C516" s="87">
        <f>SUM(C504:C515)</f>
        <v>0</v>
      </c>
      <c r="D516" s="87">
        <f>SUM(D504:D515)</f>
        <v>0</v>
      </c>
      <c r="E516" s="59">
        <f>SUM(B516:D516)</f>
        <v>0</v>
      </c>
      <c r="F516" s="87">
        <f>SUM(F504:F515)</f>
        <v>2</v>
      </c>
      <c r="G516" s="87">
        <f>SUM(G504:G515)</f>
        <v>2300</v>
      </c>
      <c r="H516" s="87">
        <f>SUM(H504:H515)</f>
        <v>32</v>
      </c>
      <c r="I516" s="59">
        <f>SUM(F516:H516)</f>
        <v>2334</v>
      </c>
      <c r="J516" s="87">
        <f>SUM(J504:J515)</f>
        <v>14</v>
      </c>
      <c r="K516" s="87">
        <f>SUM(K504:K515)</f>
        <v>4</v>
      </c>
      <c r="L516" s="87">
        <f>SUM(L504:L515)</f>
        <v>300</v>
      </c>
      <c r="M516" s="59">
        <f>SUM(J516:L516)</f>
        <v>318</v>
      </c>
      <c r="N516" s="87">
        <f>SUM(N504:N515)</f>
        <v>8</v>
      </c>
      <c r="O516" s="87">
        <f>SUM(O504:O515)</f>
        <v>0</v>
      </c>
      <c r="P516" s="87">
        <f>SUM(P504:P515)</f>
        <v>0</v>
      </c>
      <c r="Q516" s="59">
        <f>SUM(N516:P516)</f>
        <v>8</v>
      </c>
      <c r="R516" s="59">
        <f>+E516+I516+M516+Q516</f>
        <v>2660</v>
      </c>
    </row>
    <row r="517" spans="1:20" ht="15.75" customHeight="1" x14ac:dyDescent="0.3">
      <c r="A517" s="15" t="s">
        <v>55</v>
      </c>
      <c r="B517" s="1"/>
      <c r="C517" s="1"/>
      <c r="D517" s="1"/>
      <c r="E517" s="55" t="s">
        <v>7</v>
      </c>
      <c r="F517" s="1"/>
      <c r="G517" s="1"/>
      <c r="H517" s="1"/>
      <c r="I517" s="55" t="s">
        <v>7</v>
      </c>
      <c r="J517" s="1"/>
      <c r="K517" s="1"/>
      <c r="L517" s="1"/>
      <c r="M517" s="55" t="s">
        <v>7</v>
      </c>
      <c r="N517" s="1" t="s">
        <v>7</v>
      </c>
      <c r="O517" s="1"/>
      <c r="P517" s="1"/>
      <c r="Q517" s="55" t="s">
        <v>7</v>
      </c>
      <c r="R517" s="55" t="s">
        <v>7</v>
      </c>
    </row>
    <row r="518" spans="1:20" ht="15.75" customHeight="1" x14ac:dyDescent="0.3">
      <c r="A518" s="15" t="s">
        <v>57</v>
      </c>
      <c r="B518" s="1"/>
      <c r="C518" s="1"/>
      <c r="D518" s="1"/>
      <c r="E518" s="55" t="s">
        <v>7</v>
      </c>
      <c r="F518" s="1"/>
      <c r="G518" s="1"/>
      <c r="H518" s="1"/>
      <c r="I518" s="55" t="s">
        <v>7</v>
      </c>
      <c r="J518" s="1"/>
      <c r="K518" s="1"/>
      <c r="L518" s="1"/>
      <c r="M518" s="55" t="s">
        <v>7</v>
      </c>
      <c r="N518" s="1"/>
      <c r="O518" s="1"/>
      <c r="P518" s="1"/>
      <c r="Q518" s="55" t="s">
        <v>7</v>
      </c>
      <c r="R518" s="55" t="s">
        <v>7</v>
      </c>
    </row>
    <row r="519" spans="1:20" ht="15.75" customHeight="1" x14ac:dyDescent="0.3">
      <c r="A519" s="71" t="s">
        <v>565</v>
      </c>
      <c r="B519" s="1">
        <v>7</v>
      </c>
      <c r="C519" s="1"/>
      <c r="D519" s="1">
        <v>2601</v>
      </c>
      <c r="E519" s="55">
        <f>SUM(B519:D519)</f>
        <v>2608</v>
      </c>
      <c r="F519" s="1">
        <v>10548</v>
      </c>
      <c r="G519" s="1">
        <v>2590</v>
      </c>
      <c r="H519" s="1">
        <f>6676+2000</f>
        <v>8676</v>
      </c>
      <c r="I519" s="55">
        <f>SUM(F519:H519)</f>
        <v>21814</v>
      </c>
      <c r="J519" s="1">
        <f>6808+5463</f>
        <v>12271</v>
      </c>
      <c r="K519" s="1">
        <f>4258+3805</f>
        <v>8063</v>
      </c>
      <c r="L519" s="1">
        <v>3728</v>
      </c>
      <c r="M519" s="55">
        <f>SUM(J519:L519)</f>
        <v>24062</v>
      </c>
      <c r="N519" s="1">
        <v>1940</v>
      </c>
      <c r="O519" s="1"/>
      <c r="P519" s="1">
        <v>270</v>
      </c>
      <c r="Q519" s="55">
        <f>SUM(N519:P519)</f>
        <v>2210</v>
      </c>
      <c r="R519" s="55">
        <f>+E519+I519+M519+Q519</f>
        <v>50694</v>
      </c>
    </row>
    <row r="520" spans="1:20" ht="15.75" customHeight="1" thickBot="1" x14ac:dyDescent="0.35">
      <c r="A520" s="15" t="s">
        <v>58</v>
      </c>
      <c r="B520" s="1"/>
      <c r="C520" s="1"/>
      <c r="D520" s="1"/>
      <c r="E520" s="55" t="s">
        <v>7</v>
      </c>
      <c r="F520" s="1"/>
      <c r="G520" s="1"/>
      <c r="H520" s="1"/>
      <c r="I520" s="55" t="s">
        <v>7</v>
      </c>
      <c r="J520" s="1"/>
      <c r="K520" s="1"/>
      <c r="L520" s="1"/>
      <c r="M520" s="55" t="s">
        <v>7</v>
      </c>
      <c r="N520" s="1"/>
      <c r="O520" s="1"/>
      <c r="P520" s="1"/>
      <c r="Q520" s="55" t="s">
        <v>7</v>
      </c>
      <c r="R520" s="55" t="s">
        <v>7</v>
      </c>
    </row>
    <row r="521" spans="1:20" ht="16.5" customHeight="1" thickBot="1" x14ac:dyDescent="0.35">
      <c r="A521" s="57" t="s">
        <v>59</v>
      </c>
      <c r="B521" s="86">
        <f>SUM(B517:B520)</f>
        <v>7</v>
      </c>
      <c r="C521" s="87">
        <f>SUM(C517:C520)</f>
        <v>0</v>
      </c>
      <c r="D521" s="87">
        <f>SUM(D517:D520)</f>
        <v>2601</v>
      </c>
      <c r="E521" s="59">
        <f>SUM(B521:D521)</f>
        <v>2608</v>
      </c>
      <c r="F521" s="87">
        <f>SUM(F517:F520)</f>
        <v>10548</v>
      </c>
      <c r="G521" s="87">
        <f>SUM(G517:G520)</f>
        <v>2590</v>
      </c>
      <c r="H521" s="87">
        <f>SUM(H517:H520)</f>
        <v>8676</v>
      </c>
      <c r="I521" s="59">
        <f>SUM(F521:H521)</f>
        <v>21814</v>
      </c>
      <c r="J521" s="87">
        <f>SUM(J517:J520)</f>
        <v>12271</v>
      </c>
      <c r="K521" s="87">
        <f>SUM(K517:K520)</f>
        <v>8063</v>
      </c>
      <c r="L521" s="87">
        <f>SUM(L517:L520)</f>
        <v>3728</v>
      </c>
      <c r="M521" s="59">
        <f>SUM(J521:L521)</f>
        <v>24062</v>
      </c>
      <c r="N521" s="87">
        <f>SUM(N517:N520)</f>
        <v>1940</v>
      </c>
      <c r="O521" s="87">
        <f>SUM(O517:O520)</f>
        <v>0</v>
      </c>
      <c r="P521" s="87">
        <f>SUM(P517:P520)</f>
        <v>270</v>
      </c>
      <c r="Q521" s="59">
        <f>SUM(N521:P521)</f>
        <v>2210</v>
      </c>
      <c r="R521" s="59">
        <f>+E521+I521+M521+Q521</f>
        <v>50694</v>
      </c>
    </row>
    <row r="522" spans="1:20" ht="15.75" customHeight="1" x14ac:dyDescent="0.3">
      <c r="A522" s="15" t="s">
        <v>60</v>
      </c>
      <c r="B522" s="1"/>
      <c r="C522" s="1"/>
      <c r="D522" s="1"/>
      <c r="E522" s="55" t="s">
        <v>7</v>
      </c>
      <c r="F522" s="1"/>
      <c r="G522" s="1"/>
      <c r="H522" s="1"/>
      <c r="I522" s="55" t="s">
        <v>7</v>
      </c>
      <c r="J522" s="1"/>
      <c r="K522" s="1"/>
      <c r="L522" s="1"/>
      <c r="M522" s="55" t="s">
        <v>7</v>
      </c>
      <c r="N522" s="1"/>
      <c r="O522" s="1"/>
      <c r="P522" s="1"/>
      <c r="Q522" s="55" t="s">
        <v>7</v>
      </c>
      <c r="R522" s="55" t="s">
        <v>7</v>
      </c>
    </row>
    <row r="523" spans="1:20" ht="15.75" customHeight="1" x14ac:dyDescent="0.3">
      <c r="A523" s="15" t="s">
        <v>61</v>
      </c>
      <c r="B523" s="1"/>
      <c r="C523" s="1"/>
      <c r="D523" s="1"/>
      <c r="E523" s="55" t="s">
        <v>7</v>
      </c>
      <c r="F523" s="1"/>
      <c r="G523" s="1"/>
      <c r="H523" s="1"/>
      <c r="I523" s="55" t="s">
        <v>7</v>
      </c>
      <c r="J523" s="1"/>
      <c r="K523" s="1"/>
      <c r="L523" s="1"/>
      <c r="M523" s="55" t="s">
        <v>7</v>
      </c>
      <c r="N523" s="1"/>
      <c r="O523" s="1"/>
      <c r="P523" s="1"/>
      <c r="Q523" s="55" t="s">
        <v>7</v>
      </c>
      <c r="R523" s="55" t="s">
        <v>7</v>
      </c>
    </row>
    <row r="524" spans="1:20" ht="15.75" customHeight="1" x14ac:dyDescent="0.3">
      <c r="A524" s="15" t="s">
        <v>62</v>
      </c>
      <c r="B524" s="1"/>
      <c r="C524" s="1"/>
      <c r="D524" s="1"/>
      <c r="E524" s="55" t="s">
        <v>7</v>
      </c>
      <c r="F524" s="1"/>
      <c r="G524" s="1"/>
      <c r="H524" s="1"/>
      <c r="I524" s="55" t="s">
        <v>7</v>
      </c>
      <c r="J524" s="1"/>
      <c r="K524" s="1"/>
      <c r="L524" s="1"/>
      <c r="M524" s="55" t="s">
        <v>7</v>
      </c>
      <c r="N524" s="1"/>
      <c r="O524" s="1"/>
      <c r="P524" s="1"/>
      <c r="Q524" s="55" t="s">
        <v>7</v>
      </c>
      <c r="R524" s="55" t="s">
        <v>7</v>
      </c>
    </row>
    <row r="525" spans="1:20" ht="15.75" customHeight="1" x14ac:dyDescent="0.3">
      <c r="A525" s="71" t="s">
        <v>1321</v>
      </c>
      <c r="B525" s="1"/>
      <c r="C525" s="1"/>
      <c r="D525" s="1"/>
      <c r="E525" s="55">
        <f>SUM(B525:D525)</f>
        <v>0</v>
      </c>
      <c r="F525" s="1"/>
      <c r="G525" s="1"/>
      <c r="H525" s="1"/>
      <c r="I525" s="55">
        <f>SUM(F525:H525)</f>
        <v>0</v>
      </c>
      <c r="J525" s="1"/>
      <c r="K525" s="1">
        <v>8000</v>
      </c>
      <c r="L525" s="1"/>
      <c r="M525" s="55">
        <f>SUM(J525:L525)</f>
        <v>8000</v>
      </c>
      <c r="N525" s="1"/>
      <c r="O525" s="1"/>
      <c r="P525" s="1"/>
      <c r="Q525" s="55">
        <f>SUM(N525:P525)</f>
        <v>0</v>
      </c>
      <c r="R525" s="55">
        <f>+E525+I525+M525+Q525</f>
        <v>8000</v>
      </c>
      <c r="T525" s="4" t="s">
        <v>938</v>
      </c>
    </row>
    <row r="526" spans="1:20" ht="15.75" customHeight="1" thickBot="1" x14ac:dyDescent="0.35">
      <c r="A526" s="359" t="s">
        <v>982</v>
      </c>
      <c r="B526" s="1"/>
      <c r="C526" s="1"/>
      <c r="E526" s="55">
        <f>SUM(B526:D526)</f>
        <v>0</v>
      </c>
      <c r="F526" s="1"/>
      <c r="G526" s="1"/>
      <c r="H526" s="1">
        <v>3000</v>
      </c>
      <c r="I526" s="55">
        <f>SUM(F526:H526)</f>
        <v>3000</v>
      </c>
      <c r="J526" s="1">
        <v>3000</v>
      </c>
      <c r="K526" s="1"/>
      <c r="L526" s="1">
        <v>3000</v>
      </c>
      <c r="M526" s="55">
        <f>SUM(J526:L526)</f>
        <v>6000</v>
      </c>
      <c r="N526" s="1">
        <v>2000</v>
      </c>
      <c r="O526" s="1"/>
      <c r="P526" s="1"/>
      <c r="Q526" s="55">
        <f>SUM(N526:P526)</f>
        <v>2000</v>
      </c>
      <c r="R526" s="55">
        <f>+E526+I526+M526+Q526</f>
        <v>11000</v>
      </c>
      <c r="T526" s="4" t="s">
        <v>938</v>
      </c>
    </row>
    <row r="527" spans="1:20" ht="16.5" customHeight="1" thickBot="1" x14ac:dyDescent="0.35">
      <c r="A527" s="114" t="s">
        <v>63</v>
      </c>
      <c r="B527" s="86">
        <f>SUM(B522:B526)</f>
        <v>0</v>
      </c>
      <c r="C527" s="87">
        <f>SUM(C522:C526)</f>
        <v>0</v>
      </c>
      <c r="D527" s="87">
        <f>SUM(D522:D526)</f>
        <v>0</v>
      </c>
      <c r="E527" s="59">
        <f>SUM(B527:D527)</f>
        <v>0</v>
      </c>
      <c r="F527" s="87">
        <f>SUM(F522:F526)</f>
        <v>0</v>
      </c>
      <c r="G527" s="87">
        <f>SUM(G522:G526)</f>
        <v>0</v>
      </c>
      <c r="H527" s="87">
        <f>SUM(H522:H526)</f>
        <v>3000</v>
      </c>
      <c r="I527" s="59">
        <f>SUM(F527:H527)</f>
        <v>3000</v>
      </c>
      <c r="J527" s="87">
        <f>SUM(J522:J526)</f>
        <v>3000</v>
      </c>
      <c r="K527" s="87">
        <f>SUM(K522:K526)</f>
        <v>8000</v>
      </c>
      <c r="L527" s="87">
        <f>SUM(L522:L526)</f>
        <v>3000</v>
      </c>
      <c r="M527" s="59">
        <f>SUM(J527:L527)</f>
        <v>14000</v>
      </c>
      <c r="N527" s="87">
        <f>SUM(N522:N526)</f>
        <v>2000</v>
      </c>
      <c r="O527" s="87">
        <f>SUM(O522:O526)</f>
        <v>0</v>
      </c>
      <c r="P527" s="87">
        <f>SUM(P522:P526)</f>
        <v>0</v>
      </c>
      <c r="Q527" s="59">
        <f>SUM(N527:P527)</f>
        <v>2000</v>
      </c>
      <c r="R527" s="59">
        <f>+E527+I527+M527+Q527</f>
        <v>19000</v>
      </c>
    </row>
    <row r="528" spans="1:20" ht="15.75" customHeight="1" x14ac:dyDescent="0.3">
      <c r="A528" s="15" t="s">
        <v>64</v>
      </c>
      <c r="B528" s="1"/>
      <c r="C528" s="1"/>
      <c r="D528" s="1"/>
      <c r="E528" s="55" t="s">
        <v>7</v>
      </c>
      <c r="F528" s="1"/>
      <c r="G528" s="1"/>
      <c r="H528" s="1"/>
      <c r="I528" s="55" t="s">
        <v>7</v>
      </c>
      <c r="J528" s="1"/>
      <c r="K528" s="1"/>
      <c r="L528" s="1"/>
      <c r="M528" s="55" t="s">
        <v>7</v>
      </c>
      <c r="N528" s="1"/>
      <c r="O528" s="1"/>
      <c r="P528" s="1"/>
      <c r="Q528" s="55" t="s">
        <v>7</v>
      </c>
      <c r="R528" s="55" t="s">
        <v>7</v>
      </c>
    </row>
    <row r="529" spans="1:20" ht="15.75" customHeight="1" x14ac:dyDescent="0.3">
      <c r="A529" s="15" t="s">
        <v>594</v>
      </c>
      <c r="B529" s="1"/>
      <c r="C529" s="1"/>
      <c r="D529" s="1"/>
      <c r="E529" s="55" t="s">
        <v>7</v>
      </c>
      <c r="F529" s="1"/>
      <c r="G529" s="1"/>
      <c r="H529" s="1"/>
      <c r="I529" s="55" t="s">
        <v>7</v>
      </c>
      <c r="J529" s="1"/>
      <c r="K529" s="1"/>
      <c r="L529" s="1"/>
      <c r="M529" s="55" t="s">
        <v>7</v>
      </c>
      <c r="N529" s="1"/>
      <c r="O529" s="1"/>
      <c r="P529" s="1"/>
      <c r="Q529" s="55" t="s">
        <v>7</v>
      </c>
      <c r="R529" s="55" t="s">
        <v>7</v>
      </c>
    </row>
    <row r="530" spans="1:20" ht="15.75" customHeight="1" x14ac:dyDescent="0.3">
      <c r="A530" s="15" t="s">
        <v>67</v>
      </c>
      <c r="B530" s="1"/>
      <c r="C530" s="1"/>
      <c r="D530" s="1"/>
      <c r="E530" s="55" t="s">
        <v>7</v>
      </c>
      <c r="F530" s="1"/>
      <c r="G530" s="1"/>
      <c r="H530" s="1"/>
      <c r="I530" s="55" t="s">
        <v>7</v>
      </c>
      <c r="J530" s="1"/>
      <c r="K530" s="1"/>
      <c r="L530" s="1"/>
      <c r="M530" s="55" t="s">
        <v>7</v>
      </c>
      <c r="N530" s="1"/>
      <c r="O530" s="1"/>
      <c r="P530" s="1"/>
      <c r="Q530" s="55" t="s">
        <v>7</v>
      </c>
      <c r="R530" s="55" t="s">
        <v>7</v>
      </c>
    </row>
    <row r="531" spans="1:20" ht="15.75" customHeight="1" x14ac:dyDescent="0.3">
      <c r="A531" s="15" t="s">
        <v>600</v>
      </c>
      <c r="B531" s="1"/>
      <c r="C531" s="1"/>
      <c r="D531" s="1"/>
      <c r="E531" s="55" t="s">
        <v>7</v>
      </c>
      <c r="F531" s="1"/>
      <c r="G531" s="1"/>
      <c r="H531" s="1"/>
      <c r="I531" s="55" t="s">
        <v>7</v>
      </c>
      <c r="J531" s="1"/>
      <c r="K531" s="1"/>
      <c r="L531" s="1"/>
      <c r="M531" s="55" t="s">
        <v>7</v>
      </c>
      <c r="N531" s="1"/>
      <c r="O531" s="1"/>
      <c r="P531" s="1"/>
      <c r="Q531" s="55" t="s">
        <v>7</v>
      </c>
      <c r="R531" s="55" t="s">
        <v>7</v>
      </c>
    </row>
    <row r="532" spans="1:20" ht="15.75" customHeight="1" x14ac:dyDescent="0.3">
      <c r="A532" s="15" t="s">
        <v>70</v>
      </c>
      <c r="B532" s="1"/>
      <c r="C532" s="1"/>
      <c r="D532" s="1"/>
      <c r="E532" s="55" t="s">
        <v>7</v>
      </c>
      <c r="F532" s="1"/>
      <c r="G532" s="1"/>
      <c r="H532" s="1"/>
      <c r="I532" s="55" t="s">
        <v>7</v>
      </c>
      <c r="J532" s="1"/>
      <c r="K532" s="1"/>
      <c r="L532" s="1"/>
      <c r="M532" s="55" t="s">
        <v>7</v>
      </c>
      <c r="N532" s="1"/>
      <c r="O532" s="1"/>
      <c r="P532" s="1"/>
      <c r="Q532" s="55" t="s">
        <v>7</v>
      </c>
      <c r="R532" s="55" t="s">
        <v>7</v>
      </c>
    </row>
    <row r="533" spans="1:20" ht="15.75" customHeight="1" x14ac:dyDescent="0.3">
      <c r="A533" s="71" t="s">
        <v>977</v>
      </c>
      <c r="B533" s="1"/>
      <c r="C533" s="1"/>
      <c r="D533" s="1"/>
      <c r="E533" s="55">
        <f t="shared" ref="E533:E534" si="210">SUM(B533:D533)</f>
        <v>0</v>
      </c>
      <c r="F533" s="1"/>
      <c r="G533" s="1"/>
      <c r="H533" s="1"/>
      <c r="I533" s="55">
        <f t="shared" ref="I533:I534" si="211">SUM(F533:H533)</f>
        <v>0</v>
      </c>
      <c r="J533" s="1"/>
      <c r="K533" s="1"/>
      <c r="L533" s="1"/>
      <c r="M533" s="55">
        <f t="shared" ref="M533:M534" si="212">SUM(J533:L533)</f>
        <v>0</v>
      </c>
      <c r="N533" s="1"/>
      <c r="O533" s="1"/>
      <c r="P533" s="1"/>
      <c r="Q533" s="55">
        <f t="shared" ref="Q533:Q534" si="213">SUM(N533:P533)</f>
        <v>0</v>
      </c>
      <c r="R533" s="55">
        <f t="shared" ref="R533:R538" si="214">+E533+I533+M533+Q533</f>
        <v>0</v>
      </c>
      <c r="T533" s="4" t="s">
        <v>938</v>
      </c>
    </row>
    <row r="534" spans="1:20" ht="15.75" customHeight="1" thickBot="1" x14ac:dyDescent="0.35">
      <c r="A534" s="71" t="s">
        <v>983</v>
      </c>
      <c r="B534" s="1"/>
      <c r="C534" s="1"/>
      <c r="D534" s="1"/>
      <c r="E534" s="55">
        <f t="shared" si="210"/>
        <v>0</v>
      </c>
      <c r="F534" s="1"/>
      <c r="G534" s="1"/>
      <c r="H534" s="1"/>
      <c r="I534" s="55">
        <f t="shared" si="211"/>
        <v>0</v>
      </c>
      <c r="J534" s="1"/>
      <c r="K534" s="1"/>
      <c r="L534" s="1"/>
      <c r="M534" s="55">
        <f t="shared" si="212"/>
        <v>0</v>
      </c>
      <c r="N534" s="1"/>
      <c r="O534" s="1"/>
      <c r="P534" s="1"/>
      <c r="Q534" s="55">
        <f t="shared" si="213"/>
        <v>0</v>
      </c>
      <c r="R534" s="55">
        <f t="shared" si="214"/>
        <v>0</v>
      </c>
      <c r="T534" s="4" t="s">
        <v>938</v>
      </c>
    </row>
    <row r="535" spans="1:20" ht="16.5" customHeight="1" thickBot="1" x14ac:dyDescent="0.35">
      <c r="A535" s="57" t="s">
        <v>71</v>
      </c>
      <c r="B535" s="58">
        <f>SUM(B531:B534)</f>
        <v>0</v>
      </c>
      <c r="C535" s="58">
        <f>SUM(C531:C534)</f>
        <v>0</v>
      </c>
      <c r="D535" s="58">
        <f>SUM(D531:D534)</f>
        <v>0</v>
      </c>
      <c r="E535" s="60">
        <f t="shared" ref="E535:E538" si="215">SUM(B535:D535)</f>
        <v>0</v>
      </c>
      <c r="F535" s="58">
        <f>SUM(F531:F534)</f>
        <v>0</v>
      </c>
      <c r="G535" s="58">
        <f>SUM(G531:G534)</f>
        <v>0</v>
      </c>
      <c r="H535" s="58">
        <f>SUM(H531:H534)</f>
        <v>0</v>
      </c>
      <c r="I535" s="60">
        <f t="shared" ref="I535:I538" si="216">SUM(F535:H535)</f>
        <v>0</v>
      </c>
      <c r="J535" s="58">
        <f>SUM(J531:J534)</f>
        <v>0</v>
      </c>
      <c r="K535" s="58">
        <f>SUM(K531:K534)</f>
        <v>0</v>
      </c>
      <c r="L535" s="58">
        <f>SUM(L531:L534)</f>
        <v>0</v>
      </c>
      <c r="M535" s="60">
        <f t="shared" ref="M535:M538" si="217">SUM(J535:L535)</f>
        <v>0</v>
      </c>
      <c r="N535" s="58">
        <f>SUM(N531:N534)</f>
        <v>0</v>
      </c>
      <c r="O535" s="58">
        <f>SUM(O531:O534)</f>
        <v>0</v>
      </c>
      <c r="P535" s="58">
        <f>SUM(P531:P534)</f>
        <v>0</v>
      </c>
      <c r="Q535" s="60">
        <f t="shared" ref="Q535:Q538" si="218">SUM(N535:P535)</f>
        <v>0</v>
      </c>
      <c r="R535" s="59">
        <f t="shared" si="214"/>
        <v>0</v>
      </c>
    </row>
    <row r="536" spans="1:20" ht="16.5" customHeight="1" thickBot="1" x14ac:dyDescent="0.35">
      <c r="A536" s="114" t="s">
        <v>72</v>
      </c>
      <c r="B536" s="86">
        <f>SUM(B528:B534)</f>
        <v>0</v>
      </c>
      <c r="C536" s="87">
        <f>SUM(C528:C534)</f>
        <v>0</v>
      </c>
      <c r="D536" s="118">
        <f>SUM(D528:D534)</f>
        <v>0</v>
      </c>
      <c r="E536" s="60">
        <f t="shared" si="215"/>
        <v>0</v>
      </c>
      <c r="F536" s="87">
        <f>SUM(F528:F534)</f>
        <v>0</v>
      </c>
      <c r="G536" s="87">
        <f>SUM(G528:G534)</f>
        <v>0</v>
      </c>
      <c r="H536" s="87">
        <f>SUM(H528:H534)</f>
        <v>0</v>
      </c>
      <c r="I536" s="60">
        <f t="shared" si="216"/>
        <v>0</v>
      </c>
      <c r="J536" s="87">
        <f>SUM(J528:J534)</f>
        <v>0</v>
      </c>
      <c r="K536" s="87">
        <f>SUM(K528:K534)</f>
        <v>0</v>
      </c>
      <c r="L536" s="87">
        <f>SUM(L528:L534)</f>
        <v>0</v>
      </c>
      <c r="M536" s="60">
        <f t="shared" si="217"/>
        <v>0</v>
      </c>
      <c r="N536" s="87">
        <f>SUM(N528:N534)</f>
        <v>0</v>
      </c>
      <c r="O536" s="87">
        <f>SUM(O528:O534)</f>
        <v>0</v>
      </c>
      <c r="P536" s="87">
        <f>SUM(P528:P534)</f>
        <v>0</v>
      </c>
      <c r="Q536" s="60">
        <f t="shared" si="218"/>
        <v>0</v>
      </c>
      <c r="R536" s="59">
        <f t="shared" si="214"/>
        <v>0</v>
      </c>
    </row>
    <row r="537" spans="1:20" ht="16.5" customHeight="1" thickBot="1" x14ac:dyDescent="0.35">
      <c r="A537" s="57" t="s">
        <v>73</v>
      </c>
      <c r="B537" s="90">
        <f>+B516+B521+B527+B536</f>
        <v>7</v>
      </c>
      <c r="C537" s="58">
        <f>+C516+C521+C527+C536</f>
        <v>0</v>
      </c>
      <c r="D537" s="58">
        <f>+D516+D521+D527+D536</f>
        <v>2601</v>
      </c>
      <c r="E537" s="59">
        <f t="shared" si="215"/>
        <v>2608</v>
      </c>
      <c r="F537" s="58">
        <f>+F516+F521+F527+F536</f>
        <v>10550</v>
      </c>
      <c r="G537" s="58">
        <f>+G516+G521+G527+G536</f>
        <v>4890</v>
      </c>
      <c r="H537" s="58">
        <f>+H516+H521+H527+H536</f>
        <v>11708</v>
      </c>
      <c r="I537" s="59">
        <f t="shared" si="216"/>
        <v>27148</v>
      </c>
      <c r="J537" s="58">
        <f>+J516+J521+J527+J536</f>
        <v>15285</v>
      </c>
      <c r="K537" s="58">
        <f>+K516+K521+K527+K536</f>
        <v>16067</v>
      </c>
      <c r="L537" s="58">
        <f>+L516+L521+L527+L536</f>
        <v>7028</v>
      </c>
      <c r="M537" s="59">
        <f t="shared" si="217"/>
        <v>38380</v>
      </c>
      <c r="N537" s="58">
        <f>+N516+N521+N527+N536</f>
        <v>3948</v>
      </c>
      <c r="O537" s="58">
        <f>+O516+O521+O527+O536</f>
        <v>0</v>
      </c>
      <c r="P537" s="58">
        <f>+P516+P521+P527+P536</f>
        <v>270</v>
      </c>
      <c r="Q537" s="59">
        <f t="shared" si="218"/>
        <v>4218</v>
      </c>
      <c r="R537" s="81">
        <f>+E537+I537+M537+Q537</f>
        <v>72354</v>
      </c>
    </row>
    <row r="538" spans="1:20" ht="16.5" customHeight="1" thickBot="1" x14ac:dyDescent="0.35">
      <c r="A538" s="39" t="s">
        <v>40</v>
      </c>
      <c r="B538" s="21">
        <v>9</v>
      </c>
      <c r="C538" s="21">
        <v>16</v>
      </c>
      <c r="D538" s="21">
        <v>25</v>
      </c>
      <c r="E538" s="55">
        <f t="shared" si="215"/>
        <v>50</v>
      </c>
      <c r="F538" s="21">
        <v>34</v>
      </c>
      <c r="G538" s="21">
        <v>41</v>
      </c>
      <c r="H538" s="21">
        <v>41</v>
      </c>
      <c r="I538" s="55">
        <f t="shared" si="216"/>
        <v>116</v>
      </c>
      <c r="J538" s="21">
        <v>39</v>
      </c>
      <c r="K538" s="21">
        <v>30</v>
      </c>
      <c r="L538" s="21">
        <v>30</v>
      </c>
      <c r="M538" s="55">
        <f t="shared" si="217"/>
        <v>99</v>
      </c>
      <c r="N538" s="21">
        <v>28</v>
      </c>
      <c r="O538" s="21">
        <v>22</v>
      </c>
      <c r="P538" s="21">
        <v>16</v>
      </c>
      <c r="Q538" s="55">
        <f t="shared" si="218"/>
        <v>66</v>
      </c>
      <c r="R538" s="55">
        <f t="shared" si="214"/>
        <v>331</v>
      </c>
    </row>
    <row r="539" spans="1:20" ht="16.5" customHeight="1" thickBot="1" x14ac:dyDescent="0.35">
      <c r="A539" s="74"/>
      <c r="B539" s="75"/>
      <c r="C539" s="75"/>
      <c r="D539" s="75"/>
      <c r="E539" s="59"/>
      <c r="F539" s="75"/>
      <c r="G539" s="75"/>
      <c r="H539" s="75"/>
      <c r="I539" s="59"/>
      <c r="J539" s="75"/>
      <c r="K539" s="75"/>
      <c r="L539" s="75"/>
      <c r="M539" s="59"/>
      <c r="N539" s="75"/>
      <c r="O539" s="75"/>
      <c r="P539" s="75"/>
      <c r="Q539" s="59"/>
      <c r="R539" s="59" t="s">
        <v>7</v>
      </c>
    </row>
    <row r="540" spans="1:20" ht="15.75" customHeight="1" x14ac:dyDescent="0.3">
      <c r="A540" s="76" t="s">
        <v>41</v>
      </c>
      <c r="B540" s="77">
        <f>SUM(B537:B538)</f>
        <v>16</v>
      </c>
      <c r="C540" s="77">
        <f>SUM(C537:C538)</f>
        <v>16</v>
      </c>
      <c r="D540" s="77">
        <f>SUM(D537:D538)</f>
        <v>2626</v>
      </c>
      <c r="E540" s="60">
        <f>SUM(B540:D540)</f>
        <v>2658</v>
      </c>
      <c r="F540" s="77">
        <f>SUM(F537:F538)</f>
        <v>10584</v>
      </c>
      <c r="G540" s="77">
        <f>SUM(G537:G538)</f>
        <v>4931</v>
      </c>
      <c r="H540" s="77">
        <f>SUM(H537:H538)</f>
        <v>11749</v>
      </c>
      <c r="I540" s="60">
        <f>SUM(F540:H540)</f>
        <v>27264</v>
      </c>
      <c r="J540" s="77">
        <f>SUM(J537:J538)</f>
        <v>15324</v>
      </c>
      <c r="K540" s="77">
        <f>SUM(K537:K538)</f>
        <v>16097</v>
      </c>
      <c r="L540" s="77">
        <f>SUM(L537:L538)</f>
        <v>7058</v>
      </c>
      <c r="M540" s="60">
        <f>SUM(J540:L540)</f>
        <v>38479</v>
      </c>
      <c r="N540" s="77">
        <f>SUM(N537:N538)</f>
        <v>3976</v>
      </c>
      <c r="O540" s="77">
        <f>SUM(O537:O538)</f>
        <v>22</v>
      </c>
      <c r="P540" s="77">
        <f>SUM(P537:P538)</f>
        <v>286</v>
      </c>
      <c r="Q540" s="60">
        <f>SUM(N540:P540)</f>
        <v>4284</v>
      </c>
      <c r="R540" s="60">
        <f>+E540+I540+M540+Q540</f>
        <v>72685</v>
      </c>
    </row>
    <row r="541" spans="1:20" ht="15.75" customHeight="1" x14ac:dyDescent="0.3">
      <c r="A541" s="79" t="s">
        <v>42</v>
      </c>
      <c r="B541" s="1">
        <f>(B540/B10)/1.983</f>
        <v>0.26027686951995183</v>
      </c>
      <c r="C541" s="1">
        <f>(C540/C10)/1.983</f>
        <v>0.28816367696851808</v>
      </c>
      <c r="D541" s="1">
        <f>(D540/D10)/1.983</f>
        <v>42.717941209962092</v>
      </c>
      <c r="E541" s="55" t="s">
        <v>7</v>
      </c>
      <c r="F541" s="1">
        <f>(F540/F10)/1.983</f>
        <v>177.91225416036309</v>
      </c>
      <c r="G541" s="1">
        <f>(G540/G10)/1.983</f>
        <v>80.214077725180161</v>
      </c>
      <c r="H541" s="1">
        <f>(H540/H10)/1.983</f>
        <v>197.49537737434861</v>
      </c>
      <c r="I541" s="55" t="s">
        <v>7</v>
      </c>
      <c r="J541" s="1">
        <f>(J540/J10)/1.983</f>
        <v>249.28017178273387</v>
      </c>
      <c r="K541" s="1">
        <f>(K540/K10)/1.983</f>
        <v>261.85479804141653</v>
      </c>
      <c r="L541" s="1">
        <f>(L540/L10)/1.983</f>
        <v>118.64178853588838</v>
      </c>
      <c r="M541" s="55" t="s">
        <v>7</v>
      </c>
      <c r="N541" s="1">
        <f>(N540/N10)/1.983</f>
        <v>64.678802075708035</v>
      </c>
      <c r="O541" s="1">
        <f>(O540/O10)/1.983</f>
        <v>0.36981005210959822</v>
      </c>
      <c r="P541" s="1">
        <f>(P540/P10)/1.983</f>
        <v>4.6524490426691392</v>
      </c>
      <c r="Q541" s="55" t="s">
        <v>7</v>
      </c>
      <c r="R541" s="55" t="s">
        <v>7</v>
      </c>
    </row>
    <row r="542" spans="1:20" ht="15.75" customHeight="1" x14ac:dyDescent="0.3">
      <c r="A542" s="79" t="s">
        <v>303</v>
      </c>
      <c r="B542" s="1">
        <f>B540+B587</f>
        <v>15193</v>
      </c>
      <c r="C542" s="1">
        <f>C540+C587</f>
        <v>14779</v>
      </c>
      <c r="D542" s="1">
        <f>D540+D587</f>
        <v>24020</v>
      </c>
      <c r="E542" s="55">
        <f>SUM(B542:D542)</f>
        <v>53992</v>
      </c>
      <c r="F542" s="1">
        <f>F540+F587</f>
        <v>42399</v>
      </c>
      <c r="G542" s="1">
        <f>G540+G587</f>
        <v>35144</v>
      </c>
      <c r="H542" s="1">
        <f>H540+H587</f>
        <v>45734</v>
      </c>
      <c r="I542" s="55">
        <f>SUM(F542:H542)</f>
        <v>123277</v>
      </c>
      <c r="J542" s="1">
        <f>J540+J587</f>
        <v>52040</v>
      </c>
      <c r="K542" s="1">
        <f>K540+K587</f>
        <v>53436</v>
      </c>
      <c r="L542" s="1">
        <f>L540+L587</f>
        <v>29829</v>
      </c>
      <c r="M542" s="55">
        <f>SUM(J542:L542)</f>
        <v>135305</v>
      </c>
      <c r="N542" s="1">
        <f>N540+N587</f>
        <v>21829</v>
      </c>
      <c r="O542" s="1">
        <f>O540+O587</f>
        <v>1205</v>
      </c>
      <c r="P542" s="1">
        <f>P540+P587</f>
        <v>7285</v>
      </c>
      <c r="Q542" s="55">
        <f>SUM(N542:P542)</f>
        <v>30319</v>
      </c>
      <c r="R542" s="55">
        <f>+E542+I542+M542+Q542</f>
        <v>342893</v>
      </c>
    </row>
    <row r="543" spans="1:20" ht="16.5" customHeight="1" thickBot="1" x14ac:dyDescent="0.35">
      <c r="A543" s="80" t="s">
        <v>304</v>
      </c>
      <c r="B543" s="25">
        <f>(B542/B10)/1.983</f>
        <v>247.14915491353929</v>
      </c>
      <c r="C543" s="25">
        <f>(C542/C10)/1.983</f>
        <v>266.17318636985806</v>
      </c>
      <c r="D543" s="25">
        <f>(D542/D10)/1.983</f>
        <v>390.74065036682771</v>
      </c>
      <c r="E543" s="81" t="s">
        <v>7</v>
      </c>
      <c r="F543" s="25">
        <f>(F542/F10)/1.983</f>
        <v>712.70801815431162</v>
      </c>
      <c r="G543" s="25">
        <f>(G542/G10)/1.983</f>
        <v>571.69814390057422</v>
      </c>
      <c r="H543" s="25">
        <f>(H542/H10)/1.983</f>
        <v>768.76786014456206</v>
      </c>
      <c r="I543" s="81" t="s">
        <v>7</v>
      </c>
      <c r="J543" s="25">
        <f>(J542/J10)/1.983</f>
        <v>846.55051811364342</v>
      </c>
      <c r="K543" s="25">
        <f>(K542/K10)/1.983</f>
        <v>869.2596749792591</v>
      </c>
      <c r="L543" s="25">
        <f>(L542/L10)/1.983</f>
        <v>501.41200201714571</v>
      </c>
      <c r="M543" s="81" t="s">
        <v>7</v>
      </c>
      <c r="N543" s="25">
        <f>(N542/N10)/1.983</f>
        <v>355.09898654693927</v>
      </c>
      <c r="O543" s="25">
        <f>(O542/O10)/1.983</f>
        <v>20.255505126912084</v>
      </c>
      <c r="P543" s="25">
        <f>(P542/P10)/1.983</f>
        <v>118.50731215330308</v>
      </c>
      <c r="Q543" s="81" t="s">
        <v>7</v>
      </c>
      <c r="R543" s="81" t="s">
        <v>7</v>
      </c>
    </row>
    <row r="544" spans="1:20" ht="15.75" customHeight="1" x14ac:dyDescent="0.3">
      <c r="A544" s="2"/>
      <c r="B544" s="1"/>
      <c r="C544" s="1"/>
      <c r="D544" s="1"/>
      <c r="E544" s="1"/>
      <c r="F544" s="1"/>
      <c r="G544" s="1"/>
      <c r="H544" s="1"/>
      <c r="I544" s="1"/>
      <c r="J544" s="1"/>
      <c r="K544" s="1"/>
      <c r="L544" s="1"/>
      <c r="M544" s="1"/>
      <c r="N544" s="1"/>
      <c r="O544" s="1"/>
      <c r="P544" s="1"/>
      <c r="Q544" s="1"/>
      <c r="R544" s="2"/>
    </row>
    <row r="545" spans="1:20" ht="15.75" customHeight="1" thickBot="1" x14ac:dyDescent="0.35">
      <c r="A545" s="2"/>
      <c r="B545" s="1"/>
      <c r="C545" s="1"/>
      <c r="D545" s="1"/>
      <c r="E545" s="1"/>
      <c r="F545" s="1"/>
      <c r="G545" s="1"/>
      <c r="H545" s="1"/>
      <c r="I545" s="1"/>
      <c r="J545" s="1"/>
      <c r="K545" s="1"/>
      <c r="L545" s="1"/>
      <c r="M545" s="1"/>
      <c r="N545" s="1"/>
      <c r="O545" s="1"/>
      <c r="P545" s="1"/>
      <c r="Q545" s="1"/>
      <c r="R545" s="2"/>
    </row>
    <row r="546" spans="1:20" ht="16.5" customHeight="1" thickBot="1" x14ac:dyDescent="0.35">
      <c r="A546" s="124" t="s">
        <v>305</v>
      </c>
      <c r="B546" s="30" t="s">
        <v>8</v>
      </c>
      <c r="C546" s="31" t="s">
        <v>9</v>
      </c>
      <c r="D546" s="31" t="s">
        <v>10</v>
      </c>
      <c r="E546" s="32" t="s">
        <v>11</v>
      </c>
      <c r="F546" s="31" t="s">
        <v>12</v>
      </c>
      <c r="G546" s="31" t="s">
        <v>13</v>
      </c>
      <c r="H546" s="31" t="s">
        <v>14</v>
      </c>
      <c r="I546" s="33" t="s">
        <v>15</v>
      </c>
      <c r="J546" s="31" t="s">
        <v>16</v>
      </c>
      <c r="K546" s="31" t="s">
        <v>17</v>
      </c>
      <c r="L546" s="31" t="s">
        <v>18</v>
      </c>
      <c r="M546" s="33" t="s">
        <v>19</v>
      </c>
      <c r="N546" s="31" t="s">
        <v>20</v>
      </c>
      <c r="O546" s="31" t="s">
        <v>21</v>
      </c>
      <c r="P546" s="31" t="s">
        <v>22</v>
      </c>
      <c r="Q546" s="33" t="s">
        <v>23</v>
      </c>
      <c r="R546" s="34" t="s">
        <v>24</v>
      </c>
    </row>
    <row r="547" spans="1:20" ht="16.5" customHeight="1" thickBot="1" x14ac:dyDescent="0.35">
      <c r="A547" s="59"/>
      <c r="B547" s="75"/>
      <c r="C547" s="75"/>
      <c r="D547" s="75"/>
      <c r="E547" s="69"/>
      <c r="F547" s="75"/>
      <c r="G547" s="75"/>
      <c r="H547" s="75"/>
      <c r="I547" s="82"/>
      <c r="J547" s="75"/>
      <c r="K547" s="75"/>
      <c r="L547" s="75"/>
      <c r="M547" s="82"/>
      <c r="N547" s="75"/>
      <c r="O547" s="75"/>
      <c r="P547" s="75"/>
      <c r="Q547" s="82"/>
      <c r="R547" s="100"/>
    </row>
    <row r="548" spans="1:20" ht="15.75" customHeight="1" x14ac:dyDescent="0.3">
      <c r="A548" s="15" t="s">
        <v>48</v>
      </c>
      <c r="B548" s="1" t="s">
        <v>7</v>
      </c>
      <c r="C548" s="1" t="s">
        <v>7</v>
      </c>
      <c r="D548" s="1" t="s">
        <v>7</v>
      </c>
      <c r="E548" s="55" t="s">
        <v>7</v>
      </c>
      <c r="F548" s="1"/>
      <c r="G548" s="1"/>
      <c r="H548" s="1"/>
      <c r="I548" s="55" t="s">
        <v>7</v>
      </c>
      <c r="J548" s="1" t="s">
        <v>7</v>
      </c>
      <c r="K548" s="1" t="s">
        <v>7</v>
      </c>
      <c r="L548" s="1" t="s">
        <v>7</v>
      </c>
      <c r="M548" s="55" t="s">
        <v>7</v>
      </c>
      <c r="N548" s="1" t="s">
        <v>7</v>
      </c>
      <c r="O548" s="1" t="s">
        <v>7</v>
      </c>
      <c r="P548" s="1" t="s">
        <v>7</v>
      </c>
      <c r="Q548" s="55" t="s">
        <v>7</v>
      </c>
      <c r="R548" s="55" t="s">
        <v>7</v>
      </c>
    </row>
    <row r="549" spans="1:20" ht="15.75" customHeight="1" x14ac:dyDescent="0.3">
      <c r="A549" s="15" t="s">
        <v>49</v>
      </c>
      <c r="B549" s="1"/>
      <c r="C549" s="1"/>
      <c r="D549" s="1"/>
      <c r="E549" s="55" t="s">
        <v>7</v>
      </c>
      <c r="F549" s="1"/>
      <c r="G549" s="1"/>
      <c r="H549" s="1"/>
      <c r="I549" s="55" t="s">
        <v>7</v>
      </c>
      <c r="J549" s="1"/>
      <c r="K549" s="1"/>
      <c r="L549" s="1"/>
      <c r="M549" s="55" t="s">
        <v>7</v>
      </c>
      <c r="N549" s="1"/>
      <c r="O549" s="1"/>
      <c r="P549" s="1"/>
      <c r="Q549" s="55" t="s">
        <v>7</v>
      </c>
      <c r="R549" s="55" t="s">
        <v>7</v>
      </c>
    </row>
    <row r="550" spans="1:20" ht="15.75" customHeight="1" x14ac:dyDescent="0.3">
      <c r="A550" s="15" t="s">
        <v>984</v>
      </c>
      <c r="C550" s="1"/>
      <c r="D550" s="1"/>
      <c r="E550" s="55">
        <f>SUM(B550:D550)</f>
        <v>0</v>
      </c>
      <c r="F550" s="1"/>
      <c r="G550" s="1"/>
      <c r="H550" s="1"/>
      <c r="I550" s="55">
        <f>SUM(F550:H550)</f>
        <v>0</v>
      </c>
      <c r="J550" s="1"/>
      <c r="K550" s="1"/>
      <c r="L550" s="1"/>
      <c r="M550" s="55">
        <f>SUM(J550:L550)</f>
        <v>0</v>
      </c>
      <c r="N550" s="1"/>
      <c r="O550" s="1"/>
      <c r="P550" s="1"/>
      <c r="Q550" s="55">
        <f>SUM(N550:P550)</f>
        <v>0</v>
      </c>
      <c r="R550" s="55">
        <f>+E550+I550+M550+Q550</f>
        <v>0</v>
      </c>
      <c r="T550" s="4" t="s">
        <v>939</v>
      </c>
    </row>
    <row r="551" spans="1:20" ht="15.75" customHeight="1" x14ac:dyDescent="0.3">
      <c r="A551" s="71" t="s">
        <v>306</v>
      </c>
      <c r="B551" s="1"/>
      <c r="C551" s="1"/>
      <c r="D551" s="1">
        <v>303</v>
      </c>
      <c r="E551" s="55">
        <f>SUM(B551:D551)</f>
        <v>303</v>
      </c>
      <c r="F551" s="1">
        <v>462</v>
      </c>
      <c r="G551" s="1">
        <v>1002</v>
      </c>
      <c r="H551" s="1">
        <v>233</v>
      </c>
      <c r="I551" s="55">
        <f>SUM(F551:H551)</f>
        <v>1697</v>
      </c>
      <c r="J551" s="1"/>
      <c r="K551" s="1"/>
      <c r="L551" s="1"/>
      <c r="M551" s="55">
        <f>SUM(J551:L551)</f>
        <v>0</v>
      </c>
      <c r="N551" s="1"/>
      <c r="O551" s="1"/>
      <c r="P551" s="1"/>
      <c r="Q551" s="55">
        <f>SUM(N551:P551)</f>
        <v>0</v>
      </c>
      <c r="R551" s="55">
        <f>+E551+I551+M551+Q551</f>
        <v>2000</v>
      </c>
    </row>
    <row r="552" spans="1:20" ht="15.75" customHeight="1" x14ac:dyDescent="0.3">
      <c r="A552" s="71" t="s">
        <v>656</v>
      </c>
      <c r="B552" s="1"/>
      <c r="C552" s="1"/>
      <c r="D552" s="1"/>
      <c r="E552" s="55">
        <f>SUM(B552:D552)</f>
        <v>0</v>
      </c>
      <c r="F552" s="1"/>
      <c r="G552" s="1"/>
      <c r="H552" s="1">
        <v>656</v>
      </c>
      <c r="I552" s="55">
        <f>SUM(F552:H552)</f>
        <v>656</v>
      </c>
      <c r="J552" s="1">
        <v>1173</v>
      </c>
      <c r="K552" s="1">
        <v>1826</v>
      </c>
      <c r="L552" s="1">
        <v>345</v>
      </c>
      <c r="M552" s="55">
        <f>SUM(J552:L552)</f>
        <v>3344</v>
      </c>
      <c r="N552" s="1"/>
      <c r="O552" s="1"/>
      <c r="P552" s="1"/>
      <c r="Q552" s="55">
        <f>SUM(N552:P552)</f>
        <v>0</v>
      </c>
      <c r="R552" s="55">
        <f>+E552+I552+M552+Q552</f>
        <v>4000</v>
      </c>
    </row>
    <row r="553" spans="1:20" ht="15.75" customHeight="1" x14ac:dyDescent="0.3">
      <c r="A553" s="71" t="s">
        <v>1227</v>
      </c>
      <c r="B553" s="1"/>
      <c r="C553" s="1"/>
      <c r="D553" s="1"/>
      <c r="E553" s="55">
        <f>SUM(B553:D553)</f>
        <v>0</v>
      </c>
      <c r="F553" s="1"/>
      <c r="G553" s="1"/>
      <c r="H553" s="1"/>
      <c r="I553" s="55">
        <f>SUM(F553:H553)</f>
        <v>0</v>
      </c>
      <c r="J553" s="1"/>
      <c r="K553" s="1"/>
      <c r="L553" s="1">
        <v>381</v>
      </c>
      <c r="M553" s="55">
        <f>SUM(J553:L553)</f>
        <v>381</v>
      </c>
      <c r="N553" s="1">
        <v>372</v>
      </c>
      <c r="O553" s="1"/>
      <c r="P553" s="1"/>
      <c r="Q553" s="55">
        <f>SUM(N553:P553)</f>
        <v>372</v>
      </c>
      <c r="R553" s="55">
        <f>+E553+I553+M553+Q553</f>
        <v>753</v>
      </c>
    </row>
    <row r="554" spans="1:20" ht="15.75" customHeight="1" x14ac:dyDescent="0.3">
      <c r="A554" s="71" t="s">
        <v>657</v>
      </c>
      <c r="B554" s="1"/>
      <c r="C554" s="1"/>
      <c r="D554" s="1"/>
      <c r="E554" s="55">
        <f>SUM(B554:D554)</f>
        <v>0</v>
      </c>
      <c r="F554" s="1"/>
      <c r="G554" s="1"/>
      <c r="H554" s="1"/>
      <c r="I554" s="55">
        <f>SUM(F554:H554)</f>
        <v>0</v>
      </c>
      <c r="J554" s="1">
        <v>237</v>
      </c>
      <c r="K554" s="1"/>
      <c r="L554" s="1">
        <v>300</v>
      </c>
      <c r="M554" s="55">
        <f>SUM(J554:L554)</f>
        <v>537</v>
      </c>
      <c r="N554" s="1"/>
      <c r="O554" s="1"/>
      <c r="P554" s="1"/>
      <c r="Q554" s="55">
        <f>SUM(N554:P554)</f>
        <v>0</v>
      </c>
      <c r="R554" s="55">
        <f>+E554+I554+M554+Q554</f>
        <v>537</v>
      </c>
    </row>
    <row r="555" spans="1:20" ht="15.75" customHeight="1" x14ac:dyDescent="0.3">
      <c r="A555" s="15" t="s">
        <v>50</v>
      </c>
      <c r="B555" s="1"/>
      <c r="C555" s="1"/>
      <c r="D555" s="1"/>
      <c r="E555" s="55" t="s">
        <v>7</v>
      </c>
      <c r="F555" s="1"/>
      <c r="G555" s="1"/>
      <c r="H555" s="1"/>
      <c r="I555" s="55" t="s">
        <v>7</v>
      </c>
      <c r="J555" s="1"/>
      <c r="K555" s="1"/>
      <c r="L555" s="1"/>
      <c r="M555" s="55" t="s">
        <v>7</v>
      </c>
      <c r="N555" s="1"/>
      <c r="O555" s="1"/>
      <c r="P555" s="1"/>
      <c r="Q555" s="55" t="s">
        <v>7</v>
      </c>
      <c r="R555" s="55" t="s">
        <v>7</v>
      </c>
    </row>
    <row r="556" spans="1:20" ht="15.75" customHeight="1" x14ac:dyDescent="0.3">
      <c r="A556" s="15" t="s">
        <v>1186</v>
      </c>
      <c r="B556" s="1"/>
      <c r="C556" s="1"/>
      <c r="D556" s="1"/>
      <c r="E556" s="55" t="s">
        <v>7</v>
      </c>
      <c r="F556" s="1"/>
      <c r="G556" s="1"/>
      <c r="H556" s="1"/>
      <c r="I556" s="55" t="s">
        <v>7</v>
      </c>
      <c r="J556" s="1"/>
      <c r="K556" s="1"/>
      <c r="L556" s="1"/>
      <c r="M556" s="55" t="s">
        <v>7</v>
      </c>
      <c r="N556" s="1"/>
      <c r="O556" s="1"/>
      <c r="P556" s="1"/>
      <c r="Q556" s="55" t="s">
        <v>7</v>
      </c>
      <c r="R556" s="55" t="s">
        <v>7</v>
      </c>
    </row>
    <row r="557" spans="1:20" ht="15.75" customHeight="1" thickBot="1" x14ac:dyDescent="0.35">
      <c r="A557" s="15" t="s">
        <v>53</v>
      </c>
      <c r="B557" s="1"/>
      <c r="C557" s="1"/>
      <c r="D557" s="1"/>
      <c r="E557" s="55" t="s">
        <v>7</v>
      </c>
      <c r="F557" s="1"/>
      <c r="G557" s="1"/>
      <c r="H557" s="1"/>
      <c r="I557" s="55" t="s">
        <v>7</v>
      </c>
      <c r="J557" s="1"/>
      <c r="K557" s="1"/>
      <c r="L557" s="1"/>
      <c r="M557" s="55" t="s">
        <v>7</v>
      </c>
      <c r="N557" s="1"/>
      <c r="O557" s="1"/>
      <c r="P557" s="1"/>
      <c r="Q557" s="55" t="s">
        <v>7</v>
      </c>
      <c r="R557" s="55" t="s">
        <v>7</v>
      </c>
    </row>
    <row r="558" spans="1:20" ht="16.5" customHeight="1" thickBot="1" x14ac:dyDescent="0.35">
      <c r="A558" s="109" t="s">
        <v>54</v>
      </c>
      <c r="B558" s="86">
        <f>SUM(B548:B557)</f>
        <v>0</v>
      </c>
      <c r="C558" s="87">
        <f>SUM(C548:C557)</f>
        <v>0</v>
      </c>
      <c r="D558" s="87">
        <f>SUM(D548:D557)</f>
        <v>303</v>
      </c>
      <c r="E558" s="59">
        <f>SUM(B558:D558)</f>
        <v>303</v>
      </c>
      <c r="F558" s="87">
        <f>SUM(F548:F557)</f>
        <v>462</v>
      </c>
      <c r="G558" s="87">
        <f>SUM(G548:G557)</f>
        <v>1002</v>
      </c>
      <c r="H558" s="87">
        <f>SUM(H548:H557)</f>
        <v>889</v>
      </c>
      <c r="I558" s="59">
        <f>SUM(F558:H558)</f>
        <v>2353</v>
      </c>
      <c r="J558" s="87">
        <f>SUM(J548:J557)</f>
        <v>1410</v>
      </c>
      <c r="K558" s="87">
        <f>SUM(K548:K557)</f>
        <v>1826</v>
      </c>
      <c r="L558" s="87">
        <f>SUM(L548:L557)</f>
        <v>1026</v>
      </c>
      <c r="M558" s="59">
        <f>SUM(J558:L558)</f>
        <v>4262</v>
      </c>
      <c r="N558" s="87">
        <f>SUM(N548:N557)</f>
        <v>372</v>
      </c>
      <c r="O558" s="87">
        <f>SUM(O548:O557)</f>
        <v>0</v>
      </c>
      <c r="P558" s="87">
        <f>SUM(P548:P557)</f>
        <v>0</v>
      </c>
      <c r="Q558" s="59">
        <f>SUM(N558:P558)</f>
        <v>372</v>
      </c>
      <c r="R558" s="59">
        <f>+E558+I558+M558+Q558</f>
        <v>7290</v>
      </c>
    </row>
    <row r="559" spans="1:20" ht="15.75" customHeight="1" x14ac:dyDescent="0.3">
      <c r="A559" s="15" t="s">
        <v>55</v>
      </c>
      <c r="B559" s="1"/>
      <c r="C559" s="1"/>
      <c r="D559" s="1"/>
      <c r="E559" s="60" t="s">
        <v>7</v>
      </c>
      <c r="F559" s="1"/>
      <c r="G559" s="1"/>
      <c r="H559" s="1"/>
      <c r="I559" s="60" t="s">
        <v>7</v>
      </c>
      <c r="J559" s="1"/>
      <c r="K559" s="1"/>
      <c r="L559" s="1"/>
      <c r="M559" s="60" t="s">
        <v>7</v>
      </c>
      <c r="N559" s="1"/>
      <c r="O559" s="1"/>
      <c r="P559" s="1"/>
      <c r="Q559" s="60" t="s">
        <v>7</v>
      </c>
      <c r="R559" s="125" t="s">
        <v>7</v>
      </c>
    </row>
    <row r="560" spans="1:20" ht="15.75" customHeight="1" x14ac:dyDescent="0.3">
      <c r="A560" s="15" t="s">
        <v>57</v>
      </c>
      <c r="B560" s="1"/>
      <c r="C560" s="1"/>
      <c r="D560" s="1"/>
      <c r="E560" s="55" t="s">
        <v>7</v>
      </c>
      <c r="F560" s="1"/>
      <c r="G560" s="1"/>
      <c r="H560" s="1"/>
      <c r="I560" s="55" t="s">
        <v>7</v>
      </c>
      <c r="J560" s="1"/>
      <c r="K560" s="1"/>
      <c r="L560" s="1"/>
      <c r="M560" s="55" t="s">
        <v>7</v>
      </c>
      <c r="N560" s="1"/>
      <c r="O560" s="1"/>
      <c r="P560" s="1"/>
      <c r="Q560" s="55" t="s">
        <v>7</v>
      </c>
      <c r="R560" s="125" t="s">
        <v>7</v>
      </c>
    </row>
    <row r="561" spans="1:20" ht="15.75" customHeight="1" x14ac:dyDescent="0.3">
      <c r="A561" s="71" t="s">
        <v>569</v>
      </c>
      <c r="B561" s="1"/>
      <c r="C561" s="1"/>
      <c r="D561" s="1">
        <v>305</v>
      </c>
      <c r="E561" s="55">
        <f>SUM(B561:D561)</f>
        <v>305</v>
      </c>
      <c r="F561" s="1">
        <v>3190</v>
      </c>
      <c r="G561" s="1">
        <v>1941</v>
      </c>
      <c r="H561" s="1">
        <v>4082</v>
      </c>
      <c r="I561" s="55">
        <f>SUM(F561:H561)</f>
        <v>9213</v>
      </c>
      <c r="J561" s="1">
        <v>4836</v>
      </c>
      <c r="K561" s="1">
        <v>5554</v>
      </c>
      <c r="L561" s="1">
        <v>2606</v>
      </c>
      <c r="M561" s="55">
        <f>SUM(J561:L561)</f>
        <v>12996</v>
      </c>
      <c r="N561" s="1">
        <v>952</v>
      </c>
      <c r="O561" s="1">
        <v>8</v>
      </c>
      <c r="P561" s="1">
        <v>40</v>
      </c>
      <c r="Q561" s="55">
        <f>SUM(N561:P561)</f>
        <v>1000</v>
      </c>
      <c r="R561" s="55">
        <f>+E561+I561+M561+Q561</f>
        <v>23514</v>
      </c>
      <c r="S561" s="4">
        <f>+SUM(R561,R519,R390)</f>
        <v>93023</v>
      </c>
      <c r="T561" s="4" t="s">
        <v>985</v>
      </c>
    </row>
    <row r="562" spans="1:20" ht="15.75" customHeight="1" x14ac:dyDescent="0.3">
      <c r="A562" s="71" t="s">
        <v>309</v>
      </c>
      <c r="B562" s="1"/>
      <c r="C562" s="1"/>
      <c r="D562" s="1"/>
      <c r="E562" s="55">
        <f>SUM(B562:D562)</f>
        <v>0</v>
      </c>
      <c r="F562" s="1"/>
      <c r="G562" s="1"/>
      <c r="H562" s="1"/>
      <c r="I562" s="55">
        <f>SUM(F562:H562)</f>
        <v>0</v>
      </c>
      <c r="J562" s="1"/>
      <c r="K562" s="1"/>
      <c r="L562" s="1"/>
      <c r="M562" s="55">
        <f>SUM(J562:L562)</f>
        <v>0</v>
      </c>
      <c r="N562" s="1"/>
      <c r="O562" s="1"/>
      <c r="P562" s="1"/>
      <c r="Q562" s="55">
        <f>SUM(N562:P562)</f>
        <v>0</v>
      </c>
      <c r="R562" s="55">
        <f>+E562+I562+M562+Q562</f>
        <v>0</v>
      </c>
    </row>
    <row r="563" spans="1:20" ht="15.75" customHeight="1" thickBot="1" x14ac:dyDescent="0.35">
      <c r="A563" s="15" t="s">
        <v>58</v>
      </c>
      <c r="B563" s="1"/>
      <c r="C563" s="1"/>
      <c r="D563" s="1"/>
      <c r="E563" s="55" t="s">
        <v>7</v>
      </c>
      <c r="F563" s="1"/>
      <c r="G563" s="1"/>
      <c r="H563" s="1"/>
      <c r="I563" s="55" t="s">
        <v>7</v>
      </c>
      <c r="J563" s="1"/>
      <c r="K563" s="1"/>
      <c r="L563" s="1"/>
      <c r="M563" s="55" t="s">
        <v>7</v>
      </c>
      <c r="N563" s="1"/>
      <c r="O563" s="1"/>
      <c r="P563" s="1"/>
      <c r="Q563" s="55" t="s">
        <v>7</v>
      </c>
      <c r="R563" s="125" t="s">
        <v>7</v>
      </c>
    </row>
    <row r="564" spans="1:20" ht="16.5" customHeight="1" thickBot="1" x14ac:dyDescent="0.35">
      <c r="A564" s="57" t="s">
        <v>59</v>
      </c>
      <c r="B564" s="86">
        <f>SUM(B559:B563)</f>
        <v>0</v>
      </c>
      <c r="C564" s="87">
        <f>SUM(C559:C563)</f>
        <v>0</v>
      </c>
      <c r="D564" s="87">
        <f>SUM(D559:D563)</f>
        <v>305</v>
      </c>
      <c r="E564" s="59">
        <f>SUM(B564:D564)</f>
        <v>305</v>
      </c>
      <c r="F564" s="87">
        <f>SUM(F559:F563)</f>
        <v>3190</v>
      </c>
      <c r="G564" s="87">
        <f>SUM(G559:G563)</f>
        <v>1941</v>
      </c>
      <c r="H564" s="87">
        <f>SUM(H559:H563)</f>
        <v>4082</v>
      </c>
      <c r="I564" s="59">
        <f>SUM(F564:H564)</f>
        <v>9213</v>
      </c>
      <c r="J564" s="87">
        <f>SUM(J559:J563)</f>
        <v>4836</v>
      </c>
      <c r="K564" s="87">
        <f>SUM(K559:K563)</f>
        <v>5554</v>
      </c>
      <c r="L564" s="87">
        <f>SUM(L559:L563)</f>
        <v>2606</v>
      </c>
      <c r="M564" s="59">
        <f>SUM(J564:L564)</f>
        <v>12996</v>
      </c>
      <c r="N564" s="87">
        <f>SUM(N559:N563)</f>
        <v>952</v>
      </c>
      <c r="O564" s="87">
        <f>SUM(O559:O563)</f>
        <v>8</v>
      </c>
      <c r="P564" s="87">
        <f>SUM(P559:P563)</f>
        <v>40</v>
      </c>
      <c r="Q564" s="59">
        <f>SUM(N564:P564)</f>
        <v>1000</v>
      </c>
      <c r="R564" s="59">
        <f>+E564+I564+M564+Q564</f>
        <v>23514</v>
      </c>
    </row>
    <row r="565" spans="1:20" ht="15.75" customHeight="1" x14ac:dyDescent="0.3">
      <c r="A565" s="15" t="s">
        <v>60</v>
      </c>
      <c r="B565" s="1"/>
      <c r="C565" s="1"/>
      <c r="D565" s="1"/>
      <c r="E565" s="55" t="s">
        <v>7</v>
      </c>
      <c r="F565" s="1"/>
      <c r="G565" s="1"/>
      <c r="H565" s="1"/>
      <c r="I565" s="55" t="s">
        <v>7</v>
      </c>
      <c r="J565" s="1"/>
      <c r="K565" s="1"/>
      <c r="L565" s="1"/>
      <c r="M565" s="55" t="s">
        <v>7</v>
      </c>
      <c r="N565" s="1"/>
      <c r="O565" s="1"/>
      <c r="P565" s="1"/>
      <c r="Q565" s="55" t="s">
        <v>7</v>
      </c>
      <c r="R565" s="55" t="s">
        <v>7</v>
      </c>
    </row>
    <row r="566" spans="1:20" ht="15.75" customHeight="1" x14ac:dyDescent="0.3">
      <c r="A566" s="15" t="s">
        <v>61</v>
      </c>
      <c r="B566" s="1"/>
      <c r="C566" s="1"/>
      <c r="D566" s="1"/>
      <c r="E566" s="55" t="s">
        <v>7</v>
      </c>
      <c r="F566" s="1"/>
      <c r="G566" s="1"/>
      <c r="H566" s="1"/>
      <c r="I566" s="55" t="s">
        <v>7</v>
      </c>
      <c r="J566" s="1"/>
      <c r="K566" s="1"/>
      <c r="L566" s="1"/>
      <c r="M566" s="55" t="s">
        <v>7</v>
      </c>
      <c r="N566" s="1"/>
      <c r="O566" s="1"/>
      <c r="P566" s="1"/>
      <c r="Q566" s="55" t="s">
        <v>7</v>
      </c>
      <c r="R566" s="55" t="s">
        <v>7</v>
      </c>
    </row>
    <row r="567" spans="1:20" ht="15.75" customHeight="1" x14ac:dyDescent="0.3">
      <c r="A567" s="15" t="s">
        <v>62</v>
      </c>
      <c r="B567" s="1"/>
      <c r="C567" s="1"/>
      <c r="D567" s="1"/>
      <c r="E567" s="55" t="s">
        <v>7</v>
      </c>
      <c r="F567" s="1"/>
      <c r="G567" s="1"/>
      <c r="H567" s="1"/>
      <c r="I567" s="55" t="s">
        <v>7</v>
      </c>
      <c r="J567" s="1"/>
      <c r="K567" s="1"/>
      <c r="L567" s="1"/>
      <c r="M567" s="55" t="s">
        <v>7</v>
      </c>
      <c r="N567" s="1"/>
      <c r="O567" s="1"/>
      <c r="P567" s="1"/>
      <c r="Q567" s="55" t="s">
        <v>7</v>
      </c>
      <c r="R567" s="55" t="s">
        <v>7</v>
      </c>
    </row>
    <row r="568" spans="1:20" ht="15.75" customHeight="1" thickBot="1" x14ac:dyDescent="0.35">
      <c r="A568" s="359" t="s">
        <v>982</v>
      </c>
      <c r="B568" s="1"/>
      <c r="C568" s="1"/>
      <c r="D568" s="1"/>
      <c r="E568" s="55">
        <f>SUM(B568:D568)</f>
        <v>0</v>
      </c>
      <c r="F568" s="1"/>
      <c r="G568" s="1"/>
      <c r="H568" s="1"/>
      <c r="I568" s="55">
        <f>SUM(F568:H568)</f>
        <v>0</v>
      </c>
      <c r="J568" s="1"/>
      <c r="K568" s="1"/>
      <c r="L568" s="1"/>
      <c r="M568" s="55">
        <f>SUM(J568:L568)</f>
        <v>0</v>
      </c>
      <c r="N568" s="1"/>
      <c r="O568" s="1"/>
      <c r="P568" s="1"/>
      <c r="Q568" s="55">
        <f>SUM(N568:P568)</f>
        <v>0</v>
      </c>
      <c r="R568" s="55">
        <f>+E568+I568+M568+Q568</f>
        <v>0</v>
      </c>
      <c r="T568" s="4" t="s">
        <v>939</v>
      </c>
    </row>
    <row r="569" spans="1:20" ht="16.5" customHeight="1" thickBot="1" x14ac:dyDescent="0.35">
      <c r="A569" s="114" t="s">
        <v>63</v>
      </c>
      <c r="B569" s="86">
        <f>SUM(B565:B568)</f>
        <v>0</v>
      </c>
      <c r="C569" s="87">
        <f>SUM(C565:C568)</f>
        <v>0</v>
      </c>
      <c r="D569" s="87">
        <f>SUM(D565:D568)</f>
        <v>0</v>
      </c>
      <c r="E569" s="59">
        <f>SUM(B569:D569)</f>
        <v>0</v>
      </c>
      <c r="F569" s="87">
        <f>SUM(F565:F568)</f>
        <v>0</v>
      </c>
      <c r="G569" s="87">
        <f>SUM(G565:G568)</f>
        <v>0</v>
      </c>
      <c r="H569" s="87">
        <f>SUM(H565:H568)</f>
        <v>0</v>
      </c>
      <c r="I569" s="59">
        <f>SUM(F569:H569)</f>
        <v>0</v>
      </c>
      <c r="J569" s="87">
        <f>SUM(J565:J568)</f>
        <v>0</v>
      </c>
      <c r="K569" s="87">
        <f>SUM(K565:K568)</f>
        <v>0</v>
      </c>
      <c r="L569" s="87">
        <f>SUM(L565:L568)</f>
        <v>0</v>
      </c>
      <c r="M569" s="59">
        <f>SUM(J569:L569)</f>
        <v>0</v>
      </c>
      <c r="N569" s="87">
        <f>SUM(N565:N568)</f>
        <v>0</v>
      </c>
      <c r="O569" s="87">
        <f>SUM(O565:O568)</f>
        <v>0</v>
      </c>
      <c r="P569" s="87">
        <f>SUM(P565:P568)</f>
        <v>0</v>
      </c>
      <c r="Q569" s="59">
        <f>SUM(N569:P569)</f>
        <v>0</v>
      </c>
      <c r="R569" s="59">
        <f>+E569+I569+M569+Q569</f>
        <v>0</v>
      </c>
    </row>
    <row r="570" spans="1:20" ht="15.75" customHeight="1" x14ac:dyDescent="0.3">
      <c r="A570" s="15" t="s">
        <v>64</v>
      </c>
      <c r="B570" s="1"/>
      <c r="C570" s="1"/>
      <c r="D570" s="1"/>
      <c r="E570" s="55" t="s">
        <v>7</v>
      </c>
      <c r="F570" s="1"/>
      <c r="G570" s="1"/>
      <c r="H570" s="1"/>
      <c r="I570" s="55" t="s">
        <v>7</v>
      </c>
      <c r="J570" s="1"/>
      <c r="K570" s="1"/>
      <c r="L570" s="1"/>
      <c r="M570" s="55" t="s">
        <v>7</v>
      </c>
      <c r="N570" s="1"/>
      <c r="O570" s="1"/>
      <c r="P570" s="1"/>
      <c r="Q570" s="55" t="s">
        <v>7</v>
      </c>
      <c r="R570" s="55" t="s">
        <v>7</v>
      </c>
    </row>
    <row r="571" spans="1:20" ht="15.75" customHeight="1" x14ac:dyDescent="0.3">
      <c r="A571" s="15" t="s">
        <v>594</v>
      </c>
      <c r="B571" s="1"/>
      <c r="C571" s="1"/>
      <c r="D571" s="1"/>
      <c r="E571" s="55" t="s">
        <v>7</v>
      </c>
      <c r="F571" s="1"/>
      <c r="G571" s="1"/>
      <c r="H571" s="1"/>
      <c r="I571" s="55" t="s">
        <v>7</v>
      </c>
      <c r="J571" s="1"/>
      <c r="K571" s="1"/>
      <c r="L571" s="1"/>
      <c r="M571" s="55" t="s">
        <v>7</v>
      </c>
      <c r="N571" s="1"/>
      <c r="O571" s="1"/>
      <c r="P571" s="1"/>
      <c r="Q571" s="55" t="s">
        <v>7</v>
      </c>
      <c r="R571" s="55" t="s">
        <v>7</v>
      </c>
    </row>
    <row r="572" spans="1:20" ht="15.75" customHeight="1" x14ac:dyDescent="0.3">
      <c r="A572" s="15" t="s">
        <v>67</v>
      </c>
      <c r="B572" s="1"/>
      <c r="C572" s="1"/>
      <c r="D572" s="1"/>
      <c r="E572" s="55" t="s">
        <v>7</v>
      </c>
      <c r="F572" s="1"/>
      <c r="G572" s="1"/>
      <c r="H572" s="1"/>
      <c r="I572" s="55" t="s">
        <v>7</v>
      </c>
      <c r="J572" s="1"/>
      <c r="K572" s="1"/>
      <c r="L572" s="1"/>
      <c r="M572" s="55" t="s">
        <v>7</v>
      </c>
      <c r="N572" s="1"/>
      <c r="O572" s="1"/>
      <c r="P572" s="1"/>
      <c r="Q572" s="55" t="s">
        <v>7</v>
      </c>
      <c r="R572" s="55" t="s">
        <v>7</v>
      </c>
    </row>
    <row r="573" spans="1:20" ht="15.75" customHeight="1" x14ac:dyDescent="0.3">
      <c r="A573" s="15" t="s">
        <v>600</v>
      </c>
      <c r="B573" s="1"/>
      <c r="C573" s="1"/>
      <c r="D573" s="1"/>
      <c r="E573" s="55" t="s">
        <v>7</v>
      </c>
      <c r="F573" s="1"/>
      <c r="G573" s="1"/>
      <c r="H573" s="1"/>
      <c r="I573" s="55" t="s">
        <v>7</v>
      </c>
      <c r="J573" s="1"/>
      <c r="K573" s="1"/>
      <c r="L573" s="1"/>
      <c r="M573" s="55" t="s">
        <v>7</v>
      </c>
      <c r="N573" s="1"/>
      <c r="O573" s="1"/>
      <c r="P573" s="1"/>
      <c r="Q573" s="55" t="s">
        <v>7</v>
      </c>
      <c r="R573" s="55" t="s">
        <v>7</v>
      </c>
    </row>
    <row r="574" spans="1:20" ht="15.75" customHeight="1" x14ac:dyDescent="0.3">
      <c r="A574" s="71" t="s">
        <v>1322</v>
      </c>
      <c r="B574" s="1"/>
      <c r="C574" s="1"/>
      <c r="D574" s="1"/>
      <c r="E574" s="55">
        <f>SUM(B574:D574)</f>
        <v>0</v>
      </c>
      <c r="F574" s="1"/>
      <c r="G574" s="1"/>
      <c r="H574" s="1"/>
      <c r="I574" s="55">
        <f>SUM(F574:H574)</f>
        <v>0</v>
      </c>
      <c r="J574" s="1"/>
      <c r="K574" s="1"/>
      <c r="L574" s="1"/>
      <c r="M574" s="55">
        <f>SUM(J574:L574)</f>
        <v>0</v>
      </c>
      <c r="N574" s="1"/>
      <c r="O574" s="1"/>
      <c r="P574" s="1"/>
      <c r="Q574" s="55">
        <f>SUM(N574:P574)</f>
        <v>0</v>
      </c>
      <c r="R574" s="55">
        <f>+E574+I574+M574+Q574</f>
        <v>0</v>
      </c>
    </row>
    <row r="575" spans="1:20" ht="15.75" customHeight="1" x14ac:dyDescent="0.3">
      <c r="A575" s="15" t="s">
        <v>70</v>
      </c>
      <c r="B575" s="1"/>
      <c r="C575" s="1"/>
      <c r="D575" s="1"/>
      <c r="E575" s="55"/>
      <c r="F575" s="1"/>
      <c r="G575" s="1"/>
      <c r="H575" s="1"/>
      <c r="I575" s="55"/>
      <c r="J575" s="1"/>
      <c r="K575" s="1"/>
      <c r="L575" s="1"/>
      <c r="M575" s="55"/>
      <c r="N575" s="1"/>
      <c r="O575" s="1"/>
      <c r="P575" s="1"/>
      <c r="Q575" s="55"/>
      <c r="R575" s="55" t="s">
        <v>7</v>
      </c>
    </row>
    <row r="576" spans="1:20" ht="15.75" customHeight="1" x14ac:dyDescent="0.3">
      <c r="A576" s="71" t="s">
        <v>977</v>
      </c>
      <c r="B576" s="1"/>
      <c r="C576" s="1"/>
      <c r="D576" s="1"/>
      <c r="E576" s="55">
        <f t="shared" ref="E576:E583" si="219">SUM(B576:D576)</f>
        <v>0</v>
      </c>
      <c r="F576" s="1"/>
      <c r="G576" s="1"/>
      <c r="H576" s="1"/>
      <c r="I576" s="55">
        <f t="shared" ref="I576:I583" si="220">SUM(F576:H576)</f>
        <v>0</v>
      </c>
      <c r="J576" s="1"/>
      <c r="K576" s="1"/>
      <c r="L576" s="1"/>
      <c r="M576" s="55">
        <f t="shared" ref="M576:M583" si="221">SUM(J576:L576)</f>
        <v>0</v>
      </c>
      <c r="N576" s="1"/>
      <c r="O576" s="1"/>
      <c r="P576" s="1"/>
      <c r="Q576" s="55">
        <f t="shared" ref="Q576:Q583" si="222">SUM(N576:P576)</f>
        <v>0</v>
      </c>
      <c r="R576" s="55">
        <f t="shared" ref="R576:R583" si="223">+E576+I576+M576+Q576</f>
        <v>0</v>
      </c>
      <c r="T576" s="4" t="s">
        <v>939</v>
      </c>
    </row>
    <row r="577" spans="1:20" ht="15.75" customHeight="1" x14ac:dyDescent="0.3">
      <c r="A577" s="71" t="s">
        <v>986</v>
      </c>
      <c r="B577" s="1"/>
      <c r="C577" s="1"/>
      <c r="D577" s="1"/>
      <c r="E577" s="55">
        <f>SUM(B577:D577)</f>
        <v>0</v>
      </c>
      <c r="F577" s="1"/>
      <c r="G577" s="1"/>
      <c r="H577" s="1"/>
      <c r="I577" s="55">
        <f>SUM(F577:H577)</f>
        <v>0</v>
      </c>
      <c r="J577" s="1"/>
      <c r="K577" s="1"/>
      <c r="L577" s="1"/>
      <c r="M577" s="55">
        <f>SUM(J577:L577)</f>
        <v>0</v>
      </c>
      <c r="N577" s="1"/>
      <c r="O577" s="1"/>
      <c r="P577" s="1"/>
      <c r="Q577" s="55">
        <f>SUM(N577:P577)</f>
        <v>0</v>
      </c>
      <c r="R577" s="55">
        <f>+E577+I577+M577+Q577</f>
        <v>0</v>
      </c>
      <c r="T577" s="4" t="s">
        <v>939</v>
      </c>
    </row>
    <row r="578" spans="1:20" ht="15.75" customHeight="1" x14ac:dyDescent="0.3">
      <c r="A578" s="71" t="s">
        <v>1323</v>
      </c>
      <c r="B578" s="1"/>
      <c r="C578" s="1"/>
      <c r="D578" s="1"/>
      <c r="E578" s="55">
        <f t="shared" ref="E578" si="224">SUM(B578:D578)</f>
        <v>0</v>
      </c>
      <c r="F578" s="1"/>
      <c r="G578" s="1"/>
      <c r="H578" s="1"/>
      <c r="I578" s="55">
        <f t="shared" ref="I578" si="225">SUM(F578:H578)</f>
        <v>0</v>
      </c>
      <c r="J578" s="1"/>
      <c r="K578" s="1"/>
      <c r="L578" s="1"/>
      <c r="M578" s="55">
        <f t="shared" ref="M578" si="226">SUM(J578:L578)</f>
        <v>0</v>
      </c>
      <c r="N578" s="1"/>
      <c r="O578" s="1"/>
      <c r="P578" s="1"/>
      <c r="Q578" s="55">
        <f t="shared" ref="Q578" si="227">SUM(N578:P578)</f>
        <v>0</v>
      </c>
      <c r="R578" s="55">
        <f t="shared" ref="R578" si="228">+E578+I578+M578+Q578</f>
        <v>0</v>
      </c>
    </row>
    <row r="579" spans="1:20" ht="15.75" customHeight="1" thickBot="1" x14ac:dyDescent="0.35">
      <c r="A579" s="71" t="s">
        <v>761</v>
      </c>
      <c r="B579" s="1"/>
      <c r="C579" s="1"/>
      <c r="D579" s="1"/>
      <c r="E579" s="55">
        <f t="shared" si="219"/>
        <v>0</v>
      </c>
      <c r="F579" s="1"/>
      <c r="G579" s="1"/>
      <c r="H579" s="1"/>
      <c r="I579" s="55">
        <f t="shared" si="220"/>
        <v>0</v>
      </c>
      <c r="J579" s="1"/>
      <c r="K579" s="1"/>
      <c r="L579" s="1"/>
      <c r="M579" s="55">
        <f t="shared" si="221"/>
        <v>0</v>
      </c>
      <c r="N579" s="1"/>
      <c r="O579" s="1"/>
      <c r="P579" s="1"/>
      <c r="Q579" s="55">
        <f t="shared" si="222"/>
        <v>0</v>
      </c>
      <c r="R579" s="55">
        <f t="shared" si="223"/>
        <v>0</v>
      </c>
    </row>
    <row r="580" spans="1:20" ht="16.5" customHeight="1" thickBot="1" x14ac:dyDescent="0.35">
      <c r="A580" s="57" t="s">
        <v>71</v>
      </c>
      <c r="B580" s="58">
        <f>SUM(B573:B579)</f>
        <v>0</v>
      </c>
      <c r="C580" s="58">
        <f>SUM(C573:C579)</f>
        <v>0</v>
      </c>
      <c r="D580" s="58">
        <f>SUM(D573:D579)</f>
        <v>0</v>
      </c>
      <c r="E580" s="60">
        <f t="shared" si="219"/>
        <v>0</v>
      </c>
      <c r="F580" s="58">
        <f>SUM(F573:F579)</f>
        <v>0</v>
      </c>
      <c r="G580" s="58">
        <f>SUM(G573:G579)</f>
        <v>0</v>
      </c>
      <c r="H580" s="58">
        <f>SUM(H573:H579)</f>
        <v>0</v>
      </c>
      <c r="I580" s="60">
        <f t="shared" si="220"/>
        <v>0</v>
      </c>
      <c r="J580" s="58">
        <f>SUM(J573:J579)</f>
        <v>0</v>
      </c>
      <c r="K580" s="58">
        <f>SUM(K573:K579)</f>
        <v>0</v>
      </c>
      <c r="L580" s="58">
        <f>SUM(L573:L579)</f>
        <v>0</v>
      </c>
      <c r="M580" s="60">
        <f t="shared" si="221"/>
        <v>0</v>
      </c>
      <c r="N580" s="58">
        <f>SUM(N573:N579)</f>
        <v>0</v>
      </c>
      <c r="O580" s="58">
        <f>SUM(O573:O579)</f>
        <v>0</v>
      </c>
      <c r="P580" s="58">
        <f>SUM(P573:P579)</f>
        <v>0</v>
      </c>
      <c r="Q580" s="60">
        <f t="shared" si="222"/>
        <v>0</v>
      </c>
      <c r="R580" s="59">
        <f t="shared" si="223"/>
        <v>0</v>
      </c>
    </row>
    <row r="581" spans="1:20" ht="16.5" customHeight="1" thickBot="1" x14ac:dyDescent="0.35">
      <c r="A581" s="114" t="s">
        <v>72</v>
      </c>
      <c r="B581" s="86">
        <f>SUM(B570:B579)</f>
        <v>0</v>
      </c>
      <c r="C581" s="87">
        <f>SUM(C570:C579)</f>
        <v>0</v>
      </c>
      <c r="D581" s="118">
        <f>SUM(D570:D579)</f>
        <v>0</v>
      </c>
      <c r="E581" s="60">
        <f t="shared" si="219"/>
        <v>0</v>
      </c>
      <c r="F581" s="87">
        <f>SUM(F570:F579)</f>
        <v>0</v>
      </c>
      <c r="G581" s="87">
        <f>SUM(G570:G579)</f>
        <v>0</v>
      </c>
      <c r="H581" s="87">
        <f>SUM(H570:H579)</f>
        <v>0</v>
      </c>
      <c r="I581" s="60">
        <f t="shared" si="220"/>
        <v>0</v>
      </c>
      <c r="J581" s="87">
        <f>SUM(J570:J579)</f>
        <v>0</v>
      </c>
      <c r="K581" s="87">
        <f>SUM(K570:K579)</f>
        <v>0</v>
      </c>
      <c r="L581" s="87">
        <f>SUM(L570:L579)</f>
        <v>0</v>
      </c>
      <c r="M581" s="60">
        <f t="shared" si="221"/>
        <v>0</v>
      </c>
      <c r="N581" s="87">
        <f>SUM(N570:N579)</f>
        <v>0</v>
      </c>
      <c r="O581" s="87">
        <f>SUM(O570:O579)</f>
        <v>0</v>
      </c>
      <c r="P581" s="87">
        <f>SUM(P570:P579)</f>
        <v>0</v>
      </c>
      <c r="Q581" s="60">
        <f t="shared" si="222"/>
        <v>0</v>
      </c>
      <c r="R581" s="59">
        <f t="shared" si="223"/>
        <v>0</v>
      </c>
    </row>
    <row r="582" spans="1:20" ht="16.5" customHeight="1" thickBot="1" x14ac:dyDescent="0.35">
      <c r="A582" s="57" t="s">
        <v>73</v>
      </c>
      <c r="B582" s="90">
        <f>+B558+B564+B569+B581</f>
        <v>0</v>
      </c>
      <c r="C582" s="58">
        <f>+C558+C564+C569+C581</f>
        <v>0</v>
      </c>
      <c r="D582" s="58">
        <f>+D558+D564+D569+D581</f>
        <v>608</v>
      </c>
      <c r="E582" s="59">
        <f t="shared" si="219"/>
        <v>608</v>
      </c>
      <c r="F582" s="58">
        <f>+F558+F564+F569+F581</f>
        <v>3652</v>
      </c>
      <c r="G582" s="58">
        <f>+G558+G564+G569+G581</f>
        <v>2943</v>
      </c>
      <c r="H582" s="58">
        <f>+H558+H564+H569+H581</f>
        <v>4971</v>
      </c>
      <c r="I582" s="59">
        <f t="shared" si="220"/>
        <v>11566</v>
      </c>
      <c r="J582" s="58">
        <f>+J558+J564+J569+J581</f>
        <v>6246</v>
      </c>
      <c r="K582" s="58">
        <f>+K558+K564+K569+K581</f>
        <v>7380</v>
      </c>
      <c r="L582" s="58">
        <f>+L558+L564+L569+L581</f>
        <v>3632</v>
      </c>
      <c r="M582" s="59">
        <f t="shared" si="221"/>
        <v>17258</v>
      </c>
      <c r="N582" s="58">
        <f>+N558+N564+N569+N581</f>
        <v>1324</v>
      </c>
      <c r="O582" s="58">
        <f>+O558+O564+O569+O581</f>
        <v>8</v>
      </c>
      <c r="P582" s="58">
        <f>+P558+P564+P569+P581</f>
        <v>40</v>
      </c>
      <c r="Q582" s="59">
        <f t="shared" si="222"/>
        <v>1372</v>
      </c>
      <c r="R582" s="81">
        <f t="shared" si="223"/>
        <v>30804</v>
      </c>
    </row>
    <row r="583" spans="1:20" ht="16.5" customHeight="1" thickBot="1" x14ac:dyDescent="0.35">
      <c r="A583" s="39" t="s">
        <v>40</v>
      </c>
      <c r="B583" s="21">
        <v>23</v>
      </c>
      <c r="C583" s="21">
        <v>43</v>
      </c>
      <c r="D583" s="21">
        <v>66</v>
      </c>
      <c r="E583" s="81">
        <f t="shared" si="219"/>
        <v>132</v>
      </c>
      <c r="F583" s="21">
        <v>91</v>
      </c>
      <c r="G583" s="21">
        <v>108</v>
      </c>
      <c r="H583" s="21">
        <v>109</v>
      </c>
      <c r="I583" s="81">
        <f t="shared" si="220"/>
        <v>308</v>
      </c>
      <c r="J583" s="21">
        <v>104</v>
      </c>
      <c r="K583" s="21">
        <v>79</v>
      </c>
      <c r="L583" s="21">
        <v>80</v>
      </c>
      <c r="M583" s="81">
        <f t="shared" si="221"/>
        <v>263</v>
      </c>
      <c r="N583" s="21">
        <v>74</v>
      </c>
      <c r="O583" s="21">
        <v>58</v>
      </c>
      <c r="P583" s="21">
        <v>42</v>
      </c>
      <c r="Q583" s="81">
        <f t="shared" si="222"/>
        <v>174</v>
      </c>
      <c r="R583" s="55">
        <f t="shared" si="223"/>
        <v>877</v>
      </c>
    </row>
    <row r="584" spans="1:20" ht="16.5" customHeight="1" thickBot="1" x14ac:dyDescent="0.35">
      <c r="A584" s="41"/>
      <c r="B584" s="36"/>
      <c r="C584" s="36"/>
      <c r="D584" s="36"/>
      <c r="E584" s="42"/>
      <c r="F584" s="36"/>
      <c r="G584" s="36"/>
      <c r="H584" s="36"/>
      <c r="I584" s="126"/>
      <c r="J584" s="36"/>
      <c r="K584" s="36"/>
      <c r="L584" s="36"/>
      <c r="M584" s="126"/>
      <c r="N584" s="36"/>
      <c r="O584" s="36"/>
      <c r="P584" s="36"/>
      <c r="Q584" s="126"/>
      <c r="R584" s="42"/>
    </row>
    <row r="585" spans="1:20" ht="15.75" customHeight="1" x14ac:dyDescent="0.3">
      <c r="A585" s="15" t="s">
        <v>314</v>
      </c>
      <c r="B585" s="77">
        <f>SUM(B582:B583)</f>
        <v>23</v>
      </c>
      <c r="C585" s="77">
        <f>SUM(C582:C583)</f>
        <v>43</v>
      </c>
      <c r="D585" s="77">
        <f>SUM(D582:D583)</f>
        <v>674</v>
      </c>
      <c r="E585" s="60">
        <f>SUM(B585:D585)</f>
        <v>740</v>
      </c>
      <c r="F585" s="77">
        <f>SUM(F582:F583)</f>
        <v>3743</v>
      </c>
      <c r="G585" s="77">
        <f>SUM(G582:G583)</f>
        <v>3051</v>
      </c>
      <c r="H585" s="77">
        <f>SUM(H582:H583)</f>
        <v>5080</v>
      </c>
      <c r="I585" s="60">
        <f>SUM(F585:H585)</f>
        <v>11874</v>
      </c>
      <c r="J585" s="77">
        <f>SUM(J582:J583)</f>
        <v>6350</v>
      </c>
      <c r="K585" s="77">
        <f>SUM(K582:K583)</f>
        <v>7459</v>
      </c>
      <c r="L585" s="77">
        <f>SUM(L582:L583)</f>
        <v>3712</v>
      </c>
      <c r="M585" s="60">
        <f>SUM(J585:L585)</f>
        <v>17521</v>
      </c>
      <c r="N585" s="77">
        <f>SUM(N582:N583)</f>
        <v>1398</v>
      </c>
      <c r="O585" s="77">
        <f>SUM(O582:O583)</f>
        <v>66</v>
      </c>
      <c r="P585" s="77">
        <f>SUM(P582:P583)</f>
        <v>82</v>
      </c>
      <c r="Q585" s="60">
        <f>SUM(N585:P585)</f>
        <v>1546</v>
      </c>
      <c r="R585" s="60">
        <f>+E585+I585+M585+Q585</f>
        <v>31681</v>
      </c>
    </row>
    <row r="586" spans="1:20" ht="15.75" customHeight="1" x14ac:dyDescent="0.3">
      <c r="A586" s="15" t="s">
        <v>42</v>
      </c>
      <c r="B586" s="1">
        <f>(B585/B10)/1.983</f>
        <v>0.37414799993493075</v>
      </c>
      <c r="C586" s="1">
        <f>(C585/C10)/1.983</f>
        <v>0.77443988185289248</v>
      </c>
      <c r="D586" s="1">
        <f>(D585/D10)/1.983</f>
        <v>10.964163128527971</v>
      </c>
      <c r="E586" s="55" t="s">
        <v>7</v>
      </c>
      <c r="F586" s="1">
        <f>(F585/F10)/1.983</f>
        <v>62.918137502101189</v>
      </c>
      <c r="G586" s="1">
        <f>(G585/G10)/1.983</f>
        <v>49.63154555658582</v>
      </c>
      <c r="H586" s="1">
        <f>(H585/H10)/1.983</f>
        <v>85.39250294167087</v>
      </c>
      <c r="I586" s="55" t="s">
        <v>7</v>
      </c>
      <c r="J586" s="1">
        <f>(J585/J10)/1.983</f>
        <v>103.29738259073089</v>
      </c>
      <c r="K586" s="1">
        <f>(K585/K10)/1.983</f>
        <v>121.33782310933255</v>
      </c>
      <c r="L586" s="1">
        <f>(L585/L10)/1.983</f>
        <v>62.397041519583119</v>
      </c>
      <c r="M586" s="55" t="s">
        <v>7</v>
      </c>
      <c r="N586" s="1">
        <f>(N585/N10)/1.983</f>
        <v>22.741691474305789</v>
      </c>
      <c r="O586" s="1">
        <f>(O585/O10)/1.983</f>
        <v>1.1094301563287947</v>
      </c>
      <c r="P586" s="1">
        <f>(P585/P10)/1.983</f>
        <v>1.3339189562897531</v>
      </c>
      <c r="Q586" s="55" t="s">
        <v>7</v>
      </c>
      <c r="R586" s="55" t="s">
        <v>7</v>
      </c>
    </row>
    <row r="587" spans="1:20" ht="15.75" customHeight="1" x14ac:dyDescent="0.3">
      <c r="A587" s="15" t="s">
        <v>315</v>
      </c>
      <c r="B587" s="1">
        <f>B585+B654</f>
        <v>15177</v>
      </c>
      <c r="C587" s="1">
        <f>C585+C654</f>
        <v>14763</v>
      </c>
      <c r="D587" s="1">
        <f>D585+D654</f>
        <v>21394</v>
      </c>
      <c r="E587" s="55">
        <f>SUM(B587:D587)</f>
        <v>51334</v>
      </c>
      <c r="F587" s="1">
        <f>F585+F654</f>
        <v>31815</v>
      </c>
      <c r="G587" s="1">
        <f>G585+G654</f>
        <v>30213</v>
      </c>
      <c r="H587" s="1">
        <f>H585+H654</f>
        <v>33985</v>
      </c>
      <c r="I587" s="55">
        <f>SUM(F587:H587)</f>
        <v>96013</v>
      </c>
      <c r="J587" s="1">
        <f>J585+J654</f>
        <v>36716</v>
      </c>
      <c r="K587" s="1">
        <f>K585+K654</f>
        <v>37339</v>
      </c>
      <c r="L587" s="1">
        <f>L585+L654</f>
        <v>22771</v>
      </c>
      <c r="M587" s="55">
        <f>SUM(J587:L587)</f>
        <v>96826</v>
      </c>
      <c r="N587" s="1">
        <f>N585+N654</f>
        <v>17853</v>
      </c>
      <c r="O587" s="1">
        <f>O585+O654</f>
        <v>1183</v>
      </c>
      <c r="P587" s="1">
        <f>P585+P654</f>
        <v>6999</v>
      </c>
      <c r="Q587" s="55">
        <f>SUM(N587:P587)</f>
        <v>26035</v>
      </c>
      <c r="R587" s="55">
        <f>+E587+I587+M587+Q587</f>
        <v>270208</v>
      </c>
    </row>
    <row r="588" spans="1:20" ht="16.5" customHeight="1" thickBot="1" x14ac:dyDescent="0.35">
      <c r="A588" s="20" t="s">
        <v>316</v>
      </c>
      <c r="B588" s="25">
        <f>(B587/B10)/1.983</f>
        <v>246.88887804401929</v>
      </c>
      <c r="C588" s="25">
        <f>(C587/C10)/1.983</f>
        <v>265.88502269288955</v>
      </c>
      <c r="D588" s="25">
        <f>(D587/D10)/1.983</f>
        <v>348.02270915686557</v>
      </c>
      <c r="E588" s="81" t="s">
        <v>7</v>
      </c>
      <c r="F588" s="25">
        <f>(F587/F10)/1.983</f>
        <v>534.79576399394853</v>
      </c>
      <c r="G588" s="25">
        <f>(G587/G10)/1.983</f>
        <v>491.48406617539405</v>
      </c>
      <c r="H588" s="25">
        <f>(H587/H10)/1.983</f>
        <v>571.2724827702134</v>
      </c>
      <c r="I588" s="81" t="s">
        <v>7</v>
      </c>
      <c r="J588" s="25">
        <f>(J587/J10)/1.983</f>
        <v>597.27034633090955</v>
      </c>
      <c r="K588" s="25">
        <f>(K587/K10)/1.983</f>
        <v>607.40487693784257</v>
      </c>
      <c r="L588" s="25">
        <f>(L587/L10)/1.983</f>
        <v>382.77021348125731</v>
      </c>
      <c r="M588" s="81" t="s">
        <v>7</v>
      </c>
      <c r="N588" s="25">
        <f>(N587/N10)/1.983</f>
        <v>290.42018447123127</v>
      </c>
      <c r="O588" s="25">
        <f>(O587/O10)/1.983</f>
        <v>19.885695074802484</v>
      </c>
      <c r="P588" s="25">
        <f>(P587/P10)/1.983</f>
        <v>113.85486311063393</v>
      </c>
      <c r="Q588" s="81" t="s">
        <v>7</v>
      </c>
      <c r="R588" s="81" t="s">
        <v>7</v>
      </c>
    </row>
    <row r="589" spans="1:20" ht="15.75" customHeight="1" x14ac:dyDescent="0.3">
      <c r="A589" s="2"/>
      <c r="B589" s="1"/>
      <c r="C589" s="1"/>
      <c r="D589" s="1"/>
      <c r="E589" s="1"/>
      <c r="F589" s="1"/>
      <c r="G589" s="1"/>
      <c r="H589" s="1"/>
      <c r="I589" s="1"/>
      <c r="J589" s="1"/>
      <c r="K589" s="1"/>
      <c r="L589" s="1"/>
      <c r="M589" s="1"/>
      <c r="N589" s="1"/>
      <c r="O589" s="1"/>
      <c r="P589" s="1"/>
      <c r="Q589" s="1"/>
      <c r="R589" s="2"/>
    </row>
    <row r="590" spans="1:20" ht="15.75" customHeight="1" thickBot="1" x14ac:dyDescent="0.35">
      <c r="A590" s="2"/>
      <c r="B590" s="1"/>
      <c r="C590" s="1"/>
      <c r="D590" s="1"/>
      <c r="E590" s="1"/>
      <c r="F590" s="1"/>
      <c r="G590" s="1"/>
      <c r="H590" s="1"/>
      <c r="I590" s="1"/>
      <c r="J590" s="1"/>
      <c r="K590" s="1"/>
      <c r="L590" s="1"/>
      <c r="M590" s="1"/>
      <c r="N590" s="1"/>
      <c r="O590" s="1"/>
      <c r="P590" s="1"/>
      <c r="Q590" s="1"/>
      <c r="R590" s="2"/>
    </row>
    <row r="591" spans="1:20" ht="16.5" customHeight="1" thickBot="1" x14ac:dyDescent="0.35">
      <c r="A591" s="124" t="s">
        <v>317</v>
      </c>
      <c r="B591" s="30" t="s">
        <v>8</v>
      </c>
      <c r="C591" s="31" t="s">
        <v>9</v>
      </c>
      <c r="D591" s="31" t="s">
        <v>10</v>
      </c>
      <c r="E591" s="32" t="s">
        <v>11</v>
      </c>
      <c r="F591" s="31" t="s">
        <v>12</v>
      </c>
      <c r="G591" s="31" t="s">
        <v>13</v>
      </c>
      <c r="H591" s="31" t="s">
        <v>14</v>
      </c>
      <c r="I591" s="33" t="s">
        <v>15</v>
      </c>
      <c r="J591" s="31" t="s">
        <v>16</v>
      </c>
      <c r="K591" s="31" t="s">
        <v>17</v>
      </c>
      <c r="L591" s="31" t="s">
        <v>18</v>
      </c>
      <c r="M591" s="33" t="s">
        <v>19</v>
      </c>
      <c r="N591" s="31" t="s">
        <v>20</v>
      </c>
      <c r="O591" s="31" t="s">
        <v>21</v>
      </c>
      <c r="P591" s="31" t="s">
        <v>22</v>
      </c>
      <c r="Q591" s="33" t="s">
        <v>23</v>
      </c>
      <c r="R591" s="34" t="s">
        <v>24</v>
      </c>
    </row>
    <row r="592" spans="1:20" ht="16.5" customHeight="1" thickBot="1" x14ac:dyDescent="0.35">
      <c r="A592" s="59"/>
      <c r="B592" s="75"/>
      <c r="C592" s="75"/>
      <c r="D592" s="75"/>
      <c r="E592" s="69"/>
      <c r="F592" s="75"/>
      <c r="G592" s="75"/>
      <c r="H592" s="75"/>
      <c r="I592" s="82"/>
      <c r="J592" s="75"/>
      <c r="K592" s="75"/>
      <c r="L592" s="75"/>
      <c r="M592" s="82"/>
      <c r="N592" s="75"/>
      <c r="O592" s="75"/>
      <c r="P592" s="75"/>
      <c r="Q592" s="82"/>
      <c r="R592" s="100"/>
    </row>
    <row r="593" spans="1:20" ht="15.75" customHeight="1" x14ac:dyDescent="0.3">
      <c r="A593" s="15" t="s">
        <v>48</v>
      </c>
      <c r="B593" s="1"/>
      <c r="C593" s="1"/>
      <c r="D593" s="1"/>
      <c r="E593" s="55" t="s">
        <v>7</v>
      </c>
      <c r="F593" s="1"/>
      <c r="G593" s="1"/>
      <c r="H593" s="1"/>
      <c r="I593" s="55" t="s">
        <v>7</v>
      </c>
      <c r="J593" s="1" t="s">
        <v>7</v>
      </c>
      <c r="K593" s="1" t="s">
        <v>7</v>
      </c>
      <c r="L593" s="1" t="s">
        <v>7</v>
      </c>
      <c r="M593" s="55" t="s">
        <v>7</v>
      </c>
      <c r="N593" s="1" t="s">
        <v>7</v>
      </c>
      <c r="O593" s="1" t="s">
        <v>7</v>
      </c>
      <c r="P593" s="1" t="s">
        <v>7</v>
      </c>
      <c r="Q593" s="55" t="s">
        <v>7</v>
      </c>
      <c r="R593" s="55" t="s">
        <v>7</v>
      </c>
    </row>
    <row r="594" spans="1:20" ht="15.75" customHeight="1" x14ac:dyDescent="0.3">
      <c r="A594" s="15" t="s">
        <v>49</v>
      </c>
      <c r="B594" s="1"/>
      <c r="C594" s="1"/>
      <c r="D594" s="1"/>
      <c r="E594" s="55" t="s">
        <v>7</v>
      </c>
      <c r="F594" s="1"/>
      <c r="G594" s="1"/>
      <c r="H594" s="1"/>
      <c r="I594" s="55" t="s">
        <v>7</v>
      </c>
      <c r="J594" s="1"/>
      <c r="K594" s="1"/>
      <c r="L594" s="1"/>
      <c r="M594" s="55" t="s">
        <v>7</v>
      </c>
      <c r="N594" s="1"/>
      <c r="O594" s="1"/>
      <c r="P594" s="1"/>
      <c r="Q594" s="55" t="s">
        <v>7</v>
      </c>
      <c r="R594" s="55" t="s">
        <v>7</v>
      </c>
    </row>
    <row r="595" spans="1:20" ht="15.75" customHeight="1" x14ac:dyDescent="0.3">
      <c r="A595" s="71" t="s">
        <v>762</v>
      </c>
      <c r="B595" s="1"/>
      <c r="C595" s="1">
        <v>211</v>
      </c>
      <c r="D595" s="1">
        <v>106</v>
      </c>
      <c r="E595" s="55">
        <f t="shared" ref="E595" si="229">SUM(B595:D595)</f>
        <v>317</v>
      </c>
      <c r="F595" s="1">
        <v>116</v>
      </c>
      <c r="G595" s="1"/>
      <c r="H595" s="1">
        <v>147</v>
      </c>
      <c r="I595" s="55">
        <f t="shared" ref="I595" si="230">SUM(F595:H595)</f>
        <v>263</v>
      </c>
      <c r="J595" s="1">
        <v>617</v>
      </c>
      <c r="K595" s="1">
        <v>638</v>
      </c>
      <c r="L595" s="1">
        <v>125</v>
      </c>
      <c r="M595" s="55">
        <f t="shared" ref="M595" si="231">SUM(J595:L595)</f>
        <v>1380</v>
      </c>
      <c r="N595" s="1">
        <v>43</v>
      </c>
      <c r="O595" s="1"/>
      <c r="P595" s="1"/>
      <c r="Q595" s="55">
        <f t="shared" ref="Q595:Q605" si="232">SUM(N595:P595)</f>
        <v>43</v>
      </c>
      <c r="R595" s="55">
        <f t="shared" ref="R595:R608" si="233">+E595+I595+M595+Q595</f>
        <v>2003</v>
      </c>
    </row>
    <row r="596" spans="1:20" ht="15.75" customHeight="1" x14ac:dyDescent="0.3">
      <c r="A596" s="71" t="s">
        <v>320</v>
      </c>
      <c r="B596" s="1"/>
      <c r="C596" s="1"/>
      <c r="D596" s="1"/>
      <c r="E596" s="55">
        <f>SUM(B596:D596)</f>
        <v>0</v>
      </c>
      <c r="F596" s="1"/>
      <c r="G596" s="1"/>
      <c r="H596" s="1"/>
      <c r="I596" s="55">
        <f>SUM(F596:H596)</f>
        <v>0</v>
      </c>
      <c r="J596" s="1"/>
      <c r="K596" s="1">
        <v>1000</v>
      </c>
      <c r="L596" s="1">
        <v>600</v>
      </c>
      <c r="M596" s="55">
        <f>SUM(J596:L596)</f>
        <v>1600</v>
      </c>
      <c r="N596" s="1"/>
      <c r="O596" s="1"/>
      <c r="P596" s="1"/>
      <c r="Q596" s="55">
        <f>SUM(N596:P596)</f>
        <v>0</v>
      </c>
      <c r="R596" s="55">
        <f>+E596+I596+M596+Q596</f>
        <v>1600</v>
      </c>
    </row>
    <row r="597" spans="1:20" ht="15.75" customHeight="1" x14ac:dyDescent="0.3">
      <c r="A597" s="71" t="s">
        <v>318</v>
      </c>
      <c r="B597" s="1"/>
      <c r="C597" s="1"/>
      <c r="D597" s="1"/>
      <c r="E597" s="55">
        <f t="shared" ref="E597" si="234">SUM(B597:D597)</f>
        <v>0</v>
      </c>
      <c r="F597" s="1">
        <v>750</v>
      </c>
      <c r="G597" s="1">
        <v>550</v>
      </c>
      <c r="H597" s="1">
        <v>1227</v>
      </c>
      <c r="I597" s="55">
        <f t="shared" ref="I597" si="235">SUM(F597:H597)</f>
        <v>2527</v>
      </c>
      <c r="J597" s="1">
        <v>2457</v>
      </c>
      <c r="K597" s="1">
        <v>2311</v>
      </c>
      <c r="L597" s="1">
        <v>105</v>
      </c>
      <c r="M597" s="55">
        <f t="shared" ref="M597" si="236">SUM(J597:L597)</f>
        <v>4873</v>
      </c>
      <c r="N597" s="1"/>
      <c r="O597" s="1"/>
      <c r="P597" s="1"/>
      <c r="Q597" s="55">
        <f t="shared" si="232"/>
        <v>0</v>
      </c>
      <c r="R597" s="55">
        <f t="shared" si="233"/>
        <v>7400</v>
      </c>
      <c r="T597" s="4" t="s">
        <v>987</v>
      </c>
    </row>
    <row r="598" spans="1:20" ht="15.75" customHeight="1" x14ac:dyDescent="0.3">
      <c r="A598" s="71" t="s">
        <v>763</v>
      </c>
      <c r="B598" s="1"/>
      <c r="C598" s="1"/>
      <c r="D598" s="1"/>
      <c r="E598" s="55">
        <f>SUM(B598:D598)</f>
        <v>0</v>
      </c>
      <c r="F598" s="1"/>
      <c r="G598" s="1"/>
      <c r="H598" s="1"/>
      <c r="I598" s="55">
        <f>SUM(F598:H598)</f>
        <v>0</v>
      </c>
      <c r="J598" s="1"/>
      <c r="K598" s="1"/>
      <c r="L598" s="1"/>
      <c r="M598" s="55">
        <f>SUM(J598:L598)</f>
        <v>0</v>
      </c>
      <c r="N598" s="1"/>
      <c r="O598" s="1"/>
      <c r="P598" s="1"/>
      <c r="Q598" s="55">
        <f>SUM(N598:P598)</f>
        <v>0</v>
      </c>
      <c r="R598" s="55">
        <f>+E598+I598+M598+Q598</f>
        <v>0</v>
      </c>
      <c r="T598" s="4" t="s">
        <v>988</v>
      </c>
    </row>
    <row r="599" spans="1:20" ht="15.75" customHeight="1" x14ac:dyDescent="0.3">
      <c r="A599" s="71" t="s">
        <v>572</v>
      </c>
      <c r="B599" s="1">
        <v>400</v>
      </c>
      <c r="C599" s="1">
        <v>400</v>
      </c>
      <c r="D599" s="1">
        <v>400</v>
      </c>
      <c r="E599" s="55">
        <f t="shared" ref="E599:E600" si="237">SUM(B599:D599)</f>
        <v>1200</v>
      </c>
      <c r="F599" s="1">
        <v>400</v>
      </c>
      <c r="G599" s="1">
        <v>400</v>
      </c>
      <c r="H599" s="1">
        <v>400</v>
      </c>
      <c r="I599" s="55">
        <f t="shared" ref="I599:I600" si="238">SUM(F599:H599)</f>
        <v>1200</v>
      </c>
      <c r="J599" s="1">
        <v>1056</v>
      </c>
      <c r="K599" s="1">
        <v>549</v>
      </c>
      <c r="L599" s="1"/>
      <c r="M599" s="55">
        <f t="shared" ref="M599:M600" si="239">SUM(J599:L599)</f>
        <v>1605</v>
      </c>
      <c r="N599" s="1"/>
      <c r="O599" s="1"/>
      <c r="P599" s="1"/>
      <c r="Q599" s="55">
        <f t="shared" si="232"/>
        <v>0</v>
      </c>
      <c r="R599" s="55">
        <f t="shared" si="233"/>
        <v>4005</v>
      </c>
      <c r="T599" s="4" t="s">
        <v>988</v>
      </c>
    </row>
    <row r="600" spans="1:20" ht="15.75" customHeight="1" x14ac:dyDescent="0.3">
      <c r="A600" s="71" t="s">
        <v>989</v>
      </c>
      <c r="B600" s="1"/>
      <c r="C600" s="1"/>
      <c r="D600" s="1"/>
      <c r="E600" s="55">
        <f t="shared" si="237"/>
        <v>0</v>
      </c>
      <c r="F600" s="1"/>
      <c r="G600" s="1"/>
      <c r="H600" s="1"/>
      <c r="I600" s="55">
        <f t="shared" si="238"/>
        <v>0</v>
      </c>
      <c r="J600" s="1"/>
      <c r="K600" s="1"/>
      <c r="L600" s="1"/>
      <c r="M600" s="55">
        <f t="shared" si="239"/>
        <v>0</v>
      </c>
      <c r="N600" s="1"/>
      <c r="O600" s="1"/>
      <c r="P600" s="1"/>
      <c r="Q600" s="55">
        <f t="shared" ref="Q600" si="240">SUM(N600:P600)</f>
        <v>0</v>
      </c>
      <c r="R600" s="55">
        <f t="shared" si="233"/>
        <v>0</v>
      </c>
    </row>
    <row r="601" spans="1:20" ht="15.75" customHeight="1" x14ac:dyDescent="0.3">
      <c r="A601" s="71" t="s">
        <v>1366</v>
      </c>
      <c r="B601" s="1">
        <v>647</v>
      </c>
      <c r="C601" s="1">
        <v>753</v>
      </c>
      <c r="D601" s="1">
        <v>700</v>
      </c>
      <c r="E601" s="55">
        <f>SUM(B601:D601)</f>
        <v>2100</v>
      </c>
      <c r="F601" s="1">
        <v>700</v>
      </c>
      <c r="G601" s="1">
        <v>418</v>
      </c>
      <c r="H601" s="1">
        <v>282</v>
      </c>
      <c r="I601" s="55">
        <f>SUM(F601:H601)</f>
        <v>1400</v>
      </c>
      <c r="J601" s="1"/>
      <c r="K601" s="1"/>
      <c r="L601" s="1"/>
      <c r="M601" s="55">
        <f>SUM(J601:L601)</f>
        <v>0</v>
      </c>
      <c r="N601" s="1"/>
      <c r="O601" s="1"/>
      <c r="P601" s="1"/>
      <c r="Q601" s="55">
        <f>SUM(N601:P601)</f>
        <v>0</v>
      </c>
      <c r="R601" s="55">
        <f t="shared" si="233"/>
        <v>3500</v>
      </c>
    </row>
    <row r="602" spans="1:20" ht="15.75" customHeight="1" x14ac:dyDescent="0.3">
      <c r="A602" s="71" t="s">
        <v>319</v>
      </c>
      <c r="B602" s="1"/>
      <c r="C602" s="1"/>
      <c r="D602" s="1"/>
      <c r="E602" s="55">
        <f t="shared" ref="E602:E608" si="241">SUM(B602:D602)</f>
        <v>0</v>
      </c>
      <c r="F602" s="1"/>
      <c r="G602" s="1"/>
      <c r="H602" s="1"/>
      <c r="I602" s="55">
        <f t="shared" ref="I602:I608" si="242">SUM(F602:H602)</f>
        <v>0</v>
      </c>
      <c r="J602" s="1">
        <v>2800</v>
      </c>
      <c r="K602" s="1"/>
      <c r="L602" s="1"/>
      <c r="M602" s="55">
        <f t="shared" ref="M602:M608" si="243">SUM(J602:L602)</f>
        <v>2800</v>
      </c>
      <c r="N602" s="1"/>
      <c r="O602" s="1"/>
      <c r="P602" s="1"/>
      <c r="Q602" s="55">
        <f t="shared" si="232"/>
        <v>0</v>
      </c>
      <c r="R602" s="55">
        <f t="shared" si="233"/>
        <v>2800</v>
      </c>
      <c r="T602" s="4" t="s">
        <v>988</v>
      </c>
    </row>
    <row r="603" spans="1:20" ht="15.75" customHeight="1" x14ac:dyDescent="0.3">
      <c r="A603" s="71" t="s">
        <v>990</v>
      </c>
      <c r="B603" s="1"/>
      <c r="C603" s="1"/>
      <c r="D603" s="1">
        <v>300</v>
      </c>
      <c r="E603" s="55">
        <f t="shared" si="241"/>
        <v>300</v>
      </c>
      <c r="F603" s="1">
        <v>436</v>
      </c>
      <c r="G603" s="1">
        <v>400</v>
      </c>
      <c r="H603" s="1">
        <v>400</v>
      </c>
      <c r="I603" s="55">
        <f t="shared" si="242"/>
        <v>1236</v>
      </c>
      <c r="J603" s="1">
        <v>400</v>
      </c>
      <c r="K603" s="1"/>
      <c r="L603" s="1"/>
      <c r="M603" s="55">
        <f t="shared" si="243"/>
        <v>400</v>
      </c>
      <c r="N603" s="1"/>
      <c r="O603" s="1"/>
      <c r="P603" s="1"/>
      <c r="Q603" s="55">
        <f>SUM(N603:P603)</f>
        <v>0</v>
      </c>
      <c r="R603" s="55">
        <f>+E603+I603+M603+Q603</f>
        <v>1936</v>
      </c>
    </row>
    <row r="604" spans="1:20" ht="15.75" customHeight="1" x14ac:dyDescent="0.3">
      <c r="A604" s="71" t="s">
        <v>1367</v>
      </c>
      <c r="B604" s="1"/>
      <c r="C604" s="1"/>
      <c r="D604" s="1"/>
      <c r="E604" s="55">
        <f t="shared" si="241"/>
        <v>0</v>
      </c>
      <c r="F604" s="1"/>
      <c r="G604" s="1"/>
      <c r="H604" s="1"/>
      <c r="I604" s="55">
        <f t="shared" si="242"/>
        <v>0</v>
      </c>
      <c r="J604" s="1"/>
      <c r="K604" s="1"/>
      <c r="L604" s="1">
        <v>54</v>
      </c>
      <c r="M604" s="55">
        <f t="shared" si="243"/>
        <v>54</v>
      </c>
      <c r="N604" s="1"/>
      <c r="O604" s="1"/>
      <c r="P604" s="1"/>
      <c r="Q604" s="55">
        <f>SUM(N604:P604)</f>
        <v>0</v>
      </c>
      <c r="R604" s="55">
        <f>+E604+I604+M604+Q604</f>
        <v>54</v>
      </c>
    </row>
    <row r="605" spans="1:20" ht="15.75" customHeight="1" x14ac:dyDescent="0.3">
      <c r="A605" s="71" t="s">
        <v>321</v>
      </c>
      <c r="B605" s="1"/>
      <c r="C605" s="1"/>
      <c r="D605" s="1"/>
      <c r="E605" s="55">
        <f t="shared" si="241"/>
        <v>0</v>
      </c>
      <c r="F605" s="1"/>
      <c r="G605" s="1"/>
      <c r="H605" s="1"/>
      <c r="I605" s="55">
        <f t="shared" si="242"/>
        <v>0</v>
      </c>
      <c r="J605" s="1"/>
      <c r="K605" s="1"/>
      <c r="L605" s="1"/>
      <c r="M605" s="55">
        <f t="shared" si="243"/>
        <v>0</v>
      </c>
      <c r="N605" s="1">
        <v>346</v>
      </c>
      <c r="O605" s="1"/>
      <c r="P605" s="1"/>
      <c r="Q605" s="55">
        <f t="shared" si="232"/>
        <v>346</v>
      </c>
      <c r="R605" s="55">
        <f t="shared" si="233"/>
        <v>346</v>
      </c>
      <c r="T605" s="4" t="s">
        <v>988</v>
      </c>
    </row>
    <row r="606" spans="1:20" ht="15.75" customHeight="1" x14ac:dyDescent="0.3">
      <c r="A606" s="71" t="s">
        <v>1324</v>
      </c>
      <c r="B606" s="1">
        <v>38</v>
      </c>
      <c r="C606" s="1">
        <v>42</v>
      </c>
      <c r="D606" s="1">
        <v>675</v>
      </c>
      <c r="E606" s="55">
        <f t="shared" si="241"/>
        <v>755</v>
      </c>
      <c r="F606" s="1">
        <v>650</v>
      </c>
      <c r="G606" s="1">
        <v>850</v>
      </c>
      <c r="H606" s="1">
        <v>582</v>
      </c>
      <c r="I606" s="55">
        <f t="shared" si="242"/>
        <v>2082</v>
      </c>
      <c r="J606" s="1"/>
      <c r="K606" s="1"/>
      <c r="L606" s="1"/>
      <c r="M606" s="55">
        <f t="shared" si="243"/>
        <v>0</v>
      </c>
      <c r="N606" s="1"/>
      <c r="O606" s="1"/>
      <c r="P606" s="1"/>
      <c r="Q606" s="55">
        <f t="shared" ref="Q606" si="244">SUM(N606:P606)</f>
        <v>0</v>
      </c>
      <c r="R606" s="55">
        <f t="shared" si="233"/>
        <v>2837</v>
      </c>
    </row>
    <row r="607" spans="1:20" ht="15.75" customHeight="1" x14ac:dyDescent="0.3">
      <c r="A607" s="71" t="s">
        <v>1368</v>
      </c>
      <c r="B607" s="1"/>
      <c r="C607" s="1"/>
      <c r="D607" s="1"/>
      <c r="E607" s="55">
        <f t="shared" si="241"/>
        <v>0</v>
      </c>
      <c r="F607" s="1">
        <v>962</v>
      </c>
      <c r="G607" s="1">
        <v>118</v>
      </c>
      <c r="H607" s="1">
        <v>420</v>
      </c>
      <c r="I607" s="55">
        <f t="shared" si="242"/>
        <v>1500</v>
      </c>
      <c r="J607" s="1"/>
      <c r="K607" s="1"/>
      <c r="L607" s="1">
        <v>500</v>
      </c>
      <c r="M607" s="55">
        <f t="shared" si="243"/>
        <v>500</v>
      </c>
      <c r="N607" s="1"/>
      <c r="O607" s="1"/>
      <c r="P607" s="1"/>
      <c r="Q607" s="55">
        <f t="shared" ref="Q607" si="245">SUM(N607:P607)</f>
        <v>0</v>
      </c>
      <c r="R607" s="55">
        <f t="shared" si="233"/>
        <v>2000</v>
      </c>
    </row>
    <row r="608" spans="1:20" ht="15.75" customHeight="1" x14ac:dyDescent="0.3">
      <c r="A608" s="71" t="s">
        <v>1369</v>
      </c>
      <c r="B608" s="1">
        <v>46</v>
      </c>
      <c r="C608" s="1">
        <v>38</v>
      </c>
      <c r="D608" s="1">
        <v>210</v>
      </c>
      <c r="E608" s="55">
        <f t="shared" si="241"/>
        <v>294</v>
      </c>
      <c r="F608" s="1">
        <v>186</v>
      </c>
      <c r="G608" s="1">
        <v>288</v>
      </c>
      <c r="H608" s="1">
        <v>483</v>
      </c>
      <c r="I608" s="55">
        <f t="shared" si="242"/>
        <v>957</v>
      </c>
      <c r="J608" s="1">
        <v>26</v>
      </c>
      <c r="K608" s="1">
        <v>2</v>
      </c>
      <c r="L608" s="1"/>
      <c r="M608" s="55">
        <f t="shared" si="243"/>
        <v>28</v>
      </c>
      <c r="N608" s="1"/>
      <c r="O608" s="1"/>
      <c r="P608" s="1"/>
      <c r="Q608" s="55">
        <f t="shared" ref="Q608" si="246">SUM(N608:P608)</f>
        <v>0</v>
      </c>
      <c r="R608" s="55">
        <f t="shared" si="233"/>
        <v>1279</v>
      </c>
    </row>
    <row r="609" spans="1:20" ht="15.75" customHeight="1" x14ac:dyDescent="0.3">
      <c r="A609" s="71" t="s">
        <v>1326</v>
      </c>
      <c r="B609" s="1">
        <v>1217</v>
      </c>
      <c r="C609" s="1">
        <v>3262</v>
      </c>
      <c r="D609" s="1">
        <v>3495</v>
      </c>
      <c r="E609" s="55">
        <f>SUM(B609:D609)</f>
        <v>7974</v>
      </c>
      <c r="F609" s="1">
        <v>3161</v>
      </c>
      <c r="G609" s="1">
        <v>3459</v>
      </c>
      <c r="H609" s="1">
        <v>3188</v>
      </c>
      <c r="I609" s="55">
        <f>SUM(F609:H609)</f>
        <v>9808</v>
      </c>
      <c r="J609" s="1"/>
      <c r="K609" s="1">
        <v>2918</v>
      </c>
      <c r="L609" s="1"/>
      <c r="M609" s="55">
        <f>SUM(J609:L609)</f>
        <v>2918</v>
      </c>
      <c r="N609" s="1"/>
      <c r="O609" s="1"/>
      <c r="P609" s="1"/>
      <c r="Q609" s="55">
        <f>SUM(N609:P609)</f>
        <v>0</v>
      </c>
      <c r="R609" s="55">
        <f>+E609+I609+M609+Q609</f>
        <v>20700</v>
      </c>
      <c r="T609" s="4" t="s">
        <v>987</v>
      </c>
    </row>
    <row r="610" spans="1:20" ht="15.75" customHeight="1" x14ac:dyDescent="0.3">
      <c r="A610" s="15" t="s">
        <v>50</v>
      </c>
      <c r="B610" s="1"/>
      <c r="C610" s="1"/>
      <c r="D610" s="1"/>
      <c r="E610" s="55" t="s">
        <v>7</v>
      </c>
      <c r="F610" s="1"/>
      <c r="G610" s="1"/>
      <c r="H610" s="1"/>
      <c r="I610" s="55" t="s">
        <v>7</v>
      </c>
      <c r="J610" s="1"/>
      <c r="K610" s="1"/>
      <c r="L610" s="1"/>
      <c r="M610" s="55" t="s">
        <v>7</v>
      </c>
      <c r="N610" s="1"/>
      <c r="O610" s="1"/>
      <c r="P610" s="1"/>
      <c r="Q610" s="55" t="s">
        <v>7</v>
      </c>
      <c r="R610" s="55" t="s">
        <v>7</v>
      </c>
    </row>
    <row r="611" spans="1:20" ht="15.75" customHeight="1" x14ac:dyDescent="0.3">
      <c r="A611" s="71" t="s">
        <v>321</v>
      </c>
      <c r="B611" s="1"/>
      <c r="C611" s="1"/>
      <c r="D611" s="1"/>
      <c r="E611" s="55">
        <f>SUM(B611:D611)</f>
        <v>0</v>
      </c>
      <c r="F611" s="1"/>
      <c r="G611" s="1"/>
      <c r="H611" s="1"/>
      <c r="I611" s="55">
        <f>SUM(F611:H611)</f>
        <v>0</v>
      </c>
      <c r="J611" s="1"/>
      <c r="K611" s="1"/>
      <c r="L611" s="1"/>
      <c r="M611" s="55">
        <f>SUM(J611:L611)</f>
        <v>0</v>
      </c>
      <c r="N611" s="1"/>
      <c r="O611" s="1"/>
      <c r="P611" s="1"/>
      <c r="Q611" s="55">
        <f>SUM(N611:P611)</f>
        <v>0</v>
      </c>
      <c r="R611" s="55">
        <f>+E611+I611+M611+Q611</f>
        <v>0</v>
      </c>
      <c r="T611" s="4" t="s">
        <v>988</v>
      </c>
    </row>
    <row r="612" spans="1:20" ht="15.75" customHeight="1" x14ac:dyDescent="0.3">
      <c r="A612" s="15" t="s">
        <v>1186</v>
      </c>
      <c r="B612" s="1"/>
      <c r="C612" s="1"/>
      <c r="D612" s="1"/>
      <c r="E612" s="55" t="s">
        <v>7</v>
      </c>
      <c r="F612" s="1"/>
      <c r="G612" s="1"/>
      <c r="H612" s="1"/>
      <c r="I612" s="55" t="s">
        <v>7</v>
      </c>
      <c r="J612" s="1"/>
      <c r="K612" s="1"/>
      <c r="L612" s="1"/>
      <c r="M612" s="55" t="s">
        <v>7</v>
      </c>
      <c r="N612" s="1"/>
      <c r="O612" s="1"/>
      <c r="P612" s="1"/>
      <c r="Q612" s="55" t="s">
        <v>7</v>
      </c>
      <c r="R612" s="55" t="s">
        <v>7</v>
      </c>
    </row>
    <row r="613" spans="1:20" ht="15.75" customHeight="1" x14ac:dyDescent="0.3">
      <c r="A613" s="71" t="s">
        <v>1327</v>
      </c>
      <c r="B613" s="1"/>
      <c r="C613" s="1"/>
      <c r="D613" s="1"/>
      <c r="E613" s="55">
        <f>SUM(B613:D613)</f>
        <v>0</v>
      </c>
      <c r="F613" s="1"/>
      <c r="G613" s="1"/>
      <c r="H613" s="1"/>
      <c r="I613" s="55">
        <f>SUM(F613:H613)</f>
        <v>0</v>
      </c>
      <c r="J613" s="1"/>
      <c r="K613" s="1">
        <v>242</v>
      </c>
      <c r="L613" s="1"/>
      <c r="M613" s="55">
        <f>SUM(J613:L613)</f>
        <v>242</v>
      </c>
      <c r="N613" s="1">
        <v>257</v>
      </c>
      <c r="O613" s="1"/>
      <c r="P613" s="1"/>
      <c r="Q613" s="55">
        <f>SUM(N613:P613)</f>
        <v>257</v>
      </c>
      <c r="R613" s="55">
        <f>+E613+I613+M613+Q613</f>
        <v>499</v>
      </c>
      <c r="S613" s="478" t="s">
        <v>1259</v>
      </c>
      <c r="T613" s="4" t="s">
        <v>988</v>
      </c>
    </row>
    <row r="614" spans="1:20" ht="15.75" customHeight="1" thickBot="1" x14ac:dyDescent="0.35">
      <c r="A614" s="15" t="s">
        <v>53</v>
      </c>
      <c r="B614" s="1"/>
      <c r="C614" s="1"/>
      <c r="D614" s="1"/>
      <c r="E614" s="55" t="s">
        <v>7</v>
      </c>
      <c r="F614" s="1"/>
      <c r="G614" s="1"/>
      <c r="H614" s="1"/>
      <c r="I614" s="55" t="s">
        <v>7</v>
      </c>
      <c r="J614" s="1"/>
      <c r="K614" s="1"/>
      <c r="L614" s="1"/>
      <c r="M614" s="55" t="s">
        <v>7</v>
      </c>
      <c r="N614" s="1"/>
      <c r="O614" s="1"/>
      <c r="P614" s="1"/>
      <c r="Q614" s="55" t="s">
        <v>7</v>
      </c>
      <c r="R614" s="55" t="s">
        <v>7</v>
      </c>
    </row>
    <row r="615" spans="1:20" ht="16.5" customHeight="1" thickBot="1" x14ac:dyDescent="0.35">
      <c r="A615" s="109" t="s">
        <v>54</v>
      </c>
      <c r="B615" s="86">
        <f>SUM(B593:B614)</f>
        <v>2348</v>
      </c>
      <c r="C615" s="87">
        <f>SUM(C593:C614)</f>
        <v>4706</v>
      </c>
      <c r="D615" s="87">
        <f>SUM(D593:D614)</f>
        <v>5886</v>
      </c>
      <c r="E615" s="59">
        <f>SUM(B615:D615)</f>
        <v>12940</v>
      </c>
      <c r="F615" s="87">
        <f>SUM(F593:F614)</f>
        <v>7361</v>
      </c>
      <c r="G615" s="87">
        <f>SUM(G593:G614)</f>
        <v>6483</v>
      </c>
      <c r="H615" s="87">
        <f>SUM(H593:H614)</f>
        <v>7129</v>
      </c>
      <c r="I615" s="59">
        <f>SUM(F615:H615)</f>
        <v>20973</v>
      </c>
      <c r="J615" s="87">
        <f>SUM(J593:J614)</f>
        <v>7356</v>
      </c>
      <c r="K615" s="87">
        <f>SUM(K593:K614)</f>
        <v>7660</v>
      </c>
      <c r="L615" s="87">
        <f>SUM(L593:L614)</f>
        <v>1384</v>
      </c>
      <c r="M615" s="59">
        <f>SUM(J615:L615)</f>
        <v>16400</v>
      </c>
      <c r="N615" s="87">
        <f>SUM(N593:N614)</f>
        <v>646</v>
      </c>
      <c r="O615" s="87">
        <f>SUM(O593:O614)</f>
        <v>0</v>
      </c>
      <c r="P615" s="87">
        <f>SUM(P593:P614)</f>
        <v>0</v>
      </c>
      <c r="Q615" s="59">
        <f>SUM(N615:P615)</f>
        <v>646</v>
      </c>
      <c r="R615" s="59">
        <f>+E615+I615+M615+Q615</f>
        <v>50959</v>
      </c>
    </row>
    <row r="616" spans="1:20" ht="15.75" customHeight="1" x14ac:dyDescent="0.3">
      <c r="A616" s="15" t="s">
        <v>55</v>
      </c>
      <c r="B616" s="1"/>
      <c r="C616" s="1"/>
      <c r="D616" s="1"/>
      <c r="E616" s="55" t="s">
        <v>7</v>
      </c>
      <c r="F616" s="1"/>
      <c r="G616" s="1"/>
      <c r="H616" s="1"/>
      <c r="I616" s="55" t="s">
        <v>7</v>
      </c>
      <c r="J616" s="1"/>
      <c r="K616" s="1"/>
      <c r="L616" s="1"/>
      <c r="M616" s="55" t="s">
        <v>7</v>
      </c>
      <c r="N616" s="1"/>
      <c r="O616" s="1"/>
      <c r="P616" s="1"/>
      <c r="Q616" s="55" t="s">
        <v>7</v>
      </c>
      <c r="R616" s="55" t="s">
        <v>7</v>
      </c>
    </row>
    <row r="617" spans="1:20" ht="15.75" customHeight="1" x14ac:dyDescent="0.3">
      <c r="A617" s="15" t="s">
        <v>57</v>
      </c>
      <c r="B617" s="1"/>
      <c r="C617" s="1"/>
      <c r="D617" s="1"/>
      <c r="E617" s="55" t="s">
        <v>7</v>
      </c>
      <c r="F617" s="1"/>
      <c r="G617" s="1"/>
      <c r="H617" s="1"/>
      <c r="I617" s="55" t="s">
        <v>7</v>
      </c>
      <c r="J617" s="1"/>
      <c r="K617" s="1"/>
      <c r="L617" s="1"/>
      <c r="M617" s="55" t="s">
        <v>7</v>
      </c>
      <c r="N617" s="1"/>
      <c r="O617" s="1"/>
      <c r="P617" s="1"/>
      <c r="Q617" s="55" t="s">
        <v>7</v>
      </c>
      <c r="R617" s="55" t="s">
        <v>7</v>
      </c>
    </row>
    <row r="618" spans="1:20" ht="15.75" customHeight="1" x14ac:dyDescent="0.3">
      <c r="A618" s="71" t="s">
        <v>324</v>
      </c>
      <c r="B618" s="1"/>
      <c r="C618" s="1"/>
      <c r="D618" s="1"/>
      <c r="E618" s="55">
        <f>SUM(B618:D618)</f>
        <v>0</v>
      </c>
      <c r="F618" s="1"/>
      <c r="G618" s="1"/>
      <c r="H618" s="1"/>
      <c r="I618" s="55">
        <f>SUM(F618:H618)</f>
        <v>0</v>
      </c>
      <c r="J618" s="1"/>
      <c r="K618" s="1"/>
      <c r="L618" s="1"/>
      <c r="M618" s="55">
        <f>SUM(J618:L618)</f>
        <v>0</v>
      </c>
      <c r="N618" s="1"/>
      <c r="O618" s="1"/>
      <c r="P618" s="1"/>
      <c r="Q618" s="55">
        <f>SUM(N618:P618)</f>
        <v>0</v>
      </c>
      <c r="R618" s="55">
        <f>+E618+I618+M618+Q618</f>
        <v>0</v>
      </c>
    </row>
    <row r="619" spans="1:20" ht="15.75" customHeight="1" x14ac:dyDescent="0.3">
      <c r="A619" s="71" t="s">
        <v>659</v>
      </c>
      <c r="B619" s="1"/>
      <c r="C619" s="1"/>
      <c r="D619" s="1"/>
      <c r="E619" s="55">
        <f>SUM(B619:D619)</f>
        <v>0</v>
      </c>
      <c r="F619" s="1"/>
      <c r="G619" s="1"/>
      <c r="H619" s="1"/>
      <c r="I619" s="55">
        <f>SUM(F619:H619)</f>
        <v>0</v>
      </c>
      <c r="J619" s="1"/>
      <c r="K619" s="1"/>
      <c r="L619" s="1"/>
      <c r="M619" s="55">
        <f>SUM(J619:L619)</f>
        <v>0</v>
      </c>
      <c r="N619" s="1"/>
      <c r="O619" s="1"/>
      <c r="P619" s="1"/>
      <c r="Q619" s="55">
        <f>SUM(N619:P619)</f>
        <v>0</v>
      </c>
      <c r="R619" s="55">
        <f>+E619+I619+M619+Q619</f>
        <v>0</v>
      </c>
    </row>
    <row r="620" spans="1:20" ht="15.75" customHeight="1" thickBot="1" x14ac:dyDescent="0.35">
      <c r="A620" s="15" t="s">
        <v>58</v>
      </c>
      <c r="B620" s="1"/>
      <c r="C620" s="1"/>
      <c r="D620" s="1"/>
      <c r="E620" s="55" t="s">
        <v>7</v>
      </c>
      <c r="F620" s="1"/>
      <c r="G620" s="1"/>
      <c r="H620" s="1"/>
      <c r="I620" s="55" t="s">
        <v>7</v>
      </c>
      <c r="J620" s="1"/>
      <c r="K620" s="1"/>
      <c r="L620" s="1"/>
      <c r="M620" s="55" t="s">
        <v>7</v>
      </c>
      <c r="N620" s="1"/>
      <c r="O620" s="1"/>
      <c r="P620" s="1"/>
      <c r="Q620" s="55" t="s">
        <v>7</v>
      </c>
      <c r="R620" s="55" t="s">
        <v>7</v>
      </c>
    </row>
    <row r="621" spans="1:20" ht="16.5" customHeight="1" thickBot="1" x14ac:dyDescent="0.35">
      <c r="A621" s="57" t="s">
        <v>59</v>
      </c>
      <c r="B621" s="86">
        <f>SUM(B616:B620)</f>
        <v>0</v>
      </c>
      <c r="C621" s="87">
        <f>SUM(C616:C620)</f>
        <v>0</v>
      </c>
      <c r="D621" s="87">
        <f>SUM(D616:D620)</f>
        <v>0</v>
      </c>
      <c r="E621" s="59">
        <f>SUM(B621:D621)</f>
        <v>0</v>
      </c>
      <c r="F621" s="87">
        <f>SUM(F616:F620)</f>
        <v>0</v>
      </c>
      <c r="G621" s="87">
        <f>SUM(G616:G620)</f>
        <v>0</v>
      </c>
      <c r="H621" s="87">
        <f>SUM(H616:H620)</f>
        <v>0</v>
      </c>
      <c r="I621" s="59">
        <f>SUM(F621:H621)</f>
        <v>0</v>
      </c>
      <c r="J621" s="87">
        <f>SUM(J616:J620)</f>
        <v>0</v>
      </c>
      <c r="K621" s="87">
        <f>SUM(K616:K620)</f>
        <v>0</v>
      </c>
      <c r="L621" s="87">
        <f>SUM(L616:L620)</f>
        <v>0</v>
      </c>
      <c r="M621" s="59">
        <f>SUM(J621:L621)</f>
        <v>0</v>
      </c>
      <c r="N621" s="87">
        <f>SUM(N616:N620)</f>
        <v>0</v>
      </c>
      <c r="O621" s="87">
        <f>SUM(O616:O620)</f>
        <v>0</v>
      </c>
      <c r="P621" s="87">
        <f>SUM(P616:P620)</f>
        <v>0</v>
      </c>
      <c r="Q621" s="59">
        <f>SUM(N621:P621)</f>
        <v>0</v>
      </c>
      <c r="R621" s="59">
        <f>+E621+I621+M621+Q621</f>
        <v>0</v>
      </c>
    </row>
    <row r="622" spans="1:20" ht="15.75" customHeight="1" x14ac:dyDescent="0.3">
      <c r="A622" s="15" t="s">
        <v>60</v>
      </c>
      <c r="B622" s="1"/>
      <c r="C622" s="1"/>
      <c r="D622" s="1"/>
      <c r="E622" s="55" t="s">
        <v>7</v>
      </c>
      <c r="F622" s="1"/>
      <c r="G622" s="1"/>
      <c r="H622" s="1"/>
      <c r="I622" s="55" t="s">
        <v>7</v>
      </c>
      <c r="J622" s="1"/>
      <c r="K622" s="1"/>
      <c r="L622" s="1"/>
      <c r="M622" s="55" t="s">
        <v>7</v>
      </c>
      <c r="N622" s="1"/>
      <c r="O622" s="1"/>
      <c r="P622" s="1"/>
      <c r="Q622" s="55" t="s">
        <v>7</v>
      </c>
      <c r="R622" s="55" t="s">
        <v>7</v>
      </c>
    </row>
    <row r="623" spans="1:20" ht="15.75" customHeight="1" x14ac:dyDescent="0.3">
      <c r="A623" s="15" t="s">
        <v>61</v>
      </c>
      <c r="B623" s="1"/>
      <c r="C623" s="1"/>
      <c r="D623" s="1"/>
      <c r="E623" s="55" t="s">
        <v>7</v>
      </c>
      <c r="F623" s="1"/>
      <c r="G623" s="1"/>
      <c r="H623" s="1"/>
      <c r="I623" s="55" t="s">
        <v>7</v>
      </c>
      <c r="J623" s="1"/>
      <c r="K623" s="1"/>
      <c r="L623" s="1"/>
      <c r="M623" s="55" t="s">
        <v>7</v>
      </c>
      <c r="N623" s="1"/>
      <c r="O623" s="1"/>
      <c r="P623" s="1"/>
      <c r="Q623" s="55" t="s">
        <v>7</v>
      </c>
      <c r="R623" s="55" t="s">
        <v>7</v>
      </c>
    </row>
    <row r="624" spans="1:20" ht="15.75" customHeight="1" x14ac:dyDescent="0.3">
      <c r="A624" s="15" t="s">
        <v>62</v>
      </c>
      <c r="B624" s="1"/>
      <c r="C624" s="1"/>
      <c r="D624" s="1"/>
      <c r="E624" s="55" t="s">
        <v>7</v>
      </c>
      <c r="F624" s="1"/>
      <c r="G624" s="1"/>
      <c r="H624" s="1"/>
      <c r="I624" s="55" t="s">
        <v>7</v>
      </c>
      <c r="J624" s="1"/>
      <c r="K624" s="1"/>
      <c r="L624" s="1"/>
      <c r="M624" s="55" t="s">
        <v>7</v>
      </c>
      <c r="N624" s="1"/>
      <c r="O624" s="1"/>
      <c r="P624" s="1"/>
      <c r="Q624" s="55" t="s">
        <v>7</v>
      </c>
      <c r="R624" s="55" t="s">
        <v>7</v>
      </c>
    </row>
    <row r="625" spans="1:20" ht="15.75" customHeight="1" x14ac:dyDescent="0.3">
      <c r="A625" s="71" t="s">
        <v>1229</v>
      </c>
      <c r="B625" s="1"/>
      <c r="C625" s="1"/>
      <c r="D625" s="1"/>
      <c r="E625" s="55">
        <f t="shared" ref="E625:E626" si="247">SUM(B625:D625)</f>
        <v>0</v>
      </c>
      <c r="F625" s="1"/>
      <c r="G625" s="1"/>
      <c r="H625" s="1"/>
      <c r="I625" s="55">
        <f t="shared" ref="I625:I626" si="248">SUM(F625:H625)</f>
        <v>0</v>
      </c>
      <c r="J625" s="1"/>
      <c r="K625" s="1"/>
      <c r="L625" s="1"/>
      <c r="M625" s="55">
        <f t="shared" ref="M625:M626" si="249">SUM(J625:L625)</f>
        <v>0</v>
      </c>
      <c r="N625" s="1"/>
      <c r="O625" s="1"/>
      <c r="P625" s="1"/>
      <c r="Q625" s="55">
        <f>SUM(N625:P625)</f>
        <v>0</v>
      </c>
      <c r="R625" s="55">
        <f>+E625+I625+M625+Q625</f>
        <v>0</v>
      </c>
      <c r="T625" s="4" t="s">
        <v>988</v>
      </c>
    </row>
    <row r="626" spans="1:20" ht="15.75" customHeight="1" x14ac:dyDescent="0.3">
      <c r="A626" s="71" t="s">
        <v>1328</v>
      </c>
      <c r="B626" s="1"/>
      <c r="C626" s="1"/>
      <c r="D626" s="1"/>
      <c r="E626" s="55">
        <f t="shared" si="247"/>
        <v>0</v>
      </c>
      <c r="F626" s="1"/>
      <c r="G626" s="1"/>
      <c r="H626" s="1"/>
      <c r="I626" s="55">
        <f t="shared" si="248"/>
        <v>0</v>
      </c>
      <c r="J626" s="1"/>
      <c r="K626" s="1"/>
      <c r="L626" s="1"/>
      <c r="M626" s="55">
        <f t="shared" si="249"/>
        <v>0</v>
      </c>
      <c r="N626" s="1"/>
      <c r="O626" s="1"/>
      <c r="P626" s="1"/>
      <c r="Q626" s="55">
        <f t="shared" ref="Q626" si="250">SUM(N626:P626)</f>
        <v>0</v>
      </c>
      <c r="R626" s="55">
        <f t="shared" ref="R626:R628" si="251">+E626+I626+M626+Q626</f>
        <v>0</v>
      </c>
    </row>
    <row r="627" spans="1:20" ht="15.75" customHeight="1" x14ac:dyDescent="0.3">
      <c r="A627" s="71" t="s">
        <v>1329</v>
      </c>
      <c r="B627" s="1"/>
      <c r="C627" s="1"/>
      <c r="D627" s="1"/>
      <c r="E627" s="55">
        <f>SUM(B627:D627)</f>
        <v>0</v>
      </c>
      <c r="F627" s="1"/>
      <c r="G627" s="1"/>
      <c r="H627" s="1"/>
      <c r="I627" s="55">
        <f>SUM(F627:H627)</f>
        <v>0</v>
      </c>
      <c r="J627" s="1"/>
      <c r="K627" s="1"/>
      <c r="L627" s="1"/>
      <c r="M627" s="55">
        <f>SUM(J627:L627)</f>
        <v>0</v>
      </c>
      <c r="N627" s="1"/>
      <c r="O627" s="1"/>
      <c r="P627" s="1"/>
      <c r="Q627" s="55">
        <f>SUM(N627:P627)</f>
        <v>0</v>
      </c>
      <c r="R627" s="55">
        <f t="shared" si="251"/>
        <v>0</v>
      </c>
    </row>
    <row r="628" spans="1:20" ht="15.75" customHeight="1" x14ac:dyDescent="0.3">
      <c r="A628" s="71" t="s">
        <v>1330</v>
      </c>
      <c r="B628" s="1"/>
      <c r="C628" s="1"/>
      <c r="D628" s="1"/>
      <c r="E628" s="55">
        <f>SUM(B628:D628)</f>
        <v>0</v>
      </c>
      <c r="F628" s="1"/>
      <c r="G628" s="1"/>
      <c r="H628" s="1"/>
      <c r="I628" s="55">
        <f>SUM(F628:H628)</f>
        <v>0</v>
      </c>
      <c r="J628" s="1"/>
      <c r="K628" s="1"/>
      <c r="L628" s="1"/>
      <c r="M628" s="55">
        <f>SUM(J628:L628)</f>
        <v>0</v>
      </c>
      <c r="N628" s="1"/>
      <c r="O628" s="1"/>
      <c r="P628" s="1"/>
      <c r="Q628" s="55">
        <f>SUM(N628:P628)</f>
        <v>0</v>
      </c>
      <c r="R628" s="55">
        <f t="shared" si="251"/>
        <v>0</v>
      </c>
    </row>
    <row r="629" spans="1:20" ht="15.75" customHeight="1" thickBot="1" x14ac:dyDescent="0.35">
      <c r="A629" s="71" t="s">
        <v>660</v>
      </c>
      <c r="B629" s="1"/>
      <c r="C629" s="1"/>
      <c r="D629" s="1"/>
      <c r="E629" s="55">
        <f>SUM(B629:D629)</f>
        <v>0</v>
      </c>
      <c r="F629" s="1"/>
      <c r="G629" s="1"/>
      <c r="H629" s="1"/>
      <c r="I629" s="55">
        <f>SUM(F629:H629)</f>
        <v>0</v>
      </c>
      <c r="J629" s="1"/>
      <c r="K629" s="1"/>
      <c r="L629" s="1"/>
      <c r="M629" s="55">
        <f>SUM(J629:L629)</f>
        <v>0</v>
      </c>
      <c r="N629" s="1"/>
      <c r="O629" s="1"/>
      <c r="P629" s="1"/>
      <c r="Q629" s="55">
        <f>SUM(N629:P629)</f>
        <v>0</v>
      </c>
      <c r="R629" s="55">
        <f>+E629+I629+M629+Q629</f>
        <v>0</v>
      </c>
      <c r="T629" s="4" t="s">
        <v>988</v>
      </c>
    </row>
    <row r="630" spans="1:20" ht="16.5" customHeight="1" thickBot="1" x14ac:dyDescent="0.35">
      <c r="A630" s="114" t="s">
        <v>63</v>
      </c>
      <c r="B630" s="86">
        <f>SUM(B622:B629)</f>
        <v>0</v>
      </c>
      <c r="C630" s="87">
        <f>SUM(C622:C629)</f>
        <v>0</v>
      </c>
      <c r="D630" s="87">
        <f>SUM(D622:D629)</f>
        <v>0</v>
      </c>
      <c r="E630" s="59">
        <f>SUM(B630:D630)</f>
        <v>0</v>
      </c>
      <c r="F630" s="87">
        <f>SUM(F622:F629)</f>
        <v>0</v>
      </c>
      <c r="G630" s="87">
        <f>SUM(G622:G629)</f>
        <v>0</v>
      </c>
      <c r="H630" s="87">
        <f>SUM(H622:H629)</f>
        <v>0</v>
      </c>
      <c r="I630" s="59">
        <f>SUM(F630:H630)</f>
        <v>0</v>
      </c>
      <c r="J630" s="87">
        <f>SUM(J622:J629)</f>
        <v>0</v>
      </c>
      <c r="K630" s="87">
        <f>SUM(K622:K629)</f>
        <v>0</v>
      </c>
      <c r="L630" s="87">
        <f>SUM(L622:L629)</f>
        <v>0</v>
      </c>
      <c r="M630" s="59">
        <f>SUM(J630:L630)</f>
        <v>0</v>
      </c>
      <c r="N630" s="87">
        <f>SUM(N622:N629)</f>
        <v>0</v>
      </c>
      <c r="O630" s="87">
        <f>SUM(O622:O629)</f>
        <v>0</v>
      </c>
      <c r="P630" s="87">
        <f>SUM(P622:P629)</f>
        <v>0</v>
      </c>
      <c r="Q630" s="59">
        <f>SUM(N630:P630)</f>
        <v>0</v>
      </c>
      <c r="R630" s="59">
        <f>+E630+I630+M630+Q630</f>
        <v>0</v>
      </c>
    </row>
    <row r="631" spans="1:20" ht="15.75" customHeight="1" x14ac:dyDescent="0.3">
      <c r="A631" s="15" t="s">
        <v>64</v>
      </c>
      <c r="B631" s="1"/>
      <c r="C631" s="1"/>
      <c r="D631" s="1"/>
      <c r="E631" s="55" t="s">
        <v>7</v>
      </c>
      <c r="F631" s="1"/>
      <c r="G631" s="1"/>
      <c r="H631" s="1"/>
      <c r="I631" s="55" t="s">
        <v>7</v>
      </c>
      <c r="J631" s="1"/>
      <c r="K631" s="1"/>
      <c r="L631" s="1"/>
      <c r="M631" s="55" t="s">
        <v>7</v>
      </c>
      <c r="N631" s="1"/>
      <c r="O631" s="1"/>
      <c r="P631" s="1"/>
      <c r="Q631" s="55" t="s">
        <v>7</v>
      </c>
      <c r="R631" s="55" t="s">
        <v>7</v>
      </c>
    </row>
    <row r="632" spans="1:20" ht="15.75" customHeight="1" x14ac:dyDescent="0.3">
      <c r="A632" s="15" t="s">
        <v>594</v>
      </c>
      <c r="B632" s="1"/>
      <c r="C632" s="1"/>
      <c r="D632" s="1"/>
      <c r="E632" s="55" t="s">
        <v>7</v>
      </c>
      <c r="F632" s="1"/>
      <c r="G632" s="1"/>
      <c r="H632" s="1"/>
      <c r="I632" s="55" t="s">
        <v>7</v>
      </c>
      <c r="J632" s="1"/>
      <c r="K632" s="1"/>
      <c r="L632" s="1"/>
      <c r="M632" s="55" t="s">
        <v>7</v>
      </c>
      <c r="N632" s="1"/>
      <c r="O632" s="1"/>
      <c r="P632" s="1"/>
      <c r="Q632" s="55" t="s">
        <v>7</v>
      </c>
      <c r="R632" s="55" t="s">
        <v>7</v>
      </c>
    </row>
    <row r="633" spans="1:20" ht="15.75" customHeight="1" x14ac:dyDescent="0.3">
      <c r="A633" s="71" t="s">
        <v>1331</v>
      </c>
      <c r="B633" s="1"/>
      <c r="C633" s="1"/>
      <c r="D633" s="1"/>
      <c r="E633" s="55">
        <f>SUM(B633:D633)</f>
        <v>0</v>
      </c>
      <c r="F633" s="1"/>
      <c r="G633" s="1"/>
      <c r="H633" s="1"/>
      <c r="I633" s="55">
        <f>SUM(F633:H633)</f>
        <v>0</v>
      </c>
      <c r="J633" s="1"/>
      <c r="K633" s="1"/>
      <c r="L633" s="1"/>
      <c r="M633" s="55">
        <f>SUM(J633:L633)</f>
        <v>0</v>
      </c>
      <c r="N633" s="1"/>
      <c r="O633" s="1"/>
      <c r="P633" s="1">
        <v>2700</v>
      </c>
      <c r="Q633" s="55">
        <f>SUM(N633:P633)</f>
        <v>2700</v>
      </c>
      <c r="R633" s="55">
        <f>+E633+I633+M633+Q633</f>
        <v>2700</v>
      </c>
      <c r="T633" s="4" t="s">
        <v>988</v>
      </c>
    </row>
    <row r="634" spans="1:20" ht="15.75" customHeight="1" x14ac:dyDescent="0.3">
      <c r="A634" s="71" t="s">
        <v>327</v>
      </c>
      <c r="B634" s="1"/>
      <c r="C634" s="1"/>
      <c r="D634" s="1"/>
      <c r="E634" s="55">
        <f>SUM(B634:D634)</f>
        <v>0</v>
      </c>
      <c r="F634" s="1"/>
      <c r="G634" s="1"/>
      <c r="H634" s="1"/>
      <c r="I634" s="55">
        <f>SUM(F634:H634)</f>
        <v>0</v>
      </c>
      <c r="J634" s="1"/>
      <c r="K634" s="1"/>
      <c r="L634" s="1"/>
      <c r="M634" s="55">
        <f>SUM(J634:L634)</f>
        <v>0</v>
      </c>
      <c r="N634" s="1"/>
      <c r="O634" s="1"/>
      <c r="P634" s="1"/>
      <c r="Q634" s="55">
        <f>SUM(N634:P634)</f>
        <v>0</v>
      </c>
      <c r="R634" s="55">
        <f>+E634+I634+M634+Q634</f>
        <v>0</v>
      </c>
      <c r="T634" s="4" t="s">
        <v>988</v>
      </c>
    </row>
    <row r="635" spans="1:20" ht="15.75" customHeight="1" x14ac:dyDescent="0.3">
      <c r="A635" s="15" t="s">
        <v>67</v>
      </c>
      <c r="B635" s="1"/>
      <c r="C635" s="1"/>
      <c r="D635" s="1"/>
      <c r="E635" s="55" t="s">
        <v>7</v>
      </c>
      <c r="F635" s="1"/>
      <c r="G635" s="1"/>
      <c r="H635" s="1"/>
      <c r="I635" s="55" t="s">
        <v>7</v>
      </c>
      <c r="J635" s="1"/>
      <c r="K635" s="1"/>
      <c r="L635" s="1"/>
      <c r="M635" s="55" t="s">
        <v>7</v>
      </c>
      <c r="N635" s="1"/>
      <c r="O635" s="1"/>
      <c r="P635" s="1"/>
      <c r="Q635" s="55" t="s">
        <v>7</v>
      </c>
      <c r="R635" s="55" t="s">
        <v>7</v>
      </c>
    </row>
    <row r="636" spans="1:20" ht="15.75" customHeight="1" x14ac:dyDescent="0.3">
      <c r="A636" s="71" t="s">
        <v>992</v>
      </c>
      <c r="B636" s="1"/>
      <c r="C636" s="1"/>
      <c r="D636" s="1"/>
      <c r="E636" s="55">
        <f>SUM(B636:D636)</f>
        <v>0</v>
      </c>
      <c r="F636" s="1"/>
      <c r="G636" s="1"/>
      <c r="H636" s="1"/>
      <c r="I636" s="55">
        <f>SUM(F636:H636)</f>
        <v>0</v>
      </c>
      <c r="J636" s="1"/>
      <c r="K636" s="1"/>
      <c r="L636" s="1"/>
      <c r="M636" s="55">
        <f>SUM(J636:L636)</f>
        <v>0</v>
      </c>
      <c r="N636" s="1"/>
      <c r="O636" s="1"/>
      <c r="P636" s="1"/>
      <c r="Q636" s="55">
        <f>SUM(N636:P636)</f>
        <v>0</v>
      </c>
      <c r="R636" s="55">
        <f>+E636+I636+M636+Q636</f>
        <v>0</v>
      </c>
    </row>
    <row r="637" spans="1:20" ht="15.75" customHeight="1" x14ac:dyDescent="0.3">
      <c r="A637" s="71" t="s">
        <v>768</v>
      </c>
      <c r="B637" s="1"/>
      <c r="C637" s="1"/>
      <c r="D637" s="1"/>
      <c r="E637" s="55">
        <f>SUM(B637:D637)</f>
        <v>0</v>
      </c>
      <c r="F637" s="1"/>
      <c r="G637" s="1"/>
      <c r="H637" s="1"/>
      <c r="I637" s="55">
        <f>SUM(F637:H637)</f>
        <v>0</v>
      </c>
      <c r="J637" s="1"/>
      <c r="K637" s="1"/>
      <c r="L637" s="1"/>
      <c r="M637" s="55">
        <f>SUM(J637:L637)</f>
        <v>0</v>
      </c>
      <c r="N637" s="1"/>
      <c r="O637" s="1"/>
      <c r="P637" s="1"/>
      <c r="Q637" s="55">
        <f>SUM(N637:P637)</f>
        <v>0</v>
      </c>
      <c r="R637" s="55">
        <f>+E637+I637+M637+Q637</f>
        <v>0</v>
      </c>
    </row>
    <row r="638" spans="1:20" ht="15.75" customHeight="1" x14ac:dyDescent="0.3">
      <c r="A638" s="71" t="s">
        <v>769</v>
      </c>
      <c r="B638" s="1"/>
      <c r="C638" s="1"/>
      <c r="D638" s="1"/>
      <c r="E638" s="55">
        <f>SUM(B638:D638)</f>
        <v>0</v>
      </c>
      <c r="F638" s="1"/>
      <c r="G638" s="1"/>
      <c r="H638" s="1"/>
      <c r="I638" s="55">
        <f>SUM(F638:H638)</f>
        <v>0</v>
      </c>
      <c r="J638" s="1"/>
      <c r="K638" s="1"/>
      <c r="L638" s="1"/>
      <c r="M638" s="55">
        <f>SUM(J638:L638)</f>
        <v>0</v>
      </c>
      <c r="N638" s="1"/>
      <c r="O638" s="1"/>
      <c r="P638" s="1"/>
      <c r="Q638" s="55">
        <f>SUM(N638:P638)</f>
        <v>0</v>
      </c>
      <c r="R638" s="55">
        <f>+E638+I638+M638+Q638</f>
        <v>0</v>
      </c>
      <c r="T638" s="4" t="s">
        <v>988</v>
      </c>
    </row>
    <row r="639" spans="1:20" ht="15.75" customHeight="1" x14ac:dyDescent="0.3">
      <c r="A639" s="71" t="s">
        <v>770</v>
      </c>
      <c r="B639" s="1"/>
      <c r="C639" s="1"/>
      <c r="D639" s="1"/>
      <c r="E639" s="55">
        <f>SUM(B639:D639)</f>
        <v>0</v>
      </c>
      <c r="F639" s="1"/>
      <c r="G639" s="1"/>
      <c r="H639" s="1"/>
      <c r="I639" s="55">
        <f>SUM(F639:H639)</f>
        <v>0</v>
      </c>
      <c r="J639" s="1"/>
      <c r="K639" s="1"/>
      <c r="L639" s="1"/>
      <c r="M639" s="55">
        <f>SUM(J639:L639)</f>
        <v>0</v>
      </c>
      <c r="N639" s="1"/>
      <c r="O639" s="1"/>
      <c r="P639" s="1"/>
      <c r="Q639" s="55">
        <f>SUM(N639:P639)</f>
        <v>0</v>
      </c>
      <c r="R639" s="55">
        <f>+E639+I639+M639+Q639</f>
        <v>0</v>
      </c>
      <c r="T639" s="4" t="s">
        <v>988</v>
      </c>
    </row>
    <row r="640" spans="1:20" ht="15.75" customHeight="1" x14ac:dyDescent="0.3">
      <c r="A640" s="15" t="s">
        <v>600</v>
      </c>
      <c r="B640" s="1"/>
      <c r="C640" s="1"/>
      <c r="D640" s="1"/>
      <c r="E640" s="55" t="s">
        <v>7</v>
      </c>
      <c r="F640" s="1"/>
      <c r="G640" s="1"/>
      <c r="H640" s="1"/>
      <c r="I640" s="55" t="s">
        <v>7</v>
      </c>
      <c r="J640" s="1"/>
      <c r="K640" s="1"/>
      <c r="L640" s="1"/>
      <c r="M640" s="55" t="s">
        <v>7</v>
      </c>
      <c r="N640" s="1"/>
      <c r="O640" s="1"/>
      <c r="P640" s="1"/>
      <c r="Q640" s="55" t="s">
        <v>7</v>
      </c>
      <c r="R640" s="55" t="s">
        <v>7</v>
      </c>
    </row>
    <row r="641" spans="1:18" ht="15.75" customHeight="1" x14ac:dyDescent="0.3">
      <c r="A641" s="71" t="s">
        <v>1332</v>
      </c>
      <c r="B641" s="1"/>
      <c r="C641" s="1"/>
      <c r="D641" s="1"/>
      <c r="E641" s="55">
        <f>SUM(B641:D641)</f>
        <v>0</v>
      </c>
      <c r="F641" s="1"/>
      <c r="G641" s="1"/>
      <c r="H641" s="1"/>
      <c r="I641" s="55">
        <f>SUM(F641:H641)</f>
        <v>0</v>
      </c>
      <c r="J641" s="1"/>
      <c r="K641" s="1"/>
      <c r="L641" s="1"/>
      <c r="M641" s="55">
        <f>SUM(J641:L641)</f>
        <v>0</v>
      </c>
      <c r="N641" s="1"/>
      <c r="O641" s="1"/>
      <c r="P641" s="1"/>
      <c r="Q641" s="55">
        <f>SUM(N641:P641)</f>
        <v>0</v>
      </c>
      <c r="R641" s="55">
        <f>+E641+I641+M641+Q641</f>
        <v>0</v>
      </c>
    </row>
    <row r="642" spans="1:18" ht="15.75" customHeight="1" x14ac:dyDescent="0.3">
      <c r="A642" s="71" t="s">
        <v>1333</v>
      </c>
      <c r="B642" s="1"/>
      <c r="C642" s="1"/>
      <c r="D642" s="1"/>
      <c r="E642" s="55">
        <f>SUM(B642:D642)</f>
        <v>0</v>
      </c>
      <c r="F642" s="1"/>
      <c r="G642" s="1"/>
      <c r="H642" s="1"/>
      <c r="I642" s="55">
        <f>SUM(F642:H642)</f>
        <v>0</v>
      </c>
      <c r="J642" s="1"/>
      <c r="K642" s="1"/>
      <c r="L642" s="1"/>
      <c r="M642" s="55">
        <f>SUM(J642:L642)</f>
        <v>0</v>
      </c>
      <c r="N642" s="1"/>
      <c r="O642" s="1"/>
      <c r="P642" s="1"/>
      <c r="Q642" s="55">
        <f>SUM(N642:P642)</f>
        <v>0</v>
      </c>
      <c r="R642" s="55">
        <f>+E642+I642+M642+Q642</f>
        <v>0</v>
      </c>
    </row>
    <row r="643" spans="1:18" ht="15.75" customHeight="1" x14ac:dyDescent="0.3">
      <c r="A643" s="15" t="s">
        <v>70</v>
      </c>
      <c r="B643" s="1"/>
      <c r="C643" s="1"/>
      <c r="D643" s="1"/>
      <c r="E643" s="55" t="s">
        <v>7</v>
      </c>
      <c r="F643" s="1"/>
      <c r="G643" s="1"/>
      <c r="H643" s="1"/>
      <c r="I643" s="55" t="s">
        <v>7</v>
      </c>
      <c r="J643" s="1"/>
      <c r="K643" s="1"/>
      <c r="L643" s="1"/>
      <c r="M643" s="55" t="s">
        <v>7</v>
      </c>
      <c r="N643" s="1"/>
      <c r="O643" s="1"/>
      <c r="P643" s="1"/>
      <c r="Q643" s="55" t="s">
        <v>7</v>
      </c>
      <c r="R643" s="55" t="s">
        <v>7</v>
      </c>
    </row>
    <row r="644" spans="1:18" ht="15.75" customHeight="1" x14ac:dyDescent="0.3">
      <c r="A644" s="71" t="s">
        <v>993</v>
      </c>
      <c r="B644" s="1"/>
      <c r="C644" s="1"/>
      <c r="D644" s="1"/>
      <c r="E644" s="55">
        <f t="shared" ref="E644:E646" si="252">SUM(B644:D644)</f>
        <v>0</v>
      </c>
      <c r="F644" s="1"/>
      <c r="G644" s="1"/>
      <c r="H644" s="1"/>
      <c r="I644" s="55">
        <f t="shared" ref="I644:I646" si="253">SUM(F644:H644)</f>
        <v>0</v>
      </c>
      <c r="J644" s="1"/>
      <c r="K644" s="1"/>
      <c r="L644" s="1"/>
      <c r="M644" s="55">
        <f t="shared" ref="M644:M646" si="254">SUM(J644:L644)</f>
        <v>0</v>
      </c>
      <c r="N644" s="1"/>
      <c r="O644" s="1"/>
      <c r="P644" s="1"/>
      <c r="Q644" s="55">
        <f t="shared" ref="Q644:Q650" si="255">SUM(N644:P644)</f>
        <v>0</v>
      </c>
      <c r="R644" s="55">
        <f t="shared" ref="R644:R650" si="256">+E644+I644+M644+Q644</f>
        <v>0</v>
      </c>
    </row>
    <row r="645" spans="1:18" ht="15.75" customHeight="1" x14ac:dyDescent="0.3">
      <c r="A645" s="71" t="s">
        <v>1334</v>
      </c>
      <c r="B645" s="1"/>
      <c r="C645" s="1"/>
      <c r="D645" s="1"/>
      <c r="E645" s="55">
        <f t="shared" ref="E645" si="257">SUM(B645:D645)</f>
        <v>0</v>
      </c>
      <c r="F645" s="1"/>
      <c r="G645" s="1"/>
      <c r="H645" s="1"/>
      <c r="I645" s="55">
        <f t="shared" ref="I645" si="258">SUM(F645:H645)</f>
        <v>0</v>
      </c>
      <c r="J645" s="1"/>
      <c r="K645" s="1"/>
      <c r="L645" s="1"/>
      <c r="M645" s="55">
        <f t="shared" ref="M645" si="259">SUM(J645:L645)</f>
        <v>0</v>
      </c>
      <c r="N645" s="1"/>
      <c r="O645" s="1"/>
      <c r="P645" s="1"/>
      <c r="Q645" s="55">
        <f t="shared" ref="Q645" si="260">SUM(N645:P645)</f>
        <v>0</v>
      </c>
      <c r="R645" s="55">
        <f t="shared" si="256"/>
        <v>0</v>
      </c>
    </row>
    <row r="646" spans="1:18" ht="15.75" customHeight="1" thickBot="1" x14ac:dyDescent="0.35">
      <c r="A646" s="71" t="s">
        <v>771</v>
      </c>
      <c r="B646" s="1"/>
      <c r="C646" s="1"/>
      <c r="D646" s="1"/>
      <c r="E646" s="55">
        <f t="shared" si="252"/>
        <v>0</v>
      </c>
      <c r="F646" s="1"/>
      <c r="G646" s="1"/>
      <c r="H646" s="1"/>
      <c r="I646" s="55">
        <f t="shared" si="253"/>
        <v>0</v>
      </c>
      <c r="J646" s="1"/>
      <c r="K646" s="1"/>
      <c r="L646" s="1"/>
      <c r="M646" s="55">
        <f t="shared" si="254"/>
        <v>0</v>
      </c>
      <c r="N646" s="1"/>
      <c r="O646" s="1"/>
      <c r="P646" s="1"/>
      <c r="Q646" s="55">
        <f t="shared" si="255"/>
        <v>0</v>
      </c>
      <c r="R646" s="55">
        <f t="shared" si="256"/>
        <v>0</v>
      </c>
    </row>
    <row r="647" spans="1:18" ht="16.5" customHeight="1" thickBot="1" x14ac:dyDescent="0.35">
      <c r="A647" s="57" t="s">
        <v>71</v>
      </c>
      <c r="B647" s="146">
        <f>SUM(B640:B646)</f>
        <v>0</v>
      </c>
      <c r="C647" s="146">
        <f>SUM(C640:C646)</f>
        <v>0</v>
      </c>
      <c r="D647" s="146">
        <f>SUM(D640:D646)</f>
        <v>0</v>
      </c>
      <c r="E647" s="60">
        <f t="shared" ref="E647:E650" si="261">SUM(B647:D647)</f>
        <v>0</v>
      </c>
      <c r="F647" s="146">
        <f>SUM(F640:F646)</f>
        <v>0</v>
      </c>
      <c r="G647" s="146">
        <f>SUM(G640:G646)</f>
        <v>0</v>
      </c>
      <c r="H647" s="146">
        <f>SUM(H640:H646)</f>
        <v>0</v>
      </c>
      <c r="I647" s="60">
        <f t="shared" ref="I647:I650" si="262">SUM(F647:H647)</f>
        <v>0</v>
      </c>
      <c r="J647" s="146">
        <f>SUM(J640:J646)</f>
        <v>0</v>
      </c>
      <c r="K647" s="146">
        <f>SUM(K640:K646)</f>
        <v>0</v>
      </c>
      <c r="L647" s="146">
        <f>SUM(L640:L646)</f>
        <v>0</v>
      </c>
      <c r="M647" s="60">
        <f t="shared" ref="M647:M650" si="263">SUM(J647:L647)</f>
        <v>0</v>
      </c>
      <c r="N647" s="146">
        <f>SUM(N640:N646)</f>
        <v>0</v>
      </c>
      <c r="O647" s="146">
        <f>SUM(O640:O646)</f>
        <v>0</v>
      </c>
      <c r="P647" s="146">
        <f>SUM(P640:P646)</f>
        <v>0</v>
      </c>
      <c r="Q647" s="60">
        <f t="shared" si="255"/>
        <v>0</v>
      </c>
      <c r="R647" s="59">
        <f t="shared" si="256"/>
        <v>0</v>
      </c>
    </row>
    <row r="648" spans="1:18" ht="16.5" customHeight="1" thickBot="1" x14ac:dyDescent="0.35">
      <c r="A648" s="114" t="s">
        <v>72</v>
      </c>
      <c r="B648" s="86">
        <f>SUM(B631:B646)</f>
        <v>0</v>
      </c>
      <c r="C648" s="87">
        <f>SUM(C631:C646)</f>
        <v>0</v>
      </c>
      <c r="D648" s="118">
        <f>SUM(D631:D646)</f>
        <v>0</v>
      </c>
      <c r="E648" s="60">
        <f t="shared" si="261"/>
        <v>0</v>
      </c>
      <c r="F648" s="86">
        <f>SUM(F631:F646)</f>
        <v>0</v>
      </c>
      <c r="G648" s="87">
        <f>SUM(G631:G646)</f>
        <v>0</v>
      </c>
      <c r="H648" s="118">
        <f>SUM(H631:H646)</f>
        <v>0</v>
      </c>
      <c r="I648" s="60">
        <f t="shared" si="262"/>
        <v>0</v>
      </c>
      <c r="J648" s="86">
        <f>SUM(J631:J646)</f>
        <v>0</v>
      </c>
      <c r="K648" s="87">
        <f>SUM(K631:K646)</f>
        <v>0</v>
      </c>
      <c r="L648" s="118">
        <f>SUM(L631:L646)</f>
        <v>0</v>
      </c>
      <c r="M648" s="60">
        <f t="shared" si="263"/>
        <v>0</v>
      </c>
      <c r="N648" s="86">
        <f>SUM(N631:N646)</f>
        <v>0</v>
      </c>
      <c r="O648" s="87">
        <f>SUM(O631:O646)</f>
        <v>0</v>
      </c>
      <c r="P648" s="118">
        <f>SUM(P631:P646)</f>
        <v>2700</v>
      </c>
      <c r="Q648" s="60">
        <f t="shared" si="255"/>
        <v>2700</v>
      </c>
      <c r="R648" s="59">
        <f t="shared" si="256"/>
        <v>2700</v>
      </c>
    </row>
    <row r="649" spans="1:18" ht="16.5" customHeight="1" thickBot="1" x14ac:dyDescent="0.35">
      <c r="A649" s="57" t="s">
        <v>73</v>
      </c>
      <c r="B649" s="148">
        <f>+B615+B621+B630+B648</f>
        <v>2348</v>
      </c>
      <c r="C649" s="149">
        <f>+C615+C621+C630+C648</f>
        <v>4706</v>
      </c>
      <c r="D649" s="149">
        <f>+D615+D621+D630+D648</f>
        <v>5886</v>
      </c>
      <c r="E649" s="59">
        <f t="shared" si="261"/>
        <v>12940</v>
      </c>
      <c r="F649" s="58">
        <f>+F615+F621+F630+F648</f>
        <v>7361</v>
      </c>
      <c r="G649" s="58">
        <f>+G615+G621+G630+G648</f>
        <v>6483</v>
      </c>
      <c r="H649" s="58">
        <f>+H615+H621+H630+H648</f>
        <v>7129</v>
      </c>
      <c r="I649" s="59">
        <f t="shared" si="262"/>
        <v>20973</v>
      </c>
      <c r="J649" s="58">
        <f>+J615+J621+J630+J648</f>
        <v>7356</v>
      </c>
      <c r="K649" s="58">
        <f>+K615+K621+K630+K648</f>
        <v>7660</v>
      </c>
      <c r="L649" s="58">
        <f>+L615+L621+L630+L648</f>
        <v>1384</v>
      </c>
      <c r="M649" s="59">
        <f t="shared" si="263"/>
        <v>16400</v>
      </c>
      <c r="N649" s="58">
        <f>+N615+N621+N630+N648</f>
        <v>646</v>
      </c>
      <c r="O649" s="58">
        <f>+O615+O621+O630+O648</f>
        <v>0</v>
      </c>
      <c r="P649" s="58">
        <f>+P615+P621+P630+P648</f>
        <v>2700</v>
      </c>
      <c r="Q649" s="59">
        <f t="shared" si="255"/>
        <v>3346</v>
      </c>
      <c r="R649" s="81">
        <f t="shared" si="256"/>
        <v>53659</v>
      </c>
    </row>
    <row r="650" spans="1:18" ht="16.5" customHeight="1" thickBot="1" x14ac:dyDescent="0.35">
      <c r="A650" s="39" t="s">
        <v>40</v>
      </c>
      <c r="B650" s="21">
        <v>17</v>
      </c>
      <c r="C650" s="21">
        <v>47</v>
      </c>
      <c r="D650" s="21">
        <v>84</v>
      </c>
      <c r="E650" s="55">
        <f t="shared" si="261"/>
        <v>148</v>
      </c>
      <c r="F650" s="21">
        <v>116</v>
      </c>
      <c r="G650" s="21">
        <v>132</v>
      </c>
      <c r="H650" s="21">
        <v>138</v>
      </c>
      <c r="I650" s="55">
        <f t="shared" si="262"/>
        <v>386</v>
      </c>
      <c r="J650" s="21">
        <v>126</v>
      </c>
      <c r="K650" s="21">
        <v>95</v>
      </c>
      <c r="L650" s="21">
        <v>99</v>
      </c>
      <c r="M650" s="55">
        <f t="shared" si="263"/>
        <v>320</v>
      </c>
      <c r="N650" s="21">
        <v>91</v>
      </c>
      <c r="O650" s="21">
        <v>67</v>
      </c>
      <c r="P650" s="21">
        <v>38</v>
      </c>
      <c r="Q650" s="55">
        <f t="shared" si="255"/>
        <v>196</v>
      </c>
      <c r="R650" s="55">
        <f t="shared" si="256"/>
        <v>1050</v>
      </c>
    </row>
    <row r="651" spans="1:18" ht="16.5" customHeight="1" thickBot="1" x14ac:dyDescent="0.35">
      <c r="A651" s="41"/>
      <c r="B651" s="36"/>
      <c r="C651" s="36"/>
      <c r="D651" s="36"/>
      <c r="E651" s="42"/>
      <c r="F651" s="36"/>
      <c r="G651" s="36"/>
      <c r="H651" s="36"/>
      <c r="I651" s="42"/>
      <c r="J651" s="36"/>
      <c r="K651" s="36"/>
      <c r="L651" s="36"/>
      <c r="M651" s="42"/>
      <c r="N651" s="36"/>
      <c r="O651" s="36"/>
      <c r="P651" s="36"/>
      <c r="Q651" s="42"/>
      <c r="R651" s="42"/>
    </row>
    <row r="652" spans="1:18" ht="15.75" customHeight="1" x14ac:dyDescent="0.3">
      <c r="A652" s="76" t="s">
        <v>314</v>
      </c>
      <c r="B652" s="77">
        <f>SUM(B649:B650)</f>
        <v>2365</v>
      </c>
      <c r="C652" s="77">
        <f>SUM(C649:C650)</f>
        <v>4753</v>
      </c>
      <c r="D652" s="77">
        <f>SUM(D649:D650)</f>
        <v>5970</v>
      </c>
      <c r="E652" s="60">
        <f>SUM(B652:D652)</f>
        <v>13088</v>
      </c>
      <c r="F652" s="77">
        <f>SUM(F649:F650)</f>
        <v>7477</v>
      </c>
      <c r="G652" s="77">
        <f>SUM(G649:G650)</f>
        <v>6615</v>
      </c>
      <c r="H652" s="77">
        <f>SUM(H649:H650)</f>
        <v>7267</v>
      </c>
      <c r="I652" s="60">
        <f>SUM(F652:H652)</f>
        <v>21359</v>
      </c>
      <c r="J652" s="77">
        <f>SUM(J649:J650)</f>
        <v>7482</v>
      </c>
      <c r="K652" s="77">
        <f>SUM(K649:K650)</f>
        <v>7755</v>
      </c>
      <c r="L652" s="77">
        <f>SUM(L649:L650)</f>
        <v>1483</v>
      </c>
      <c r="M652" s="60">
        <f>SUM(J652:L652)</f>
        <v>16720</v>
      </c>
      <c r="N652" s="77">
        <f>SUM(N649:N650)</f>
        <v>737</v>
      </c>
      <c r="O652" s="77">
        <f>SUM(O649:O650)</f>
        <v>67</v>
      </c>
      <c r="P652" s="77">
        <f>SUM(P649:P650)</f>
        <v>2738</v>
      </c>
      <c r="Q652" s="60">
        <f>SUM(N652:P652)</f>
        <v>3542</v>
      </c>
      <c r="R652" s="60">
        <f>+E652+I652+M652+Q652</f>
        <v>54709</v>
      </c>
    </row>
    <row r="653" spans="1:18" ht="15.75" customHeight="1" x14ac:dyDescent="0.3">
      <c r="A653" s="79" t="s">
        <v>42</v>
      </c>
      <c r="B653" s="1">
        <f>(B652/B10)/1.983</f>
        <v>38.472174775917885</v>
      </c>
      <c r="C653" s="1">
        <f>(C652/C10)/1.983</f>
        <v>85.602622289460413</v>
      </c>
      <c r="D653" s="1">
        <f>(D652/D10)/1.983</f>
        <v>97.115806939632037</v>
      </c>
      <c r="E653" s="55" t="s">
        <v>7</v>
      </c>
      <c r="F653" s="1">
        <f>(F652/F10)/1.983</f>
        <v>125.6849890737939</v>
      </c>
      <c r="G653" s="1">
        <f>(G652/G10)/1.983</f>
        <v>107.60821824215508</v>
      </c>
      <c r="H653" s="1">
        <f>(H652/H10)/1.983</f>
        <v>122.15498403092955</v>
      </c>
      <c r="I653" s="55" t="s">
        <v>7</v>
      </c>
      <c r="J653" s="1">
        <f>(J652/J10)/1.983</f>
        <v>121.71197110926747</v>
      </c>
      <c r="K653" s="1">
        <f>(K652/K10)/1.983</f>
        <v>126.15294519545165</v>
      </c>
      <c r="L653" s="1">
        <f>(L652/L10)/1.983</f>
        <v>24.928559421751551</v>
      </c>
      <c r="M653" s="55" t="s">
        <v>7</v>
      </c>
      <c r="N653" s="1">
        <f>(N652/N10)/1.983</f>
        <v>11.98900330226278</v>
      </c>
      <c r="O653" s="1">
        <f>(O652/O10)/1.983</f>
        <v>1.1262397041519583</v>
      </c>
      <c r="P653" s="1">
        <f>(P652/P10)/1.983</f>
        <v>44.539879296601761</v>
      </c>
      <c r="Q653" s="55" t="s">
        <v>7</v>
      </c>
      <c r="R653" s="55" t="s">
        <v>7</v>
      </c>
    </row>
    <row r="654" spans="1:18" ht="15.75" customHeight="1" x14ac:dyDescent="0.3">
      <c r="A654" s="79" t="s">
        <v>332</v>
      </c>
      <c r="B654" s="1">
        <f>B652+B664</f>
        <v>15154</v>
      </c>
      <c r="C654" s="1">
        <f>C652+C664</f>
        <v>14720</v>
      </c>
      <c r="D654" s="1">
        <f>D652+D664</f>
        <v>20720</v>
      </c>
      <c r="E654" s="55">
        <f>SUM(B654:D654)</f>
        <v>50594</v>
      </c>
      <c r="F654" s="1">
        <f>F652+F664</f>
        <v>28072</v>
      </c>
      <c r="G654" s="1">
        <f>G652+G664</f>
        <v>27162</v>
      </c>
      <c r="H654" s="1">
        <f>H652+H664</f>
        <v>28905</v>
      </c>
      <c r="I654" s="55">
        <f>SUM(F654:H654)</f>
        <v>84139</v>
      </c>
      <c r="J654" s="1">
        <f>J652+J664</f>
        <v>30366</v>
      </c>
      <c r="K654" s="1">
        <f>K652+K664</f>
        <v>29880</v>
      </c>
      <c r="L654" s="1">
        <f>L652+L664</f>
        <v>19059</v>
      </c>
      <c r="M654" s="55">
        <f>SUM(J654:L654)</f>
        <v>79305</v>
      </c>
      <c r="N654" s="1">
        <f>N652+N664</f>
        <v>16455</v>
      </c>
      <c r="O654" s="1">
        <f>O652+O664</f>
        <v>1117</v>
      </c>
      <c r="P654" s="1">
        <f>P652+P664</f>
        <v>6917</v>
      </c>
      <c r="Q654" s="55">
        <f>SUM(N654:P654)</f>
        <v>24489</v>
      </c>
      <c r="R654" s="55">
        <f>+E654+I654+M654+Q654</f>
        <v>238527</v>
      </c>
    </row>
    <row r="655" spans="1:18" ht="16.5" customHeight="1" thickBot="1" x14ac:dyDescent="0.35">
      <c r="A655" s="80" t="s">
        <v>333</v>
      </c>
      <c r="B655" s="25">
        <f>(B654/B10)/1.983</f>
        <v>246.51473004408436</v>
      </c>
      <c r="C655" s="25">
        <f>(C654/C10)/1.983</f>
        <v>265.11058281103664</v>
      </c>
      <c r="D655" s="25">
        <f>(D654/D10)/1.983</f>
        <v>337.05854602833762</v>
      </c>
      <c r="E655" s="81" t="s">
        <v>7</v>
      </c>
      <c r="F655" s="25">
        <f>(F654/F10)/1.983</f>
        <v>471.87762649184737</v>
      </c>
      <c r="G655" s="25">
        <f>(G654/G10)/1.983</f>
        <v>441.85252061880828</v>
      </c>
      <c r="H655" s="25">
        <f>(H654/H10)/1.983</f>
        <v>485.87997982854262</v>
      </c>
      <c r="I655" s="81" t="s">
        <v>7</v>
      </c>
      <c r="J655" s="25">
        <f>(J654/J10)/1.983</f>
        <v>493.97296374017856</v>
      </c>
      <c r="K655" s="25">
        <f>(K654/K10)/1.983</f>
        <v>486.06705382851004</v>
      </c>
      <c r="L655" s="25">
        <f>(L654/L10)/1.983</f>
        <v>320.37317196167419</v>
      </c>
      <c r="M655" s="81" t="s">
        <v>7</v>
      </c>
      <c r="N655" s="25">
        <f>(N654/N10)/1.983</f>
        <v>267.67849299692546</v>
      </c>
      <c r="O655" s="25">
        <f>(O654/O10)/1.983</f>
        <v>18.776264918473693</v>
      </c>
      <c r="P655" s="25">
        <f>(P654/P10)/1.983</f>
        <v>112.52094415434418</v>
      </c>
      <c r="Q655" s="81" t="s">
        <v>7</v>
      </c>
      <c r="R655" s="81" t="s">
        <v>7</v>
      </c>
    </row>
    <row r="656" spans="1:18" ht="15.75" customHeight="1" x14ac:dyDescent="0.3">
      <c r="A656" s="2"/>
      <c r="B656" s="1"/>
      <c r="C656" s="1"/>
      <c r="D656" s="1"/>
      <c r="E656" s="1"/>
      <c r="F656" s="1"/>
      <c r="G656" s="1"/>
      <c r="H656" s="1"/>
      <c r="I656" s="1"/>
      <c r="J656" s="1"/>
      <c r="K656" s="1"/>
      <c r="L656" s="1"/>
      <c r="M656" s="1"/>
      <c r="N656" s="1"/>
      <c r="O656" s="1"/>
      <c r="P656" s="1"/>
      <c r="Q656" s="1"/>
      <c r="R656" s="2"/>
    </row>
    <row r="657" spans="1:18" ht="16.5" customHeight="1" thickBot="1" x14ac:dyDescent="0.35">
      <c r="A657" s="106"/>
      <c r="B657" s="21"/>
      <c r="C657" s="21"/>
      <c r="D657" s="21"/>
      <c r="E657" s="21"/>
      <c r="F657" s="21"/>
      <c r="G657" s="21"/>
      <c r="H657" s="21"/>
      <c r="I657" s="21"/>
      <c r="J657" s="21"/>
      <c r="K657" s="21"/>
      <c r="L657" s="21"/>
      <c r="M657" s="21"/>
      <c r="N657" s="21"/>
      <c r="O657" s="21"/>
      <c r="P657" s="21"/>
      <c r="Q657" s="21"/>
      <c r="R657" s="106"/>
    </row>
    <row r="658" spans="1:18" ht="16.5" customHeight="1" thickBot="1" x14ac:dyDescent="0.35">
      <c r="A658" s="124" t="s">
        <v>334</v>
      </c>
      <c r="B658" s="30" t="s">
        <v>8</v>
      </c>
      <c r="C658" s="31" t="s">
        <v>9</v>
      </c>
      <c r="D658" s="31" t="s">
        <v>10</v>
      </c>
      <c r="E658" s="32" t="s">
        <v>11</v>
      </c>
      <c r="F658" s="31" t="s">
        <v>12</v>
      </c>
      <c r="G658" s="31" t="s">
        <v>13</v>
      </c>
      <c r="H658" s="31" t="s">
        <v>14</v>
      </c>
      <c r="I658" s="33" t="s">
        <v>15</v>
      </c>
      <c r="J658" s="31" t="s">
        <v>16</v>
      </c>
      <c r="K658" s="31" t="s">
        <v>17</v>
      </c>
      <c r="L658" s="31" t="s">
        <v>18</v>
      </c>
      <c r="M658" s="33" t="s">
        <v>19</v>
      </c>
      <c r="N658" s="31" t="s">
        <v>20</v>
      </c>
      <c r="O658" s="31" t="s">
        <v>21</v>
      </c>
      <c r="P658" s="31" t="s">
        <v>22</v>
      </c>
      <c r="Q658" s="32" t="s">
        <v>23</v>
      </c>
      <c r="R658" s="49" t="s">
        <v>24</v>
      </c>
    </row>
    <row r="659" spans="1:18" ht="16.5" customHeight="1" thickBot="1" x14ac:dyDescent="0.35">
      <c r="A659" s="41"/>
      <c r="B659" s="36"/>
      <c r="C659" s="36"/>
      <c r="D659" s="36"/>
      <c r="E659" s="37"/>
      <c r="F659" s="36"/>
      <c r="G659" s="36"/>
      <c r="H659" s="36"/>
      <c r="I659" s="37"/>
      <c r="J659" s="36"/>
      <c r="K659" s="36"/>
      <c r="L659" s="36"/>
      <c r="M659" s="37"/>
      <c r="N659" s="36"/>
      <c r="O659" s="36"/>
      <c r="P659" s="36"/>
      <c r="Q659" s="127"/>
      <c r="R659" s="128"/>
    </row>
    <row r="660" spans="1:18" ht="16.5" customHeight="1" thickBot="1" x14ac:dyDescent="0.35">
      <c r="A660" s="39" t="s">
        <v>40</v>
      </c>
      <c r="B660" s="21">
        <v>20</v>
      </c>
      <c r="C660" s="21">
        <v>22</v>
      </c>
      <c r="D660" s="21">
        <v>28</v>
      </c>
      <c r="E660" s="55">
        <f>SUM(B660:D660)</f>
        <v>70</v>
      </c>
      <c r="F660" s="21">
        <v>37</v>
      </c>
      <c r="G660" s="21">
        <v>42</v>
      </c>
      <c r="H660" s="21">
        <v>44</v>
      </c>
      <c r="I660" s="55">
        <f>SUM(F660:H660)</f>
        <v>123</v>
      </c>
      <c r="J660" s="21">
        <v>39</v>
      </c>
      <c r="K660" s="21">
        <v>36</v>
      </c>
      <c r="L660" s="21">
        <v>34</v>
      </c>
      <c r="M660" s="55">
        <f>SUM(J660:L660)</f>
        <v>109</v>
      </c>
      <c r="N660" s="21">
        <v>29</v>
      </c>
      <c r="O660" s="21">
        <v>23</v>
      </c>
      <c r="P660" s="21">
        <v>19</v>
      </c>
      <c r="Q660" s="55">
        <f>SUM(N660:P660)</f>
        <v>71</v>
      </c>
      <c r="R660" s="55">
        <f>+E660+I660+M660+Q660</f>
        <v>373</v>
      </c>
    </row>
    <row r="661" spans="1:18" ht="16.5" customHeight="1" thickBot="1" x14ac:dyDescent="0.35">
      <c r="A661" s="41"/>
      <c r="B661" s="36"/>
      <c r="C661" s="36"/>
      <c r="D661" s="36"/>
      <c r="E661" s="52"/>
      <c r="F661" s="36"/>
      <c r="G661" s="36"/>
      <c r="H661" s="36"/>
      <c r="I661" s="52"/>
      <c r="J661" s="36"/>
      <c r="K661" s="36"/>
      <c r="L661" s="36"/>
      <c r="M661" s="52"/>
      <c r="N661" s="36"/>
      <c r="O661" s="36"/>
      <c r="P661" s="36"/>
      <c r="Q661" s="52"/>
      <c r="R661" s="42"/>
    </row>
    <row r="662" spans="1:18" ht="15.75" customHeight="1" x14ac:dyDescent="0.3">
      <c r="A662" s="76" t="s">
        <v>314</v>
      </c>
      <c r="B662" s="77">
        <f>B660</f>
        <v>20</v>
      </c>
      <c r="C662" s="77">
        <f>C660</f>
        <v>22</v>
      </c>
      <c r="D662" s="77">
        <f>D660</f>
        <v>28</v>
      </c>
      <c r="E662" s="60">
        <f>SUM(B662:D662)</f>
        <v>70</v>
      </c>
      <c r="F662" s="77">
        <f>F660</f>
        <v>37</v>
      </c>
      <c r="G662" s="77">
        <f>G660</f>
        <v>42</v>
      </c>
      <c r="H662" s="77">
        <f>H660</f>
        <v>44</v>
      </c>
      <c r="I662" s="60">
        <f>SUM(F662:H662)</f>
        <v>123</v>
      </c>
      <c r="J662" s="77">
        <f>J660</f>
        <v>39</v>
      </c>
      <c r="K662" s="77">
        <f>K660</f>
        <v>36</v>
      </c>
      <c r="L662" s="77">
        <f>L660</f>
        <v>34</v>
      </c>
      <c r="M662" s="60">
        <f>SUM(J662:L662)</f>
        <v>109</v>
      </c>
      <c r="N662" s="77">
        <f>N660</f>
        <v>29</v>
      </c>
      <c r="O662" s="77">
        <f>O660</f>
        <v>23</v>
      </c>
      <c r="P662" s="77">
        <f>P660</f>
        <v>19</v>
      </c>
      <c r="Q662" s="60">
        <f>SUM(N662:P662)</f>
        <v>71</v>
      </c>
      <c r="R662" s="60">
        <f>+E662+I662+M662+Q662</f>
        <v>373</v>
      </c>
    </row>
    <row r="663" spans="1:18" ht="15.75" customHeight="1" x14ac:dyDescent="0.3">
      <c r="A663" s="79" t="s">
        <v>42</v>
      </c>
      <c r="B663" s="1">
        <f>(B662/B10)/1.983</f>
        <v>0.32534608689993977</v>
      </c>
      <c r="C663" s="1">
        <f>(C662/C10)/1.983</f>
        <v>0.39622505583171236</v>
      </c>
      <c r="D663" s="1">
        <f>(D662/D10)/1.983</f>
        <v>0.45548452165991571</v>
      </c>
      <c r="E663" s="55" t="s">
        <v>7</v>
      </c>
      <c r="F663" s="1">
        <f>(F662/F10)/1.983</f>
        <v>0.62195326945705165</v>
      </c>
      <c r="G663" s="1">
        <f>(G662/G10)/1.983</f>
        <v>0.68322678248987356</v>
      </c>
      <c r="H663" s="1">
        <f>(H662/H10)/1.983</f>
        <v>0.73962010421919644</v>
      </c>
      <c r="I663" s="55" t="s">
        <v>7</v>
      </c>
      <c r="J663" s="1">
        <f>(J662/J10)/1.983</f>
        <v>0.63442486945488263</v>
      </c>
      <c r="K663" s="1">
        <f>(K662/K10)/1.983</f>
        <v>0.5856229564198917</v>
      </c>
      <c r="L663" s="1">
        <f>(L662/L10)/1.983</f>
        <v>0.57152462598756093</v>
      </c>
      <c r="M663" s="55" t="s">
        <v>7</v>
      </c>
      <c r="N663" s="1">
        <f>(N662/N10)/1.983</f>
        <v>0.47175182600491267</v>
      </c>
      <c r="O663" s="1">
        <f>(O662/O10)/1.983</f>
        <v>0.38661959993276179</v>
      </c>
      <c r="P663" s="1">
        <f>(P662/P10)/1.983</f>
        <v>0.30907878255494281</v>
      </c>
      <c r="Q663" s="55" t="s">
        <v>7</v>
      </c>
      <c r="R663" s="55" t="s">
        <v>7</v>
      </c>
    </row>
    <row r="664" spans="1:18" ht="15.75" customHeight="1" x14ac:dyDescent="0.3">
      <c r="A664" s="79" t="s">
        <v>335</v>
      </c>
      <c r="B664" s="1">
        <f>B662+B700</f>
        <v>12789</v>
      </c>
      <c r="C664" s="1">
        <f>C662+C700</f>
        <v>9967</v>
      </c>
      <c r="D664" s="1">
        <f>D662+D700</f>
        <v>14750</v>
      </c>
      <c r="E664" s="55">
        <f>SUM(B664:D664)</f>
        <v>37506</v>
      </c>
      <c r="F664" s="1">
        <f>F662+F700</f>
        <v>20595</v>
      </c>
      <c r="G664" s="1">
        <f>G662+G700</f>
        <v>20547</v>
      </c>
      <c r="H664" s="1">
        <f>H662+H700</f>
        <v>21638</v>
      </c>
      <c r="I664" s="55">
        <f>SUM(F664:H664)</f>
        <v>62780</v>
      </c>
      <c r="J664" s="1">
        <f>J662+J700</f>
        <v>22884</v>
      </c>
      <c r="K664" s="1">
        <f>K662+K700</f>
        <v>22125</v>
      </c>
      <c r="L664" s="1">
        <f>L662+L700</f>
        <v>17576</v>
      </c>
      <c r="M664" s="55">
        <f>SUM(J664:L664)</f>
        <v>62585</v>
      </c>
      <c r="N664" s="1">
        <f>N662+N700</f>
        <v>15718</v>
      </c>
      <c r="O664" s="1">
        <f>O662+O700</f>
        <v>1050</v>
      </c>
      <c r="P664" s="1">
        <f>P662+P700</f>
        <v>4179</v>
      </c>
      <c r="Q664" s="55">
        <f>SUM(N664:P664)</f>
        <v>20947</v>
      </c>
      <c r="R664" s="55">
        <f>+E664+I664+M664+Q664</f>
        <v>183818</v>
      </c>
    </row>
    <row r="665" spans="1:18" ht="16.5" customHeight="1" thickBot="1" x14ac:dyDescent="0.35">
      <c r="A665" s="80" t="s">
        <v>336</v>
      </c>
      <c r="B665" s="25">
        <f>(B664/B10)/1.983</f>
        <v>208.0425552681665</v>
      </c>
      <c r="C665" s="25">
        <f>(C664/C10)/1.983</f>
        <v>179.50796052157625</v>
      </c>
      <c r="D665" s="25">
        <f>(D664/D10)/1.983</f>
        <v>239.94273908870559</v>
      </c>
      <c r="E665" s="81" t="s">
        <v>7</v>
      </c>
      <c r="F665" s="25">
        <f>(F664/F10)/1.983</f>
        <v>346.19263741805344</v>
      </c>
      <c r="G665" s="25">
        <f>(G664/G10)/1.983</f>
        <v>334.24430237665314</v>
      </c>
      <c r="H665" s="25">
        <f>(H664/H10)/1.983</f>
        <v>363.72499579761302</v>
      </c>
      <c r="I665" s="81" t="s">
        <v>7</v>
      </c>
      <c r="J665" s="25">
        <f>(J664/J10)/1.983</f>
        <v>372.26099263091112</v>
      </c>
      <c r="K665" s="25">
        <f>(K664/K10)/1.983</f>
        <v>359.91410863305839</v>
      </c>
      <c r="L665" s="25">
        <f>(L664/L10)/1.983</f>
        <v>295.44461253992267</v>
      </c>
      <c r="M665" s="81" t="s">
        <v>7</v>
      </c>
      <c r="N665" s="25">
        <f>(N664/N10)/1.983</f>
        <v>255.68948969466271</v>
      </c>
      <c r="O665" s="25">
        <f>(O664/O10)/1.983</f>
        <v>17.650025214321733</v>
      </c>
      <c r="P665" s="25">
        <f>(P664/P10)/1.983</f>
        <v>67.981064857742425</v>
      </c>
      <c r="Q665" s="81" t="s">
        <v>7</v>
      </c>
      <c r="R665" s="81" t="s">
        <v>7</v>
      </c>
    </row>
    <row r="666" spans="1:18" ht="15.75" customHeight="1" x14ac:dyDescent="0.3">
      <c r="A666" s="28"/>
      <c r="B666" s="1"/>
      <c r="C666" s="1"/>
      <c r="D666" s="1"/>
      <c r="E666" s="1"/>
      <c r="F666" s="1"/>
      <c r="G666" s="1"/>
      <c r="H666" s="1"/>
      <c r="I666" s="1"/>
      <c r="J666" s="1"/>
      <c r="K666" s="1"/>
      <c r="L666" s="1"/>
      <c r="M666" s="1"/>
      <c r="N666" s="1"/>
      <c r="O666" s="1"/>
      <c r="P666" s="1"/>
      <c r="Q666" s="1"/>
      <c r="R666" s="2"/>
    </row>
    <row r="667" spans="1:18" ht="15.75" customHeight="1" thickBot="1" x14ac:dyDescent="0.35">
      <c r="A667" s="28"/>
      <c r="B667" s="1"/>
      <c r="C667" s="1"/>
      <c r="D667" s="1"/>
      <c r="E667" s="1"/>
      <c r="F667" s="1"/>
      <c r="G667" s="1"/>
      <c r="H667" s="1"/>
      <c r="I667" s="1"/>
      <c r="J667" s="1"/>
      <c r="K667" s="1"/>
      <c r="L667" s="1"/>
      <c r="M667" s="1"/>
      <c r="N667" s="1"/>
      <c r="O667" s="1"/>
      <c r="P667" s="1"/>
      <c r="Q667" s="1"/>
      <c r="R667" s="2"/>
    </row>
    <row r="668" spans="1:18" ht="16.5" customHeight="1" thickBot="1" x14ac:dyDescent="0.35">
      <c r="A668" s="29" t="s">
        <v>337</v>
      </c>
      <c r="B668" s="30" t="s">
        <v>8</v>
      </c>
      <c r="C668" s="31" t="s">
        <v>9</v>
      </c>
      <c r="D668" s="31" t="s">
        <v>10</v>
      </c>
      <c r="E668" s="32" t="s">
        <v>11</v>
      </c>
      <c r="F668" s="31" t="s">
        <v>12</v>
      </c>
      <c r="G668" s="31" t="s">
        <v>13</v>
      </c>
      <c r="H668" s="31" t="s">
        <v>14</v>
      </c>
      <c r="I668" s="33" t="s">
        <v>15</v>
      </c>
      <c r="J668" s="31" t="s">
        <v>16</v>
      </c>
      <c r="K668" s="31" t="s">
        <v>17</v>
      </c>
      <c r="L668" s="31" t="s">
        <v>18</v>
      </c>
      <c r="M668" s="33" t="s">
        <v>19</v>
      </c>
      <c r="N668" s="31" t="s">
        <v>20</v>
      </c>
      <c r="O668" s="31" t="s">
        <v>21</v>
      </c>
      <c r="P668" s="31" t="s">
        <v>22</v>
      </c>
      <c r="Q668" s="33" t="s">
        <v>23</v>
      </c>
      <c r="R668" s="34" t="s">
        <v>24</v>
      </c>
    </row>
    <row r="669" spans="1:18" ht="16.5" customHeight="1" thickBot="1" x14ac:dyDescent="0.35">
      <c r="A669" s="41"/>
      <c r="B669" s="36"/>
      <c r="C669" s="36"/>
      <c r="D669" s="36"/>
      <c r="E669" s="52"/>
      <c r="F669" s="36"/>
      <c r="G669" s="36"/>
      <c r="H669" s="36"/>
      <c r="I669" s="52"/>
      <c r="J669" s="36"/>
      <c r="K669" s="36"/>
      <c r="L669" s="36"/>
      <c r="M669" s="52"/>
      <c r="N669" s="36"/>
      <c r="O669" s="36"/>
      <c r="P669" s="36"/>
      <c r="Q669" s="52"/>
      <c r="R669" s="38"/>
    </row>
    <row r="670" spans="1:18" ht="15.75" customHeight="1" x14ac:dyDescent="0.3">
      <c r="A670" s="15" t="s">
        <v>48</v>
      </c>
      <c r="B670" s="1" t="s">
        <v>7</v>
      </c>
      <c r="C670" s="1" t="s">
        <v>7</v>
      </c>
      <c r="D670" s="1" t="s">
        <v>7</v>
      </c>
      <c r="E670" s="55" t="s">
        <v>7</v>
      </c>
      <c r="F670" s="1" t="s">
        <v>7</v>
      </c>
      <c r="G670" s="1" t="s">
        <v>7</v>
      </c>
      <c r="H670" s="1" t="s">
        <v>7</v>
      </c>
      <c r="I670" s="55" t="s">
        <v>7</v>
      </c>
      <c r="J670" s="1" t="s">
        <v>7</v>
      </c>
      <c r="K670" s="1" t="s">
        <v>7</v>
      </c>
      <c r="L670" s="1" t="s">
        <v>7</v>
      </c>
      <c r="M670" s="55" t="s">
        <v>7</v>
      </c>
      <c r="N670" s="1" t="s">
        <v>7</v>
      </c>
      <c r="O670" s="1" t="s">
        <v>7</v>
      </c>
      <c r="P670" s="1" t="s">
        <v>7</v>
      </c>
      <c r="Q670" s="55" t="s">
        <v>7</v>
      </c>
      <c r="R670" s="55" t="s">
        <v>7</v>
      </c>
    </row>
    <row r="671" spans="1:18" ht="15.75" customHeight="1" x14ac:dyDescent="0.3">
      <c r="A671" s="15" t="s">
        <v>49</v>
      </c>
      <c r="B671" s="1"/>
      <c r="C671" s="1"/>
      <c r="D671" s="1"/>
      <c r="E671" s="55" t="s">
        <v>7</v>
      </c>
      <c r="F671" s="1"/>
      <c r="G671" s="1"/>
      <c r="H671" s="1"/>
      <c r="I671" s="55" t="s">
        <v>7</v>
      </c>
      <c r="J671" s="1"/>
      <c r="K671" s="1"/>
      <c r="L671" s="1"/>
      <c r="M671" s="55" t="s">
        <v>7</v>
      </c>
      <c r="N671" s="1"/>
      <c r="O671" s="1"/>
      <c r="P671" s="1"/>
      <c r="Q671" s="55" t="s">
        <v>7</v>
      </c>
      <c r="R671" s="55" t="s">
        <v>7</v>
      </c>
    </row>
    <row r="672" spans="1:18" ht="15.75" customHeight="1" x14ac:dyDescent="0.3">
      <c r="A672" s="71" t="s">
        <v>994</v>
      </c>
      <c r="B672" s="1">
        <v>20</v>
      </c>
      <c r="C672" s="1">
        <v>125</v>
      </c>
      <c r="D672" s="1">
        <v>350</v>
      </c>
      <c r="E672" s="55">
        <f>SUM(B672:D672)</f>
        <v>495</v>
      </c>
      <c r="F672" s="1">
        <v>465</v>
      </c>
      <c r="G672" s="1">
        <v>351</v>
      </c>
      <c r="H672" s="1">
        <v>1375</v>
      </c>
      <c r="I672" s="55">
        <f>SUM(F672:H672)</f>
        <v>2191</v>
      </c>
      <c r="J672" s="1">
        <v>897</v>
      </c>
      <c r="K672" s="1">
        <f>965</f>
        <v>965</v>
      </c>
      <c r="L672" s="1">
        <v>454</v>
      </c>
      <c r="M672" s="55">
        <f>SUM(J672:L672)</f>
        <v>2316</v>
      </c>
      <c r="N672" s="1">
        <v>1159</v>
      </c>
      <c r="O672" s="1">
        <v>200</v>
      </c>
      <c r="P672" s="1">
        <v>213</v>
      </c>
      <c r="Q672" s="55">
        <f>SUM(N672:P672)</f>
        <v>1572</v>
      </c>
      <c r="R672" s="55">
        <f>+E672+I672+M672+Q672</f>
        <v>6574</v>
      </c>
    </row>
    <row r="673" spans="1:18" ht="15.75" customHeight="1" x14ac:dyDescent="0.3">
      <c r="A673" s="71" t="s">
        <v>995</v>
      </c>
      <c r="B673" s="1">
        <v>364</v>
      </c>
      <c r="C673" s="1">
        <v>627</v>
      </c>
      <c r="D673" s="1">
        <v>715</v>
      </c>
      <c r="E673" s="55">
        <f>SUM(B673:D673)</f>
        <v>1706</v>
      </c>
      <c r="F673" s="1">
        <v>651</v>
      </c>
      <c r="G673" s="1">
        <v>285</v>
      </c>
      <c r="H673" s="1"/>
      <c r="I673" s="55">
        <f>SUM(F673:H673)</f>
        <v>936</v>
      </c>
      <c r="J673" s="1">
        <v>519</v>
      </c>
      <c r="K673" s="1">
        <v>845</v>
      </c>
      <c r="L673" s="1">
        <v>643</v>
      </c>
      <c r="M673" s="55">
        <f>SUM(J673:L673)</f>
        <v>2007</v>
      </c>
      <c r="N673" s="1"/>
      <c r="O673" s="1"/>
      <c r="P673" s="1"/>
      <c r="Q673" s="55">
        <f>SUM(N673:P673)</f>
        <v>0</v>
      </c>
      <c r="R673" s="55">
        <f>+E673+I673+M673+Q673</f>
        <v>4649</v>
      </c>
    </row>
    <row r="674" spans="1:18" ht="15.75" customHeight="1" x14ac:dyDescent="0.3">
      <c r="A674" s="71" t="s">
        <v>339</v>
      </c>
      <c r="B674" s="1">
        <v>11</v>
      </c>
      <c r="C674" s="1"/>
      <c r="D674" s="1">
        <v>18</v>
      </c>
      <c r="E674" s="55">
        <f>SUM(B674:D674)</f>
        <v>29</v>
      </c>
      <c r="F674" s="1">
        <v>19</v>
      </c>
      <c r="G674" s="1"/>
      <c r="H674" s="1"/>
      <c r="I674" s="55">
        <f>SUM(F674:H674)</f>
        <v>19</v>
      </c>
      <c r="J674" s="1"/>
      <c r="K674" s="1"/>
      <c r="L674" s="1"/>
      <c r="M674" s="55">
        <f>SUM(J674:L674)</f>
        <v>0</v>
      </c>
      <c r="N674" s="1"/>
      <c r="O674" s="1"/>
      <c r="P674" s="1"/>
      <c r="Q674" s="55">
        <f>SUM(N674:P674)</f>
        <v>0</v>
      </c>
      <c r="R674" s="55">
        <f>+E674+I674+M674+Q674</f>
        <v>48</v>
      </c>
    </row>
    <row r="675" spans="1:18" ht="15.75" customHeight="1" x14ac:dyDescent="0.3">
      <c r="A675" s="15" t="s">
        <v>50</v>
      </c>
      <c r="B675" s="1"/>
      <c r="C675" s="1"/>
      <c r="D675" s="1"/>
      <c r="E675" s="55" t="s">
        <v>7</v>
      </c>
      <c r="F675" s="1"/>
      <c r="G675" s="1"/>
      <c r="H675" s="1"/>
      <c r="I675" s="55" t="s">
        <v>7</v>
      </c>
      <c r="J675" s="1"/>
      <c r="K675" s="1"/>
      <c r="L675" s="1"/>
      <c r="M675" s="55" t="s">
        <v>7</v>
      </c>
      <c r="N675" s="1"/>
      <c r="O675" s="1"/>
      <c r="P675" s="1"/>
      <c r="Q675" s="55" t="s">
        <v>7</v>
      </c>
      <c r="R675" s="55" t="s">
        <v>7</v>
      </c>
    </row>
    <row r="676" spans="1:18" ht="15.75" customHeight="1" x14ac:dyDescent="0.3">
      <c r="A676" s="15" t="s">
        <v>1186</v>
      </c>
      <c r="B676" s="1"/>
      <c r="C676" s="1"/>
      <c r="D676" s="1"/>
      <c r="E676" s="55" t="s">
        <v>7</v>
      </c>
      <c r="F676" s="1"/>
      <c r="G676" s="1"/>
      <c r="H676" s="1"/>
      <c r="I676" s="55" t="s">
        <v>7</v>
      </c>
      <c r="J676" s="1"/>
      <c r="K676" s="1"/>
      <c r="L676" s="1"/>
      <c r="M676" s="55" t="s">
        <v>7</v>
      </c>
      <c r="N676" s="1"/>
      <c r="O676" s="1"/>
      <c r="P676" s="1"/>
      <c r="Q676" s="55" t="s">
        <v>7</v>
      </c>
      <c r="R676" s="55" t="s">
        <v>7</v>
      </c>
    </row>
    <row r="677" spans="1:18" ht="15.75" customHeight="1" thickBot="1" x14ac:dyDescent="0.35">
      <c r="A677" s="15" t="s">
        <v>53</v>
      </c>
      <c r="B677" s="1"/>
      <c r="C677" s="1"/>
      <c r="D677" s="1"/>
      <c r="E677" s="55" t="s">
        <v>7</v>
      </c>
      <c r="F677" s="1"/>
      <c r="G677" s="1"/>
      <c r="H677" s="1"/>
      <c r="I677" s="55" t="s">
        <v>7</v>
      </c>
      <c r="J677" s="1"/>
      <c r="K677" s="1"/>
      <c r="L677" s="1"/>
      <c r="M677" s="55" t="s">
        <v>7</v>
      </c>
      <c r="N677" s="1"/>
      <c r="O677" s="1"/>
      <c r="P677" s="1"/>
      <c r="Q677" s="55" t="s">
        <v>7</v>
      </c>
      <c r="R677" s="55" t="s">
        <v>7</v>
      </c>
    </row>
    <row r="678" spans="1:18" ht="16.5" customHeight="1" thickBot="1" x14ac:dyDescent="0.35">
      <c r="A678" s="109" t="s">
        <v>54</v>
      </c>
      <c r="B678" s="86">
        <f>SUM(B670:B677)</f>
        <v>395</v>
      </c>
      <c r="C678" s="87">
        <f>SUM(C670:C677)</f>
        <v>752</v>
      </c>
      <c r="D678" s="87">
        <f>SUM(D670:D677)</f>
        <v>1083</v>
      </c>
      <c r="E678" s="59">
        <f>SUM(B678:D678)</f>
        <v>2230</v>
      </c>
      <c r="F678" s="87">
        <f>SUM(F670:F677)</f>
        <v>1135</v>
      </c>
      <c r="G678" s="87">
        <f>SUM(G670:G677)</f>
        <v>636</v>
      </c>
      <c r="H678" s="87">
        <f>SUM(H670:H677)</f>
        <v>1375</v>
      </c>
      <c r="I678" s="59">
        <f>SUM(F678:H678)</f>
        <v>3146</v>
      </c>
      <c r="J678" s="87">
        <f>SUM(J670:J677)</f>
        <v>1416</v>
      </c>
      <c r="K678" s="87">
        <f>SUM(K670:K677)</f>
        <v>1810</v>
      </c>
      <c r="L678" s="87">
        <f>SUM(L670:L677)</f>
        <v>1097</v>
      </c>
      <c r="M678" s="59">
        <f>SUM(J678:L678)</f>
        <v>4323</v>
      </c>
      <c r="N678" s="87">
        <f>SUM(N670:N677)</f>
        <v>1159</v>
      </c>
      <c r="O678" s="87">
        <f>SUM(O670:O677)</f>
        <v>200</v>
      </c>
      <c r="P678" s="87">
        <f>SUM(P670:P677)</f>
        <v>213</v>
      </c>
      <c r="Q678" s="59">
        <f>SUM(N678:P678)</f>
        <v>1572</v>
      </c>
      <c r="R678" s="59">
        <f>+E678+I678+M678+Q678</f>
        <v>11271</v>
      </c>
    </row>
    <row r="679" spans="1:18" ht="15.75" customHeight="1" x14ac:dyDescent="0.3">
      <c r="A679" s="15" t="s">
        <v>55</v>
      </c>
      <c r="B679" s="1"/>
      <c r="C679" s="1"/>
      <c r="D679" s="1"/>
      <c r="E679" s="55" t="s">
        <v>7</v>
      </c>
      <c r="F679" s="1"/>
      <c r="G679" s="1"/>
      <c r="H679" s="1"/>
      <c r="I679" s="55" t="s">
        <v>7</v>
      </c>
      <c r="J679" s="1"/>
      <c r="K679" s="1"/>
      <c r="L679" s="1"/>
      <c r="M679" s="55" t="s">
        <v>7</v>
      </c>
      <c r="N679" s="1"/>
      <c r="O679" s="1"/>
      <c r="P679" s="1"/>
      <c r="Q679" s="55" t="s">
        <v>7</v>
      </c>
      <c r="R679" s="55" t="s">
        <v>7</v>
      </c>
    </row>
    <row r="680" spans="1:18" ht="15.75" customHeight="1" x14ac:dyDescent="0.3">
      <c r="A680" s="15" t="s">
        <v>57</v>
      </c>
      <c r="B680" s="1"/>
      <c r="C680" s="1"/>
      <c r="D680" s="1"/>
      <c r="E680" s="55" t="s">
        <v>7</v>
      </c>
      <c r="F680" s="1"/>
      <c r="G680" s="1"/>
      <c r="H680" s="1"/>
      <c r="I680" s="55" t="s">
        <v>7</v>
      </c>
      <c r="J680" s="1"/>
      <c r="K680" s="1"/>
      <c r="L680" s="1"/>
      <c r="M680" s="55" t="s">
        <v>7</v>
      </c>
      <c r="N680" s="1"/>
      <c r="O680" s="1"/>
      <c r="P680" s="1"/>
      <c r="Q680" s="55" t="s">
        <v>7</v>
      </c>
      <c r="R680" s="55" t="s">
        <v>7</v>
      </c>
    </row>
    <row r="681" spans="1:18" ht="15.75" customHeight="1" thickBot="1" x14ac:dyDescent="0.35">
      <c r="A681" s="15" t="s">
        <v>58</v>
      </c>
      <c r="B681" s="1"/>
      <c r="C681" s="1"/>
      <c r="D681" s="1"/>
      <c r="E681" s="55" t="s">
        <v>7</v>
      </c>
      <c r="F681" s="1"/>
      <c r="G681" s="1"/>
      <c r="H681" s="1"/>
      <c r="I681" s="55" t="s">
        <v>7</v>
      </c>
      <c r="J681" s="1"/>
      <c r="K681" s="1"/>
      <c r="L681" s="1"/>
      <c r="M681" s="55" t="s">
        <v>7</v>
      </c>
      <c r="N681" s="1"/>
      <c r="O681" s="1"/>
      <c r="P681" s="1"/>
      <c r="Q681" s="55" t="s">
        <v>7</v>
      </c>
      <c r="R681" s="55" t="s">
        <v>7</v>
      </c>
    </row>
    <row r="682" spans="1:18" ht="16.5" customHeight="1" thickBot="1" x14ac:dyDescent="0.35">
      <c r="A682" s="57" t="s">
        <v>59</v>
      </c>
      <c r="B682" s="86">
        <f>SUM(B679:B681)</f>
        <v>0</v>
      </c>
      <c r="C682" s="87">
        <f>SUM(C679:C681)</f>
        <v>0</v>
      </c>
      <c r="D682" s="87">
        <f>SUM(D679:D681)</f>
        <v>0</v>
      </c>
      <c r="E682" s="59">
        <f>SUM(B682:D682)</f>
        <v>0</v>
      </c>
      <c r="F682" s="87">
        <f>SUM(F679:F681)</f>
        <v>0</v>
      </c>
      <c r="G682" s="87">
        <f>SUM(G679:G681)</f>
        <v>0</v>
      </c>
      <c r="H682" s="87">
        <f>SUM(H679:H681)</f>
        <v>0</v>
      </c>
      <c r="I682" s="59">
        <f>SUM(F682:H682)</f>
        <v>0</v>
      </c>
      <c r="J682" s="87">
        <f>SUM(J679:J681)</f>
        <v>0</v>
      </c>
      <c r="K682" s="87">
        <f>SUM(K679:K681)</f>
        <v>0</v>
      </c>
      <c r="L682" s="87">
        <f>SUM(L679:L681)</f>
        <v>0</v>
      </c>
      <c r="M682" s="59">
        <f>SUM(J682:L682)</f>
        <v>0</v>
      </c>
      <c r="N682" s="87">
        <f>SUM(N679:N681)</f>
        <v>0</v>
      </c>
      <c r="O682" s="87">
        <f>SUM(O679:O681)</f>
        <v>0</v>
      </c>
      <c r="P682" s="87">
        <f>SUM(P679:P681)</f>
        <v>0</v>
      </c>
      <c r="Q682" s="59">
        <f>SUM(N682:P682)</f>
        <v>0</v>
      </c>
      <c r="R682" s="59">
        <f>+E682+I682+M682+Q682</f>
        <v>0</v>
      </c>
    </row>
    <row r="683" spans="1:18" ht="15.75" customHeight="1" x14ac:dyDescent="0.3">
      <c r="A683" s="15" t="s">
        <v>60</v>
      </c>
      <c r="B683" s="1"/>
      <c r="C683" s="1"/>
      <c r="D683" s="1"/>
      <c r="E683" s="55" t="s">
        <v>7</v>
      </c>
      <c r="F683" s="1"/>
      <c r="G683" s="1"/>
      <c r="H683" s="1"/>
      <c r="I683" s="55" t="s">
        <v>7</v>
      </c>
      <c r="J683" s="1"/>
      <c r="K683" s="1"/>
      <c r="L683" s="1"/>
      <c r="M683" s="55" t="s">
        <v>7</v>
      </c>
      <c r="N683" s="1"/>
      <c r="O683" s="1"/>
      <c r="P683" s="1"/>
      <c r="Q683" s="55" t="s">
        <v>7</v>
      </c>
      <c r="R683" s="55" t="s">
        <v>7</v>
      </c>
    </row>
    <row r="684" spans="1:18" ht="15.75" customHeight="1" x14ac:dyDescent="0.3">
      <c r="A684" s="15" t="s">
        <v>61</v>
      </c>
      <c r="B684" s="1"/>
      <c r="C684" s="1"/>
      <c r="D684" s="1"/>
      <c r="E684" s="55" t="s">
        <v>7</v>
      </c>
      <c r="F684" s="1"/>
      <c r="G684" s="1"/>
      <c r="H684" s="1"/>
      <c r="I684" s="55" t="s">
        <v>7</v>
      </c>
      <c r="J684" s="1"/>
      <c r="K684" s="1"/>
      <c r="L684" s="1"/>
      <c r="M684" s="55" t="s">
        <v>7</v>
      </c>
      <c r="N684" s="1"/>
      <c r="O684" s="1"/>
      <c r="P684" s="1"/>
      <c r="Q684" s="55" t="s">
        <v>7</v>
      </c>
      <c r="R684" s="55" t="s">
        <v>7</v>
      </c>
    </row>
    <row r="685" spans="1:18" ht="15.75" customHeight="1" thickBot="1" x14ac:dyDescent="0.35">
      <c r="A685" s="15" t="s">
        <v>62</v>
      </c>
      <c r="B685" s="1"/>
      <c r="C685" s="1"/>
      <c r="D685" s="1"/>
      <c r="E685" s="55" t="s">
        <v>7</v>
      </c>
      <c r="F685" s="1"/>
      <c r="G685" s="1"/>
      <c r="H685" s="1"/>
      <c r="I685" s="55" t="s">
        <v>7</v>
      </c>
      <c r="J685" s="1"/>
      <c r="K685" s="1"/>
      <c r="L685" s="1"/>
      <c r="M685" s="55" t="s">
        <v>7</v>
      </c>
      <c r="N685" s="1"/>
      <c r="O685" s="1"/>
      <c r="P685" s="1"/>
      <c r="Q685" s="55" t="s">
        <v>7</v>
      </c>
      <c r="R685" s="55" t="s">
        <v>7</v>
      </c>
    </row>
    <row r="686" spans="1:18" ht="16.5" customHeight="1" thickBot="1" x14ac:dyDescent="0.35">
      <c r="A686" s="114" t="s">
        <v>63</v>
      </c>
      <c r="B686" s="86">
        <f>SUM(B683:B685)</f>
        <v>0</v>
      </c>
      <c r="C686" s="87">
        <f>SUM(C683:C685)</f>
        <v>0</v>
      </c>
      <c r="D686" s="87">
        <f>SUM(D683:D685)</f>
        <v>0</v>
      </c>
      <c r="E686" s="59">
        <f>SUM(B686:D686)</f>
        <v>0</v>
      </c>
      <c r="F686" s="87">
        <f>SUM(F683:F685)</f>
        <v>0</v>
      </c>
      <c r="G686" s="87">
        <f>SUM(G683:G685)</f>
        <v>0</v>
      </c>
      <c r="H686" s="87">
        <f>SUM(H683:H685)</f>
        <v>0</v>
      </c>
      <c r="I686" s="59">
        <f>SUM(F686:H686)</f>
        <v>0</v>
      </c>
      <c r="J686" s="87">
        <f>SUM(J683:J685)</f>
        <v>0</v>
      </c>
      <c r="K686" s="87">
        <f>SUM(K683:K685)</f>
        <v>0</v>
      </c>
      <c r="L686" s="87">
        <f>SUM(L683:L685)</f>
        <v>0</v>
      </c>
      <c r="M686" s="59">
        <f>SUM(J686:L686)</f>
        <v>0</v>
      </c>
      <c r="N686" s="87">
        <f>SUM(N683:N685)</f>
        <v>0</v>
      </c>
      <c r="O686" s="87">
        <f>SUM(O683:O685)</f>
        <v>0</v>
      </c>
      <c r="P686" s="87">
        <f>SUM(P683:P685)</f>
        <v>0</v>
      </c>
      <c r="Q686" s="59">
        <f>SUM(N686:P686)</f>
        <v>0</v>
      </c>
      <c r="R686" s="59">
        <f>+E686+I686+M686+Q686</f>
        <v>0</v>
      </c>
    </row>
    <row r="687" spans="1:18" ht="15.75" customHeight="1" x14ac:dyDescent="0.3">
      <c r="A687" s="15" t="s">
        <v>64</v>
      </c>
      <c r="B687" s="1"/>
      <c r="C687" s="1"/>
      <c r="D687" s="1"/>
      <c r="E687" s="55" t="s">
        <v>7</v>
      </c>
      <c r="F687" s="1"/>
      <c r="G687" s="1"/>
      <c r="H687" s="1"/>
      <c r="I687" s="55" t="s">
        <v>7</v>
      </c>
      <c r="J687" s="1"/>
      <c r="K687" s="1"/>
      <c r="L687" s="1"/>
      <c r="M687" s="55" t="s">
        <v>7</v>
      </c>
      <c r="N687" s="1"/>
      <c r="O687" s="1"/>
      <c r="P687" s="1"/>
      <c r="Q687" s="55" t="s">
        <v>7</v>
      </c>
      <c r="R687" s="55" t="s">
        <v>7</v>
      </c>
    </row>
    <row r="688" spans="1:18" ht="15.75" customHeight="1" x14ac:dyDescent="0.3">
      <c r="A688" s="15" t="s">
        <v>594</v>
      </c>
      <c r="B688" s="1"/>
      <c r="C688" s="1"/>
      <c r="D688" s="1"/>
      <c r="E688" s="55" t="s">
        <v>7</v>
      </c>
      <c r="F688" s="1"/>
      <c r="G688" s="1"/>
      <c r="H688" s="1"/>
      <c r="I688" s="55" t="s">
        <v>7</v>
      </c>
      <c r="J688" s="1"/>
      <c r="K688" s="1"/>
      <c r="L688" s="1"/>
      <c r="M688" s="55" t="s">
        <v>7</v>
      </c>
      <c r="N688" s="1"/>
      <c r="O688" s="1"/>
      <c r="P688" s="1"/>
      <c r="Q688" s="55" t="s">
        <v>7</v>
      </c>
      <c r="R688" s="55" t="s">
        <v>7</v>
      </c>
    </row>
    <row r="689" spans="1:18" ht="15.75" customHeight="1" x14ac:dyDescent="0.3">
      <c r="A689" s="15" t="s">
        <v>67</v>
      </c>
      <c r="B689" s="1"/>
      <c r="C689" s="1"/>
      <c r="D689" s="1"/>
      <c r="E689" s="55" t="s">
        <v>7</v>
      </c>
      <c r="F689" s="1"/>
      <c r="G689" s="1"/>
      <c r="H689" s="1"/>
      <c r="I689" s="55" t="s">
        <v>7</v>
      </c>
      <c r="J689" s="1"/>
      <c r="K689" s="1"/>
      <c r="L689" s="1"/>
      <c r="M689" s="55" t="s">
        <v>7</v>
      </c>
      <c r="N689" s="1"/>
      <c r="O689" s="1"/>
      <c r="P689" s="1"/>
      <c r="Q689" s="55" t="s">
        <v>7</v>
      </c>
      <c r="R689" s="55" t="s">
        <v>7</v>
      </c>
    </row>
    <row r="690" spans="1:18" ht="15.75" customHeight="1" x14ac:dyDescent="0.3">
      <c r="A690" s="71" t="s">
        <v>773</v>
      </c>
      <c r="B690" s="1"/>
      <c r="C690" s="1"/>
      <c r="D690" s="1"/>
      <c r="E690" s="55">
        <f>SUM(B690:D690)</f>
        <v>0</v>
      </c>
      <c r="F690" s="1"/>
      <c r="G690" s="1"/>
      <c r="H690" s="1"/>
      <c r="I690" s="55">
        <f>SUM(F690:H690)</f>
        <v>0</v>
      </c>
      <c r="J690" s="1"/>
      <c r="K690" s="1"/>
      <c r="L690" s="1"/>
      <c r="M690" s="55">
        <f>SUM(J690:L690)</f>
        <v>0</v>
      </c>
      <c r="N690" s="1"/>
      <c r="O690" s="1"/>
      <c r="P690" s="1"/>
      <c r="Q690" s="55">
        <f>SUM(N690:P690)</f>
        <v>0</v>
      </c>
      <c r="R690" s="55">
        <f>+E690+I690+M690+Q690</f>
        <v>0</v>
      </c>
    </row>
    <row r="691" spans="1:18" ht="15.75" customHeight="1" x14ac:dyDescent="0.3">
      <c r="A691" s="15" t="s">
        <v>600</v>
      </c>
      <c r="B691" s="1"/>
      <c r="C691" s="1"/>
      <c r="D691" s="1"/>
      <c r="E691" s="55" t="s">
        <v>7</v>
      </c>
      <c r="F691" s="1"/>
      <c r="G691" s="1"/>
      <c r="H691" s="1"/>
      <c r="I691" s="55" t="s">
        <v>7</v>
      </c>
      <c r="J691" s="1"/>
      <c r="K691" s="1"/>
      <c r="L691" s="1"/>
      <c r="M691" s="55" t="s">
        <v>7</v>
      </c>
      <c r="N691" s="1"/>
      <c r="O691" s="1"/>
      <c r="P691" s="1"/>
      <c r="Q691" s="55" t="s">
        <v>7</v>
      </c>
      <c r="R691" s="55" t="s">
        <v>7</v>
      </c>
    </row>
    <row r="692" spans="1:18" ht="15.75" customHeight="1" thickBot="1" x14ac:dyDescent="0.35">
      <c r="A692" s="15" t="s">
        <v>70</v>
      </c>
      <c r="B692" s="1"/>
      <c r="C692" s="1"/>
      <c r="D692" s="1"/>
      <c r="E692" s="55" t="s">
        <v>7</v>
      </c>
      <c r="F692" s="1"/>
      <c r="G692" s="1"/>
      <c r="H692" s="1"/>
      <c r="I692" s="55" t="s">
        <v>7</v>
      </c>
      <c r="J692" s="1"/>
      <c r="K692" s="1"/>
      <c r="L692" s="1"/>
      <c r="M692" s="55" t="s">
        <v>7</v>
      </c>
      <c r="N692" s="1"/>
      <c r="O692" s="1"/>
      <c r="P692" s="1"/>
      <c r="Q692" s="55" t="s">
        <v>7</v>
      </c>
      <c r="R692" s="55" t="s">
        <v>7</v>
      </c>
    </row>
    <row r="693" spans="1:18" ht="16.5" customHeight="1" thickBot="1" x14ac:dyDescent="0.35">
      <c r="A693" s="57" t="s">
        <v>71</v>
      </c>
      <c r="B693" s="58">
        <f>SUM(B691:B692)</f>
        <v>0</v>
      </c>
      <c r="C693" s="58">
        <f>SUM(C691:C692)</f>
        <v>0</v>
      </c>
      <c r="D693" s="58">
        <f>SUM(D691:D692)</f>
        <v>0</v>
      </c>
      <c r="E693" s="60">
        <f>SUM(B693:D693)</f>
        <v>0</v>
      </c>
      <c r="F693" s="58">
        <f>SUM(F691:F692)</f>
        <v>0</v>
      </c>
      <c r="G693" s="58">
        <f>SUM(G691:G692)</f>
        <v>0</v>
      </c>
      <c r="H693" s="58">
        <f>SUM(H691:H692)</f>
        <v>0</v>
      </c>
      <c r="I693" s="60">
        <f>SUM(F693:H693)</f>
        <v>0</v>
      </c>
      <c r="J693" s="58">
        <f>SUM(J691:J692)</f>
        <v>0</v>
      </c>
      <c r="K693" s="58">
        <f>SUM(K691:K692)</f>
        <v>0</v>
      </c>
      <c r="L693" s="58">
        <f>SUM(L691:L692)</f>
        <v>0</v>
      </c>
      <c r="M693" s="60">
        <f>SUM(J693:L693)</f>
        <v>0</v>
      </c>
      <c r="N693" s="58">
        <f>SUM(N691:N692)</f>
        <v>0</v>
      </c>
      <c r="O693" s="58">
        <f>SUM(O691:O692)</f>
        <v>0</v>
      </c>
      <c r="P693" s="58">
        <f>SUM(P691:P692)</f>
        <v>0</v>
      </c>
      <c r="Q693" s="60">
        <f>SUM(N693:P693)</f>
        <v>0</v>
      </c>
      <c r="R693" s="59">
        <f>+E693+I693+M693+Q693</f>
        <v>0</v>
      </c>
    </row>
    <row r="694" spans="1:18" ht="16.5" customHeight="1" thickBot="1" x14ac:dyDescent="0.35">
      <c r="A694" s="114" t="s">
        <v>72</v>
      </c>
      <c r="B694" s="86">
        <f>SUM(B687:B692)</f>
        <v>0</v>
      </c>
      <c r="C694" s="87">
        <f>SUM(C687:C692)</f>
        <v>0</v>
      </c>
      <c r="D694" s="118">
        <f>SUM(D687:D692)</f>
        <v>0</v>
      </c>
      <c r="E694" s="60">
        <f>SUM(B694:D694)</f>
        <v>0</v>
      </c>
      <c r="F694" s="87">
        <f>SUM(F687:F692)</f>
        <v>0</v>
      </c>
      <c r="G694" s="87">
        <f>SUM(G687:G692)</f>
        <v>0</v>
      </c>
      <c r="H694" s="87">
        <f>SUM(H687:H692)</f>
        <v>0</v>
      </c>
      <c r="I694" s="60">
        <f>SUM(F694:H694)</f>
        <v>0</v>
      </c>
      <c r="J694" s="87">
        <f>SUM(J687:J692)</f>
        <v>0</v>
      </c>
      <c r="K694" s="87">
        <f>SUM(K687:K692)</f>
        <v>0</v>
      </c>
      <c r="L694" s="87">
        <f>SUM(L687:L692)</f>
        <v>0</v>
      </c>
      <c r="M694" s="60">
        <f>SUM(J694:L694)</f>
        <v>0</v>
      </c>
      <c r="N694" s="87">
        <f>SUM(N687:N692)</f>
        <v>0</v>
      </c>
      <c r="O694" s="87">
        <f>SUM(O687:O692)</f>
        <v>0</v>
      </c>
      <c r="P694" s="87">
        <f>SUM(P687:P692)</f>
        <v>0</v>
      </c>
      <c r="Q694" s="60">
        <f>SUM(N694:P694)</f>
        <v>0</v>
      </c>
      <c r="R694" s="59">
        <f>+E694+I694+M694+Q694</f>
        <v>0</v>
      </c>
    </row>
    <row r="695" spans="1:18" ht="16.5" customHeight="1" thickBot="1" x14ac:dyDescent="0.35">
      <c r="A695" s="57" t="s">
        <v>73</v>
      </c>
      <c r="B695" s="90">
        <f>+B678+B682+B686+B694</f>
        <v>395</v>
      </c>
      <c r="C695" s="58">
        <f>+C678+C682+C686+C694</f>
        <v>752</v>
      </c>
      <c r="D695" s="58">
        <f>+D678+D682+D686+D694</f>
        <v>1083</v>
      </c>
      <c r="E695" s="59">
        <f>SUM(B695:D695)</f>
        <v>2230</v>
      </c>
      <c r="F695" s="58">
        <f>+F678+F682+F686+F694</f>
        <v>1135</v>
      </c>
      <c r="G695" s="58">
        <f>+G678+G682+G686+G694</f>
        <v>636</v>
      </c>
      <c r="H695" s="58">
        <f>+H678+H682+H686+H694</f>
        <v>1375</v>
      </c>
      <c r="I695" s="59">
        <f>SUM(F695:H695)</f>
        <v>3146</v>
      </c>
      <c r="J695" s="58">
        <f>+J678+J682+J686+J694</f>
        <v>1416</v>
      </c>
      <c r="K695" s="58">
        <f>+K678+K682+K686+K694</f>
        <v>1810</v>
      </c>
      <c r="L695" s="58">
        <f>+L678+L682+L686+L694</f>
        <v>1097</v>
      </c>
      <c r="M695" s="59">
        <f>SUM(J695:L695)</f>
        <v>4323</v>
      </c>
      <c r="N695" s="58">
        <f>+N678+N682+N686+N694</f>
        <v>1159</v>
      </c>
      <c r="O695" s="58">
        <f>+O678+O682+O686+O694</f>
        <v>200</v>
      </c>
      <c r="P695" s="58">
        <f>+P678+P682+P686+P694</f>
        <v>213</v>
      </c>
      <c r="Q695" s="59">
        <f>SUM(N695:P695)</f>
        <v>1572</v>
      </c>
      <c r="R695" s="81">
        <f>+E695+I695+M695+Q695</f>
        <v>11271</v>
      </c>
    </row>
    <row r="696" spans="1:18" ht="16.5" customHeight="1" thickBot="1" x14ac:dyDescent="0.35">
      <c r="A696" s="39" t="s">
        <v>40</v>
      </c>
      <c r="B696" s="21">
        <v>10</v>
      </c>
      <c r="C696" s="21">
        <v>11</v>
      </c>
      <c r="D696" s="21">
        <v>14</v>
      </c>
      <c r="E696" s="55">
        <f>SUM(B696:D696)</f>
        <v>35</v>
      </c>
      <c r="F696" s="21">
        <v>18</v>
      </c>
      <c r="G696" s="21">
        <v>21</v>
      </c>
      <c r="H696" s="21">
        <v>22</v>
      </c>
      <c r="I696" s="55">
        <f>SUM(F696:H696)</f>
        <v>61</v>
      </c>
      <c r="J696" s="21">
        <v>19</v>
      </c>
      <c r="K696" s="21">
        <v>17</v>
      </c>
      <c r="L696" s="21">
        <v>17</v>
      </c>
      <c r="M696" s="55">
        <f>SUM(J696:L696)</f>
        <v>53</v>
      </c>
      <c r="N696" s="21">
        <v>14</v>
      </c>
      <c r="O696" s="21">
        <v>11</v>
      </c>
      <c r="P696" s="21">
        <v>9</v>
      </c>
      <c r="Q696" s="55">
        <f>SUM(N696:P696)</f>
        <v>34</v>
      </c>
      <c r="R696" s="55">
        <f>+E696+I696+M696+Q696</f>
        <v>183</v>
      </c>
    </row>
    <row r="697" spans="1:18" ht="16.5" customHeight="1" thickBot="1" x14ac:dyDescent="0.35">
      <c r="A697" s="41"/>
      <c r="B697" s="36"/>
      <c r="C697" s="36"/>
      <c r="D697" s="36"/>
      <c r="E697" s="52"/>
      <c r="F697" s="36"/>
      <c r="G697" s="36"/>
      <c r="H697" s="36"/>
      <c r="I697" s="52"/>
      <c r="J697" s="36"/>
      <c r="K697" s="36"/>
      <c r="L697" s="36"/>
      <c r="M697" s="129"/>
      <c r="N697" s="36"/>
      <c r="O697" s="36"/>
      <c r="P697" s="36"/>
      <c r="Q697" s="129"/>
      <c r="R697" s="40"/>
    </row>
    <row r="698" spans="1:18" ht="15.75" customHeight="1" x14ac:dyDescent="0.3">
      <c r="A698" s="15" t="s">
        <v>314</v>
      </c>
      <c r="B698" s="1">
        <f>SUM(B695:B696)</f>
        <v>405</v>
      </c>
      <c r="C698" s="1">
        <f>SUM(C695:C696)</f>
        <v>763</v>
      </c>
      <c r="D698" s="1">
        <f>SUM(D695:D696)</f>
        <v>1097</v>
      </c>
      <c r="E698" s="55">
        <f>SUM(B698:D698)</f>
        <v>2265</v>
      </c>
      <c r="F698" s="1">
        <f>SUM(F695:F696)</f>
        <v>1153</v>
      </c>
      <c r="G698" s="1">
        <f>SUM(G695:G696)</f>
        <v>657</v>
      </c>
      <c r="H698" s="1">
        <f>SUM(H695:H696)</f>
        <v>1397</v>
      </c>
      <c r="I698" s="60">
        <f>SUM(F698:H698)</f>
        <v>3207</v>
      </c>
      <c r="J698" s="1">
        <f>SUM(J695:J696)</f>
        <v>1435</v>
      </c>
      <c r="K698" s="1">
        <f>SUM(K695:K696)</f>
        <v>1827</v>
      </c>
      <c r="L698" s="1">
        <f>SUM(L695:L696)</f>
        <v>1114</v>
      </c>
      <c r="M698" s="60">
        <f>SUM(J698:L698)</f>
        <v>4376</v>
      </c>
      <c r="N698" s="1">
        <f>SUM(N695:N696)</f>
        <v>1173</v>
      </c>
      <c r="O698" s="1">
        <f>SUM(O695:O696)</f>
        <v>211</v>
      </c>
      <c r="P698" s="1">
        <f>SUM(P695:P696)</f>
        <v>222</v>
      </c>
      <c r="Q698" s="60">
        <f>SUM(N698:P698)</f>
        <v>1606</v>
      </c>
      <c r="R698" s="60">
        <f>+E698+I698+M698+Q698</f>
        <v>11454</v>
      </c>
    </row>
    <row r="699" spans="1:18" ht="15.75" customHeight="1" x14ac:dyDescent="0.3">
      <c r="A699" s="15" t="s">
        <v>42</v>
      </c>
      <c r="B699" s="1">
        <f>(B698/B10)/1.983</f>
        <v>6.5882582597237809</v>
      </c>
      <c r="C699" s="1">
        <f>(C698/C10)/1.983</f>
        <v>13.741805345436207</v>
      </c>
      <c r="D699" s="1">
        <f>(D698/D10)/1.983</f>
        <v>17.8452328664617</v>
      </c>
      <c r="E699" s="55" t="s">
        <v>7</v>
      </c>
      <c r="F699" s="1">
        <f>(F698/F10)/1.983</f>
        <v>19.38140864010758</v>
      </c>
      <c r="G699" s="1">
        <f>(G698/G10)/1.983</f>
        <v>10.687618954663023</v>
      </c>
      <c r="H699" s="1">
        <f>(H698/H10)/1.983</f>
        <v>23.48293830895949</v>
      </c>
      <c r="I699" s="55" t="s">
        <v>7</v>
      </c>
      <c r="J699" s="1">
        <f>(J698/J10)/1.983</f>
        <v>23.343581735070678</v>
      </c>
      <c r="K699" s="1">
        <f>(K698/K10)/1.983</f>
        <v>29.720365038309502</v>
      </c>
      <c r="L699" s="1">
        <f>(L698/L10)/1.983</f>
        <v>18.725836275004202</v>
      </c>
      <c r="M699" s="55" t="s">
        <v>7</v>
      </c>
      <c r="N699" s="1">
        <f>(N698/N10)/1.983</f>
        <v>19.081547996681469</v>
      </c>
      <c r="O699" s="1">
        <f>(O698/O10)/1.983</f>
        <v>3.5468145906875104</v>
      </c>
      <c r="P699" s="1">
        <f>(P698/P10)/1.983</f>
        <v>3.6113415645893316</v>
      </c>
      <c r="Q699" s="55" t="s">
        <v>7</v>
      </c>
      <c r="R699" s="55" t="s">
        <v>7</v>
      </c>
    </row>
    <row r="700" spans="1:18" ht="15.75" customHeight="1" x14ac:dyDescent="0.3">
      <c r="A700" s="15" t="s">
        <v>341</v>
      </c>
      <c r="B700" s="1">
        <f>B698+B753</f>
        <v>12769</v>
      </c>
      <c r="C700" s="1">
        <f>C698+C753</f>
        <v>9945</v>
      </c>
      <c r="D700" s="1">
        <f>D698+D753</f>
        <v>14722</v>
      </c>
      <c r="E700" s="55">
        <f>SUM(B700:D700)</f>
        <v>37436</v>
      </c>
      <c r="F700" s="1">
        <f>F698+F753</f>
        <v>20558</v>
      </c>
      <c r="G700" s="1">
        <f>G698+G753</f>
        <v>20505</v>
      </c>
      <c r="H700" s="1">
        <f>H698+H753</f>
        <v>21594</v>
      </c>
      <c r="I700" s="55">
        <f>SUM(F700:H700)</f>
        <v>62657</v>
      </c>
      <c r="J700" s="1">
        <f>J698+J753</f>
        <v>22845</v>
      </c>
      <c r="K700" s="1">
        <f>K698+K753</f>
        <v>22089</v>
      </c>
      <c r="L700" s="1">
        <f>L698+L753</f>
        <v>17542</v>
      </c>
      <c r="M700" s="55">
        <f>SUM(J700:L700)</f>
        <v>62476</v>
      </c>
      <c r="N700" s="1">
        <f>N698+N753</f>
        <v>15689</v>
      </c>
      <c r="O700" s="1">
        <f>O698+O753</f>
        <v>1027</v>
      </c>
      <c r="P700" s="1">
        <f>P698+P753</f>
        <v>4160</v>
      </c>
      <c r="Q700" s="55">
        <f>SUM(N700:P700)</f>
        <v>20876</v>
      </c>
      <c r="R700" s="55">
        <f>+E700+I700+M700+Q700</f>
        <v>183445</v>
      </c>
    </row>
    <row r="701" spans="1:18" ht="16.5" customHeight="1" thickBot="1" x14ac:dyDescent="0.35">
      <c r="A701" s="20" t="s">
        <v>342</v>
      </c>
      <c r="B701" s="21">
        <f>(B700/B10)/1.983</f>
        <v>207.71720918126655</v>
      </c>
      <c r="C701" s="21">
        <f>(C700/C10)/1.983</f>
        <v>179.11173546574454</v>
      </c>
      <c r="D701" s="21">
        <f>(D700/D10)/1.983</f>
        <v>239.48725456704568</v>
      </c>
      <c r="E701" s="81" t="s">
        <v>7</v>
      </c>
      <c r="F701" s="21">
        <f>(F700/F10)/1.983</f>
        <v>345.5706841485964</v>
      </c>
      <c r="G701" s="21">
        <f>(G700/G10)/1.983</f>
        <v>333.5610755941633</v>
      </c>
      <c r="H701" s="21">
        <f>(H700/H10)/1.983</f>
        <v>362.98537569339379</v>
      </c>
      <c r="I701" s="81" t="s">
        <v>7</v>
      </c>
      <c r="J701" s="21">
        <f>(J700/J10)/1.983</f>
        <v>371.62656776145622</v>
      </c>
      <c r="K701" s="21">
        <f>(K700/K10)/1.983</f>
        <v>359.32848567663848</v>
      </c>
      <c r="L701" s="21">
        <f>(L700/L10)/1.983</f>
        <v>294.87308791393508</v>
      </c>
      <c r="M701" s="81" t="s">
        <v>7</v>
      </c>
      <c r="N701" s="21">
        <f>(N700/N10)/1.983</f>
        <v>255.21773786865779</v>
      </c>
      <c r="O701" s="21">
        <f>(O700/O10)/1.983</f>
        <v>17.263405614388972</v>
      </c>
      <c r="P701" s="21">
        <f>(P700/P10)/1.983</f>
        <v>67.671986075187476</v>
      </c>
      <c r="Q701" s="81" t="s">
        <v>7</v>
      </c>
      <c r="R701" s="81" t="s">
        <v>7</v>
      </c>
    </row>
    <row r="702" spans="1:18" ht="15.75" customHeight="1" x14ac:dyDescent="0.3">
      <c r="A702" s="2"/>
      <c r="B702" s="1"/>
      <c r="C702" s="1"/>
      <c r="D702" s="1"/>
      <c r="E702" s="1"/>
      <c r="F702" s="1"/>
      <c r="G702" s="1"/>
      <c r="H702" s="1"/>
      <c r="I702" s="1"/>
      <c r="J702" s="1"/>
      <c r="K702" s="1"/>
      <c r="L702" s="1"/>
      <c r="M702" s="1"/>
      <c r="N702" s="1"/>
      <c r="O702" s="1"/>
      <c r="P702" s="1"/>
      <c r="Q702" s="1"/>
      <c r="R702" s="2"/>
    </row>
    <row r="703" spans="1:18" ht="16.5" customHeight="1" thickBot="1" x14ac:dyDescent="0.35">
      <c r="A703" s="106"/>
      <c r="B703" s="21"/>
      <c r="C703" s="21"/>
      <c r="D703" s="21"/>
      <c r="E703" s="21"/>
      <c r="F703" s="21"/>
      <c r="G703" s="21"/>
      <c r="H703" s="21"/>
      <c r="I703" s="21"/>
      <c r="J703" s="21"/>
      <c r="K703" s="21"/>
      <c r="L703" s="21"/>
      <c r="M703" s="21"/>
      <c r="N703" s="21"/>
      <c r="O703" s="21"/>
      <c r="P703" s="21"/>
      <c r="Q703" s="21"/>
      <c r="R703" s="106"/>
    </row>
    <row r="704" spans="1:18" ht="15.75" customHeight="1" thickBot="1" x14ac:dyDescent="0.35">
      <c r="A704" s="107" t="s">
        <v>343</v>
      </c>
      <c r="B704" s="47" t="s">
        <v>8</v>
      </c>
      <c r="C704" s="48" t="s">
        <v>9</v>
      </c>
      <c r="D704" s="48" t="s">
        <v>10</v>
      </c>
      <c r="E704" s="32" t="s">
        <v>11</v>
      </c>
      <c r="F704" s="48" t="s">
        <v>12</v>
      </c>
      <c r="G704" s="48" t="s">
        <v>13</v>
      </c>
      <c r="H704" s="48" t="s">
        <v>14</v>
      </c>
      <c r="I704" s="32" t="s">
        <v>15</v>
      </c>
      <c r="J704" s="48" t="s">
        <v>16</v>
      </c>
      <c r="K704" s="48" t="s">
        <v>17</v>
      </c>
      <c r="L704" s="48" t="s">
        <v>18</v>
      </c>
      <c r="M704" s="32" t="s">
        <v>19</v>
      </c>
      <c r="N704" s="48" t="s">
        <v>20</v>
      </c>
      <c r="O704" s="48" t="s">
        <v>21</v>
      </c>
      <c r="P704" s="48" t="s">
        <v>22</v>
      </c>
      <c r="Q704" s="32" t="s">
        <v>23</v>
      </c>
      <c r="R704" s="49" t="s">
        <v>24</v>
      </c>
    </row>
    <row r="705" spans="1:18" ht="16.5" customHeight="1" thickBot="1" x14ac:dyDescent="0.35">
      <c r="A705" s="130"/>
      <c r="B705" s="51"/>
      <c r="C705" s="51"/>
      <c r="D705" s="51"/>
      <c r="E705" s="52"/>
      <c r="F705" s="51"/>
      <c r="G705" s="51"/>
      <c r="H705" s="51"/>
      <c r="I705" s="52"/>
      <c r="J705" s="51"/>
      <c r="K705" s="51"/>
      <c r="L705" s="51"/>
      <c r="M705" s="52"/>
      <c r="N705" s="51"/>
      <c r="O705" s="51"/>
      <c r="P705" s="51"/>
      <c r="Q705" s="52"/>
      <c r="R705" s="53"/>
    </row>
    <row r="706" spans="1:18" ht="15.75" customHeight="1" x14ac:dyDescent="0.3">
      <c r="A706" s="15" t="s">
        <v>48</v>
      </c>
      <c r="B706" s="1" t="s">
        <v>7</v>
      </c>
      <c r="C706" s="1" t="s">
        <v>7</v>
      </c>
      <c r="D706" s="1" t="s">
        <v>7</v>
      </c>
      <c r="E706" s="55" t="s">
        <v>7</v>
      </c>
      <c r="F706" s="1" t="s">
        <v>7</v>
      </c>
      <c r="G706" s="1" t="s">
        <v>7</v>
      </c>
      <c r="H706" s="1" t="s">
        <v>7</v>
      </c>
      <c r="I706" s="55" t="s">
        <v>7</v>
      </c>
      <c r="J706" s="1" t="s">
        <v>7</v>
      </c>
      <c r="K706" s="1" t="s">
        <v>7</v>
      </c>
      <c r="L706" s="1" t="s">
        <v>7</v>
      </c>
      <c r="M706" s="55" t="s">
        <v>7</v>
      </c>
      <c r="N706" s="1" t="s">
        <v>7</v>
      </c>
      <c r="O706" s="1" t="s">
        <v>7</v>
      </c>
      <c r="P706" s="1" t="s">
        <v>7</v>
      </c>
      <c r="Q706" s="55" t="s">
        <v>7</v>
      </c>
      <c r="R706" s="55" t="s">
        <v>7</v>
      </c>
    </row>
    <row r="707" spans="1:18" ht="15.75" customHeight="1" x14ac:dyDescent="0.3">
      <c r="A707" s="15" t="s">
        <v>49</v>
      </c>
      <c r="B707" s="1"/>
      <c r="C707" s="1"/>
      <c r="D707" s="1"/>
      <c r="E707" s="55" t="s">
        <v>7</v>
      </c>
      <c r="F707" s="1"/>
      <c r="G707" s="1"/>
      <c r="H707" s="1"/>
      <c r="I707" s="55" t="s">
        <v>7</v>
      </c>
      <c r="J707" s="1"/>
      <c r="K707" s="1"/>
      <c r="L707" s="1"/>
      <c r="M707" s="55" t="s">
        <v>7</v>
      </c>
      <c r="N707" s="1"/>
      <c r="O707" s="1"/>
      <c r="P707" s="1"/>
      <c r="Q707" s="55" t="s">
        <v>7</v>
      </c>
      <c r="R707" s="55" t="s">
        <v>7</v>
      </c>
    </row>
    <row r="708" spans="1:18" ht="15.75" customHeight="1" x14ac:dyDescent="0.3">
      <c r="A708" s="71" t="s">
        <v>344</v>
      </c>
      <c r="B708" s="1">
        <v>4325</v>
      </c>
      <c r="C708" s="1"/>
      <c r="D708" s="1">
        <v>3185</v>
      </c>
      <c r="E708" s="55">
        <f t="shared" ref="E708:E709" si="264">SUM(B708:D708)</f>
        <v>7510</v>
      </c>
      <c r="F708" s="1">
        <v>6375</v>
      </c>
      <c r="G708" s="1">
        <v>7232</v>
      </c>
      <c r="H708" s="1">
        <v>7511</v>
      </c>
      <c r="I708" s="55">
        <f t="shared" ref="I708:I709" si="265">SUM(F708:H708)</f>
        <v>21118</v>
      </c>
      <c r="J708" s="1">
        <v>7625</v>
      </c>
      <c r="K708" s="1">
        <v>7604</v>
      </c>
      <c r="L708" s="1">
        <v>5011</v>
      </c>
      <c r="M708" s="55">
        <f t="shared" ref="M708:M709" si="266">SUM(J708:L708)</f>
        <v>20240</v>
      </c>
      <c r="N708" s="1">
        <v>3220</v>
      </c>
      <c r="O708" s="1"/>
      <c r="P708" s="1">
        <v>1197</v>
      </c>
      <c r="Q708" s="55">
        <f t="shared" ref="Q708:Q714" si="267">SUM(N708:P708)</f>
        <v>4417</v>
      </c>
      <c r="R708" s="55">
        <f>+E708+I708+M708+Q708</f>
        <v>53285</v>
      </c>
    </row>
    <row r="709" spans="1:18" ht="15.75" customHeight="1" x14ac:dyDescent="0.3">
      <c r="A709" s="71" t="s">
        <v>345</v>
      </c>
      <c r="B709" s="1">
        <v>2432</v>
      </c>
      <c r="C709" s="1">
        <v>2289</v>
      </c>
      <c r="D709" s="1">
        <v>2989</v>
      </c>
      <c r="E709" s="55">
        <f t="shared" si="264"/>
        <v>7710</v>
      </c>
      <c r="F709" s="1">
        <v>3585</v>
      </c>
      <c r="G709" s="1">
        <v>3903</v>
      </c>
      <c r="H709" s="1">
        <v>6874</v>
      </c>
      <c r="I709" s="55">
        <f t="shared" si="265"/>
        <v>14362</v>
      </c>
      <c r="J709" s="1">
        <v>7791</v>
      </c>
      <c r="K709" s="1">
        <v>2581</v>
      </c>
      <c r="L709" s="1">
        <v>113</v>
      </c>
      <c r="M709" s="55">
        <f t="shared" si="266"/>
        <v>10485</v>
      </c>
      <c r="N709" s="1"/>
      <c r="O709" s="1"/>
      <c r="P709" s="1"/>
      <c r="Q709" s="55">
        <f t="shared" si="267"/>
        <v>0</v>
      </c>
      <c r="R709" s="55">
        <f t="shared" ref="R709:R714" si="268">+E709+I709+M709+Q709</f>
        <v>32557</v>
      </c>
    </row>
    <row r="710" spans="1:18" ht="15.75" customHeight="1" x14ac:dyDescent="0.3">
      <c r="A710" s="71" t="s">
        <v>996</v>
      </c>
      <c r="B710" s="1">
        <v>50</v>
      </c>
      <c r="C710" s="1">
        <v>50</v>
      </c>
      <c r="D710" s="1">
        <v>50</v>
      </c>
      <c r="E710" s="55">
        <f t="shared" ref="E710:E714" si="269">SUM(B710:D710)</f>
        <v>150</v>
      </c>
      <c r="F710" s="1">
        <v>50</v>
      </c>
      <c r="G710" s="1">
        <v>50</v>
      </c>
      <c r="H710" s="1">
        <v>50</v>
      </c>
      <c r="I710" s="55">
        <f t="shared" ref="I710:I714" si="270">SUM(F710:H710)</f>
        <v>150</v>
      </c>
      <c r="J710" s="1">
        <v>50</v>
      </c>
      <c r="K710" s="1">
        <v>50</v>
      </c>
      <c r="L710" s="1">
        <v>50</v>
      </c>
      <c r="M710" s="55">
        <f t="shared" ref="M710:M714" si="271">SUM(J710:L710)</f>
        <v>150</v>
      </c>
      <c r="N710" s="1">
        <v>7</v>
      </c>
      <c r="O710" s="1"/>
      <c r="P710" s="1"/>
      <c r="Q710" s="55">
        <f t="shared" si="267"/>
        <v>7</v>
      </c>
      <c r="R710" s="55">
        <f t="shared" si="268"/>
        <v>457</v>
      </c>
    </row>
    <row r="711" spans="1:18" ht="15.75" customHeight="1" x14ac:dyDescent="0.3">
      <c r="A711" s="71" t="s">
        <v>997</v>
      </c>
      <c r="B711" s="1"/>
      <c r="C711" s="1"/>
      <c r="D711" s="1"/>
      <c r="E711" s="55">
        <f t="shared" si="269"/>
        <v>0</v>
      </c>
      <c r="F711" s="1"/>
      <c r="G711" s="1"/>
      <c r="H711" s="1"/>
      <c r="I711" s="55">
        <f t="shared" si="270"/>
        <v>0</v>
      </c>
      <c r="J711" s="1"/>
      <c r="K711" s="1"/>
      <c r="L711" s="1"/>
      <c r="M711" s="55">
        <f t="shared" si="271"/>
        <v>0</v>
      </c>
      <c r="N711" s="1"/>
      <c r="O711" s="1"/>
      <c r="P711" s="1"/>
      <c r="Q711" s="55">
        <f t="shared" ref="Q711" si="272">SUM(N711:P711)</f>
        <v>0</v>
      </c>
      <c r="R711" s="55">
        <f t="shared" si="268"/>
        <v>0</v>
      </c>
    </row>
    <row r="712" spans="1:18" ht="15.75" customHeight="1" x14ac:dyDescent="0.3">
      <c r="A712" s="71" t="s">
        <v>1370</v>
      </c>
      <c r="B712" s="1">
        <v>164</v>
      </c>
      <c r="C712" s="1">
        <v>3000</v>
      </c>
      <c r="D712" s="1">
        <v>3000</v>
      </c>
      <c r="E712" s="55">
        <f t="shared" si="269"/>
        <v>6164</v>
      </c>
      <c r="F712" s="1">
        <v>3000</v>
      </c>
      <c r="G712" s="1">
        <v>3000</v>
      </c>
      <c r="H712" s="1"/>
      <c r="I712" s="55">
        <f t="shared" si="270"/>
        <v>6000</v>
      </c>
      <c r="J712" s="1"/>
      <c r="K712" s="1">
        <v>954</v>
      </c>
      <c r="L712" s="1"/>
      <c r="M712" s="55">
        <f t="shared" si="271"/>
        <v>954</v>
      </c>
      <c r="N712" s="1"/>
      <c r="O712" s="1"/>
      <c r="P712" s="1"/>
      <c r="Q712" s="55">
        <f t="shared" si="267"/>
        <v>0</v>
      </c>
      <c r="R712" s="55">
        <f t="shared" si="268"/>
        <v>13118</v>
      </c>
    </row>
    <row r="713" spans="1:18" ht="15.75" customHeight="1" x14ac:dyDescent="0.3">
      <c r="A713" s="71" t="s">
        <v>998</v>
      </c>
      <c r="B713" s="1">
        <v>250</v>
      </c>
      <c r="C713" s="1"/>
      <c r="D713" s="1">
        <v>250</v>
      </c>
      <c r="E713" s="55">
        <f t="shared" si="269"/>
        <v>500</v>
      </c>
      <c r="F713" s="1">
        <v>250</v>
      </c>
      <c r="G713" s="1">
        <v>250</v>
      </c>
      <c r="H713" s="1">
        <v>250</v>
      </c>
      <c r="I713" s="55">
        <f t="shared" si="270"/>
        <v>750</v>
      </c>
      <c r="J713" s="1">
        <v>250</v>
      </c>
      <c r="K713" s="1">
        <v>250</v>
      </c>
      <c r="L713" s="1">
        <v>250</v>
      </c>
      <c r="M713" s="55">
        <f t="shared" si="271"/>
        <v>750</v>
      </c>
      <c r="N713" s="1">
        <v>300</v>
      </c>
      <c r="O713" s="1"/>
      <c r="P713" s="1"/>
      <c r="Q713" s="55">
        <f t="shared" si="267"/>
        <v>300</v>
      </c>
      <c r="R713" s="55">
        <f t="shared" si="268"/>
        <v>2300</v>
      </c>
    </row>
    <row r="714" spans="1:18" ht="15.75" customHeight="1" x14ac:dyDescent="0.3">
      <c r="A714" s="71" t="s">
        <v>999</v>
      </c>
      <c r="B714" s="1">
        <v>120</v>
      </c>
      <c r="C714" s="1">
        <v>120</v>
      </c>
      <c r="D714" s="1">
        <v>120</v>
      </c>
      <c r="E714" s="55">
        <f t="shared" si="269"/>
        <v>360</v>
      </c>
      <c r="F714" s="1">
        <v>120</v>
      </c>
      <c r="G714" s="1">
        <v>130</v>
      </c>
      <c r="H714" s="1">
        <v>130</v>
      </c>
      <c r="I714" s="55">
        <f t="shared" si="270"/>
        <v>380</v>
      </c>
      <c r="J714" s="1">
        <v>130</v>
      </c>
      <c r="K714" s="1">
        <v>130</v>
      </c>
      <c r="L714" s="1">
        <v>130</v>
      </c>
      <c r="M714" s="55">
        <f t="shared" si="271"/>
        <v>390</v>
      </c>
      <c r="N714" s="1">
        <v>130</v>
      </c>
      <c r="O714" s="1"/>
      <c r="P714" s="1">
        <v>60</v>
      </c>
      <c r="Q714" s="55">
        <f t="shared" si="267"/>
        <v>190</v>
      </c>
      <c r="R714" s="55">
        <f t="shared" si="268"/>
        <v>1320</v>
      </c>
    </row>
    <row r="715" spans="1:18" ht="15.75" customHeight="1" x14ac:dyDescent="0.3">
      <c r="A715" s="15" t="s">
        <v>50</v>
      </c>
      <c r="B715" s="1"/>
      <c r="C715" s="1"/>
      <c r="D715" s="1"/>
      <c r="E715" s="55" t="s">
        <v>7</v>
      </c>
      <c r="F715" s="1"/>
      <c r="G715" s="1"/>
      <c r="H715" s="1"/>
      <c r="I715" s="55" t="s">
        <v>7</v>
      </c>
      <c r="J715" s="1"/>
      <c r="K715" s="1"/>
      <c r="L715" s="1"/>
      <c r="M715" s="55" t="s">
        <v>7</v>
      </c>
      <c r="N715" s="1"/>
      <c r="O715" s="1"/>
      <c r="P715" s="1"/>
      <c r="Q715" s="55" t="s">
        <v>7</v>
      </c>
      <c r="R715" s="55" t="s">
        <v>7</v>
      </c>
    </row>
    <row r="716" spans="1:18" ht="15.75" customHeight="1" x14ac:dyDescent="0.3">
      <c r="A716" s="15" t="s">
        <v>1186</v>
      </c>
      <c r="B716" s="1"/>
      <c r="C716" s="1"/>
      <c r="D716" s="1"/>
      <c r="E716" s="55" t="s">
        <v>7</v>
      </c>
      <c r="F716" s="1"/>
      <c r="G716" s="1"/>
      <c r="H716" s="1"/>
      <c r="I716" s="55" t="s">
        <v>7</v>
      </c>
      <c r="J716" s="1"/>
      <c r="K716" s="1"/>
      <c r="L716" s="1"/>
      <c r="M716" s="55" t="s">
        <v>7</v>
      </c>
      <c r="N716" s="1"/>
      <c r="O716" s="1"/>
      <c r="P716" s="1"/>
      <c r="Q716" s="55" t="s">
        <v>7</v>
      </c>
      <c r="R716" s="55" t="s">
        <v>7</v>
      </c>
    </row>
    <row r="717" spans="1:18" ht="15.75" customHeight="1" thickBot="1" x14ac:dyDescent="0.35">
      <c r="A717" s="15" t="s">
        <v>53</v>
      </c>
      <c r="B717" s="1"/>
      <c r="C717" s="1"/>
      <c r="D717" s="1"/>
      <c r="E717" s="55" t="s">
        <v>7</v>
      </c>
      <c r="F717" s="1"/>
      <c r="G717" s="1"/>
      <c r="H717" s="1"/>
      <c r="I717" s="55" t="s">
        <v>7</v>
      </c>
      <c r="J717" s="1"/>
      <c r="K717" s="1"/>
      <c r="L717" s="1"/>
      <c r="M717" s="55" t="s">
        <v>7</v>
      </c>
      <c r="N717" s="1"/>
      <c r="O717" s="1"/>
      <c r="P717" s="1"/>
      <c r="Q717" s="55" t="s">
        <v>7</v>
      </c>
      <c r="R717" s="55" t="s">
        <v>7</v>
      </c>
    </row>
    <row r="718" spans="1:18" ht="16.5" customHeight="1" thickBot="1" x14ac:dyDescent="0.35">
      <c r="A718" s="109" t="s">
        <v>54</v>
      </c>
      <c r="B718" s="86">
        <f>SUM(B706:B717)</f>
        <v>7341</v>
      </c>
      <c r="C718" s="87">
        <f>SUM(C706:C717)</f>
        <v>5459</v>
      </c>
      <c r="D718" s="87">
        <f>SUM(D706:D717)</f>
        <v>9594</v>
      </c>
      <c r="E718" s="59">
        <f>SUM(B718:D718)</f>
        <v>22394</v>
      </c>
      <c r="F718" s="87">
        <f>SUM(F706:F717)</f>
        <v>13380</v>
      </c>
      <c r="G718" s="87">
        <f>SUM(G706:G717)</f>
        <v>14565</v>
      </c>
      <c r="H718" s="87">
        <f>SUM(H706:H717)</f>
        <v>14815</v>
      </c>
      <c r="I718" s="59">
        <f>SUM(F718:H718)</f>
        <v>42760</v>
      </c>
      <c r="J718" s="87">
        <f>SUM(J706:J717)</f>
        <v>15846</v>
      </c>
      <c r="K718" s="87">
        <f>SUM(K706:K717)</f>
        <v>11569</v>
      </c>
      <c r="L718" s="87">
        <f>SUM(L706:L717)</f>
        <v>5554</v>
      </c>
      <c r="M718" s="59">
        <f>SUM(J718:L718)</f>
        <v>32969</v>
      </c>
      <c r="N718" s="87">
        <f>SUM(N706:N717)</f>
        <v>3657</v>
      </c>
      <c r="O718" s="87">
        <f>SUM(O706:O717)</f>
        <v>0</v>
      </c>
      <c r="P718" s="87">
        <f>SUM(P706:P717)</f>
        <v>1257</v>
      </c>
      <c r="Q718" s="59">
        <f>SUM(N718:P718)</f>
        <v>4914</v>
      </c>
      <c r="R718" s="59">
        <f>+E718+I718+M718+Q718</f>
        <v>103037</v>
      </c>
    </row>
    <row r="719" spans="1:18" ht="15.75" customHeight="1" x14ac:dyDescent="0.3">
      <c r="A719" s="15" t="s">
        <v>55</v>
      </c>
      <c r="B719" s="1"/>
      <c r="C719" s="1"/>
      <c r="D719" s="1"/>
      <c r="E719" s="55" t="s">
        <v>7</v>
      </c>
      <c r="F719" s="1"/>
      <c r="G719" s="1"/>
      <c r="H719" s="1"/>
      <c r="I719" s="55" t="s">
        <v>7</v>
      </c>
      <c r="J719" s="1"/>
      <c r="K719" s="1"/>
      <c r="L719" s="1"/>
      <c r="M719" s="55" t="s">
        <v>7</v>
      </c>
      <c r="N719" s="1"/>
      <c r="O719" s="1"/>
      <c r="P719" s="1"/>
      <c r="Q719" s="55" t="s">
        <v>7</v>
      </c>
      <c r="R719" s="55" t="s">
        <v>7</v>
      </c>
    </row>
    <row r="720" spans="1:18" ht="15.75" customHeight="1" x14ac:dyDescent="0.3">
      <c r="A720" s="15" t="s">
        <v>57</v>
      </c>
      <c r="B720" s="1"/>
      <c r="C720" s="1"/>
      <c r="D720" s="1"/>
      <c r="E720" s="55" t="s">
        <v>7</v>
      </c>
      <c r="F720" s="1"/>
      <c r="G720" s="1"/>
      <c r="H720" s="1"/>
      <c r="I720" s="55" t="s">
        <v>7</v>
      </c>
      <c r="J720" s="1"/>
      <c r="K720" s="1"/>
      <c r="L720" s="1"/>
      <c r="M720" s="55" t="s">
        <v>7</v>
      </c>
      <c r="N720" s="1"/>
      <c r="O720" s="1"/>
      <c r="P720" s="1"/>
      <c r="Q720" s="55" t="s">
        <v>7</v>
      </c>
      <c r="R720" s="55" t="s">
        <v>7</v>
      </c>
    </row>
    <row r="721" spans="1:20" ht="15.75" customHeight="1" thickBot="1" x14ac:dyDescent="0.35">
      <c r="A721" s="15" t="s">
        <v>58</v>
      </c>
      <c r="B721" s="1"/>
      <c r="C721" s="1"/>
      <c r="D721" s="1"/>
      <c r="E721" s="55" t="s">
        <v>7</v>
      </c>
      <c r="F721" s="1"/>
      <c r="G721" s="1"/>
      <c r="H721" s="1"/>
      <c r="I721" s="55" t="s">
        <v>7</v>
      </c>
      <c r="J721" s="1"/>
      <c r="K721" s="1"/>
      <c r="L721" s="1"/>
      <c r="M721" s="55" t="s">
        <v>7</v>
      </c>
      <c r="N721" s="1"/>
      <c r="O721" s="1"/>
      <c r="P721" s="1"/>
      <c r="Q721" s="55" t="s">
        <v>7</v>
      </c>
      <c r="R721" s="55" t="s">
        <v>7</v>
      </c>
    </row>
    <row r="722" spans="1:20" ht="16.5" customHeight="1" thickBot="1" x14ac:dyDescent="0.35">
      <c r="A722" s="57" t="s">
        <v>59</v>
      </c>
      <c r="B722" s="86">
        <f>SUM(B719:B721)</f>
        <v>0</v>
      </c>
      <c r="C722" s="87">
        <f>SUM(C719:C721)</f>
        <v>0</v>
      </c>
      <c r="D722" s="87">
        <f>SUM(D719:D721)</f>
        <v>0</v>
      </c>
      <c r="E722" s="59">
        <f>SUM(B722:D722)</f>
        <v>0</v>
      </c>
      <c r="F722" s="87">
        <f>SUM(F719:F721)</f>
        <v>0</v>
      </c>
      <c r="G722" s="87">
        <f>SUM(G719:G721)</f>
        <v>0</v>
      </c>
      <c r="H722" s="87">
        <f>SUM(H719:H721)</f>
        <v>0</v>
      </c>
      <c r="I722" s="59">
        <f>SUM(F722:H722)</f>
        <v>0</v>
      </c>
      <c r="J722" s="87">
        <f>SUM(J719:J721)</f>
        <v>0</v>
      </c>
      <c r="K722" s="87">
        <f>SUM(K719:K721)</f>
        <v>0</v>
      </c>
      <c r="L722" s="87">
        <f>SUM(L719:L721)</f>
        <v>0</v>
      </c>
      <c r="M722" s="59">
        <f>SUM(J722:L722)</f>
        <v>0</v>
      </c>
      <c r="N722" s="87">
        <f>SUM(N719:N721)</f>
        <v>0</v>
      </c>
      <c r="O722" s="87">
        <f>SUM(O719:O721)</f>
        <v>0</v>
      </c>
      <c r="P722" s="87">
        <f>SUM(P719:P721)</f>
        <v>0</v>
      </c>
      <c r="Q722" s="59">
        <f>SUM(N722:P722)</f>
        <v>0</v>
      </c>
      <c r="R722" s="59">
        <f>+E722+I722+M722+Q722</f>
        <v>0</v>
      </c>
    </row>
    <row r="723" spans="1:20" ht="15.75" customHeight="1" x14ac:dyDescent="0.3">
      <c r="A723" s="15" t="s">
        <v>60</v>
      </c>
      <c r="B723" s="1"/>
      <c r="C723" s="1"/>
      <c r="D723" s="1"/>
      <c r="E723" s="55" t="s">
        <v>7</v>
      </c>
      <c r="F723" s="1"/>
      <c r="G723" s="1"/>
      <c r="H723" s="1"/>
      <c r="I723" s="55" t="s">
        <v>7</v>
      </c>
      <c r="J723" s="1"/>
      <c r="K723" s="1"/>
      <c r="L723" s="1"/>
      <c r="M723" s="55" t="s">
        <v>7</v>
      </c>
      <c r="N723" s="1"/>
      <c r="O723" s="1"/>
      <c r="P723" s="1"/>
      <c r="Q723" s="55" t="s">
        <v>7</v>
      </c>
      <c r="R723" s="55" t="s">
        <v>7</v>
      </c>
    </row>
    <row r="724" spans="1:20" ht="15.75" customHeight="1" x14ac:dyDescent="0.3">
      <c r="A724" s="15" t="s">
        <v>61</v>
      </c>
      <c r="B724" s="1"/>
      <c r="C724" s="1"/>
      <c r="D724" s="1"/>
      <c r="E724" s="55" t="s">
        <v>7</v>
      </c>
      <c r="F724" s="1"/>
      <c r="G724" s="1"/>
      <c r="H724" s="1"/>
      <c r="I724" s="55" t="s">
        <v>7</v>
      </c>
      <c r="J724" s="1"/>
      <c r="K724" s="1"/>
      <c r="L724" s="1"/>
      <c r="M724" s="55" t="s">
        <v>7</v>
      </c>
      <c r="N724" s="1"/>
      <c r="O724" s="1"/>
      <c r="P724" s="1"/>
      <c r="Q724" s="55" t="s">
        <v>7</v>
      </c>
      <c r="R724" s="55" t="s">
        <v>7</v>
      </c>
    </row>
    <row r="725" spans="1:20" ht="15.75" customHeight="1" x14ac:dyDescent="0.3">
      <c r="A725" s="71" t="s">
        <v>346</v>
      </c>
      <c r="B725" s="1">
        <v>250</v>
      </c>
      <c r="C725" s="1">
        <v>185</v>
      </c>
      <c r="D725" s="1">
        <v>609</v>
      </c>
      <c r="E725" s="55">
        <f>SUM(B725:D725)</f>
        <v>1044</v>
      </c>
      <c r="F725" s="1">
        <v>2216</v>
      </c>
      <c r="G725" s="1">
        <v>1030</v>
      </c>
      <c r="H725" s="1">
        <v>820</v>
      </c>
      <c r="I725" s="55">
        <f>SUM(F725:H725)</f>
        <v>4066</v>
      </c>
      <c r="J725" s="1">
        <v>902</v>
      </c>
      <c r="K725" s="1">
        <v>1242</v>
      </c>
      <c r="L725" s="1">
        <v>660</v>
      </c>
      <c r="M725" s="55">
        <f>SUM(J725:L725)</f>
        <v>2804</v>
      </c>
      <c r="N725" s="1">
        <v>486</v>
      </c>
      <c r="O725" s="1"/>
      <c r="P725" s="1"/>
      <c r="Q725" s="55">
        <f>SUM(N725:P725)</f>
        <v>486</v>
      </c>
      <c r="R725" s="55">
        <f>+E725+I725+M725+Q725</f>
        <v>8400</v>
      </c>
      <c r="T725" s="4" t="s">
        <v>1000</v>
      </c>
    </row>
    <row r="726" spans="1:20" ht="15.75" customHeight="1" x14ac:dyDescent="0.3">
      <c r="A726" s="15" t="s">
        <v>62</v>
      </c>
      <c r="B726" s="1"/>
      <c r="C726" s="1"/>
      <c r="D726" s="1"/>
      <c r="E726" s="55" t="s">
        <v>7</v>
      </c>
      <c r="F726" s="1"/>
      <c r="G726" s="1"/>
      <c r="H726" s="1"/>
      <c r="I726" s="55" t="s">
        <v>7</v>
      </c>
      <c r="J726" s="1"/>
      <c r="K726" s="1"/>
      <c r="L726" s="1"/>
      <c r="M726" s="55" t="s">
        <v>7</v>
      </c>
      <c r="N726" s="1"/>
      <c r="O726" s="1"/>
      <c r="P726" s="1"/>
      <c r="Q726" s="55" t="s">
        <v>7</v>
      </c>
      <c r="R726" s="55" t="s">
        <v>7</v>
      </c>
    </row>
    <row r="727" spans="1:20" ht="15.75" customHeight="1" x14ac:dyDescent="0.3">
      <c r="A727" s="71" t="s">
        <v>1001</v>
      </c>
      <c r="B727" s="1"/>
      <c r="C727" s="1"/>
      <c r="D727" s="1"/>
      <c r="E727" s="55">
        <f t="shared" ref="E727:E736" si="273">SUM(B727:D727)</f>
        <v>0</v>
      </c>
      <c r="F727" s="1"/>
      <c r="G727" s="1"/>
      <c r="H727" s="1"/>
      <c r="I727" s="55">
        <f t="shared" ref="I727:I736" si="274">SUM(F727:H727)</f>
        <v>0</v>
      </c>
      <c r="J727" s="1"/>
      <c r="K727" s="1"/>
      <c r="L727" s="1"/>
      <c r="M727" s="55">
        <f t="shared" ref="M727:M736" si="275">SUM(J727:L727)</f>
        <v>0</v>
      </c>
      <c r="N727" s="1"/>
      <c r="O727" s="1"/>
      <c r="P727" s="1"/>
      <c r="Q727" s="55">
        <f t="shared" ref="Q727:Q736" si="276">SUM(N727:P727)</f>
        <v>0</v>
      </c>
      <c r="R727" s="55">
        <f t="shared" ref="R727:R736" si="277">+E727+I727+M727+Q727</f>
        <v>0</v>
      </c>
      <c r="T727" s="4" t="s">
        <v>1002</v>
      </c>
    </row>
    <row r="728" spans="1:20" ht="15.75" customHeight="1" x14ac:dyDescent="0.3">
      <c r="A728" s="71" t="s">
        <v>1003</v>
      </c>
      <c r="B728" s="1"/>
      <c r="C728" s="1"/>
      <c r="D728" s="1"/>
      <c r="E728" s="55">
        <f t="shared" si="273"/>
        <v>0</v>
      </c>
      <c r="F728" s="1"/>
      <c r="G728" s="1"/>
      <c r="H728" s="1"/>
      <c r="I728" s="55">
        <f t="shared" si="274"/>
        <v>0</v>
      </c>
      <c r="J728" s="1"/>
      <c r="K728" s="1"/>
      <c r="L728" s="1"/>
      <c r="M728" s="55">
        <f t="shared" si="275"/>
        <v>0</v>
      </c>
      <c r="N728" s="1"/>
      <c r="O728" s="1"/>
      <c r="P728" s="1"/>
      <c r="Q728" s="55">
        <f t="shared" si="276"/>
        <v>0</v>
      </c>
      <c r="R728" s="55">
        <f t="shared" si="277"/>
        <v>0</v>
      </c>
      <c r="T728" s="4" t="s">
        <v>1002</v>
      </c>
    </row>
    <row r="729" spans="1:20" ht="15.75" customHeight="1" x14ac:dyDescent="0.3">
      <c r="A729" s="71" t="s">
        <v>1004</v>
      </c>
      <c r="B729" s="1">
        <v>125</v>
      </c>
      <c r="C729" s="1">
        <v>125</v>
      </c>
      <c r="D729" s="1">
        <v>125</v>
      </c>
      <c r="E729" s="55">
        <f t="shared" si="273"/>
        <v>375</v>
      </c>
      <c r="F729" s="1">
        <v>125</v>
      </c>
      <c r="G729" s="1">
        <v>125</v>
      </c>
      <c r="H729" s="1">
        <v>125</v>
      </c>
      <c r="I729" s="55">
        <f t="shared" si="274"/>
        <v>375</v>
      </c>
      <c r="J729" s="1">
        <v>125</v>
      </c>
      <c r="K729" s="1">
        <v>125</v>
      </c>
      <c r="L729" s="1">
        <v>125</v>
      </c>
      <c r="M729" s="55">
        <f t="shared" si="275"/>
        <v>375</v>
      </c>
      <c r="N729" s="1">
        <v>250</v>
      </c>
      <c r="O729" s="1"/>
      <c r="P729" s="1">
        <v>244</v>
      </c>
      <c r="Q729" s="55">
        <f t="shared" si="276"/>
        <v>494</v>
      </c>
      <c r="R729" s="55">
        <f>+E729+I729+M729+Q729</f>
        <v>1619</v>
      </c>
      <c r="T729" s="4" t="s">
        <v>1002</v>
      </c>
    </row>
    <row r="730" spans="1:20" ht="15.75" customHeight="1" x14ac:dyDescent="0.3">
      <c r="A730" s="71" t="s">
        <v>1371</v>
      </c>
      <c r="B730" s="1">
        <v>1136</v>
      </c>
      <c r="C730" s="1"/>
      <c r="D730" s="1"/>
      <c r="E730" s="55">
        <f t="shared" si="273"/>
        <v>1136</v>
      </c>
      <c r="F730" s="1"/>
      <c r="G730" s="1"/>
      <c r="H730" s="1"/>
      <c r="I730" s="55">
        <f t="shared" si="274"/>
        <v>0</v>
      </c>
      <c r="J730" s="1"/>
      <c r="K730" s="1"/>
      <c r="L730" s="1"/>
      <c r="M730" s="55">
        <f t="shared" si="275"/>
        <v>0</v>
      </c>
      <c r="N730" s="1"/>
      <c r="O730" s="1"/>
      <c r="P730" s="1"/>
      <c r="Q730" s="55">
        <f t="shared" ref="Q730" si="278">SUM(N730:P730)</f>
        <v>0</v>
      </c>
      <c r="R730" s="55">
        <f t="shared" ref="R730" si="279">+E730+I730+M730+Q730</f>
        <v>1136</v>
      </c>
    </row>
    <row r="731" spans="1:20" ht="15.75" customHeight="1" x14ac:dyDescent="0.3">
      <c r="A731" s="71" t="s">
        <v>1335</v>
      </c>
      <c r="B731" s="1"/>
      <c r="C731" s="1"/>
      <c r="D731" s="1"/>
      <c r="E731" s="55">
        <f t="shared" si="273"/>
        <v>0</v>
      </c>
      <c r="F731" s="1"/>
      <c r="G731" s="1"/>
      <c r="H731" s="1"/>
      <c r="I731" s="55">
        <f t="shared" si="274"/>
        <v>0</v>
      </c>
      <c r="J731" s="1"/>
      <c r="K731" s="1">
        <v>1841</v>
      </c>
      <c r="L731" s="1"/>
      <c r="M731" s="55">
        <f t="shared" si="275"/>
        <v>1841</v>
      </c>
      <c r="N731" s="1"/>
      <c r="O731" s="1"/>
      <c r="P731" s="1"/>
      <c r="Q731" s="55">
        <f t="shared" si="276"/>
        <v>0</v>
      </c>
      <c r="R731" s="55">
        <f t="shared" si="277"/>
        <v>1841</v>
      </c>
    </row>
    <row r="732" spans="1:20" ht="15.75" customHeight="1" x14ac:dyDescent="0.3">
      <c r="A732" s="71" t="s">
        <v>1336</v>
      </c>
      <c r="B732" s="1"/>
      <c r="C732" s="1"/>
      <c r="D732" s="1"/>
      <c r="E732" s="55">
        <f t="shared" si="273"/>
        <v>0</v>
      </c>
      <c r="F732" s="1"/>
      <c r="G732" s="1"/>
      <c r="H732" s="1"/>
      <c r="I732" s="55">
        <f t="shared" si="274"/>
        <v>0</v>
      </c>
      <c r="J732" s="1"/>
      <c r="K732" s="1"/>
      <c r="L732" s="1">
        <v>858</v>
      </c>
      <c r="M732" s="55">
        <f t="shared" si="275"/>
        <v>858</v>
      </c>
      <c r="N732" s="1">
        <v>6300</v>
      </c>
      <c r="O732" s="1"/>
      <c r="P732" s="1">
        <v>2400</v>
      </c>
      <c r="Q732" s="55">
        <f t="shared" si="276"/>
        <v>8700</v>
      </c>
      <c r="R732" s="55">
        <f t="shared" si="277"/>
        <v>9558</v>
      </c>
    </row>
    <row r="733" spans="1:20" ht="15.75" customHeight="1" x14ac:dyDescent="0.3">
      <c r="A733" s="71" t="s">
        <v>1337</v>
      </c>
      <c r="B733" s="1"/>
      <c r="C733" s="1"/>
      <c r="D733" s="1"/>
      <c r="E733" s="55">
        <f t="shared" si="273"/>
        <v>0</v>
      </c>
      <c r="F733" s="1"/>
      <c r="G733" s="1"/>
      <c r="H733" s="1"/>
      <c r="I733" s="55">
        <f t="shared" si="274"/>
        <v>0</v>
      </c>
      <c r="J733" s="1"/>
      <c r="K733" s="1"/>
      <c r="L733" s="1">
        <v>4300</v>
      </c>
      <c r="M733" s="55">
        <f t="shared" si="275"/>
        <v>4300</v>
      </c>
      <c r="N733" s="1"/>
      <c r="O733" s="1"/>
      <c r="P733" s="1"/>
      <c r="Q733" s="55">
        <f t="shared" si="276"/>
        <v>0</v>
      </c>
      <c r="R733" s="55">
        <f t="shared" si="277"/>
        <v>4300</v>
      </c>
    </row>
    <row r="734" spans="1:20" ht="15.75" customHeight="1" x14ac:dyDescent="0.3">
      <c r="A734" s="71" t="s">
        <v>1338</v>
      </c>
      <c r="B734" s="1"/>
      <c r="C734" s="1"/>
      <c r="D734" s="1"/>
      <c r="E734" s="55">
        <f t="shared" si="273"/>
        <v>0</v>
      </c>
      <c r="F734" s="1"/>
      <c r="G734" s="1"/>
      <c r="H734" s="1"/>
      <c r="I734" s="55">
        <f t="shared" si="274"/>
        <v>0</v>
      </c>
      <c r="J734" s="1"/>
      <c r="K734" s="1">
        <v>1205</v>
      </c>
      <c r="L734" s="1">
        <v>842</v>
      </c>
      <c r="M734" s="55">
        <f t="shared" si="275"/>
        <v>2047</v>
      </c>
      <c r="N734" s="1"/>
      <c r="O734" s="1"/>
      <c r="P734" s="1"/>
      <c r="Q734" s="55">
        <f t="shared" ref="Q734" si="280">SUM(N734:P734)</f>
        <v>0</v>
      </c>
      <c r="R734" s="55">
        <f t="shared" si="277"/>
        <v>2047</v>
      </c>
    </row>
    <row r="735" spans="1:20" ht="15.75" customHeight="1" thickBot="1" x14ac:dyDescent="0.35">
      <c r="A735" s="71" t="s">
        <v>775</v>
      </c>
      <c r="B735" s="1"/>
      <c r="C735" s="1"/>
      <c r="D735" s="1"/>
      <c r="E735" s="55">
        <f t="shared" si="273"/>
        <v>0</v>
      </c>
      <c r="F735" s="1"/>
      <c r="G735" s="1"/>
      <c r="H735" s="1"/>
      <c r="I735" s="55">
        <f t="shared" si="274"/>
        <v>0</v>
      </c>
      <c r="J735" s="1"/>
      <c r="K735" s="1"/>
      <c r="L735" s="1"/>
      <c r="M735" s="55">
        <f t="shared" si="275"/>
        <v>0</v>
      </c>
      <c r="N735" s="1"/>
      <c r="O735" s="1"/>
      <c r="P735" s="1"/>
      <c r="Q735" s="55">
        <f t="shared" si="276"/>
        <v>0</v>
      </c>
      <c r="R735" s="55">
        <f t="shared" si="277"/>
        <v>0</v>
      </c>
      <c r="T735" s="4" t="s">
        <v>1002</v>
      </c>
    </row>
    <row r="736" spans="1:20" ht="16.5" customHeight="1" thickBot="1" x14ac:dyDescent="0.35">
      <c r="A736" s="57" t="s">
        <v>63</v>
      </c>
      <c r="B736" s="86">
        <f>SUM(B723:B735)</f>
        <v>1511</v>
      </c>
      <c r="C736" s="87">
        <f>SUM(C723:C735)</f>
        <v>310</v>
      </c>
      <c r="D736" s="87">
        <f>SUM(D723:D735)</f>
        <v>734</v>
      </c>
      <c r="E736" s="59">
        <f t="shared" si="273"/>
        <v>2555</v>
      </c>
      <c r="F736" s="87">
        <f>SUM(F723:F735)</f>
        <v>2341</v>
      </c>
      <c r="G736" s="87">
        <f>SUM(G723:G735)</f>
        <v>1155</v>
      </c>
      <c r="H736" s="87">
        <f>SUM(H723:H735)</f>
        <v>945</v>
      </c>
      <c r="I736" s="59">
        <f t="shared" si="274"/>
        <v>4441</v>
      </c>
      <c r="J736" s="87">
        <f>SUM(J723:J735)</f>
        <v>1027</v>
      </c>
      <c r="K736" s="87">
        <f>SUM(K723:K735)</f>
        <v>4413</v>
      </c>
      <c r="L736" s="87">
        <f>SUM(L723:L735)</f>
        <v>6785</v>
      </c>
      <c r="M736" s="59">
        <f t="shared" si="275"/>
        <v>12225</v>
      </c>
      <c r="N736" s="87">
        <f>SUM(N723:N735)</f>
        <v>7036</v>
      </c>
      <c r="O736" s="87">
        <f>SUM(O723:O735)</f>
        <v>0</v>
      </c>
      <c r="P736" s="87">
        <f>SUM(P723:P735)</f>
        <v>2644</v>
      </c>
      <c r="Q736" s="59">
        <f t="shared" si="276"/>
        <v>9680</v>
      </c>
      <c r="R736" s="118">
        <f t="shared" si="277"/>
        <v>28901</v>
      </c>
    </row>
    <row r="737" spans="1:18" ht="15.75" customHeight="1" x14ac:dyDescent="0.3">
      <c r="A737" s="15" t="s">
        <v>64</v>
      </c>
      <c r="B737" s="1"/>
      <c r="C737" s="1"/>
      <c r="D737" s="1"/>
      <c r="E737" s="55" t="s">
        <v>7</v>
      </c>
      <c r="F737" s="1"/>
      <c r="G737" s="1"/>
      <c r="H737" s="1"/>
      <c r="I737" s="55" t="s">
        <v>7</v>
      </c>
      <c r="J737" s="1"/>
      <c r="K737" s="1"/>
      <c r="L737" s="1"/>
      <c r="M737" s="55" t="s">
        <v>7</v>
      </c>
      <c r="N737" s="1"/>
      <c r="O737" s="1"/>
      <c r="P737" s="1"/>
      <c r="Q737" s="55" t="s">
        <v>7</v>
      </c>
      <c r="R737" s="55" t="s">
        <v>7</v>
      </c>
    </row>
    <row r="738" spans="1:18" ht="15.75" customHeight="1" x14ac:dyDescent="0.3">
      <c r="A738" s="15" t="s">
        <v>594</v>
      </c>
      <c r="B738" s="1"/>
      <c r="C738" s="1"/>
      <c r="D738" s="1"/>
      <c r="E738" s="55" t="s">
        <v>7</v>
      </c>
      <c r="F738" s="1"/>
      <c r="G738" s="1"/>
      <c r="H738" s="1"/>
      <c r="I738" s="55" t="s">
        <v>7</v>
      </c>
      <c r="J738" s="1"/>
      <c r="K738" s="1"/>
      <c r="L738" s="1"/>
      <c r="M738" s="55" t="s">
        <v>7</v>
      </c>
      <c r="N738" s="1"/>
      <c r="O738" s="1"/>
      <c r="P738" s="1"/>
      <c r="Q738" s="55" t="s">
        <v>7</v>
      </c>
      <c r="R738" s="55" t="s">
        <v>7</v>
      </c>
    </row>
    <row r="739" spans="1:18" ht="15.75" customHeight="1" x14ac:dyDescent="0.3">
      <c r="A739" s="15" t="s">
        <v>67</v>
      </c>
      <c r="B739" s="1"/>
      <c r="C739" s="1"/>
      <c r="D739" s="1"/>
      <c r="E739" s="55" t="s">
        <v>7</v>
      </c>
      <c r="F739" s="1"/>
      <c r="G739" s="1"/>
      <c r="H739" s="1"/>
      <c r="I739" s="55" t="s">
        <v>7</v>
      </c>
      <c r="J739" s="1"/>
      <c r="K739" s="1"/>
      <c r="L739" s="1"/>
      <c r="M739" s="55" t="s">
        <v>7</v>
      </c>
      <c r="N739" s="1"/>
      <c r="O739" s="1"/>
      <c r="P739" s="1"/>
      <c r="Q739" s="55" t="s">
        <v>7</v>
      </c>
      <c r="R739" s="55" t="s">
        <v>7</v>
      </c>
    </row>
    <row r="740" spans="1:18" ht="15.75" customHeight="1" x14ac:dyDescent="0.3">
      <c r="A740" s="71" t="s">
        <v>776</v>
      </c>
      <c r="B740" s="1"/>
      <c r="C740" s="1"/>
      <c r="D740" s="1"/>
      <c r="E740" s="55">
        <f>SUM(B740:D740)</f>
        <v>0</v>
      </c>
      <c r="F740" s="1"/>
      <c r="G740" s="1"/>
      <c r="H740" s="1"/>
      <c r="I740" s="55">
        <f>SUM(F740:H740)</f>
        <v>0</v>
      </c>
      <c r="J740" s="1"/>
      <c r="K740" s="1"/>
      <c r="L740" s="1"/>
      <c r="M740" s="55">
        <f>SUM(J740:L740)</f>
        <v>0</v>
      </c>
      <c r="N740" s="1"/>
      <c r="O740" s="1"/>
      <c r="P740" s="1"/>
      <c r="Q740" s="55">
        <f>SUM(N740:P740)</f>
        <v>0</v>
      </c>
      <c r="R740" s="55">
        <f>+E740+I740+M740+Q740</f>
        <v>0</v>
      </c>
    </row>
    <row r="741" spans="1:18" ht="15.75" customHeight="1" x14ac:dyDescent="0.3">
      <c r="A741" s="71" t="s">
        <v>777</v>
      </c>
      <c r="B741" s="1"/>
      <c r="C741" s="1"/>
      <c r="D741" s="1"/>
      <c r="E741" s="55">
        <f>SUM(B741:D741)</f>
        <v>0</v>
      </c>
      <c r="F741" s="1"/>
      <c r="G741" s="1"/>
      <c r="H741" s="1"/>
      <c r="I741" s="55">
        <f>SUM(F741:H741)</f>
        <v>0</v>
      </c>
      <c r="J741" s="1"/>
      <c r="K741" s="1"/>
      <c r="L741" s="1"/>
      <c r="M741" s="55">
        <f>SUM(J741:L741)</f>
        <v>0</v>
      </c>
      <c r="N741" s="1"/>
      <c r="O741" s="1"/>
      <c r="P741" s="1"/>
      <c r="Q741" s="55">
        <f>SUM(N741:P741)</f>
        <v>0</v>
      </c>
      <c r="R741" s="55">
        <f>+E741+I741+M741+Q741</f>
        <v>0</v>
      </c>
    </row>
    <row r="742" spans="1:18" ht="15.75" customHeight="1" x14ac:dyDescent="0.3">
      <c r="A742" s="71" t="s">
        <v>778</v>
      </c>
      <c r="B742" s="1"/>
      <c r="C742" s="1"/>
      <c r="D742" s="1"/>
      <c r="E742" s="55">
        <f>SUM(B742:D742)</f>
        <v>0</v>
      </c>
      <c r="F742" s="1"/>
      <c r="G742" s="1"/>
      <c r="H742" s="1"/>
      <c r="I742" s="55">
        <f>SUM(F742:H742)</f>
        <v>0</v>
      </c>
      <c r="J742" s="1"/>
      <c r="K742" s="1"/>
      <c r="L742" s="1"/>
      <c r="M742" s="55">
        <f>SUM(J742:L742)</f>
        <v>0</v>
      </c>
      <c r="N742" s="1"/>
      <c r="O742" s="1"/>
      <c r="P742" s="1"/>
      <c r="Q742" s="55">
        <f>SUM(N742:P742)</f>
        <v>0</v>
      </c>
      <c r="R742" s="55">
        <f>+E742+I742+M742+Q742</f>
        <v>0</v>
      </c>
    </row>
    <row r="743" spans="1:18" ht="15.75" customHeight="1" x14ac:dyDescent="0.3">
      <c r="A743" s="71" t="s">
        <v>779</v>
      </c>
      <c r="B743" s="1"/>
      <c r="C743" s="1"/>
      <c r="D743" s="1"/>
      <c r="E743" s="55">
        <f>SUM(B743:D743)</f>
        <v>0</v>
      </c>
      <c r="F743" s="1"/>
      <c r="G743" s="1"/>
      <c r="H743" s="1"/>
      <c r="I743" s="55">
        <f>SUM(F743:H743)</f>
        <v>0</v>
      </c>
      <c r="J743" s="1"/>
      <c r="K743" s="1"/>
      <c r="L743" s="1"/>
      <c r="M743" s="55">
        <f>SUM(J743:L743)</f>
        <v>0</v>
      </c>
      <c r="N743" s="1"/>
      <c r="O743" s="1"/>
      <c r="P743" s="1"/>
      <c r="Q743" s="55">
        <f>SUM(N743:P743)</f>
        <v>0</v>
      </c>
      <c r="R743" s="55">
        <f>+E743+I743+M743+Q743</f>
        <v>0</v>
      </c>
    </row>
    <row r="744" spans="1:18" ht="15.75" customHeight="1" x14ac:dyDescent="0.3">
      <c r="A744" s="15" t="s">
        <v>600</v>
      </c>
      <c r="B744" s="1"/>
      <c r="C744" s="1"/>
      <c r="D744" s="1"/>
      <c r="E744" s="55" t="s">
        <v>7</v>
      </c>
      <c r="F744" s="1"/>
      <c r="G744" s="1"/>
      <c r="H744" s="1"/>
      <c r="I744" s="55" t="s">
        <v>7</v>
      </c>
      <c r="J744" s="1"/>
      <c r="K744" s="1"/>
      <c r="L744" s="1"/>
      <c r="M744" s="55" t="s">
        <v>7</v>
      </c>
      <c r="N744" s="1"/>
      <c r="O744" s="1"/>
      <c r="P744" s="1"/>
      <c r="Q744" s="55" t="s">
        <v>7</v>
      </c>
      <c r="R744" s="55" t="s">
        <v>7</v>
      </c>
    </row>
    <row r="745" spans="1:18" ht="15.75" customHeight="1" thickBot="1" x14ac:dyDescent="0.35">
      <c r="A745" s="15" t="s">
        <v>70</v>
      </c>
      <c r="B745" s="1"/>
      <c r="C745" s="1"/>
      <c r="D745" s="1"/>
      <c r="E745" s="55" t="s">
        <v>7</v>
      </c>
      <c r="F745" s="1"/>
      <c r="G745" s="1"/>
      <c r="H745" s="1"/>
      <c r="I745" s="55" t="s">
        <v>7</v>
      </c>
      <c r="J745" s="1"/>
      <c r="K745" s="1"/>
      <c r="L745" s="1"/>
      <c r="M745" s="55" t="s">
        <v>7</v>
      </c>
      <c r="N745" s="1"/>
      <c r="O745" s="1"/>
      <c r="P745" s="1"/>
      <c r="Q745" s="55" t="s">
        <v>7</v>
      </c>
      <c r="R745" s="55" t="s">
        <v>7</v>
      </c>
    </row>
    <row r="746" spans="1:18" ht="16.5" customHeight="1" thickBot="1" x14ac:dyDescent="0.35">
      <c r="A746" s="57" t="s">
        <v>71</v>
      </c>
      <c r="B746" s="58">
        <f>SUM(B744:B745)</f>
        <v>0</v>
      </c>
      <c r="C746" s="58">
        <f>SUM(C744:C745)</f>
        <v>0</v>
      </c>
      <c r="D746" s="58">
        <f>SUM(D744:D745)</f>
        <v>0</v>
      </c>
      <c r="E746" s="60">
        <f>SUM(B746:D746)</f>
        <v>0</v>
      </c>
      <c r="F746" s="58">
        <f>SUM(F744:F745)</f>
        <v>0</v>
      </c>
      <c r="G746" s="58">
        <f>SUM(G744:G745)</f>
        <v>0</v>
      </c>
      <c r="H746" s="58">
        <f>SUM(H744:H745)</f>
        <v>0</v>
      </c>
      <c r="I746" s="60">
        <f>SUM(F746:H746)</f>
        <v>0</v>
      </c>
      <c r="J746" s="58">
        <f>SUM(J744:J745)</f>
        <v>0</v>
      </c>
      <c r="K746" s="58">
        <f>SUM(K744:K745)</f>
        <v>0</v>
      </c>
      <c r="L746" s="58">
        <f>SUM(L744:L745)</f>
        <v>0</v>
      </c>
      <c r="M746" s="60">
        <f>SUM(J746:L746)</f>
        <v>0</v>
      </c>
      <c r="N746" s="58">
        <f>SUM(N744:N745)</f>
        <v>0</v>
      </c>
      <c r="O746" s="58">
        <f>SUM(O744:O745)</f>
        <v>0</v>
      </c>
      <c r="P746" s="58">
        <f>SUM(P744:P745)</f>
        <v>0</v>
      </c>
      <c r="Q746" s="60">
        <f>SUM(N746:P746)</f>
        <v>0</v>
      </c>
      <c r="R746" s="59">
        <f>+E746+I746+M746+Q746</f>
        <v>0</v>
      </c>
    </row>
    <row r="747" spans="1:18" ht="16.5" customHeight="1" thickBot="1" x14ac:dyDescent="0.35">
      <c r="A747" s="114" t="s">
        <v>72</v>
      </c>
      <c r="B747" s="86">
        <f>SUM(B737:B745)</f>
        <v>0</v>
      </c>
      <c r="C747" s="87">
        <f>SUM(C737:C745)</f>
        <v>0</v>
      </c>
      <c r="D747" s="118">
        <f>SUM(D737:D745)</f>
        <v>0</v>
      </c>
      <c r="E747" s="60">
        <f>SUM(B747:D747)</f>
        <v>0</v>
      </c>
      <c r="F747" s="87">
        <f>SUM(F737:F745)</f>
        <v>0</v>
      </c>
      <c r="G747" s="87">
        <f>SUM(G737:G745)</f>
        <v>0</v>
      </c>
      <c r="H747" s="87">
        <f>SUM(H737:H745)</f>
        <v>0</v>
      </c>
      <c r="I747" s="60">
        <f>SUM(F747:H747)</f>
        <v>0</v>
      </c>
      <c r="J747" s="87">
        <f>SUM(J737:J745)</f>
        <v>0</v>
      </c>
      <c r="K747" s="87">
        <f>SUM(K737:K745)</f>
        <v>0</v>
      </c>
      <c r="L747" s="87">
        <f>SUM(L737:L745)</f>
        <v>0</v>
      </c>
      <c r="M747" s="60">
        <f>SUM(J747:L747)</f>
        <v>0</v>
      </c>
      <c r="N747" s="87">
        <f>SUM(N737:N745)</f>
        <v>0</v>
      </c>
      <c r="O747" s="87">
        <f>SUM(O737:O745)</f>
        <v>0</v>
      </c>
      <c r="P747" s="87">
        <f>SUM(P737:P745)</f>
        <v>0</v>
      </c>
      <c r="Q747" s="60">
        <f>SUM(N747:P747)</f>
        <v>0</v>
      </c>
      <c r="R747" s="59">
        <f>+E747+I747+M747+Q747</f>
        <v>0</v>
      </c>
    </row>
    <row r="748" spans="1:18" ht="16.5" customHeight="1" thickBot="1" x14ac:dyDescent="0.35">
      <c r="A748" s="57" t="s">
        <v>73</v>
      </c>
      <c r="B748" s="90">
        <f>+B718+B722+B736+B747</f>
        <v>8852</v>
      </c>
      <c r="C748" s="58">
        <f>+C718+C722+C736+C747</f>
        <v>5769</v>
      </c>
      <c r="D748" s="58">
        <f>+D718+D722+D736+D747</f>
        <v>10328</v>
      </c>
      <c r="E748" s="59">
        <f>SUM(B748:D748)</f>
        <v>24949</v>
      </c>
      <c r="F748" s="58">
        <f>+F718+F722+F736+F747</f>
        <v>15721</v>
      </c>
      <c r="G748" s="58">
        <f>+G718+G722+G736+G747</f>
        <v>15720</v>
      </c>
      <c r="H748" s="58">
        <f>+H718+H722+H736+H747</f>
        <v>15760</v>
      </c>
      <c r="I748" s="59">
        <f>SUM(F748:H748)</f>
        <v>47201</v>
      </c>
      <c r="J748" s="58">
        <f>+J718+J722+J736+J747</f>
        <v>16873</v>
      </c>
      <c r="K748" s="58">
        <f>+K718+K722+K736+K747</f>
        <v>15982</v>
      </c>
      <c r="L748" s="58">
        <f>+L718+L722+L736+L747</f>
        <v>12339</v>
      </c>
      <c r="M748" s="59">
        <f>SUM(J748:L748)</f>
        <v>45194</v>
      </c>
      <c r="N748" s="58">
        <f>+N718+N722+N736+N747</f>
        <v>10693</v>
      </c>
      <c r="O748" s="58">
        <f>+O718+O722+O736+O747</f>
        <v>0</v>
      </c>
      <c r="P748" s="58">
        <f>+P718+P722+P736+P747</f>
        <v>3901</v>
      </c>
      <c r="Q748" s="59">
        <f>SUM(N748:P748)</f>
        <v>14594</v>
      </c>
      <c r="R748" s="81">
        <f>+E748+I748+M748+Q748</f>
        <v>131938</v>
      </c>
    </row>
    <row r="749" spans="1:18" ht="16.5" customHeight="1" thickBot="1" x14ac:dyDescent="0.35">
      <c r="A749" s="62" t="s">
        <v>40</v>
      </c>
      <c r="B749" s="21">
        <v>22</v>
      </c>
      <c r="C749" s="21">
        <v>24</v>
      </c>
      <c r="D749" s="21">
        <v>31</v>
      </c>
      <c r="E749" s="59">
        <f>SUM(B749:D749)</f>
        <v>77</v>
      </c>
      <c r="F749" s="21">
        <v>40</v>
      </c>
      <c r="G749" s="21">
        <v>45</v>
      </c>
      <c r="H749" s="21">
        <v>48</v>
      </c>
      <c r="I749" s="59">
        <f>SUM(F749:H749)</f>
        <v>133</v>
      </c>
      <c r="J749" s="21">
        <v>42</v>
      </c>
      <c r="K749" s="21">
        <v>39</v>
      </c>
      <c r="L749" s="21">
        <v>38</v>
      </c>
      <c r="M749" s="59">
        <f>SUM(J749:L749)</f>
        <v>119</v>
      </c>
      <c r="N749" s="21">
        <v>32</v>
      </c>
      <c r="O749" s="21">
        <v>25</v>
      </c>
      <c r="P749" s="21">
        <v>21</v>
      </c>
      <c r="Q749" s="59">
        <f>SUM(N749:P749)</f>
        <v>78</v>
      </c>
      <c r="R749" s="60">
        <f>+E749+I749+M749+Q749</f>
        <v>407</v>
      </c>
    </row>
    <row r="750" spans="1:18" ht="16.5" customHeight="1" thickBot="1" x14ac:dyDescent="0.35">
      <c r="A750" s="41"/>
      <c r="B750" s="36"/>
      <c r="C750" s="36"/>
      <c r="D750" s="36"/>
      <c r="E750" s="52"/>
      <c r="F750" s="36"/>
      <c r="G750" s="36"/>
      <c r="H750" s="36"/>
      <c r="I750" s="52"/>
      <c r="J750" s="36"/>
      <c r="K750" s="36"/>
      <c r="L750" s="36"/>
      <c r="M750" s="52"/>
      <c r="N750" s="36"/>
      <c r="O750" s="36"/>
      <c r="P750" s="36"/>
      <c r="Q750" s="52"/>
      <c r="R750" s="42"/>
    </row>
    <row r="751" spans="1:18" ht="15.75" customHeight="1" x14ac:dyDescent="0.3">
      <c r="A751" s="15" t="s">
        <v>314</v>
      </c>
      <c r="B751" s="1">
        <f>+SUM(B748:B749)</f>
        <v>8874</v>
      </c>
      <c r="C751" s="1">
        <f>+SUM(C748:C749)</f>
        <v>5793</v>
      </c>
      <c r="D751" s="1">
        <f>+SUM(D748:D749)</f>
        <v>10359</v>
      </c>
      <c r="E751" s="60">
        <f>SUM(B751:D751)</f>
        <v>25026</v>
      </c>
      <c r="F751" s="1">
        <f>+SUM(F748:F749)</f>
        <v>15761</v>
      </c>
      <c r="G751" s="1">
        <f>+SUM(G748:G749)</f>
        <v>15765</v>
      </c>
      <c r="H751" s="1">
        <f>+SUM(H748:H749)</f>
        <v>15808</v>
      </c>
      <c r="I751" s="60">
        <f>SUM(F751:H751)</f>
        <v>47334</v>
      </c>
      <c r="J751" s="1">
        <f>+SUM(J748:J749)</f>
        <v>16915</v>
      </c>
      <c r="K751" s="1">
        <f>+SUM(K748:K749)</f>
        <v>16021</v>
      </c>
      <c r="L751" s="1">
        <f>+SUM(L748:L749)</f>
        <v>12377</v>
      </c>
      <c r="M751" s="60">
        <f>SUM(J751:L751)</f>
        <v>45313</v>
      </c>
      <c r="N751" s="1">
        <f>+SUM(N748:N749)</f>
        <v>10725</v>
      </c>
      <c r="O751" s="1">
        <f>+SUM(O748:O749)</f>
        <v>25</v>
      </c>
      <c r="P751" s="1">
        <f>+SUM(P748:P749)</f>
        <v>3922</v>
      </c>
      <c r="Q751" s="60">
        <f>SUM(N751:P751)</f>
        <v>14672</v>
      </c>
      <c r="R751" s="60">
        <f>+E751+I751+M751+Q751</f>
        <v>132345</v>
      </c>
    </row>
    <row r="752" spans="1:18" ht="15.75" customHeight="1" x14ac:dyDescent="0.3">
      <c r="A752" s="15" t="s">
        <v>42</v>
      </c>
      <c r="B752" s="1">
        <f>(B751/B10)/1.983</f>
        <v>144.35605875750329</v>
      </c>
      <c r="C752" s="1">
        <f>(C751/C10)/1.983</f>
        <v>104.33326129241408</v>
      </c>
      <c r="D752" s="1">
        <f>(D751/D10)/1.983</f>
        <v>168.51300570982383</v>
      </c>
      <c r="E752" s="55" t="s">
        <v>7</v>
      </c>
      <c r="F752" s="1">
        <f>(F751/F10)/1.983</f>
        <v>264.93528324088084</v>
      </c>
      <c r="G752" s="1">
        <f>(G751/G10)/1.983</f>
        <v>256.45405299887756</v>
      </c>
      <c r="H752" s="1">
        <f>(H751/H10)/1.983</f>
        <v>265.72533198856945</v>
      </c>
      <c r="I752" s="55" t="s">
        <v>7</v>
      </c>
      <c r="J752" s="1">
        <f>(J751/J10)/1.983</f>
        <v>275.16145299562407</v>
      </c>
      <c r="K752" s="1">
        <f>(K751/K10)/1.983</f>
        <v>260.61848291119674</v>
      </c>
      <c r="L752" s="1">
        <f>(L751/L10)/1.983</f>
        <v>208.05177340729534</v>
      </c>
      <c r="M752" s="55" t="s">
        <v>7</v>
      </c>
      <c r="N752" s="1">
        <f>(N751/N10)/1.983</f>
        <v>174.4668391000927</v>
      </c>
      <c r="O752" s="1">
        <f>(O751/O10)/1.983</f>
        <v>0.42023869557908894</v>
      </c>
      <c r="P752" s="1">
        <f>(P751/P10)/1.983</f>
        <v>63.800367641078196</v>
      </c>
      <c r="Q752" s="55" t="s">
        <v>7</v>
      </c>
      <c r="R752" s="55" t="s">
        <v>7</v>
      </c>
    </row>
    <row r="753" spans="1:18" ht="15.75" customHeight="1" x14ac:dyDescent="0.3">
      <c r="A753" s="15" t="s">
        <v>351</v>
      </c>
      <c r="B753" s="1">
        <f>B751+B763</f>
        <v>12364</v>
      </c>
      <c r="C753" s="1">
        <f>C751+C763</f>
        <v>9182</v>
      </c>
      <c r="D753" s="1">
        <f>D751+D763</f>
        <v>13625</v>
      </c>
      <c r="E753" s="55">
        <f>SUM(B753:D753)</f>
        <v>35171</v>
      </c>
      <c r="F753" s="1">
        <f>F751+F763</f>
        <v>19405</v>
      </c>
      <c r="G753" s="1">
        <f>G751+G763</f>
        <v>19848</v>
      </c>
      <c r="H753" s="1">
        <f>H751+H763</f>
        <v>20197</v>
      </c>
      <c r="I753" s="55">
        <f>SUM(F753:H753)</f>
        <v>59450</v>
      </c>
      <c r="J753" s="1">
        <f>J751+J763</f>
        <v>21410</v>
      </c>
      <c r="K753" s="1">
        <f>K751+K763</f>
        <v>20262</v>
      </c>
      <c r="L753" s="1">
        <f>L751+L763</f>
        <v>16428</v>
      </c>
      <c r="M753" s="55">
        <f>SUM(J753:L753)</f>
        <v>58100</v>
      </c>
      <c r="N753" s="1">
        <f>N751+N763</f>
        <v>14516</v>
      </c>
      <c r="O753" s="1">
        <f>O751+O763</f>
        <v>816</v>
      </c>
      <c r="P753" s="1">
        <f>P751+P763</f>
        <v>3938</v>
      </c>
      <c r="Q753" s="55">
        <f>SUM(N753:P753)</f>
        <v>19270</v>
      </c>
      <c r="R753" s="55">
        <f>+E753+I753+M753+Q753</f>
        <v>171991</v>
      </c>
    </row>
    <row r="754" spans="1:18" ht="16.5" customHeight="1" thickBot="1" x14ac:dyDescent="0.35">
      <c r="A754" s="20" t="s">
        <v>352</v>
      </c>
      <c r="B754" s="21">
        <f>(B753/B10)/1.983</f>
        <v>201.12895092154278</v>
      </c>
      <c r="C754" s="21">
        <f>(C753/C10)/1.983</f>
        <v>165.36993012030834</v>
      </c>
      <c r="D754" s="21">
        <f>(D753/D10)/1.983</f>
        <v>221.64202170058397</v>
      </c>
      <c r="E754" s="81" t="s">
        <v>7</v>
      </c>
      <c r="F754" s="21">
        <f>(F753/F10)/1.983</f>
        <v>326.18927550848883</v>
      </c>
      <c r="G754" s="21">
        <f>(G753/G10)/1.983</f>
        <v>322.87345663950026</v>
      </c>
      <c r="H754" s="21">
        <f>(H753/H10)/1.983</f>
        <v>339.50243738443436</v>
      </c>
      <c r="I754" s="81" t="s">
        <v>7</v>
      </c>
      <c r="J754" s="21">
        <f>(J753/J10)/1.983</f>
        <v>348.28298602638552</v>
      </c>
      <c r="K754" s="21">
        <f>(K753/K10)/1.983</f>
        <v>329.60812063832901</v>
      </c>
      <c r="L754" s="21">
        <f>(L753/L10)/1.983</f>
        <v>276.14725163893092</v>
      </c>
      <c r="M754" s="81" t="s">
        <v>7</v>
      </c>
      <c r="N754" s="21">
        <f>(N753/N10)/1.983</f>
        <v>236.13618987197631</v>
      </c>
      <c r="O754" s="21">
        <f>(O753/O10)/1.983</f>
        <v>13.716591023701461</v>
      </c>
      <c r="P754" s="21">
        <f>(P753/P10)/1.983</f>
        <v>64.060644510598152</v>
      </c>
      <c r="Q754" s="81" t="s">
        <v>7</v>
      </c>
      <c r="R754" s="81" t="s">
        <v>7</v>
      </c>
    </row>
    <row r="755" spans="1:18" ht="15.75" customHeight="1" x14ac:dyDescent="0.3">
      <c r="A755" s="2"/>
      <c r="B755" s="1"/>
      <c r="C755" s="1"/>
      <c r="D755" s="1"/>
      <c r="E755" s="1"/>
      <c r="F755" s="1"/>
      <c r="G755" s="1"/>
      <c r="H755" s="1"/>
      <c r="I755" s="1"/>
      <c r="J755" s="1"/>
      <c r="K755" s="1"/>
      <c r="L755" s="1"/>
      <c r="M755" s="1"/>
      <c r="N755" s="1"/>
      <c r="O755" s="1"/>
      <c r="P755" s="1"/>
      <c r="Q755" s="1"/>
      <c r="R755" s="2"/>
    </row>
    <row r="756" spans="1:18" ht="15.75" customHeight="1" thickBot="1" x14ac:dyDescent="0.35">
      <c r="A756" s="2"/>
      <c r="B756" s="1"/>
      <c r="C756" s="1"/>
      <c r="D756" s="1"/>
      <c r="E756" s="1"/>
      <c r="F756" s="1"/>
      <c r="G756" s="1"/>
      <c r="H756" s="1"/>
      <c r="I756" s="1"/>
      <c r="J756" s="1"/>
      <c r="K756" s="1"/>
      <c r="L756" s="1"/>
      <c r="M756" s="1"/>
      <c r="N756" s="1"/>
      <c r="O756" s="1"/>
      <c r="P756" s="1"/>
      <c r="Q756" s="1"/>
      <c r="R756" s="2"/>
    </row>
    <row r="757" spans="1:18" ht="16.5" customHeight="1" thickBot="1" x14ac:dyDescent="0.35">
      <c r="A757" s="124" t="s">
        <v>353</v>
      </c>
      <c r="B757" s="30" t="s">
        <v>8</v>
      </c>
      <c r="C757" s="31" t="s">
        <v>9</v>
      </c>
      <c r="D757" s="31" t="s">
        <v>10</v>
      </c>
      <c r="E757" s="32" t="s">
        <v>11</v>
      </c>
      <c r="F757" s="31" t="s">
        <v>12</v>
      </c>
      <c r="G757" s="31" t="s">
        <v>13</v>
      </c>
      <c r="H757" s="31" t="s">
        <v>14</v>
      </c>
      <c r="I757" s="33" t="s">
        <v>15</v>
      </c>
      <c r="J757" s="31" t="s">
        <v>16</v>
      </c>
      <c r="K757" s="31" t="s">
        <v>17</v>
      </c>
      <c r="L757" s="31" t="s">
        <v>18</v>
      </c>
      <c r="M757" s="33" t="s">
        <v>19</v>
      </c>
      <c r="N757" s="31" t="s">
        <v>20</v>
      </c>
      <c r="O757" s="31" t="s">
        <v>21</v>
      </c>
      <c r="P757" s="31" t="s">
        <v>22</v>
      </c>
      <c r="Q757" s="33" t="s">
        <v>23</v>
      </c>
      <c r="R757" s="34" t="s">
        <v>24</v>
      </c>
    </row>
    <row r="758" spans="1:18" ht="16.5" customHeight="1" thickBot="1" x14ac:dyDescent="0.35">
      <c r="A758" s="41"/>
      <c r="B758" s="36"/>
      <c r="C758" s="36"/>
      <c r="D758" s="36"/>
      <c r="E758" s="37"/>
      <c r="F758" s="36"/>
      <c r="G758" s="36"/>
      <c r="H758" s="36"/>
      <c r="I758" s="37"/>
      <c r="J758" s="36"/>
      <c r="K758" s="36"/>
      <c r="L758" s="36"/>
      <c r="M758" s="37"/>
      <c r="N758" s="36"/>
      <c r="O758" s="36"/>
      <c r="P758" s="36"/>
      <c r="Q758" s="37"/>
      <c r="R758" s="41"/>
    </row>
    <row r="759" spans="1:18" ht="16.5" customHeight="1" thickBot="1" x14ac:dyDescent="0.35">
      <c r="A759" s="39" t="s">
        <v>40</v>
      </c>
      <c r="B759" s="21">
        <v>2</v>
      </c>
      <c r="C759" s="21">
        <v>3</v>
      </c>
      <c r="D759" s="21">
        <v>5</v>
      </c>
      <c r="E759" s="55">
        <f>SUM(B759:D759)</f>
        <v>10</v>
      </c>
      <c r="F759" s="21">
        <v>7</v>
      </c>
      <c r="G759" s="21">
        <v>8</v>
      </c>
      <c r="H759" s="21">
        <v>9</v>
      </c>
      <c r="I759" s="55">
        <f>SUM(F759:H759)</f>
        <v>24</v>
      </c>
      <c r="J759" s="21">
        <v>7</v>
      </c>
      <c r="K759" s="21">
        <v>6</v>
      </c>
      <c r="L759" s="21">
        <v>6</v>
      </c>
      <c r="M759" s="55">
        <f>SUM(J759:L759)</f>
        <v>19</v>
      </c>
      <c r="N759" s="21">
        <v>5</v>
      </c>
      <c r="O759" s="21">
        <v>3</v>
      </c>
      <c r="P759" s="21">
        <v>2</v>
      </c>
      <c r="Q759" s="55">
        <f>SUM(N759:P759)</f>
        <v>10</v>
      </c>
      <c r="R759" s="60">
        <f>+E759+I759+M759+Q759</f>
        <v>63</v>
      </c>
    </row>
    <row r="760" spans="1:18" ht="16.5" customHeight="1" thickBot="1" x14ac:dyDescent="0.35">
      <c r="A760" s="41"/>
      <c r="B760" s="36"/>
      <c r="C760" s="36"/>
      <c r="D760" s="36"/>
      <c r="E760" s="52"/>
      <c r="F760" s="36"/>
      <c r="G760" s="36"/>
      <c r="H760" s="36"/>
      <c r="I760" s="52"/>
      <c r="J760" s="36"/>
      <c r="K760" s="36"/>
      <c r="L760" s="36"/>
      <c r="M760" s="52"/>
      <c r="N760" s="36"/>
      <c r="O760" s="36"/>
      <c r="P760" s="36"/>
      <c r="Q760" s="52"/>
      <c r="R760" s="42"/>
    </row>
    <row r="761" spans="1:18" ht="15.75" customHeight="1" x14ac:dyDescent="0.3">
      <c r="A761" s="15" t="s">
        <v>314</v>
      </c>
      <c r="B761" s="1">
        <f>B759</f>
        <v>2</v>
      </c>
      <c r="C761" s="1">
        <f>C759</f>
        <v>3</v>
      </c>
      <c r="D761" s="1">
        <f>D759</f>
        <v>5</v>
      </c>
      <c r="E761" s="60">
        <f>SUM(B761:D761)</f>
        <v>10</v>
      </c>
      <c r="F761" s="1">
        <f>F759</f>
        <v>7</v>
      </c>
      <c r="G761" s="1">
        <f>G759</f>
        <v>8</v>
      </c>
      <c r="H761" s="1">
        <f>H759</f>
        <v>9</v>
      </c>
      <c r="I761" s="60">
        <f>SUM(F761:H761)</f>
        <v>24</v>
      </c>
      <c r="J761" s="1">
        <f>J759</f>
        <v>7</v>
      </c>
      <c r="K761" s="1">
        <f>K759</f>
        <v>6</v>
      </c>
      <c r="L761" s="1">
        <f>L759</f>
        <v>6</v>
      </c>
      <c r="M761" s="60">
        <f>SUM(J761:L761)</f>
        <v>19</v>
      </c>
      <c r="N761" s="1">
        <f>N759</f>
        <v>5</v>
      </c>
      <c r="O761" s="1">
        <f>O759</f>
        <v>3</v>
      </c>
      <c r="P761" s="1">
        <f>P759</f>
        <v>2</v>
      </c>
      <c r="Q761" s="60">
        <f>SUM(N761:P761)</f>
        <v>10</v>
      </c>
      <c r="R761" s="60">
        <f>+E761+I761+M761+Q761</f>
        <v>63</v>
      </c>
    </row>
    <row r="762" spans="1:18" ht="15.75" customHeight="1" x14ac:dyDescent="0.3">
      <c r="A762" s="15" t="s">
        <v>42</v>
      </c>
      <c r="B762" s="1">
        <f>(B761/B10)/1.983</f>
        <v>3.2534608689993978E-2</v>
      </c>
      <c r="C762" s="1">
        <f>(C761/C10)/1.983</f>
        <v>5.403068943159714E-2</v>
      </c>
      <c r="D762" s="1">
        <f>(D761/D10)/1.983</f>
        <v>8.1336521724984942E-2</v>
      </c>
      <c r="E762" s="55" t="s">
        <v>7</v>
      </c>
      <c r="F762" s="1">
        <f>(F761/F10)/1.983</f>
        <v>0.1176668347621449</v>
      </c>
      <c r="G762" s="1">
        <f>(G761/G10)/1.983</f>
        <v>0.13013843475997591</v>
      </c>
      <c r="H762" s="1">
        <f>(H761/H10)/1.983</f>
        <v>0.15128593040847199</v>
      </c>
      <c r="I762" s="55" t="s">
        <v>7</v>
      </c>
      <c r="J762" s="1">
        <f>(J761/J10)/1.983</f>
        <v>0.11387113041497893</v>
      </c>
      <c r="K762" s="1">
        <f>(K761/K10)/1.983</f>
        <v>9.7603826069981942E-2</v>
      </c>
      <c r="L762" s="1">
        <f>(L761/L10)/1.983</f>
        <v>0.10085728693898134</v>
      </c>
      <c r="M762" s="55" t="s">
        <v>7</v>
      </c>
      <c r="N762" s="1">
        <f>(N761/N10)/1.983</f>
        <v>8.1336521724984942E-2</v>
      </c>
      <c r="O762" s="1">
        <f>(O761/O10)/1.983</f>
        <v>5.0428643469490671E-2</v>
      </c>
      <c r="P762" s="1">
        <f>(P761/P10)/1.983</f>
        <v>3.2534608689993978E-2</v>
      </c>
      <c r="Q762" s="55" t="s">
        <v>7</v>
      </c>
      <c r="R762" s="55" t="s">
        <v>7</v>
      </c>
    </row>
    <row r="763" spans="1:18" ht="15.75" customHeight="1" x14ac:dyDescent="0.3">
      <c r="A763" s="15" t="s">
        <v>354</v>
      </c>
      <c r="B763" s="1">
        <f>B761+B797+B846-B792</f>
        <v>3490</v>
      </c>
      <c r="C763" s="1">
        <f>C761+C797+C846-C792</f>
        <v>3389</v>
      </c>
      <c r="D763" s="1">
        <f>D761+D797+D846-D792</f>
        <v>3266</v>
      </c>
      <c r="E763" s="55">
        <f>SUM(B763:D763)</f>
        <v>10145</v>
      </c>
      <c r="F763" s="1">
        <f>F761+F797+F846-F792</f>
        <v>3644</v>
      </c>
      <c r="G763" s="1">
        <f>G761+G797+G846-G792</f>
        <v>4083</v>
      </c>
      <c r="H763" s="1">
        <f>H761+H797+H846-H792</f>
        <v>4389</v>
      </c>
      <c r="I763" s="55">
        <f>SUM(F763:H763)</f>
        <v>12116</v>
      </c>
      <c r="J763" s="1">
        <f>J761+J797+J846-J792</f>
        <v>4495</v>
      </c>
      <c r="K763" s="1">
        <f>K761+K797+K846-K792</f>
        <v>4241</v>
      </c>
      <c r="L763" s="1">
        <f>L761+L797+L846-L792</f>
        <v>4051</v>
      </c>
      <c r="M763" s="55">
        <f>SUM(J763:L763)</f>
        <v>12787</v>
      </c>
      <c r="N763" s="1">
        <f>N761+N797+N846-N792</f>
        <v>3791</v>
      </c>
      <c r="O763" s="1">
        <f>O761+O797+O846-O792</f>
        <v>791</v>
      </c>
      <c r="P763" s="1">
        <f>P761+P797+P846-P792</f>
        <v>16</v>
      </c>
      <c r="Q763" s="55">
        <f>SUM(N763:P763)</f>
        <v>4598</v>
      </c>
      <c r="R763" s="55">
        <f>+E763+I763+M763+Q763</f>
        <v>39646</v>
      </c>
    </row>
    <row r="764" spans="1:18" ht="16.5" customHeight="1" thickBot="1" x14ac:dyDescent="0.35">
      <c r="A764" s="20" t="s">
        <v>355</v>
      </c>
      <c r="B764" s="21">
        <f>(B763/B10)/1.983</f>
        <v>56.77289216403949</v>
      </c>
      <c r="C764" s="21">
        <f>(C763/C10)/1.983</f>
        <v>61.036668827894246</v>
      </c>
      <c r="D764" s="21">
        <f>(D763/D10)/1.983</f>
        <v>53.129015990760173</v>
      </c>
      <c r="E764" s="81" t="s">
        <v>7</v>
      </c>
      <c r="F764" s="21">
        <f>(F763/F10)/1.983</f>
        <v>61.253992267607998</v>
      </c>
      <c r="G764" s="21">
        <f>(G763/G10)/1.983</f>
        <v>66.419403640622718</v>
      </c>
      <c r="H764" s="21">
        <f>(H763/H10)/1.983</f>
        <v>73.777105395864851</v>
      </c>
      <c r="I764" s="81" t="s">
        <v>7</v>
      </c>
      <c r="J764" s="21">
        <f>(J763/J10)/1.983</f>
        <v>73.121533030761469</v>
      </c>
      <c r="K764" s="21">
        <f>(K763/K10)/1.983</f>
        <v>68.989637727132234</v>
      </c>
      <c r="L764" s="21">
        <f>(L763/L10)/1.983</f>
        <v>68.095478231635568</v>
      </c>
      <c r="M764" s="81" t="s">
        <v>7</v>
      </c>
      <c r="N764" s="21">
        <f>(N763/N10)/1.983</f>
        <v>61.669350771883593</v>
      </c>
      <c r="O764" s="21">
        <f>(O763/O10)/1.983</f>
        <v>13.296352328122373</v>
      </c>
      <c r="P764" s="21">
        <f>(P763/P10)/1.983</f>
        <v>0.26027686951995183</v>
      </c>
      <c r="Q764" s="81" t="s">
        <v>7</v>
      </c>
      <c r="R764" s="81" t="s">
        <v>7</v>
      </c>
    </row>
    <row r="765" spans="1:18" ht="15.75" customHeight="1" x14ac:dyDescent="0.3">
      <c r="A765" s="2"/>
      <c r="B765" s="1"/>
      <c r="C765" s="1"/>
      <c r="D765" s="1"/>
      <c r="E765" s="1"/>
      <c r="F765" s="1"/>
      <c r="G765" s="1"/>
      <c r="H765" s="1"/>
      <c r="I765" s="1"/>
      <c r="J765" s="1"/>
      <c r="K765" s="1"/>
      <c r="L765" s="1"/>
      <c r="M765" s="1"/>
      <c r="N765" s="1"/>
      <c r="O765" s="1"/>
      <c r="P765" s="1"/>
      <c r="Q765" s="1"/>
      <c r="R765" s="2"/>
    </row>
    <row r="766" spans="1:18" ht="15.75" customHeight="1" thickBot="1" x14ac:dyDescent="0.35">
      <c r="A766" s="2"/>
      <c r="B766" s="1"/>
      <c r="C766" s="1"/>
      <c r="D766" s="1"/>
      <c r="E766" s="1"/>
      <c r="F766" s="1"/>
      <c r="G766" s="1"/>
      <c r="H766" s="1"/>
      <c r="I766" s="1"/>
      <c r="J766" s="1"/>
      <c r="K766" s="1"/>
      <c r="L766" s="1"/>
      <c r="M766" s="1"/>
      <c r="N766" s="1"/>
      <c r="O766" s="1"/>
      <c r="P766" s="1"/>
      <c r="Q766" s="1"/>
      <c r="R766" s="2"/>
    </row>
    <row r="767" spans="1:18" ht="16.5" customHeight="1" thickBot="1" x14ac:dyDescent="0.35">
      <c r="A767" s="124" t="s">
        <v>356</v>
      </c>
      <c r="B767" s="30" t="s">
        <v>8</v>
      </c>
      <c r="C767" s="31" t="s">
        <v>9</v>
      </c>
      <c r="D767" s="31" t="s">
        <v>10</v>
      </c>
      <c r="E767" s="33" t="s">
        <v>11</v>
      </c>
      <c r="F767" s="31" t="s">
        <v>12</v>
      </c>
      <c r="G767" s="31" t="s">
        <v>13</v>
      </c>
      <c r="H767" s="31" t="s">
        <v>14</v>
      </c>
      <c r="I767" s="33" t="s">
        <v>15</v>
      </c>
      <c r="J767" s="31" t="s">
        <v>16</v>
      </c>
      <c r="K767" s="31" t="s">
        <v>17</v>
      </c>
      <c r="L767" s="31" t="s">
        <v>18</v>
      </c>
      <c r="M767" s="33" t="s">
        <v>19</v>
      </c>
      <c r="N767" s="31" t="s">
        <v>20</v>
      </c>
      <c r="O767" s="31" t="s">
        <v>21</v>
      </c>
      <c r="P767" s="31" t="s">
        <v>22</v>
      </c>
      <c r="Q767" s="33" t="s">
        <v>23</v>
      </c>
      <c r="R767" s="131" t="s">
        <v>24</v>
      </c>
    </row>
    <row r="768" spans="1:18" ht="16.5" customHeight="1" thickBot="1" x14ac:dyDescent="0.35">
      <c r="A768" s="41"/>
      <c r="B768" s="36"/>
      <c r="C768" s="36"/>
      <c r="D768" s="36"/>
      <c r="E768" s="132"/>
      <c r="F768" s="36"/>
      <c r="G768" s="36"/>
      <c r="H768" s="36"/>
      <c r="I768" s="132"/>
      <c r="J768" s="36"/>
      <c r="K768" s="36"/>
      <c r="L768" s="36"/>
      <c r="M768" s="132"/>
      <c r="N768" s="36"/>
      <c r="O768" s="36"/>
      <c r="P768" s="36"/>
      <c r="Q768" s="132"/>
      <c r="R768" s="38"/>
    </row>
    <row r="769" spans="1:18" ht="15.75" customHeight="1" x14ac:dyDescent="0.3">
      <c r="A769" s="15" t="s">
        <v>48</v>
      </c>
      <c r="B769" s="1" t="s">
        <v>7</v>
      </c>
      <c r="C769" s="1" t="s">
        <v>7</v>
      </c>
      <c r="D769" s="1" t="s">
        <v>7</v>
      </c>
      <c r="E769" s="55" t="s">
        <v>7</v>
      </c>
      <c r="F769" s="1" t="s">
        <v>7</v>
      </c>
      <c r="G769" s="1" t="s">
        <v>7</v>
      </c>
      <c r="H769" s="1" t="s">
        <v>7</v>
      </c>
      <c r="I769" s="55" t="s">
        <v>7</v>
      </c>
      <c r="J769" s="1" t="s">
        <v>7</v>
      </c>
      <c r="K769" s="1" t="s">
        <v>7</v>
      </c>
      <c r="L769" s="1" t="s">
        <v>7</v>
      </c>
      <c r="M769" s="55" t="s">
        <v>7</v>
      </c>
      <c r="N769" s="1" t="s">
        <v>7</v>
      </c>
      <c r="O769" s="1" t="s">
        <v>7</v>
      </c>
      <c r="P769" s="1" t="s">
        <v>7</v>
      </c>
      <c r="Q769" s="55" t="s">
        <v>7</v>
      </c>
      <c r="R769" s="55" t="s">
        <v>7</v>
      </c>
    </row>
    <row r="770" spans="1:18" ht="15.75" customHeight="1" x14ac:dyDescent="0.3">
      <c r="A770" s="15" t="s">
        <v>49</v>
      </c>
      <c r="B770" s="1"/>
      <c r="C770" s="1"/>
      <c r="D770" s="1"/>
      <c r="E770" s="55" t="s">
        <v>7</v>
      </c>
      <c r="F770" s="1"/>
      <c r="G770" s="1"/>
      <c r="H770" s="1"/>
      <c r="I770" s="55" t="s">
        <v>7</v>
      </c>
      <c r="J770" s="1"/>
      <c r="K770" s="1"/>
      <c r="L770" s="1"/>
      <c r="M770" s="55" t="s">
        <v>7</v>
      </c>
      <c r="N770" s="1"/>
      <c r="O770" s="1"/>
      <c r="P770" s="1"/>
      <c r="Q770" s="55" t="s">
        <v>7</v>
      </c>
      <c r="R770" s="55" t="s">
        <v>7</v>
      </c>
    </row>
    <row r="771" spans="1:18" ht="15.75" customHeight="1" x14ac:dyDescent="0.3">
      <c r="A771" s="71" t="s">
        <v>357</v>
      </c>
      <c r="B771" s="1"/>
      <c r="C771" s="1"/>
      <c r="D771" s="1"/>
      <c r="E771" s="55">
        <f>SUM(B771:D771)</f>
        <v>0</v>
      </c>
      <c r="F771" s="1"/>
      <c r="G771" s="1">
        <v>46</v>
      </c>
      <c r="H771" s="1"/>
      <c r="I771" s="55">
        <f>SUM(F771:H771)</f>
        <v>46</v>
      </c>
      <c r="J771" s="1"/>
      <c r="K771" s="1"/>
      <c r="L771" s="1"/>
      <c r="M771" s="55">
        <f>SUM(J771:L771)</f>
        <v>0</v>
      </c>
      <c r="N771" s="1"/>
      <c r="O771" s="1"/>
      <c r="P771" s="1"/>
      <c r="Q771" s="55">
        <f>SUM(N771:P771)</f>
        <v>0</v>
      </c>
      <c r="R771" s="55">
        <f>+E771+I771+M771+Q771</f>
        <v>46</v>
      </c>
    </row>
    <row r="772" spans="1:18" ht="15.75" customHeight="1" x14ac:dyDescent="0.3">
      <c r="A772" s="15" t="s">
        <v>50</v>
      </c>
      <c r="B772" s="1"/>
      <c r="C772" s="1"/>
      <c r="D772" s="1"/>
      <c r="E772" s="55" t="s">
        <v>7</v>
      </c>
      <c r="F772" s="1"/>
      <c r="G772" s="1"/>
      <c r="H772" s="1"/>
      <c r="I772" s="55" t="s">
        <v>7</v>
      </c>
      <c r="J772" s="1"/>
      <c r="K772" s="1"/>
      <c r="L772" s="1"/>
      <c r="M772" s="55" t="s">
        <v>7</v>
      </c>
      <c r="N772" s="1"/>
      <c r="O772" s="1"/>
      <c r="P772" s="1"/>
      <c r="Q772" s="55" t="s">
        <v>7</v>
      </c>
      <c r="R772" s="55" t="s">
        <v>7</v>
      </c>
    </row>
    <row r="773" spans="1:18" ht="15.75" customHeight="1" x14ac:dyDescent="0.3">
      <c r="A773" s="15" t="s">
        <v>1186</v>
      </c>
      <c r="B773" s="1"/>
      <c r="C773" s="1"/>
      <c r="D773" s="1"/>
      <c r="E773" s="55" t="s">
        <v>7</v>
      </c>
      <c r="F773" s="1"/>
      <c r="G773" s="1"/>
      <c r="H773" s="1"/>
      <c r="I773" s="55" t="s">
        <v>7</v>
      </c>
      <c r="J773" s="1"/>
      <c r="K773" s="1"/>
      <c r="L773" s="1"/>
      <c r="M773" s="55" t="s">
        <v>7</v>
      </c>
      <c r="N773" s="1"/>
      <c r="O773" s="1"/>
      <c r="P773" s="1"/>
      <c r="Q773" s="55" t="s">
        <v>7</v>
      </c>
      <c r="R773" s="55" t="s">
        <v>7</v>
      </c>
    </row>
    <row r="774" spans="1:18" ht="15.75" customHeight="1" thickBot="1" x14ac:dyDescent="0.35">
      <c r="A774" s="15" t="s">
        <v>53</v>
      </c>
      <c r="B774" s="1"/>
      <c r="C774" s="1"/>
      <c r="D774" s="1"/>
      <c r="E774" s="55" t="s">
        <v>7</v>
      </c>
      <c r="F774" s="1"/>
      <c r="G774" s="1"/>
      <c r="H774" s="1"/>
      <c r="I774" s="55" t="s">
        <v>7</v>
      </c>
      <c r="J774" s="1"/>
      <c r="K774" s="1"/>
      <c r="L774" s="1"/>
      <c r="M774" s="55" t="s">
        <v>7</v>
      </c>
      <c r="N774" s="1"/>
      <c r="O774" s="1"/>
      <c r="P774" s="1"/>
      <c r="Q774" s="55" t="s">
        <v>7</v>
      </c>
      <c r="R774" s="55" t="s">
        <v>7</v>
      </c>
    </row>
    <row r="775" spans="1:18" ht="16.5" customHeight="1" thickBot="1" x14ac:dyDescent="0.35">
      <c r="A775" s="57" t="s">
        <v>54</v>
      </c>
      <c r="B775" s="86">
        <f>SUM(B769:B774)</f>
        <v>0</v>
      </c>
      <c r="C775" s="87">
        <f>SUM(C769:C774)</f>
        <v>0</v>
      </c>
      <c r="D775" s="87">
        <f>SUM(D769:D774)</f>
        <v>0</v>
      </c>
      <c r="E775" s="59">
        <f>SUM(B775:D775)</f>
        <v>0</v>
      </c>
      <c r="F775" s="87">
        <f>SUM(F769:F774)</f>
        <v>0</v>
      </c>
      <c r="G775" s="87">
        <f>SUM(G769:G774)</f>
        <v>46</v>
      </c>
      <c r="H775" s="87">
        <f>SUM(H769:H774)</f>
        <v>0</v>
      </c>
      <c r="I775" s="59">
        <f>SUM(F775:H775)</f>
        <v>46</v>
      </c>
      <c r="J775" s="87">
        <f>SUM(J769:J774)</f>
        <v>0</v>
      </c>
      <c r="K775" s="87">
        <f>SUM(K769:K774)</f>
        <v>0</v>
      </c>
      <c r="L775" s="87">
        <f>SUM(L769:L774)</f>
        <v>0</v>
      </c>
      <c r="M775" s="59">
        <f>SUM(J775:L775)</f>
        <v>0</v>
      </c>
      <c r="N775" s="87">
        <f>SUM(N769:N774)</f>
        <v>0</v>
      </c>
      <c r="O775" s="87">
        <f>SUM(O769:O774)</f>
        <v>0</v>
      </c>
      <c r="P775" s="87">
        <f>SUM(P769:P774)</f>
        <v>0</v>
      </c>
      <c r="Q775" s="59">
        <f>SUM(N775:P775)</f>
        <v>0</v>
      </c>
      <c r="R775" s="59">
        <f>+E775+I775+M775+Q775</f>
        <v>46</v>
      </c>
    </row>
    <row r="776" spans="1:18" ht="15.75" customHeight="1" x14ac:dyDescent="0.3">
      <c r="A776" s="15" t="s">
        <v>55</v>
      </c>
      <c r="B776" s="1"/>
      <c r="C776" s="1"/>
      <c r="D776" s="1"/>
      <c r="E776" s="55" t="s">
        <v>7</v>
      </c>
      <c r="F776" s="1"/>
      <c r="G776" s="1"/>
      <c r="H776" s="1"/>
      <c r="I776" s="55" t="s">
        <v>7</v>
      </c>
      <c r="J776" s="1"/>
      <c r="K776" s="1"/>
      <c r="L776" s="1"/>
      <c r="M776" s="55" t="s">
        <v>7</v>
      </c>
      <c r="N776" s="1"/>
      <c r="O776" s="1"/>
      <c r="P776" s="1"/>
      <c r="Q776" s="55" t="s">
        <v>7</v>
      </c>
      <c r="R776" s="55" t="s">
        <v>7</v>
      </c>
    </row>
    <row r="777" spans="1:18" ht="15.75" customHeight="1" x14ac:dyDescent="0.3">
      <c r="A777" s="15" t="s">
        <v>57</v>
      </c>
      <c r="B777" s="1"/>
      <c r="C777" s="1"/>
      <c r="D777" s="1"/>
      <c r="E777" s="55" t="s">
        <v>7</v>
      </c>
      <c r="F777" s="1"/>
      <c r="G777" s="1"/>
      <c r="H777" s="1"/>
      <c r="I777" s="55" t="s">
        <v>7</v>
      </c>
      <c r="J777" s="1"/>
      <c r="K777" s="1"/>
      <c r="L777" s="1"/>
      <c r="M777" s="55" t="s">
        <v>7</v>
      </c>
      <c r="N777" s="1"/>
      <c r="O777" s="1"/>
      <c r="P777" s="1"/>
      <c r="Q777" s="55" t="s">
        <v>7</v>
      </c>
      <c r="R777" s="55" t="s">
        <v>7</v>
      </c>
    </row>
    <row r="778" spans="1:18" ht="15.75" customHeight="1" thickBot="1" x14ac:dyDescent="0.35">
      <c r="A778" s="15" t="s">
        <v>58</v>
      </c>
      <c r="B778" s="1"/>
      <c r="C778" s="1"/>
      <c r="D778" s="1"/>
      <c r="E778" s="55" t="s">
        <v>7</v>
      </c>
      <c r="F778" s="1"/>
      <c r="G778" s="1"/>
      <c r="H778" s="1"/>
      <c r="I778" s="55" t="s">
        <v>7</v>
      </c>
      <c r="J778" s="1"/>
      <c r="K778" s="1"/>
      <c r="L778" s="1"/>
      <c r="M778" s="55" t="s">
        <v>7</v>
      </c>
      <c r="N778" s="1"/>
      <c r="O778" s="1"/>
      <c r="P778" s="1"/>
      <c r="Q778" s="55" t="s">
        <v>7</v>
      </c>
      <c r="R778" s="55" t="s">
        <v>7</v>
      </c>
    </row>
    <row r="779" spans="1:18" ht="16.5" customHeight="1" thickBot="1" x14ac:dyDescent="0.35">
      <c r="A779" s="57" t="s">
        <v>59</v>
      </c>
      <c r="B779" s="86">
        <f>SUM(B776:B778)</f>
        <v>0</v>
      </c>
      <c r="C779" s="87">
        <f>SUM(C776:C778)</f>
        <v>0</v>
      </c>
      <c r="D779" s="87">
        <f>SUM(D776:D778)</f>
        <v>0</v>
      </c>
      <c r="E779" s="59">
        <f>SUM(B779:D779)</f>
        <v>0</v>
      </c>
      <c r="F779" s="87">
        <f>SUM(F776:F778)</f>
        <v>0</v>
      </c>
      <c r="G779" s="87">
        <f>SUM(G776:G778)</f>
        <v>0</v>
      </c>
      <c r="H779" s="87">
        <f>SUM(H776:H778)</f>
        <v>0</v>
      </c>
      <c r="I779" s="59">
        <f>SUM(F779:H779)</f>
        <v>0</v>
      </c>
      <c r="J779" s="87">
        <f>SUM(J776:J778)</f>
        <v>0</v>
      </c>
      <c r="K779" s="87">
        <f>SUM(K776:K778)</f>
        <v>0</v>
      </c>
      <c r="L779" s="87">
        <f>SUM(L776:L778)</f>
        <v>0</v>
      </c>
      <c r="M779" s="59">
        <f>SUM(J779:L779)</f>
        <v>0</v>
      </c>
      <c r="N779" s="87">
        <f>SUM(N776:N778)</f>
        <v>0</v>
      </c>
      <c r="O779" s="87">
        <f>SUM(O776:O778)</f>
        <v>0</v>
      </c>
      <c r="P779" s="87">
        <f>SUM(P776:P778)</f>
        <v>0</v>
      </c>
      <c r="Q779" s="59">
        <f>SUM(N779:P779)</f>
        <v>0</v>
      </c>
      <c r="R779" s="59">
        <f>+E779+I779+M779+Q779</f>
        <v>0</v>
      </c>
    </row>
    <row r="780" spans="1:18" ht="15.75" customHeight="1" x14ac:dyDescent="0.3">
      <c r="A780" s="15" t="s">
        <v>60</v>
      </c>
      <c r="B780" s="1"/>
      <c r="C780" s="1"/>
      <c r="D780" s="1"/>
      <c r="E780" s="55" t="s">
        <v>7</v>
      </c>
      <c r="F780" s="1"/>
      <c r="G780" s="1"/>
      <c r="H780" s="1"/>
      <c r="I780" s="55" t="s">
        <v>7</v>
      </c>
      <c r="J780" s="1"/>
      <c r="K780" s="1"/>
      <c r="L780" s="1"/>
      <c r="M780" s="55" t="s">
        <v>7</v>
      </c>
      <c r="N780" s="1"/>
      <c r="O780" s="1"/>
      <c r="P780" s="1"/>
      <c r="Q780" s="55" t="s">
        <v>7</v>
      </c>
      <c r="R780" s="55" t="s">
        <v>7</v>
      </c>
    </row>
    <row r="781" spans="1:18" ht="15.75" customHeight="1" x14ac:dyDescent="0.3">
      <c r="A781" s="15" t="s">
        <v>61</v>
      </c>
      <c r="B781" s="1"/>
      <c r="C781" s="1"/>
      <c r="D781" s="1"/>
      <c r="E781" s="55" t="s">
        <v>7</v>
      </c>
      <c r="F781" s="1"/>
      <c r="G781" s="1"/>
      <c r="H781" s="1"/>
      <c r="I781" s="55" t="s">
        <v>7</v>
      </c>
      <c r="J781" s="1"/>
      <c r="K781" s="1"/>
      <c r="L781" s="1"/>
      <c r="M781" s="55" t="s">
        <v>7</v>
      </c>
      <c r="N781" s="1"/>
      <c r="O781" s="1"/>
      <c r="P781" s="1"/>
      <c r="Q781" s="55" t="s">
        <v>7</v>
      </c>
      <c r="R781" s="55" t="s">
        <v>7</v>
      </c>
    </row>
    <row r="782" spans="1:18" ht="15.75" customHeight="1" thickBot="1" x14ac:dyDescent="0.35">
      <c r="A782" s="15" t="s">
        <v>62</v>
      </c>
      <c r="B782" s="1"/>
      <c r="C782" s="1"/>
      <c r="D782" s="1"/>
      <c r="E782" s="55" t="s">
        <v>7</v>
      </c>
      <c r="F782" s="1"/>
      <c r="G782" s="1"/>
      <c r="H782" s="1"/>
      <c r="I782" s="55" t="s">
        <v>7</v>
      </c>
      <c r="J782" s="1"/>
      <c r="K782" s="1"/>
      <c r="L782" s="1"/>
      <c r="M782" s="55" t="s">
        <v>7</v>
      </c>
      <c r="N782" s="1"/>
      <c r="O782" s="1"/>
      <c r="P782" s="1"/>
      <c r="Q782" s="55" t="s">
        <v>7</v>
      </c>
      <c r="R782" s="55" t="s">
        <v>7</v>
      </c>
    </row>
    <row r="783" spans="1:18" ht="16.5" customHeight="1" thickBot="1" x14ac:dyDescent="0.35">
      <c r="A783" s="57" t="s">
        <v>63</v>
      </c>
      <c r="B783" s="86">
        <f>SUM(B780:B782)</f>
        <v>0</v>
      </c>
      <c r="C783" s="87">
        <f>SUM(C780:C782)</f>
        <v>0</v>
      </c>
      <c r="D783" s="87">
        <f>SUM(D780:D782)</f>
        <v>0</v>
      </c>
      <c r="E783" s="59">
        <f>SUM(B783:D783)</f>
        <v>0</v>
      </c>
      <c r="F783" s="87">
        <f>SUM(F780:F782)</f>
        <v>0</v>
      </c>
      <c r="G783" s="87">
        <f>SUM(G780:G782)</f>
        <v>0</v>
      </c>
      <c r="H783" s="87">
        <f>SUM(H780:H782)</f>
        <v>0</v>
      </c>
      <c r="I783" s="59">
        <f>SUM(F783:H783)</f>
        <v>0</v>
      </c>
      <c r="J783" s="87">
        <f>SUM(J780:J782)</f>
        <v>0</v>
      </c>
      <c r="K783" s="87">
        <f>SUM(K780:K782)</f>
        <v>0</v>
      </c>
      <c r="L783" s="87">
        <f>SUM(L780:L782)</f>
        <v>0</v>
      </c>
      <c r="M783" s="59">
        <f>SUM(J783:L783)</f>
        <v>0</v>
      </c>
      <c r="N783" s="87">
        <f>SUM(N780:N782)</f>
        <v>0</v>
      </c>
      <c r="O783" s="87">
        <f>SUM(O780:O782)</f>
        <v>0</v>
      </c>
      <c r="P783" s="87">
        <f>SUM(P780:P782)</f>
        <v>0</v>
      </c>
      <c r="Q783" s="59">
        <f>SUM(N783:P783)</f>
        <v>0</v>
      </c>
      <c r="R783" s="59">
        <f>+E783+I783+M783+Q783</f>
        <v>0</v>
      </c>
    </row>
    <row r="784" spans="1:18" ht="15.75" customHeight="1" x14ac:dyDescent="0.3">
      <c r="A784" s="15" t="s">
        <v>64</v>
      </c>
      <c r="B784" s="1"/>
      <c r="C784" s="1"/>
      <c r="D784" s="1"/>
      <c r="E784" s="55" t="s">
        <v>7</v>
      </c>
      <c r="F784" s="1"/>
      <c r="G784" s="1"/>
      <c r="H784" s="1"/>
      <c r="I784" s="55" t="s">
        <v>7</v>
      </c>
      <c r="J784" s="1"/>
      <c r="K784" s="1"/>
      <c r="L784" s="1"/>
      <c r="M784" s="55" t="s">
        <v>7</v>
      </c>
      <c r="N784" s="1"/>
      <c r="O784" s="1"/>
      <c r="P784" s="1"/>
      <c r="Q784" s="55" t="s">
        <v>7</v>
      </c>
      <c r="R784" s="55" t="s">
        <v>7</v>
      </c>
    </row>
    <row r="785" spans="1:18" ht="15.75" customHeight="1" x14ac:dyDescent="0.3">
      <c r="A785" s="15" t="s">
        <v>594</v>
      </c>
      <c r="B785" s="1"/>
      <c r="C785" s="1"/>
      <c r="D785" s="1"/>
      <c r="E785" s="55" t="s">
        <v>7</v>
      </c>
      <c r="F785" s="1"/>
      <c r="G785" s="1"/>
      <c r="H785" s="1"/>
      <c r="I785" s="55" t="s">
        <v>7</v>
      </c>
      <c r="J785" s="1"/>
      <c r="K785" s="1"/>
      <c r="L785" s="1"/>
      <c r="M785" s="55" t="s">
        <v>7</v>
      </c>
      <c r="N785" s="1"/>
      <c r="O785" s="1"/>
      <c r="P785" s="1"/>
      <c r="Q785" s="55" t="s">
        <v>7</v>
      </c>
      <c r="R785" s="55" t="s">
        <v>7</v>
      </c>
    </row>
    <row r="786" spans="1:18" ht="15.75" customHeight="1" x14ac:dyDescent="0.3">
      <c r="A786" s="15" t="s">
        <v>67</v>
      </c>
      <c r="B786" s="1"/>
      <c r="C786" s="1"/>
      <c r="D786" s="1"/>
      <c r="E786" s="55" t="s">
        <v>7</v>
      </c>
      <c r="F786" s="1"/>
      <c r="G786" s="1"/>
      <c r="H786" s="1"/>
      <c r="I786" s="55" t="s">
        <v>7</v>
      </c>
      <c r="J786" s="1"/>
      <c r="K786" s="1"/>
      <c r="L786" s="1"/>
      <c r="M786" s="55" t="s">
        <v>7</v>
      </c>
      <c r="N786" s="1"/>
      <c r="O786" s="1"/>
      <c r="P786" s="1"/>
      <c r="Q786" s="55" t="s">
        <v>7</v>
      </c>
      <c r="R786" s="55" t="s">
        <v>7</v>
      </c>
    </row>
    <row r="787" spans="1:18" ht="15.75" customHeight="1" x14ac:dyDescent="0.3">
      <c r="A787" s="15" t="s">
        <v>600</v>
      </c>
      <c r="B787" s="1"/>
      <c r="C787" s="1"/>
      <c r="D787" s="1"/>
      <c r="E787" s="55" t="s">
        <v>7</v>
      </c>
      <c r="F787" s="1"/>
      <c r="G787" s="1"/>
      <c r="H787" s="1"/>
      <c r="I787" s="55" t="s">
        <v>7</v>
      </c>
      <c r="J787" s="1"/>
      <c r="K787" s="1"/>
      <c r="L787" s="1"/>
      <c r="M787" s="55" t="s">
        <v>7</v>
      </c>
      <c r="N787" s="1"/>
      <c r="O787" s="1"/>
      <c r="P787" s="1"/>
      <c r="Q787" s="55" t="s">
        <v>7</v>
      </c>
      <c r="R787" s="55" t="s">
        <v>7</v>
      </c>
    </row>
    <row r="788" spans="1:18" ht="15.75" customHeight="1" thickBot="1" x14ac:dyDescent="0.35">
      <c r="A788" s="15" t="s">
        <v>70</v>
      </c>
      <c r="B788" s="1"/>
      <c r="C788" s="1"/>
      <c r="D788" s="1"/>
      <c r="E788" s="55" t="s">
        <v>7</v>
      </c>
      <c r="F788" s="1"/>
      <c r="G788" s="1"/>
      <c r="H788" s="1"/>
      <c r="I788" s="55" t="s">
        <v>7</v>
      </c>
      <c r="J788" s="1"/>
      <c r="K788" s="1"/>
      <c r="L788" s="1"/>
      <c r="M788" s="55" t="s">
        <v>7</v>
      </c>
      <c r="N788" s="1"/>
      <c r="O788" s="1"/>
      <c r="P788" s="1"/>
      <c r="Q788" s="55" t="s">
        <v>7</v>
      </c>
      <c r="R788" s="55" t="s">
        <v>7</v>
      </c>
    </row>
    <row r="789" spans="1:18" ht="16.5" customHeight="1" thickBot="1" x14ac:dyDescent="0.35">
      <c r="A789" s="57" t="s">
        <v>71</v>
      </c>
      <c r="B789" s="58">
        <f>SUM(B787:B788)</f>
        <v>0</v>
      </c>
      <c r="C789" s="58">
        <f>SUM(C787:C788)</f>
        <v>0</v>
      </c>
      <c r="D789" s="58">
        <f>SUM(D787:D788)</f>
        <v>0</v>
      </c>
      <c r="E789" s="60">
        <f>SUM(B789:D789)</f>
        <v>0</v>
      </c>
      <c r="F789" s="58">
        <f>SUM(F787:F788)</f>
        <v>0</v>
      </c>
      <c r="G789" s="58">
        <f>SUM(G787:G788)</f>
        <v>0</v>
      </c>
      <c r="H789" s="58">
        <f>SUM(H787:H788)</f>
        <v>0</v>
      </c>
      <c r="I789" s="60">
        <f>SUM(F789:H789)</f>
        <v>0</v>
      </c>
      <c r="J789" s="58">
        <f>SUM(J787:J788)</f>
        <v>0</v>
      </c>
      <c r="K789" s="58">
        <f>SUM(K787:K788)</f>
        <v>0</v>
      </c>
      <c r="L789" s="58">
        <f>SUM(L787:L788)</f>
        <v>0</v>
      </c>
      <c r="M789" s="60">
        <f>SUM(J789:L789)</f>
        <v>0</v>
      </c>
      <c r="N789" s="58">
        <f>SUM(N787:N788)</f>
        <v>0</v>
      </c>
      <c r="O789" s="58">
        <f>SUM(O787:O788)</f>
        <v>0</v>
      </c>
      <c r="P789" s="58">
        <f>SUM(P787:P788)</f>
        <v>0</v>
      </c>
      <c r="Q789" s="60">
        <f>SUM(N789:P789)</f>
        <v>0</v>
      </c>
      <c r="R789" s="59">
        <f>+E789+I789+M789+Q789</f>
        <v>0</v>
      </c>
    </row>
    <row r="790" spans="1:18" ht="16.5" customHeight="1" thickBot="1" x14ac:dyDescent="0.35">
      <c r="A790" s="57" t="s">
        <v>72</v>
      </c>
      <c r="B790" s="86">
        <f>SUM(B784:B788)</f>
        <v>0</v>
      </c>
      <c r="C790" s="87">
        <f>SUM(C784:C788)</f>
        <v>0</v>
      </c>
      <c r="D790" s="118">
        <f>SUM(D784:D788)</f>
        <v>0</v>
      </c>
      <c r="E790" s="60">
        <f>SUM(B790:D790)</f>
        <v>0</v>
      </c>
      <c r="F790" s="87">
        <f>SUM(F784:F788)</f>
        <v>0</v>
      </c>
      <c r="G790" s="87">
        <f>SUM(G784:G788)</f>
        <v>0</v>
      </c>
      <c r="H790" s="87">
        <f>SUM(H784:H788)</f>
        <v>0</v>
      </c>
      <c r="I790" s="60">
        <f>SUM(F790:H790)</f>
        <v>0</v>
      </c>
      <c r="J790" s="87">
        <f>SUM(J784:J788)</f>
        <v>0</v>
      </c>
      <c r="K790" s="87">
        <f>SUM(K784:K788)</f>
        <v>0</v>
      </c>
      <c r="L790" s="87">
        <f>SUM(L784:L788)</f>
        <v>0</v>
      </c>
      <c r="M790" s="60">
        <f>SUM(J790:L790)</f>
        <v>0</v>
      </c>
      <c r="N790" s="87">
        <f>SUM(N784:N788)</f>
        <v>0</v>
      </c>
      <c r="O790" s="87">
        <f>SUM(O784:O788)</f>
        <v>0</v>
      </c>
      <c r="P790" s="87">
        <f>SUM(P784:P788)</f>
        <v>0</v>
      </c>
      <c r="Q790" s="60">
        <f>SUM(N790:P790)</f>
        <v>0</v>
      </c>
      <c r="R790" s="59">
        <f>+E790+I790+M790+Q790</f>
        <v>0</v>
      </c>
    </row>
    <row r="791" spans="1:18" ht="16.5" customHeight="1" thickBot="1" x14ac:dyDescent="0.35">
      <c r="A791" s="57" t="s">
        <v>73</v>
      </c>
      <c r="B791" s="90">
        <f>+B775+B779+B783+B790</f>
        <v>0</v>
      </c>
      <c r="C791" s="58">
        <f>+C775+C779+C783+C790</f>
        <v>0</v>
      </c>
      <c r="D791" s="58">
        <f>+D775+D779+D783+D790</f>
        <v>0</v>
      </c>
      <c r="E791" s="59">
        <f>SUM(B791:D791)</f>
        <v>0</v>
      </c>
      <c r="F791" s="58">
        <f>+F775+F779+F783+F790</f>
        <v>0</v>
      </c>
      <c r="G791" s="58">
        <f>+G775+G779+G783+G790</f>
        <v>46</v>
      </c>
      <c r="H791" s="58">
        <f>+H775+H779+H783+H790</f>
        <v>0</v>
      </c>
      <c r="I791" s="59">
        <f>SUM(F791:H791)</f>
        <v>46</v>
      </c>
      <c r="J791" s="58">
        <f>+J775+J779+J783+J790</f>
        <v>0</v>
      </c>
      <c r="K791" s="58">
        <f>+K775+K779+K783+K790</f>
        <v>0</v>
      </c>
      <c r="L791" s="58">
        <f>+L775+L779+L783+L790</f>
        <v>0</v>
      </c>
      <c r="M791" s="59">
        <f>SUM(J791:L791)</f>
        <v>0</v>
      </c>
      <c r="N791" s="58">
        <f>+N775+N779+N783+N790</f>
        <v>0</v>
      </c>
      <c r="O791" s="58">
        <f>+O775+O779+O783+O790</f>
        <v>0</v>
      </c>
      <c r="P791" s="58">
        <f>+P775+P779+P783+P790</f>
        <v>0</v>
      </c>
      <c r="Q791" s="59">
        <f>SUM(N791:P791)</f>
        <v>0</v>
      </c>
      <c r="R791" s="81">
        <f>+E791+I791+M791+Q791</f>
        <v>46</v>
      </c>
    </row>
    <row r="792" spans="1:18" ht="15.75" customHeight="1" x14ac:dyDescent="0.3">
      <c r="A792" s="71" t="s">
        <v>358</v>
      </c>
      <c r="B792" s="1">
        <v>3805</v>
      </c>
      <c r="C792" s="1">
        <v>3805</v>
      </c>
      <c r="D792" s="1">
        <v>4757</v>
      </c>
      <c r="E792" s="55">
        <f>SUM(B792:D792)</f>
        <v>12367</v>
      </c>
      <c r="F792" s="1">
        <v>5708</v>
      </c>
      <c r="G792" s="1">
        <v>6659</v>
      </c>
      <c r="H792" s="1">
        <v>6850</v>
      </c>
      <c r="I792" s="55">
        <f>SUM(F792:H792)</f>
        <v>19217</v>
      </c>
      <c r="J792" s="1">
        <v>6184</v>
      </c>
      <c r="K792" s="1">
        <v>5708</v>
      </c>
      <c r="L792" s="1">
        <v>5232</v>
      </c>
      <c r="M792" s="55">
        <f>SUM(J792:L792)</f>
        <v>17124</v>
      </c>
      <c r="N792" s="1">
        <v>4757</v>
      </c>
      <c r="O792" s="1">
        <v>4281</v>
      </c>
      <c r="P792" s="1">
        <v>3805</v>
      </c>
      <c r="Q792" s="55">
        <f>SUM(N792:P792)</f>
        <v>12843</v>
      </c>
      <c r="R792" s="55">
        <f>+E792+I792+M792+Q792</f>
        <v>61551</v>
      </c>
    </row>
    <row r="793" spans="1:18" ht="15.75" customHeight="1" thickBot="1" x14ac:dyDescent="0.35">
      <c r="A793" s="71" t="s">
        <v>40</v>
      </c>
      <c r="B793" s="1">
        <v>0</v>
      </c>
      <c r="C793" s="1">
        <v>0</v>
      </c>
      <c r="D793" s="1">
        <v>0</v>
      </c>
      <c r="E793" s="55">
        <f>SUM(B793:D793)</f>
        <v>0</v>
      </c>
      <c r="F793" s="1">
        <v>0</v>
      </c>
      <c r="G793" s="1">
        <v>0</v>
      </c>
      <c r="H793" s="1">
        <v>0</v>
      </c>
      <c r="I793" s="55">
        <f>SUM(F793:H793)</f>
        <v>0</v>
      </c>
      <c r="J793" s="1">
        <v>0</v>
      </c>
      <c r="K793" s="1">
        <v>0</v>
      </c>
      <c r="L793" s="1">
        <v>0</v>
      </c>
      <c r="M793" s="55">
        <f>SUM(J793:L793)</f>
        <v>0</v>
      </c>
      <c r="N793" s="1">
        <v>0</v>
      </c>
      <c r="O793" s="1">
        <v>0</v>
      </c>
      <c r="P793" s="1">
        <v>0</v>
      </c>
      <c r="Q793" s="55">
        <f>SUM(N793:P793)</f>
        <v>0</v>
      </c>
      <c r="R793" s="55">
        <f>+E793+I793+M793+Q793</f>
        <v>0</v>
      </c>
    </row>
    <row r="794" spans="1:18" ht="16.5" customHeight="1" thickBot="1" x14ac:dyDescent="0.35">
      <c r="A794" s="130"/>
      <c r="B794" s="51"/>
      <c r="C794" s="51"/>
      <c r="D794" s="51"/>
      <c r="E794" s="59" t="s">
        <v>7</v>
      </c>
      <c r="F794" s="51"/>
      <c r="G794" s="51"/>
      <c r="H794" s="51"/>
      <c r="I794" s="59" t="s">
        <v>7</v>
      </c>
      <c r="J794" s="51"/>
      <c r="K794" s="51"/>
      <c r="L794" s="51"/>
      <c r="M794" s="59" t="s">
        <v>7</v>
      </c>
      <c r="N794" s="51"/>
      <c r="O794" s="51"/>
      <c r="P794" s="51"/>
      <c r="Q794" s="59"/>
      <c r="R794" s="59"/>
    </row>
    <row r="795" spans="1:18" ht="15.75" customHeight="1" x14ac:dyDescent="0.3">
      <c r="A795" s="15" t="s">
        <v>41</v>
      </c>
      <c r="B795" s="1">
        <f>SUM(B791:B793)</f>
        <v>3805</v>
      </c>
      <c r="C795" s="1">
        <f>SUM(C791:C793)</f>
        <v>3805</v>
      </c>
      <c r="D795" s="1">
        <f>SUM(D791:D793)</f>
        <v>4757</v>
      </c>
      <c r="E795" s="60">
        <f>SUM(B795:D795)</f>
        <v>12367</v>
      </c>
      <c r="F795" s="1">
        <f>SUM(F791:F793)</f>
        <v>5708</v>
      </c>
      <c r="G795" s="1">
        <f>SUM(G791:G793)</f>
        <v>6705</v>
      </c>
      <c r="H795" s="1">
        <f>SUM(H791:H793)</f>
        <v>6850</v>
      </c>
      <c r="I795" s="60">
        <f>SUM(F795:H795)</f>
        <v>19263</v>
      </c>
      <c r="J795" s="1">
        <f>SUM(J791:J793)</f>
        <v>6184</v>
      </c>
      <c r="K795" s="1">
        <f>SUM(K791:K793)</f>
        <v>5708</v>
      </c>
      <c r="L795" s="1">
        <f>SUM(L791:L793)</f>
        <v>5232</v>
      </c>
      <c r="M795" s="60">
        <f>SUM(J795:L795)</f>
        <v>17124</v>
      </c>
      <c r="N795" s="1">
        <f>SUM(N791:N793)</f>
        <v>4757</v>
      </c>
      <c r="O795" s="1">
        <f>SUM(O791:O793)</f>
        <v>4281</v>
      </c>
      <c r="P795" s="1">
        <f>SUM(P791:P793)</f>
        <v>3805</v>
      </c>
      <c r="Q795" s="60">
        <f>SUM(N795:P795)</f>
        <v>12843</v>
      </c>
      <c r="R795" s="60">
        <f>+E795+I795+M795+Q795</f>
        <v>61597</v>
      </c>
    </row>
    <row r="796" spans="1:18" ht="15.75" customHeight="1" x14ac:dyDescent="0.3">
      <c r="A796" s="15" t="s">
        <v>42</v>
      </c>
      <c r="B796" s="1">
        <f>(B795/B10)/1.983</f>
        <v>61.897093032713542</v>
      </c>
      <c r="C796" s="1">
        <f>(C795/C10)/1.983</f>
        <v>68.528924429075715</v>
      </c>
      <c r="D796" s="1">
        <f>(D795/D10)/1.983</f>
        <v>77.383566769150676</v>
      </c>
      <c r="E796" s="55" t="s">
        <v>7</v>
      </c>
      <c r="F796" s="1">
        <f>(F795/F10)/1.983</f>
        <v>95.948898974617592</v>
      </c>
      <c r="G796" s="1">
        <f>(G795/G10)/1.983</f>
        <v>109.07227563320481</v>
      </c>
      <c r="H796" s="1">
        <f>(H795/H10)/1.983</f>
        <v>115.14540258867036</v>
      </c>
      <c r="I796" s="55" t="s">
        <v>7</v>
      </c>
      <c r="J796" s="1">
        <f>(J795/J10)/1.983</f>
        <v>100.59701006946138</v>
      </c>
      <c r="K796" s="1">
        <f>(K795/K10)/1.983</f>
        <v>92.853773201242817</v>
      </c>
      <c r="L796" s="1">
        <f>(L795/L10)/1.983</f>
        <v>87.947554210791722</v>
      </c>
      <c r="M796" s="55" t="s">
        <v>7</v>
      </c>
      <c r="N796" s="1">
        <f>(N795/N10)/1.983</f>
        <v>77.383566769150676</v>
      </c>
      <c r="O796" s="1">
        <f>(O795/O10)/1.983</f>
        <v>71.961674230963183</v>
      </c>
      <c r="P796" s="1">
        <f>(P795/P10)/1.983</f>
        <v>61.897093032713542</v>
      </c>
      <c r="Q796" s="55" t="s">
        <v>7</v>
      </c>
      <c r="R796" s="55" t="s">
        <v>7</v>
      </c>
    </row>
    <row r="797" spans="1:18" ht="15.75" customHeight="1" x14ac:dyDescent="0.3">
      <c r="A797" s="15" t="s">
        <v>359</v>
      </c>
      <c r="B797" s="1">
        <f>B795</f>
        <v>3805</v>
      </c>
      <c r="C797" s="1">
        <f>C795</f>
        <v>3805</v>
      </c>
      <c r="D797" s="1">
        <f>D795</f>
        <v>4757</v>
      </c>
      <c r="E797" s="55">
        <f>SUM(B797:D797)</f>
        <v>12367</v>
      </c>
      <c r="F797" s="1">
        <f>F795</f>
        <v>5708</v>
      </c>
      <c r="G797" s="1">
        <f>G795</f>
        <v>6705</v>
      </c>
      <c r="H797" s="1">
        <f>H795</f>
        <v>6850</v>
      </c>
      <c r="I797" s="55">
        <f>SUM(F797:H797)</f>
        <v>19263</v>
      </c>
      <c r="J797" s="1">
        <f>J795</f>
        <v>6184</v>
      </c>
      <c r="K797" s="1">
        <f>K795</f>
        <v>5708</v>
      </c>
      <c r="L797" s="1">
        <f>L795</f>
        <v>5232</v>
      </c>
      <c r="M797" s="55">
        <f>SUM(J797:L797)</f>
        <v>17124</v>
      </c>
      <c r="N797" s="1">
        <f>N795</f>
        <v>4757</v>
      </c>
      <c r="O797" s="1">
        <f>O795</f>
        <v>4281</v>
      </c>
      <c r="P797" s="1">
        <f>P795</f>
        <v>3805</v>
      </c>
      <c r="Q797" s="55">
        <f>SUM(N797:P797)</f>
        <v>12843</v>
      </c>
      <c r="R797" s="55">
        <f>+E797+I797+M797+Q797</f>
        <v>61597</v>
      </c>
    </row>
    <row r="798" spans="1:18" ht="16.5" customHeight="1" thickBot="1" x14ac:dyDescent="0.35">
      <c r="A798" s="20" t="s">
        <v>360</v>
      </c>
      <c r="B798" s="21">
        <f>(B797/B10)/1.983</f>
        <v>61.897093032713542</v>
      </c>
      <c r="C798" s="21">
        <f>(C797/C10)/1.983</f>
        <v>68.528924429075715</v>
      </c>
      <c r="D798" s="21">
        <f>(D797/D10)/1.983</f>
        <v>77.383566769150676</v>
      </c>
      <c r="E798" s="81" t="s">
        <v>7</v>
      </c>
      <c r="F798" s="21">
        <f>(F797/F10)/1.983</f>
        <v>95.948898974617592</v>
      </c>
      <c r="G798" s="21">
        <f>(G797/G10)/1.983</f>
        <v>109.07227563320481</v>
      </c>
      <c r="H798" s="21">
        <f>(H797/H10)/1.983</f>
        <v>115.14540258867036</v>
      </c>
      <c r="I798" s="81" t="s">
        <v>7</v>
      </c>
      <c r="J798" s="21">
        <f>(J797/J10)/1.983</f>
        <v>100.59701006946138</v>
      </c>
      <c r="K798" s="21">
        <f>(K797/K10)/1.983</f>
        <v>92.853773201242817</v>
      </c>
      <c r="L798" s="21">
        <f>(L797/L10)/1.983</f>
        <v>87.947554210791722</v>
      </c>
      <c r="M798" s="81" t="s">
        <v>7</v>
      </c>
      <c r="N798" s="21">
        <f>(N797/N10)/1.983</f>
        <v>77.383566769150676</v>
      </c>
      <c r="O798" s="21">
        <f>(O797/O10)/1.983</f>
        <v>71.961674230963183</v>
      </c>
      <c r="P798" s="21">
        <f>(P797/P10)/1.983</f>
        <v>61.897093032713542</v>
      </c>
      <c r="Q798" s="81" t="s">
        <v>7</v>
      </c>
      <c r="R798" s="81" t="s">
        <v>7</v>
      </c>
    </row>
    <row r="799" spans="1:18" ht="15.75" customHeight="1" x14ac:dyDescent="0.3">
      <c r="A799" s="2"/>
      <c r="B799" s="1"/>
      <c r="C799" s="1"/>
      <c r="D799" s="1"/>
      <c r="E799" s="1"/>
      <c r="F799" s="1"/>
      <c r="G799" s="1"/>
      <c r="H799" s="1"/>
      <c r="I799" s="1"/>
      <c r="J799" s="1"/>
      <c r="K799" s="1"/>
      <c r="L799" s="1"/>
      <c r="M799" s="1"/>
      <c r="N799" s="1"/>
      <c r="O799" s="1"/>
      <c r="P799" s="1"/>
      <c r="Q799" s="1"/>
      <c r="R799" s="2"/>
    </row>
    <row r="800" spans="1:18" ht="15.75" customHeight="1" thickBot="1" x14ac:dyDescent="0.35">
      <c r="A800" s="2"/>
      <c r="B800" s="1"/>
      <c r="C800" s="1"/>
      <c r="D800" s="1"/>
      <c r="E800" s="1"/>
      <c r="F800" s="1"/>
      <c r="G800" s="1"/>
      <c r="H800" s="1"/>
      <c r="I800" s="1"/>
      <c r="J800" s="1"/>
      <c r="K800" s="1"/>
      <c r="L800" s="1"/>
      <c r="M800" s="1"/>
      <c r="N800" s="1"/>
      <c r="O800" s="1"/>
      <c r="P800" s="1"/>
      <c r="Q800" s="1"/>
      <c r="R800" s="2"/>
    </row>
    <row r="801" spans="1:20" ht="16.5" customHeight="1" thickBot="1" x14ac:dyDescent="0.35">
      <c r="A801" s="124" t="s">
        <v>361</v>
      </c>
      <c r="B801" s="30" t="s">
        <v>8</v>
      </c>
      <c r="C801" s="31" t="s">
        <v>9</v>
      </c>
      <c r="D801" s="31" t="s">
        <v>10</v>
      </c>
      <c r="E801" s="32" t="s">
        <v>11</v>
      </c>
      <c r="F801" s="31" t="s">
        <v>12</v>
      </c>
      <c r="G801" s="31" t="s">
        <v>13</v>
      </c>
      <c r="H801" s="31" t="s">
        <v>14</v>
      </c>
      <c r="I801" s="33" t="s">
        <v>15</v>
      </c>
      <c r="J801" s="31" t="s">
        <v>16</v>
      </c>
      <c r="K801" s="31" t="s">
        <v>17</v>
      </c>
      <c r="L801" s="31" t="s">
        <v>18</v>
      </c>
      <c r="M801" s="33" t="s">
        <v>19</v>
      </c>
      <c r="N801" s="31" t="s">
        <v>20</v>
      </c>
      <c r="O801" s="31" t="s">
        <v>21</v>
      </c>
      <c r="P801" s="31" t="s">
        <v>22</v>
      </c>
      <c r="Q801" s="33" t="s">
        <v>23</v>
      </c>
      <c r="R801" s="133" t="s">
        <v>24</v>
      </c>
    </row>
    <row r="802" spans="1:20" ht="16.5" customHeight="1" thickBot="1" x14ac:dyDescent="0.35">
      <c r="A802" s="41"/>
      <c r="B802" s="36"/>
      <c r="C802" s="36"/>
      <c r="D802" s="36"/>
      <c r="E802" s="52"/>
      <c r="F802" s="36"/>
      <c r="G802" s="36"/>
      <c r="H802" s="36"/>
      <c r="I802" s="132"/>
      <c r="J802" s="36"/>
      <c r="K802" s="36"/>
      <c r="L802" s="36"/>
      <c r="M802" s="132"/>
      <c r="N802" s="36"/>
      <c r="O802" s="36"/>
      <c r="P802" s="36"/>
      <c r="Q802" s="134"/>
      <c r="R802" s="135"/>
    </row>
    <row r="803" spans="1:20" ht="15.75" customHeight="1" x14ac:dyDescent="0.3">
      <c r="A803" s="15" t="s">
        <v>48</v>
      </c>
      <c r="B803" s="1" t="s">
        <v>7</v>
      </c>
      <c r="C803" s="1" t="s">
        <v>7</v>
      </c>
      <c r="D803" s="1" t="s">
        <v>7</v>
      </c>
      <c r="E803" s="136"/>
      <c r="F803" s="1" t="s">
        <v>7</v>
      </c>
      <c r="G803" s="1" t="s">
        <v>7</v>
      </c>
      <c r="H803" s="1" t="s">
        <v>7</v>
      </c>
      <c r="I803" s="136"/>
      <c r="J803" s="1" t="s">
        <v>7</v>
      </c>
      <c r="K803" s="1" t="s">
        <v>7</v>
      </c>
      <c r="L803" s="1" t="s">
        <v>7</v>
      </c>
      <c r="M803" s="136"/>
      <c r="N803" s="1" t="s">
        <v>7</v>
      </c>
      <c r="O803" s="1" t="s">
        <v>7</v>
      </c>
      <c r="P803" s="1" t="s">
        <v>7</v>
      </c>
      <c r="Q803" s="137"/>
      <c r="R803" s="138" t="s">
        <v>7</v>
      </c>
    </row>
    <row r="804" spans="1:20" ht="15.75" customHeight="1" x14ac:dyDescent="0.3">
      <c r="A804" s="15" t="s">
        <v>49</v>
      </c>
      <c r="B804" s="1"/>
      <c r="C804" s="1"/>
      <c r="D804" s="1"/>
      <c r="E804" s="55" t="s">
        <v>7</v>
      </c>
      <c r="F804" s="1"/>
      <c r="G804" s="1"/>
      <c r="H804" s="1"/>
      <c r="I804" s="55" t="s">
        <v>7</v>
      </c>
      <c r="J804" s="1"/>
      <c r="K804" s="1"/>
      <c r="L804" s="1"/>
      <c r="M804" s="55" t="s">
        <v>7</v>
      </c>
      <c r="N804" s="1"/>
      <c r="O804" s="1"/>
      <c r="P804" s="1"/>
      <c r="Q804" s="55" t="s">
        <v>7</v>
      </c>
      <c r="R804" s="55" t="s">
        <v>7</v>
      </c>
    </row>
    <row r="805" spans="1:20" ht="15.75" customHeight="1" x14ac:dyDescent="0.3">
      <c r="A805" s="71" t="s">
        <v>1232</v>
      </c>
      <c r="B805" s="1"/>
      <c r="C805" s="1"/>
      <c r="D805" s="1"/>
      <c r="E805" s="55">
        <f>SUM(B805:D805)</f>
        <v>0</v>
      </c>
      <c r="F805" s="1"/>
      <c r="G805" s="1"/>
      <c r="H805" s="1"/>
      <c r="I805" s="55">
        <f>SUM(F805:H805)</f>
        <v>0</v>
      </c>
      <c r="J805" s="1"/>
      <c r="K805" s="1"/>
      <c r="L805" s="1"/>
      <c r="M805" s="55">
        <f>SUM(J805:L805)</f>
        <v>0</v>
      </c>
      <c r="N805" s="1"/>
      <c r="O805" s="1"/>
      <c r="P805" s="1"/>
      <c r="Q805" s="55">
        <f>SUM(N805:P805)</f>
        <v>0</v>
      </c>
      <c r="R805" s="55">
        <f>+E805+I805+M805+Q805</f>
        <v>0</v>
      </c>
      <c r="T805" s="4" t="s">
        <v>1005</v>
      </c>
    </row>
    <row r="806" spans="1:20" ht="15.75" customHeight="1" x14ac:dyDescent="0.3">
      <c r="A806" s="71" t="s">
        <v>362</v>
      </c>
      <c r="B806" s="1"/>
      <c r="C806" s="1"/>
      <c r="D806" s="1"/>
      <c r="E806" s="55">
        <f>SUM(B806:D806)</f>
        <v>0</v>
      </c>
      <c r="F806" s="1"/>
      <c r="G806" s="1"/>
      <c r="H806" s="1"/>
      <c r="I806" s="55">
        <f>SUM(F806:H806)</f>
        <v>0</v>
      </c>
      <c r="J806" s="1"/>
      <c r="K806" s="1"/>
      <c r="L806" s="1"/>
      <c r="M806" s="55">
        <f>SUM(J806:L806)</f>
        <v>0</v>
      </c>
      <c r="N806" s="1"/>
      <c r="O806" s="1"/>
      <c r="P806" s="1"/>
      <c r="Q806" s="55">
        <f>SUM(N806:P806)</f>
        <v>0</v>
      </c>
      <c r="R806" s="55">
        <f>+E806+I806+M806+Q806</f>
        <v>0</v>
      </c>
    </row>
    <row r="807" spans="1:20" ht="15.75" customHeight="1" x14ac:dyDescent="0.3">
      <c r="A807" s="71" t="s">
        <v>368</v>
      </c>
      <c r="B807" s="1"/>
      <c r="C807" s="1"/>
      <c r="D807" s="1"/>
      <c r="E807" s="55">
        <f>SUM(B807:D807)</f>
        <v>0</v>
      </c>
      <c r="F807" s="1"/>
      <c r="G807" s="1"/>
      <c r="H807" s="1"/>
      <c r="I807" s="55">
        <f>SUM(F807:H807)</f>
        <v>0</v>
      </c>
      <c r="J807" s="1"/>
      <c r="K807" s="1"/>
      <c r="L807" s="1"/>
      <c r="M807" s="55">
        <f>SUM(J807:L807)</f>
        <v>0</v>
      </c>
      <c r="N807" s="1"/>
      <c r="O807" s="1"/>
      <c r="P807" s="1"/>
      <c r="Q807" s="55">
        <f>SUM(N807:P807)</f>
        <v>0</v>
      </c>
      <c r="R807" s="55">
        <f>+E807+I807+M807+Q807</f>
        <v>0</v>
      </c>
    </row>
    <row r="808" spans="1:20" ht="15.75" customHeight="1" x14ac:dyDescent="0.3">
      <c r="A808" s="71" t="s">
        <v>1006</v>
      </c>
      <c r="B808" s="1">
        <v>200</v>
      </c>
      <c r="C808" s="1"/>
      <c r="D808" s="1"/>
      <c r="E808" s="55">
        <f>SUM(B808:D808)</f>
        <v>200</v>
      </c>
      <c r="F808" s="1"/>
      <c r="G808" s="1"/>
      <c r="H808" s="1"/>
      <c r="I808" s="55">
        <f>SUM(F808:H808)</f>
        <v>0</v>
      </c>
      <c r="J808" s="1"/>
      <c r="K808" s="1"/>
      <c r="L808" s="1"/>
      <c r="M808" s="55">
        <f>SUM(J808:L808)</f>
        <v>0</v>
      </c>
      <c r="N808" s="1"/>
      <c r="O808" s="1"/>
      <c r="P808" s="1"/>
      <c r="Q808" s="55">
        <f>SUM(N808:P808)</f>
        <v>0</v>
      </c>
      <c r="R808" s="55">
        <f>+E808+I808+M808+Q808</f>
        <v>200</v>
      </c>
    </row>
    <row r="809" spans="1:20" ht="15.75" customHeight="1" x14ac:dyDescent="0.3">
      <c r="A809" s="71" t="s">
        <v>664</v>
      </c>
      <c r="B809" s="1">
        <v>2352</v>
      </c>
      <c r="C809" s="1">
        <v>2554</v>
      </c>
      <c r="D809" s="1">
        <v>2016</v>
      </c>
      <c r="E809" s="55">
        <f>SUM(B809:D809)</f>
        <v>6922</v>
      </c>
      <c r="F809" s="1">
        <v>2099</v>
      </c>
      <c r="G809" s="1">
        <v>2204</v>
      </c>
      <c r="H809" s="1">
        <v>2298</v>
      </c>
      <c r="I809" s="55">
        <f>SUM(F809:H809)</f>
        <v>6601</v>
      </c>
      <c r="J809" s="1">
        <v>2516</v>
      </c>
      <c r="K809" s="1">
        <v>2469</v>
      </c>
      <c r="L809" s="1">
        <v>2312</v>
      </c>
      <c r="M809" s="55">
        <f>SUM(J809:L809)</f>
        <v>7297</v>
      </c>
      <c r="N809" s="1">
        <v>1480</v>
      </c>
      <c r="O809" s="1"/>
      <c r="P809" s="1"/>
      <c r="Q809" s="55">
        <f>SUM(N809:P809)</f>
        <v>1480</v>
      </c>
      <c r="R809" s="55">
        <f>+E809+I809+M809+Q809</f>
        <v>22300</v>
      </c>
    </row>
    <row r="810" spans="1:20" ht="15.75" customHeight="1" x14ac:dyDescent="0.3">
      <c r="A810" s="15" t="s">
        <v>50</v>
      </c>
      <c r="B810" s="1"/>
      <c r="C810" s="1"/>
      <c r="D810" s="1"/>
      <c r="E810" s="55" t="s">
        <v>7</v>
      </c>
      <c r="F810" s="1"/>
      <c r="G810" s="1"/>
      <c r="H810" s="1"/>
      <c r="I810" s="55" t="s">
        <v>7</v>
      </c>
      <c r="J810" s="1"/>
      <c r="K810" s="1"/>
      <c r="L810" s="1"/>
      <c r="M810" s="55" t="s">
        <v>7</v>
      </c>
      <c r="N810" s="1"/>
      <c r="O810" s="1"/>
      <c r="P810" s="1"/>
      <c r="Q810" s="55" t="s">
        <v>7</v>
      </c>
      <c r="R810" s="55" t="s">
        <v>7</v>
      </c>
    </row>
    <row r="811" spans="1:20" ht="15.75" customHeight="1" x14ac:dyDescent="0.3">
      <c r="A811" s="15" t="s">
        <v>1186</v>
      </c>
      <c r="B811" s="1"/>
      <c r="C811" s="1"/>
      <c r="D811" s="1"/>
      <c r="E811" s="55" t="s">
        <v>7</v>
      </c>
      <c r="F811" s="1"/>
      <c r="G811" s="1"/>
      <c r="H811" s="1"/>
      <c r="I811" s="55" t="s">
        <v>7</v>
      </c>
      <c r="J811" s="1"/>
      <c r="K811" s="1"/>
      <c r="L811" s="1"/>
      <c r="M811" s="55" t="s">
        <v>7</v>
      </c>
      <c r="N811" s="1"/>
      <c r="O811" s="1"/>
      <c r="P811" s="1"/>
      <c r="Q811" s="55" t="s">
        <v>7</v>
      </c>
      <c r="R811" s="55" t="s">
        <v>7</v>
      </c>
    </row>
    <row r="812" spans="1:20" ht="15.75" customHeight="1" x14ac:dyDescent="0.3">
      <c r="A812" s="71" t="s">
        <v>1339</v>
      </c>
      <c r="B812" s="1"/>
      <c r="C812" s="1"/>
      <c r="D812" s="1"/>
      <c r="E812" s="55">
        <f>SUM(B812:D812)</f>
        <v>0</v>
      </c>
      <c r="F812" s="1"/>
      <c r="G812" s="1"/>
      <c r="H812" s="1"/>
      <c r="I812" s="55">
        <f>SUM(F812:H812)</f>
        <v>0</v>
      </c>
      <c r="J812" s="1"/>
      <c r="K812" s="1"/>
      <c r="L812" s="1"/>
      <c r="M812" s="55">
        <f>SUM(J812:L812)</f>
        <v>0</v>
      </c>
      <c r="N812" s="1">
        <v>1</v>
      </c>
      <c r="O812" s="1"/>
      <c r="P812" s="1"/>
      <c r="Q812" s="55">
        <f>SUM(N812:P812)</f>
        <v>1</v>
      </c>
      <c r="R812" s="55">
        <f>+E812+I812+M812+Q812</f>
        <v>1</v>
      </c>
      <c r="S812" s="478" t="s">
        <v>1259</v>
      </c>
    </row>
    <row r="813" spans="1:20" ht="15.75" customHeight="1" thickBot="1" x14ac:dyDescent="0.35">
      <c r="A813" s="15" t="s">
        <v>53</v>
      </c>
      <c r="B813" s="1"/>
      <c r="C813" s="1"/>
      <c r="D813" s="1"/>
      <c r="E813" s="55" t="s">
        <v>7</v>
      </c>
      <c r="F813" s="1"/>
      <c r="G813" s="1"/>
      <c r="H813" s="1"/>
      <c r="I813" s="55" t="s">
        <v>7</v>
      </c>
      <c r="J813" s="1"/>
      <c r="K813" s="1"/>
      <c r="L813" s="1"/>
      <c r="M813" s="55" t="s">
        <v>7</v>
      </c>
      <c r="N813" s="1"/>
      <c r="O813" s="1"/>
      <c r="P813" s="1"/>
      <c r="Q813" s="55" t="s">
        <v>7</v>
      </c>
      <c r="R813" s="55" t="s">
        <v>7</v>
      </c>
    </row>
    <row r="814" spans="1:20" ht="16.5" customHeight="1" thickBot="1" x14ac:dyDescent="0.35">
      <c r="A814" s="57" t="s">
        <v>54</v>
      </c>
      <c r="B814" s="86">
        <f>SUM(B803:B813)</f>
        <v>2552</v>
      </c>
      <c r="C814" s="87">
        <f>SUM(C803:C813)</f>
        <v>2554</v>
      </c>
      <c r="D814" s="87">
        <f>SUM(D803:D813)</f>
        <v>2016</v>
      </c>
      <c r="E814" s="59">
        <f>SUM(B814:D814)</f>
        <v>7122</v>
      </c>
      <c r="F814" s="87">
        <f>SUM(F803:F813)</f>
        <v>2099</v>
      </c>
      <c r="G814" s="87">
        <f>SUM(G803:G813)</f>
        <v>2204</v>
      </c>
      <c r="H814" s="87">
        <f>SUM(H803:H813)</f>
        <v>2298</v>
      </c>
      <c r="I814" s="59">
        <f>SUM(F814:H814)</f>
        <v>6601</v>
      </c>
      <c r="J814" s="87">
        <f>SUM(J803:J813)</f>
        <v>2516</v>
      </c>
      <c r="K814" s="87">
        <f>SUM(K803:K813)</f>
        <v>2469</v>
      </c>
      <c r="L814" s="87">
        <f>SUM(L803:L813)</f>
        <v>2312</v>
      </c>
      <c r="M814" s="59">
        <f>SUM(J814:L814)</f>
        <v>7297</v>
      </c>
      <c r="N814" s="87">
        <f>SUM(N803:N813)</f>
        <v>1481</v>
      </c>
      <c r="O814" s="87">
        <f>SUM(O803:O813)</f>
        <v>0</v>
      </c>
      <c r="P814" s="87">
        <f>SUM(P803:P813)</f>
        <v>0</v>
      </c>
      <c r="Q814" s="59">
        <f>SUM(N814:P814)</f>
        <v>1481</v>
      </c>
      <c r="R814" s="59">
        <f>+E814+I814+M814+Q814</f>
        <v>22501</v>
      </c>
    </row>
    <row r="815" spans="1:20" ht="15.75" customHeight="1" x14ac:dyDescent="0.3">
      <c r="A815" s="15" t="s">
        <v>55</v>
      </c>
      <c r="B815" s="1"/>
      <c r="C815" s="1"/>
      <c r="D815" s="1"/>
      <c r="E815" s="55" t="s">
        <v>7</v>
      </c>
      <c r="F815" s="1"/>
      <c r="G815" s="1"/>
      <c r="H815" s="1"/>
      <c r="I815" s="55" t="s">
        <v>7</v>
      </c>
      <c r="J815" s="1"/>
      <c r="K815" s="1"/>
      <c r="L815" s="1"/>
      <c r="M815" s="55" t="s">
        <v>7</v>
      </c>
      <c r="N815" s="1"/>
      <c r="O815" s="1"/>
      <c r="P815" s="1"/>
      <c r="Q815" s="55" t="s">
        <v>7</v>
      </c>
      <c r="R815" s="55" t="s">
        <v>7</v>
      </c>
    </row>
    <row r="816" spans="1:20" ht="15.75" customHeight="1" x14ac:dyDescent="0.3">
      <c r="A816" s="15" t="s">
        <v>57</v>
      </c>
      <c r="B816" s="1"/>
      <c r="C816" s="1"/>
      <c r="D816" s="1"/>
      <c r="E816" s="55" t="s">
        <v>7</v>
      </c>
      <c r="F816" s="1"/>
      <c r="G816" s="1"/>
      <c r="H816" s="1"/>
      <c r="I816" s="55" t="s">
        <v>7</v>
      </c>
      <c r="J816" s="1"/>
      <c r="K816" s="1"/>
      <c r="L816" s="1"/>
      <c r="M816" s="55" t="s">
        <v>7</v>
      </c>
      <c r="N816" s="1"/>
      <c r="O816" s="1"/>
      <c r="P816" s="1"/>
      <c r="Q816" s="55" t="s">
        <v>7</v>
      </c>
      <c r="R816" s="55" t="s">
        <v>7</v>
      </c>
    </row>
    <row r="817" spans="1:20" ht="15.75" customHeight="1" x14ac:dyDescent="0.3">
      <c r="A817" s="71" t="s">
        <v>781</v>
      </c>
      <c r="B817" s="1"/>
      <c r="C817" s="1"/>
      <c r="D817" s="1"/>
      <c r="E817" s="55">
        <f>SUM(B817:D817)</f>
        <v>0</v>
      </c>
      <c r="F817" s="1"/>
      <c r="G817" s="1"/>
      <c r="H817" s="1"/>
      <c r="I817" s="55">
        <f>SUM(F817:H817)</f>
        <v>0</v>
      </c>
      <c r="J817" s="1"/>
      <c r="K817" s="1"/>
      <c r="L817" s="1"/>
      <c r="M817" s="55">
        <f>SUM(J817:L817)</f>
        <v>0</v>
      </c>
      <c r="N817" s="1"/>
      <c r="O817" s="1"/>
      <c r="P817" s="1"/>
      <c r="Q817" s="55">
        <f>SUM(N817:P817)</f>
        <v>0</v>
      </c>
      <c r="R817" s="55">
        <f>+E817+I817+M817+Q817</f>
        <v>0</v>
      </c>
    </row>
    <row r="818" spans="1:20" ht="15.75" customHeight="1" thickBot="1" x14ac:dyDescent="0.35">
      <c r="A818" s="15" t="s">
        <v>58</v>
      </c>
      <c r="B818" s="1"/>
      <c r="C818" s="1"/>
      <c r="D818" s="1"/>
      <c r="E818" s="55" t="s">
        <v>7</v>
      </c>
      <c r="F818" s="1"/>
      <c r="G818" s="1"/>
      <c r="H818" s="1"/>
      <c r="I818" s="55" t="s">
        <v>7</v>
      </c>
      <c r="J818" s="1"/>
      <c r="K818" s="1"/>
      <c r="L818" s="1"/>
      <c r="M818" s="55" t="s">
        <v>7</v>
      </c>
      <c r="N818" s="1"/>
      <c r="O818" s="1"/>
      <c r="P818" s="1"/>
      <c r="Q818" s="55" t="s">
        <v>7</v>
      </c>
      <c r="R818" s="55" t="s">
        <v>7</v>
      </c>
    </row>
    <row r="819" spans="1:20" ht="16.5" customHeight="1" thickBot="1" x14ac:dyDescent="0.35">
      <c r="A819" s="57" t="s">
        <v>59</v>
      </c>
      <c r="B819" s="86">
        <f>SUM(B815:B818)</f>
        <v>0</v>
      </c>
      <c r="C819" s="87">
        <f>SUM(C815:C818)</f>
        <v>0</v>
      </c>
      <c r="D819" s="87">
        <f>SUM(D815:D818)</f>
        <v>0</v>
      </c>
      <c r="E819" s="59">
        <f>SUM(B819:D819)</f>
        <v>0</v>
      </c>
      <c r="F819" s="87">
        <f>SUM(F815:F818)</f>
        <v>0</v>
      </c>
      <c r="G819" s="87">
        <f>SUM(G815:G818)</f>
        <v>0</v>
      </c>
      <c r="H819" s="87">
        <f>SUM(H815:H818)</f>
        <v>0</v>
      </c>
      <c r="I819" s="59">
        <f>SUM(F819:H819)</f>
        <v>0</v>
      </c>
      <c r="J819" s="87">
        <f>SUM(J815:J818)</f>
        <v>0</v>
      </c>
      <c r="K819" s="87">
        <f>SUM(K815:K818)</f>
        <v>0</v>
      </c>
      <c r="L819" s="87">
        <f>SUM(L815:L818)</f>
        <v>0</v>
      </c>
      <c r="M819" s="59">
        <f>SUM(J819:L819)</f>
        <v>0</v>
      </c>
      <c r="N819" s="87">
        <f>SUM(N815:N818)</f>
        <v>0</v>
      </c>
      <c r="O819" s="87">
        <f>SUM(O815:O818)</f>
        <v>0</v>
      </c>
      <c r="P819" s="87">
        <f>SUM(P815:P818)</f>
        <v>0</v>
      </c>
      <c r="Q819" s="59">
        <f>SUM(N819:P819)</f>
        <v>0</v>
      </c>
      <c r="R819" s="59">
        <f>+E819+I819+M819+Q819</f>
        <v>0</v>
      </c>
    </row>
    <row r="820" spans="1:20" ht="15.75" customHeight="1" x14ac:dyDescent="0.3">
      <c r="A820" s="15" t="s">
        <v>60</v>
      </c>
      <c r="B820" s="1"/>
      <c r="C820" s="1"/>
      <c r="D820" s="1"/>
      <c r="E820" s="55" t="s">
        <v>7</v>
      </c>
      <c r="F820" s="1"/>
      <c r="G820" s="1"/>
      <c r="H820" s="1"/>
      <c r="I820" s="55" t="s">
        <v>7</v>
      </c>
      <c r="J820" s="1" t="s">
        <v>7</v>
      </c>
      <c r="K820" s="1"/>
      <c r="L820" s="1"/>
      <c r="M820" s="55" t="s">
        <v>7</v>
      </c>
      <c r="N820" s="1"/>
      <c r="O820" s="1"/>
      <c r="P820" s="1"/>
      <c r="Q820" s="55" t="s">
        <v>7</v>
      </c>
      <c r="R820" s="55" t="s">
        <v>7</v>
      </c>
    </row>
    <row r="821" spans="1:20" ht="18" customHeight="1" x14ac:dyDescent="0.3">
      <c r="A821" s="15" t="s">
        <v>61</v>
      </c>
      <c r="B821" s="1"/>
      <c r="C821" s="1"/>
      <c r="D821" s="1"/>
      <c r="E821" s="55" t="s">
        <v>7</v>
      </c>
      <c r="F821" s="1"/>
      <c r="G821" s="1"/>
      <c r="H821" s="1"/>
      <c r="I821" s="55" t="s">
        <v>7</v>
      </c>
      <c r="J821" s="1"/>
      <c r="K821" s="1"/>
      <c r="L821" s="1"/>
      <c r="M821" s="55" t="s">
        <v>7</v>
      </c>
      <c r="N821" s="1"/>
      <c r="O821" s="1"/>
      <c r="P821" s="1"/>
      <c r="Q821" s="55" t="s">
        <v>7</v>
      </c>
      <c r="R821" s="55" t="s">
        <v>7</v>
      </c>
    </row>
    <row r="822" spans="1:20" ht="15.75" customHeight="1" x14ac:dyDescent="0.3">
      <c r="A822" s="71" t="s">
        <v>1007</v>
      </c>
      <c r="B822" s="1">
        <v>398</v>
      </c>
      <c r="C822" s="1">
        <v>126</v>
      </c>
      <c r="D822" s="1">
        <v>559</v>
      </c>
      <c r="E822" s="55">
        <f>SUM(B822:D822)</f>
        <v>1083</v>
      </c>
      <c r="F822" s="1">
        <v>820</v>
      </c>
      <c r="G822" s="1">
        <v>1009</v>
      </c>
      <c r="H822" s="1">
        <v>1326</v>
      </c>
      <c r="I822" s="55">
        <f>SUM(F822:H822)</f>
        <v>3155</v>
      </c>
      <c r="J822" s="1">
        <v>1228</v>
      </c>
      <c r="K822" s="1">
        <v>995</v>
      </c>
      <c r="L822" s="1">
        <v>1058</v>
      </c>
      <c r="M822" s="55">
        <f>SUM(J822:L822)</f>
        <v>3281</v>
      </c>
      <c r="N822" s="1">
        <v>1356</v>
      </c>
      <c r="O822" s="1"/>
      <c r="P822" s="1"/>
      <c r="Q822" s="55">
        <f>SUM(N822:P822)</f>
        <v>1356</v>
      </c>
      <c r="R822" s="55">
        <f>+E822+I822+M822+Q822</f>
        <v>8875</v>
      </c>
      <c r="T822" s="4" t="s">
        <v>1008</v>
      </c>
    </row>
    <row r="823" spans="1:20" ht="15.75" customHeight="1" x14ac:dyDescent="0.3">
      <c r="A823" s="71" t="s">
        <v>1009</v>
      </c>
      <c r="B823" s="1">
        <v>11</v>
      </c>
      <c r="C823" s="1">
        <v>11</v>
      </c>
      <c r="D823" s="1">
        <v>47</v>
      </c>
      <c r="E823" s="55">
        <f>SUM(B823:D823)</f>
        <v>69</v>
      </c>
      <c r="F823" s="1">
        <v>71</v>
      </c>
      <c r="G823" s="1">
        <v>69</v>
      </c>
      <c r="H823" s="1">
        <v>111</v>
      </c>
      <c r="I823" s="55">
        <f t="shared" ref="I823" si="281">SUM(F823:H823)</f>
        <v>251</v>
      </c>
      <c r="J823" s="1">
        <v>104</v>
      </c>
      <c r="K823" s="1">
        <v>68</v>
      </c>
      <c r="L823" s="1">
        <v>8</v>
      </c>
      <c r="M823" s="55">
        <f>SUM(J823:L823)</f>
        <v>180</v>
      </c>
      <c r="N823" s="1"/>
      <c r="O823" s="1"/>
      <c r="P823" s="1"/>
      <c r="Q823" s="55">
        <f>SUM(N823:P823)</f>
        <v>0</v>
      </c>
      <c r="R823" s="55">
        <f>+E823+I823+M823+Q823</f>
        <v>500</v>
      </c>
      <c r="T823" s="4" t="s">
        <v>1010</v>
      </c>
    </row>
    <row r="824" spans="1:20" ht="15.75" customHeight="1" x14ac:dyDescent="0.3">
      <c r="A824" s="15" t="s">
        <v>62</v>
      </c>
      <c r="B824" s="1"/>
      <c r="C824" s="1"/>
      <c r="D824" s="1"/>
      <c r="E824" s="55" t="s">
        <v>7</v>
      </c>
      <c r="F824" s="1"/>
      <c r="G824" s="1"/>
      <c r="H824" s="1"/>
      <c r="I824" s="55" t="s">
        <v>7</v>
      </c>
      <c r="J824" s="1"/>
      <c r="K824" s="1"/>
      <c r="L824" s="1"/>
      <c r="M824" s="55" t="s">
        <v>7</v>
      </c>
      <c r="N824" s="1"/>
      <c r="O824" s="1"/>
      <c r="P824" s="1"/>
      <c r="Q824" s="55" t="s">
        <v>7</v>
      </c>
      <c r="R824" s="55" t="s">
        <v>7</v>
      </c>
    </row>
    <row r="825" spans="1:20" ht="15.75" customHeight="1" x14ac:dyDescent="0.3">
      <c r="A825" s="71" t="s">
        <v>1011</v>
      </c>
      <c r="B825" s="1"/>
      <c r="C825" s="1"/>
      <c r="D825" s="1"/>
      <c r="E825" s="55">
        <f>SUM(B825:D825)</f>
        <v>0</v>
      </c>
      <c r="F825" s="1"/>
      <c r="G825" s="1"/>
      <c r="H825" s="1"/>
      <c r="I825" s="55">
        <f>SUM(F825:H825)</f>
        <v>0</v>
      </c>
      <c r="J825" s="1"/>
      <c r="K825" s="1"/>
      <c r="L825" s="1"/>
      <c r="M825" s="55">
        <f>SUM(J825:L825)</f>
        <v>0</v>
      </c>
      <c r="N825" s="1"/>
      <c r="O825" s="1"/>
      <c r="P825" s="1"/>
      <c r="Q825" s="55">
        <f>SUM(N825:P825)</f>
        <v>0</v>
      </c>
      <c r="R825" s="55">
        <f>+E825+I825+M825+Q825</f>
        <v>0</v>
      </c>
      <c r="T825" s="4" t="s">
        <v>1010</v>
      </c>
    </row>
    <row r="826" spans="1:20" ht="15.75" customHeight="1" x14ac:dyDescent="0.3">
      <c r="A826" s="71" t="s">
        <v>1012</v>
      </c>
      <c r="B826" s="1"/>
      <c r="C826" s="1"/>
      <c r="D826" s="1"/>
      <c r="E826" s="55">
        <f>SUM(B826:D826)</f>
        <v>0</v>
      </c>
      <c r="F826" s="1"/>
      <c r="G826" s="1"/>
      <c r="H826" s="1"/>
      <c r="I826" s="55">
        <f>SUM(F826:H826)</f>
        <v>0</v>
      </c>
      <c r="J826" s="1"/>
      <c r="K826" s="1"/>
      <c r="L826" s="1">
        <v>45</v>
      </c>
      <c r="M826" s="55">
        <f>SUM(J826:L826)</f>
        <v>45</v>
      </c>
      <c r="N826" s="1">
        <v>83</v>
      </c>
      <c r="O826" s="1"/>
      <c r="P826" s="1">
        <v>3</v>
      </c>
      <c r="Q826" s="55">
        <f>SUM(N826:P826)</f>
        <v>86</v>
      </c>
      <c r="R826" s="55">
        <f>+E826+I826+M826+Q826</f>
        <v>131</v>
      </c>
    </row>
    <row r="827" spans="1:20" ht="15.75" customHeight="1" x14ac:dyDescent="0.3">
      <c r="A827" s="71" t="s">
        <v>666</v>
      </c>
      <c r="B827" s="1"/>
      <c r="C827" s="1"/>
      <c r="D827" s="1"/>
      <c r="E827" s="55">
        <f>SUM(B827:D827)</f>
        <v>0</v>
      </c>
      <c r="F827" s="1"/>
      <c r="G827" s="1"/>
      <c r="H827" s="1"/>
      <c r="I827" s="55">
        <f>SUM(F827:H827)</f>
        <v>0</v>
      </c>
      <c r="J827" s="1"/>
      <c r="K827" s="1"/>
      <c r="L827" s="1"/>
      <c r="M827" s="55">
        <f>SUM(J827:L827)</f>
        <v>0</v>
      </c>
      <c r="N827" s="1"/>
      <c r="O827" s="1"/>
      <c r="P827" s="1"/>
      <c r="Q827" s="55">
        <f>SUM(N827:P827)</f>
        <v>0</v>
      </c>
      <c r="R827" s="55">
        <f>+E827+I827+M827+Q827</f>
        <v>0</v>
      </c>
      <c r="T827" s="4" t="s">
        <v>1005</v>
      </c>
    </row>
    <row r="828" spans="1:20" ht="15.75" customHeight="1" thickBot="1" x14ac:dyDescent="0.35">
      <c r="A828" s="71" t="s">
        <v>782</v>
      </c>
      <c r="B828" s="1">
        <v>516</v>
      </c>
      <c r="C828" s="1">
        <f>614+68</f>
        <v>682</v>
      </c>
      <c r="D828" s="1">
        <f>600+22</f>
        <v>622</v>
      </c>
      <c r="E828" s="55">
        <f>SUM(B828:D828)</f>
        <v>1820</v>
      </c>
      <c r="F828" s="1">
        <f>1+625</f>
        <v>626</v>
      </c>
      <c r="G828" s="1">
        <f>724</f>
        <v>724</v>
      </c>
      <c r="H828" s="1">
        <f>41+579</f>
        <v>620</v>
      </c>
      <c r="I828" s="55">
        <f>SUM(F828:H828)</f>
        <v>1970</v>
      </c>
      <c r="J828" s="1">
        <f>27+588</f>
        <v>615</v>
      </c>
      <c r="K828" s="1">
        <f>57+625</f>
        <v>682</v>
      </c>
      <c r="L828" s="1">
        <f>46+557</f>
        <v>603</v>
      </c>
      <c r="M828" s="55">
        <f>SUM(J828:L828)</f>
        <v>1900</v>
      </c>
      <c r="N828" s="1">
        <v>849</v>
      </c>
      <c r="O828" s="1">
        <v>775</v>
      </c>
      <c r="P828" s="1"/>
      <c r="Q828" s="55">
        <f>SUM(N828:P828)</f>
        <v>1624</v>
      </c>
      <c r="R828" s="55">
        <f>+E828+I828+M828+Q828</f>
        <v>7314</v>
      </c>
      <c r="T828" s="4" t="s">
        <v>1013</v>
      </c>
    </row>
    <row r="829" spans="1:20" ht="16.5" customHeight="1" thickBot="1" x14ac:dyDescent="0.35">
      <c r="A829" s="57" t="s">
        <v>63</v>
      </c>
      <c r="B829" s="86">
        <f>SUM(B820:B828)</f>
        <v>925</v>
      </c>
      <c r="C829" s="87">
        <f>SUM(C820:C828)</f>
        <v>819</v>
      </c>
      <c r="D829" s="87">
        <f>SUM(D820:D828)</f>
        <v>1228</v>
      </c>
      <c r="E829" s="59">
        <f>SUM(B829:D829)</f>
        <v>2972</v>
      </c>
      <c r="F829" s="87">
        <f>SUM(F820:F828)</f>
        <v>1517</v>
      </c>
      <c r="G829" s="87">
        <f>SUM(G820:G828)</f>
        <v>1802</v>
      </c>
      <c r="H829" s="87">
        <f>SUM(H820:H828)</f>
        <v>2057</v>
      </c>
      <c r="I829" s="59">
        <f>SUM(F829:H829)</f>
        <v>5376</v>
      </c>
      <c r="J829" s="87">
        <f>SUM(J820:J828)</f>
        <v>1947</v>
      </c>
      <c r="K829" s="87">
        <f>SUM(K820:K828)</f>
        <v>1745</v>
      </c>
      <c r="L829" s="87">
        <f>SUM(L820:L828)</f>
        <v>1714</v>
      </c>
      <c r="M829" s="59">
        <f>SUM(J829:L829)</f>
        <v>5406</v>
      </c>
      <c r="N829" s="87">
        <f>SUM(N820:N828)</f>
        <v>2288</v>
      </c>
      <c r="O829" s="87">
        <f>SUM(O820:O828)</f>
        <v>775</v>
      </c>
      <c r="P829" s="87">
        <f>SUM(P820:P828)</f>
        <v>3</v>
      </c>
      <c r="Q829" s="59">
        <f>SUM(N829:P829)</f>
        <v>3066</v>
      </c>
      <c r="R829" s="59">
        <f>+E829+I829+M829+Q829</f>
        <v>16820</v>
      </c>
    </row>
    <row r="830" spans="1:20" ht="15.75" customHeight="1" x14ac:dyDescent="0.3">
      <c r="A830" s="15" t="s">
        <v>64</v>
      </c>
      <c r="B830" s="1"/>
      <c r="C830" s="1"/>
      <c r="D830" s="1"/>
      <c r="E830" s="55" t="s">
        <v>7</v>
      </c>
      <c r="F830" s="1"/>
      <c r="G830" s="1"/>
      <c r="H830" s="1"/>
      <c r="I830" s="55" t="s">
        <v>7</v>
      </c>
      <c r="J830" s="1"/>
      <c r="K830" s="1"/>
      <c r="L830" s="1"/>
      <c r="M830" s="55" t="s">
        <v>7</v>
      </c>
      <c r="N830" s="1"/>
      <c r="O830" s="1"/>
      <c r="P830" s="1"/>
      <c r="Q830" s="55" t="s">
        <v>7</v>
      </c>
      <c r="R830" s="55" t="s">
        <v>7</v>
      </c>
    </row>
    <row r="831" spans="1:20" ht="15.75" customHeight="1" x14ac:dyDescent="0.3">
      <c r="A831" s="15" t="s">
        <v>594</v>
      </c>
      <c r="B831" s="1"/>
      <c r="C831" s="1"/>
      <c r="D831" s="1"/>
      <c r="E831" s="55" t="s">
        <v>7</v>
      </c>
      <c r="F831" s="1"/>
      <c r="G831" s="1"/>
      <c r="H831" s="1"/>
      <c r="I831" s="55" t="s">
        <v>7</v>
      </c>
      <c r="J831" s="1"/>
      <c r="K831" s="1"/>
      <c r="L831" s="1"/>
      <c r="M831" s="55" t="s">
        <v>7</v>
      </c>
      <c r="N831" s="1"/>
      <c r="O831" s="1"/>
      <c r="P831" s="1"/>
      <c r="Q831" s="55" t="s">
        <v>7</v>
      </c>
      <c r="R831" s="55" t="s">
        <v>7</v>
      </c>
    </row>
    <row r="832" spans="1:20" ht="15.75" customHeight="1" x14ac:dyDescent="0.3">
      <c r="A832" s="71" t="s">
        <v>1340</v>
      </c>
      <c r="B832" s="1"/>
      <c r="C832" s="1"/>
      <c r="D832" s="1"/>
      <c r="E832" s="55">
        <f>SUM(B832:D832)</f>
        <v>0</v>
      </c>
      <c r="F832" s="1"/>
      <c r="G832" s="1"/>
      <c r="H832" s="1"/>
      <c r="I832" s="55">
        <f>SUM(F832:H832)</f>
        <v>0</v>
      </c>
      <c r="J832" s="1"/>
      <c r="K832" s="1"/>
      <c r="L832" s="1"/>
      <c r="M832" s="55">
        <f>SUM(J832:L832)</f>
        <v>0</v>
      </c>
      <c r="N832" s="1"/>
      <c r="O832" s="1"/>
      <c r="P832" s="1"/>
      <c r="Q832" s="55">
        <f>SUM(N832:P832)</f>
        <v>0</v>
      </c>
      <c r="R832" s="55">
        <f>+E832+I832+M832+Q832</f>
        <v>0</v>
      </c>
    </row>
    <row r="833" spans="1:18" ht="15.75" customHeight="1" x14ac:dyDescent="0.3">
      <c r="A833" s="71" t="s">
        <v>367</v>
      </c>
      <c r="B833" s="1"/>
      <c r="C833" s="1"/>
      <c r="D833" s="1"/>
      <c r="E833" s="55">
        <f>SUM(B833:D833)</f>
        <v>0</v>
      </c>
      <c r="F833" s="1"/>
      <c r="G833" s="1"/>
      <c r="H833" s="1"/>
      <c r="I833" s="55">
        <f>SUM(F833:H833)</f>
        <v>0</v>
      </c>
      <c r="J833" s="1"/>
      <c r="K833" s="1"/>
      <c r="L833" s="1"/>
      <c r="M833" s="55">
        <f>SUM(J833:L833)</f>
        <v>0</v>
      </c>
      <c r="N833" s="1"/>
      <c r="O833" s="1"/>
      <c r="P833" s="1"/>
      <c r="Q833" s="55">
        <f>SUM(N833:P833)</f>
        <v>0</v>
      </c>
      <c r="R833" s="55">
        <f>+E833+I833+M833+Q833</f>
        <v>0</v>
      </c>
    </row>
    <row r="834" spans="1:18" ht="15.75" customHeight="1" x14ac:dyDescent="0.3">
      <c r="A834" s="15" t="s">
        <v>67</v>
      </c>
      <c r="B834" s="1"/>
      <c r="C834" s="1"/>
      <c r="D834" s="1"/>
      <c r="E834" s="55" t="s">
        <v>7</v>
      </c>
      <c r="F834" s="1"/>
      <c r="G834" s="1"/>
      <c r="H834" s="1"/>
      <c r="I834" s="55" t="s">
        <v>7</v>
      </c>
      <c r="J834" s="1"/>
      <c r="K834" s="1"/>
      <c r="L834" s="1"/>
      <c r="M834" s="55" t="s">
        <v>7</v>
      </c>
      <c r="N834" s="1"/>
      <c r="O834" s="1"/>
      <c r="P834" s="1"/>
      <c r="Q834" s="55" t="s">
        <v>7</v>
      </c>
      <c r="R834" s="55" t="s">
        <v>7</v>
      </c>
    </row>
    <row r="835" spans="1:18" ht="15.75" customHeight="1" x14ac:dyDescent="0.3">
      <c r="A835" s="71" t="s">
        <v>783</v>
      </c>
      <c r="B835" s="1"/>
      <c r="C835" s="1"/>
      <c r="D835" s="1"/>
      <c r="E835" s="55">
        <f>SUM(B835:D835)</f>
        <v>0</v>
      </c>
      <c r="F835" s="1"/>
      <c r="G835" s="1"/>
      <c r="H835" s="1"/>
      <c r="I835" s="55">
        <f>SUM(F835:H835)</f>
        <v>0</v>
      </c>
      <c r="J835" s="1"/>
      <c r="K835" s="1"/>
      <c r="L835" s="1"/>
      <c r="M835" s="55">
        <f>SUM(J835:L835)</f>
        <v>0</v>
      </c>
      <c r="N835" s="1"/>
      <c r="O835" s="1"/>
      <c r="P835" s="1"/>
      <c r="Q835" s="55">
        <f>SUM(N835:P835)</f>
        <v>0</v>
      </c>
      <c r="R835" s="55">
        <f>+E835+I835+M835+Q835</f>
        <v>0</v>
      </c>
    </row>
    <row r="836" spans="1:18" ht="15.75" customHeight="1" x14ac:dyDescent="0.3">
      <c r="A836" s="71" t="s">
        <v>784</v>
      </c>
      <c r="B836" s="1"/>
      <c r="C836" s="1"/>
      <c r="D836" s="1"/>
      <c r="E836" s="55">
        <f>SUM(B836:D836)</f>
        <v>0</v>
      </c>
      <c r="F836" s="1"/>
      <c r="G836" s="1"/>
      <c r="H836" s="1"/>
      <c r="I836" s="55">
        <f>SUM(F836:H836)</f>
        <v>0</v>
      </c>
      <c r="J836" s="1"/>
      <c r="K836" s="1"/>
      <c r="L836" s="1"/>
      <c r="M836" s="55">
        <f>SUM(J836:L836)</f>
        <v>0</v>
      </c>
      <c r="N836" s="1"/>
      <c r="O836" s="1"/>
      <c r="P836" s="1"/>
      <c r="Q836" s="55">
        <f>SUM(N836:P836)</f>
        <v>0</v>
      </c>
      <c r="R836" s="55">
        <f>+E836+I836+M836+Q836</f>
        <v>0</v>
      </c>
    </row>
    <row r="837" spans="1:18" ht="15.75" customHeight="1" x14ac:dyDescent="0.3">
      <c r="A837" s="15" t="s">
        <v>600</v>
      </c>
      <c r="B837" s="1"/>
      <c r="C837" s="1"/>
      <c r="D837" s="1"/>
      <c r="E837" s="55" t="s">
        <v>7</v>
      </c>
      <c r="F837" s="1"/>
      <c r="G837" s="1"/>
      <c r="H837" s="1"/>
      <c r="I837" s="55" t="s">
        <v>7</v>
      </c>
      <c r="J837" s="1"/>
      <c r="K837" s="1"/>
      <c r="L837" s="1"/>
      <c r="M837" s="55" t="s">
        <v>7</v>
      </c>
      <c r="N837" s="1"/>
      <c r="O837" s="1"/>
      <c r="P837" s="1"/>
      <c r="Q837" s="55" t="s">
        <v>7</v>
      </c>
      <c r="R837" s="55" t="s">
        <v>7</v>
      </c>
    </row>
    <row r="838" spans="1:18" ht="15.75" customHeight="1" thickBot="1" x14ac:dyDescent="0.35">
      <c r="A838" s="15" t="s">
        <v>70</v>
      </c>
      <c r="B838" s="1"/>
      <c r="C838" s="1"/>
      <c r="D838" s="1"/>
      <c r="E838" s="55" t="s">
        <v>7</v>
      </c>
      <c r="F838" s="1"/>
      <c r="G838" s="1"/>
      <c r="H838" s="1"/>
      <c r="I838" s="55" t="s">
        <v>7</v>
      </c>
      <c r="J838" s="1"/>
      <c r="K838" s="1"/>
      <c r="L838" s="1"/>
      <c r="M838" s="55" t="s">
        <v>7</v>
      </c>
      <c r="N838" s="1"/>
      <c r="O838" s="1"/>
      <c r="P838" s="1"/>
      <c r="Q838" s="55" t="s">
        <v>7</v>
      </c>
      <c r="R838" s="55" t="s">
        <v>7</v>
      </c>
    </row>
    <row r="839" spans="1:18" ht="16.5" customHeight="1" thickBot="1" x14ac:dyDescent="0.35">
      <c r="A839" s="57" t="s">
        <v>71</v>
      </c>
      <c r="B839" s="58">
        <f>SUM(B837:B838)</f>
        <v>0</v>
      </c>
      <c r="C839" s="58">
        <f>SUM(C837:C838)</f>
        <v>0</v>
      </c>
      <c r="D839" s="58">
        <f>SUM(D837:D838)</f>
        <v>0</v>
      </c>
      <c r="E839" s="60">
        <f>SUM(B839:D839)</f>
        <v>0</v>
      </c>
      <c r="F839" s="58">
        <f>SUM(F837:F838)</f>
        <v>0</v>
      </c>
      <c r="G839" s="58">
        <f>SUM(G837:G838)</f>
        <v>0</v>
      </c>
      <c r="H839" s="58">
        <f>SUM(H837:H838)</f>
        <v>0</v>
      </c>
      <c r="I839" s="60">
        <f>SUM(F839:H839)</f>
        <v>0</v>
      </c>
      <c r="J839" s="58">
        <f>SUM(J837:J838)</f>
        <v>0</v>
      </c>
      <c r="K839" s="58">
        <f>SUM(K837:K838)</f>
        <v>0</v>
      </c>
      <c r="L839" s="58">
        <f>SUM(L837:L838)</f>
        <v>0</v>
      </c>
      <c r="M839" s="60">
        <f>SUM(J839:L839)</f>
        <v>0</v>
      </c>
      <c r="N839" s="58">
        <f>SUM(N837:N838)</f>
        <v>0</v>
      </c>
      <c r="O839" s="58">
        <f>SUM(O837:O838)</f>
        <v>0</v>
      </c>
      <c r="P839" s="58">
        <f>SUM(P837:P838)</f>
        <v>0</v>
      </c>
      <c r="Q839" s="60">
        <f>SUM(N839:P839)</f>
        <v>0</v>
      </c>
      <c r="R839" s="59">
        <f>+E839+I839+M839+Q839</f>
        <v>0</v>
      </c>
    </row>
    <row r="840" spans="1:18" ht="16.5" customHeight="1" thickBot="1" x14ac:dyDescent="0.35">
      <c r="A840" s="57" t="s">
        <v>72</v>
      </c>
      <c r="B840" s="86">
        <f>SUM(B830:B838)</f>
        <v>0</v>
      </c>
      <c r="C840" s="87">
        <f>SUM(C830:C838)</f>
        <v>0</v>
      </c>
      <c r="D840" s="118">
        <f>SUM(D830:D838)</f>
        <v>0</v>
      </c>
      <c r="E840" s="60">
        <f>SUM(B840:D840)</f>
        <v>0</v>
      </c>
      <c r="F840" s="87">
        <f>SUM(F830:F838)</f>
        <v>0</v>
      </c>
      <c r="G840" s="87">
        <f>SUM(G830:G838)</f>
        <v>0</v>
      </c>
      <c r="H840" s="87">
        <f>SUM(H830:H838)</f>
        <v>0</v>
      </c>
      <c r="I840" s="60">
        <f>SUM(F840:H840)</f>
        <v>0</v>
      </c>
      <c r="J840" s="87">
        <f>SUM(J830:J838)</f>
        <v>0</v>
      </c>
      <c r="K840" s="87">
        <f>SUM(K830:K838)</f>
        <v>0</v>
      </c>
      <c r="L840" s="87">
        <f>SUM(L830:L838)</f>
        <v>0</v>
      </c>
      <c r="M840" s="60">
        <f>SUM(J840:L840)</f>
        <v>0</v>
      </c>
      <c r="N840" s="87">
        <f>SUM(N830:N838)</f>
        <v>0</v>
      </c>
      <c r="O840" s="87">
        <f>SUM(O830:O838)</f>
        <v>0</v>
      </c>
      <c r="P840" s="87">
        <f>SUM(P830:P838)</f>
        <v>0</v>
      </c>
      <c r="Q840" s="60">
        <f>SUM(N840:P840)</f>
        <v>0</v>
      </c>
      <c r="R840" s="59">
        <f>+E840+I840+M840+Q840</f>
        <v>0</v>
      </c>
    </row>
    <row r="841" spans="1:18" ht="16.5" customHeight="1" thickBot="1" x14ac:dyDescent="0.35">
      <c r="A841" s="57" t="s">
        <v>73</v>
      </c>
      <c r="B841" s="90">
        <f>+B814+B819+B829+B840</f>
        <v>3477</v>
      </c>
      <c r="C841" s="58">
        <f>+C814+C819+C829+C840</f>
        <v>3373</v>
      </c>
      <c r="D841" s="58">
        <f>+D814+D819+D829+D840</f>
        <v>3244</v>
      </c>
      <c r="E841" s="59">
        <f>SUM(B841:D841)</f>
        <v>10094</v>
      </c>
      <c r="F841" s="58">
        <f>+F814+F819+F829+F840</f>
        <v>3616</v>
      </c>
      <c r="G841" s="58">
        <f>+G814+G819+G829+G840</f>
        <v>4006</v>
      </c>
      <c r="H841" s="58">
        <f>+H814+H819+H829+H840</f>
        <v>4355</v>
      </c>
      <c r="I841" s="59">
        <f>SUM(F841:H841)</f>
        <v>11977</v>
      </c>
      <c r="J841" s="58">
        <f>+J814+J819+J829+J840</f>
        <v>4463</v>
      </c>
      <c r="K841" s="58">
        <f>+K814+K819+K829+K840</f>
        <v>4214</v>
      </c>
      <c r="L841" s="58">
        <f>+L814+L819+L829+L840</f>
        <v>4026</v>
      </c>
      <c r="M841" s="59">
        <f>SUM(J841:L841)</f>
        <v>12703</v>
      </c>
      <c r="N841" s="58">
        <f>+N814+N819+N829+N840</f>
        <v>3769</v>
      </c>
      <c r="O841" s="58">
        <f>+O814+O819+O829+O840</f>
        <v>775</v>
      </c>
      <c r="P841" s="58">
        <f>+P814+P819+P829+P840</f>
        <v>3</v>
      </c>
      <c r="Q841" s="59">
        <f>SUM(N841:P841)</f>
        <v>4547</v>
      </c>
      <c r="R841" s="81">
        <f>+E841+I841+M841+Q841</f>
        <v>39321</v>
      </c>
    </row>
    <row r="842" spans="1:18" ht="16.5" customHeight="1" thickBot="1" x14ac:dyDescent="0.35">
      <c r="A842" s="39" t="s">
        <v>40</v>
      </c>
      <c r="B842" s="21">
        <v>11</v>
      </c>
      <c r="C842" s="21">
        <v>13</v>
      </c>
      <c r="D842" s="21">
        <v>17</v>
      </c>
      <c r="E842" s="55">
        <f>SUM(B842:D842)</f>
        <v>41</v>
      </c>
      <c r="F842" s="21">
        <v>21</v>
      </c>
      <c r="G842" s="21">
        <v>23</v>
      </c>
      <c r="H842" s="21">
        <v>25</v>
      </c>
      <c r="I842" s="55">
        <f>SUM(F842:H842)</f>
        <v>69</v>
      </c>
      <c r="J842" s="21">
        <v>25</v>
      </c>
      <c r="K842" s="21">
        <v>21</v>
      </c>
      <c r="L842" s="21">
        <v>19</v>
      </c>
      <c r="M842" s="55">
        <f>SUM(J842:L842)</f>
        <v>65</v>
      </c>
      <c r="N842" s="21">
        <v>17</v>
      </c>
      <c r="O842" s="21">
        <v>13</v>
      </c>
      <c r="P842" s="21">
        <v>11</v>
      </c>
      <c r="Q842" s="55">
        <f>SUM(N842:P842)</f>
        <v>41</v>
      </c>
      <c r="R842" s="55">
        <f>+E842+I842+M842+Q842</f>
        <v>216</v>
      </c>
    </row>
    <row r="843" spans="1:18" ht="16.5" customHeight="1" thickBot="1" x14ac:dyDescent="0.35">
      <c r="A843" s="41"/>
      <c r="B843" s="36"/>
      <c r="C843" s="36"/>
      <c r="D843" s="36"/>
      <c r="E843" s="59" t="s">
        <v>7</v>
      </c>
      <c r="F843" s="36"/>
      <c r="G843" s="36"/>
      <c r="H843" s="36"/>
      <c r="I843" s="59" t="s">
        <v>7</v>
      </c>
      <c r="J843" s="36"/>
      <c r="K843" s="36"/>
      <c r="L843" s="36"/>
      <c r="M843" s="59" t="s">
        <v>7</v>
      </c>
      <c r="N843" s="36"/>
      <c r="O843" s="36"/>
      <c r="P843" s="36"/>
      <c r="Q843" s="59" t="s">
        <v>7</v>
      </c>
      <c r="R843" s="59" t="s">
        <v>7</v>
      </c>
    </row>
    <row r="844" spans="1:18" ht="15.75" customHeight="1" x14ac:dyDescent="0.3">
      <c r="A844" s="15" t="s">
        <v>41</v>
      </c>
      <c r="B844" s="1">
        <f>SUM(B841:B842)</f>
        <v>3488</v>
      </c>
      <c r="C844" s="1">
        <f>SUM(C841:C842)</f>
        <v>3386</v>
      </c>
      <c r="D844" s="1">
        <f>SUM(D841:D842)</f>
        <v>3261</v>
      </c>
      <c r="E844" s="60">
        <f>SUM(B844:D844)</f>
        <v>10135</v>
      </c>
      <c r="F844" s="1">
        <f>SUM(F841:F842)</f>
        <v>3637</v>
      </c>
      <c r="G844" s="1">
        <f>SUM(G841:G842)</f>
        <v>4029</v>
      </c>
      <c r="H844" s="1">
        <f>SUM(H841:H842)</f>
        <v>4380</v>
      </c>
      <c r="I844" s="60">
        <f>SUM(F844:H844)</f>
        <v>12046</v>
      </c>
      <c r="J844" s="1">
        <f>SUM(J841:J842)</f>
        <v>4488</v>
      </c>
      <c r="K844" s="1">
        <f>SUM(K841:K842)</f>
        <v>4235</v>
      </c>
      <c r="L844" s="1">
        <f>SUM(L841:L842)</f>
        <v>4045</v>
      </c>
      <c r="M844" s="60">
        <f>SUM(J844:L844)</f>
        <v>12768</v>
      </c>
      <c r="N844" s="1">
        <f>SUM(N841:N842)</f>
        <v>3786</v>
      </c>
      <c r="O844" s="1">
        <f>SUM(O841:O842)</f>
        <v>788</v>
      </c>
      <c r="P844" s="1">
        <f>SUM(P841:P842)</f>
        <v>14</v>
      </c>
      <c r="Q844" s="60">
        <f>SUM(N844:P844)</f>
        <v>4588</v>
      </c>
      <c r="R844" s="60">
        <f>+E844+I844+M844+Q844</f>
        <v>39537</v>
      </c>
    </row>
    <row r="845" spans="1:18" ht="15.75" customHeight="1" x14ac:dyDescent="0.3">
      <c r="A845" s="15" t="s">
        <v>42</v>
      </c>
      <c r="B845" s="1">
        <f>(B844/B10)/1.983</f>
        <v>56.740357555349497</v>
      </c>
      <c r="C845" s="1">
        <f>(C844/C10)/1.983</f>
        <v>60.982638138462647</v>
      </c>
      <c r="D845" s="1">
        <f>(D844/D10)/1.983</f>
        <v>53.047679469035181</v>
      </c>
      <c r="E845" s="55" t="s">
        <v>7</v>
      </c>
      <c r="F845" s="1">
        <f>(F844/F10)/1.983</f>
        <v>61.136325432845851</v>
      </c>
      <c r="G845" s="1">
        <f>(G844/G10)/1.983</f>
        <v>65.540969205992866</v>
      </c>
      <c r="H845" s="1">
        <f>(H844/H10)/1.983</f>
        <v>73.625819465456374</v>
      </c>
      <c r="I845" s="55" t="s">
        <v>7</v>
      </c>
      <c r="J845" s="1">
        <f>(J844/J10)/1.983</f>
        <v>73.007661900346491</v>
      </c>
      <c r="K845" s="1">
        <f>(K844/K10)/1.983</f>
        <v>68.892033901062263</v>
      </c>
      <c r="L845" s="1">
        <f>(L844/L10)/1.983</f>
        <v>67.994620944696592</v>
      </c>
      <c r="M845" s="55" t="s">
        <v>7</v>
      </c>
      <c r="N845" s="1">
        <f>(N844/N10)/1.983</f>
        <v>61.588014250158601</v>
      </c>
      <c r="O845" s="1">
        <f>(O844/O10)/1.983</f>
        <v>13.245923684652881</v>
      </c>
      <c r="P845" s="1">
        <f>(P844/P10)/1.983</f>
        <v>0.22774226082995785</v>
      </c>
      <c r="Q845" s="55" t="s">
        <v>7</v>
      </c>
      <c r="R845" s="55" t="s">
        <v>7</v>
      </c>
    </row>
    <row r="846" spans="1:18" ht="15.75" customHeight="1" x14ac:dyDescent="0.3">
      <c r="A846" s="15" t="s">
        <v>372</v>
      </c>
      <c r="B846" s="1">
        <f>B844</f>
        <v>3488</v>
      </c>
      <c r="C846" s="1">
        <f>C844</f>
        <v>3386</v>
      </c>
      <c r="D846" s="1">
        <f>D844</f>
        <v>3261</v>
      </c>
      <c r="E846" s="55">
        <f>SUM(B846:D846)</f>
        <v>10135</v>
      </c>
      <c r="F846" s="1">
        <f>F844</f>
        <v>3637</v>
      </c>
      <c r="G846" s="1">
        <f>G844</f>
        <v>4029</v>
      </c>
      <c r="H846" s="1">
        <f>H844</f>
        <v>4380</v>
      </c>
      <c r="I846" s="55">
        <f>SUM(F846:H846)</f>
        <v>12046</v>
      </c>
      <c r="J846" s="1">
        <f>J844</f>
        <v>4488</v>
      </c>
      <c r="K846" s="1">
        <f>K844</f>
        <v>4235</v>
      </c>
      <c r="L846" s="1">
        <f>L844</f>
        <v>4045</v>
      </c>
      <c r="M846" s="55">
        <f>SUM(J846:L846)</f>
        <v>12768</v>
      </c>
      <c r="N846" s="1">
        <f>N844</f>
        <v>3786</v>
      </c>
      <c r="O846" s="1">
        <f>O844</f>
        <v>788</v>
      </c>
      <c r="P846" s="1">
        <f>P844</f>
        <v>14</v>
      </c>
      <c r="Q846" s="55">
        <f>SUM(N846:P846)</f>
        <v>4588</v>
      </c>
      <c r="R846" s="55">
        <f>+E846+I846+M846+Q846</f>
        <v>39537</v>
      </c>
    </row>
    <row r="847" spans="1:18" ht="16.5" customHeight="1" thickBot="1" x14ac:dyDescent="0.35">
      <c r="A847" s="20" t="s">
        <v>373</v>
      </c>
      <c r="B847" s="21">
        <f>(B846/B10)/1.983</f>
        <v>56.740357555349497</v>
      </c>
      <c r="C847" s="21">
        <f>(C846/C10)/1.983</f>
        <v>60.982638138462647</v>
      </c>
      <c r="D847" s="21">
        <f>(D846/D10)/1.983</f>
        <v>53.047679469035181</v>
      </c>
      <c r="E847" s="81" t="s">
        <v>7</v>
      </c>
      <c r="F847" s="21">
        <f>(F846/F10)/1.983</f>
        <v>61.136325432845851</v>
      </c>
      <c r="G847" s="21">
        <f>(G846/G10)/1.983</f>
        <v>65.540969205992866</v>
      </c>
      <c r="H847" s="21">
        <f>(H846/H10)/1.983</f>
        <v>73.625819465456374</v>
      </c>
      <c r="I847" s="81" t="s">
        <v>7</v>
      </c>
      <c r="J847" s="21">
        <f>(J846/J10)/1.983</f>
        <v>73.007661900346491</v>
      </c>
      <c r="K847" s="21">
        <f>(K846/K10)/1.983</f>
        <v>68.892033901062263</v>
      </c>
      <c r="L847" s="21">
        <f>(L846/L10)/1.983</f>
        <v>67.994620944696592</v>
      </c>
      <c r="M847" s="81" t="s">
        <v>7</v>
      </c>
      <c r="N847" s="21">
        <f>(N846/N10)/1.983</f>
        <v>61.588014250158601</v>
      </c>
      <c r="O847" s="21">
        <f>(O846/O10)/1.983</f>
        <v>13.245923684652881</v>
      </c>
      <c r="P847" s="21">
        <f>(P846/P10)/1.983</f>
        <v>0.22774226082995785</v>
      </c>
      <c r="Q847" s="81" t="s">
        <v>7</v>
      </c>
      <c r="R847" s="81" t="s">
        <v>7</v>
      </c>
    </row>
    <row r="848" spans="1:18" ht="15.75" customHeight="1" x14ac:dyDescent="0.3">
      <c r="A848" s="28"/>
      <c r="B848" s="1"/>
      <c r="C848" s="1"/>
      <c r="D848" s="1"/>
      <c r="E848" s="2"/>
      <c r="F848" s="1"/>
      <c r="G848" s="1"/>
      <c r="H848" s="1"/>
      <c r="I848" s="2"/>
      <c r="J848" s="1"/>
      <c r="K848" s="1"/>
      <c r="L848" s="1"/>
      <c r="M848" s="2"/>
      <c r="N848" s="1"/>
      <c r="O848" s="1"/>
      <c r="P848" s="1"/>
      <c r="Q848" s="2"/>
      <c r="R848" s="2"/>
    </row>
    <row r="849" spans="1:18" ht="15.75" customHeight="1" x14ac:dyDescent="0.3">
      <c r="A849" s="28"/>
      <c r="B849" s="1"/>
      <c r="C849" s="1"/>
      <c r="D849" s="1"/>
      <c r="E849" s="1"/>
      <c r="F849" s="1"/>
      <c r="G849" s="1"/>
      <c r="H849" s="1"/>
      <c r="I849" s="1"/>
      <c r="J849" s="1"/>
      <c r="K849" s="1"/>
      <c r="L849" s="1"/>
      <c r="M849" s="1"/>
      <c r="N849" s="1"/>
      <c r="O849" s="1"/>
      <c r="P849" s="1"/>
      <c r="Q849" s="338" t="str">
        <f>+Q1</f>
        <v xml:space="preserve">PRINTED:  </v>
      </c>
      <c r="R849" s="360">
        <f ca="1">+R1</f>
        <v>44909.46975358796</v>
      </c>
    </row>
    <row r="850" spans="1:18" ht="15.75" customHeight="1" x14ac:dyDescent="0.3">
      <c r="A850" s="499" t="s">
        <v>1</v>
      </c>
      <c r="B850" s="499"/>
      <c r="C850" s="499"/>
      <c r="D850" s="499"/>
      <c r="E850" s="499"/>
      <c r="F850" s="499"/>
      <c r="G850" s="499"/>
      <c r="H850" s="499"/>
      <c r="I850" s="499"/>
      <c r="J850" s="499"/>
      <c r="K850" s="499"/>
      <c r="L850" s="499"/>
      <c r="M850" s="499"/>
      <c r="N850" s="499"/>
      <c r="O850" s="499"/>
      <c r="P850" s="499"/>
      <c r="Q850" s="499"/>
      <c r="R850" s="499"/>
    </row>
    <row r="851" spans="1:18" ht="15.75" customHeight="1" x14ac:dyDescent="0.3">
      <c r="A851" s="499" t="s">
        <v>2</v>
      </c>
      <c r="B851" s="499"/>
      <c r="C851" s="499"/>
      <c r="D851" s="499"/>
      <c r="E851" s="499"/>
      <c r="F851" s="499"/>
      <c r="G851" s="499"/>
      <c r="H851" s="499"/>
      <c r="I851" s="499"/>
      <c r="J851" s="499"/>
      <c r="K851" s="499"/>
      <c r="L851" s="499"/>
      <c r="M851" s="499"/>
      <c r="N851" s="499"/>
      <c r="O851" s="499"/>
      <c r="P851" s="499"/>
      <c r="Q851" s="499"/>
      <c r="R851" s="499"/>
    </row>
    <row r="852" spans="1:18" ht="15.75" customHeight="1" x14ac:dyDescent="0.3">
      <c r="A852" s="499" t="s">
        <v>3</v>
      </c>
      <c r="B852" s="499"/>
      <c r="C852" s="499"/>
      <c r="D852" s="499"/>
      <c r="E852" s="499"/>
      <c r="F852" s="499"/>
      <c r="G852" s="499"/>
      <c r="H852" s="499"/>
      <c r="I852" s="499"/>
      <c r="J852" s="499"/>
      <c r="K852" s="499"/>
      <c r="L852" s="499"/>
      <c r="M852" s="499"/>
      <c r="N852" s="499"/>
      <c r="O852" s="499"/>
      <c r="P852" s="499"/>
      <c r="Q852" s="499"/>
      <c r="R852" s="499"/>
    </row>
    <row r="853" spans="1:18" ht="15.75" customHeight="1" x14ac:dyDescent="0.3">
      <c r="A853" s="504">
        <f>+A5</f>
        <v>2019</v>
      </c>
      <c r="B853" s="504"/>
      <c r="C853" s="504"/>
      <c r="D853" s="504"/>
      <c r="E853" s="504"/>
      <c r="F853" s="504"/>
      <c r="G853" s="504"/>
      <c r="H853" s="504"/>
      <c r="I853" s="504"/>
      <c r="J853" s="504"/>
      <c r="K853" s="504"/>
      <c r="L853" s="504"/>
      <c r="M853" s="504"/>
      <c r="N853" s="504"/>
      <c r="O853" s="504"/>
      <c r="P853" s="504"/>
      <c r="Q853" s="504"/>
      <c r="R853" s="504"/>
    </row>
    <row r="854" spans="1:18" ht="15.75" customHeight="1" x14ac:dyDescent="0.3">
      <c r="A854" s="1"/>
      <c r="B854" s="1"/>
      <c r="C854" s="1"/>
      <c r="D854" s="5"/>
      <c r="E854" s="5"/>
      <c r="F854" s="5"/>
      <c r="G854" s="6"/>
      <c r="H854" s="5"/>
      <c r="I854" s="5"/>
      <c r="J854" s="6"/>
      <c r="K854" s="6"/>
      <c r="L854" s="6"/>
      <c r="M854" s="6"/>
      <c r="N854" s="1"/>
      <c r="O854" s="6"/>
      <c r="P854" s="6"/>
      <c r="Q854" s="6"/>
      <c r="R854" s="6"/>
    </row>
    <row r="855" spans="1:18" ht="15.75" customHeight="1" x14ac:dyDescent="0.3">
      <c r="A855" s="499" t="str">
        <f>+A8</f>
        <v>Revised:  11/4/2019</v>
      </c>
      <c r="B855" s="499"/>
      <c r="C855" s="499"/>
      <c r="D855" s="499"/>
      <c r="E855" s="499"/>
      <c r="F855" s="499"/>
      <c r="G855" s="499"/>
      <c r="H855" s="499"/>
      <c r="I855" s="499"/>
      <c r="J855" s="499"/>
      <c r="K855" s="499"/>
      <c r="L855" s="499"/>
      <c r="M855" s="499"/>
      <c r="N855" s="499"/>
      <c r="O855" s="499"/>
      <c r="P855" s="499"/>
      <c r="Q855" s="499"/>
      <c r="R855" s="499"/>
    </row>
    <row r="856" spans="1:18" ht="15.75" customHeight="1" x14ac:dyDescent="0.3">
      <c r="A856" s="314"/>
      <c r="B856" s="314"/>
      <c r="C856" s="314"/>
      <c r="D856" s="314"/>
      <c r="E856" s="314"/>
      <c r="F856" s="314"/>
      <c r="G856" s="314"/>
      <c r="H856" s="314"/>
      <c r="I856" s="314"/>
      <c r="J856" s="314"/>
      <c r="K856" s="314"/>
      <c r="L856" s="314"/>
      <c r="M856" s="314"/>
      <c r="N856" s="314"/>
      <c r="O856" s="314"/>
      <c r="P856" s="314"/>
      <c r="Q856" s="314"/>
      <c r="R856" s="314"/>
    </row>
    <row r="857" spans="1:18" ht="15.75" customHeight="1" x14ac:dyDescent="0.3">
      <c r="A857" s="314"/>
      <c r="B857" s="314"/>
      <c r="C857" s="314"/>
      <c r="D857" s="314"/>
      <c r="E857" s="314"/>
      <c r="F857" s="314"/>
      <c r="G857" s="314"/>
      <c r="H857" s="314"/>
      <c r="I857" s="314"/>
      <c r="J857" s="314"/>
      <c r="K857" s="314"/>
      <c r="L857" s="314"/>
      <c r="M857" s="314"/>
      <c r="N857" s="314"/>
      <c r="O857" s="314"/>
      <c r="P857" s="314"/>
      <c r="Q857" s="314"/>
      <c r="R857" s="314"/>
    </row>
    <row r="858" spans="1:18" ht="15.75" customHeight="1" thickBot="1" x14ac:dyDescent="0.35">
      <c r="A858" s="28"/>
      <c r="B858" s="1"/>
      <c r="C858" s="1"/>
      <c r="D858" s="1"/>
      <c r="E858" s="1"/>
      <c r="F858" s="1"/>
      <c r="G858" s="1"/>
      <c r="H858" s="1"/>
      <c r="I858" s="1"/>
      <c r="J858" s="1"/>
      <c r="K858" s="1"/>
      <c r="L858" s="1"/>
      <c r="M858" s="1"/>
      <c r="N858" s="1"/>
      <c r="O858" s="1"/>
      <c r="P858" s="1"/>
      <c r="Q858" s="1"/>
      <c r="R858" s="2"/>
    </row>
    <row r="859" spans="1:18" ht="16.5" customHeight="1" thickBot="1" x14ac:dyDescent="0.35">
      <c r="A859" s="124" t="s">
        <v>374</v>
      </c>
      <c r="B859" s="30" t="s">
        <v>8</v>
      </c>
      <c r="C859" s="31" t="s">
        <v>9</v>
      </c>
      <c r="D859" s="31" t="s">
        <v>10</v>
      </c>
      <c r="E859" s="32" t="s">
        <v>11</v>
      </c>
      <c r="F859" s="31" t="s">
        <v>12</v>
      </c>
      <c r="G859" s="31" t="s">
        <v>13</v>
      </c>
      <c r="H859" s="31" t="s">
        <v>14</v>
      </c>
      <c r="I859" s="33" t="s">
        <v>15</v>
      </c>
      <c r="J859" s="31" t="s">
        <v>16</v>
      </c>
      <c r="K859" s="31" t="s">
        <v>17</v>
      </c>
      <c r="L859" s="31" t="s">
        <v>18</v>
      </c>
      <c r="M859" s="33" t="s">
        <v>19</v>
      </c>
      <c r="N859" s="31" t="s">
        <v>20</v>
      </c>
      <c r="O859" s="31" t="s">
        <v>21</v>
      </c>
      <c r="P859" s="31" t="s">
        <v>22</v>
      </c>
      <c r="Q859" s="33" t="s">
        <v>23</v>
      </c>
      <c r="R859" s="133" t="s">
        <v>24</v>
      </c>
    </row>
    <row r="860" spans="1:18" ht="16.5" customHeight="1" thickBot="1" x14ac:dyDescent="0.35">
      <c r="A860" s="41"/>
      <c r="B860" s="36"/>
      <c r="C860" s="36"/>
      <c r="D860" s="36"/>
      <c r="E860" s="52"/>
      <c r="F860" s="36"/>
      <c r="G860" s="36"/>
      <c r="H860" s="36"/>
      <c r="I860" s="132"/>
      <c r="J860" s="36"/>
      <c r="K860" s="36"/>
      <c r="L860" s="36"/>
      <c r="M860" s="132"/>
      <c r="N860" s="36"/>
      <c r="O860" s="36"/>
      <c r="P860" s="36"/>
      <c r="Q860" s="134"/>
      <c r="R860" s="135"/>
    </row>
    <row r="861" spans="1:18" ht="15.75" customHeight="1" x14ac:dyDescent="0.3">
      <c r="A861" s="15" t="s">
        <v>48</v>
      </c>
      <c r="B861" s="1" t="s">
        <v>7</v>
      </c>
      <c r="C861" s="1" t="s">
        <v>7</v>
      </c>
      <c r="D861" s="1" t="s">
        <v>7</v>
      </c>
      <c r="E861" s="136"/>
      <c r="F861" s="1" t="s">
        <v>7</v>
      </c>
      <c r="G861" s="1" t="s">
        <v>7</v>
      </c>
      <c r="H861" s="1" t="s">
        <v>7</v>
      </c>
      <c r="I861" s="136"/>
      <c r="J861" s="1" t="s">
        <v>7</v>
      </c>
      <c r="K861" s="1" t="s">
        <v>7</v>
      </c>
      <c r="L861" s="1" t="s">
        <v>7</v>
      </c>
      <c r="M861" s="136"/>
      <c r="N861" s="1" t="s">
        <v>7</v>
      </c>
      <c r="O861" s="1" t="s">
        <v>7</v>
      </c>
      <c r="P861" s="1" t="s">
        <v>7</v>
      </c>
      <c r="Q861" s="137"/>
      <c r="R861" s="138" t="s">
        <v>7</v>
      </c>
    </row>
    <row r="862" spans="1:18" ht="15.75" customHeight="1" x14ac:dyDescent="0.3">
      <c r="A862" s="315" t="s">
        <v>49</v>
      </c>
      <c r="B862" s="1">
        <f>+SUM(B71:B82)+SUM(B140:B195)+SUM(B334:B367)+SUM(B505:B510)+SUM(B549:B554)+SUM(B594:B609)+SUM(B671:B674)+SUM(B707:B714)+SUM(B770:B771)+SUM(B804:B809)</f>
        <v>28630</v>
      </c>
      <c r="C862" s="1">
        <f>+SUM(C71:C82)+SUM(C140:C195)+SUM(C334:C367)+SUM(C505:C510)+SUM(C549:C554)+SUM(C594:C609)+SUM(C671:C674)+SUM(C707:C714)+SUM(C770:C771)+SUM(C804:C809)</f>
        <v>24884</v>
      </c>
      <c r="D862" s="1">
        <f>+SUM(D71:D82)+SUM(D140:D195)+SUM(D334:D367)+SUM(D505:D510)+SUM(D549:D554)+SUM(D594:D609)+SUM(D671:D674)+SUM(D707:D714)+SUM(D770:D771)+SUM(D804:D809)</f>
        <v>36182</v>
      </c>
      <c r="E862" s="55">
        <f t="shared" ref="E862:E868" si="282">SUM(B862:D862)</f>
        <v>89696</v>
      </c>
      <c r="F862" s="1">
        <f>+SUM(F71:F82)+SUM(F140:F195)+SUM(F334:F367)+SUM(F505:F510)+SUM(F549:F554)+SUM(F594:F609)+SUM(F671:F674)+SUM(F707:F714)+SUM(F770:F771)+SUM(F804:F809)</f>
        <v>52829</v>
      </c>
      <c r="G862" s="1">
        <f>+SUM(G71:G82)+SUM(G140:G195)+SUM(G334:G367)+SUM(G505:G510)+SUM(G549:G554)+SUM(G594:G609)+SUM(G671:G674)+SUM(G707:G714)+SUM(G770:G771)+SUM(G804:G809)</f>
        <v>67354</v>
      </c>
      <c r="H862" s="1">
        <f>+SUM(H71:H82)+SUM(H140:H195)+SUM(H334:H367)+SUM(H505:H510)+SUM(H549:H554)+SUM(H594:H609)+SUM(H671:H674)+SUM(H707:H714)+SUM(H770:H771)+SUM(H804:H809)</f>
        <v>83733</v>
      </c>
      <c r="I862" s="55">
        <f t="shared" ref="I862:I868" si="283">SUM(F862:H862)</f>
        <v>203916</v>
      </c>
      <c r="J862" s="1">
        <f>+SUM(J71:J82)+SUM(J140:J195)+SUM(J334:J367)+SUM(J505:J510)+SUM(J549:J554)+SUM(J594:J609)+SUM(J671:J674)+SUM(J707:J714)+SUM(J770:J771)+SUM(J804:J809)</f>
        <v>85537</v>
      </c>
      <c r="K862" s="1">
        <f>+SUM(K71:K82)+SUM(K140:K195)+SUM(K334:K367)+SUM(K505:K510)+SUM(K549:K554)+SUM(K594:K609)+SUM(K671:K674)+SUM(K707:K714)+SUM(K770:K771)+SUM(K804:K809)</f>
        <v>76605</v>
      </c>
      <c r="L862" s="1">
        <f>+SUM(L71:L82)+SUM(L140:L195)+SUM(L334:L367)+SUM(L505:L510)+SUM(L549:L554)+SUM(L594:L609)+SUM(L671:L674)+SUM(L707:L714)+SUM(L770:L771)+SUM(L804:L809)</f>
        <v>58607</v>
      </c>
      <c r="M862" s="55">
        <f t="shared" ref="M862:M868" si="284">SUM(J862:L862)</f>
        <v>220749</v>
      </c>
      <c r="N862" s="1">
        <f>+SUM(N71:N82)+SUM(N140:N195)+SUM(N334:N367)+SUM(N505:N510)+SUM(N549:N554)+SUM(N594:N609)+SUM(N671:N674)+SUM(N707:N714)+SUM(N770:N771)+SUM(N804:N809)</f>
        <v>41519</v>
      </c>
      <c r="O862" s="1">
        <f>+SUM(O71:O82)+SUM(O140:O195)+SUM(O334:O367)+SUM(O505:O510)+SUM(O549:O554)+SUM(O594:O609)+SUM(O671:O674)+SUM(O707:O714)+SUM(O770:O771)+SUM(O804:O809)</f>
        <v>5100</v>
      </c>
      <c r="P862" s="1">
        <f>+SUM(P71:P82)+SUM(P140:P195)+SUM(P334:P367)+SUM(P505:P510)+SUM(P549:P554)+SUM(P594:P609)+SUM(P671:P674)+SUM(P707:P714)+SUM(P770:P771)+SUM(P804:P809)</f>
        <v>13765</v>
      </c>
      <c r="Q862" s="55">
        <f t="shared" ref="Q862:Q868" si="285">SUM(N862:P862)</f>
        <v>60384</v>
      </c>
      <c r="R862" s="55">
        <f t="shared" ref="R862:R868" si="286">+E862+I862+M862+Q862</f>
        <v>574745</v>
      </c>
    </row>
    <row r="863" spans="1:18" ht="15.75" customHeight="1" x14ac:dyDescent="0.3">
      <c r="A863" s="15" t="s">
        <v>1014</v>
      </c>
      <c r="B863" s="1">
        <f>+B38+SUM(B83:B84)+SUM(B197:B206)+SUM(B369:B379)+SUM(B512:B513)+B555+SUM(B610:B611)+B675+B715+B772+SUM(B810:B810)</f>
        <v>0</v>
      </c>
      <c r="C863" s="1">
        <f>+C38+SUM(C83:C84)+SUM(C197:C206)+SUM(C369:C379)+SUM(C512:C513)+C555+SUM(C610:C611)+C675+C715+C772+SUM(C810:C810)</f>
        <v>0</v>
      </c>
      <c r="D863" s="1">
        <f>+D38+SUM(D83:D84)+SUM(D197:D206)+SUM(D369:D379)+SUM(D512:D513)+D555+SUM(D610:D611)+D675+D715+D772+SUM(D810:D810)</f>
        <v>0</v>
      </c>
      <c r="E863" s="55">
        <f t="shared" si="282"/>
        <v>0</v>
      </c>
      <c r="F863" s="1">
        <f>+F38+SUM(F83:F84)+SUM(F197:F206)+SUM(F369:F379)+SUM(F512:F513)+F555+SUM(F610:F611)+F675+F715+F772+SUM(F810:F810)</f>
        <v>0</v>
      </c>
      <c r="G863" s="1">
        <f>+G38+SUM(G83:G84)+SUM(G197:G206)+SUM(G369:G379)+SUM(G512:G513)+G555+SUM(G610:G611)+G675+G715+G772+SUM(G810:G810)</f>
        <v>0</v>
      </c>
      <c r="H863" s="1">
        <f>+H38+SUM(H83:H84)+SUM(H197:H206)+SUM(H369:H379)+SUM(H512:H513)+H555+SUM(H610:H611)+H675+H715+H772+SUM(H810:H810)</f>
        <v>0</v>
      </c>
      <c r="I863" s="55">
        <f t="shared" si="283"/>
        <v>0</v>
      </c>
      <c r="J863" s="1">
        <f>+J38+SUM(J83:J84)+SUM(J197:J206)+SUM(J369:J379)+SUM(J512:J513)+J555+SUM(J610:J611)+J675+J715+J772+SUM(J810:J810)</f>
        <v>0</v>
      </c>
      <c r="K863" s="1">
        <f>+K38+SUM(K83:K84)+SUM(K197:K206)+SUM(K369:K379)+SUM(K512:K513)+K555+SUM(K610:K611)+K675+K715+K772+SUM(K810:K810)</f>
        <v>0</v>
      </c>
      <c r="L863" s="1">
        <f>+L38+SUM(L83:L84)+SUM(L197:L206)+SUM(L369:L379)+SUM(L512:L513)+L555+SUM(L610:L611)+L675+L715+L772+SUM(L810:L810)</f>
        <v>0</v>
      </c>
      <c r="M863" s="55">
        <f t="shared" si="284"/>
        <v>0</v>
      </c>
      <c r="N863" s="1">
        <f>+N38+SUM(N83:N84)+SUM(N197:N206)+SUM(N369:N379)+SUM(N512:N513)+N555+SUM(N610:N611)+N675+N715+N772+SUM(N810:N810)</f>
        <v>0</v>
      </c>
      <c r="O863" s="1">
        <f>+O38+SUM(O83:O84)+SUM(O197:O206)+SUM(O369:O379)+SUM(O512:O513)+O555+SUM(O610:O611)+O675+O715+O772+SUM(O810:O810)</f>
        <v>0</v>
      </c>
      <c r="P863" s="1">
        <f>+P38+SUM(P83:P84)+SUM(P197:P206)+SUM(P369:P379)+SUM(P512:P513)+P555+SUM(P610:P611)+P675+P715+P772+SUM(P810:P810)</f>
        <v>0</v>
      </c>
      <c r="Q863" s="55">
        <f t="shared" si="285"/>
        <v>0</v>
      </c>
      <c r="R863" s="55">
        <f t="shared" si="286"/>
        <v>0</v>
      </c>
    </row>
    <row r="864" spans="1:18" ht="15.75" customHeight="1" x14ac:dyDescent="0.3">
      <c r="A864" s="315" t="s">
        <v>1015</v>
      </c>
      <c r="B864" s="1">
        <f>+SUM(B85:B87)+SUM(B207:B210)+SUM(B380:B384)+B514+B556+SUM(B612:B613)+B676+B716+B773+SUM(B811:B812)</f>
        <v>10</v>
      </c>
      <c r="C864" s="1">
        <f>+SUM(C85:C87)+SUM(C207:C210)+SUM(C380:C384)+C514+C556+SUM(C612:C613)+C676+C716+C773+SUM(C811:C812)</f>
        <v>3</v>
      </c>
      <c r="D864" s="1">
        <f>+SUM(D85:D87)+SUM(D207:D210)+SUM(D380:D384)+D514+D556+SUM(D612:D613)+D676+D716+D773+SUM(D811:D812)</f>
        <v>18</v>
      </c>
      <c r="E864" s="55">
        <f t="shared" si="282"/>
        <v>31</v>
      </c>
      <c r="F864" s="1">
        <f>+SUM(F85:F87)+SUM(F207:F210)+SUM(F380:F384)+F514+F556+SUM(F612:F613)+F676+F716+F773+SUM(F811:F812)</f>
        <v>113</v>
      </c>
      <c r="G864" s="1">
        <f>+SUM(G85:G87)+SUM(G207:G210)+SUM(G380:G384)+G514+G556+SUM(G612:G613)+G676+G716+G773+SUM(G811:G812)</f>
        <v>3620</v>
      </c>
      <c r="H864" s="1">
        <f>+SUM(H85:H87)+SUM(H207:H210)+SUM(H380:H384)+H514+H556+SUM(H612:H613)+H676+H716+H773+SUM(H811:H812)</f>
        <v>4331</v>
      </c>
      <c r="I864" s="55">
        <f t="shared" si="283"/>
        <v>8064</v>
      </c>
      <c r="J864" s="1">
        <f>+SUM(J85:J87)+SUM(J207:J210)+SUM(J380:J384)+J514+J556+SUM(J612:J613)+J676+J716+J773+SUM(J811:J812)</f>
        <v>2182</v>
      </c>
      <c r="K864" s="1">
        <f>+SUM(K85:K87)+SUM(K207:K210)+SUM(K380:K384)+K514+K556+SUM(K612:K613)+K676+K716+K773+SUM(K811:K812)</f>
        <v>1178</v>
      </c>
      <c r="L864" s="1">
        <f>+SUM(L85:L87)+SUM(L207:L210)+SUM(L380:L384)+L514+L556+SUM(L612:L613)+L676+L716+L773+SUM(L811:L812)</f>
        <v>1448</v>
      </c>
      <c r="M864" s="55">
        <f t="shared" si="284"/>
        <v>4808</v>
      </c>
      <c r="N864" s="1">
        <f>+SUM(N85:N87)+SUM(N207:N210)+SUM(N380:N384)+N514+N556+SUM(N612:N613)+N676+N716+N773+SUM(N811:N812)</f>
        <v>2044</v>
      </c>
      <c r="O864" s="1">
        <f>+SUM(O85:O87)+SUM(O207:O210)+SUM(O380:O384)+O514+O556+SUM(O612:O613)+O676+O716+O773+SUM(O811:O812)</f>
        <v>44</v>
      </c>
      <c r="P864" s="1">
        <f>+SUM(P85:P87)+SUM(P207:P210)+SUM(P380:P384)+P514+P556+SUM(P612:P613)+P676+P716+P773+SUM(P811:P812)</f>
        <v>240</v>
      </c>
      <c r="Q864" s="55">
        <f t="shared" si="285"/>
        <v>2328</v>
      </c>
      <c r="R864" s="55">
        <f>+E864+I864+M864+Q864</f>
        <v>15231</v>
      </c>
    </row>
    <row r="865" spans="1:20" ht="15.75" customHeight="1" x14ac:dyDescent="0.3">
      <c r="A865" s="15" t="s">
        <v>1016</v>
      </c>
      <c r="B865" s="1">
        <f>+B311+B486+B487</f>
        <v>0</v>
      </c>
      <c r="C865" s="1">
        <f>+C311+C486+C487</f>
        <v>0</v>
      </c>
      <c r="D865" s="1">
        <f>+D311+D486+D487</f>
        <v>0</v>
      </c>
      <c r="E865" s="55">
        <f t="shared" si="282"/>
        <v>0</v>
      </c>
      <c r="F865" s="1">
        <f>+F311+F486+F487</f>
        <v>0</v>
      </c>
      <c r="G865" s="1">
        <f>+G311+G486+G487</f>
        <v>0</v>
      </c>
      <c r="H865" s="1">
        <f>+H311+H486+H487</f>
        <v>0</v>
      </c>
      <c r="I865" s="55">
        <f t="shared" si="283"/>
        <v>0</v>
      </c>
      <c r="J865" s="1">
        <f>+J311+J486+J487</f>
        <v>0</v>
      </c>
      <c r="K865" s="1">
        <f>+K311+K486+K487</f>
        <v>0</v>
      </c>
      <c r="L865" s="1">
        <f>+L311+L486+L487</f>
        <v>0</v>
      </c>
      <c r="M865" s="55">
        <f t="shared" si="284"/>
        <v>0</v>
      </c>
      <c r="N865" s="1">
        <f>+N311+N486+N487</f>
        <v>0</v>
      </c>
      <c r="O865" s="1">
        <f>+O311+O486+O487</f>
        <v>0</v>
      </c>
      <c r="P865" s="1">
        <f>+P311+P486+P487</f>
        <v>0</v>
      </c>
      <c r="Q865" s="55">
        <f t="shared" si="285"/>
        <v>0</v>
      </c>
      <c r="R865" s="55">
        <f t="shared" si="286"/>
        <v>0</v>
      </c>
    </row>
    <row r="866" spans="1:20" ht="15.75" customHeight="1" x14ac:dyDescent="0.3">
      <c r="A866" s="315" t="s">
        <v>377</v>
      </c>
      <c r="B866" s="1">
        <f>+B312</f>
        <v>29</v>
      </c>
      <c r="C866" s="1">
        <f>+C312</f>
        <v>21</v>
      </c>
      <c r="D866" s="1">
        <f>+D312</f>
        <v>26</v>
      </c>
      <c r="E866" s="55">
        <f>SUM(B866:D866)</f>
        <v>76</v>
      </c>
      <c r="F866" s="1">
        <f>+F312</f>
        <v>23</v>
      </c>
      <c r="G866" s="1">
        <f>+G312</f>
        <v>91</v>
      </c>
      <c r="H866" s="1">
        <f>+H312</f>
        <v>31</v>
      </c>
      <c r="I866" s="55">
        <f>SUM(F866:H866)</f>
        <v>145</v>
      </c>
      <c r="J866" s="1">
        <f>+J312</f>
        <v>29</v>
      </c>
      <c r="K866" s="1">
        <f>+K312</f>
        <v>203</v>
      </c>
      <c r="L866" s="1">
        <f>+L312</f>
        <v>59</v>
      </c>
      <c r="M866" s="55">
        <f>SUM(J866:L866)</f>
        <v>291</v>
      </c>
      <c r="N866" s="1">
        <f>+N312</f>
        <v>58</v>
      </c>
      <c r="O866" s="1">
        <f>+O312</f>
        <v>43</v>
      </c>
      <c r="P866" s="1">
        <f>+P312</f>
        <v>12</v>
      </c>
      <c r="Q866" s="55">
        <f t="shared" si="285"/>
        <v>113</v>
      </c>
      <c r="R866" s="55">
        <f>+E866+I866+M866+Q866</f>
        <v>625</v>
      </c>
    </row>
    <row r="867" spans="1:20" ht="15.75" customHeight="1" thickBot="1" x14ac:dyDescent="0.35">
      <c r="A867" s="15" t="s">
        <v>53</v>
      </c>
      <c r="B867" s="1">
        <f>+B88+B515+B557+B614+B677+B717+B774+B813</f>
        <v>0</v>
      </c>
      <c r="C867" s="1">
        <f>+C88+C515+C557+C614+C677+C717+C774+C813</f>
        <v>0</v>
      </c>
      <c r="D867" s="1">
        <f>+D88+D515+D557+D614+D677+D717+D774+D813</f>
        <v>0</v>
      </c>
      <c r="E867" s="55">
        <f t="shared" si="282"/>
        <v>0</v>
      </c>
      <c r="F867" s="1">
        <f>+F88+F515+F557+F614+F677+F717+F774+F813</f>
        <v>0</v>
      </c>
      <c r="G867" s="1">
        <f>+G88+G515+G557+G614+G677+G717+G774+G813</f>
        <v>0</v>
      </c>
      <c r="H867" s="1">
        <f>+H88+H515+H557+H614+H677+H717+H774+H813</f>
        <v>0</v>
      </c>
      <c r="I867" s="55">
        <f t="shared" si="283"/>
        <v>0</v>
      </c>
      <c r="J867" s="1">
        <f>+J88+J515+J557+J614+J677+J717+J774+J813</f>
        <v>0</v>
      </c>
      <c r="K867" s="1">
        <f>+K88+K515+K557+K614+K677+K717+K774+K813</f>
        <v>0</v>
      </c>
      <c r="L867" s="1">
        <f>+L88+L515+L557+L614+L677+L717+L774+L813</f>
        <v>0</v>
      </c>
      <c r="M867" s="55">
        <f t="shared" si="284"/>
        <v>0</v>
      </c>
      <c r="N867" s="1">
        <f>+N88+N515+N557+N614+N677+N717+N774+N813</f>
        <v>0</v>
      </c>
      <c r="O867" s="1">
        <f>+O88+O515+O557+O614+O677+O717+O774+O813</f>
        <v>0</v>
      </c>
      <c r="P867" s="1">
        <f>+P88+P515+P557+P614+P677+P717+P774+P813</f>
        <v>0</v>
      </c>
      <c r="Q867" s="55">
        <f t="shared" si="285"/>
        <v>0</v>
      </c>
      <c r="R867" s="55">
        <f t="shared" si="286"/>
        <v>0</v>
      </c>
    </row>
    <row r="868" spans="1:20" ht="16.5" customHeight="1" thickBot="1" x14ac:dyDescent="0.35">
      <c r="A868" s="57" t="s">
        <v>54</v>
      </c>
      <c r="B868" s="86">
        <f>SUM(B861:B867)</f>
        <v>28669</v>
      </c>
      <c r="C868" s="87">
        <f>SUM(C861:C867)</f>
        <v>24908</v>
      </c>
      <c r="D868" s="87">
        <f>SUM(D861:D867)</f>
        <v>36226</v>
      </c>
      <c r="E868" s="59">
        <f t="shared" si="282"/>
        <v>89803</v>
      </c>
      <c r="F868" s="87">
        <f>SUM(F861:F867)</f>
        <v>52965</v>
      </c>
      <c r="G868" s="87">
        <f>SUM(G861:G867)</f>
        <v>71065</v>
      </c>
      <c r="H868" s="87">
        <f>SUM(H861:H867)</f>
        <v>88095</v>
      </c>
      <c r="I868" s="59">
        <f t="shared" si="283"/>
        <v>212125</v>
      </c>
      <c r="J868" s="87">
        <f>SUM(J861:J867)</f>
        <v>87748</v>
      </c>
      <c r="K868" s="87">
        <f>SUM(K861:K867)</f>
        <v>77986</v>
      </c>
      <c r="L868" s="87">
        <f>SUM(L861:L867)</f>
        <v>60114</v>
      </c>
      <c r="M868" s="59">
        <f t="shared" si="284"/>
        <v>225848</v>
      </c>
      <c r="N868" s="87">
        <f>SUM(N861:N867)</f>
        <v>43621</v>
      </c>
      <c r="O868" s="87">
        <f>SUM(O861:O867)</f>
        <v>5187</v>
      </c>
      <c r="P868" s="87">
        <f>SUM(P861:P867)</f>
        <v>14017</v>
      </c>
      <c r="Q868" s="59">
        <f t="shared" si="285"/>
        <v>62825</v>
      </c>
      <c r="R868" s="59">
        <f t="shared" si="286"/>
        <v>590601</v>
      </c>
      <c r="T868" s="4">
        <f>+R868-R865-R864</f>
        <v>575370</v>
      </c>
    </row>
    <row r="869" spans="1:20" ht="15.75" customHeight="1" x14ac:dyDescent="0.3">
      <c r="A869" s="15" t="s">
        <v>55</v>
      </c>
      <c r="B869" s="1"/>
      <c r="C869" s="1"/>
      <c r="D869" s="1"/>
      <c r="E869" s="55" t="s">
        <v>7</v>
      </c>
      <c r="F869" s="1"/>
      <c r="G869" s="1"/>
      <c r="H869" s="1"/>
      <c r="I869" s="55" t="s">
        <v>7</v>
      </c>
      <c r="J869" s="1"/>
      <c r="K869" s="1"/>
      <c r="L869" s="1"/>
      <c r="M869" s="55" t="s">
        <v>7</v>
      </c>
      <c r="N869" s="1"/>
      <c r="O869" s="1"/>
      <c r="P869" s="1"/>
      <c r="Q869" s="55" t="s">
        <v>7</v>
      </c>
      <c r="R869" s="55" t="s">
        <v>7</v>
      </c>
    </row>
    <row r="870" spans="1:20" ht="15.75" customHeight="1" x14ac:dyDescent="0.3">
      <c r="A870" s="15" t="s">
        <v>56</v>
      </c>
      <c r="B870" s="1">
        <f>SUM(B43:B43)+SUM(B214:B214)+SUM(B91:B91)+SUM(B388:B388)</f>
        <v>0</v>
      </c>
      <c r="C870" s="1">
        <f>SUM(C43:C43)+SUM(C214:C214)+SUM(C91:C91)+SUM(C388:C388)</f>
        <v>0</v>
      </c>
      <c r="D870" s="1">
        <f>SUM(D43:D43)+SUM(D214:D214)+SUM(D91:D91)+SUM(D388:D388)</f>
        <v>0</v>
      </c>
      <c r="E870" s="55">
        <f>SUM(B870:D870)</f>
        <v>0</v>
      </c>
      <c r="F870" s="1">
        <f>SUM(F43:F43)+SUM(F214:F214)+SUM(F91:F91)+SUM(F388:F388)</f>
        <v>0</v>
      </c>
      <c r="G870" s="1">
        <f>SUM(G43:G43)+SUM(G214:G214)+SUM(G91:G91)+SUM(G388:G388)</f>
        <v>0</v>
      </c>
      <c r="H870" s="1">
        <f>SUM(H43:H43)+SUM(H214:H214)+SUM(H91:H91)+SUM(H388:H388)</f>
        <v>0</v>
      </c>
      <c r="I870" s="55">
        <f>SUM(F870:H870)</f>
        <v>0</v>
      </c>
      <c r="J870" s="1">
        <f>SUM(J43:J43)+SUM(J214:J214)+SUM(J91:J91)+SUM(J388:J388)</f>
        <v>0</v>
      </c>
      <c r="K870" s="1">
        <f>SUM(K43:K43)+SUM(K214:K214)+SUM(K91:K91)+SUM(K388:K388)</f>
        <v>0</v>
      </c>
      <c r="L870" s="1">
        <f>SUM(L43:L43)+SUM(L214:L214)+SUM(L91:L91)+SUM(L388:L388)</f>
        <v>0</v>
      </c>
      <c r="M870" s="55">
        <f>SUM(J870:L870)</f>
        <v>0</v>
      </c>
      <c r="N870" s="1">
        <f>SUM(N43:N43)+SUM(N214:N214)+SUM(N91:N91)+SUM(N388:N388)</f>
        <v>0</v>
      </c>
      <c r="O870" s="1">
        <f>SUM(O43:O43)+SUM(O214:O214)+SUM(O91:O91)+SUM(O388:O388)</f>
        <v>0</v>
      </c>
      <c r="P870" s="1">
        <f>SUM(P43:P43)+SUM(P214:P214)+SUM(P91:P91)+SUM(P388:P388)</f>
        <v>0</v>
      </c>
      <c r="Q870" s="55">
        <f>SUM(N870:P870)</f>
        <v>0</v>
      </c>
      <c r="R870" s="55">
        <f>+E870+I870+M870+Q870</f>
        <v>0</v>
      </c>
    </row>
    <row r="871" spans="1:20" ht="15.75" customHeight="1" x14ac:dyDescent="0.3">
      <c r="A871" s="315" t="s">
        <v>57</v>
      </c>
      <c r="B871" s="1">
        <f>+SUM(B93:B94)+SUM(B215:B217)+SUM(B389:B398)+B519+SUM(B560:B562)+SUM(B617:B619)+SUM(B680:B680)+B720+B777+SUM(B816:B817)</f>
        <v>1422</v>
      </c>
      <c r="C871" s="1">
        <f>+SUM(C93:C94)+SUM(C215:C217)+SUM(C389:C398)+C519+SUM(C560:C562)+SUM(C617:C619)+SUM(C680:C680)+C720+C777+SUM(C816:C817)</f>
        <v>1751</v>
      </c>
      <c r="D871" s="1">
        <f>+SUM(D93:D94)+SUM(D215:D217)+SUM(D389:D398)+D519+SUM(D560:D562)+SUM(D617:D619)+SUM(D680:D680)+D720+D777+SUM(D816:D817)</f>
        <v>7992</v>
      </c>
      <c r="E871" s="55">
        <f>SUM(B871:D871)</f>
        <v>11165</v>
      </c>
      <c r="F871" s="1">
        <f>+SUM(F93:F94)+SUM(F215:F217)+SUM(F389:F398)+F519+SUM(F560:F562)+SUM(F617:F619)+SUM(F680:F680)+F720+F777+SUM(F816:F817)</f>
        <v>39956</v>
      </c>
      <c r="G871" s="1">
        <f>+SUM(G93:G94)+SUM(G215:G217)+SUM(G389:G398)+G519+SUM(G560:G562)+SUM(G617:G619)+SUM(G680:G680)+G720+G777+SUM(G816:G817)</f>
        <v>24190</v>
      </c>
      <c r="H871" s="1">
        <f>+SUM(H93:H94)+SUM(H215:H217)+SUM(H389:H398)+H519+SUM(H560:H562)+SUM(H617:H619)+SUM(H680:H680)+H720+H777+SUM(H816:H817)</f>
        <v>48816</v>
      </c>
      <c r="I871" s="55">
        <f>SUM(F871:H871)</f>
        <v>112962</v>
      </c>
      <c r="J871" s="1">
        <f>+SUM(J93:J94)+SUM(J215:J217)+SUM(J389:J398)+J519+SUM(J560:J562)+SUM(J617:J619)+SUM(J680:J680)+J720+J777+SUM(J816:J817)</f>
        <v>55202</v>
      </c>
      <c r="K871" s="1">
        <f>+SUM(K93:K94)+SUM(K215:K217)+SUM(K389:K398)+K519+SUM(K560:K562)+SUM(K617:K619)+SUM(K680:K680)+K720+K777+SUM(K816:K817)</f>
        <v>42327</v>
      </c>
      <c r="L871" s="1">
        <f>+SUM(L93:L94)+SUM(L215:L217)+SUM(L389:L398)+L519+SUM(L560:L562)+SUM(L617:L619)+SUM(L680:L680)+L720+L777+SUM(L816:L817)</f>
        <v>17893</v>
      </c>
      <c r="M871" s="55">
        <f>SUM(J871:L871)</f>
        <v>115422</v>
      </c>
      <c r="N871" s="1">
        <f>+SUM(N93:N94)+SUM(N215:N217)+SUM(N389:N398)+N519+SUM(N560:N562)+SUM(N617:N619)+SUM(N680:N680)+N720+N777+SUM(N816:N817)</f>
        <v>12841</v>
      </c>
      <c r="O871" s="1">
        <f>+SUM(O93:O94)+SUM(O215:O217)+SUM(O389:O398)+O519+SUM(O560:O562)+SUM(O617:O619)+SUM(O680:O680)+O720+O777+SUM(O816:O817)</f>
        <v>1791</v>
      </c>
      <c r="P871" s="1">
        <f>+SUM(P93:P94)+SUM(P215:P217)+SUM(P389:P398)+P519+SUM(P560:P562)+SUM(P617:P619)+SUM(P680:P680)+P720+P777+SUM(P816:P817)</f>
        <v>8514</v>
      </c>
      <c r="Q871" s="55">
        <f>SUM(N871:P871)</f>
        <v>23146</v>
      </c>
      <c r="R871" s="55">
        <f>+E871+I871+M871+Q871</f>
        <v>262695</v>
      </c>
    </row>
    <row r="872" spans="1:20" ht="15.75" customHeight="1" thickBot="1" x14ac:dyDescent="0.35">
      <c r="A872" s="15" t="s">
        <v>58</v>
      </c>
      <c r="B872" s="1">
        <f>+B95+B520+B563+B620+B681+B721+B778+B818+B399+B218+B45</f>
        <v>0</v>
      </c>
      <c r="C872" s="1">
        <f>+C95+C520+C563+C620+C681+C721+C778+C818+C399+C218+C45</f>
        <v>0</v>
      </c>
      <c r="D872" s="1">
        <f>+D95+D520+D563+D620+D681+D721+D778+D818+D399+D218+D45</f>
        <v>0</v>
      </c>
      <c r="E872" s="55">
        <f>SUM(B872:D872)</f>
        <v>0</v>
      </c>
      <c r="F872" s="1">
        <f>+F95+F520+F563+F620+F681+F721+F778+F818+F399+F218+F45</f>
        <v>0</v>
      </c>
      <c r="G872" s="1">
        <f>+G95+G520+G563+G620+G681+G721+G778+G818+G399+G218+G45</f>
        <v>0</v>
      </c>
      <c r="H872" s="1">
        <f>+H95+H520+H563+H620+H681+H721+H778+H818+H399+H218+H45</f>
        <v>0</v>
      </c>
      <c r="I872" s="55">
        <f>SUM(F872:H872)</f>
        <v>0</v>
      </c>
      <c r="J872" s="1">
        <f>+J95+J520+J563+J620+J681+J721+J778+J818+J399+J218+J45</f>
        <v>0</v>
      </c>
      <c r="K872" s="1">
        <f>+K95+K520+K563+K620+K681+K721+K778+K818+K399+K218+K45</f>
        <v>0</v>
      </c>
      <c r="L872" s="1">
        <f>+L95+L520+L563+L620+L681+L721+L778+L818+L399+L218+L45</f>
        <v>0</v>
      </c>
      <c r="M872" s="55">
        <f>SUM(J872:L872)</f>
        <v>0</v>
      </c>
      <c r="N872" s="1">
        <f>+N95+N520+N563+N620+N681+N721+N778+N818+N399+N218+N45</f>
        <v>0</v>
      </c>
      <c r="O872" s="1">
        <f>+O95+O520+O563+O620+O681+O721+O778+O818+O399+O218+O45</f>
        <v>0</v>
      </c>
      <c r="P872" s="1">
        <f>+P95+P520+P563+P620+P681+P721+P778+P818+P399+P218+P45</f>
        <v>0</v>
      </c>
      <c r="Q872" s="55">
        <f>SUM(N872:P872)</f>
        <v>0</v>
      </c>
      <c r="R872" s="55">
        <f>+E872+I872+M872+Q872</f>
        <v>0</v>
      </c>
    </row>
    <row r="873" spans="1:20" ht="16.5" customHeight="1" thickBot="1" x14ac:dyDescent="0.35">
      <c r="A873" s="57" t="s">
        <v>59</v>
      </c>
      <c r="B873" s="86">
        <f>SUM(B869:B872)</f>
        <v>1422</v>
      </c>
      <c r="C873" s="87">
        <f>SUM(C869:C872)</f>
        <v>1751</v>
      </c>
      <c r="D873" s="87">
        <f>SUM(D869:D872)</f>
        <v>7992</v>
      </c>
      <c r="E873" s="59">
        <f>SUM(B873:D873)</f>
        <v>11165</v>
      </c>
      <c r="F873" s="87">
        <f>SUM(F869:F872)</f>
        <v>39956</v>
      </c>
      <c r="G873" s="87">
        <f>SUM(G869:G872)</f>
        <v>24190</v>
      </c>
      <c r="H873" s="87">
        <f>SUM(H869:H872)</f>
        <v>48816</v>
      </c>
      <c r="I873" s="59">
        <f>SUM(F873:H873)</f>
        <v>112962</v>
      </c>
      <c r="J873" s="87">
        <f>SUM(J869:J872)</f>
        <v>55202</v>
      </c>
      <c r="K873" s="87">
        <f>SUM(K869:K872)</f>
        <v>42327</v>
      </c>
      <c r="L873" s="87">
        <f>SUM(L869:L872)</f>
        <v>17893</v>
      </c>
      <c r="M873" s="59">
        <f>SUM(J873:L873)</f>
        <v>115422</v>
      </c>
      <c r="N873" s="87">
        <f>SUM(N869:N872)</f>
        <v>12841</v>
      </c>
      <c r="O873" s="87">
        <f>SUM(O869:O872)</f>
        <v>1791</v>
      </c>
      <c r="P873" s="87">
        <f>SUM(P869:P872)</f>
        <v>8514</v>
      </c>
      <c r="Q873" s="59">
        <f>SUM(N873:P873)</f>
        <v>23146</v>
      </c>
      <c r="R873" s="59">
        <f>+E873+I873+M873+Q873</f>
        <v>262695</v>
      </c>
    </row>
    <row r="874" spans="1:20" ht="15.75" customHeight="1" x14ac:dyDescent="0.3">
      <c r="A874" s="15" t="s">
        <v>60</v>
      </c>
      <c r="B874" s="1"/>
      <c r="C874" s="1"/>
      <c r="D874" s="1"/>
      <c r="E874" s="55" t="s">
        <v>7</v>
      </c>
      <c r="F874" s="1"/>
      <c r="G874" s="1"/>
      <c r="H874" s="1"/>
      <c r="I874" s="55" t="s">
        <v>7</v>
      </c>
      <c r="J874" s="1"/>
      <c r="K874" s="1"/>
      <c r="L874" s="1"/>
      <c r="M874" s="55" t="s">
        <v>7</v>
      </c>
      <c r="N874" s="1"/>
      <c r="O874" s="1"/>
      <c r="P874" s="1"/>
      <c r="Q874" s="55" t="s">
        <v>7</v>
      </c>
      <c r="R874" s="55" t="s">
        <v>7</v>
      </c>
    </row>
    <row r="875" spans="1:20" ht="15.75" customHeight="1" x14ac:dyDescent="0.3">
      <c r="A875" s="315" t="s">
        <v>61</v>
      </c>
      <c r="B875" s="1">
        <f>+B48+B98+B221+SUM(B402:B404)+B523+B566+B623+B684+SUM(B724:B725)+B781+SUM(B821:B823)</f>
        <v>1258</v>
      </c>
      <c r="C875" s="1">
        <f>+C48+C98+C221+SUM(C402:C404)+C523+C566+C623+C684+SUM(C724:C725)+C781+SUM(C821:C823)</f>
        <v>3853</v>
      </c>
      <c r="D875" s="1">
        <f>+D48+D98+D221+SUM(D402:D404)+D523+D566+D623+D684+SUM(D724:D725)+D781+SUM(D821:D823)</f>
        <v>7924</v>
      </c>
      <c r="E875" s="55">
        <f>SUM(B875:D875)</f>
        <v>13035</v>
      </c>
      <c r="F875" s="1">
        <f>+F48+F98+F221+SUM(F402:F404)+F523+F566+F623+F684+SUM(F724:F725)+F781+SUM(F821:F823)</f>
        <v>15078</v>
      </c>
      <c r="G875" s="1">
        <f>+G48+G98+G221+SUM(G402:G404)+G523+G566+G623+G684+SUM(G724:G725)+G781+SUM(G821:G823)</f>
        <v>16345</v>
      </c>
      <c r="H875" s="1">
        <f>+H48+H98+H221+SUM(H402:H404)+H523+H566+H623+H684+SUM(H724:H725)+H781+SUM(H821:H823)</f>
        <v>16277</v>
      </c>
      <c r="I875" s="55">
        <f>SUM(F875:H875)</f>
        <v>47700</v>
      </c>
      <c r="J875" s="1">
        <f>+J48+J98+J221+SUM(J402:J404)+J523+J566+J623+J684+SUM(J724:J725)+J781+SUM(J821:J823)</f>
        <v>16667</v>
      </c>
      <c r="K875" s="1">
        <f>+K48+K98+K221+SUM(K402:K404)+K523+K566+K623+K684+SUM(K724:K725)+K781+SUM(K821:K823)</f>
        <v>15065</v>
      </c>
      <c r="L875" s="1">
        <f>+L48+L98+L221+SUM(L402:L404)+L523+L566+L623+L684+SUM(L724:L725)+L781+SUM(L821:L823)</f>
        <v>9606</v>
      </c>
      <c r="M875" s="55">
        <f>SUM(J875:L875)</f>
        <v>41338</v>
      </c>
      <c r="N875" s="1">
        <f>+N48+N98+N221+SUM(N402:N404)+N523+N566+N623+N684+SUM(N724:N725)+N781+SUM(N821:N823)</f>
        <v>11312</v>
      </c>
      <c r="O875" s="1">
        <f>+O48+O98+O221+SUM(O402:O404)+O523+O566+O623+O684+SUM(O724:O725)+O781+SUM(O821:O823)</f>
        <v>2221</v>
      </c>
      <c r="P875" s="1">
        <f>+P48+P98+P221+SUM(P402:P404)+P523+P566+P623+P684+SUM(P724:P725)+P781+SUM(P821:P823)</f>
        <v>5121</v>
      </c>
      <c r="Q875" s="55">
        <f>SUM(N875:P875)</f>
        <v>18654</v>
      </c>
      <c r="R875" s="55">
        <f>+E875+I875+M875+Q875</f>
        <v>120727</v>
      </c>
    </row>
    <row r="876" spans="1:20" ht="15.75" customHeight="1" thickBot="1" x14ac:dyDescent="0.35">
      <c r="A876" s="315" t="s">
        <v>62</v>
      </c>
      <c r="B876" s="1">
        <f>+B49+SUM(B99:B106)+SUM(B222:B286)+SUM(B405:B457)+SUM(B524:B526)+SUM(B567:B568)+SUM(B624:B629)+B685+SUM(B726:B735)+B782+SUM(B824:B828)</f>
        <v>10729</v>
      </c>
      <c r="C876" s="1">
        <f>+C49+SUM(C99:C106)+SUM(C222:C286)+SUM(C405:C457)+SUM(C524:C526)+SUM(C567:C568)+SUM(C624:C629)+C685+SUM(C726:C735)+C782+SUM(C824:C828)</f>
        <v>19801</v>
      </c>
      <c r="D876" s="1">
        <f>+D49+SUM(D99:D106)+SUM(D222:D286)+SUM(D405:D457)+SUM(D524:D526)+SUM(D567:D568)+SUM(D624:D629)+D685+SUM(D726:D735)+D782+SUM(D824:D828)</f>
        <v>30032</v>
      </c>
      <c r="E876" s="55">
        <f>SUM(B876:D876)</f>
        <v>60562</v>
      </c>
      <c r="F876" s="1">
        <f>+F49+SUM(F99:F106)+SUM(F222:F286)+SUM(F405:F457)+SUM(F524:F526)+SUM(F567:F568)+SUM(F624:F629)+F685+SUM(F726:F735)+F782+SUM(F824:F828)</f>
        <v>35256</v>
      </c>
      <c r="G876" s="1">
        <f>+G49+SUM(G99:G106)+SUM(G222:G286)+SUM(G405:G457)+SUM(G524:G526)+SUM(G567:G568)+SUM(G624:G629)+G685+SUM(G726:G735)+G782+SUM(G824:G828)</f>
        <v>28685</v>
      </c>
      <c r="H876" s="1">
        <f>+H49+SUM(H99:H106)+SUM(H222:H286)+SUM(H405:H457)+SUM(H524:H526)+SUM(H567:H568)+SUM(H624:H629)+H685+SUM(H726:H735)+H782+SUM(H824:H828)</f>
        <v>30255</v>
      </c>
      <c r="I876" s="55">
        <f>SUM(F876:H876)</f>
        <v>94196</v>
      </c>
      <c r="J876" s="1">
        <f>+J49+SUM(J99:J106)+SUM(J222:J286)+SUM(J405:J457)+SUM(J524:J526)+SUM(J567:J568)+SUM(J624:J629)+J685+SUM(J726:J735)+J782+SUM(J824:J828)</f>
        <v>29107</v>
      </c>
      <c r="K876" s="1">
        <f>+K49+SUM(K99:K106)+SUM(K222:K286)+SUM(K405:K457)+SUM(K524:K526)+SUM(K567:K568)+SUM(K624:K629)+K685+SUM(K726:K735)+K782+SUM(K824:K828)</f>
        <v>46398</v>
      </c>
      <c r="L876" s="1">
        <f>+L49+SUM(L99:L106)+SUM(L222:L286)+SUM(L405:L457)+SUM(L524:L526)+SUM(L567:L568)+SUM(L624:L629)+L685+SUM(L726:L735)+L782+SUM(L824:L828)</f>
        <v>37038</v>
      </c>
      <c r="M876" s="55">
        <f>SUM(J876:L876)</f>
        <v>112543</v>
      </c>
      <c r="N876" s="1">
        <f>+N49+SUM(N99:N106)+SUM(N222:N286)+SUM(N405:N457)+SUM(N524:N526)+SUM(N567:N568)+SUM(N624:N629)+N685+SUM(N726:N735)+N782+SUM(N824:N828)</f>
        <v>35319</v>
      </c>
      <c r="O876" s="1">
        <f>+O49+SUM(O99:O106)+SUM(O222:O286)+SUM(O405:O457)+SUM(O524:O526)+SUM(O567:O568)+SUM(O624:O629)+O685+SUM(O726:O735)+O782+SUM(O824:O828)</f>
        <v>12418</v>
      </c>
      <c r="P876" s="1">
        <f>+P49+SUM(P99:P106)+SUM(P222:P286)+SUM(P405:P457)+SUM(P524:P526)+SUM(P567:P568)+SUM(P624:P629)+P685+SUM(P726:P735)+P782+SUM(P824:P828)</f>
        <v>16430</v>
      </c>
      <c r="Q876" s="55">
        <f>SUM(N876:P876)</f>
        <v>64167</v>
      </c>
      <c r="R876" s="55">
        <f>+E876+I876+M876+Q876</f>
        <v>331468</v>
      </c>
    </row>
    <row r="877" spans="1:20" ht="16.5" customHeight="1" thickBot="1" x14ac:dyDescent="0.35">
      <c r="A877" s="57" t="s">
        <v>63</v>
      </c>
      <c r="B877" s="86">
        <f>SUM(B874:B876)</f>
        <v>11987</v>
      </c>
      <c r="C877" s="87">
        <f>SUM(C874:C876)</f>
        <v>23654</v>
      </c>
      <c r="D877" s="118">
        <f>SUM(D874:D876)</f>
        <v>37956</v>
      </c>
      <c r="E877" s="59">
        <f>SUM(B877:D877)</f>
        <v>73597</v>
      </c>
      <c r="F877" s="87">
        <f>SUM(F874:F876)</f>
        <v>50334</v>
      </c>
      <c r="G877" s="87">
        <f>SUM(G874:G876)</f>
        <v>45030</v>
      </c>
      <c r="H877" s="87">
        <f>SUM(H874:H876)</f>
        <v>46532</v>
      </c>
      <c r="I877" s="59">
        <f>SUM(F877:H877)</f>
        <v>141896</v>
      </c>
      <c r="J877" s="87">
        <f>SUM(J874:J876)</f>
        <v>45774</v>
      </c>
      <c r="K877" s="87">
        <f>SUM(K874:K876)</f>
        <v>61463</v>
      </c>
      <c r="L877" s="87">
        <f>SUM(L874:L876)</f>
        <v>46644</v>
      </c>
      <c r="M877" s="59">
        <f>SUM(J877:L877)</f>
        <v>153881</v>
      </c>
      <c r="N877" s="87">
        <f>SUM(N874:N876)</f>
        <v>46631</v>
      </c>
      <c r="O877" s="87">
        <f>SUM(O874:O876)</f>
        <v>14639</v>
      </c>
      <c r="P877" s="87">
        <f>SUM(P874:P876)</f>
        <v>21551</v>
      </c>
      <c r="Q877" s="59">
        <f>SUM(N877:P877)</f>
        <v>82821</v>
      </c>
      <c r="R877" s="59">
        <f>+E877+I877+M877+Q877</f>
        <v>452195</v>
      </c>
      <c r="T877" s="4">
        <v>1600000</v>
      </c>
    </row>
    <row r="878" spans="1:20" ht="20.25" customHeight="1" x14ac:dyDescent="0.3">
      <c r="A878" s="15" t="s">
        <v>1018</v>
      </c>
      <c r="B878" s="1"/>
      <c r="C878" s="1"/>
      <c r="D878" s="1"/>
      <c r="E878" s="55" t="s">
        <v>7</v>
      </c>
      <c r="F878" s="1"/>
      <c r="G878" s="1"/>
      <c r="H878" s="1"/>
      <c r="I878" s="55" t="s">
        <v>7</v>
      </c>
      <c r="J878" s="1"/>
      <c r="K878" s="1"/>
      <c r="L878" s="1"/>
      <c r="M878" s="55" t="s">
        <v>7</v>
      </c>
      <c r="N878" s="1"/>
      <c r="O878" s="1"/>
      <c r="P878" s="1"/>
      <c r="Q878" s="55" t="s">
        <v>7</v>
      </c>
      <c r="R878" s="55" t="s">
        <v>7</v>
      </c>
      <c r="T878" s="4">
        <f>+T877-28000-R862-R863-400000-R875-R876+12000</f>
        <v>157060</v>
      </c>
    </row>
    <row r="879" spans="1:20" ht="15.75" customHeight="1" x14ac:dyDescent="0.3">
      <c r="A879" s="15" t="s">
        <v>1019</v>
      </c>
      <c r="B879" s="1">
        <f>SUM(B52:B52)+SUM(B109:B117)+SUM(B289:B292)+SUM(B460:B461)+SUM(B529:B529)+B571+SUM(B632:B634)+B688+B738+B785+SUM(B831:B833)</f>
        <v>0</v>
      </c>
      <c r="C879" s="1">
        <f>SUM(C52:C52)+SUM(C109:C117)+SUM(C289:C292)+SUM(C460:C461)+SUM(C529:C529)+C571+SUM(C632:C634)+C688+C738+C785+SUM(C831:C833)</f>
        <v>0</v>
      </c>
      <c r="D879" s="1">
        <f>SUM(D52:D52)+SUM(D109:D117)+SUM(D289:D292)+SUM(D460:D461)+SUM(D529:D529)+D571+SUM(D632:D634)+D688+D738+D785+SUM(D831:D833)</f>
        <v>0</v>
      </c>
      <c r="E879" s="55">
        <f t="shared" ref="E879:E887" si="287">SUM(B879:D879)</f>
        <v>0</v>
      </c>
      <c r="F879" s="1">
        <f>SUM(F52:F52)+SUM(F109:F117)+SUM(F289:F292)+SUM(F460:F461)+SUM(F529:F529)+F571+SUM(F632:F634)+F688+F738+F785+SUM(F831:F833)</f>
        <v>0</v>
      </c>
      <c r="G879" s="1">
        <f>SUM(G52:G52)+SUM(G109:G117)+SUM(G289:G292)+SUM(G460:G461)+SUM(G529:G529)+G571+SUM(G632:G634)+G688+G738+G785+SUM(G831:G833)</f>
        <v>0</v>
      </c>
      <c r="H879" s="1">
        <f>SUM(H52:H52)+SUM(H109:H117)+SUM(H289:H292)+SUM(H460:H461)+SUM(H529:H529)+H571+SUM(H632:H634)+H688+H738+H785+SUM(H831:H833)</f>
        <v>0</v>
      </c>
      <c r="I879" s="55">
        <f t="shared" ref="I879:I887" si="288">SUM(F879:H879)</f>
        <v>0</v>
      </c>
      <c r="J879" s="1">
        <f>SUM(J52:J52)+SUM(J109:J117)+SUM(J289:J292)+SUM(J460:J461)+SUM(J529:J529)+J571+SUM(J632:J634)+J688+J738+J785+SUM(J831:J833)</f>
        <v>0</v>
      </c>
      <c r="K879" s="1">
        <f>SUM(K52:K52)+SUM(K109:K117)+SUM(K289:K292)+SUM(K460:K461)+SUM(K529:K529)+K571+SUM(K632:K634)+K688+K738+K785+SUM(K831:K833)</f>
        <v>0</v>
      </c>
      <c r="L879" s="1">
        <f>SUM(L52:L52)+SUM(L109:L117)+SUM(L289:L292)+SUM(L460:L461)+SUM(L529:L529)+L571+SUM(L632:L634)+L688+L738+L785+SUM(L831:L833)</f>
        <v>0</v>
      </c>
      <c r="M879" s="55">
        <f t="shared" ref="M879:M887" si="289">SUM(J879:L879)</f>
        <v>0</v>
      </c>
      <c r="N879" s="1">
        <f>SUM(N52:N52)+SUM(N109:N117)+SUM(N289:N292)+SUM(N460:N461)+SUM(N529:N529)+N571+SUM(N632:N634)+N688+N738+N785+SUM(N831:N833)</f>
        <v>0</v>
      </c>
      <c r="O879" s="1">
        <f>SUM(O52:O52)+SUM(O109:O117)+SUM(O289:O292)+SUM(O460:O461)+SUM(O529:O529)+O571+SUM(O632:O634)+O688+O738+O785+SUM(O831:O833)</f>
        <v>2000</v>
      </c>
      <c r="P879" s="1">
        <f>SUM(P52:P52)+SUM(P109:P117)+SUM(P289:P292)+SUM(P460:P461)+SUM(P529:P529)+P571+SUM(P632:P634)+P688+P738+P785+SUM(P831:P833)</f>
        <v>4000</v>
      </c>
      <c r="Q879" s="55">
        <f t="shared" ref="Q879:Q887" si="290">SUM(N879:P879)</f>
        <v>6000</v>
      </c>
      <c r="R879" s="55">
        <f>+E879+I879+M879+Q879</f>
        <v>6000</v>
      </c>
    </row>
    <row r="880" spans="1:20" ht="15.75" customHeight="1" x14ac:dyDescent="0.3">
      <c r="A880" s="15" t="s">
        <v>67</v>
      </c>
      <c r="B880" s="1">
        <f>SUM(B53:B54)+SUM(B118:B119)+SUM(B293:B294)+B296+B298+B300+B301+SUM(B462:B464)+B530+B572+SUM(B635:B636)+B638+SUM(B689:B690)+B740+B742+B786+SUM(B834:B835)</f>
        <v>0</v>
      </c>
      <c r="C880" s="1">
        <f>SUM(C53:C54)+SUM(C118:C119)+SUM(C293:C294)+C296+C298+C300+C301+SUM(C462:C464)+C530+C572+SUM(C635:C636)+C638+SUM(C689:C690)+C740+C742+C786+SUM(C834:C835)</f>
        <v>0</v>
      </c>
      <c r="D880" s="1">
        <f>SUM(D53:D54)+SUM(D118:D119)+SUM(D293:D294)+D296+D298+D300+D301+SUM(D462:D464)+D530+D572+SUM(D635:D636)+D638+SUM(D689:D690)+D740+D742+D786+SUM(D834:D835)</f>
        <v>0</v>
      </c>
      <c r="E880" s="55">
        <f t="shared" si="287"/>
        <v>0</v>
      </c>
      <c r="F880" s="1">
        <f>SUM(F53:F54)+SUM(F118:F119)+SUM(F293:F294)+F296+F298+F300+F301+SUM(F462:F464)+F530+F572+SUM(F635:F636)+F638+SUM(F689:F690)+F740+F742+F786+SUM(F834:F835)</f>
        <v>0</v>
      </c>
      <c r="G880" s="1">
        <f>SUM(G53:G54)+SUM(G118:G119)+SUM(G293:G294)+G296+G298+G300+G301+SUM(G462:G464)+G530+G572+SUM(G635:G636)+G638+SUM(G689:G690)+G740+G742+G786+SUM(G834:G835)</f>
        <v>0</v>
      </c>
      <c r="H880" s="1">
        <f>SUM(H53:H54)+SUM(H118:H119)+SUM(H293:H294)+H296+H298+H300+H301+SUM(H462:H464)+H530+H572+SUM(H635:H636)+H638+SUM(H689:H690)+H740+H742+H786+SUM(H834:H835)</f>
        <v>0</v>
      </c>
      <c r="I880" s="55">
        <f t="shared" si="288"/>
        <v>0</v>
      </c>
      <c r="J880" s="1">
        <f>SUM(J53:J54)+SUM(J118:J119)+SUM(J293:J294)+J296+J298+J300+J301+SUM(J462:J464)+J530+J572+SUM(J635:J636)+J638+SUM(J689:J690)+J740+J742+J786+SUM(J834:J835)</f>
        <v>0</v>
      </c>
      <c r="K880" s="1">
        <f>SUM(K53:K54)+SUM(K118:K119)+SUM(K293:K294)+K296+K298+K300+K301+SUM(K462:K464)+K530+K572+SUM(K635:K636)+K638+SUM(K689:K690)+K740+K742+K786+SUM(K834:K835)</f>
        <v>0</v>
      </c>
      <c r="L880" s="1">
        <f>SUM(L53:L54)+SUM(L118:L119)+SUM(L293:L294)+L296+L298+L300+L301+SUM(L462:L464)+L530+L572+SUM(L635:L636)+L638+SUM(L689:L690)+L740+L742+L786+SUM(L834:L835)</f>
        <v>0</v>
      </c>
      <c r="M880" s="55">
        <f t="shared" si="289"/>
        <v>0</v>
      </c>
      <c r="N880" s="1">
        <f>SUM(N53:N54)+SUM(N118:N119)+SUM(N293:N294)+N296+N298+N300+N301+SUM(N462:N464)+N530+N572+SUM(N635:N636)+N638+SUM(N689:N690)+N740+N742+N786+SUM(N834:N835)</f>
        <v>0</v>
      </c>
      <c r="O880" s="1">
        <f>SUM(O53:O54)+SUM(O118:O119)+SUM(O293:O294)+O296+O298+O300+O301+SUM(O462:O464)+O530+O572+SUM(O635:O636)+O638+SUM(O689:O690)+O740+O742+O786+SUM(O834:O835)</f>
        <v>0</v>
      </c>
      <c r="P880" s="1">
        <f>SUM(P53:P54)+SUM(P118:P119)+SUM(P293:P294)+P296+P298+P300+P301+SUM(P462:P464)+P530+P572+SUM(P635:P636)+P638+SUM(P689:P690)+P740+P742+P786+SUM(P834:P835)</f>
        <v>0</v>
      </c>
      <c r="Q880" s="55">
        <f t="shared" si="290"/>
        <v>0</v>
      </c>
      <c r="R880" s="55">
        <f t="shared" ref="R880:R887" si="291">+E880+I880+M880+Q880</f>
        <v>0</v>
      </c>
    </row>
    <row r="881" spans="1:18" ht="18" customHeight="1" x14ac:dyDescent="0.3">
      <c r="A881" s="71" t="s">
        <v>1341</v>
      </c>
      <c r="B881" s="1">
        <f>B120+B295+B297+B299+B637+B639+B741+B743+B836</f>
        <v>0</v>
      </c>
      <c r="C881" s="1">
        <f>C120+C295+C297+C299+C637+C639+C741+C743+C836</f>
        <v>0</v>
      </c>
      <c r="D881" s="1">
        <f>D120+D295+D297+D299+D637+D639+D741+D743+D836</f>
        <v>0</v>
      </c>
      <c r="E881" s="55">
        <f t="shared" si="287"/>
        <v>0</v>
      </c>
      <c r="F881" s="1">
        <f>F120+F295+F297+F299+F637+F639+F741+F743+F836</f>
        <v>0</v>
      </c>
      <c r="G881" s="1">
        <f>G120+G295+G297+G299+G637+G639+G741+G743+G836</f>
        <v>0</v>
      </c>
      <c r="H881" s="1">
        <f>H120+H295+H297+H299+H637+H639+H741+H743+H836</f>
        <v>0</v>
      </c>
      <c r="I881" s="55">
        <f t="shared" si="288"/>
        <v>0</v>
      </c>
      <c r="J881" s="1">
        <f>J120+J295+J297+J299+J637+J639+J741+J743+J836</f>
        <v>0</v>
      </c>
      <c r="K881" s="1">
        <f>K120+K295+K297+K299+K637+K639+K741+K743+K836</f>
        <v>0</v>
      </c>
      <c r="L881" s="1">
        <f>L120+L295+L297+L299+L637+L639+L741+L743+L836</f>
        <v>0</v>
      </c>
      <c r="M881" s="55">
        <f t="shared" si="289"/>
        <v>0</v>
      </c>
      <c r="N881" s="1">
        <f>N120+N295+N297+N299+N637+N639+N741+N743+N836</f>
        <v>0</v>
      </c>
      <c r="O881" s="1">
        <f>O120+O295+O297+O299+O637+O639+O741+O743+O836</f>
        <v>0</v>
      </c>
      <c r="P881" s="1">
        <f>P120+P295+P297+P299+P637+P639+P741+P743+P836</f>
        <v>0</v>
      </c>
      <c r="Q881" s="55">
        <f t="shared" si="290"/>
        <v>0</v>
      </c>
      <c r="R881" s="55">
        <f t="shared" si="291"/>
        <v>0</v>
      </c>
    </row>
    <row r="882" spans="1:18" ht="15.75" customHeight="1" x14ac:dyDescent="0.3">
      <c r="A882" s="15" t="s">
        <v>1020</v>
      </c>
      <c r="B882" s="1">
        <f>+B55+SUM(B121:B122)+SUM(B302:B303)+SUM(B465:B471)+SUM(B531:B531)+SUM(B573:B574)+SUM(B640:B642)+B691+B744+B837+B837+B787</f>
        <v>0</v>
      </c>
      <c r="C882" s="1">
        <f>+C55+SUM(C121:C122)+SUM(C302:C303)+SUM(C465:C471)+SUM(C531:C531)+SUM(C573:C574)+SUM(C640:C642)+C691+C744+C837+C837+C787</f>
        <v>0</v>
      </c>
      <c r="D882" s="1">
        <f>+D55+SUM(D121:D122)+SUM(D302:D303)+SUM(D465:D471)+SUM(D531:D531)+SUM(D573:D574)+SUM(D640:D642)+D691+D744+D837+D837+D787</f>
        <v>0</v>
      </c>
      <c r="E882" s="55">
        <f t="shared" si="287"/>
        <v>0</v>
      </c>
      <c r="F882" s="1">
        <f>+F55+SUM(F121:F122)+SUM(F302:F303)+SUM(F465:F471)+SUM(F531:F531)+SUM(F573:F574)+SUM(F640:F642)+F691+F744+F837+F837+F787</f>
        <v>0</v>
      </c>
      <c r="G882" s="1">
        <f>+G55+SUM(G121:G122)+SUM(G302:G303)+SUM(G465:G471)+SUM(G531:G531)+SUM(G573:G574)+SUM(G640:G642)+G691+G744+G837+G837+G787</f>
        <v>0</v>
      </c>
      <c r="H882" s="1">
        <f>+H55+SUM(H121:H122)+SUM(H302:H303)+SUM(H465:H471)+SUM(H531:H531)+SUM(H573:H574)+SUM(H640:H642)+H691+H744+H837+H837+H787</f>
        <v>0</v>
      </c>
      <c r="I882" s="55">
        <f t="shared" si="288"/>
        <v>0</v>
      </c>
      <c r="J882" s="1">
        <f>+J55+SUM(J121:J122)+SUM(J302:J303)+SUM(J465:J471)+SUM(J531:J531)+SUM(J573:J574)+SUM(J640:J642)+J691+J744+J837+J837+J787</f>
        <v>0</v>
      </c>
      <c r="K882" s="1">
        <f>+K55+SUM(K121:K122)+SUM(K302:K303)+SUM(K465:K471)+SUM(K531:K531)+SUM(K573:K574)+SUM(K640:K642)+K691+K744+K837+K837+K787</f>
        <v>0</v>
      </c>
      <c r="L882" s="1">
        <f>+L55+SUM(L121:L122)+SUM(L302:L303)+SUM(L465:L471)+SUM(L531:L531)+SUM(L573:L574)+SUM(L640:L642)+L691+L744+L837+L837+L787</f>
        <v>0</v>
      </c>
      <c r="M882" s="55">
        <f t="shared" si="289"/>
        <v>0</v>
      </c>
      <c r="N882" s="1">
        <f>+N55+SUM(N121:N122)+SUM(N302:N303)+SUM(N465:N471)+SUM(N531:N531)+SUM(N573:N574)+SUM(N640:N642)+N691+N744+N837+N837+N787</f>
        <v>0</v>
      </c>
      <c r="O882" s="1">
        <f>+O55+SUM(O121:O122)+SUM(O302:O303)+SUM(O465:O471)+SUM(O531:O531)+SUM(O573:O574)+SUM(O640:O642)+O691+O744+O837+O837+O787</f>
        <v>0</v>
      </c>
      <c r="P882" s="1">
        <f>+P55+SUM(P121:P122)+SUM(P302:P303)+SUM(P465:P471)+SUM(P531:P531)+SUM(P573:P574)+SUM(P640:P642)+P691+P744+P837+P837+P787</f>
        <v>0</v>
      </c>
      <c r="Q882" s="55">
        <f t="shared" si="290"/>
        <v>0</v>
      </c>
      <c r="R882" s="55">
        <f>+E882+I882+M882+Q882</f>
        <v>0</v>
      </c>
    </row>
    <row r="883" spans="1:18" ht="22.5" customHeight="1" x14ac:dyDescent="0.3">
      <c r="A883" s="15" t="s">
        <v>70</v>
      </c>
      <c r="B883" s="1">
        <f>SUM(B125:B125)+SUM(B304:B305)+B473+B476+B477+B479+B482+SUM(B532:B533)+B576+B579+B643+B644+B646+B692+B745+B788+B838</f>
        <v>0</v>
      </c>
      <c r="C883" s="1">
        <f>SUM(C125:C125)+SUM(C304:C305)+C473+C476+C477+C479+C482+SUM(C532:C533)+C576+C579+C643+C644+C646+C692+C745+C788+C838</f>
        <v>0</v>
      </c>
      <c r="D883" s="1">
        <f>SUM(D125:D125)+SUM(D304:D305)+D473+D476+D477+D479+D482+SUM(D532:D533)+D576+D579+D643+D644+D646+D692+D745+D788+D838</f>
        <v>0</v>
      </c>
      <c r="E883" s="55">
        <f t="shared" si="287"/>
        <v>0</v>
      </c>
      <c r="F883" s="1">
        <f>SUM(F125:F125)+SUM(F304:F305)+F473+F476+F477+F479+F482+SUM(F532:F533)+F576+F579+F643+F644+F646+F692+F745+F788+F838</f>
        <v>0</v>
      </c>
      <c r="G883" s="1">
        <f>SUM(G125:G125)+SUM(G304:G305)+G473+G476+G477+G479+G482+SUM(G532:G533)+G576+G579+G643+G644+G646+G692+G745+G788+G838</f>
        <v>0</v>
      </c>
      <c r="H883" s="1">
        <f>SUM(H125:H125)+SUM(H304:H305)+H473+H476+H477+H479+H482+SUM(H532:H533)+H576+H579+H643+H644+H646+H692+H745+H788+H838</f>
        <v>0</v>
      </c>
      <c r="I883" s="55">
        <f t="shared" si="288"/>
        <v>0</v>
      </c>
      <c r="J883" s="1">
        <f>SUM(J125:J125)+SUM(J304:J305)+J473+J476+J477+J479+J482+SUM(J532:J533)+J576+J579+J643+J644+J646+J692+J745+J788+J838</f>
        <v>0</v>
      </c>
      <c r="K883" s="1">
        <f>SUM(K125:K125)+SUM(K304:K305)+K473+K476+K477+K479+K482+SUM(K532:K533)+K576+K579+K643+K644+K646+K692+K745+K788+K838</f>
        <v>0</v>
      </c>
      <c r="L883" s="1">
        <f>SUM(L125:L125)+SUM(L304:L305)+L473+L476+L477+L479+L482+SUM(L532:L533)+L576+L579+L643+L644+L646+L692+L745+L788+L838</f>
        <v>0</v>
      </c>
      <c r="M883" s="55">
        <f t="shared" si="289"/>
        <v>0</v>
      </c>
      <c r="N883" s="1">
        <f>SUM(N125:N125)+SUM(N304:N305)+N473+N476+N477+N479+N482+SUM(N532:N533)+N576+N579+N643+N644+N646+N692+N745+N788+N838</f>
        <v>0</v>
      </c>
      <c r="O883" s="1">
        <f>SUM(O125:O125)+SUM(O304:O305)+O473+O476+O477+O479+O482+SUM(O532:O533)+O576+O579+O643+O644+O646+O692+O745+O788+O838</f>
        <v>0</v>
      </c>
      <c r="P883" s="1">
        <f>SUM(P125:P125)+SUM(P304:P305)+P473+P476+P477+P479+P482+SUM(P532:P533)+P576+P579+P643+P644+P646+P692+P745+P788+P838</f>
        <v>0</v>
      </c>
      <c r="Q883" s="55">
        <f t="shared" si="290"/>
        <v>0</v>
      </c>
      <c r="R883" s="55">
        <f>+E883+I883+M883+Q883</f>
        <v>0</v>
      </c>
    </row>
    <row r="884" spans="1:18" ht="18.75" customHeight="1" thickBot="1" x14ac:dyDescent="0.35">
      <c r="A884" s="71" t="s">
        <v>1342</v>
      </c>
      <c r="B884" s="1">
        <f>+B474+B478+B480+B534+B124+B475+B481+B577+B578+B645</f>
        <v>0</v>
      </c>
      <c r="C884" s="1">
        <f>+C474+C478+C480+C534+C124+C475+C481+C577+C578+C645</f>
        <v>0</v>
      </c>
      <c r="D884" s="1">
        <f>+D474+D478+D480+D534+D124+D475+D481+D577+D578+D645</f>
        <v>0</v>
      </c>
      <c r="E884" s="55">
        <f>SUM(B884:D884)</f>
        <v>0</v>
      </c>
      <c r="F884" s="1">
        <f>+F474+F478+F480+F534+F124+F475+F481+F577+F578+F645</f>
        <v>0</v>
      </c>
      <c r="G884" s="1">
        <f>+G474+G478+G480+G534+G124+G475+G481+G577+G578+G645</f>
        <v>0</v>
      </c>
      <c r="H884" s="1">
        <f>+H474+H478+H480+H534+H124+H475+H481+H577+H578+H645</f>
        <v>0</v>
      </c>
      <c r="I884" s="55">
        <f>SUM(F884:H884)</f>
        <v>0</v>
      </c>
      <c r="J884" s="1">
        <f>+J474+J478+J480+J534+J124+J475+J481+J577+J578+J645</f>
        <v>0</v>
      </c>
      <c r="K884" s="1">
        <f>+K474+K478+K480+K534+K124+K475+K481+K577+K578+K645</f>
        <v>0</v>
      </c>
      <c r="L884" s="1">
        <f>+L474+L478+L480+L534+L124+L475+L481+L577+L578+L645</f>
        <v>0</v>
      </c>
      <c r="M884" s="55">
        <f>SUM(J884:L884)</f>
        <v>0</v>
      </c>
      <c r="N884" s="1">
        <f>+N474+N478+N480+N534+N124+N475+N481+N577+N578+N645</f>
        <v>0</v>
      </c>
      <c r="O884" s="1">
        <f>+O474+O478+O480+O534+O124+O475+O481+O577+O578+O645</f>
        <v>0</v>
      </c>
      <c r="P884" s="1">
        <f>+P474+P478+P480+P534+P124+P475+P481+P577+P578+P645</f>
        <v>0</v>
      </c>
      <c r="Q884" s="55">
        <f>SUM(N884:P884)</f>
        <v>0</v>
      </c>
      <c r="R884" s="55">
        <f>+E884+I884+M884+Q884</f>
        <v>0</v>
      </c>
    </row>
    <row r="885" spans="1:18" ht="16.5" customHeight="1" thickBot="1" x14ac:dyDescent="0.35">
      <c r="A885" s="57" t="s">
        <v>71</v>
      </c>
      <c r="B885" s="146">
        <f>SUM(B882:B884)</f>
        <v>0</v>
      </c>
      <c r="C885" s="146">
        <f>SUM(C882:C884)</f>
        <v>0</v>
      </c>
      <c r="D885" s="146">
        <f>SUM(D882:D884)</f>
        <v>0</v>
      </c>
      <c r="E885" s="60">
        <f t="shared" si="287"/>
        <v>0</v>
      </c>
      <c r="F885" s="146">
        <f>SUM(F882:F884)</f>
        <v>0</v>
      </c>
      <c r="G885" s="146">
        <f>SUM(G882:G884)</f>
        <v>0</v>
      </c>
      <c r="H885" s="146">
        <f>SUM(H882:H884)</f>
        <v>0</v>
      </c>
      <c r="I885" s="60">
        <f t="shared" si="288"/>
        <v>0</v>
      </c>
      <c r="J885" s="146">
        <f>SUM(J882:J884)</f>
        <v>0</v>
      </c>
      <c r="K885" s="146">
        <f>SUM(K882:K884)</f>
        <v>0</v>
      </c>
      <c r="L885" s="146">
        <f>SUM(L882:L884)</f>
        <v>0</v>
      </c>
      <c r="M885" s="60">
        <f t="shared" si="289"/>
        <v>0</v>
      </c>
      <c r="N885" s="146">
        <f>SUM(N882:N884)</f>
        <v>0</v>
      </c>
      <c r="O885" s="146">
        <f>SUM(O882:O884)</f>
        <v>0</v>
      </c>
      <c r="P885" s="146">
        <f>SUM(P882:P884)</f>
        <v>0</v>
      </c>
      <c r="Q885" s="60">
        <f t="shared" si="290"/>
        <v>0</v>
      </c>
      <c r="R885" s="59">
        <f t="shared" si="291"/>
        <v>0</v>
      </c>
    </row>
    <row r="886" spans="1:18" ht="16.5" customHeight="1" thickBot="1" x14ac:dyDescent="0.35">
      <c r="A886" s="114" t="s">
        <v>72</v>
      </c>
      <c r="B886" s="86">
        <f>SUM(B878:B884)</f>
        <v>0</v>
      </c>
      <c r="C886" s="87">
        <f>SUM(C878:C884)</f>
        <v>0</v>
      </c>
      <c r="D886" s="118">
        <f>SUM(D878:D884)</f>
        <v>0</v>
      </c>
      <c r="E886" s="147">
        <f t="shared" si="287"/>
        <v>0</v>
      </c>
      <c r="F886" s="86">
        <f>SUM(F878:F884)</f>
        <v>0</v>
      </c>
      <c r="G886" s="87">
        <f>SUM(G878:G884)</f>
        <v>0</v>
      </c>
      <c r="H886" s="118">
        <f>SUM(H878:H884)</f>
        <v>0</v>
      </c>
      <c r="I886" s="60">
        <f t="shared" si="288"/>
        <v>0</v>
      </c>
      <c r="J886" s="86">
        <f>SUM(J878:J884)</f>
        <v>0</v>
      </c>
      <c r="K886" s="87">
        <f>SUM(K878:K884)</f>
        <v>0</v>
      </c>
      <c r="L886" s="118">
        <f>SUM(L878:L884)</f>
        <v>0</v>
      </c>
      <c r="M886" s="60">
        <f t="shared" si="289"/>
        <v>0</v>
      </c>
      <c r="N886" s="86">
        <f>SUM(N878:N884)</f>
        <v>0</v>
      </c>
      <c r="O886" s="87">
        <f>SUM(O878:O884)</f>
        <v>2000</v>
      </c>
      <c r="P886" s="118">
        <f>SUM(P878:P884)</f>
        <v>4000</v>
      </c>
      <c r="Q886" s="60">
        <f t="shared" si="290"/>
        <v>6000</v>
      </c>
      <c r="R886" s="59">
        <f t="shared" si="291"/>
        <v>6000</v>
      </c>
    </row>
    <row r="887" spans="1:18" ht="16.5" customHeight="1" thickBot="1" x14ac:dyDescent="0.35">
      <c r="A887" s="57" t="s">
        <v>73</v>
      </c>
      <c r="B887" s="148">
        <f>+B868+B873+B877+B886</f>
        <v>42078</v>
      </c>
      <c r="C887" s="149">
        <f>+C868+C873+C877+C886</f>
        <v>50313</v>
      </c>
      <c r="D887" s="149">
        <f>+D868+D873+D877+D886</f>
        <v>82174</v>
      </c>
      <c r="E887" s="59">
        <f t="shared" si="287"/>
        <v>174565</v>
      </c>
      <c r="F887" s="58">
        <f>+F868+F873+F877+F886</f>
        <v>143255</v>
      </c>
      <c r="G887" s="58">
        <f>+G868+G873+G877+G886</f>
        <v>140285</v>
      </c>
      <c r="H887" s="58">
        <f>+H868+H873+H877+H886</f>
        <v>183443</v>
      </c>
      <c r="I887" s="59">
        <f t="shared" si="288"/>
        <v>466983</v>
      </c>
      <c r="J887" s="58">
        <f>+J868+J873+J877+J886</f>
        <v>188724</v>
      </c>
      <c r="K887" s="58">
        <f>+K868+K873+K877+K886</f>
        <v>181776</v>
      </c>
      <c r="L887" s="58">
        <f>+L868+L873+L877+L886</f>
        <v>124651</v>
      </c>
      <c r="M887" s="59">
        <f t="shared" si="289"/>
        <v>495151</v>
      </c>
      <c r="N887" s="58">
        <f>+N868+N873+N877+N886</f>
        <v>103093</v>
      </c>
      <c r="O887" s="58">
        <f>+O868+O873+O877+O886</f>
        <v>23617</v>
      </c>
      <c r="P887" s="58">
        <f>+P868+P873+P877+P886</f>
        <v>48082</v>
      </c>
      <c r="Q887" s="59">
        <f t="shared" si="290"/>
        <v>174792</v>
      </c>
      <c r="R887" s="81">
        <f t="shared" si="291"/>
        <v>1311491</v>
      </c>
    </row>
    <row r="888" spans="1:18" ht="15.75" customHeight="1" x14ac:dyDescent="0.3">
      <c r="A888" s="1" t="s">
        <v>1343</v>
      </c>
      <c r="B888" s="1"/>
      <c r="C888" s="1"/>
      <c r="D888" s="1"/>
      <c r="E888" s="1"/>
      <c r="F888" s="1"/>
      <c r="G888" s="1"/>
      <c r="H888" s="1"/>
      <c r="I888" s="1"/>
      <c r="J888" s="1"/>
      <c r="K888" s="1"/>
      <c r="L888" s="1"/>
      <c r="M888" s="1"/>
      <c r="N888" s="1"/>
      <c r="O888" s="316"/>
      <c r="P888" s="1"/>
      <c r="Q888" s="1"/>
      <c r="R888" s="2"/>
    </row>
    <row r="889" spans="1:18" ht="15.75" customHeight="1" x14ac:dyDescent="0.3">
      <c r="A889" s="1" t="s">
        <v>1344</v>
      </c>
      <c r="B889" s="1"/>
      <c r="C889" s="1"/>
      <c r="D889" s="1"/>
      <c r="E889" s="1"/>
      <c r="F889" s="1"/>
      <c r="G889" s="1"/>
      <c r="H889" s="1"/>
      <c r="I889" s="1"/>
      <c r="J889" s="1"/>
      <c r="K889" s="1"/>
      <c r="L889" s="1"/>
      <c r="M889" s="1"/>
      <c r="N889" s="1"/>
      <c r="O889" s="316"/>
      <c r="P889" s="1"/>
      <c r="Q889" s="1"/>
      <c r="R889" s="2"/>
    </row>
    <row r="890" spans="1:18" ht="15.75" customHeight="1" x14ac:dyDescent="0.3">
      <c r="A890" s="1"/>
      <c r="B890" s="1"/>
      <c r="C890" s="1"/>
      <c r="D890" s="1"/>
      <c r="E890" s="1"/>
      <c r="F890" s="1"/>
      <c r="G890" s="1"/>
      <c r="H890" s="1"/>
      <c r="I890" s="1"/>
      <c r="J890" s="1"/>
      <c r="K890" s="1"/>
      <c r="L890" s="1"/>
      <c r="M890" s="1"/>
      <c r="N890" s="1"/>
      <c r="O890" s="316"/>
      <c r="P890" s="1"/>
      <c r="Q890" s="338" t="str">
        <f>+Q1</f>
        <v xml:space="preserve">PRINTED:  </v>
      </c>
      <c r="R890" s="360">
        <f ca="1">+R1</f>
        <v>44909.46975358796</v>
      </c>
    </row>
    <row r="891" spans="1:18" ht="15.75" customHeight="1" x14ac:dyDescent="0.3">
      <c r="A891" s="499" t="s">
        <v>1</v>
      </c>
      <c r="B891" s="499"/>
      <c r="C891" s="499"/>
      <c r="D891" s="499"/>
      <c r="E891" s="499"/>
      <c r="F891" s="499"/>
      <c r="G891" s="499"/>
      <c r="H891" s="499"/>
      <c r="I891" s="499"/>
      <c r="J891" s="499"/>
      <c r="K891" s="499"/>
      <c r="L891" s="499"/>
      <c r="M891" s="499"/>
      <c r="N891" s="499"/>
      <c r="O891" s="499"/>
      <c r="P891" s="499"/>
      <c r="Q891" s="499"/>
      <c r="R891" s="499"/>
    </row>
    <row r="892" spans="1:18" ht="15.75" customHeight="1" x14ac:dyDescent="0.3">
      <c r="A892" s="499" t="s">
        <v>2</v>
      </c>
      <c r="B892" s="499"/>
      <c r="C892" s="499"/>
      <c r="D892" s="499"/>
      <c r="E892" s="499"/>
      <c r="F892" s="499"/>
      <c r="G892" s="499"/>
      <c r="H892" s="499"/>
      <c r="I892" s="499"/>
      <c r="J892" s="499"/>
      <c r="K892" s="499"/>
      <c r="L892" s="499"/>
      <c r="M892" s="499"/>
      <c r="N892" s="499"/>
      <c r="O892" s="499"/>
      <c r="P892" s="499"/>
      <c r="Q892" s="499"/>
      <c r="R892" s="499"/>
    </row>
    <row r="893" spans="1:18" ht="15.75" customHeight="1" x14ac:dyDescent="0.3">
      <c r="A893" s="499" t="s">
        <v>3</v>
      </c>
      <c r="B893" s="499"/>
      <c r="C893" s="499"/>
      <c r="D893" s="499"/>
      <c r="E893" s="499"/>
      <c r="F893" s="499"/>
      <c r="G893" s="499"/>
      <c r="H893" s="499"/>
      <c r="I893" s="499"/>
      <c r="J893" s="499"/>
      <c r="K893" s="499"/>
      <c r="L893" s="499"/>
      <c r="M893" s="499"/>
      <c r="N893" s="499"/>
      <c r="O893" s="499"/>
      <c r="P893" s="499"/>
      <c r="Q893" s="499"/>
      <c r="R893" s="499"/>
    </row>
    <row r="894" spans="1:18" ht="15.75" customHeight="1" x14ac:dyDescent="0.3">
      <c r="A894" s="505">
        <f>+A5</f>
        <v>2019</v>
      </c>
      <c r="B894" s="505"/>
      <c r="C894" s="505"/>
      <c r="D894" s="505"/>
      <c r="E894" s="505"/>
      <c r="F894" s="505"/>
      <c r="G894" s="505"/>
      <c r="H894" s="505"/>
      <c r="I894" s="505"/>
      <c r="J894" s="505"/>
      <c r="K894" s="505"/>
      <c r="L894" s="505"/>
      <c r="M894" s="505"/>
      <c r="N894" s="505"/>
      <c r="O894" s="505"/>
      <c r="P894" s="505"/>
      <c r="Q894" s="505"/>
      <c r="R894" s="505"/>
    </row>
    <row r="895" spans="1:18" ht="15.75" customHeight="1" x14ac:dyDescent="0.3">
      <c r="A895" s="1"/>
      <c r="B895" s="1"/>
      <c r="C895" s="1"/>
      <c r="D895" s="5"/>
      <c r="E895" s="5"/>
      <c r="F895" s="5"/>
      <c r="G895" s="6"/>
      <c r="H895" s="5"/>
      <c r="I895" s="5"/>
      <c r="J895" s="6"/>
      <c r="K895" s="6"/>
      <c r="L895" s="6"/>
      <c r="M895" s="6"/>
      <c r="N895" s="1"/>
      <c r="O895" s="6"/>
      <c r="P895" s="6"/>
      <c r="Q895" s="6"/>
      <c r="R895" s="6"/>
    </row>
    <row r="896" spans="1:18" ht="15.75" customHeight="1" x14ac:dyDescent="0.3">
      <c r="A896" s="499" t="str">
        <f>+A8</f>
        <v>Revised:  11/4/2019</v>
      </c>
      <c r="B896" s="499"/>
      <c r="C896" s="499"/>
      <c r="D896" s="499"/>
      <c r="E896" s="499"/>
      <c r="F896" s="499"/>
      <c r="G896" s="499"/>
      <c r="H896" s="499"/>
      <c r="I896" s="499"/>
      <c r="J896" s="499"/>
      <c r="K896" s="499"/>
      <c r="L896" s="499"/>
      <c r="M896" s="499"/>
      <c r="N896" s="499"/>
      <c r="O896" s="499"/>
      <c r="P896" s="499"/>
      <c r="Q896" s="499"/>
      <c r="R896" s="499"/>
    </row>
    <row r="897" spans="1:46" ht="15.75" customHeight="1" x14ac:dyDescent="0.3">
      <c r="A897" s="314"/>
      <c r="B897" s="314"/>
      <c r="C897" s="314"/>
      <c r="D897" s="314"/>
      <c r="E897" s="314"/>
      <c r="F897" s="314"/>
      <c r="G897" s="314"/>
      <c r="H897" s="314"/>
      <c r="I897" s="314"/>
      <c r="J897" s="314"/>
      <c r="K897" s="314"/>
      <c r="L897" s="314"/>
      <c r="M897" s="314"/>
      <c r="N897" s="314"/>
      <c r="O897" s="314"/>
      <c r="P897" s="314"/>
      <c r="Q897" s="314"/>
      <c r="R897" s="314"/>
    </row>
    <row r="898" spans="1:46" ht="15.75" customHeight="1" x14ac:dyDescent="0.3">
      <c r="A898" s="28"/>
      <c r="B898" s="1"/>
      <c r="C898" s="1"/>
      <c r="D898" s="1"/>
      <c r="E898" s="1"/>
      <c r="F898" s="1"/>
      <c r="G898" s="1"/>
      <c r="H898" s="1"/>
      <c r="I898" s="1"/>
      <c r="J898" s="1"/>
      <c r="K898" s="1"/>
      <c r="L898" s="1"/>
      <c r="M898" s="1"/>
      <c r="N898" s="1"/>
      <c r="O898" s="1"/>
      <c r="P898" s="1"/>
      <c r="Q898" s="1"/>
      <c r="R898" s="2"/>
    </row>
    <row r="899" spans="1:46" ht="15.75" customHeight="1" thickBot="1" x14ac:dyDescent="0.35">
      <c r="A899" s="1"/>
      <c r="B899" s="1"/>
      <c r="C899" s="1"/>
      <c r="D899" s="1"/>
      <c r="E899" s="1"/>
      <c r="F899" s="1"/>
      <c r="G899" s="1"/>
      <c r="H899" s="1"/>
      <c r="I899" s="1"/>
      <c r="J899" s="1"/>
      <c r="K899" s="1"/>
      <c r="L899" s="1"/>
      <c r="M899" s="1"/>
      <c r="N899" s="1"/>
      <c r="O899" s="316"/>
      <c r="P899" s="1"/>
      <c r="Q899" s="1"/>
      <c r="R899" s="2"/>
    </row>
    <row r="900" spans="1:46" ht="15.75" customHeight="1" thickBot="1" x14ac:dyDescent="0.35">
      <c r="A900" s="107" t="s">
        <v>380</v>
      </c>
      <c r="B900" s="47" t="s">
        <v>8</v>
      </c>
      <c r="C900" s="48" t="s">
        <v>9</v>
      </c>
      <c r="D900" s="48" t="s">
        <v>10</v>
      </c>
      <c r="E900" s="32" t="s">
        <v>11</v>
      </c>
      <c r="F900" s="48" t="s">
        <v>12</v>
      </c>
      <c r="G900" s="48" t="s">
        <v>13</v>
      </c>
      <c r="H900" s="48" t="s">
        <v>14</v>
      </c>
      <c r="I900" s="32" t="s">
        <v>15</v>
      </c>
      <c r="J900" s="48" t="s">
        <v>16</v>
      </c>
      <c r="K900" s="48" t="s">
        <v>17</v>
      </c>
      <c r="L900" s="48" t="s">
        <v>18</v>
      </c>
      <c r="M900" s="32" t="s">
        <v>19</v>
      </c>
      <c r="N900" s="48" t="s">
        <v>20</v>
      </c>
      <c r="O900" s="48" t="s">
        <v>21</v>
      </c>
      <c r="P900" s="48" t="s">
        <v>22</v>
      </c>
      <c r="Q900" s="32" t="s">
        <v>23</v>
      </c>
      <c r="R900" s="151" t="s">
        <v>24</v>
      </c>
    </row>
    <row r="901" spans="1:46" ht="16.5" customHeight="1" thickBot="1" x14ac:dyDescent="0.35">
      <c r="A901" s="152"/>
      <c r="B901" s="153"/>
      <c r="C901" s="153"/>
      <c r="D901" s="153"/>
      <c r="E901" s="52"/>
      <c r="F901" s="153"/>
      <c r="G901" s="153"/>
      <c r="H901" s="153"/>
      <c r="I901" s="37"/>
      <c r="J901" s="153"/>
      <c r="K901" s="153"/>
      <c r="L901" s="153"/>
      <c r="M901" s="37"/>
      <c r="N901" s="153"/>
      <c r="O901" s="153"/>
      <c r="P901" s="153"/>
      <c r="Q901" s="127"/>
      <c r="R901" s="154"/>
    </row>
    <row r="902" spans="1:46" ht="16.5" customHeight="1" thickBot="1" x14ac:dyDescent="0.35">
      <c r="A902" s="155" t="s">
        <v>381</v>
      </c>
      <c r="B902" s="156">
        <f>+B868</f>
        <v>28669</v>
      </c>
      <c r="C902" s="156">
        <f>+C868</f>
        <v>24908</v>
      </c>
      <c r="D902" s="156">
        <f>+D868</f>
        <v>36226</v>
      </c>
      <c r="E902" s="86">
        <f>+SUM(B902:D902)</f>
        <v>89803</v>
      </c>
      <c r="F902" s="156">
        <f>+F868</f>
        <v>52965</v>
      </c>
      <c r="G902" s="156">
        <f>+G868</f>
        <v>71065</v>
      </c>
      <c r="H902" s="156">
        <f>+H868</f>
        <v>88095</v>
      </c>
      <c r="I902" s="86">
        <f>+SUM(F902:H902)</f>
        <v>212125</v>
      </c>
      <c r="J902" s="156">
        <f>+J868</f>
        <v>87748</v>
      </c>
      <c r="K902" s="156">
        <f>+K868</f>
        <v>77986</v>
      </c>
      <c r="L902" s="156">
        <f>+L868</f>
        <v>60114</v>
      </c>
      <c r="M902" s="86">
        <f>+SUM(J902:L902)</f>
        <v>225848</v>
      </c>
      <c r="N902" s="156">
        <f>+N868</f>
        <v>43621</v>
      </c>
      <c r="O902" s="156">
        <f>+O868</f>
        <v>5187</v>
      </c>
      <c r="P902" s="156">
        <f>+P868</f>
        <v>14017</v>
      </c>
      <c r="Q902" s="86">
        <f>+SUM(N902:P902)</f>
        <v>62825</v>
      </c>
      <c r="R902" s="59">
        <f>+E902+I902+M902+Q902</f>
        <v>590601</v>
      </c>
    </row>
    <row r="903" spans="1:46" ht="16.5" customHeight="1" thickBot="1" x14ac:dyDescent="0.35">
      <c r="A903" s="33"/>
      <c r="B903" s="86"/>
      <c r="C903" s="86"/>
      <c r="D903" s="86"/>
      <c r="E903" s="86"/>
      <c r="F903" s="86"/>
      <c r="G903" s="86"/>
      <c r="H903" s="86"/>
      <c r="I903" s="86"/>
      <c r="J903" s="86"/>
      <c r="K903" s="86"/>
      <c r="L903" s="86"/>
      <c r="M903" s="86"/>
      <c r="N903" s="86"/>
      <c r="O903" s="86"/>
      <c r="P903" s="86"/>
      <c r="Q903" s="86"/>
      <c r="R903" s="59"/>
    </row>
    <row r="904" spans="1:46" ht="16.5" customHeight="1" thickBot="1" x14ac:dyDescent="0.35">
      <c r="A904" s="155" t="s">
        <v>382</v>
      </c>
      <c r="B904" s="156">
        <f>+B873</f>
        <v>1422</v>
      </c>
      <c r="C904" s="156">
        <f>+C873</f>
        <v>1751</v>
      </c>
      <c r="D904" s="156">
        <f>+D873</f>
        <v>7992</v>
      </c>
      <c r="E904" s="86">
        <f>+SUM(B904:D904)</f>
        <v>11165</v>
      </c>
      <c r="F904" s="156">
        <f>+F873</f>
        <v>39956</v>
      </c>
      <c r="G904" s="156">
        <f>+G873</f>
        <v>24190</v>
      </c>
      <c r="H904" s="156">
        <f>+H873</f>
        <v>48816</v>
      </c>
      <c r="I904" s="86">
        <f>+SUM(F904:H904)</f>
        <v>112962</v>
      </c>
      <c r="J904" s="156">
        <f>+J873</f>
        <v>55202</v>
      </c>
      <c r="K904" s="156">
        <f>+K873</f>
        <v>42327</v>
      </c>
      <c r="L904" s="156">
        <f>+L873</f>
        <v>17893</v>
      </c>
      <c r="M904" s="86">
        <f>+SUM(J904:L904)</f>
        <v>115422</v>
      </c>
      <c r="N904" s="156">
        <f>+N873</f>
        <v>12841</v>
      </c>
      <c r="O904" s="156">
        <f>+O873</f>
        <v>1791</v>
      </c>
      <c r="P904" s="156">
        <f>+P873</f>
        <v>8514</v>
      </c>
      <c r="Q904" s="86">
        <f>+SUM(N904:P904)</f>
        <v>23146</v>
      </c>
      <c r="R904" s="59">
        <f>+E904+I904+M904+Q904</f>
        <v>262695</v>
      </c>
    </row>
    <row r="905" spans="1:46" ht="16.5" customHeight="1" thickBot="1" x14ac:dyDescent="0.35">
      <c r="A905" s="33"/>
      <c r="B905" s="86"/>
      <c r="C905" s="86"/>
      <c r="D905" s="86"/>
      <c r="E905" s="86"/>
      <c r="F905" s="86"/>
      <c r="G905" s="86"/>
      <c r="H905" s="86"/>
      <c r="I905" s="86"/>
      <c r="J905" s="86"/>
      <c r="K905" s="86"/>
      <c r="L905" s="86"/>
      <c r="M905" s="86"/>
      <c r="N905" s="86"/>
      <c r="O905" s="86"/>
      <c r="P905" s="86"/>
      <c r="Q905" s="86"/>
      <c r="R905" s="59"/>
      <c r="AC905" s="318"/>
      <c r="AD905" s="319"/>
      <c r="AE905" s="321" t="s">
        <v>423</v>
      </c>
      <c r="AF905" s="319"/>
      <c r="AG905" s="319"/>
      <c r="AH905" s="319"/>
      <c r="AI905" s="319"/>
      <c r="AJ905" s="319"/>
      <c r="AK905" s="319" t="s">
        <v>424</v>
      </c>
      <c r="AL905" s="319"/>
      <c r="AM905" s="319" t="s">
        <v>7</v>
      </c>
      <c r="AN905" s="329" t="str">
        <f>+A8</f>
        <v>Revised:  11/4/2019</v>
      </c>
      <c r="AO905" s="319"/>
      <c r="AP905" s="319"/>
      <c r="AQ905" s="319"/>
      <c r="AR905" s="319"/>
      <c r="AS905" s="361" t="str">
        <f>+Q1</f>
        <v xml:space="preserve">PRINTED:  </v>
      </c>
      <c r="AT905" s="362">
        <f ca="1">+R1</f>
        <v>44909.46975358796</v>
      </c>
    </row>
    <row r="906" spans="1:46" ht="16.5" customHeight="1" thickBot="1" x14ac:dyDescent="0.35">
      <c r="A906" s="155" t="s">
        <v>383</v>
      </c>
      <c r="B906" s="156">
        <f>+B877</f>
        <v>11987</v>
      </c>
      <c r="C906" s="156">
        <f>+C877</f>
        <v>23654</v>
      </c>
      <c r="D906" s="156">
        <f>+D877</f>
        <v>37956</v>
      </c>
      <c r="E906" s="86">
        <f>+SUM(B906:D906)</f>
        <v>73597</v>
      </c>
      <c r="F906" s="156">
        <f>+F877</f>
        <v>50334</v>
      </c>
      <c r="G906" s="156">
        <f>+G877</f>
        <v>45030</v>
      </c>
      <c r="H906" s="156">
        <f>+H877</f>
        <v>46532</v>
      </c>
      <c r="I906" s="86">
        <f>+SUM(F906:H906)</f>
        <v>141896</v>
      </c>
      <c r="J906" s="156">
        <f>+J877</f>
        <v>45774</v>
      </c>
      <c r="K906" s="156">
        <f>+K877</f>
        <v>61463</v>
      </c>
      <c r="L906" s="156">
        <f>+L877</f>
        <v>46644</v>
      </c>
      <c r="M906" s="86">
        <f>+SUM(J906:L906)</f>
        <v>153881</v>
      </c>
      <c r="N906" s="156">
        <f>+N877</f>
        <v>46631</v>
      </c>
      <c r="O906" s="156">
        <f>+O877</f>
        <v>14639</v>
      </c>
      <c r="P906" s="156">
        <f>+P877</f>
        <v>21551</v>
      </c>
      <c r="Q906" s="86">
        <f>+SUM(N906:P906)</f>
        <v>82821</v>
      </c>
      <c r="R906" s="59">
        <f>+E906+I906+M906+Q906</f>
        <v>452195</v>
      </c>
      <c r="AC906" s="323"/>
      <c r="AD906" s="159"/>
      <c r="AE906" s="159"/>
      <c r="AF906" s="159">
        <f>++A5</f>
        <v>2019</v>
      </c>
      <c r="AG906" s="159"/>
      <c r="AH906" s="159"/>
      <c r="AI906" s="159"/>
      <c r="AJ906" s="159"/>
      <c r="AK906" s="159"/>
      <c r="AL906" s="159"/>
      <c r="AM906" s="159"/>
      <c r="AN906" s="159"/>
      <c r="AO906" s="159"/>
      <c r="AP906" s="159"/>
      <c r="AQ906" s="159"/>
      <c r="AR906" s="159"/>
      <c r="AS906" s="159"/>
      <c r="AT906" s="324"/>
    </row>
    <row r="907" spans="1:46" ht="16.5" customHeight="1" thickBot="1" x14ac:dyDescent="0.35">
      <c r="A907" s="33"/>
      <c r="B907" s="86"/>
      <c r="C907" s="86"/>
      <c r="D907" s="86"/>
      <c r="E907" s="86"/>
      <c r="F907" s="86"/>
      <c r="G907" s="86"/>
      <c r="H907" s="86"/>
      <c r="I907" s="86"/>
      <c r="J907" s="86"/>
      <c r="K907" s="86"/>
      <c r="L907" s="86"/>
      <c r="M907" s="86"/>
      <c r="N907" s="86"/>
      <c r="O907" s="86"/>
      <c r="P907" s="86"/>
      <c r="Q907" s="86"/>
      <c r="R907" s="59"/>
      <c r="AC907" s="323"/>
      <c r="AD907" s="159"/>
      <c r="AE907" s="159"/>
      <c r="AF907" s="159"/>
      <c r="AG907" s="159"/>
      <c r="AH907" s="159"/>
      <c r="AI907" s="159"/>
      <c r="AJ907" s="159"/>
      <c r="AK907" s="159"/>
      <c r="AL907" s="159"/>
      <c r="AM907" s="159"/>
      <c r="AN907" s="159"/>
      <c r="AO907" s="159"/>
      <c r="AP907" s="159"/>
      <c r="AQ907" s="159"/>
      <c r="AR907" s="159"/>
      <c r="AS907" s="159"/>
      <c r="AT907" s="324"/>
    </row>
    <row r="908" spans="1:46" ht="16.5" customHeight="1" thickBot="1" x14ac:dyDescent="0.35">
      <c r="A908" s="155" t="s">
        <v>384</v>
      </c>
      <c r="B908" s="156">
        <f>+B886</f>
        <v>0</v>
      </c>
      <c r="C908" s="156">
        <f>+C886</f>
        <v>0</v>
      </c>
      <c r="D908" s="156">
        <f>+D886</f>
        <v>0</v>
      </c>
      <c r="E908" s="86">
        <f>+SUM(B908:D908)</f>
        <v>0</v>
      </c>
      <c r="F908" s="156">
        <f>+F886</f>
        <v>0</v>
      </c>
      <c r="G908" s="156">
        <f>+G886</f>
        <v>0</v>
      </c>
      <c r="H908" s="156">
        <f>+H886</f>
        <v>0</v>
      </c>
      <c r="I908" s="86">
        <f>+SUM(F908:H908)</f>
        <v>0</v>
      </c>
      <c r="J908" s="156">
        <f>+J886</f>
        <v>0</v>
      </c>
      <c r="K908" s="156">
        <f>+K886</f>
        <v>0</v>
      </c>
      <c r="L908" s="156">
        <f>+L886</f>
        <v>0</v>
      </c>
      <c r="M908" s="86">
        <f>+SUM(J908:L908)</f>
        <v>0</v>
      </c>
      <c r="N908" s="156">
        <f>+N886</f>
        <v>0</v>
      </c>
      <c r="O908" s="156">
        <f>+O886</f>
        <v>2000</v>
      </c>
      <c r="P908" s="156">
        <f>+P886</f>
        <v>4000</v>
      </c>
      <c r="Q908" s="86">
        <f>+SUM(N908:P908)</f>
        <v>6000</v>
      </c>
      <c r="R908" s="59">
        <f>+E908+I908+M908+Q908</f>
        <v>6000</v>
      </c>
      <c r="AC908" s="323"/>
      <c r="AD908" s="159"/>
      <c r="AE908" s="159"/>
      <c r="AF908" s="159"/>
      <c r="AG908" s="159"/>
      <c r="AH908" s="159"/>
      <c r="AI908" s="164" t="s">
        <v>425</v>
      </c>
      <c r="AJ908" s="159"/>
      <c r="AK908" s="159"/>
      <c r="AL908" s="159"/>
      <c r="AM908" s="159"/>
      <c r="AN908" s="159"/>
      <c r="AO908" s="159"/>
      <c r="AP908" s="159"/>
      <c r="AQ908" s="159"/>
      <c r="AR908" s="159"/>
      <c r="AS908" s="159"/>
      <c r="AT908" s="324"/>
    </row>
    <row r="909" spans="1:46" ht="16.5" customHeight="1" thickBot="1" x14ac:dyDescent="0.35">
      <c r="A909" s="33"/>
      <c r="B909" s="86"/>
      <c r="C909" s="86"/>
      <c r="D909" s="86"/>
      <c r="E909" s="86"/>
      <c r="F909" s="86"/>
      <c r="G909" s="86"/>
      <c r="H909" s="86"/>
      <c r="I909" s="86"/>
      <c r="J909" s="86"/>
      <c r="K909" s="86"/>
      <c r="L909" s="86"/>
      <c r="M909" s="86"/>
      <c r="N909" s="86"/>
      <c r="O909" s="86"/>
      <c r="P909" s="86"/>
      <c r="Q909" s="86"/>
      <c r="R909" s="59"/>
      <c r="AC909" s="323"/>
      <c r="AD909" s="159" t="s">
        <v>424</v>
      </c>
      <c r="AE909" s="159"/>
      <c r="AF909" s="164" t="s">
        <v>426</v>
      </c>
      <c r="AG909" s="164" t="s">
        <v>426</v>
      </c>
      <c r="AH909" s="164" t="s">
        <v>427</v>
      </c>
      <c r="AI909" s="164" t="s">
        <v>404</v>
      </c>
      <c r="AJ909" s="164" t="s">
        <v>428</v>
      </c>
      <c r="AK909" s="164" t="s">
        <v>429</v>
      </c>
      <c r="AL909" s="164" t="s">
        <v>422</v>
      </c>
      <c r="AM909" s="159" t="s">
        <v>424</v>
      </c>
      <c r="AN909" s="164" t="s">
        <v>430</v>
      </c>
      <c r="AO909" s="164" t="s">
        <v>430</v>
      </c>
      <c r="AP909" s="164" t="s">
        <v>430</v>
      </c>
      <c r="AQ909" s="159"/>
      <c r="AR909" s="159"/>
      <c r="AS909" s="159"/>
      <c r="AT909" s="324"/>
    </row>
    <row r="910" spans="1:46" ht="16.5" customHeight="1" thickBot="1" x14ac:dyDescent="0.4">
      <c r="A910" s="33" t="s">
        <v>385</v>
      </c>
      <c r="B910" s="90">
        <f t="shared" ref="B910:Q910" si="292">+SUM(B902:B908)</f>
        <v>42078</v>
      </c>
      <c r="C910" s="90">
        <f t="shared" si="292"/>
        <v>50313</v>
      </c>
      <c r="D910" s="90">
        <f t="shared" si="292"/>
        <v>82174</v>
      </c>
      <c r="E910" s="90">
        <f t="shared" si="292"/>
        <v>174565</v>
      </c>
      <c r="F910" s="90">
        <f t="shared" si="292"/>
        <v>143255</v>
      </c>
      <c r="G910" s="90">
        <f t="shared" si="292"/>
        <v>140285</v>
      </c>
      <c r="H910" s="90">
        <f t="shared" si="292"/>
        <v>183443</v>
      </c>
      <c r="I910" s="90">
        <f t="shared" si="292"/>
        <v>466983</v>
      </c>
      <c r="J910" s="90">
        <f t="shared" si="292"/>
        <v>188724</v>
      </c>
      <c r="K910" s="90">
        <f t="shared" si="292"/>
        <v>181776</v>
      </c>
      <c r="L910" s="90">
        <f t="shared" si="292"/>
        <v>124651</v>
      </c>
      <c r="M910" s="90">
        <f t="shared" si="292"/>
        <v>495151</v>
      </c>
      <c r="N910" s="90">
        <f t="shared" si="292"/>
        <v>103093</v>
      </c>
      <c r="O910" s="90">
        <f t="shared" si="292"/>
        <v>23617</v>
      </c>
      <c r="P910" s="90">
        <f t="shared" si="292"/>
        <v>48082</v>
      </c>
      <c r="Q910" s="90">
        <f t="shared" si="292"/>
        <v>174792</v>
      </c>
      <c r="R910" s="157">
        <f>+SUM(R902:R908)</f>
        <v>1311491</v>
      </c>
      <c r="AC910" s="323"/>
      <c r="AD910" s="164" t="s">
        <v>394</v>
      </c>
      <c r="AE910" s="164" t="s">
        <v>431</v>
      </c>
      <c r="AF910" s="164" t="s">
        <v>432</v>
      </c>
      <c r="AG910" s="164" t="s">
        <v>432</v>
      </c>
      <c r="AH910" s="164" t="s">
        <v>433</v>
      </c>
      <c r="AI910" s="165" t="s">
        <v>434</v>
      </c>
      <c r="AJ910" s="164" t="s">
        <v>435</v>
      </c>
      <c r="AK910" s="164" t="s">
        <v>436</v>
      </c>
      <c r="AL910" s="164" t="s">
        <v>437</v>
      </c>
      <c r="AM910" s="159" t="s">
        <v>424</v>
      </c>
      <c r="AN910" s="164" t="s">
        <v>438</v>
      </c>
      <c r="AO910" s="164" t="s">
        <v>434</v>
      </c>
      <c r="AP910" s="164" t="s">
        <v>407</v>
      </c>
      <c r="AQ910" s="159"/>
      <c r="AR910" s="159"/>
      <c r="AS910" s="159"/>
      <c r="AT910" s="324"/>
    </row>
    <row r="911" spans="1:46" ht="15.75" customHeight="1" x14ac:dyDescent="0.35">
      <c r="A911" s="145"/>
      <c r="B911" s="158"/>
      <c r="C911" s="158"/>
      <c r="D911" s="158"/>
      <c r="E911" s="158"/>
      <c r="F911" s="158"/>
      <c r="G911" s="158"/>
      <c r="H911" s="317" t="s">
        <v>786</v>
      </c>
      <c r="I911" s="158"/>
      <c r="J911" s="158"/>
      <c r="K911" s="158"/>
      <c r="L911" s="158"/>
      <c r="M911" s="158"/>
      <c r="N911" s="158"/>
      <c r="O911" s="158"/>
      <c r="P911" s="158"/>
      <c r="Q911" s="158"/>
      <c r="R911" s="158"/>
      <c r="AC911" s="323"/>
      <c r="AD911" s="164" t="s">
        <v>406</v>
      </c>
      <c r="AE911" s="164" t="s">
        <v>439</v>
      </c>
      <c r="AF911" s="164" t="s">
        <v>440</v>
      </c>
      <c r="AG911" s="164" t="s">
        <v>441</v>
      </c>
      <c r="AH911" s="164" t="s">
        <v>442</v>
      </c>
      <c r="AI911" s="164" t="s">
        <v>442</v>
      </c>
      <c r="AJ911" s="164" t="s">
        <v>442</v>
      </c>
      <c r="AK911" s="164" t="s">
        <v>442</v>
      </c>
      <c r="AL911" s="164" t="s">
        <v>443</v>
      </c>
      <c r="AM911" s="159" t="s">
        <v>424</v>
      </c>
      <c r="AN911" s="164" t="s">
        <v>444</v>
      </c>
      <c r="AO911" s="164" t="s">
        <v>445</v>
      </c>
      <c r="AP911" s="164" t="s">
        <v>445</v>
      </c>
      <c r="AQ911" s="159"/>
      <c r="AR911" s="159"/>
      <c r="AS911" s="159"/>
      <c r="AT911" s="324"/>
    </row>
    <row r="912" spans="1:46" ht="15.75" customHeight="1" x14ac:dyDescent="0.35">
      <c r="A912" s="145"/>
      <c r="B912" s="158"/>
      <c r="C912" s="158"/>
      <c r="D912" s="158"/>
      <c r="E912" s="158"/>
      <c r="F912" s="158"/>
      <c r="G912" s="158"/>
      <c r="H912" s="158"/>
      <c r="I912" s="158"/>
      <c r="J912" s="158"/>
      <c r="K912" s="158"/>
      <c r="L912" s="158"/>
      <c r="M912" s="158"/>
      <c r="N912" s="158"/>
      <c r="O912" s="158"/>
      <c r="P912" s="158"/>
      <c r="Q912" s="158"/>
      <c r="R912" s="158"/>
      <c r="AC912" s="323"/>
      <c r="AD912" s="164" t="s">
        <v>446</v>
      </c>
      <c r="AE912" s="164" t="s">
        <v>447</v>
      </c>
      <c r="AF912" s="164" t="s">
        <v>448</v>
      </c>
      <c r="AG912" s="164" t="s">
        <v>448</v>
      </c>
      <c r="AH912" s="164" t="s">
        <v>448</v>
      </c>
      <c r="AI912" s="164" t="s">
        <v>448</v>
      </c>
      <c r="AJ912" s="164" t="s">
        <v>448</v>
      </c>
      <c r="AK912" s="164" t="s">
        <v>448</v>
      </c>
      <c r="AL912" s="164" t="s">
        <v>448</v>
      </c>
      <c r="AM912" s="159" t="s">
        <v>424</v>
      </c>
      <c r="AN912" s="164" t="s">
        <v>449</v>
      </c>
      <c r="AO912" s="164" t="s">
        <v>449</v>
      </c>
      <c r="AP912" s="164" t="s">
        <v>449</v>
      </c>
      <c r="AQ912" s="159"/>
      <c r="AR912" s="159"/>
      <c r="AS912" s="159"/>
      <c r="AT912" s="324"/>
    </row>
    <row r="913" spans="1:46" ht="15.75" customHeight="1" thickBot="1" x14ac:dyDescent="0.4">
      <c r="A913" s="145"/>
      <c r="B913" s="158"/>
      <c r="C913" s="158"/>
      <c r="D913" s="158"/>
      <c r="E913" s="158"/>
      <c r="F913" s="158"/>
      <c r="G913" s="158"/>
      <c r="H913" s="317"/>
      <c r="I913" s="158"/>
      <c r="J913" s="158"/>
      <c r="K913" s="158"/>
      <c r="L913" s="158"/>
      <c r="M913" s="158"/>
      <c r="N913" s="158"/>
      <c r="O913" s="158"/>
      <c r="P913" s="158"/>
      <c r="Q913" s="158"/>
      <c r="R913" s="158"/>
      <c r="AC913" s="323"/>
      <c r="AD913" s="159" t="s">
        <v>409</v>
      </c>
      <c r="AE913" s="159" t="s">
        <v>409</v>
      </c>
      <c r="AF913" s="159" t="s">
        <v>409</v>
      </c>
      <c r="AG913" s="159" t="s">
        <v>409</v>
      </c>
      <c r="AH913" s="159" t="s">
        <v>409</v>
      </c>
      <c r="AI913" s="159" t="s">
        <v>409</v>
      </c>
      <c r="AJ913" s="159" t="s">
        <v>409</v>
      </c>
      <c r="AK913" s="159" t="s">
        <v>409</v>
      </c>
      <c r="AL913" s="159" t="s">
        <v>409</v>
      </c>
      <c r="AM913" s="159" t="s">
        <v>424</v>
      </c>
      <c r="AN913" s="159" t="s">
        <v>409</v>
      </c>
      <c r="AO913" s="159" t="s">
        <v>409</v>
      </c>
      <c r="AP913" s="159" t="s">
        <v>409</v>
      </c>
      <c r="AQ913" s="159"/>
      <c r="AR913" s="159"/>
      <c r="AS913" s="159"/>
      <c r="AT913" s="324"/>
    </row>
    <row r="914" spans="1:46" ht="15.75" customHeight="1" x14ac:dyDescent="0.3">
      <c r="A914" s="363"/>
      <c r="B914" s="506" t="s">
        <v>386</v>
      </c>
      <c r="C914" s="506"/>
      <c r="D914" s="506"/>
      <c r="E914" s="506"/>
      <c r="F914" s="506"/>
      <c r="G914" s="506"/>
      <c r="H914" s="506"/>
      <c r="I914" s="506"/>
      <c r="J914" s="506"/>
      <c r="K914" s="506"/>
      <c r="L914" s="506"/>
      <c r="M914" s="506"/>
      <c r="N914" s="506"/>
      <c r="O914" s="506"/>
      <c r="P914" s="506"/>
      <c r="Q914" s="361" t="str">
        <f>+Q1</f>
        <v xml:space="preserve">PRINTED:  </v>
      </c>
      <c r="R914" s="362">
        <f ca="1">+R1</f>
        <v>44909.46975358796</v>
      </c>
      <c r="AC914" s="325" t="s">
        <v>410</v>
      </c>
      <c r="AD914" s="159">
        <f t="shared" ref="AD914:AD925" si="293">(F923)</f>
        <v>62928</v>
      </c>
      <c r="AE914" s="159">
        <f t="shared" ref="AE914:AE925" si="294">SUM($B$978:$E$978)+(T923-1526.8)/0.7702</f>
        <v>1627.220250544731</v>
      </c>
      <c r="AF914" s="159">
        <f>(AD914*AE914/1000)</f>
        <v>102397.71592627883</v>
      </c>
      <c r="AG914" s="159">
        <f t="shared" ref="AG914:AG925" si="295">(((B923-F923)*B$978)+((C923-F923)*C$978)+((D923-F923)*D$978)+((E923-F923)*E$978))/1000</f>
        <v>34588.06</v>
      </c>
      <c r="AH914" s="159">
        <f>(AF914+AG914)</f>
        <v>136985.77592627885</v>
      </c>
      <c r="AI914" s="159">
        <f t="shared" ref="AI914:AI925" si="296">SUM(H980:Q980)</f>
        <v>21924</v>
      </c>
      <c r="AJ914" s="159">
        <f>+AH914+AI914</f>
        <v>158909.77592627885</v>
      </c>
      <c r="AK914" s="159">
        <f t="shared" ref="AK914:AK921" si="297">(G1008)</f>
        <v>2506.933714525439</v>
      </c>
      <c r="AL914" s="159">
        <f t="shared" ref="AL914:AL925" si="298">(AJ914-AK914)</f>
        <v>156402.84221175342</v>
      </c>
      <c r="AM914" s="159" t="s">
        <v>424</v>
      </c>
      <c r="AN914" s="159">
        <f>+B923/31/1.98</f>
        <v>1422.9553600521342</v>
      </c>
      <c r="AO914" s="159">
        <f>(AD914*43560/31/24/3600)</f>
        <v>1023.4258064516127</v>
      </c>
      <c r="AP914" s="159">
        <f>+B328</f>
        <v>-299.38346916532458</v>
      </c>
      <c r="AQ914" s="159"/>
      <c r="AR914" s="159"/>
      <c r="AS914" s="159"/>
      <c r="AT914" s="324"/>
    </row>
    <row r="915" spans="1:46" ht="15.75" customHeight="1" x14ac:dyDescent="0.3">
      <c r="A915" s="325"/>
      <c r="B915" s="503" t="str">
        <f>+A8</f>
        <v>Revised:  11/4/2019</v>
      </c>
      <c r="C915" s="503"/>
      <c r="D915" s="503"/>
      <c r="E915" s="503"/>
      <c r="F915" s="503"/>
      <c r="G915" s="503"/>
      <c r="H915" s="503"/>
      <c r="I915" s="503"/>
      <c r="J915" s="503"/>
      <c r="K915" s="503"/>
      <c r="L915" s="503"/>
      <c r="M915" s="503"/>
      <c r="N915" s="503"/>
      <c r="O915" s="503"/>
      <c r="P915" s="503"/>
      <c r="Q915" s="159"/>
      <c r="R915" s="324"/>
      <c r="AC915" s="325" t="s">
        <v>411</v>
      </c>
      <c r="AD915" s="159">
        <f t="shared" si="293"/>
        <v>99729</v>
      </c>
      <c r="AE915" s="159">
        <f t="shared" si="294"/>
        <v>1632.1240488665428</v>
      </c>
      <c r="AF915" s="159">
        <f>(AD915*AE915/1000)</f>
        <v>162770.09926941144</v>
      </c>
      <c r="AG915" s="159">
        <f t="shared" si="295"/>
        <v>73429.259999999995</v>
      </c>
      <c r="AH915" s="159">
        <f t="shared" ref="AH915:AH925" si="299">(AF915+AG915)</f>
        <v>236199.35926941142</v>
      </c>
      <c r="AI915" s="159">
        <f t="shared" si="296"/>
        <v>20825</v>
      </c>
      <c r="AJ915" s="159">
        <f t="shared" ref="AJ915:AJ925" si="300">+AH915+AI915</f>
        <v>257024.35926941142</v>
      </c>
      <c r="AK915" s="159">
        <f t="shared" si="297"/>
        <v>0</v>
      </c>
      <c r="AL915" s="159">
        <f t="shared" si="298"/>
        <v>257024.35926941142</v>
      </c>
      <c r="AM915" s="159" t="s">
        <v>424</v>
      </c>
      <c r="AN915" s="159">
        <f>+B924/28/1.98</f>
        <v>2730.5194805194806</v>
      </c>
      <c r="AO915" s="159">
        <f>(AD915*43560/29/24/3600)</f>
        <v>1733.794396551724</v>
      </c>
      <c r="AP915" s="159">
        <f>+C328</f>
        <v>0</v>
      </c>
      <c r="AQ915" s="159"/>
      <c r="AR915" s="159"/>
      <c r="AS915" s="159"/>
      <c r="AT915" s="324"/>
    </row>
    <row r="916" spans="1:46" ht="15.75" customHeight="1" x14ac:dyDescent="0.3">
      <c r="A916" s="325"/>
      <c r="B916" s="503" t="s">
        <v>1024</v>
      </c>
      <c r="C916" s="503"/>
      <c r="D916" s="503"/>
      <c r="E916" s="503"/>
      <c r="F916" s="503"/>
      <c r="G916" s="503"/>
      <c r="H916" s="503"/>
      <c r="I916" s="503"/>
      <c r="J916" s="503"/>
      <c r="K916" s="503"/>
      <c r="L916" s="503"/>
      <c r="M916" s="503"/>
      <c r="N916" s="503"/>
      <c r="O916" s="503"/>
      <c r="P916" s="503"/>
      <c r="Q916" s="159"/>
      <c r="R916" s="324"/>
      <c r="AC916" s="325" t="s">
        <v>412</v>
      </c>
      <c r="AD916" s="159">
        <f t="shared" si="293"/>
        <v>62</v>
      </c>
      <c r="AE916" s="159">
        <f t="shared" si="294"/>
        <v>1638.3136822328333</v>
      </c>
      <c r="AF916" s="159">
        <f t="shared" ref="AF916:AF925" si="301">(AD916*AE916/1000)</f>
        <v>101.57544829843567</v>
      </c>
      <c r="AG916" s="159">
        <f t="shared" si="295"/>
        <v>117233.219</v>
      </c>
      <c r="AH916" s="159">
        <f t="shared" si="299"/>
        <v>117334.79444829843</v>
      </c>
      <c r="AI916" s="159">
        <f t="shared" si="296"/>
        <v>30336</v>
      </c>
      <c r="AJ916" s="159">
        <f t="shared" si="300"/>
        <v>147670.79444829843</v>
      </c>
      <c r="AK916" s="159">
        <f t="shared" si="297"/>
        <v>18.934962702452861</v>
      </c>
      <c r="AL916" s="159">
        <f t="shared" si="298"/>
        <v>147651.85948559598</v>
      </c>
      <c r="AM916" s="159" t="s">
        <v>424</v>
      </c>
      <c r="AN916" s="159">
        <f>+B925/31/1.98</f>
        <v>1348.0286738351253</v>
      </c>
      <c r="AO916" s="159">
        <f>(AD916*43560/31/24/3600)</f>
        <v>1.0083333333333333</v>
      </c>
      <c r="AP916" s="159">
        <f>+D328</f>
        <v>-2.0659476518146178</v>
      </c>
      <c r="AQ916" s="159"/>
      <c r="AR916" s="159"/>
      <c r="AS916" s="159"/>
      <c r="AT916" s="324"/>
    </row>
    <row r="917" spans="1:46" ht="15.75" customHeight="1" x14ac:dyDescent="0.3">
      <c r="A917" s="325"/>
      <c r="B917" s="503"/>
      <c r="C917" s="503"/>
      <c r="D917" s="503"/>
      <c r="E917" s="503"/>
      <c r="F917" s="503"/>
      <c r="G917" s="503"/>
      <c r="H917" s="503"/>
      <c r="I917" s="503"/>
      <c r="J917" s="503"/>
      <c r="K917" s="503"/>
      <c r="L917" s="503"/>
      <c r="M917" s="503"/>
      <c r="N917" s="503"/>
      <c r="O917" s="503"/>
      <c r="P917" s="503"/>
      <c r="Q917" s="159"/>
      <c r="R917" s="324"/>
      <c r="AC917" s="325" t="s">
        <v>413</v>
      </c>
      <c r="AD917" s="159">
        <f t="shared" si="293"/>
        <v>11000</v>
      </c>
      <c r="AE917" s="159">
        <f t="shared" si="294"/>
        <v>1641.6491762745532</v>
      </c>
      <c r="AF917" s="159">
        <f t="shared" si="301"/>
        <v>18058.140939020086</v>
      </c>
      <c r="AG917" s="159">
        <f t="shared" si="295"/>
        <v>193523.74400000001</v>
      </c>
      <c r="AH917" s="159">
        <f t="shared" si="299"/>
        <v>211581.88493902009</v>
      </c>
      <c r="AI917" s="159">
        <f t="shared" si="296"/>
        <v>46223</v>
      </c>
      <c r="AJ917" s="159">
        <f t="shared" si="300"/>
        <v>257804.88493902009</v>
      </c>
      <c r="AK917" s="159">
        <f t="shared" si="297"/>
        <v>2064.1243137551173</v>
      </c>
      <c r="AL917" s="159">
        <f t="shared" si="298"/>
        <v>255740.76062526499</v>
      </c>
      <c r="AM917" s="159" t="s">
        <v>424</v>
      </c>
      <c r="AN917" s="159">
        <f>+B926/30/1.98</f>
        <v>2485.909090909091</v>
      </c>
      <c r="AO917" s="159">
        <f>(AD917*43560/30/24/3600)</f>
        <v>184.86111111111111</v>
      </c>
      <c r="AP917" s="159">
        <f>+F328</f>
        <v>-226.82803832576903</v>
      </c>
      <c r="AQ917" s="159"/>
      <c r="AR917" s="159"/>
      <c r="AS917" s="159"/>
      <c r="AT917" s="324"/>
    </row>
    <row r="918" spans="1:46" ht="15.75" customHeight="1" x14ac:dyDescent="0.3">
      <c r="A918" s="325"/>
      <c r="B918" s="509">
        <f>+A5</f>
        <v>2019</v>
      </c>
      <c r="C918" s="509"/>
      <c r="D918" s="509"/>
      <c r="E918" s="509"/>
      <c r="F918" s="509"/>
      <c r="G918" s="509"/>
      <c r="H918" s="509"/>
      <c r="I918" s="509"/>
      <c r="J918" s="509"/>
      <c r="K918" s="509"/>
      <c r="L918" s="509"/>
      <c r="M918" s="509"/>
      <c r="N918" s="509"/>
      <c r="O918" s="509"/>
      <c r="P918" s="509"/>
      <c r="Q918" s="159"/>
      <c r="R918" s="324"/>
      <c r="AC918" s="325" t="s">
        <v>414</v>
      </c>
      <c r="AD918" s="159">
        <f t="shared" si="293"/>
        <v>18293</v>
      </c>
      <c r="AE918" s="159">
        <f t="shared" si="294"/>
        <v>1643.9276700939006</v>
      </c>
      <c r="AF918" s="159">
        <f t="shared" si="301"/>
        <v>30072.368869027723</v>
      </c>
      <c r="AG918" s="159">
        <f t="shared" si="295"/>
        <v>190364.087</v>
      </c>
      <c r="AH918" s="159">
        <f t="shared" si="299"/>
        <v>220436.45586902773</v>
      </c>
      <c r="AI918" s="159">
        <f t="shared" si="296"/>
        <v>43900</v>
      </c>
      <c r="AJ918" s="159">
        <f t="shared" si="300"/>
        <v>264336.45586902776</v>
      </c>
      <c r="AK918" s="159">
        <f t="shared" si="297"/>
        <v>2413.2152245366124</v>
      </c>
      <c r="AL918" s="159">
        <f t="shared" si="298"/>
        <v>261923.24064449116</v>
      </c>
      <c r="AM918" s="159" t="s">
        <v>424</v>
      </c>
      <c r="AN918" s="159">
        <f>+B927/31/1.98</f>
        <v>2489.4916911045943</v>
      </c>
      <c r="AO918" s="159">
        <f>(AD918*43560/31/24/3600)</f>
        <v>297.50712365591403</v>
      </c>
      <c r="AP918" s="159">
        <f>+G328</f>
        <v>-252.27335578221332</v>
      </c>
      <c r="AQ918" s="159"/>
      <c r="AR918" s="159"/>
      <c r="AS918" s="159"/>
      <c r="AT918" s="324"/>
    </row>
    <row r="919" spans="1:46" ht="15.75" customHeight="1" x14ac:dyDescent="0.3">
      <c r="A919" s="325"/>
      <c r="B919" s="503" t="s">
        <v>1025</v>
      </c>
      <c r="C919" s="503"/>
      <c r="D919" s="503"/>
      <c r="E919" s="503"/>
      <c r="F919" s="503"/>
      <c r="G919" s="503"/>
      <c r="H919" s="503"/>
      <c r="I919" s="503"/>
      <c r="J919" s="503"/>
      <c r="K919" s="503"/>
      <c r="L919" s="503"/>
      <c r="M919" s="503"/>
      <c r="N919" s="503"/>
      <c r="O919" s="503"/>
      <c r="P919" s="503"/>
      <c r="Q919" s="159"/>
      <c r="R919" s="324"/>
      <c r="AC919" s="325" t="s">
        <v>415</v>
      </c>
      <c r="AD919" s="159">
        <f t="shared" si="293"/>
        <v>1475</v>
      </c>
      <c r="AE919" s="159">
        <f t="shared" si="294"/>
        <v>1630.4583960039085</v>
      </c>
      <c r="AF919" s="159">
        <f t="shared" si="301"/>
        <v>2404.9261341057654</v>
      </c>
      <c r="AG919" s="159">
        <f t="shared" si="295"/>
        <v>148428.81</v>
      </c>
      <c r="AH919" s="159">
        <f t="shared" si="299"/>
        <v>150833.73613410577</v>
      </c>
      <c r="AI919" s="159">
        <f t="shared" si="296"/>
        <v>50568</v>
      </c>
      <c r="AJ919" s="159">
        <f t="shared" si="300"/>
        <v>201401.73613410577</v>
      </c>
      <c r="AK919" s="159">
        <f t="shared" si="297"/>
        <v>11780.352331035441</v>
      </c>
      <c r="AL919" s="159">
        <f t="shared" si="298"/>
        <v>189621.38380307032</v>
      </c>
      <c r="AM919" s="159" t="s">
        <v>424</v>
      </c>
      <c r="AN919" s="159">
        <f>+B928/30/1.98</f>
        <v>1798.3670033670035</v>
      </c>
      <c r="AO919" s="159">
        <f t="shared" ref="AO919:AO924" si="302">(AD919*43560/30/24/3600)</f>
        <v>24.788194444444443</v>
      </c>
      <c r="AP919" s="159">
        <f>+H328</f>
        <v>-1414.691544797445</v>
      </c>
      <c r="AQ919" s="159"/>
      <c r="AR919" s="159"/>
      <c r="AS919" s="159"/>
      <c r="AT919" s="324"/>
    </row>
    <row r="920" spans="1:46" ht="15.75" customHeight="1" x14ac:dyDescent="0.3">
      <c r="A920" s="325"/>
      <c r="B920" s="159"/>
      <c r="C920" s="159"/>
      <c r="D920" s="159"/>
      <c r="E920" s="159"/>
      <c r="F920" s="159"/>
      <c r="G920" s="159"/>
      <c r="H920" s="159"/>
      <c r="I920" s="159"/>
      <c r="J920" s="159"/>
      <c r="K920" s="159"/>
      <c r="L920" s="159"/>
      <c r="M920" s="159"/>
      <c r="N920" s="159"/>
      <c r="O920" s="159"/>
      <c r="P920" s="159"/>
      <c r="Q920" s="159"/>
      <c r="R920" s="324"/>
      <c r="AC920" s="325" t="s">
        <v>416</v>
      </c>
      <c r="AD920" s="159">
        <f t="shared" si="293"/>
        <v>0</v>
      </c>
      <c r="AE920" s="159">
        <f t="shared" si="294"/>
        <v>1613.5151661255354</v>
      </c>
      <c r="AF920" s="159">
        <f t="shared" si="301"/>
        <v>0</v>
      </c>
      <c r="AG920" s="159">
        <f t="shared" si="295"/>
        <v>137401.326</v>
      </c>
      <c r="AH920" s="159">
        <f t="shared" si="299"/>
        <v>137401.326</v>
      </c>
      <c r="AI920" s="159">
        <f t="shared" si="296"/>
        <v>53470</v>
      </c>
      <c r="AJ920" s="159">
        <f t="shared" si="300"/>
        <v>190871.326</v>
      </c>
      <c r="AK920" s="159">
        <f t="shared" si="297"/>
        <v>11236.261045961823</v>
      </c>
      <c r="AL920" s="159">
        <f t="shared" si="298"/>
        <v>179635.06495403819</v>
      </c>
      <c r="AM920" s="159" t="s">
        <v>424</v>
      </c>
      <c r="AN920" s="159">
        <f>+B929/31/1.98</f>
        <v>1593.4180514825675</v>
      </c>
      <c r="AO920" s="159">
        <f t="shared" si="302"/>
        <v>0</v>
      </c>
      <c r="AP920" s="159">
        <f>+J328</f>
        <v>-1519.301156605339</v>
      </c>
      <c r="AQ920" s="159"/>
      <c r="AR920" s="159"/>
      <c r="AS920" s="159"/>
      <c r="AT920" s="324"/>
    </row>
    <row r="921" spans="1:46" ht="15.75" customHeight="1" thickBot="1" x14ac:dyDescent="0.35">
      <c r="A921" s="325" t="s">
        <v>433</v>
      </c>
      <c r="B921" s="364" t="s">
        <v>390</v>
      </c>
      <c r="C921" s="364" t="s">
        <v>391</v>
      </c>
      <c r="D921" s="364" t="s">
        <v>392</v>
      </c>
      <c r="E921" s="364" t="s">
        <v>393</v>
      </c>
      <c r="F921" s="364" t="s">
        <v>394</v>
      </c>
      <c r="G921" s="364" t="s">
        <v>394</v>
      </c>
      <c r="H921" s="364" t="s">
        <v>395</v>
      </c>
      <c r="I921" s="364" t="s">
        <v>396</v>
      </c>
      <c r="J921" s="364" t="s">
        <v>397</v>
      </c>
      <c r="K921" s="364" t="s">
        <v>398</v>
      </c>
      <c r="L921" s="364" t="s">
        <v>399</v>
      </c>
      <c r="M921" s="364" t="s">
        <v>400</v>
      </c>
      <c r="N921" s="364" t="s">
        <v>401</v>
      </c>
      <c r="O921" s="364" t="s">
        <v>402</v>
      </c>
      <c r="P921" s="364" t="s">
        <v>403</v>
      </c>
      <c r="Q921" s="364" t="s">
        <v>404</v>
      </c>
      <c r="R921" s="324"/>
      <c r="T921" s="45" t="s">
        <v>1026</v>
      </c>
      <c r="AC921" s="325" t="s">
        <v>417</v>
      </c>
      <c r="AD921" s="159">
        <f t="shared" si="293"/>
        <v>29</v>
      </c>
      <c r="AE921" s="159">
        <f t="shared" si="294"/>
        <v>1596.3097648372338</v>
      </c>
      <c r="AF921" s="159">
        <f t="shared" si="301"/>
        <v>46.292983180279776</v>
      </c>
      <c r="AG921" s="159">
        <f t="shared" si="295"/>
        <v>146134.258</v>
      </c>
      <c r="AH921" s="159">
        <f t="shared" si="299"/>
        <v>146180.55098318029</v>
      </c>
      <c r="AI921" s="159">
        <f t="shared" si="296"/>
        <v>52302</v>
      </c>
      <c r="AJ921" s="159">
        <f t="shared" si="300"/>
        <v>198482.55098318029</v>
      </c>
      <c r="AK921" s="159">
        <f t="shared" si="297"/>
        <v>7553.8558009853941</v>
      </c>
      <c r="AL921" s="159">
        <f t="shared" si="298"/>
        <v>190928.6951821949</v>
      </c>
      <c r="AM921" s="159" t="s">
        <v>424</v>
      </c>
      <c r="AN921" s="159">
        <f>+B930/31/1.98</f>
        <v>1693.6135549038775</v>
      </c>
      <c r="AO921" s="159">
        <f t="shared" si="302"/>
        <v>0.48736111111111113</v>
      </c>
      <c r="AP921" s="159">
        <f>+K328</f>
        <v>-1224.7002749174433</v>
      </c>
      <c r="AQ921" s="159"/>
      <c r="AR921" s="159"/>
      <c r="AS921" s="159"/>
      <c r="AT921" s="324"/>
    </row>
    <row r="922" spans="1:46" ht="15.75" customHeight="1" x14ac:dyDescent="0.3">
      <c r="A922" s="325"/>
      <c r="B922" s="159"/>
      <c r="C922" s="159"/>
      <c r="D922" s="159"/>
      <c r="E922" s="159"/>
      <c r="F922" s="164" t="s">
        <v>406</v>
      </c>
      <c r="G922" s="164" t="s">
        <v>407</v>
      </c>
      <c r="H922" s="159"/>
      <c r="I922" s="159"/>
      <c r="J922" s="159"/>
      <c r="K922" s="159"/>
      <c r="L922" s="159"/>
      <c r="M922" s="159"/>
      <c r="N922" s="159"/>
      <c r="O922" s="159"/>
      <c r="P922" s="159"/>
      <c r="Q922" s="159"/>
      <c r="R922" s="324"/>
      <c r="AC922" s="325" t="s">
        <v>418</v>
      </c>
      <c r="AD922" s="159">
        <f t="shared" si="293"/>
        <v>31893</v>
      </c>
      <c r="AE922" s="159">
        <f t="shared" si="294"/>
        <v>1593.7808989351611</v>
      </c>
      <c r="AF922" s="159">
        <f t="shared" si="301"/>
        <v>50830.454209739088</v>
      </c>
      <c r="AG922" s="159">
        <f t="shared" si="295"/>
        <v>181123.29699999999</v>
      </c>
      <c r="AH922" s="159">
        <f t="shared" si="299"/>
        <v>231953.75120973907</v>
      </c>
      <c r="AI922" s="159">
        <f t="shared" si="296"/>
        <v>35495</v>
      </c>
      <c r="AJ922" s="159">
        <f t="shared" si="300"/>
        <v>267448.75120973907</v>
      </c>
      <c r="AK922" s="159">
        <v>0</v>
      </c>
      <c r="AL922" s="159">
        <f t="shared" si="298"/>
        <v>267448.75120973907</v>
      </c>
      <c r="AM922" s="159" t="s">
        <v>424</v>
      </c>
      <c r="AN922" s="159">
        <f>+B931/30/1.98</f>
        <v>2691.7845117845118</v>
      </c>
      <c r="AO922" s="159">
        <f t="shared" si="302"/>
        <v>535.97958333333338</v>
      </c>
      <c r="AP922" s="159">
        <f>+L328</f>
        <v>0</v>
      </c>
      <c r="AQ922" s="159"/>
      <c r="AR922" s="159"/>
      <c r="AS922" s="159"/>
      <c r="AT922" s="324"/>
    </row>
    <row r="923" spans="1:46" ht="15.75" customHeight="1" x14ac:dyDescent="0.3">
      <c r="A923" s="365" t="s">
        <v>795</v>
      </c>
      <c r="B923" s="159">
        <f>+B29</f>
        <v>87341</v>
      </c>
      <c r="C923" s="159">
        <f>+B64</f>
        <v>87244</v>
      </c>
      <c r="D923" s="159">
        <f>+B133</f>
        <v>87148</v>
      </c>
      <c r="E923" s="159">
        <f>+B318</f>
        <v>86481</v>
      </c>
      <c r="F923" s="159">
        <f>+B313</f>
        <v>62928</v>
      </c>
      <c r="G923" s="159">
        <f>+B325</f>
        <v>-18404</v>
      </c>
      <c r="H923" s="159">
        <f>+B492</f>
        <v>24277</v>
      </c>
      <c r="I923" s="159">
        <f>+B542</f>
        <v>15193</v>
      </c>
      <c r="J923" s="159">
        <f>+B587</f>
        <v>15177</v>
      </c>
      <c r="K923" s="159">
        <f>+B654</f>
        <v>15154</v>
      </c>
      <c r="L923" s="159">
        <f>+B664</f>
        <v>12789</v>
      </c>
      <c r="M923" s="159">
        <f>+B700</f>
        <v>12769</v>
      </c>
      <c r="N923" s="159">
        <f>+B753</f>
        <v>12364</v>
      </c>
      <c r="O923" s="159">
        <f>+B763</f>
        <v>3490</v>
      </c>
      <c r="P923" s="159">
        <f>+B797</f>
        <v>3805</v>
      </c>
      <c r="Q923" s="159">
        <f>+B846</f>
        <v>3488</v>
      </c>
      <c r="R923" s="324"/>
      <c r="T923" s="366">
        <f>'[1]Lake Pleasant Forecast'!B83</f>
        <v>1681.7798369695518</v>
      </c>
      <c r="AC923" s="325" t="s">
        <v>419</v>
      </c>
      <c r="AD923" s="159">
        <f t="shared" si="293"/>
        <v>39398</v>
      </c>
      <c r="AE923" s="159">
        <f t="shared" si="294"/>
        <v>1596.0418278369259</v>
      </c>
      <c r="AF923" s="159">
        <f t="shared" si="301"/>
        <v>62880.855933119208</v>
      </c>
      <c r="AG923" s="159">
        <f t="shared" si="295"/>
        <v>155874.38099999999</v>
      </c>
      <c r="AH923" s="159">
        <f t="shared" si="299"/>
        <v>218755.23693311919</v>
      </c>
      <c r="AI923" s="159">
        <f t="shared" si="296"/>
        <v>30331</v>
      </c>
      <c r="AJ923" s="159">
        <f t="shared" si="300"/>
        <v>249086.23693311919</v>
      </c>
      <c r="AK923" s="159">
        <v>0</v>
      </c>
      <c r="AL923" s="159">
        <f t="shared" si="298"/>
        <v>249086.23693311919</v>
      </c>
      <c r="AM923" s="159" t="s">
        <v>424</v>
      </c>
      <c r="AN923" s="159">
        <f>+B932/31/1.98</f>
        <v>2438.6608015640277</v>
      </c>
      <c r="AO923" s="159">
        <f t="shared" si="302"/>
        <v>662.10527777777781</v>
      </c>
      <c r="AP923" s="159">
        <f>+N328</f>
        <v>0</v>
      </c>
      <c r="AQ923" s="159"/>
      <c r="AR923" s="159"/>
      <c r="AS923" s="159"/>
      <c r="AT923" s="324"/>
    </row>
    <row r="924" spans="1:46" ht="15.75" customHeight="1" x14ac:dyDescent="0.3">
      <c r="A924" s="365" t="s">
        <v>9</v>
      </c>
      <c r="B924" s="159">
        <f>+C29</f>
        <v>151380</v>
      </c>
      <c r="C924" s="159">
        <f>+C64</f>
        <v>151232</v>
      </c>
      <c r="D924" s="159">
        <f>+C133</f>
        <v>151087</v>
      </c>
      <c r="E924" s="159">
        <f>+C318</f>
        <v>150606</v>
      </c>
      <c r="F924" s="159">
        <f>+C313</f>
        <v>99729</v>
      </c>
      <c r="G924" s="159">
        <f>+C325</f>
        <v>0</v>
      </c>
      <c r="H924" s="159">
        <f>+C492</f>
        <v>31058</v>
      </c>
      <c r="I924" s="159">
        <f>+C542</f>
        <v>14779</v>
      </c>
      <c r="J924" s="159">
        <f>+C587</f>
        <v>14763</v>
      </c>
      <c r="K924" s="159">
        <f>+C654</f>
        <v>14720</v>
      </c>
      <c r="L924" s="159">
        <f>+C664</f>
        <v>9967</v>
      </c>
      <c r="M924" s="159">
        <f>+C700</f>
        <v>9945</v>
      </c>
      <c r="N924" s="159">
        <f>+C753</f>
        <v>9182</v>
      </c>
      <c r="O924" s="159">
        <f>+C763</f>
        <v>3389</v>
      </c>
      <c r="P924" s="159">
        <f>+C797</f>
        <v>3805</v>
      </c>
      <c r="Q924" s="159">
        <f>+C846</f>
        <v>3386</v>
      </c>
      <c r="R924" s="324"/>
      <c r="T924" s="366">
        <f>'[1]Lake Pleasant Forecast'!B85</f>
        <v>1685.5567424370113</v>
      </c>
      <c r="AC924" s="325" t="s">
        <v>420</v>
      </c>
      <c r="AD924" s="159">
        <f t="shared" si="293"/>
        <v>102175</v>
      </c>
      <c r="AE924" s="159">
        <f t="shared" si="294"/>
        <v>1600.6029805998076</v>
      </c>
      <c r="AF924" s="159">
        <f t="shared" si="301"/>
        <v>163541.60954278536</v>
      </c>
      <c r="AG924" s="159">
        <f t="shared" si="295"/>
        <v>28188.037</v>
      </c>
      <c r="AH924" s="159">
        <f t="shared" si="299"/>
        <v>191729.64654278537</v>
      </c>
      <c r="AI924" s="159">
        <f t="shared" si="296"/>
        <v>3796</v>
      </c>
      <c r="AJ924" s="159">
        <f t="shared" si="300"/>
        <v>195525.64654278537</v>
      </c>
      <c r="AK924" s="159">
        <f>(G1018)</f>
        <v>187.78393597311737</v>
      </c>
      <c r="AL924" s="159">
        <f t="shared" si="298"/>
        <v>195337.86260681224</v>
      </c>
      <c r="AM924" s="159" t="s">
        <v>424</v>
      </c>
      <c r="AN924" s="159">
        <f>+B933/30/1.98</f>
        <v>2059.8316498316499</v>
      </c>
      <c r="AO924" s="159">
        <f t="shared" si="302"/>
        <v>1717.1076388888889</v>
      </c>
      <c r="AP924" s="159">
        <f>+O328</f>
        <v>-29.971423768700618</v>
      </c>
      <c r="AQ924" s="159"/>
      <c r="AR924" s="159"/>
      <c r="AS924" s="159"/>
      <c r="AT924" s="324"/>
    </row>
    <row r="925" spans="1:46" ht="15.75" customHeight="1" x14ac:dyDescent="0.3">
      <c r="A925" s="365" t="s">
        <v>10</v>
      </c>
      <c r="B925" s="159">
        <f>+D29</f>
        <v>82742</v>
      </c>
      <c r="C925" s="159">
        <f>+D64</f>
        <v>82468</v>
      </c>
      <c r="D925" s="159">
        <f>+D133</f>
        <v>82207</v>
      </c>
      <c r="E925" s="159">
        <f>+D318</f>
        <v>80155</v>
      </c>
      <c r="F925" s="159">
        <f>+D313</f>
        <v>62</v>
      </c>
      <c r="G925" s="159">
        <f>+D325</f>
        <v>-127</v>
      </c>
      <c r="H925" s="159">
        <f>+D492</f>
        <v>56016</v>
      </c>
      <c r="I925" s="159">
        <f>+D542</f>
        <v>24020</v>
      </c>
      <c r="J925" s="159">
        <f>+D587</f>
        <v>21394</v>
      </c>
      <c r="K925" s="159">
        <f>+D654</f>
        <v>20720</v>
      </c>
      <c r="L925" s="159">
        <f>+D664</f>
        <v>14750</v>
      </c>
      <c r="M925" s="159">
        <f>+D700</f>
        <v>14722</v>
      </c>
      <c r="N925" s="159">
        <f>+D753</f>
        <v>13625</v>
      </c>
      <c r="O925" s="159">
        <f>+D763</f>
        <v>3266</v>
      </c>
      <c r="P925" s="159">
        <f>+D797</f>
        <v>4757</v>
      </c>
      <c r="Q925" s="159">
        <f>+D846</f>
        <v>3261</v>
      </c>
      <c r="R925" s="324"/>
      <c r="T925" s="366">
        <f>'[1]Lake Pleasant Forecast'!B87</f>
        <v>1690.3239980557282</v>
      </c>
      <c r="AC925" s="325" t="s">
        <v>421</v>
      </c>
      <c r="AD925" s="159">
        <f t="shared" si="293"/>
        <v>25914</v>
      </c>
      <c r="AE925" s="159">
        <f t="shared" si="294"/>
        <v>1604.5316421179873</v>
      </c>
      <c r="AF925" s="159">
        <f t="shared" si="301"/>
        <v>41579.832973845529</v>
      </c>
      <c r="AG925" s="159">
        <f t="shared" si="295"/>
        <v>67601.351999999999</v>
      </c>
      <c r="AH925" s="159">
        <f t="shared" si="299"/>
        <v>109181.18497384552</v>
      </c>
      <c r="AI925" s="159">
        <f t="shared" si="296"/>
        <v>11146</v>
      </c>
      <c r="AJ925" s="159">
        <f t="shared" si="300"/>
        <v>120327.18497384552</v>
      </c>
      <c r="AK925" s="159">
        <f>(G1019)</f>
        <v>0</v>
      </c>
      <c r="AL925" s="159">
        <f t="shared" si="298"/>
        <v>120327.18497384552</v>
      </c>
      <c r="AM925" s="159" t="s">
        <v>424</v>
      </c>
      <c r="AN925" s="159">
        <f>+B934/31/1.98</f>
        <v>1204.1707396546108</v>
      </c>
      <c r="AO925" s="159">
        <f>(AD925*43560/31/24/3600)</f>
        <v>421.45080645161295</v>
      </c>
      <c r="AP925" s="159">
        <f>+P328</f>
        <v>0</v>
      </c>
      <c r="AQ925" s="159"/>
      <c r="AR925" s="159"/>
      <c r="AS925" s="159"/>
      <c r="AT925" s="324"/>
    </row>
    <row r="926" spans="1:46" ht="15.75" customHeight="1" x14ac:dyDescent="0.3">
      <c r="A926" s="365" t="s">
        <v>12</v>
      </c>
      <c r="B926" s="159">
        <f>+F29</f>
        <v>147663</v>
      </c>
      <c r="C926" s="159">
        <f>+F64</f>
        <v>147296</v>
      </c>
      <c r="D926" s="159">
        <f>+F133</f>
        <v>146946</v>
      </c>
      <c r="E926" s="159">
        <f>+F318</f>
        <v>142087</v>
      </c>
      <c r="F926" s="159">
        <f>+F313</f>
        <v>11000</v>
      </c>
      <c r="G926" s="159">
        <f>+F325</f>
        <v>-13494</v>
      </c>
      <c r="H926" s="159">
        <f>+F492</f>
        <v>109062</v>
      </c>
      <c r="I926" s="159">
        <f>+F542</f>
        <v>42399</v>
      </c>
      <c r="J926" s="159">
        <f>+F587</f>
        <v>31815</v>
      </c>
      <c r="K926" s="159">
        <f>+F654</f>
        <v>28072</v>
      </c>
      <c r="L926" s="159">
        <f>+F664</f>
        <v>20595</v>
      </c>
      <c r="M926" s="159">
        <f>+F700</f>
        <v>20558</v>
      </c>
      <c r="N926" s="159">
        <f>+F753</f>
        <v>19405</v>
      </c>
      <c r="O926" s="159">
        <f>+F763</f>
        <v>3644</v>
      </c>
      <c r="P926" s="159">
        <f>+F797</f>
        <v>5708</v>
      </c>
      <c r="Q926" s="159">
        <f>+F846</f>
        <v>3637</v>
      </c>
      <c r="R926" s="324"/>
      <c r="T926" s="366">
        <f>'[1]Lake Pleasant Forecast'!B89</f>
        <v>1692.8929955666608</v>
      </c>
      <c r="AC926" s="323"/>
      <c r="AD926" s="159"/>
      <c r="AE926" s="159"/>
      <c r="AF926" s="159"/>
      <c r="AG926" s="159"/>
      <c r="AH926" s="159"/>
      <c r="AI926" s="159"/>
      <c r="AJ926" s="159"/>
      <c r="AK926" s="159"/>
      <c r="AL926" s="159"/>
      <c r="AM926" s="159" t="s">
        <v>424</v>
      </c>
      <c r="AN926" s="159"/>
      <c r="AO926" s="159"/>
      <c r="AP926" s="159"/>
      <c r="AQ926" s="159"/>
      <c r="AR926" s="159"/>
      <c r="AS926" s="159"/>
      <c r="AT926" s="324"/>
    </row>
    <row r="927" spans="1:46" ht="15.75" customHeight="1" x14ac:dyDescent="0.3">
      <c r="A927" s="365" t="s">
        <v>13</v>
      </c>
      <c r="B927" s="159">
        <f>+G29</f>
        <v>152805</v>
      </c>
      <c r="C927" s="159">
        <f>+G64</f>
        <v>152380</v>
      </c>
      <c r="D927" s="159">
        <f>+G133</f>
        <v>151978</v>
      </c>
      <c r="E927" s="159">
        <f>+G318</f>
        <v>146904</v>
      </c>
      <c r="F927" s="159">
        <f>+G313</f>
        <v>18293</v>
      </c>
      <c r="G927" s="159">
        <f>+G325</f>
        <v>-15508</v>
      </c>
      <c r="H927" s="159">
        <f>+G492</f>
        <v>96451</v>
      </c>
      <c r="I927" s="159">
        <f>+G542</f>
        <v>35144</v>
      </c>
      <c r="J927" s="159">
        <f>+G587</f>
        <v>30213</v>
      </c>
      <c r="K927" s="159">
        <f>+G654</f>
        <v>27162</v>
      </c>
      <c r="L927" s="159">
        <f>+G664</f>
        <v>20547</v>
      </c>
      <c r="M927" s="159">
        <f>+G700</f>
        <v>20505</v>
      </c>
      <c r="N927" s="159">
        <f>+G753</f>
        <v>19848</v>
      </c>
      <c r="O927" s="159">
        <f>+G763</f>
        <v>4083</v>
      </c>
      <c r="P927" s="159">
        <f>+G797</f>
        <v>6705</v>
      </c>
      <c r="Q927" s="159">
        <f>+G846</f>
        <v>4029</v>
      </c>
      <c r="R927" s="324"/>
      <c r="T927" s="366">
        <f>'[1]Lake Pleasant Forecast'!B91</f>
        <v>1694.6478915063221</v>
      </c>
      <c r="AC927" s="323" t="s">
        <v>422</v>
      </c>
      <c r="AD927" s="159">
        <f>SUM(AD914:AD925)</f>
        <v>392896</v>
      </c>
      <c r="AE927" s="159"/>
      <c r="AF927" s="159">
        <f t="shared" ref="AF927:AL927" si="303">SUM(AF914:AF925)</f>
        <v>634683.87222881173</v>
      </c>
      <c r="AG927" s="159">
        <f t="shared" si="303"/>
        <v>1473889.831</v>
      </c>
      <c r="AH927" s="159">
        <f t="shared" si="303"/>
        <v>2108573.7032288117</v>
      </c>
      <c r="AI927" s="159">
        <f t="shared" si="303"/>
        <v>400316</v>
      </c>
      <c r="AJ927" s="159">
        <f t="shared" si="303"/>
        <v>2508889.7032288117</v>
      </c>
      <c r="AK927" s="159">
        <f t="shared" si="303"/>
        <v>37761.461329475394</v>
      </c>
      <c r="AL927" s="159">
        <f t="shared" si="303"/>
        <v>2471128.2418993367</v>
      </c>
      <c r="AM927" s="159"/>
      <c r="AN927" s="159"/>
      <c r="AO927" s="159"/>
      <c r="AP927" s="159"/>
      <c r="AQ927" s="159"/>
      <c r="AR927" s="159"/>
      <c r="AS927" s="159"/>
      <c r="AT927" s="324"/>
    </row>
    <row r="928" spans="1:46" ht="15.75" customHeight="1" x14ac:dyDescent="0.3">
      <c r="A928" s="365" t="s">
        <v>14</v>
      </c>
      <c r="B928" s="159">
        <f>+H29</f>
        <v>106823</v>
      </c>
      <c r="C928" s="159">
        <f>+H64</f>
        <v>106406</v>
      </c>
      <c r="D928" s="159">
        <f>+H133</f>
        <v>106010</v>
      </c>
      <c r="E928" s="159">
        <f>+H318</f>
        <v>99323</v>
      </c>
      <c r="F928" s="159">
        <f>+H313</f>
        <v>1475</v>
      </c>
      <c r="G928" s="159">
        <f>+H325</f>
        <v>-84160</v>
      </c>
      <c r="H928" s="159">
        <f>+H492</f>
        <v>127265</v>
      </c>
      <c r="I928" s="159">
        <f>+H542</f>
        <v>45734</v>
      </c>
      <c r="J928" s="159">
        <f>+H587</f>
        <v>33985</v>
      </c>
      <c r="K928" s="159">
        <f>+H654</f>
        <v>28905</v>
      </c>
      <c r="L928" s="159">
        <f>+H664</f>
        <v>21638</v>
      </c>
      <c r="M928" s="159">
        <f>+H700</f>
        <v>21594</v>
      </c>
      <c r="N928" s="159">
        <f>+H753</f>
        <v>20197</v>
      </c>
      <c r="O928" s="159">
        <f>+H763</f>
        <v>4389</v>
      </c>
      <c r="P928" s="159">
        <f>+H797</f>
        <v>6850</v>
      </c>
      <c r="Q928" s="159">
        <f>+H846</f>
        <v>4380</v>
      </c>
      <c r="R928" s="324"/>
      <c r="T928" s="366">
        <f>'[1]Lake Pleasant Forecast'!B93</f>
        <v>1684.2738566022103</v>
      </c>
      <c r="AC928" s="323"/>
      <c r="AD928" s="159"/>
      <c r="AE928" s="159"/>
      <c r="AF928" s="159"/>
      <c r="AG928" s="159"/>
      <c r="AH928" s="159"/>
      <c r="AI928" s="159"/>
      <c r="AJ928" s="159"/>
      <c r="AK928" s="159"/>
      <c r="AL928" s="159"/>
      <c r="AM928" s="159"/>
      <c r="AN928" s="159"/>
      <c r="AO928" s="159"/>
      <c r="AP928" s="159"/>
      <c r="AQ928" s="159"/>
      <c r="AR928" s="159"/>
      <c r="AS928" s="159"/>
      <c r="AT928" s="324"/>
    </row>
    <row r="929" spans="1:50" ht="15.75" customHeight="1" x14ac:dyDescent="0.3">
      <c r="A929" s="365" t="s">
        <v>16</v>
      </c>
      <c r="B929" s="159">
        <f>+J29</f>
        <v>97804</v>
      </c>
      <c r="C929" s="159">
        <f>+J64</f>
        <v>97388</v>
      </c>
      <c r="D929" s="159">
        <f>+J133</f>
        <v>96994</v>
      </c>
      <c r="E929" s="159">
        <f>+J318</f>
        <v>89070</v>
      </c>
      <c r="F929" s="159">
        <f>+J313</f>
        <v>0</v>
      </c>
      <c r="G929" s="159">
        <f>+J325</f>
        <v>-93396</v>
      </c>
      <c r="H929" s="159">
        <f>+J492</f>
        <v>131500</v>
      </c>
      <c r="I929" s="159">
        <f>+J542</f>
        <v>52040</v>
      </c>
      <c r="J929" s="159">
        <f>+J587</f>
        <v>36716</v>
      </c>
      <c r="K929" s="159">
        <f>+J654</f>
        <v>30366</v>
      </c>
      <c r="L929" s="159">
        <f>+J664</f>
        <v>22884</v>
      </c>
      <c r="M929" s="159">
        <f>+J700</f>
        <v>22845</v>
      </c>
      <c r="N929" s="159">
        <f>+J753</f>
        <v>21410</v>
      </c>
      <c r="O929" s="159">
        <f>+J763</f>
        <v>4495</v>
      </c>
      <c r="P929" s="159">
        <f>+J797</f>
        <v>6184</v>
      </c>
      <c r="Q929" s="159">
        <f>+J846</f>
        <v>4488</v>
      </c>
      <c r="R929" s="324"/>
      <c r="T929" s="366">
        <f>'[1]Lake Pleasant Forecast'!B95</f>
        <v>1671.2241809498873</v>
      </c>
      <c r="AC929" s="323" t="s">
        <v>450</v>
      </c>
      <c r="AD929" s="159"/>
      <c r="AE929" s="159"/>
      <c r="AF929" s="159"/>
      <c r="AG929" s="159"/>
      <c r="AH929" s="159"/>
      <c r="AI929" s="159"/>
      <c r="AJ929" s="159"/>
      <c r="AK929" s="159"/>
      <c r="AL929" s="159"/>
      <c r="AM929" s="159"/>
      <c r="AN929" s="159"/>
      <c r="AO929" s="159"/>
      <c r="AP929" s="159"/>
      <c r="AQ929" s="159"/>
      <c r="AR929" s="159"/>
      <c r="AS929" s="159"/>
      <c r="AT929" s="324"/>
    </row>
    <row r="930" spans="1:50" ht="15.75" customHeight="1" x14ac:dyDescent="0.3">
      <c r="A930" s="365" t="s">
        <v>17</v>
      </c>
      <c r="B930" s="159">
        <f>+K29</f>
        <v>103954</v>
      </c>
      <c r="C930" s="159">
        <f>+K64</f>
        <v>103620</v>
      </c>
      <c r="D930" s="159">
        <f>+K133</f>
        <v>103302</v>
      </c>
      <c r="E930" s="159">
        <f>+K318</f>
        <v>95102</v>
      </c>
      <c r="F930" s="159">
        <f>+K313</f>
        <v>29</v>
      </c>
      <c r="G930" s="159">
        <f>+K325</f>
        <v>-75286</v>
      </c>
      <c r="H930" s="159">
        <f>+K492</f>
        <v>124832</v>
      </c>
      <c r="I930" s="159">
        <f>+K542</f>
        <v>53436</v>
      </c>
      <c r="J930" s="159">
        <f>+K587</f>
        <v>37339</v>
      </c>
      <c r="K930" s="159">
        <f>+K654</f>
        <v>29880</v>
      </c>
      <c r="L930" s="159">
        <f>+K664</f>
        <v>22125</v>
      </c>
      <c r="M930" s="159">
        <f>+K700</f>
        <v>22089</v>
      </c>
      <c r="N930" s="159">
        <f>+K753</f>
        <v>20262</v>
      </c>
      <c r="O930" s="159">
        <f>+K763</f>
        <v>4241</v>
      </c>
      <c r="P930" s="159">
        <f>+K797</f>
        <v>5708</v>
      </c>
      <c r="Q930" s="159">
        <f>+K846</f>
        <v>4235</v>
      </c>
      <c r="R930" s="324"/>
      <c r="T930" s="366">
        <f>'[1]Lake Pleasant Forecast'!B97</f>
        <v>1657.9725808776375</v>
      </c>
      <c r="AC930" s="323" t="s">
        <v>451</v>
      </c>
      <c r="AD930" s="159"/>
      <c r="AE930" s="159"/>
      <c r="AF930" s="159"/>
      <c r="AG930" s="159"/>
      <c r="AH930" s="159"/>
      <c r="AI930" s="159"/>
      <c r="AJ930" s="159"/>
      <c r="AK930" s="159"/>
      <c r="AL930" s="159"/>
      <c r="AM930" s="159"/>
      <c r="AN930" s="159"/>
      <c r="AO930" s="159"/>
      <c r="AP930" s="159"/>
      <c r="AQ930" s="159"/>
      <c r="AR930" s="159"/>
      <c r="AS930" s="159"/>
      <c r="AT930" s="324"/>
    </row>
    <row r="931" spans="1:50" ht="15.75" customHeight="1" x14ac:dyDescent="0.3">
      <c r="A931" s="365" t="s">
        <v>18</v>
      </c>
      <c r="B931" s="159">
        <f>+L29</f>
        <v>159892</v>
      </c>
      <c r="C931" s="159">
        <f>+L64</f>
        <v>159576</v>
      </c>
      <c r="D931" s="159">
        <f>+L133</f>
        <v>159275</v>
      </c>
      <c r="E931" s="159">
        <f>+L318</f>
        <v>154021</v>
      </c>
      <c r="F931" s="159">
        <f>+L313</f>
        <v>31893</v>
      </c>
      <c r="G931" s="159">
        <f>+L325</f>
        <v>0</v>
      </c>
      <c r="H931" s="159">
        <f>+L492</f>
        <v>80100</v>
      </c>
      <c r="I931" s="159">
        <f>+L542</f>
        <v>29829</v>
      </c>
      <c r="J931" s="159">
        <f>+L587</f>
        <v>22771</v>
      </c>
      <c r="K931" s="159">
        <f>+L654</f>
        <v>19059</v>
      </c>
      <c r="L931" s="159">
        <f>+L664</f>
        <v>17576</v>
      </c>
      <c r="M931" s="159">
        <f>+L700</f>
        <v>17542</v>
      </c>
      <c r="N931" s="159">
        <f>+L753</f>
        <v>16428</v>
      </c>
      <c r="O931" s="159">
        <f>+L763</f>
        <v>4051</v>
      </c>
      <c r="P931" s="159">
        <f>+L797</f>
        <v>5232</v>
      </c>
      <c r="Q931" s="159">
        <f>+L846</f>
        <v>4045</v>
      </c>
      <c r="R931" s="324"/>
      <c r="T931" s="366">
        <f>'[1]Lake Pleasant Forecast'!B99</f>
        <v>1656.0248483598609</v>
      </c>
      <c r="AC931" s="323"/>
      <c r="AD931" s="159"/>
      <c r="AE931" s="159"/>
      <c r="AF931" s="159"/>
      <c r="AG931" s="159"/>
      <c r="AH931" s="159"/>
      <c r="AI931" s="159"/>
      <c r="AJ931" s="159"/>
      <c r="AK931" s="159"/>
      <c r="AL931" s="159"/>
      <c r="AM931" s="159"/>
      <c r="AN931" s="159"/>
      <c r="AO931" s="159"/>
      <c r="AP931" s="159"/>
      <c r="AQ931" s="159"/>
      <c r="AR931" s="159"/>
      <c r="AS931" s="159"/>
      <c r="AT931" s="324"/>
    </row>
    <row r="932" spans="1:50" ht="15.75" customHeight="1" x14ac:dyDescent="0.3">
      <c r="A932" s="365" t="s">
        <v>20</v>
      </c>
      <c r="B932" s="159">
        <f>+N29</f>
        <v>149685</v>
      </c>
      <c r="C932" s="159">
        <f>+N64</f>
        <v>149400</v>
      </c>
      <c r="D932" s="159">
        <f>+N133</f>
        <v>149128</v>
      </c>
      <c r="E932" s="159">
        <f>+N318</f>
        <v>143800</v>
      </c>
      <c r="F932" s="159">
        <f>+N313</f>
        <v>39398</v>
      </c>
      <c r="G932" s="159">
        <f>+N325</f>
        <v>0</v>
      </c>
      <c r="H932" s="159">
        <f>+N492</f>
        <v>72203</v>
      </c>
      <c r="I932" s="159">
        <f>+N542</f>
        <v>21829</v>
      </c>
      <c r="J932" s="159">
        <f>+N587</f>
        <v>17853</v>
      </c>
      <c r="K932" s="159">
        <f>+N654</f>
        <v>16455</v>
      </c>
      <c r="L932" s="159">
        <f>+N664</f>
        <v>15718</v>
      </c>
      <c r="M932" s="159">
        <f>+N700</f>
        <v>15689</v>
      </c>
      <c r="N932" s="159">
        <f>+N753</f>
        <v>14516</v>
      </c>
      <c r="O932" s="159">
        <f>+N763</f>
        <v>3791</v>
      </c>
      <c r="P932" s="159">
        <f>+N797</f>
        <v>4757</v>
      </c>
      <c r="Q932" s="159">
        <f>+N846</f>
        <v>3786</v>
      </c>
      <c r="R932" s="324"/>
      <c r="T932" s="366">
        <f>'[1]Lake Pleasant Forecast'!B101</f>
        <v>1657.7662158000003</v>
      </c>
      <c r="AC932" s="323" t="s">
        <v>452</v>
      </c>
      <c r="AD932" s="159"/>
      <c r="AE932" s="159"/>
      <c r="AF932" s="159"/>
      <c r="AG932" s="159"/>
      <c r="AH932" s="159"/>
      <c r="AI932" s="159"/>
      <c r="AJ932" s="159"/>
      <c r="AK932" s="159"/>
      <c r="AL932" s="159"/>
      <c r="AM932" s="159"/>
      <c r="AN932" s="159"/>
      <c r="AO932" s="159"/>
      <c r="AP932" s="159"/>
      <c r="AQ932" s="159"/>
      <c r="AR932" s="159"/>
      <c r="AS932" s="159"/>
      <c r="AT932" s="324"/>
    </row>
    <row r="933" spans="1:50" ht="15.75" customHeight="1" x14ac:dyDescent="0.3">
      <c r="A933" s="365" t="s">
        <v>21</v>
      </c>
      <c r="B933" s="159">
        <f>+O29</f>
        <v>122354</v>
      </c>
      <c r="C933" s="159">
        <f>+O64</f>
        <v>122119</v>
      </c>
      <c r="D933" s="159">
        <f>+O133</f>
        <v>121893</v>
      </c>
      <c r="E933" s="159">
        <f>+O318</f>
        <v>120073</v>
      </c>
      <c r="F933" s="159">
        <f>+O313</f>
        <v>102175</v>
      </c>
      <c r="G933" s="159">
        <f>+O325</f>
        <v>-1783</v>
      </c>
      <c r="H933" s="159">
        <f>+O492</f>
        <v>6457</v>
      </c>
      <c r="I933" s="159">
        <f>+O542</f>
        <v>1205</v>
      </c>
      <c r="J933" s="159">
        <f>+O587</f>
        <v>1183</v>
      </c>
      <c r="K933" s="159">
        <f>+O654</f>
        <v>1117</v>
      </c>
      <c r="L933" s="159">
        <f>+O664</f>
        <v>1050</v>
      </c>
      <c r="M933" s="159">
        <f>+O700</f>
        <v>1027</v>
      </c>
      <c r="N933" s="159">
        <f>+O753</f>
        <v>816</v>
      </c>
      <c r="O933" s="159">
        <f>+O763</f>
        <v>791</v>
      </c>
      <c r="P933" s="159">
        <f>+O797</f>
        <v>4281</v>
      </c>
      <c r="Q933" s="159">
        <f>+O846</f>
        <v>788</v>
      </c>
      <c r="R933" s="324"/>
      <c r="T933" s="366">
        <f>'[1]Lake Pleasant Forecast'!B103</f>
        <v>1661.2792156579717</v>
      </c>
      <c r="AC933" s="323"/>
      <c r="AD933" s="159"/>
      <c r="AE933" s="159"/>
      <c r="AF933" s="159"/>
      <c r="AG933" s="159"/>
      <c r="AH933" s="159"/>
      <c r="AI933" s="159"/>
      <c r="AJ933" s="159"/>
      <c r="AK933" s="159"/>
      <c r="AL933" s="159"/>
      <c r="AM933" s="159"/>
      <c r="AN933" s="159"/>
      <c r="AO933" s="159"/>
      <c r="AP933" s="159"/>
      <c r="AQ933" s="159"/>
      <c r="AR933" s="159"/>
      <c r="AS933" s="159"/>
      <c r="AT933" s="324"/>
    </row>
    <row r="934" spans="1:50" ht="15.75" customHeight="1" thickBot="1" x14ac:dyDescent="0.35">
      <c r="A934" s="365" t="s">
        <v>22</v>
      </c>
      <c r="B934" s="159">
        <f>+P29</f>
        <v>73912</v>
      </c>
      <c r="C934" s="159">
        <f>+P64</f>
        <v>73726</v>
      </c>
      <c r="D934" s="159">
        <f>+P133</f>
        <v>73547</v>
      </c>
      <c r="E934" s="159">
        <f>+P318</f>
        <v>70376</v>
      </c>
      <c r="F934" s="159">
        <f>+P313</f>
        <v>25914</v>
      </c>
      <c r="G934" s="159">
        <f>+P325</f>
        <v>0</v>
      </c>
      <c r="H934" s="159">
        <f>+P492</f>
        <v>33349</v>
      </c>
      <c r="I934" s="159">
        <f>+P542</f>
        <v>7285</v>
      </c>
      <c r="J934" s="159">
        <f>+P587</f>
        <v>6999</v>
      </c>
      <c r="K934" s="159">
        <f>+P654</f>
        <v>6917</v>
      </c>
      <c r="L934" s="159">
        <f>+P664</f>
        <v>4179</v>
      </c>
      <c r="M934" s="159">
        <f>+P700</f>
        <v>4160</v>
      </c>
      <c r="N934" s="159">
        <f>+P753</f>
        <v>3938</v>
      </c>
      <c r="O934" s="159">
        <f>+P763</f>
        <v>16</v>
      </c>
      <c r="P934" s="159">
        <f>+P797</f>
        <v>3805</v>
      </c>
      <c r="Q934" s="159">
        <f>+P846</f>
        <v>14</v>
      </c>
      <c r="R934" s="324"/>
      <c r="T934" s="366">
        <f>'[1]Lake Pleasant Forecast'!B105</f>
        <v>1664.3050707592738</v>
      </c>
      <c r="AC934" s="326" t="s">
        <v>453</v>
      </c>
      <c r="AD934" s="327"/>
      <c r="AE934" s="327"/>
      <c r="AF934" s="327"/>
      <c r="AG934" s="327"/>
      <c r="AH934" s="327"/>
      <c r="AI934" s="327"/>
      <c r="AJ934" s="327"/>
      <c r="AK934" s="327"/>
      <c r="AL934" s="327"/>
      <c r="AM934" s="327"/>
      <c r="AN934" s="327"/>
      <c r="AO934" s="327"/>
      <c r="AP934" s="327"/>
      <c r="AQ934" s="327"/>
      <c r="AR934" s="327"/>
      <c r="AS934" s="327"/>
      <c r="AT934" s="328"/>
    </row>
    <row r="935" spans="1:50" ht="15.75" customHeight="1" x14ac:dyDescent="0.3">
      <c r="A935" s="325"/>
      <c r="B935" s="159"/>
      <c r="C935" s="159"/>
      <c r="D935" s="159"/>
      <c r="E935" s="159"/>
      <c r="F935" s="159"/>
      <c r="G935" s="159"/>
      <c r="H935" s="159"/>
      <c r="I935" s="159"/>
      <c r="J935" s="159"/>
      <c r="K935" s="159"/>
      <c r="L935" s="159"/>
      <c r="M935" s="159"/>
      <c r="N935" s="159"/>
      <c r="O935" s="159"/>
      <c r="P935" s="159"/>
      <c r="Q935" s="159"/>
      <c r="R935" s="324"/>
    </row>
    <row r="936" spans="1:50" ht="15.75" customHeight="1" thickBot="1" x14ac:dyDescent="0.35">
      <c r="A936" s="325" t="s">
        <v>422</v>
      </c>
      <c r="B936" s="159">
        <f t="shared" ref="B936:Q936" si="304">SUM(B923:B934)</f>
        <v>1436355</v>
      </c>
      <c r="C936" s="159">
        <f t="shared" si="304"/>
        <v>1432855</v>
      </c>
      <c r="D936" s="159">
        <f t="shared" si="304"/>
        <v>1429515</v>
      </c>
      <c r="E936" s="159">
        <f t="shared" si="304"/>
        <v>1377998</v>
      </c>
      <c r="F936" s="159">
        <f t="shared" si="304"/>
        <v>392896</v>
      </c>
      <c r="G936" s="159">
        <f t="shared" si="304"/>
        <v>-302158</v>
      </c>
      <c r="H936" s="159">
        <f t="shared" si="304"/>
        <v>892570</v>
      </c>
      <c r="I936" s="159">
        <f t="shared" si="304"/>
        <v>342893</v>
      </c>
      <c r="J936" s="159">
        <f t="shared" si="304"/>
        <v>270208</v>
      </c>
      <c r="K936" s="159">
        <f t="shared" si="304"/>
        <v>238527</v>
      </c>
      <c r="L936" s="159">
        <f t="shared" si="304"/>
        <v>183818</v>
      </c>
      <c r="M936" s="159">
        <f t="shared" si="304"/>
        <v>183445</v>
      </c>
      <c r="N936" s="159">
        <f t="shared" si="304"/>
        <v>171991</v>
      </c>
      <c r="O936" s="159">
        <f t="shared" si="304"/>
        <v>39646</v>
      </c>
      <c r="P936" s="159">
        <f t="shared" si="304"/>
        <v>61597</v>
      </c>
      <c r="Q936" s="159">
        <f t="shared" si="304"/>
        <v>39537</v>
      </c>
      <c r="R936" s="324"/>
    </row>
    <row r="937" spans="1:50" ht="15.75" customHeight="1" thickBot="1" x14ac:dyDescent="0.35">
      <c r="A937" s="312"/>
      <c r="B937" s="312"/>
      <c r="C937" s="312"/>
      <c r="D937" s="312"/>
      <c r="E937" s="312"/>
      <c r="F937" s="312"/>
      <c r="G937" s="312"/>
      <c r="H937" s="312"/>
      <c r="I937" s="312"/>
      <c r="J937" s="312"/>
      <c r="K937" s="312"/>
      <c r="L937" s="312"/>
      <c r="M937" s="312"/>
      <c r="N937" s="312"/>
      <c r="O937" s="312"/>
      <c r="P937" s="312"/>
      <c r="Q937" s="312"/>
      <c r="R937" s="328"/>
      <c r="AC937" s="318"/>
      <c r="AD937" s="319"/>
      <c r="AE937" s="319"/>
      <c r="AF937" s="319"/>
      <c r="AG937" s="319"/>
      <c r="AH937" s="319"/>
      <c r="AI937" s="319"/>
      <c r="AJ937" s="319"/>
      <c r="AK937" s="319"/>
      <c r="AL937" s="319"/>
      <c r="AM937" s="319"/>
      <c r="AN937" s="319"/>
      <c r="AO937" s="319"/>
      <c r="AP937" s="319"/>
      <c r="AQ937" s="319"/>
      <c r="AR937" s="319"/>
      <c r="AS937" s="361" t="str">
        <f>+Q1</f>
        <v xml:space="preserve">PRINTED:  </v>
      </c>
      <c r="AT937" s="367">
        <f ca="1">+R1</f>
        <v>44909.46975358796</v>
      </c>
      <c r="AU937" s="332"/>
      <c r="AW937" s="161" t="s">
        <v>467</v>
      </c>
      <c r="AX937" s="159"/>
    </row>
    <row r="938" spans="1:50" ht="15.75" customHeight="1" x14ac:dyDescent="0.35">
      <c r="A938" s="368"/>
      <c r="B938" s="368"/>
      <c r="C938" s="368"/>
      <c r="D938" s="368"/>
      <c r="E938" s="368"/>
      <c r="F938" s="368"/>
      <c r="G938" s="368"/>
      <c r="H938" s="368"/>
      <c r="I938" s="368"/>
      <c r="J938" s="368"/>
      <c r="K938" s="368"/>
      <c r="L938" s="368"/>
      <c r="M938" s="368"/>
      <c r="N938" s="368"/>
      <c r="O938" s="368"/>
      <c r="P938" s="368"/>
      <c r="Q938" s="368"/>
      <c r="R938" s="319"/>
      <c r="AC938" s="323"/>
      <c r="AD938" s="159"/>
      <c r="AE938" s="161" t="s">
        <v>460</v>
      </c>
      <c r="AF938" s="159"/>
      <c r="AG938" s="159"/>
      <c r="AH938" s="159"/>
      <c r="AI938" s="159"/>
      <c r="AJ938" s="159"/>
      <c r="AK938" s="159"/>
      <c r="AL938" s="159"/>
      <c r="AM938" s="159"/>
      <c r="AN938" s="167"/>
      <c r="AO938" s="161" t="s">
        <v>461</v>
      </c>
      <c r="AP938" s="159"/>
      <c r="AQ938" s="159"/>
      <c r="AR938" s="159"/>
      <c r="AS938" s="159"/>
      <c r="AT938" s="159"/>
      <c r="AU938" s="307"/>
      <c r="AW938" s="159" t="s">
        <v>468</v>
      </c>
      <c r="AX938" s="159"/>
    </row>
    <row r="939" spans="1:50" ht="16.5" customHeight="1" x14ac:dyDescent="0.3">
      <c r="A939" s="325" t="s">
        <v>7</v>
      </c>
      <c r="B939" s="159"/>
      <c r="C939" s="159"/>
      <c r="D939" s="159"/>
      <c r="E939" s="159"/>
      <c r="F939" s="159"/>
      <c r="G939" s="159"/>
      <c r="H939" s="159"/>
      <c r="I939" s="159"/>
      <c r="J939" s="159"/>
      <c r="K939" s="159"/>
      <c r="L939" s="159"/>
      <c r="M939" s="159"/>
      <c r="N939" s="159"/>
      <c r="O939" s="159"/>
      <c r="P939" s="159"/>
      <c r="Q939" s="159"/>
      <c r="R939" s="159"/>
      <c r="AC939" s="323"/>
      <c r="AD939" s="159"/>
      <c r="AE939" s="159"/>
      <c r="AF939" s="159"/>
      <c r="AG939" s="159" t="s">
        <v>7</v>
      </c>
      <c r="AH939" s="163" t="str">
        <f>+A8</f>
        <v>Revised:  11/4/2019</v>
      </c>
      <c r="AI939" s="159"/>
      <c r="AJ939" s="159"/>
      <c r="AK939" s="159"/>
      <c r="AL939" s="159"/>
      <c r="AM939" s="159"/>
      <c r="AN939" s="159"/>
      <c r="AO939" s="159"/>
      <c r="AP939" s="159"/>
      <c r="AQ939" s="159"/>
      <c r="AR939" s="159" t="s">
        <v>7</v>
      </c>
      <c r="AS939" s="163" t="str">
        <f>+A8</f>
        <v>Revised:  11/4/2019</v>
      </c>
      <c r="AT939" s="159"/>
      <c r="AU939" s="307"/>
      <c r="AW939" s="159"/>
      <c r="AX939" s="159"/>
    </row>
    <row r="940" spans="1:50" ht="15.75" customHeight="1" x14ac:dyDescent="0.3">
      <c r="A940" s="164"/>
      <c r="B940" s="159"/>
      <c r="C940" s="159"/>
      <c r="D940" s="159"/>
      <c r="E940" s="159"/>
      <c r="F940" s="159"/>
      <c r="G940" s="159"/>
      <c r="H940" s="159"/>
      <c r="I940" s="159"/>
      <c r="J940" s="159"/>
      <c r="K940" s="159"/>
      <c r="L940" s="159"/>
      <c r="M940" s="159"/>
      <c r="N940" s="159"/>
      <c r="O940" s="159"/>
      <c r="P940" s="159"/>
      <c r="Q940" s="159"/>
      <c r="R940" s="159"/>
      <c r="AC940" s="323"/>
      <c r="AD940" s="159"/>
      <c r="AE940" s="159"/>
      <c r="AF940" s="159" t="s">
        <v>787</v>
      </c>
      <c r="AG940" s="159"/>
      <c r="AH940" s="159"/>
      <c r="AI940" s="159"/>
      <c r="AJ940" s="159"/>
      <c r="AK940" s="159"/>
      <c r="AL940" s="159"/>
      <c r="AM940" s="159"/>
      <c r="AN940" s="159"/>
      <c r="AO940" s="159"/>
      <c r="AP940" s="159" t="s">
        <v>787</v>
      </c>
      <c r="AQ940" s="159"/>
      <c r="AR940" s="159"/>
      <c r="AS940" s="159"/>
      <c r="AT940" s="159"/>
      <c r="AU940" s="307"/>
      <c r="AW940" s="159" t="s">
        <v>424</v>
      </c>
      <c r="AX940" s="164" t="s">
        <v>442</v>
      </c>
    </row>
    <row r="941" spans="1:50" ht="15.75" customHeight="1" x14ac:dyDescent="0.3">
      <c r="A941" s="365"/>
      <c r="AC941" s="323"/>
      <c r="AD941" s="159"/>
      <c r="AE941" s="159"/>
      <c r="AF941" s="159"/>
      <c r="AG941" s="159"/>
      <c r="AH941" s="159"/>
      <c r="AI941" s="159"/>
      <c r="AJ941" s="159"/>
      <c r="AK941" s="159"/>
      <c r="AL941" s="159"/>
      <c r="AM941" s="159"/>
      <c r="AN941" s="159"/>
      <c r="AO941" s="159"/>
      <c r="AP941" s="159"/>
      <c r="AQ941" s="159"/>
      <c r="AR941" s="159"/>
      <c r="AS941" s="159"/>
      <c r="AT941" s="159"/>
      <c r="AU941" s="307"/>
      <c r="AW941" s="164" t="s">
        <v>442</v>
      </c>
      <c r="AX941" s="164" t="s">
        <v>439</v>
      </c>
    </row>
    <row r="942" spans="1:50" ht="15.75" customHeight="1" thickBot="1" x14ac:dyDescent="0.35">
      <c r="A942" s="365"/>
      <c r="AC942" s="323"/>
      <c r="AD942" s="159"/>
      <c r="AE942" s="159"/>
      <c r="AF942" s="159"/>
      <c r="AG942" s="159">
        <f>+A5</f>
        <v>2019</v>
      </c>
      <c r="AH942" s="159"/>
      <c r="AI942" s="159"/>
      <c r="AJ942" s="159"/>
      <c r="AK942" s="159"/>
      <c r="AL942" s="159"/>
      <c r="AM942" s="159"/>
      <c r="AN942" s="159"/>
      <c r="AO942" s="159"/>
      <c r="AP942" s="159"/>
      <c r="AQ942" s="159"/>
      <c r="AR942" s="159">
        <f>+A5</f>
        <v>2019</v>
      </c>
      <c r="AS942" s="159"/>
      <c r="AT942" s="159"/>
      <c r="AU942" s="307"/>
      <c r="AW942" s="164" t="s">
        <v>491</v>
      </c>
      <c r="AX942" s="164" t="s">
        <v>492</v>
      </c>
    </row>
    <row r="943" spans="1:50" ht="15.75" customHeight="1" x14ac:dyDescent="0.3">
      <c r="A943" s="363"/>
      <c r="B943" s="506" t="s">
        <v>454</v>
      </c>
      <c r="C943" s="506"/>
      <c r="D943" s="506"/>
      <c r="E943" s="506"/>
      <c r="F943" s="506"/>
      <c r="G943" s="506"/>
      <c r="H943" s="506"/>
      <c r="I943" s="506"/>
      <c r="J943" s="506"/>
      <c r="K943" s="506"/>
      <c r="L943" s="506"/>
      <c r="M943" s="506"/>
      <c r="N943" s="506"/>
      <c r="O943" s="506"/>
      <c r="P943" s="506"/>
      <c r="Q943" s="361" t="str">
        <f>+Q1</f>
        <v xml:space="preserve">PRINTED:  </v>
      </c>
      <c r="R943" s="362">
        <f ca="1">+R1</f>
        <v>44909.46975358796</v>
      </c>
      <c r="AC943" s="323"/>
      <c r="AD943" s="159"/>
      <c r="AE943" s="159"/>
      <c r="AF943" s="159"/>
      <c r="AG943" s="159" t="s">
        <v>457</v>
      </c>
      <c r="AH943" s="159"/>
      <c r="AI943" s="159"/>
      <c r="AJ943" s="159"/>
      <c r="AK943" s="159"/>
      <c r="AL943" s="159"/>
      <c r="AM943" s="159"/>
      <c r="AN943" s="159"/>
      <c r="AO943" s="159"/>
      <c r="AP943" s="159"/>
      <c r="AQ943" s="159"/>
      <c r="AR943" s="159" t="s">
        <v>457</v>
      </c>
      <c r="AS943" s="159"/>
      <c r="AT943" s="159"/>
      <c r="AU943" s="307"/>
      <c r="AW943" s="164" t="s">
        <v>409</v>
      </c>
      <c r="AX943" s="164" t="s">
        <v>409</v>
      </c>
    </row>
    <row r="944" spans="1:50" ht="15.75" customHeight="1" x14ac:dyDescent="0.3">
      <c r="A944" s="325"/>
      <c r="B944" s="503" t="str">
        <f>+A8</f>
        <v>Revised:  11/4/2019</v>
      </c>
      <c r="C944" s="503"/>
      <c r="D944" s="503"/>
      <c r="E944" s="503"/>
      <c r="F944" s="503"/>
      <c r="G944" s="503"/>
      <c r="H944" s="503"/>
      <c r="I944" s="503"/>
      <c r="J944" s="503"/>
      <c r="K944" s="503"/>
      <c r="L944" s="503"/>
      <c r="M944" s="503"/>
      <c r="N944" s="503"/>
      <c r="O944" s="503"/>
      <c r="P944" s="503"/>
      <c r="Q944" s="159"/>
      <c r="R944" s="324"/>
      <c r="AC944" s="323"/>
      <c r="AD944" s="159"/>
      <c r="AE944" s="159"/>
      <c r="AF944" s="159"/>
      <c r="AG944" s="159"/>
      <c r="AH944" s="159"/>
      <c r="AI944" s="159"/>
      <c r="AJ944" s="159"/>
      <c r="AK944" s="159"/>
      <c r="AL944" s="159"/>
      <c r="AM944" s="159"/>
      <c r="AN944" s="159"/>
      <c r="AO944" s="159"/>
      <c r="AP944" s="159"/>
      <c r="AQ944" s="159"/>
      <c r="AR944" s="159"/>
      <c r="AS944" s="159"/>
      <c r="AT944" s="159"/>
      <c r="AU944" s="307"/>
      <c r="AW944" s="159">
        <f t="shared" ref="AW944:AW955" si="305">SUM(L980:Q980)</f>
        <v>9404</v>
      </c>
      <c r="AX944" s="172">
        <v>2.4700000000000002</v>
      </c>
    </row>
    <row r="945" spans="1:50" ht="15.75" customHeight="1" x14ac:dyDescent="0.3">
      <c r="A945" s="325"/>
      <c r="B945" s="503" t="s">
        <v>1024</v>
      </c>
      <c r="C945" s="503"/>
      <c r="D945" s="503"/>
      <c r="E945" s="503"/>
      <c r="F945" s="503"/>
      <c r="G945" s="503"/>
      <c r="H945" s="503"/>
      <c r="I945" s="503"/>
      <c r="J945" s="503"/>
      <c r="K945" s="503"/>
      <c r="L945" s="503"/>
      <c r="M945" s="503"/>
      <c r="N945" s="503"/>
      <c r="O945" s="503"/>
      <c r="P945" s="503"/>
      <c r="Q945" s="159"/>
      <c r="R945" s="324"/>
      <c r="AC945" s="323" t="s">
        <v>389</v>
      </c>
      <c r="AD945" s="164" t="s">
        <v>390</v>
      </c>
      <c r="AE945" s="164" t="s">
        <v>391</v>
      </c>
      <c r="AF945" s="164" t="s">
        <v>392</v>
      </c>
      <c r="AG945" s="164" t="s">
        <v>393</v>
      </c>
      <c r="AH945" s="164" t="s">
        <v>394</v>
      </c>
      <c r="AI945" s="159"/>
      <c r="AJ945" s="164" t="s">
        <v>422</v>
      </c>
      <c r="AK945" s="159"/>
      <c r="AL945" s="159"/>
      <c r="AM945" s="159"/>
      <c r="AN945" s="159" t="s">
        <v>389</v>
      </c>
      <c r="AO945" s="164" t="s">
        <v>390</v>
      </c>
      <c r="AP945" s="164" t="s">
        <v>391</v>
      </c>
      <c r="AQ945" s="164" t="s">
        <v>392</v>
      </c>
      <c r="AR945" s="164" t="s">
        <v>393</v>
      </c>
      <c r="AS945" s="164" t="s">
        <v>394</v>
      </c>
      <c r="AT945" s="164" t="s">
        <v>422</v>
      </c>
      <c r="AU945" s="307"/>
      <c r="AW945" s="159">
        <f t="shared" si="305"/>
        <v>7929</v>
      </c>
      <c r="AX945" s="172">
        <v>2.4700000000000002</v>
      </c>
    </row>
    <row r="946" spans="1:50" ht="15.75" customHeight="1" x14ac:dyDescent="0.3">
      <c r="A946" s="325"/>
      <c r="B946" s="503"/>
      <c r="C946" s="503"/>
      <c r="D946" s="503"/>
      <c r="E946" s="503"/>
      <c r="F946" s="503"/>
      <c r="G946" s="503"/>
      <c r="H946" s="503"/>
      <c r="I946" s="503"/>
      <c r="J946" s="503"/>
      <c r="K946" s="503"/>
      <c r="L946" s="503"/>
      <c r="M946" s="503"/>
      <c r="N946" s="503"/>
      <c r="O946" s="503"/>
      <c r="P946" s="503"/>
      <c r="Q946" s="159"/>
      <c r="R946" s="324"/>
      <c r="AC946" s="323" t="s">
        <v>405</v>
      </c>
      <c r="AD946" s="159"/>
      <c r="AE946" s="159"/>
      <c r="AF946" s="159"/>
      <c r="AG946" s="159"/>
      <c r="AH946" s="164" t="s">
        <v>406</v>
      </c>
      <c r="AI946" s="159"/>
      <c r="AJ946" s="164" t="s">
        <v>465</v>
      </c>
      <c r="AK946" s="159"/>
      <c r="AL946" s="159"/>
      <c r="AM946" s="159"/>
      <c r="AN946" s="159" t="s">
        <v>405</v>
      </c>
      <c r="AO946" s="159"/>
      <c r="AP946" s="159"/>
      <c r="AQ946" s="159"/>
      <c r="AR946" s="159"/>
      <c r="AS946" s="164" t="s">
        <v>406</v>
      </c>
      <c r="AT946" s="164" t="s">
        <v>465</v>
      </c>
      <c r="AU946" s="307"/>
      <c r="AW946" s="159">
        <f t="shared" si="305"/>
        <v>10323</v>
      </c>
      <c r="AX946" s="172">
        <v>2.4700000000000002</v>
      </c>
    </row>
    <row r="947" spans="1:50" ht="15.75" customHeight="1" x14ac:dyDescent="0.3">
      <c r="A947" s="325"/>
      <c r="B947" s="509">
        <f>+A5</f>
        <v>2019</v>
      </c>
      <c r="C947" s="509"/>
      <c r="D947" s="509"/>
      <c r="E947" s="509"/>
      <c r="F947" s="509"/>
      <c r="G947" s="509"/>
      <c r="H947" s="509"/>
      <c r="I947" s="509"/>
      <c r="J947" s="509"/>
      <c r="K947" s="509"/>
      <c r="L947" s="509"/>
      <c r="M947" s="509"/>
      <c r="N947" s="509"/>
      <c r="O947" s="509"/>
      <c r="P947" s="509"/>
      <c r="Q947" s="159"/>
      <c r="R947" s="324"/>
      <c r="AC947" s="323" t="s">
        <v>408</v>
      </c>
      <c r="AD947" s="159">
        <f>+$B$978</f>
        <v>957</v>
      </c>
      <c r="AE947" s="159">
        <f>+C$978</f>
        <v>122</v>
      </c>
      <c r="AF947" s="159">
        <f>+D$978</f>
        <v>128</v>
      </c>
      <c r="AG947" s="159">
        <f>+E$978</f>
        <v>219</v>
      </c>
      <c r="AH947" s="159"/>
      <c r="AI947" s="159"/>
      <c r="AJ947" s="164" t="s">
        <v>442</v>
      </c>
      <c r="AK947" s="159"/>
      <c r="AL947" s="159"/>
      <c r="AM947" s="159"/>
      <c r="AN947" s="159" t="s">
        <v>408</v>
      </c>
      <c r="AO947" s="159">
        <f>+$B$978</f>
        <v>957</v>
      </c>
      <c r="AP947" s="159">
        <f>+C$978</f>
        <v>122</v>
      </c>
      <c r="AQ947" s="159">
        <f>+D$978</f>
        <v>128</v>
      </c>
      <c r="AR947" s="159">
        <f>+E$978</f>
        <v>219</v>
      </c>
      <c r="AS947" s="159"/>
      <c r="AT947" s="164" t="s">
        <v>442</v>
      </c>
      <c r="AU947" s="307"/>
      <c r="AW947" s="159">
        <f t="shared" si="305"/>
        <v>13607</v>
      </c>
      <c r="AX947" s="172">
        <v>2.4700000000000002</v>
      </c>
    </row>
    <row r="948" spans="1:50" ht="15.75" customHeight="1" x14ac:dyDescent="0.3">
      <c r="A948" s="325"/>
      <c r="B948" s="503" t="s">
        <v>1027</v>
      </c>
      <c r="C948" s="503"/>
      <c r="D948" s="503"/>
      <c r="E948" s="503"/>
      <c r="F948" s="503"/>
      <c r="G948" s="503"/>
      <c r="H948" s="503"/>
      <c r="I948" s="503"/>
      <c r="J948" s="503"/>
      <c r="K948" s="503"/>
      <c r="L948" s="503"/>
      <c r="M948" s="503"/>
      <c r="N948" s="503"/>
      <c r="O948" s="503"/>
      <c r="P948" s="503"/>
      <c r="Q948" s="159"/>
      <c r="R948" s="324"/>
      <c r="AC948" s="323"/>
      <c r="AD948" s="159" t="s">
        <v>409</v>
      </c>
      <c r="AE948" s="159" t="s">
        <v>409</v>
      </c>
      <c r="AF948" s="159" t="s">
        <v>409</v>
      </c>
      <c r="AG948" s="159" t="s">
        <v>409</v>
      </c>
      <c r="AH948" s="159" t="s">
        <v>409</v>
      </c>
      <c r="AI948" s="159"/>
      <c r="AJ948" s="159" t="s">
        <v>459</v>
      </c>
      <c r="AK948" s="159"/>
      <c r="AL948" s="159"/>
      <c r="AM948" s="159"/>
      <c r="AN948" s="159"/>
      <c r="AO948" s="159" t="s">
        <v>409</v>
      </c>
      <c r="AP948" s="159" t="s">
        <v>409</v>
      </c>
      <c r="AQ948" s="159" t="s">
        <v>409</v>
      </c>
      <c r="AR948" s="159" t="s">
        <v>409</v>
      </c>
      <c r="AS948" s="159" t="s">
        <v>409</v>
      </c>
      <c r="AT948" s="159" t="s">
        <v>459</v>
      </c>
      <c r="AU948" s="307"/>
      <c r="AW948" s="159">
        <f t="shared" si="305"/>
        <v>14306</v>
      </c>
      <c r="AX948" s="172">
        <v>2.4700000000000002</v>
      </c>
    </row>
    <row r="949" spans="1:50" ht="15.75" customHeight="1" x14ac:dyDescent="0.3">
      <c r="A949" s="325"/>
      <c r="B949" s="159"/>
      <c r="C949" s="159"/>
      <c r="D949" s="159"/>
      <c r="E949" s="159"/>
      <c r="F949" s="159"/>
      <c r="G949" s="159"/>
      <c r="H949" s="159"/>
      <c r="I949" s="159"/>
      <c r="J949" s="159"/>
      <c r="K949" s="159"/>
      <c r="L949" s="159"/>
      <c r="M949" s="159"/>
      <c r="N949" s="159"/>
      <c r="O949" s="159"/>
      <c r="P949" s="159"/>
      <c r="Q949" s="159"/>
      <c r="R949" s="324"/>
      <c r="AC949" s="325" t="s">
        <v>410</v>
      </c>
      <c r="AD949" s="159">
        <f t="shared" ref="AD949:AD960" si="306">ROUND($F923*$AD$947/1000,0)</f>
        <v>60222</v>
      </c>
      <c r="AE949" s="159">
        <f t="shared" ref="AE949:AE960" si="307">ROUND($F923*$AE$947/1000,0)</f>
        <v>7677</v>
      </c>
      <c r="AF949" s="159">
        <f t="shared" ref="AF949:AF960" si="308">ROUND($F923*$AF$947/1000,0)</f>
        <v>8055</v>
      </c>
      <c r="AG949" s="159">
        <f t="shared" ref="AG949:AG960" si="309">ROUND($F923*$AG$947/1000,0)</f>
        <v>13781</v>
      </c>
      <c r="AH949" s="159">
        <f t="shared" ref="AH949:AH960" si="310">(F923*((T923-1526.8)/0.7702))/1000</f>
        <v>12662.387926278832</v>
      </c>
      <c r="AI949" s="159"/>
      <c r="AJ949" s="159">
        <f t="shared" ref="AJ949:AJ960" si="311">SUM(AD949:AH949)</f>
        <v>102397.38792627884</v>
      </c>
      <c r="AK949" s="159"/>
      <c r="AL949" s="159"/>
      <c r="AM949" s="159"/>
      <c r="AN949" s="164" t="s">
        <v>410</v>
      </c>
      <c r="AO949" s="159">
        <f t="shared" ref="AO949:AO960" si="312">ROUND((B923-$F923)*$AO$947/1000,0)</f>
        <v>23363</v>
      </c>
      <c r="AP949" s="159">
        <f t="shared" ref="AP949:AP960" si="313">ROUND((C923-$F923)*$AP$947/1000,0)</f>
        <v>2967</v>
      </c>
      <c r="AQ949" s="159">
        <f t="shared" ref="AQ949:AQ960" si="314">ROUND((D923-$F923)*$AQ$947/1000,0)</f>
        <v>3100</v>
      </c>
      <c r="AR949" s="159">
        <f t="shared" ref="AR949:AR960" si="315">ROUND((E923-$F923)*$AR$947/1000,0)</f>
        <v>5158</v>
      </c>
      <c r="AS949" s="159">
        <f>((F923-$F923)*(('[1]Lake Pleasant Forecast'!B35-1526.8)/0.7702))/1000</f>
        <v>0</v>
      </c>
      <c r="AT949" s="159">
        <f t="shared" ref="AT949:AT960" si="316">SUM(AN949:AR949)</f>
        <v>34588</v>
      </c>
      <c r="AU949" s="307"/>
      <c r="AW949" s="159">
        <f t="shared" si="305"/>
        <v>14895</v>
      </c>
      <c r="AX949" s="172">
        <v>2.4700000000000002</v>
      </c>
    </row>
    <row r="950" spans="1:50" ht="15.75" customHeight="1" thickBot="1" x14ac:dyDescent="0.35">
      <c r="A950" s="325" t="s">
        <v>433</v>
      </c>
      <c r="B950" s="364" t="s">
        <v>390</v>
      </c>
      <c r="C950" s="364" t="s">
        <v>391</v>
      </c>
      <c r="D950" s="364" t="s">
        <v>392</v>
      </c>
      <c r="E950" s="364" t="s">
        <v>393</v>
      </c>
      <c r="F950" s="364" t="s">
        <v>394</v>
      </c>
      <c r="G950" s="364" t="s">
        <v>394</v>
      </c>
      <c r="H950" s="364" t="s">
        <v>395</v>
      </c>
      <c r="I950" s="364" t="s">
        <v>396</v>
      </c>
      <c r="J950" s="364" t="s">
        <v>397</v>
      </c>
      <c r="K950" s="364" t="s">
        <v>398</v>
      </c>
      <c r="L950" s="364" t="s">
        <v>399</v>
      </c>
      <c r="M950" s="364" t="s">
        <v>400</v>
      </c>
      <c r="N950" s="364" t="s">
        <v>401</v>
      </c>
      <c r="O950" s="364" t="s">
        <v>402</v>
      </c>
      <c r="P950" s="364" t="s">
        <v>403</v>
      </c>
      <c r="Q950" s="364" t="s">
        <v>404</v>
      </c>
      <c r="R950" s="324"/>
      <c r="AC950" s="325" t="s">
        <v>411</v>
      </c>
      <c r="AD950" s="159">
        <f t="shared" si="306"/>
        <v>95441</v>
      </c>
      <c r="AE950" s="159">
        <f t="shared" si="307"/>
        <v>12167</v>
      </c>
      <c r="AF950" s="159">
        <f t="shared" si="308"/>
        <v>12765</v>
      </c>
      <c r="AG950" s="159">
        <f t="shared" si="309"/>
        <v>21841</v>
      </c>
      <c r="AH950" s="159">
        <f t="shared" si="310"/>
        <v>20556.545269411457</v>
      </c>
      <c r="AI950" s="159"/>
      <c r="AJ950" s="159">
        <f t="shared" si="311"/>
        <v>162770.54526941146</v>
      </c>
      <c r="AK950" s="159"/>
      <c r="AL950" s="159"/>
      <c r="AM950" s="159"/>
      <c r="AN950" s="164" t="s">
        <v>411</v>
      </c>
      <c r="AO950" s="159">
        <f t="shared" si="312"/>
        <v>49430</v>
      </c>
      <c r="AP950" s="159">
        <f t="shared" si="313"/>
        <v>6283</v>
      </c>
      <c r="AQ950" s="159">
        <f t="shared" si="314"/>
        <v>6574</v>
      </c>
      <c r="AR950" s="159">
        <f t="shared" si="315"/>
        <v>11142</v>
      </c>
      <c r="AS950" s="159">
        <f>((F924-$F924)*(('[1]Lake Pleasant Forecast'!B37-1526.8)/0.7702))/1000</f>
        <v>0</v>
      </c>
      <c r="AT950" s="159">
        <f t="shared" si="316"/>
        <v>73429</v>
      </c>
      <c r="AU950" s="307"/>
      <c r="AW950" s="159">
        <f t="shared" si="305"/>
        <v>15314</v>
      </c>
      <c r="AX950" s="172">
        <v>2.4700000000000002</v>
      </c>
    </row>
    <row r="951" spans="1:50" ht="15.75" customHeight="1" x14ac:dyDescent="0.3">
      <c r="A951" s="325"/>
      <c r="B951" s="159"/>
      <c r="C951" s="159"/>
      <c r="D951" s="159"/>
      <c r="E951" s="159"/>
      <c r="F951" s="164" t="s">
        <v>406</v>
      </c>
      <c r="G951" s="164" t="s">
        <v>407</v>
      </c>
      <c r="H951" s="159"/>
      <c r="I951" s="159"/>
      <c r="J951" s="159"/>
      <c r="K951" s="159"/>
      <c r="L951" s="159"/>
      <c r="M951" s="159"/>
      <c r="N951" s="159"/>
      <c r="O951" s="159"/>
      <c r="P951" s="159"/>
      <c r="Q951" s="159"/>
      <c r="R951" s="324"/>
      <c r="AC951" s="325" t="s">
        <v>412</v>
      </c>
      <c r="AD951" s="159">
        <f t="shared" si="306"/>
        <v>59</v>
      </c>
      <c r="AE951" s="159">
        <f t="shared" si="307"/>
        <v>8</v>
      </c>
      <c r="AF951" s="159">
        <f t="shared" si="308"/>
        <v>8</v>
      </c>
      <c r="AG951" s="159">
        <f t="shared" si="309"/>
        <v>14</v>
      </c>
      <c r="AH951" s="159">
        <f t="shared" si="310"/>
        <v>13.16344829843567</v>
      </c>
      <c r="AI951" s="159"/>
      <c r="AJ951" s="159">
        <f t="shared" si="311"/>
        <v>102.16344829843567</v>
      </c>
      <c r="AK951" s="159"/>
      <c r="AL951" s="159"/>
      <c r="AM951" s="159"/>
      <c r="AN951" s="164" t="s">
        <v>412</v>
      </c>
      <c r="AO951" s="159">
        <f t="shared" si="312"/>
        <v>79125</v>
      </c>
      <c r="AP951" s="159">
        <f t="shared" si="313"/>
        <v>10054</v>
      </c>
      <c r="AQ951" s="159">
        <f t="shared" si="314"/>
        <v>10515</v>
      </c>
      <c r="AR951" s="159">
        <f t="shared" si="315"/>
        <v>17540</v>
      </c>
      <c r="AS951" s="159">
        <f>((F925-$F925)*(('[1]Lake Pleasant Forecast'!B39-1526.8)/0.7702))/1000</f>
        <v>0</v>
      </c>
      <c r="AT951" s="159">
        <f t="shared" si="316"/>
        <v>117234</v>
      </c>
      <c r="AU951" s="307"/>
      <c r="AW951" s="159">
        <f t="shared" si="305"/>
        <v>14539</v>
      </c>
      <c r="AX951" s="172">
        <v>2.4700000000000002</v>
      </c>
    </row>
    <row r="952" spans="1:50" ht="15.75" customHeight="1" x14ac:dyDescent="0.3">
      <c r="A952" s="365" t="s">
        <v>795</v>
      </c>
      <c r="B952" s="159">
        <f t="shared" ref="B952:Q952" si="317">(B923/$B$10/1.983)</f>
        <v>1420.8026287963821</v>
      </c>
      <c r="C952" s="159">
        <f t="shared" si="317"/>
        <v>1419.2247002749175</v>
      </c>
      <c r="D952" s="159">
        <f t="shared" si="317"/>
        <v>1417.6630390577975</v>
      </c>
      <c r="E952" s="159">
        <f t="shared" si="317"/>
        <v>1406.8127470596846</v>
      </c>
      <c r="F952" s="159">
        <f t="shared" si="317"/>
        <v>1023.6689278219706</v>
      </c>
      <c r="G952" s="159">
        <f t="shared" si="317"/>
        <v>-299.38346916532458</v>
      </c>
      <c r="H952" s="159">
        <f t="shared" si="317"/>
        <v>394.92134758349192</v>
      </c>
      <c r="I952" s="159">
        <f t="shared" si="317"/>
        <v>247.14915491353929</v>
      </c>
      <c r="J952" s="159">
        <f t="shared" si="317"/>
        <v>246.88887804401929</v>
      </c>
      <c r="K952" s="159">
        <f t="shared" si="317"/>
        <v>246.51473004408436</v>
      </c>
      <c r="L952" s="159">
        <f t="shared" si="317"/>
        <v>208.0425552681665</v>
      </c>
      <c r="M952" s="159">
        <f t="shared" si="317"/>
        <v>207.71720918126655</v>
      </c>
      <c r="N952" s="159">
        <f t="shared" si="317"/>
        <v>201.12895092154278</v>
      </c>
      <c r="O952" s="159">
        <f t="shared" si="317"/>
        <v>56.77289216403949</v>
      </c>
      <c r="P952" s="159">
        <f t="shared" si="317"/>
        <v>61.897093032713542</v>
      </c>
      <c r="Q952" s="159">
        <f t="shared" si="317"/>
        <v>56.740357555349497</v>
      </c>
      <c r="R952" s="324"/>
      <c r="AC952" s="325" t="s">
        <v>413</v>
      </c>
      <c r="AD952" s="159">
        <f t="shared" si="306"/>
        <v>10527</v>
      </c>
      <c r="AE952" s="159">
        <f t="shared" si="307"/>
        <v>1342</v>
      </c>
      <c r="AF952" s="159">
        <f t="shared" si="308"/>
        <v>1408</v>
      </c>
      <c r="AG952" s="159">
        <f t="shared" si="309"/>
        <v>2409</v>
      </c>
      <c r="AH952" s="159">
        <f t="shared" si="310"/>
        <v>2372.1409390200852</v>
      </c>
      <c r="AI952" s="159"/>
      <c r="AJ952" s="159">
        <f t="shared" si="311"/>
        <v>18058.140939020086</v>
      </c>
      <c r="AK952" s="159"/>
      <c r="AL952" s="159"/>
      <c r="AM952" s="159"/>
      <c r="AN952" s="164" t="s">
        <v>413</v>
      </c>
      <c r="AO952" s="159">
        <f t="shared" si="312"/>
        <v>130786</v>
      </c>
      <c r="AP952" s="159">
        <f t="shared" si="313"/>
        <v>16628</v>
      </c>
      <c r="AQ952" s="159">
        <f t="shared" si="314"/>
        <v>17401</v>
      </c>
      <c r="AR952" s="159">
        <f t="shared" si="315"/>
        <v>28708</v>
      </c>
      <c r="AS952" s="159">
        <f>((F926-$F926)*(('[1]Lake Pleasant Forecast'!B41-1526.8)/0.7702))/1000</f>
        <v>0</v>
      </c>
      <c r="AT952" s="159">
        <f t="shared" si="316"/>
        <v>193523</v>
      </c>
      <c r="AU952" s="307"/>
      <c r="AW952" s="159">
        <f t="shared" si="305"/>
        <v>12304</v>
      </c>
      <c r="AX952" s="172">
        <v>2.4700000000000002</v>
      </c>
    </row>
    <row r="953" spans="1:50" ht="15.75" customHeight="1" x14ac:dyDescent="0.3">
      <c r="A953" s="365" t="s">
        <v>9</v>
      </c>
      <c r="B953" s="159">
        <f t="shared" ref="B953:Q953" si="318">(B924/$C$10/1.983)</f>
        <v>2726.3885887183919</v>
      </c>
      <c r="C953" s="159">
        <f t="shared" si="318"/>
        <v>2723.7230747064332</v>
      </c>
      <c r="D953" s="159">
        <f t="shared" si="318"/>
        <v>2721.1115913839058</v>
      </c>
      <c r="E953" s="159">
        <f t="shared" si="318"/>
        <v>2712.4486708450399</v>
      </c>
      <c r="F953" s="159">
        <f t="shared" si="318"/>
        <v>1796.1422087745839</v>
      </c>
      <c r="G953" s="159">
        <f t="shared" si="318"/>
        <v>0</v>
      </c>
      <c r="H953" s="159">
        <f t="shared" si="318"/>
        <v>559.36171745551474</v>
      </c>
      <c r="I953" s="159">
        <f t="shared" si="318"/>
        <v>266.17318636985806</v>
      </c>
      <c r="J953" s="159">
        <f t="shared" si="318"/>
        <v>265.88502269288955</v>
      </c>
      <c r="K953" s="159">
        <f t="shared" si="318"/>
        <v>265.11058281103664</v>
      </c>
      <c r="L953" s="159">
        <f t="shared" si="318"/>
        <v>179.50796052157625</v>
      </c>
      <c r="M953" s="159">
        <f t="shared" si="318"/>
        <v>179.11173546574454</v>
      </c>
      <c r="N953" s="159">
        <f t="shared" si="318"/>
        <v>165.36993012030834</v>
      </c>
      <c r="O953" s="159">
        <f t="shared" si="318"/>
        <v>61.036668827894246</v>
      </c>
      <c r="P953" s="159">
        <f t="shared" si="318"/>
        <v>68.528924429075715</v>
      </c>
      <c r="Q953" s="159">
        <f t="shared" si="318"/>
        <v>60.982638138462647</v>
      </c>
      <c r="R953" s="324"/>
      <c r="AC953" s="325" t="s">
        <v>414</v>
      </c>
      <c r="AD953" s="159">
        <f t="shared" si="306"/>
        <v>17506</v>
      </c>
      <c r="AE953" s="159">
        <f t="shared" si="307"/>
        <v>2232</v>
      </c>
      <c r="AF953" s="159">
        <f t="shared" si="308"/>
        <v>2342</v>
      </c>
      <c r="AG953" s="159">
        <f t="shared" si="309"/>
        <v>4006</v>
      </c>
      <c r="AH953" s="159">
        <f t="shared" si="310"/>
        <v>3986.5508690277225</v>
      </c>
      <c r="AI953" s="159"/>
      <c r="AJ953" s="159">
        <f t="shared" si="311"/>
        <v>30072.550869027724</v>
      </c>
      <c r="AK953" s="159"/>
      <c r="AL953" s="159"/>
      <c r="AM953" s="159"/>
      <c r="AN953" s="164" t="s">
        <v>414</v>
      </c>
      <c r="AO953" s="159">
        <f t="shared" si="312"/>
        <v>128728</v>
      </c>
      <c r="AP953" s="159">
        <f t="shared" si="313"/>
        <v>16359</v>
      </c>
      <c r="AQ953" s="159">
        <f t="shared" si="314"/>
        <v>17112</v>
      </c>
      <c r="AR953" s="159">
        <f t="shared" si="315"/>
        <v>28166</v>
      </c>
      <c r="AS953" s="159">
        <f>((F927-$F927)*(('[1]Lake Pleasant Forecast'!B43-1526.8)/0.7702))/1000</f>
        <v>0</v>
      </c>
      <c r="AT953" s="159">
        <f t="shared" si="316"/>
        <v>190365</v>
      </c>
      <c r="AU953" s="307"/>
      <c r="AW953" s="159">
        <f t="shared" si="305"/>
        <v>11093</v>
      </c>
      <c r="AX953" s="172">
        <v>2.4700000000000002</v>
      </c>
    </row>
    <row r="954" spans="1:50" ht="15.75" customHeight="1" x14ac:dyDescent="0.3">
      <c r="A954" s="365" t="s">
        <v>10</v>
      </c>
      <c r="B954" s="159">
        <f t="shared" ref="B954:Q954" si="319">(B925/$D$10/1.983)</f>
        <v>1345.9892961137409</v>
      </c>
      <c r="C954" s="159">
        <f t="shared" si="319"/>
        <v>1341.5320547232118</v>
      </c>
      <c r="D954" s="159">
        <f t="shared" si="319"/>
        <v>1337.2862882891677</v>
      </c>
      <c r="E954" s="159">
        <f t="shared" si="319"/>
        <v>1303.9057797732337</v>
      </c>
      <c r="F954" s="159">
        <f t="shared" si="319"/>
        <v>1.0085728693898133</v>
      </c>
      <c r="G954" s="159">
        <f t="shared" si="319"/>
        <v>-2.0659476518146178</v>
      </c>
      <c r="H954" s="159">
        <f t="shared" si="319"/>
        <v>911.22932018935137</v>
      </c>
      <c r="I954" s="159">
        <f t="shared" si="319"/>
        <v>390.74065036682771</v>
      </c>
      <c r="J954" s="159">
        <f t="shared" si="319"/>
        <v>348.02270915686557</v>
      </c>
      <c r="K954" s="159">
        <f t="shared" si="319"/>
        <v>337.05854602833762</v>
      </c>
      <c r="L954" s="159">
        <f t="shared" si="319"/>
        <v>239.94273908870559</v>
      </c>
      <c r="M954" s="159">
        <f t="shared" si="319"/>
        <v>239.48725456704568</v>
      </c>
      <c r="N954" s="159">
        <f t="shared" si="319"/>
        <v>221.64202170058397</v>
      </c>
      <c r="O954" s="159">
        <f t="shared" si="319"/>
        <v>53.129015990760173</v>
      </c>
      <c r="P954" s="159">
        <f t="shared" si="319"/>
        <v>77.383566769150676</v>
      </c>
      <c r="Q954" s="159">
        <f t="shared" si="319"/>
        <v>53.047679469035181</v>
      </c>
      <c r="R954" s="324"/>
      <c r="AC954" s="325" t="s">
        <v>415</v>
      </c>
      <c r="AD954" s="159">
        <f t="shared" si="306"/>
        <v>1412</v>
      </c>
      <c r="AE954" s="159">
        <f t="shared" si="307"/>
        <v>180</v>
      </c>
      <c r="AF954" s="159">
        <f t="shared" si="308"/>
        <v>189</v>
      </c>
      <c r="AG954" s="159">
        <f t="shared" si="309"/>
        <v>323</v>
      </c>
      <c r="AH954" s="159">
        <f t="shared" si="310"/>
        <v>301.57613410576516</v>
      </c>
      <c r="AI954" s="159"/>
      <c r="AJ954" s="159">
        <f t="shared" si="311"/>
        <v>2405.576134105765</v>
      </c>
      <c r="AK954" s="159"/>
      <c r="AL954" s="159"/>
      <c r="AM954" s="159"/>
      <c r="AN954" s="164" t="s">
        <v>415</v>
      </c>
      <c r="AO954" s="159">
        <f t="shared" si="312"/>
        <v>100818</v>
      </c>
      <c r="AP954" s="159">
        <f t="shared" si="313"/>
        <v>12802</v>
      </c>
      <c r="AQ954" s="159">
        <f t="shared" si="314"/>
        <v>13380</v>
      </c>
      <c r="AR954" s="159">
        <f t="shared" si="315"/>
        <v>21429</v>
      </c>
      <c r="AS954" s="159">
        <f>((F928-$F928)*(('[1]Lake Pleasant Forecast'!B45-1526.8)/0.7702))/1000</f>
        <v>0</v>
      </c>
      <c r="AT954" s="159">
        <f t="shared" si="316"/>
        <v>148429</v>
      </c>
      <c r="AU954" s="307"/>
      <c r="AW954" s="159">
        <f t="shared" si="305"/>
        <v>2391</v>
      </c>
      <c r="AX954" s="172">
        <v>2.4700000000000002</v>
      </c>
    </row>
    <row r="955" spans="1:50" ht="15.75" customHeight="1" x14ac:dyDescent="0.3">
      <c r="A955" s="365" t="s">
        <v>12</v>
      </c>
      <c r="B955" s="159">
        <f t="shared" ref="B955:Q955" si="320">(B926/$F$10/1.983)</f>
        <v>2482.1482602118003</v>
      </c>
      <c r="C955" s="159">
        <f t="shared" si="320"/>
        <v>2475.9791561606994</v>
      </c>
      <c r="D955" s="159">
        <f t="shared" si="320"/>
        <v>2470.095814422592</v>
      </c>
      <c r="E955" s="159">
        <f t="shared" si="320"/>
        <v>2388.4182215498404</v>
      </c>
      <c r="F955" s="159">
        <f t="shared" si="320"/>
        <v>184.90502605479912</v>
      </c>
      <c r="G955" s="159">
        <f t="shared" si="320"/>
        <v>-226.82803832576903</v>
      </c>
      <c r="H955" s="159">
        <f t="shared" si="320"/>
        <v>1833.2829046898637</v>
      </c>
      <c r="I955" s="159">
        <f t="shared" si="320"/>
        <v>712.70801815431162</v>
      </c>
      <c r="J955" s="159">
        <f t="shared" si="320"/>
        <v>534.79576399394853</v>
      </c>
      <c r="K955" s="159">
        <f t="shared" si="320"/>
        <v>471.87762649184737</v>
      </c>
      <c r="L955" s="159">
        <f t="shared" si="320"/>
        <v>346.19263741805344</v>
      </c>
      <c r="M955" s="159">
        <f t="shared" si="320"/>
        <v>345.5706841485964</v>
      </c>
      <c r="N955" s="159">
        <f t="shared" si="320"/>
        <v>326.18927550848883</v>
      </c>
      <c r="O955" s="159">
        <f t="shared" si="320"/>
        <v>61.253992267607998</v>
      </c>
      <c r="P955" s="159">
        <f t="shared" si="320"/>
        <v>95.948898974617592</v>
      </c>
      <c r="Q955" s="159">
        <f t="shared" si="320"/>
        <v>61.136325432845851</v>
      </c>
      <c r="R955" s="324"/>
      <c r="AC955" s="325" t="s">
        <v>416</v>
      </c>
      <c r="AD955" s="159">
        <f t="shared" si="306"/>
        <v>0</v>
      </c>
      <c r="AE955" s="159">
        <f t="shared" si="307"/>
        <v>0</v>
      </c>
      <c r="AF955" s="159">
        <f t="shared" si="308"/>
        <v>0</v>
      </c>
      <c r="AG955" s="159">
        <f t="shared" si="309"/>
        <v>0</v>
      </c>
      <c r="AH955" s="159">
        <f t="shared" si="310"/>
        <v>0</v>
      </c>
      <c r="AI955" s="159"/>
      <c r="AJ955" s="159">
        <f t="shared" si="311"/>
        <v>0</v>
      </c>
      <c r="AK955" s="159"/>
      <c r="AL955" s="159"/>
      <c r="AM955" s="159"/>
      <c r="AN955" s="164" t="s">
        <v>416</v>
      </c>
      <c r="AO955" s="159">
        <f t="shared" si="312"/>
        <v>93598</v>
      </c>
      <c r="AP955" s="159">
        <f t="shared" si="313"/>
        <v>11881</v>
      </c>
      <c r="AQ955" s="159">
        <f t="shared" si="314"/>
        <v>12415</v>
      </c>
      <c r="AR955" s="159">
        <f t="shared" si="315"/>
        <v>19506</v>
      </c>
      <c r="AS955" s="159">
        <f>((F929-$F929)*(('[1]Lake Pleasant Forecast'!B47-1526.8)/0.7702))/1000</f>
        <v>0</v>
      </c>
      <c r="AT955" s="159">
        <f t="shared" si="316"/>
        <v>137400</v>
      </c>
      <c r="AU955" s="307"/>
      <c r="AW955" s="159">
        <f t="shared" si="305"/>
        <v>3197</v>
      </c>
      <c r="AX955" s="172">
        <v>2.4700000000000002</v>
      </c>
    </row>
    <row r="956" spans="1:50" ht="15.75" customHeight="1" x14ac:dyDescent="0.3">
      <c r="A956" s="365" t="s">
        <v>13</v>
      </c>
      <c r="B956" s="159">
        <f t="shared" ref="B956:Q956" si="321">(B927/$G$10/1.983)</f>
        <v>2485.7254404372648</v>
      </c>
      <c r="C956" s="159">
        <f t="shared" si="321"/>
        <v>2478.811836090641</v>
      </c>
      <c r="D956" s="159">
        <f t="shared" si="321"/>
        <v>2472.2723797439526</v>
      </c>
      <c r="E956" s="159">
        <f t="shared" si="321"/>
        <v>2389.7320774974378</v>
      </c>
      <c r="F956" s="159">
        <f t="shared" si="321"/>
        <v>297.57779838302997</v>
      </c>
      <c r="G956" s="159">
        <f>(G927/$G$10/1.983)</f>
        <v>-252.27335578221332</v>
      </c>
      <c r="H956" s="159">
        <f t="shared" si="321"/>
        <v>1568.9977713793048</v>
      </c>
      <c r="I956" s="159">
        <f t="shared" si="321"/>
        <v>571.69814390057422</v>
      </c>
      <c r="J956" s="159">
        <f t="shared" si="321"/>
        <v>491.48406617539405</v>
      </c>
      <c r="K956" s="159">
        <f t="shared" si="321"/>
        <v>441.85252061880828</v>
      </c>
      <c r="L956" s="159">
        <f t="shared" si="321"/>
        <v>334.24430237665314</v>
      </c>
      <c r="M956" s="159">
        <f t="shared" si="321"/>
        <v>333.5610755941633</v>
      </c>
      <c r="N956" s="159">
        <f t="shared" si="321"/>
        <v>322.87345663950026</v>
      </c>
      <c r="O956" s="159">
        <f t="shared" si="321"/>
        <v>66.419403640622718</v>
      </c>
      <c r="P956" s="159">
        <f t="shared" si="321"/>
        <v>109.07227563320481</v>
      </c>
      <c r="Q956" s="159">
        <f t="shared" si="321"/>
        <v>65.540969205992866</v>
      </c>
      <c r="R956" s="324"/>
      <c r="AC956" s="325" t="s">
        <v>417</v>
      </c>
      <c r="AD956" s="159">
        <f t="shared" si="306"/>
        <v>28</v>
      </c>
      <c r="AE956" s="159">
        <f t="shared" si="307"/>
        <v>4</v>
      </c>
      <c r="AF956" s="159">
        <f t="shared" si="308"/>
        <v>4</v>
      </c>
      <c r="AG956" s="159">
        <f t="shared" si="309"/>
        <v>6</v>
      </c>
      <c r="AH956" s="159">
        <f t="shared" si="310"/>
        <v>4.9389831802797826</v>
      </c>
      <c r="AI956" s="159"/>
      <c r="AJ956" s="159">
        <f t="shared" si="311"/>
        <v>46.938983180279784</v>
      </c>
      <c r="AK956" s="159"/>
      <c r="AL956" s="159"/>
      <c r="AM956" s="159"/>
      <c r="AN956" s="164" t="s">
        <v>417</v>
      </c>
      <c r="AO956" s="159">
        <f t="shared" si="312"/>
        <v>99456</v>
      </c>
      <c r="AP956" s="159">
        <f t="shared" si="313"/>
        <v>12638</v>
      </c>
      <c r="AQ956" s="159">
        <f t="shared" si="314"/>
        <v>13219</v>
      </c>
      <c r="AR956" s="159">
        <f t="shared" si="315"/>
        <v>20821</v>
      </c>
      <c r="AS956" s="159">
        <f>((F930-$F930)*(('[1]Lake Pleasant Forecast'!B49-1526.8)/0.7702))/1000</f>
        <v>0</v>
      </c>
      <c r="AT956" s="159">
        <f t="shared" si="316"/>
        <v>146134</v>
      </c>
      <c r="AU956" s="307"/>
      <c r="AW956" s="159"/>
      <c r="AX956" s="172"/>
    </row>
    <row r="957" spans="1:50" ht="15.75" customHeight="1" x14ac:dyDescent="0.3">
      <c r="A957" s="365" t="s">
        <v>14</v>
      </c>
      <c r="B957" s="159">
        <f t="shared" ref="B957:Q957" si="322">(B928/$H$10/1.983)</f>
        <v>1795.6463271138007</v>
      </c>
      <c r="C957" s="159">
        <f t="shared" si="322"/>
        <v>1788.6367456715413</v>
      </c>
      <c r="D957" s="159">
        <f t="shared" si="322"/>
        <v>1781.9801647335685</v>
      </c>
      <c r="E957" s="159">
        <f t="shared" si="322"/>
        <v>1669.5747184400741</v>
      </c>
      <c r="F957" s="159">
        <f t="shared" si="322"/>
        <v>24.794083039166242</v>
      </c>
      <c r="G957" s="159">
        <f t="shared" si="322"/>
        <v>-1414.691544797445</v>
      </c>
      <c r="H957" s="159">
        <f t="shared" si="322"/>
        <v>2139.2671037149103</v>
      </c>
      <c r="I957" s="159">
        <f t="shared" si="322"/>
        <v>768.76786014456206</v>
      </c>
      <c r="J957" s="159">
        <f t="shared" si="322"/>
        <v>571.2724827702134</v>
      </c>
      <c r="K957" s="159">
        <f t="shared" si="322"/>
        <v>485.87997982854262</v>
      </c>
      <c r="L957" s="159">
        <f t="shared" si="322"/>
        <v>363.72499579761302</v>
      </c>
      <c r="M957" s="159">
        <f t="shared" si="322"/>
        <v>362.98537569339379</v>
      </c>
      <c r="N957" s="159">
        <f t="shared" si="322"/>
        <v>339.50243738443436</v>
      </c>
      <c r="O957" s="159">
        <f t="shared" si="322"/>
        <v>73.777105395864851</v>
      </c>
      <c r="P957" s="159">
        <f t="shared" si="322"/>
        <v>115.14540258867036</v>
      </c>
      <c r="Q957" s="159">
        <f t="shared" si="322"/>
        <v>73.625819465456374</v>
      </c>
      <c r="R957" s="324"/>
      <c r="AC957" s="325" t="s">
        <v>418</v>
      </c>
      <c r="AD957" s="159">
        <f t="shared" si="306"/>
        <v>30522</v>
      </c>
      <c r="AE957" s="159">
        <f t="shared" si="307"/>
        <v>3891</v>
      </c>
      <c r="AF957" s="159">
        <f t="shared" si="308"/>
        <v>4082</v>
      </c>
      <c r="AG957" s="159">
        <f t="shared" si="309"/>
        <v>6985</v>
      </c>
      <c r="AH957" s="159">
        <f t="shared" si="310"/>
        <v>5351.0362097390889</v>
      </c>
      <c r="AI957" s="159"/>
      <c r="AJ957" s="159">
        <f t="shared" si="311"/>
        <v>50831.03620973909</v>
      </c>
      <c r="AK957" s="159"/>
      <c r="AL957" s="159"/>
      <c r="AM957" s="159"/>
      <c r="AN957" s="164" t="s">
        <v>418</v>
      </c>
      <c r="AO957" s="159">
        <f t="shared" si="312"/>
        <v>122495</v>
      </c>
      <c r="AP957" s="159">
        <f t="shared" si="313"/>
        <v>15577</v>
      </c>
      <c r="AQ957" s="159">
        <f t="shared" si="314"/>
        <v>16305</v>
      </c>
      <c r="AR957" s="159">
        <f t="shared" si="315"/>
        <v>26746</v>
      </c>
      <c r="AS957" s="159">
        <f>((F931-$F931)*(('[1]Lake Pleasant Forecast'!B51-1526.8)/0.7702))/1000</f>
        <v>0</v>
      </c>
      <c r="AT957" s="159">
        <f t="shared" si="316"/>
        <v>181123</v>
      </c>
      <c r="AU957" s="307"/>
      <c r="AW957" s="159">
        <f>(SUM(AW944:AW955))</f>
        <v>129302</v>
      </c>
      <c r="AX957" s="172"/>
    </row>
    <row r="958" spans="1:50" ht="15.75" customHeight="1" x14ac:dyDescent="0.3">
      <c r="A958" s="365" t="s">
        <v>16</v>
      </c>
      <c r="B958" s="159">
        <f t="shared" ref="B958:Q958" si="323">(B929/$J$10/1.983)</f>
        <v>1591.0074341580855</v>
      </c>
      <c r="C958" s="159">
        <f t="shared" si="323"/>
        <v>1584.2402355505669</v>
      </c>
      <c r="D958" s="159">
        <f t="shared" si="323"/>
        <v>1577.8309176386381</v>
      </c>
      <c r="E958" s="159">
        <f t="shared" si="323"/>
        <v>1448.9287980088818</v>
      </c>
      <c r="F958" s="159">
        <f t="shared" si="323"/>
        <v>0</v>
      </c>
      <c r="G958" s="159">
        <f t="shared" si="323"/>
        <v>-1519.301156605339</v>
      </c>
      <c r="H958" s="159">
        <f t="shared" si="323"/>
        <v>2139.1505213671044</v>
      </c>
      <c r="I958" s="159">
        <f t="shared" si="323"/>
        <v>846.55051811364342</v>
      </c>
      <c r="J958" s="159">
        <f t="shared" si="323"/>
        <v>597.27034633090955</v>
      </c>
      <c r="K958" s="159">
        <f t="shared" si="323"/>
        <v>493.97296374017856</v>
      </c>
      <c r="L958" s="159">
        <f t="shared" si="323"/>
        <v>372.26099263091112</v>
      </c>
      <c r="M958" s="159">
        <f t="shared" si="323"/>
        <v>371.62656776145622</v>
      </c>
      <c r="N958" s="159">
        <f t="shared" si="323"/>
        <v>348.28298602638552</v>
      </c>
      <c r="O958" s="159">
        <f t="shared" si="323"/>
        <v>73.121533030761469</v>
      </c>
      <c r="P958" s="159">
        <f t="shared" si="323"/>
        <v>100.59701006946138</v>
      </c>
      <c r="Q958" s="159">
        <f t="shared" si="323"/>
        <v>73.007661900346491</v>
      </c>
      <c r="R958" s="324"/>
      <c r="AC958" s="325" t="s">
        <v>419</v>
      </c>
      <c r="AD958" s="159">
        <f t="shared" si="306"/>
        <v>37704</v>
      </c>
      <c r="AE958" s="159">
        <f t="shared" si="307"/>
        <v>4807</v>
      </c>
      <c r="AF958" s="159">
        <f t="shared" si="308"/>
        <v>5043</v>
      </c>
      <c r="AG958" s="159">
        <f t="shared" si="309"/>
        <v>8628</v>
      </c>
      <c r="AH958" s="159">
        <f t="shared" si="310"/>
        <v>6699.3079331192066</v>
      </c>
      <c r="AI958" s="159"/>
      <c r="AJ958" s="159">
        <f t="shared" si="311"/>
        <v>62881.307933119206</v>
      </c>
      <c r="AK958" s="159"/>
      <c r="AL958" s="159"/>
      <c r="AM958" s="159"/>
      <c r="AN958" s="164" t="s">
        <v>419</v>
      </c>
      <c r="AO958" s="159">
        <f t="shared" si="312"/>
        <v>105545</v>
      </c>
      <c r="AP958" s="159">
        <f t="shared" si="313"/>
        <v>13420</v>
      </c>
      <c r="AQ958" s="159">
        <f t="shared" si="314"/>
        <v>14045</v>
      </c>
      <c r="AR958" s="159">
        <f t="shared" si="315"/>
        <v>22864</v>
      </c>
      <c r="AS958" s="159">
        <f>((F932-$F932)*(('[1]Lake Pleasant Forecast'!B53-1526.8)/0.7702))/1000</f>
        <v>0</v>
      </c>
      <c r="AT958" s="159">
        <f t="shared" si="316"/>
        <v>155874</v>
      </c>
      <c r="AU958" s="307"/>
    </row>
    <row r="959" spans="1:50" ht="15.75" customHeight="1" x14ac:dyDescent="0.3">
      <c r="A959" s="365" t="s">
        <v>17</v>
      </c>
      <c r="B959" s="159">
        <f t="shared" ref="B959:Q959" si="324">(B930/$K$10/1.983)</f>
        <v>1691.051355879817</v>
      </c>
      <c r="C959" s="159">
        <f t="shared" si="324"/>
        <v>1685.6180762285881</v>
      </c>
      <c r="D959" s="159">
        <f t="shared" si="324"/>
        <v>1680.4450734468792</v>
      </c>
      <c r="E959" s="159">
        <f t="shared" si="324"/>
        <v>1547.0531778179038</v>
      </c>
      <c r="F959" s="159">
        <f t="shared" si="324"/>
        <v>0.47175182600491267</v>
      </c>
      <c r="G959" s="159">
        <f t="shared" si="324"/>
        <v>-1224.7002749174433</v>
      </c>
      <c r="H959" s="159">
        <f t="shared" si="324"/>
        <v>2030.6801359946644</v>
      </c>
      <c r="I959" s="159">
        <f t="shared" si="324"/>
        <v>869.2596749792591</v>
      </c>
      <c r="J959" s="159">
        <f t="shared" si="324"/>
        <v>607.40487693784257</v>
      </c>
      <c r="K959" s="159">
        <f t="shared" si="324"/>
        <v>486.06705382851004</v>
      </c>
      <c r="L959" s="159">
        <f t="shared" si="324"/>
        <v>359.91410863305839</v>
      </c>
      <c r="M959" s="159">
        <f t="shared" si="324"/>
        <v>359.32848567663848</v>
      </c>
      <c r="N959" s="159">
        <f t="shared" si="324"/>
        <v>329.60812063832901</v>
      </c>
      <c r="O959" s="159">
        <f t="shared" si="324"/>
        <v>68.989637727132234</v>
      </c>
      <c r="P959" s="159">
        <f t="shared" si="324"/>
        <v>92.853773201242817</v>
      </c>
      <c r="Q959" s="159">
        <f t="shared" si="324"/>
        <v>68.892033901062263</v>
      </c>
      <c r="R959" s="324"/>
      <c r="AC959" s="325" t="s">
        <v>420</v>
      </c>
      <c r="AD959" s="159">
        <f t="shared" si="306"/>
        <v>97781</v>
      </c>
      <c r="AE959" s="159">
        <f t="shared" si="307"/>
        <v>12465</v>
      </c>
      <c r="AF959" s="159">
        <f t="shared" si="308"/>
        <v>13078</v>
      </c>
      <c r="AG959" s="159">
        <f t="shared" si="309"/>
        <v>22376</v>
      </c>
      <c r="AH959" s="159">
        <f t="shared" si="310"/>
        <v>17840.059542785333</v>
      </c>
      <c r="AI959" s="159"/>
      <c r="AJ959" s="159">
        <f t="shared" si="311"/>
        <v>163540.05954278534</v>
      </c>
      <c r="AK959" s="159"/>
      <c r="AL959" s="159"/>
      <c r="AM959" s="159"/>
      <c r="AN959" s="164" t="s">
        <v>420</v>
      </c>
      <c r="AO959" s="159">
        <f t="shared" si="312"/>
        <v>19311</v>
      </c>
      <c r="AP959" s="159">
        <f t="shared" si="313"/>
        <v>2433</v>
      </c>
      <c r="AQ959" s="159">
        <f t="shared" si="314"/>
        <v>2524</v>
      </c>
      <c r="AR959" s="159">
        <f t="shared" si="315"/>
        <v>3920</v>
      </c>
      <c r="AS959" s="159">
        <f>((F933-$F933)*(('[1]Lake Pleasant Forecast'!B55-1526.8)/0.7702))/1000</f>
        <v>0</v>
      </c>
      <c r="AT959" s="159">
        <f t="shared" si="316"/>
        <v>28188</v>
      </c>
      <c r="AU959" s="307"/>
    </row>
    <row r="960" spans="1:50" ht="15.75" customHeight="1" x14ac:dyDescent="0.3">
      <c r="A960" s="365" t="s">
        <v>18</v>
      </c>
      <c r="B960" s="159">
        <f t="shared" ref="B960:Q960" si="325">(B931/$L$10/1.983)</f>
        <v>2687.7122205412675</v>
      </c>
      <c r="C960" s="159">
        <f t="shared" si="325"/>
        <v>2682.4004034291474</v>
      </c>
      <c r="D960" s="159">
        <f t="shared" si="325"/>
        <v>2677.3407295343754</v>
      </c>
      <c r="E960" s="159">
        <f t="shared" si="325"/>
        <v>2589.0233652714742</v>
      </c>
      <c r="F960" s="159">
        <f t="shared" si="325"/>
        <v>536.10690872415523</v>
      </c>
      <c r="G960" s="159">
        <f t="shared" si="325"/>
        <v>0</v>
      </c>
      <c r="H960" s="159">
        <f t="shared" si="325"/>
        <v>1346.4447806354008</v>
      </c>
      <c r="I960" s="159">
        <f t="shared" si="325"/>
        <v>501.41200201714571</v>
      </c>
      <c r="J960" s="159">
        <f t="shared" si="325"/>
        <v>382.77021348125731</v>
      </c>
      <c r="K960" s="159">
        <f t="shared" si="325"/>
        <v>320.37317196167419</v>
      </c>
      <c r="L960" s="159">
        <f t="shared" si="325"/>
        <v>295.44461253992267</v>
      </c>
      <c r="M960" s="159">
        <f t="shared" si="325"/>
        <v>294.87308791393508</v>
      </c>
      <c r="N960" s="159">
        <f t="shared" si="325"/>
        <v>276.14725163893092</v>
      </c>
      <c r="O960" s="159">
        <f t="shared" si="325"/>
        <v>68.095478231635568</v>
      </c>
      <c r="P960" s="159">
        <f t="shared" si="325"/>
        <v>87.947554210791722</v>
      </c>
      <c r="Q960" s="159">
        <f t="shared" si="325"/>
        <v>67.994620944696592</v>
      </c>
      <c r="R960" s="324"/>
      <c r="AC960" s="325" t="s">
        <v>421</v>
      </c>
      <c r="AD960" s="159">
        <f t="shared" si="306"/>
        <v>24800</v>
      </c>
      <c r="AE960" s="159">
        <f t="shared" si="307"/>
        <v>3162</v>
      </c>
      <c r="AF960" s="159">
        <f t="shared" si="308"/>
        <v>3317</v>
      </c>
      <c r="AG960" s="159">
        <f t="shared" si="309"/>
        <v>5675</v>
      </c>
      <c r="AH960" s="159">
        <f t="shared" si="310"/>
        <v>4626.4689738455236</v>
      </c>
      <c r="AI960" s="159"/>
      <c r="AJ960" s="159">
        <f t="shared" si="311"/>
        <v>41580.46897384552</v>
      </c>
      <c r="AK960" s="159"/>
      <c r="AL960" s="159"/>
      <c r="AM960" s="159"/>
      <c r="AN960" s="164" t="s">
        <v>421</v>
      </c>
      <c r="AO960" s="159">
        <f t="shared" si="312"/>
        <v>45934</v>
      </c>
      <c r="AP960" s="159">
        <f t="shared" si="313"/>
        <v>5833</v>
      </c>
      <c r="AQ960" s="159">
        <f t="shared" si="314"/>
        <v>6097</v>
      </c>
      <c r="AR960" s="159">
        <f t="shared" si="315"/>
        <v>9737</v>
      </c>
      <c r="AS960" s="159">
        <f>((F934-$F934)*(('[1]Lake Pleasant Forecast'!B57-1526.8)/0.7702))/1000</f>
        <v>0</v>
      </c>
      <c r="AT960" s="159">
        <f t="shared" si="316"/>
        <v>67601</v>
      </c>
      <c r="AU960" s="307"/>
    </row>
    <row r="961" spans="1:47" ht="15.75" customHeight="1" x14ac:dyDescent="0.3">
      <c r="A961" s="365" t="s">
        <v>20</v>
      </c>
      <c r="B961" s="159">
        <f t="shared" ref="B961:Q961" si="326">(B932/$N$10/1.983)</f>
        <v>2434.9714508808747</v>
      </c>
      <c r="C961" s="159">
        <f t="shared" si="326"/>
        <v>2430.3352691425503</v>
      </c>
      <c r="D961" s="159">
        <f t="shared" si="326"/>
        <v>2425.9105623607111</v>
      </c>
      <c r="E961" s="159">
        <f t="shared" si="326"/>
        <v>2339.2383648105674</v>
      </c>
      <c r="F961" s="159">
        <f t="shared" si="326"/>
        <v>640.89925658419145</v>
      </c>
      <c r="G961" s="159">
        <f t="shared" si="326"/>
        <v>0</v>
      </c>
      <c r="H961" s="159">
        <f t="shared" si="326"/>
        <v>1174.5481756218176</v>
      </c>
      <c r="I961" s="159">
        <f t="shared" si="326"/>
        <v>355.09898654693927</v>
      </c>
      <c r="J961" s="159">
        <f t="shared" si="326"/>
        <v>290.42018447123127</v>
      </c>
      <c r="K961" s="159">
        <f t="shared" si="326"/>
        <v>267.67849299692546</v>
      </c>
      <c r="L961" s="159">
        <f t="shared" si="326"/>
        <v>255.68948969466271</v>
      </c>
      <c r="M961" s="159">
        <f t="shared" si="326"/>
        <v>255.21773786865779</v>
      </c>
      <c r="N961" s="159">
        <f t="shared" si="326"/>
        <v>236.13618987197631</v>
      </c>
      <c r="O961" s="159">
        <f t="shared" si="326"/>
        <v>61.669350771883593</v>
      </c>
      <c r="P961" s="159">
        <f t="shared" si="326"/>
        <v>77.383566769150676</v>
      </c>
      <c r="Q961" s="159">
        <f t="shared" si="326"/>
        <v>61.588014250158601</v>
      </c>
      <c r="R961" s="324"/>
      <c r="AC961" s="323"/>
      <c r="AD961" s="159"/>
      <c r="AE961" s="159"/>
      <c r="AF961" s="159"/>
      <c r="AG961" s="159"/>
      <c r="AH961" s="159"/>
      <c r="AI961" s="159"/>
      <c r="AJ961" s="159"/>
      <c r="AK961" s="159"/>
      <c r="AL961" s="159"/>
      <c r="AM961" s="159"/>
      <c r="AN961" s="159"/>
      <c r="AO961" s="159"/>
      <c r="AP961" s="159"/>
      <c r="AQ961" s="159"/>
      <c r="AR961" s="159"/>
      <c r="AS961" s="159"/>
      <c r="AT961" s="159"/>
      <c r="AU961" s="307"/>
    </row>
    <row r="962" spans="1:47" ht="15.75" customHeight="1" thickBot="1" x14ac:dyDescent="0.35">
      <c r="A962" s="365" t="s">
        <v>21</v>
      </c>
      <c r="B962" s="159">
        <f t="shared" ref="B962:Q962" si="327">(B933/$O$10/1.983)</f>
        <v>2056.7154143553539</v>
      </c>
      <c r="C962" s="159">
        <f t="shared" si="327"/>
        <v>2052.7651706169104</v>
      </c>
      <c r="D962" s="159">
        <f t="shared" si="327"/>
        <v>2048.9662128088753</v>
      </c>
      <c r="E962" s="159">
        <f t="shared" si="327"/>
        <v>2018.3728357707178</v>
      </c>
      <c r="F962" s="159">
        <f t="shared" si="327"/>
        <v>1717.5155488317364</v>
      </c>
      <c r="G962" s="159">
        <f t="shared" si="327"/>
        <v>-29.971423768700618</v>
      </c>
      <c r="H962" s="159">
        <f t="shared" si="327"/>
        <v>108.53925029416708</v>
      </c>
      <c r="I962" s="159">
        <f t="shared" si="327"/>
        <v>20.255505126912084</v>
      </c>
      <c r="J962" s="159">
        <f t="shared" si="327"/>
        <v>19.885695074802484</v>
      </c>
      <c r="K962" s="159">
        <f t="shared" si="327"/>
        <v>18.776264918473693</v>
      </c>
      <c r="L962" s="159">
        <f t="shared" si="327"/>
        <v>17.650025214321733</v>
      </c>
      <c r="M962" s="159">
        <f t="shared" si="327"/>
        <v>17.263405614388972</v>
      </c>
      <c r="N962" s="159">
        <f t="shared" si="327"/>
        <v>13.716591023701461</v>
      </c>
      <c r="O962" s="159">
        <f t="shared" si="327"/>
        <v>13.296352328122373</v>
      </c>
      <c r="P962" s="159">
        <f t="shared" si="327"/>
        <v>71.961674230963183</v>
      </c>
      <c r="Q962" s="159">
        <f t="shared" si="327"/>
        <v>13.245923684652881</v>
      </c>
      <c r="R962" s="324"/>
      <c r="AC962" s="330" t="s">
        <v>422</v>
      </c>
      <c r="AD962" s="327">
        <f>SUM(AD949:AD960)</f>
        <v>376002</v>
      </c>
      <c r="AE962" s="327">
        <f>SUM(AE949:AE960)</f>
        <v>47935</v>
      </c>
      <c r="AF962" s="327">
        <f>SUM(AF949:AF960)</f>
        <v>50291</v>
      </c>
      <c r="AG962" s="327">
        <f>SUM(AG949:AG960)</f>
        <v>86044</v>
      </c>
      <c r="AH962" s="327">
        <f>SUM(AH949:AH960)</f>
        <v>74414.176228811717</v>
      </c>
      <c r="AI962" s="327"/>
      <c r="AJ962" s="327">
        <f>SUM(AJ949:AJ960)</f>
        <v>634686.17622881162</v>
      </c>
      <c r="AK962" s="327"/>
      <c r="AL962" s="327"/>
      <c r="AM962" s="327"/>
      <c r="AN962" s="335" t="s">
        <v>422</v>
      </c>
      <c r="AO962" s="327">
        <f t="shared" ref="AO962:AT962" si="328">SUM(AO949:AO960)</f>
        <v>998589</v>
      </c>
      <c r="AP962" s="327">
        <f t="shared" si="328"/>
        <v>126875</v>
      </c>
      <c r="AQ962" s="327">
        <f t="shared" si="328"/>
        <v>132687</v>
      </c>
      <c r="AR962" s="327">
        <f t="shared" si="328"/>
        <v>215737</v>
      </c>
      <c r="AS962" s="327">
        <f t="shared" si="328"/>
        <v>0</v>
      </c>
      <c r="AT962" s="327">
        <f t="shared" si="328"/>
        <v>1473888</v>
      </c>
      <c r="AU962" s="313"/>
    </row>
    <row r="963" spans="1:47" ht="15.75" customHeight="1" thickBot="1" x14ac:dyDescent="0.35">
      <c r="A963" s="369" t="s">
        <v>22</v>
      </c>
      <c r="B963" s="327">
        <f t="shared" ref="B963:Q963" si="329">(B934/$P$10/1.983)</f>
        <v>1202.3489987474177</v>
      </c>
      <c r="C963" s="327">
        <f t="shared" si="329"/>
        <v>1199.3232801392483</v>
      </c>
      <c r="D963" s="327">
        <f t="shared" si="329"/>
        <v>1196.4114326614936</v>
      </c>
      <c r="E963" s="327">
        <f t="shared" si="329"/>
        <v>1144.8278105835082</v>
      </c>
      <c r="F963" s="327">
        <f t="shared" si="329"/>
        <v>421.55092479625199</v>
      </c>
      <c r="G963" s="327">
        <f t="shared" si="329"/>
        <v>0</v>
      </c>
      <c r="H963" s="327">
        <f t="shared" si="329"/>
        <v>542.49833260130458</v>
      </c>
      <c r="I963" s="327">
        <f t="shared" si="329"/>
        <v>118.50731215330308</v>
      </c>
      <c r="J963" s="327">
        <f t="shared" si="329"/>
        <v>113.85486311063393</v>
      </c>
      <c r="K963" s="327">
        <f t="shared" si="329"/>
        <v>112.52094415434418</v>
      </c>
      <c r="L963" s="327">
        <f t="shared" si="329"/>
        <v>67.981064857742425</v>
      </c>
      <c r="M963" s="327">
        <f t="shared" si="329"/>
        <v>67.671986075187476</v>
      </c>
      <c r="N963" s="327">
        <f t="shared" si="329"/>
        <v>64.060644510598152</v>
      </c>
      <c r="O963" s="327">
        <f t="shared" si="329"/>
        <v>0.26027686951995183</v>
      </c>
      <c r="P963" s="327">
        <f t="shared" si="329"/>
        <v>61.897093032713542</v>
      </c>
      <c r="Q963" s="327">
        <f t="shared" si="329"/>
        <v>0.22774226082995785</v>
      </c>
      <c r="R963" s="328"/>
    </row>
    <row r="964" spans="1:47" ht="15.75" customHeight="1" x14ac:dyDescent="0.3">
      <c r="R964" s="319"/>
      <c r="AC964" s="370"/>
      <c r="AD964" s="506" t="s">
        <v>1028</v>
      </c>
      <c r="AE964" s="517"/>
      <c r="AF964" s="517"/>
      <c r="AG964" s="517"/>
      <c r="AH964" s="517"/>
      <c r="AI964" s="517"/>
      <c r="AJ964" s="517"/>
      <c r="AK964" s="517"/>
      <c r="AL964" s="517"/>
      <c r="AM964" s="517"/>
      <c r="AN964" s="517"/>
      <c r="AO964" s="517"/>
      <c r="AP964" s="517"/>
      <c r="AQ964" s="517"/>
      <c r="AR964" s="361" t="str">
        <f>$Q$1</f>
        <v xml:space="preserve">PRINTED:  </v>
      </c>
      <c r="AS964" s="371">
        <f ca="1">$R$1</f>
        <v>44909.46975358796</v>
      </c>
    </row>
    <row r="965" spans="1:47" ht="15.75" customHeight="1" x14ac:dyDescent="0.3">
      <c r="R965" s="159"/>
      <c r="AC965" s="306"/>
      <c r="AD965" s="503" t="str">
        <f>+$A$8</f>
        <v>Revised:  11/4/2019</v>
      </c>
      <c r="AE965" s="516"/>
      <c r="AF965" s="516"/>
      <c r="AG965" s="516"/>
      <c r="AH965" s="516"/>
      <c r="AI965" s="516"/>
      <c r="AJ965" s="516"/>
      <c r="AK965" s="516"/>
      <c r="AL965" s="516"/>
      <c r="AM965" s="516"/>
      <c r="AN965" s="516"/>
      <c r="AO965" s="516"/>
      <c r="AP965" s="516"/>
      <c r="AQ965" s="516"/>
      <c r="AR965" s="365"/>
      <c r="AS965" s="307"/>
    </row>
    <row r="966" spans="1:47" ht="15.75" customHeight="1" x14ac:dyDescent="0.3">
      <c r="A966" s="365"/>
      <c r="AC966" s="306"/>
      <c r="AD966" s="503" t="s">
        <v>1024</v>
      </c>
      <c r="AE966" s="508"/>
      <c r="AF966" s="508"/>
      <c r="AG966" s="508"/>
      <c r="AH966" s="508"/>
      <c r="AI966" s="508"/>
      <c r="AJ966" s="508"/>
      <c r="AK966" s="508"/>
      <c r="AL966" s="508"/>
      <c r="AM966" s="508"/>
      <c r="AN966" s="508"/>
      <c r="AO966" s="508"/>
      <c r="AP966" s="508"/>
      <c r="AQ966" s="508"/>
      <c r="AS966" s="307"/>
    </row>
    <row r="967" spans="1:47" ht="15.75" customHeight="1" x14ac:dyDescent="0.3">
      <c r="A967" s="365"/>
      <c r="AC967" s="306"/>
      <c r="AS967" s="307"/>
    </row>
    <row r="968" spans="1:47" ht="15.75" customHeight="1" thickBot="1" x14ac:dyDescent="0.35">
      <c r="A968" s="365"/>
      <c r="AC968" s="306"/>
      <c r="AD968" s="509">
        <f>$A$5</f>
        <v>2019</v>
      </c>
      <c r="AE968" s="508"/>
      <c r="AF968" s="508"/>
      <c r="AG968" s="508"/>
      <c r="AH968" s="508"/>
      <c r="AI968" s="508"/>
      <c r="AJ968" s="508"/>
      <c r="AK968" s="508"/>
      <c r="AL968" s="508"/>
      <c r="AM968" s="508"/>
      <c r="AN968" s="508"/>
      <c r="AO968" s="508"/>
      <c r="AP968" s="508"/>
      <c r="AQ968" s="508"/>
      <c r="AS968" s="307"/>
    </row>
    <row r="969" spans="1:47" ht="15.75" customHeight="1" x14ac:dyDescent="0.3">
      <c r="A969" s="363"/>
      <c r="B969" s="506" t="s">
        <v>456</v>
      </c>
      <c r="C969" s="506"/>
      <c r="D969" s="506"/>
      <c r="E969" s="506"/>
      <c r="F969" s="506"/>
      <c r="G969" s="506"/>
      <c r="H969" s="506"/>
      <c r="I969" s="506"/>
      <c r="J969" s="506"/>
      <c r="K969" s="506"/>
      <c r="L969" s="506"/>
      <c r="M969" s="506"/>
      <c r="N969" s="506"/>
      <c r="O969" s="506"/>
      <c r="P969" s="506"/>
      <c r="Q969" s="361" t="str">
        <f>+Q1</f>
        <v xml:space="preserve">PRINTED:  </v>
      </c>
      <c r="R969" s="362">
        <f ca="1">+R1</f>
        <v>44909.46975358796</v>
      </c>
      <c r="AC969" s="306"/>
      <c r="AD969" s="503" t="s">
        <v>1029</v>
      </c>
      <c r="AE969" s="516"/>
      <c r="AF969" s="516"/>
      <c r="AG969" s="516"/>
      <c r="AH969" s="516"/>
      <c r="AI969" s="516"/>
      <c r="AJ969" s="516"/>
      <c r="AK969" s="516"/>
      <c r="AL969" s="516"/>
      <c r="AM969" s="516"/>
      <c r="AN969" s="516"/>
      <c r="AO969" s="516"/>
      <c r="AP969" s="516"/>
      <c r="AQ969" s="516"/>
      <c r="AR969" s="164"/>
      <c r="AS969" s="307"/>
    </row>
    <row r="970" spans="1:47" ht="16.5" customHeight="1" x14ac:dyDescent="0.3">
      <c r="A970" s="325"/>
      <c r="B970" s="503" t="str">
        <f>+A8</f>
        <v>Revised:  11/4/2019</v>
      </c>
      <c r="C970" s="503"/>
      <c r="D970" s="503"/>
      <c r="E970" s="503"/>
      <c r="F970" s="503"/>
      <c r="G970" s="503"/>
      <c r="H970" s="503"/>
      <c r="I970" s="503"/>
      <c r="J970" s="503"/>
      <c r="K970" s="503"/>
      <c r="L970" s="503"/>
      <c r="M970" s="503"/>
      <c r="N970" s="503"/>
      <c r="O970" s="503"/>
      <c r="P970" s="503"/>
      <c r="Q970" s="159"/>
      <c r="R970" s="324"/>
      <c r="AC970" s="306"/>
      <c r="AK970" s="372"/>
      <c r="AS970" s="307"/>
    </row>
    <row r="971" spans="1:47" ht="15.75" customHeight="1" thickBot="1" x14ac:dyDescent="0.35">
      <c r="A971" s="325"/>
      <c r="B971" s="503" t="s">
        <v>1024</v>
      </c>
      <c r="C971" s="503"/>
      <c r="D971" s="503"/>
      <c r="E971" s="503"/>
      <c r="F971" s="503"/>
      <c r="G971" s="503"/>
      <c r="H971" s="503"/>
      <c r="I971" s="503"/>
      <c r="J971" s="503"/>
      <c r="K971" s="503"/>
      <c r="L971" s="503"/>
      <c r="M971" s="503"/>
      <c r="N971" s="503"/>
      <c r="O971" s="503"/>
      <c r="P971" s="503"/>
      <c r="Q971" s="159"/>
      <c r="R971" s="324"/>
      <c r="AC971" s="306"/>
      <c r="AD971" s="364" t="s">
        <v>390</v>
      </c>
      <c r="AE971" s="364" t="s">
        <v>391</v>
      </c>
      <c r="AF971" s="364" t="s">
        <v>392</v>
      </c>
      <c r="AG971" s="364" t="s">
        <v>393</v>
      </c>
      <c r="AH971" s="364" t="s">
        <v>394</v>
      </c>
      <c r="AI971" s="364" t="s">
        <v>395</v>
      </c>
      <c r="AJ971" s="364" t="s">
        <v>396</v>
      </c>
      <c r="AK971" s="364" t="s">
        <v>397</v>
      </c>
      <c r="AL971" s="364" t="s">
        <v>398</v>
      </c>
      <c r="AM971" s="364" t="s">
        <v>399</v>
      </c>
      <c r="AN971" s="364" t="s">
        <v>400</v>
      </c>
      <c r="AO971" s="364" t="s">
        <v>401</v>
      </c>
      <c r="AP971" s="364" t="s">
        <v>402</v>
      </c>
      <c r="AQ971" s="364" t="s">
        <v>403</v>
      </c>
      <c r="AR971" s="364" t="s">
        <v>404</v>
      </c>
      <c r="AS971" s="373" t="s">
        <v>422</v>
      </c>
    </row>
    <row r="972" spans="1:47" ht="15.75" customHeight="1" x14ac:dyDescent="0.3">
      <c r="A972" s="325"/>
      <c r="B972" s="159"/>
      <c r="C972" s="159"/>
      <c r="D972" s="159"/>
      <c r="E972" s="159"/>
      <c r="F972" s="159"/>
      <c r="G972" s="159"/>
      <c r="H972" s="159"/>
      <c r="I972" s="159"/>
      <c r="J972" s="159"/>
      <c r="K972" s="159"/>
      <c r="L972" s="159"/>
      <c r="M972" s="159"/>
      <c r="N972" s="159"/>
      <c r="O972" s="159"/>
      <c r="P972" s="159"/>
      <c r="Q972" s="159"/>
      <c r="R972" s="324"/>
      <c r="AC972" s="306"/>
      <c r="AD972" s="159"/>
      <c r="AE972" s="159"/>
      <c r="AF972" s="159"/>
      <c r="AG972" s="159"/>
      <c r="AH972" s="164" t="s">
        <v>1030</v>
      </c>
      <c r="AI972" s="159"/>
      <c r="AJ972" s="159"/>
      <c r="AK972" s="159"/>
      <c r="AL972" s="159"/>
      <c r="AM972" s="159"/>
      <c r="AN972" s="159"/>
      <c r="AO972" s="159"/>
      <c r="AP972" s="159"/>
      <c r="AQ972" s="159"/>
      <c r="AR972" s="159"/>
      <c r="AS972" s="374"/>
    </row>
    <row r="973" spans="1:47" ht="15.75" customHeight="1" x14ac:dyDescent="0.3">
      <c r="A973" s="325"/>
      <c r="B973" s="509">
        <f>A5</f>
        <v>2019</v>
      </c>
      <c r="C973" s="509"/>
      <c r="D973" s="509"/>
      <c r="E973" s="509"/>
      <c r="F973" s="509"/>
      <c r="G973" s="509"/>
      <c r="H973" s="509"/>
      <c r="I973" s="509"/>
      <c r="J973" s="509"/>
      <c r="K973" s="509"/>
      <c r="L973" s="509"/>
      <c r="M973" s="509"/>
      <c r="N973" s="509"/>
      <c r="O973" s="509"/>
      <c r="P973" s="509"/>
      <c r="Q973" s="159"/>
      <c r="R973" s="324"/>
      <c r="S973" s="159"/>
      <c r="AC973" s="375" t="s">
        <v>1031</v>
      </c>
      <c r="AD973" s="376">
        <v>1.7000000000000001E-2</v>
      </c>
      <c r="AE973" s="376">
        <v>1.7000000000000001E-2</v>
      </c>
      <c r="AF973" s="376">
        <v>1.7000000000000001E-2</v>
      </c>
      <c r="AG973" s="376">
        <v>1.7000000000000001E-2</v>
      </c>
      <c r="AH973" s="376"/>
      <c r="AI973" s="376"/>
      <c r="AJ973" s="376"/>
      <c r="AK973" s="376"/>
      <c r="AL973" s="376"/>
      <c r="AM973" s="376"/>
      <c r="AN973" s="376"/>
      <c r="AO973" s="376"/>
      <c r="AP973" s="376"/>
      <c r="AQ973" s="376"/>
      <c r="AR973" s="376"/>
      <c r="AS973" s="377"/>
    </row>
    <row r="974" spans="1:47" ht="15.75" customHeight="1" x14ac:dyDescent="0.3">
      <c r="A974" s="325"/>
      <c r="B974" s="503" t="s">
        <v>1029</v>
      </c>
      <c r="C974" s="503"/>
      <c r="D974" s="503"/>
      <c r="E974" s="503"/>
      <c r="F974" s="503"/>
      <c r="G974" s="503"/>
      <c r="H974" s="503"/>
      <c r="I974" s="503"/>
      <c r="J974" s="503"/>
      <c r="K974" s="503"/>
      <c r="L974" s="503"/>
      <c r="M974" s="503"/>
      <c r="N974" s="503"/>
      <c r="O974" s="503"/>
      <c r="P974" s="503"/>
      <c r="Q974" s="159"/>
      <c r="R974" s="324"/>
      <c r="S974" s="159"/>
      <c r="AC974" s="375" t="s">
        <v>1032</v>
      </c>
      <c r="AD974" s="376"/>
      <c r="AE974" s="376">
        <v>0.03</v>
      </c>
      <c r="AF974" s="376"/>
      <c r="AG974" s="376"/>
      <c r="AH974" s="376"/>
      <c r="AI974" s="376"/>
      <c r="AJ974" s="376"/>
      <c r="AK974" s="376"/>
      <c r="AL974" s="376"/>
      <c r="AM974" s="376">
        <v>0.03</v>
      </c>
      <c r="AN974" s="376">
        <v>0.03</v>
      </c>
      <c r="AO974" s="376">
        <v>0.03</v>
      </c>
      <c r="AP974" s="376">
        <v>0.03</v>
      </c>
      <c r="AQ974" s="376">
        <v>0.03</v>
      </c>
      <c r="AR974" s="376">
        <v>0.03</v>
      </c>
      <c r="AS974" s="377"/>
    </row>
    <row r="975" spans="1:47" ht="15.75" customHeight="1" x14ac:dyDescent="0.3">
      <c r="A975" s="325"/>
      <c r="B975" s="159"/>
      <c r="C975" s="159"/>
      <c r="D975" s="159"/>
      <c r="E975" s="159"/>
      <c r="F975" s="159"/>
      <c r="G975" s="159"/>
      <c r="H975" s="159"/>
      <c r="I975" s="159"/>
      <c r="J975" s="159"/>
      <c r="K975" s="159"/>
      <c r="L975" s="159"/>
      <c r="M975" s="159"/>
      <c r="N975" s="159"/>
      <c r="O975" s="159"/>
      <c r="P975" s="159"/>
      <c r="Q975" s="159"/>
      <c r="R975" s="324"/>
      <c r="S975" s="159"/>
      <c r="AC975" s="375" t="s">
        <v>1033</v>
      </c>
      <c r="AD975" s="376"/>
      <c r="AE975" s="376"/>
      <c r="AF975" s="376">
        <v>0.03</v>
      </c>
      <c r="AG975" s="376">
        <v>0.03</v>
      </c>
      <c r="AH975" s="376"/>
      <c r="AI975" s="376"/>
      <c r="AJ975" s="376"/>
      <c r="AK975" s="376"/>
      <c r="AL975" s="376"/>
      <c r="AM975" s="376"/>
      <c r="AN975" s="376"/>
      <c r="AO975" s="376"/>
      <c r="AP975" s="376"/>
      <c r="AQ975" s="376"/>
      <c r="AR975" s="376"/>
      <c r="AS975" s="377"/>
    </row>
    <row r="976" spans="1:47" ht="15.75" customHeight="1" thickBot="1" x14ac:dyDescent="0.35">
      <c r="A976" s="325" t="s">
        <v>433</v>
      </c>
      <c r="B976" s="364" t="s">
        <v>390</v>
      </c>
      <c r="C976" s="364" t="s">
        <v>391</v>
      </c>
      <c r="D976" s="364" t="s">
        <v>392</v>
      </c>
      <c r="E976" s="364" t="s">
        <v>393</v>
      </c>
      <c r="F976" s="364" t="s">
        <v>394</v>
      </c>
      <c r="G976" s="364" t="s">
        <v>394</v>
      </c>
      <c r="H976" s="364" t="s">
        <v>395</v>
      </c>
      <c r="I976" s="364" t="s">
        <v>396</v>
      </c>
      <c r="J976" s="364" t="s">
        <v>397</v>
      </c>
      <c r="K976" s="364" t="s">
        <v>398</v>
      </c>
      <c r="L976" s="364" t="s">
        <v>399</v>
      </c>
      <c r="M976" s="364" t="s">
        <v>400</v>
      </c>
      <c r="N976" s="364" t="s">
        <v>401</v>
      </c>
      <c r="O976" s="364" t="s">
        <v>402</v>
      </c>
      <c r="P976" s="364" t="s">
        <v>403</v>
      </c>
      <c r="Q976" s="364" t="s">
        <v>404</v>
      </c>
      <c r="R976" s="373" t="s">
        <v>422</v>
      </c>
      <c r="S976" s="164"/>
      <c r="AC976" s="375" t="s">
        <v>822</v>
      </c>
      <c r="AD976" s="376"/>
      <c r="AE976" s="376"/>
      <c r="AF976" s="376"/>
      <c r="AG976" s="376"/>
      <c r="AH976" s="376"/>
      <c r="AI976" s="376">
        <v>0.03</v>
      </c>
      <c r="AJ976" s="376"/>
      <c r="AK976" s="376"/>
      <c r="AL976" s="376"/>
      <c r="AM976" s="376"/>
      <c r="AN976" s="376"/>
      <c r="AO976" s="376"/>
      <c r="AP976" s="376"/>
      <c r="AQ976" s="376"/>
      <c r="AR976" s="376"/>
      <c r="AS976" s="377"/>
    </row>
    <row r="977" spans="1:48" ht="15.75" customHeight="1" x14ac:dyDescent="0.3">
      <c r="A977" s="325"/>
      <c r="B977" s="159"/>
      <c r="C977" s="159"/>
      <c r="D977" s="159"/>
      <c r="E977" s="159"/>
      <c r="F977" s="164" t="s">
        <v>406</v>
      </c>
      <c r="G977" s="164" t="s">
        <v>407</v>
      </c>
      <c r="H977" s="159"/>
      <c r="I977" s="159"/>
      <c r="J977" s="159"/>
      <c r="K977" s="159"/>
      <c r="L977" s="159"/>
      <c r="M977" s="159"/>
      <c r="N977" s="159"/>
      <c r="O977" s="159"/>
      <c r="P977" s="159"/>
      <c r="Q977" s="159"/>
      <c r="R977" s="377" t="s">
        <v>458</v>
      </c>
      <c r="S977" s="164"/>
      <c r="AC977" s="375" t="s">
        <v>1034</v>
      </c>
      <c r="AD977" s="376">
        <v>0.03</v>
      </c>
      <c r="AE977" s="376"/>
      <c r="AF977" s="376"/>
      <c r="AG977" s="376"/>
      <c r="AH977" s="376"/>
      <c r="AI977" s="376"/>
      <c r="AJ977" s="376">
        <v>0.03</v>
      </c>
      <c r="AK977" s="376">
        <v>0.03</v>
      </c>
      <c r="AL977" s="376">
        <v>0.03</v>
      </c>
      <c r="AM977" s="376"/>
      <c r="AN977" s="376"/>
      <c r="AO977" s="376"/>
      <c r="AP977" s="376"/>
      <c r="AQ977" s="376"/>
      <c r="AR977" s="376"/>
      <c r="AS977" s="377"/>
    </row>
    <row r="978" spans="1:48" ht="15.75" customHeight="1" x14ac:dyDescent="0.3">
      <c r="A978" s="325" t="s">
        <v>1035</v>
      </c>
      <c r="B978" s="378">
        <v>957</v>
      </c>
      <c r="C978" s="378">
        <v>122</v>
      </c>
      <c r="D978" s="378">
        <v>128</v>
      </c>
      <c r="E978" s="378">
        <v>219</v>
      </c>
      <c r="F978" s="378"/>
      <c r="G978" s="378"/>
      <c r="H978" s="378">
        <v>97</v>
      </c>
      <c r="I978" s="378">
        <v>160</v>
      </c>
      <c r="J978" s="378">
        <v>250</v>
      </c>
      <c r="K978" s="378">
        <v>260</v>
      </c>
      <c r="L978" s="378">
        <v>100</v>
      </c>
      <c r="M978" s="378">
        <v>118</v>
      </c>
      <c r="N978" s="378">
        <v>250</v>
      </c>
      <c r="O978" s="378">
        <v>190</v>
      </c>
      <c r="P978" s="378">
        <v>340</v>
      </c>
      <c r="Q978" s="378">
        <v>450</v>
      </c>
      <c r="R978" s="377" t="s">
        <v>442</v>
      </c>
      <c r="S978" s="164"/>
      <c r="AC978" s="375" t="s">
        <v>422</v>
      </c>
      <c r="AD978" s="169">
        <f>SUM(AD973:AD977)</f>
        <v>4.7E-2</v>
      </c>
      <c r="AE978" s="169">
        <f t="shared" ref="AE978:AR978" si="330">SUM(AE973:AE977)</f>
        <v>4.7E-2</v>
      </c>
      <c r="AF978" s="169">
        <f t="shared" si="330"/>
        <v>4.7E-2</v>
      </c>
      <c r="AG978" s="169">
        <f t="shared" si="330"/>
        <v>4.7E-2</v>
      </c>
      <c r="AH978" s="169">
        <f t="shared" si="330"/>
        <v>0</v>
      </c>
      <c r="AI978" s="169">
        <f t="shared" si="330"/>
        <v>0.03</v>
      </c>
      <c r="AJ978" s="169">
        <f t="shared" si="330"/>
        <v>0.03</v>
      </c>
      <c r="AK978" s="169">
        <f t="shared" si="330"/>
        <v>0.03</v>
      </c>
      <c r="AL978" s="169">
        <f t="shared" si="330"/>
        <v>0.03</v>
      </c>
      <c r="AM978" s="169">
        <f t="shared" si="330"/>
        <v>0.03</v>
      </c>
      <c r="AN978" s="169">
        <f t="shared" si="330"/>
        <v>0.03</v>
      </c>
      <c r="AO978" s="169">
        <f t="shared" si="330"/>
        <v>0.03</v>
      </c>
      <c r="AP978" s="169">
        <f t="shared" si="330"/>
        <v>0.03</v>
      </c>
      <c r="AQ978" s="169">
        <f t="shared" si="330"/>
        <v>0.03</v>
      </c>
      <c r="AR978" s="169">
        <f t="shared" si="330"/>
        <v>0.03</v>
      </c>
      <c r="AS978" s="377"/>
      <c r="AU978" s="365" t="s">
        <v>1036</v>
      </c>
      <c r="AV978" s="4" t="s">
        <v>1037</v>
      </c>
    </row>
    <row r="979" spans="1:48" ht="15.75" customHeight="1" x14ac:dyDescent="0.3">
      <c r="A979" s="325"/>
      <c r="B979" s="164" t="s">
        <v>409</v>
      </c>
      <c r="C979" s="164" t="s">
        <v>409</v>
      </c>
      <c r="D979" s="164" t="s">
        <v>409</v>
      </c>
      <c r="E979" s="164" t="s">
        <v>409</v>
      </c>
      <c r="F979" s="164" t="s">
        <v>409</v>
      </c>
      <c r="G979" s="164" t="s">
        <v>409</v>
      </c>
      <c r="H979" s="164" t="s">
        <v>409</v>
      </c>
      <c r="I979" s="164" t="s">
        <v>409</v>
      </c>
      <c r="J979" s="164" t="s">
        <v>409</v>
      </c>
      <c r="K979" s="164" t="s">
        <v>409</v>
      </c>
      <c r="L979" s="164" t="s">
        <v>409</v>
      </c>
      <c r="M979" s="164" t="s">
        <v>409</v>
      </c>
      <c r="N979" s="164" t="s">
        <v>409</v>
      </c>
      <c r="O979" s="164" t="s">
        <v>409</v>
      </c>
      <c r="P979" s="164" t="s">
        <v>409</v>
      </c>
      <c r="Q979" s="164" t="s">
        <v>409</v>
      </c>
      <c r="R979" s="377" t="s">
        <v>459</v>
      </c>
      <c r="S979" s="164"/>
      <c r="T979" s="164"/>
      <c r="AC979" s="325" t="s">
        <v>409</v>
      </c>
      <c r="AD979" s="164" t="s">
        <v>409</v>
      </c>
      <c r="AE979" s="164" t="s">
        <v>409</v>
      </c>
      <c r="AF979" s="164" t="s">
        <v>409</v>
      </c>
      <c r="AG979" s="164" t="s">
        <v>409</v>
      </c>
      <c r="AH979" s="164" t="s">
        <v>409</v>
      </c>
      <c r="AI979" s="164" t="s">
        <v>409</v>
      </c>
      <c r="AJ979" s="164" t="s">
        <v>409</v>
      </c>
      <c r="AK979" s="164" t="s">
        <v>409</v>
      </c>
      <c r="AL979" s="164" t="s">
        <v>409</v>
      </c>
      <c r="AM979" s="164" t="s">
        <v>409</v>
      </c>
      <c r="AN979" s="164" t="s">
        <v>409</v>
      </c>
      <c r="AO979" s="164" t="s">
        <v>409</v>
      </c>
      <c r="AP979" s="164" t="s">
        <v>409</v>
      </c>
      <c r="AQ979" s="164" t="s">
        <v>409</v>
      </c>
      <c r="AR979" s="164" t="s">
        <v>409</v>
      </c>
      <c r="AS979" s="377" t="s">
        <v>409</v>
      </c>
    </row>
    <row r="980" spans="1:48" ht="15.75" customHeight="1" x14ac:dyDescent="0.3">
      <c r="A980" s="365" t="s">
        <v>795</v>
      </c>
      <c r="B980" s="159">
        <f>ROUND((B923*$B$978)/1000,0)</f>
        <v>83585</v>
      </c>
      <c r="C980" s="159">
        <f t="shared" ref="C980:C991" si="331">ROUND((C923*$C$978)/1000,0)</f>
        <v>10644</v>
      </c>
      <c r="D980" s="159">
        <f t="shared" ref="D980:D991" si="332">ROUND((D923*$D$978)/1000,0)</f>
        <v>11155</v>
      </c>
      <c r="E980" s="159">
        <f t="shared" ref="E980:E991" si="333">ROUND((E923*$E$978)/1000,0)</f>
        <v>18939</v>
      </c>
      <c r="F980" s="159">
        <f>(F923*((T923-1526.8)/0.7702))/1000</f>
        <v>12662.387926278832</v>
      </c>
      <c r="G980" s="159">
        <f t="shared" ref="G980:G991" si="334">(G923*((T923-1591.4)/0.6635))/1000</f>
        <v>-2506.933714525439</v>
      </c>
      <c r="H980" s="159">
        <f t="shared" ref="H980:H991" si="335">ROUND((H923*$H$978)/1000,0)</f>
        <v>2355</v>
      </c>
      <c r="I980" s="159">
        <f t="shared" ref="I980:I991" si="336">ROUND((I923*$I$978)/1000,0)</f>
        <v>2431</v>
      </c>
      <c r="J980" s="159">
        <f t="shared" ref="J980:J991" si="337">ROUND((J923*$J$978)/1000,0)</f>
        <v>3794</v>
      </c>
      <c r="K980" s="159">
        <f t="shared" ref="K980:K991" si="338">ROUND((K923*$K$978)/1000,0)</f>
        <v>3940</v>
      </c>
      <c r="L980" s="159">
        <f t="shared" ref="L980:L991" si="339">ROUND((L923*$L$978)/1000,0)</f>
        <v>1279</v>
      </c>
      <c r="M980" s="159">
        <f t="shared" ref="M980:M991" si="340">ROUND((M923*$M$978)/1000,0)</f>
        <v>1507</v>
      </c>
      <c r="N980" s="159">
        <f t="shared" ref="N980:N991" si="341">ROUND((N923*$N$978)/1000,0)</f>
        <v>3091</v>
      </c>
      <c r="O980" s="159">
        <f t="shared" ref="O980:O991" si="342">ROUND((O923*$O$978)/1000,0)</f>
        <v>663</v>
      </c>
      <c r="P980" s="159">
        <f t="shared" ref="P980:P991" si="343">ROUND((P923*$P$978)/1000,0)</f>
        <v>1294</v>
      </c>
      <c r="Q980" s="159">
        <f t="shared" ref="Q980:Q991" si="344">ROUND((Q923*$Q$978)/1000,0)</f>
        <v>1570</v>
      </c>
      <c r="R980" s="379">
        <f>(SUM(B980:Q980))</f>
        <v>156402.45421175341</v>
      </c>
      <c r="S980" s="168"/>
      <c r="AC980" s="375" t="s">
        <v>795</v>
      </c>
      <c r="AD980" s="159">
        <f>ROUND(B980*$AD$978, 0)</f>
        <v>3928</v>
      </c>
      <c r="AE980" s="159">
        <f>ROUND(C980*$AE$978,0)</f>
        <v>500</v>
      </c>
      <c r="AF980" s="159">
        <f>ROUND(D980*$AF$978,0)</f>
        <v>524</v>
      </c>
      <c r="AG980" s="159">
        <f>ROUND(E980*$AG$978,0)</f>
        <v>890</v>
      </c>
      <c r="AH980" s="159">
        <f>ROUND(F980*$AH$978,0)</f>
        <v>0</v>
      </c>
      <c r="AI980" s="159">
        <f>ROUND(H980*$AI$978,0)</f>
        <v>71</v>
      </c>
      <c r="AJ980" s="159">
        <f>ROUND(I980*$AJ$978,0)</f>
        <v>73</v>
      </c>
      <c r="AK980" s="159">
        <f>ROUND(J980*$AK$978,0)</f>
        <v>114</v>
      </c>
      <c r="AL980" s="159">
        <f>ROUND(K980*$AL$978,0)</f>
        <v>118</v>
      </c>
      <c r="AM980" s="159">
        <f>ROUND(L980*$AM$978,0)</f>
        <v>38</v>
      </c>
      <c r="AN980" s="159">
        <f>ROUND(M980*$AN$978,0)</f>
        <v>45</v>
      </c>
      <c r="AO980" s="159">
        <f>ROUND(N980*$AO$978,0)</f>
        <v>93</v>
      </c>
      <c r="AP980" s="159">
        <f>ROUND(O980*$AP$978,0)</f>
        <v>20</v>
      </c>
      <c r="AQ980" s="159">
        <f>ROUND(P980*$AQ$978,0)</f>
        <v>39</v>
      </c>
      <c r="AR980" s="159">
        <f>ROUND(Q980*$AR$978,0)</f>
        <v>47</v>
      </c>
      <c r="AS980" s="374">
        <f>SUM(AD980:AR980)</f>
        <v>6500</v>
      </c>
      <c r="AU980" s="380">
        <f>AS980/R980</f>
        <v>4.1559450155428154E-2</v>
      </c>
    </row>
    <row r="981" spans="1:48" ht="15.75" customHeight="1" x14ac:dyDescent="0.3">
      <c r="A981" s="365" t="s">
        <v>9</v>
      </c>
      <c r="B981" s="159">
        <f t="shared" ref="B981:B991" si="345">ROUND((B924*$B$978)/1000,0)</f>
        <v>144871</v>
      </c>
      <c r="C981" s="159">
        <f t="shared" si="331"/>
        <v>18450</v>
      </c>
      <c r="D981" s="159">
        <f t="shared" si="332"/>
        <v>19339</v>
      </c>
      <c r="E981" s="159">
        <f t="shared" si="333"/>
        <v>32983</v>
      </c>
      <c r="F981" s="159">
        <f t="shared" ref="F981:F991" si="346">(F924*((T924-1526.8)/0.7702))/1000</f>
        <v>20556.545269411457</v>
      </c>
      <c r="G981" s="159">
        <f>(G924*((T924-1591.4)/0.6635))/1000</f>
        <v>0</v>
      </c>
      <c r="H981" s="159">
        <f t="shared" si="335"/>
        <v>3013</v>
      </c>
      <c r="I981" s="159">
        <f t="shared" si="336"/>
        <v>2365</v>
      </c>
      <c r="J981" s="159">
        <f t="shared" si="337"/>
        <v>3691</v>
      </c>
      <c r="K981" s="159">
        <f t="shared" si="338"/>
        <v>3827</v>
      </c>
      <c r="L981" s="159">
        <f t="shared" si="339"/>
        <v>997</v>
      </c>
      <c r="M981" s="159">
        <f t="shared" si="340"/>
        <v>1174</v>
      </c>
      <c r="N981" s="159">
        <f t="shared" si="341"/>
        <v>2296</v>
      </c>
      <c r="O981" s="159">
        <f t="shared" si="342"/>
        <v>644</v>
      </c>
      <c r="P981" s="159">
        <f t="shared" si="343"/>
        <v>1294</v>
      </c>
      <c r="Q981" s="159">
        <f t="shared" si="344"/>
        <v>1524</v>
      </c>
      <c r="R981" s="379">
        <f>(SUM(B981:Q981))</f>
        <v>257024.54526941146</v>
      </c>
      <c r="S981" s="168"/>
      <c r="AC981" s="375" t="s">
        <v>9</v>
      </c>
      <c r="AD981" s="159">
        <f t="shared" ref="AD981:AD991" si="347">ROUND(B981*$AD$978, 0)</f>
        <v>6809</v>
      </c>
      <c r="AE981" s="159">
        <f t="shared" ref="AE981:AE991" si="348">ROUND(C981*$AE$978,0)</f>
        <v>867</v>
      </c>
      <c r="AF981" s="159">
        <f t="shared" ref="AF981:AF991" si="349">ROUND(D981*$AF$978,0)</f>
        <v>909</v>
      </c>
      <c r="AG981" s="159">
        <f t="shared" ref="AG981:AG991" si="350">ROUND(E981*$AG$978,0)</f>
        <v>1550</v>
      </c>
      <c r="AH981" s="159">
        <f t="shared" ref="AH981:AH991" si="351">ROUND(F981*$AH$978,0)</f>
        <v>0</v>
      </c>
      <c r="AI981" s="159">
        <f t="shared" ref="AI981:AI991" si="352">ROUND(H981*$AI$978,0)</f>
        <v>90</v>
      </c>
      <c r="AJ981" s="159">
        <f t="shared" ref="AJ981:AJ991" si="353">ROUND(I981*$AJ$978,0)</f>
        <v>71</v>
      </c>
      <c r="AK981" s="159">
        <f t="shared" ref="AK981:AK991" si="354">ROUND(J981*$AK$978,0)</f>
        <v>111</v>
      </c>
      <c r="AL981" s="159">
        <f t="shared" ref="AL981:AL991" si="355">ROUND(K981*$AL$978,0)</f>
        <v>115</v>
      </c>
      <c r="AM981" s="159">
        <f t="shared" ref="AM981:AM991" si="356">ROUND(L981*$AM$978,0)</f>
        <v>30</v>
      </c>
      <c r="AN981" s="159">
        <f t="shared" ref="AN981:AN991" si="357">ROUND(M981*$AN$978,0)</f>
        <v>35</v>
      </c>
      <c r="AO981" s="159">
        <f t="shared" ref="AO981:AO991" si="358">ROUND(N981*$AO$978,0)</f>
        <v>69</v>
      </c>
      <c r="AP981" s="159">
        <f t="shared" ref="AP981:AP991" si="359">ROUND(O981*$AP$978,0)</f>
        <v>19</v>
      </c>
      <c r="AQ981" s="159">
        <f t="shared" ref="AQ981:AQ991" si="360">ROUND(P981*$AQ$978,0)</f>
        <v>39</v>
      </c>
      <c r="AR981" s="159">
        <f t="shared" ref="AR981:AR991" si="361">ROUND(Q981*$AR$978,0)</f>
        <v>46</v>
      </c>
      <c r="AS981" s="374">
        <f t="shared" ref="AS981:AS991" si="362">SUM(AD981:AR981)</f>
        <v>10760</v>
      </c>
      <c r="AU981" s="380">
        <f t="shared" ref="AU981:AU993" si="363">AS981/R981</f>
        <v>4.1863706008005722E-2</v>
      </c>
    </row>
    <row r="982" spans="1:48" ht="15.75" customHeight="1" x14ac:dyDescent="0.3">
      <c r="A982" s="365" t="s">
        <v>10</v>
      </c>
      <c r="B982" s="159">
        <f t="shared" si="345"/>
        <v>79184</v>
      </c>
      <c r="C982" s="159">
        <f t="shared" si="331"/>
        <v>10061</v>
      </c>
      <c r="D982" s="159">
        <f t="shared" si="332"/>
        <v>10522</v>
      </c>
      <c r="E982" s="159">
        <f t="shared" si="333"/>
        <v>17554</v>
      </c>
      <c r="F982" s="159">
        <f t="shared" si="346"/>
        <v>13.16344829843567</v>
      </c>
      <c r="G982" s="159">
        <f t="shared" si="334"/>
        <v>-18.934962702452861</v>
      </c>
      <c r="H982" s="159">
        <f t="shared" si="335"/>
        <v>5434</v>
      </c>
      <c r="I982" s="159">
        <f t="shared" si="336"/>
        <v>3843</v>
      </c>
      <c r="J982" s="159">
        <f t="shared" si="337"/>
        <v>5349</v>
      </c>
      <c r="K982" s="159">
        <f t="shared" si="338"/>
        <v>5387</v>
      </c>
      <c r="L982" s="159">
        <f t="shared" si="339"/>
        <v>1475</v>
      </c>
      <c r="M982" s="159">
        <f t="shared" si="340"/>
        <v>1737</v>
      </c>
      <c r="N982" s="159">
        <f t="shared" si="341"/>
        <v>3406</v>
      </c>
      <c r="O982" s="159">
        <f t="shared" si="342"/>
        <v>621</v>
      </c>
      <c r="P982" s="159">
        <f t="shared" si="343"/>
        <v>1617</v>
      </c>
      <c r="Q982" s="159">
        <f t="shared" si="344"/>
        <v>1467</v>
      </c>
      <c r="R982" s="379">
        <f t="shared" ref="R982:R991" si="364">(SUM(B982:Q982))</f>
        <v>147651.22848559599</v>
      </c>
      <c r="S982" s="168"/>
      <c r="AC982" s="375" t="s">
        <v>10</v>
      </c>
      <c r="AD982" s="159">
        <f t="shared" si="347"/>
        <v>3722</v>
      </c>
      <c r="AE982" s="159">
        <f t="shared" si="348"/>
        <v>473</v>
      </c>
      <c r="AF982" s="159">
        <f t="shared" si="349"/>
        <v>495</v>
      </c>
      <c r="AG982" s="159">
        <f t="shared" si="350"/>
        <v>825</v>
      </c>
      <c r="AH982" s="159">
        <f t="shared" si="351"/>
        <v>0</v>
      </c>
      <c r="AI982" s="159">
        <f t="shared" si="352"/>
        <v>163</v>
      </c>
      <c r="AJ982" s="159">
        <f t="shared" si="353"/>
        <v>115</v>
      </c>
      <c r="AK982" s="159">
        <f t="shared" si="354"/>
        <v>160</v>
      </c>
      <c r="AL982" s="159">
        <f t="shared" si="355"/>
        <v>162</v>
      </c>
      <c r="AM982" s="159">
        <f t="shared" si="356"/>
        <v>44</v>
      </c>
      <c r="AN982" s="159">
        <f t="shared" si="357"/>
        <v>52</v>
      </c>
      <c r="AO982" s="159">
        <f t="shared" si="358"/>
        <v>102</v>
      </c>
      <c r="AP982" s="159">
        <f t="shared" si="359"/>
        <v>19</v>
      </c>
      <c r="AQ982" s="159">
        <f t="shared" si="360"/>
        <v>49</v>
      </c>
      <c r="AR982" s="159">
        <f t="shared" si="361"/>
        <v>44</v>
      </c>
      <c r="AS982" s="374">
        <f t="shared" si="362"/>
        <v>6425</v>
      </c>
      <c r="AU982" s="380">
        <f t="shared" si="363"/>
        <v>4.3514707367482461E-2</v>
      </c>
    </row>
    <row r="983" spans="1:48" ht="15.75" customHeight="1" x14ac:dyDescent="0.3">
      <c r="A983" s="365" t="s">
        <v>12</v>
      </c>
      <c r="B983" s="159">
        <f t="shared" si="345"/>
        <v>141313</v>
      </c>
      <c r="C983" s="159">
        <f t="shared" si="331"/>
        <v>17970</v>
      </c>
      <c r="D983" s="159">
        <f t="shared" si="332"/>
        <v>18809</v>
      </c>
      <c r="E983" s="159">
        <f t="shared" si="333"/>
        <v>31117</v>
      </c>
      <c r="F983" s="159">
        <f t="shared" si="346"/>
        <v>2372.1409390200852</v>
      </c>
      <c r="G983" s="159">
        <f t="shared" si="334"/>
        <v>-2064.1243137551173</v>
      </c>
      <c r="H983" s="159">
        <f t="shared" si="335"/>
        <v>10579</v>
      </c>
      <c r="I983" s="159">
        <f t="shared" si="336"/>
        <v>6784</v>
      </c>
      <c r="J983" s="159">
        <f t="shared" si="337"/>
        <v>7954</v>
      </c>
      <c r="K983" s="159">
        <f t="shared" si="338"/>
        <v>7299</v>
      </c>
      <c r="L983" s="159">
        <f t="shared" si="339"/>
        <v>2060</v>
      </c>
      <c r="M983" s="159">
        <f t="shared" si="340"/>
        <v>2426</v>
      </c>
      <c r="N983" s="159">
        <f t="shared" si="341"/>
        <v>4851</v>
      </c>
      <c r="O983" s="159">
        <f t="shared" si="342"/>
        <v>692</v>
      </c>
      <c r="P983" s="159">
        <f t="shared" si="343"/>
        <v>1941</v>
      </c>
      <c r="Q983" s="159">
        <f t="shared" si="344"/>
        <v>1637</v>
      </c>
      <c r="R983" s="379">
        <f t="shared" si="364"/>
        <v>255740.01662526498</v>
      </c>
      <c r="S983" s="168"/>
      <c r="AC983" s="375" t="s">
        <v>12</v>
      </c>
      <c r="AD983" s="159">
        <f t="shared" si="347"/>
        <v>6642</v>
      </c>
      <c r="AE983" s="159">
        <f t="shared" si="348"/>
        <v>845</v>
      </c>
      <c r="AF983" s="159">
        <f t="shared" si="349"/>
        <v>884</v>
      </c>
      <c r="AG983" s="159">
        <f t="shared" si="350"/>
        <v>1462</v>
      </c>
      <c r="AH983" s="159">
        <f t="shared" si="351"/>
        <v>0</v>
      </c>
      <c r="AI983" s="159">
        <f t="shared" si="352"/>
        <v>317</v>
      </c>
      <c r="AJ983" s="159">
        <f t="shared" si="353"/>
        <v>204</v>
      </c>
      <c r="AK983" s="159">
        <f t="shared" si="354"/>
        <v>239</v>
      </c>
      <c r="AL983" s="159">
        <f t="shared" si="355"/>
        <v>219</v>
      </c>
      <c r="AM983" s="159">
        <f t="shared" si="356"/>
        <v>62</v>
      </c>
      <c r="AN983" s="159">
        <f t="shared" si="357"/>
        <v>73</v>
      </c>
      <c r="AO983" s="159">
        <f t="shared" si="358"/>
        <v>146</v>
      </c>
      <c r="AP983" s="159">
        <f t="shared" si="359"/>
        <v>21</v>
      </c>
      <c r="AQ983" s="159">
        <f t="shared" si="360"/>
        <v>58</v>
      </c>
      <c r="AR983" s="159">
        <f t="shared" si="361"/>
        <v>49</v>
      </c>
      <c r="AS983" s="374">
        <f t="shared" si="362"/>
        <v>11221</v>
      </c>
      <c r="AU983" s="380">
        <f t="shared" si="363"/>
        <v>4.3876590562837471E-2</v>
      </c>
    </row>
    <row r="984" spans="1:48" ht="15.75" customHeight="1" x14ac:dyDescent="0.3">
      <c r="A984" s="365" t="s">
        <v>13</v>
      </c>
      <c r="B984" s="159">
        <f t="shared" si="345"/>
        <v>146234</v>
      </c>
      <c r="C984" s="159">
        <f t="shared" si="331"/>
        <v>18590</v>
      </c>
      <c r="D984" s="159">
        <f t="shared" si="332"/>
        <v>19453</v>
      </c>
      <c r="E984" s="159">
        <f t="shared" si="333"/>
        <v>32172</v>
      </c>
      <c r="F984" s="159">
        <f t="shared" si="346"/>
        <v>3986.5508690277225</v>
      </c>
      <c r="G984" s="159">
        <f t="shared" si="334"/>
        <v>-2413.2152245366124</v>
      </c>
      <c r="H984" s="159">
        <f t="shared" si="335"/>
        <v>9356</v>
      </c>
      <c r="I984" s="159">
        <f t="shared" si="336"/>
        <v>5623</v>
      </c>
      <c r="J984" s="159">
        <f t="shared" si="337"/>
        <v>7553</v>
      </c>
      <c r="K984" s="159">
        <f t="shared" si="338"/>
        <v>7062</v>
      </c>
      <c r="L984" s="159">
        <f t="shared" si="339"/>
        <v>2055</v>
      </c>
      <c r="M984" s="159">
        <f t="shared" si="340"/>
        <v>2420</v>
      </c>
      <c r="N984" s="159">
        <f t="shared" si="341"/>
        <v>4962</v>
      </c>
      <c r="O984" s="159">
        <f t="shared" si="342"/>
        <v>776</v>
      </c>
      <c r="P984" s="159">
        <f t="shared" si="343"/>
        <v>2280</v>
      </c>
      <c r="Q984" s="159">
        <f t="shared" si="344"/>
        <v>1813</v>
      </c>
      <c r="R984" s="379">
        <f t="shared" si="364"/>
        <v>261922.33564449113</v>
      </c>
      <c r="S984" s="168"/>
      <c r="AC984" s="375" t="s">
        <v>13</v>
      </c>
      <c r="AD984" s="159">
        <f t="shared" si="347"/>
        <v>6873</v>
      </c>
      <c r="AE984" s="159">
        <f t="shared" si="348"/>
        <v>874</v>
      </c>
      <c r="AF984" s="159">
        <f t="shared" si="349"/>
        <v>914</v>
      </c>
      <c r="AG984" s="159">
        <f t="shared" si="350"/>
        <v>1512</v>
      </c>
      <c r="AH984" s="159">
        <f t="shared" si="351"/>
        <v>0</v>
      </c>
      <c r="AI984" s="159">
        <f t="shared" si="352"/>
        <v>281</v>
      </c>
      <c r="AJ984" s="159">
        <f t="shared" si="353"/>
        <v>169</v>
      </c>
      <c r="AK984" s="159">
        <f t="shared" si="354"/>
        <v>227</v>
      </c>
      <c r="AL984" s="159">
        <f t="shared" si="355"/>
        <v>212</v>
      </c>
      <c r="AM984" s="159">
        <f t="shared" si="356"/>
        <v>62</v>
      </c>
      <c r="AN984" s="159">
        <f t="shared" si="357"/>
        <v>73</v>
      </c>
      <c r="AO984" s="159">
        <f t="shared" si="358"/>
        <v>149</v>
      </c>
      <c r="AP984" s="159">
        <f t="shared" si="359"/>
        <v>23</v>
      </c>
      <c r="AQ984" s="159">
        <f t="shared" si="360"/>
        <v>68</v>
      </c>
      <c r="AR984" s="159">
        <f t="shared" si="361"/>
        <v>54</v>
      </c>
      <c r="AS984" s="374">
        <f t="shared" si="362"/>
        <v>11491</v>
      </c>
      <c r="AU984" s="380">
        <f t="shared" si="363"/>
        <v>4.3871783487746563E-2</v>
      </c>
    </row>
    <row r="985" spans="1:48" ht="15.75" customHeight="1" x14ac:dyDescent="0.3">
      <c r="A985" s="365" t="s">
        <v>14</v>
      </c>
      <c r="B985" s="159">
        <f t="shared" si="345"/>
        <v>102230</v>
      </c>
      <c r="C985" s="159">
        <f t="shared" si="331"/>
        <v>12982</v>
      </c>
      <c r="D985" s="159">
        <f t="shared" si="332"/>
        <v>13569</v>
      </c>
      <c r="E985" s="159">
        <f t="shared" si="333"/>
        <v>21752</v>
      </c>
      <c r="F985" s="159">
        <f t="shared" si="346"/>
        <v>301.57613410576516</v>
      </c>
      <c r="G985" s="159">
        <f t="shared" si="334"/>
        <v>-11780.352331035441</v>
      </c>
      <c r="H985" s="159">
        <f t="shared" si="335"/>
        <v>12345</v>
      </c>
      <c r="I985" s="159">
        <f t="shared" si="336"/>
        <v>7317</v>
      </c>
      <c r="J985" s="159">
        <f t="shared" si="337"/>
        <v>8496</v>
      </c>
      <c r="K985" s="159">
        <f t="shared" si="338"/>
        <v>7515</v>
      </c>
      <c r="L985" s="159">
        <f t="shared" si="339"/>
        <v>2164</v>
      </c>
      <c r="M985" s="159">
        <f t="shared" si="340"/>
        <v>2548</v>
      </c>
      <c r="N985" s="159">
        <f t="shared" si="341"/>
        <v>5049</v>
      </c>
      <c r="O985" s="159">
        <f t="shared" si="342"/>
        <v>834</v>
      </c>
      <c r="P985" s="159">
        <f t="shared" si="343"/>
        <v>2329</v>
      </c>
      <c r="Q985" s="159">
        <f t="shared" si="344"/>
        <v>1971</v>
      </c>
      <c r="R985" s="379">
        <f>(SUM(B985:Q985))</f>
        <v>189622.22380307032</v>
      </c>
      <c r="S985" s="168"/>
      <c r="AC985" s="375" t="s">
        <v>14</v>
      </c>
      <c r="AD985" s="159">
        <f t="shared" si="347"/>
        <v>4805</v>
      </c>
      <c r="AE985" s="159">
        <f t="shared" si="348"/>
        <v>610</v>
      </c>
      <c r="AF985" s="159">
        <f t="shared" si="349"/>
        <v>638</v>
      </c>
      <c r="AG985" s="159">
        <f t="shared" si="350"/>
        <v>1022</v>
      </c>
      <c r="AH985" s="159">
        <f t="shared" si="351"/>
        <v>0</v>
      </c>
      <c r="AI985" s="159">
        <f t="shared" si="352"/>
        <v>370</v>
      </c>
      <c r="AJ985" s="159">
        <f t="shared" si="353"/>
        <v>220</v>
      </c>
      <c r="AK985" s="159">
        <f t="shared" si="354"/>
        <v>255</v>
      </c>
      <c r="AL985" s="159">
        <f t="shared" si="355"/>
        <v>225</v>
      </c>
      <c r="AM985" s="159">
        <f t="shared" si="356"/>
        <v>65</v>
      </c>
      <c r="AN985" s="159">
        <f t="shared" si="357"/>
        <v>76</v>
      </c>
      <c r="AO985" s="159">
        <f t="shared" si="358"/>
        <v>151</v>
      </c>
      <c r="AP985" s="159">
        <f t="shared" si="359"/>
        <v>25</v>
      </c>
      <c r="AQ985" s="159">
        <f t="shared" si="360"/>
        <v>70</v>
      </c>
      <c r="AR985" s="159">
        <f t="shared" si="361"/>
        <v>59</v>
      </c>
      <c r="AS985" s="374">
        <f t="shared" si="362"/>
        <v>8591</v>
      </c>
      <c r="AU985" s="380">
        <f t="shared" si="363"/>
        <v>4.5305870945391249E-2</v>
      </c>
    </row>
    <row r="986" spans="1:48" ht="15.75" customHeight="1" x14ac:dyDescent="0.3">
      <c r="A986" s="365" t="s">
        <v>16</v>
      </c>
      <c r="B986" s="159">
        <f t="shared" si="345"/>
        <v>93598</v>
      </c>
      <c r="C986" s="159">
        <f t="shared" si="331"/>
        <v>11881</v>
      </c>
      <c r="D986" s="159">
        <f t="shared" si="332"/>
        <v>12415</v>
      </c>
      <c r="E986" s="159">
        <f t="shared" si="333"/>
        <v>19506</v>
      </c>
      <c r="F986" s="159">
        <f t="shared" si="346"/>
        <v>0</v>
      </c>
      <c r="G986" s="159">
        <f t="shared" si="334"/>
        <v>-11236.261045961823</v>
      </c>
      <c r="H986" s="159">
        <f t="shared" si="335"/>
        <v>12756</v>
      </c>
      <c r="I986" s="159">
        <f t="shared" si="336"/>
        <v>8326</v>
      </c>
      <c r="J986" s="159">
        <f t="shared" si="337"/>
        <v>9179</v>
      </c>
      <c r="K986" s="159">
        <f t="shared" si="338"/>
        <v>7895</v>
      </c>
      <c r="L986" s="159">
        <f t="shared" si="339"/>
        <v>2288</v>
      </c>
      <c r="M986" s="159">
        <f t="shared" si="340"/>
        <v>2696</v>
      </c>
      <c r="N986" s="159">
        <f t="shared" si="341"/>
        <v>5353</v>
      </c>
      <c r="O986" s="159">
        <f t="shared" si="342"/>
        <v>854</v>
      </c>
      <c r="P986" s="159">
        <f t="shared" si="343"/>
        <v>2103</v>
      </c>
      <c r="Q986" s="159">
        <f t="shared" si="344"/>
        <v>2020</v>
      </c>
      <c r="R986" s="379">
        <f t="shared" si="364"/>
        <v>179633.73895403818</v>
      </c>
      <c r="S986" s="168"/>
      <c r="AC986" s="375" t="s">
        <v>16</v>
      </c>
      <c r="AD986" s="159">
        <f t="shared" si="347"/>
        <v>4399</v>
      </c>
      <c r="AE986" s="159">
        <f t="shared" si="348"/>
        <v>558</v>
      </c>
      <c r="AF986" s="159">
        <f t="shared" si="349"/>
        <v>584</v>
      </c>
      <c r="AG986" s="159">
        <f t="shared" si="350"/>
        <v>917</v>
      </c>
      <c r="AH986" s="159">
        <f t="shared" si="351"/>
        <v>0</v>
      </c>
      <c r="AI986" s="159">
        <f t="shared" si="352"/>
        <v>383</v>
      </c>
      <c r="AJ986" s="159">
        <f t="shared" si="353"/>
        <v>250</v>
      </c>
      <c r="AK986" s="159">
        <f t="shared" si="354"/>
        <v>275</v>
      </c>
      <c r="AL986" s="159">
        <f t="shared" si="355"/>
        <v>237</v>
      </c>
      <c r="AM986" s="159">
        <f t="shared" si="356"/>
        <v>69</v>
      </c>
      <c r="AN986" s="159">
        <f t="shared" si="357"/>
        <v>81</v>
      </c>
      <c r="AO986" s="159">
        <f t="shared" si="358"/>
        <v>161</v>
      </c>
      <c r="AP986" s="159">
        <f t="shared" si="359"/>
        <v>26</v>
      </c>
      <c r="AQ986" s="159">
        <f t="shared" si="360"/>
        <v>63</v>
      </c>
      <c r="AR986" s="159">
        <f t="shared" si="361"/>
        <v>61</v>
      </c>
      <c r="AS986" s="374">
        <f t="shared" si="362"/>
        <v>8064</v>
      </c>
      <c r="AU986" s="380">
        <f t="shared" si="363"/>
        <v>4.4891344170391555E-2</v>
      </c>
    </row>
    <row r="987" spans="1:48" ht="15.75" customHeight="1" x14ac:dyDescent="0.3">
      <c r="A987" s="365" t="s">
        <v>17</v>
      </c>
      <c r="B987" s="159">
        <f t="shared" si="345"/>
        <v>99484</v>
      </c>
      <c r="C987" s="159">
        <f t="shared" si="331"/>
        <v>12642</v>
      </c>
      <c r="D987" s="159">
        <f t="shared" si="332"/>
        <v>13223</v>
      </c>
      <c r="E987" s="159">
        <f t="shared" si="333"/>
        <v>20827</v>
      </c>
      <c r="F987" s="159">
        <f t="shared" si="346"/>
        <v>4.9389831802797826</v>
      </c>
      <c r="G987" s="159">
        <f t="shared" si="334"/>
        <v>-7553.8558009853941</v>
      </c>
      <c r="H987" s="159">
        <f t="shared" si="335"/>
        <v>12109</v>
      </c>
      <c r="I987" s="159">
        <f t="shared" si="336"/>
        <v>8550</v>
      </c>
      <c r="J987" s="159">
        <f t="shared" si="337"/>
        <v>9335</v>
      </c>
      <c r="K987" s="159">
        <f t="shared" si="338"/>
        <v>7769</v>
      </c>
      <c r="L987" s="159">
        <f t="shared" si="339"/>
        <v>2213</v>
      </c>
      <c r="M987" s="159">
        <f t="shared" si="340"/>
        <v>2607</v>
      </c>
      <c r="N987" s="159">
        <f t="shared" si="341"/>
        <v>5066</v>
      </c>
      <c r="O987" s="159">
        <f t="shared" si="342"/>
        <v>806</v>
      </c>
      <c r="P987" s="159">
        <f t="shared" si="343"/>
        <v>1941</v>
      </c>
      <c r="Q987" s="159">
        <f t="shared" si="344"/>
        <v>1906</v>
      </c>
      <c r="R987" s="379">
        <f t="shared" si="364"/>
        <v>190929.08318219488</v>
      </c>
      <c r="S987" s="168"/>
      <c r="AC987" s="375" t="s">
        <v>17</v>
      </c>
      <c r="AD987" s="159">
        <f t="shared" si="347"/>
        <v>4676</v>
      </c>
      <c r="AE987" s="159">
        <f t="shared" si="348"/>
        <v>594</v>
      </c>
      <c r="AF987" s="159">
        <f t="shared" si="349"/>
        <v>621</v>
      </c>
      <c r="AG987" s="159">
        <f t="shared" si="350"/>
        <v>979</v>
      </c>
      <c r="AH987" s="159">
        <f t="shared" si="351"/>
        <v>0</v>
      </c>
      <c r="AI987" s="159">
        <f t="shared" si="352"/>
        <v>363</v>
      </c>
      <c r="AJ987" s="159">
        <f t="shared" si="353"/>
        <v>257</v>
      </c>
      <c r="AK987" s="159">
        <f t="shared" si="354"/>
        <v>280</v>
      </c>
      <c r="AL987" s="159">
        <f t="shared" si="355"/>
        <v>233</v>
      </c>
      <c r="AM987" s="159">
        <f t="shared" si="356"/>
        <v>66</v>
      </c>
      <c r="AN987" s="159">
        <f t="shared" si="357"/>
        <v>78</v>
      </c>
      <c r="AO987" s="159">
        <f t="shared" si="358"/>
        <v>152</v>
      </c>
      <c r="AP987" s="159">
        <f t="shared" si="359"/>
        <v>24</v>
      </c>
      <c r="AQ987" s="159">
        <f t="shared" si="360"/>
        <v>58</v>
      </c>
      <c r="AR987" s="159">
        <f t="shared" si="361"/>
        <v>57</v>
      </c>
      <c r="AS987" s="374">
        <f t="shared" si="362"/>
        <v>8438</v>
      </c>
      <c r="AU987" s="380">
        <f t="shared" si="363"/>
        <v>4.4194419516213793E-2</v>
      </c>
    </row>
    <row r="988" spans="1:48" ht="15.75" customHeight="1" x14ac:dyDescent="0.3">
      <c r="A988" s="365" t="s">
        <v>18</v>
      </c>
      <c r="B988" s="159">
        <f t="shared" si="345"/>
        <v>153017</v>
      </c>
      <c r="C988" s="159">
        <f t="shared" si="331"/>
        <v>19468</v>
      </c>
      <c r="D988" s="159">
        <f t="shared" si="332"/>
        <v>20387</v>
      </c>
      <c r="E988" s="159">
        <f t="shared" si="333"/>
        <v>33731</v>
      </c>
      <c r="F988" s="159">
        <f t="shared" si="346"/>
        <v>5351.0362097390889</v>
      </c>
      <c r="G988" s="159">
        <f t="shared" si="334"/>
        <v>0</v>
      </c>
      <c r="H988" s="159">
        <f t="shared" si="335"/>
        <v>7770</v>
      </c>
      <c r="I988" s="159">
        <f t="shared" si="336"/>
        <v>4773</v>
      </c>
      <c r="J988" s="159">
        <f t="shared" si="337"/>
        <v>5693</v>
      </c>
      <c r="K988" s="159">
        <f t="shared" si="338"/>
        <v>4955</v>
      </c>
      <c r="L988" s="159">
        <f t="shared" si="339"/>
        <v>1758</v>
      </c>
      <c r="M988" s="159">
        <f t="shared" si="340"/>
        <v>2070</v>
      </c>
      <c r="N988" s="159">
        <f t="shared" si="341"/>
        <v>4107</v>
      </c>
      <c r="O988" s="159">
        <f t="shared" si="342"/>
        <v>770</v>
      </c>
      <c r="P988" s="159">
        <f t="shared" si="343"/>
        <v>1779</v>
      </c>
      <c r="Q988" s="159">
        <f t="shared" si="344"/>
        <v>1820</v>
      </c>
      <c r="R988" s="379">
        <f t="shared" si="364"/>
        <v>267449.03620973905</v>
      </c>
      <c r="S988" s="168"/>
      <c r="AC988" s="375" t="s">
        <v>18</v>
      </c>
      <c r="AD988" s="159">
        <f t="shared" si="347"/>
        <v>7192</v>
      </c>
      <c r="AE988" s="159">
        <f t="shared" si="348"/>
        <v>915</v>
      </c>
      <c r="AF988" s="159">
        <f t="shared" si="349"/>
        <v>958</v>
      </c>
      <c r="AG988" s="159">
        <f t="shared" si="350"/>
        <v>1585</v>
      </c>
      <c r="AH988" s="159">
        <f t="shared" si="351"/>
        <v>0</v>
      </c>
      <c r="AI988" s="159">
        <f t="shared" si="352"/>
        <v>233</v>
      </c>
      <c r="AJ988" s="159">
        <f t="shared" si="353"/>
        <v>143</v>
      </c>
      <c r="AK988" s="159">
        <f t="shared" si="354"/>
        <v>171</v>
      </c>
      <c r="AL988" s="159">
        <f t="shared" si="355"/>
        <v>149</v>
      </c>
      <c r="AM988" s="159">
        <f t="shared" si="356"/>
        <v>53</v>
      </c>
      <c r="AN988" s="159">
        <f t="shared" si="357"/>
        <v>62</v>
      </c>
      <c r="AO988" s="159">
        <f t="shared" si="358"/>
        <v>123</v>
      </c>
      <c r="AP988" s="159">
        <f t="shared" si="359"/>
        <v>23</v>
      </c>
      <c r="AQ988" s="159">
        <f t="shared" si="360"/>
        <v>53</v>
      </c>
      <c r="AR988" s="159">
        <f t="shared" si="361"/>
        <v>55</v>
      </c>
      <c r="AS988" s="374">
        <f t="shared" si="362"/>
        <v>11715</v>
      </c>
      <c r="AU988" s="380">
        <f t="shared" si="363"/>
        <v>4.3802737770245154E-2</v>
      </c>
    </row>
    <row r="989" spans="1:48" ht="15.75" customHeight="1" x14ac:dyDescent="0.3">
      <c r="A989" s="365" t="s">
        <v>20</v>
      </c>
      <c r="B989" s="159">
        <f t="shared" si="345"/>
        <v>143249</v>
      </c>
      <c r="C989" s="159">
        <f t="shared" si="331"/>
        <v>18227</v>
      </c>
      <c r="D989" s="159">
        <f t="shared" si="332"/>
        <v>19088</v>
      </c>
      <c r="E989" s="159">
        <f t="shared" si="333"/>
        <v>31492</v>
      </c>
      <c r="F989" s="159">
        <f t="shared" si="346"/>
        <v>6699.3079331192066</v>
      </c>
      <c r="G989" s="159">
        <f t="shared" si="334"/>
        <v>0</v>
      </c>
      <c r="H989" s="159">
        <f t="shared" si="335"/>
        <v>7004</v>
      </c>
      <c r="I989" s="159">
        <f t="shared" si="336"/>
        <v>3493</v>
      </c>
      <c r="J989" s="159">
        <f t="shared" si="337"/>
        <v>4463</v>
      </c>
      <c r="K989" s="159">
        <f t="shared" si="338"/>
        <v>4278</v>
      </c>
      <c r="L989" s="159">
        <f t="shared" si="339"/>
        <v>1572</v>
      </c>
      <c r="M989" s="159">
        <f t="shared" si="340"/>
        <v>1851</v>
      </c>
      <c r="N989" s="159">
        <f t="shared" si="341"/>
        <v>3629</v>
      </c>
      <c r="O989" s="159">
        <f t="shared" si="342"/>
        <v>720</v>
      </c>
      <c r="P989" s="159">
        <f t="shared" si="343"/>
        <v>1617</v>
      </c>
      <c r="Q989" s="159">
        <f t="shared" si="344"/>
        <v>1704</v>
      </c>
      <c r="R989" s="379">
        <f t="shared" si="364"/>
        <v>249086.30793311921</v>
      </c>
      <c r="S989" s="168"/>
      <c r="AC989" s="375" t="s">
        <v>20</v>
      </c>
      <c r="AD989" s="159">
        <f t="shared" si="347"/>
        <v>6733</v>
      </c>
      <c r="AE989" s="159">
        <f t="shared" si="348"/>
        <v>857</v>
      </c>
      <c r="AF989" s="159">
        <f t="shared" si="349"/>
        <v>897</v>
      </c>
      <c r="AG989" s="159">
        <f t="shared" si="350"/>
        <v>1480</v>
      </c>
      <c r="AH989" s="159">
        <f t="shared" si="351"/>
        <v>0</v>
      </c>
      <c r="AI989" s="159">
        <f t="shared" si="352"/>
        <v>210</v>
      </c>
      <c r="AJ989" s="159">
        <f t="shared" si="353"/>
        <v>105</v>
      </c>
      <c r="AK989" s="159">
        <f t="shared" si="354"/>
        <v>134</v>
      </c>
      <c r="AL989" s="159">
        <f t="shared" si="355"/>
        <v>128</v>
      </c>
      <c r="AM989" s="159">
        <f t="shared" si="356"/>
        <v>47</v>
      </c>
      <c r="AN989" s="159">
        <f t="shared" si="357"/>
        <v>56</v>
      </c>
      <c r="AO989" s="159">
        <f t="shared" si="358"/>
        <v>109</v>
      </c>
      <c r="AP989" s="159">
        <f t="shared" si="359"/>
        <v>22</v>
      </c>
      <c r="AQ989" s="159">
        <f t="shared" si="360"/>
        <v>49</v>
      </c>
      <c r="AR989" s="159">
        <f t="shared" si="361"/>
        <v>51</v>
      </c>
      <c r="AS989" s="374">
        <f t="shared" si="362"/>
        <v>10878</v>
      </c>
      <c r="AU989" s="380">
        <f t="shared" si="363"/>
        <v>4.3671609613005272E-2</v>
      </c>
    </row>
    <row r="990" spans="1:48" ht="15.75" customHeight="1" x14ac:dyDescent="0.3">
      <c r="A990" s="365" t="s">
        <v>21</v>
      </c>
      <c r="B990" s="159">
        <f t="shared" si="345"/>
        <v>117093</v>
      </c>
      <c r="C990" s="159">
        <f t="shared" si="331"/>
        <v>14899</v>
      </c>
      <c r="D990" s="159">
        <f t="shared" si="332"/>
        <v>15602</v>
      </c>
      <c r="E990" s="159">
        <f t="shared" si="333"/>
        <v>26296</v>
      </c>
      <c r="F990" s="159">
        <f t="shared" si="346"/>
        <v>17840.059542785333</v>
      </c>
      <c r="G990" s="159">
        <f t="shared" si="334"/>
        <v>-187.78393597311737</v>
      </c>
      <c r="H990" s="159">
        <f t="shared" si="335"/>
        <v>626</v>
      </c>
      <c r="I990" s="159">
        <f t="shared" si="336"/>
        <v>193</v>
      </c>
      <c r="J990" s="159">
        <f t="shared" si="337"/>
        <v>296</v>
      </c>
      <c r="K990" s="159">
        <f t="shared" si="338"/>
        <v>290</v>
      </c>
      <c r="L990" s="159">
        <f t="shared" si="339"/>
        <v>105</v>
      </c>
      <c r="M990" s="159">
        <f t="shared" si="340"/>
        <v>121</v>
      </c>
      <c r="N990" s="159">
        <f t="shared" si="341"/>
        <v>204</v>
      </c>
      <c r="O990" s="159">
        <f t="shared" si="342"/>
        <v>150</v>
      </c>
      <c r="P990" s="159">
        <f t="shared" si="343"/>
        <v>1456</v>
      </c>
      <c r="Q990" s="159">
        <f t="shared" si="344"/>
        <v>355</v>
      </c>
      <c r="R990" s="379">
        <f t="shared" si="364"/>
        <v>195338.27560681221</v>
      </c>
      <c r="S990" s="168"/>
      <c r="AC990" s="375" t="s">
        <v>21</v>
      </c>
      <c r="AD990" s="159">
        <f t="shared" si="347"/>
        <v>5503</v>
      </c>
      <c r="AE990" s="159">
        <f t="shared" si="348"/>
        <v>700</v>
      </c>
      <c r="AF990" s="159">
        <f t="shared" si="349"/>
        <v>733</v>
      </c>
      <c r="AG990" s="159">
        <f t="shared" si="350"/>
        <v>1236</v>
      </c>
      <c r="AH990" s="159">
        <f t="shared" si="351"/>
        <v>0</v>
      </c>
      <c r="AI990" s="159">
        <f t="shared" si="352"/>
        <v>19</v>
      </c>
      <c r="AJ990" s="159">
        <f t="shared" si="353"/>
        <v>6</v>
      </c>
      <c r="AK990" s="159">
        <f t="shared" si="354"/>
        <v>9</v>
      </c>
      <c r="AL990" s="159">
        <f t="shared" si="355"/>
        <v>9</v>
      </c>
      <c r="AM990" s="159">
        <f t="shared" si="356"/>
        <v>3</v>
      </c>
      <c r="AN990" s="159">
        <f t="shared" si="357"/>
        <v>4</v>
      </c>
      <c r="AO990" s="159">
        <f t="shared" si="358"/>
        <v>6</v>
      </c>
      <c r="AP990" s="159">
        <f t="shared" si="359"/>
        <v>5</v>
      </c>
      <c r="AQ990" s="159">
        <f t="shared" si="360"/>
        <v>44</v>
      </c>
      <c r="AR990" s="159">
        <f t="shared" si="361"/>
        <v>11</v>
      </c>
      <c r="AS990" s="374">
        <f t="shared" si="362"/>
        <v>8288</v>
      </c>
      <c r="AU990" s="380">
        <f t="shared" si="363"/>
        <v>4.2428960603105505E-2</v>
      </c>
    </row>
    <row r="991" spans="1:48" ht="15.75" customHeight="1" x14ac:dyDescent="0.3">
      <c r="A991" s="365" t="s">
        <v>22</v>
      </c>
      <c r="B991" s="159">
        <f t="shared" si="345"/>
        <v>70734</v>
      </c>
      <c r="C991" s="159">
        <f t="shared" si="331"/>
        <v>8995</v>
      </c>
      <c r="D991" s="159">
        <f t="shared" si="332"/>
        <v>9414</v>
      </c>
      <c r="E991" s="159">
        <f t="shared" si="333"/>
        <v>15412</v>
      </c>
      <c r="F991" s="159">
        <f t="shared" si="346"/>
        <v>4626.4689738455236</v>
      </c>
      <c r="G991" s="159">
        <f t="shared" si="334"/>
        <v>0</v>
      </c>
      <c r="H991" s="159">
        <f t="shared" si="335"/>
        <v>3235</v>
      </c>
      <c r="I991" s="159">
        <f t="shared" si="336"/>
        <v>1166</v>
      </c>
      <c r="J991" s="159">
        <f t="shared" si="337"/>
        <v>1750</v>
      </c>
      <c r="K991" s="159">
        <f t="shared" si="338"/>
        <v>1798</v>
      </c>
      <c r="L991" s="159">
        <f t="shared" si="339"/>
        <v>418</v>
      </c>
      <c r="M991" s="159">
        <f t="shared" si="340"/>
        <v>491</v>
      </c>
      <c r="N991" s="159">
        <f t="shared" si="341"/>
        <v>985</v>
      </c>
      <c r="O991" s="159">
        <f t="shared" si="342"/>
        <v>3</v>
      </c>
      <c r="P991" s="159">
        <f t="shared" si="343"/>
        <v>1294</v>
      </c>
      <c r="Q991" s="159">
        <f t="shared" si="344"/>
        <v>6</v>
      </c>
      <c r="R991" s="379">
        <f t="shared" si="364"/>
        <v>120327.46897384552</v>
      </c>
      <c r="S991" s="168"/>
      <c r="AC991" s="375" t="s">
        <v>22</v>
      </c>
      <c r="AD991" s="159">
        <f t="shared" si="347"/>
        <v>3324</v>
      </c>
      <c r="AE991" s="159">
        <f t="shared" si="348"/>
        <v>423</v>
      </c>
      <c r="AF991" s="159">
        <f t="shared" si="349"/>
        <v>442</v>
      </c>
      <c r="AG991" s="159">
        <f t="shared" si="350"/>
        <v>724</v>
      </c>
      <c r="AH991" s="159">
        <f t="shared" si="351"/>
        <v>0</v>
      </c>
      <c r="AI991" s="159">
        <f t="shared" si="352"/>
        <v>97</v>
      </c>
      <c r="AJ991" s="159">
        <f t="shared" si="353"/>
        <v>35</v>
      </c>
      <c r="AK991" s="159">
        <f t="shared" si="354"/>
        <v>53</v>
      </c>
      <c r="AL991" s="159">
        <f t="shared" si="355"/>
        <v>54</v>
      </c>
      <c r="AM991" s="159">
        <f t="shared" si="356"/>
        <v>13</v>
      </c>
      <c r="AN991" s="159">
        <f t="shared" si="357"/>
        <v>15</v>
      </c>
      <c r="AO991" s="159">
        <f t="shared" si="358"/>
        <v>30</v>
      </c>
      <c r="AP991" s="159">
        <f t="shared" si="359"/>
        <v>0</v>
      </c>
      <c r="AQ991" s="159">
        <f t="shared" si="360"/>
        <v>39</v>
      </c>
      <c r="AR991" s="159">
        <f t="shared" si="361"/>
        <v>0</v>
      </c>
      <c r="AS991" s="374">
        <f t="shared" si="362"/>
        <v>5249</v>
      </c>
      <c r="AU991" s="380">
        <f t="shared" si="363"/>
        <v>4.3622624532565601E-2</v>
      </c>
    </row>
    <row r="992" spans="1:48" ht="15.75" customHeight="1" x14ac:dyDescent="0.3">
      <c r="A992" s="325"/>
      <c r="B992" s="159"/>
      <c r="C992" s="159"/>
      <c r="D992" s="159"/>
      <c r="E992" s="159"/>
      <c r="F992" s="159"/>
      <c r="G992" s="159"/>
      <c r="H992" s="159"/>
      <c r="I992" s="159"/>
      <c r="J992" s="159"/>
      <c r="K992" s="159"/>
      <c r="L992" s="159"/>
      <c r="M992" s="159"/>
      <c r="N992" s="159"/>
      <c r="O992" s="159"/>
      <c r="P992" s="159"/>
      <c r="Q992" s="159"/>
      <c r="R992" s="374"/>
      <c r="S992" s="168"/>
      <c r="AC992" s="306"/>
      <c r="AD992" s="159"/>
      <c r="AE992" s="159"/>
      <c r="AF992" s="159"/>
      <c r="AG992" s="159"/>
      <c r="AH992" s="159"/>
      <c r="AI992" s="159"/>
      <c r="AJ992" s="159"/>
      <c r="AK992" s="159"/>
      <c r="AL992" s="159"/>
      <c r="AM992" s="159"/>
      <c r="AN992" s="159"/>
      <c r="AO992" s="159"/>
      <c r="AP992" s="159"/>
      <c r="AQ992" s="159"/>
      <c r="AR992" s="159"/>
      <c r="AS992" s="374"/>
    </row>
    <row r="993" spans="1:47" ht="15.75" customHeight="1" thickBot="1" x14ac:dyDescent="0.35">
      <c r="A993" s="325" t="s">
        <v>422</v>
      </c>
      <c r="B993" s="159">
        <f>SUM(B980:B991)</f>
        <v>1374592</v>
      </c>
      <c r="C993" s="159">
        <f t="shared" ref="C993:Q993" si="365">SUM(C980:C991)</f>
        <v>174809</v>
      </c>
      <c r="D993" s="159">
        <f t="shared" si="365"/>
        <v>182976</v>
      </c>
      <c r="E993" s="159">
        <f t="shared" si="365"/>
        <v>301781</v>
      </c>
      <c r="F993" s="159">
        <f t="shared" si="365"/>
        <v>74414.176228811717</v>
      </c>
      <c r="G993" s="159">
        <f t="shared" si="365"/>
        <v>-37761.461329475394</v>
      </c>
      <c r="H993" s="159">
        <f t="shared" si="365"/>
        <v>86582</v>
      </c>
      <c r="I993" s="159">
        <f t="shared" si="365"/>
        <v>54864</v>
      </c>
      <c r="J993" s="159">
        <f t="shared" si="365"/>
        <v>67553</v>
      </c>
      <c r="K993" s="159">
        <f t="shared" si="365"/>
        <v>62015</v>
      </c>
      <c r="L993" s="159">
        <f t="shared" si="365"/>
        <v>18384</v>
      </c>
      <c r="M993" s="159">
        <f t="shared" si="365"/>
        <v>21648</v>
      </c>
      <c r="N993" s="159">
        <f t="shared" si="365"/>
        <v>42999</v>
      </c>
      <c r="O993" s="159">
        <f t="shared" si="365"/>
        <v>7533</v>
      </c>
      <c r="P993" s="159">
        <f t="shared" si="365"/>
        <v>20945</v>
      </c>
      <c r="Q993" s="159">
        <f t="shared" si="365"/>
        <v>17793</v>
      </c>
      <c r="R993" s="381">
        <f>SUM(R980:R991)</f>
        <v>2471126.7148993365</v>
      </c>
      <c r="S993" s="168"/>
      <c r="AC993" s="382" t="s">
        <v>422</v>
      </c>
      <c r="AD993" s="327">
        <f>SUM(AD980:AD991)</f>
        <v>64606</v>
      </c>
      <c r="AE993" s="327">
        <f t="shared" ref="AE993:AS993" si="366">SUM(AE980:AE991)</f>
        <v>8216</v>
      </c>
      <c r="AF993" s="327">
        <f t="shared" si="366"/>
        <v>8599</v>
      </c>
      <c r="AG993" s="327">
        <f t="shared" si="366"/>
        <v>14182</v>
      </c>
      <c r="AH993" s="327">
        <f t="shared" si="366"/>
        <v>0</v>
      </c>
      <c r="AI993" s="327">
        <f t="shared" si="366"/>
        <v>2597</v>
      </c>
      <c r="AJ993" s="327">
        <f t="shared" si="366"/>
        <v>1648</v>
      </c>
      <c r="AK993" s="327">
        <f t="shared" si="366"/>
        <v>2028</v>
      </c>
      <c r="AL993" s="327">
        <f t="shared" si="366"/>
        <v>1861</v>
      </c>
      <c r="AM993" s="327">
        <f t="shared" si="366"/>
        <v>552</v>
      </c>
      <c r="AN993" s="327">
        <f t="shared" si="366"/>
        <v>650</v>
      </c>
      <c r="AO993" s="327">
        <f t="shared" si="366"/>
        <v>1291</v>
      </c>
      <c r="AP993" s="327">
        <f t="shared" si="366"/>
        <v>227</v>
      </c>
      <c r="AQ993" s="327">
        <f t="shared" si="366"/>
        <v>629</v>
      </c>
      <c r="AR993" s="327">
        <f t="shared" si="366"/>
        <v>534</v>
      </c>
      <c r="AS993" s="383">
        <f t="shared" si="366"/>
        <v>107620</v>
      </c>
      <c r="AU993" s="380">
        <f t="shared" si="363"/>
        <v>4.3550983990873163E-2</v>
      </c>
    </row>
    <row r="994" spans="1:47" ht="16.5" customHeight="1" thickBot="1" x14ac:dyDescent="0.35">
      <c r="A994" s="330" t="s">
        <v>7</v>
      </c>
      <c r="B994" s="327"/>
      <c r="C994" s="327"/>
      <c r="D994" s="327"/>
      <c r="E994" s="327"/>
      <c r="F994" s="327"/>
      <c r="G994" s="327"/>
      <c r="H994" s="327"/>
      <c r="I994" s="327"/>
      <c r="J994" s="327"/>
      <c r="K994" s="327"/>
      <c r="L994" s="327"/>
      <c r="M994" s="327"/>
      <c r="N994" s="327"/>
      <c r="O994" s="327"/>
      <c r="P994" s="327"/>
      <c r="Q994" s="327"/>
      <c r="R994" s="383"/>
      <c r="S994" s="159"/>
    </row>
    <row r="995" spans="1:47" ht="15.75" customHeight="1" x14ac:dyDescent="0.3">
      <c r="A995" s="159"/>
      <c r="B995" s="159"/>
      <c r="C995" s="159"/>
      <c r="D995" s="159"/>
      <c r="E995" s="159"/>
      <c r="F995" s="159"/>
      <c r="G995" s="159"/>
      <c r="H995" s="159"/>
      <c r="I995" s="159"/>
      <c r="J995" s="159"/>
      <c r="K995" s="159"/>
      <c r="L995" s="159"/>
      <c r="M995" s="159"/>
      <c r="N995" s="159"/>
      <c r="O995" s="159"/>
      <c r="P995" s="159"/>
      <c r="Q995" s="159"/>
      <c r="R995" s="159"/>
    </row>
    <row r="996" spans="1:47" ht="15.75" customHeight="1" x14ac:dyDescent="0.3"/>
    <row r="997" spans="1:47" ht="15.75" customHeight="1" thickBot="1" x14ac:dyDescent="0.35"/>
    <row r="998" spans="1:47" ht="15.75" customHeight="1" thickBot="1" x14ac:dyDescent="0.35">
      <c r="B998" s="519" t="s">
        <v>1038</v>
      </c>
      <c r="C998" s="506"/>
      <c r="D998" s="506"/>
      <c r="E998" s="506"/>
      <c r="F998" s="506"/>
      <c r="G998" s="506"/>
      <c r="H998" s="506"/>
      <c r="I998" s="506"/>
      <c r="J998" s="506"/>
      <c r="K998" s="506"/>
      <c r="L998" s="506"/>
      <c r="M998" s="506"/>
      <c r="N998" s="506"/>
      <c r="O998" s="506"/>
      <c r="P998" s="506"/>
      <c r="Q998" s="361" t="str">
        <f>+Q1</f>
        <v xml:space="preserve">PRINTED:  </v>
      </c>
      <c r="R998" s="367">
        <f ca="1">+R1</f>
        <v>44909.46975358796</v>
      </c>
      <c r="S998" s="319"/>
      <c r="T998" s="368"/>
      <c r="U998" s="368"/>
      <c r="V998" s="332"/>
    </row>
    <row r="999" spans="1:47" ht="15.75" customHeight="1" x14ac:dyDescent="0.3">
      <c r="B999" s="520">
        <f>+A5</f>
        <v>2019</v>
      </c>
      <c r="C999" s="509"/>
      <c r="D999" s="509"/>
      <c r="E999" s="509"/>
      <c r="F999" s="509"/>
      <c r="G999" s="509"/>
      <c r="H999" s="509"/>
      <c r="I999" s="509"/>
      <c r="J999" s="509"/>
      <c r="K999" s="509"/>
      <c r="L999" s="509"/>
      <c r="M999" s="509"/>
      <c r="N999" s="509"/>
      <c r="O999" s="509"/>
      <c r="P999" s="509"/>
      <c r="Q999" s="159"/>
      <c r="R999" s="159"/>
      <c r="S999" s="159"/>
      <c r="V999" s="307"/>
      <c r="AC999" s="370"/>
      <c r="AD999" s="506" t="s">
        <v>1039</v>
      </c>
      <c r="AE999" s="517"/>
      <c r="AF999" s="517"/>
      <c r="AG999" s="517"/>
      <c r="AH999" s="517"/>
      <c r="AI999" s="517"/>
      <c r="AJ999" s="517"/>
      <c r="AK999" s="517"/>
      <c r="AL999" s="517"/>
      <c r="AM999" s="517"/>
      <c r="AN999" s="517"/>
      <c r="AO999" s="517"/>
      <c r="AP999" s="517"/>
      <c r="AQ999" s="517"/>
      <c r="AR999" s="361" t="str">
        <f>$Q$1</f>
        <v xml:space="preserve">PRINTED:  </v>
      </c>
      <c r="AS999" s="371">
        <f ca="1">$R$1</f>
        <v>44909.46975358796</v>
      </c>
    </row>
    <row r="1000" spans="1:47" ht="15.75" customHeight="1" x14ac:dyDescent="0.3">
      <c r="B1000" s="518" t="str">
        <f>+A8</f>
        <v>Revised:  11/4/2019</v>
      </c>
      <c r="C1000" s="503"/>
      <c r="D1000" s="503"/>
      <c r="E1000" s="503"/>
      <c r="F1000" s="503"/>
      <c r="G1000" s="503"/>
      <c r="H1000" s="503"/>
      <c r="I1000" s="503"/>
      <c r="J1000" s="503"/>
      <c r="K1000" s="503"/>
      <c r="L1000" s="503"/>
      <c r="M1000" s="503"/>
      <c r="N1000" s="503"/>
      <c r="O1000" s="503"/>
      <c r="P1000" s="503"/>
      <c r="Q1000" s="159"/>
      <c r="R1000" s="159"/>
      <c r="S1000" s="159"/>
      <c r="V1000" s="307"/>
      <c r="AC1000" s="306"/>
      <c r="AD1000" s="503" t="str">
        <f>+$A$8</f>
        <v>Revised:  11/4/2019</v>
      </c>
      <c r="AE1000" s="516"/>
      <c r="AF1000" s="516"/>
      <c r="AG1000" s="516"/>
      <c r="AH1000" s="516"/>
      <c r="AI1000" s="516"/>
      <c r="AJ1000" s="516"/>
      <c r="AK1000" s="516"/>
      <c r="AL1000" s="516"/>
      <c r="AM1000" s="516"/>
      <c r="AN1000" s="516"/>
      <c r="AO1000" s="516"/>
      <c r="AP1000" s="516"/>
      <c r="AQ1000" s="516"/>
      <c r="AR1000" s="365"/>
      <c r="AS1000" s="307"/>
    </row>
    <row r="1001" spans="1:47" ht="15.75" customHeight="1" thickBot="1" x14ac:dyDescent="0.35">
      <c r="B1001" s="521" t="s">
        <v>1040</v>
      </c>
      <c r="C1001" s="522"/>
      <c r="D1001" s="522"/>
      <c r="E1001" s="522"/>
      <c r="F1001" s="522"/>
      <c r="G1001" s="522"/>
      <c r="H1001" s="522"/>
      <c r="I1001" s="522"/>
      <c r="J1001" s="522"/>
      <c r="K1001" s="522"/>
      <c r="L1001" s="522"/>
      <c r="M1001" s="522"/>
      <c r="N1001" s="522"/>
      <c r="O1001" s="522"/>
      <c r="P1001" s="522"/>
      <c r="Q1001" s="159"/>
      <c r="R1001" s="159"/>
      <c r="S1001" s="327"/>
      <c r="V1001" s="307"/>
      <c r="AC1001" s="306"/>
      <c r="AD1001" s="503" t="s">
        <v>1024</v>
      </c>
      <c r="AE1001" s="508"/>
      <c r="AF1001" s="508"/>
      <c r="AG1001" s="508"/>
      <c r="AH1001" s="508"/>
      <c r="AI1001" s="508"/>
      <c r="AJ1001" s="508"/>
      <c r="AK1001" s="508"/>
      <c r="AL1001" s="508"/>
      <c r="AM1001" s="508"/>
      <c r="AN1001" s="508"/>
      <c r="AO1001" s="508"/>
      <c r="AP1001" s="508"/>
      <c r="AQ1001" s="508"/>
      <c r="AS1001" s="307"/>
    </row>
    <row r="1002" spans="1:47" ht="15.75" customHeight="1" thickBot="1" x14ac:dyDescent="0.35">
      <c r="A1002" s="384"/>
      <c r="B1002" s="523" t="s">
        <v>1041</v>
      </c>
      <c r="C1002" s="524"/>
      <c r="D1002" s="524"/>
      <c r="E1002" s="524"/>
      <c r="F1002" s="525"/>
      <c r="G1002" s="523" t="s">
        <v>1042</v>
      </c>
      <c r="H1002" s="524"/>
      <c r="I1002" s="524"/>
      <c r="J1002" s="524"/>
      <c r="K1002" s="524"/>
      <c r="L1002" s="524"/>
      <c r="M1002" s="526" t="s">
        <v>1043</v>
      </c>
      <c r="N1002" s="527"/>
      <c r="O1002" s="527"/>
      <c r="P1002" s="527"/>
      <c r="Q1002" s="527"/>
      <c r="R1002" s="528"/>
      <c r="S1002" s="523" t="s">
        <v>1044</v>
      </c>
      <c r="T1002" s="529"/>
      <c r="U1002" s="530"/>
      <c r="V1002" s="307"/>
      <c r="AC1002" s="306"/>
      <c r="AS1002" s="307"/>
    </row>
    <row r="1003" spans="1:47" ht="15.75" customHeight="1" x14ac:dyDescent="0.3">
      <c r="A1003" s="384"/>
      <c r="B1003" s="325" t="s">
        <v>428</v>
      </c>
      <c r="C1003" s="164"/>
      <c r="D1003" s="164" t="s">
        <v>469</v>
      </c>
      <c r="E1003" s="164" t="s">
        <v>470</v>
      </c>
      <c r="F1003" s="333" t="s">
        <v>1045</v>
      </c>
      <c r="G1003" s="325" t="s">
        <v>471</v>
      </c>
      <c r="H1003" s="164"/>
      <c r="I1003" s="164"/>
      <c r="J1003" s="164" t="s">
        <v>472</v>
      </c>
      <c r="K1003" s="164" t="s">
        <v>1046</v>
      </c>
      <c r="L1003" s="164" t="s">
        <v>1047</v>
      </c>
      <c r="M1003" s="531" t="s">
        <v>1048</v>
      </c>
      <c r="N1003" s="532"/>
      <c r="O1003" s="533"/>
      <c r="P1003" s="385"/>
      <c r="Q1003" s="386"/>
      <c r="R1003" s="387"/>
      <c r="S1003" s="164" t="s">
        <v>1049</v>
      </c>
      <c r="T1003" s="388" t="s">
        <v>486</v>
      </c>
      <c r="U1003" s="389" t="s">
        <v>1050</v>
      </c>
      <c r="V1003" s="307"/>
      <c r="AC1003" s="306"/>
      <c r="AD1003" s="509">
        <f>$A$5</f>
        <v>2019</v>
      </c>
      <c r="AE1003" s="508"/>
      <c r="AF1003" s="508"/>
      <c r="AG1003" s="508"/>
      <c r="AH1003" s="508"/>
      <c r="AI1003" s="508"/>
      <c r="AJ1003" s="508"/>
      <c r="AK1003" s="508"/>
      <c r="AL1003" s="508"/>
      <c r="AM1003" s="508"/>
      <c r="AN1003" s="508"/>
      <c r="AO1003" s="508"/>
      <c r="AP1003" s="508"/>
      <c r="AQ1003" s="508"/>
      <c r="AS1003" s="307"/>
    </row>
    <row r="1004" spans="1:47" ht="15.75" customHeight="1" x14ac:dyDescent="0.3">
      <c r="A1004" s="384"/>
      <c r="B1004" s="390" t="s">
        <v>1051</v>
      </c>
      <c r="C1004" s="391" t="s">
        <v>1052</v>
      </c>
      <c r="D1004" s="391" t="s">
        <v>1053</v>
      </c>
      <c r="E1004" s="164" t="s">
        <v>442</v>
      </c>
      <c r="F1004" s="392" t="s">
        <v>1054</v>
      </c>
      <c r="G1004" s="325" t="s">
        <v>429</v>
      </c>
      <c r="H1004" s="164" t="s">
        <v>478</v>
      </c>
      <c r="I1004" s="164" t="s">
        <v>479</v>
      </c>
      <c r="J1004" s="391" t="s">
        <v>1055</v>
      </c>
      <c r="K1004" s="164" t="s">
        <v>1034</v>
      </c>
      <c r="L1004" s="391" t="s">
        <v>1056</v>
      </c>
      <c r="M1004" s="393" t="s">
        <v>1057</v>
      </c>
      <c r="N1004" s="385" t="s">
        <v>1058</v>
      </c>
      <c r="O1004" s="394" t="s">
        <v>422</v>
      </c>
      <c r="P1004" s="385" t="s">
        <v>1059</v>
      </c>
      <c r="Q1004" s="385" t="s">
        <v>1059</v>
      </c>
      <c r="R1004" s="394" t="s">
        <v>1060</v>
      </c>
      <c r="S1004" s="164" t="s">
        <v>1061</v>
      </c>
      <c r="T1004" s="164" t="s">
        <v>1062</v>
      </c>
      <c r="U1004" s="333" t="s">
        <v>1063</v>
      </c>
      <c r="V1004" s="307"/>
      <c r="AC1004" s="306"/>
      <c r="AD1004" s="503" t="s">
        <v>1029</v>
      </c>
      <c r="AE1004" s="516"/>
      <c r="AF1004" s="516"/>
      <c r="AG1004" s="516"/>
      <c r="AH1004" s="516"/>
      <c r="AI1004" s="516"/>
      <c r="AJ1004" s="516"/>
      <c r="AK1004" s="516"/>
      <c r="AL1004" s="516"/>
      <c r="AM1004" s="516"/>
      <c r="AN1004" s="516"/>
      <c r="AO1004" s="516"/>
      <c r="AP1004" s="516"/>
      <c r="AQ1004" s="516"/>
      <c r="AR1004" s="164"/>
      <c r="AS1004" s="307"/>
    </row>
    <row r="1005" spans="1:47" ht="15.75" customHeight="1" x14ac:dyDescent="0.3">
      <c r="A1005" s="384"/>
      <c r="B1005" s="395" t="s">
        <v>1064</v>
      </c>
      <c r="C1005" s="169">
        <v>0</v>
      </c>
      <c r="D1005" s="169"/>
      <c r="E1005" s="164" t="s">
        <v>485</v>
      </c>
      <c r="F1005" s="396" t="s">
        <v>1065</v>
      </c>
      <c r="G1005" s="325" t="s">
        <v>1066</v>
      </c>
      <c r="H1005" s="164" t="s">
        <v>442</v>
      </c>
      <c r="I1005" s="164" t="s">
        <v>442</v>
      </c>
      <c r="J1005" s="164" t="s">
        <v>442</v>
      </c>
      <c r="K1005" s="164" t="s">
        <v>486</v>
      </c>
      <c r="L1005" s="164" t="s">
        <v>1067</v>
      </c>
      <c r="M1005" s="397" t="s">
        <v>434</v>
      </c>
      <c r="N1005" s="386" t="s">
        <v>1068</v>
      </c>
      <c r="O1005" s="394" t="s">
        <v>1069</v>
      </c>
      <c r="P1005" s="386" t="s">
        <v>1070</v>
      </c>
      <c r="Q1005" s="385" t="s">
        <v>1070</v>
      </c>
      <c r="R1005" s="394" t="s">
        <v>1069</v>
      </c>
      <c r="S1005" s="164" t="s">
        <v>442</v>
      </c>
      <c r="T1005" s="164" t="s">
        <v>442</v>
      </c>
      <c r="U1005" s="333" t="s">
        <v>442</v>
      </c>
      <c r="V1005" s="307"/>
      <c r="AC1005" s="306"/>
      <c r="AK1005" s="372"/>
      <c r="AS1005" s="307"/>
    </row>
    <row r="1006" spans="1:47" ht="15.75" customHeight="1" thickBot="1" x14ac:dyDescent="0.35">
      <c r="A1006" s="377" t="s">
        <v>1071</v>
      </c>
      <c r="B1006" s="325" t="s">
        <v>491</v>
      </c>
      <c r="C1006" s="164" t="s">
        <v>491</v>
      </c>
      <c r="D1006" s="164" t="s">
        <v>491</v>
      </c>
      <c r="E1006" s="164" t="s">
        <v>491</v>
      </c>
      <c r="F1006" s="333" t="s">
        <v>491</v>
      </c>
      <c r="G1006" s="325" t="s">
        <v>491</v>
      </c>
      <c r="H1006" s="164" t="s">
        <v>491</v>
      </c>
      <c r="I1006" s="164" t="s">
        <v>491</v>
      </c>
      <c r="J1006" s="164" t="s">
        <v>491</v>
      </c>
      <c r="K1006" s="164" t="s">
        <v>491</v>
      </c>
      <c r="L1006" s="164" t="s">
        <v>491</v>
      </c>
      <c r="M1006" s="397" t="s">
        <v>491</v>
      </c>
      <c r="N1006" s="386" t="s">
        <v>491</v>
      </c>
      <c r="O1006" s="394" t="s">
        <v>491</v>
      </c>
      <c r="P1006" s="386" t="s">
        <v>937</v>
      </c>
      <c r="Q1006" s="385" t="s">
        <v>491</v>
      </c>
      <c r="R1006" s="394" t="s">
        <v>491</v>
      </c>
      <c r="S1006" s="164" t="s">
        <v>491</v>
      </c>
      <c r="T1006" s="164" t="s">
        <v>491</v>
      </c>
      <c r="U1006" s="333" t="s">
        <v>491</v>
      </c>
      <c r="V1006" s="307"/>
      <c r="AC1006" s="306"/>
      <c r="AD1006" s="364" t="s">
        <v>390</v>
      </c>
      <c r="AE1006" s="364" t="s">
        <v>391</v>
      </c>
      <c r="AF1006" s="364" t="s">
        <v>392</v>
      </c>
      <c r="AG1006" s="364" t="s">
        <v>393</v>
      </c>
      <c r="AH1006" s="364" t="s">
        <v>394</v>
      </c>
      <c r="AI1006" s="364" t="s">
        <v>395</v>
      </c>
      <c r="AJ1006" s="364" t="s">
        <v>396</v>
      </c>
      <c r="AK1006" s="364" t="s">
        <v>397</v>
      </c>
      <c r="AL1006" s="364" t="s">
        <v>398</v>
      </c>
      <c r="AM1006" s="364" t="s">
        <v>399</v>
      </c>
      <c r="AN1006" s="364" t="s">
        <v>400</v>
      </c>
      <c r="AO1006" s="364" t="s">
        <v>401</v>
      </c>
      <c r="AP1006" s="364" t="s">
        <v>402</v>
      </c>
      <c r="AQ1006" s="364" t="s">
        <v>403</v>
      </c>
      <c r="AR1006" s="364" t="s">
        <v>404</v>
      </c>
      <c r="AS1006" s="373" t="s">
        <v>422</v>
      </c>
    </row>
    <row r="1007" spans="1:47" ht="15.75" customHeight="1" x14ac:dyDescent="0.3">
      <c r="A1007" s="377" t="s">
        <v>409</v>
      </c>
      <c r="B1007" s="325" t="s">
        <v>409</v>
      </c>
      <c r="C1007" s="164" t="s">
        <v>409</v>
      </c>
      <c r="D1007" s="164" t="s">
        <v>409</v>
      </c>
      <c r="E1007" s="164" t="s">
        <v>493</v>
      </c>
      <c r="F1007" s="333" t="s">
        <v>409</v>
      </c>
      <c r="G1007" s="325" t="s">
        <v>409</v>
      </c>
      <c r="H1007" s="164" t="s">
        <v>494</v>
      </c>
      <c r="I1007" s="164" t="s">
        <v>494</v>
      </c>
      <c r="J1007" s="164" t="s">
        <v>409</v>
      </c>
      <c r="K1007" s="164" t="s">
        <v>409</v>
      </c>
      <c r="L1007" s="164" t="s">
        <v>409</v>
      </c>
      <c r="M1007" s="397" t="s">
        <v>409</v>
      </c>
      <c r="N1007" s="386" t="s">
        <v>409</v>
      </c>
      <c r="O1007" s="394" t="s">
        <v>409</v>
      </c>
      <c r="P1007" s="397" t="s">
        <v>409</v>
      </c>
      <c r="Q1007" s="386" t="s">
        <v>409</v>
      </c>
      <c r="R1007" s="394" t="s">
        <v>409</v>
      </c>
      <c r="S1007" s="164" t="s">
        <v>409</v>
      </c>
      <c r="T1007" s="164" t="s">
        <v>409</v>
      </c>
      <c r="U1007" s="333" t="s">
        <v>409</v>
      </c>
      <c r="V1007" s="307"/>
      <c r="AC1007" s="306"/>
      <c r="AD1007" s="159"/>
      <c r="AE1007" s="159"/>
      <c r="AF1007" s="159"/>
      <c r="AG1007" s="159"/>
      <c r="AH1007" s="164" t="s">
        <v>1030</v>
      </c>
      <c r="AI1007" s="159"/>
      <c r="AJ1007" s="159"/>
      <c r="AK1007" s="159"/>
      <c r="AL1007" s="159"/>
      <c r="AM1007" s="159"/>
      <c r="AN1007" s="159"/>
      <c r="AO1007" s="159"/>
      <c r="AP1007" s="159"/>
      <c r="AQ1007" s="159"/>
      <c r="AR1007" s="159"/>
      <c r="AS1007" s="374"/>
    </row>
    <row r="1008" spans="1:47" ht="15.75" customHeight="1" x14ac:dyDescent="0.3">
      <c r="A1008" s="365" t="s">
        <v>795</v>
      </c>
      <c r="B1008" s="325">
        <f>ROUND(R980-G980,0)</f>
        <v>158909</v>
      </c>
      <c r="C1008" s="164">
        <f>+ROUND(B1008*$C$1005,0)</f>
        <v>0</v>
      </c>
      <c r="D1008" s="164">
        <f>AS980</f>
        <v>6500</v>
      </c>
      <c r="E1008" s="164">
        <f>+B1008+C1008</f>
        <v>158909</v>
      </c>
      <c r="F1008" s="333">
        <f>(D1008+E1008)</f>
        <v>165409</v>
      </c>
      <c r="G1008" s="325">
        <f>ABS(G980)</f>
        <v>2506.933714525439</v>
      </c>
      <c r="H1008" s="398">
        <v>9026</v>
      </c>
      <c r="I1008" s="398">
        <v>0</v>
      </c>
      <c r="J1008" s="164">
        <f>(H1008+I1008)</f>
        <v>9026</v>
      </c>
      <c r="K1008" s="398">
        <v>0</v>
      </c>
      <c r="L1008" s="398">
        <v>0</v>
      </c>
      <c r="M1008" s="399">
        <f>D1008+E1008-G1008-J1008-K1008-L1008</f>
        <v>153876.06628547458</v>
      </c>
      <c r="N1008" s="400">
        <v>0</v>
      </c>
      <c r="O1008" s="394">
        <f>M1008+N1008</f>
        <v>153876.06628547458</v>
      </c>
      <c r="P1008" s="401">
        <v>0.2</v>
      </c>
      <c r="Q1008" s="386">
        <f>-O1008*P1008</f>
        <v>-30775.213257094918</v>
      </c>
      <c r="R1008" s="394">
        <f>O1008+Q1008</f>
        <v>123100.85302837966</v>
      </c>
      <c r="S1008" s="402">
        <f t="shared" ref="S1008:S1019" si="367">(F1008-G1008-J1008-K1008-L1008-R1008)</f>
        <v>30775.213257094918</v>
      </c>
      <c r="T1008" s="164">
        <f>+IF(S1008&gt;=0,ABS(S1008),"")</f>
        <v>30775.213257094918</v>
      </c>
      <c r="U1008" s="333" t="str">
        <f>+IF(S1008&lt;=0,ABS(S1008),"")</f>
        <v/>
      </c>
      <c r="V1008" s="307"/>
      <c r="AC1008" s="375" t="s">
        <v>1072</v>
      </c>
      <c r="AD1008" s="376"/>
      <c r="AE1008" s="376"/>
      <c r="AF1008" s="376"/>
      <c r="AG1008" s="376"/>
      <c r="AH1008" s="376">
        <v>1.6E-2</v>
      </c>
      <c r="AI1008" s="376">
        <v>1.6E-2</v>
      </c>
      <c r="AJ1008" s="376">
        <v>1.6E-2</v>
      </c>
      <c r="AK1008" s="376">
        <v>1.6E-2</v>
      </c>
      <c r="AL1008" s="376">
        <v>1.6E-2</v>
      </c>
      <c r="AM1008" s="376">
        <v>1.6E-2</v>
      </c>
      <c r="AN1008" s="376">
        <v>1.6E-2</v>
      </c>
      <c r="AO1008" s="376">
        <v>1.6E-2</v>
      </c>
      <c r="AP1008" s="376">
        <v>1.6E-2</v>
      </c>
      <c r="AQ1008" s="376">
        <v>1.6E-2</v>
      </c>
      <c r="AR1008" s="376">
        <v>1.6E-2</v>
      </c>
      <c r="AS1008" s="377"/>
    </row>
    <row r="1009" spans="1:45" ht="15.75" customHeight="1" x14ac:dyDescent="0.3">
      <c r="A1009" s="365" t="s">
        <v>9</v>
      </c>
      <c r="B1009" s="325">
        <f>ROUND(R981-G981,0)</f>
        <v>257025</v>
      </c>
      <c r="C1009" s="164">
        <f t="shared" ref="C1009:C1019" si="368">+ROUND(B1009*$C$1005,0)</f>
        <v>0</v>
      </c>
      <c r="D1009" s="164">
        <f t="shared" ref="D1009:D1019" si="369">AS981</f>
        <v>10760</v>
      </c>
      <c r="E1009" s="164">
        <f t="shared" ref="E1009:E1021" si="370">+B1009+C1009</f>
        <v>257025</v>
      </c>
      <c r="F1009" s="333">
        <f t="shared" ref="F1009:F1019" si="371">(D1009+E1009)</f>
        <v>267785</v>
      </c>
      <c r="G1009" s="325">
        <f t="shared" ref="G1009:G1019" si="372">ABS(G981)</f>
        <v>0</v>
      </c>
      <c r="H1009" s="398">
        <v>10267</v>
      </c>
      <c r="I1009" s="398">
        <v>0</v>
      </c>
      <c r="J1009" s="164">
        <f t="shared" ref="J1009:J1018" si="373">(H1009+I1009)</f>
        <v>10267</v>
      </c>
      <c r="K1009" s="398">
        <v>0</v>
      </c>
      <c r="L1009" s="398">
        <v>0</v>
      </c>
      <c r="M1009" s="399">
        <f t="shared" ref="M1009:M1019" si="374">D1009+E1009-G1009-J1009-K1009-L1009</f>
        <v>257518</v>
      </c>
      <c r="N1009" s="400">
        <v>0</v>
      </c>
      <c r="O1009" s="394">
        <f t="shared" ref="O1009:O1019" si="375">M1009+N1009</f>
        <v>257518</v>
      </c>
      <c r="P1009" s="401">
        <v>0.25</v>
      </c>
      <c r="Q1009" s="386">
        <f t="shared" ref="Q1009:Q1019" si="376">-O1009*P1009</f>
        <v>-64379.5</v>
      </c>
      <c r="R1009" s="394">
        <f t="shared" ref="R1009:R1019" si="377">O1009+Q1009</f>
        <v>193138.5</v>
      </c>
      <c r="S1009" s="402">
        <f t="shared" si="367"/>
        <v>64379.5</v>
      </c>
      <c r="T1009" s="164">
        <f t="shared" ref="T1009:T1019" si="378">+IF(S1009&gt;=0,ABS(S1009),"")</f>
        <v>64379.5</v>
      </c>
      <c r="U1009" s="333" t="str">
        <f t="shared" ref="U1009:U1019" si="379">+IF(S1009&lt;=0,ABS(S1009),"")</f>
        <v/>
      </c>
      <c r="V1009" s="307"/>
      <c r="AC1009" s="375" t="s">
        <v>1032</v>
      </c>
      <c r="AD1009" s="376"/>
      <c r="AE1009" s="376"/>
      <c r="AF1009" s="376"/>
      <c r="AG1009" s="376"/>
      <c r="AH1009" s="376"/>
      <c r="AI1009" s="376"/>
      <c r="AJ1009" s="376"/>
      <c r="AK1009" s="376"/>
      <c r="AL1009" s="376"/>
      <c r="AM1009" s="376"/>
      <c r="AN1009" s="376"/>
      <c r="AO1009" s="376"/>
      <c r="AP1009" s="376"/>
      <c r="AQ1009" s="376"/>
      <c r="AR1009" s="376"/>
      <c r="AS1009" s="377"/>
    </row>
    <row r="1010" spans="1:45" ht="15.75" customHeight="1" x14ac:dyDescent="0.3">
      <c r="A1010" s="365" t="s">
        <v>10</v>
      </c>
      <c r="B1010" s="325">
        <f t="shared" ref="B1010:B1019" si="380">ROUND(R982-G982,0)</f>
        <v>147670</v>
      </c>
      <c r="C1010" s="164">
        <f t="shared" si="368"/>
        <v>0</v>
      </c>
      <c r="D1010" s="164">
        <f t="shared" si="369"/>
        <v>6425</v>
      </c>
      <c r="E1010" s="164">
        <f t="shared" si="370"/>
        <v>147670</v>
      </c>
      <c r="F1010" s="333">
        <f t="shared" si="371"/>
        <v>154095</v>
      </c>
      <c r="G1010" s="325">
        <f t="shared" si="372"/>
        <v>18.934962702452861</v>
      </c>
      <c r="H1010" s="398">
        <v>15833</v>
      </c>
      <c r="I1010" s="398">
        <v>0</v>
      </c>
      <c r="J1010" s="164">
        <f t="shared" si="373"/>
        <v>15833</v>
      </c>
      <c r="K1010" s="398">
        <v>0</v>
      </c>
      <c r="L1010" s="398">
        <v>0</v>
      </c>
      <c r="M1010" s="399">
        <f t="shared" si="374"/>
        <v>138243.06503729755</v>
      </c>
      <c r="N1010" s="400">
        <v>0</v>
      </c>
      <c r="O1010" s="394">
        <f t="shared" si="375"/>
        <v>138243.06503729755</v>
      </c>
      <c r="P1010" s="401">
        <v>0.3</v>
      </c>
      <c r="Q1010" s="386">
        <f t="shared" si="376"/>
        <v>-41472.919511189262</v>
      </c>
      <c r="R1010" s="394">
        <f t="shared" si="377"/>
        <v>96770.145526108288</v>
      </c>
      <c r="S1010" s="402">
        <f t="shared" si="367"/>
        <v>41472.919511189262</v>
      </c>
      <c r="T1010" s="164">
        <f t="shared" si="378"/>
        <v>41472.919511189262</v>
      </c>
      <c r="U1010" s="333" t="str">
        <f t="shared" si="379"/>
        <v/>
      </c>
      <c r="V1010" s="307"/>
      <c r="AC1010" s="375" t="s">
        <v>1033</v>
      </c>
      <c r="AD1010" s="376"/>
      <c r="AE1010" s="376"/>
      <c r="AF1010" s="376"/>
      <c r="AG1010" s="376"/>
      <c r="AH1010" s="376"/>
      <c r="AI1010" s="376"/>
      <c r="AJ1010" s="376"/>
      <c r="AK1010" s="376"/>
      <c r="AL1010" s="376"/>
      <c r="AM1010" s="376"/>
      <c r="AN1010" s="376"/>
      <c r="AO1010" s="376"/>
      <c r="AP1010" s="376"/>
      <c r="AQ1010" s="376"/>
      <c r="AR1010" s="376"/>
      <c r="AS1010" s="377"/>
    </row>
    <row r="1011" spans="1:45" ht="15.75" customHeight="1" x14ac:dyDescent="0.3">
      <c r="A1011" s="365" t="s">
        <v>12</v>
      </c>
      <c r="B1011" s="325">
        <f t="shared" si="380"/>
        <v>257804</v>
      </c>
      <c r="C1011" s="164">
        <f t="shared" si="368"/>
        <v>0</v>
      </c>
      <c r="D1011" s="164">
        <f t="shared" si="369"/>
        <v>11221</v>
      </c>
      <c r="E1011" s="164">
        <f t="shared" si="370"/>
        <v>257804</v>
      </c>
      <c r="F1011" s="333">
        <f t="shared" si="371"/>
        <v>269025</v>
      </c>
      <c r="G1011" s="325">
        <f t="shared" si="372"/>
        <v>2064.1243137551173</v>
      </c>
      <c r="H1011" s="398">
        <v>15927</v>
      </c>
      <c r="I1011" s="398">
        <v>0</v>
      </c>
      <c r="J1011" s="164">
        <f t="shared" si="373"/>
        <v>15927</v>
      </c>
      <c r="K1011" s="398">
        <v>0</v>
      </c>
      <c r="L1011" s="398">
        <v>0</v>
      </c>
      <c r="M1011" s="399">
        <f t="shared" si="374"/>
        <v>251033.87568624486</v>
      </c>
      <c r="N1011" s="400">
        <v>-22320</v>
      </c>
      <c r="O1011" s="394">
        <f t="shared" si="375"/>
        <v>228713.87568624486</v>
      </c>
      <c r="P1011" s="401">
        <v>0.35</v>
      </c>
      <c r="Q1011" s="386">
        <f t="shared" si="376"/>
        <v>-80049.856490185703</v>
      </c>
      <c r="R1011" s="394">
        <f t="shared" si="377"/>
        <v>148664.01919605915</v>
      </c>
      <c r="S1011" s="402">
        <f t="shared" si="367"/>
        <v>102369.85649018572</v>
      </c>
      <c r="T1011" s="164">
        <f t="shared" si="378"/>
        <v>102369.85649018572</v>
      </c>
      <c r="U1011" s="333" t="str">
        <f t="shared" si="379"/>
        <v/>
      </c>
      <c r="V1011" s="307"/>
      <c r="AC1011" s="375" t="s">
        <v>822</v>
      </c>
      <c r="AD1011" s="376"/>
      <c r="AE1011" s="376"/>
      <c r="AF1011" s="376"/>
      <c r="AG1011" s="376"/>
      <c r="AH1011" s="376"/>
      <c r="AI1011" s="376"/>
      <c r="AJ1011" s="376"/>
      <c r="AK1011" s="376"/>
      <c r="AL1011" s="376"/>
      <c r="AM1011" s="376"/>
      <c r="AN1011" s="376"/>
      <c r="AO1011" s="376"/>
      <c r="AP1011" s="376"/>
      <c r="AQ1011" s="376"/>
      <c r="AR1011" s="376"/>
      <c r="AS1011" s="377"/>
    </row>
    <row r="1012" spans="1:45" ht="15.75" customHeight="1" x14ac:dyDescent="0.3">
      <c r="A1012" s="365" t="s">
        <v>13</v>
      </c>
      <c r="B1012" s="325">
        <f t="shared" si="380"/>
        <v>264336</v>
      </c>
      <c r="C1012" s="164">
        <f t="shared" si="368"/>
        <v>0</v>
      </c>
      <c r="D1012" s="164">
        <f t="shared" si="369"/>
        <v>11491</v>
      </c>
      <c r="E1012" s="164">
        <f t="shared" si="370"/>
        <v>264336</v>
      </c>
      <c r="F1012" s="333">
        <f t="shared" si="371"/>
        <v>275827</v>
      </c>
      <c r="G1012" s="325">
        <f t="shared" si="372"/>
        <v>2413.2152245366124</v>
      </c>
      <c r="H1012" s="398">
        <v>14250</v>
      </c>
      <c r="I1012" s="398">
        <v>0</v>
      </c>
      <c r="J1012" s="164">
        <f t="shared" si="373"/>
        <v>14250</v>
      </c>
      <c r="K1012" s="398">
        <v>0</v>
      </c>
      <c r="L1012" s="398">
        <v>0</v>
      </c>
      <c r="M1012" s="399">
        <f t="shared" si="374"/>
        <v>259163.7847754634</v>
      </c>
      <c r="N1012" s="400">
        <v>0</v>
      </c>
      <c r="O1012" s="394">
        <f t="shared" si="375"/>
        <v>259163.7847754634</v>
      </c>
      <c r="P1012" s="401">
        <v>0.35</v>
      </c>
      <c r="Q1012" s="386">
        <f t="shared" si="376"/>
        <v>-90707.324671412178</v>
      </c>
      <c r="R1012" s="394">
        <f t="shared" si="377"/>
        <v>168456.46010405122</v>
      </c>
      <c r="S1012" s="402">
        <f t="shared" si="367"/>
        <v>90707.324671412178</v>
      </c>
      <c r="T1012" s="164">
        <f t="shared" si="378"/>
        <v>90707.324671412178</v>
      </c>
      <c r="U1012" s="333" t="str">
        <f t="shared" si="379"/>
        <v/>
      </c>
      <c r="V1012" s="307"/>
      <c r="AC1012" s="375" t="s">
        <v>1073</v>
      </c>
      <c r="AD1012" s="376"/>
      <c r="AE1012" s="376"/>
      <c r="AF1012" s="376"/>
      <c r="AG1012" s="376"/>
      <c r="AH1012" s="376"/>
      <c r="AI1012" s="376"/>
      <c r="AJ1012" s="376">
        <v>2.5000000000000001E-2</v>
      </c>
      <c r="AK1012" s="376">
        <v>2.5000000000000001E-2</v>
      </c>
      <c r="AL1012" s="376">
        <v>2.5000000000000001E-2</v>
      </c>
      <c r="AM1012" s="376">
        <v>2.5000000000000001E-2</v>
      </c>
      <c r="AN1012" s="376">
        <v>2.5000000000000001E-2</v>
      </c>
      <c r="AO1012" s="376">
        <v>2.5000000000000001E-2</v>
      </c>
      <c r="AP1012" s="376">
        <v>2.5000000000000001E-2</v>
      </c>
      <c r="AQ1012" s="376">
        <v>2.5000000000000001E-2</v>
      </c>
      <c r="AR1012" s="376">
        <v>2.5000000000000001E-2</v>
      </c>
      <c r="AS1012" s="377"/>
    </row>
    <row r="1013" spans="1:45" ht="15.75" customHeight="1" x14ac:dyDescent="0.3">
      <c r="A1013" s="365" t="s">
        <v>14</v>
      </c>
      <c r="B1013" s="325">
        <f>ROUND(R985-G985,0)</f>
        <v>201403</v>
      </c>
      <c r="C1013" s="164">
        <f t="shared" si="368"/>
        <v>0</v>
      </c>
      <c r="D1013" s="164">
        <f t="shared" si="369"/>
        <v>8591</v>
      </c>
      <c r="E1013" s="164">
        <f t="shared" si="370"/>
        <v>201403</v>
      </c>
      <c r="F1013" s="333">
        <f t="shared" si="371"/>
        <v>209994</v>
      </c>
      <c r="G1013" s="325">
        <f t="shared" si="372"/>
        <v>11780.352331035441</v>
      </c>
      <c r="H1013" s="398">
        <v>12696</v>
      </c>
      <c r="I1013" s="398">
        <v>0</v>
      </c>
      <c r="J1013" s="164">
        <f t="shared" si="373"/>
        <v>12696</v>
      </c>
      <c r="K1013" s="398">
        <v>0</v>
      </c>
      <c r="L1013" s="398">
        <v>0</v>
      </c>
      <c r="M1013" s="399">
        <f t="shared" si="374"/>
        <v>185517.64766896455</v>
      </c>
      <c r="N1013" s="400">
        <v>47280</v>
      </c>
      <c r="O1013" s="394">
        <f t="shared" si="375"/>
        <v>232797.64766896455</v>
      </c>
      <c r="P1013" s="401">
        <v>7.4999999999999997E-2</v>
      </c>
      <c r="Q1013" s="386">
        <f t="shared" si="376"/>
        <v>-17459.82357517234</v>
      </c>
      <c r="R1013" s="394">
        <f t="shared" si="377"/>
        <v>215337.82409379221</v>
      </c>
      <c r="S1013" s="402">
        <f t="shared" si="367"/>
        <v>-29820.17642482766</v>
      </c>
      <c r="T1013" s="164" t="str">
        <f t="shared" si="378"/>
        <v/>
      </c>
      <c r="U1013" s="333">
        <f t="shared" si="379"/>
        <v>29820.17642482766</v>
      </c>
      <c r="V1013" s="307"/>
      <c r="AC1013" s="375" t="s">
        <v>422</v>
      </c>
      <c r="AD1013" s="169">
        <f>SUM(AD1008:AD1012)</f>
        <v>0</v>
      </c>
      <c r="AE1013" s="169">
        <f t="shared" ref="AE1013:AR1013" si="381">SUM(AE1008:AE1012)</f>
        <v>0</v>
      </c>
      <c r="AF1013" s="169">
        <f t="shared" si="381"/>
        <v>0</v>
      </c>
      <c r="AG1013" s="169">
        <f t="shared" si="381"/>
        <v>0</v>
      </c>
      <c r="AH1013" s="169">
        <f t="shared" si="381"/>
        <v>1.6E-2</v>
      </c>
      <c r="AI1013" s="169">
        <f t="shared" si="381"/>
        <v>1.6E-2</v>
      </c>
      <c r="AJ1013" s="169">
        <f t="shared" si="381"/>
        <v>4.1000000000000002E-2</v>
      </c>
      <c r="AK1013" s="169">
        <f t="shared" si="381"/>
        <v>4.1000000000000002E-2</v>
      </c>
      <c r="AL1013" s="169">
        <f t="shared" si="381"/>
        <v>4.1000000000000002E-2</v>
      </c>
      <c r="AM1013" s="169">
        <f t="shared" si="381"/>
        <v>4.1000000000000002E-2</v>
      </c>
      <c r="AN1013" s="169">
        <f t="shared" si="381"/>
        <v>4.1000000000000002E-2</v>
      </c>
      <c r="AO1013" s="169">
        <f t="shared" si="381"/>
        <v>4.1000000000000002E-2</v>
      </c>
      <c r="AP1013" s="169">
        <f t="shared" si="381"/>
        <v>4.1000000000000002E-2</v>
      </c>
      <c r="AQ1013" s="169">
        <f t="shared" si="381"/>
        <v>4.1000000000000002E-2</v>
      </c>
      <c r="AR1013" s="169">
        <f t="shared" si="381"/>
        <v>4.1000000000000002E-2</v>
      </c>
      <c r="AS1013" s="377"/>
    </row>
    <row r="1014" spans="1:45" ht="15.75" customHeight="1" x14ac:dyDescent="0.3">
      <c r="A1014" s="365" t="s">
        <v>16</v>
      </c>
      <c r="B1014" s="325">
        <f t="shared" si="380"/>
        <v>190870</v>
      </c>
      <c r="C1014" s="164">
        <f t="shared" si="368"/>
        <v>0</v>
      </c>
      <c r="D1014" s="164">
        <f t="shared" si="369"/>
        <v>8064</v>
      </c>
      <c r="E1014" s="164">
        <f t="shared" si="370"/>
        <v>190870</v>
      </c>
      <c r="F1014" s="333">
        <f t="shared" si="371"/>
        <v>198934</v>
      </c>
      <c r="G1014" s="325">
        <f t="shared" si="372"/>
        <v>11236.261045961823</v>
      </c>
      <c r="H1014" s="398">
        <v>11620</v>
      </c>
      <c r="I1014" s="398">
        <v>0</v>
      </c>
      <c r="J1014" s="164">
        <f t="shared" si="373"/>
        <v>11620</v>
      </c>
      <c r="K1014" s="398">
        <v>0</v>
      </c>
      <c r="L1014" s="398">
        <v>0</v>
      </c>
      <c r="M1014" s="399">
        <f t="shared" si="374"/>
        <v>176077.73895403818</v>
      </c>
      <c r="N1014" s="400">
        <v>47120</v>
      </c>
      <c r="O1014" s="394">
        <f t="shared" si="375"/>
        <v>223197.73895403818</v>
      </c>
      <c r="P1014" s="401">
        <v>0.05</v>
      </c>
      <c r="Q1014" s="386">
        <f t="shared" si="376"/>
        <v>-11159.886947701911</v>
      </c>
      <c r="R1014" s="394">
        <f t="shared" si="377"/>
        <v>212037.85200633627</v>
      </c>
      <c r="S1014" s="402">
        <f t="shared" si="367"/>
        <v>-35960.113052298082</v>
      </c>
      <c r="T1014" s="164" t="str">
        <f t="shared" si="378"/>
        <v/>
      </c>
      <c r="U1014" s="333">
        <f t="shared" si="379"/>
        <v>35960.113052298082</v>
      </c>
      <c r="V1014" s="307"/>
      <c r="AC1014" s="325" t="s">
        <v>409</v>
      </c>
      <c r="AD1014" s="164" t="s">
        <v>409</v>
      </c>
      <c r="AE1014" s="164" t="s">
        <v>409</v>
      </c>
      <c r="AF1014" s="164" t="s">
        <v>409</v>
      </c>
      <c r="AG1014" s="164" t="s">
        <v>409</v>
      </c>
      <c r="AH1014" s="164" t="s">
        <v>409</v>
      </c>
      <c r="AI1014" s="164" t="s">
        <v>409</v>
      </c>
      <c r="AJ1014" s="164" t="s">
        <v>409</v>
      </c>
      <c r="AK1014" s="164" t="s">
        <v>409</v>
      </c>
      <c r="AL1014" s="164" t="s">
        <v>409</v>
      </c>
      <c r="AM1014" s="164" t="s">
        <v>409</v>
      </c>
      <c r="AN1014" s="164" t="s">
        <v>409</v>
      </c>
      <c r="AO1014" s="164" t="s">
        <v>409</v>
      </c>
      <c r="AP1014" s="164" t="s">
        <v>409</v>
      </c>
      <c r="AQ1014" s="164" t="s">
        <v>409</v>
      </c>
      <c r="AR1014" s="164" t="s">
        <v>409</v>
      </c>
      <c r="AS1014" s="377" t="s">
        <v>409</v>
      </c>
    </row>
    <row r="1015" spans="1:45" ht="15.75" customHeight="1" x14ac:dyDescent="0.3">
      <c r="A1015" s="365" t="s">
        <v>17</v>
      </c>
      <c r="B1015" s="325">
        <f t="shared" si="380"/>
        <v>198483</v>
      </c>
      <c r="C1015" s="164">
        <f t="shared" si="368"/>
        <v>0</v>
      </c>
      <c r="D1015" s="164">
        <f t="shared" si="369"/>
        <v>8438</v>
      </c>
      <c r="E1015" s="164">
        <f t="shared" si="370"/>
        <v>198483</v>
      </c>
      <c r="F1015" s="333">
        <f t="shared" si="371"/>
        <v>206921</v>
      </c>
      <c r="G1015" s="325">
        <f t="shared" si="372"/>
        <v>7553.8558009853941</v>
      </c>
      <c r="H1015" s="398">
        <v>10241</v>
      </c>
      <c r="I1015" s="398">
        <v>0</v>
      </c>
      <c r="J1015" s="164">
        <f t="shared" si="373"/>
        <v>10241</v>
      </c>
      <c r="K1015" s="398">
        <v>0</v>
      </c>
      <c r="L1015" s="398">
        <v>0</v>
      </c>
      <c r="M1015" s="399">
        <f t="shared" si="374"/>
        <v>189126.14419901461</v>
      </c>
      <c r="N1015" s="400">
        <v>58776</v>
      </c>
      <c r="O1015" s="394">
        <f t="shared" si="375"/>
        <v>247902.14419901461</v>
      </c>
      <c r="P1015" s="401">
        <v>0</v>
      </c>
      <c r="Q1015" s="386">
        <f t="shared" si="376"/>
        <v>0</v>
      </c>
      <c r="R1015" s="394">
        <f t="shared" si="377"/>
        <v>247902.14419901461</v>
      </c>
      <c r="S1015" s="402">
        <f t="shared" si="367"/>
        <v>-58776</v>
      </c>
      <c r="T1015" s="164" t="str">
        <f t="shared" si="378"/>
        <v/>
      </c>
      <c r="U1015" s="333">
        <f t="shared" si="379"/>
        <v>58776</v>
      </c>
      <c r="V1015" s="307"/>
      <c r="AC1015" s="375" t="s">
        <v>795</v>
      </c>
      <c r="AD1015" s="159">
        <f>ROUND(B980*$AD$1013, 0)</f>
        <v>0</v>
      </c>
      <c r="AE1015" s="159">
        <f>ROUND(C980*$AE$1013,0)</f>
        <v>0</v>
      </c>
      <c r="AF1015" s="159">
        <f>ROUND(D980*$AF$1013,0)</f>
        <v>0</v>
      </c>
      <c r="AG1015" s="159">
        <f>ROUND(E980*$AG$1013,0)</f>
        <v>0</v>
      </c>
      <c r="AH1015" s="159">
        <f>ROUND(F980*$AH$1013,0)</f>
        <v>203</v>
      </c>
      <c r="AI1015" s="159">
        <f>ROUND(H980*$AI$1013,0)</f>
        <v>38</v>
      </c>
      <c r="AJ1015" s="159">
        <f>ROUND(I980*$AJ$1013,0)</f>
        <v>100</v>
      </c>
      <c r="AK1015" s="159">
        <f>ROUND(J980*$AK$1013,0)</f>
        <v>156</v>
      </c>
      <c r="AL1015" s="159">
        <f>ROUND(K980*$AL$1013,0)</f>
        <v>162</v>
      </c>
      <c r="AM1015" s="159">
        <f>ROUND(L980*$AM$1013,0)</f>
        <v>52</v>
      </c>
      <c r="AN1015" s="159">
        <f>ROUND(M980*$AN$1013,0)</f>
        <v>62</v>
      </c>
      <c r="AO1015" s="159">
        <f>ROUND(N980*$AO$1013,0)</f>
        <v>127</v>
      </c>
      <c r="AP1015" s="159">
        <f>ROUND(O980*$AP$1013,0)</f>
        <v>27</v>
      </c>
      <c r="AQ1015" s="159">
        <f>ROUND(P980*$AQ$1013,0)</f>
        <v>53</v>
      </c>
      <c r="AR1015" s="159">
        <f>ROUND(Q980*$AR$1013,0)</f>
        <v>64</v>
      </c>
      <c r="AS1015" s="374">
        <f>SUM(AD1015:AR1015)</f>
        <v>1044</v>
      </c>
    </row>
    <row r="1016" spans="1:45" ht="15.75" customHeight="1" x14ac:dyDescent="0.3">
      <c r="A1016" s="365" t="s">
        <v>18</v>
      </c>
      <c r="B1016" s="325">
        <f t="shared" si="380"/>
        <v>267449</v>
      </c>
      <c r="C1016" s="164">
        <f t="shared" si="368"/>
        <v>0</v>
      </c>
      <c r="D1016" s="164">
        <f t="shared" si="369"/>
        <v>11715</v>
      </c>
      <c r="E1016" s="164">
        <f t="shared" si="370"/>
        <v>267449</v>
      </c>
      <c r="F1016" s="333">
        <f t="shared" si="371"/>
        <v>279164</v>
      </c>
      <c r="G1016" s="325">
        <f t="shared" si="372"/>
        <v>0</v>
      </c>
      <c r="H1016" s="398">
        <v>10229</v>
      </c>
      <c r="I1016" s="398">
        <v>0</v>
      </c>
      <c r="J1016" s="164">
        <f t="shared" si="373"/>
        <v>10229</v>
      </c>
      <c r="K1016" s="398">
        <v>0</v>
      </c>
      <c r="L1016" s="398">
        <v>0</v>
      </c>
      <c r="M1016" s="399">
        <f t="shared" si="374"/>
        <v>268935</v>
      </c>
      <c r="N1016" s="400">
        <v>0</v>
      </c>
      <c r="O1016" s="394">
        <f t="shared" si="375"/>
        <v>268935</v>
      </c>
      <c r="P1016" s="401">
        <v>0.05</v>
      </c>
      <c r="Q1016" s="386">
        <f t="shared" si="376"/>
        <v>-13446.75</v>
      </c>
      <c r="R1016" s="394">
        <f t="shared" si="377"/>
        <v>255488.25</v>
      </c>
      <c r="S1016" s="402">
        <f t="shared" si="367"/>
        <v>13446.75</v>
      </c>
      <c r="T1016" s="164">
        <f t="shared" si="378"/>
        <v>13446.75</v>
      </c>
      <c r="U1016" s="333" t="str">
        <f t="shared" si="379"/>
        <v/>
      </c>
      <c r="V1016" s="307"/>
      <c r="AC1016" s="375" t="s">
        <v>9</v>
      </c>
      <c r="AD1016" s="159">
        <f t="shared" ref="AD1016:AD1026" si="382">ROUND(B981*$AD$1013, 0)</f>
        <v>0</v>
      </c>
      <c r="AE1016" s="159">
        <f t="shared" ref="AE1016:AE1026" si="383">ROUND(C981*$AE$1013,0)</f>
        <v>0</v>
      </c>
      <c r="AF1016" s="159">
        <f t="shared" ref="AF1016:AF1026" si="384">ROUND(D981*$AF$1013,0)</f>
        <v>0</v>
      </c>
      <c r="AG1016" s="159">
        <f t="shared" ref="AG1016:AG1026" si="385">ROUND(E981*$AG$1013,0)</f>
        <v>0</v>
      </c>
      <c r="AH1016" s="159">
        <f t="shared" ref="AH1016:AH1026" si="386">ROUND(F981*$AH$1013,0)</f>
        <v>329</v>
      </c>
      <c r="AI1016" s="159">
        <f t="shared" ref="AI1016:AI1026" si="387">ROUND(H981*$AI$1013,0)</f>
        <v>48</v>
      </c>
      <c r="AJ1016" s="159">
        <f t="shared" ref="AJ1016:AJ1026" si="388">ROUND(I981*$AJ$1013,0)</f>
        <v>97</v>
      </c>
      <c r="AK1016" s="159">
        <f t="shared" ref="AK1016:AK1026" si="389">ROUND(J981*$AK$1013,0)</f>
        <v>151</v>
      </c>
      <c r="AL1016" s="159">
        <f t="shared" ref="AL1016:AL1026" si="390">ROUND(K981*$AL$1013,0)</f>
        <v>157</v>
      </c>
      <c r="AM1016" s="159">
        <f t="shared" ref="AM1016:AM1026" si="391">ROUND(L981*$AM$1013,0)</f>
        <v>41</v>
      </c>
      <c r="AN1016" s="159">
        <f t="shared" ref="AN1016:AN1026" si="392">ROUND(M981*$AN$1013,0)</f>
        <v>48</v>
      </c>
      <c r="AO1016" s="159">
        <f t="shared" ref="AO1016:AO1026" si="393">ROUND(N981*$AO$1013,0)</f>
        <v>94</v>
      </c>
      <c r="AP1016" s="159">
        <f t="shared" ref="AP1016:AP1026" si="394">ROUND(O981*$AP$1013,0)</f>
        <v>26</v>
      </c>
      <c r="AQ1016" s="159">
        <f t="shared" ref="AQ1016:AQ1026" si="395">ROUND(P981*$AQ$1013,0)</f>
        <v>53</v>
      </c>
      <c r="AR1016" s="159">
        <f t="shared" ref="AR1016:AR1026" si="396">ROUND(Q981*$AR$1013,0)</f>
        <v>62</v>
      </c>
      <c r="AS1016" s="374">
        <f t="shared" ref="AS1016:AS1026" si="397">SUM(AD1016:AR1016)</f>
        <v>1106</v>
      </c>
    </row>
    <row r="1017" spans="1:45" ht="15.75" customHeight="1" x14ac:dyDescent="0.3">
      <c r="A1017" s="365" t="s">
        <v>20</v>
      </c>
      <c r="B1017" s="325">
        <f t="shared" si="380"/>
        <v>249086</v>
      </c>
      <c r="C1017" s="164">
        <f t="shared" si="368"/>
        <v>0</v>
      </c>
      <c r="D1017" s="164">
        <f t="shared" si="369"/>
        <v>10878</v>
      </c>
      <c r="E1017" s="164">
        <f t="shared" si="370"/>
        <v>249086</v>
      </c>
      <c r="F1017" s="333">
        <f t="shared" si="371"/>
        <v>259964</v>
      </c>
      <c r="G1017" s="325">
        <f t="shared" si="372"/>
        <v>0</v>
      </c>
      <c r="H1017" s="398">
        <v>10104</v>
      </c>
      <c r="I1017" s="398">
        <v>0</v>
      </c>
      <c r="J1017" s="164">
        <f t="shared" si="373"/>
        <v>10104</v>
      </c>
      <c r="K1017" s="398">
        <v>0</v>
      </c>
      <c r="L1017" s="398">
        <v>0</v>
      </c>
      <c r="M1017" s="399">
        <f t="shared" si="374"/>
        <v>249860</v>
      </c>
      <c r="N1017" s="400">
        <v>0</v>
      </c>
      <c r="O1017" s="394">
        <f t="shared" si="375"/>
        <v>249860</v>
      </c>
      <c r="P1017" s="401">
        <v>0.2</v>
      </c>
      <c r="Q1017" s="386">
        <f t="shared" si="376"/>
        <v>-49972</v>
      </c>
      <c r="R1017" s="394">
        <f t="shared" si="377"/>
        <v>199888</v>
      </c>
      <c r="S1017" s="402">
        <f t="shared" si="367"/>
        <v>49972</v>
      </c>
      <c r="T1017" s="164">
        <f t="shared" si="378"/>
        <v>49972</v>
      </c>
      <c r="U1017" s="333" t="str">
        <f t="shared" si="379"/>
        <v/>
      </c>
      <c r="V1017" s="307"/>
      <c r="AC1017" s="375" t="s">
        <v>10</v>
      </c>
      <c r="AD1017" s="159">
        <f t="shared" si="382"/>
        <v>0</v>
      </c>
      <c r="AE1017" s="159">
        <f t="shared" si="383"/>
        <v>0</v>
      </c>
      <c r="AF1017" s="159">
        <f t="shared" si="384"/>
        <v>0</v>
      </c>
      <c r="AG1017" s="159">
        <f t="shared" si="385"/>
        <v>0</v>
      </c>
      <c r="AH1017" s="159">
        <f t="shared" si="386"/>
        <v>0</v>
      </c>
      <c r="AI1017" s="159">
        <f t="shared" si="387"/>
        <v>87</v>
      </c>
      <c r="AJ1017" s="159">
        <f t="shared" si="388"/>
        <v>158</v>
      </c>
      <c r="AK1017" s="159">
        <f t="shared" si="389"/>
        <v>219</v>
      </c>
      <c r="AL1017" s="159">
        <f t="shared" si="390"/>
        <v>221</v>
      </c>
      <c r="AM1017" s="159">
        <f t="shared" si="391"/>
        <v>60</v>
      </c>
      <c r="AN1017" s="159">
        <f t="shared" si="392"/>
        <v>71</v>
      </c>
      <c r="AO1017" s="159">
        <f t="shared" si="393"/>
        <v>140</v>
      </c>
      <c r="AP1017" s="159">
        <f t="shared" si="394"/>
        <v>25</v>
      </c>
      <c r="AQ1017" s="159">
        <f t="shared" si="395"/>
        <v>66</v>
      </c>
      <c r="AR1017" s="159">
        <f t="shared" si="396"/>
        <v>60</v>
      </c>
      <c r="AS1017" s="374">
        <f t="shared" si="397"/>
        <v>1107</v>
      </c>
    </row>
    <row r="1018" spans="1:45" ht="15.75" customHeight="1" x14ac:dyDescent="0.3">
      <c r="A1018" s="365" t="s">
        <v>21</v>
      </c>
      <c r="B1018" s="325">
        <f t="shared" si="380"/>
        <v>195526</v>
      </c>
      <c r="C1018" s="164">
        <f t="shared" si="368"/>
        <v>0</v>
      </c>
      <c r="D1018" s="164">
        <f t="shared" si="369"/>
        <v>8288</v>
      </c>
      <c r="E1018" s="164">
        <f t="shared" si="370"/>
        <v>195526</v>
      </c>
      <c r="F1018" s="333">
        <f t="shared" si="371"/>
        <v>203814</v>
      </c>
      <c r="G1018" s="325">
        <f t="shared" si="372"/>
        <v>187.78393597311737</v>
      </c>
      <c r="H1018" s="398">
        <v>10826</v>
      </c>
      <c r="I1018" s="398">
        <v>0</v>
      </c>
      <c r="J1018" s="164">
        <f t="shared" si="373"/>
        <v>10826</v>
      </c>
      <c r="K1018" s="398">
        <v>0</v>
      </c>
      <c r="L1018" s="398">
        <v>0</v>
      </c>
      <c r="M1018" s="399">
        <f t="shared" si="374"/>
        <v>192800.21606402687</v>
      </c>
      <c r="N1018" s="400">
        <v>0</v>
      </c>
      <c r="O1018" s="394">
        <f t="shared" si="375"/>
        <v>192800.21606402687</v>
      </c>
      <c r="P1018" s="401">
        <v>0.2</v>
      </c>
      <c r="Q1018" s="386">
        <f t="shared" si="376"/>
        <v>-38560.043212805373</v>
      </c>
      <c r="R1018" s="394">
        <f t="shared" si="377"/>
        <v>154240.17285122149</v>
      </c>
      <c r="S1018" s="402">
        <f t="shared" si="367"/>
        <v>38560.04321280538</v>
      </c>
      <c r="T1018" s="164">
        <f t="shared" si="378"/>
        <v>38560.04321280538</v>
      </c>
      <c r="U1018" s="333" t="str">
        <f t="shared" si="379"/>
        <v/>
      </c>
      <c r="V1018" s="307"/>
      <c r="AC1018" s="375" t="s">
        <v>12</v>
      </c>
      <c r="AD1018" s="159">
        <f t="shared" si="382"/>
        <v>0</v>
      </c>
      <c r="AE1018" s="159">
        <f t="shared" si="383"/>
        <v>0</v>
      </c>
      <c r="AF1018" s="159">
        <f t="shared" si="384"/>
        <v>0</v>
      </c>
      <c r="AG1018" s="159">
        <f t="shared" si="385"/>
        <v>0</v>
      </c>
      <c r="AH1018" s="159">
        <f t="shared" si="386"/>
        <v>38</v>
      </c>
      <c r="AI1018" s="159">
        <f t="shared" si="387"/>
        <v>169</v>
      </c>
      <c r="AJ1018" s="159">
        <f t="shared" si="388"/>
        <v>278</v>
      </c>
      <c r="AK1018" s="159">
        <f t="shared" si="389"/>
        <v>326</v>
      </c>
      <c r="AL1018" s="159">
        <f t="shared" si="390"/>
        <v>299</v>
      </c>
      <c r="AM1018" s="159">
        <f t="shared" si="391"/>
        <v>84</v>
      </c>
      <c r="AN1018" s="159">
        <f t="shared" si="392"/>
        <v>99</v>
      </c>
      <c r="AO1018" s="159">
        <f t="shared" si="393"/>
        <v>199</v>
      </c>
      <c r="AP1018" s="159">
        <f t="shared" si="394"/>
        <v>28</v>
      </c>
      <c r="AQ1018" s="159">
        <f t="shared" si="395"/>
        <v>80</v>
      </c>
      <c r="AR1018" s="159">
        <f t="shared" si="396"/>
        <v>67</v>
      </c>
      <c r="AS1018" s="374">
        <f t="shared" si="397"/>
        <v>1667</v>
      </c>
    </row>
    <row r="1019" spans="1:45" ht="15.75" customHeight="1" x14ac:dyDescent="0.3">
      <c r="A1019" s="365" t="s">
        <v>22</v>
      </c>
      <c r="B1019" s="325">
        <f t="shared" si="380"/>
        <v>120327</v>
      </c>
      <c r="C1019" s="164">
        <f t="shared" si="368"/>
        <v>0</v>
      </c>
      <c r="D1019" s="164">
        <f t="shared" si="369"/>
        <v>5249</v>
      </c>
      <c r="E1019" s="164">
        <f t="shared" si="370"/>
        <v>120327</v>
      </c>
      <c r="F1019" s="333">
        <f t="shared" si="371"/>
        <v>125576</v>
      </c>
      <c r="G1019" s="325">
        <f t="shared" si="372"/>
        <v>0</v>
      </c>
      <c r="H1019" s="398">
        <v>6676</v>
      </c>
      <c r="I1019" s="398">
        <v>0</v>
      </c>
      <c r="J1019" s="164">
        <f>(H1019+I1019)</f>
        <v>6676</v>
      </c>
      <c r="K1019" s="398">
        <v>0</v>
      </c>
      <c r="L1019" s="398">
        <v>0</v>
      </c>
      <c r="M1019" s="399">
        <f t="shared" si="374"/>
        <v>118900</v>
      </c>
      <c r="N1019" s="400">
        <v>0</v>
      </c>
      <c r="O1019" s="394">
        <f t="shared" si="375"/>
        <v>118900</v>
      </c>
      <c r="P1019" s="401">
        <v>0.2</v>
      </c>
      <c r="Q1019" s="386">
        <f t="shared" si="376"/>
        <v>-23780</v>
      </c>
      <c r="R1019" s="394">
        <f t="shared" si="377"/>
        <v>95120</v>
      </c>
      <c r="S1019" s="402">
        <f t="shared" si="367"/>
        <v>23780</v>
      </c>
      <c r="T1019" s="164">
        <f t="shared" si="378"/>
        <v>23780</v>
      </c>
      <c r="U1019" s="333" t="str">
        <f t="shared" si="379"/>
        <v/>
      </c>
      <c r="V1019" s="307"/>
      <c r="AC1019" s="375" t="s">
        <v>13</v>
      </c>
      <c r="AD1019" s="159">
        <f t="shared" si="382"/>
        <v>0</v>
      </c>
      <c r="AE1019" s="159">
        <f t="shared" si="383"/>
        <v>0</v>
      </c>
      <c r="AF1019" s="159">
        <f t="shared" si="384"/>
        <v>0</v>
      </c>
      <c r="AG1019" s="159">
        <f t="shared" si="385"/>
        <v>0</v>
      </c>
      <c r="AH1019" s="159">
        <f t="shared" si="386"/>
        <v>64</v>
      </c>
      <c r="AI1019" s="159">
        <f t="shared" si="387"/>
        <v>150</v>
      </c>
      <c r="AJ1019" s="159">
        <f t="shared" si="388"/>
        <v>231</v>
      </c>
      <c r="AK1019" s="159">
        <f t="shared" si="389"/>
        <v>310</v>
      </c>
      <c r="AL1019" s="159">
        <f t="shared" si="390"/>
        <v>290</v>
      </c>
      <c r="AM1019" s="159">
        <f t="shared" si="391"/>
        <v>84</v>
      </c>
      <c r="AN1019" s="159">
        <f t="shared" si="392"/>
        <v>99</v>
      </c>
      <c r="AO1019" s="159">
        <f t="shared" si="393"/>
        <v>203</v>
      </c>
      <c r="AP1019" s="159">
        <f t="shared" si="394"/>
        <v>32</v>
      </c>
      <c r="AQ1019" s="159">
        <f t="shared" si="395"/>
        <v>93</v>
      </c>
      <c r="AR1019" s="159">
        <f t="shared" si="396"/>
        <v>74</v>
      </c>
      <c r="AS1019" s="374">
        <f t="shared" si="397"/>
        <v>1630</v>
      </c>
    </row>
    <row r="1020" spans="1:45" ht="15.75" customHeight="1" x14ac:dyDescent="0.3">
      <c r="A1020" s="377" t="s">
        <v>424</v>
      </c>
      <c r="B1020" s="325" t="s">
        <v>424</v>
      </c>
      <c r="C1020" s="164"/>
      <c r="D1020" s="164"/>
      <c r="E1020" s="164" t="s">
        <v>7</v>
      </c>
      <c r="F1020" s="333"/>
      <c r="G1020" s="325"/>
      <c r="H1020" s="164"/>
      <c r="I1020" s="164" t="s">
        <v>7</v>
      </c>
      <c r="J1020" s="164" t="s">
        <v>7</v>
      </c>
      <c r="K1020" s="403"/>
      <c r="L1020" s="164"/>
      <c r="M1020" s="399"/>
      <c r="N1020" s="400"/>
      <c r="O1020" s="394"/>
      <c r="P1020" s="401"/>
      <c r="Q1020" s="400"/>
      <c r="R1020" s="394"/>
      <c r="S1020" s="402"/>
      <c r="T1020" s="164"/>
      <c r="U1020" s="333"/>
      <c r="V1020" s="307"/>
      <c r="AC1020" s="375" t="s">
        <v>14</v>
      </c>
      <c r="AD1020" s="159">
        <f t="shared" si="382"/>
        <v>0</v>
      </c>
      <c r="AE1020" s="159">
        <f t="shared" si="383"/>
        <v>0</v>
      </c>
      <c r="AF1020" s="159">
        <f t="shared" si="384"/>
        <v>0</v>
      </c>
      <c r="AG1020" s="159">
        <f t="shared" si="385"/>
        <v>0</v>
      </c>
      <c r="AH1020" s="159">
        <f t="shared" si="386"/>
        <v>5</v>
      </c>
      <c r="AI1020" s="159">
        <f t="shared" si="387"/>
        <v>198</v>
      </c>
      <c r="AJ1020" s="159">
        <f t="shared" si="388"/>
        <v>300</v>
      </c>
      <c r="AK1020" s="159">
        <f t="shared" si="389"/>
        <v>348</v>
      </c>
      <c r="AL1020" s="159">
        <f t="shared" si="390"/>
        <v>308</v>
      </c>
      <c r="AM1020" s="159">
        <f t="shared" si="391"/>
        <v>89</v>
      </c>
      <c r="AN1020" s="159">
        <f t="shared" si="392"/>
        <v>104</v>
      </c>
      <c r="AO1020" s="159">
        <f t="shared" si="393"/>
        <v>207</v>
      </c>
      <c r="AP1020" s="159">
        <f t="shared" si="394"/>
        <v>34</v>
      </c>
      <c r="AQ1020" s="159">
        <f t="shared" si="395"/>
        <v>95</v>
      </c>
      <c r="AR1020" s="159">
        <f t="shared" si="396"/>
        <v>81</v>
      </c>
      <c r="AS1020" s="374">
        <f t="shared" si="397"/>
        <v>1769</v>
      </c>
    </row>
    <row r="1021" spans="1:45" ht="16.5" customHeight="1" thickBot="1" x14ac:dyDescent="0.35">
      <c r="A1021" s="404" t="s">
        <v>422</v>
      </c>
      <c r="B1021" s="330">
        <f>SUM(B1008:B1019)</f>
        <v>2508888</v>
      </c>
      <c r="C1021" s="335">
        <f>+SUM(C1008:C1019)</f>
        <v>0</v>
      </c>
      <c r="D1021" s="335">
        <f>SUM(D1008:D1019)</f>
        <v>107620</v>
      </c>
      <c r="E1021" s="335">
        <f t="shared" si="370"/>
        <v>2508888</v>
      </c>
      <c r="F1021" s="405">
        <f>SUM(F1008:F1019)</f>
        <v>2616508</v>
      </c>
      <c r="G1021" s="330">
        <f>SUM(G1008:G1019)</f>
        <v>37761.461329475394</v>
      </c>
      <c r="H1021" s="335">
        <f>SUM(H1008:H1019)</f>
        <v>137695</v>
      </c>
      <c r="I1021" s="335">
        <f>SUM(I1008:I1019)</f>
        <v>0</v>
      </c>
      <c r="J1021" s="335">
        <f>(H1021+I1021)</f>
        <v>137695</v>
      </c>
      <c r="K1021" s="335">
        <f>SUM(K1008:K1019)</f>
        <v>0</v>
      </c>
      <c r="L1021" s="335">
        <f>SUM(L1008:L1019)</f>
        <v>0</v>
      </c>
      <c r="M1021" s="406">
        <f>SUM(M1008:M1019)</f>
        <v>2441051.5386705245</v>
      </c>
      <c r="N1021" s="407">
        <f>SUM(N1008:N1019)</f>
        <v>130856</v>
      </c>
      <c r="O1021" s="408">
        <f>+M1021+N1021</f>
        <v>2571907.5386705245</v>
      </c>
      <c r="P1021" s="409">
        <f>Q1021/O1021</f>
        <v>-0.17954118129155502</v>
      </c>
      <c r="Q1021" s="410">
        <f>SUM(Q1008:Q1019)</f>
        <v>-461763.31766556168</v>
      </c>
      <c r="R1021" s="408">
        <f>SUM(R1008:R1019)</f>
        <v>2110144.2210049629</v>
      </c>
      <c r="S1021" s="411">
        <f>(F1021-G1021-J1021-K1021-L1021-R1021)</f>
        <v>330907.31766556157</v>
      </c>
      <c r="T1021" s="335">
        <f>+SUM(T1008:T1019)</f>
        <v>455463.60714268743</v>
      </c>
      <c r="U1021" s="405">
        <f>+SUM(U1008:U1019)</f>
        <v>124556.28947712574</v>
      </c>
      <c r="V1021" s="307"/>
      <c r="AC1021" s="375" t="s">
        <v>16</v>
      </c>
      <c r="AD1021" s="159">
        <f t="shared" si="382"/>
        <v>0</v>
      </c>
      <c r="AE1021" s="159">
        <f t="shared" si="383"/>
        <v>0</v>
      </c>
      <c r="AF1021" s="159">
        <f t="shared" si="384"/>
        <v>0</v>
      </c>
      <c r="AG1021" s="159">
        <f t="shared" si="385"/>
        <v>0</v>
      </c>
      <c r="AH1021" s="159">
        <f t="shared" si="386"/>
        <v>0</v>
      </c>
      <c r="AI1021" s="159">
        <f t="shared" si="387"/>
        <v>204</v>
      </c>
      <c r="AJ1021" s="159">
        <f t="shared" si="388"/>
        <v>341</v>
      </c>
      <c r="AK1021" s="159">
        <f t="shared" si="389"/>
        <v>376</v>
      </c>
      <c r="AL1021" s="159">
        <f t="shared" si="390"/>
        <v>324</v>
      </c>
      <c r="AM1021" s="159">
        <f t="shared" si="391"/>
        <v>94</v>
      </c>
      <c r="AN1021" s="159">
        <f t="shared" si="392"/>
        <v>111</v>
      </c>
      <c r="AO1021" s="159">
        <f t="shared" si="393"/>
        <v>219</v>
      </c>
      <c r="AP1021" s="159">
        <f t="shared" si="394"/>
        <v>35</v>
      </c>
      <c r="AQ1021" s="159">
        <f t="shared" si="395"/>
        <v>86</v>
      </c>
      <c r="AR1021" s="159">
        <f t="shared" si="396"/>
        <v>83</v>
      </c>
      <c r="AS1021" s="374">
        <f t="shared" si="397"/>
        <v>1873</v>
      </c>
    </row>
    <row r="1022" spans="1:45" ht="15.75" customHeight="1" x14ac:dyDescent="0.3">
      <c r="A1022" s="306"/>
      <c r="B1022" s="159"/>
      <c r="C1022" s="159"/>
      <c r="D1022" s="159"/>
      <c r="E1022" s="159"/>
      <c r="F1022" s="159" t="s">
        <v>424</v>
      </c>
      <c r="G1022" s="159"/>
      <c r="H1022" s="159"/>
      <c r="I1022" s="159"/>
      <c r="K1022" s="159"/>
      <c r="L1022" s="159"/>
      <c r="M1022" s="173"/>
      <c r="O1022" s="368"/>
      <c r="P1022" s="319"/>
      <c r="V1022" s="307"/>
      <c r="AC1022" s="375" t="s">
        <v>17</v>
      </c>
      <c r="AD1022" s="159">
        <f t="shared" si="382"/>
        <v>0</v>
      </c>
      <c r="AE1022" s="159">
        <f t="shared" si="383"/>
        <v>0</v>
      </c>
      <c r="AF1022" s="159">
        <f t="shared" si="384"/>
        <v>0</v>
      </c>
      <c r="AG1022" s="159">
        <f t="shared" si="385"/>
        <v>0</v>
      </c>
      <c r="AH1022" s="159">
        <f t="shared" si="386"/>
        <v>0</v>
      </c>
      <c r="AI1022" s="159">
        <f t="shared" si="387"/>
        <v>194</v>
      </c>
      <c r="AJ1022" s="159">
        <f t="shared" si="388"/>
        <v>351</v>
      </c>
      <c r="AK1022" s="159">
        <f t="shared" si="389"/>
        <v>383</v>
      </c>
      <c r="AL1022" s="159">
        <f t="shared" si="390"/>
        <v>319</v>
      </c>
      <c r="AM1022" s="159">
        <f t="shared" si="391"/>
        <v>91</v>
      </c>
      <c r="AN1022" s="159">
        <f t="shared" si="392"/>
        <v>107</v>
      </c>
      <c r="AO1022" s="159">
        <f t="shared" si="393"/>
        <v>208</v>
      </c>
      <c r="AP1022" s="159">
        <f t="shared" si="394"/>
        <v>33</v>
      </c>
      <c r="AQ1022" s="159">
        <f t="shared" si="395"/>
        <v>80</v>
      </c>
      <c r="AR1022" s="159">
        <f t="shared" si="396"/>
        <v>78</v>
      </c>
      <c r="AS1022" s="374">
        <f t="shared" si="397"/>
        <v>1844</v>
      </c>
    </row>
    <row r="1023" spans="1:45" ht="15.75" customHeight="1" x14ac:dyDescent="0.3">
      <c r="A1023" s="323" t="s">
        <v>1074</v>
      </c>
      <c r="P1023" s="159"/>
      <c r="Q1023" s="159"/>
      <c r="R1023" s="159"/>
      <c r="V1023" s="307"/>
      <c r="AC1023" s="375" t="s">
        <v>18</v>
      </c>
      <c r="AD1023" s="159">
        <f t="shared" si="382"/>
        <v>0</v>
      </c>
      <c r="AE1023" s="159">
        <f t="shared" si="383"/>
        <v>0</v>
      </c>
      <c r="AF1023" s="159">
        <f t="shared" si="384"/>
        <v>0</v>
      </c>
      <c r="AG1023" s="159">
        <f t="shared" si="385"/>
        <v>0</v>
      </c>
      <c r="AH1023" s="159">
        <f t="shared" si="386"/>
        <v>86</v>
      </c>
      <c r="AI1023" s="159">
        <f t="shared" si="387"/>
        <v>124</v>
      </c>
      <c r="AJ1023" s="159">
        <f t="shared" si="388"/>
        <v>196</v>
      </c>
      <c r="AK1023" s="159">
        <f t="shared" si="389"/>
        <v>233</v>
      </c>
      <c r="AL1023" s="159">
        <f t="shared" si="390"/>
        <v>203</v>
      </c>
      <c r="AM1023" s="159">
        <f t="shared" si="391"/>
        <v>72</v>
      </c>
      <c r="AN1023" s="159">
        <f t="shared" si="392"/>
        <v>85</v>
      </c>
      <c r="AO1023" s="159">
        <f t="shared" si="393"/>
        <v>168</v>
      </c>
      <c r="AP1023" s="159">
        <f t="shared" si="394"/>
        <v>32</v>
      </c>
      <c r="AQ1023" s="159">
        <f t="shared" si="395"/>
        <v>73</v>
      </c>
      <c r="AR1023" s="159">
        <f t="shared" si="396"/>
        <v>75</v>
      </c>
      <c r="AS1023" s="374">
        <f t="shared" si="397"/>
        <v>1347</v>
      </c>
    </row>
    <row r="1024" spans="1:45" ht="15.75" customHeight="1" x14ac:dyDescent="0.3">
      <c r="A1024" s="323" t="s">
        <v>498</v>
      </c>
      <c r="D1024" s="159"/>
      <c r="E1024" s="159"/>
      <c r="F1024" s="159"/>
      <c r="G1024" s="159"/>
      <c r="H1024" s="159"/>
      <c r="I1024" s="159"/>
      <c r="J1024" s="159"/>
      <c r="K1024" s="159"/>
      <c r="L1024" s="159"/>
      <c r="M1024" s="159"/>
      <c r="N1024" s="159"/>
      <c r="O1024" s="159"/>
      <c r="P1024" s="159"/>
      <c r="Q1024" s="159"/>
      <c r="R1024" s="159"/>
      <c r="V1024" s="307"/>
      <c r="AC1024" s="375" t="s">
        <v>20</v>
      </c>
      <c r="AD1024" s="159">
        <f t="shared" si="382"/>
        <v>0</v>
      </c>
      <c r="AE1024" s="159">
        <f t="shared" si="383"/>
        <v>0</v>
      </c>
      <c r="AF1024" s="159">
        <f t="shared" si="384"/>
        <v>0</v>
      </c>
      <c r="AG1024" s="159">
        <f t="shared" si="385"/>
        <v>0</v>
      </c>
      <c r="AH1024" s="159">
        <f t="shared" si="386"/>
        <v>107</v>
      </c>
      <c r="AI1024" s="159">
        <f t="shared" si="387"/>
        <v>112</v>
      </c>
      <c r="AJ1024" s="159">
        <f t="shared" si="388"/>
        <v>143</v>
      </c>
      <c r="AK1024" s="159">
        <f t="shared" si="389"/>
        <v>183</v>
      </c>
      <c r="AL1024" s="159">
        <f t="shared" si="390"/>
        <v>175</v>
      </c>
      <c r="AM1024" s="159">
        <f t="shared" si="391"/>
        <v>64</v>
      </c>
      <c r="AN1024" s="159">
        <f t="shared" si="392"/>
        <v>76</v>
      </c>
      <c r="AO1024" s="159">
        <f t="shared" si="393"/>
        <v>149</v>
      </c>
      <c r="AP1024" s="159">
        <f t="shared" si="394"/>
        <v>30</v>
      </c>
      <c r="AQ1024" s="159">
        <f t="shared" si="395"/>
        <v>66</v>
      </c>
      <c r="AR1024" s="159">
        <f t="shared" si="396"/>
        <v>70</v>
      </c>
      <c r="AS1024" s="374">
        <f t="shared" si="397"/>
        <v>1175</v>
      </c>
    </row>
    <row r="1025" spans="1:45" ht="15.75" customHeight="1" x14ac:dyDescent="0.3">
      <c r="A1025" s="323" t="s">
        <v>1075</v>
      </c>
      <c r="D1025" s="159"/>
      <c r="E1025" s="159"/>
      <c r="F1025" s="159"/>
      <c r="G1025" s="159"/>
      <c r="H1025" s="159"/>
      <c r="I1025" s="159"/>
      <c r="J1025" s="159"/>
      <c r="K1025" s="159"/>
      <c r="L1025" s="159"/>
      <c r="M1025" s="159"/>
      <c r="N1025" s="159"/>
      <c r="O1025" s="159"/>
      <c r="P1025" s="159"/>
      <c r="Q1025" s="159"/>
      <c r="R1025" s="159"/>
      <c r="V1025" s="307"/>
      <c r="AC1025" s="375" t="s">
        <v>21</v>
      </c>
      <c r="AD1025" s="159">
        <f t="shared" si="382"/>
        <v>0</v>
      </c>
      <c r="AE1025" s="159">
        <f t="shared" si="383"/>
        <v>0</v>
      </c>
      <c r="AF1025" s="159">
        <f t="shared" si="384"/>
        <v>0</v>
      </c>
      <c r="AG1025" s="159">
        <f t="shared" si="385"/>
        <v>0</v>
      </c>
      <c r="AH1025" s="159">
        <f t="shared" si="386"/>
        <v>285</v>
      </c>
      <c r="AI1025" s="159">
        <f t="shared" si="387"/>
        <v>10</v>
      </c>
      <c r="AJ1025" s="159">
        <f t="shared" si="388"/>
        <v>8</v>
      </c>
      <c r="AK1025" s="159">
        <f t="shared" si="389"/>
        <v>12</v>
      </c>
      <c r="AL1025" s="159">
        <f t="shared" si="390"/>
        <v>12</v>
      </c>
      <c r="AM1025" s="159">
        <f t="shared" si="391"/>
        <v>4</v>
      </c>
      <c r="AN1025" s="159">
        <f t="shared" si="392"/>
        <v>5</v>
      </c>
      <c r="AO1025" s="159">
        <f t="shared" si="393"/>
        <v>8</v>
      </c>
      <c r="AP1025" s="159">
        <f t="shared" si="394"/>
        <v>6</v>
      </c>
      <c r="AQ1025" s="159">
        <f t="shared" si="395"/>
        <v>60</v>
      </c>
      <c r="AR1025" s="159">
        <f t="shared" si="396"/>
        <v>15</v>
      </c>
      <c r="AS1025" s="374">
        <f t="shared" si="397"/>
        <v>425</v>
      </c>
    </row>
    <row r="1026" spans="1:45" ht="15.75" customHeight="1" thickBot="1" x14ac:dyDescent="0.35">
      <c r="A1026" s="326" t="s">
        <v>1076</v>
      </c>
      <c r="B1026" s="312"/>
      <c r="C1026" s="312"/>
      <c r="D1026" s="327"/>
      <c r="E1026" s="327"/>
      <c r="F1026" s="327"/>
      <c r="G1026" s="327"/>
      <c r="H1026" s="327"/>
      <c r="I1026" s="327"/>
      <c r="J1026" s="327"/>
      <c r="K1026" s="327"/>
      <c r="L1026" s="327"/>
      <c r="M1026" s="327"/>
      <c r="N1026" s="327"/>
      <c r="O1026" s="327"/>
      <c r="P1026" s="327"/>
      <c r="Q1026" s="327"/>
      <c r="R1026" s="327"/>
      <c r="S1026" s="312"/>
      <c r="T1026" s="312"/>
      <c r="U1026" s="312"/>
      <c r="V1026" s="313"/>
      <c r="AC1026" s="375" t="s">
        <v>22</v>
      </c>
      <c r="AD1026" s="159">
        <f t="shared" si="382"/>
        <v>0</v>
      </c>
      <c r="AE1026" s="159">
        <f t="shared" si="383"/>
        <v>0</v>
      </c>
      <c r="AF1026" s="159">
        <f t="shared" si="384"/>
        <v>0</v>
      </c>
      <c r="AG1026" s="159">
        <f t="shared" si="385"/>
        <v>0</v>
      </c>
      <c r="AH1026" s="159">
        <f t="shared" si="386"/>
        <v>74</v>
      </c>
      <c r="AI1026" s="159">
        <f t="shared" si="387"/>
        <v>52</v>
      </c>
      <c r="AJ1026" s="159">
        <f t="shared" si="388"/>
        <v>48</v>
      </c>
      <c r="AK1026" s="159">
        <f t="shared" si="389"/>
        <v>72</v>
      </c>
      <c r="AL1026" s="159">
        <f t="shared" si="390"/>
        <v>74</v>
      </c>
      <c r="AM1026" s="159">
        <f t="shared" si="391"/>
        <v>17</v>
      </c>
      <c r="AN1026" s="159">
        <f t="shared" si="392"/>
        <v>20</v>
      </c>
      <c r="AO1026" s="159">
        <f t="shared" si="393"/>
        <v>40</v>
      </c>
      <c r="AP1026" s="159">
        <f t="shared" si="394"/>
        <v>0</v>
      </c>
      <c r="AQ1026" s="159">
        <f t="shared" si="395"/>
        <v>53</v>
      </c>
      <c r="AR1026" s="159">
        <f t="shared" si="396"/>
        <v>0</v>
      </c>
      <c r="AS1026" s="374">
        <f t="shared" si="397"/>
        <v>450</v>
      </c>
    </row>
    <row r="1027" spans="1:45" ht="15.75" customHeight="1" thickBot="1" x14ac:dyDescent="0.35">
      <c r="A1027" s="323"/>
      <c r="D1027" s="159"/>
      <c r="E1027" s="159"/>
      <c r="F1027" s="159"/>
      <c r="G1027" s="159"/>
      <c r="H1027" s="159"/>
      <c r="I1027" s="159"/>
      <c r="J1027" s="159"/>
      <c r="K1027" s="159"/>
      <c r="L1027" s="159"/>
      <c r="M1027" s="159"/>
      <c r="N1027" s="159"/>
      <c r="O1027" s="159"/>
      <c r="P1027" s="159"/>
      <c r="Q1027" s="159"/>
      <c r="R1027" s="159"/>
      <c r="S1027" s="368"/>
      <c r="V1027" s="452"/>
      <c r="AC1027" s="306"/>
      <c r="AD1027" s="159"/>
      <c r="AE1027" s="159"/>
      <c r="AF1027" s="159"/>
      <c r="AG1027" s="159"/>
      <c r="AH1027" s="159"/>
      <c r="AI1027" s="159"/>
      <c r="AJ1027" s="159"/>
      <c r="AK1027" s="159"/>
      <c r="AL1027" s="159"/>
      <c r="AM1027" s="159"/>
      <c r="AN1027" s="159"/>
      <c r="AO1027" s="159"/>
      <c r="AP1027" s="159"/>
      <c r="AQ1027" s="159"/>
      <c r="AR1027" s="159"/>
      <c r="AS1027" s="374"/>
    </row>
    <row r="1028" spans="1:45" ht="15.75" customHeight="1" thickBot="1" x14ac:dyDescent="0.35">
      <c r="A1028" s="365"/>
      <c r="B1028" s="534" t="s">
        <v>1077</v>
      </c>
      <c r="C1028" s="535"/>
      <c r="D1028" s="535"/>
      <c r="E1028" s="535"/>
      <c r="F1028" s="535"/>
      <c r="G1028" s="535"/>
      <c r="H1028" s="535"/>
      <c r="I1028" s="535"/>
      <c r="J1028" s="535"/>
      <c r="K1028" s="535"/>
      <c r="L1028" s="535"/>
      <c r="M1028" s="535"/>
      <c r="N1028" s="535"/>
      <c r="O1028" s="535"/>
      <c r="P1028" s="535"/>
      <c r="Q1028" s="319"/>
      <c r="R1028" s="319"/>
      <c r="S1028" s="452"/>
      <c r="T1028" s="368"/>
      <c r="U1028" s="368"/>
      <c r="V1028" s="332"/>
      <c r="AC1028" s="382" t="s">
        <v>422</v>
      </c>
      <c r="AD1028" s="327">
        <f>SUM(AD1015:AD1026)</f>
        <v>0</v>
      </c>
      <c r="AE1028" s="327">
        <f t="shared" ref="AE1028:AS1028" si="398">SUM(AE1015:AE1026)</f>
        <v>0</v>
      </c>
      <c r="AF1028" s="327">
        <f t="shared" si="398"/>
        <v>0</v>
      </c>
      <c r="AG1028" s="327">
        <f t="shared" si="398"/>
        <v>0</v>
      </c>
      <c r="AH1028" s="327">
        <f t="shared" si="398"/>
        <v>1191</v>
      </c>
      <c r="AI1028" s="327">
        <f t="shared" si="398"/>
        <v>1386</v>
      </c>
      <c r="AJ1028" s="327">
        <f t="shared" si="398"/>
        <v>2251</v>
      </c>
      <c r="AK1028" s="327">
        <f t="shared" si="398"/>
        <v>2769</v>
      </c>
      <c r="AL1028" s="327">
        <f t="shared" si="398"/>
        <v>2544</v>
      </c>
      <c r="AM1028" s="327">
        <f t="shared" si="398"/>
        <v>752</v>
      </c>
      <c r="AN1028" s="327">
        <f t="shared" si="398"/>
        <v>887</v>
      </c>
      <c r="AO1028" s="327">
        <f t="shared" si="398"/>
        <v>1762</v>
      </c>
      <c r="AP1028" s="327">
        <f t="shared" si="398"/>
        <v>308</v>
      </c>
      <c r="AQ1028" s="327">
        <f t="shared" si="398"/>
        <v>858</v>
      </c>
      <c r="AR1028" s="327">
        <f t="shared" si="398"/>
        <v>729</v>
      </c>
      <c r="AS1028" s="383">
        <f t="shared" si="398"/>
        <v>15437</v>
      </c>
    </row>
    <row r="1029" spans="1:45" ht="15.75" customHeight="1" thickBot="1" x14ac:dyDescent="0.35">
      <c r="A1029" s="365"/>
      <c r="B1029" s="523" t="s">
        <v>1041</v>
      </c>
      <c r="C1029" s="524"/>
      <c r="D1029" s="524"/>
      <c r="E1029" s="524"/>
      <c r="F1029" s="525"/>
      <c r="G1029" s="523" t="s">
        <v>1042</v>
      </c>
      <c r="H1029" s="524"/>
      <c r="I1029" s="524"/>
      <c r="J1029" s="524"/>
      <c r="K1029" s="524"/>
      <c r="L1029" s="524"/>
      <c r="M1029" s="526" t="s">
        <v>1043</v>
      </c>
      <c r="N1029" s="536"/>
      <c r="O1029" s="536"/>
      <c r="P1029" s="527"/>
      <c r="Q1029" s="527"/>
      <c r="R1029" s="528"/>
      <c r="S1029" s="523" t="s">
        <v>1044</v>
      </c>
      <c r="T1029" s="529"/>
      <c r="U1029" s="530"/>
      <c r="V1029" s="307"/>
    </row>
    <row r="1030" spans="1:45" ht="15.75" customHeight="1" x14ac:dyDescent="0.3">
      <c r="A1030" s="377"/>
      <c r="B1030" s="325" t="s">
        <v>428</v>
      </c>
      <c r="C1030" s="164"/>
      <c r="D1030" s="164" t="s">
        <v>469</v>
      </c>
      <c r="E1030" s="164" t="s">
        <v>470</v>
      </c>
      <c r="F1030" s="333" t="s">
        <v>1045</v>
      </c>
      <c r="G1030" s="325" t="s">
        <v>471</v>
      </c>
      <c r="H1030" s="164"/>
      <c r="I1030" s="164"/>
      <c r="J1030" s="164" t="s">
        <v>472</v>
      </c>
      <c r="K1030" s="164" t="s">
        <v>1046</v>
      </c>
      <c r="L1030" s="164" t="s">
        <v>1047</v>
      </c>
      <c r="M1030" s="537" t="str">
        <f>+M1003</f>
        <v>(NE)* per WAPA</v>
      </c>
      <c r="N1030" s="538"/>
      <c r="O1030" s="538"/>
      <c r="P1030" s="412"/>
      <c r="Q1030" s="386"/>
      <c r="R1030" s="394"/>
      <c r="S1030" s="325" t="s">
        <v>1049</v>
      </c>
      <c r="T1030" s="388" t="s">
        <v>486</v>
      </c>
      <c r="U1030" s="389" t="s">
        <v>1050</v>
      </c>
      <c r="V1030" s="307"/>
    </row>
    <row r="1031" spans="1:45" ht="15.75" customHeight="1" x14ac:dyDescent="0.3">
      <c r="A1031" s="377"/>
      <c r="B1031" s="390" t="s">
        <v>1051</v>
      </c>
      <c r="C1031" s="391" t="s">
        <v>1052</v>
      </c>
      <c r="D1031" s="391" t="s">
        <v>1053</v>
      </c>
      <c r="E1031" s="164" t="s">
        <v>442</v>
      </c>
      <c r="F1031" s="392" t="s">
        <v>1054</v>
      </c>
      <c r="G1031" s="325" t="s">
        <v>429</v>
      </c>
      <c r="H1031" s="164" t="s">
        <v>478</v>
      </c>
      <c r="I1031" s="164" t="s">
        <v>479</v>
      </c>
      <c r="J1031" s="391" t="s">
        <v>1055</v>
      </c>
      <c r="K1031" s="164" t="s">
        <v>1034</v>
      </c>
      <c r="L1031" s="391" t="s">
        <v>1056</v>
      </c>
      <c r="M1031" s="393" t="s">
        <v>1057</v>
      </c>
      <c r="N1031" s="385" t="s">
        <v>1058</v>
      </c>
      <c r="O1031" s="386" t="s">
        <v>422</v>
      </c>
      <c r="P1031" s="393" t="s">
        <v>1059</v>
      </c>
      <c r="Q1031" s="385" t="s">
        <v>1059</v>
      </c>
      <c r="R1031" s="394" t="s">
        <v>1060</v>
      </c>
      <c r="S1031" s="325" t="s">
        <v>1061</v>
      </c>
      <c r="T1031" s="164" t="s">
        <v>1062</v>
      </c>
      <c r="U1031" s="333" t="s">
        <v>1063</v>
      </c>
      <c r="V1031" s="307"/>
    </row>
    <row r="1032" spans="1:45" ht="15.75" customHeight="1" x14ac:dyDescent="0.3">
      <c r="A1032" s="377"/>
      <c r="B1032" s="395" t="s">
        <v>1064</v>
      </c>
      <c r="C1032" s="169">
        <v>5.0000000000000001E-3</v>
      </c>
      <c r="D1032" s="169">
        <v>4.2999999999999997E-2</v>
      </c>
      <c r="E1032" s="164" t="s">
        <v>485</v>
      </c>
      <c r="F1032" s="396" t="s">
        <v>1065</v>
      </c>
      <c r="G1032" s="325" t="s">
        <v>1066</v>
      </c>
      <c r="H1032" s="164" t="s">
        <v>442</v>
      </c>
      <c r="I1032" s="164" t="s">
        <v>442</v>
      </c>
      <c r="J1032" s="164" t="s">
        <v>442</v>
      </c>
      <c r="K1032" s="164" t="s">
        <v>486</v>
      </c>
      <c r="L1032" s="164" t="s">
        <v>1067</v>
      </c>
      <c r="M1032" s="397" t="s">
        <v>434</v>
      </c>
      <c r="N1032" s="386" t="s">
        <v>1068</v>
      </c>
      <c r="O1032" s="386" t="s">
        <v>1069</v>
      </c>
      <c r="P1032" s="397" t="s">
        <v>1070</v>
      </c>
      <c r="Q1032" s="385" t="s">
        <v>1070</v>
      </c>
      <c r="R1032" s="394" t="s">
        <v>1069</v>
      </c>
      <c r="S1032" s="325" t="s">
        <v>442</v>
      </c>
      <c r="T1032" s="164" t="s">
        <v>442</v>
      </c>
      <c r="U1032" s="333" t="s">
        <v>442</v>
      </c>
      <c r="V1032" s="307"/>
    </row>
    <row r="1033" spans="1:45" ht="15.75" customHeight="1" x14ac:dyDescent="0.3">
      <c r="A1033" s="377" t="s">
        <v>1071</v>
      </c>
      <c r="B1033" s="325" t="s">
        <v>1078</v>
      </c>
      <c r="C1033" s="164" t="s">
        <v>1078</v>
      </c>
      <c r="D1033" s="164" t="s">
        <v>1078</v>
      </c>
      <c r="E1033" s="164" t="s">
        <v>1078</v>
      </c>
      <c r="F1033" s="164" t="s">
        <v>1078</v>
      </c>
      <c r="G1033" s="325" t="s">
        <v>1078</v>
      </c>
      <c r="H1033" s="164" t="s">
        <v>1078</v>
      </c>
      <c r="I1033" s="164" t="s">
        <v>1078</v>
      </c>
      <c r="J1033" s="164" t="s">
        <v>1078</v>
      </c>
      <c r="K1033" s="164" t="s">
        <v>1078</v>
      </c>
      <c r="L1033" s="164" t="s">
        <v>1078</v>
      </c>
      <c r="M1033" s="397" t="s">
        <v>1078</v>
      </c>
      <c r="N1033" s="386" t="s">
        <v>1079</v>
      </c>
      <c r="O1033" s="386" t="s">
        <v>1078</v>
      </c>
      <c r="P1033" s="397" t="s">
        <v>937</v>
      </c>
      <c r="Q1033" s="385" t="s">
        <v>491</v>
      </c>
      <c r="R1033" s="394" t="s">
        <v>491</v>
      </c>
      <c r="S1033" s="325" t="s">
        <v>1078</v>
      </c>
      <c r="T1033" s="164" t="s">
        <v>1078</v>
      </c>
      <c r="U1033" s="333" t="s">
        <v>1078</v>
      </c>
      <c r="V1033" s="307"/>
    </row>
    <row r="1034" spans="1:45" ht="15.75" customHeight="1" x14ac:dyDescent="0.3">
      <c r="A1034" s="377" t="s">
        <v>409</v>
      </c>
      <c r="B1034" s="325" t="s">
        <v>409</v>
      </c>
      <c r="C1034" s="164" t="s">
        <v>409</v>
      </c>
      <c r="D1034" s="164" t="s">
        <v>409</v>
      </c>
      <c r="E1034" s="164" t="s">
        <v>493</v>
      </c>
      <c r="F1034" s="333" t="s">
        <v>409</v>
      </c>
      <c r="G1034" s="325" t="s">
        <v>409</v>
      </c>
      <c r="H1034" s="164" t="s">
        <v>494</v>
      </c>
      <c r="I1034" s="164" t="s">
        <v>494</v>
      </c>
      <c r="J1034" s="164" t="s">
        <v>409</v>
      </c>
      <c r="K1034" s="164" t="s">
        <v>409</v>
      </c>
      <c r="L1034" s="164" t="s">
        <v>409</v>
      </c>
      <c r="M1034" s="397" t="s">
        <v>409</v>
      </c>
      <c r="N1034" s="386" t="s">
        <v>409</v>
      </c>
      <c r="O1034" s="386" t="s">
        <v>409</v>
      </c>
      <c r="P1034" s="397" t="s">
        <v>409</v>
      </c>
      <c r="Q1034" s="386" t="s">
        <v>409</v>
      </c>
      <c r="R1034" s="394" t="s">
        <v>409</v>
      </c>
      <c r="S1034" s="325" t="s">
        <v>409</v>
      </c>
      <c r="T1034" s="164" t="s">
        <v>409</v>
      </c>
      <c r="U1034" s="333" t="s">
        <v>409</v>
      </c>
      <c r="V1034" s="307"/>
    </row>
    <row r="1035" spans="1:45" ht="15.75" customHeight="1" x14ac:dyDescent="0.3">
      <c r="A1035" s="365" t="s">
        <v>795</v>
      </c>
      <c r="B1035" s="325">
        <f>+B1008/($B$10*24)</f>
        <v>213.58736559139786</v>
      </c>
      <c r="C1035" s="164">
        <f t="shared" ref="C1035:L1035" si="399">+C1008/($B$10*24)</f>
        <v>0</v>
      </c>
      <c r="D1035" s="164">
        <f t="shared" si="399"/>
        <v>8.736559139784946</v>
      </c>
      <c r="E1035" s="164">
        <f t="shared" si="399"/>
        <v>213.58736559139786</v>
      </c>
      <c r="F1035" s="333">
        <f t="shared" si="399"/>
        <v>222.32392473118279</v>
      </c>
      <c r="G1035" s="164">
        <f t="shared" si="399"/>
        <v>3.3695345625341924</v>
      </c>
      <c r="H1035" s="164">
        <f t="shared" si="399"/>
        <v>12.131720430107526</v>
      </c>
      <c r="I1035" s="164">
        <f t="shared" si="399"/>
        <v>0</v>
      </c>
      <c r="J1035" s="164">
        <f t="shared" si="399"/>
        <v>12.131720430107526</v>
      </c>
      <c r="K1035" s="164">
        <f t="shared" si="399"/>
        <v>0</v>
      </c>
      <c r="L1035" s="164">
        <f t="shared" si="399"/>
        <v>0</v>
      </c>
      <c r="M1035" s="397">
        <f>+M1008/($B$10*24)</f>
        <v>206.82266973854109</v>
      </c>
      <c r="N1035" s="386">
        <f t="shared" ref="N1035" si="400">+N1008/($B$10*24)</f>
        <v>0</v>
      </c>
      <c r="O1035" s="386">
        <f>+O1008/($B$10*24)</f>
        <v>206.82266973854109</v>
      </c>
      <c r="P1035" s="413">
        <f>P1008</f>
        <v>0.2</v>
      </c>
      <c r="Q1035" s="386">
        <f>-O1035*P1035</f>
        <v>-41.364533947708225</v>
      </c>
      <c r="R1035" s="394">
        <f>O1035+Q1035</f>
        <v>165.45813579083287</v>
      </c>
      <c r="S1035" s="414">
        <f>+S1008/($B$10*24)</f>
        <v>41.364533947708225</v>
      </c>
      <c r="T1035" s="164">
        <f>+IF(S1035&gt;=0,ABS(S1035),"")</f>
        <v>41.364533947708225</v>
      </c>
      <c r="U1035" s="333" t="str">
        <f>+IF(S1035&lt;=0,ABS(S1035),"")</f>
        <v/>
      </c>
      <c r="V1035" s="307"/>
    </row>
    <row r="1036" spans="1:45" ht="15.75" customHeight="1" x14ac:dyDescent="0.3">
      <c r="A1036" s="365" t="s">
        <v>9</v>
      </c>
      <c r="B1036" s="325">
        <f>+B1009/($C$10*24)</f>
        <v>382.47767857142856</v>
      </c>
      <c r="C1036" s="164">
        <f t="shared" ref="C1036:N1036" si="401">+C1009/($C$10*24)</f>
        <v>0</v>
      </c>
      <c r="D1036" s="164">
        <f t="shared" si="401"/>
        <v>16.011904761904763</v>
      </c>
      <c r="E1036" s="164">
        <f t="shared" si="401"/>
        <v>382.47767857142856</v>
      </c>
      <c r="F1036" s="333">
        <f t="shared" si="401"/>
        <v>398.48958333333331</v>
      </c>
      <c r="G1036" s="164">
        <f t="shared" si="401"/>
        <v>0</v>
      </c>
      <c r="H1036" s="164">
        <f t="shared" si="401"/>
        <v>15.27827380952381</v>
      </c>
      <c r="I1036" s="164">
        <f t="shared" si="401"/>
        <v>0</v>
      </c>
      <c r="J1036" s="164">
        <f t="shared" si="401"/>
        <v>15.27827380952381</v>
      </c>
      <c r="K1036" s="164">
        <f t="shared" si="401"/>
        <v>0</v>
      </c>
      <c r="L1036" s="164">
        <f t="shared" si="401"/>
        <v>0</v>
      </c>
      <c r="M1036" s="397">
        <f t="shared" si="401"/>
        <v>383.21130952380952</v>
      </c>
      <c r="N1036" s="386">
        <f t="shared" si="401"/>
        <v>0</v>
      </c>
      <c r="O1036" s="386">
        <f t="shared" ref="O1036:O1046" si="402">+O1009/($B$10*24)</f>
        <v>346.1263440860215</v>
      </c>
      <c r="P1036" s="413">
        <f t="shared" ref="P1036:P1046" si="403">P1009</f>
        <v>0.25</v>
      </c>
      <c r="Q1036" s="386">
        <f t="shared" ref="Q1036:Q1046" si="404">-O1036*P1036</f>
        <v>-86.531586021505376</v>
      </c>
      <c r="R1036" s="394">
        <f t="shared" ref="R1036:R1046" si="405">O1036+Q1036</f>
        <v>259.5947580645161</v>
      </c>
      <c r="S1036" s="414">
        <f>+S1009/($C$10*24)</f>
        <v>95.80282738095238</v>
      </c>
      <c r="T1036" s="164">
        <f t="shared" ref="T1036:T1046" si="406">+IF(S1036&gt;=0,ABS(S1036),"")</f>
        <v>95.80282738095238</v>
      </c>
      <c r="U1036" s="333" t="str">
        <f t="shared" ref="U1036:U1046" si="407">+IF(S1036&lt;=0,ABS(S1036),"")</f>
        <v/>
      </c>
      <c r="V1036" s="307"/>
    </row>
    <row r="1037" spans="1:45" ht="15.75" customHeight="1" x14ac:dyDescent="0.3">
      <c r="A1037" s="365" t="s">
        <v>10</v>
      </c>
      <c r="B1037" s="325">
        <f>+B1010/($D$10*24)</f>
        <v>198.48118279569891</v>
      </c>
      <c r="C1037" s="164">
        <f t="shared" ref="C1037:N1037" si="408">+C1010/($D$10*24)</f>
        <v>0</v>
      </c>
      <c r="D1037" s="164">
        <f t="shared" si="408"/>
        <v>8.6357526881720439</v>
      </c>
      <c r="E1037" s="164">
        <f t="shared" si="408"/>
        <v>198.48118279569891</v>
      </c>
      <c r="F1037" s="333">
        <f t="shared" si="408"/>
        <v>207.11693548387098</v>
      </c>
      <c r="G1037" s="164">
        <f t="shared" si="408"/>
        <v>2.5450218686092554E-2</v>
      </c>
      <c r="H1037" s="164">
        <f>+H1010/($D$10*24)</f>
        <v>21.280913978494624</v>
      </c>
      <c r="I1037" s="164">
        <f t="shared" si="408"/>
        <v>0</v>
      </c>
      <c r="J1037" s="164">
        <f t="shared" si="408"/>
        <v>21.280913978494624</v>
      </c>
      <c r="K1037" s="164">
        <f t="shared" si="408"/>
        <v>0</v>
      </c>
      <c r="L1037" s="164">
        <f t="shared" si="408"/>
        <v>0</v>
      </c>
      <c r="M1037" s="397">
        <f t="shared" si="408"/>
        <v>185.81057128669025</v>
      </c>
      <c r="N1037" s="386">
        <f t="shared" si="408"/>
        <v>0</v>
      </c>
      <c r="O1037" s="386">
        <f t="shared" si="402"/>
        <v>185.81057128669025</v>
      </c>
      <c r="P1037" s="413">
        <f t="shared" si="403"/>
        <v>0.3</v>
      </c>
      <c r="Q1037" s="386">
        <f t="shared" si="404"/>
        <v>-55.74317138600707</v>
      </c>
      <c r="R1037" s="394">
        <f t="shared" si="405"/>
        <v>130.06739990068317</v>
      </c>
      <c r="S1037" s="414">
        <f>+S1010/($D$10*24)</f>
        <v>55.74317138600707</v>
      </c>
      <c r="T1037" s="164">
        <f t="shared" si="406"/>
        <v>55.74317138600707</v>
      </c>
      <c r="U1037" s="333" t="str">
        <f t="shared" si="407"/>
        <v/>
      </c>
      <c r="V1037" s="307"/>
    </row>
    <row r="1038" spans="1:45" ht="15.75" customHeight="1" x14ac:dyDescent="0.3">
      <c r="A1038" s="365" t="s">
        <v>12</v>
      </c>
      <c r="B1038" s="325">
        <f>+B1011/($F$10*24)</f>
        <v>358.06111111111113</v>
      </c>
      <c r="C1038" s="164">
        <f t="shared" ref="C1038:N1038" si="409">+C1011/($F$10*24)</f>
        <v>0</v>
      </c>
      <c r="D1038" s="164">
        <f t="shared" si="409"/>
        <v>15.584722222222222</v>
      </c>
      <c r="E1038" s="164">
        <f t="shared" si="409"/>
        <v>358.06111111111113</v>
      </c>
      <c r="F1038" s="333">
        <f t="shared" si="409"/>
        <v>373.64583333333331</v>
      </c>
      <c r="G1038" s="164">
        <f t="shared" si="409"/>
        <v>2.8668393246598853</v>
      </c>
      <c r="H1038" s="164">
        <f t="shared" si="409"/>
        <v>22.120833333333334</v>
      </c>
      <c r="I1038" s="164">
        <f t="shared" si="409"/>
        <v>0</v>
      </c>
      <c r="J1038" s="164">
        <f t="shared" si="409"/>
        <v>22.120833333333334</v>
      </c>
      <c r="K1038" s="164">
        <f t="shared" si="409"/>
        <v>0</v>
      </c>
      <c r="L1038" s="164">
        <f t="shared" si="409"/>
        <v>0</v>
      </c>
      <c r="M1038" s="397">
        <f t="shared" si="409"/>
        <v>348.65816067534007</v>
      </c>
      <c r="N1038" s="386">
        <f t="shared" si="409"/>
        <v>-31</v>
      </c>
      <c r="O1038" s="386">
        <f t="shared" si="402"/>
        <v>307.41112323420009</v>
      </c>
      <c r="P1038" s="413">
        <f t="shared" si="403"/>
        <v>0.35</v>
      </c>
      <c r="Q1038" s="386">
        <f t="shared" si="404"/>
        <v>-107.59389313197002</v>
      </c>
      <c r="R1038" s="394">
        <f t="shared" si="405"/>
        <v>199.81723010223007</v>
      </c>
      <c r="S1038" s="414">
        <f>+S1011/($F$10*24)</f>
        <v>142.18035623636905</v>
      </c>
      <c r="T1038" s="164">
        <f t="shared" si="406"/>
        <v>142.18035623636905</v>
      </c>
      <c r="U1038" s="333" t="str">
        <f t="shared" si="407"/>
        <v/>
      </c>
      <c r="V1038" s="307"/>
    </row>
    <row r="1039" spans="1:45" ht="15.75" customHeight="1" x14ac:dyDescent="0.3">
      <c r="A1039" s="365" t="s">
        <v>13</v>
      </c>
      <c r="B1039" s="325">
        <f>+B1012/($G$10*24)</f>
        <v>355.29032258064518</v>
      </c>
      <c r="C1039" s="164">
        <f t="shared" ref="C1039:N1039" si="410">+C1012/($G$10*24)</f>
        <v>0</v>
      </c>
      <c r="D1039" s="164">
        <f t="shared" si="410"/>
        <v>15.44489247311828</v>
      </c>
      <c r="E1039" s="164">
        <f t="shared" si="410"/>
        <v>355.29032258064518</v>
      </c>
      <c r="F1039" s="333">
        <f t="shared" si="410"/>
        <v>370.73521505376345</v>
      </c>
      <c r="G1039" s="164">
        <f t="shared" si="410"/>
        <v>3.2435688501836188</v>
      </c>
      <c r="H1039" s="164">
        <f t="shared" si="410"/>
        <v>19.153225806451612</v>
      </c>
      <c r="I1039" s="164">
        <f t="shared" si="410"/>
        <v>0</v>
      </c>
      <c r="J1039" s="164">
        <f t="shared" si="410"/>
        <v>19.153225806451612</v>
      </c>
      <c r="K1039" s="164">
        <f t="shared" si="410"/>
        <v>0</v>
      </c>
      <c r="L1039" s="164">
        <f t="shared" si="410"/>
        <v>0</v>
      </c>
      <c r="M1039" s="397">
        <f t="shared" si="410"/>
        <v>348.33842039712823</v>
      </c>
      <c r="N1039" s="386">
        <f t="shared" si="410"/>
        <v>0</v>
      </c>
      <c r="O1039" s="386">
        <f t="shared" si="402"/>
        <v>348.33842039712823</v>
      </c>
      <c r="P1039" s="413">
        <f t="shared" si="403"/>
        <v>0.35</v>
      </c>
      <c r="Q1039" s="386">
        <f t="shared" si="404"/>
        <v>-121.91844713899488</v>
      </c>
      <c r="R1039" s="394">
        <f t="shared" si="405"/>
        <v>226.41997325813335</v>
      </c>
      <c r="S1039" s="414">
        <f>+S1012/($G$10*24)</f>
        <v>121.91844713899486</v>
      </c>
      <c r="T1039" s="164">
        <f t="shared" si="406"/>
        <v>121.91844713899486</v>
      </c>
      <c r="U1039" s="333" t="str">
        <f t="shared" si="407"/>
        <v/>
      </c>
      <c r="V1039" s="307"/>
    </row>
    <row r="1040" spans="1:45" ht="15.75" customHeight="1" x14ac:dyDescent="0.3">
      <c r="A1040" s="365" t="s">
        <v>14</v>
      </c>
      <c r="B1040" s="325">
        <f>+B1013/($H$10*24)</f>
        <v>279.72638888888889</v>
      </c>
      <c r="C1040" s="164">
        <f t="shared" ref="C1040:N1040" si="411">+C1013/($H$10*24)</f>
        <v>0</v>
      </c>
      <c r="D1040" s="164">
        <f t="shared" si="411"/>
        <v>11.931944444444444</v>
      </c>
      <c r="E1040" s="164">
        <f t="shared" si="411"/>
        <v>279.72638888888889</v>
      </c>
      <c r="F1040" s="333">
        <f t="shared" si="411"/>
        <v>291.65833333333336</v>
      </c>
      <c r="G1040" s="164">
        <f t="shared" si="411"/>
        <v>16.361600459771445</v>
      </c>
      <c r="H1040" s="164">
        <f t="shared" si="411"/>
        <v>17.633333333333333</v>
      </c>
      <c r="I1040" s="164">
        <f t="shared" si="411"/>
        <v>0</v>
      </c>
      <c r="J1040" s="164">
        <f t="shared" si="411"/>
        <v>17.633333333333333</v>
      </c>
      <c r="K1040" s="164">
        <f t="shared" si="411"/>
        <v>0</v>
      </c>
      <c r="L1040" s="164">
        <f t="shared" si="411"/>
        <v>0</v>
      </c>
      <c r="M1040" s="397">
        <f t="shared" si="411"/>
        <v>257.66339954022857</v>
      </c>
      <c r="N1040" s="386">
        <f t="shared" si="411"/>
        <v>65.666666666666671</v>
      </c>
      <c r="O1040" s="386">
        <f t="shared" si="402"/>
        <v>312.90006407118892</v>
      </c>
      <c r="P1040" s="413">
        <f t="shared" si="403"/>
        <v>7.4999999999999997E-2</v>
      </c>
      <c r="Q1040" s="386">
        <f t="shared" si="404"/>
        <v>-23.467504805339168</v>
      </c>
      <c r="R1040" s="394">
        <f t="shared" si="405"/>
        <v>289.43255926584976</v>
      </c>
      <c r="S1040" s="414">
        <f>+S1013/($H$10*24)</f>
        <v>-41.41691170114953</v>
      </c>
      <c r="T1040" s="164" t="str">
        <f t="shared" si="406"/>
        <v/>
      </c>
      <c r="U1040" s="333">
        <f t="shared" si="407"/>
        <v>41.41691170114953</v>
      </c>
      <c r="V1040" s="307"/>
    </row>
    <row r="1041" spans="1:33" ht="15.75" customHeight="1" x14ac:dyDescent="0.3">
      <c r="A1041" s="365" t="s">
        <v>16</v>
      </c>
      <c r="B1041" s="325">
        <f>+B1014/($J$10*24)</f>
        <v>256.5456989247312</v>
      </c>
      <c r="C1041" s="164">
        <f t="shared" ref="C1041:N1041" si="412">+C1014/($J$10*24)</f>
        <v>0</v>
      </c>
      <c r="D1041" s="164">
        <f t="shared" si="412"/>
        <v>10.838709677419354</v>
      </c>
      <c r="E1041" s="164">
        <f t="shared" si="412"/>
        <v>256.5456989247312</v>
      </c>
      <c r="F1041" s="333">
        <f t="shared" si="412"/>
        <v>267.38440860215053</v>
      </c>
      <c r="G1041" s="164">
        <f t="shared" si="412"/>
        <v>15.102501405862665</v>
      </c>
      <c r="H1041" s="164">
        <f t="shared" si="412"/>
        <v>15.618279569892474</v>
      </c>
      <c r="I1041" s="164">
        <f t="shared" si="412"/>
        <v>0</v>
      </c>
      <c r="J1041" s="164">
        <f t="shared" si="412"/>
        <v>15.618279569892474</v>
      </c>
      <c r="K1041" s="164">
        <f t="shared" si="412"/>
        <v>0</v>
      </c>
      <c r="L1041" s="164">
        <f t="shared" si="412"/>
        <v>0</v>
      </c>
      <c r="M1041" s="397">
        <f t="shared" si="412"/>
        <v>236.6636276263954</v>
      </c>
      <c r="N1041" s="386">
        <f t="shared" si="412"/>
        <v>63.333333333333336</v>
      </c>
      <c r="O1041" s="386">
        <f t="shared" si="402"/>
        <v>299.99696095972877</v>
      </c>
      <c r="P1041" s="413">
        <f t="shared" si="403"/>
        <v>0.05</v>
      </c>
      <c r="Q1041" s="386">
        <f t="shared" si="404"/>
        <v>-14.99984804798644</v>
      </c>
      <c r="R1041" s="394">
        <f t="shared" si="405"/>
        <v>284.99711291174231</v>
      </c>
      <c r="S1041" s="414">
        <f>+S1014/($J$10*24)</f>
        <v>-48.333485285346882</v>
      </c>
      <c r="T1041" s="164" t="str">
        <f t="shared" si="406"/>
        <v/>
      </c>
      <c r="U1041" s="333">
        <f t="shared" si="407"/>
        <v>48.333485285346882</v>
      </c>
      <c r="V1041" s="307"/>
    </row>
    <row r="1042" spans="1:33" ht="15.75" customHeight="1" x14ac:dyDescent="0.3">
      <c r="A1042" s="365" t="s">
        <v>17</v>
      </c>
      <c r="B1042" s="325">
        <f>+B1015/($K$10*24)</f>
        <v>266.77822580645159</v>
      </c>
      <c r="C1042" s="164">
        <f t="shared" ref="C1042:N1042" si="413">+C1015/($K$10*24)</f>
        <v>0</v>
      </c>
      <c r="D1042" s="164">
        <f t="shared" si="413"/>
        <v>11.341397849462366</v>
      </c>
      <c r="E1042" s="164">
        <f t="shared" si="413"/>
        <v>266.77822580645159</v>
      </c>
      <c r="F1042" s="333">
        <f t="shared" si="413"/>
        <v>278.11962365591398</v>
      </c>
      <c r="G1042" s="164">
        <f t="shared" si="413"/>
        <v>10.153031990571765</v>
      </c>
      <c r="H1042" s="164">
        <f t="shared" si="413"/>
        <v>13.76478494623656</v>
      </c>
      <c r="I1042" s="164">
        <f t="shared" si="413"/>
        <v>0</v>
      </c>
      <c r="J1042" s="164">
        <f t="shared" si="413"/>
        <v>13.76478494623656</v>
      </c>
      <c r="K1042" s="164">
        <f t="shared" si="413"/>
        <v>0</v>
      </c>
      <c r="L1042" s="164">
        <f t="shared" si="413"/>
        <v>0</v>
      </c>
      <c r="M1042" s="397">
        <f t="shared" si="413"/>
        <v>254.20180671910566</v>
      </c>
      <c r="N1042" s="386">
        <f t="shared" si="413"/>
        <v>79</v>
      </c>
      <c r="O1042" s="386">
        <f t="shared" si="402"/>
        <v>333.20180671910566</v>
      </c>
      <c r="P1042" s="413">
        <f t="shared" si="403"/>
        <v>0</v>
      </c>
      <c r="Q1042" s="386">
        <f t="shared" si="404"/>
        <v>0</v>
      </c>
      <c r="R1042" s="394">
        <f t="shared" si="405"/>
        <v>333.20180671910566</v>
      </c>
      <c r="S1042" s="414">
        <f>+S1015/($K$10*24)</f>
        <v>-79</v>
      </c>
      <c r="T1042" s="164" t="str">
        <f t="shared" si="406"/>
        <v/>
      </c>
      <c r="U1042" s="333">
        <f t="shared" si="407"/>
        <v>79</v>
      </c>
      <c r="V1042" s="307"/>
    </row>
    <row r="1043" spans="1:33" ht="15.75" customHeight="1" x14ac:dyDescent="0.3">
      <c r="A1043" s="365" t="s">
        <v>18</v>
      </c>
      <c r="B1043" s="325">
        <f>+B1016/($L$10*24)</f>
        <v>371.45694444444445</v>
      </c>
      <c r="C1043" s="164">
        <f t="shared" ref="C1043:N1043" si="414">+C1016/($L$10*24)</f>
        <v>0</v>
      </c>
      <c r="D1043" s="164">
        <f t="shared" si="414"/>
        <v>16.270833333333332</v>
      </c>
      <c r="E1043" s="164">
        <f t="shared" si="414"/>
        <v>371.45694444444445</v>
      </c>
      <c r="F1043" s="333">
        <f t="shared" si="414"/>
        <v>387.72777777777776</v>
      </c>
      <c r="G1043" s="164">
        <f t="shared" si="414"/>
        <v>0</v>
      </c>
      <c r="H1043" s="164">
        <f t="shared" si="414"/>
        <v>14.206944444444444</v>
      </c>
      <c r="I1043" s="164">
        <f t="shared" si="414"/>
        <v>0</v>
      </c>
      <c r="J1043" s="164">
        <f t="shared" si="414"/>
        <v>14.206944444444444</v>
      </c>
      <c r="K1043" s="164">
        <f t="shared" si="414"/>
        <v>0</v>
      </c>
      <c r="L1043" s="164">
        <f t="shared" si="414"/>
        <v>0</v>
      </c>
      <c r="M1043" s="397">
        <f t="shared" si="414"/>
        <v>373.52083333333331</v>
      </c>
      <c r="N1043" s="386">
        <f t="shared" si="414"/>
        <v>0</v>
      </c>
      <c r="O1043" s="386">
        <f t="shared" si="402"/>
        <v>361.47177419354841</v>
      </c>
      <c r="P1043" s="413">
        <f t="shared" si="403"/>
        <v>0.05</v>
      </c>
      <c r="Q1043" s="386">
        <f t="shared" si="404"/>
        <v>-18.07358870967742</v>
      </c>
      <c r="R1043" s="394">
        <f t="shared" si="405"/>
        <v>343.39818548387098</v>
      </c>
      <c r="S1043" s="414">
        <f>+S1016/($L$10*24)</f>
        <v>18.676041666666666</v>
      </c>
      <c r="T1043" s="164">
        <f t="shared" si="406"/>
        <v>18.676041666666666</v>
      </c>
      <c r="U1043" s="333" t="str">
        <f t="shared" si="407"/>
        <v/>
      </c>
      <c r="V1043" s="307"/>
    </row>
    <row r="1044" spans="1:33" ht="15.75" customHeight="1" x14ac:dyDescent="0.3">
      <c r="A1044" s="365" t="s">
        <v>20</v>
      </c>
      <c r="B1044" s="325">
        <f>+B1017/($N$10*24)</f>
        <v>334.79301075268819</v>
      </c>
      <c r="C1044" s="164">
        <f t="shared" ref="C1044:N1044" si="415">+C1017/($N$10*24)</f>
        <v>0</v>
      </c>
      <c r="D1044" s="164">
        <f t="shared" si="415"/>
        <v>14.620967741935484</v>
      </c>
      <c r="E1044" s="164">
        <f t="shared" si="415"/>
        <v>334.79301075268819</v>
      </c>
      <c r="F1044" s="333">
        <f t="shared" si="415"/>
        <v>349.41397849462368</v>
      </c>
      <c r="G1044" s="164">
        <f t="shared" si="415"/>
        <v>0</v>
      </c>
      <c r="H1044" s="164">
        <f t="shared" si="415"/>
        <v>13.580645161290322</v>
      </c>
      <c r="I1044" s="164">
        <f t="shared" si="415"/>
        <v>0</v>
      </c>
      <c r="J1044" s="164">
        <f t="shared" si="415"/>
        <v>13.580645161290322</v>
      </c>
      <c r="K1044" s="164">
        <f t="shared" si="415"/>
        <v>0</v>
      </c>
      <c r="L1044" s="164">
        <f t="shared" si="415"/>
        <v>0</v>
      </c>
      <c r="M1044" s="397">
        <f t="shared" si="415"/>
        <v>335.83333333333331</v>
      </c>
      <c r="N1044" s="386">
        <f t="shared" si="415"/>
        <v>0</v>
      </c>
      <c r="O1044" s="386">
        <f t="shared" si="402"/>
        <v>335.83333333333331</v>
      </c>
      <c r="P1044" s="413">
        <f t="shared" si="403"/>
        <v>0.2</v>
      </c>
      <c r="Q1044" s="386">
        <f t="shared" si="404"/>
        <v>-67.166666666666671</v>
      </c>
      <c r="R1044" s="394">
        <f t="shared" si="405"/>
        <v>268.66666666666663</v>
      </c>
      <c r="S1044" s="414">
        <f>+S1017/($N$10*24)</f>
        <v>67.166666666666671</v>
      </c>
      <c r="T1044" s="164">
        <f t="shared" si="406"/>
        <v>67.166666666666671</v>
      </c>
      <c r="U1044" s="333" t="str">
        <f t="shared" si="407"/>
        <v/>
      </c>
      <c r="V1044" s="307"/>
    </row>
    <row r="1045" spans="1:33" ht="15.75" customHeight="1" x14ac:dyDescent="0.3">
      <c r="A1045" s="365" t="s">
        <v>21</v>
      </c>
      <c r="B1045" s="325">
        <f>+B1018/($O$10*24)</f>
        <v>271.56388888888887</v>
      </c>
      <c r="C1045" s="164">
        <f t="shared" ref="C1045:N1045" si="416">+C1018/($O$10*24)</f>
        <v>0</v>
      </c>
      <c r="D1045" s="164">
        <f t="shared" si="416"/>
        <v>11.511111111111111</v>
      </c>
      <c r="E1045" s="164">
        <f t="shared" si="416"/>
        <v>271.56388888888887</v>
      </c>
      <c r="F1045" s="333">
        <f t="shared" si="416"/>
        <v>283.07499999999999</v>
      </c>
      <c r="G1045" s="164">
        <f t="shared" si="416"/>
        <v>0.26081102218488522</v>
      </c>
      <c r="H1045" s="164">
        <f t="shared" si="416"/>
        <v>15.036111111111111</v>
      </c>
      <c r="I1045" s="164">
        <f t="shared" si="416"/>
        <v>0</v>
      </c>
      <c r="J1045" s="164">
        <f t="shared" si="416"/>
        <v>15.036111111111111</v>
      </c>
      <c r="K1045" s="164">
        <f t="shared" si="416"/>
        <v>0</v>
      </c>
      <c r="L1045" s="164">
        <f t="shared" si="416"/>
        <v>0</v>
      </c>
      <c r="M1045" s="397">
        <f t="shared" si="416"/>
        <v>267.778077866704</v>
      </c>
      <c r="N1045" s="386">
        <f t="shared" si="416"/>
        <v>0</v>
      </c>
      <c r="O1045" s="386">
        <f t="shared" si="402"/>
        <v>259.14007535487485</v>
      </c>
      <c r="P1045" s="413">
        <f t="shared" si="403"/>
        <v>0.2</v>
      </c>
      <c r="Q1045" s="386">
        <f t="shared" si="404"/>
        <v>-51.828015070974971</v>
      </c>
      <c r="R1045" s="394">
        <f t="shared" si="405"/>
        <v>207.31206028389988</v>
      </c>
      <c r="S1045" s="414">
        <f>+S1018/($O$10*24)</f>
        <v>53.555615573340802</v>
      </c>
      <c r="T1045" s="164">
        <f t="shared" si="406"/>
        <v>53.555615573340802</v>
      </c>
      <c r="U1045" s="333" t="str">
        <f t="shared" si="407"/>
        <v/>
      </c>
      <c r="V1045" s="307"/>
    </row>
    <row r="1046" spans="1:33" ht="15.75" customHeight="1" thickBot="1" x14ac:dyDescent="0.35">
      <c r="A1046" s="365" t="s">
        <v>22</v>
      </c>
      <c r="B1046" s="330">
        <f>+B1019/($P$10*24)</f>
        <v>161.72983870967741</v>
      </c>
      <c r="C1046" s="335">
        <f t="shared" ref="C1046:N1046" si="417">+C1019/($P$10*24)</f>
        <v>0</v>
      </c>
      <c r="D1046" s="335">
        <f t="shared" si="417"/>
        <v>7.05510752688172</v>
      </c>
      <c r="E1046" s="335">
        <f t="shared" si="417"/>
        <v>161.72983870967741</v>
      </c>
      <c r="F1046" s="405">
        <f t="shared" si="417"/>
        <v>168.78494623655914</v>
      </c>
      <c r="G1046" s="335">
        <f t="shared" si="417"/>
        <v>0</v>
      </c>
      <c r="H1046" s="335">
        <f t="shared" si="417"/>
        <v>8.9731182795698921</v>
      </c>
      <c r="I1046" s="335">
        <f t="shared" si="417"/>
        <v>0</v>
      </c>
      <c r="J1046" s="335">
        <f t="shared" si="417"/>
        <v>8.9731182795698921</v>
      </c>
      <c r="K1046" s="335">
        <f t="shared" si="417"/>
        <v>0</v>
      </c>
      <c r="L1046" s="335">
        <f t="shared" si="417"/>
        <v>0</v>
      </c>
      <c r="M1046" s="406">
        <f t="shared" si="417"/>
        <v>159.81182795698925</v>
      </c>
      <c r="N1046" s="407">
        <f t="shared" si="417"/>
        <v>0</v>
      </c>
      <c r="O1046" s="408">
        <f t="shared" si="402"/>
        <v>159.81182795698925</v>
      </c>
      <c r="P1046" s="409">
        <f t="shared" si="403"/>
        <v>0.2</v>
      </c>
      <c r="Q1046" s="407">
        <f t="shared" si="404"/>
        <v>-31.962365591397852</v>
      </c>
      <c r="R1046" s="408">
        <f t="shared" si="405"/>
        <v>127.84946236559139</v>
      </c>
      <c r="S1046" s="415">
        <f>+S1019/($P$10*24)</f>
        <v>31.962365591397848</v>
      </c>
      <c r="T1046" s="335">
        <f t="shared" si="406"/>
        <v>31.962365591397848</v>
      </c>
      <c r="U1046" s="405" t="str">
        <f t="shared" si="407"/>
        <v/>
      </c>
      <c r="V1046" s="307"/>
    </row>
    <row r="1047" spans="1:33" ht="15.75" customHeight="1" x14ac:dyDescent="0.3">
      <c r="A1047" s="416"/>
      <c r="V1047" s="307"/>
    </row>
    <row r="1048" spans="1:33" ht="16.5" customHeight="1" thickBot="1" x14ac:dyDescent="0.35">
      <c r="A1048" s="417"/>
      <c r="B1048" s="312"/>
      <c r="C1048" s="312"/>
      <c r="D1048" s="312"/>
      <c r="E1048" s="312"/>
      <c r="F1048" s="312"/>
      <c r="G1048" s="312"/>
      <c r="H1048" s="312"/>
      <c r="I1048" s="312"/>
      <c r="J1048" s="312"/>
      <c r="K1048" s="312"/>
      <c r="L1048" s="312"/>
      <c r="M1048" s="312"/>
      <c r="N1048" s="312"/>
      <c r="O1048" s="312"/>
      <c r="P1048" s="312"/>
      <c r="Q1048" s="312"/>
      <c r="R1048" s="312"/>
      <c r="S1048" s="312"/>
      <c r="T1048" s="312"/>
      <c r="U1048" s="312"/>
      <c r="V1048" s="313"/>
    </row>
    <row r="1049" spans="1:33" ht="15.75" customHeight="1" x14ac:dyDescent="0.3">
      <c r="A1049" s="166"/>
      <c r="B1049" s="159"/>
      <c r="C1049" s="159"/>
      <c r="D1049" s="159"/>
      <c r="E1049" s="159"/>
      <c r="F1049" s="159"/>
      <c r="G1049" s="159"/>
      <c r="H1049" s="159"/>
      <c r="I1049" s="159"/>
      <c r="J1049" s="159"/>
      <c r="K1049" s="159"/>
      <c r="L1049" s="159"/>
      <c r="M1049" s="159"/>
      <c r="N1049" s="159"/>
      <c r="O1049" s="159"/>
      <c r="P1049" s="159"/>
      <c r="Q1049" s="159"/>
      <c r="R1049" s="159"/>
    </row>
    <row r="1050" spans="1:33" ht="15.75" customHeight="1" x14ac:dyDescent="0.3">
      <c r="A1050" s="418"/>
    </row>
    <row r="1051" spans="1:33" ht="15.75" customHeight="1" thickBot="1" x14ac:dyDescent="0.35">
      <c r="A1051" s="418"/>
    </row>
    <row r="1052" spans="1:33" ht="15.75" customHeight="1" x14ac:dyDescent="0.3">
      <c r="A1052" s="419"/>
      <c r="B1052" s="506" t="s">
        <v>1080</v>
      </c>
      <c r="C1052" s="506"/>
      <c r="D1052" s="506"/>
      <c r="E1052" s="506"/>
      <c r="F1052" s="506"/>
      <c r="G1052" s="506"/>
      <c r="H1052" s="506"/>
      <c r="I1052" s="506"/>
      <c r="J1052" s="506"/>
      <c r="K1052" s="506"/>
      <c r="L1052" s="506"/>
      <c r="M1052" s="506"/>
      <c r="N1052" s="506"/>
      <c r="O1052" s="506"/>
      <c r="P1052" s="506"/>
      <c r="Q1052" s="361" t="str">
        <f>+Q1</f>
        <v xml:space="preserve">PRINTED:  </v>
      </c>
      <c r="R1052" s="367">
        <f ca="1">+R1</f>
        <v>44909.46975358796</v>
      </c>
      <c r="S1052" s="332"/>
    </row>
    <row r="1053" spans="1:33" ht="15.75" customHeight="1" x14ac:dyDescent="0.3">
      <c r="A1053" s="420"/>
      <c r="B1053" s="503" t="str">
        <f>+A8</f>
        <v>Revised:  11/4/2019</v>
      </c>
      <c r="C1053" s="503"/>
      <c r="D1053" s="503"/>
      <c r="E1053" s="503"/>
      <c r="F1053" s="503"/>
      <c r="G1053" s="503"/>
      <c r="H1053" s="503"/>
      <c r="I1053" s="503"/>
      <c r="J1053" s="503"/>
      <c r="K1053" s="503"/>
      <c r="L1053" s="503"/>
      <c r="M1053" s="503"/>
      <c r="N1053" s="503"/>
      <c r="O1053" s="503"/>
      <c r="P1053" s="503"/>
      <c r="Q1053" s="159"/>
      <c r="R1053" s="159"/>
      <c r="S1053" s="307"/>
    </row>
    <row r="1054" spans="1:33" ht="16.5" customHeight="1" x14ac:dyDescent="0.3">
      <c r="A1054" s="420"/>
      <c r="B1054" s="503" t="s">
        <v>1024</v>
      </c>
      <c r="C1054" s="503"/>
      <c r="D1054" s="503"/>
      <c r="E1054" s="503"/>
      <c r="F1054" s="503"/>
      <c r="G1054" s="503"/>
      <c r="H1054" s="503"/>
      <c r="I1054" s="503"/>
      <c r="J1054" s="503"/>
      <c r="K1054" s="503"/>
      <c r="L1054" s="503"/>
      <c r="M1054" s="503"/>
      <c r="N1054" s="503"/>
      <c r="O1054" s="503"/>
      <c r="P1054" s="503"/>
      <c r="Q1054" s="159"/>
      <c r="R1054" s="159"/>
      <c r="S1054" s="307"/>
    </row>
    <row r="1055" spans="1:33" ht="15.75" customHeight="1" x14ac:dyDescent="0.3">
      <c r="A1055" s="420"/>
      <c r="B1055" s="159"/>
      <c r="C1055" s="159"/>
      <c r="D1055" s="159"/>
      <c r="E1055" s="159"/>
      <c r="F1055" s="159"/>
      <c r="G1055" s="159"/>
      <c r="H1055" s="159"/>
      <c r="I1055" s="159"/>
      <c r="J1055" s="159"/>
      <c r="K1055" s="159"/>
      <c r="L1055" s="159"/>
      <c r="M1055" s="159"/>
      <c r="N1055" s="159"/>
      <c r="O1055" s="159"/>
      <c r="P1055" s="159"/>
      <c r="Q1055" s="159"/>
      <c r="R1055" s="159"/>
      <c r="S1055" s="307"/>
      <c r="AG1055" s="365"/>
    </row>
    <row r="1056" spans="1:33" ht="15.75" customHeight="1" x14ac:dyDescent="0.3">
      <c r="A1056" s="420"/>
      <c r="B1056" s="539">
        <f>+A5</f>
        <v>2019</v>
      </c>
      <c r="C1056" s="509"/>
      <c r="D1056" s="509"/>
      <c r="E1056" s="509"/>
      <c r="F1056" s="509"/>
      <c r="G1056" s="509"/>
      <c r="H1056" s="509"/>
      <c r="I1056" s="509"/>
      <c r="J1056" s="509"/>
      <c r="K1056" s="509"/>
      <c r="L1056" s="509"/>
      <c r="M1056" s="509"/>
      <c r="N1056" s="509"/>
      <c r="O1056" s="509"/>
      <c r="P1056" s="509"/>
      <c r="Q1056" s="159"/>
      <c r="R1056" s="159"/>
      <c r="S1056" s="307"/>
      <c r="AE1056" s="4" t="s">
        <v>1081</v>
      </c>
      <c r="AF1056" s="4" t="s">
        <v>1082</v>
      </c>
    </row>
    <row r="1057" spans="1:50" ht="15.75" customHeight="1" thickBot="1" x14ac:dyDescent="0.35">
      <c r="A1057" s="420"/>
      <c r="B1057" s="503" t="s">
        <v>457</v>
      </c>
      <c r="C1057" s="503"/>
      <c r="D1057" s="503"/>
      <c r="E1057" s="503"/>
      <c r="F1057" s="503"/>
      <c r="G1057" s="503"/>
      <c r="H1057" s="503"/>
      <c r="I1057" s="503"/>
      <c r="J1057" s="503"/>
      <c r="K1057" s="503"/>
      <c r="L1057" s="503"/>
      <c r="M1057" s="503"/>
      <c r="N1057" s="503"/>
      <c r="O1057" s="503"/>
      <c r="P1057" s="503"/>
      <c r="Q1057" s="159"/>
      <c r="R1057" s="159"/>
      <c r="S1057" s="307"/>
      <c r="V1057" s="4" t="s">
        <v>1233</v>
      </c>
      <c r="AC1057" s="4" t="s">
        <v>1083</v>
      </c>
      <c r="AD1057" s="421" t="s">
        <v>1234</v>
      </c>
      <c r="AE1057" s="4">
        <f>DAY(DATE($A$5,MONTH(CONCATENATE(1,"-",AD1057,"-",$A$5))+1,1)-1)</f>
        <v>28</v>
      </c>
      <c r="AI1057" s="468"/>
      <c r="AJ1057" s="468"/>
    </row>
    <row r="1058" spans="1:50" ht="15.75" customHeight="1" x14ac:dyDescent="0.3">
      <c r="A1058" s="420"/>
      <c r="B1058" s="546" t="s">
        <v>1084</v>
      </c>
      <c r="C1058" s="547"/>
      <c r="D1058" s="548"/>
      <c r="E1058" s="164"/>
      <c r="F1058" s="164"/>
      <c r="G1058" s="164"/>
      <c r="H1058" s="164"/>
      <c r="I1058" s="164"/>
      <c r="J1058" s="164"/>
      <c r="K1058" s="164"/>
      <c r="L1058" s="164"/>
      <c r="M1058" s="164"/>
      <c r="N1058" s="164"/>
      <c r="O1058" s="164"/>
      <c r="P1058" s="164"/>
      <c r="Q1058" s="159"/>
      <c r="R1058" s="159"/>
      <c r="S1058" s="422"/>
      <c r="T1058" s="540" t="s">
        <v>1235</v>
      </c>
      <c r="U1058" s="541"/>
      <c r="V1058" s="541" t="s">
        <v>1236</v>
      </c>
      <c r="W1058" s="541"/>
      <c r="X1058" s="469" t="s">
        <v>429</v>
      </c>
      <c r="Y1058" s="469" t="s">
        <v>1237</v>
      </c>
      <c r="Z1058" s="469" t="s">
        <v>1238</v>
      </c>
    </row>
    <row r="1059" spans="1:50" ht="15.75" customHeight="1" thickBot="1" x14ac:dyDescent="0.35">
      <c r="A1059" s="364" t="s">
        <v>1071</v>
      </c>
      <c r="B1059" s="423" t="s">
        <v>1085</v>
      </c>
      <c r="C1059" s="424" t="s">
        <v>1086</v>
      </c>
      <c r="D1059" s="425" t="s">
        <v>1087</v>
      </c>
      <c r="E1059" s="424" t="s">
        <v>391</v>
      </c>
      <c r="F1059" s="424" t="s">
        <v>392</v>
      </c>
      <c r="G1059" s="424" t="s">
        <v>393</v>
      </c>
      <c r="H1059" s="424" t="s">
        <v>1088</v>
      </c>
      <c r="I1059" s="424" t="s">
        <v>1089</v>
      </c>
      <c r="J1059" s="424" t="s">
        <v>395</v>
      </c>
      <c r="K1059" s="424" t="s">
        <v>396</v>
      </c>
      <c r="L1059" s="424" t="s">
        <v>397</v>
      </c>
      <c r="M1059" s="424" t="s">
        <v>398</v>
      </c>
      <c r="N1059" s="424" t="s">
        <v>399</v>
      </c>
      <c r="O1059" s="424" t="s">
        <v>400</v>
      </c>
      <c r="P1059" s="424" t="s">
        <v>401</v>
      </c>
      <c r="Q1059" s="424" t="s">
        <v>402</v>
      </c>
      <c r="R1059" s="424" t="s">
        <v>403</v>
      </c>
      <c r="S1059" s="425" t="s">
        <v>404</v>
      </c>
      <c r="T1059" s="424" t="s">
        <v>1239</v>
      </c>
      <c r="U1059" s="424" t="s">
        <v>1086</v>
      </c>
      <c r="V1059" s="424" t="s">
        <v>1240</v>
      </c>
      <c r="W1059" s="424" t="s">
        <v>1086</v>
      </c>
      <c r="X1059" s="424" t="s">
        <v>406</v>
      </c>
      <c r="Y1059" s="424" t="s">
        <v>1241</v>
      </c>
      <c r="Z1059" s="424" t="s">
        <v>1242</v>
      </c>
      <c r="AD1059" s="364" t="s">
        <v>390</v>
      </c>
      <c r="AE1059" s="364" t="s">
        <v>391</v>
      </c>
      <c r="AF1059" s="364" t="s">
        <v>392</v>
      </c>
      <c r="AG1059" s="364" t="s">
        <v>393</v>
      </c>
      <c r="AH1059" s="364" t="s">
        <v>394</v>
      </c>
      <c r="AI1059" s="364" t="s">
        <v>395</v>
      </c>
      <c r="AJ1059" s="364" t="s">
        <v>396</v>
      </c>
      <c r="AK1059" s="364" t="s">
        <v>397</v>
      </c>
      <c r="AL1059" s="364" t="s">
        <v>398</v>
      </c>
      <c r="AM1059" s="364" t="s">
        <v>399</v>
      </c>
      <c r="AN1059" s="364" t="s">
        <v>400</v>
      </c>
      <c r="AO1059" s="364" t="s">
        <v>401</v>
      </c>
      <c r="AP1059" s="364" t="s">
        <v>402</v>
      </c>
      <c r="AQ1059" s="364" t="s">
        <v>403</v>
      </c>
      <c r="AR1059" s="364" t="s">
        <v>404</v>
      </c>
      <c r="AS1059" s="364" t="s">
        <v>422</v>
      </c>
      <c r="AT1059" s="364" t="s">
        <v>477</v>
      </c>
      <c r="AU1059" s="364" t="s">
        <v>422</v>
      </c>
      <c r="AW1059" s="426" t="s">
        <v>1093</v>
      </c>
      <c r="AX1059" s="426" t="s">
        <v>1094</v>
      </c>
    </row>
    <row r="1060" spans="1:50" ht="15.75" customHeight="1" x14ac:dyDescent="0.3">
      <c r="A1060" s="375" t="s">
        <v>795</v>
      </c>
      <c r="B1060" s="375">
        <f>+F1087</f>
        <v>196</v>
      </c>
      <c r="C1060" s="365">
        <f t="shared" ref="B1060:C1071" si="418">+G1087</f>
        <v>0</v>
      </c>
      <c r="D1060" s="427" t="s">
        <v>1095</v>
      </c>
      <c r="E1060" s="365">
        <f>+C980/$B$10/24</f>
        <v>14.306451612903226</v>
      </c>
      <c r="F1060" s="365">
        <f t="shared" ref="F1060:S1060" si="419">+D980/$B$10/24</f>
        <v>14.993279569892472</v>
      </c>
      <c r="G1060" s="365">
        <f t="shared" si="419"/>
        <v>25.45564516129032</v>
      </c>
      <c r="H1060" s="365">
        <f t="shared" si="419"/>
        <v>17.019338610589831</v>
      </c>
      <c r="I1060" s="365">
        <f t="shared" si="419"/>
        <v>-3.3695345625341919</v>
      </c>
      <c r="J1060" s="365">
        <f t="shared" si="419"/>
        <v>3.1653225806451615</v>
      </c>
      <c r="K1060" s="365">
        <f t="shared" si="419"/>
        <v>3.26747311827957</v>
      </c>
      <c r="L1060" s="365">
        <f t="shared" si="419"/>
        <v>5.099462365591398</v>
      </c>
      <c r="M1060" s="365">
        <f t="shared" si="419"/>
        <v>5.295698924731183</v>
      </c>
      <c r="N1060" s="365">
        <f t="shared" si="419"/>
        <v>1.7190860215053763</v>
      </c>
      <c r="O1060" s="365">
        <f t="shared" si="419"/>
        <v>2.025537634408602</v>
      </c>
      <c r="P1060" s="365">
        <f t="shared" si="419"/>
        <v>4.154569892473118</v>
      </c>
      <c r="Q1060" s="365">
        <f t="shared" si="419"/>
        <v>0.8911290322580645</v>
      </c>
      <c r="R1060" s="365">
        <f t="shared" si="419"/>
        <v>1.739247311827957</v>
      </c>
      <c r="S1060" s="427">
        <f t="shared" si="419"/>
        <v>2.110215053763441</v>
      </c>
      <c r="T1060" s="365">
        <f>+B1060+SUM(E1060:S1060)</f>
        <v>293.87292232762553</v>
      </c>
      <c r="U1060" s="365">
        <f t="shared" ref="U1060:U1071" si="420">+C1060+SUM(E1060:S1060)</f>
        <v>97.872922327625517</v>
      </c>
      <c r="V1060" s="365">
        <f>+B1060+SUM(E1060:G1060)</f>
        <v>250.75537634408602</v>
      </c>
      <c r="W1060" s="365">
        <f>+C1060+SUM(E1060:G1060)</f>
        <v>54.755376344086017</v>
      </c>
      <c r="X1060" s="365">
        <f>+H1060</f>
        <v>17.019338610589831</v>
      </c>
      <c r="Y1060" s="365">
        <f>+I1060</f>
        <v>-3.3695345625341919</v>
      </c>
      <c r="Z1060" s="365">
        <f>+SUM(J1060:S1060)</f>
        <v>29.467741935483868</v>
      </c>
      <c r="AC1060" s="4">
        <v>1</v>
      </c>
      <c r="AD1060" s="365">
        <f>IF($AF$1057=1,VLOOKUP($AD$1057,$A$1087:$P$1098,12,FALSE),VLOOKUP($AD$1057,$A$1060:$S$1071,2,FALSE))</f>
        <v>98</v>
      </c>
      <c r="AE1060" s="365">
        <f>VLOOKUP($AD$1057,$A$1060:$S$1071,5,FALSE)</f>
        <v>27.455357142857142</v>
      </c>
      <c r="AF1060" s="365">
        <f>VLOOKUP($AD$1057,$A$1060:$S$1071,6,FALSE)</f>
        <v>28.77827380952381</v>
      </c>
      <c r="AG1060" s="365">
        <f>VLOOKUP($AD$1057,$A$1060:$S$1071,7,FALSE)</f>
        <v>49.081845238095241</v>
      </c>
      <c r="AH1060" s="365">
        <f>VLOOKUP($AD$1057,$A$1060:$S$1071,8,FALSE)</f>
        <v>30.590097127100382</v>
      </c>
      <c r="AI1060" s="365">
        <f>VLOOKUP($AD$1057,$A$1060:$S$1071,10,FALSE)</f>
        <v>4.4836309523809526</v>
      </c>
      <c r="AJ1060" s="365">
        <f>VLOOKUP($AD$1057,$A$1060:$S$1071,11,FALSE)</f>
        <v>3.5193452380952377</v>
      </c>
      <c r="AK1060" s="365">
        <f>VLOOKUP($AD$1057,$A$1060:$S$1071,12,FALSE)</f>
        <v>5.4925595238095246</v>
      </c>
      <c r="AL1060" s="365">
        <f>VLOOKUP($AD$1057,$A$1060:$S$1071,13,FALSE)</f>
        <v>5.6949404761904754</v>
      </c>
      <c r="AM1060" s="365">
        <f>VLOOKUP($AD$1057,$A$1060:$S$1071,14,FALSE)</f>
        <v>1.4836309523809523</v>
      </c>
      <c r="AN1060" s="365">
        <f>VLOOKUP($AD$1057,$A$1060:$S$1071,15,FALSE)</f>
        <v>1.7470238095238095</v>
      </c>
      <c r="AO1060" s="365">
        <f>VLOOKUP($AD$1057,$A$1060:$S$1071,16,FALSE)</f>
        <v>3.4166666666666665</v>
      </c>
      <c r="AP1060" s="365">
        <f>VLOOKUP($AD$1057,$A$1060:$S$1071,17,FALSE)</f>
        <v>0.95833333333333337</v>
      </c>
      <c r="AQ1060" s="365">
        <f>VLOOKUP($AD$1057,$A$1060:$S$1071,18,FALSE)</f>
        <v>1.9255952380952381</v>
      </c>
      <c r="AR1060" s="365">
        <f>VLOOKUP($AD$1057,$A$1060:$S$1071,19,FALSE)</f>
        <v>2.2678571428571428</v>
      </c>
      <c r="AS1060" s="365">
        <f>SUM(AD1060:AR1060)</f>
        <v>264.89515665091</v>
      </c>
      <c r="AT1060" s="365">
        <f>VLOOKUP($AD$1057,$AC$980:$AS$991,17,FALSE)/$AE$1057*(AS1060/$AS$1084)</f>
        <v>21.253945016499767</v>
      </c>
      <c r="AU1060" s="365">
        <f>AS1060+AT1060</f>
        <v>286.14910166740975</v>
      </c>
      <c r="AW1060" s="365">
        <f>VLOOKUP($AD$1057,$A$1008:$O$1021,15,FALSE)/$AE$1057/24</f>
        <v>383.21130952380958</v>
      </c>
      <c r="AX1060" s="365">
        <f>AU1060-AW1060</f>
        <v>-97.062207856399823</v>
      </c>
    </row>
    <row r="1061" spans="1:50" ht="15.75" customHeight="1" x14ac:dyDescent="0.3">
      <c r="A1061" s="375" t="s">
        <v>9</v>
      </c>
      <c r="B1061" s="375">
        <f t="shared" si="418"/>
        <v>98</v>
      </c>
      <c r="C1061" s="365">
        <f t="shared" si="418"/>
        <v>0</v>
      </c>
      <c r="D1061" s="427" t="s">
        <v>1095</v>
      </c>
      <c r="E1061" s="365">
        <f t="shared" ref="E1061:S1061" si="421">+C981/$C$10/24</f>
        <v>27.455357142857142</v>
      </c>
      <c r="F1061" s="365">
        <f t="shared" si="421"/>
        <v>28.77827380952381</v>
      </c>
      <c r="G1061" s="365">
        <f t="shared" si="421"/>
        <v>49.081845238095241</v>
      </c>
      <c r="H1061" s="365">
        <f t="shared" si="421"/>
        <v>30.590097127100382</v>
      </c>
      <c r="I1061" s="365">
        <f t="shared" si="421"/>
        <v>0</v>
      </c>
      <c r="J1061" s="365">
        <f t="shared" si="421"/>
        <v>4.4836309523809526</v>
      </c>
      <c r="K1061" s="365">
        <f t="shared" si="421"/>
        <v>3.5193452380952377</v>
      </c>
      <c r="L1061" s="365">
        <f t="shared" si="421"/>
        <v>5.4925595238095246</v>
      </c>
      <c r="M1061" s="365">
        <f t="shared" si="421"/>
        <v>5.6949404761904754</v>
      </c>
      <c r="N1061" s="365">
        <f t="shared" si="421"/>
        <v>1.4836309523809523</v>
      </c>
      <c r="O1061" s="365">
        <f t="shared" si="421"/>
        <v>1.7470238095238095</v>
      </c>
      <c r="P1061" s="365">
        <f t="shared" si="421"/>
        <v>3.4166666666666665</v>
      </c>
      <c r="Q1061" s="365">
        <f t="shared" si="421"/>
        <v>0.95833333333333337</v>
      </c>
      <c r="R1061" s="365">
        <f t="shared" si="421"/>
        <v>1.9255952380952381</v>
      </c>
      <c r="S1061" s="427">
        <f t="shared" si="421"/>
        <v>2.2678571428571428</v>
      </c>
      <c r="T1061" s="365">
        <f t="shared" ref="T1061:T1071" si="422">+B1061+SUM(E1061:S1061)</f>
        <v>264.89515665090994</v>
      </c>
      <c r="U1061" s="365">
        <f t="shared" si="420"/>
        <v>166.89515665090991</v>
      </c>
      <c r="V1061" s="365">
        <f t="shared" ref="V1061:V1071" si="423">+B1061+SUM(E1061:G1061)</f>
        <v>203.3154761904762</v>
      </c>
      <c r="W1061" s="365">
        <f t="shared" ref="W1061:W1071" si="424">+C1061+SUM(E1061:G1061)</f>
        <v>105.31547619047619</v>
      </c>
      <c r="X1061" s="365">
        <f t="shared" ref="X1061:Y1071" si="425">+H1061</f>
        <v>30.590097127100382</v>
      </c>
      <c r="Y1061" s="365">
        <f t="shared" si="425"/>
        <v>0</v>
      </c>
      <c r="Z1061" s="365">
        <f t="shared" ref="Z1061:Z1071" si="426">+SUM(J1061:S1061)</f>
        <v>30.989583333333332</v>
      </c>
      <c r="AC1061" s="4">
        <v>2</v>
      </c>
      <c r="AD1061" s="365">
        <f t="shared" ref="AD1061:AD1065" si="427">IF($AF$1057=1,VLOOKUP($AD$1057,$A$1087:$P$1098,12,FALSE),VLOOKUP($AD$1057,$A$1060:$S$1071,2,FALSE))</f>
        <v>98</v>
      </c>
      <c r="AE1061" s="365">
        <f t="shared" ref="AE1061:AE1083" si="428">VLOOKUP($AD$1057,$A$1060:$S$1071,5,FALSE)</f>
        <v>27.455357142857142</v>
      </c>
      <c r="AF1061" s="365">
        <f t="shared" ref="AF1061:AF1083" si="429">VLOOKUP($AD$1057,$A$1060:$S$1071,6,FALSE)</f>
        <v>28.77827380952381</v>
      </c>
      <c r="AG1061" s="365">
        <f t="shared" ref="AG1061:AG1083" si="430">VLOOKUP($AD$1057,$A$1060:$S$1071,7,FALSE)</f>
        <v>49.081845238095241</v>
      </c>
      <c r="AH1061" s="365">
        <f t="shared" ref="AH1061:AH1083" si="431">VLOOKUP($AD$1057,$A$1060:$S$1071,8,FALSE)</f>
        <v>30.590097127100382</v>
      </c>
      <c r="AI1061" s="365">
        <f t="shared" ref="AI1061:AI1083" si="432">VLOOKUP($AD$1057,$A$1060:$S$1071,10,FALSE)</f>
        <v>4.4836309523809526</v>
      </c>
      <c r="AJ1061" s="365">
        <f t="shared" ref="AJ1061:AJ1083" si="433">VLOOKUP($AD$1057,$A$1060:$S$1071,11,FALSE)</f>
        <v>3.5193452380952377</v>
      </c>
      <c r="AK1061" s="365">
        <f t="shared" ref="AK1061:AK1083" si="434">VLOOKUP($AD$1057,$A$1060:$S$1071,12,FALSE)</f>
        <v>5.4925595238095246</v>
      </c>
      <c r="AL1061" s="365">
        <f t="shared" ref="AL1061:AL1083" si="435">VLOOKUP($AD$1057,$A$1060:$S$1071,13,FALSE)</f>
        <v>5.6949404761904754</v>
      </c>
      <c r="AM1061" s="365">
        <f t="shared" ref="AM1061:AM1083" si="436">VLOOKUP($AD$1057,$A$1060:$S$1071,14,FALSE)</f>
        <v>1.4836309523809523</v>
      </c>
      <c r="AN1061" s="365">
        <f t="shared" ref="AN1061:AN1083" si="437">VLOOKUP($AD$1057,$A$1060:$S$1071,15,FALSE)</f>
        <v>1.7470238095238095</v>
      </c>
      <c r="AO1061" s="365">
        <f t="shared" ref="AO1061:AO1083" si="438">VLOOKUP($AD$1057,$A$1060:$S$1071,16,FALSE)</f>
        <v>3.4166666666666665</v>
      </c>
      <c r="AP1061" s="365">
        <f t="shared" ref="AP1061:AP1083" si="439">VLOOKUP($AD$1057,$A$1060:$S$1071,17,FALSE)</f>
        <v>0.95833333333333337</v>
      </c>
      <c r="AQ1061" s="365">
        <f t="shared" ref="AQ1061:AQ1083" si="440">VLOOKUP($AD$1057,$A$1060:$S$1071,18,FALSE)</f>
        <v>1.9255952380952381</v>
      </c>
      <c r="AR1061" s="365">
        <f t="shared" ref="AR1061:AR1083" si="441">VLOOKUP($AD$1057,$A$1060:$S$1071,19,FALSE)</f>
        <v>2.2678571428571428</v>
      </c>
      <c r="AS1061" s="365">
        <f t="shared" ref="AS1061:AS1083" si="442">SUM(AD1061:AR1061)</f>
        <v>264.89515665091</v>
      </c>
      <c r="AT1061" s="365">
        <f t="shared" ref="AT1061:AT1083" si="443">VLOOKUP($AD$1057,$AC$980:$AS$991,17,FALSE)/$AE$1057*(AS1061/$AS$1084)</f>
        <v>21.253945016499767</v>
      </c>
      <c r="AU1061" s="365">
        <f t="shared" ref="AU1061:AU1083" si="444">AS1061+AT1061</f>
        <v>286.14910166740975</v>
      </c>
      <c r="AW1061" s="365">
        <f t="shared" ref="AW1061:AW1083" si="445">VLOOKUP($AD$1057,$A$1008:$O$1021,15,FALSE)/$AE$1057/24</f>
        <v>383.21130952380958</v>
      </c>
      <c r="AX1061" s="365">
        <f t="shared" ref="AX1061:AX1083" si="446">AU1061-AW1061</f>
        <v>-97.062207856399823</v>
      </c>
    </row>
    <row r="1062" spans="1:50" ht="15.75" customHeight="1" x14ac:dyDescent="0.3">
      <c r="A1062" s="375" t="s">
        <v>10</v>
      </c>
      <c r="B1062" s="375">
        <f t="shared" si="418"/>
        <v>294</v>
      </c>
      <c r="C1062" s="365">
        <f t="shared" si="418"/>
        <v>0</v>
      </c>
      <c r="D1062" s="427" t="s">
        <v>1095</v>
      </c>
      <c r="E1062" s="365">
        <f t="shared" ref="E1062:S1062" si="447">+C982/$D$10/24</f>
        <v>13.522849462365592</v>
      </c>
      <c r="F1062" s="365">
        <f t="shared" si="447"/>
        <v>14.14247311827957</v>
      </c>
      <c r="G1062" s="365">
        <f t="shared" si="447"/>
        <v>23.594086021505376</v>
      </c>
      <c r="H1062" s="365">
        <f t="shared" si="447"/>
        <v>1.7692806852736116E-2</v>
      </c>
      <c r="I1062" s="365">
        <f t="shared" si="447"/>
        <v>-2.5450218686092554E-2</v>
      </c>
      <c r="J1062" s="365">
        <f t="shared" si="447"/>
        <v>7.303763440860215</v>
      </c>
      <c r="K1062" s="365">
        <f t="shared" si="447"/>
        <v>5.165322580645161</v>
      </c>
      <c r="L1062" s="365">
        <f t="shared" si="447"/>
        <v>7.1895161290322589</v>
      </c>
      <c r="M1062" s="365">
        <f t="shared" si="447"/>
        <v>7.2405913978494629</v>
      </c>
      <c r="N1062" s="365">
        <f t="shared" si="447"/>
        <v>1.98252688172043</v>
      </c>
      <c r="O1062" s="365">
        <f t="shared" si="447"/>
        <v>2.3346774193548385</v>
      </c>
      <c r="P1062" s="365">
        <f t="shared" si="447"/>
        <v>4.577956989247312</v>
      </c>
      <c r="Q1062" s="365">
        <f t="shared" si="447"/>
        <v>0.83467741935483863</v>
      </c>
      <c r="R1062" s="365">
        <f t="shared" si="447"/>
        <v>2.1733870967741935</v>
      </c>
      <c r="S1062" s="427">
        <f t="shared" si="447"/>
        <v>1.971774193548387</v>
      </c>
      <c r="T1062" s="365">
        <f t="shared" si="422"/>
        <v>386.02584473870422</v>
      </c>
      <c r="U1062" s="365">
        <f t="shared" si="420"/>
        <v>92.025844738704251</v>
      </c>
      <c r="V1062" s="365">
        <f t="shared" si="423"/>
        <v>345.25940860215053</v>
      </c>
      <c r="W1062" s="365">
        <f t="shared" si="424"/>
        <v>51.259408602150536</v>
      </c>
      <c r="X1062" s="365">
        <f t="shared" si="425"/>
        <v>1.7692806852736116E-2</v>
      </c>
      <c r="Y1062" s="365">
        <f t="shared" si="425"/>
        <v>-2.5450218686092554E-2</v>
      </c>
      <c r="Z1062" s="365">
        <f t="shared" si="426"/>
        <v>40.774193548387096</v>
      </c>
      <c r="AC1062" s="4">
        <v>3</v>
      </c>
      <c r="AD1062" s="365">
        <f t="shared" si="427"/>
        <v>98</v>
      </c>
      <c r="AE1062" s="365">
        <f t="shared" si="428"/>
        <v>27.455357142857142</v>
      </c>
      <c r="AF1062" s="365">
        <f t="shared" si="429"/>
        <v>28.77827380952381</v>
      </c>
      <c r="AG1062" s="365">
        <f t="shared" si="430"/>
        <v>49.081845238095241</v>
      </c>
      <c r="AH1062" s="365">
        <f t="shared" si="431"/>
        <v>30.590097127100382</v>
      </c>
      <c r="AI1062" s="365">
        <f t="shared" si="432"/>
        <v>4.4836309523809526</v>
      </c>
      <c r="AJ1062" s="365">
        <f t="shared" si="433"/>
        <v>3.5193452380952377</v>
      </c>
      <c r="AK1062" s="365">
        <f t="shared" si="434"/>
        <v>5.4925595238095246</v>
      </c>
      <c r="AL1062" s="365">
        <f t="shared" si="435"/>
        <v>5.6949404761904754</v>
      </c>
      <c r="AM1062" s="365">
        <f t="shared" si="436"/>
        <v>1.4836309523809523</v>
      </c>
      <c r="AN1062" s="365">
        <f t="shared" si="437"/>
        <v>1.7470238095238095</v>
      </c>
      <c r="AO1062" s="365">
        <f t="shared" si="438"/>
        <v>3.4166666666666665</v>
      </c>
      <c r="AP1062" s="365">
        <f t="shared" si="439"/>
        <v>0.95833333333333337</v>
      </c>
      <c r="AQ1062" s="365">
        <f t="shared" si="440"/>
        <v>1.9255952380952381</v>
      </c>
      <c r="AR1062" s="365">
        <f t="shared" si="441"/>
        <v>2.2678571428571428</v>
      </c>
      <c r="AS1062" s="365">
        <f t="shared" si="442"/>
        <v>264.89515665091</v>
      </c>
      <c r="AT1062" s="365">
        <f t="shared" si="443"/>
        <v>21.253945016499767</v>
      </c>
      <c r="AU1062" s="365">
        <f t="shared" si="444"/>
        <v>286.14910166740975</v>
      </c>
      <c r="AW1062" s="365">
        <f t="shared" si="445"/>
        <v>383.21130952380958</v>
      </c>
      <c r="AX1062" s="365">
        <f t="shared" si="446"/>
        <v>-97.062207856399823</v>
      </c>
    </row>
    <row r="1063" spans="1:50" ht="15.75" customHeight="1" x14ac:dyDescent="0.3">
      <c r="A1063" s="375" t="s">
        <v>12</v>
      </c>
      <c r="B1063" s="375">
        <f t="shared" si="418"/>
        <v>294</v>
      </c>
      <c r="C1063" s="365">
        <f t="shared" si="418"/>
        <v>0</v>
      </c>
      <c r="D1063" s="427" t="s">
        <v>1095</v>
      </c>
      <c r="E1063" s="365">
        <f t="shared" ref="E1063:S1063" si="448">+C983/$F$10/24</f>
        <v>24.958333333333332</v>
      </c>
      <c r="F1063" s="365">
        <f t="shared" si="448"/>
        <v>26.123611111111114</v>
      </c>
      <c r="G1063" s="365">
        <f t="shared" si="448"/>
        <v>43.218055555555559</v>
      </c>
      <c r="H1063" s="365">
        <f t="shared" si="448"/>
        <v>3.2946401930834512</v>
      </c>
      <c r="I1063" s="365">
        <f t="shared" si="448"/>
        <v>-2.8668393246598853</v>
      </c>
      <c r="J1063" s="365">
        <f t="shared" si="448"/>
        <v>14.693055555555555</v>
      </c>
      <c r="K1063" s="365">
        <f t="shared" si="448"/>
        <v>9.4222222222222225</v>
      </c>
      <c r="L1063" s="365">
        <f t="shared" si="448"/>
        <v>11.047222222222222</v>
      </c>
      <c r="M1063" s="365">
        <f t="shared" si="448"/>
        <v>10.137500000000001</v>
      </c>
      <c r="N1063" s="365">
        <f t="shared" si="448"/>
        <v>2.8611111111111112</v>
      </c>
      <c r="O1063" s="365">
        <f t="shared" si="448"/>
        <v>3.369444444444444</v>
      </c>
      <c r="P1063" s="365">
        <f t="shared" si="448"/>
        <v>6.7374999999999998</v>
      </c>
      <c r="Q1063" s="365">
        <f t="shared" si="448"/>
        <v>0.96111111111111114</v>
      </c>
      <c r="R1063" s="365">
        <f t="shared" si="448"/>
        <v>2.6958333333333333</v>
      </c>
      <c r="S1063" s="427">
        <f t="shared" si="448"/>
        <v>2.2736111111111112</v>
      </c>
      <c r="T1063" s="365">
        <f t="shared" si="422"/>
        <v>452.92641197953469</v>
      </c>
      <c r="U1063" s="365">
        <f t="shared" si="420"/>
        <v>158.92641197953466</v>
      </c>
      <c r="V1063" s="365">
        <f t="shared" si="423"/>
        <v>388.3</v>
      </c>
      <c r="W1063" s="365">
        <f t="shared" si="424"/>
        <v>94.300000000000011</v>
      </c>
      <c r="X1063" s="365">
        <f t="shared" si="425"/>
        <v>3.2946401930834512</v>
      </c>
      <c r="Y1063" s="365">
        <f t="shared" si="425"/>
        <v>-2.8668393246598853</v>
      </c>
      <c r="Z1063" s="365">
        <f t="shared" si="426"/>
        <v>64.19861111111112</v>
      </c>
      <c r="AC1063" s="4">
        <v>4</v>
      </c>
      <c r="AD1063" s="365">
        <f t="shared" si="427"/>
        <v>98</v>
      </c>
      <c r="AE1063" s="365">
        <f t="shared" si="428"/>
        <v>27.455357142857142</v>
      </c>
      <c r="AF1063" s="365">
        <f t="shared" si="429"/>
        <v>28.77827380952381</v>
      </c>
      <c r="AG1063" s="365">
        <f t="shared" si="430"/>
        <v>49.081845238095241</v>
      </c>
      <c r="AH1063" s="365">
        <f t="shared" si="431"/>
        <v>30.590097127100382</v>
      </c>
      <c r="AI1063" s="365">
        <f t="shared" si="432"/>
        <v>4.4836309523809526</v>
      </c>
      <c r="AJ1063" s="365">
        <f t="shared" si="433"/>
        <v>3.5193452380952377</v>
      </c>
      <c r="AK1063" s="365">
        <f t="shared" si="434"/>
        <v>5.4925595238095246</v>
      </c>
      <c r="AL1063" s="365">
        <f t="shared" si="435"/>
        <v>5.6949404761904754</v>
      </c>
      <c r="AM1063" s="365">
        <f t="shared" si="436"/>
        <v>1.4836309523809523</v>
      </c>
      <c r="AN1063" s="365">
        <f t="shared" si="437"/>
        <v>1.7470238095238095</v>
      </c>
      <c r="AO1063" s="365">
        <f t="shared" si="438"/>
        <v>3.4166666666666665</v>
      </c>
      <c r="AP1063" s="365">
        <f t="shared" si="439"/>
        <v>0.95833333333333337</v>
      </c>
      <c r="AQ1063" s="365">
        <f t="shared" si="440"/>
        <v>1.9255952380952381</v>
      </c>
      <c r="AR1063" s="365">
        <f t="shared" si="441"/>
        <v>2.2678571428571428</v>
      </c>
      <c r="AS1063" s="365">
        <f t="shared" si="442"/>
        <v>264.89515665091</v>
      </c>
      <c r="AT1063" s="365">
        <f t="shared" si="443"/>
        <v>21.253945016499767</v>
      </c>
      <c r="AU1063" s="365">
        <f t="shared" si="444"/>
        <v>286.14910166740975</v>
      </c>
      <c r="AW1063" s="365">
        <f t="shared" si="445"/>
        <v>383.21130952380958</v>
      </c>
      <c r="AX1063" s="365">
        <f t="shared" si="446"/>
        <v>-97.062207856399823</v>
      </c>
    </row>
    <row r="1064" spans="1:50" ht="15.75" customHeight="1" x14ac:dyDescent="0.3">
      <c r="A1064" s="375" t="s">
        <v>13</v>
      </c>
      <c r="B1064" s="375">
        <f t="shared" si="418"/>
        <v>294</v>
      </c>
      <c r="C1064" s="365">
        <f t="shared" si="418"/>
        <v>0</v>
      </c>
      <c r="D1064" s="427" t="s">
        <v>1095</v>
      </c>
      <c r="E1064" s="365">
        <f t="shared" ref="E1064:S1064" si="449">+C984/$G$10/24</f>
        <v>24.986559139784944</v>
      </c>
      <c r="F1064" s="365">
        <f t="shared" si="449"/>
        <v>26.146505376344084</v>
      </c>
      <c r="G1064" s="365">
        <f t="shared" si="449"/>
        <v>43.241935483870968</v>
      </c>
      <c r="H1064" s="365">
        <f t="shared" si="449"/>
        <v>5.3582672970802721</v>
      </c>
      <c r="I1064" s="365">
        <f t="shared" si="449"/>
        <v>-3.2435688501836188</v>
      </c>
      <c r="J1064" s="365">
        <f t="shared" si="449"/>
        <v>12.575268817204302</v>
      </c>
      <c r="K1064" s="365">
        <f t="shared" si="449"/>
        <v>7.557795698924731</v>
      </c>
      <c r="L1064" s="365">
        <f t="shared" si="449"/>
        <v>10.151881720430108</v>
      </c>
      <c r="M1064" s="365">
        <f t="shared" si="449"/>
        <v>9.491935483870968</v>
      </c>
      <c r="N1064" s="365">
        <f t="shared" si="449"/>
        <v>2.7620967741935485</v>
      </c>
      <c r="O1064" s="365">
        <f t="shared" si="449"/>
        <v>3.2526881720430105</v>
      </c>
      <c r="P1064" s="365">
        <f t="shared" si="449"/>
        <v>6.669354838709677</v>
      </c>
      <c r="Q1064" s="365">
        <f t="shared" si="449"/>
        <v>1.043010752688172</v>
      </c>
      <c r="R1064" s="365">
        <f t="shared" si="449"/>
        <v>3.064516129032258</v>
      </c>
      <c r="S1064" s="427">
        <f t="shared" si="449"/>
        <v>2.4368279569892475</v>
      </c>
      <c r="T1064" s="365">
        <f t="shared" si="422"/>
        <v>449.49507479098264</v>
      </c>
      <c r="U1064" s="365">
        <f t="shared" si="420"/>
        <v>155.49507479098264</v>
      </c>
      <c r="V1064" s="365">
        <f t="shared" si="423"/>
        <v>388.375</v>
      </c>
      <c r="W1064" s="365">
        <f t="shared" si="424"/>
        <v>94.375</v>
      </c>
      <c r="X1064" s="365">
        <f t="shared" si="425"/>
        <v>5.3582672970802721</v>
      </c>
      <c r="Y1064" s="365">
        <f t="shared" si="425"/>
        <v>-3.2435688501836188</v>
      </c>
      <c r="Z1064" s="365">
        <f t="shared" si="426"/>
        <v>59.005376344086031</v>
      </c>
      <c r="AC1064" s="4">
        <v>5</v>
      </c>
      <c r="AD1064" s="365">
        <f t="shared" si="427"/>
        <v>98</v>
      </c>
      <c r="AE1064" s="365">
        <f t="shared" si="428"/>
        <v>27.455357142857142</v>
      </c>
      <c r="AF1064" s="365">
        <f t="shared" si="429"/>
        <v>28.77827380952381</v>
      </c>
      <c r="AG1064" s="365">
        <f t="shared" si="430"/>
        <v>49.081845238095241</v>
      </c>
      <c r="AH1064" s="365">
        <f t="shared" si="431"/>
        <v>30.590097127100382</v>
      </c>
      <c r="AI1064" s="365">
        <f t="shared" si="432"/>
        <v>4.4836309523809526</v>
      </c>
      <c r="AJ1064" s="365">
        <f t="shared" si="433"/>
        <v>3.5193452380952377</v>
      </c>
      <c r="AK1064" s="365">
        <f t="shared" si="434"/>
        <v>5.4925595238095246</v>
      </c>
      <c r="AL1064" s="365">
        <f t="shared" si="435"/>
        <v>5.6949404761904754</v>
      </c>
      <c r="AM1064" s="365">
        <f t="shared" si="436"/>
        <v>1.4836309523809523</v>
      </c>
      <c r="AN1064" s="365">
        <f t="shared" si="437"/>
        <v>1.7470238095238095</v>
      </c>
      <c r="AO1064" s="365">
        <f t="shared" si="438"/>
        <v>3.4166666666666665</v>
      </c>
      <c r="AP1064" s="365">
        <f t="shared" si="439"/>
        <v>0.95833333333333337</v>
      </c>
      <c r="AQ1064" s="365">
        <f t="shared" si="440"/>
        <v>1.9255952380952381</v>
      </c>
      <c r="AR1064" s="365">
        <f t="shared" si="441"/>
        <v>2.2678571428571428</v>
      </c>
      <c r="AS1064" s="365">
        <f t="shared" si="442"/>
        <v>264.89515665091</v>
      </c>
      <c r="AT1064" s="365">
        <f t="shared" si="443"/>
        <v>21.253945016499767</v>
      </c>
      <c r="AU1064" s="365">
        <f t="shared" si="444"/>
        <v>286.14910166740975</v>
      </c>
      <c r="AW1064" s="365">
        <f t="shared" si="445"/>
        <v>383.21130952380958</v>
      </c>
      <c r="AX1064" s="365">
        <f t="shared" si="446"/>
        <v>-97.062207856399823</v>
      </c>
    </row>
    <row r="1065" spans="1:50" ht="15.75" customHeight="1" x14ac:dyDescent="0.3">
      <c r="A1065" s="375" t="s">
        <v>14</v>
      </c>
      <c r="B1065" s="375">
        <f t="shared" si="418"/>
        <v>147</v>
      </c>
      <c r="C1065" s="365">
        <f t="shared" si="418"/>
        <v>0</v>
      </c>
      <c r="D1065" s="427" t="str">
        <f>H1092</f>
        <v>n/a</v>
      </c>
      <c r="E1065" s="365">
        <f t="shared" ref="E1065:S1065" si="450">+C985/$H$10/24</f>
        <v>18.030555555555555</v>
      </c>
      <c r="F1065" s="365">
        <f t="shared" si="450"/>
        <v>18.845833333333335</v>
      </c>
      <c r="G1065" s="365">
        <f t="shared" si="450"/>
        <v>30.211111111111112</v>
      </c>
      <c r="H1065" s="365">
        <f t="shared" si="450"/>
        <v>0.41885574181356272</v>
      </c>
      <c r="I1065" s="365">
        <f t="shared" si="450"/>
        <v>-16.361600459771445</v>
      </c>
      <c r="J1065" s="365">
        <f t="shared" si="450"/>
        <v>17.145833333333332</v>
      </c>
      <c r="K1065" s="365">
        <f t="shared" si="450"/>
        <v>10.1625</v>
      </c>
      <c r="L1065" s="365">
        <f t="shared" si="450"/>
        <v>11.799999999999999</v>
      </c>
      <c r="M1065" s="365">
        <f t="shared" si="450"/>
        <v>10.4375</v>
      </c>
      <c r="N1065" s="365">
        <f t="shared" si="450"/>
        <v>3.005555555555556</v>
      </c>
      <c r="O1065" s="365">
        <f t="shared" si="450"/>
        <v>3.5388888888888892</v>
      </c>
      <c r="P1065" s="365">
        <f t="shared" si="450"/>
        <v>7.0125000000000002</v>
      </c>
      <c r="Q1065" s="365">
        <f t="shared" si="450"/>
        <v>1.1583333333333334</v>
      </c>
      <c r="R1065" s="365">
        <f t="shared" si="450"/>
        <v>3.2347222222222225</v>
      </c>
      <c r="S1065" s="427">
        <f t="shared" si="450"/>
        <v>2.7375000000000003</v>
      </c>
      <c r="T1065" s="365">
        <f t="shared" si="422"/>
        <v>268.37808861537542</v>
      </c>
      <c r="U1065" s="365">
        <f t="shared" si="420"/>
        <v>121.37808861537545</v>
      </c>
      <c r="V1065" s="365">
        <f t="shared" si="423"/>
        <v>214.08750000000001</v>
      </c>
      <c r="W1065" s="365">
        <f t="shared" si="424"/>
        <v>67.087500000000006</v>
      </c>
      <c r="X1065" s="365">
        <f t="shared" si="425"/>
        <v>0.41885574181356272</v>
      </c>
      <c r="Y1065" s="365">
        <f t="shared" si="425"/>
        <v>-16.361600459771445</v>
      </c>
      <c r="Z1065" s="365">
        <f t="shared" si="426"/>
        <v>70.23333333333332</v>
      </c>
      <c r="AC1065" s="4">
        <v>6</v>
      </c>
      <c r="AD1065" s="365">
        <f t="shared" si="427"/>
        <v>98</v>
      </c>
      <c r="AE1065" s="365">
        <f t="shared" si="428"/>
        <v>27.455357142857142</v>
      </c>
      <c r="AF1065" s="365">
        <f t="shared" si="429"/>
        <v>28.77827380952381</v>
      </c>
      <c r="AG1065" s="365">
        <f t="shared" si="430"/>
        <v>49.081845238095241</v>
      </c>
      <c r="AH1065" s="365">
        <f t="shared" si="431"/>
        <v>30.590097127100382</v>
      </c>
      <c r="AI1065" s="365">
        <f t="shared" si="432"/>
        <v>4.4836309523809526</v>
      </c>
      <c r="AJ1065" s="365">
        <f t="shared" si="433"/>
        <v>3.5193452380952377</v>
      </c>
      <c r="AK1065" s="365">
        <f t="shared" si="434"/>
        <v>5.4925595238095246</v>
      </c>
      <c r="AL1065" s="365">
        <f t="shared" si="435"/>
        <v>5.6949404761904754</v>
      </c>
      <c r="AM1065" s="365">
        <f t="shared" si="436"/>
        <v>1.4836309523809523</v>
      </c>
      <c r="AN1065" s="365">
        <f t="shared" si="437"/>
        <v>1.7470238095238095</v>
      </c>
      <c r="AO1065" s="365">
        <f t="shared" si="438"/>
        <v>3.4166666666666665</v>
      </c>
      <c r="AP1065" s="365">
        <f t="shared" si="439"/>
        <v>0.95833333333333337</v>
      </c>
      <c r="AQ1065" s="365">
        <f t="shared" si="440"/>
        <v>1.9255952380952381</v>
      </c>
      <c r="AR1065" s="365">
        <f t="shared" si="441"/>
        <v>2.2678571428571428</v>
      </c>
      <c r="AS1065" s="365">
        <f t="shared" si="442"/>
        <v>264.89515665091</v>
      </c>
      <c r="AT1065" s="365">
        <f t="shared" si="443"/>
        <v>21.253945016499767</v>
      </c>
      <c r="AU1065" s="365">
        <f t="shared" si="444"/>
        <v>286.14910166740975</v>
      </c>
      <c r="AW1065" s="365">
        <f t="shared" si="445"/>
        <v>383.21130952380958</v>
      </c>
      <c r="AX1065" s="365">
        <f t="shared" si="446"/>
        <v>-97.062207856399823</v>
      </c>
    </row>
    <row r="1066" spans="1:50" ht="15.75" customHeight="1" x14ac:dyDescent="0.3">
      <c r="A1066" s="375" t="s">
        <v>16</v>
      </c>
      <c r="B1066" s="375">
        <f t="shared" si="418"/>
        <v>147</v>
      </c>
      <c r="C1066" s="365">
        <f t="shared" si="418"/>
        <v>0</v>
      </c>
      <c r="D1066" s="427" t="str">
        <f>H1093</f>
        <v>n/a</v>
      </c>
      <c r="E1066" s="365">
        <f t="shared" ref="E1066:S1066" si="451">+C986/$J$10/24</f>
        <v>15.969086021505376</v>
      </c>
      <c r="F1066" s="365">
        <f t="shared" si="451"/>
        <v>16.686827956989248</v>
      </c>
      <c r="G1066" s="365">
        <f t="shared" si="451"/>
        <v>26.217741935483872</v>
      </c>
      <c r="H1066" s="365">
        <f t="shared" si="451"/>
        <v>0</v>
      </c>
      <c r="I1066" s="365">
        <f t="shared" si="451"/>
        <v>-15.102501405862666</v>
      </c>
      <c r="J1066" s="365">
        <f t="shared" si="451"/>
        <v>17.14516129032258</v>
      </c>
      <c r="K1066" s="365">
        <f t="shared" si="451"/>
        <v>11.190860215053762</v>
      </c>
      <c r="L1066" s="365">
        <f t="shared" si="451"/>
        <v>12.33736559139785</v>
      </c>
      <c r="M1066" s="365">
        <f t="shared" si="451"/>
        <v>10.611559139784946</v>
      </c>
      <c r="N1066" s="365">
        <f t="shared" si="451"/>
        <v>3.0752688172043015</v>
      </c>
      <c r="O1066" s="365">
        <f t="shared" si="451"/>
        <v>3.6236559139784945</v>
      </c>
      <c r="P1066" s="365">
        <f t="shared" si="451"/>
        <v>7.19489247311828</v>
      </c>
      <c r="Q1066" s="365">
        <f t="shared" si="451"/>
        <v>1.1478494623655913</v>
      </c>
      <c r="R1066" s="365">
        <f t="shared" si="451"/>
        <v>2.8266129032258065</v>
      </c>
      <c r="S1066" s="427">
        <f t="shared" si="451"/>
        <v>2.71505376344086</v>
      </c>
      <c r="T1066" s="365">
        <f t="shared" si="422"/>
        <v>262.63943407800832</v>
      </c>
      <c r="U1066" s="365">
        <f t="shared" si="420"/>
        <v>115.63943407800829</v>
      </c>
      <c r="V1066" s="365">
        <f t="shared" si="423"/>
        <v>205.8736559139785</v>
      </c>
      <c r="W1066" s="365">
        <f t="shared" si="424"/>
        <v>58.873655913978496</v>
      </c>
      <c r="X1066" s="365">
        <f t="shared" si="425"/>
        <v>0</v>
      </c>
      <c r="Y1066" s="365">
        <f t="shared" si="425"/>
        <v>-15.102501405862666</v>
      </c>
      <c r="Z1066" s="365">
        <f t="shared" si="426"/>
        <v>71.868279569892479</v>
      </c>
      <c r="AC1066" s="4">
        <v>7</v>
      </c>
      <c r="AD1066" s="365">
        <f>IF($AF$1057=1,VLOOKUP($AD$1057,$A$1087:$P$1098,12,FALSE),IF(OR($AD$1057="JAN",$AD$1057="FEB",$AD$1057="NOV",$AD$1057="DEC"),VLOOKUP($AD$1057,$A$1060:$S$1071,2,FALSE),VLOOKUP($AD$1057,$A$1060:$S$1071,3,FALSE)))</f>
        <v>98</v>
      </c>
      <c r="AE1066" s="365">
        <f t="shared" si="428"/>
        <v>27.455357142857142</v>
      </c>
      <c r="AF1066" s="365">
        <f t="shared" si="429"/>
        <v>28.77827380952381</v>
      </c>
      <c r="AG1066" s="365">
        <f t="shared" si="430"/>
        <v>49.081845238095241</v>
      </c>
      <c r="AH1066" s="365">
        <f t="shared" si="431"/>
        <v>30.590097127100382</v>
      </c>
      <c r="AI1066" s="365">
        <f t="shared" si="432"/>
        <v>4.4836309523809526</v>
      </c>
      <c r="AJ1066" s="365">
        <f t="shared" si="433"/>
        <v>3.5193452380952377</v>
      </c>
      <c r="AK1066" s="365">
        <f t="shared" si="434"/>
        <v>5.4925595238095246</v>
      </c>
      <c r="AL1066" s="365">
        <f t="shared" si="435"/>
        <v>5.6949404761904754</v>
      </c>
      <c r="AM1066" s="365">
        <f t="shared" si="436"/>
        <v>1.4836309523809523</v>
      </c>
      <c r="AN1066" s="365">
        <f t="shared" si="437"/>
        <v>1.7470238095238095</v>
      </c>
      <c r="AO1066" s="365">
        <f t="shared" si="438"/>
        <v>3.4166666666666665</v>
      </c>
      <c r="AP1066" s="365">
        <f t="shared" si="439"/>
        <v>0.95833333333333337</v>
      </c>
      <c r="AQ1066" s="365">
        <f t="shared" si="440"/>
        <v>1.9255952380952381</v>
      </c>
      <c r="AR1066" s="365">
        <f t="shared" si="441"/>
        <v>2.2678571428571428</v>
      </c>
      <c r="AS1066" s="365">
        <f t="shared" si="442"/>
        <v>264.89515665091</v>
      </c>
      <c r="AT1066" s="365">
        <f t="shared" si="443"/>
        <v>21.253945016499767</v>
      </c>
      <c r="AU1066" s="365">
        <f t="shared" si="444"/>
        <v>286.14910166740975</v>
      </c>
      <c r="AW1066" s="365">
        <f t="shared" si="445"/>
        <v>383.21130952380958</v>
      </c>
      <c r="AX1066" s="365">
        <f t="shared" si="446"/>
        <v>-97.062207856399823</v>
      </c>
    </row>
    <row r="1067" spans="1:50" ht="15.75" customHeight="1" x14ac:dyDescent="0.3">
      <c r="A1067" s="375" t="s">
        <v>17</v>
      </c>
      <c r="B1067" s="375">
        <f t="shared" si="418"/>
        <v>147</v>
      </c>
      <c r="C1067" s="365">
        <f t="shared" si="418"/>
        <v>0</v>
      </c>
      <c r="D1067" s="427" t="str">
        <f>H1094</f>
        <v>n/a</v>
      </c>
      <c r="E1067" s="365">
        <f t="shared" ref="E1067:S1067" si="452">+C987/$K$10/24</f>
        <v>16.991935483870968</v>
      </c>
      <c r="F1067" s="365">
        <f t="shared" si="452"/>
        <v>17.772849462365592</v>
      </c>
      <c r="G1067" s="365">
        <f t="shared" si="452"/>
        <v>27.993279569892476</v>
      </c>
      <c r="H1067" s="365">
        <f t="shared" si="452"/>
        <v>6.6384182530642233E-3</v>
      </c>
      <c r="I1067" s="365">
        <f t="shared" si="452"/>
        <v>-10.153031990571767</v>
      </c>
      <c r="J1067" s="365">
        <f t="shared" si="452"/>
        <v>16.275537634408604</v>
      </c>
      <c r="K1067" s="365">
        <f t="shared" si="452"/>
        <v>11.491935483870968</v>
      </c>
      <c r="L1067" s="365">
        <f t="shared" si="452"/>
        <v>12.547043010752688</v>
      </c>
      <c r="M1067" s="365">
        <f t="shared" si="452"/>
        <v>10.44220430107527</v>
      </c>
      <c r="N1067" s="365">
        <f t="shared" si="452"/>
        <v>2.974462365591398</v>
      </c>
      <c r="O1067" s="365">
        <f t="shared" si="452"/>
        <v>3.504032258064516</v>
      </c>
      <c r="P1067" s="365">
        <f t="shared" si="452"/>
        <v>6.8091397849462361</v>
      </c>
      <c r="Q1067" s="365">
        <f t="shared" si="452"/>
        <v>1.0833333333333333</v>
      </c>
      <c r="R1067" s="365">
        <f t="shared" si="452"/>
        <v>2.6088709677419355</v>
      </c>
      <c r="S1067" s="427">
        <f t="shared" si="452"/>
        <v>2.5618279569892475</v>
      </c>
      <c r="T1067" s="365">
        <f t="shared" si="422"/>
        <v>269.91005804058449</v>
      </c>
      <c r="U1067" s="365">
        <f t="shared" si="420"/>
        <v>122.9100580405845</v>
      </c>
      <c r="V1067" s="365">
        <f t="shared" si="423"/>
        <v>209.75806451612902</v>
      </c>
      <c r="W1067" s="365">
        <f t="shared" si="424"/>
        <v>62.758064516129039</v>
      </c>
      <c r="X1067" s="365">
        <f t="shared" si="425"/>
        <v>6.6384182530642233E-3</v>
      </c>
      <c r="Y1067" s="365">
        <f t="shared" si="425"/>
        <v>-10.153031990571767</v>
      </c>
      <c r="Z1067" s="365">
        <f t="shared" si="426"/>
        <v>70.298387096774192</v>
      </c>
      <c r="AC1067" s="4">
        <v>8</v>
      </c>
      <c r="AD1067" s="365">
        <f>IF($AF$1057=1,VLOOKUP($AD$1057,$A$1087:$P$1098,12,FALSE),VLOOKUP($AD$1057,$A$1060:$S$1071,3,FALSE))</f>
        <v>0</v>
      </c>
      <c r="AE1067" s="365">
        <f t="shared" si="428"/>
        <v>27.455357142857142</v>
      </c>
      <c r="AF1067" s="365">
        <f t="shared" si="429"/>
        <v>28.77827380952381</v>
      </c>
      <c r="AG1067" s="365">
        <f t="shared" si="430"/>
        <v>49.081845238095241</v>
      </c>
      <c r="AH1067" s="365">
        <f t="shared" si="431"/>
        <v>30.590097127100382</v>
      </c>
      <c r="AI1067" s="365">
        <f t="shared" si="432"/>
        <v>4.4836309523809526</v>
      </c>
      <c r="AJ1067" s="365">
        <f t="shared" si="433"/>
        <v>3.5193452380952377</v>
      </c>
      <c r="AK1067" s="365">
        <f t="shared" si="434"/>
        <v>5.4925595238095246</v>
      </c>
      <c r="AL1067" s="365">
        <f t="shared" si="435"/>
        <v>5.6949404761904754</v>
      </c>
      <c r="AM1067" s="365">
        <f t="shared" si="436"/>
        <v>1.4836309523809523</v>
      </c>
      <c r="AN1067" s="365">
        <f t="shared" si="437"/>
        <v>1.7470238095238095</v>
      </c>
      <c r="AO1067" s="365">
        <f t="shared" si="438"/>
        <v>3.4166666666666665</v>
      </c>
      <c r="AP1067" s="365">
        <f t="shared" si="439"/>
        <v>0.95833333333333337</v>
      </c>
      <c r="AQ1067" s="365">
        <f t="shared" si="440"/>
        <v>1.9255952380952381</v>
      </c>
      <c r="AR1067" s="365">
        <f t="shared" si="441"/>
        <v>2.2678571428571428</v>
      </c>
      <c r="AS1067" s="365">
        <f t="shared" si="442"/>
        <v>166.89515665090991</v>
      </c>
      <c r="AT1067" s="365">
        <f t="shared" si="443"/>
        <v>13.390884634607263</v>
      </c>
      <c r="AU1067" s="365">
        <f t="shared" si="444"/>
        <v>180.28604128551717</v>
      </c>
      <c r="AW1067" s="365">
        <f t="shared" si="445"/>
        <v>383.21130952380958</v>
      </c>
      <c r="AX1067" s="365">
        <f t="shared" si="446"/>
        <v>-202.9252682382924</v>
      </c>
    </row>
    <row r="1068" spans="1:50" ht="15.75" customHeight="1" x14ac:dyDescent="0.3">
      <c r="A1068" s="375" t="s">
        <v>18</v>
      </c>
      <c r="B1068" s="375">
        <f t="shared" si="418"/>
        <v>245</v>
      </c>
      <c r="C1068" s="365">
        <f t="shared" si="418"/>
        <v>0</v>
      </c>
      <c r="D1068" s="427" t="s">
        <v>1095</v>
      </c>
      <c r="E1068" s="365">
        <f t="shared" ref="E1068:S1068" si="453">+C988/$L$10/24</f>
        <v>27.038888888888888</v>
      </c>
      <c r="F1068" s="365">
        <f t="shared" si="453"/>
        <v>28.31527777777778</v>
      </c>
      <c r="G1068" s="365">
        <f t="shared" si="453"/>
        <v>46.848611111111104</v>
      </c>
      <c r="H1068" s="365">
        <f t="shared" si="453"/>
        <v>7.4319947357487344</v>
      </c>
      <c r="I1068" s="365">
        <f t="shared" si="453"/>
        <v>0</v>
      </c>
      <c r="J1068" s="365">
        <f t="shared" si="453"/>
        <v>10.791666666666666</v>
      </c>
      <c r="K1068" s="365">
        <f t="shared" si="453"/>
        <v>6.6291666666666664</v>
      </c>
      <c r="L1068" s="365">
        <f t="shared" si="453"/>
        <v>7.906944444444445</v>
      </c>
      <c r="M1068" s="365">
        <f t="shared" si="453"/>
        <v>6.8819444444444438</v>
      </c>
      <c r="N1068" s="365">
        <f t="shared" si="453"/>
        <v>2.4416666666666669</v>
      </c>
      <c r="O1068" s="365">
        <f t="shared" si="453"/>
        <v>2.875</v>
      </c>
      <c r="P1068" s="365">
        <f t="shared" si="453"/>
        <v>5.7041666666666666</v>
      </c>
      <c r="Q1068" s="365">
        <f t="shared" si="453"/>
        <v>1.0694444444444444</v>
      </c>
      <c r="R1068" s="365">
        <f t="shared" si="453"/>
        <v>2.4708333333333332</v>
      </c>
      <c r="S1068" s="427">
        <f t="shared" si="453"/>
        <v>2.5277777777777777</v>
      </c>
      <c r="T1068" s="365">
        <f t="shared" si="422"/>
        <v>403.93338362463766</v>
      </c>
      <c r="U1068" s="365">
        <f t="shared" si="420"/>
        <v>158.93338362463766</v>
      </c>
      <c r="V1068" s="365">
        <f t="shared" si="423"/>
        <v>347.20277777777778</v>
      </c>
      <c r="W1068" s="365">
        <f t="shared" si="424"/>
        <v>102.20277777777778</v>
      </c>
      <c r="X1068" s="365">
        <f t="shared" si="425"/>
        <v>7.4319947357487344</v>
      </c>
      <c r="Y1068" s="365">
        <f t="shared" si="425"/>
        <v>0</v>
      </c>
      <c r="Z1068" s="365">
        <f t="shared" si="426"/>
        <v>49.298611111111114</v>
      </c>
      <c r="AC1068" s="4">
        <v>9</v>
      </c>
      <c r="AD1068" s="365">
        <f>IF($AF$1057=1,VLOOKUP($AD$1057,$A$1087:$P$1098,12,FALSE),VLOOKUP($AD$1057,$A$1060:$S$1071,3,FALSE))</f>
        <v>0</v>
      </c>
      <c r="AE1068" s="365">
        <f t="shared" si="428"/>
        <v>27.455357142857142</v>
      </c>
      <c r="AF1068" s="365">
        <f t="shared" si="429"/>
        <v>28.77827380952381</v>
      </c>
      <c r="AG1068" s="365">
        <f t="shared" si="430"/>
        <v>49.081845238095241</v>
      </c>
      <c r="AH1068" s="365">
        <f t="shared" si="431"/>
        <v>30.590097127100382</v>
      </c>
      <c r="AI1068" s="365">
        <f t="shared" si="432"/>
        <v>4.4836309523809526</v>
      </c>
      <c r="AJ1068" s="365">
        <f t="shared" si="433"/>
        <v>3.5193452380952377</v>
      </c>
      <c r="AK1068" s="365">
        <f t="shared" si="434"/>
        <v>5.4925595238095246</v>
      </c>
      <c r="AL1068" s="365">
        <f t="shared" si="435"/>
        <v>5.6949404761904754</v>
      </c>
      <c r="AM1068" s="365">
        <f t="shared" si="436"/>
        <v>1.4836309523809523</v>
      </c>
      <c r="AN1068" s="365">
        <f t="shared" si="437"/>
        <v>1.7470238095238095</v>
      </c>
      <c r="AO1068" s="365">
        <f t="shared" si="438"/>
        <v>3.4166666666666665</v>
      </c>
      <c r="AP1068" s="365">
        <f t="shared" si="439"/>
        <v>0.95833333333333337</v>
      </c>
      <c r="AQ1068" s="365">
        <f t="shared" si="440"/>
        <v>1.9255952380952381</v>
      </c>
      <c r="AR1068" s="365">
        <f t="shared" si="441"/>
        <v>2.2678571428571428</v>
      </c>
      <c r="AS1068" s="365">
        <f t="shared" si="442"/>
        <v>166.89515665090991</v>
      </c>
      <c r="AT1068" s="365">
        <f t="shared" si="443"/>
        <v>13.390884634607263</v>
      </c>
      <c r="AU1068" s="365">
        <f t="shared" si="444"/>
        <v>180.28604128551717</v>
      </c>
      <c r="AW1068" s="365">
        <f t="shared" si="445"/>
        <v>383.21130952380958</v>
      </c>
      <c r="AX1068" s="365">
        <f t="shared" si="446"/>
        <v>-202.9252682382924</v>
      </c>
    </row>
    <row r="1069" spans="1:50" ht="15.75" customHeight="1" x14ac:dyDescent="0.3">
      <c r="A1069" s="375" t="s">
        <v>20</v>
      </c>
      <c r="B1069" s="375">
        <f t="shared" si="418"/>
        <v>245</v>
      </c>
      <c r="C1069" s="365">
        <f t="shared" si="418"/>
        <v>0</v>
      </c>
      <c r="D1069" s="427" t="s">
        <v>1095</v>
      </c>
      <c r="E1069" s="365">
        <f t="shared" ref="E1069:S1069" si="454">+C989/$N$10/24</f>
        <v>24.498655913978496</v>
      </c>
      <c r="F1069" s="365">
        <f t="shared" si="454"/>
        <v>25.655913978494624</v>
      </c>
      <c r="G1069" s="365">
        <f t="shared" si="454"/>
        <v>42.327956989247312</v>
      </c>
      <c r="H1069" s="365">
        <f t="shared" si="454"/>
        <v>9.0044461466656003</v>
      </c>
      <c r="I1069" s="365">
        <f t="shared" si="454"/>
        <v>0</v>
      </c>
      <c r="J1069" s="365">
        <f t="shared" si="454"/>
        <v>9.413978494623656</v>
      </c>
      <c r="K1069" s="365">
        <f t="shared" si="454"/>
        <v>4.6948924731182791</v>
      </c>
      <c r="L1069" s="365">
        <f t="shared" si="454"/>
        <v>5.998655913978495</v>
      </c>
      <c r="M1069" s="365">
        <f t="shared" si="454"/>
        <v>5.75</v>
      </c>
      <c r="N1069" s="365">
        <f t="shared" si="454"/>
        <v>2.1129032258064515</v>
      </c>
      <c r="O1069" s="365">
        <f t="shared" si="454"/>
        <v>2.4879032258064515</v>
      </c>
      <c r="P1069" s="365">
        <f t="shared" si="454"/>
        <v>4.877688172043011</v>
      </c>
      <c r="Q1069" s="365">
        <f t="shared" si="454"/>
        <v>0.967741935483871</v>
      </c>
      <c r="R1069" s="365">
        <f t="shared" si="454"/>
        <v>2.1733870967741935</v>
      </c>
      <c r="S1069" s="427">
        <f t="shared" si="454"/>
        <v>2.2903225806451615</v>
      </c>
      <c r="T1069" s="365">
        <f t="shared" si="422"/>
        <v>387.2544461466656</v>
      </c>
      <c r="U1069" s="365">
        <f t="shared" si="420"/>
        <v>142.25444614666563</v>
      </c>
      <c r="V1069" s="365">
        <f t="shared" si="423"/>
        <v>337.48252688172045</v>
      </c>
      <c r="W1069" s="365">
        <f t="shared" si="424"/>
        <v>92.482526881720432</v>
      </c>
      <c r="X1069" s="365">
        <f t="shared" si="425"/>
        <v>9.0044461466656003</v>
      </c>
      <c r="Y1069" s="365">
        <f t="shared" si="425"/>
        <v>0</v>
      </c>
      <c r="Z1069" s="365">
        <f t="shared" si="426"/>
        <v>40.767473118279568</v>
      </c>
      <c r="AC1069" s="4">
        <v>10</v>
      </c>
      <c r="AD1069" s="365">
        <f>IF($AF$1057=1,VLOOKUP($AD$1057,$A$1087:$P$1098,12,FALSE),VLOOKUP($AD$1057,$A$1060:$S$1071,3,FALSE))</f>
        <v>0</v>
      </c>
      <c r="AE1069" s="365">
        <f t="shared" si="428"/>
        <v>27.455357142857142</v>
      </c>
      <c r="AF1069" s="365">
        <f t="shared" si="429"/>
        <v>28.77827380952381</v>
      </c>
      <c r="AG1069" s="365">
        <f t="shared" si="430"/>
        <v>49.081845238095241</v>
      </c>
      <c r="AH1069" s="365">
        <f t="shared" si="431"/>
        <v>30.590097127100382</v>
      </c>
      <c r="AI1069" s="365">
        <f t="shared" si="432"/>
        <v>4.4836309523809526</v>
      </c>
      <c r="AJ1069" s="365">
        <f t="shared" si="433"/>
        <v>3.5193452380952377</v>
      </c>
      <c r="AK1069" s="365">
        <f t="shared" si="434"/>
        <v>5.4925595238095246</v>
      </c>
      <c r="AL1069" s="365">
        <f t="shared" si="435"/>
        <v>5.6949404761904754</v>
      </c>
      <c r="AM1069" s="365">
        <f t="shared" si="436"/>
        <v>1.4836309523809523</v>
      </c>
      <c r="AN1069" s="365">
        <f t="shared" si="437"/>
        <v>1.7470238095238095</v>
      </c>
      <c r="AO1069" s="365">
        <f t="shared" si="438"/>
        <v>3.4166666666666665</v>
      </c>
      <c r="AP1069" s="365">
        <f t="shared" si="439"/>
        <v>0.95833333333333337</v>
      </c>
      <c r="AQ1069" s="365">
        <f t="shared" si="440"/>
        <v>1.9255952380952381</v>
      </c>
      <c r="AR1069" s="365">
        <f t="shared" si="441"/>
        <v>2.2678571428571428</v>
      </c>
      <c r="AS1069" s="365">
        <f t="shared" si="442"/>
        <v>166.89515665090991</v>
      </c>
      <c r="AT1069" s="365">
        <f t="shared" si="443"/>
        <v>13.390884634607263</v>
      </c>
      <c r="AU1069" s="365">
        <f t="shared" si="444"/>
        <v>180.28604128551717</v>
      </c>
      <c r="AW1069" s="365">
        <f t="shared" si="445"/>
        <v>383.21130952380958</v>
      </c>
      <c r="AX1069" s="365">
        <f t="shared" si="446"/>
        <v>-202.9252682382924</v>
      </c>
    </row>
    <row r="1070" spans="1:50" ht="15.75" customHeight="1" x14ac:dyDescent="0.3">
      <c r="A1070" s="375" t="s">
        <v>21</v>
      </c>
      <c r="B1070" s="375">
        <f t="shared" si="418"/>
        <v>245</v>
      </c>
      <c r="C1070" s="365">
        <f t="shared" si="418"/>
        <v>0</v>
      </c>
      <c r="D1070" s="427" t="s">
        <v>1095</v>
      </c>
      <c r="E1070" s="365">
        <f t="shared" ref="E1070:S1070" si="455">+C990/$O$10/24</f>
        <v>20.693055555555556</v>
      </c>
      <c r="F1070" s="365">
        <f t="shared" si="455"/>
        <v>21.669444444444448</v>
      </c>
      <c r="G1070" s="365">
        <f t="shared" si="455"/>
        <v>36.522222222222219</v>
      </c>
      <c r="H1070" s="365">
        <f t="shared" si="455"/>
        <v>24.777860476090741</v>
      </c>
      <c r="I1070" s="365">
        <f t="shared" si="455"/>
        <v>-0.26081102218488522</v>
      </c>
      <c r="J1070" s="365">
        <f t="shared" si="455"/>
        <v>0.86944444444444446</v>
      </c>
      <c r="K1070" s="365">
        <f t="shared" si="455"/>
        <v>0.26805555555555555</v>
      </c>
      <c r="L1070" s="365">
        <f t="shared" si="455"/>
        <v>0.41111111111111115</v>
      </c>
      <c r="M1070" s="365">
        <f t="shared" si="455"/>
        <v>0.40277777777777773</v>
      </c>
      <c r="N1070" s="365">
        <f t="shared" si="455"/>
        <v>0.14583333333333334</v>
      </c>
      <c r="O1070" s="365">
        <f t="shared" si="455"/>
        <v>0.16805555555555554</v>
      </c>
      <c r="P1070" s="365">
        <f t="shared" si="455"/>
        <v>0.28333333333333333</v>
      </c>
      <c r="Q1070" s="365">
        <f t="shared" si="455"/>
        <v>0.20833333333333334</v>
      </c>
      <c r="R1070" s="365">
        <f t="shared" si="455"/>
        <v>2.0222222222222221</v>
      </c>
      <c r="S1070" s="427">
        <f t="shared" si="455"/>
        <v>0.49305555555555558</v>
      </c>
      <c r="T1070" s="365">
        <f t="shared" si="422"/>
        <v>353.67399389835026</v>
      </c>
      <c r="U1070" s="365">
        <f t="shared" si="420"/>
        <v>108.67399389835028</v>
      </c>
      <c r="V1070" s="365">
        <f t="shared" si="423"/>
        <v>323.88472222222219</v>
      </c>
      <c r="W1070" s="365">
        <f t="shared" si="424"/>
        <v>78.884722222222223</v>
      </c>
      <c r="X1070" s="365">
        <f t="shared" si="425"/>
        <v>24.777860476090741</v>
      </c>
      <c r="Y1070" s="365">
        <f t="shared" si="425"/>
        <v>-0.26081102218488522</v>
      </c>
      <c r="Z1070" s="365">
        <f t="shared" si="426"/>
        <v>5.2722222222222221</v>
      </c>
      <c r="AC1070" s="4">
        <v>11</v>
      </c>
      <c r="AD1070" s="365">
        <f>IF($AF$1057=1,VLOOKUP($AD$1057,$A$1087:$P$1098,12,FALSE),VLOOKUP($AD$1057,$A$1060:$S$1071,3,FALSE))</f>
        <v>0</v>
      </c>
      <c r="AE1070" s="365">
        <f t="shared" si="428"/>
        <v>27.455357142857142</v>
      </c>
      <c r="AF1070" s="365">
        <f t="shared" si="429"/>
        <v>28.77827380952381</v>
      </c>
      <c r="AG1070" s="365">
        <f t="shared" si="430"/>
        <v>49.081845238095241</v>
      </c>
      <c r="AH1070" s="365">
        <f t="shared" si="431"/>
        <v>30.590097127100382</v>
      </c>
      <c r="AI1070" s="365">
        <f t="shared" si="432"/>
        <v>4.4836309523809526</v>
      </c>
      <c r="AJ1070" s="365">
        <f t="shared" si="433"/>
        <v>3.5193452380952377</v>
      </c>
      <c r="AK1070" s="365">
        <f t="shared" si="434"/>
        <v>5.4925595238095246</v>
      </c>
      <c r="AL1070" s="365">
        <f t="shared" si="435"/>
        <v>5.6949404761904754</v>
      </c>
      <c r="AM1070" s="365">
        <f t="shared" si="436"/>
        <v>1.4836309523809523</v>
      </c>
      <c r="AN1070" s="365">
        <f t="shared" si="437"/>
        <v>1.7470238095238095</v>
      </c>
      <c r="AO1070" s="365">
        <f t="shared" si="438"/>
        <v>3.4166666666666665</v>
      </c>
      <c r="AP1070" s="365">
        <f t="shared" si="439"/>
        <v>0.95833333333333337</v>
      </c>
      <c r="AQ1070" s="365">
        <f t="shared" si="440"/>
        <v>1.9255952380952381</v>
      </c>
      <c r="AR1070" s="365">
        <f t="shared" si="441"/>
        <v>2.2678571428571428</v>
      </c>
      <c r="AS1070" s="365">
        <f t="shared" si="442"/>
        <v>166.89515665090991</v>
      </c>
      <c r="AT1070" s="365">
        <f t="shared" si="443"/>
        <v>13.390884634607263</v>
      </c>
      <c r="AU1070" s="365">
        <f t="shared" si="444"/>
        <v>180.28604128551717</v>
      </c>
      <c r="AW1070" s="365">
        <f t="shared" si="445"/>
        <v>383.21130952380958</v>
      </c>
      <c r="AX1070" s="365">
        <f t="shared" si="446"/>
        <v>-202.9252682382924</v>
      </c>
    </row>
    <row r="1071" spans="1:50" ht="15.75" customHeight="1" thickBot="1" x14ac:dyDescent="0.35">
      <c r="A1071" s="382" t="s">
        <v>22</v>
      </c>
      <c r="B1071" s="382">
        <f t="shared" si="418"/>
        <v>245</v>
      </c>
      <c r="C1071" s="369">
        <f t="shared" si="418"/>
        <v>0</v>
      </c>
      <c r="D1071" s="429" t="s">
        <v>1095</v>
      </c>
      <c r="E1071" s="369">
        <f t="shared" ref="E1071:S1071" si="456">+C991/$P$10/24</f>
        <v>12.090053763440862</v>
      </c>
      <c r="F1071" s="369">
        <f t="shared" si="456"/>
        <v>12.653225806451614</v>
      </c>
      <c r="G1071" s="369">
        <f t="shared" si="456"/>
        <v>20.71505376344086</v>
      </c>
      <c r="H1071" s="369">
        <f t="shared" si="456"/>
        <v>6.2183722766740912</v>
      </c>
      <c r="I1071" s="369">
        <f t="shared" si="456"/>
        <v>0</v>
      </c>
      <c r="J1071" s="369">
        <f t="shared" si="456"/>
        <v>4.3481182795698929</v>
      </c>
      <c r="K1071" s="369">
        <f t="shared" si="456"/>
        <v>1.5672043010752688</v>
      </c>
      <c r="L1071" s="369">
        <f t="shared" si="456"/>
        <v>2.3521505376344085</v>
      </c>
      <c r="M1071" s="369">
        <f t="shared" si="456"/>
        <v>2.4166666666666665</v>
      </c>
      <c r="N1071" s="369">
        <f t="shared" si="456"/>
        <v>0.56182795698924737</v>
      </c>
      <c r="O1071" s="369">
        <f t="shared" si="456"/>
        <v>0.65994623655913975</v>
      </c>
      <c r="P1071" s="369">
        <f t="shared" si="456"/>
        <v>1.3239247311827957</v>
      </c>
      <c r="Q1071" s="369">
        <f t="shared" si="456"/>
        <v>4.0322580645161289E-3</v>
      </c>
      <c r="R1071" s="369">
        <f t="shared" si="456"/>
        <v>1.739247311827957</v>
      </c>
      <c r="S1071" s="429">
        <f t="shared" si="456"/>
        <v>8.0645161290322578E-3</v>
      </c>
      <c r="T1071" s="365">
        <f t="shared" si="422"/>
        <v>311.65788840570633</v>
      </c>
      <c r="U1071" s="365">
        <f t="shared" si="420"/>
        <v>66.657888405706345</v>
      </c>
      <c r="V1071" s="365">
        <f t="shared" si="423"/>
        <v>290.45833333333331</v>
      </c>
      <c r="W1071" s="365">
        <f t="shared" si="424"/>
        <v>45.458333333333336</v>
      </c>
      <c r="X1071" s="365">
        <f t="shared" si="425"/>
        <v>6.2183722766740912</v>
      </c>
      <c r="Y1071" s="365">
        <f t="shared" si="425"/>
        <v>0</v>
      </c>
      <c r="Z1071" s="365">
        <f t="shared" si="426"/>
        <v>14.981182795698924</v>
      </c>
      <c r="AC1071" s="4">
        <v>12</v>
      </c>
      <c r="AD1071" s="365">
        <f>IF($AF$1057=1,VLOOKUP($AD$1057,$A$1087:$P$1098,12,FALSE),VLOOKUP($AD$1057,$A$1060:$S$1071,3,FALSE))</f>
        <v>0</v>
      </c>
      <c r="AE1071" s="365">
        <f t="shared" si="428"/>
        <v>27.455357142857142</v>
      </c>
      <c r="AF1071" s="365">
        <f t="shared" si="429"/>
        <v>28.77827380952381</v>
      </c>
      <c r="AG1071" s="365">
        <f t="shared" si="430"/>
        <v>49.081845238095241</v>
      </c>
      <c r="AH1071" s="365">
        <f t="shared" si="431"/>
        <v>30.590097127100382</v>
      </c>
      <c r="AI1071" s="365">
        <f t="shared" si="432"/>
        <v>4.4836309523809526</v>
      </c>
      <c r="AJ1071" s="365">
        <f t="shared" si="433"/>
        <v>3.5193452380952377</v>
      </c>
      <c r="AK1071" s="365">
        <f t="shared" si="434"/>
        <v>5.4925595238095246</v>
      </c>
      <c r="AL1071" s="365">
        <f t="shared" si="435"/>
        <v>5.6949404761904754</v>
      </c>
      <c r="AM1071" s="365">
        <f t="shared" si="436"/>
        <v>1.4836309523809523</v>
      </c>
      <c r="AN1071" s="365">
        <f t="shared" si="437"/>
        <v>1.7470238095238095</v>
      </c>
      <c r="AO1071" s="365">
        <f t="shared" si="438"/>
        <v>3.4166666666666665</v>
      </c>
      <c r="AP1071" s="365">
        <f t="shared" si="439"/>
        <v>0.95833333333333337</v>
      </c>
      <c r="AQ1071" s="365">
        <f t="shared" si="440"/>
        <v>1.9255952380952381</v>
      </c>
      <c r="AR1071" s="365">
        <f t="shared" si="441"/>
        <v>2.2678571428571428</v>
      </c>
      <c r="AS1071" s="365">
        <f t="shared" si="442"/>
        <v>166.89515665090991</v>
      </c>
      <c r="AT1071" s="365">
        <f t="shared" si="443"/>
        <v>13.390884634607263</v>
      </c>
      <c r="AU1071" s="365">
        <f t="shared" si="444"/>
        <v>180.28604128551717</v>
      </c>
      <c r="AW1071" s="365">
        <f t="shared" si="445"/>
        <v>383.21130952380958</v>
      </c>
      <c r="AX1071" s="365">
        <f t="shared" si="446"/>
        <v>-202.9252682382924</v>
      </c>
    </row>
    <row r="1072" spans="1:50" ht="15.75" customHeight="1" x14ac:dyDescent="0.3">
      <c r="A1072" s="418"/>
      <c r="AC1072" s="4">
        <v>13</v>
      </c>
      <c r="AD1072" s="365">
        <f>IF($AF$1057=1,VLOOKUP($AD$1057,$A$1087:$P$1098,12,FALSE),IF(OR($AD$1057="JUN",$AD$1057="JUL",$AD$1057="AUG"),VLOOKUP($AD$1057,$A$1060:$S$1071,4,FALSE),VLOOKUP($AD$1057,$A$1060:$S$1071,3,FALSE)))</f>
        <v>0</v>
      </c>
      <c r="AE1072" s="365">
        <f t="shared" si="428"/>
        <v>27.455357142857142</v>
      </c>
      <c r="AF1072" s="365">
        <f t="shared" si="429"/>
        <v>28.77827380952381</v>
      </c>
      <c r="AG1072" s="365">
        <f t="shared" si="430"/>
        <v>49.081845238095241</v>
      </c>
      <c r="AH1072" s="365">
        <f t="shared" si="431"/>
        <v>30.590097127100382</v>
      </c>
      <c r="AI1072" s="365">
        <f t="shared" si="432"/>
        <v>4.4836309523809526</v>
      </c>
      <c r="AJ1072" s="365">
        <f t="shared" si="433"/>
        <v>3.5193452380952377</v>
      </c>
      <c r="AK1072" s="365">
        <f t="shared" si="434"/>
        <v>5.4925595238095246</v>
      </c>
      <c r="AL1072" s="365">
        <f t="shared" si="435"/>
        <v>5.6949404761904754</v>
      </c>
      <c r="AM1072" s="365">
        <f t="shared" si="436"/>
        <v>1.4836309523809523</v>
      </c>
      <c r="AN1072" s="365">
        <f t="shared" si="437"/>
        <v>1.7470238095238095</v>
      </c>
      <c r="AO1072" s="365">
        <f t="shared" si="438"/>
        <v>3.4166666666666665</v>
      </c>
      <c r="AP1072" s="365">
        <f t="shared" si="439"/>
        <v>0.95833333333333337</v>
      </c>
      <c r="AQ1072" s="365">
        <f t="shared" si="440"/>
        <v>1.9255952380952381</v>
      </c>
      <c r="AR1072" s="365">
        <f t="shared" si="441"/>
        <v>2.2678571428571428</v>
      </c>
      <c r="AS1072" s="365">
        <f t="shared" si="442"/>
        <v>166.89515665090991</v>
      </c>
      <c r="AT1072" s="365">
        <f t="shared" si="443"/>
        <v>13.390884634607263</v>
      </c>
      <c r="AU1072" s="365">
        <f t="shared" si="444"/>
        <v>180.28604128551717</v>
      </c>
      <c r="AW1072" s="365">
        <f t="shared" si="445"/>
        <v>383.21130952380958</v>
      </c>
      <c r="AX1072" s="365">
        <f t="shared" si="446"/>
        <v>-202.9252682382924</v>
      </c>
    </row>
    <row r="1073" spans="1:50" ht="27.75" customHeight="1" x14ac:dyDescent="0.3">
      <c r="A1073" s="418" t="s">
        <v>1096</v>
      </c>
      <c r="AC1073" s="4">
        <v>14</v>
      </c>
      <c r="AD1073" s="365">
        <f t="shared" ref="AD1073:AD1079" si="457">IF($AF$1057=1,VLOOKUP($AD$1057,$A$1087:$P$1098,12,FALSE),IF(OR($AD$1057="JUN",$AD$1057="JUL",$AD$1057="AUG"),VLOOKUP($AD$1057,$A$1060:$S$1071,4,FALSE),VLOOKUP($AD$1057,$A$1060:$S$1071,3,FALSE)))</f>
        <v>0</v>
      </c>
      <c r="AE1073" s="365">
        <f t="shared" si="428"/>
        <v>27.455357142857142</v>
      </c>
      <c r="AF1073" s="365">
        <f t="shared" si="429"/>
        <v>28.77827380952381</v>
      </c>
      <c r="AG1073" s="365">
        <f t="shared" si="430"/>
        <v>49.081845238095241</v>
      </c>
      <c r="AH1073" s="365">
        <f t="shared" si="431"/>
        <v>30.590097127100382</v>
      </c>
      <c r="AI1073" s="365">
        <f t="shared" si="432"/>
        <v>4.4836309523809526</v>
      </c>
      <c r="AJ1073" s="365">
        <f t="shared" si="433"/>
        <v>3.5193452380952377</v>
      </c>
      <c r="AK1073" s="365">
        <f t="shared" si="434"/>
        <v>5.4925595238095246</v>
      </c>
      <c r="AL1073" s="365">
        <f t="shared" si="435"/>
        <v>5.6949404761904754</v>
      </c>
      <c r="AM1073" s="365">
        <f t="shared" si="436"/>
        <v>1.4836309523809523</v>
      </c>
      <c r="AN1073" s="365">
        <f t="shared" si="437"/>
        <v>1.7470238095238095</v>
      </c>
      <c r="AO1073" s="365">
        <f t="shared" si="438"/>
        <v>3.4166666666666665</v>
      </c>
      <c r="AP1073" s="365">
        <f t="shared" si="439"/>
        <v>0.95833333333333337</v>
      </c>
      <c r="AQ1073" s="365">
        <f t="shared" si="440"/>
        <v>1.9255952380952381</v>
      </c>
      <c r="AR1073" s="365">
        <f t="shared" si="441"/>
        <v>2.2678571428571428</v>
      </c>
      <c r="AS1073" s="365">
        <f t="shared" si="442"/>
        <v>166.89515665090991</v>
      </c>
      <c r="AT1073" s="365">
        <f t="shared" si="443"/>
        <v>13.390884634607263</v>
      </c>
      <c r="AU1073" s="365">
        <f t="shared" si="444"/>
        <v>180.28604128551717</v>
      </c>
      <c r="AW1073" s="365">
        <f t="shared" si="445"/>
        <v>383.21130952380958</v>
      </c>
      <c r="AX1073" s="365">
        <f t="shared" si="446"/>
        <v>-202.9252682382924</v>
      </c>
    </row>
    <row r="1074" spans="1:50" ht="15.75" customHeight="1" x14ac:dyDescent="0.3">
      <c r="A1074" s="418"/>
      <c r="AC1074" s="4">
        <v>15</v>
      </c>
      <c r="AD1074" s="365">
        <f t="shared" si="457"/>
        <v>0</v>
      </c>
      <c r="AE1074" s="365">
        <f t="shared" si="428"/>
        <v>27.455357142857142</v>
      </c>
      <c r="AF1074" s="365">
        <f t="shared" si="429"/>
        <v>28.77827380952381</v>
      </c>
      <c r="AG1074" s="365">
        <f t="shared" si="430"/>
        <v>49.081845238095241</v>
      </c>
      <c r="AH1074" s="365">
        <f t="shared" si="431"/>
        <v>30.590097127100382</v>
      </c>
      <c r="AI1074" s="365">
        <f t="shared" si="432"/>
        <v>4.4836309523809526</v>
      </c>
      <c r="AJ1074" s="365">
        <f t="shared" si="433"/>
        <v>3.5193452380952377</v>
      </c>
      <c r="AK1074" s="365">
        <f t="shared" si="434"/>
        <v>5.4925595238095246</v>
      </c>
      <c r="AL1074" s="365">
        <f t="shared" si="435"/>
        <v>5.6949404761904754</v>
      </c>
      <c r="AM1074" s="365">
        <f t="shared" si="436"/>
        <v>1.4836309523809523</v>
      </c>
      <c r="AN1074" s="365">
        <f t="shared" si="437"/>
        <v>1.7470238095238095</v>
      </c>
      <c r="AO1074" s="365">
        <f t="shared" si="438"/>
        <v>3.4166666666666665</v>
      </c>
      <c r="AP1074" s="365">
        <f t="shared" si="439"/>
        <v>0.95833333333333337</v>
      </c>
      <c r="AQ1074" s="365">
        <f t="shared" si="440"/>
        <v>1.9255952380952381</v>
      </c>
      <c r="AR1074" s="365">
        <f t="shared" si="441"/>
        <v>2.2678571428571428</v>
      </c>
      <c r="AS1074" s="365">
        <f t="shared" si="442"/>
        <v>166.89515665090991</v>
      </c>
      <c r="AT1074" s="365">
        <f t="shared" si="443"/>
        <v>13.390884634607263</v>
      </c>
      <c r="AU1074" s="365">
        <f t="shared" si="444"/>
        <v>180.28604128551717</v>
      </c>
      <c r="AW1074" s="365">
        <f t="shared" si="445"/>
        <v>383.21130952380958</v>
      </c>
      <c r="AX1074" s="365">
        <f t="shared" si="446"/>
        <v>-202.9252682382924</v>
      </c>
    </row>
    <row r="1075" spans="1:50" ht="15.75" customHeight="1" x14ac:dyDescent="0.3">
      <c r="A1075" s="418"/>
      <c r="AC1075" s="4">
        <v>16</v>
      </c>
      <c r="AD1075" s="365">
        <f t="shared" si="457"/>
        <v>0</v>
      </c>
      <c r="AE1075" s="365">
        <f t="shared" si="428"/>
        <v>27.455357142857142</v>
      </c>
      <c r="AF1075" s="365">
        <f t="shared" si="429"/>
        <v>28.77827380952381</v>
      </c>
      <c r="AG1075" s="365">
        <f t="shared" si="430"/>
        <v>49.081845238095241</v>
      </c>
      <c r="AH1075" s="365">
        <f t="shared" si="431"/>
        <v>30.590097127100382</v>
      </c>
      <c r="AI1075" s="365">
        <f t="shared" si="432"/>
        <v>4.4836309523809526</v>
      </c>
      <c r="AJ1075" s="365">
        <f t="shared" si="433"/>
        <v>3.5193452380952377</v>
      </c>
      <c r="AK1075" s="365">
        <f t="shared" si="434"/>
        <v>5.4925595238095246</v>
      </c>
      <c r="AL1075" s="365">
        <f t="shared" si="435"/>
        <v>5.6949404761904754</v>
      </c>
      <c r="AM1075" s="365">
        <f t="shared" si="436"/>
        <v>1.4836309523809523</v>
      </c>
      <c r="AN1075" s="365">
        <f t="shared" si="437"/>
        <v>1.7470238095238095</v>
      </c>
      <c r="AO1075" s="365">
        <f t="shared" si="438"/>
        <v>3.4166666666666665</v>
      </c>
      <c r="AP1075" s="365">
        <f t="shared" si="439"/>
        <v>0.95833333333333337</v>
      </c>
      <c r="AQ1075" s="365">
        <f t="shared" si="440"/>
        <v>1.9255952380952381</v>
      </c>
      <c r="AR1075" s="365">
        <f t="shared" si="441"/>
        <v>2.2678571428571428</v>
      </c>
      <c r="AS1075" s="365">
        <f t="shared" si="442"/>
        <v>166.89515665090991</v>
      </c>
      <c r="AT1075" s="365">
        <f t="shared" si="443"/>
        <v>13.390884634607263</v>
      </c>
      <c r="AU1075" s="365">
        <f t="shared" si="444"/>
        <v>180.28604128551717</v>
      </c>
      <c r="AW1075" s="365">
        <f t="shared" si="445"/>
        <v>383.21130952380958</v>
      </c>
      <c r="AX1075" s="365">
        <f t="shared" si="446"/>
        <v>-202.9252682382924</v>
      </c>
    </row>
    <row r="1076" spans="1:50" ht="15.75" customHeight="1" thickBot="1" x14ac:dyDescent="0.35">
      <c r="A1076" s="418"/>
      <c r="AC1076" s="4">
        <v>17</v>
      </c>
      <c r="AD1076" s="365">
        <f t="shared" si="457"/>
        <v>0</v>
      </c>
      <c r="AE1076" s="365">
        <f t="shared" si="428"/>
        <v>27.455357142857142</v>
      </c>
      <c r="AF1076" s="365">
        <f t="shared" si="429"/>
        <v>28.77827380952381</v>
      </c>
      <c r="AG1076" s="365">
        <f t="shared" si="430"/>
        <v>49.081845238095241</v>
      </c>
      <c r="AH1076" s="365">
        <f t="shared" si="431"/>
        <v>30.590097127100382</v>
      </c>
      <c r="AI1076" s="365">
        <f t="shared" si="432"/>
        <v>4.4836309523809526</v>
      </c>
      <c r="AJ1076" s="365">
        <f t="shared" si="433"/>
        <v>3.5193452380952377</v>
      </c>
      <c r="AK1076" s="365">
        <f t="shared" si="434"/>
        <v>5.4925595238095246</v>
      </c>
      <c r="AL1076" s="365">
        <f t="shared" si="435"/>
        <v>5.6949404761904754</v>
      </c>
      <c r="AM1076" s="365">
        <f t="shared" si="436"/>
        <v>1.4836309523809523</v>
      </c>
      <c r="AN1076" s="365">
        <f t="shared" si="437"/>
        <v>1.7470238095238095</v>
      </c>
      <c r="AO1076" s="365">
        <f t="shared" si="438"/>
        <v>3.4166666666666665</v>
      </c>
      <c r="AP1076" s="365">
        <f t="shared" si="439"/>
        <v>0.95833333333333337</v>
      </c>
      <c r="AQ1076" s="365">
        <f t="shared" si="440"/>
        <v>1.9255952380952381</v>
      </c>
      <c r="AR1076" s="365">
        <f t="shared" si="441"/>
        <v>2.2678571428571428</v>
      </c>
      <c r="AS1076" s="365">
        <f t="shared" si="442"/>
        <v>166.89515665090991</v>
      </c>
      <c r="AT1076" s="365">
        <f t="shared" si="443"/>
        <v>13.390884634607263</v>
      </c>
      <c r="AU1076" s="365">
        <f t="shared" si="444"/>
        <v>180.28604128551717</v>
      </c>
      <c r="AW1076" s="365">
        <f t="shared" si="445"/>
        <v>383.21130952380958</v>
      </c>
      <c r="AX1076" s="365">
        <f t="shared" si="446"/>
        <v>-202.9252682382924</v>
      </c>
    </row>
    <row r="1077" spans="1:50" ht="15.75" customHeight="1" x14ac:dyDescent="0.3">
      <c r="A1077" s="430"/>
      <c r="B1077" s="506" t="s">
        <v>1097</v>
      </c>
      <c r="C1077" s="506"/>
      <c r="D1077" s="506"/>
      <c r="E1077" s="506"/>
      <c r="F1077" s="506"/>
      <c r="G1077" s="506"/>
      <c r="H1077" s="506"/>
      <c r="I1077" s="506"/>
      <c r="J1077" s="506"/>
      <c r="K1077" s="506"/>
      <c r="L1077" s="506"/>
      <c r="M1077" s="506"/>
      <c r="N1077" s="506"/>
      <c r="O1077" s="506"/>
      <c r="P1077" s="506"/>
      <c r="Q1077" s="361" t="str">
        <f>+Q1</f>
        <v xml:space="preserve">PRINTED:  </v>
      </c>
      <c r="R1077" s="362">
        <f ca="1">+R1</f>
        <v>44909.46975358796</v>
      </c>
      <c r="AC1077" s="4">
        <v>18</v>
      </c>
      <c r="AD1077" s="365">
        <f t="shared" si="457"/>
        <v>0</v>
      </c>
      <c r="AE1077" s="365">
        <f t="shared" si="428"/>
        <v>27.455357142857142</v>
      </c>
      <c r="AF1077" s="365">
        <f t="shared" si="429"/>
        <v>28.77827380952381</v>
      </c>
      <c r="AG1077" s="365">
        <f t="shared" si="430"/>
        <v>49.081845238095241</v>
      </c>
      <c r="AH1077" s="365">
        <f t="shared" si="431"/>
        <v>30.590097127100382</v>
      </c>
      <c r="AI1077" s="365">
        <f t="shared" si="432"/>
        <v>4.4836309523809526</v>
      </c>
      <c r="AJ1077" s="365">
        <f t="shared" si="433"/>
        <v>3.5193452380952377</v>
      </c>
      <c r="AK1077" s="365">
        <f t="shared" si="434"/>
        <v>5.4925595238095246</v>
      </c>
      <c r="AL1077" s="365">
        <f t="shared" si="435"/>
        <v>5.6949404761904754</v>
      </c>
      <c r="AM1077" s="365">
        <f t="shared" si="436"/>
        <v>1.4836309523809523</v>
      </c>
      <c r="AN1077" s="365">
        <f t="shared" si="437"/>
        <v>1.7470238095238095</v>
      </c>
      <c r="AO1077" s="365">
        <f t="shared" si="438"/>
        <v>3.4166666666666665</v>
      </c>
      <c r="AP1077" s="365">
        <f t="shared" si="439"/>
        <v>0.95833333333333337</v>
      </c>
      <c r="AQ1077" s="365">
        <f t="shared" si="440"/>
        <v>1.9255952380952381</v>
      </c>
      <c r="AR1077" s="365">
        <f t="shared" si="441"/>
        <v>2.2678571428571428</v>
      </c>
      <c r="AS1077" s="365">
        <f t="shared" si="442"/>
        <v>166.89515665090991</v>
      </c>
      <c r="AT1077" s="365">
        <f t="shared" si="443"/>
        <v>13.390884634607263</v>
      </c>
      <c r="AU1077" s="365">
        <f t="shared" si="444"/>
        <v>180.28604128551717</v>
      </c>
      <c r="AW1077" s="365">
        <f t="shared" si="445"/>
        <v>383.21130952380958</v>
      </c>
      <c r="AX1077" s="365">
        <f t="shared" si="446"/>
        <v>-202.9252682382924</v>
      </c>
    </row>
    <row r="1078" spans="1:50" ht="16.5" customHeight="1" x14ac:dyDescent="0.3">
      <c r="A1078" s="416"/>
      <c r="B1078" s="503" t="str">
        <f>+A8</f>
        <v>Revised:  11/4/2019</v>
      </c>
      <c r="C1078" s="503"/>
      <c r="D1078" s="503"/>
      <c r="E1078" s="503"/>
      <c r="F1078" s="503"/>
      <c r="G1078" s="503"/>
      <c r="H1078" s="503"/>
      <c r="I1078" s="503"/>
      <c r="J1078" s="503"/>
      <c r="K1078" s="503"/>
      <c r="L1078" s="503"/>
      <c r="M1078" s="503"/>
      <c r="N1078" s="503"/>
      <c r="O1078" s="503"/>
      <c r="P1078" s="503"/>
      <c r="R1078" s="307"/>
      <c r="AC1078" s="4">
        <v>19</v>
      </c>
      <c r="AD1078" s="365">
        <f t="shared" si="457"/>
        <v>0</v>
      </c>
      <c r="AE1078" s="365">
        <f t="shared" si="428"/>
        <v>27.455357142857142</v>
      </c>
      <c r="AF1078" s="365">
        <f t="shared" si="429"/>
        <v>28.77827380952381</v>
      </c>
      <c r="AG1078" s="365">
        <f t="shared" si="430"/>
        <v>49.081845238095241</v>
      </c>
      <c r="AH1078" s="365">
        <f t="shared" si="431"/>
        <v>30.590097127100382</v>
      </c>
      <c r="AI1078" s="365">
        <f t="shared" si="432"/>
        <v>4.4836309523809526</v>
      </c>
      <c r="AJ1078" s="365">
        <f t="shared" si="433"/>
        <v>3.5193452380952377</v>
      </c>
      <c r="AK1078" s="365">
        <f t="shared" si="434"/>
        <v>5.4925595238095246</v>
      </c>
      <c r="AL1078" s="365">
        <f t="shared" si="435"/>
        <v>5.6949404761904754</v>
      </c>
      <c r="AM1078" s="365">
        <f t="shared" si="436"/>
        <v>1.4836309523809523</v>
      </c>
      <c r="AN1078" s="365">
        <f t="shared" si="437"/>
        <v>1.7470238095238095</v>
      </c>
      <c r="AO1078" s="365">
        <f t="shared" si="438"/>
        <v>3.4166666666666665</v>
      </c>
      <c r="AP1078" s="365">
        <f t="shared" si="439"/>
        <v>0.95833333333333337</v>
      </c>
      <c r="AQ1078" s="365">
        <f t="shared" si="440"/>
        <v>1.9255952380952381</v>
      </c>
      <c r="AR1078" s="365">
        <f t="shared" si="441"/>
        <v>2.2678571428571428</v>
      </c>
      <c r="AS1078" s="365">
        <f t="shared" si="442"/>
        <v>166.89515665090991</v>
      </c>
      <c r="AT1078" s="365">
        <f t="shared" si="443"/>
        <v>13.390884634607263</v>
      </c>
      <c r="AU1078" s="365">
        <f t="shared" si="444"/>
        <v>180.28604128551717</v>
      </c>
      <c r="AW1078" s="365">
        <f t="shared" si="445"/>
        <v>383.21130952380958</v>
      </c>
      <c r="AX1078" s="365">
        <f t="shared" si="446"/>
        <v>-202.9252682382924</v>
      </c>
    </row>
    <row r="1079" spans="1:50" ht="16.5" customHeight="1" x14ac:dyDescent="0.3">
      <c r="A1079" s="416"/>
      <c r="B1079" s="503" t="s">
        <v>1024</v>
      </c>
      <c r="C1079" s="503"/>
      <c r="D1079" s="503"/>
      <c r="E1079" s="503"/>
      <c r="F1079" s="503"/>
      <c r="G1079" s="503"/>
      <c r="H1079" s="503"/>
      <c r="I1079" s="503"/>
      <c r="J1079" s="503"/>
      <c r="K1079" s="503"/>
      <c r="L1079" s="503"/>
      <c r="M1079" s="503"/>
      <c r="N1079" s="503"/>
      <c r="O1079" s="503"/>
      <c r="P1079" s="503"/>
      <c r="R1079" s="307"/>
      <c r="AC1079" s="4">
        <v>20</v>
      </c>
      <c r="AD1079" s="365">
        <f t="shared" si="457"/>
        <v>0</v>
      </c>
      <c r="AE1079" s="365">
        <f t="shared" si="428"/>
        <v>27.455357142857142</v>
      </c>
      <c r="AF1079" s="365">
        <f t="shared" si="429"/>
        <v>28.77827380952381</v>
      </c>
      <c r="AG1079" s="365">
        <f t="shared" si="430"/>
        <v>49.081845238095241</v>
      </c>
      <c r="AH1079" s="365">
        <f t="shared" si="431"/>
        <v>30.590097127100382</v>
      </c>
      <c r="AI1079" s="365">
        <f t="shared" si="432"/>
        <v>4.4836309523809526</v>
      </c>
      <c r="AJ1079" s="365">
        <f t="shared" si="433"/>
        <v>3.5193452380952377</v>
      </c>
      <c r="AK1079" s="365">
        <f t="shared" si="434"/>
        <v>5.4925595238095246</v>
      </c>
      <c r="AL1079" s="365">
        <f t="shared" si="435"/>
        <v>5.6949404761904754</v>
      </c>
      <c r="AM1079" s="365">
        <f t="shared" si="436"/>
        <v>1.4836309523809523</v>
      </c>
      <c r="AN1079" s="365">
        <f t="shared" si="437"/>
        <v>1.7470238095238095</v>
      </c>
      <c r="AO1079" s="365">
        <f t="shared" si="438"/>
        <v>3.4166666666666665</v>
      </c>
      <c r="AP1079" s="365">
        <f t="shared" si="439"/>
        <v>0.95833333333333337</v>
      </c>
      <c r="AQ1079" s="365">
        <f t="shared" si="440"/>
        <v>1.9255952380952381</v>
      </c>
      <c r="AR1079" s="365">
        <f t="shared" si="441"/>
        <v>2.2678571428571428</v>
      </c>
      <c r="AS1079" s="365">
        <f t="shared" si="442"/>
        <v>166.89515665090991</v>
      </c>
      <c r="AT1079" s="365">
        <f t="shared" si="443"/>
        <v>13.390884634607263</v>
      </c>
      <c r="AU1079" s="365">
        <f t="shared" si="444"/>
        <v>180.28604128551717</v>
      </c>
      <c r="AW1079" s="365">
        <f t="shared" si="445"/>
        <v>383.21130952380958</v>
      </c>
      <c r="AX1079" s="365">
        <f t="shared" si="446"/>
        <v>-202.9252682382924</v>
      </c>
    </row>
    <row r="1080" spans="1:50" ht="16.5" customHeight="1" x14ac:dyDescent="0.3">
      <c r="A1080" s="416"/>
      <c r="B1080" s="159"/>
      <c r="C1080" s="159"/>
      <c r="D1080" s="159"/>
      <c r="E1080" s="159"/>
      <c r="F1080" s="159"/>
      <c r="G1080" s="159"/>
      <c r="H1080" s="159"/>
      <c r="I1080" s="159"/>
      <c r="J1080" s="159"/>
      <c r="K1080" s="159"/>
      <c r="L1080" s="159"/>
      <c r="M1080" s="159"/>
      <c r="N1080" s="159"/>
      <c r="O1080" s="159"/>
      <c r="P1080" s="159"/>
      <c r="R1080" s="307"/>
      <c r="AC1080" s="4">
        <v>21</v>
      </c>
      <c r="AD1080" s="365">
        <f>IF($AF$1057=1,VLOOKUP($AD$1057,$A$1087:$P$1098,12,FALSE),VLOOKUP($AD$1057,$A$1060:$S$1071,3,FALSE))</f>
        <v>0</v>
      </c>
      <c r="AE1080" s="365">
        <f t="shared" si="428"/>
        <v>27.455357142857142</v>
      </c>
      <c r="AF1080" s="365">
        <f t="shared" si="429"/>
        <v>28.77827380952381</v>
      </c>
      <c r="AG1080" s="365">
        <f t="shared" si="430"/>
        <v>49.081845238095241</v>
      </c>
      <c r="AH1080" s="365">
        <f t="shared" si="431"/>
        <v>30.590097127100382</v>
      </c>
      <c r="AI1080" s="365">
        <f t="shared" si="432"/>
        <v>4.4836309523809526</v>
      </c>
      <c r="AJ1080" s="365">
        <f t="shared" si="433"/>
        <v>3.5193452380952377</v>
      </c>
      <c r="AK1080" s="365">
        <f t="shared" si="434"/>
        <v>5.4925595238095246</v>
      </c>
      <c r="AL1080" s="365">
        <f t="shared" si="435"/>
        <v>5.6949404761904754</v>
      </c>
      <c r="AM1080" s="365">
        <f t="shared" si="436"/>
        <v>1.4836309523809523</v>
      </c>
      <c r="AN1080" s="365">
        <f t="shared" si="437"/>
        <v>1.7470238095238095</v>
      </c>
      <c r="AO1080" s="365">
        <f t="shared" si="438"/>
        <v>3.4166666666666665</v>
      </c>
      <c r="AP1080" s="365">
        <f t="shared" si="439"/>
        <v>0.95833333333333337</v>
      </c>
      <c r="AQ1080" s="365">
        <f t="shared" si="440"/>
        <v>1.9255952380952381</v>
      </c>
      <c r="AR1080" s="365">
        <f t="shared" si="441"/>
        <v>2.2678571428571428</v>
      </c>
      <c r="AS1080" s="365">
        <f t="shared" si="442"/>
        <v>166.89515665090991</v>
      </c>
      <c r="AT1080" s="365">
        <f t="shared" si="443"/>
        <v>13.390884634607263</v>
      </c>
      <c r="AU1080" s="365">
        <f t="shared" si="444"/>
        <v>180.28604128551717</v>
      </c>
      <c r="AW1080" s="365">
        <f t="shared" si="445"/>
        <v>383.21130952380958</v>
      </c>
      <c r="AX1080" s="365">
        <f t="shared" si="446"/>
        <v>-202.9252682382924</v>
      </c>
    </row>
    <row r="1081" spans="1:50" ht="16.5" customHeight="1" x14ac:dyDescent="0.3">
      <c r="A1081" s="416"/>
      <c r="B1081" s="539">
        <f>+A5</f>
        <v>2019</v>
      </c>
      <c r="C1081" s="509"/>
      <c r="D1081" s="509"/>
      <c r="E1081" s="509"/>
      <c r="F1081" s="509"/>
      <c r="G1081" s="509"/>
      <c r="H1081" s="509"/>
      <c r="I1081" s="509"/>
      <c r="J1081" s="509"/>
      <c r="K1081" s="509"/>
      <c r="L1081" s="509"/>
      <c r="M1081" s="509"/>
      <c r="N1081" s="509"/>
      <c r="O1081" s="509"/>
      <c r="P1081" s="509"/>
      <c r="R1081" s="307"/>
      <c r="AC1081" s="4">
        <v>22</v>
      </c>
      <c r="AD1081" s="365">
        <f>IF($AF$1057=1,VLOOKUP($AD$1057,$A$1087:$P$1098,12,FALSE),VLOOKUP($AD$1057,$A$1060:$S$1071,3,FALSE))</f>
        <v>0</v>
      </c>
      <c r="AE1081" s="365">
        <f t="shared" si="428"/>
        <v>27.455357142857142</v>
      </c>
      <c r="AF1081" s="365">
        <f t="shared" si="429"/>
        <v>28.77827380952381</v>
      </c>
      <c r="AG1081" s="365">
        <f t="shared" si="430"/>
        <v>49.081845238095241</v>
      </c>
      <c r="AH1081" s="365">
        <f t="shared" si="431"/>
        <v>30.590097127100382</v>
      </c>
      <c r="AI1081" s="365">
        <f t="shared" si="432"/>
        <v>4.4836309523809526</v>
      </c>
      <c r="AJ1081" s="365">
        <f t="shared" si="433"/>
        <v>3.5193452380952377</v>
      </c>
      <c r="AK1081" s="365">
        <f t="shared" si="434"/>
        <v>5.4925595238095246</v>
      </c>
      <c r="AL1081" s="365">
        <f t="shared" si="435"/>
        <v>5.6949404761904754</v>
      </c>
      <c r="AM1081" s="365">
        <f t="shared" si="436"/>
        <v>1.4836309523809523</v>
      </c>
      <c r="AN1081" s="365">
        <f t="shared" si="437"/>
        <v>1.7470238095238095</v>
      </c>
      <c r="AO1081" s="365">
        <f t="shared" si="438"/>
        <v>3.4166666666666665</v>
      </c>
      <c r="AP1081" s="365">
        <f t="shared" si="439"/>
        <v>0.95833333333333337</v>
      </c>
      <c r="AQ1081" s="365">
        <f t="shared" si="440"/>
        <v>1.9255952380952381</v>
      </c>
      <c r="AR1081" s="365">
        <f t="shared" si="441"/>
        <v>2.2678571428571428</v>
      </c>
      <c r="AS1081" s="365">
        <f t="shared" si="442"/>
        <v>166.89515665090991</v>
      </c>
      <c r="AT1081" s="365">
        <f t="shared" si="443"/>
        <v>13.390884634607263</v>
      </c>
      <c r="AU1081" s="365">
        <f t="shared" si="444"/>
        <v>180.28604128551717</v>
      </c>
      <c r="AW1081" s="365">
        <f t="shared" si="445"/>
        <v>383.21130952380958</v>
      </c>
      <c r="AX1081" s="365">
        <f t="shared" si="446"/>
        <v>-202.9252682382924</v>
      </c>
    </row>
    <row r="1082" spans="1:50" ht="15.75" customHeight="1" x14ac:dyDescent="0.3">
      <c r="A1082" s="416"/>
      <c r="B1082" s="503" t="s">
        <v>457</v>
      </c>
      <c r="C1082" s="503"/>
      <c r="D1082" s="503"/>
      <c r="E1082" s="503"/>
      <c r="F1082" s="503"/>
      <c r="G1082" s="503"/>
      <c r="H1082" s="503"/>
      <c r="I1082" s="503"/>
      <c r="J1082" s="503"/>
      <c r="K1082" s="503"/>
      <c r="L1082" s="503"/>
      <c r="M1082" s="503"/>
      <c r="N1082" s="503"/>
      <c r="O1082" s="503"/>
      <c r="P1082" s="503"/>
      <c r="R1082" s="307"/>
      <c r="AC1082" s="4">
        <v>23</v>
      </c>
      <c r="AD1082" s="365">
        <f>IF($AF$1057=1,VLOOKUP($AD$1057,$A$1087:$P$1098,12,FALSE),IF(OR($AD$1057="JAN",$AD$1057="FEB",$AD$1057="NOV",$AD$1057="DEC"),VLOOKUP($AD$1057,$A$1060:$S$1071,3,FALSE),VLOOKUP($AD$1057,$A$1060:$S$1071,2,FALSE)))</f>
        <v>0</v>
      </c>
      <c r="AE1082" s="365">
        <f t="shared" si="428"/>
        <v>27.455357142857142</v>
      </c>
      <c r="AF1082" s="365">
        <f t="shared" si="429"/>
        <v>28.77827380952381</v>
      </c>
      <c r="AG1082" s="365">
        <f t="shared" si="430"/>
        <v>49.081845238095241</v>
      </c>
      <c r="AH1082" s="365">
        <f t="shared" si="431"/>
        <v>30.590097127100382</v>
      </c>
      <c r="AI1082" s="365">
        <f t="shared" si="432"/>
        <v>4.4836309523809526</v>
      </c>
      <c r="AJ1082" s="365">
        <f t="shared" si="433"/>
        <v>3.5193452380952377</v>
      </c>
      <c r="AK1082" s="365">
        <f t="shared" si="434"/>
        <v>5.4925595238095246</v>
      </c>
      <c r="AL1082" s="365">
        <f t="shared" si="435"/>
        <v>5.6949404761904754</v>
      </c>
      <c r="AM1082" s="365">
        <f t="shared" si="436"/>
        <v>1.4836309523809523</v>
      </c>
      <c r="AN1082" s="365">
        <f t="shared" si="437"/>
        <v>1.7470238095238095</v>
      </c>
      <c r="AO1082" s="365">
        <f t="shared" si="438"/>
        <v>3.4166666666666665</v>
      </c>
      <c r="AP1082" s="365">
        <f t="shared" si="439"/>
        <v>0.95833333333333337</v>
      </c>
      <c r="AQ1082" s="365">
        <f t="shared" si="440"/>
        <v>1.9255952380952381</v>
      </c>
      <c r="AR1082" s="365">
        <f t="shared" si="441"/>
        <v>2.2678571428571428</v>
      </c>
      <c r="AS1082" s="365">
        <f t="shared" si="442"/>
        <v>166.89515665090991</v>
      </c>
      <c r="AT1082" s="365">
        <f t="shared" si="443"/>
        <v>13.390884634607263</v>
      </c>
      <c r="AU1082" s="365">
        <f t="shared" si="444"/>
        <v>180.28604128551717</v>
      </c>
      <c r="AW1082" s="365">
        <f t="shared" si="445"/>
        <v>383.21130952380958</v>
      </c>
      <c r="AX1082" s="365">
        <f t="shared" si="446"/>
        <v>-202.9252682382924</v>
      </c>
    </row>
    <row r="1083" spans="1:50" ht="15.75" customHeight="1" thickBot="1" x14ac:dyDescent="0.35">
      <c r="A1083" s="416"/>
      <c r="R1083" s="307"/>
      <c r="AC1083" s="4">
        <v>24</v>
      </c>
      <c r="AD1083" s="365">
        <f>IF($AF$1057=1,VLOOKUP($AD$1057,$A$1087:$P$1098,12,FALSE),VLOOKUP($AD$1057,$A$1060:$S$1071,2,FALSE))</f>
        <v>98</v>
      </c>
      <c r="AE1083" s="365">
        <f t="shared" si="428"/>
        <v>27.455357142857142</v>
      </c>
      <c r="AF1083" s="365">
        <f t="shared" si="429"/>
        <v>28.77827380952381</v>
      </c>
      <c r="AG1083" s="365">
        <f t="shared" si="430"/>
        <v>49.081845238095241</v>
      </c>
      <c r="AH1083" s="365">
        <f t="shared" si="431"/>
        <v>30.590097127100382</v>
      </c>
      <c r="AI1083" s="365">
        <f t="shared" si="432"/>
        <v>4.4836309523809526</v>
      </c>
      <c r="AJ1083" s="365">
        <f t="shared" si="433"/>
        <v>3.5193452380952377</v>
      </c>
      <c r="AK1083" s="365">
        <f t="shared" si="434"/>
        <v>5.4925595238095246</v>
      </c>
      <c r="AL1083" s="365">
        <f t="shared" si="435"/>
        <v>5.6949404761904754</v>
      </c>
      <c r="AM1083" s="365">
        <f t="shared" si="436"/>
        <v>1.4836309523809523</v>
      </c>
      <c r="AN1083" s="365">
        <f t="shared" si="437"/>
        <v>1.7470238095238095</v>
      </c>
      <c r="AO1083" s="365">
        <f t="shared" si="438"/>
        <v>3.4166666666666665</v>
      </c>
      <c r="AP1083" s="365">
        <f t="shared" si="439"/>
        <v>0.95833333333333337</v>
      </c>
      <c r="AQ1083" s="365">
        <f t="shared" si="440"/>
        <v>1.9255952380952381</v>
      </c>
      <c r="AR1083" s="365">
        <f t="shared" si="441"/>
        <v>2.2678571428571428</v>
      </c>
      <c r="AS1083" s="365">
        <f t="shared" si="442"/>
        <v>264.89515665091</v>
      </c>
      <c r="AT1083" s="365">
        <f t="shared" si="443"/>
        <v>21.253945016499767</v>
      </c>
      <c r="AU1083" s="365">
        <f t="shared" si="444"/>
        <v>286.14910166740975</v>
      </c>
      <c r="AW1083" s="365">
        <f t="shared" si="445"/>
        <v>383.21130952380958</v>
      </c>
      <c r="AX1083" s="365">
        <f t="shared" si="446"/>
        <v>-97.062207856399823</v>
      </c>
    </row>
    <row r="1084" spans="1:50" ht="15.75" customHeight="1" x14ac:dyDescent="0.3">
      <c r="A1084" s="416"/>
      <c r="B1084" s="542" t="s">
        <v>1098</v>
      </c>
      <c r="C1084" s="543"/>
      <c r="D1084" s="543"/>
      <c r="E1084" s="543"/>
      <c r="F1084" s="543"/>
      <c r="G1084" s="543"/>
      <c r="H1084" s="543"/>
      <c r="I1084" s="543"/>
      <c r="J1084" s="543"/>
      <c r="K1084" s="543"/>
      <c r="L1084" s="544"/>
      <c r="M1084" s="545" t="s">
        <v>1099</v>
      </c>
      <c r="N1084" s="543"/>
      <c r="O1084" s="543"/>
      <c r="P1084" s="543"/>
      <c r="Q1084" s="365" t="s">
        <v>1100</v>
      </c>
      <c r="R1084" s="427" t="s">
        <v>1101</v>
      </c>
      <c r="S1084" s="365" t="s">
        <v>1243</v>
      </c>
      <c r="T1084" s="365" t="s">
        <v>1082</v>
      </c>
      <c r="AC1084" s="4" t="s">
        <v>422</v>
      </c>
      <c r="AD1084" s="365">
        <f>SUM(AD1060:AD1083)</f>
        <v>784</v>
      </c>
      <c r="AE1084" s="365">
        <f>SUM(AE1060:AE1083)</f>
        <v>658.92857142857144</v>
      </c>
      <c r="AF1084" s="365">
        <f t="shared" ref="AF1084:AW1084" si="458">SUM(AF1060:AF1083)</f>
        <v>690.67857142857156</v>
      </c>
      <c r="AG1084" s="365">
        <f t="shared" si="458"/>
        <v>1177.9642857142851</v>
      </c>
      <c r="AH1084" s="365">
        <f t="shared" si="458"/>
        <v>734.16233105040931</v>
      </c>
      <c r="AI1084" s="365">
        <f t="shared" si="458"/>
        <v>107.6071428571428</v>
      </c>
      <c r="AJ1084" s="365">
        <f t="shared" si="458"/>
        <v>84.464285714285751</v>
      </c>
      <c r="AK1084" s="365">
        <f t="shared" si="458"/>
        <v>131.82142857142853</v>
      </c>
      <c r="AL1084" s="365">
        <f t="shared" si="458"/>
        <v>136.67857142857147</v>
      </c>
      <c r="AM1084" s="365">
        <f t="shared" si="458"/>
        <v>35.607142857142847</v>
      </c>
      <c r="AN1084" s="365">
        <f t="shared" si="458"/>
        <v>41.928571428571438</v>
      </c>
      <c r="AO1084" s="365">
        <f t="shared" si="458"/>
        <v>82.000000000000014</v>
      </c>
      <c r="AP1084" s="365">
        <f t="shared" si="458"/>
        <v>22.999999999999996</v>
      </c>
      <c r="AQ1084" s="365">
        <f t="shared" si="458"/>
        <v>46.214285714285722</v>
      </c>
      <c r="AR1084" s="365">
        <f t="shared" si="458"/>
        <v>54.428571428571452</v>
      </c>
      <c r="AS1084" s="365">
        <f t="shared" si="458"/>
        <v>4789.4837596218376</v>
      </c>
      <c r="AT1084" s="365">
        <f t="shared" si="458"/>
        <v>384.2857142857145</v>
      </c>
      <c r="AU1084" s="365">
        <f t="shared" si="458"/>
        <v>5173.7694739075514</v>
      </c>
      <c r="AW1084" s="365">
        <f t="shared" si="458"/>
        <v>9197.0714285714257</v>
      </c>
      <c r="AX1084" s="365">
        <f>SUMIF(AX1060:AX1083,"&gt;0")</f>
        <v>0</v>
      </c>
    </row>
    <row r="1085" spans="1:50" ht="15.75" customHeight="1" thickBot="1" x14ac:dyDescent="0.35">
      <c r="A1085" s="416" t="s">
        <v>1071</v>
      </c>
      <c r="B1085" s="431" t="s">
        <v>1102</v>
      </c>
      <c r="C1085" s="432" t="s">
        <v>1085</v>
      </c>
      <c r="D1085" s="432" t="s">
        <v>1086</v>
      </c>
      <c r="E1085" s="432" t="s">
        <v>1103</v>
      </c>
      <c r="F1085" s="432" t="s">
        <v>1085</v>
      </c>
      <c r="G1085" s="432" t="s">
        <v>1086</v>
      </c>
      <c r="H1085" s="432" t="s">
        <v>1087</v>
      </c>
      <c r="I1085" s="432" t="s">
        <v>1085</v>
      </c>
      <c r="J1085" s="432" t="s">
        <v>1086</v>
      </c>
      <c r="K1085" s="432" t="s">
        <v>1087</v>
      </c>
      <c r="L1085" s="433" t="s">
        <v>1104</v>
      </c>
      <c r="M1085" s="431" t="s">
        <v>1105</v>
      </c>
      <c r="N1085" s="432" t="s">
        <v>1085</v>
      </c>
      <c r="O1085" s="432" t="s">
        <v>1085</v>
      </c>
      <c r="P1085" s="433" t="s">
        <v>1104</v>
      </c>
      <c r="Q1085" s="434" t="s">
        <v>422</v>
      </c>
      <c r="R1085" s="435" t="s">
        <v>1106</v>
      </c>
      <c r="S1085" s="432" t="s">
        <v>1244</v>
      </c>
      <c r="T1085" s="432" t="s">
        <v>1244</v>
      </c>
      <c r="AU1085" s="365"/>
      <c r="AW1085" s="365"/>
      <c r="AX1085" s="365"/>
    </row>
    <row r="1086" spans="1:50" ht="15.75" customHeight="1" thickTop="1" thickBot="1" x14ac:dyDescent="0.35">
      <c r="A1086" s="416"/>
      <c r="B1086" s="436"/>
      <c r="C1086" s="437" t="s">
        <v>1107</v>
      </c>
      <c r="D1086" s="437" t="s">
        <v>1107</v>
      </c>
      <c r="E1086" s="437" t="s">
        <v>1107</v>
      </c>
      <c r="F1086" s="438" t="s">
        <v>1079</v>
      </c>
      <c r="G1086" s="438" t="s">
        <v>1079</v>
      </c>
      <c r="H1086" s="438" t="s">
        <v>1079</v>
      </c>
      <c r="I1086" s="438" t="s">
        <v>1108</v>
      </c>
      <c r="J1086" s="438" t="s">
        <v>1108</v>
      </c>
      <c r="K1086" s="438" t="s">
        <v>1108</v>
      </c>
      <c r="L1086" s="439" t="s">
        <v>1109</v>
      </c>
      <c r="M1086" s="440"/>
      <c r="N1086" s="437" t="s">
        <v>1107</v>
      </c>
      <c r="O1086" s="438" t="s">
        <v>1079</v>
      </c>
      <c r="P1086" s="439" t="s">
        <v>1108</v>
      </c>
      <c r="Q1086" s="434" t="s">
        <v>1108</v>
      </c>
      <c r="R1086" s="435" t="s">
        <v>1108</v>
      </c>
      <c r="S1086" s="438" t="s">
        <v>1245</v>
      </c>
      <c r="T1086" s="438" t="s">
        <v>1245</v>
      </c>
    </row>
    <row r="1087" spans="1:50" ht="15.75" customHeight="1" x14ac:dyDescent="0.3">
      <c r="A1087" s="416" t="s">
        <v>795</v>
      </c>
      <c r="B1087" s="375" t="e">
        <f ca="1">+$B$10-M1087</f>
        <v>#NAME?</v>
      </c>
      <c r="C1087" s="441">
        <v>4</v>
      </c>
      <c r="D1087" s="441">
        <v>0</v>
      </c>
      <c r="E1087" s="441" t="s">
        <v>1095</v>
      </c>
      <c r="F1087" s="365">
        <f>+I1087/(24-S1087)</f>
        <v>196</v>
      </c>
      <c r="G1087" s="365">
        <f>+J1087/S1087</f>
        <v>0</v>
      </c>
      <c r="H1087" s="365" t="s">
        <v>1095</v>
      </c>
      <c r="I1087" s="365">
        <f>+C1087*49*(24-S1087)</f>
        <v>3724</v>
      </c>
      <c r="J1087" s="365">
        <f>+D1087*49*S1087</f>
        <v>0</v>
      </c>
      <c r="K1087" s="365" t="s">
        <v>1095</v>
      </c>
      <c r="L1087" s="427">
        <f>+J1087+I1087</f>
        <v>3724</v>
      </c>
      <c r="M1087" s="375" t="e">
        <f ca="1">SUMPRODUCT(--(WEEKDAY(ROW(INDIRECT(DATE($B$1081,MonthFromText(A1087),1)&amp;":"&amp;DATE($B$1081,MonthFromText(A1087),$B$10))),1)=1))</f>
        <v>#NAME?</v>
      </c>
      <c r="N1087" s="441">
        <v>4</v>
      </c>
      <c r="O1087" s="4">
        <f>+P1087/(24-T1087)</f>
        <v>196</v>
      </c>
      <c r="P1087" s="427">
        <f>+N1087*49*(24-T1087)</f>
        <v>3724</v>
      </c>
      <c r="Q1087" s="365" t="e">
        <f ca="1">+(L1087*B1087)+(M1087*P1087)</f>
        <v>#NAME?</v>
      </c>
      <c r="R1087" s="427" t="e">
        <f ca="1">+Q1087-B980</f>
        <v>#NAME?</v>
      </c>
      <c r="S1087" s="470">
        <v>5</v>
      </c>
      <c r="T1087" s="470">
        <v>5</v>
      </c>
      <c r="AD1087" s="370"/>
      <c r="AE1087" s="368"/>
      <c r="AF1087" s="471" t="s">
        <v>1246</v>
      </c>
      <c r="AG1087" s="472" t="s">
        <v>1247</v>
      </c>
      <c r="AH1087" s="472" t="s">
        <v>1248</v>
      </c>
      <c r="AI1087" s="472" t="s">
        <v>1249</v>
      </c>
      <c r="AJ1087" s="332"/>
    </row>
    <row r="1088" spans="1:50" ht="15.75" customHeight="1" x14ac:dyDescent="0.3">
      <c r="A1088" s="416" t="s">
        <v>9</v>
      </c>
      <c r="B1088" s="375" t="e">
        <f ca="1">+$C$10-M1088</f>
        <v>#NAME?</v>
      </c>
      <c r="C1088" s="441">
        <v>2</v>
      </c>
      <c r="D1088" s="441">
        <v>0</v>
      </c>
      <c r="E1088" s="441" t="s">
        <v>1095</v>
      </c>
      <c r="F1088" s="365">
        <f t="shared" ref="F1088:F1098" si="459">+I1088/(24-S1088)</f>
        <v>98</v>
      </c>
      <c r="G1088" s="365">
        <f t="shared" ref="G1088:G1098" si="460">+J1088/S1088</f>
        <v>0</v>
      </c>
      <c r="H1088" s="365" t="s">
        <v>1095</v>
      </c>
      <c r="I1088" s="365">
        <f t="shared" ref="I1088:I1098" si="461">+C1088*49*(24-S1088)</f>
        <v>1862</v>
      </c>
      <c r="J1088" s="365">
        <f t="shared" ref="J1088:J1098" si="462">+D1088*49*S1088</f>
        <v>0</v>
      </c>
      <c r="K1088" s="365" t="s">
        <v>1095</v>
      </c>
      <c r="L1088" s="427">
        <f t="shared" ref="L1088:L1098" si="463">+J1088+I1088</f>
        <v>1862</v>
      </c>
      <c r="M1088" s="375" t="e">
        <f ca="1">SUMPRODUCT(--(WEEKDAY(ROW(INDIRECT(DATE($B$1081,MonthFromText(A1088),1)&amp;":"&amp;DATE($B$1081,MonthFromText(A1088),$C$10))),1)=1))</f>
        <v>#NAME?</v>
      </c>
      <c r="N1088" s="441">
        <f t="shared" ref="N1088:N1096" si="464">+C1088</f>
        <v>2</v>
      </c>
      <c r="O1088" s="4">
        <f t="shared" ref="O1088:O1098" si="465">+P1088/24</f>
        <v>98</v>
      </c>
      <c r="P1088" s="427">
        <f t="shared" ref="P1088:P1098" si="466">+N1088*49*24</f>
        <v>2352</v>
      </c>
      <c r="Q1088" s="365" t="e">
        <f ca="1">+(L1088*B1088)+(M1088*P1088)</f>
        <v>#NAME?</v>
      </c>
      <c r="R1088" s="427" t="e">
        <f t="shared" ref="R1088:R1098" ca="1" si="467">+Q1088-B981</f>
        <v>#NAME?</v>
      </c>
      <c r="S1088" s="470">
        <v>5</v>
      </c>
      <c r="T1088" s="470">
        <v>5</v>
      </c>
      <c r="AD1088" s="473" t="s">
        <v>410</v>
      </c>
      <c r="AE1088" s="474" t="s">
        <v>1250</v>
      </c>
      <c r="AF1088" s="4">
        <f>V1060</f>
        <v>250.75537634408602</v>
      </c>
      <c r="AG1088" s="4">
        <f>X1060</f>
        <v>17.019338610589831</v>
      </c>
      <c r="AH1088" s="4">
        <f>Y1060</f>
        <v>-3.3695345625341919</v>
      </c>
      <c r="AI1088" s="4">
        <f>Z1060</f>
        <v>29.467741935483868</v>
      </c>
      <c r="AJ1088" s="307"/>
    </row>
    <row r="1089" spans="1:36" ht="16.5" customHeight="1" x14ac:dyDescent="0.3">
      <c r="A1089" s="416" t="s">
        <v>10</v>
      </c>
      <c r="B1089" s="375" t="e">
        <f ca="1">+$D$10-M1089</f>
        <v>#NAME?</v>
      </c>
      <c r="C1089" s="441">
        <v>6</v>
      </c>
      <c r="D1089" s="441">
        <v>0</v>
      </c>
      <c r="E1089" s="441" t="s">
        <v>1095</v>
      </c>
      <c r="F1089" s="365">
        <f t="shared" si="459"/>
        <v>294</v>
      </c>
      <c r="G1089" s="365">
        <f t="shared" si="460"/>
        <v>0</v>
      </c>
      <c r="H1089" s="365" t="s">
        <v>1095</v>
      </c>
      <c r="I1089" s="365">
        <f t="shared" si="461"/>
        <v>5586</v>
      </c>
      <c r="J1089" s="365">
        <f t="shared" si="462"/>
        <v>0</v>
      </c>
      <c r="K1089" s="365" t="s">
        <v>1095</v>
      </c>
      <c r="L1089" s="427">
        <f t="shared" si="463"/>
        <v>5586</v>
      </c>
      <c r="M1089" s="375" t="e">
        <f ca="1">SUMPRODUCT(--(WEEKDAY(ROW(INDIRECT(DATE($B$1081,MonthFromText(A1089),1)&amp;":"&amp;DATE($B$1081,MonthFromText(A1089),$D$10))),1)=1))</f>
        <v>#NAME?</v>
      </c>
      <c r="N1089" s="441">
        <v>3</v>
      </c>
      <c r="O1089" s="4">
        <f t="shared" si="465"/>
        <v>147</v>
      </c>
      <c r="P1089" s="427">
        <f t="shared" si="466"/>
        <v>3528</v>
      </c>
      <c r="Q1089" s="365" t="e">
        <f t="shared" ref="Q1089:Q1098" ca="1" si="468">+(L1089*B1089)+(M1089*P1089)</f>
        <v>#NAME?</v>
      </c>
      <c r="R1089" s="427" t="e">
        <f t="shared" ca="1" si="467"/>
        <v>#NAME?</v>
      </c>
      <c r="S1089" s="470">
        <v>5</v>
      </c>
      <c r="T1089" s="470">
        <v>5</v>
      </c>
      <c r="AD1089" s="473"/>
      <c r="AE1089" s="474" t="s">
        <v>1244</v>
      </c>
      <c r="AF1089" s="4">
        <f>W1060</f>
        <v>54.755376344086017</v>
      </c>
      <c r="AG1089" s="4">
        <f>X1060</f>
        <v>17.019338610589831</v>
      </c>
      <c r="AH1089" s="4">
        <f>Y1060</f>
        <v>-3.3695345625341919</v>
      </c>
      <c r="AI1089" s="4">
        <f>Z1060</f>
        <v>29.467741935483868</v>
      </c>
      <c r="AJ1089" s="307"/>
    </row>
    <row r="1090" spans="1:36" ht="16.5" customHeight="1" x14ac:dyDescent="0.3">
      <c r="A1090" s="416" t="s">
        <v>12</v>
      </c>
      <c r="B1090" s="375" t="e">
        <f ca="1">+$F$10-M1090</f>
        <v>#NAME?</v>
      </c>
      <c r="C1090" s="441">
        <v>6</v>
      </c>
      <c r="D1090" s="441">
        <v>0</v>
      </c>
      <c r="E1090" s="441" t="s">
        <v>1095</v>
      </c>
      <c r="F1090" s="365">
        <f t="shared" si="459"/>
        <v>294</v>
      </c>
      <c r="G1090" s="365">
        <f t="shared" si="460"/>
        <v>0</v>
      </c>
      <c r="H1090" s="365" t="s">
        <v>1095</v>
      </c>
      <c r="I1090" s="365">
        <f t="shared" si="461"/>
        <v>5586</v>
      </c>
      <c r="J1090" s="365">
        <f t="shared" si="462"/>
        <v>0</v>
      </c>
      <c r="K1090" s="365" t="s">
        <v>1095</v>
      </c>
      <c r="L1090" s="427">
        <f t="shared" si="463"/>
        <v>5586</v>
      </c>
      <c r="M1090" s="375" t="e">
        <f ca="1">SUMPRODUCT(--(WEEKDAY(ROW(INDIRECT(DATE($B$1081,MonthFromText(A1090),1)&amp;":"&amp;DATE($B$1081,MonthFromText(A1090),$F$10))),1)=1))</f>
        <v>#NAME?</v>
      </c>
      <c r="N1090" s="441">
        <v>5</v>
      </c>
      <c r="O1090" s="4">
        <f t="shared" si="465"/>
        <v>245</v>
      </c>
      <c r="P1090" s="427">
        <f t="shared" si="466"/>
        <v>5880</v>
      </c>
      <c r="Q1090" s="365" t="e">
        <f t="shared" ca="1" si="468"/>
        <v>#NAME?</v>
      </c>
      <c r="R1090" s="427" t="e">
        <f t="shared" ca="1" si="467"/>
        <v>#NAME?</v>
      </c>
      <c r="S1090" s="470">
        <v>5</v>
      </c>
      <c r="T1090" s="470">
        <v>5</v>
      </c>
      <c r="AD1090" s="473" t="s">
        <v>1251</v>
      </c>
      <c r="AE1090" s="474" t="s">
        <v>7</v>
      </c>
      <c r="AJ1090" s="307"/>
    </row>
    <row r="1091" spans="1:36" ht="15.75" customHeight="1" x14ac:dyDescent="0.3">
      <c r="A1091" s="416" t="s">
        <v>13</v>
      </c>
      <c r="B1091" s="375" t="e">
        <f ca="1">+$G$10-M1091</f>
        <v>#NAME?</v>
      </c>
      <c r="C1091" s="441">
        <v>6</v>
      </c>
      <c r="D1091" s="441">
        <v>0</v>
      </c>
      <c r="E1091" s="441" t="s">
        <v>1095</v>
      </c>
      <c r="F1091" s="365">
        <f t="shared" si="459"/>
        <v>294</v>
      </c>
      <c r="G1091" s="365">
        <f t="shared" si="460"/>
        <v>0</v>
      </c>
      <c r="H1091" s="365" t="s">
        <v>1095</v>
      </c>
      <c r="I1091" s="365">
        <f t="shared" si="461"/>
        <v>5586</v>
      </c>
      <c r="J1091" s="365">
        <f t="shared" si="462"/>
        <v>0</v>
      </c>
      <c r="K1091" s="365" t="s">
        <v>1095</v>
      </c>
      <c r="L1091" s="427">
        <f t="shared" si="463"/>
        <v>5586</v>
      </c>
      <c r="M1091" s="375" t="e">
        <f ca="1">SUMPRODUCT(--(WEEKDAY(ROW(INDIRECT(DATE($B$1081,MonthFromText(A1091),1)&amp;":"&amp;DATE($B$1081,MonthFromText(A1091),$G$10))),1)=1))</f>
        <v>#NAME?</v>
      </c>
      <c r="N1091" s="441">
        <f t="shared" si="464"/>
        <v>6</v>
      </c>
      <c r="O1091" s="4">
        <f t="shared" si="465"/>
        <v>294</v>
      </c>
      <c r="P1091" s="427">
        <f t="shared" si="466"/>
        <v>7056</v>
      </c>
      <c r="Q1091" s="365" t="e">
        <f t="shared" ca="1" si="468"/>
        <v>#NAME?</v>
      </c>
      <c r="R1091" s="427" t="e">
        <f t="shared" ca="1" si="467"/>
        <v>#NAME?</v>
      </c>
      <c r="S1091" s="470">
        <v>5</v>
      </c>
      <c r="T1091" s="470">
        <v>5</v>
      </c>
      <c r="AD1091" s="473" t="s">
        <v>411</v>
      </c>
      <c r="AE1091" s="474" t="s">
        <v>1250</v>
      </c>
      <c r="AF1091" s="4">
        <f>V1061</f>
        <v>203.3154761904762</v>
      </c>
      <c r="AG1091" s="4">
        <f>X1061</f>
        <v>30.590097127100382</v>
      </c>
      <c r="AH1091" s="4">
        <f>Y1061</f>
        <v>0</v>
      </c>
      <c r="AI1091" s="4">
        <f>Z1061</f>
        <v>30.989583333333332</v>
      </c>
      <c r="AJ1091" s="307"/>
    </row>
    <row r="1092" spans="1:36" ht="15.75" customHeight="1" x14ac:dyDescent="0.3">
      <c r="A1092" s="416" t="s">
        <v>14</v>
      </c>
      <c r="B1092" s="375" t="e">
        <f ca="1">+$H$10-M1092</f>
        <v>#NAME?</v>
      </c>
      <c r="C1092" s="441">
        <v>3</v>
      </c>
      <c r="D1092" s="441">
        <v>0</v>
      </c>
      <c r="E1092" s="441">
        <v>0</v>
      </c>
      <c r="F1092" s="365">
        <f t="shared" si="459"/>
        <v>147</v>
      </c>
      <c r="G1092" s="365">
        <f t="shared" si="460"/>
        <v>0</v>
      </c>
      <c r="H1092" s="365" t="s">
        <v>1095</v>
      </c>
      <c r="I1092" s="365">
        <f t="shared" si="461"/>
        <v>2205</v>
      </c>
      <c r="J1092" s="365">
        <f t="shared" si="462"/>
        <v>0</v>
      </c>
      <c r="K1092" s="365" t="s">
        <v>1095</v>
      </c>
      <c r="L1092" s="427">
        <f t="shared" si="463"/>
        <v>2205</v>
      </c>
      <c r="M1092" s="375" t="e">
        <f ca="1">SUMPRODUCT(--(WEEKDAY(ROW(INDIRECT(DATE($B$1081,MonthFromText(A1092),1)&amp;":"&amp;DATE($B$1081,MonthFromText(A1092),$H$10))),1)=1))</f>
        <v>#NAME?</v>
      </c>
      <c r="N1092" s="441">
        <f t="shared" si="464"/>
        <v>3</v>
      </c>
      <c r="O1092" s="4">
        <f t="shared" si="465"/>
        <v>147</v>
      </c>
      <c r="P1092" s="427">
        <f t="shared" si="466"/>
        <v>3528</v>
      </c>
      <c r="Q1092" s="365" t="e">
        <f ca="1">+(L1092*B1092)+(M1092*P1092)</f>
        <v>#NAME?</v>
      </c>
      <c r="R1092" s="427" t="e">
        <f t="shared" ca="1" si="467"/>
        <v>#NAME?</v>
      </c>
      <c r="S1092" s="470">
        <v>9</v>
      </c>
      <c r="T1092" s="470">
        <v>9</v>
      </c>
      <c r="AD1092" s="473"/>
      <c r="AE1092" s="474" t="s">
        <v>1244</v>
      </c>
      <c r="AF1092" s="4">
        <f>W1061</f>
        <v>105.31547619047619</v>
      </c>
      <c r="AG1092" s="4">
        <f>X1061</f>
        <v>30.590097127100382</v>
      </c>
      <c r="AH1092" s="4">
        <f>Y1061</f>
        <v>0</v>
      </c>
      <c r="AI1092" s="4">
        <f>Z1061</f>
        <v>30.989583333333332</v>
      </c>
      <c r="AJ1092" s="307"/>
    </row>
    <row r="1093" spans="1:36" ht="15.75" customHeight="1" x14ac:dyDescent="0.3">
      <c r="A1093" s="416" t="s">
        <v>16</v>
      </c>
      <c r="B1093" s="375" t="e">
        <f ca="1">+$J$10-M1093</f>
        <v>#NAME?</v>
      </c>
      <c r="C1093" s="441">
        <v>3</v>
      </c>
      <c r="D1093" s="441">
        <v>0</v>
      </c>
      <c r="E1093" s="441">
        <v>0</v>
      </c>
      <c r="F1093" s="365">
        <f t="shared" si="459"/>
        <v>147</v>
      </c>
      <c r="G1093" s="365">
        <f t="shared" si="460"/>
        <v>0</v>
      </c>
      <c r="H1093" s="365" t="s">
        <v>1095</v>
      </c>
      <c r="I1093" s="365">
        <f t="shared" si="461"/>
        <v>2205</v>
      </c>
      <c r="J1093" s="365">
        <f t="shared" si="462"/>
        <v>0</v>
      </c>
      <c r="K1093" s="365" t="s">
        <v>1095</v>
      </c>
      <c r="L1093" s="427">
        <f t="shared" si="463"/>
        <v>2205</v>
      </c>
      <c r="M1093" s="375" t="e">
        <f ca="1">SUMPRODUCT(--(WEEKDAY(ROW(INDIRECT(DATE($B$1081,MonthFromText(A1093),1)&amp;":"&amp;DATE($B$1081,MonthFromText(A1093),$J$10))),1)=1))</f>
        <v>#NAME?</v>
      </c>
      <c r="N1093" s="441">
        <f t="shared" si="464"/>
        <v>3</v>
      </c>
      <c r="O1093" s="4">
        <f t="shared" si="465"/>
        <v>147</v>
      </c>
      <c r="P1093" s="427">
        <f t="shared" si="466"/>
        <v>3528</v>
      </c>
      <c r="Q1093" s="365" t="e">
        <f t="shared" ca="1" si="468"/>
        <v>#NAME?</v>
      </c>
      <c r="R1093" s="427" t="e">
        <f t="shared" ca="1" si="467"/>
        <v>#NAME?</v>
      </c>
      <c r="S1093" s="470">
        <v>9</v>
      </c>
      <c r="T1093" s="470">
        <v>9</v>
      </c>
      <c r="AD1093" s="473" t="s">
        <v>1251</v>
      </c>
      <c r="AE1093" s="474" t="s">
        <v>7</v>
      </c>
      <c r="AJ1093" s="307"/>
    </row>
    <row r="1094" spans="1:36" ht="15.75" customHeight="1" x14ac:dyDescent="0.3">
      <c r="A1094" s="416" t="s">
        <v>17</v>
      </c>
      <c r="B1094" s="375" t="e">
        <f ca="1">+$K$10-M1094</f>
        <v>#NAME?</v>
      </c>
      <c r="C1094" s="441">
        <v>3</v>
      </c>
      <c r="D1094" s="441">
        <v>0</v>
      </c>
      <c r="E1094" s="441">
        <v>0</v>
      </c>
      <c r="F1094" s="365">
        <f t="shared" si="459"/>
        <v>147</v>
      </c>
      <c r="G1094" s="365">
        <f t="shared" si="460"/>
        <v>0</v>
      </c>
      <c r="H1094" s="365" t="s">
        <v>1095</v>
      </c>
      <c r="I1094" s="365">
        <f t="shared" si="461"/>
        <v>2205</v>
      </c>
      <c r="J1094" s="365">
        <f t="shared" si="462"/>
        <v>0</v>
      </c>
      <c r="K1094" s="365" t="s">
        <v>1095</v>
      </c>
      <c r="L1094" s="427">
        <f t="shared" si="463"/>
        <v>2205</v>
      </c>
      <c r="M1094" s="375" t="e">
        <f ca="1">SUMPRODUCT(--(WEEKDAY(ROW(INDIRECT(DATE($B$1081,MonthFromText(A1094),1)&amp;":"&amp;DATE($B$1081,MonthFromText(A1094),$K$10))),1)=1))</f>
        <v>#NAME?</v>
      </c>
      <c r="N1094" s="441">
        <f t="shared" si="464"/>
        <v>3</v>
      </c>
      <c r="O1094" s="4">
        <f t="shared" si="465"/>
        <v>147</v>
      </c>
      <c r="P1094" s="427">
        <f t="shared" si="466"/>
        <v>3528</v>
      </c>
      <c r="Q1094" s="365" t="e">
        <f t="shared" ca="1" si="468"/>
        <v>#NAME?</v>
      </c>
      <c r="R1094" s="427" t="e">
        <f t="shared" ca="1" si="467"/>
        <v>#NAME?</v>
      </c>
      <c r="S1094" s="470">
        <v>9</v>
      </c>
      <c r="T1094" s="470">
        <v>9</v>
      </c>
      <c r="AD1094" s="473" t="s">
        <v>412</v>
      </c>
      <c r="AE1094" s="474" t="s">
        <v>1250</v>
      </c>
      <c r="AF1094" s="4">
        <f>V1062</f>
        <v>345.25940860215053</v>
      </c>
      <c r="AG1094" s="4">
        <f>X1062</f>
        <v>1.7692806852736116E-2</v>
      </c>
      <c r="AH1094" s="4">
        <f>Y1062</f>
        <v>-2.5450218686092554E-2</v>
      </c>
      <c r="AI1094" s="4">
        <f>Z1062</f>
        <v>40.774193548387096</v>
      </c>
      <c r="AJ1094" s="307"/>
    </row>
    <row r="1095" spans="1:36" ht="15.75" customHeight="1" x14ac:dyDescent="0.3">
      <c r="A1095" s="416" t="s">
        <v>18</v>
      </c>
      <c r="B1095" s="375" t="e">
        <f ca="1">+$L$10-M1095</f>
        <v>#NAME?</v>
      </c>
      <c r="C1095" s="441">
        <v>5</v>
      </c>
      <c r="D1095" s="441">
        <v>0</v>
      </c>
      <c r="E1095" s="441" t="s">
        <v>1095</v>
      </c>
      <c r="F1095" s="365">
        <f t="shared" si="459"/>
        <v>245</v>
      </c>
      <c r="G1095" s="365">
        <f t="shared" si="460"/>
        <v>0</v>
      </c>
      <c r="H1095" s="365" t="s">
        <v>1095</v>
      </c>
      <c r="I1095" s="365">
        <f t="shared" si="461"/>
        <v>4410</v>
      </c>
      <c r="J1095" s="365">
        <f t="shared" si="462"/>
        <v>0</v>
      </c>
      <c r="K1095" s="365" t="s">
        <v>1095</v>
      </c>
      <c r="L1095" s="427">
        <f t="shared" si="463"/>
        <v>4410</v>
      </c>
      <c r="M1095" s="375" t="e">
        <f ca="1">SUMPRODUCT(--(WEEKDAY(ROW(INDIRECT(DATE($B$1081,MonthFromText(A1095),1)&amp;":"&amp;DATE($B$1081,MonthFromText(A1095),$L$10))),1)=1))</f>
        <v>#NAME?</v>
      </c>
      <c r="N1095" s="441">
        <f t="shared" si="464"/>
        <v>5</v>
      </c>
      <c r="O1095" s="4">
        <f t="shared" si="465"/>
        <v>245</v>
      </c>
      <c r="P1095" s="427">
        <f t="shared" si="466"/>
        <v>5880</v>
      </c>
      <c r="Q1095" s="365" t="e">
        <f t="shared" ca="1" si="468"/>
        <v>#NAME?</v>
      </c>
      <c r="R1095" s="427" t="e">
        <f t="shared" ca="1" si="467"/>
        <v>#NAME?</v>
      </c>
      <c r="S1095" s="470">
        <v>6</v>
      </c>
      <c r="T1095" s="470">
        <v>4</v>
      </c>
      <c r="AD1095" s="473"/>
      <c r="AE1095" s="474" t="s">
        <v>1244</v>
      </c>
      <c r="AF1095" s="4">
        <f>W1062</f>
        <v>51.259408602150536</v>
      </c>
      <c r="AG1095" s="4">
        <f>X1062</f>
        <v>1.7692806852736116E-2</v>
      </c>
      <c r="AH1095" s="4">
        <f>Y1062</f>
        <v>-2.5450218686092554E-2</v>
      </c>
      <c r="AI1095" s="4">
        <f>Z1062</f>
        <v>40.774193548387096</v>
      </c>
      <c r="AJ1095" s="307"/>
    </row>
    <row r="1096" spans="1:36" ht="15.75" customHeight="1" x14ac:dyDescent="0.3">
      <c r="A1096" s="416" t="s">
        <v>20</v>
      </c>
      <c r="B1096" s="375" t="e">
        <f ca="1">+$N$10-M1096</f>
        <v>#NAME?</v>
      </c>
      <c r="C1096" s="441">
        <v>5</v>
      </c>
      <c r="D1096" s="441">
        <v>0</v>
      </c>
      <c r="E1096" s="441" t="s">
        <v>1095</v>
      </c>
      <c r="F1096" s="365">
        <f t="shared" si="459"/>
        <v>245</v>
      </c>
      <c r="G1096" s="365">
        <f t="shared" si="460"/>
        <v>0</v>
      </c>
      <c r="H1096" s="365" t="s">
        <v>1095</v>
      </c>
      <c r="I1096" s="365">
        <f t="shared" si="461"/>
        <v>4410</v>
      </c>
      <c r="J1096" s="365">
        <f t="shared" si="462"/>
        <v>0</v>
      </c>
      <c r="K1096" s="365" t="s">
        <v>1095</v>
      </c>
      <c r="L1096" s="427">
        <f t="shared" si="463"/>
        <v>4410</v>
      </c>
      <c r="M1096" s="375" t="e">
        <f ca="1">SUMPRODUCT(--(WEEKDAY(ROW(INDIRECT(DATE($B$1081,MonthFromText(A1096),1)&amp;":"&amp;DATE($B$1081,MonthFromText(A1096),$N$10))),1)=1))</f>
        <v>#NAME?</v>
      </c>
      <c r="N1096" s="441">
        <f t="shared" si="464"/>
        <v>5</v>
      </c>
      <c r="O1096" s="4">
        <f t="shared" si="465"/>
        <v>245</v>
      </c>
      <c r="P1096" s="427">
        <f t="shared" si="466"/>
        <v>5880</v>
      </c>
      <c r="Q1096" s="365" t="e">
        <f t="shared" ca="1" si="468"/>
        <v>#NAME?</v>
      </c>
      <c r="R1096" s="427" t="e">
        <f t="shared" ca="1" si="467"/>
        <v>#NAME?</v>
      </c>
      <c r="S1096" s="470">
        <v>6</v>
      </c>
      <c r="T1096" s="470">
        <v>4</v>
      </c>
      <c r="AD1096" s="473" t="s">
        <v>1251</v>
      </c>
      <c r="AE1096" s="474" t="s">
        <v>7</v>
      </c>
      <c r="AJ1096" s="307"/>
    </row>
    <row r="1097" spans="1:36" ht="15.75" customHeight="1" x14ac:dyDescent="0.3">
      <c r="A1097" s="416" t="s">
        <v>21</v>
      </c>
      <c r="B1097" s="375" t="e">
        <f ca="1">+$O$10-M1097</f>
        <v>#NAME?</v>
      </c>
      <c r="C1097" s="441">
        <v>5</v>
      </c>
      <c r="D1097" s="441">
        <v>0</v>
      </c>
      <c r="E1097" s="441" t="s">
        <v>1095</v>
      </c>
      <c r="F1097" s="365">
        <f t="shared" si="459"/>
        <v>245</v>
      </c>
      <c r="G1097" s="365">
        <f t="shared" si="460"/>
        <v>0</v>
      </c>
      <c r="H1097" s="365" t="s">
        <v>1095</v>
      </c>
      <c r="I1097" s="365">
        <f t="shared" si="461"/>
        <v>4410</v>
      </c>
      <c r="J1097" s="365">
        <f t="shared" si="462"/>
        <v>0</v>
      </c>
      <c r="K1097" s="365" t="s">
        <v>1095</v>
      </c>
      <c r="L1097" s="427">
        <f t="shared" si="463"/>
        <v>4410</v>
      </c>
      <c r="M1097" s="375" t="e">
        <f ca="1">SUMPRODUCT(--(WEEKDAY(ROW(INDIRECT(DATE($B$1081,MonthFromText(A1097),1)&amp;":"&amp;DATE($B$1081,MonthFromText(A1097),$O$10))),1)=1))</f>
        <v>#NAME?</v>
      </c>
      <c r="N1097" s="441">
        <v>3</v>
      </c>
      <c r="O1097" s="4">
        <f t="shared" si="465"/>
        <v>147</v>
      </c>
      <c r="P1097" s="427">
        <f t="shared" si="466"/>
        <v>3528</v>
      </c>
      <c r="Q1097" s="365" t="e">
        <f t="shared" ca="1" si="468"/>
        <v>#NAME?</v>
      </c>
      <c r="R1097" s="427" t="e">
        <f t="shared" ca="1" si="467"/>
        <v>#NAME?</v>
      </c>
      <c r="S1097" s="470">
        <v>6</v>
      </c>
      <c r="T1097" s="470">
        <v>4</v>
      </c>
      <c r="AD1097" s="473" t="s">
        <v>413</v>
      </c>
      <c r="AE1097" s="474" t="s">
        <v>1250</v>
      </c>
      <c r="AF1097" s="4">
        <f>V1063</f>
        <v>388.3</v>
      </c>
      <c r="AG1097" s="4">
        <f>X1063</f>
        <v>3.2946401930834512</v>
      </c>
      <c r="AH1097" s="4">
        <f>Y1063</f>
        <v>-2.8668393246598853</v>
      </c>
      <c r="AI1097" s="4">
        <f>Z1063</f>
        <v>64.19861111111112</v>
      </c>
      <c r="AJ1097" s="307"/>
    </row>
    <row r="1098" spans="1:36" ht="15.75" customHeight="1" thickBot="1" x14ac:dyDescent="0.35">
      <c r="A1098" s="416" t="s">
        <v>22</v>
      </c>
      <c r="B1098" s="382" t="e">
        <f ca="1">+$P$10-M1098</f>
        <v>#NAME?</v>
      </c>
      <c r="C1098" s="442">
        <v>5</v>
      </c>
      <c r="D1098" s="442">
        <v>0</v>
      </c>
      <c r="E1098" s="441" t="s">
        <v>1095</v>
      </c>
      <c r="F1098" s="365">
        <f t="shared" si="459"/>
        <v>245</v>
      </c>
      <c r="G1098" s="365">
        <f t="shared" si="460"/>
        <v>0</v>
      </c>
      <c r="H1098" s="365" t="s">
        <v>1095</v>
      </c>
      <c r="I1098" s="365">
        <f t="shared" si="461"/>
        <v>4410</v>
      </c>
      <c r="J1098" s="365">
        <f t="shared" si="462"/>
        <v>0</v>
      </c>
      <c r="K1098" s="365" t="s">
        <v>1095</v>
      </c>
      <c r="L1098" s="427">
        <f t="shared" si="463"/>
        <v>4410</v>
      </c>
      <c r="M1098" s="382" t="e">
        <f ca="1">SUMPRODUCT(--(WEEKDAY(ROW(INDIRECT(DATE($B$1081,MonthFromText(A1098),1)&amp;":"&amp;DATE($B$1081,MonthFromText(A1098),$P$10))),1)=1))</f>
        <v>#NAME?</v>
      </c>
      <c r="N1098" s="441">
        <v>3</v>
      </c>
      <c r="O1098" s="312">
        <f t="shared" si="465"/>
        <v>147</v>
      </c>
      <c r="P1098" s="429">
        <f t="shared" si="466"/>
        <v>3528</v>
      </c>
      <c r="Q1098" s="443" t="e">
        <f t="shared" ca="1" si="468"/>
        <v>#NAME?</v>
      </c>
      <c r="R1098" s="444" t="e">
        <f t="shared" ca="1" si="467"/>
        <v>#NAME?</v>
      </c>
      <c r="S1098" s="470">
        <v>6</v>
      </c>
      <c r="T1098" s="470">
        <v>4</v>
      </c>
      <c r="AD1098" s="473"/>
      <c r="AE1098" s="474" t="s">
        <v>1244</v>
      </c>
      <c r="AF1098" s="4">
        <f>W1063</f>
        <v>94.300000000000011</v>
      </c>
      <c r="AG1098" s="4">
        <f>X1063</f>
        <v>3.2946401930834512</v>
      </c>
      <c r="AH1098" s="4">
        <f>Y1063</f>
        <v>-2.8668393246598853</v>
      </c>
      <c r="AI1098" s="4">
        <f>Z1063</f>
        <v>64.19861111111112</v>
      </c>
      <c r="AJ1098" s="307"/>
    </row>
    <row r="1099" spans="1:36" ht="15.75" customHeight="1" thickBot="1" x14ac:dyDescent="0.35">
      <c r="A1099" s="311"/>
      <c r="B1099" s="312"/>
      <c r="C1099" s="312"/>
      <c r="D1099" s="312"/>
      <c r="E1099" s="445"/>
      <c r="F1099" s="445"/>
      <c r="G1099" s="445"/>
      <c r="H1099" s="445"/>
      <c r="I1099" s="445"/>
      <c r="J1099" s="445"/>
      <c r="K1099" s="445"/>
      <c r="L1099" s="445"/>
      <c r="M1099" s="312"/>
      <c r="N1099" s="312"/>
      <c r="O1099" s="312"/>
      <c r="P1099" s="312"/>
      <c r="Q1099" s="369" t="e">
        <f ca="1">+SUM(Q1087:Q1098)</f>
        <v>#NAME?</v>
      </c>
      <c r="R1099" s="429" t="e">
        <f ca="1">+Q1099-B993</f>
        <v>#NAME?</v>
      </c>
      <c r="AD1099" s="473" t="s">
        <v>1251</v>
      </c>
      <c r="AE1099" s="474" t="s">
        <v>7</v>
      </c>
      <c r="AJ1099" s="307"/>
    </row>
    <row r="1100" spans="1:36" ht="15.75" customHeight="1" x14ac:dyDescent="0.3">
      <c r="A1100" s="418" t="s">
        <v>1110</v>
      </c>
      <c r="J1100" s="365"/>
      <c r="AD1100" s="473" t="s">
        <v>414</v>
      </c>
      <c r="AE1100" s="474" t="s">
        <v>1250</v>
      </c>
      <c r="AF1100" s="4">
        <f>V1064</f>
        <v>388.375</v>
      </c>
      <c r="AG1100" s="4">
        <f>X1064</f>
        <v>5.3582672970802721</v>
      </c>
      <c r="AH1100" s="4">
        <f>Y1064</f>
        <v>-3.2435688501836188</v>
      </c>
      <c r="AI1100" s="4">
        <f>Z1064</f>
        <v>59.005376344086031</v>
      </c>
      <c r="AJ1100" s="307"/>
    </row>
    <row r="1101" spans="1:36" ht="15.75" customHeight="1" x14ac:dyDescent="0.3">
      <c r="A1101" s="418" t="s">
        <v>1111</v>
      </c>
      <c r="AD1101" s="473"/>
      <c r="AE1101" s="474" t="s">
        <v>1244</v>
      </c>
      <c r="AF1101" s="4">
        <f>W1064</f>
        <v>94.375</v>
      </c>
      <c r="AG1101" s="4">
        <f>X1064</f>
        <v>5.3582672970802721</v>
      </c>
      <c r="AH1101" s="4">
        <f>Y1064</f>
        <v>-3.2435688501836188</v>
      </c>
      <c r="AI1101" s="4">
        <f>Z1064</f>
        <v>59.005376344086031</v>
      </c>
      <c r="AJ1101" s="307"/>
    </row>
    <row r="1102" spans="1:36" ht="15.75" customHeight="1" x14ac:dyDescent="0.3">
      <c r="A1102" s="418" t="s">
        <v>1112</v>
      </c>
      <c r="AD1102" s="473" t="s">
        <v>1251</v>
      </c>
      <c r="AE1102" s="474" t="s">
        <v>7</v>
      </c>
      <c r="AJ1102" s="307"/>
    </row>
    <row r="1103" spans="1:36" ht="15.75" customHeight="1" x14ac:dyDescent="0.3">
      <c r="AD1103" s="473" t="s">
        <v>415</v>
      </c>
      <c r="AE1103" s="474" t="s">
        <v>1250</v>
      </c>
      <c r="AF1103" s="4">
        <f>V1065</f>
        <v>214.08750000000001</v>
      </c>
      <c r="AG1103" s="4">
        <f>X1065</f>
        <v>0.41885574181356272</v>
      </c>
      <c r="AH1103" s="4">
        <f>Y1065</f>
        <v>-16.361600459771445</v>
      </c>
      <c r="AI1103" s="4">
        <f>Z1065</f>
        <v>70.23333333333332</v>
      </c>
      <c r="AJ1103" s="307"/>
    </row>
    <row r="1104" spans="1:36" ht="15.75" customHeight="1" x14ac:dyDescent="0.3">
      <c r="A1104" s="4" t="s">
        <v>1252</v>
      </c>
      <c r="AD1104" s="473"/>
      <c r="AE1104" s="474" t="s">
        <v>1244</v>
      </c>
      <c r="AF1104" s="4">
        <f>W1065</f>
        <v>67.087500000000006</v>
      </c>
      <c r="AG1104" s="4">
        <f>X1065</f>
        <v>0.41885574181356272</v>
      </c>
      <c r="AH1104" s="4">
        <f>Y1065</f>
        <v>-16.361600459771445</v>
      </c>
      <c r="AI1104" s="4">
        <f>Z1065</f>
        <v>70.23333333333332</v>
      </c>
      <c r="AJ1104" s="307"/>
    </row>
    <row r="1105" spans="9:36" ht="15.75" customHeight="1" x14ac:dyDescent="0.3">
      <c r="AD1105" s="473" t="s">
        <v>1251</v>
      </c>
      <c r="AE1105" s="474" t="s">
        <v>7</v>
      </c>
      <c r="AJ1105" s="307"/>
    </row>
    <row r="1106" spans="9:36" ht="15.75" customHeight="1" x14ac:dyDescent="0.3">
      <c r="AD1106" s="473" t="s">
        <v>416</v>
      </c>
      <c r="AE1106" s="474" t="s">
        <v>1250</v>
      </c>
      <c r="AF1106" s="4">
        <f>V1066</f>
        <v>205.8736559139785</v>
      </c>
      <c r="AG1106" s="4">
        <f>X1066</f>
        <v>0</v>
      </c>
      <c r="AH1106" s="4">
        <f>Y1066</f>
        <v>-15.102501405862666</v>
      </c>
      <c r="AI1106" s="4">
        <f>Z1066</f>
        <v>71.868279569892479</v>
      </c>
      <c r="AJ1106" s="307"/>
    </row>
    <row r="1107" spans="9:36" ht="16.5" customHeight="1" x14ac:dyDescent="0.3">
      <c r="AD1107" s="473"/>
      <c r="AE1107" s="474" t="s">
        <v>1244</v>
      </c>
      <c r="AF1107" s="4">
        <f>W1066</f>
        <v>58.873655913978496</v>
      </c>
      <c r="AG1107" s="4">
        <f>X1066</f>
        <v>0</v>
      </c>
      <c r="AH1107" s="4">
        <f>Y1066</f>
        <v>-15.102501405862666</v>
      </c>
      <c r="AI1107" s="4">
        <f>Z1066</f>
        <v>71.868279569892479</v>
      </c>
      <c r="AJ1107" s="307"/>
    </row>
    <row r="1108" spans="9:36" ht="15.75" customHeight="1" x14ac:dyDescent="0.3">
      <c r="AD1108" s="473" t="s">
        <v>1251</v>
      </c>
      <c r="AE1108" s="474" t="s">
        <v>7</v>
      </c>
      <c r="AJ1108" s="307"/>
    </row>
    <row r="1109" spans="9:36" ht="16.5" customHeight="1" x14ac:dyDescent="0.3">
      <c r="AD1109" s="473" t="s">
        <v>417</v>
      </c>
      <c r="AE1109" s="474" t="s">
        <v>1250</v>
      </c>
      <c r="AF1109" s="4">
        <f>V1067</f>
        <v>209.75806451612902</v>
      </c>
      <c r="AG1109" s="4">
        <f>X1067</f>
        <v>6.6384182530642233E-3</v>
      </c>
      <c r="AH1109" s="4">
        <f>Y1067</f>
        <v>-10.153031990571767</v>
      </c>
      <c r="AI1109" s="4">
        <f>Z1067</f>
        <v>70.298387096774192</v>
      </c>
      <c r="AJ1109" s="307"/>
    </row>
    <row r="1110" spans="9:36" ht="15.75" customHeight="1" x14ac:dyDescent="0.3">
      <c r="AD1110" s="473"/>
      <c r="AE1110" s="474" t="s">
        <v>1244</v>
      </c>
      <c r="AF1110" s="4">
        <f>W1067</f>
        <v>62.758064516129039</v>
      </c>
      <c r="AG1110" s="4">
        <f>X1067</f>
        <v>6.6384182530642233E-3</v>
      </c>
      <c r="AH1110" s="4">
        <f>Y1067</f>
        <v>-10.153031990571767</v>
      </c>
      <c r="AI1110" s="4">
        <f>Z1067</f>
        <v>70.298387096774192</v>
      </c>
      <c r="AJ1110" s="307"/>
    </row>
    <row r="1111" spans="9:36" ht="15.75" customHeight="1" x14ac:dyDescent="0.3">
      <c r="AD1111" s="473" t="s">
        <v>1251</v>
      </c>
      <c r="AE1111" s="474" t="s">
        <v>7</v>
      </c>
      <c r="AJ1111" s="307"/>
    </row>
    <row r="1112" spans="9:36" ht="15.75" customHeight="1" x14ac:dyDescent="0.3">
      <c r="AD1112" s="473" t="s">
        <v>1253</v>
      </c>
      <c r="AE1112" s="474" t="s">
        <v>1250</v>
      </c>
      <c r="AF1112" s="4">
        <f>V1068</f>
        <v>347.20277777777778</v>
      </c>
      <c r="AG1112" s="4">
        <f>X1068</f>
        <v>7.4319947357487344</v>
      </c>
      <c r="AH1112" s="4">
        <f>Y1068</f>
        <v>0</v>
      </c>
      <c r="AI1112" s="4">
        <f>Z1068</f>
        <v>49.298611111111114</v>
      </c>
      <c r="AJ1112" s="307"/>
    </row>
    <row r="1113" spans="9:36" ht="15.75" customHeight="1" x14ac:dyDescent="0.3">
      <c r="AD1113" s="473"/>
      <c r="AE1113" s="474" t="s">
        <v>1244</v>
      </c>
      <c r="AF1113" s="4">
        <f>W1068</f>
        <v>102.20277777777778</v>
      </c>
      <c r="AG1113" s="4">
        <f>X1068</f>
        <v>7.4319947357487344</v>
      </c>
      <c r="AH1113" s="4">
        <f>Y1068</f>
        <v>0</v>
      </c>
      <c r="AI1113" s="4">
        <f>Z1068</f>
        <v>49.298611111111114</v>
      </c>
      <c r="AJ1113" s="307"/>
    </row>
    <row r="1114" spans="9:36" ht="15.75" customHeight="1" x14ac:dyDescent="0.3">
      <c r="I1114" s="365"/>
      <c r="J1114" s="365"/>
      <c r="AD1114" s="473" t="s">
        <v>1251</v>
      </c>
      <c r="AE1114" s="474" t="s">
        <v>7</v>
      </c>
      <c r="AJ1114" s="307"/>
    </row>
    <row r="1115" spans="9:36" ht="15.75" customHeight="1" x14ac:dyDescent="0.3">
      <c r="AD1115" s="473" t="s">
        <v>419</v>
      </c>
      <c r="AE1115" s="474" t="s">
        <v>1250</v>
      </c>
      <c r="AF1115" s="4">
        <f>V1069</f>
        <v>337.48252688172045</v>
      </c>
      <c r="AG1115" s="4">
        <f>X1069</f>
        <v>9.0044461466656003</v>
      </c>
      <c r="AH1115" s="4">
        <f>Y1069</f>
        <v>0</v>
      </c>
      <c r="AI1115" s="4">
        <f>Z1069</f>
        <v>40.767473118279568</v>
      </c>
      <c r="AJ1115" s="307"/>
    </row>
    <row r="1116" spans="9:36" ht="15.75" customHeight="1" x14ac:dyDescent="0.3">
      <c r="AD1116" s="473"/>
      <c r="AE1116" s="474" t="s">
        <v>1244</v>
      </c>
      <c r="AF1116" s="4">
        <f>W1069</f>
        <v>92.482526881720432</v>
      </c>
      <c r="AG1116" s="4">
        <f>X1069</f>
        <v>9.0044461466656003</v>
      </c>
      <c r="AH1116" s="4">
        <f>Y1069</f>
        <v>0</v>
      </c>
      <c r="AI1116" s="4">
        <f>Z1069</f>
        <v>40.767473118279568</v>
      </c>
      <c r="AJ1116" s="307"/>
    </row>
    <row r="1117" spans="9:36" ht="15.75" customHeight="1" x14ac:dyDescent="0.3">
      <c r="AD1117" s="473" t="s">
        <v>1251</v>
      </c>
      <c r="AE1117" s="474" t="s">
        <v>7</v>
      </c>
      <c r="AJ1117" s="307"/>
    </row>
    <row r="1118" spans="9:36" ht="15.75" customHeight="1" x14ac:dyDescent="0.3">
      <c r="AD1118" s="473" t="s">
        <v>420</v>
      </c>
      <c r="AE1118" s="474" t="s">
        <v>1250</v>
      </c>
      <c r="AF1118" s="4">
        <f>V1070</f>
        <v>323.88472222222219</v>
      </c>
      <c r="AG1118" s="4">
        <f>X1070</f>
        <v>24.777860476090741</v>
      </c>
      <c r="AH1118" s="4">
        <f>Y1070</f>
        <v>-0.26081102218488522</v>
      </c>
      <c r="AI1118" s="4">
        <f>Z1070</f>
        <v>5.2722222222222221</v>
      </c>
      <c r="AJ1118" s="307"/>
    </row>
    <row r="1119" spans="9:36" ht="15.75" customHeight="1" x14ac:dyDescent="0.3">
      <c r="AD1119" s="473"/>
      <c r="AE1119" s="474" t="s">
        <v>1244</v>
      </c>
      <c r="AF1119" s="4">
        <f>W1070</f>
        <v>78.884722222222223</v>
      </c>
      <c r="AG1119" s="4">
        <f>X1070</f>
        <v>24.777860476090741</v>
      </c>
      <c r="AH1119" s="4">
        <f>Y1070</f>
        <v>-0.26081102218488522</v>
      </c>
      <c r="AI1119" s="4">
        <f>Z1070</f>
        <v>5.2722222222222221</v>
      </c>
      <c r="AJ1119" s="307"/>
    </row>
    <row r="1120" spans="9:36" ht="15.75" customHeight="1" x14ac:dyDescent="0.3">
      <c r="AD1120" s="473" t="s">
        <v>1251</v>
      </c>
      <c r="AE1120" s="474" t="s">
        <v>7</v>
      </c>
      <c r="AJ1120" s="307"/>
    </row>
    <row r="1121" spans="1:36" ht="15.75" customHeight="1" thickBot="1" x14ac:dyDescent="0.35">
      <c r="AD1121" s="473" t="s">
        <v>421</v>
      </c>
      <c r="AE1121" s="474" t="s">
        <v>1250</v>
      </c>
      <c r="AF1121" s="4">
        <f>V1071</f>
        <v>290.45833333333331</v>
      </c>
      <c r="AG1121" s="4">
        <f>X1071</f>
        <v>6.2183722766740912</v>
      </c>
      <c r="AH1121" s="4">
        <f>Y1071</f>
        <v>0</v>
      </c>
      <c r="AI1121" s="4">
        <f>Z1071</f>
        <v>14.981182795698924</v>
      </c>
      <c r="AJ1121" s="307"/>
    </row>
    <row r="1122" spans="1:36" ht="15.75" customHeight="1" x14ac:dyDescent="0.35">
      <c r="A1122" s="318"/>
      <c r="B1122" s="319"/>
      <c r="C1122" s="336"/>
      <c r="D1122" s="336"/>
      <c r="E1122" s="336"/>
      <c r="F1122" s="336"/>
      <c r="G1122" s="336"/>
      <c r="H1122" s="321" t="s">
        <v>506</v>
      </c>
      <c r="I1122" s="319"/>
      <c r="J1122" s="319"/>
      <c r="K1122" s="319"/>
      <c r="L1122" s="319"/>
      <c r="M1122" s="319"/>
      <c r="N1122" s="319"/>
      <c r="O1122" s="319"/>
      <c r="P1122" s="319"/>
      <c r="Q1122" s="361" t="str">
        <f>+Q1</f>
        <v xml:space="preserve">PRINTED:  </v>
      </c>
      <c r="R1122" s="367">
        <f ca="1">+R1</f>
        <v>44909.46975358796</v>
      </c>
      <c r="S1122" s="332"/>
      <c r="AD1122" s="473"/>
      <c r="AE1122" s="474" t="s">
        <v>1244</v>
      </c>
      <c r="AF1122" s="4">
        <f>W1071</f>
        <v>45.458333333333336</v>
      </c>
      <c r="AG1122" s="4">
        <f>X1071</f>
        <v>6.2183722766740912</v>
      </c>
      <c r="AH1122" s="4">
        <f>Y1071</f>
        <v>0</v>
      </c>
      <c r="AI1122" s="4">
        <f>Z1071</f>
        <v>14.981182795698924</v>
      </c>
      <c r="AJ1122" s="307"/>
    </row>
    <row r="1123" spans="1:36" ht="15.75" customHeight="1" thickBot="1" x14ac:dyDescent="0.4">
      <c r="A1123" s="323"/>
      <c r="B1123" s="159"/>
      <c r="C1123" s="167"/>
      <c r="D1123" s="167"/>
      <c r="E1123" s="167"/>
      <c r="F1123" s="167"/>
      <c r="G1123" s="167"/>
      <c r="H1123" s="159" t="s">
        <v>424</v>
      </c>
      <c r="I1123" s="159" t="s">
        <v>7</v>
      </c>
      <c r="J1123" s="163" t="str">
        <f>+A8</f>
        <v>Revised:  11/4/2019</v>
      </c>
      <c r="K1123" s="159"/>
      <c r="L1123" s="159"/>
      <c r="M1123" s="159"/>
      <c r="N1123" s="159"/>
      <c r="O1123" s="159"/>
      <c r="P1123" s="159"/>
      <c r="Q1123" s="159"/>
      <c r="R1123" s="159"/>
      <c r="S1123" s="307"/>
      <c r="AD1123" s="475" t="s">
        <v>1251</v>
      </c>
      <c r="AE1123" s="476" t="s">
        <v>7</v>
      </c>
      <c r="AF1123" s="312"/>
      <c r="AG1123" s="312"/>
      <c r="AH1123" s="312"/>
      <c r="AI1123" s="312"/>
      <c r="AJ1123" s="313"/>
    </row>
    <row r="1124" spans="1:36" ht="15.75" customHeight="1" x14ac:dyDescent="0.35">
      <c r="A1124" s="323"/>
      <c r="B1124" s="159"/>
      <c r="C1124" s="167"/>
      <c r="D1124" s="167"/>
      <c r="E1124" s="167"/>
      <c r="F1124" s="167"/>
      <c r="G1124" s="167"/>
      <c r="H1124" s="159" t="s">
        <v>387</v>
      </c>
      <c r="I1124" s="159"/>
      <c r="J1124" s="159"/>
      <c r="K1124" s="159"/>
      <c r="L1124" s="159"/>
      <c r="M1124" s="159"/>
      <c r="N1124" s="159"/>
      <c r="O1124" s="159"/>
      <c r="P1124" s="159"/>
      <c r="Q1124" s="159"/>
      <c r="R1124" s="159"/>
      <c r="S1124" s="307"/>
    </row>
    <row r="1125" spans="1:36" ht="15.75" customHeight="1" x14ac:dyDescent="0.35">
      <c r="A1125" s="323"/>
      <c r="B1125" s="159"/>
      <c r="C1125" s="167"/>
      <c r="D1125" s="167"/>
      <c r="E1125" s="167"/>
      <c r="F1125" s="167"/>
      <c r="G1125" s="167"/>
      <c r="H1125" s="159"/>
      <c r="I1125" s="159"/>
      <c r="J1125" s="159"/>
      <c r="K1125" s="159"/>
      <c r="L1125" s="159"/>
      <c r="M1125" s="159"/>
      <c r="N1125" s="159"/>
      <c r="O1125" s="159"/>
      <c r="P1125" s="159"/>
      <c r="Q1125" s="159"/>
      <c r="R1125" s="159"/>
      <c r="S1125" s="307"/>
    </row>
    <row r="1126" spans="1:36" ht="15.75" customHeight="1" x14ac:dyDescent="0.35">
      <c r="A1126" s="323"/>
      <c r="B1126" s="159"/>
      <c r="C1126" s="167"/>
      <c r="D1126" s="167"/>
      <c r="E1126" s="167"/>
      <c r="F1126" s="167"/>
      <c r="G1126" s="167"/>
      <c r="H1126" s="159" t="s">
        <v>424</v>
      </c>
      <c r="I1126" s="446">
        <f>+A5</f>
        <v>2019</v>
      </c>
      <c r="J1126" s="159"/>
      <c r="K1126" s="159"/>
      <c r="L1126" s="159"/>
      <c r="M1126" s="159"/>
      <c r="N1126" s="159"/>
      <c r="O1126" s="159"/>
      <c r="P1126" s="159"/>
      <c r="Q1126" s="159"/>
      <c r="R1126" s="159"/>
      <c r="S1126" s="307"/>
    </row>
    <row r="1127" spans="1:36" ht="15.75" customHeight="1" x14ac:dyDescent="0.3">
      <c r="A1127" s="323"/>
      <c r="B1127" s="159"/>
      <c r="C1127" s="159"/>
      <c r="D1127" s="159"/>
      <c r="E1127" s="159"/>
      <c r="F1127" s="159"/>
      <c r="G1127" s="159"/>
      <c r="H1127" s="159"/>
      <c r="I1127" s="159"/>
      <c r="J1127" s="159"/>
      <c r="K1127" s="159"/>
      <c r="L1127" s="159"/>
      <c r="M1127" s="159"/>
      <c r="N1127" s="159"/>
      <c r="O1127" s="159"/>
      <c r="P1127" s="159"/>
      <c r="Q1127" s="159"/>
      <c r="R1127" s="159"/>
      <c r="S1127" s="307"/>
    </row>
    <row r="1128" spans="1:36" ht="15.75" customHeight="1" x14ac:dyDescent="0.3">
      <c r="A1128" s="323"/>
      <c r="B1128" s="159"/>
      <c r="C1128" s="161" t="s">
        <v>507</v>
      </c>
      <c r="D1128" s="159"/>
      <c r="E1128" s="159"/>
      <c r="F1128" s="159"/>
      <c r="G1128" s="161" t="s">
        <v>508</v>
      </c>
      <c r="H1128" s="159"/>
      <c r="I1128" s="159"/>
      <c r="J1128" s="159"/>
      <c r="K1128" s="160" t="s">
        <v>509</v>
      </c>
      <c r="L1128" s="159"/>
      <c r="M1128" s="159"/>
      <c r="N1128" s="159"/>
      <c r="O1128" s="160" t="s">
        <v>510</v>
      </c>
      <c r="P1128" s="159"/>
      <c r="Q1128" s="159"/>
      <c r="R1128" s="159"/>
      <c r="S1128" s="307"/>
    </row>
    <row r="1129" spans="1:36" ht="15.75" customHeight="1" x14ac:dyDescent="0.3">
      <c r="A1129" s="323"/>
      <c r="B1129" s="159"/>
      <c r="C1129" s="159">
        <f>+A5</f>
        <v>2019</v>
      </c>
      <c r="D1129" s="159"/>
      <c r="E1129" s="159"/>
      <c r="F1129" s="159" t="s">
        <v>511</v>
      </c>
      <c r="G1129" s="159"/>
      <c r="H1129" s="159"/>
      <c r="I1129" s="159"/>
      <c r="J1129" s="159"/>
      <c r="K1129" s="159">
        <f>+A5</f>
        <v>2019</v>
      </c>
      <c r="L1129" s="159"/>
      <c r="M1129" s="159"/>
      <c r="N1129" s="159"/>
      <c r="O1129" s="159">
        <f>+A5</f>
        <v>2019</v>
      </c>
      <c r="P1129" s="159"/>
      <c r="Q1129" s="159"/>
      <c r="R1129" s="159"/>
      <c r="S1129" s="307"/>
    </row>
    <row r="1130" spans="1:36" ht="15.75" customHeight="1" x14ac:dyDescent="0.3">
      <c r="A1130" s="323"/>
      <c r="B1130" s="159"/>
      <c r="C1130" s="159"/>
      <c r="D1130" s="159"/>
      <c r="E1130" s="159"/>
      <c r="F1130" s="159"/>
      <c r="G1130" s="159">
        <f>+A5</f>
        <v>2019</v>
      </c>
      <c r="H1130" s="159"/>
      <c r="I1130" s="159"/>
      <c r="J1130" s="159"/>
      <c r="K1130" s="159"/>
      <c r="L1130" s="159"/>
      <c r="M1130" s="159"/>
      <c r="N1130" s="159"/>
      <c r="O1130" s="159"/>
      <c r="P1130" s="159"/>
      <c r="Q1130" s="159"/>
      <c r="R1130" s="159"/>
      <c r="S1130" s="307"/>
    </row>
    <row r="1131" spans="1:36" ht="15.75" customHeight="1" x14ac:dyDescent="0.3">
      <c r="A1131" s="323"/>
      <c r="B1131" s="159"/>
      <c r="C1131" s="164" t="s">
        <v>475</v>
      </c>
      <c r="D1131" s="164" t="s">
        <v>512</v>
      </c>
      <c r="E1131" s="164" t="s">
        <v>513</v>
      </c>
      <c r="F1131" s="159"/>
      <c r="G1131" s="164" t="s">
        <v>473</v>
      </c>
      <c r="H1131" s="164" t="s">
        <v>512</v>
      </c>
      <c r="I1131" s="164" t="s">
        <v>514</v>
      </c>
      <c r="J1131" s="159"/>
      <c r="K1131" s="164" t="s">
        <v>472</v>
      </c>
      <c r="L1131" s="164" t="s">
        <v>512</v>
      </c>
      <c r="M1131" s="164" t="s">
        <v>515</v>
      </c>
      <c r="N1131" s="159"/>
      <c r="O1131" s="164" t="s">
        <v>472</v>
      </c>
      <c r="P1131" s="164" t="s">
        <v>512</v>
      </c>
      <c r="Q1131" s="164" t="s">
        <v>515</v>
      </c>
      <c r="R1131" s="159"/>
      <c r="S1131" s="307"/>
    </row>
    <row r="1132" spans="1:36" ht="15.75" customHeight="1" x14ac:dyDescent="0.3">
      <c r="A1132" s="323"/>
      <c r="B1132" s="159"/>
      <c r="C1132" s="164" t="s">
        <v>483</v>
      </c>
      <c r="D1132" s="164" t="s">
        <v>442</v>
      </c>
      <c r="E1132" s="164" t="s">
        <v>462</v>
      </c>
      <c r="F1132" s="159"/>
      <c r="G1132" s="164" t="s">
        <v>481</v>
      </c>
      <c r="H1132" s="164" t="s">
        <v>442</v>
      </c>
      <c r="I1132" s="164" t="s">
        <v>462</v>
      </c>
      <c r="J1132" s="159"/>
      <c r="K1132" s="164" t="s">
        <v>480</v>
      </c>
      <c r="L1132" s="164" t="s">
        <v>442</v>
      </c>
      <c r="M1132" s="164" t="s">
        <v>462</v>
      </c>
      <c r="N1132" s="159"/>
      <c r="O1132" s="164" t="s">
        <v>480</v>
      </c>
      <c r="P1132" s="164" t="s">
        <v>442</v>
      </c>
      <c r="Q1132" s="164" t="s">
        <v>462</v>
      </c>
      <c r="R1132" s="159"/>
      <c r="S1132" s="307"/>
    </row>
    <row r="1133" spans="1:36" ht="15.75" customHeight="1" x14ac:dyDescent="0.3">
      <c r="A1133" s="323"/>
      <c r="B1133" s="159"/>
      <c r="C1133" s="164" t="s">
        <v>442</v>
      </c>
      <c r="D1133" s="164" t="s">
        <v>439</v>
      </c>
      <c r="E1133" s="164" t="s">
        <v>463</v>
      </c>
      <c r="F1133" s="159"/>
      <c r="G1133" s="164" t="s">
        <v>486</v>
      </c>
      <c r="H1133" s="164" t="s">
        <v>439</v>
      </c>
      <c r="I1133" s="164" t="s">
        <v>463</v>
      </c>
      <c r="J1133" s="159"/>
      <c r="K1133" s="164" t="s">
        <v>442</v>
      </c>
      <c r="L1133" s="164" t="s">
        <v>439</v>
      </c>
      <c r="M1133" s="164" t="s">
        <v>463</v>
      </c>
      <c r="N1133" s="159"/>
      <c r="O1133" s="164" t="s">
        <v>442</v>
      </c>
      <c r="P1133" s="164" t="s">
        <v>439</v>
      </c>
      <c r="Q1133" s="164" t="s">
        <v>463</v>
      </c>
      <c r="R1133" s="159"/>
      <c r="S1133" s="307"/>
    </row>
    <row r="1134" spans="1:36" ht="15.75" customHeight="1" x14ac:dyDescent="0.3">
      <c r="A1134" s="323"/>
      <c r="B1134" s="159"/>
      <c r="C1134" s="164" t="s">
        <v>448</v>
      </c>
      <c r="D1134" s="164" t="s">
        <v>516</v>
      </c>
      <c r="E1134" s="164" t="s">
        <v>464</v>
      </c>
      <c r="F1134" s="159"/>
      <c r="G1134" s="164" t="s">
        <v>448</v>
      </c>
      <c r="H1134" s="164" t="s">
        <v>516</v>
      </c>
      <c r="I1134" s="164" t="s">
        <v>464</v>
      </c>
      <c r="J1134" s="159"/>
      <c r="K1134" s="164" t="s">
        <v>448</v>
      </c>
      <c r="L1134" s="164" t="s">
        <v>516</v>
      </c>
      <c r="M1134" s="164" t="s">
        <v>464</v>
      </c>
      <c r="N1134" s="159"/>
      <c r="O1134" s="164" t="s">
        <v>448</v>
      </c>
      <c r="P1134" s="164" t="s">
        <v>516</v>
      </c>
      <c r="Q1134" s="164" t="s">
        <v>464</v>
      </c>
      <c r="R1134" s="159"/>
      <c r="S1134" s="307"/>
    </row>
    <row r="1135" spans="1:36" ht="15.75" customHeight="1" x14ac:dyDescent="0.3">
      <c r="A1135" s="323"/>
      <c r="B1135" s="159"/>
      <c r="C1135" s="159" t="s">
        <v>409</v>
      </c>
      <c r="D1135" s="159" t="s">
        <v>409</v>
      </c>
      <c r="E1135" s="159" t="s">
        <v>409</v>
      </c>
      <c r="F1135" s="159"/>
      <c r="G1135" s="164" t="s">
        <v>409</v>
      </c>
      <c r="H1135" s="164" t="s">
        <v>409</v>
      </c>
      <c r="I1135" s="164" t="s">
        <v>409</v>
      </c>
      <c r="J1135" s="159"/>
      <c r="K1135" s="159" t="s">
        <v>409</v>
      </c>
      <c r="L1135" s="159" t="s">
        <v>409</v>
      </c>
      <c r="M1135" s="159" t="s">
        <v>409</v>
      </c>
      <c r="N1135" s="159"/>
      <c r="O1135" s="159" t="s">
        <v>409</v>
      </c>
      <c r="P1135" s="159" t="s">
        <v>409</v>
      </c>
      <c r="Q1135" s="159" t="s">
        <v>409</v>
      </c>
      <c r="R1135" s="159"/>
      <c r="S1135" s="307"/>
    </row>
    <row r="1136" spans="1:36" ht="15.75" customHeight="1" x14ac:dyDescent="0.3">
      <c r="A1136" s="325" t="s">
        <v>410</v>
      </c>
      <c r="B1136" s="159"/>
      <c r="C1136" s="159">
        <f t="shared" ref="C1136:C1147" si="469">(P1008)</f>
        <v>0.2</v>
      </c>
      <c r="D1136" s="172">
        <v>0</v>
      </c>
      <c r="E1136" s="168">
        <f t="shared" ref="E1136:E1147" si="470">(P1008*D1136/1000)</f>
        <v>0</v>
      </c>
      <c r="F1136" s="159"/>
      <c r="G1136" s="159">
        <v>0</v>
      </c>
      <c r="H1136" s="172">
        <v>0</v>
      </c>
      <c r="I1136" s="168">
        <f t="shared" ref="I1136:I1147" si="471">(G1136*H1136/1000)</f>
        <v>0</v>
      </c>
      <c r="J1136" s="159"/>
      <c r="K1136" s="447">
        <v>11848</v>
      </c>
      <c r="L1136" s="448">
        <v>0</v>
      </c>
      <c r="M1136" s="168">
        <f t="shared" ref="M1136:M1147" si="472">(K1136*L1136/1000)</f>
        <v>0</v>
      </c>
      <c r="N1136" s="159"/>
      <c r="O1136" s="447">
        <v>0</v>
      </c>
      <c r="P1136" s="172">
        <v>0</v>
      </c>
      <c r="Q1136" s="168">
        <f t="shared" ref="Q1136:Q1147" si="473">(O1136*P1136/1000)</f>
        <v>0</v>
      </c>
      <c r="R1136" s="159"/>
      <c r="S1136" s="307"/>
    </row>
    <row r="1137" spans="1:19" ht="15.75" customHeight="1" x14ac:dyDescent="0.3">
      <c r="A1137" s="325" t="s">
        <v>411</v>
      </c>
      <c r="B1137" s="159"/>
      <c r="C1137" s="159">
        <f t="shared" si="469"/>
        <v>0.25</v>
      </c>
      <c r="D1137" s="172">
        <v>0</v>
      </c>
      <c r="E1137" s="168">
        <f t="shared" si="470"/>
        <v>0</v>
      </c>
      <c r="F1137" s="159"/>
      <c r="G1137" s="159" t="e">
        <f>#REF!</f>
        <v>#REF!</v>
      </c>
      <c r="H1137" s="172">
        <v>0</v>
      </c>
      <c r="I1137" s="168" t="e">
        <f t="shared" si="471"/>
        <v>#REF!</v>
      </c>
      <c r="J1137" s="159"/>
      <c r="K1137" s="447">
        <v>11489</v>
      </c>
      <c r="L1137" s="448">
        <v>0</v>
      </c>
      <c r="M1137" s="168">
        <f t="shared" si="472"/>
        <v>0</v>
      </c>
      <c r="N1137" s="159"/>
      <c r="O1137" s="447">
        <v>0</v>
      </c>
      <c r="P1137" s="172">
        <v>0</v>
      </c>
      <c r="Q1137" s="168">
        <f t="shared" si="473"/>
        <v>0</v>
      </c>
      <c r="R1137" s="159"/>
      <c r="S1137" s="307"/>
    </row>
    <row r="1138" spans="1:19" ht="15.75" customHeight="1" x14ac:dyDescent="0.3">
      <c r="A1138" s="325" t="s">
        <v>412</v>
      </c>
      <c r="B1138" s="159"/>
      <c r="C1138" s="159">
        <f t="shared" si="469"/>
        <v>0.3</v>
      </c>
      <c r="D1138" s="172">
        <v>0</v>
      </c>
      <c r="E1138" s="168">
        <f t="shared" si="470"/>
        <v>0</v>
      </c>
      <c r="F1138" s="159">
        <f>SUM(E1136:E1138)</f>
        <v>0</v>
      </c>
      <c r="G1138" s="159" t="e">
        <f>#REF!</f>
        <v>#REF!</v>
      </c>
      <c r="H1138" s="172">
        <v>0</v>
      </c>
      <c r="I1138" s="168" t="e">
        <f t="shared" si="471"/>
        <v>#REF!</v>
      </c>
      <c r="J1138" s="159" t="e">
        <f>SUM(I1136:I1138)</f>
        <v>#REF!</v>
      </c>
      <c r="K1138" s="447">
        <v>16247</v>
      </c>
      <c r="L1138" s="448">
        <v>0</v>
      </c>
      <c r="M1138" s="168">
        <f t="shared" si="472"/>
        <v>0</v>
      </c>
      <c r="N1138" s="159">
        <f>SUM(M1136:M1138)</f>
        <v>0</v>
      </c>
      <c r="O1138" s="447">
        <v>0</v>
      </c>
      <c r="P1138" s="172">
        <v>0</v>
      </c>
      <c r="Q1138" s="168">
        <f t="shared" si="473"/>
        <v>0</v>
      </c>
      <c r="R1138" s="159">
        <f>SUM(Q1136:Q1138)</f>
        <v>0</v>
      </c>
      <c r="S1138" s="307"/>
    </row>
    <row r="1139" spans="1:19" ht="15.75" customHeight="1" x14ac:dyDescent="0.3">
      <c r="A1139" s="325" t="s">
        <v>413</v>
      </c>
      <c r="B1139" s="159"/>
      <c r="C1139" s="159">
        <f t="shared" si="469"/>
        <v>0.35</v>
      </c>
      <c r="D1139" s="172">
        <v>0</v>
      </c>
      <c r="E1139" s="168">
        <f t="shared" si="470"/>
        <v>0</v>
      </c>
      <c r="F1139" s="159"/>
      <c r="G1139" s="159" t="e">
        <f>#REF!</f>
        <v>#REF!</v>
      </c>
      <c r="H1139" s="172">
        <v>0</v>
      </c>
      <c r="I1139" s="168" t="e">
        <f t="shared" si="471"/>
        <v>#REF!</v>
      </c>
      <c r="J1139" s="159"/>
      <c r="K1139" s="447">
        <v>17740</v>
      </c>
      <c r="L1139" s="448">
        <v>0</v>
      </c>
      <c r="M1139" s="168">
        <f t="shared" si="472"/>
        <v>0</v>
      </c>
      <c r="N1139" s="159"/>
      <c r="O1139" s="447">
        <v>0</v>
      </c>
      <c r="P1139" s="172">
        <v>0</v>
      </c>
      <c r="Q1139" s="168">
        <f t="shared" si="473"/>
        <v>0</v>
      </c>
      <c r="R1139" s="159"/>
      <c r="S1139" s="307"/>
    </row>
    <row r="1140" spans="1:19" ht="15.75" customHeight="1" x14ac:dyDescent="0.3">
      <c r="A1140" s="325" t="s">
        <v>414</v>
      </c>
      <c r="B1140" s="159"/>
      <c r="C1140" s="159">
        <f t="shared" si="469"/>
        <v>0.35</v>
      </c>
      <c r="D1140" s="172">
        <v>0</v>
      </c>
      <c r="E1140" s="168">
        <f t="shared" si="470"/>
        <v>0</v>
      </c>
      <c r="F1140" s="159"/>
      <c r="G1140" s="159" t="e">
        <f>#REF!</f>
        <v>#REF!</v>
      </c>
      <c r="H1140" s="172">
        <v>0</v>
      </c>
      <c r="I1140" s="168" t="e">
        <f t="shared" si="471"/>
        <v>#REF!</v>
      </c>
      <c r="J1140" s="159"/>
      <c r="K1140" s="447">
        <v>15434</v>
      </c>
      <c r="L1140" s="448">
        <v>0</v>
      </c>
      <c r="M1140" s="168">
        <f t="shared" si="472"/>
        <v>0</v>
      </c>
      <c r="N1140" s="159"/>
      <c r="O1140" s="447">
        <v>0</v>
      </c>
      <c r="P1140" s="172">
        <v>0</v>
      </c>
      <c r="Q1140" s="168">
        <f t="shared" si="473"/>
        <v>0</v>
      </c>
      <c r="R1140" s="159"/>
      <c r="S1140" s="307"/>
    </row>
    <row r="1141" spans="1:19" ht="15.75" customHeight="1" x14ac:dyDescent="0.3">
      <c r="A1141" s="325" t="s">
        <v>415</v>
      </c>
      <c r="B1141" s="159"/>
      <c r="C1141" s="159">
        <f t="shared" si="469"/>
        <v>7.4999999999999997E-2</v>
      </c>
      <c r="D1141" s="172">
        <v>0</v>
      </c>
      <c r="E1141" s="168">
        <f t="shared" si="470"/>
        <v>0</v>
      </c>
      <c r="F1141" s="159">
        <f>SUM(E1139:E1141)</f>
        <v>0</v>
      </c>
      <c r="G1141" s="159" t="e">
        <f>#REF!</f>
        <v>#REF!</v>
      </c>
      <c r="H1141" s="172">
        <v>0</v>
      </c>
      <c r="I1141" s="168" t="e">
        <f t="shared" si="471"/>
        <v>#REF!</v>
      </c>
      <c r="J1141" s="159" t="e">
        <f>SUM(I1139:I1141)</f>
        <v>#REF!</v>
      </c>
      <c r="K1141" s="447">
        <v>14355</v>
      </c>
      <c r="L1141" s="448">
        <v>0</v>
      </c>
      <c r="M1141" s="168">
        <f t="shared" si="472"/>
        <v>0</v>
      </c>
      <c r="N1141" s="159">
        <f>SUM(M1139:M1141)</f>
        <v>0</v>
      </c>
      <c r="O1141" s="447">
        <v>0</v>
      </c>
      <c r="P1141" s="172">
        <v>0</v>
      </c>
      <c r="Q1141" s="168">
        <f t="shared" si="473"/>
        <v>0</v>
      </c>
      <c r="R1141" s="159">
        <f>SUM(Q1139:Q1141)</f>
        <v>0</v>
      </c>
      <c r="S1141" s="307"/>
    </row>
    <row r="1142" spans="1:19" ht="15.75" customHeight="1" x14ac:dyDescent="0.3">
      <c r="A1142" s="325" t="s">
        <v>416</v>
      </c>
      <c r="B1142" s="159"/>
      <c r="C1142" s="159">
        <f t="shared" si="469"/>
        <v>0.05</v>
      </c>
      <c r="D1142" s="172">
        <v>0</v>
      </c>
      <c r="E1142" s="168">
        <f t="shared" si="470"/>
        <v>0</v>
      </c>
      <c r="F1142" s="159"/>
      <c r="G1142" s="159" t="e">
        <f>#REF!</f>
        <v>#REF!</v>
      </c>
      <c r="H1142" s="172">
        <v>0</v>
      </c>
      <c r="I1142" s="168" t="e">
        <f t="shared" si="471"/>
        <v>#REF!</v>
      </c>
      <c r="J1142" s="159"/>
      <c r="K1142" s="447">
        <v>13129</v>
      </c>
      <c r="L1142" s="448">
        <v>0</v>
      </c>
      <c r="M1142" s="168">
        <f t="shared" si="472"/>
        <v>0</v>
      </c>
      <c r="N1142" s="159"/>
      <c r="O1142" s="447">
        <v>0</v>
      </c>
      <c r="P1142" s="172">
        <v>0</v>
      </c>
      <c r="Q1142" s="168">
        <f t="shared" si="473"/>
        <v>0</v>
      </c>
      <c r="R1142" s="159"/>
      <c r="S1142" s="307"/>
    </row>
    <row r="1143" spans="1:19" ht="15.75" customHeight="1" x14ac:dyDescent="0.3">
      <c r="A1143" s="325" t="s">
        <v>417</v>
      </c>
      <c r="B1143" s="159"/>
      <c r="C1143" s="159">
        <f t="shared" si="469"/>
        <v>0</v>
      </c>
      <c r="D1143" s="172">
        <v>0</v>
      </c>
      <c r="E1143" s="168">
        <f t="shared" si="470"/>
        <v>0</v>
      </c>
      <c r="F1143" s="159"/>
      <c r="G1143" s="159" t="e">
        <f>#REF!</f>
        <v>#REF!</v>
      </c>
      <c r="H1143" s="172">
        <v>0</v>
      </c>
      <c r="I1143" s="168" t="e">
        <f t="shared" si="471"/>
        <v>#REF!</v>
      </c>
      <c r="J1143" s="159"/>
      <c r="K1143" s="447">
        <v>12545</v>
      </c>
      <c r="L1143" s="448">
        <v>0</v>
      </c>
      <c r="M1143" s="168">
        <f t="shared" si="472"/>
        <v>0</v>
      </c>
      <c r="N1143" s="159"/>
      <c r="O1143" s="447">
        <v>0</v>
      </c>
      <c r="P1143" s="172">
        <v>0</v>
      </c>
      <c r="Q1143" s="168">
        <f t="shared" si="473"/>
        <v>0</v>
      </c>
      <c r="R1143" s="159"/>
      <c r="S1143" s="307"/>
    </row>
    <row r="1144" spans="1:19" ht="15.75" customHeight="1" x14ac:dyDescent="0.3">
      <c r="A1144" s="325" t="s">
        <v>418</v>
      </c>
      <c r="B1144" s="159"/>
      <c r="C1144" s="159">
        <f t="shared" si="469"/>
        <v>0.05</v>
      </c>
      <c r="D1144" s="172">
        <v>0</v>
      </c>
      <c r="E1144" s="168">
        <f t="shared" si="470"/>
        <v>0</v>
      </c>
      <c r="F1144" s="159">
        <f>SUM(E1142:E1144)</f>
        <v>0</v>
      </c>
      <c r="G1144" s="159" t="e">
        <f>#REF!</f>
        <v>#REF!</v>
      </c>
      <c r="H1144" s="172">
        <v>0</v>
      </c>
      <c r="I1144" s="168" t="e">
        <f t="shared" si="471"/>
        <v>#REF!</v>
      </c>
      <c r="J1144" s="159" t="e">
        <f>SUM(I1142:I1144)</f>
        <v>#REF!</v>
      </c>
      <c r="K1144" s="447">
        <v>9350</v>
      </c>
      <c r="L1144" s="448">
        <v>0</v>
      </c>
      <c r="M1144" s="168">
        <f t="shared" si="472"/>
        <v>0</v>
      </c>
      <c r="N1144" s="159">
        <f>SUM(M1142:M1144)</f>
        <v>0</v>
      </c>
      <c r="O1144" s="447">
        <v>0</v>
      </c>
      <c r="P1144" s="172">
        <v>0</v>
      </c>
      <c r="Q1144" s="168">
        <f t="shared" si="473"/>
        <v>0</v>
      </c>
      <c r="R1144" s="159">
        <f>SUM(Q1142:Q1144)</f>
        <v>0</v>
      </c>
      <c r="S1144" s="307"/>
    </row>
    <row r="1145" spans="1:19" ht="15.75" customHeight="1" x14ac:dyDescent="0.3">
      <c r="A1145" s="325" t="s">
        <v>419</v>
      </c>
      <c r="B1145" s="159"/>
      <c r="C1145" s="159">
        <f t="shared" si="469"/>
        <v>0.2</v>
      </c>
      <c r="D1145" s="172">
        <v>0</v>
      </c>
      <c r="E1145" s="168">
        <f t="shared" si="470"/>
        <v>0</v>
      </c>
      <c r="F1145" s="159"/>
      <c r="G1145" s="159" t="e">
        <f>#REF!</f>
        <v>#REF!</v>
      </c>
      <c r="H1145" s="172">
        <v>0</v>
      </c>
      <c r="I1145" s="168" t="e">
        <f t="shared" si="471"/>
        <v>#REF!</v>
      </c>
      <c r="J1145" s="159"/>
      <c r="K1145" s="447">
        <v>11649</v>
      </c>
      <c r="L1145" s="448">
        <v>0</v>
      </c>
      <c r="M1145" s="168">
        <f t="shared" si="472"/>
        <v>0</v>
      </c>
      <c r="N1145" s="159"/>
      <c r="O1145" s="447">
        <v>0</v>
      </c>
      <c r="P1145" s="172">
        <v>0</v>
      </c>
      <c r="Q1145" s="168">
        <f t="shared" si="473"/>
        <v>0</v>
      </c>
      <c r="R1145" s="159"/>
      <c r="S1145" s="307"/>
    </row>
    <row r="1146" spans="1:19" ht="15.75" customHeight="1" x14ac:dyDescent="0.3">
      <c r="A1146" s="325" t="s">
        <v>420</v>
      </c>
      <c r="B1146" s="159"/>
      <c r="C1146" s="159">
        <f t="shared" si="469"/>
        <v>0.2</v>
      </c>
      <c r="D1146" s="172">
        <v>0</v>
      </c>
      <c r="E1146" s="168">
        <f t="shared" si="470"/>
        <v>0</v>
      </c>
      <c r="F1146" s="159"/>
      <c r="G1146" s="159" t="e">
        <f>#REF!</f>
        <v>#REF!</v>
      </c>
      <c r="H1146" s="172">
        <v>0</v>
      </c>
      <c r="I1146" s="168" t="e">
        <f t="shared" si="471"/>
        <v>#REF!</v>
      </c>
      <c r="J1146" s="159"/>
      <c r="K1146" s="447">
        <v>8035</v>
      </c>
      <c r="L1146" s="448">
        <v>0</v>
      </c>
      <c r="M1146" s="168">
        <f t="shared" si="472"/>
        <v>0</v>
      </c>
      <c r="N1146" s="159"/>
      <c r="O1146" s="447">
        <v>0</v>
      </c>
      <c r="P1146" s="172">
        <v>0</v>
      </c>
      <c r="Q1146" s="168">
        <f t="shared" si="473"/>
        <v>0</v>
      </c>
      <c r="R1146" s="159"/>
      <c r="S1146" s="307"/>
    </row>
    <row r="1147" spans="1:19" ht="15.75" customHeight="1" x14ac:dyDescent="0.3">
      <c r="A1147" s="325" t="s">
        <v>421</v>
      </c>
      <c r="B1147" s="159"/>
      <c r="C1147" s="159">
        <f t="shared" si="469"/>
        <v>0.2</v>
      </c>
      <c r="D1147" s="172">
        <v>0</v>
      </c>
      <c r="E1147" s="168">
        <f t="shared" si="470"/>
        <v>0</v>
      </c>
      <c r="F1147" s="159">
        <f>SUM(E1145:E1147)</f>
        <v>0</v>
      </c>
      <c r="G1147" s="159" t="e">
        <f>#REF!</f>
        <v>#REF!</v>
      </c>
      <c r="H1147" s="172">
        <v>0</v>
      </c>
      <c r="I1147" s="168" t="e">
        <f t="shared" si="471"/>
        <v>#REF!</v>
      </c>
      <c r="J1147" s="159" t="e">
        <f>SUM(I1145:I1147)</f>
        <v>#REF!</v>
      </c>
      <c r="K1147" s="447">
        <v>8092</v>
      </c>
      <c r="L1147" s="448">
        <v>0</v>
      </c>
      <c r="M1147" s="168">
        <f t="shared" si="472"/>
        <v>0</v>
      </c>
      <c r="N1147" s="159">
        <f>SUM(M1145:M1147)</f>
        <v>0</v>
      </c>
      <c r="O1147" s="447">
        <v>0</v>
      </c>
      <c r="P1147" s="172">
        <v>0</v>
      </c>
      <c r="Q1147" s="168">
        <f t="shared" si="473"/>
        <v>0</v>
      </c>
      <c r="R1147" s="159">
        <f>SUM(Q1145:Q1147)</f>
        <v>0</v>
      </c>
      <c r="S1147" s="307"/>
    </row>
    <row r="1148" spans="1:19" ht="15.75" customHeight="1" x14ac:dyDescent="0.3">
      <c r="A1148" s="323"/>
      <c r="B1148" s="159"/>
      <c r="C1148" s="159"/>
      <c r="D1148" s="159"/>
      <c r="E1148" s="159"/>
      <c r="F1148" s="159"/>
      <c r="G1148" s="159"/>
      <c r="H1148" s="159"/>
      <c r="I1148" s="159"/>
      <c r="J1148" s="159"/>
      <c r="K1148" s="159"/>
      <c r="L1148" s="159"/>
      <c r="M1148" s="159"/>
      <c r="N1148" s="159"/>
      <c r="O1148" s="159"/>
      <c r="P1148" s="159"/>
      <c r="Q1148" s="159"/>
      <c r="R1148" s="159"/>
      <c r="S1148" s="307"/>
    </row>
    <row r="1149" spans="1:19" ht="15.75" customHeight="1" x14ac:dyDescent="0.3">
      <c r="A1149" s="323"/>
      <c r="B1149" s="159"/>
      <c r="C1149" s="159"/>
      <c r="D1149" s="159"/>
      <c r="E1149" s="159"/>
      <c r="F1149" s="159"/>
      <c r="G1149" s="159"/>
      <c r="H1149" s="159"/>
      <c r="I1149" s="159"/>
      <c r="J1149" s="159"/>
      <c r="K1149" s="159"/>
      <c r="L1149" s="159"/>
      <c r="M1149" s="159"/>
      <c r="N1149" s="159"/>
      <c r="O1149" s="159"/>
      <c r="P1149" s="159"/>
      <c r="Q1149" s="159"/>
      <c r="R1149" s="159"/>
      <c r="S1149" s="307"/>
    </row>
    <row r="1150" spans="1:19" ht="16.5" customHeight="1" thickBot="1" x14ac:dyDescent="0.35">
      <c r="A1150" s="326" t="s">
        <v>422</v>
      </c>
      <c r="B1150" s="327"/>
      <c r="C1150" s="327">
        <f>SUM(C1136:C1147)</f>
        <v>2.2250000000000005</v>
      </c>
      <c r="D1150" s="327"/>
      <c r="E1150" s="337">
        <f>SUM(E1136:E1147)</f>
        <v>0</v>
      </c>
      <c r="F1150" s="327"/>
      <c r="G1150" s="327" t="e">
        <f>SUM(G1136:G1147)</f>
        <v>#REF!</v>
      </c>
      <c r="H1150" s="327" t="s">
        <v>424</v>
      </c>
      <c r="I1150" s="337" t="e">
        <f>SUM(I1136:I1147)</f>
        <v>#REF!</v>
      </c>
      <c r="J1150" s="327"/>
      <c r="K1150" s="327">
        <f>SUM(K1136:K1147)</f>
        <v>149913</v>
      </c>
      <c r="L1150" s="327" t="s">
        <v>424</v>
      </c>
      <c r="M1150" s="337">
        <f>SUM(M1136:M1147)</f>
        <v>0</v>
      </c>
      <c r="N1150" s="327"/>
      <c r="O1150" s="327">
        <f>(SUM(O1136:O1147))</f>
        <v>0</v>
      </c>
      <c r="P1150" s="327" t="s">
        <v>424</v>
      </c>
      <c r="Q1150" s="337">
        <f>SUM(Q1136:Q1147)</f>
        <v>0</v>
      </c>
      <c r="R1150" s="327"/>
      <c r="S1150" s="313"/>
    </row>
  </sheetData>
  <scenarios current="0">
    <scenario name="Jan" count="1" user="Windows User" comment="Created by Windows User on 4/11/2013">
      <inputCells r="B313" val="57771.3688407242" numFmtId="37"/>
    </scenario>
  </scenarios>
  <autoFilter ref="A31:R911" xr:uid="{00000000-0009-0000-0000-000002000000}"/>
  <mergeCells count="73">
    <mergeCell ref="B1081:P1081"/>
    <mergeCell ref="B1082:P1082"/>
    <mergeCell ref="B1084:L1084"/>
    <mergeCell ref="M1084:P1084"/>
    <mergeCell ref="B1058:D1058"/>
    <mergeCell ref="T1058:U1058"/>
    <mergeCell ref="V1058:W1058"/>
    <mergeCell ref="B1077:P1077"/>
    <mergeCell ref="B1078:P1078"/>
    <mergeCell ref="B1079:P1079"/>
    <mergeCell ref="B1057:P1057"/>
    <mergeCell ref="M1003:O1003"/>
    <mergeCell ref="AD1003:AQ1003"/>
    <mergeCell ref="AD1004:AQ1004"/>
    <mergeCell ref="B1028:P1028"/>
    <mergeCell ref="B1029:F1029"/>
    <mergeCell ref="G1029:L1029"/>
    <mergeCell ref="M1029:R1029"/>
    <mergeCell ref="S1029:U1029"/>
    <mergeCell ref="M1030:O1030"/>
    <mergeCell ref="B1052:P1052"/>
    <mergeCell ref="B1053:P1053"/>
    <mergeCell ref="B1054:P1054"/>
    <mergeCell ref="B1056:P1056"/>
    <mergeCell ref="B1001:P1001"/>
    <mergeCell ref="AD1001:AQ1001"/>
    <mergeCell ref="B1002:F1002"/>
    <mergeCell ref="G1002:L1002"/>
    <mergeCell ref="M1002:R1002"/>
    <mergeCell ref="S1002:U1002"/>
    <mergeCell ref="B1000:P1000"/>
    <mergeCell ref="AD1000:AQ1000"/>
    <mergeCell ref="AD966:AQ966"/>
    <mergeCell ref="AD968:AQ968"/>
    <mergeCell ref="B969:P969"/>
    <mergeCell ref="AD969:AQ969"/>
    <mergeCell ref="B970:P970"/>
    <mergeCell ref="B971:P971"/>
    <mergeCell ref="B973:P973"/>
    <mergeCell ref="B974:P974"/>
    <mergeCell ref="B998:P998"/>
    <mergeCell ref="B999:P999"/>
    <mergeCell ref="AD999:AQ999"/>
    <mergeCell ref="AD965:AQ965"/>
    <mergeCell ref="B916:P916"/>
    <mergeCell ref="B917:P917"/>
    <mergeCell ref="B918:P918"/>
    <mergeCell ref="B919:P919"/>
    <mergeCell ref="B943:P943"/>
    <mergeCell ref="B944:P944"/>
    <mergeCell ref="B945:P945"/>
    <mergeCell ref="B946:P946"/>
    <mergeCell ref="B947:P947"/>
    <mergeCell ref="B948:P948"/>
    <mergeCell ref="AD964:AQ964"/>
    <mergeCell ref="B915:P915"/>
    <mergeCell ref="A850:R850"/>
    <mergeCell ref="A851:R851"/>
    <mergeCell ref="A852:R852"/>
    <mergeCell ref="A853:R853"/>
    <mergeCell ref="A855:R855"/>
    <mergeCell ref="A891:R891"/>
    <mergeCell ref="A892:R892"/>
    <mergeCell ref="A893:R893"/>
    <mergeCell ref="A894:R894"/>
    <mergeCell ref="A896:R896"/>
    <mergeCell ref="B914:P914"/>
    <mergeCell ref="A8:R8"/>
    <mergeCell ref="A2:R2"/>
    <mergeCell ref="A3:R3"/>
    <mergeCell ref="A4:R4"/>
    <mergeCell ref="A5:R5"/>
    <mergeCell ref="A6:R6"/>
  </mergeCells>
  <conditionalFormatting sqref="S1008:S1019 S1021">
    <cfRule type="cellIs" dxfId="31" priority="3" operator="lessThan">
      <formula>0</formula>
    </cfRule>
    <cfRule type="cellIs" dxfId="30" priority="4" operator="greaterThan">
      <formula>0</formula>
    </cfRule>
  </conditionalFormatting>
  <conditionalFormatting sqref="S1035:S1046">
    <cfRule type="cellIs" dxfId="29" priority="1" operator="lessThan">
      <formula>0</formula>
    </cfRule>
    <cfRule type="cellIs" dxfId="28" priority="2" operator="greaterThan">
      <formula>0</formula>
    </cfRule>
  </conditionalFormatting>
  <printOptions horizontalCentered="1"/>
  <pageMargins left="0.25" right="0.25" top="0.25" bottom="0.25" header="0" footer="0"/>
  <pageSetup paperSize="17" scale="10" orientation="landscape" r:id="rId1"/>
  <headerFooter alignWithMargins="0"/>
  <rowBreaks count="5" manualBreakCount="5">
    <brk id="847" max="17" man="1"/>
    <brk id="887" max="17" man="1"/>
    <brk id="940" max="18" man="1"/>
    <brk id="968" max="18" man="1"/>
    <brk id="936" min="28" max="46"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BFE85-2238-4588-A654-501C942F840D}">
  <sheetPr codeName="Sheet28">
    <pageSetUpPr fitToPage="1"/>
  </sheetPr>
  <dimension ref="A1:AX1138"/>
  <sheetViews>
    <sheetView topLeftCell="A1028" zoomScale="50" zoomScaleNormal="50" workbookViewId="0">
      <selection activeCell="A164" sqref="A164"/>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218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1093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338" t="s">
        <v>791</v>
      </c>
      <c r="R1" s="3">
        <f ca="1">NOW()</f>
        <v>44909.46975358796</v>
      </c>
    </row>
    <row r="2" spans="1:36" ht="19.5" customHeight="1" x14ac:dyDescent="0.35">
      <c r="A2" s="500" t="s">
        <v>1</v>
      </c>
      <c r="B2" s="500"/>
      <c r="C2" s="500"/>
      <c r="D2" s="500"/>
      <c r="E2" s="500"/>
      <c r="F2" s="500"/>
      <c r="G2" s="500"/>
      <c r="H2" s="500"/>
      <c r="I2" s="500"/>
      <c r="J2" s="500"/>
      <c r="K2" s="500"/>
      <c r="L2" s="500"/>
      <c r="M2" s="500"/>
      <c r="N2" s="500"/>
      <c r="O2" s="500"/>
      <c r="P2" s="500"/>
      <c r="Q2" s="500"/>
      <c r="R2" s="500"/>
    </row>
    <row r="3" spans="1:36" ht="19.5" customHeight="1" x14ac:dyDescent="0.35">
      <c r="A3" s="500" t="s">
        <v>2</v>
      </c>
      <c r="B3" s="500"/>
      <c r="C3" s="500"/>
      <c r="D3" s="500"/>
      <c r="E3" s="500"/>
      <c r="F3" s="500"/>
      <c r="G3" s="500"/>
      <c r="H3" s="500"/>
      <c r="I3" s="500"/>
      <c r="J3" s="500"/>
      <c r="K3" s="500"/>
      <c r="L3" s="500"/>
      <c r="M3" s="500"/>
      <c r="N3" s="500"/>
      <c r="O3" s="500"/>
      <c r="P3" s="500"/>
      <c r="Q3" s="500"/>
      <c r="R3" s="500"/>
    </row>
    <row r="4" spans="1:36" ht="19.5" customHeight="1" x14ac:dyDescent="0.35">
      <c r="A4" s="501" t="s">
        <v>3</v>
      </c>
      <c r="B4" s="501"/>
      <c r="C4" s="501"/>
      <c r="D4" s="501"/>
      <c r="E4" s="501"/>
      <c r="F4" s="501"/>
      <c r="G4" s="501"/>
      <c r="H4" s="501"/>
      <c r="I4" s="501"/>
      <c r="J4" s="501"/>
      <c r="K4" s="501"/>
      <c r="L4" s="501"/>
      <c r="M4" s="501"/>
      <c r="N4" s="501"/>
      <c r="O4" s="501"/>
      <c r="P4" s="501"/>
      <c r="Q4" s="501"/>
      <c r="R4" s="501"/>
    </row>
    <row r="5" spans="1:36" ht="19.5" customHeight="1" x14ac:dyDescent="0.35">
      <c r="A5" s="502">
        <v>2018</v>
      </c>
      <c r="B5" s="502"/>
      <c r="C5" s="502"/>
      <c r="D5" s="502"/>
      <c r="E5" s="502"/>
      <c r="F5" s="502"/>
      <c r="G5" s="502"/>
      <c r="H5" s="502"/>
      <c r="I5" s="502"/>
      <c r="J5" s="502"/>
      <c r="K5" s="502"/>
      <c r="L5" s="502"/>
      <c r="M5" s="502"/>
      <c r="N5" s="502"/>
      <c r="O5" s="502"/>
      <c r="P5" s="502"/>
      <c r="Q5" s="502"/>
      <c r="R5" s="502"/>
    </row>
    <row r="6" spans="1:36" ht="19.5" customHeight="1" x14ac:dyDescent="0.35">
      <c r="A6" s="501" t="s">
        <v>1254</v>
      </c>
      <c r="B6" s="501"/>
      <c r="C6" s="501"/>
      <c r="D6" s="501"/>
      <c r="E6" s="501"/>
      <c r="F6" s="501"/>
      <c r="G6" s="501"/>
      <c r="H6" s="501"/>
      <c r="I6" s="501"/>
      <c r="J6" s="501"/>
      <c r="K6" s="501"/>
      <c r="L6" s="501"/>
      <c r="M6" s="501"/>
      <c r="N6" s="501"/>
      <c r="O6" s="501"/>
      <c r="P6" s="501"/>
      <c r="Q6" s="501"/>
      <c r="R6" s="501"/>
    </row>
    <row r="7" spans="1:36" ht="19.5" customHeight="1" x14ac:dyDescent="0.35">
      <c r="A7" s="296"/>
      <c r="B7" s="296"/>
      <c r="C7" s="296"/>
      <c r="D7" s="296"/>
      <c r="E7" s="296"/>
      <c r="F7" s="296"/>
      <c r="G7" s="296"/>
      <c r="H7" s="296"/>
      <c r="I7" s="296"/>
      <c r="J7" s="296"/>
      <c r="K7" s="296"/>
      <c r="L7" s="296"/>
      <c r="M7" s="296"/>
      <c r="N7" s="296"/>
      <c r="O7" s="296"/>
      <c r="P7" s="296"/>
      <c r="Q7" s="296"/>
      <c r="R7" s="296"/>
    </row>
    <row r="8" spans="1:36" ht="15.75" customHeight="1" x14ac:dyDescent="0.3">
      <c r="A8" s="499" t="s">
        <v>1255</v>
      </c>
      <c r="B8" s="499"/>
      <c r="C8" s="499"/>
      <c r="D8" s="499"/>
      <c r="E8" s="499"/>
      <c r="F8" s="499"/>
      <c r="G8" s="499"/>
      <c r="H8" s="499"/>
      <c r="I8" s="499"/>
      <c r="J8" s="499"/>
      <c r="K8" s="499"/>
      <c r="L8" s="499"/>
      <c r="M8" s="499"/>
      <c r="N8" s="499"/>
      <c r="O8" s="499"/>
      <c r="P8" s="499"/>
      <c r="Q8" s="499"/>
      <c r="R8" s="499"/>
    </row>
    <row r="9" spans="1:36" ht="15.75" customHeight="1" x14ac:dyDescent="0.3">
      <c r="A9" s="5"/>
      <c r="B9" s="6"/>
      <c r="C9" s="6"/>
      <c r="D9" s="6"/>
      <c r="E9" s="6"/>
      <c r="F9" s="6"/>
      <c r="G9" s="6"/>
      <c r="H9" s="6"/>
      <c r="I9" s="6"/>
      <c r="J9" s="6"/>
      <c r="K9" s="6"/>
      <c r="L9" s="6"/>
      <c r="M9" s="6"/>
      <c r="N9" s="6"/>
      <c r="O9" s="6"/>
      <c r="P9" s="6"/>
      <c r="Q9" s="6"/>
      <c r="R9" s="6"/>
    </row>
    <row r="10" spans="1:36" ht="15.75" customHeight="1" thickBot="1" x14ac:dyDescent="0.35">
      <c r="A10" s="1" t="s">
        <v>794</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297" t="s">
        <v>7</v>
      </c>
      <c r="B11" s="298" t="s">
        <v>795</v>
      </c>
      <c r="C11" s="48" t="s">
        <v>9</v>
      </c>
      <c r="D11" s="48" t="s">
        <v>10</v>
      </c>
      <c r="E11" s="32" t="s">
        <v>11</v>
      </c>
      <c r="F11" s="48" t="s">
        <v>12</v>
      </c>
      <c r="G11" s="48" t="s">
        <v>13</v>
      </c>
      <c r="H11" s="48" t="s">
        <v>14</v>
      </c>
      <c r="I11" s="32" t="s">
        <v>15</v>
      </c>
      <c r="J11" s="48" t="s">
        <v>16</v>
      </c>
      <c r="K11" s="48" t="s">
        <v>17</v>
      </c>
      <c r="L11" s="48" t="s">
        <v>18</v>
      </c>
      <c r="M11" s="32" t="s">
        <v>19</v>
      </c>
      <c r="N11" s="48" t="s">
        <v>20</v>
      </c>
      <c r="O11" s="48" t="s">
        <v>21</v>
      </c>
      <c r="P11" s="48" t="s">
        <v>22</v>
      </c>
      <c r="Q11" s="32" t="s">
        <v>23</v>
      </c>
      <c r="R11" s="49" t="s">
        <v>24</v>
      </c>
    </row>
    <row r="12" spans="1:36" ht="16.5" customHeight="1" thickBot="1" x14ac:dyDescent="0.35">
      <c r="A12" s="67"/>
      <c r="B12" s="51"/>
      <c r="C12" s="51"/>
      <c r="D12" s="51"/>
      <c r="E12" s="52"/>
      <c r="F12" s="51"/>
      <c r="G12" s="51"/>
      <c r="H12" s="51"/>
      <c r="I12" s="52"/>
      <c r="J12" s="51"/>
      <c r="K12" s="51"/>
      <c r="L12" s="51"/>
      <c r="M12" s="52"/>
      <c r="N12" s="51"/>
      <c r="O12" s="51"/>
      <c r="P12" s="51"/>
      <c r="Q12" s="52"/>
      <c r="R12" s="52"/>
    </row>
    <row r="13" spans="1:36" ht="15.75" customHeight="1" x14ac:dyDescent="0.3">
      <c r="A13" s="15" t="s">
        <v>25</v>
      </c>
      <c r="B13" s="1">
        <f>+B898</f>
        <v>51650</v>
      </c>
      <c r="C13" s="1">
        <f>+C898</f>
        <v>68105</v>
      </c>
      <c r="D13" s="1">
        <f>+D898</f>
        <v>106974</v>
      </c>
      <c r="E13" s="16">
        <f>SUM(B13:D13)</f>
        <v>226729</v>
      </c>
      <c r="F13" s="1">
        <f>+F898</f>
        <v>159041</v>
      </c>
      <c r="G13" s="1">
        <f>+G898</f>
        <v>171968</v>
      </c>
      <c r="H13" s="1">
        <f>+H898</f>
        <v>194930</v>
      </c>
      <c r="I13" s="16">
        <f t="shared" ref="I13:I19" si="0">SUM(F13:H13)</f>
        <v>525939</v>
      </c>
      <c r="J13" s="1">
        <f>+J898</f>
        <v>198498</v>
      </c>
      <c r="K13" s="1">
        <f>+K898</f>
        <v>174238</v>
      </c>
      <c r="L13" s="1">
        <f>+L898</f>
        <v>144139</v>
      </c>
      <c r="M13" s="16">
        <f t="shared" ref="M13:M20" si="1">SUM(J13:L13)</f>
        <v>516875</v>
      </c>
      <c r="N13" s="1">
        <f>+N898</f>
        <v>75004</v>
      </c>
      <c r="O13" s="1">
        <f>+O898</f>
        <v>74106</v>
      </c>
      <c r="P13" s="1">
        <f>+P898</f>
        <v>60577</v>
      </c>
      <c r="Q13" s="17">
        <f t="shared" ref="Q13:Q19" si="2">SUM(N13:P13)</f>
        <v>209687</v>
      </c>
      <c r="R13" s="16">
        <f t="shared" ref="R13:R20" si="3">+E13+I13+M13+Q13</f>
        <v>1479230</v>
      </c>
      <c r="S13" s="4">
        <f>R13-13500</f>
        <v>1465730</v>
      </c>
      <c r="T13" s="4">
        <f>+R13-S13</f>
        <v>13500</v>
      </c>
      <c r="V13" s="339"/>
      <c r="W13" s="339"/>
      <c r="X13" s="339"/>
      <c r="Z13" s="339"/>
      <c r="AA13" s="339"/>
      <c r="AB13" s="339"/>
      <c r="AD13" s="339"/>
      <c r="AE13" s="339"/>
      <c r="AF13" s="339"/>
      <c r="AH13" s="339"/>
      <c r="AI13" s="339"/>
      <c r="AJ13" s="339"/>
    </row>
    <row r="14" spans="1:36" ht="15.75" customHeight="1" x14ac:dyDescent="0.3">
      <c r="A14" s="15" t="s">
        <v>27</v>
      </c>
      <c r="B14" s="1">
        <f>B25+B60+B129+B311+B481+B531+B576+B640+B650+B686+B737+B747+B781+B830</f>
        <v>739</v>
      </c>
      <c r="C14" s="1">
        <f>C25+C60+C129+C311+C481+C531+C576+C640+C650+C686+C737+C747+C781+C830</f>
        <v>1283</v>
      </c>
      <c r="D14" s="1">
        <f>D25+D60+D129+D311+D481+D531+D576+D640+D650+D686+D737+D747+D781+D830</f>
        <v>2185</v>
      </c>
      <c r="E14" s="16">
        <f t="shared" ref="E14:E19" si="4">SUM(B14:D14)</f>
        <v>4207</v>
      </c>
      <c r="F14" s="1">
        <f>F25+F60+F129+F311+F481+F531+F576+F640+F650+F686+F737+F747+F781+F830</f>
        <v>2959</v>
      </c>
      <c r="G14" s="1">
        <f>G25+G60+G129+G311+G481+G531+G576+G640+G650+G686+G737+G747+G781+G830</f>
        <v>3425</v>
      </c>
      <c r="H14" s="1">
        <f>H25+H60+H129+H311+H481+H531+H576+H640+H650+H686+H737+H747+H781+H830</f>
        <v>3464</v>
      </c>
      <c r="I14" s="16">
        <f t="shared" si="0"/>
        <v>9848</v>
      </c>
      <c r="J14" s="1">
        <f>J25+J60+J129+J311+J481+J531+J576+J640+J650+J686+J737+J747+J781+J830</f>
        <v>3382</v>
      </c>
      <c r="K14" s="1">
        <f>K25+K60+K129+K311+K481+K531+K576+K640+K650+K686+K737+K747+K781+K830</f>
        <v>2663</v>
      </c>
      <c r="L14" s="1">
        <f>L25+L60+L129+L311+L481+L531+L576+L640+L650+L686+L737+L747+L781+L830</f>
        <v>2559</v>
      </c>
      <c r="M14" s="16">
        <f t="shared" si="1"/>
        <v>8604</v>
      </c>
      <c r="N14" s="1">
        <f>N25+N60+N129+N311+N481+N531+N576+N640+N650+N686+N737+N747+N781+N830</f>
        <v>2343</v>
      </c>
      <c r="O14" s="1">
        <f>O25+O60+O129+O311+O481+O531+O576+O640+O650+O686+O737+O747+O781+O830</f>
        <v>1892</v>
      </c>
      <c r="P14" s="1">
        <f>P25+P60+P129+P311+P481+P531+P576+P640+P650+P686+P737+P747+P781+P830</f>
        <v>1423</v>
      </c>
      <c r="Q14" s="17">
        <f t="shared" si="2"/>
        <v>5658</v>
      </c>
      <c r="R14" s="16">
        <f t="shared" si="3"/>
        <v>28317</v>
      </c>
    </row>
    <row r="15" spans="1:36" ht="15.75" customHeight="1" x14ac:dyDescent="0.3">
      <c r="A15" s="15" t="s">
        <v>28</v>
      </c>
      <c r="B15" s="1">
        <f>B306</f>
        <v>0</v>
      </c>
      <c r="C15" s="1">
        <f>C306</f>
        <v>1245</v>
      </c>
      <c r="D15" s="1">
        <f>D306</f>
        <v>1376</v>
      </c>
      <c r="E15" s="16">
        <f t="shared" si="4"/>
        <v>2621</v>
      </c>
      <c r="F15" s="1">
        <f>F306</f>
        <v>2992</v>
      </c>
      <c r="G15" s="1">
        <f>G306</f>
        <v>4839</v>
      </c>
      <c r="H15" s="1">
        <f>H306</f>
        <v>3560</v>
      </c>
      <c r="I15" s="16">
        <f t="shared" si="0"/>
        <v>11391</v>
      </c>
      <c r="J15" s="1">
        <f>J306</f>
        <v>3753</v>
      </c>
      <c r="K15" s="1">
        <f>K306</f>
        <v>2162</v>
      </c>
      <c r="L15" s="1">
        <f>L306</f>
        <v>3758</v>
      </c>
      <c r="M15" s="16">
        <f t="shared" si="1"/>
        <v>9673</v>
      </c>
      <c r="N15" s="1">
        <f>N306</f>
        <v>742</v>
      </c>
      <c r="O15" s="1">
        <f>O306</f>
        <v>4368</v>
      </c>
      <c r="P15" s="1">
        <f>P306</f>
        <v>1362</v>
      </c>
      <c r="Q15" s="17">
        <f t="shared" si="2"/>
        <v>6472</v>
      </c>
      <c r="R15" s="16">
        <f t="shared" si="3"/>
        <v>30157</v>
      </c>
    </row>
    <row r="16" spans="1:36" ht="15.75" customHeight="1" x14ac:dyDescent="0.3">
      <c r="A16" s="18" t="s">
        <v>29</v>
      </c>
      <c r="B16" s="1">
        <f>+B307</f>
        <v>0</v>
      </c>
      <c r="C16" s="1">
        <f>+C307</f>
        <v>0</v>
      </c>
      <c r="D16" s="1">
        <f>+D307</f>
        <v>0</v>
      </c>
      <c r="E16" s="16">
        <f t="shared" si="4"/>
        <v>0</v>
      </c>
      <c r="F16" s="1">
        <f>+F307</f>
        <v>0</v>
      </c>
      <c r="G16" s="1">
        <f>+G307</f>
        <v>0</v>
      </c>
      <c r="H16" s="1">
        <f>+H307</f>
        <v>-2984</v>
      </c>
      <c r="I16" s="16">
        <f t="shared" si="0"/>
        <v>-2984</v>
      </c>
      <c r="J16" s="1">
        <f>+J307</f>
        <v>-8893</v>
      </c>
      <c r="K16" s="1">
        <f>+K307</f>
        <v>6441</v>
      </c>
      <c r="L16" s="1">
        <f>+L307</f>
        <v>4836</v>
      </c>
      <c r="M16" s="16">
        <f t="shared" si="1"/>
        <v>2384</v>
      </c>
      <c r="N16" s="1">
        <f>+N307</f>
        <v>2905</v>
      </c>
      <c r="O16" s="1">
        <f>+O307</f>
        <v>10265</v>
      </c>
      <c r="P16" s="1">
        <f>+P307</f>
        <v>6</v>
      </c>
      <c r="Q16" s="17">
        <f t="shared" si="2"/>
        <v>13176</v>
      </c>
      <c r="R16" s="16">
        <f t="shared" si="3"/>
        <v>12576</v>
      </c>
    </row>
    <row r="17" spans="1:20" ht="15.75" customHeight="1" x14ac:dyDescent="0.3">
      <c r="A17" s="19" t="s">
        <v>31</v>
      </c>
      <c r="B17" s="1">
        <f>B310</f>
        <v>42045</v>
      </c>
      <c r="C17" s="1">
        <f>C310</f>
        <v>51021</v>
      </c>
      <c r="D17" s="1">
        <f>D310</f>
        <v>46045</v>
      </c>
      <c r="E17" s="16">
        <f t="shared" si="4"/>
        <v>139111</v>
      </c>
      <c r="F17" s="1">
        <f>F310</f>
        <v>10279</v>
      </c>
      <c r="G17" s="1">
        <f>G310</f>
        <v>4059</v>
      </c>
      <c r="H17" s="1">
        <f>H310</f>
        <v>0</v>
      </c>
      <c r="I17" s="16">
        <f t="shared" si="0"/>
        <v>14338</v>
      </c>
      <c r="J17" s="1">
        <f>J310</f>
        <v>0</v>
      </c>
      <c r="K17" s="1">
        <f>K310</f>
        <v>0</v>
      </c>
      <c r="L17" s="1">
        <f>L310</f>
        <v>17967</v>
      </c>
      <c r="M17" s="16">
        <f t="shared" si="1"/>
        <v>17967</v>
      </c>
      <c r="N17" s="1">
        <f>N310</f>
        <v>94204</v>
      </c>
      <c r="O17" s="1">
        <f>O310</f>
        <v>80702</v>
      </c>
      <c r="P17" s="1">
        <f>P310</f>
        <v>79076</v>
      </c>
      <c r="Q17" s="17">
        <f t="shared" si="2"/>
        <v>253982</v>
      </c>
      <c r="R17" s="16">
        <f t="shared" si="3"/>
        <v>425398</v>
      </c>
    </row>
    <row r="18" spans="1:20" ht="15.75" customHeight="1" x14ac:dyDescent="0.3">
      <c r="A18" s="19" t="s">
        <v>32</v>
      </c>
      <c r="B18" s="1">
        <f>B322</f>
        <v>-4721</v>
      </c>
      <c r="C18" s="1">
        <f>C322</f>
        <v>-14510</v>
      </c>
      <c r="D18" s="1">
        <f>D322</f>
        <v>-18985</v>
      </c>
      <c r="E18" s="16">
        <f t="shared" si="4"/>
        <v>-38216</v>
      </c>
      <c r="F18" s="1">
        <f>F322</f>
        <v>-6618</v>
      </c>
      <c r="G18" s="1">
        <f>G322</f>
        <v>-4883</v>
      </c>
      <c r="H18" s="1">
        <f>H322</f>
        <v>-106895</v>
      </c>
      <c r="I18" s="16">
        <f t="shared" si="0"/>
        <v>-118396</v>
      </c>
      <c r="J18" s="1">
        <f>J322</f>
        <v>-118035</v>
      </c>
      <c r="K18" s="1">
        <f>K322</f>
        <v>-157144</v>
      </c>
      <c r="L18" s="1">
        <f>L322</f>
        <v>-7983</v>
      </c>
      <c r="M18" s="16">
        <f t="shared" si="1"/>
        <v>-283162</v>
      </c>
      <c r="N18" s="1">
        <f>N322</f>
        <v>0</v>
      </c>
      <c r="O18" s="1">
        <f>O322</f>
        <v>-109</v>
      </c>
      <c r="P18" s="1">
        <f>P322</f>
        <v>0</v>
      </c>
      <c r="Q18" s="17">
        <f t="shared" si="2"/>
        <v>-109</v>
      </c>
      <c r="R18" s="16">
        <f t="shared" si="3"/>
        <v>-439883</v>
      </c>
    </row>
    <row r="19" spans="1:20" ht="16.5" customHeight="1" thickBot="1" x14ac:dyDescent="0.35">
      <c r="A19" s="20" t="s">
        <v>33</v>
      </c>
      <c r="B19" s="21">
        <f>(B29)</f>
        <v>89713</v>
      </c>
      <c r="C19" s="21">
        <f>(C29)</f>
        <v>107144</v>
      </c>
      <c r="D19" s="21">
        <f>(D29)</f>
        <v>137595</v>
      </c>
      <c r="E19" s="22">
        <f t="shared" si="4"/>
        <v>334452</v>
      </c>
      <c r="F19" s="21">
        <f>(F29)</f>
        <v>168653</v>
      </c>
      <c r="G19" s="21">
        <f>(G29)</f>
        <v>179408</v>
      </c>
      <c r="H19" s="21">
        <f>(H29)</f>
        <v>92075</v>
      </c>
      <c r="I19" s="22">
        <f t="shared" si="0"/>
        <v>440136</v>
      </c>
      <c r="J19" s="21">
        <f>(J29)</f>
        <v>78705</v>
      </c>
      <c r="K19" s="21">
        <f>(K29)</f>
        <v>28360</v>
      </c>
      <c r="L19" s="21">
        <f>(L29)</f>
        <v>165276</v>
      </c>
      <c r="M19" s="22">
        <f t="shared" si="1"/>
        <v>272341</v>
      </c>
      <c r="N19" s="21">
        <f>(N29)</f>
        <v>175198</v>
      </c>
      <c r="O19" s="21">
        <f>(O29)</f>
        <v>171224</v>
      </c>
      <c r="P19" s="21">
        <f>(P29)</f>
        <v>142444</v>
      </c>
      <c r="Q19" s="23">
        <f t="shared" si="2"/>
        <v>488866</v>
      </c>
      <c r="R19" s="22">
        <f t="shared" si="3"/>
        <v>1535795</v>
      </c>
    </row>
    <row r="20" spans="1:20" ht="16.5" customHeight="1" thickBot="1" x14ac:dyDescent="0.35">
      <c r="A20" s="20" t="s">
        <v>36</v>
      </c>
      <c r="B20" s="21">
        <v>90163</v>
      </c>
      <c r="C20" s="21">
        <v>109197</v>
      </c>
      <c r="D20" s="21">
        <v>138939</v>
      </c>
      <c r="E20" s="22">
        <f>SUM(B20:D20)</f>
        <v>338299</v>
      </c>
      <c r="F20" s="21">
        <v>168400</v>
      </c>
      <c r="G20" s="21">
        <v>178154</v>
      </c>
      <c r="H20" s="21">
        <v>87984</v>
      </c>
      <c r="I20" s="22">
        <f>SUM(F20:H20)</f>
        <v>434538</v>
      </c>
      <c r="J20" s="21">
        <v>71609</v>
      </c>
      <c r="K20" s="21">
        <v>21609</v>
      </c>
      <c r="L20" s="21">
        <v>164209</v>
      </c>
      <c r="M20" s="22">
        <f t="shared" si="1"/>
        <v>257427</v>
      </c>
      <c r="N20" s="21">
        <v>175602</v>
      </c>
      <c r="O20" s="21">
        <v>173266</v>
      </c>
      <c r="P20" s="21">
        <v>143241</v>
      </c>
      <c r="Q20" s="23">
        <f>SUM(N20:P20)</f>
        <v>492109</v>
      </c>
      <c r="R20" s="22">
        <f t="shared" si="3"/>
        <v>1522373</v>
      </c>
    </row>
    <row r="21" spans="1:20" ht="15.75" customHeight="1" x14ac:dyDescent="0.3">
      <c r="A21" s="1"/>
      <c r="B21" s="1"/>
      <c r="C21" s="1"/>
      <c r="D21" s="1"/>
      <c r="E21" s="1"/>
      <c r="F21" s="1"/>
      <c r="G21" s="1"/>
      <c r="H21" s="1"/>
      <c r="I21" s="1"/>
      <c r="J21" s="1"/>
      <c r="K21" s="1"/>
      <c r="L21" s="1"/>
      <c r="M21" s="1"/>
      <c r="N21" s="1"/>
      <c r="O21" s="1"/>
      <c r="P21" s="1"/>
      <c r="Q21" s="1"/>
      <c r="R21" s="1"/>
    </row>
    <row r="22" spans="1:20" ht="15.75" customHeight="1" thickBot="1" x14ac:dyDescent="0.35">
      <c r="A22" s="1"/>
      <c r="B22" s="1"/>
      <c r="C22" s="1"/>
      <c r="D22" s="1"/>
      <c r="E22" s="1"/>
      <c r="F22" s="27" t="s">
        <v>7</v>
      </c>
      <c r="G22" s="27" t="s">
        <v>7</v>
      </c>
      <c r="H22" s="1"/>
      <c r="I22" s="1"/>
      <c r="J22" s="1"/>
      <c r="K22" s="1"/>
      <c r="L22" s="1"/>
      <c r="M22" s="1"/>
      <c r="N22" s="27" t="s">
        <v>7</v>
      </c>
      <c r="O22" s="27" t="s">
        <v>7</v>
      </c>
      <c r="P22" s="27" t="s">
        <v>7</v>
      </c>
      <c r="Q22" s="27"/>
      <c r="R22" s="28" t="s">
        <v>7</v>
      </c>
    </row>
    <row r="23" spans="1:20" ht="16.5" customHeight="1" thickBot="1" x14ac:dyDescent="0.35">
      <c r="A23" s="29" t="s">
        <v>39</v>
      </c>
      <c r="B23" s="30" t="s">
        <v>8</v>
      </c>
      <c r="C23" s="31" t="s">
        <v>9</v>
      </c>
      <c r="D23" s="31" t="s">
        <v>10</v>
      </c>
      <c r="E23" s="32" t="s">
        <v>11</v>
      </c>
      <c r="F23" s="31" t="s">
        <v>12</v>
      </c>
      <c r="G23" s="31" t="s">
        <v>13</v>
      </c>
      <c r="H23" s="31" t="s">
        <v>14</v>
      </c>
      <c r="I23" s="33" t="s">
        <v>15</v>
      </c>
      <c r="J23" s="31" t="s">
        <v>16</v>
      </c>
      <c r="K23" s="31" t="s">
        <v>17</v>
      </c>
      <c r="L23" s="31" t="s">
        <v>18</v>
      </c>
      <c r="M23" s="33" t="s">
        <v>19</v>
      </c>
      <c r="N23" s="31" t="s">
        <v>20</v>
      </c>
      <c r="O23" s="31" t="s">
        <v>21</v>
      </c>
      <c r="P23" s="31" t="s">
        <v>22</v>
      </c>
      <c r="Q23" s="33" t="s">
        <v>23</v>
      </c>
      <c r="R23" s="34" t="s">
        <v>24</v>
      </c>
    </row>
    <row r="24" spans="1:20" ht="16.5" customHeight="1" thickBot="1" x14ac:dyDescent="0.35">
      <c r="A24" s="35"/>
      <c r="B24" s="36"/>
      <c r="C24" s="36"/>
      <c r="D24" s="36"/>
      <c r="E24" s="37"/>
      <c r="F24" s="36"/>
      <c r="G24" s="36"/>
      <c r="H24" s="36"/>
      <c r="I24" s="37"/>
      <c r="J24" s="36"/>
      <c r="K24" s="36"/>
      <c r="L24" s="36"/>
      <c r="M24" s="37"/>
      <c r="N24" s="36"/>
      <c r="O24" s="36"/>
      <c r="P24" s="36"/>
      <c r="Q24" s="37"/>
      <c r="R24" s="38"/>
    </row>
    <row r="25" spans="1:20" ht="16.5" customHeight="1" thickBot="1" x14ac:dyDescent="0.35">
      <c r="A25" s="39" t="s">
        <v>40</v>
      </c>
      <c r="B25" s="21">
        <v>97</v>
      </c>
      <c r="C25" s="21">
        <v>148</v>
      </c>
      <c r="D25" s="21">
        <v>274</v>
      </c>
      <c r="E25" s="40">
        <f>SUM(B25:D25)</f>
        <v>519</v>
      </c>
      <c r="F25" s="21">
        <v>367</v>
      </c>
      <c r="G25" s="21">
        <v>425</v>
      </c>
      <c r="H25" s="21">
        <v>417</v>
      </c>
      <c r="I25" s="40">
        <f>SUM(F25:H25)</f>
        <v>1209</v>
      </c>
      <c r="J25" s="21">
        <v>416</v>
      </c>
      <c r="K25" s="21">
        <v>334</v>
      </c>
      <c r="L25" s="21">
        <v>316</v>
      </c>
      <c r="M25" s="40">
        <f>SUM(J25:L25)</f>
        <v>1066</v>
      </c>
      <c r="N25" s="21">
        <v>285</v>
      </c>
      <c r="O25" s="21">
        <v>235</v>
      </c>
      <c r="P25" s="21">
        <v>186</v>
      </c>
      <c r="Q25" s="40">
        <f>SUM(N25:P25)</f>
        <v>706</v>
      </c>
      <c r="R25" s="22">
        <f>+E25+I25+M25+Q25</f>
        <v>3500</v>
      </c>
    </row>
    <row r="26" spans="1:20" ht="17.25" customHeight="1" thickBot="1" x14ac:dyDescent="0.35">
      <c r="A26" s="41"/>
      <c r="B26" s="36"/>
      <c r="C26" s="36"/>
      <c r="D26" s="36"/>
      <c r="E26" s="42"/>
      <c r="F26" s="36"/>
      <c r="G26" s="36"/>
      <c r="H26" s="36"/>
      <c r="I26" s="42"/>
      <c r="J26" s="36"/>
      <c r="K26" s="36"/>
      <c r="L26" s="36"/>
      <c r="M26" s="42"/>
      <c r="N26" s="36"/>
      <c r="O26" s="36"/>
      <c r="P26" s="36"/>
      <c r="Q26" s="42"/>
      <c r="R26" s="43"/>
    </row>
    <row r="27" spans="1:20" ht="15.75" customHeight="1" x14ac:dyDescent="0.3">
      <c r="A27" s="15" t="s">
        <v>41</v>
      </c>
      <c r="B27" s="1">
        <f>B25</f>
        <v>97</v>
      </c>
      <c r="C27" s="1">
        <f>C25</f>
        <v>148</v>
      </c>
      <c r="D27" s="1">
        <f>D25</f>
        <v>274</v>
      </c>
      <c r="E27" s="40">
        <f>SUM(B27:D27)</f>
        <v>519</v>
      </c>
      <c r="F27" s="1">
        <f>F25</f>
        <v>367</v>
      </c>
      <c r="G27" s="1">
        <f>G25</f>
        <v>425</v>
      </c>
      <c r="H27" s="1">
        <f>H25</f>
        <v>417</v>
      </c>
      <c r="I27" s="40">
        <f>SUM(F27:H27)</f>
        <v>1209</v>
      </c>
      <c r="J27" s="1">
        <f>J25</f>
        <v>416</v>
      </c>
      <c r="K27" s="1">
        <f>K25</f>
        <v>334</v>
      </c>
      <c r="L27" s="1">
        <f>L25</f>
        <v>316</v>
      </c>
      <c r="M27" s="40">
        <f>SUM(J27:L27)</f>
        <v>1066</v>
      </c>
      <c r="N27" s="1">
        <f>N25</f>
        <v>285</v>
      </c>
      <c r="O27" s="1">
        <f>O25</f>
        <v>235</v>
      </c>
      <c r="P27" s="1">
        <f>P25</f>
        <v>186</v>
      </c>
      <c r="Q27" s="44">
        <f>SUM(N27:P27)</f>
        <v>706</v>
      </c>
      <c r="R27" s="40">
        <f>+E27+I27+M27+Q27</f>
        <v>3500</v>
      </c>
    </row>
    <row r="28" spans="1:20" ht="15.75" customHeight="1" x14ac:dyDescent="0.3">
      <c r="A28" s="15" t="s">
        <v>42</v>
      </c>
      <c r="B28" s="1">
        <f>(B27/B10)/1.983</f>
        <v>1.5779285214647079</v>
      </c>
      <c r="C28" s="1">
        <f>(C27/C10)/1.983</f>
        <v>2.6655140119587926</v>
      </c>
      <c r="D28" s="1">
        <f>(D27/D10)/1.983</f>
        <v>4.457241390529175</v>
      </c>
      <c r="E28" s="16"/>
      <c r="F28" s="1">
        <f>(F27/F10)/1.983</f>
        <v>6.1691040511010247</v>
      </c>
      <c r="G28" s="1">
        <f>(G27/G10)/1.983</f>
        <v>6.9136043466237203</v>
      </c>
      <c r="H28" s="1">
        <f>(H27/H10)/1.983</f>
        <v>7.0095814422592033</v>
      </c>
      <c r="I28" s="16"/>
      <c r="J28" s="1">
        <f>(J27/J10)/1.983</f>
        <v>6.7671986075187478</v>
      </c>
      <c r="K28" s="1">
        <f>(K27/K10)/1.983</f>
        <v>5.433279651228994</v>
      </c>
      <c r="L28" s="1">
        <f>(L27/L10)/1.983</f>
        <v>5.3118171121196838</v>
      </c>
      <c r="M28" s="16"/>
      <c r="N28" s="1">
        <f>(N27/N10)/1.983</f>
        <v>4.6361817383241419</v>
      </c>
      <c r="O28" s="1">
        <f>(O27/O10)/1.983</f>
        <v>3.9502437384434357</v>
      </c>
      <c r="P28" s="1">
        <f>(P27/P10)/1.983</f>
        <v>3.02571860816944</v>
      </c>
      <c r="Q28" s="17"/>
      <c r="R28" s="16"/>
    </row>
    <row r="29" spans="1:20" ht="15.75" customHeight="1" x14ac:dyDescent="0.3">
      <c r="A29" s="15" t="s">
        <v>43</v>
      </c>
      <c r="B29" s="1">
        <f>B27+B64</f>
        <v>89713</v>
      </c>
      <c r="C29" s="1">
        <f>C27+C64</f>
        <v>107144</v>
      </c>
      <c r="D29" s="1">
        <f>D27+D64</f>
        <v>137595</v>
      </c>
      <c r="E29" s="16">
        <f>SUM(B29:D29)</f>
        <v>334452</v>
      </c>
      <c r="F29" s="1">
        <f>F27+F64</f>
        <v>168653</v>
      </c>
      <c r="G29" s="1">
        <f>G27+G64</f>
        <v>179408</v>
      </c>
      <c r="H29" s="1">
        <f>H27+H64</f>
        <v>92075</v>
      </c>
      <c r="I29" s="16">
        <f>SUM(F29:H29)</f>
        <v>440136</v>
      </c>
      <c r="J29" s="1">
        <f>J27+J64</f>
        <v>78705</v>
      </c>
      <c r="K29" s="1">
        <f>K27+K64</f>
        <v>28360</v>
      </c>
      <c r="L29" s="1">
        <f>L27+L64</f>
        <v>165276</v>
      </c>
      <c r="M29" s="16">
        <f>SUM(J29:L29)</f>
        <v>272341</v>
      </c>
      <c r="N29" s="1">
        <f>N27+N64</f>
        <v>175198</v>
      </c>
      <c r="O29" s="1">
        <f>O27+O64</f>
        <v>171224</v>
      </c>
      <c r="P29" s="1">
        <f>P27+P64</f>
        <v>142444</v>
      </c>
      <c r="Q29" s="17">
        <f>SUM(N29:P29)</f>
        <v>488866</v>
      </c>
      <c r="R29" s="16">
        <f>+E29+I29+M29+Q29</f>
        <v>1535795</v>
      </c>
    </row>
    <row r="30" spans="1:20" s="344" customFormat="1" ht="16.5" customHeight="1" thickBot="1" x14ac:dyDescent="0.35">
      <c r="A30" s="340" t="s">
        <v>44</v>
      </c>
      <c r="B30" s="341">
        <f>(B29/B10)/1.983</f>
        <v>1459.388674702715</v>
      </c>
      <c r="C30" s="341">
        <f>(C29/C10)/1.983</f>
        <v>1929.6880628196814</v>
      </c>
      <c r="D30" s="341">
        <f>(D29/D10)/1.983</f>
        <v>2238.2997413498611</v>
      </c>
      <c r="E30" s="342"/>
      <c r="F30" s="341">
        <f>(F29/F10)/1.983</f>
        <v>2834.980669020003</v>
      </c>
      <c r="G30" s="341">
        <f>(G29/G10)/1.983</f>
        <v>2918.4845379272197</v>
      </c>
      <c r="H30" s="341">
        <f>(H29/H10)/1.983</f>
        <v>1547.7391158177843</v>
      </c>
      <c r="I30" s="342"/>
      <c r="J30" s="341">
        <f>(J29/J10)/1.983</f>
        <v>1280.3181884729881</v>
      </c>
      <c r="K30" s="341">
        <f>(K29/K10)/1.983</f>
        <v>461.34075122411463</v>
      </c>
      <c r="L30" s="341">
        <f>(L29/L10)/1.983</f>
        <v>2778.2148260211798</v>
      </c>
      <c r="M30" s="342"/>
      <c r="N30" s="341">
        <f>(N29/N10)/1.983</f>
        <v>2849.9991866347827</v>
      </c>
      <c r="O30" s="341">
        <f>(O29/O10)/1.983</f>
        <v>2878.1980164733563</v>
      </c>
      <c r="P30" s="341">
        <f>(P29/P10)/1.983</f>
        <v>2317.1799001187514</v>
      </c>
      <c r="Q30" s="343"/>
      <c r="R30" s="342"/>
      <c r="T30" s="345" t="s">
        <v>45</v>
      </c>
    </row>
    <row r="31" spans="1:20" ht="6" customHeight="1" x14ac:dyDescent="0.3">
      <c r="A31" s="2"/>
      <c r="B31" s="1"/>
      <c r="C31" s="1"/>
      <c r="D31" s="1"/>
      <c r="E31" s="1"/>
      <c r="F31" s="1"/>
      <c r="G31" s="1"/>
      <c r="H31" s="1"/>
      <c r="I31" s="1"/>
      <c r="J31" s="1"/>
      <c r="K31" s="1"/>
      <c r="L31" s="1"/>
      <c r="M31" s="1"/>
      <c r="N31" s="1"/>
      <c r="O31" s="1"/>
      <c r="P31" s="1"/>
      <c r="Q31" s="1"/>
      <c r="R31" s="2"/>
      <c r="T31" s="45" t="s">
        <v>46</v>
      </c>
    </row>
    <row r="32" spans="1:20" ht="15.75" customHeight="1" thickBot="1" x14ac:dyDescent="0.35">
      <c r="A32" s="2"/>
      <c r="B32" s="1"/>
      <c r="C32" s="1"/>
      <c r="D32" s="1"/>
      <c r="E32" s="1"/>
      <c r="F32" s="1"/>
      <c r="G32" s="1"/>
      <c r="H32" s="1"/>
      <c r="I32" s="1"/>
      <c r="J32" s="1"/>
      <c r="K32" s="1"/>
      <c r="L32" s="1"/>
      <c r="M32" s="1"/>
      <c r="N32" s="1"/>
      <c r="O32" s="1"/>
      <c r="P32" s="1"/>
      <c r="Q32" s="1"/>
      <c r="R32" s="2"/>
    </row>
    <row r="33" spans="1:18" ht="15.75" customHeight="1" thickBot="1" x14ac:dyDescent="0.35">
      <c r="A33" s="46" t="s">
        <v>47</v>
      </c>
      <c r="B33" s="47" t="s">
        <v>8</v>
      </c>
      <c r="C33" s="48" t="s">
        <v>9</v>
      </c>
      <c r="D33" s="48" t="s">
        <v>10</v>
      </c>
      <c r="E33" s="32" t="s">
        <v>11</v>
      </c>
      <c r="F33" s="48" t="s">
        <v>12</v>
      </c>
      <c r="G33" s="48" t="s">
        <v>13</v>
      </c>
      <c r="H33" s="48" t="s">
        <v>14</v>
      </c>
      <c r="I33" s="32" t="s">
        <v>15</v>
      </c>
      <c r="J33" s="48" t="s">
        <v>16</v>
      </c>
      <c r="K33" s="48" t="s">
        <v>17</v>
      </c>
      <c r="L33" s="48" t="s">
        <v>18</v>
      </c>
      <c r="M33" s="32" t="s">
        <v>19</v>
      </c>
      <c r="N33" s="48" t="s">
        <v>20</v>
      </c>
      <c r="O33" s="48" t="s">
        <v>21</v>
      </c>
      <c r="P33" s="48" t="s">
        <v>22</v>
      </c>
      <c r="Q33" s="32" t="s">
        <v>23</v>
      </c>
      <c r="R33" s="49" t="s">
        <v>24</v>
      </c>
    </row>
    <row r="34" spans="1:18" ht="16.5" customHeight="1" thickBot="1" x14ac:dyDescent="0.35">
      <c r="A34" s="42"/>
      <c r="B34" s="50"/>
      <c r="C34" s="51"/>
      <c r="D34" s="51"/>
      <c r="E34" s="52"/>
      <c r="F34" s="51"/>
      <c r="G34" s="51"/>
      <c r="H34" s="51"/>
      <c r="I34" s="52"/>
      <c r="J34" s="51"/>
      <c r="K34" s="51"/>
      <c r="L34" s="51"/>
      <c r="M34" s="52"/>
      <c r="N34" s="51"/>
      <c r="O34" s="51"/>
      <c r="P34" s="51"/>
      <c r="Q34" s="52"/>
      <c r="R34" s="53"/>
    </row>
    <row r="35" spans="1:18" ht="15.75" customHeight="1" x14ac:dyDescent="0.3">
      <c r="A35" s="54" t="s">
        <v>48</v>
      </c>
      <c r="B35" s="28"/>
      <c r="C35" s="28"/>
      <c r="D35" s="28"/>
      <c r="E35" s="55" t="s">
        <v>7</v>
      </c>
      <c r="F35" s="28"/>
      <c r="G35" s="28"/>
      <c r="H35" s="28"/>
      <c r="I35" s="55" t="s">
        <v>7</v>
      </c>
      <c r="J35" s="28"/>
      <c r="K35" s="28"/>
      <c r="L35" s="28"/>
      <c r="M35" s="55" t="s">
        <v>7</v>
      </c>
      <c r="N35" s="28"/>
      <c r="O35" s="28"/>
      <c r="P35" s="28"/>
      <c r="Q35" s="55" t="s">
        <v>7</v>
      </c>
      <c r="R35" s="55" t="s">
        <v>7</v>
      </c>
    </row>
    <row r="36" spans="1:18" ht="15.75" customHeight="1" x14ac:dyDescent="0.3">
      <c r="A36" s="18" t="s">
        <v>49</v>
      </c>
      <c r="B36" s="28" t="s">
        <v>7</v>
      </c>
      <c r="C36" s="56"/>
      <c r="D36" s="56"/>
      <c r="E36" s="55" t="s">
        <v>7</v>
      </c>
      <c r="F36" s="56"/>
      <c r="G36" s="56"/>
      <c r="H36" s="56"/>
      <c r="I36" s="55" t="s">
        <v>7</v>
      </c>
      <c r="J36" s="56"/>
      <c r="K36" s="56"/>
      <c r="L36" s="56"/>
      <c r="M36" s="55" t="s">
        <v>7</v>
      </c>
      <c r="N36" s="56"/>
      <c r="O36" s="56"/>
      <c r="P36" s="56"/>
      <c r="Q36" s="55" t="s">
        <v>7</v>
      </c>
      <c r="R36" s="55" t="s">
        <v>7</v>
      </c>
    </row>
    <row r="37" spans="1:18" ht="15.75" customHeight="1" x14ac:dyDescent="0.3">
      <c r="A37" s="18" t="s">
        <v>50</v>
      </c>
      <c r="B37" s="28"/>
      <c r="C37" s="28"/>
      <c r="D37" s="28"/>
      <c r="E37" s="55" t="s">
        <v>7</v>
      </c>
      <c r="F37" s="28"/>
      <c r="G37" s="28"/>
      <c r="H37" s="28"/>
      <c r="I37" s="55" t="s">
        <v>7</v>
      </c>
      <c r="J37" s="28"/>
      <c r="K37" s="28"/>
      <c r="L37" s="28"/>
      <c r="M37" s="55" t="s">
        <v>7</v>
      </c>
      <c r="N37" s="28"/>
      <c r="O37" s="28"/>
      <c r="P37" s="28"/>
      <c r="Q37" s="55" t="s">
        <v>7</v>
      </c>
      <c r="R37" s="55" t="s">
        <v>7</v>
      </c>
    </row>
    <row r="38" spans="1:18" ht="15.75" customHeight="1" x14ac:dyDescent="0.3">
      <c r="A38" s="61" t="s">
        <v>797</v>
      </c>
      <c r="B38" s="1"/>
      <c r="C38" s="1"/>
      <c r="D38" s="1"/>
      <c r="E38" s="55">
        <f>SUM(B38:D38)</f>
        <v>0</v>
      </c>
      <c r="F38" s="1"/>
      <c r="G38" s="1"/>
      <c r="H38" s="1"/>
      <c r="I38" s="55">
        <f>SUM(F38:H38)</f>
        <v>0</v>
      </c>
      <c r="J38" s="1"/>
      <c r="K38" s="1"/>
      <c r="L38" s="1"/>
      <c r="M38" s="55">
        <f>SUM(J38:L38)</f>
        <v>0</v>
      </c>
      <c r="N38" s="1"/>
      <c r="O38" s="1"/>
      <c r="P38" s="1"/>
      <c r="Q38" s="55">
        <f>SUM(N38:P38)</f>
        <v>0</v>
      </c>
      <c r="R38" s="55">
        <f>+E38+I38+M38+Q38</f>
        <v>0</v>
      </c>
    </row>
    <row r="39" spans="1:18" ht="15.75" customHeight="1" x14ac:dyDescent="0.3">
      <c r="A39" s="18" t="s">
        <v>1186</v>
      </c>
      <c r="B39" s="28"/>
      <c r="C39" s="28"/>
      <c r="D39" s="28"/>
      <c r="E39" s="55" t="s">
        <v>52</v>
      </c>
      <c r="F39" s="28"/>
      <c r="G39" s="28"/>
      <c r="H39" s="28"/>
      <c r="I39" s="55" t="s">
        <v>52</v>
      </c>
      <c r="J39" s="28"/>
      <c r="K39" s="28"/>
      <c r="L39" s="28"/>
      <c r="M39" s="55" t="s">
        <v>52</v>
      </c>
      <c r="N39" s="28"/>
      <c r="O39" s="28"/>
      <c r="P39" s="28"/>
      <c r="Q39" s="55" t="s">
        <v>52</v>
      </c>
      <c r="R39" s="55" t="s">
        <v>52</v>
      </c>
    </row>
    <row r="40" spans="1:18" ht="15.75" customHeight="1" thickBot="1" x14ac:dyDescent="0.35">
      <c r="A40" s="18" t="s">
        <v>53</v>
      </c>
      <c r="B40" s="56"/>
      <c r="C40" s="56"/>
      <c r="D40" s="56"/>
      <c r="E40" s="55" t="s">
        <v>7</v>
      </c>
      <c r="F40" s="56"/>
      <c r="G40" s="56"/>
      <c r="H40" s="56"/>
      <c r="I40" s="55" t="s">
        <v>7</v>
      </c>
      <c r="J40" s="56"/>
      <c r="K40" s="56"/>
      <c r="L40" s="56"/>
      <c r="M40" s="55" t="s">
        <v>7</v>
      </c>
      <c r="N40" s="56"/>
      <c r="O40" s="56"/>
      <c r="P40" s="56"/>
      <c r="Q40" s="55" t="s">
        <v>7</v>
      </c>
      <c r="R40" s="55" t="s">
        <v>7</v>
      </c>
    </row>
    <row r="41" spans="1:18" ht="16.5" customHeight="1" thickBot="1" x14ac:dyDescent="0.35">
      <c r="A41" s="57" t="s">
        <v>54</v>
      </c>
      <c r="B41" s="58">
        <f>SUM(B35:B40)</f>
        <v>0</v>
      </c>
      <c r="C41" s="58">
        <f>SUM(C35:C40)</f>
        <v>0</v>
      </c>
      <c r="D41" s="58">
        <f>SUM(D35:D40)</f>
        <v>0</v>
      </c>
      <c r="E41" s="59">
        <f>SUM(B41:D41)</f>
        <v>0</v>
      </c>
      <c r="F41" s="58">
        <f>SUM(F35:F40)</f>
        <v>0</v>
      </c>
      <c r="G41" s="58">
        <f>SUM(G35:G40)</f>
        <v>0</v>
      </c>
      <c r="H41" s="58">
        <f>SUM(H35:H40)</f>
        <v>0</v>
      </c>
      <c r="I41" s="59">
        <f>SUM(F41:H41)</f>
        <v>0</v>
      </c>
      <c r="J41" s="58">
        <f>SUM(J35:J40)</f>
        <v>0</v>
      </c>
      <c r="K41" s="58">
        <f>SUM(K35:K40)</f>
        <v>0</v>
      </c>
      <c r="L41" s="58">
        <f>SUM(L35:L40)</f>
        <v>0</v>
      </c>
      <c r="M41" s="59">
        <f>SUM(J41:L41)</f>
        <v>0</v>
      </c>
      <c r="N41" s="58">
        <f>SUM(N35:N40)</f>
        <v>0</v>
      </c>
      <c r="O41" s="58">
        <f>SUM(O35:O40)</f>
        <v>0</v>
      </c>
      <c r="P41" s="58">
        <f>SUM(P35:P40)</f>
        <v>0</v>
      </c>
      <c r="Q41" s="59">
        <f>SUM(N41:P41)</f>
        <v>0</v>
      </c>
      <c r="R41" s="59">
        <f>+E41+I41+M41+Q41</f>
        <v>0</v>
      </c>
    </row>
    <row r="42" spans="1:18" ht="15.75" customHeight="1" x14ac:dyDescent="0.3">
      <c r="A42" s="18" t="s">
        <v>55</v>
      </c>
      <c r="B42" s="56"/>
      <c r="C42" s="56"/>
      <c r="D42" s="56"/>
      <c r="E42" s="55" t="s">
        <v>7</v>
      </c>
      <c r="F42" s="56"/>
      <c r="G42" s="56"/>
      <c r="H42" s="56"/>
      <c r="I42" s="55" t="s">
        <v>7</v>
      </c>
      <c r="J42" s="56"/>
      <c r="K42" s="56"/>
      <c r="L42" s="56"/>
      <c r="M42" s="55" t="s">
        <v>7</v>
      </c>
      <c r="N42" s="56"/>
      <c r="O42" s="56"/>
      <c r="P42" s="56"/>
      <c r="Q42" s="55" t="s">
        <v>7</v>
      </c>
      <c r="R42" s="60" t="s">
        <v>7</v>
      </c>
    </row>
    <row r="43" spans="1:18" ht="15.75" customHeight="1" x14ac:dyDescent="0.3">
      <c r="A43" s="18" t="s">
        <v>56</v>
      </c>
      <c r="B43" s="56"/>
      <c r="C43" s="56"/>
      <c r="D43" s="56"/>
      <c r="E43" s="55"/>
      <c r="F43" s="56"/>
      <c r="G43" s="56"/>
      <c r="H43" s="56"/>
      <c r="I43" s="55"/>
      <c r="J43" s="56"/>
      <c r="K43" s="56"/>
      <c r="L43" s="56"/>
      <c r="M43" s="55"/>
      <c r="N43" s="56"/>
      <c r="O43" s="56"/>
      <c r="P43" s="56"/>
      <c r="Q43" s="55"/>
      <c r="R43" s="55"/>
    </row>
    <row r="44" spans="1:18" ht="15.75" customHeight="1" x14ac:dyDescent="0.3">
      <c r="A44" s="18" t="s">
        <v>57</v>
      </c>
      <c r="B44" s="56"/>
      <c r="C44" s="56"/>
      <c r="D44" s="56"/>
      <c r="E44" s="55" t="s">
        <v>7</v>
      </c>
      <c r="F44" s="56"/>
      <c r="G44" s="56"/>
      <c r="H44" s="56"/>
      <c r="I44" s="55" t="s">
        <v>7</v>
      </c>
      <c r="J44" s="56"/>
      <c r="K44" s="56"/>
      <c r="L44" s="56"/>
      <c r="M44" s="55" t="s">
        <v>7</v>
      </c>
      <c r="N44" s="56"/>
      <c r="O44" s="56"/>
      <c r="P44" s="56"/>
      <c r="Q44" s="55" t="s">
        <v>7</v>
      </c>
      <c r="R44" s="55" t="s">
        <v>7</v>
      </c>
    </row>
    <row r="45" spans="1:18" ht="15.75" customHeight="1" thickBot="1" x14ac:dyDescent="0.35">
      <c r="A45" s="18" t="s">
        <v>58</v>
      </c>
      <c r="B45" s="56"/>
      <c r="C45" s="56"/>
      <c r="D45" s="56"/>
      <c r="E45" s="55" t="s">
        <v>7</v>
      </c>
      <c r="F45" s="56"/>
      <c r="G45" s="56"/>
      <c r="H45" s="56"/>
      <c r="I45" s="55" t="s">
        <v>7</v>
      </c>
      <c r="J45" s="56"/>
      <c r="K45" s="56"/>
      <c r="L45" s="56"/>
      <c r="M45" s="55" t="s">
        <v>7</v>
      </c>
      <c r="N45" s="56"/>
      <c r="O45" s="56"/>
      <c r="P45" s="56"/>
      <c r="Q45" s="55" t="s">
        <v>7</v>
      </c>
      <c r="R45" s="55" t="s">
        <v>7</v>
      </c>
    </row>
    <row r="46" spans="1:18" ht="16.5" customHeight="1" thickBot="1" x14ac:dyDescent="0.35">
      <c r="A46" s="57" t="s">
        <v>59</v>
      </c>
      <c r="B46" s="58">
        <f>SUM(B42:B45)</f>
        <v>0</v>
      </c>
      <c r="C46" s="58">
        <f>SUM(C42:C45)</f>
        <v>0</v>
      </c>
      <c r="D46" s="58">
        <f>SUM(D42:D45)</f>
        <v>0</v>
      </c>
      <c r="E46" s="59">
        <f>SUM(B46:D46)</f>
        <v>0</v>
      </c>
      <c r="F46" s="58">
        <f>SUM(F42:F45)</f>
        <v>0</v>
      </c>
      <c r="G46" s="58">
        <f>SUM(G42:G45)</f>
        <v>0</v>
      </c>
      <c r="H46" s="58">
        <f>SUM(H42:H45)</f>
        <v>0</v>
      </c>
      <c r="I46" s="59">
        <f>SUM(F46:H46)</f>
        <v>0</v>
      </c>
      <c r="J46" s="58">
        <f>SUM(J42:J45)</f>
        <v>0</v>
      </c>
      <c r="K46" s="58">
        <f>SUM(K42:K45)</f>
        <v>0</v>
      </c>
      <c r="L46" s="58">
        <f>SUM(L42:L45)</f>
        <v>0</v>
      </c>
      <c r="M46" s="59">
        <f>SUM(J46:L46)</f>
        <v>0</v>
      </c>
      <c r="N46" s="58">
        <f>SUM(N42:N45)</f>
        <v>0</v>
      </c>
      <c r="O46" s="58">
        <f>SUM(O42:O45)</f>
        <v>0</v>
      </c>
      <c r="P46" s="58">
        <f>SUM(P42:P45)</f>
        <v>0</v>
      </c>
      <c r="Q46" s="59">
        <f>SUM(N46:P46)</f>
        <v>0</v>
      </c>
      <c r="R46" s="59">
        <f>+E46+I46+M46+Q46</f>
        <v>0</v>
      </c>
    </row>
    <row r="47" spans="1:18" ht="15.75" customHeight="1" x14ac:dyDescent="0.3">
      <c r="A47" s="18" t="s">
        <v>60</v>
      </c>
      <c r="B47" s="56"/>
      <c r="C47" s="56"/>
      <c r="D47" s="56"/>
      <c r="E47" s="55" t="s">
        <v>7</v>
      </c>
      <c r="F47" s="56"/>
      <c r="G47" s="56"/>
      <c r="H47" s="56"/>
      <c r="I47" s="55" t="s">
        <v>7</v>
      </c>
      <c r="J47" s="56"/>
      <c r="K47" s="56"/>
      <c r="L47" s="56"/>
      <c r="M47" s="55" t="s">
        <v>7</v>
      </c>
      <c r="N47" s="56"/>
      <c r="O47" s="56"/>
      <c r="P47" s="56"/>
      <c r="Q47" s="55" t="s">
        <v>7</v>
      </c>
      <c r="R47" s="55" t="s">
        <v>7</v>
      </c>
    </row>
    <row r="48" spans="1:18" ht="15.75" customHeight="1" x14ac:dyDescent="0.3">
      <c r="A48" s="18" t="s">
        <v>61</v>
      </c>
      <c r="B48" s="56"/>
      <c r="C48" s="56"/>
      <c r="D48" s="56"/>
      <c r="E48" s="55" t="s">
        <v>7</v>
      </c>
      <c r="F48" s="56"/>
      <c r="G48" s="56"/>
      <c r="H48" s="56"/>
      <c r="I48" s="55" t="s">
        <v>7</v>
      </c>
      <c r="J48" s="56"/>
      <c r="K48" s="56"/>
      <c r="L48" s="56"/>
      <c r="M48" s="55" t="s">
        <v>7</v>
      </c>
      <c r="N48" s="56"/>
      <c r="O48" s="56"/>
      <c r="P48" s="56"/>
      <c r="Q48" s="55" t="s">
        <v>7</v>
      </c>
      <c r="R48" s="55" t="s">
        <v>7</v>
      </c>
    </row>
    <row r="49" spans="1:18" ht="15.75" customHeight="1" thickBot="1" x14ac:dyDescent="0.35">
      <c r="A49" s="18" t="s">
        <v>62</v>
      </c>
      <c r="B49" s="56"/>
      <c r="C49" s="56"/>
      <c r="D49" s="56"/>
      <c r="E49" s="55"/>
      <c r="F49" s="56"/>
      <c r="G49" s="56"/>
      <c r="H49" s="56"/>
      <c r="I49" s="55"/>
      <c r="J49" s="56"/>
      <c r="K49" s="56"/>
      <c r="L49" s="56"/>
      <c r="M49" s="55"/>
      <c r="N49" s="56"/>
      <c r="O49" s="56"/>
      <c r="P49" s="56"/>
      <c r="Q49" s="55"/>
      <c r="R49" s="55"/>
    </row>
    <row r="50" spans="1:18" ht="16.5" customHeight="1" thickBot="1" x14ac:dyDescent="0.35">
      <c r="A50" s="57" t="s">
        <v>63</v>
      </c>
      <c r="B50" s="58">
        <f>SUM(B47:B49)</f>
        <v>0</v>
      </c>
      <c r="C50" s="58">
        <f>SUM(C47:C49)</f>
        <v>0</v>
      </c>
      <c r="D50" s="58">
        <f>SUM(D47:D49)</f>
        <v>0</v>
      </c>
      <c r="E50" s="59">
        <f>SUM(B50:D50)</f>
        <v>0</v>
      </c>
      <c r="F50" s="58">
        <f>SUM(F47:F49)</f>
        <v>0</v>
      </c>
      <c r="G50" s="58">
        <f>SUM(G47:G49)</f>
        <v>0</v>
      </c>
      <c r="H50" s="58">
        <f>SUM(H47:H49)</f>
        <v>0</v>
      </c>
      <c r="I50" s="59">
        <f>SUM(F50:H50)</f>
        <v>0</v>
      </c>
      <c r="J50" s="58">
        <f>SUM(J47:J49)</f>
        <v>0</v>
      </c>
      <c r="K50" s="58">
        <f>SUM(K47:K49)</f>
        <v>0</v>
      </c>
      <c r="L50" s="58">
        <f>SUM(L47:L49)</f>
        <v>0</v>
      </c>
      <c r="M50" s="59">
        <f>SUM(J50:L50)</f>
        <v>0</v>
      </c>
      <c r="N50" s="58">
        <f>SUM(N47:N49)</f>
        <v>0</v>
      </c>
      <c r="O50" s="58">
        <f>SUM(O47:O49)</f>
        <v>0</v>
      </c>
      <c r="P50" s="58">
        <f>SUM(P47:P49)</f>
        <v>0</v>
      </c>
      <c r="Q50" s="59">
        <f>SUM(N50:P50)</f>
        <v>0</v>
      </c>
      <c r="R50" s="59">
        <f>+E50+I50+M50+Q50</f>
        <v>0</v>
      </c>
    </row>
    <row r="51" spans="1:18" ht="15.75" customHeight="1" x14ac:dyDescent="0.3">
      <c r="A51" s="18" t="s">
        <v>64</v>
      </c>
      <c r="B51" s="56"/>
      <c r="C51" s="56"/>
      <c r="D51" s="56"/>
      <c r="E51" s="55" t="s">
        <v>7</v>
      </c>
      <c r="F51" s="56"/>
      <c r="G51" s="56"/>
      <c r="H51" s="56"/>
      <c r="I51" s="55" t="s">
        <v>7</v>
      </c>
      <c r="J51" s="56"/>
      <c r="K51" s="56"/>
      <c r="L51" s="56"/>
      <c r="M51" s="55" t="s">
        <v>7</v>
      </c>
      <c r="N51" s="56"/>
      <c r="O51" s="56"/>
      <c r="P51" s="56"/>
      <c r="Q51" s="55" t="s">
        <v>7</v>
      </c>
      <c r="R51" s="55" t="s">
        <v>7</v>
      </c>
    </row>
    <row r="52" spans="1:18" ht="15.75" customHeight="1" x14ac:dyDescent="0.3">
      <c r="A52" s="18" t="s">
        <v>594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67</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61" t="s">
        <v>685</v>
      </c>
      <c r="B54" s="1"/>
      <c r="C54" s="1"/>
      <c r="D54" s="1"/>
      <c r="E54" s="55">
        <f>SUM(B54:D54)</f>
        <v>0</v>
      </c>
      <c r="F54" s="1"/>
      <c r="G54" s="1"/>
      <c r="H54" s="1"/>
      <c r="I54" s="55">
        <f>SUM(F54:H54)</f>
        <v>0</v>
      </c>
      <c r="J54" s="1"/>
      <c r="K54" s="1"/>
      <c r="L54" s="1"/>
      <c r="M54" s="55">
        <f>SUM(J54:L54)</f>
        <v>0</v>
      </c>
      <c r="N54" s="1"/>
      <c r="O54" s="1"/>
      <c r="P54" s="1"/>
      <c r="Q54" s="55">
        <f>SUM(N54:P54)</f>
        <v>0</v>
      </c>
      <c r="R54" s="55">
        <f>+E54+I54+M54+Q54</f>
        <v>0</v>
      </c>
    </row>
    <row r="55" spans="1:18" ht="15.75" customHeight="1" x14ac:dyDescent="0.3">
      <c r="A55" s="18" t="s">
        <v>600</v>
      </c>
      <c r="B55" s="56"/>
      <c r="C55" s="56"/>
      <c r="D55" s="56"/>
      <c r="E55" s="55" t="s">
        <v>7</v>
      </c>
      <c r="F55" s="56"/>
      <c r="G55" s="56"/>
      <c r="H55" s="56"/>
      <c r="I55" s="55" t="s">
        <v>7</v>
      </c>
      <c r="J55" s="56"/>
      <c r="K55" s="56"/>
      <c r="L55" s="56"/>
      <c r="M55" s="55" t="s">
        <v>7</v>
      </c>
      <c r="N55" s="56"/>
      <c r="O55" s="56"/>
      <c r="P55" s="56"/>
      <c r="Q55" s="55" t="s">
        <v>7</v>
      </c>
      <c r="R55" s="55" t="s">
        <v>7</v>
      </c>
    </row>
    <row r="56" spans="1:18" ht="15.75" customHeight="1" thickBot="1" x14ac:dyDescent="0.35">
      <c r="A56" s="18" t="s">
        <v>70</v>
      </c>
      <c r="B56" s="56"/>
      <c r="C56" s="56"/>
      <c r="D56" s="56"/>
      <c r="E56" s="55" t="s">
        <v>7</v>
      </c>
      <c r="F56" s="56"/>
      <c r="G56" s="56"/>
      <c r="H56" s="56"/>
      <c r="I56" s="55" t="s">
        <v>7</v>
      </c>
      <c r="J56" s="56"/>
      <c r="K56" s="56"/>
      <c r="L56" s="56"/>
      <c r="M56" s="55" t="s">
        <v>7</v>
      </c>
      <c r="N56" s="56"/>
      <c r="O56" s="56"/>
      <c r="P56" s="56"/>
      <c r="Q56" s="55" t="s">
        <v>7</v>
      </c>
      <c r="R56" s="55" t="s">
        <v>7</v>
      </c>
    </row>
    <row r="57" spans="1:18" ht="16.5" customHeight="1" thickBot="1" x14ac:dyDescent="0.35">
      <c r="A57" s="57" t="s">
        <v>71</v>
      </c>
      <c r="B57" s="58">
        <f>SUM(B55:B56)</f>
        <v>0</v>
      </c>
      <c r="C57" s="58">
        <f>SUM(C55:C56)</f>
        <v>0</v>
      </c>
      <c r="D57" s="58">
        <f>SUM(D55:D56)</f>
        <v>0</v>
      </c>
      <c r="E57" s="60">
        <f>SUM(B57:D57)</f>
        <v>0</v>
      </c>
      <c r="F57" s="58">
        <f>SUM(F55:F56)</f>
        <v>0</v>
      </c>
      <c r="G57" s="58">
        <f>SUM(G55:G56)</f>
        <v>0</v>
      </c>
      <c r="H57" s="58">
        <f>SUM(H55:H56)</f>
        <v>0</v>
      </c>
      <c r="I57" s="60">
        <f>SUM(F57:H57)</f>
        <v>0</v>
      </c>
      <c r="J57" s="58">
        <f>SUM(J55:J56)</f>
        <v>0</v>
      </c>
      <c r="K57" s="58">
        <f>SUM(K55:K56)</f>
        <v>0</v>
      </c>
      <c r="L57" s="58">
        <f>SUM(L55:L56)</f>
        <v>0</v>
      </c>
      <c r="M57" s="60">
        <f>SUM(J57:L57)</f>
        <v>0</v>
      </c>
      <c r="N57" s="58">
        <f>SUM(N55:N56)</f>
        <v>0</v>
      </c>
      <c r="O57" s="58">
        <f>SUM(O55:O56)</f>
        <v>0</v>
      </c>
      <c r="P57" s="58">
        <f>SUM(P55:P56)</f>
        <v>0</v>
      </c>
      <c r="Q57" s="60">
        <f>SUM(N57:P57)</f>
        <v>0</v>
      </c>
      <c r="R57" s="59">
        <f>+E57+I57+M57+Q57</f>
        <v>0</v>
      </c>
    </row>
    <row r="58" spans="1:18" ht="16.5" customHeight="1" thickBot="1" x14ac:dyDescent="0.35">
      <c r="A58" s="57" t="s">
        <v>72</v>
      </c>
      <c r="B58" s="58">
        <f>SUM(B51:B56)</f>
        <v>0</v>
      </c>
      <c r="C58" s="58">
        <f>SUM(C51:C56)</f>
        <v>0</v>
      </c>
      <c r="D58" s="58">
        <f>SUM(D51:D56)</f>
        <v>0</v>
      </c>
      <c r="E58" s="60">
        <f>SUM(B58:D58)</f>
        <v>0</v>
      </c>
      <c r="F58" s="58">
        <f>SUM(F51:F56)</f>
        <v>0</v>
      </c>
      <c r="G58" s="58">
        <f>SUM(G51:G56)</f>
        <v>0</v>
      </c>
      <c r="H58" s="58">
        <f>SUM(H51:H56)</f>
        <v>0</v>
      </c>
      <c r="I58" s="60">
        <f>SUM(F58:H58)</f>
        <v>0</v>
      </c>
      <c r="J58" s="58">
        <f>SUM(J51:J56)</f>
        <v>0</v>
      </c>
      <c r="K58" s="58">
        <f>SUM(K51:K56)</f>
        <v>0</v>
      </c>
      <c r="L58" s="58">
        <f>SUM(L51:L56)</f>
        <v>0</v>
      </c>
      <c r="M58" s="60">
        <f>SUM(J58:L58)</f>
        <v>0</v>
      </c>
      <c r="N58" s="58">
        <f>SUM(N51:N56)</f>
        <v>0</v>
      </c>
      <c r="O58" s="58">
        <f>SUM(O51:O56)</f>
        <v>0</v>
      </c>
      <c r="P58" s="58">
        <f>SUM(P51:P56)</f>
        <v>0</v>
      </c>
      <c r="Q58" s="60">
        <f>SUM(N58:P58)</f>
        <v>0</v>
      </c>
      <c r="R58" s="59">
        <f>+E58+I58+M58+Q58</f>
        <v>0</v>
      </c>
    </row>
    <row r="59" spans="1:18" ht="16.5" customHeight="1" thickBot="1" x14ac:dyDescent="0.35">
      <c r="A59" s="57" t="s">
        <v>73</v>
      </c>
      <c r="B59" s="58">
        <f>+B41+B46+B50+B58</f>
        <v>0</v>
      </c>
      <c r="C59" s="58">
        <f>+C41+C46+C50+C58</f>
        <v>0</v>
      </c>
      <c r="D59" s="58">
        <f>+D41+D46+D50+D58</f>
        <v>0</v>
      </c>
      <c r="E59" s="59">
        <f>SUM(B59:D59)</f>
        <v>0</v>
      </c>
      <c r="F59" s="58">
        <f>+F41+F46+F50+F58</f>
        <v>0</v>
      </c>
      <c r="G59" s="58">
        <f>+G41+G46+G50+G58</f>
        <v>0</v>
      </c>
      <c r="H59" s="58">
        <f>+H41+H46+H50+H58</f>
        <v>0</v>
      </c>
      <c r="I59" s="59">
        <f>SUM(F59:H59)</f>
        <v>0</v>
      </c>
      <c r="J59" s="58">
        <f>+J41+J46+J50+J58</f>
        <v>0</v>
      </c>
      <c r="K59" s="58">
        <f>+K41+K46+K50+K58</f>
        <v>0</v>
      </c>
      <c r="L59" s="58">
        <f>+L41+L46+L50+L58</f>
        <v>0</v>
      </c>
      <c r="M59" s="59">
        <f>SUM(J59:L59)</f>
        <v>0</v>
      </c>
      <c r="N59" s="58">
        <f>+N41+N46+N50+N58</f>
        <v>0</v>
      </c>
      <c r="O59" s="58">
        <f>+O41+O46+O50+O58</f>
        <v>0</v>
      </c>
      <c r="P59" s="58">
        <f>+P41+P46+P50+P58</f>
        <v>0</v>
      </c>
      <c r="Q59" s="59">
        <f>SUM(N59:P59)</f>
        <v>0</v>
      </c>
      <c r="R59" s="59">
        <f>+E59+I59+M59+Q59</f>
        <v>0</v>
      </c>
    </row>
    <row r="60" spans="1:18" ht="16.5" customHeight="1" thickBot="1" x14ac:dyDescent="0.35">
      <c r="A60" s="62" t="s">
        <v>40</v>
      </c>
      <c r="B60" s="63">
        <v>96</v>
      </c>
      <c r="C60" s="63">
        <v>145</v>
      </c>
      <c r="D60" s="63">
        <v>261</v>
      </c>
      <c r="E60" s="42">
        <f>SUM(B60:D60)</f>
        <v>502</v>
      </c>
      <c r="F60" s="63">
        <v>350</v>
      </c>
      <c r="G60" s="63">
        <v>402</v>
      </c>
      <c r="H60" s="63">
        <v>396</v>
      </c>
      <c r="I60" s="42">
        <f>SUM(F60:H60)</f>
        <v>1148</v>
      </c>
      <c r="J60" s="63">
        <v>394</v>
      </c>
      <c r="K60" s="63">
        <v>318</v>
      </c>
      <c r="L60" s="63">
        <v>301</v>
      </c>
      <c r="M60" s="42">
        <f>SUM(J60:L60)</f>
        <v>1013</v>
      </c>
      <c r="N60" s="63">
        <v>272</v>
      </c>
      <c r="O60" s="63">
        <v>226</v>
      </c>
      <c r="P60" s="63">
        <v>179</v>
      </c>
      <c r="Q60" s="42">
        <f>SUM(N60:P60)</f>
        <v>677</v>
      </c>
      <c r="R60" s="42">
        <f>+E60+I60+M60+Q60</f>
        <v>3340</v>
      </c>
    </row>
    <row r="61" spans="1:18" ht="16.5" customHeight="1" thickBot="1" x14ac:dyDescent="0.35">
      <c r="A61" s="41"/>
      <c r="B61" s="36"/>
      <c r="C61" s="36"/>
      <c r="D61" s="36"/>
      <c r="E61" s="22"/>
      <c r="F61" s="36"/>
      <c r="G61" s="36"/>
      <c r="H61" s="36"/>
      <c r="I61" s="22"/>
      <c r="J61" s="36"/>
      <c r="K61" s="36"/>
      <c r="L61" s="36"/>
      <c r="M61" s="22"/>
      <c r="N61" s="36"/>
      <c r="O61" s="36"/>
      <c r="P61" s="36"/>
      <c r="Q61" s="22"/>
      <c r="R61" s="41"/>
    </row>
    <row r="62" spans="1:18" ht="15.75" customHeight="1" x14ac:dyDescent="0.3">
      <c r="A62" s="15" t="s">
        <v>41</v>
      </c>
      <c r="B62" s="1">
        <f>+B59+B60</f>
        <v>96</v>
      </c>
      <c r="C62" s="1">
        <f>+C59+C60</f>
        <v>145</v>
      </c>
      <c r="D62" s="1">
        <f>+D59+D60</f>
        <v>261</v>
      </c>
      <c r="E62" s="40">
        <f>SUM(B62:D62)</f>
        <v>502</v>
      </c>
      <c r="F62" s="1">
        <f>+F59+F60</f>
        <v>350</v>
      </c>
      <c r="G62" s="1">
        <f>+G59+G60</f>
        <v>402</v>
      </c>
      <c r="H62" s="1">
        <f>+H59+H60</f>
        <v>396</v>
      </c>
      <c r="I62" s="40">
        <f>SUM(F62:H62)</f>
        <v>1148</v>
      </c>
      <c r="J62" s="1">
        <f>+J59+J60</f>
        <v>394</v>
      </c>
      <c r="K62" s="1">
        <f>+K59+K60</f>
        <v>318</v>
      </c>
      <c r="L62" s="1">
        <f>+L59+L60</f>
        <v>301</v>
      </c>
      <c r="M62" s="40">
        <f>SUM(J62:L62)</f>
        <v>1013</v>
      </c>
      <c r="N62" s="1">
        <f>+N59+N60</f>
        <v>272</v>
      </c>
      <c r="O62" s="1">
        <f>+O59+O60</f>
        <v>226</v>
      </c>
      <c r="P62" s="1">
        <f>+P59+P60</f>
        <v>179</v>
      </c>
      <c r="Q62" s="44">
        <f>SUM(N62:P62)</f>
        <v>677</v>
      </c>
      <c r="R62" s="16">
        <f>+E62+I62+M62+Q62</f>
        <v>3340</v>
      </c>
    </row>
    <row r="63" spans="1:18" ht="15.75" customHeight="1" x14ac:dyDescent="0.3">
      <c r="A63" s="15" t="s">
        <v>42</v>
      </c>
      <c r="B63" s="1">
        <f>(B62/B10)/1.983</f>
        <v>1.5616612171197111</v>
      </c>
      <c r="C63" s="1">
        <f>(C62/C10)/1.983</f>
        <v>2.6114833225271954</v>
      </c>
      <c r="D63" s="1">
        <f>(D62/D10)/1.983</f>
        <v>4.2457664340442145</v>
      </c>
      <c r="E63" s="16"/>
      <c r="F63" s="1">
        <f>(F62/F10)/1.983</f>
        <v>5.8833417381072444</v>
      </c>
      <c r="G63" s="1">
        <f>(G62/G10)/1.983</f>
        <v>6.5394563466887892</v>
      </c>
      <c r="H63" s="1">
        <f>(H62/H10)/1.983</f>
        <v>6.6565809379727678</v>
      </c>
      <c r="I63" s="16"/>
      <c r="J63" s="1">
        <f>(J62/J10)/1.983</f>
        <v>6.4093179119288139</v>
      </c>
      <c r="K63" s="1">
        <f>(K62/K10)/1.983</f>
        <v>5.1730027817090427</v>
      </c>
      <c r="L63" s="1">
        <f>(L62/L10)/1.983</f>
        <v>5.0596738947722306</v>
      </c>
      <c r="M63" s="16"/>
      <c r="N63" s="1">
        <f>(N62/N10)/1.983</f>
        <v>4.4247067818391805</v>
      </c>
      <c r="O63" s="1">
        <f>(O62/O10)/1.983</f>
        <v>3.7989578080349635</v>
      </c>
      <c r="P63" s="1">
        <f>(P62/P10)/1.983</f>
        <v>2.9118474777544612</v>
      </c>
      <c r="Q63" s="17"/>
      <c r="R63" s="64"/>
    </row>
    <row r="64" spans="1:18" ht="15.75" customHeight="1" x14ac:dyDescent="0.3">
      <c r="A64" s="15" t="s">
        <v>74</v>
      </c>
      <c r="B64" s="1">
        <f>B62+B133</f>
        <v>89616</v>
      </c>
      <c r="C64" s="1">
        <f>C62+C133</f>
        <v>106996</v>
      </c>
      <c r="D64" s="1">
        <f>D62+D133</f>
        <v>137321</v>
      </c>
      <c r="E64" s="16">
        <f>SUM(B64:D64)</f>
        <v>333933</v>
      </c>
      <c r="F64" s="1">
        <f>F62+F133</f>
        <v>168286</v>
      </c>
      <c r="G64" s="1">
        <f>G62+G133</f>
        <v>178983</v>
      </c>
      <c r="H64" s="1">
        <f>H62+H133</f>
        <v>91658</v>
      </c>
      <c r="I64" s="16">
        <f>SUM(F64:H64)</f>
        <v>438927</v>
      </c>
      <c r="J64" s="1">
        <f>J62+J133</f>
        <v>78289</v>
      </c>
      <c r="K64" s="1">
        <f>K62+K133</f>
        <v>28026</v>
      </c>
      <c r="L64" s="1">
        <f>L62+L133</f>
        <v>164960</v>
      </c>
      <c r="M64" s="16">
        <f>SUM(J64:L64)</f>
        <v>271275</v>
      </c>
      <c r="N64" s="1">
        <f>N62+N133</f>
        <v>174913</v>
      </c>
      <c r="O64" s="1">
        <f>O62+O133</f>
        <v>170989</v>
      </c>
      <c r="P64" s="1">
        <f>P62+P133</f>
        <v>142258</v>
      </c>
      <c r="Q64" s="17">
        <f>SUM(N64:P64)</f>
        <v>488160</v>
      </c>
      <c r="R64" s="16">
        <f>+E64+I64+M64+Q64</f>
        <v>1532295</v>
      </c>
    </row>
    <row r="65" spans="1:20" ht="16.5" customHeight="1" thickBot="1" x14ac:dyDescent="0.35">
      <c r="A65" s="20" t="s">
        <v>75</v>
      </c>
      <c r="B65" s="21">
        <f>(B64/B10)/1.983</f>
        <v>1457.8107461812504</v>
      </c>
      <c r="C65" s="21">
        <f>(C64/C10)/1.983</f>
        <v>1927.0225488077226</v>
      </c>
      <c r="D65" s="21">
        <f>(D64/D10)/1.983</f>
        <v>2233.8424999593317</v>
      </c>
      <c r="E65" s="22"/>
      <c r="F65" s="21">
        <f>(F64/F10)/1.983</f>
        <v>2828.8115649689025</v>
      </c>
      <c r="G65" s="21">
        <f>(G64/G10)/1.983</f>
        <v>2911.5709335805964</v>
      </c>
      <c r="H65" s="21">
        <f>(H64/H10)/1.983</f>
        <v>1540.7295343755254</v>
      </c>
      <c r="I65" s="22"/>
      <c r="J65" s="21">
        <f>(J64/J10)/1.983</f>
        <v>1273.5509898654693</v>
      </c>
      <c r="K65" s="21">
        <f>(K64/K10)/1.983</f>
        <v>455.90747157288564</v>
      </c>
      <c r="L65" s="21">
        <f>(L64/L10)/1.983</f>
        <v>2772.9030089090602</v>
      </c>
      <c r="M65" s="22"/>
      <c r="N65" s="21">
        <f>(N64/N10)/1.983</f>
        <v>2845.3630048964583</v>
      </c>
      <c r="O65" s="21">
        <f>(O64/O10)/1.983</f>
        <v>2874.2477727349133</v>
      </c>
      <c r="P65" s="21">
        <f>(P64/P10)/1.983</f>
        <v>2314.1541815105816</v>
      </c>
      <c r="Q65" s="23"/>
      <c r="R65" s="65" t="s">
        <v>7</v>
      </c>
    </row>
    <row r="66" spans="1:20" ht="15.75" customHeight="1" x14ac:dyDescent="0.3">
      <c r="A66" s="2"/>
      <c r="B66" s="1"/>
      <c r="C66" s="1"/>
      <c r="D66" s="1"/>
      <c r="E66" s="1"/>
      <c r="F66" s="1"/>
      <c r="G66" s="1"/>
      <c r="H66" s="1"/>
      <c r="I66" s="1"/>
      <c r="J66" s="1"/>
      <c r="K66" s="1"/>
      <c r="L66" s="1"/>
      <c r="M66" s="1"/>
      <c r="N66" s="1"/>
      <c r="O66" s="1"/>
      <c r="P66" s="1"/>
      <c r="Q66" s="1"/>
      <c r="R66" s="2"/>
    </row>
    <row r="67" spans="1:20" ht="15.75" customHeight="1" thickBot="1" x14ac:dyDescent="0.35">
      <c r="A67" s="2"/>
      <c r="B67" s="1"/>
      <c r="C67" s="1"/>
      <c r="D67" s="1"/>
      <c r="E67" s="1"/>
      <c r="F67" s="1"/>
      <c r="G67" s="1"/>
      <c r="H67" s="1"/>
      <c r="I67" s="1"/>
      <c r="J67" s="1"/>
      <c r="K67" s="1"/>
      <c r="L67" s="1"/>
      <c r="M67" s="1"/>
      <c r="N67" s="1"/>
      <c r="O67" s="1"/>
      <c r="P67" s="1"/>
      <c r="Q67" s="1"/>
      <c r="R67" s="2"/>
    </row>
    <row r="68" spans="1:20" ht="16.5" customHeight="1" thickBot="1" x14ac:dyDescent="0.35">
      <c r="A68" s="29" t="s">
        <v>76</v>
      </c>
      <c r="B68" s="30" t="s">
        <v>8</v>
      </c>
      <c r="C68" s="31" t="s">
        <v>9</v>
      </c>
      <c r="D68" s="31" t="s">
        <v>10</v>
      </c>
      <c r="E68" s="32" t="s">
        <v>11</v>
      </c>
      <c r="F68" s="31" t="s">
        <v>12</v>
      </c>
      <c r="G68" s="31" t="s">
        <v>13</v>
      </c>
      <c r="H68" s="31" t="s">
        <v>14</v>
      </c>
      <c r="I68" s="33" t="s">
        <v>15</v>
      </c>
      <c r="J68" s="31" t="s">
        <v>16</v>
      </c>
      <c r="K68" s="31" t="s">
        <v>17</v>
      </c>
      <c r="L68" s="31" t="s">
        <v>18</v>
      </c>
      <c r="M68" s="33" t="s">
        <v>19</v>
      </c>
      <c r="N68" s="31" t="s">
        <v>20</v>
      </c>
      <c r="O68" s="31" t="s">
        <v>21</v>
      </c>
      <c r="P68" s="31" t="s">
        <v>22</v>
      </c>
      <c r="Q68" s="33" t="s">
        <v>23</v>
      </c>
      <c r="R68" s="34" t="s">
        <v>24</v>
      </c>
    </row>
    <row r="69" spans="1:20" ht="16.5" customHeight="1" thickBot="1" x14ac:dyDescent="0.35">
      <c r="A69" s="66"/>
      <c r="B69" s="67"/>
      <c r="C69" s="68"/>
      <c r="D69" s="68"/>
      <c r="E69" s="69"/>
      <c r="F69" s="68"/>
      <c r="G69" s="68"/>
      <c r="H69" s="68"/>
      <c r="I69" s="69"/>
      <c r="J69" s="68"/>
      <c r="K69" s="68"/>
      <c r="L69" s="68"/>
      <c r="M69" s="69"/>
      <c r="N69" s="68"/>
      <c r="O69" s="68"/>
      <c r="P69" s="70"/>
      <c r="Q69" s="69"/>
      <c r="R69" s="59"/>
    </row>
    <row r="70" spans="1:20" ht="15.75" customHeight="1" x14ac:dyDescent="0.3">
      <c r="A70" s="54" t="s">
        <v>48</v>
      </c>
      <c r="B70" s="28"/>
      <c r="C70" s="28"/>
      <c r="D70" s="28"/>
      <c r="E70" s="55" t="s">
        <v>7</v>
      </c>
      <c r="F70" s="28"/>
      <c r="G70" s="28"/>
      <c r="H70" s="28"/>
      <c r="I70" s="55" t="s">
        <v>7</v>
      </c>
      <c r="J70" s="28"/>
      <c r="K70" s="28"/>
      <c r="L70" s="28"/>
      <c r="M70" s="55" t="s">
        <v>7</v>
      </c>
      <c r="N70" s="28"/>
      <c r="O70" s="28"/>
      <c r="P70" s="28"/>
      <c r="Q70" s="55" t="s">
        <v>7</v>
      </c>
      <c r="R70" s="55" t="s">
        <v>7</v>
      </c>
    </row>
    <row r="71" spans="1:20" ht="15.75" customHeight="1" x14ac:dyDescent="0.3">
      <c r="A71" s="18" t="s">
        <v>49</v>
      </c>
      <c r="B71" s="28"/>
      <c r="C71" s="56"/>
      <c r="D71" s="56"/>
      <c r="E71" s="55" t="s">
        <v>7</v>
      </c>
      <c r="F71" s="56"/>
      <c r="G71" s="56"/>
      <c r="H71" s="56"/>
      <c r="I71" s="55" t="s">
        <v>7</v>
      </c>
      <c r="J71" s="56"/>
      <c r="K71" s="56"/>
      <c r="L71" s="56"/>
      <c r="M71" s="55" t="s">
        <v>7</v>
      </c>
      <c r="N71" s="56"/>
      <c r="O71" s="56"/>
      <c r="P71" s="56"/>
      <c r="Q71" s="55" t="s">
        <v>7</v>
      </c>
      <c r="R71" s="55" t="s">
        <v>7</v>
      </c>
    </row>
    <row r="72" spans="1:20" ht="15.75" customHeight="1" x14ac:dyDescent="0.3">
      <c r="A72" s="71" t="s">
        <v>798</v>
      </c>
      <c r="B72" s="1"/>
      <c r="C72" s="1"/>
      <c r="D72" s="1"/>
      <c r="E72" s="55">
        <f t="shared" ref="E72:E82" si="5">SUM(B72:D72)</f>
        <v>0</v>
      </c>
      <c r="F72" s="1"/>
      <c r="G72" s="1"/>
      <c r="H72" s="1"/>
      <c r="I72" s="55">
        <f t="shared" ref="I72:I82" si="6">SUM(F72:H72)</f>
        <v>0</v>
      </c>
      <c r="J72" s="1"/>
      <c r="K72" s="1"/>
      <c r="L72" s="1"/>
      <c r="M72" s="55">
        <f t="shared" ref="M72:M82" si="7">SUM(J72:L72)</f>
        <v>0</v>
      </c>
      <c r="N72" s="1"/>
      <c r="O72" s="1"/>
      <c r="P72" s="1"/>
      <c r="Q72" s="55">
        <f t="shared" ref="Q72:Q82" si="8">SUM(N72:P72)</f>
        <v>0</v>
      </c>
      <c r="R72" s="55">
        <f t="shared" ref="R72:R82" si="9">+E72+I72+M72+Q72</f>
        <v>0</v>
      </c>
    </row>
    <row r="73" spans="1:20" ht="15.75" customHeight="1" x14ac:dyDescent="0.3">
      <c r="A73" s="71" t="s">
        <v>799</v>
      </c>
      <c r="B73" s="1"/>
      <c r="C73" s="1"/>
      <c r="D73" s="1"/>
      <c r="E73" s="55">
        <f>SUM(B73:D73)</f>
        <v>0</v>
      </c>
      <c r="F73" s="1"/>
      <c r="G73" s="1"/>
      <c r="H73" s="1"/>
      <c r="I73" s="55">
        <f>SUM(F73:H73)</f>
        <v>0</v>
      </c>
      <c r="J73" s="1"/>
      <c r="K73" s="1"/>
      <c r="L73" s="1"/>
      <c r="M73" s="55">
        <f>SUM(J73:L73)</f>
        <v>0</v>
      </c>
      <c r="N73" s="1"/>
      <c r="O73" s="1"/>
      <c r="P73" s="1"/>
      <c r="Q73" s="55">
        <f>SUM(N73:P73)</f>
        <v>0</v>
      </c>
      <c r="R73" s="55">
        <f>+E73+I73+M73+Q73</f>
        <v>0</v>
      </c>
    </row>
    <row r="74" spans="1:20" ht="15.75" customHeight="1" x14ac:dyDescent="0.3">
      <c r="A74" s="71" t="s">
        <v>524</v>
      </c>
      <c r="B74" s="1"/>
      <c r="C74" s="1"/>
      <c r="D74" s="1"/>
      <c r="E74" s="55">
        <f t="shared" si="5"/>
        <v>0</v>
      </c>
      <c r="F74" s="1"/>
      <c r="G74" s="1"/>
      <c r="H74" s="1"/>
      <c r="I74" s="55">
        <f t="shared" si="6"/>
        <v>0</v>
      </c>
      <c r="J74" s="1"/>
      <c r="K74" s="1"/>
      <c r="L74" s="1"/>
      <c r="M74" s="55">
        <f t="shared" si="7"/>
        <v>0</v>
      </c>
      <c r="N74" s="1"/>
      <c r="O74" s="1"/>
      <c r="P74" s="1"/>
      <c r="Q74" s="55">
        <f t="shared" si="8"/>
        <v>0</v>
      </c>
      <c r="R74" s="55">
        <f t="shared" si="9"/>
        <v>0</v>
      </c>
    </row>
    <row r="75" spans="1:20" ht="15.75" customHeight="1" x14ac:dyDescent="0.3">
      <c r="A75" s="71" t="s">
        <v>800</v>
      </c>
      <c r="B75" s="1"/>
      <c r="C75" s="1"/>
      <c r="D75" s="1"/>
      <c r="E75" s="55">
        <f t="shared" si="5"/>
        <v>0</v>
      </c>
      <c r="F75" s="1"/>
      <c r="G75" s="1"/>
      <c r="H75" s="1"/>
      <c r="I75" s="55">
        <f t="shared" si="6"/>
        <v>0</v>
      </c>
      <c r="K75" s="1"/>
      <c r="L75" s="1"/>
      <c r="M75" s="55">
        <f t="shared" si="7"/>
        <v>0</v>
      </c>
      <c r="N75" s="1"/>
      <c r="O75" s="1"/>
      <c r="P75" s="1"/>
      <c r="Q75" s="55">
        <f t="shared" si="8"/>
        <v>0</v>
      </c>
      <c r="R75" s="55">
        <f t="shared" si="9"/>
        <v>0</v>
      </c>
      <c r="T75" s="4" t="s">
        <v>801</v>
      </c>
    </row>
    <row r="76" spans="1:20" ht="15.75" customHeight="1" x14ac:dyDescent="0.3">
      <c r="A76" s="71" t="s">
        <v>1256</v>
      </c>
      <c r="B76" s="1"/>
      <c r="C76" s="1"/>
      <c r="D76" s="1"/>
      <c r="E76" s="55">
        <f t="shared" si="5"/>
        <v>0</v>
      </c>
      <c r="F76" s="1"/>
      <c r="G76" s="1"/>
      <c r="H76" s="1"/>
      <c r="I76" s="55">
        <f t="shared" si="6"/>
        <v>0</v>
      </c>
      <c r="J76" s="1"/>
      <c r="K76" s="1"/>
      <c r="L76" s="1"/>
      <c r="M76" s="55">
        <f t="shared" si="7"/>
        <v>0</v>
      </c>
      <c r="N76" s="1"/>
      <c r="O76" s="1"/>
      <c r="P76" s="1"/>
      <c r="Q76" s="55">
        <f t="shared" si="8"/>
        <v>0</v>
      </c>
      <c r="R76" s="55">
        <f t="shared" si="9"/>
        <v>0</v>
      </c>
      <c r="S76" s="477" t="s">
        <v>1257</v>
      </c>
      <c r="T76" s="4" t="s">
        <v>801</v>
      </c>
    </row>
    <row r="77" spans="1:20" ht="15.75" customHeight="1" x14ac:dyDescent="0.3">
      <c r="A77" s="71" t="s">
        <v>78</v>
      </c>
      <c r="B77" s="1"/>
      <c r="C77" s="1"/>
      <c r="D77" s="1"/>
      <c r="E77" s="55">
        <f t="shared" si="5"/>
        <v>0</v>
      </c>
      <c r="F77" s="1"/>
      <c r="G77" s="1"/>
      <c r="H77" s="1"/>
      <c r="I77" s="55">
        <f t="shared" si="6"/>
        <v>0</v>
      </c>
      <c r="J77" s="1"/>
      <c r="K77" s="1"/>
      <c r="L77" s="1"/>
      <c r="M77" s="55">
        <f t="shared" si="7"/>
        <v>0</v>
      </c>
      <c r="N77" s="1"/>
      <c r="O77" s="1"/>
      <c r="P77" s="1"/>
      <c r="Q77" s="55">
        <f t="shared" si="8"/>
        <v>0</v>
      </c>
      <c r="R77" s="55">
        <f t="shared" si="9"/>
        <v>0</v>
      </c>
    </row>
    <row r="78" spans="1:20" ht="15.75" customHeight="1" x14ac:dyDescent="0.3">
      <c r="A78" s="71" t="s">
        <v>525</v>
      </c>
      <c r="B78" s="1"/>
      <c r="C78" s="1"/>
      <c r="D78" s="1"/>
      <c r="E78" s="55">
        <f t="shared" si="5"/>
        <v>0</v>
      </c>
      <c r="F78" s="1"/>
      <c r="G78" s="1"/>
      <c r="H78" s="1"/>
      <c r="I78" s="55">
        <f t="shared" si="6"/>
        <v>0</v>
      </c>
      <c r="J78" s="1"/>
      <c r="K78" s="1"/>
      <c r="L78" s="1"/>
      <c r="M78" s="55">
        <f t="shared" si="7"/>
        <v>0</v>
      </c>
      <c r="N78" s="1"/>
      <c r="O78" s="1"/>
      <c r="P78" s="1"/>
      <c r="Q78" s="55">
        <f t="shared" si="8"/>
        <v>0</v>
      </c>
      <c r="R78" s="55">
        <f t="shared" si="9"/>
        <v>0</v>
      </c>
      <c r="T78" s="4" t="s">
        <v>803</v>
      </c>
    </row>
    <row r="79" spans="1:20" ht="15.75" customHeight="1" x14ac:dyDescent="0.3">
      <c r="A79" s="72" t="s">
        <v>1187</v>
      </c>
      <c r="B79" s="1"/>
      <c r="C79" s="1"/>
      <c r="D79" s="1"/>
      <c r="E79" s="55">
        <f t="shared" si="5"/>
        <v>0</v>
      </c>
      <c r="F79" s="1"/>
      <c r="G79" s="1">
        <v>512</v>
      </c>
      <c r="H79" s="1">
        <v>512</v>
      </c>
      <c r="I79" s="55">
        <f t="shared" si="6"/>
        <v>1024</v>
      </c>
      <c r="J79" s="1">
        <v>512</v>
      </c>
      <c r="K79" s="1">
        <v>512</v>
      </c>
      <c r="L79" s="1"/>
      <c r="M79" s="55">
        <f t="shared" si="7"/>
        <v>1024</v>
      </c>
      <c r="N79" s="1"/>
      <c r="O79" s="1"/>
      <c r="P79" s="1"/>
      <c r="Q79" s="55">
        <f t="shared" si="8"/>
        <v>0</v>
      </c>
      <c r="R79" s="55">
        <f t="shared" si="9"/>
        <v>2048</v>
      </c>
    </row>
    <row r="80" spans="1:20" ht="15.75" customHeight="1" x14ac:dyDescent="0.3">
      <c r="A80" s="72" t="s">
        <v>79</v>
      </c>
      <c r="B80" s="1"/>
      <c r="C80" s="1"/>
      <c r="D80" s="1"/>
      <c r="E80" s="55">
        <f t="shared" si="5"/>
        <v>0</v>
      </c>
      <c r="F80" s="1"/>
      <c r="G80" s="1"/>
      <c r="H80" s="1"/>
      <c r="I80" s="55">
        <f t="shared" si="6"/>
        <v>0</v>
      </c>
      <c r="J80" s="1"/>
      <c r="K80" s="1"/>
      <c r="L80" s="1"/>
      <c r="M80" s="55">
        <f t="shared" si="7"/>
        <v>0</v>
      </c>
      <c r="N80" s="1"/>
      <c r="O80" s="1"/>
      <c r="P80" s="1"/>
      <c r="Q80" s="55">
        <f t="shared" si="8"/>
        <v>0</v>
      </c>
      <c r="R80" s="55">
        <f t="shared" si="9"/>
        <v>0</v>
      </c>
    </row>
    <row r="81" spans="1:20" ht="15.75" customHeight="1" x14ac:dyDescent="0.3">
      <c r="A81" s="72" t="s">
        <v>804</v>
      </c>
      <c r="B81" s="1"/>
      <c r="C81" s="1"/>
      <c r="D81" s="1"/>
      <c r="E81" s="55">
        <f>SUM(B81:D81)</f>
        <v>0</v>
      </c>
      <c r="F81" s="1"/>
      <c r="G81" s="1"/>
      <c r="H81" s="1"/>
      <c r="I81" s="55">
        <f>SUM(F81:H81)</f>
        <v>0</v>
      </c>
      <c r="J81" s="1"/>
      <c r="K81" s="1"/>
      <c r="L81" s="1"/>
      <c r="M81" s="55">
        <f>SUM(J81:L81)</f>
        <v>0</v>
      </c>
      <c r="N81" s="1"/>
      <c r="O81" s="1"/>
      <c r="P81" s="1"/>
      <c r="Q81" s="55">
        <f>SUM(N81:P81)</f>
        <v>0</v>
      </c>
      <c r="R81" s="55">
        <f t="shared" si="9"/>
        <v>0</v>
      </c>
    </row>
    <row r="82" spans="1:20" ht="15.75" customHeight="1" x14ac:dyDescent="0.3">
      <c r="A82" s="72" t="s">
        <v>80</v>
      </c>
      <c r="B82" s="1"/>
      <c r="C82" s="1"/>
      <c r="D82" s="1"/>
      <c r="E82" s="55">
        <f t="shared" si="5"/>
        <v>0</v>
      </c>
      <c r="F82" s="1"/>
      <c r="G82" s="1"/>
      <c r="H82" s="1"/>
      <c r="I82" s="55">
        <f t="shared" si="6"/>
        <v>0</v>
      </c>
      <c r="J82" s="1"/>
      <c r="K82" s="1"/>
      <c r="L82" s="1"/>
      <c r="M82" s="55">
        <f t="shared" si="7"/>
        <v>0</v>
      </c>
      <c r="N82" s="1"/>
      <c r="O82" s="1"/>
      <c r="P82" s="1"/>
      <c r="Q82" s="55">
        <f t="shared" si="8"/>
        <v>0</v>
      </c>
      <c r="R82" s="55">
        <f t="shared" si="9"/>
        <v>0</v>
      </c>
      <c r="S82" s="4">
        <f>SUM(R72:R82)</f>
        <v>2048</v>
      </c>
    </row>
    <row r="83" spans="1:20" ht="15.75" customHeight="1" x14ac:dyDescent="0.3">
      <c r="A83" s="18" t="s">
        <v>50</v>
      </c>
      <c r="B83" s="28"/>
      <c r="C83" s="28"/>
      <c r="D83" s="28"/>
      <c r="E83" s="55" t="s">
        <v>7</v>
      </c>
      <c r="F83" s="28"/>
      <c r="G83" s="28"/>
      <c r="H83" s="28"/>
      <c r="I83" s="55" t="s">
        <v>7</v>
      </c>
      <c r="J83" s="28"/>
      <c r="K83" s="28"/>
      <c r="L83" s="28"/>
      <c r="M83" s="55" t="s">
        <v>7</v>
      </c>
      <c r="N83" s="28"/>
      <c r="O83" s="28"/>
      <c r="P83" s="28"/>
      <c r="Q83" s="55" t="s">
        <v>7</v>
      </c>
      <c r="R83" s="55" t="s">
        <v>7</v>
      </c>
    </row>
    <row r="84" spans="1:20" ht="15.75" customHeight="1" x14ac:dyDescent="0.3">
      <c r="A84" s="72" t="s">
        <v>83</v>
      </c>
      <c r="B84" s="1"/>
      <c r="C84" s="1"/>
      <c r="D84" s="1"/>
      <c r="E84" s="55">
        <f>SUM(B84:D84)</f>
        <v>0</v>
      </c>
      <c r="F84" s="1"/>
      <c r="G84" s="1"/>
      <c r="H84" s="1"/>
      <c r="I84" s="55">
        <f>SUM(F84:H84)</f>
        <v>0</v>
      </c>
      <c r="J84" s="1"/>
      <c r="K84" s="1"/>
      <c r="L84" s="1"/>
      <c r="M84" s="55">
        <f>SUM(J84:L84)</f>
        <v>0</v>
      </c>
      <c r="N84" s="1"/>
      <c r="O84" s="1"/>
      <c r="P84" s="1"/>
      <c r="Q84" s="55">
        <f>SUM(N84:P84)</f>
        <v>0</v>
      </c>
      <c r="R84" s="55">
        <f>+E84+I84+M84+Q84</f>
        <v>0</v>
      </c>
    </row>
    <row r="85" spans="1:20" ht="15.75" customHeight="1" x14ac:dyDescent="0.3">
      <c r="A85" s="18" t="s">
        <v>1186</v>
      </c>
      <c r="B85" s="28"/>
      <c r="C85" s="28"/>
      <c r="D85" s="28"/>
      <c r="E85" s="55" t="s">
        <v>52</v>
      </c>
      <c r="F85" s="28"/>
      <c r="G85" s="28"/>
      <c r="H85" s="28"/>
      <c r="I85" s="55" t="s">
        <v>52</v>
      </c>
      <c r="J85" s="28"/>
      <c r="K85" s="28"/>
      <c r="L85" s="28"/>
      <c r="M85" s="55" t="s">
        <v>52</v>
      </c>
      <c r="N85" s="28"/>
      <c r="O85" s="28"/>
      <c r="P85" s="28"/>
      <c r="Q85" s="55" t="s">
        <v>52</v>
      </c>
      <c r="R85" s="55" t="s">
        <v>52</v>
      </c>
    </row>
    <row r="86" spans="1:20" ht="15.75" customHeight="1" x14ac:dyDescent="0.3">
      <c r="A86" s="61" t="s">
        <v>1258</v>
      </c>
      <c r="B86" s="1"/>
      <c r="C86" s="1"/>
      <c r="D86" s="1"/>
      <c r="E86" s="55">
        <f>SUM(B86:D86)</f>
        <v>0</v>
      </c>
      <c r="F86" s="1"/>
      <c r="G86" s="1"/>
      <c r="H86" s="1"/>
      <c r="I86" s="55">
        <f>SUM(F86:H86)</f>
        <v>0</v>
      </c>
      <c r="J86" s="1"/>
      <c r="K86" s="1"/>
      <c r="L86" s="1"/>
      <c r="M86" s="55">
        <f>SUM(J86:L86)</f>
        <v>0</v>
      </c>
      <c r="N86" s="1"/>
      <c r="O86" s="1"/>
      <c r="P86" s="1"/>
      <c r="Q86" s="55">
        <f>SUM(N86:P86)</f>
        <v>0</v>
      </c>
      <c r="R86" s="55">
        <f>+E86+I86+M86+Q86</f>
        <v>0</v>
      </c>
      <c r="S86" s="478" t="s">
        <v>1259</v>
      </c>
    </row>
    <row r="87" spans="1:20" ht="15.75" customHeight="1" x14ac:dyDescent="0.3">
      <c r="A87" s="61" t="s">
        <v>1260</v>
      </c>
      <c r="B87" s="1">
        <v>280</v>
      </c>
      <c r="C87" s="1">
        <v>600</v>
      </c>
      <c r="D87" s="1">
        <v>1679</v>
      </c>
      <c r="E87" s="55">
        <f>SUM(B87:D87)</f>
        <v>2559</v>
      </c>
      <c r="F87" s="1">
        <v>1863</v>
      </c>
      <c r="G87" s="1">
        <v>1880</v>
      </c>
      <c r="H87" s="1">
        <v>1744</v>
      </c>
      <c r="I87" s="55">
        <f>SUM(F87:H87)</f>
        <v>5487</v>
      </c>
      <c r="J87" s="1">
        <v>1500</v>
      </c>
      <c r="K87" s="1">
        <v>1627</v>
      </c>
      <c r="L87" s="1">
        <v>1815</v>
      </c>
      <c r="M87" s="55">
        <f>SUM(J87:L87)</f>
        <v>4942</v>
      </c>
      <c r="N87" s="1">
        <v>12</v>
      </c>
      <c r="O87" s="1"/>
      <c r="P87" s="1"/>
      <c r="Q87" s="55">
        <f>SUM(N87:P87)</f>
        <v>12</v>
      </c>
      <c r="R87" s="55">
        <f>+E87+I87+M87+Q87</f>
        <v>13000</v>
      </c>
      <c r="S87" s="478" t="s">
        <v>1259</v>
      </c>
      <c r="T87" s="4" t="s">
        <v>801</v>
      </c>
    </row>
    <row r="88" spans="1:20" ht="15.75" customHeight="1" thickBot="1" x14ac:dyDescent="0.35">
      <c r="A88" s="18" t="s">
        <v>53</v>
      </c>
      <c r="B88" s="56"/>
      <c r="C88" s="56"/>
      <c r="D88" s="56"/>
      <c r="E88" s="55" t="s">
        <v>7</v>
      </c>
      <c r="F88" s="56"/>
      <c r="G88" s="56"/>
      <c r="H88" s="56"/>
      <c r="I88" s="55" t="s">
        <v>7</v>
      </c>
      <c r="J88" s="56"/>
      <c r="K88" s="56"/>
      <c r="L88" s="56"/>
      <c r="M88" s="55" t="s">
        <v>7</v>
      </c>
      <c r="N88" s="56"/>
      <c r="O88" s="56"/>
      <c r="P88" s="56"/>
      <c r="Q88" s="55" t="s">
        <v>7</v>
      </c>
      <c r="R88" s="55" t="s">
        <v>7</v>
      </c>
    </row>
    <row r="89" spans="1:20" ht="16.5" customHeight="1" thickBot="1" x14ac:dyDescent="0.35">
      <c r="A89" s="57" t="s">
        <v>54</v>
      </c>
      <c r="B89" s="58">
        <f>SUM(B70:B88)</f>
        <v>280</v>
      </c>
      <c r="C89" s="58">
        <f>SUM(C70:C88)</f>
        <v>600</v>
      </c>
      <c r="D89" s="58">
        <f>SUM(D70:D88)</f>
        <v>1679</v>
      </c>
      <c r="E89" s="59">
        <f>SUM(B89:D89)</f>
        <v>2559</v>
      </c>
      <c r="F89" s="58">
        <f>SUM(F70:F88)</f>
        <v>1863</v>
      </c>
      <c r="G89" s="58">
        <f>SUM(G70:G88)</f>
        <v>2392</v>
      </c>
      <c r="H89" s="58">
        <f>SUM(H70:H88)</f>
        <v>2256</v>
      </c>
      <c r="I89" s="59">
        <f>SUM(F89:H89)</f>
        <v>6511</v>
      </c>
      <c r="J89" s="58">
        <f>SUM(J70:J88)</f>
        <v>2012</v>
      </c>
      <c r="K89" s="58">
        <f>SUM(K70:K88)</f>
        <v>2139</v>
      </c>
      <c r="L89" s="58">
        <f>SUM(L70:L88)</f>
        <v>1815</v>
      </c>
      <c r="M89" s="59">
        <f>SUM(J89:L89)</f>
        <v>5966</v>
      </c>
      <c r="N89" s="58">
        <f>SUM(N70:N88)</f>
        <v>12</v>
      </c>
      <c r="O89" s="58">
        <f>SUM(O70:O88)</f>
        <v>0</v>
      </c>
      <c r="P89" s="58">
        <f>SUM(P70:P88)</f>
        <v>0</v>
      </c>
      <c r="Q89" s="59">
        <f>SUM(N89:P89)</f>
        <v>12</v>
      </c>
      <c r="R89" s="59">
        <f>+E89+I89+M89+Q89</f>
        <v>15048</v>
      </c>
    </row>
    <row r="90" spans="1:20" ht="15.75" customHeight="1" x14ac:dyDescent="0.3">
      <c r="A90" s="18" t="s">
        <v>55</v>
      </c>
      <c r="B90" s="56"/>
      <c r="C90" s="56"/>
      <c r="D90" s="56"/>
      <c r="E90" s="55" t="s">
        <v>7</v>
      </c>
      <c r="F90" s="56"/>
      <c r="G90" s="56"/>
      <c r="H90" s="56"/>
      <c r="I90" s="55" t="s">
        <v>7</v>
      </c>
      <c r="J90" s="56"/>
      <c r="K90" s="56"/>
      <c r="L90" s="56"/>
      <c r="M90" s="55" t="s">
        <v>7</v>
      </c>
      <c r="N90" s="56"/>
      <c r="O90" s="56"/>
      <c r="P90" s="56"/>
      <c r="Q90" s="55" t="s">
        <v>7</v>
      </c>
      <c r="R90" s="60" t="s">
        <v>7</v>
      </c>
    </row>
    <row r="91" spans="1:20" ht="15.75" customHeight="1" x14ac:dyDescent="0.3">
      <c r="A91" s="18" t="s">
        <v>56</v>
      </c>
      <c r="B91" s="56"/>
      <c r="C91" s="56"/>
      <c r="D91" s="56"/>
      <c r="E91" s="55" t="s">
        <v>7</v>
      </c>
      <c r="F91" s="56"/>
      <c r="G91" s="56"/>
      <c r="H91" s="56"/>
      <c r="I91" s="55" t="s">
        <v>7</v>
      </c>
      <c r="J91" s="56"/>
      <c r="K91" s="56"/>
      <c r="L91" s="56"/>
      <c r="M91" s="55" t="s">
        <v>7</v>
      </c>
      <c r="N91" s="56"/>
      <c r="O91" s="56"/>
      <c r="P91" s="56"/>
      <c r="Q91" s="55" t="s">
        <v>7</v>
      </c>
      <c r="R91" s="55" t="s">
        <v>7</v>
      </c>
    </row>
    <row r="92" spans="1:20" ht="15.75" customHeight="1" x14ac:dyDescent="0.3">
      <c r="A92" s="18" t="s">
        <v>57</v>
      </c>
      <c r="B92" s="56"/>
      <c r="C92" s="56"/>
      <c r="D92" s="56"/>
      <c r="E92" s="55" t="s">
        <v>7</v>
      </c>
      <c r="F92" s="56"/>
      <c r="G92" s="56"/>
      <c r="H92" s="56"/>
      <c r="I92" s="55" t="s">
        <v>7</v>
      </c>
      <c r="J92" s="56"/>
      <c r="K92" s="56"/>
      <c r="L92" s="56"/>
      <c r="M92" s="55" t="s">
        <v>7</v>
      </c>
      <c r="N92" s="56"/>
      <c r="O92" s="56"/>
      <c r="P92" s="56"/>
      <c r="Q92" s="55" t="s">
        <v>7</v>
      </c>
      <c r="R92" s="55" t="s">
        <v>7</v>
      </c>
    </row>
    <row r="93" spans="1:20" ht="15.75" customHeight="1" x14ac:dyDescent="0.3">
      <c r="A93" s="72" t="s">
        <v>81</v>
      </c>
      <c r="B93" s="1">
        <v>400</v>
      </c>
      <c r="C93" s="1">
        <v>411</v>
      </c>
      <c r="D93" s="1">
        <v>1110</v>
      </c>
      <c r="E93" s="55">
        <f>SUM(B93:D93)</f>
        <v>1921</v>
      </c>
      <c r="F93" s="1">
        <v>3177</v>
      </c>
      <c r="G93" s="1">
        <v>3434</v>
      </c>
      <c r="H93" s="1">
        <v>3954</v>
      </c>
      <c r="I93" s="55">
        <f>SUM(F93:H93)</f>
        <v>10565</v>
      </c>
      <c r="J93" s="1">
        <v>4181</v>
      </c>
      <c r="K93" s="1">
        <v>4085</v>
      </c>
      <c r="L93" s="1">
        <v>2107</v>
      </c>
      <c r="M93" s="55">
        <f>SUM(J93:L93)</f>
        <v>10373</v>
      </c>
      <c r="N93" s="1">
        <v>411</v>
      </c>
      <c r="O93" s="1">
        <v>2141</v>
      </c>
      <c r="P93" s="1">
        <v>1828</v>
      </c>
      <c r="Q93" s="55">
        <f>SUM(N93:P93)</f>
        <v>4380</v>
      </c>
      <c r="R93" s="55">
        <f>+E93+I93+M93+Q93</f>
        <v>27239</v>
      </c>
      <c r="T93" s="4" t="s">
        <v>805</v>
      </c>
    </row>
    <row r="94" spans="1:20" ht="15.75" customHeight="1" x14ac:dyDescent="0.3">
      <c r="A94" s="72" t="s">
        <v>87</v>
      </c>
      <c r="B94" s="1"/>
      <c r="C94" s="1"/>
      <c r="D94" s="1"/>
      <c r="E94" s="55">
        <f>SUM(B94:D94)</f>
        <v>0</v>
      </c>
      <c r="F94" s="1"/>
      <c r="G94" s="1"/>
      <c r="H94" s="1"/>
      <c r="I94" s="55">
        <f>SUM(F94:H94)</f>
        <v>0</v>
      </c>
      <c r="J94" s="1"/>
      <c r="K94" s="1"/>
      <c r="L94" s="1"/>
      <c r="M94" s="55">
        <f>SUM(J94:L94)</f>
        <v>0</v>
      </c>
      <c r="N94" s="1"/>
      <c r="O94" s="1"/>
      <c r="P94" s="1"/>
      <c r="Q94" s="55">
        <f>SUM(N94:P94)</f>
        <v>0</v>
      </c>
      <c r="R94" s="55">
        <f>+E94+I94+M94+Q94</f>
        <v>0</v>
      </c>
      <c r="T94" s="4" t="s">
        <v>801</v>
      </c>
    </row>
    <row r="95" spans="1:20" ht="15.75" customHeight="1" thickBot="1" x14ac:dyDescent="0.35">
      <c r="A95" s="18" t="s">
        <v>58</v>
      </c>
      <c r="B95" s="56"/>
      <c r="C95" s="56"/>
      <c r="D95" s="56"/>
      <c r="E95" s="55" t="s">
        <v>7</v>
      </c>
      <c r="F95" s="56"/>
      <c r="G95" s="56"/>
      <c r="H95" s="56"/>
      <c r="I95" s="55" t="s">
        <v>7</v>
      </c>
      <c r="J95" s="56"/>
      <c r="K95" s="56"/>
      <c r="L95" s="56"/>
      <c r="M95" s="55" t="s">
        <v>7</v>
      </c>
      <c r="N95" s="56"/>
      <c r="O95" s="56"/>
      <c r="P95" s="56"/>
      <c r="Q95" s="55" t="s">
        <v>7</v>
      </c>
      <c r="R95" s="55" t="s">
        <v>7</v>
      </c>
    </row>
    <row r="96" spans="1:20" ht="16.5" customHeight="1" thickBot="1" x14ac:dyDescent="0.35">
      <c r="A96" s="57" t="s">
        <v>59</v>
      </c>
      <c r="B96" s="58">
        <f>SUM(B90:B95)</f>
        <v>400</v>
      </c>
      <c r="C96" s="58">
        <f>SUM(C90:C95)</f>
        <v>411</v>
      </c>
      <c r="D96" s="58">
        <f>SUM(D90:D95)</f>
        <v>1110</v>
      </c>
      <c r="E96" s="59">
        <f>SUM(B96:D96)</f>
        <v>1921</v>
      </c>
      <c r="F96" s="58">
        <f>SUM(F90:F95)</f>
        <v>3177</v>
      </c>
      <c r="G96" s="58">
        <f>SUM(G90:G95)</f>
        <v>3434</v>
      </c>
      <c r="H96" s="58">
        <f>SUM(H90:H95)</f>
        <v>3954</v>
      </c>
      <c r="I96" s="59">
        <f>SUM(F96:H96)</f>
        <v>10565</v>
      </c>
      <c r="J96" s="58">
        <f>SUM(J90:J95)</f>
        <v>4181</v>
      </c>
      <c r="K96" s="58">
        <f>SUM(K90:K95)</f>
        <v>4085</v>
      </c>
      <c r="L96" s="58">
        <f>SUM(L90:L95)</f>
        <v>2107</v>
      </c>
      <c r="M96" s="59">
        <f>SUM(J96:L96)</f>
        <v>10373</v>
      </c>
      <c r="N96" s="58">
        <f>SUM(N90:N95)</f>
        <v>411</v>
      </c>
      <c r="O96" s="58">
        <f>SUM(O90:O95)</f>
        <v>2141</v>
      </c>
      <c r="P96" s="58">
        <f>SUM(P90:P95)</f>
        <v>1828</v>
      </c>
      <c r="Q96" s="59">
        <f>SUM(N96:P96)</f>
        <v>4380</v>
      </c>
      <c r="R96" s="59">
        <f>+E96+I96+M96+Q96</f>
        <v>27239</v>
      </c>
    </row>
    <row r="97" spans="1:20" ht="15.75" customHeight="1" x14ac:dyDescent="0.3">
      <c r="A97" s="18" t="s">
        <v>60</v>
      </c>
      <c r="B97" s="56"/>
      <c r="C97" s="56"/>
      <c r="D97" s="56"/>
      <c r="E97" s="55" t="s">
        <v>7</v>
      </c>
      <c r="F97" s="56"/>
      <c r="G97" s="56"/>
      <c r="H97" s="56"/>
      <c r="I97" s="55" t="s">
        <v>7</v>
      </c>
      <c r="J97" s="56"/>
      <c r="K97" s="56"/>
      <c r="L97" s="56"/>
      <c r="M97" s="55" t="s">
        <v>7</v>
      </c>
      <c r="N97" s="56"/>
      <c r="O97" s="56"/>
      <c r="P97" s="56"/>
      <c r="Q97" s="55" t="s">
        <v>7</v>
      </c>
      <c r="R97" s="55" t="s">
        <v>7</v>
      </c>
    </row>
    <row r="98" spans="1:20" ht="15.75" customHeight="1" x14ac:dyDescent="0.3">
      <c r="A98" s="18" t="s">
        <v>61</v>
      </c>
      <c r="B98" s="56"/>
      <c r="C98" s="56"/>
      <c r="D98" s="56"/>
      <c r="E98" s="55" t="s">
        <v>7</v>
      </c>
      <c r="F98" s="56"/>
      <c r="G98" s="56"/>
      <c r="H98" s="56"/>
      <c r="I98" s="55" t="s">
        <v>7</v>
      </c>
      <c r="J98" s="56"/>
      <c r="K98" s="56"/>
      <c r="L98" s="56"/>
      <c r="M98" s="55" t="s">
        <v>7</v>
      </c>
      <c r="N98" s="56"/>
      <c r="O98" s="56"/>
      <c r="P98" s="56"/>
      <c r="Q98" s="55" t="s">
        <v>7</v>
      </c>
      <c r="R98" s="55" t="s">
        <v>7</v>
      </c>
    </row>
    <row r="99" spans="1:20" ht="15.75" customHeight="1" x14ac:dyDescent="0.3">
      <c r="A99" s="18" t="s">
        <v>62</v>
      </c>
      <c r="B99" s="56"/>
      <c r="C99" s="56"/>
      <c r="D99" s="56"/>
      <c r="E99" s="55"/>
      <c r="F99" s="56"/>
      <c r="G99" s="56"/>
      <c r="H99" s="56"/>
      <c r="I99" s="55"/>
      <c r="J99" s="56"/>
      <c r="K99" s="56"/>
      <c r="L99" s="56"/>
      <c r="M99" s="55"/>
      <c r="N99" s="56"/>
      <c r="O99" s="56"/>
      <c r="P99" s="56"/>
      <c r="Q99" s="55"/>
      <c r="R99" s="55"/>
    </row>
    <row r="100" spans="1:20" ht="15.75" customHeight="1" x14ac:dyDescent="0.3">
      <c r="A100" s="72" t="s">
        <v>88</v>
      </c>
      <c r="B100" s="1"/>
      <c r="C100" s="1"/>
      <c r="D100" s="1"/>
      <c r="E100" s="55">
        <f t="shared" ref="E100:E107" si="10">SUM(B100:D100)</f>
        <v>0</v>
      </c>
      <c r="F100" s="1"/>
      <c r="G100" s="1"/>
      <c r="H100" s="1"/>
      <c r="I100" s="55">
        <f t="shared" ref="I100:I107" si="11">SUM(F100:H100)</f>
        <v>0</v>
      </c>
      <c r="J100" s="1"/>
      <c r="K100" s="1"/>
      <c r="L100" s="1"/>
      <c r="M100" s="55">
        <f t="shared" ref="M100:M107" si="12">SUM(J100:L100)</f>
        <v>0</v>
      </c>
      <c r="N100" s="1"/>
      <c r="O100" s="1"/>
      <c r="P100" s="1"/>
      <c r="Q100" s="55">
        <f t="shared" ref="Q100:Q107" si="13">SUM(N100:P100)</f>
        <v>0</v>
      </c>
      <c r="R100" s="55">
        <f t="shared" ref="R100:R107" si="14">+E100+I100+M100+Q100</f>
        <v>0</v>
      </c>
    </row>
    <row r="101" spans="1:20" ht="15.75" customHeight="1" x14ac:dyDescent="0.3">
      <c r="A101" s="72" t="s">
        <v>89</v>
      </c>
      <c r="B101" s="1"/>
      <c r="C101" s="1"/>
      <c r="D101" s="1"/>
      <c r="E101" s="55">
        <f t="shared" si="10"/>
        <v>0</v>
      </c>
      <c r="F101" s="1"/>
      <c r="G101" s="1"/>
      <c r="H101" s="1"/>
      <c r="I101" s="55">
        <f t="shared" si="11"/>
        <v>0</v>
      </c>
      <c r="J101" s="1"/>
      <c r="K101" s="1"/>
      <c r="L101" s="1"/>
      <c r="M101" s="55">
        <f t="shared" si="12"/>
        <v>0</v>
      </c>
      <c r="N101" s="1"/>
      <c r="O101" s="1"/>
      <c r="P101" s="1"/>
      <c r="Q101" s="55">
        <f t="shared" si="13"/>
        <v>0</v>
      </c>
      <c r="R101" s="55">
        <f t="shared" si="14"/>
        <v>0</v>
      </c>
    </row>
    <row r="102" spans="1:20" ht="15.75" customHeight="1" x14ac:dyDescent="0.3">
      <c r="A102" s="72" t="s">
        <v>1261</v>
      </c>
      <c r="B102" s="1"/>
      <c r="C102" s="1"/>
      <c r="D102" s="1"/>
      <c r="E102" s="55">
        <f>SUM(B102:D102)</f>
        <v>0</v>
      </c>
      <c r="F102" s="1"/>
      <c r="G102" s="1"/>
      <c r="H102" s="1"/>
      <c r="I102" s="55">
        <f>SUM(F102:H102)</f>
        <v>0</v>
      </c>
      <c r="J102" s="1"/>
      <c r="K102" s="1"/>
      <c r="L102" s="1"/>
      <c r="M102" s="55">
        <f>SUM(J102:L102)</f>
        <v>0</v>
      </c>
      <c r="N102" s="1"/>
      <c r="O102" s="1"/>
      <c r="P102" s="1"/>
      <c r="Q102" s="55">
        <f>SUM(N102:P102)</f>
        <v>0</v>
      </c>
      <c r="R102" s="55">
        <f>+E102+I102+M102+Q102</f>
        <v>0</v>
      </c>
    </row>
    <row r="103" spans="1:20" ht="15.75" customHeight="1" x14ac:dyDescent="0.3">
      <c r="A103" s="72" t="s">
        <v>1188</v>
      </c>
      <c r="B103" s="1"/>
      <c r="C103" s="1"/>
      <c r="D103" s="1"/>
      <c r="E103" s="55">
        <f>SUM(B103:D103)</f>
        <v>0</v>
      </c>
      <c r="F103" s="1"/>
      <c r="G103" s="1"/>
      <c r="H103" s="1"/>
      <c r="I103" s="55">
        <f>SUM(F103:H103)</f>
        <v>0</v>
      </c>
      <c r="J103" s="1"/>
      <c r="K103" s="1"/>
      <c r="L103" s="1"/>
      <c r="M103" s="55">
        <f>SUM(J103:L103)</f>
        <v>0</v>
      </c>
      <c r="N103" s="1"/>
      <c r="O103" s="1"/>
      <c r="P103" s="1"/>
      <c r="Q103" s="55">
        <f>SUM(N103:P103)</f>
        <v>0</v>
      </c>
      <c r="R103" s="55">
        <f>+E103+I103+M103+Q103</f>
        <v>0</v>
      </c>
      <c r="T103" s="4" t="s">
        <v>803</v>
      </c>
    </row>
    <row r="104" spans="1:20" ht="15.75" customHeight="1" x14ac:dyDescent="0.3">
      <c r="A104" s="72" t="s">
        <v>528</v>
      </c>
      <c r="B104" s="1"/>
      <c r="C104" s="1"/>
      <c r="D104" s="1"/>
      <c r="E104" s="55">
        <f>SUM(B104:D104)</f>
        <v>0</v>
      </c>
      <c r="F104" s="1"/>
      <c r="G104" s="1"/>
      <c r="H104" s="1"/>
      <c r="I104" s="55">
        <f>SUM(F104:H104)</f>
        <v>0</v>
      </c>
      <c r="J104" s="1"/>
      <c r="K104" s="1"/>
      <c r="L104" s="1"/>
      <c r="M104" s="55">
        <f>SUM(J104:L104)</f>
        <v>0</v>
      </c>
      <c r="N104" s="1"/>
      <c r="O104" s="1"/>
      <c r="P104" s="1"/>
      <c r="Q104" s="55">
        <f>SUM(N104:P104)</f>
        <v>0</v>
      </c>
      <c r="R104" s="55">
        <f>+E104+I104+M104+Q104</f>
        <v>0</v>
      </c>
    </row>
    <row r="105" spans="1:20" ht="15.75" customHeight="1" x14ac:dyDescent="0.3">
      <c r="A105" s="72" t="s">
        <v>1262</v>
      </c>
      <c r="B105" s="1"/>
      <c r="C105" s="1"/>
      <c r="D105" s="1"/>
      <c r="E105" s="55">
        <f t="shared" si="10"/>
        <v>0</v>
      </c>
      <c r="F105" s="1"/>
      <c r="G105" s="1"/>
      <c r="H105" s="1"/>
      <c r="I105" s="55">
        <f t="shared" si="11"/>
        <v>0</v>
      </c>
      <c r="J105" s="1"/>
      <c r="K105" s="1"/>
      <c r="L105" s="1"/>
      <c r="M105" s="55">
        <f t="shared" si="12"/>
        <v>0</v>
      </c>
      <c r="N105" s="1"/>
      <c r="O105" s="1"/>
      <c r="P105" s="1"/>
      <c r="Q105" s="55">
        <f t="shared" si="13"/>
        <v>0</v>
      </c>
      <c r="R105" s="55">
        <f t="shared" si="14"/>
        <v>0</v>
      </c>
    </row>
    <row r="106" spans="1:20" ht="15.75" customHeight="1" thickBot="1" x14ac:dyDescent="0.35">
      <c r="A106" s="72" t="s">
        <v>95</v>
      </c>
      <c r="B106" s="1"/>
      <c r="C106" s="1"/>
      <c r="D106" s="1"/>
      <c r="E106" s="55">
        <f t="shared" si="10"/>
        <v>0</v>
      </c>
      <c r="F106" s="1"/>
      <c r="G106" s="1"/>
      <c r="H106" s="1"/>
      <c r="I106" s="55">
        <f t="shared" si="11"/>
        <v>0</v>
      </c>
      <c r="J106" s="1"/>
      <c r="K106" s="1"/>
      <c r="L106" s="1"/>
      <c r="M106" s="55">
        <f t="shared" si="12"/>
        <v>0</v>
      </c>
      <c r="N106" s="1"/>
      <c r="O106" s="1"/>
      <c r="P106" s="1"/>
      <c r="Q106" s="55">
        <f t="shared" si="13"/>
        <v>0</v>
      </c>
      <c r="R106" s="55">
        <f t="shared" si="14"/>
        <v>0</v>
      </c>
    </row>
    <row r="107" spans="1:20" ht="16.5" customHeight="1" thickBot="1" x14ac:dyDescent="0.35">
      <c r="A107" s="57" t="s">
        <v>63</v>
      </c>
      <c r="B107" s="58">
        <f>SUM(B97:B106)</f>
        <v>0</v>
      </c>
      <c r="C107" s="58">
        <f>SUM(C97:C106)</f>
        <v>0</v>
      </c>
      <c r="D107" s="58">
        <f>SUM(D97:D106)</f>
        <v>0</v>
      </c>
      <c r="E107" s="59">
        <f t="shared" si="10"/>
        <v>0</v>
      </c>
      <c r="F107" s="58">
        <f>SUM(F97:F106)</f>
        <v>0</v>
      </c>
      <c r="G107" s="58">
        <f>SUM(G97:G106)</f>
        <v>0</v>
      </c>
      <c r="H107" s="58">
        <f>SUM(H97:H106)</f>
        <v>0</v>
      </c>
      <c r="I107" s="59">
        <f t="shared" si="11"/>
        <v>0</v>
      </c>
      <c r="J107" s="58">
        <f>SUM(J97:J106)</f>
        <v>0</v>
      </c>
      <c r="K107" s="58">
        <f>SUM(K97:K106)</f>
        <v>0</v>
      </c>
      <c r="L107" s="58">
        <f>SUM(L97:L106)</f>
        <v>0</v>
      </c>
      <c r="M107" s="59">
        <f t="shared" si="12"/>
        <v>0</v>
      </c>
      <c r="N107" s="58">
        <f>SUM(N97:N106)</f>
        <v>0</v>
      </c>
      <c r="O107" s="58">
        <f>SUM(O97:O106)</f>
        <v>0</v>
      </c>
      <c r="P107" s="58">
        <f>SUM(P97:P106)</f>
        <v>0</v>
      </c>
      <c r="Q107" s="59">
        <f t="shared" si="13"/>
        <v>0</v>
      </c>
      <c r="R107" s="59">
        <f t="shared" si="14"/>
        <v>0</v>
      </c>
    </row>
    <row r="108" spans="1:20" ht="15.75" customHeight="1" x14ac:dyDescent="0.3">
      <c r="A108" s="18" t="s">
        <v>64</v>
      </c>
      <c r="B108" s="56"/>
      <c r="C108" s="56"/>
      <c r="D108" s="56"/>
      <c r="E108" s="55" t="s">
        <v>7</v>
      </c>
      <c r="F108" s="56"/>
      <c r="G108" s="56"/>
      <c r="H108" s="56"/>
      <c r="I108" s="55" t="s">
        <v>7</v>
      </c>
      <c r="J108" s="56"/>
      <c r="K108" s="56"/>
      <c r="L108" s="56"/>
      <c r="M108" s="55" t="s">
        <v>7</v>
      </c>
      <c r="N108" s="56"/>
      <c r="O108" s="56"/>
      <c r="P108" s="56"/>
      <c r="Q108" s="55" t="s">
        <v>7</v>
      </c>
      <c r="R108" s="55" t="s">
        <v>7</v>
      </c>
    </row>
    <row r="109" spans="1:20" ht="15.75" customHeight="1" x14ac:dyDescent="0.3">
      <c r="A109" s="18" t="s">
        <v>594</v>
      </c>
      <c r="B109" s="56"/>
      <c r="C109" s="56"/>
      <c r="D109" s="56"/>
      <c r="E109" s="55" t="s">
        <v>7</v>
      </c>
      <c r="F109" s="56"/>
      <c r="G109" s="56"/>
      <c r="H109" s="56"/>
      <c r="I109" s="55" t="s">
        <v>7</v>
      </c>
      <c r="J109" s="56"/>
      <c r="K109" s="56"/>
      <c r="L109" s="56"/>
      <c r="M109" s="55" t="s">
        <v>7</v>
      </c>
      <c r="N109" s="56"/>
      <c r="O109" s="56"/>
      <c r="P109" s="56"/>
      <c r="Q109" s="55" t="s">
        <v>7</v>
      </c>
      <c r="R109" s="55" t="s">
        <v>7</v>
      </c>
    </row>
    <row r="110" spans="1:20" ht="15.75" customHeight="1" x14ac:dyDescent="0.3">
      <c r="A110" s="61" t="s">
        <v>806</v>
      </c>
      <c r="B110" s="1"/>
      <c r="C110" s="1"/>
      <c r="D110" s="1"/>
      <c r="E110" s="55">
        <f t="shared" ref="E110:E115" si="15">SUM(B110:D110)</f>
        <v>0</v>
      </c>
      <c r="F110" s="1"/>
      <c r="G110" s="1"/>
      <c r="H110" s="1"/>
      <c r="I110" s="55">
        <f t="shared" ref="I110:I115" si="16">SUM(F110:H110)</f>
        <v>0</v>
      </c>
      <c r="J110" s="1"/>
      <c r="K110" s="1"/>
      <c r="L110" s="1"/>
      <c r="M110" s="55">
        <f t="shared" ref="M110:M115" si="17">SUM(J110:L110)</f>
        <v>0</v>
      </c>
      <c r="N110" s="1"/>
      <c r="O110" s="1"/>
      <c r="P110" s="1"/>
      <c r="Q110" s="55">
        <f t="shared" ref="Q110:Q115" si="18">SUM(N110:P110)</f>
        <v>0</v>
      </c>
      <c r="R110" s="55">
        <f t="shared" ref="R110:R115" si="19">+E110+I110+M110+Q110</f>
        <v>0</v>
      </c>
    </row>
    <row r="111" spans="1:20" ht="15.75" customHeight="1" x14ac:dyDescent="0.3">
      <c r="A111" s="61" t="s">
        <v>1263</v>
      </c>
      <c r="B111" s="1"/>
      <c r="C111" s="1"/>
      <c r="D111" s="1"/>
      <c r="E111" s="55">
        <f t="shared" si="15"/>
        <v>0</v>
      </c>
      <c r="F111" s="1"/>
      <c r="G111" s="1"/>
      <c r="H111" s="1"/>
      <c r="I111" s="55">
        <f t="shared" si="16"/>
        <v>0</v>
      </c>
      <c r="J111" s="1"/>
      <c r="K111" s="1"/>
      <c r="L111" s="1"/>
      <c r="M111" s="55">
        <f t="shared" si="17"/>
        <v>0</v>
      </c>
      <c r="N111" s="1"/>
      <c r="O111" s="1"/>
      <c r="P111" s="1"/>
      <c r="Q111" s="55">
        <f t="shared" si="18"/>
        <v>0</v>
      </c>
      <c r="R111" s="55">
        <f t="shared" si="19"/>
        <v>0</v>
      </c>
    </row>
    <row r="112" spans="1:20" ht="15.75" customHeight="1" x14ac:dyDescent="0.3">
      <c r="A112" s="61" t="s">
        <v>692</v>
      </c>
      <c r="B112" s="1"/>
      <c r="C112" s="1"/>
      <c r="D112" s="1"/>
      <c r="E112" s="55">
        <f t="shared" si="15"/>
        <v>0</v>
      </c>
      <c r="F112" s="1"/>
      <c r="G112" s="1"/>
      <c r="H112" s="1"/>
      <c r="I112" s="55">
        <f t="shared" si="16"/>
        <v>0</v>
      </c>
      <c r="J112" s="1"/>
      <c r="K112" s="1"/>
      <c r="L112" s="1"/>
      <c r="M112" s="55">
        <f t="shared" si="17"/>
        <v>0</v>
      </c>
      <c r="N112" s="1"/>
      <c r="O112" s="1"/>
      <c r="P112" s="1"/>
      <c r="Q112" s="55">
        <f t="shared" si="18"/>
        <v>0</v>
      </c>
      <c r="R112" s="55">
        <f t="shared" si="19"/>
        <v>0</v>
      </c>
    </row>
    <row r="113" spans="1:20" ht="15.75" customHeight="1" x14ac:dyDescent="0.3">
      <c r="A113" s="61" t="s">
        <v>530</v>
      </c>
      <c r="B113" s="1"/>
      <c r="C113" s="1"/>
      <c r="D113" s="1"/>
      <c r="E113" s="55">
        <f t="shared" si="15"/>
        <v>0</v>
      </c>
      <c r="F113" s="1"/>
      <c r="G113" s="1"/>
      <c r="H113" s="1"/>
      <c r="I113" s="55">
        <f t="shared" si="16"/>
        <v>0</v>
      </c>
      <c r="J113" s="1"/>
      <c r="K113" s="1"/>
      <c r="L113" s="1"/>
      <c r="M113" s="55">
        <f t="shared" si="17"/>
        <v>0</v>
      </c>
      <c r="N113" s="1"/>
      <c r="O113" s="1"/>
      <c r="P113" s="1"/>
      <c r="Q113" s="55">
        <f t="shared" si="18"/>
        <v>0</v>
      </c>
      <c r="R113" s="55">
        <f t="shared" si="19"/>
        <v>0</v>
      </c>
    </row>
    <row r="114" spans="1:20" ht="15.75" customHeight="1" x14ac:dyDescent="0.3">
      <c r="A114" s="61" t="s">
        <v>597</v>
      </c>
      <c r="B114" s="1"/>
      <c r="C114" s="1"/>
      <c r="D114" s="1"/>
      <c r="E114" s="55">
        <f t="shared" si="15"/>
        <v>0</v>
      </c>
      <c r="F114" s="1"/>
      <c r="G114" s="1"/>
      <c r="H114" s="1"/>
      <c r="I114" s="55">
        <f t="shared" si="16"/>
        <v>0</v>
      </c>
      <c r="J114" s="1"/>
      <c r="K114" s="1"/>
      <c r="L114" s="1"/>
      <c r="M114" s="55">
        <f t="shared" si="17"/>
        <v>0</v>
      </c>
      <c r="N114" s="1"/>
      <c r="O114" s="1"/>
      <c r="P114" s="1"/>
      <c r="Q114" s="55">
        <f t="shared" si="18"/>
        <v>0</v>
      </c>
      <c r="R114" s="55">
        <f t="shared" si="19"/>
        <v>0</v>
      </c>
    </row>
    <row r="115" spans="1:20" ht="15.75" customHeight="1" x14ac:dyDescent="0.3">
      <c r="A115" s="61" t="s">
        <v>807</v>
      </c>
      <c r="B115" s="1"/>
      <c r="C115" s="1"/>
      <c r="D115" s="1"/>
      <c r="E115" s="55">
        <f t="shared" si="15"/>
        <v>0</v>
      </c>
      <c r="F115" s="1"/>
      <c r="G115" s="1"/>
      <c r="H115" s="1"/>
      <c r="I115" s="55">
        <f t="shared" si="16"/>
        <v>0</v>
      </c>
      <c r="J115" s="1"/>
      <c r="K115" s="1"/>
      <c r="L115" s="1"/>
      <c r="M115" s="55">
        <f t="shared" si="17"/>
        <v>0</v>
      </c>
      <c r="N115" s="1"/>
      <c r="O115" s="1"/>
      <c r="P115" s="1"/>
      <c r="Q115" s="55">
        <f t="shared" si="18"/>
        <v>0</v>
      </c>
      <c r="R115" s="55">
        <f t="shared" si="19"/>
        <v>0</v>
      </c>
    </row>
    <row r="116" spans="1:20" ht="15.75" customHeight="1" x14ac:dyDescent="0.3">
      <c r="A116" s="61" t="s">
        <v>808</v>
      </c>
      <c r="B116" s="1"/>
      <c r="C116" s="1"/>
      <c r="D116" s="1"/>
      <c r="E116" s="55">
        <f>SUM(B116:D116)</f>
        <v>0</v>
      </c>
      <c r="F116" s="1"/>
      <c r="G116" s="1"/>
      <c r="H116" s="1"/>
      <c r="I116" s="55">
        <f>SUM(F116:H116)</f>
        <v>0</v>
      </c>
      <c r="J116" s="1"/>
      <c r="K116" s="1"/>
      <c r="L116" s="1"/>
      <c r="M116" s="55">
        <f>SUM(J116:L116)</f>
        <v>0</v>
      </c>
      <c r="N116" s="1"/>
      <c r="O116" s="1"/>
      <c r="P116" s="1"/>
      <c r="Q116" s="55">
        <f>SUM(N116:P116)</f>
        <v>0</v>
      </c>
      <c r="R116" s="55">
        <f>+E116+I116+M116+Q116</f>
        <v>0</v>
      </c>
    </row>
    <row r="117" spans="1:20" ht="15.75" customHeight="1" x14ac:dyDescent="0.3">
      <c r="A117" s="346" t="s">
        <v>702</v>
      </c>
      <c r="B117" s="1"/>
      <c r="C117" s="1"/>
      <c r="D117" s="1"/>
      <c r="E117" s="55">
        <f>SUM(B117:D117)</f>
        <v>0</v>
      </c>
      <c r="F117" s="1"/>
      <c r="G117" s="1"/>
      <c r="H117" s="1"/>
      <c r="I117" s="55">
        <f>SUM(F117:H117)</f>
        <v>0</v>
      </c>
      <c r="J117" s="1"/>
      <c r="K117" s="1"/>
      <c r="L117" s="1"/>
      <c r="M117" s="55">
        <f>SUM(J117:L117)</f>
        <v>0</v>
      </c>
      <c r="N117" s="1"/>
      <c r="O117" s="1"/>
      <c r="P117" s="1"/>
      <c r="Q117" s="55">
        <f>SUM(N117:P117)</f>
        <v>0</v>
      </c>
      <c r="R117" s="55">
        <f>+E117+I117+M117+Q117</f>
        <v>0</v>
      </c>
      <c r="T117" s="4" t="s">
        <v>809</v>
      </c>
    </row>
    <row r="118" spans="1:20" ht="15.75" customHeight="1" x14ac:dyDescent="0.3">
      <c r="A118" s="18" t="s">
        <v>67</v>
      </c>
      <c r="B118" s="56"/>
      <c r="C118" s="56"/>
      <c r="D118" s="56"/>
      <c r="E118" s="55" t="s">
        <v>7</v>
      </c>
      <c r="F118" s="56"/>
      <c r="G118" s="56"/>
      <c r="H118" s="56"/>
      <c r="I118" s="55" t="s">
        <v>7</v>
      </c>
      <c r="J118" s="56"/>
      <c r="K118" s="56"/>
      <c r="L118" s="56"/>
      <c r="M118" s="55" t="s">
        <v>7</v>
      </c>
      <c r="N118" s="56"/>
      <c r="O118" s="56"/>
      <c r="P118" s="56"/>
      <c r="Q118" s="55" t="s">
        <v>7</v>
      </c>
      <c r="R118" s="55" t="s">
        <v>7</v>
      </c>
    </row>
    <row r="119" spans="1:20" ht="15.75" customHeight="1" x14ac:dyDescent="0.3">
      <c r="A119" s="61" t="s">
        <v>810</v>
      </c>
      <c r="B119" s="1"/>
      <c r="C119" s="1"/>
      <c r="D119" s="1"/>
      <c r="E119" s="55">
        <f>SUM(B119:D119)</f>
        <v>0</v>
      </c>
      <c r="F119" s="1"/>
      <c r="G119" s="1"/>
      <c r="H119" s="1"/>
      <c r="I119" s="55">
        <f>SUM(F119:H119)</f>
        <v>0</v>
      </c>
      <c r="J119" s="1"/>
      <c r="K119" s="1"/>
      <c r="L119" s="1"/>
      <c r="M119" s="55">
        <f>SUM(J119:L119)</f>
        <v>0</v>
      </c>
      <c r="N119" s="1"/>
      <c r="O119" s="1"/>
      <c r="P119" s="1"/>
      <c r="Q119" s="55">
        <f>SUM(N119:P119)</f>
        <v>0</v>
      </c>
      <c r="R119" s="55">
        <f>+E119+I119+M119+Q119</f>
        <v>0</v>
      </c>
    </row>
    <row r="120" spans="1:20" ht="15.75" customHeight="1" x14ac:dyDescent="0.3">
      <c r="A120" s="61" t="s">
        <v>695</v>
      </c>
      <c r="B120" s="1"/>
      <c r="C120" s="1"/>
      <c r="D120" s="1"/>
      <c r="E120" s="55">
        <f>SUM(B120:D120)</f>
        <v>0</v>
      </c>
      <c r="F120" s="1"/>
      <c r="G120" s="1"/>
      <c r="H120" s="1"/>
      <c r="I120" s="55">
        <f>SUM(F120:H120)</f>
        <v>0</v>
      </c>
      <c r="J120" s="1"/>
      <c r="K120" s="1"/>
      <c r="L120" s="1"/>
      <c r="M120" s="55">
        <f>SUM(J120:L120)</f>
        <v>0</v>
      </c>
      <c r="N120" s="1"/>
      <c r="O120" s="1"/>
      <c r="P120" s="1"/>
      <c r="Q120" s="55">
        <f>SUM(N120:P120)</f>
        <v>0</v>
      </c>
      <c r="R120" s="55">
        <f>+E120+I120+M120+Q120</f>
        <v>0</v>
      </c>
      <c r="S120" s="4" t="s">
        <v>1264</v>
      </c>
    </row>
    <row r="121" spans="1:20" ht="15.75" customHeight="1" x14ac:dyDescent="0.3">
      <c r="A121" s="18" t="s">
        <v>600</v>
      </c>
      <c r="B121" s="56"/>
      <c r="C121" s="56"/>
      <c r="D121" s="56"/>
      <c r="E121" s="55" t="s">
        <v>7</v>
      </c>
      <c r="F121" s="56"/>
      <c r="G121" s="56"/>
      <c r="H121" s="56"/>
      <c r="I121" s="55" t="s">
        <v>7</v>
      </c>
      <c r="J121" s="56"/>
      <c r="K121" s="56"/>
      <c r="L121" s="56"/>
      <c r="M121" s="55" t="s">
        <v>7</v>
      </c>
      <c r="N121" s="56"/>
      <c r="O121" s="56"/>
      <c r="P121" s="56"/>
      <c r="Q121" s="55" t="s">
        <v>7</v>
      </c>
      <c r="R121" s="55" t="s">
        <v>7</v>
      </c>
    </row>
    <row r="122" spans="1:20" ht="15.75" customHeight="1" x14ac:dyDescent="0.3">
      <c r="A122" s="61" t="s">
        <v>1265</v>
      </c>
      <c r="B122" s="1"/>
      <c r="C122" s="1"/>
      <c r="D122" s="1"/>
      <c r="E122" s="55">
        <f>SUM(B122:D122)</f>
        <v>0</v>
      </c>
      <c r="F122" s="1"/>
      <c r="G122" s="1"/>
      <c r="H122" s="1"/>
      <c r="I122" s="55">
        <f>SUM(F122:H122)</f>
        <v>0</v>
      </c>
      <c r="J122" s="1"/>
      <c r="K122" s="1"/>
      <c r="L122" s="1"/>
      <c r="M122" s="55">
        <f>SUM(J122:L122)</f>
        <v>0</v>
      </c>
      <c r="N122" s="1"/>
      <c r="O122" s="1"/>
      <c r="P122" s="1"/>
      <c r="Q122" s="55">
        <f>SUM(N122:P122)</f>
        <v>0</v>
      </c>
      <c r="R122" s="55">
        <f>+E122+I122+M122+Q122</f>
        <v>0</v>
      </c>
      <c r="T122" s="4" t="s">
        <v>801</v>
      </c>
    </row>
    <row r="123" spans="1:20" ht="15.75" customHeight="1" x14ac:dyDescent="0.3">
      <c r="A123" s="18" t="s">
        <v>70</v>
      </c>
      <c r="B123" s="56"/>
      <c r="C123" s="56"/>
      <c r="D123" s="56"/>
      <c r="E123" s="55" t="s">
        <v>7</v>
      </c>
      <c r="F123" s="56"/>
      <c r="G123" s="56"/>
      <c r="H123" s="56"/>
      <c r="I123" s="55" t="s">
        <v>7</v>
      </c>
      <c r="J123" s="56"/>
      <c r="K123" s="56"/>
      <c r="L123" s="56"/>
      <c r="M123" s="55" t="s">
        <v>7</v>
      </c>
      <c r="N123" s="56"/>
      <c r="O123" s="56"/>
      <c r="P123" s="56"/>
      <c r="Q123" s="55" t="s">
        <v>7</v>
      </c>
      <c r="R123" s="55" t="s">
        <v>7</v>
      </c>
    </row>
    <row r="124" spans="1:20" ht="15.75" customHeight="1" x14ac:dyDescent="0.3">
      <c r="A124" s="61" t="s">
        <v>1266</v>
      </c>
      <c r="B124" s="1"/>
      <c r="C124" s="1"/>
      <c r="D124" s="1"/>
      <c r="E124" s="55">
        <f t="shared" ref="E124:E129" si="20">SUM(B124:D124)</f>
        <v>0</v>
      </c>
      <c r="F124" s="1"/>
      <c r="G124" s="1"/>
      <c r="H124" s="1"/>
      <c r="I124" s="55">
        <f t="shared" ref="I124:I129" si="21">SUM(F124:H124)</f>
        <v>0</v>
      </c>
      <c r="J124" s="1"/>
      <c r="K124" s="1">
        <v>100</v>
      </c>
      <c r="L124" s="1">
        <v>100</v>
      </c>
      <c r="M124" s="55">
        <f t="shared" ref="M124:M129" si="22">SUM(J124:L124)</f>
        <v>200</v>
      </c>
      <c r="N124" s="1">
        <v>25</v>
      </c>
      <c r="O124" s="1">
        <v>275</v>
      </c>
      <c r="P124" s="1"/>
      <c r="Q124" s="55">
        <f t="shared" ref="Q124:Q129" si="23">SUM(N124:P124)</f>
        <v>300</v>
      </c>
      <c r="R124" s="55">
        <f t="shared" ref="R124:R129" si="24">+E124+I124+M124+Q124</f>
        <v>500</v>
      </c>
      <c r="S124" s="4" t="s">
        <v>1264</v>
      </c>
    </row>
    <row r="125" spans="1:20" ht="15.75" customHeight="1" thickBot="1" x14ac:dyDescent="0.35">
      <c r="A125" s="61" t="s">
        <v>1267</v>
      </c>
      <c r="B125" s="1"/>
      <c r="C125" s="1"/>
      <c r="D125" s="1"/>
      <c r="E125" s="55">
        <f t="shared" si="20"/>
        <v>0</v>
      </c>
      <c r="F125" s="1"/>
      <c r="G125" s="1"/>
      <c r="H125" s="1"/>
      <c r="I125" s="55">
        <f t="shared" si="21"/>
        <v>0</v>
      </c>
      <c r="J125" s="1"/>
      <c r="K125" s="1">
        <v>302</v>
      </c>
      <c r="L125" s="1">
        <v>400</v>
      </c>
      <c r="M125" s="55">
        <f t="shared" si="22"/>
        <v>702</v>
      </c>
      <c r="N125" s="1">
        <v>76</v>
      </c>
      <c r="O125" s="1">
        <v>261</v>
      </c>
      <c r="P125" s="1">
        <v>96</v>
      </c>
      <c r="Q125" s="55">
        <f t="shared" si="23"/>
        <v>433</v>
      </c>
      <c r="R125" s="55">
        <f t="shared" si="24"/>
        <v>1135</v>
      </c>
    </row>
    <row r="126" spans="1:20" ht="16.5" customHeight="1" thickBot="1" x14ac:dyDescent="0.35">
      <c r="A126" s="57" t="s">
        <v>71</v>
      </c>
      <c r="B126" s="58">
        <f>SUM(B121:B125)</f>
        <v>0</v>
      </c>
      <c r="C126" s="58">
        <f>SUM(C121:C125)</f>
        <v>0</v>
      </c>
      <c r="D126" s="58">
        <f>SUM(D121:D125)</f>
        <v>0</v>
      </c>
      <c r="E126" s="60">
        <f t="shared" si="20"/>
        <v>0</v>
      </c>
      <c r="F126" s="58">
        <f>SUM(F121:F125)</f>
        <v>0</v>
      </c>
      <c r="G126" s="58">
        <f>SUM(G121:G125)</f>
        <v>0</v>
      </c>
      <c r="H126" s="58">
        <f>SUM(H121:H125)</f>
        <v>0</v>
      </c>
      <c r="I126" s="60">
        <f t="shared" si="21"/>
        <v>0</v>
      </c>
      <c r="J126" s="58">
        <f>SUM(J121:J125)</f>
        <v>0</v>
      </c>
      <c r="K126" s="58">
        <f>SUM(K121:K125)</f>
        <v>402</v>
      </c>
      <c r="L126" s="58">
        <f>SUM(L121:L125)</f>
        <v>500</v>
      </c>
      <c r="M126" s="60">
        <f t="shared" si="22"/>
        <v>902</v>
      </c>
      <c r="N126" s="58">
        <f>SUM(N121:N125)</f>
        <v>101</v>
      </c>
      <c r="O126" s="58">
        <f>SUM(O121:O125)</f>
        <v>536</v>
      </c>
      <c r="P126" s="58">
        <f>SUM(P121:P125)</f>
        <v>96</v>
      </c>
      <c r="Q126" s="60">
        <f t="shared" si="23"/>
        <v>733</v>
      </c>
      <c r="R126" s="59">
        <f t="shared" si="24"/>
        <v>1635</v>
      </c>
    </row>
    <row r="127" spans="1:20" ht="16.5" customHeight="1" thickBot="1" x14ac:dyDescent="0.35">
      <c r="A127" s="57" t="s">
        <v>72</v>
      </c>
      <c r="B127" s="58">
        <f>SUM(B108:B125)</f>
        <v>0</v>
      </c>
      <c r="C127" s="58">
        <f>SUM(C108:C125)</f>
        <v>0</v>
      </c>
      <c r="D127" s="58">
        <f>SUM(D108:D125)</f>
        <v>0</v>
      </c>
      <c r="E127" s="60">
        <f t="shared" si="20"/>
        <v>0</v>
      </c>
      <c r="F127" s="58">
        <f>SUM(F108:F125)</f>
        <v>0</v>
      </c>
      <c r="G127" s="58">
        <f>SUM(G108:G125)</f>
        <v>0</v>
      </c>
      <c r="H127" s="58">
        <f>SUM(H108:H125)</f>
        <v>0</v>
      </c>
      <c r="I127" s="60">
        <f t="shared" si="21"/>
        <v>0</v>
      </c>
      <c r="J127" s="58">
        <f>SUM(J108:J125)</f>
        <v>0</v>
      </c>
      <c r="K127" s="58">
        <f>SUM(K108:K125)</f>
        <v>402</v>
      </c>
      <c r="L127" s="58">
        <f>SUM(L108:L125)</f>
        <v>500</v>
      </c>
      <c r="M127" s="60">
        <f t="shared" si="22"/>
        <v>902</v>
      </c>
      <c r="N127" s="58">
        <f>SUM(N108:N125)</f>
        <v>101</v>
      </c>
      <c r="O127" s="58">
        <f>SUM(O108:O125)</f>
        <v>536</v>
      </c>
      <c r="P127" s="58">
        <f>SUM(P108:P125)</f>
        <v>96</v>
      </c>
      <c r="Q127" s="60">
        <f t="shared" si="23"/>
        <v>733</v>
      </c>
      <c r="R127" s="59">
        <f t="shared" si="24"/>
        <v>1635</v>
      </c>
    </row>
    <row r="128" spans="1:20" ht="16.5" customHeight="1" thickBot="1" x14ac:dyDescent="0.35">
      <c r="A128" s="57" t="s">
        <v>73</v>
      </c>
      <c r="B128" s="58">
        <f>+B89+B96+B107+B127</f>
        <v>680</v>
      </c>
      <c r="C128" s="58">
        <f>+C89+C96+C107+C127</f>
        <v>1011</v>
      </c>
      <c r="D128" s="58">
        <f>+D89+D96+D107+D127</f>
        <v>2789</v>
      </c>
      <c r="E128" s="59">
        <f t="shared" si="20"/>
        <v>4480</v>
      </c>
      <c r="F128" s="58">
        <f>+F89+F96+F107+F127</f>
        <v>5040</v>
      </c>
      <c r="G128" s="58">
        <f>+G89+G96+G107+G127</f>
        <v>5826</v>
      </c>
      <c r="H128" s="58">
        <f>+H89+H96+H107+H127</f>
        <v>6210</v>
      </c>
      <c r="I128" s="59">
        <f t="shared" si="21"/>
        <v>17076</v>
      </c>
      <c r="J128" s="58">
        <f>+J89+J96+J107+J127</f>
        <v>6193</v>
      </c>
      <c r="K128" s="58">
        <f>+K89+K96+K107+K127</f>
        <v>6626</v>
      </c>
      <c r="L128" s="58">
        <f>+L89+L96+L107+L127</f>
        <v>4422</v>
      </c>
      <c r="M128" s="59">
        <f t="shared" si="22"/>
        <v>17241</v>
      </c>
      <c r="N128" s="58">
        <f>+N89+N96+N107+N127</f>
        <v>524</v>
      </c>
      <c r="O128" s="58">
        <f>+O89+O96+O107+O127</f>
        <v>2677</v>
      </c>
      <c r="P128" s="58">
        <f>+P89+P96+P107+P127</f>
        <v>1924</v>
      </c>
      <c r="Q128" s="59">
        <f t="shared" si="23"/>
        <v>5125</v>
      </c>
      <c r="R128" s="59">
        <f t="shared" si="24"/>
        <v>43922</v>
      </c>
    </row>
    <row r="129" spans="1:20" ht="16.5" customHeight="1" thickBot="1" x14ac:dyDescent="0.35">
      <c r="A129" s="73" t="s">
        <v>40</v>
      </c>
      <c r="B129" s="21">
        <v>173</v>
      </c>
      <c r="C129" s="21">
        <v>260</v>
      </c>
      <c r="D129" s="21">
        <v>471</v>
      </c>
      <c r="E129" s="55">
        <f t="shared" si="20"/>
        <v>904</v>
      </c>
      <c r="F129" s="21">
        <v>629</v>
      </c>
      <c r="G129" s="21">
        <v>725</v>
      </c>
      <c r="H129" s="21">
        <v>712</v>
      </c>
      <c r="I129" s="55">
        <f t="shared" si="21"/>
        <v>2066</v>
      </c>
      <c r="J129" s="21">
        <v>711</v>
      </c>
      <c r="K129" s="21">
        <v>573</v>
      </c>
      <c r="L129" s="21">
        <v>542</v>
      </c>
      <c r="M129" s="55">
        <f t="shared" si="22"/>
        <v>1826</v>
      </c>
      <c r="N129" s="21">
        <v>490</v>
      </c>
      <c r="O129" s="21">
        <v>407</v>
      </c>
      <c r="P129" s="21">
        <v>323</v>
      </c>
      <c r="Q129" s="55">
        <f t="shared" si="23"/>
        <v>1220</v>
      </c>
      <c r="R129" s="55">
        <f t="shared" si="24"/>
        <v>6016</v>
      </c>
    </row>
    <row r="130" spans="1:20" ht="16.5" customHeight="1" thickBot="1" x14ac:dyDescent="0.35">
      <c r="A130" s="74"/>
      <c r="B130" s="75"/>
      <c r="C130" s="75"/>
      <c r="D130" s="75"/>
      <c r="E130" s="59" t="s">
        <v>7</v>
      </c>
      <c r="F130" s="75"/>
      <c r="G130" s="75"/>
      <c r="H130" s="75"/>
      <c r="I130" s="59" t="s">
        <v>7</v>
      </c>
      <c r="J130" s="75"/>
      <c r="K130" s="75"/>
      <c r="L130" s="75"/>
      <c r="M130" s="59" t="s">
        <v>7</v>
      </c>
      <c r="N130" s="75"/>
      <c r="O130" s="75"/>
      <c r="P130" s="75"/>
      <c r="Q130" s="59" t="s">
        <v>7</v>
      </c>
      <c r="R130" s="59" t="s">
        <v>7</v>
      </c>
    </row>
    <row r="131" spans="1:20" ht="15.75" customHeight="1" x14ac:dyDescent="0.3">
      <c r="A131" s="76" t="s">
        <v>41</v>
      </c>
      <c r="B131" s="77">
        <f>+B128+B129</f>
        <v>853</v>
      </c>
      <c r="C131" s="77">
        <f>+C128+C129</f>
        <v>1271</v>
      </c>
      <c r="D131" s="77">
        <f>+D128+D129</f>
        <v>3260</v>
      </c>
      <c r="E131" s="55">
        <f>SUM(B131:D131)</f>
        <v>5384</v>
      </c>
      <c r="F131" s="77">
        <f>+F128+F129</f>
        <v>5669</v>
      </c>
      <c r="G131" s="77">
        <f>+G128+G129</f>
        <v>6551</v>
      </c>
      <c r="H131" s="77">
        <f>+H128+H129</f>
        <v>6922</v>
      </c>
      <c r="I131" s="55">
        <f>SUM(F131:H131)</f>
        <v>19142</v>
      </c>
      <c r="J131" s="77">
        <f>+J128+J129</f>
        <v>6904</v>
      </c>
      <c r="K131" s="77">
        <f>+K128+K129</f>
        <v>7199</v>
      </c>
      <c r="L131" s="77">
        <f>+L128+L129</f>
        <v>4964</v>
      </c>
      <c r="M131" s="55">
        <f>SUM(J131:L131)</f>
        <v>19067</v>
      </c>
      <c r="N131" s="77">
        <f>+N128+N129</f>
        <v>1014</v>
      </c>
      <c r="O131" s="77">
        <f>+O128+O129</f>
        <v>3084</v>
      </c>
      <c r="P131" s="77">
        <f>+P128+P129</f>
        <v>2247</v>
      </c>
      <c r="Q131" s="55">
        <f>SUM(N131:P131)</f>
        <v>6345</v>
      </c>
      <c r="R131" s="55">
        <f>+E131+I131+M131+Q131</f>
        <v>49938</v>
      </c>
    </row>
    <row r="132" spans="1:20" ht="15.75" customHeight="1" x14ac:dyDescent="0.3">
      <c r="A132" s="78" t="s">
        <v>42</v>
      </c>
      <c r="B132" s="1">
        <f>(B131/B10)/1.983</f>
        <v>13.876010606282431</v>
      </c>
      <c r="C132" s="1">
        <f>(C131/C10)/1.983</f>
        <v>22.89100208918666</v>
      </c>
      <c r="D132" s="1">
        <f>(D131/D10)/1.983</f>
        <v>53.031412164690181</v>
      </c>
      <c r="E132" s="55" t="s">
        <v>7</v>
      </c>
      <c r="F132" s="1">
        <f>(F131/F10)/1.983</f>
        <v>95.293326609514196</v>
      </c>
      <c r="G132" s="1">
        <f>(G131/G10)/1.983</f>
        <v>106.56711076407528</v>
      </c>
      <c r="H132" s="1">
        <f>(H131/H10)/1.983</f>
        <v>116.35569003193812</v>
      </c>
      <c r="I132" s="55" t="s">
        <v>7</v>
      </c>
      <c r="J132" s="1">
        <f>(J131/J10)/1.983</f>
        <v>112.30946919785922</v>
      </c>
      <c r="K132" s="1">
        <f>(K131/K10)/1.983</f>
        <v>117.10832397963333</v>
      </c>
      <c r="L132" s="1">
        <f>(L131/L10)/1.983</f>
        <v>83.442595394183897</v>
      </c>
      <c r="M132" s="55" t="s">
        <v>7</v>
      </c>
      <c r="N132" s="1">
        <f>(N131/N10)/1.983</f>
        <v>16.49504660582695</v>
      </c>
      <c r="O132" s="1">
        <f>(O131/O10)/1.983</f>
        <v>51.840645486636404</v>
      </c>
      <c r="P132" s="1">
        <f>(P131/P10)/1.983</f>
        <v>36.552632863208238</v>
      </c>
      <c r="Q132" s="55" t="s">
        <v>7</v>
      </c>
      <c r="R132" s="55" t="s">
        <v>7</v>
      </c>
    </row>
    <row r="133" spans="1:20" ht="15.75" customHeight="1" x14ac:dyDescent="0.3">
      <c r="A133" s="79" t="s">
        <v>106</v>
      </c>
      <c r="B133" s="1">
        <f>B131+B315</f>
        <v>89520</v>
      </c>
      <c r="C133" s="1">
        <f>C131+C315</f>
        <v>106851</v>
      </c>
      <c r="D133" s="1">
        <f>D131+D315</f>
        <v>137060</v>
      </c>
      <c r="E133" s="55">
        <f>SUM(B133:D133)</f>
        <v>333431</v>
      </c>
      <c r="F133" s="1">
        <f>F131+F315</f>
        <v>167936</v>
      </c>
      <c r="G133" s="1">
        <f>G131+G315</f>
        <v>178581</v>
      </c>
      <c r="H133" s="1">
        <f>H131+H315</f>
        <v>91262</v>
      </c>
      <c r="I133" s="55">
        <f>SUM(F133:H133)</f>
        <v>437779</v>
      </c>
      <c r="J133" s="1">
        <f>J131+J315</f>
        <v>77895</v>
      </c>
      <c r="K133" s="1">
        <f>K131+K315</f>
        <v>27708</v>
      </c>
      <c r="L133" s="1">
        <f>L131+L315</f>
        <v>164659</v>
      </c>
      <c r="M133" s="55">
        <f>SUM(J133:L133)</f>
        <v>270262</v>
      </c>
      <c r="N133" s="1">
        <f>N131+N315</f>
        <v>174641</v>
      </c>
      <c r="O133" s="1">
        <f>O131+O315</f>
        <v>170763</v>
      </c>
      <c r="P133" s="1">
        <f>P131+P315</f>
        <v>142079</v>
      </c>
      <c r="Q133" s="55">
        <f>SUM(N133:P133)</f>
        <v>487483</v>
      </c>
      <c r="R133" s="55">
        <f>+E133+I133+M133+Q133</f>
        <v>1528955</v>
      </c>
    </row>
    <row r="134" spans="1:20" ht="16.5" customHeight="1" thickBot="1" x14ac:dyDescent="0.35">
      <c r="A134" s="80" t="s">
        <v>107</v>
      </c>
      <c r="B134" s="25">
        <f>(B133/B10)/1.983</f>
        <v>1456.2490849641304</v>
      </c>
      <c r="C134" s="25">
        <f>(C133/C10)/1.983</f>
        <v>1924.4110654851954</v>
      </c>
      <c r="D134" s="25">
        <f>(D133/D10)/1.983</f>
        <v>2229.5967335252872</v>
      </c>
      <c r="E134" s="81" t="s">
        <v>7</v>
      </c>
      <c r="F134" s="25">
        <f>(F133/F10)/1.983</f>
        <v>2822.9282232307951</v>
      </c>
      <c r="G134" s="25">
        <f>(G133/G10)/1.983</f>
        <v>2905.0314772339075</v>
      </c>
      <c r="H134" s="25">
        <f>(H133/H10)/1.983</f>
        <v>1534.0729534375523</v>
      </c>
      <c r="I134" s="81" t="s">
        <v>7</v>
      </c>
      <c r="J134" s="25">
        <f>(J133/J10)/1.983</f>
        <v>1267.1416719535405</v>
      </c>
      <c r="K134" s="25">
        <f>(K133/K10)/1.983</f>
        <v>450.73446879117654</v>
      </c>
      <c r="L134" s="25">
        <f>(L133/L10)/1.983</f>
        <v>2767.8433350142877</v>
      </c>
      <c r="M134" s="81" t="s">
        <v>7</v>
      </c>
      <c r="N134" s="25">
        <f>(N133/N10)/1.983</f>
        <v>2840.9382981146196</v>
      </c>
      <c r="O134" s="25">
        <f>(O133/O10)/1.983</f>
        <v>2870.4488149268786</v>
      </c>
      <c r="P134" s="25">
        <f>(P133/P10)/1.983</f>
        <v>2311.2423340328273</v>
      </c>
      <c r="Q134" s="81" t="s">
        <v>7</v>
      </c>
      <c r="R134" s="81" t="s">
        <v>7</v>
      </c>
    </row>
    <row r="135" spans="1:20" ht="15.75" customHeight="1" x14ac:dyDescent="0.3">
      <c r="A135" s="28"/>
      <c r="B135" s="1"/>
      <c r="C135" s="1"/>
      <c r="D135" s="1"/>
      <c r="E135" s="1"/>
      <c r="F135" s="1"/>
      <c r="G135" s="1"/>
      <c r="H135" s="1"/>
      <c r="I135" s="1"/>
      <c r="J135" s="1"/>
      <c r="K135" s="1"/>
      <c r="L135" s="1"/>
      <c r="M135" s="1"/>
      <c r="N135" s="1"/>
      <c r="O135" s="1"/>
      <c r="P135" s="1"/>
      <c r="Q135" s="1"/>
      <c r="R135" s="2"/>
    </row>
    <row r="136" spans="1:20" ht="15.75" customHeight="1" thickBot="1" x14ac:dyDescent="0.35">
      <c r="A136" s="28" t="s">
        <v>7</v>
      </c>
      <c r="B136" s="1"/>
      <c r="C136" s="1"/>
      <c r="D136" s="1"/>
      <c r="E136" s="1"/>
      <c r="F136" s="1"/>
      <c r="G136" s="1"/>
      <c r="H136" s="1"/>
      <c r="I136" s="1"/>
      <c r="J136" s="1"/>
      <c r="K136" s="1"/>
      <c r="L136" s="1"/>
      <c r="M136" s="1"/>
      <c r="N136" s="1"/>
      <c r="O136" s="1"/>
      <c r="P136" s="1"/>
      <c r="Q136" s="1"/>
      <c r="R136" s="2"/>
    </row>
    <row r="137" spans="1:20" ht="16.5" customHeight="1" thickBot="1" x14ac:dyDescent="0.35">
      <c r="A137" s="29" t="s">
        <v>108</v>
      </c>
      <c r="B137" s="30" t="s">
        <v>8</v>
      </c>
      <c r="C137" s="31" t="s">
        <v>9</v>
      </c>
      <c r="D137" s="31" t="s">
        <v>10</v>
      </c>
      <c r="E137" s="32" t="s">
        <v>11</v>
      </c>
      <c r="F137" s="31" t="s">
        <v>12</v>
      </c>
      <c r="G137" s="31" t="s">
        <v>13</v>
      </c>
      <c r="H137" s="31" t="s">
        <v>14</v>
      </c>
      <c r="I137" s="33" t="s">
        <v>15</v>
      </c>
      <c r="J137" s="31" t="s">
        <v>16</v>
      </c>
      <c r="K137" s="31" t="s">
        <v>17</v>
      </c>
      <c r="L137" s="31" t="s">
        <v>18</v>
      </c>
      <c r="M137" s="33" t="s">
        <v>19</v>
      </c>
      <c r="N137" s="31" t="s">
        <v>20</v>
      </c>
      <c r="O137" s="31" t="s">
        <v>21</v>
      </c>
      <c r="P137" s="31" t="s">
        <v>22</v>
      </c>
      <c r="Q137" s="33" t="s">
        <v>23</v>
      </c>
      <c r="R137" s="34" t="s">
        <v>24</v>
      </c>
    </row>
    <row r="138" spans="1:20" ht="16.5" customHeight="1" thickBot="1" x14ac:dyDescent="0.35">
      <c r="A138" s="74"/>
      <c r="B138" s="75"/>
      <c r="C138" s="75"/>
      <c r="D138" s="75"/>
      <c r="E138" s="82"/>
      <c r="F138" s="75"/>
      <c r="G138" s="75"/>
      <c r="H138" s="75"/>
      <c r="I138" s="82"/>
      <c r="J138" s="75"/>
      <c r="K138" s="75"/>
      <c r="L138" s="75"/>
      <c r="M138" s="82"/>
      <c r="N138" s="75"/>
      <c r="O138" s="75"/>
      <c r="P138" s="75"/>
      <c r="Q138" s="82"/>
      <c r="R138" s="74"/>
    </row>
    <row r="139" spans="1:20" ht="15.75" customHeight="1" x14ac:dyDescent="0.3">
      <c r="A139" s="15" t="s">
        <v>48</v>
      </c>
      <c r="B139" s="1" t="s">
        <v>7</v>
      </c>
      <c r="C139" s="1" t="s">
        <v>7</v>
      </c>
      <c r="D139" s="1" t="s">
        <v>7</v>
      </c>
      <c r="E139" s="55" t="s">
        <v>7</v>
      </c>
      <c r="F139" s="1" t="s">
        <v>7</v>
      </c>
      <c r="G139" s="1" t="s">
        <v>7</v>
      </c>
      <c r="H139" s="1" t="s">
        <v>7</v>
      </c>
      <c r="I139" s="55" t="s">
        <v>7</v>
      </c>
      <c r="J139" s="1" t="s">
        <v>7</v>
      </c>
      <c r="K139" s="1" t="s">
        <v>7</v>
      </c>
      <c r="L139" s="1" t="s">
        <v>7</v>
      </c>
      <c r="M139" s="55" t="s">
        <v>7</v>
      </c>
      <c r="N139" s="1" t="s">
        <v>7</v>
      </c>
      <c r="O139" s="1" t="s">
        <v>7</v>
      </c>
      <c r="P139" s="1" t="s">
        <v>7</v>
      </c>
      <c r="Q139" s="55" t="s">
        <v>7</v>
      </c>
      <c r="R139" s="83" t="s">
        <v>7</v>
      </c>
    </row>
    <row r="140" spans="1:20" ht="15.75" customHeight="1" x14ac:dyDescent="0.3">
      <c r="A140" s="15" t="s">
        <v>49</v>
      </c>
      <c r="B140" s="1"/>
      <c r="C140" s="1"/>
      <c r="D140" s="1"/>
      <c r="E140" s="55" t="s">
        <v>7</v>
      </c>
      <c r="F140" s="1"/>
      <c r="G140" s="1"/>
      <c r="H140" s="1"/>
      <c r="I140" s="55" t="s">
        <v>7</v>
      </c>
      <c r="J140" s="1"/>
      <c r="K140" s="1"/>
      <c r="L140" s="1"/>
      <c r="M140" s="55" t="s">
        <v>7</v>
      </c>
      <c r="N140" s="1"/>
      <c r="O140" s="1"/>
      <c r="P140" s="1"/>
      <c r="Q140" s="55" t="s">
        <v>7</v>
      </c>
      <c r="R140" s="83"/>
    </row>
    <row r="141" spans="1:20" ht="15.75" customHeight="1" x14ac:dyDescent="0.3">
      <c r="A141" s="84" t="s">
        <v>811</v>
      </c>
      <c r="B141" s="1"/>
      <c r="C141" s="1"/>
      <c r="D141" s="1">
        <v>599</v>
      </c>
      <c r="E141" s="55">
        <f t="shared" ref="E141:E144" si="25">SUM(B141:D141)</f>
        <v>599</v>
      </c>
      <c r="F141" s="1">
        <v>599</v>
      </c>
      <c r="G141" s="1">
        <v>599</v>
      </c>
      <c r="H141" s="1">
        <v>598</v>
      </c>
      <c r="I141" s="55">
        <f t="shared" ref="I141:I144" si="26">SUM(F141:H141)</f>
        <v>1796</v>
      </c>
      <c r="J141" s="1">
        <v>598</v>
      </c>
      <c r="K141" s="1">
        <v>613</v>
      </c>
      <c r="L141" s="1">
        <v>558</v>
      </c>
      <c r="M141" s="55">
        <f t="shared" ref="M141:M144" si="27">SUM(J141:L141)</f>
        <v>1769</v>
      </c>
      <c r="N141" s="1">
        <v>25</v>
      </c>
      <c r="O141" s="1"/>
      <c r="P141" s="1"/>
      <c r="Q141" s="55">
        <f t="shared" ref="Q141:Q147" si="28">SUM(N141:P141)</f>
        <v>25</v>
      </c>
      <c r="R141" s="55">
        <f>+E141+I141+M141+Q141</f>
        <v>4189</v>
      </c>
      <c r="T141" s="4" t="s">
        <v>812</v>
      </c>
    </row>
    <row r="142" spans="1:20" ht="15.75" customHeight="1" x14ac:dyDescent="0.3">
      <c r="A142" s="84" t="s">
        <v>813</v>
      </c>
      <c r="B142" s="1"/>
      <c r="C142" s="1">
        <v>232</v>
      </c>
      <c r="D142" s="1">
        <v>877</v>
      </c>
      <c r="E142" s="55">
        <f t="shared" si="25"/>
        <v>1109</v>
      </c>
      <c r="F142" s="1">
        <v>1512</v>
      </c>
      <c r="G142" s="1">
        <v>1111</v>
      </c>
      <c r="H142" s="1">
        <v>1500</v>
      </c>
      <c r="I142" s="55">
        <f t="shared" si="26"/>
        <v>4123</v>
      </c>
      <c r="J142" s="1">
        <v>1639</v>
      </c>
      <c r="K142" s="1">
        <v>1515</v>
      </c>
      <c r="L142" s="1">
        <v>1227</v>
      </c>
      <c r="M142" s="55">
        <f>SUM(J142:L142)</f>
        <v>4381</v>
      </c>
      <c r="N142" s="1">
        <v>921</v>
      </c>
      <c r="O142" s="1">
        <v>100</v>
      </c>
      <c r="P142" s="1"/>
      <c r="Q142" s="55">
        <f t="shared" si="28"/>
        <v>1021</v>
      </c>
      <c r="R142" s="55">
        <f t="shared" ref="R142:R187" si="29">+E142+I142+M142+Q142</f>
        <v>10634</v>
      </c>
      <c r="T142" s="4" t="s">
        <v>812</v>
      </c>
    </row>
    <row r="143" spans="1:20" ht="15.75" customHeight="1" x14ac:dyDescent="0.3">
      <c r="A143" s="84" t="s">
        <v>814</v>
      </c>
      <c r="B143" s="1"/>
      <c r="C143" s="1"/>
      <c r="D143" s="1">
        <v>339</v>
      </c>
      <c r="E143" s="55">
        <f t="shared" si="25"/>
        <v>339</v>
      </c>
      <c r="F143" s="1">
        <v>339</v>
      </c>
      <c r="G143" s="1">
        <v>339</v>
      </c>
      <c r="H143" s="1">
        <v>339</v>
      </c>
      <c r="I143" s="55">
        <f t="shared" si="26"/>
        <v>1017</v>
      </c>
      <c r="J143" s="1">
        <v>339</v>
      </c>
      <c r="K143" s="1">
        <v>354</v>
      </c>
      <c r="L143" s="1">
        <v>298</v>
      </c>
      <c r="M143" s="55">
        <f t="shared" si="27"/>
        <v>991</v>
      </c>
      <c r="N143" s="1">
        <v>25</v>
      </c>
      <c r="O143" s="1"/>
      <c r="P143" s="1"/>
      <c r="Q143" s="55">
        <f t="shared" si="28"/>
        <v>25</v>
      </c>
      <c r="R143" s="55">
        <f t="shared" si="29"/>
        <v>2372</v>
      </c>
      <c r="T143" s="4" t="s">
        <v>812</v>
      </c>
    </row>
    <row r="144" spans="1:20" ht="6" customHeight="1" x14ac:dyDescent="0.3">
      <c r="A144" s="84" t="s">
        <v>815</v>
      </c>
      <c r="B144" s="1"/>
      <c r="C144" s="1"/>
      <c r="D144" s="1">
        <v>323</v>
      </c>
      <c r="E144" s="55">
        <f t="shared" si="25"/>
        <v>323</v>
      </c>
      <c r="F144" s="1">
        <v>323</v>
      </c>
      <c r="G144" s="1">
        <v>323</v>
      </c>
      <c r="H144" s="1">
        <v>323</v>
      </c>
      <c r="I144" s="55">
        <f t="shared" si="26"/>
        <v>969</v>
      </c>
      <c r="J144" s="1">
        <v>324</v>
      </c>
      <c r="K144" s="1">
        <v>338</v>
      </c>
      <c r="L144" s="1">
        <v>283</v>
      </c>
      <c r="M144" s="55">
        <f t="shared" si="27"/>
        <v>945</v>
      </c>
      <c r="N144" s="1">
        <v>994</v>
      </c>
      <c r="O144" s="1"/>
      <c r="P144" s="1"/>
      <c r="Q144" s="55">
        <f t="shared" si="28"/>
        <v>994</v>
      </c>
      <c r="R144" s="55">
        <f t="shared" si="29"/>
        <v>3231</v>
      </c>
      <c r="T144" s="4" t="s">
        <v>812</v>
      </c>
    </row>
    <row r="145" spans="1:20" ht="6" customHeight="1" x14ac:dyDescent="0.3">
      <c r="A145" s="71" t="s">
        <v>111</v>
      </c>
      <c r="B145" s="1">
        <v>5</v>
      </c>
      <c r="C145" s="1">
        <v>1</v>
      </c>
      <c r="D145" s="1"/>
      <c r="E145" s="55">
        <f t="shared" ref="E145:E146" si="30">SUM(B145:D145)</f>
        <v>6</v>
      </c>
      <c r="F145" s="1">
        <v>2</v>
      </c>
      <c r="G145" s="1">
        <v>2</v>
      </c>
      <c r="H145" s="1">
        <v>2</v>
      </c>
      <c r="I145" s="55">
        <f t="shared" ref="I145:I184" si="31">SUM(F145:H145)</f>
        <v>6</v>
      </c>
      <c r="J145" s="1">
        <v>1</v>
      </c>
      <c r="K145" s="1"/>
      <c r="L145" s="1"/>
      <c r="M145" s="55">
        <f t="shared" ref="M145:M184" si="32">SUM(J145:L145)</f>
        <v>1</v>
      </c>
      <c r="N145" s="1"/>
      <c r="O145" s="1"/>
      <c r="P145" s="1">
        <v>17</v>
      </c>
      <c r="Q145" s="55">
        <f t="shared" si="28"/>
        <v>17</v>
      </c>
      <c r="R145" s="55">
        <f t="shared" si="29"/>
        <v>30</v>
      </c>
      <c r="T145" s="4" t="s">
        <v>406</v>
      </c>
    </row>
    <row r="146" spans="1:20" ht="6" customHeight="1" x14ac:dyDescent="0.3">
      <c r="A146" s="71" t="s">
        <v>1268</v>
      </c>
      <c r="B146" s="1"/>
      <c r="C146" s="1"/>
      <c r="D146" s="1"/>
      <c r="E146" s="55">
        <f t="shared" si="30"/>
        <v>0</v>
      </c>
      <c r="F146" s="1"/>
      <c r="G146" s="1"/>
      <c r="H146" s="1">
        <v>300</v>
      </c>
      <c r="I146" s="55">
        <f t="shared" si="31"/>
        <v>300</v>
      </c>
      <c r="J146" s="1"/>
      <c r="K146" s="1"/>
      <c r="L146" s="1"/>
      <c r="M146" s="55">
        <f t="shared" si="32"/>
        <v>0</v>
      </c>
      <c r="N146" s="1"/>
      <c r="O146" s="1"/>
      <c r="P146" s="1"/>
      <c r="Q146" s="55">
        <f t="shared" ref="Q146" si="33">SUM(N146:P146)</f>
        <v>0</v>
      </c>
      <c r="R146" s="55">
        <f t="shared" si="29"/>
        <v>300</v>
      </c>
    </row>
    <row r="147" spans="1:20" ht="15.75" customHeight="1" x14ac:dyDescent="0.3">
      <c r="A147" s="84" t="s">
        <v>816</v>
      </c>
      <c r="C147" s="1"/>
      <c r="D147" s="1"/>
      <c r="E147" s="55">
        <f>SUM(C147:D147)</f>
        <v>0</v>
      </c>
      <c r="F147" s="1"/>
      <c r="G147" s="1"/>
      <c r="H147" s="1">
        <v>625</v>
      </c>
      <c r="I147" s="55">
        <f t="shared" si="31"/>
        <v>625</v>
      </c>
      <c r="J147" s="1"/>
      <c r="K147" s="1"/>
      <c r="L147" s="1"/>
      <c r="M147" s="55">
        <f t="shared" si="32"/>
        <v>0</v>
      </c>
      <c r="N147" s="1"/>
      <c r="O147" s="1"/>
      <c r="P147" s="1"/>
      <c r="Q147" s="55">
        <f t="shared" si="28"/>
        <v>0</v>
      </c>
      <c r="R147" s="55">
        <f t="shared" si="29"/>
        <v>625</v>
      </c>
      <c r="T147" s="4" t="s">
        <v>812</v>
      </c>
    </row>
    <row r="148" spans="1:20" ht="15.75" customHeight="1" x14ac:dyDescent="0.3">
      <c r="A148" s="84" t="s">
        <v>817</v>
      </c>
      <c r="B148" s="1"/>
      <c r="C148" s="1"/>
      <c r="D148" s="1"/>
      <c r="E148" s="55">
        <f t="shared" ref="E148:E163" si="34">SUM(B148:D148)</f>
        <v>0</v>
      </c>
      <c r="F148" s="1"/>
      <c r="G148" s="1"/>
      <c r="H148" s="1"/>
      <c r="I148" s="55">
        <f t="shared" si="31"/>
        <v>0</v>
      </c>
      <c r="J148" s="1"/>
      <c r="K148" s="1"/>
      <c r="L148" s="1"/>
      <c r="M148" s="55">
        <f t="shared" si="32"/>
        <v>0</v>
      </c>
      <c r="N148" s="1"/>
      <c r="O148" s="1"/>
      <c r="P148" s="1"/>
      <c r="Q148" s="55">
        <f t="shared" ref="Q148:Q190" si="35">SUM(N148:P148)</f>
        <v>0</v>
      </c>
      <c r="R148" s="55">
        <f t="shared" si="29"/>
        <v>0</v>
      </c>
      <c r="T148" s="4" t="s">
        <v>818</v>
      </c>
    </row>
    <row r="149" spans="1:20" ht="15.75" customHeight="1" x14ac:dyDescent="0.3">
      <c r="A149" s="84" t="s">
        <v>112</v>
      </c>
      <c r="B149" s="1"/>
      <c r="C149" s="1"/>
      <c r="D149" s="1">
        <v>1632</v>
      </c>
      <c r="E149" s="55">
        <f t="shared" si="34"/>
        <v>1632</v>
      </c>
      <c r="F149" s="1">
        <v>1000</v>
      </c>
      <c r="G149" s="1"/>
      <c r="H149" s="1"/>
      <c r="I149" s="55">
        <f t="shared" si="31"/>
        <v>1000</v>
      </c>
      <c r="J149" s="1"/>
      <c r="K149" s="1"/>
      <c r="L149" s="1"/>
      <c r="M149" s="55">
        <f t="shared" si="32"/>
        <v>0</v>
      </c>
      <c r="N149" s="1"/>
      <c r="O149" s="1"/>
      <c r="P149" s="1"/>
      <c r="Q149" s="55">
        <f t="shared" si="35"/>
        <v>0</v>
      </c>
      <c r="R149" s="55">
        <f t="shared" si="29"/>
        <v>2632</v>
      </c>
      <c r="T149" s="4" t="s">
        <v>819</v>
      </c>
    </row>
    <row r="150" spans="1:20" ht="15.75" customHeight="1" x14ac:dyDescent="0.3">
      <c r="A150" s="71" t="s">
        <v>820</v>
      </c>
      <c r="B150" s="1"/>
      <c r="C150" s="1"/>
      <c r="D150" s="1"/>
      <c r="E150" s="55">
        <f t="shared" si="34"/>
        <v>0</v>
      </c>
      <c r="F150" s="1"/>
      <c r="G150" s="1"/>
      <c r="H150" s="1"/>
      <c r="I150" s="55">
        <f t="shared" si="31"/>
        <v>0</v>
      </c>
      <c r="J150" s="1">
        <v>2784</v>
      </c>
      <c r="K150" s="1"/>
      <c r="L150" s="1"/>
      <c r="M150" s="55">
        <f t="shared" si="32"/>
        <v>2784</v>
      </c>
      <c r="N150" s="1"/>
      <c r="O150" s="1"/>
      <c r="P150" s="1"/>
      <c r="Q150" s="55">
        <f t="shared" si="35"/>
        <v>0</v>
      </c>
      <c r="R150" s="55">
        <f t="shared" si="29"/>
        <v>2784</v>
      </c>
      <c r="S150" s="4" t="s">
        <v>821</v>
      </c>
      <c r="T150" s="4" t="s">
        <v>822</v>
      </c>
    </row>
    <row r="151" spans="1:20" ht="15.75" customHeight="1" x14ac:dyDescent="0.3">
      <c r="A151" s="72" t="s">
        <v>1269</v>
      </c>
      <c r="B151" s="1"/>
      <c r="C151" s="1"/>
      <c r="D151" s="1"/>
      <c r="E151" s="55">
        <f>SUM(B151:D151)</f>
        <v>0</v>
      </c>
      <c r="F151" s="1">
        <v>72</v>
      </c>
      <c r="G151" s="1">
        <v>97</v>
      </c>
      <c r="H151" s="1">
        <v>125</v>
      </c>
      <c r="I151" s="55">
        <f>SUM(F151:H151)</f>
        <v>294</v>
      </c>
      <c r="K151" s="1"/>
      <c r="L151" s="1"/>
      <c r="M151" s="55">
        <f>SUM(J151:L151)</f>
        <v>0</v>
      </c>
      <c r="N151" s="1"/>
      <c r="O151" s="1"/>
      <c r="P151" s="1"/>
      <c r="Q151" s="55">
        <f>SUM(N151:P151)</f>
        <v>0</v>
      </c>
      <c r="R151" s="55">
        <f>+E151+I151+M151+Q151</f>
        <v>294</v>
      </c>
      <c r="S151" s="465"/>
    </row>
    <row r="152" spans="1:20" ht="15.75" customHeight="1" x14ac:dyDescent="0.3">
      <c r="A152" s="84" t="s">
        <v>1270</v>
      </c>
      <c r="B152" s="1"/>
      <c r="C152" s="1">
        <v>973</v>
      </c>
      <c r="D152" s="1">
        <v>536</v>
      </c>
      <c r="E152" s="55">
        <f t="shared" si="34"/>
        <v>1509</v>
      </c>
      <c r="F152" s="1">
        <v>1837</v>
      </c>
      <c r="G152" s="1"/>
      <c r="H152" s="1"/>
      <c r="I152" s="55">
        <f t="shared" si="31"/>
        <v>1837</v>
      </c>
      <c r="J152" s="1"/>
      <c r="K152" s="1"/>
      <c r="L152" s="1">
        <v>652</v>
      </c>
      <c r="M152" s="55">
        <f t="shared" si="32"/>
        <v>652</v>
      </c>
      <c r="N152" s="1">
        <v>925</v>
      </c>
      <c r="O152" s="1">
        <f>222+542</f>
        <v>764</v>
      </c>
      <c r="P152" s="1">
        <f>76+76</f>
        <v>152</v>
      </c>
      <c r="Q152" s="55">
        <f t="shared" si="35"/>
        <v>1841</v>
      </c>
      <c r="R152" s="55">
        <f t="shared" si="29"/>
        <v>5839</v>
      </c>
      <c r="S152" s="477" t="s">
        <v>1257</v>
      </c>
      <c r="T152" s="4" t="s">
        <v>818</v>
      </c>
    </row>
    <row r="153" spans="1:20" ht="15.75" customHeight="1" x14ac:dyDescent="0.3">
      <c r="A153" s="84" t="s">
        <v>1271</v>
      </c>
      <c r="B153" s="1"/>
      <c r="C153" s="1">
        <v>1157</v>
      </c>
      <c r="E153" s="55">
        <f t="shared" si="34"/>
        <v>1157</v>
      </c>
      <c r="F153" s="1"/>
      <c r="G153" s="1"/>
      <c r="H153" s="1"/>
      <c r="I153" s="55">
        <f t="shared" si="31"/>
        <v>0</v>
      </c>
      <c r="J153" s="1"/>
      <c r="K153" s="1"/>
      <c r="L153" s="1"/>
      <c r="M153" s="55">
        <f t="shared" si="32"/>
        <v>0</v>
      </c>
      <c r="N153" s="1"/>
      <c r="O153" s="1"/>
      <c r="P153" s="1"/>
      <c r="Q153" s="55">
        <f t="shared" si="35"/>
        <v>0</v>
      </c>
      <c r="R153" s="55">
        <f t="shared" si="29"/>
        <v>1157</v>
      </c>
      <c r="S153" s="477" t="s">
        <v>1257</v>
      </c>
      <c r="T153" s="4" t="s">
        <v>819</v>
      </c>
    </row>
    <row r="154" spans="1:20" ht="15.75" customHeight="1" x14ac:dyDescent="0.3">
      <c r="A154" s="84" t="s">
        <v>1272</v>
      </c>
      <c r="B154" s="1"/>
      <c r="C154" s="1"/>
      <c r="D154" s="1"/>
      <c r="E154" s="55">
        <f t="shared" si="34"/>
        <v>0</v>
      </c>
      <c r="F154" s="1">
        <v>330</v>
      </c>
      <c r="G154" s="1">
        <v>330</v>
      </c>
      <c r="H154" s="1">
        <v>340</v>
      </c>
      <c r="I154" s="55">
        <f t="shared" si="31"/>
        <v>1000</v>
      </c>
      <c r="J154" s="1"/>
      <c r="K154" s="1"/>
      <c r="L154" s="1"/>
      <c r="M154" s="55">
        <f t="shared" si="32"/>
        <v>0</v>
      </c>
      <c r="N154" s="1"/>
      <c r="O154" s="1"/>
      <c r="P154" s="1"/>
      <c r="Q154" s="55">
        <f t="shared" si="35"/>
        <v>0</v>
      </c>
      <c r="R154" s="55">
        <f t="shared" si="29"/>
        <v>1000</v>
      </c>
      <c r="S154" s="477" t="s">
        <v>1257</v>
      </c>
      <c r="T154" s="4" t="s">
        <v>812</v>
      </c>
    </row>
    <row r="155" spans="1:20" ht="15.75" customHeight="1" x14ac:dyDescent="0.3">
      <c r="A155" s="71" t="s">
        <v>114</v>
      </c>
      <c r="B155" s="1">
        <v>48</v>
      </c>
      <c r="C155" s="1">
        <v>34</v>
      </c>
      <c r="D155" s="1">
        <v>52</v>
      </c>
      <c r="E155" s="55">
        <f t="shared" si="34"/>
        <v>134</v>
      </c>
      <c r="F155" s="1">
        <v>56</v>
      </c>
      <c r="G155" s="1">
        <v>59</v>
      </c>
      <c r="H155" s="1">
        <v>65</v>
      </c>
      <c r="I155" s="55">
        <f t="shared" si="31"/>
        <v>180</v>
      </c>
      <c r="J155" s="1">
        <v>67</v>
      </c>
      <c r="K155" s="1">
        <v>66</v>
      </c>
      <c r="L155" s="1">
        <v>64</v>
      </c>
      <c r="M155" s="55">
        <f t="shared" si="32"/>
        <v>197</v>
      </c>
      <c r="N155" s="1">
        <v>61</v>
      </c>
      <c r="O155" s="1">
        <v>41</v>
      </c>
      <c r="P155" s="1">
        <v>37</v>
      </c>
      <c r="Q155" s="55">
        <f t="shared" si="35"/>
        <v>139</v>
      </c>
      <c r="R155" s="55">
        <f t="shared" si="29"/>
        <v>650</v>
      </c>
      <c r="T155" s="4" t="s">
        <v>824</v>
      </c>
    </row>
    <row r="156" spans="1:20" ht="15.75" customHeight="1" x14ac:dyDescent="0.3">
      <c r="A156" s="71" t="s">
        <v>115</v>
      </c>
      <c r="B156" s="1">
        <v>109</v>
      </c>
      <c r="C156" s="1">
        <v>82</v>
      </c>
      <c r="D156" s="1">
        <v>102</v>
      </c>
      <c r="E156" s="55">
        <f t="shared" si="34"/>
        <v>293</v>
      </c>
      <c r="F156" s="1">
        <v>175</v>
      </c>
      <c r="G156" s="1">
        <v>208</v>
      </c>
      <c r="H156" s="1">
        <v>215</v>
      </c>
      <c r="I156" s="55">
        <f t="shared" si="31"/>
        <v>598</v>
      </c>
      <c r="J156" s="1">
        <v>197</v>
      </c>
      <c r="K156" s="1">
        <v>175</v>
      </c>
      <c r="L156" s="1">
        <v>180</v>
      </c>
      <c r="M156" s="55">
        <f t="shared" si="32"/>
        <v>552</v>
      </c>
      <c r="N156" s="1">
        <v>128</v>
      </c>
      <c r="O156" s="1">
        <v>140</v>
      </c>
      <c r="P156" s="1">
        <v>149</v>
      </c>
      <c r="Q156" s="55">
        <f t="shared" si="35"/>
        <v>417</v>
      </c>
      <c r="R156" s="55">
        <f t="shared" si="29"/>
        <v>1860</v>
      </c>
      <c r="T156" s="4" t="s">
        <v>825</v>
      </c>
    </row>
    <row r="157" spans="1:20" ht="15.75" customHeight="1" x14ac:dyDescent="0.3">
      <c r="A157" s="71" t="s">
        <v>826</v>
      </c>
      <c r="B157" s="1"/>
      <c r="C157" s="1"/>
      <c r="D157" s="1">
        <v>300</v>
      </c>
      <c r="E157" s="55">
        <f t="shared" si="34"/>
        <v>300</v>
      </c>
      <c r="F157" s="1">
        <f>200+300</f>
        <v>500</v>
      </c>
      <c r="G157" s="1">
        <f>124</f>
        <v>124</v>
      </c>
      <c r="H157" s="1"/>
      <c r="I157" s="55">
        <f t="shared" si="31"/>
        <v>624</v>
      </c>
      <c r="J157" s="1"/>
      <c r="K157" s="1"/>
      <c r="L157" s="1">
        <v>500</v>
      </c>
      <c r="M157" s="55">
        <f t="shared" si="32"/>
        <v>500</v>
      </c>
      <c r="N157" s="1">
        <v>600</v>
      </c>
      <c r="O157" s="1">
        <v>633</v>
      </c>
      <c r="P157" s="1">
        <v>332</v>
      </c>
      <c r="Q157" s="55">
        <f t="shared" si="35"/>
        <v>1565</v>
      </c>
      <c r="R157" s="55">
        <f t="shared" si="29"/>
        <v>2989</v>
      </c>
      <c r="S157" s="4" t="s">
        <v>821</v>
      </c>
    </row>
    <row r="158" spans="1:20" ht="15.75" customHeight="1" x14ac:dyDescent="0.3">
      <c r="A158" s="84" t="s">
        <v>827</v>
      </c>
      <c r="B158" s="1"/>
      <c r="C158" s="1">
        <v>100</v>
      </c>
      <c r="D158" s="1">
        <v>100</v>
      </c>
      <c r="E158" s="55">
        <f>SUM(B158:D158)</f>
        <v>200</v>
      </c>
      <c r="F158" s="1">
        <v>100</v>
      </c>
      <c r="G158" s="1">
        <v>175</v>
      </c>
      <c r="H158" s="1">
        <v>352</v>
      </c>
      <c r="I158" s="55">
        <f t="shared" si="31"/>
        <v>627</v>
      </c>
      <c r="J158" s="1">
        <v>250</v>
      </c>
      <c r="K158" s="1">
        <v>265</v>
      </c>
      <c r="L158" s="1">
        <v>133</v>
      </c>
      <c r="M158" s="55">
        <f t="shared" si="32"/>
        <v>648</v>
      </c>
      <c r="N158" s="1">
        <v>175</v>
      </c>
      <c r="O158" s="1"/>
      <c r="P158" s="1"/>
      <c r="Q158" s="55">
        <f t="shared" si="35"/>
        <v>175</v>
      </c>
      <c r="R158" s="55">
        <f t="shared" si="29"/>
        <v>1650</v>
      </c>
      <c r="T158" s="4" t="s">
        <v>812</v>
      </c>
    </row>
    <row r="159" spans="1:20" ht="15.75" customHeight="1" x14ac:dyDescent="0.3">
      <c r="A159" s="71" t="s">
        <v>828</v>
      </c>
      <c r="B159" s="1">
        <v>405</v>
      </c>
      <c r="C159" s="1">
        <v>379</v>
      </c>
      <c r="D159" s="1">
        <v>435</v>
      </c>
      <c r="E159" s="55">
        <f t="shared" si="34"/>
        <v>1219</v>
      </c>
      <c r="F159" s="1">
        <v>443</v>
      </c>
      <c r="G159" s="1">
        <v>379</v>
      </c>
      <c r="H159" s="1">
        <v>531</v>
      </c>
      <c r="I159" s="55">
        <f t="shared" si="31"/>
        <v>1353</v>
      </c>
      <c r="J159" s="1">
        <v>563</v>
      </c>
      <c r="K159" s="1">
        <v>445</v>
      </c>
      <c r="L159" s="1">
        <v>393</v>
      </c>
      <c r="M159" s="55">
        <f t="shared" si="32"/>
        <v>1401</v>
      </c>
      <c r="N159" s="1">
        <v>444</v>
      </c>
      <c r="O159" s="1">
        <v>443</v>
      </c>
      <c r="P159" s="1">
        <v>286</v>
      </c>
      <c r="Q159" s="55">
        <f t="shared" si="35"/>
        <v>1173</v>
      </c>
      <c r="R159" s="55">
        <f t="shared" si="29"/>
        <v>5146</v>
      </c>
      <c r="T159" s="4" t="s">
        <v>829</v>
      </c>
    </row>
    <row r="160" spans="1:20" ht="15.75" customHeight="1" x14ac:dyDescent="0.3">
      <c r="A160" s="84" t="s">
        <v>830</v>
      </c>
      <c r="B160" s="1"/>
      <c r="C160" s="1"/>
      <c r="D160" s="1"/>
      <c r="E160" s="55">
        <f t="shared" si="34"/>
        <v>0</v>
      </c>
      <c r="F160" s="1"/>
      <c r="G160" s="1"/>
      <c r="H160" s="1"/>
      <c r="I160" s="55">
        <f t="shared" si="31"/>
        <v>0</v>
      </c>
      <c r="J160" s="1"/>
      <c r="K160" s="1"/>
      <c r="L160" s="1">
        <v>508</v>
      </c>
      <c r="M160" s="55">
        <f t="shared" si="32"/>
        <v>508</v>
      </c>
      <c r="N160" s="1"/>
      <c r="O160" s="1"/>
      <c r="P160" s="1"/>
      <c r="Q160" s="55">
        <f t="shared" si="35"/>
        <v>0</v>
      </c>
      <c r="R160" s="55">
        <f t="shared" si="29"/>
        <v>508</v>
      </c>
      <c r="T160" s="4" t="s">
        <v>819</v>
      </c>
    </row>
    <row r="161" spans="1:20" ht="15.75" customHeight="1" x14ac:dyDescent="0.3">
      <c r="A161" s="72" t="s">
        <v>1273</v>
      </c>
      <c r="B161" s="1"/>
      <c r="C161" s="1"/>
      <c r="D161" s="1"/>
      <c r="E161" s="55">
        <f t="shared" ref="E161" si="36">SUM(B161:D161)</f>
        <v>0</v>
      </c>
      <c r="F161" s="1"/>
      <c r="G161" s="1"/>
      <c r="H161" s="1">
        <v>355</v>
      </c>
      <c r="I161" s="55">
        <f t="shared" ref="I161" si="37">SUM(F161:H161)</f>
        <v>355</v>
      </c>
      <c r="J161" s="1"/>
      <c r="K161" s="1"/>
      <c r="L161" s="1"/>
      <c r="M161" s="55">
        <f t="shared" ref="M161" si="38">SUM(J161:L161)</f>
        <v>0</v>
      </c>
      <c r="N161" s="1"/>
      <c r="O161" s="1"/>
      <c r="P161" s="1"/>
      <c r="Q161" s="55">
        <f t="shared" ref="Q161" si="39">SUM(N161:P161)</f>
        <v>0</v>
      </c>
      <c r="R161" s="55">
        <f t="shared" si="29"/>
        <v>355</v>
      </c>
    </row>
    <row r="162" spans="1:20" ht="15.75" customHeight="1" x14ac:dyDescent="0.3">
      <c r="A162" s="72" t="s">
        <v>1190</v>
      </c>
      <c r="B162" s="1"/>
      <c r="C162" s="1"/>
      <c r="D162" s="1"/>
      <c r="E162" s="55">
        <f t="shared" si="34"/>
        <v>0</v>
      </c>
      <c r="F162" s="1"/>
      <c r="G162" s="1"/>
      <c r="H162" s="1">
        <v>50</v>
      </c>
      <c r="I162" s="55">
        <f t="shared" si="31"/>
        <v>50</v>
      </c>
      <c r="J162" s="1"/>
      <c r="K162" s="1"/>
      <c r="L162" s="1"/>
      <c r="M162" s="55">
        <f t="shared" si="32"/>
        <v>0</v>
      </c>
      <c r="N162" s="1"/>
      <c r="O162" s="1"/>
      <c r="P162" s="1"/>
      <c r="Q162" s="55">
        <f t="shared" si="35"/>
        <v>0</v>
      </c>
      <c r="R162" s="55">
        <f t="shared" si="29"/>
        <v>50</v>
      </c>
    </row>
    <row r="163" spans="1:20" ht="15.75" customHeight="1" x14ac:dyDescent="0.3">
      <c r="A163" s="71" t="s">
        <v>831</v>
      </c>
      <c r="B163" s="1"/>
      <c r="C163" s="1"/>
      <c r="D163" s="1"/>
      <c r="E163" s="55">
        <f t="shared" si="34"/>
        <v>0</v>
      </c>
      <c r="F163" s="1"/>
      <c r="G163" s="1"/>
      <c r="H163" s="1"/>
      <c r="I163" s="55">
        <f t="shared" si="31"/>
        <v>0</v>
      </c>
      <c r="J163" s="1"/>
      <c r="K163" s="1"/>
      <c r="L163" s="1">
        <v>200</v>
      </c>
      <c r="M163" s="55">
        <f t="shared" si="32"/>
        <v>200</v>
      </c>
      <c r="N163" s="1">
        <v>200</v>
      </c>
      <c r="O163" s="1"/>
      <c r="P163" s="1"/>
      <c r="Q163" s="55">
        <f t="shared" si="35"/>
        <v>200</v>
      </c>
      <c r="R163" s="55">
        <f t="shared" si="29"/>
        <v>400</v>
      </c>
      <c r="S163" s="4" t="s">
        <v>821</v>
      </c>
      <c r="T163" s="4" t="s">
        <v>822</v>
      </c>
    </row>
    <row r="164" spans="1:20" s="123" customFormat="1" ht="15.75" customHeight="1" x14ac:dyDescent="0.3">
      <c r="A164" s="289" t="s">
        <v>697</v>
      </c>
      <c r="B164" s="301"/>
      <c r="C164" s="301"/>
      <c r="D164" s="301"/>
      <c r="E164" s="113">
        <f t="shared" ref="E164:E183" si="40">SUM(B164:D164)</f>
        <v>0</v>
      </c>
      <c r="F164" s="301"/>
      <c r="G164" s="301"/>
      <c r="H164" s="301"/>
      <c r="I164" s="113">
        <f t="shared" si="31"/>
        <v>0</v>
      </c>
      <c r="J164" s="301"/>
      <c r="K164" s="301"/>
      <c r="L164" s="301"/>
      <c r="M164" s="113">
        <f t="shared" si="32"/>
        <v>0</v>
      </c>
      <c r="N164" s="301"/>
      <c r="O164" s="301"/>
      <c r="P164" s="301"/>
      <c r="Q164" s="113">
        <f t="shared" si="35"/>
        <v>0</v>
      </c>
      <c r="R164" s="113">
        <f t="shared" si="29"/>
        <v>0</v>
      </c>
    </row>
    <row r="165" spans="1:20" ht="15.75" customHeight="1" x14ac:dyDescent="0.3">
      <c r="A165" s="71" t="s">
        <v>698</v>
      </c>
      <c r="B165" s="1"/>
      <c r="C165" s="1"/>
      <c r="D165" s="1">
        <v>296</v>
      </c>
      <c r="E165" s="55">
        <f t="shared" si="40"/>
        <v>296</v>
      </c>
      <c r="F165" s="1">
        <v>1679</v>
      </c>
      <c r="G165" s="1">
        <v>1765</v>
      </c>
      <c r="H165" s="1">
        <v>1819</v>
      </c>
      <c r="I165" s="55">
        <f t="shared" si="31"/>
        <v>5263</v>
      </c>
      <c r="J165" s="1">
        <v>1808</v>
      </c>
      <c r="K165" s="1">
        <v>1720</v>
      </c>
      <c r="L165" s="1">
        <v>1608</v>
      </c>
      <c r="M165" s="55">
        <f t="shared" si="32"/>
        <v>5136</v>
      </c>
      <c r="N165" s="1">
        <v>1564</v>
      </c>
      <c r="O165" s="1">
        <v>1670</v>
      </c>
      <c r="P165" s="1">
        <v>1576</v>
      </c>
      <c r="Q165" s="55">
        <f t="shared" si="35"/>
        <v>4810</v>
      </c>
      <c r="R165" s="55">
        <f>+E165+I165+M165+Q165</f>
        <v>15505</v>
      </c>
      <c r="T165" s="4" t="s">
        <v>832</v>
      </c>
    </row>
    <row r="166" spans="1:20" ht="15.75" customHeight="1" x14ac:dyDescent="0.3">
      <c r="A166" s="84" t="s">
        <v>833</v>
      </c>
      <c r="B166" s="1"/>
      <c r="C166" s="1"/>
      <c r="D166" s="1"/>
      <c r="E166" s="55">
        <f t="shared" si="40"/>
        <v>0</v>
      </c>
      <c r="F166" s="1"/>
      <c r="G166" s="1"/>
      <c r="H166" s="1"/>
      <c r="I166" s="55">
        <f t="shared" si="31"/>
        <v>0</v>
      </c>
      <c r="J166" s="1"/>
      <c r="K166" s="1">
        <v>477</v>
      </c>
      <c r="L166" s="1"/>
      <c r="M166" s="55">
        <f t="shared" si="32"/>
        <v>477</v>
      </c>
      <c r="N166" s="1"/>
      <c r="O166" s="1"/>
      <c r="P166" s="1"/>
      <c r="Q166" s="55">
        <f t="shared" si="35"/>
        <v>0</v>
      </c>
      <c r="R166" s="55">
        <f t="shared" ref="R166:R171" si="41">+E166+I166+M166+Q166</f>
        <v>477</v>
      </c>
      <c r="T166" s="4" t="s">
        <v>812</v>
      </c>
    </row>
    <row r="167" spans="1:20" ht="15.75" customHeight="1" x14ac:dyDescent="0.3">
      <c r="A167" s="84" t="s">
        <v>834</v>
      </c>
      <c r="B167" s="1"/>
      <c r="C167" s="1"/>
      <c r="D167" s="1"/>
      <c r="E167" s="55">
        <f t="shared" si="40"/>
        <v>0</v>
      </c>
      <c r="F167" s="1"/>
      <c r="G167" s="1"/>
      <c r="H167" s="1"/>
      <c r="I167" s="55">
        <f t="shared" si="31"/>
        <v>0</v>
      </c>
      <c r="J167" s="1"/>
      <c r="K167" s="1"/>
      <c r="L167" s="1">
        <v>400</v>
      </c>
      <c r="M167" s="55">
        <f t="shared" si="32"/>
        <v>400</v>
      </c>
      <c r="N167" s="1">
        <v>300</v>
      </c>
      <c r="O167" s="1"/>
      <c r="P167" s="1"/>
      <c r="Q167" s="55">
        <f t="shared" si="35"/>
        <v>300</v>
      </c>
      <c r="R167" s="55">
        <f t="shared" si="41"/>
        <v>700</v>
      </c>
      <c r="T167" s="4" t="s">
        <v>819</v>
      </c>
    </row>
    <row r="168" spans="1:20" ht="15.75" customHeight="1" x14ac:dyDescent="0.3">
      <c r="A168" s="71" t="s">
        <v>835</v>
      </c>
      <c r="B168" s="1"/>
      <c r="C168" s="1"/>
      <c r="D168" s="1"/>
      <c r="E168" s="55">
        <f t="shared" si="40"/>
        <v>0</v>
      </c>
      <c r="F168" s="1"/>
      <c r="G168" s="1"/>
      <c r="H168" s="1"/>
      <c r="I168" s="55">
        <f t="shared" si="31"/>
        <v>0</v>
      </c>
      <c r="J168" s="1">
        <v>255</v>
      </c>
      <c r="K168" s="1"/>
      <c r="L168" s="1"/>
      <c r="M168" s="55">
        <f t="shared" si="32"/>
        <v>255</v>
      </c>
      <c r="N168" s="1"/>
      <c r="O168" s="1"/>
      <c r="P168" s="1"/>
      <c r="Q168" s="55">
        <f t="shared" si="35"/>
        <v>0</v>
      </c>
      <c r="R168" s="55">
        <f t="shared" si="41"/>
        <v>255</v>
      </c>
      <c r="S168" s="465" t="s">
        <v>821</v>
      </c>
      <c r="T168" s="4" t="s">
        <v>836</v>
      </c>
    </row>
    <row r="169" spans="1:20" ht="15.75" customHeight="1" x14ac:dyDescent="0.3">
      <c r="A169" s="84" t="s">
        <v>837</v>
      </c>
      <c r="B169" s="1"/>
      <c r="C169" s="1"/>
      <c r="D169" s="1"/>
      <c r="E169" s="55">
        <f t="shared" si="40"/>
        <v>0</v>
      </c>
      <c r="F169" s="1"/>
      <c r="G169" s="1"/>
      <c r="H169" s="1"/>
      <c r="I169" s="55">
        <f t="shared" si="31"/>
        <v>0</v>
      </c>
      <c r="J169" s="1"/>
      <c r="K169" s="1"/>
      <c r="L169" s="1"/>
      <c r="M169" s="55">
        <f t="shared" si="32"/>
        <v>0</v>
      </c>
      <c r="N169" s="1"/>
      <c r="O169" s="1"/>
      <c r="P169" s="1"/>
      <c r="Q169" s="55">
        <f t="shared" si="35"/>
        <v>0</v>
      </c>
      <c r="R169" s="55">
        <f t="shared" si="41"/>
        <v>0</v>
      </c>
      <c r="T169" s="4" t="s">
        <v>818</v>
      </c>
    </row>
    <row r="170" spans="1:20" ht="15.75" customHeight="1" x14ac:dyDescent="0.3">
      <c r="A170" s="84" t="s">
        <v>838</v>
      </c>
      <c r="B170" s="1"/>
      <c r="C170" s="1"/>
      <c r="D170" s="1"/>
      <c r="E170" s="55">
        <f t="shared" si="40"/>
        <v>0</v>
      </c>
      <c r="F170" s="1"/>
      <c r="G170" s="1"/>
      <c r="H170" s="1"/>
      <c r="I170" s="55">
        <f t="shared" si="31"/>
        <v>0</v>
      </c>
      <c r="J170" s="1"/>
      <c r="K170" s="1"/>
      <c r="L170" s="1"/>
      <c r="M170" s="55">
        <f t="shared" si="32"/>
        <v>0</v>
      </c>
      <c r="N170" s="1"/>
      <c r="O170" s="1"/>
      <c r="P170" s="1"/>
      <c r="Q170" s="55">
        <f t="shared" si="35"/>
        <v>0</v>
      </c>
      <c r="R170" s="55">
        <f t="shared" si="41"/>
        <v>0</v>
      </c>
      <c r="T170" s="4" t="s">
        <v>819</v>
      </c>
    </row>
    <row r="171" spans="1:20" ht="15.75" customHeight="1" x14ac:dyDescent="0.3">
      <c r="A171" s="71" t="s">
        <v>120</v>
      </c>
      <c r="B171" s="1">
        <v>21</v>
      </c>
      <c r="C171" s="1">
        <v>22</v>
      </c>
      <c r="D171" s="1">
        <v>31</v>
      </c>
      <c r="E171" s="55">
        <f t="shared" si="40"/>
        <v>74</v>
      </c>
      <c r="F171" s="1">
        <v>61</v>
      </c>
      <c r="G171" s="1">
        <v>67</v>
      </c>
      <c r="H171" s="1">
        <v>73</v>
      </c>
      <c r="I171" s="55">
        <f t="shared" si="31"/>
        <v>201</v>
      </c>
      <c r="J171" s="1">
        <v>79</v>
      </c>
      <c r="K171" s="1">
        <v>65</v>
      </c>
      <c r="L171" s="1">
        <v>66</v>
      </c>
      <c r="M171" s="55">
        <f t="shared" si="32"/>
        <v>210</v>
      </c>
      <c r="N171" s="1">
        <v>40</v>
      </c>
      <c r="O171" s="1">
        <v>27</v>
      </c>
      <c r="P171" s="1">
        <v>16</v>
      </c>
      <c r="Q171" s="55">
        <f t="shared" si="35"/>
        <v>83</v>
      </c>
      <c r="R171" s="55">
        <f t="shared" si="41"/>
        <v>568</v>
      </c>
      <c r="T171" s="4" t="s">
        <v>406</v>
      </c>
    </row>
    <row r="172" spans="1:20" ht="15.75" customHeight="1" x14ac:dyDescent="0.3">
      <c r="A172" s="84" t="s">
        <v>839</v>
      </c>
      <c r="B172" s="1">
        <v>1177</v>
      </c>
      <c r="C172" s="1">
        <v>1042</v>
      </c>
      <c r="D172" s="1">
        <v>816</v>
      </c>
      <c r="E172" s="55">
        <f t="shared" si="40"/>
        <v>3035</v>
      </c>
      <c r="F172" s="1">
        <v>1238</v>
      </c>
      <c r="G172" s="1">
        <v>2227</v>
      </c>
      <c r="H172" s="1">
        <v>3053</v>
      </c>
      <c r="I172" s="55">
        <f t="shared" si="31"/>
        <v>6518</v>
      </c>
      <c r="J172" s="1">
        <f>614+1153</f>
        <v>1767</v>
      </c>
      <c r="K172" s="1">
        <f>68</f>
        <v>68</v>
      </c>
      <c r="L172" s="1">
        <f>409</f>
        <v>409</v>
      </c>
      <c r="M172" s="55">
        <f t="shared" si="32"/>
        <v>2244</v>
      </c>
      <c r="N172" s="1"/>
      <c r="O172" s="1"/>
      <c r="P172" s="1">
        <v>425</v>
      </c>
      <c r="Q172" s="55">
        <f t="shared" si="35"/>
        <v>425</v>
      </c>
      <c r="R172" s="55">
        <f t="shared" si="29"/>
        <v>12222</v>
      </c>
      <c r="T172" s="4" t="s">
        <v>818</v>
      </c>
    </row>
    <row r="173" spans="1:20" ht="15.75" customHeight="1" x14ac:dyDescent="0.3">
      <c r="A173" s="84" t="s">
        <v>840</v>
      </c>
      <c r="B173" s="1">
        <v>1257</v>
      </c>
      <c r="C173" s="1"/>
      <c r="D173" s="1"/>
      <c r="E173" s="55">
        <f t="shared" si="40"/>
        <v>1257</v>
      </c>
      <c r="F173" s="1"/>
      <c r="G173" s="1"/>
      <c r="H173" s="1"/>
      <c r="I173" s="55">
        <f t="shared" si="31"/>
        <v>0</v>
      </c>
      <c r="J173" s="1"/>
      <c r="K173" s="1"/>
      <c r="L173" s="1"/>
      <c r="M173" s="55">
        <f t="shared" si="32"/>
        <v>0</v>
      </c>
      <c r="N173" s="1"/>
      <c r="O173" s="1"/>
      <c r="P173" s="1"/>
      <c r="Q173" s="55">
        <f t="shared" si="35"/>
        <v>0</v>
      </c>
      <c r="R173" s="55">
        <f t="shared" si="29"/>
        <v>1257</v>
      </c>
      <c r="T173" s="4" t="s">
        <v>819</v>
      </c>
    </row>
    <row r="174" spans="1:20" ht="15.75" customHeight="1" x14ac:dyDescent="0.3">
      <c r="A174" s="84" t="s">
        <v>841</v>
      </c>
      <c r="B174" s="1">
        <v>38</v>
      </c>
      <c r="C174" s="1">
        <v>32</v>
      </c>
      <c r="D174" s="1">
        <v>37</v>
      </c>
      <c r="E174" s="55">
        <f t="shared" si="40"/>
        <v>107</v>
      </c>
      <c r="F174" s="1">
        <v>63</v>
      </c>
      <c r="G174" s="1">
        <v>76</v>
      </c>
      <c r="H174" s="1">
        <v>80</v>
      </c>
      <c r="I174" s="55">
        <f>SUM(F174:H174)</f>
        <v>219</v>
      </c>
      <c r="J174" s="1">
        <v>80</v>
      </c>
      <c r="K174" s="1">
        <v>64</v>
      </c>
      <c r="L174" s="1">
        <v>70</v>
      </c>
      <c r="M174" s="55">
        <f t="shared" si="32"/>
        <v>214</v>
      </c>
      <c r="N174" s="1">
        <v>54</v>
      </c>
      <c r="O174" s="1">
        <v>34</v>
      </c>
      <c r="P174" s="1">
        <v>3</v>
      </c>
      <c r="Q174" s="55">
        <f t="shared" si="35"/>
        <v>91</v>
      </c>
      <c r="R174" s="55">
        <f t="shared" si="29"/>
        <v>631</v>
      </c>
      <c r="T174" s="4" t="s">
        <v>842</v>
      </c>
    </row>
    <row r="175" spans="1:20" ht="15.75" customHeight="1" x14ac:dyDescent="0.3">
      <c r="A175" s="84" t="s">
        <v>843</v>
      </c>
      <c r="B175" s="1">
        <v>5</v>
      </c>
      <c r="C175" s="1"/>
      <c r="D175" s="1">
        <v>1</v>
      </c>
      <c r="E175" s="55">
        <f t="shared" si="40"/>
        <v>6</v>
      </c>
      <c r="F175" s="1">
        <v>47</v>
      </c>
      <c r="G175" s="1">
        <v>97</v>
      </c>
      <c r="H175" s="1">
        <v>121</v>
      </c>
      <c r="I175" s="55">
        <f t="shared" si="31"/>
        <v>265</v>
      </c>
      <c r="J175" s="1">
        <v>97</v>
      </c>
      <c r="K175" s="1">
        <v>7</v>
      </c>
      <c r="L175" s="1">
        <v>68</v>
      </c>
      <c r="M175" s="55">
        <f t="shared" si="32"/>
        <v>172</v>
      </c>
      <c r="N175" s="1">
        <v>30</v>
      </c>
      <c r="O175" s="1">
        <v>11</v>
      </c>
      <c r="P175" s="1">
        <v>0</v>
      </c>
      <c r="Q175" s="55">
        <f t="shared" si="35"/>
        <v>41</v>
      </c>
      <c r="R175" s="55">
        <f t="shared" si="29"/>
        <v>484</v>
      </c>
      <c r="T175" s="4" t="s">
        <v>406</v>
      </c>
    </row>
    <row r="176" spans="1:20" ht="15.75" customHeight="1" x14ac:dyDescent="0.3">
      <c r="A176" s="84" t="s">
        <v>844</v>
      </c>
      <c r="B176" s="1"/>
      <c r="C176" s="1"/>
      <c r="D176" s="1">
        <v>1</v>
      </c>
      <c r="E176" s="55">
        <f t="shared" si="40"/>
        <v>1</v>
      </c>
      <c r="F176" s="1">
        <v>13</v>
      </c>
      <c r="G176" s="1">
        <v>21</v>
      </c>
      <c r="H176" s="1">
        <v>10</v>
      </c>
      <c r="I176" s="55">
        <f t="shared" si="31"/>
        <v>44</v>
      </c>
      <c r="J176" s="1">
        <v>10</v>
      </c>
      <c r="K176" s="1">
        <v>59</v>
      </c>
      <c r="L176" s="1">
        <v>51</v>
      </c>
      <c r="M176" s="55">
        <f t="shared" si="32"/>
        <v>120</v>
      </c>
      <c r="N176" s="1">
        <v>15</v>
      </c>
      <c r="O176" s="1">
        <v>2</v>
      </c>
      <c r="P176" s="1">
        <v>1</v>
      </c>
      <c r="Q176" s="55">
        <f t="shared" si="35"/>
        <v>18</v>
      </c>
      <c r="R176" s="55">
        <f t="shared" si="29"/>
        <v>183</v>
      </c>
      <c r="T176" s="4" t="s">
        <v>812</v>
      </c>
    </row>
    <row r="177" spans="1:20" ht="15.75" customHeight="1" x14ac:dyDescent="0.3">
      <c r="A177" s="71" t="s">
        <v>845</v>
      </c>
      <c r="B177" s="1"/>
      <c r="C177" s="1"/>
      <c r="D177" s="1"/>
      <c r="E177" s="55">
        <f t="shared" si="40"/>
        <v>0</v>
      </c>
      <c r="F177" s="1"/>
      <c r="G177" s="1">
        <v>36</v>
      </c>
      <c r="H177" s="1">
        <v>1004</v>
      </c>
      <c r="I177" s="55">
        <f t="shared" si="31"/>
        <v>1040</v>
      </c>
      <c r="J177" s="1">
        <v>1045</v>
      </c>
      <c r="K177" s="1">
        <v>1049</v>
      </c>
      <c r="L177" s="1">
        <v>1001</v>
      </c>
      <c r="M177" s="55">
        <f t="shared" si="32"/>
        <v>3095</v>
      </c>
      <c r="N177" s="1">
        <v>870</v>
      </c>
      <c r="O177" s="1">
        <v>794</v>
      </c>
      <c r="P177" s="1">
        <v>805</v>
      </c>
      <c r="Q177" s="55">
        <f t="shared" si="35"/>
        <v>2469</v>
      </c>
      <c r="R177" s="55">
        <f t="shared" si="29"/>
        <v>6604</v>
      </c>
      <c r="T177" s="4" t="s">
        <v>832</v>
      </c>
    </row>
    <row r="178" spans="1:20" ht="15.75" customHeight="1" x14ac:dyDescent="0.3">
      <c r="A178" s="71" t="s">
        <v>846</v>
      </c>
      <c r="B178" s="1"/>
      <c r="C178" s="1"/>
      <c r="D178" s="1"/>
      <c r="E178" s="55">
        <f t="shared" si="40"/>
        <v>0</v>
      </c>
      <c r="F178" s="1"/>
      <c r="G178" s="1"/>
      <c r="H178" s="1"/>
      <c r="I178" s="55">
        <f t="shared" si="31"/>
        <v>0</v>
      </c>
      <c r="J178" s="1"/>
      <c r="K178" s="1">
        <v>3855</v>
      </c>
      <c r="L178" s="1"/>
      <c r="M178" s="55">
        <f t="shared" si="32"/>
        <v>3855</v>
      </c>
      <c r="N178" s="1"/>
      <c r="O178" s="1"/>
      <c r="P178" s="1"/>
      <c r="Q178" s="55">
        <f t="shared" si="35"/>
        <v>0</v>
      </c>
      <c r="R178" s="55">
        <f t="shared" si="29"/>
        <v>3855</v>
      </c>
      <c r="S178" s="465" t="s">
        <v>821</v>
      </c>
      <c r="T178" s="4" t="s">
        <v>822</v>
      </c>
    </row>
    <row r="179" spans="1:20" ht="15.75" customHeight="1" x14ac:dyDescent="0.3">
      <c r="A179" s="71" t="s">
        <v>847</v>
      </c>
      <c r="B179" s="1"/>
      <c r="C179" s="1"/>
      <c r="D179" s="1"/>
      <c r="E179" s="55">
        <f t="shared" si="40"/>
        <v>0</v>
      </c>
      <c r="F179" s="1"/>
      <c r="G179" s="1"/>
      <c r="H179" s="1"/>
      <c r="I179" s="55">
        <f t="shared" si="31"/>
        <v>0</v>
      </c>
      <c r="J179" s="1"/>
      <c r="K179" s="1"/>
      <c r="L179" s="1"/>
      <c r="M179" s="55">
        <f t="shared" si="32"/>
        <v>0</v>
      </c>
      <c r="N179" s="1"/>
      <c r="O179" s="1"/>
      <c r="P179" s="1"/>
      <c r="Q179" s="55">
        <f t="shared" si="35"/>
        <v>0</v>
      </c>
      <c r="R179" s="55">
        <f t="shared" si="29"/>
        <v>0</v>
      </c>
      <c r="T179" s="4" t="s">
        <v>822</v>
      </c>
    </row>
    <row r="180" spans="1:20" ht="15.75" customHeight="1" x14ac:dyDescent="0.3">
      <c r="A180" s="71" t="s">
        <v>122</v>
      </c>
      <c r="B180" s="1">
        <f>6710+1+2487+2+16</f>
        <v>9216</v>
      </c>
      <c r="C180" s="1">
        <f>6723+1+2213+1+30</f>
        <v>8968</v>
      </c>
      <c r="D180" s="1">
        <f>2173+1+2469+2+51</f>
        <v>4696</v>
      </c>
      <c r="E180" s="55">
        <f t="shared" si="40"/>
        <v>22880</v>
      </c>
      <c r="F180" s="1"/>
      <c r="G180" s="1">
        <f>5394+2+93</f>
        <v>5489</v>
      </c>
      <c r="H180" s="1">
        <v>13361</v>
      </c>
      <c r="I180" s="55">
        <f t="shared" si="31"/>
        <v>18850</v>
      </c>
      <c r="J180" s="1">
        <v>11767</v>
      </c>
      <c r="K180" s="1">
        <v>10322</v>
      </c>
      <c r="L180" s="1">
        <f>5784+2360+72+2+1</f>
        <v>8219</v>
      </c>
      <c r="M180" s="55">
        <f t="shared" si="32"/>
        <v>30308</v>
      </c>
      <c r="N180" s="1">
        <f>2842+2497+22+1+1</f>
        <v>5363</v>
      </c>
      <c r="O180" s="1">
        <f>1+2+38+2445+7977</f>
        <v>10463</v>
      </c>
      <c r="P180" s="1">
        <f>1+2+13+2178+8602</f>
        <v>10796</v>
      </c>
      <c r="Q180" s="55">
        <f t="shared" si="35"/>
        <v>26622</v>
      </c>
      <c r="R180" s="55">
        <f t="shared" si="29"/>
        <v>98660</v>
      </c>
      <c r="S180" s="4" t="s">
        <v>821</v>
      </c>
    </row>
    <row r="181" spans="1:20" ht="15.75" customHeight="1" x14ac:dyDescent="0.3">
      <c r="A181" s="71" t="s">
        <v>848</v>
      </c>
      <c r="B181" s="1"/>
      <c r="C181" s="1">
        <v>464</v>
      </c>
      <c r="D181" s="1"/>
      <c r="E181" s="55">
        <f t="shared" si="40"/>
        <v>464</v>
      </c>
      <c r="F181" s="1"/>
      <c r="G181" s="1">
        <f>1288+507</f>
        <v>1795</v>
      </c>
      <c r="H181" s="1">
        <f>1288+363+1000</f>
        <v>2651</v>
      </c>
      <c r="I181" s="55">
        <f t="shared" si="31"/>
        <v>4446</v>
      </c>
      <c r="J181" s="1">
        <f>446+1200+1288</f>
        <v>2934</v>
      </c>
      <c r="K181" s="1">
        <f>320+1740+1288</f>
        <v>3348</v>
      </c>
      <c r="L181" s="1">
        <f>363+1200+1288</f>
        <v>2851</v>
      </c>
      <c r="M181" s="55">
        <f t="shared" si="32"/>
        <v>9133</v>
      </c>
      <c r="N181" s="1">
        <f>1288+1000+555</f>
        <v>2843</v>
      </c>
      <c r="O181" s="1">
        <f>1288+486</f>
        <v>1774</v>
      </c>
      <c r="P181" s="1">
        <f>1288+3418+622</f>
        <v>5328</v>
      </c>
      <c r="Q181" s="55">
        <f t="shared" si="35"/>
        <v>9945</v>
      </c>
      <c r="R181" s="55">
        <f>+E181+I181+M181+Q181</f>
        <v>23988</v>
      </c>
      <c r="S181" s="465"/>
      <c r="T181" s="4" t="s">
        <v>822</v>
      </c>
    </row>
    <row r="182" spans="1:20" ht="15.75" customHeight="1" x14ac:dyDescent="0.3">
      <c r="A182" s="71" t="s">
        <v>849</v>
      </c>
      <c r="B182" s="1">
        <v>35</v>
      </c>
      <c r="C182" s="1">
        <v>35</v>
      </c>
      <c r="D182" s="1">
        <v>40</v>
      </c>
      <c r="E182" s="55">
        <f t="shared" si="40"/>
        <v>110</v>
      </c>
      <c r="F182" s="1">
        <v>40</v>
      </c>
      <c r="G182" s="1">
        <v>40</v>
      </c>
      <c r="H182" s="1">
        <v>40</v>
      </c>
      <c r="I182" s="55">
        <f t="shared" si="31"/>
        <v>120</v>
      </c>
      <c r="J182" s="1">
        <v>45</v>
      </c>
      <c r="K182" s="1">
        <v>45</v>
      </c>
      <c r="L182" s="1">
        <v>40</v>
      </c>
      <c r="M182" s="55">
        <f t="shared" si="32"/>
        <v>130</v>
      </c>
      <c r="N182" s="1">
        <v>40</v>
      </c>
      <c r="O182" s="1">
        <v>40</v>
      </c>
      <c r="P182" s="1">
        <v>40</v>
      </c>
      <c r="Q182" s="55">
        <f t="shared" si="35"/>
        <v>120</v>
      </c>
      <c r="R182" s="55">
        <f t="shared" si="29"/>
        <v>480</v>
      </c>
      <c r="S182" s="4" t="s">
        <v>821</v>
      </c>
      <c r="T182" s="4" t="s">
        <v>822</v>
      </c>
    </row>
    <row r="183" spans="1:20" ht="15.75" customHeight="1" x14ac:dyDescent="0.3">
      <c r="A183" s="71" t="s">
        <v>124</v>
      </c>
      <c r="B183" s="1">
        <v>3283</v>
      </c>
      <c r="C183" s="1"/>
      <c r="D183" s="1"/>
      <c r="E183" s="55">
        <f t="shared" si="40"/>
        <v>3283</v>
      </c>
      <c r="F183" s="1">
        <f>133+406+42</f>
        <v>581</v>
      </c>
      <c r="G183" s="1">
        <f>150+551+5668+47</f>
        <v>6416</v>
      </c>
      <c r="H183" s="1">
        <f>153+731+5564+48</f>
        <v>6496</v>
      </c>
      <c r="I183" s="55">
        <f t="shared" si="31"/>
        <v>13493</v>
      </c>
      <c r="J183" s="1">
        <f>46+5378+676+152</f>
        <v>6252</v>
      </c>
      <c r="K183" s="1">
        <f>140+446+5455+34</f>
        <v>6075</v>
      </c>
      <c r="L183" s="1">
        <f>33+5613+323+133</f>
        <v>6102</v>
      </c>
      <c r="M183" s="55">
        <f t="shared" si="32"/>
        <v>18429</v>
      </c>
      <c r="N183" s="1">
        <f>5120+226+34+122</f>
        <v>5502</v>
      </c>
      <c r="O183" s="1">
        <f>22+4814+83+108</f>
        <v>5027</v>
      </c>
      <c r="P183" s="1">
        <f>14+3775+22+108</f>
        <v>3919</v>
      </c>
      <c r="Q183" s="55">
        <f t="shared" si="35"/>
        <v>14448</v>
      </c>
      <c r="R183" s="55">
        <f>+E183+I183+M183+Q183</f>
        <v>49653</v>
      </c>
    </row>
    <row r="184" spans="1:20" ht="15.75" customHeight="1" x14ac:dyDescent="0.3">
      <c r="A184" s="71" t="s">
        <v>850</v>
      </c>
      <c r="B184" s="1"/>
      <c r="C184" s="1"/>
      <c r="D184" s="1"/>
      <c r="E184" s="55">
        <f t="shared" ref="E184" si="42">SUM(B184:D184)</f>
        <v>0</v>
      </c>
      <c r="F184" s="1"/>
      <c r="G184" s="1">
        <v>164</v>
      </c>
      <c r="H184" s="1">
        <v>164</v>
      </c>
      <c r="I184" s="55">
        <f t="shared" si="31"/>
        <v>328</v>
      </c>
      <c r="J184" s="1">
        <v>164</v>
      </c>
      <c r="K184" s="1">
        <v>164</v>
      </c>
      <c r="L184" s="1">
        <v>3248</v>
      </c>
      <c r="M184" s="55">
        <f t="shared" si="32"/>
        <v>3576</v>
      </c>
      <c r="N184" s="1">
        <v>164</v>
      </c>
      <c r="O184" s="1">
        <v>564</v>
      </c>
      <c r="P184" s="1">
        <v>586</v>
      </c>
      <c r="Q184" s="55">
        <f t="shared" si="35"/>
        <v>1314</v>
      </c>
      <c r="R184" s="55">
        <f t="shared" si="29"/>
        <v>5218</v>
      </c>
      <c r="S184" s="4" t="s">
        <v>821</v>
      </c>
    </row>
    <row r="185" spans="1:20" ht="15.75" customHeight="1" x14ac:dyDescent="0.3">
      <c r="A185" s="84" t="s">
        <v>851</v>
      </c>
      <c r="B185" s="1"/>
      <c r="C185" s="1"/>
      <c r="D185" s="1"/>
      <c r="E185" s="55">
        <f t="shared" ref="E185:E190" si="43">SUM(B185:D185)</f>
        <v>0</v>
      </c>
      <c r="F185" s="1"/>
      <c r="G185" s="1"/>
      <c r="H185" s="1"/>
      <c r="I185" s="55">
        <f t="shared" ref="I185:I190" si="44">SUM(F185:H185)</f>
        <v>0</v>
      </c>
      <c r="J185" s="1"/>
      <c r="K185" s="1"/>
      <c r="L185" s="1"/>
      <c r="M185" s="55">
        <f t="shared" ref="M185:M190" si="45">SUM(J185:L185)</f>
        <v>0</v>
      </c>
      <c r="N185" s="1"/>
      <c r="O185" s="1"/>
      <c r="P185" s="1"/>
      <c r="Q185" s="55">
        <f t="shared" si="35"/>
        <v>0</v>
      </c>
      <c r="R185" s="55">
        <f t="shared" si="29"/>
        <v>0</v>
      </c>
      <c r="T185" s="4" t="s">
        <v>818</v>
      </c>
    </row>
    <row r="186" spans="1:20" ht="15.75" customHeight="1" x14ac:dyDescent="0.3">
      <c r="A186" s="84" t="s">
        <v>852</v>
      </c>
      <c r="B186" s="1"/>
      <c r="C186" s="1">
        <v>1083</v>
      </c>
      <c r="D186" s="1">
        <v>2166</v>
      </c>
      <c r="E186" s="55">
        <f t="shared" si="43"/>
        <v>3249</v>
      </c>
      <c r="F186" s="1"/>
      <c r="G186" s="1"/>
      <c r="H186" s="1"/>
      <c r="I186" s="55">
        <f t="shared" si="44"/>
        <v>0</v>
      </c>
      <c r="J186" s="1"/>
      <c r="K186" s="1"/>
      <c r="L186" s="1"/>
      <c r="M186" s="55">
        <f t="shared" si="45"/>
        <v>0</v>
      </c>
      <c r="N186" s="1"/>
      <c r="O186" s="1"/>
      <c r="P186" s="1"/>
      <c r="Q186" s="55">
        <f t="shared" si="35"/>
        <v>0</v>
      </c>
      <c r="R186" s="55">
        <f>+E186+I186+M186+Q186</f>
        <v>3249</v>
      </c>
    </row>
    <row r="187" spans="1:20" ht="15.75" customHeight="1" x14ac:dyDescent="0.3">
      <c r="A187" s="84" t="s">
        <v>853</v>
      </c>
      <c r="B187" s="1"/>
      <c r="C187" s="1"/>
      <c r="D187" s="1"/>
      <c r="E187" s="55">
        <f t="shared" si="43"/>
        <v>0</v>
      </c>
      <c r="F187" s="1">
        <v>700</v>
      </c>
      <c r="G187" s="1">
        <v>550</v>
      </c>
      <c r="H187" s="1">
        <v>750</v>
      </c>
      <c r="I187" s="55">
        <f t="shared" si="44"/>
        <v>2000</v>
      </c>
      <c r="J187" s="1"/>
      <c r="K187" s="1"/>
      <c r="L187" s="1"/>
      <c r="M187" s="55">
        <f t="shared" si="45"/>
        <v>0</v>
      </c>
      <c r="N187" s="1"/>
      <c r="O187" s="1"/>
      <c r="P187" s="1"/>
      <c r="Q187" s="55">
        <f t="shared" si="35"/>
        <v>0</v>
      </c>
      <c r="R187" s="55">
        <f t="shared" si="29"/>
        <v>2000</v>
      </c>
    </row>
    <row r="188" spans="1:20" ht="15.75" customHeight="1" x14ac:dyDescent="0.3">
      <c r="A188" s="71" t="s">
        <v>854</v>
      </c>
      <c r="B188" s="1">
        <v>22</v>
      </c>
      <c r="C188" s="1">
        <v>243</v>
      </c>
      <c r="D188" s="1">
        <v>253</v>
      </c>
      <c r="E188" s="55">
        <f t="shared" si="43"/>
        <v>518</v>
      </c>
      <c r="F188" s="1">
        <f>333+117</f>
        <v>450</v>
      </c>
      <c r="G188" s="1">
        <f>383+117</f>
        <v>500</v>
      </c>
      <c r="H188" s="1">
        <f>333+117</f>
        <v>450</v>
      </c>
      <c r="I188" s="55">
        <f t="shared" si="44"/>
        <v>1400</v>
      </c>
      <c r="J188" s="1">
        <v>494</v>
      </c>
      <c r="K188" s="1">
        <v>501</v>
      </c>
      <c r="L188" s="1">
        <v>451</v>
      </c>
      <c r="M188" s="55">
        <f t="shared" si="45"/>
        <v>1446</v>
      </c>
      <c r="N188" s="1">
        <v>351</v>
      </c>
      <c r="O188" s="1">
        <v>350</v>
      </c>
      <c r="P188" s="1">
        <v>250</v>
      </c>
      <c r="Q188" s="55">
        <f t="shared" si="35"/>
        <v>951</v>
      </c>
      <c r="R188" s="55">
        <f>+E188+I188+M188+Q188</f>
        <v>4315</v>
      </c>
      <c r="S188" s="4" t="s">
        <v>821</v>
      </c>
      <c r="T188" s="4" t="s">
        <v>822</v>
      </c>
    </row>
    <row r="189" spans="1:20" ht="15.75" customHeight="1" x14ac:dyDescent="0.3">
      <c r="A189" s="71" t="s">
        <v>700</v>
      </c>
      <c r="B189" s="1">
        <v>3</v>
      </c>
      <c r="C189" s="1">
        <v>2</v>
      </c>
      <c r="D189" s="1">
        <v>2</v>
      </c>
      <c r="E189" s="55">
        <f t="shared" si="43"/>
        <v>7</v>
      </c>
      <c r="F189" s="1">
        <v>3</v>
      </c>
      <c r="G189" s="1">
        <v>4</v>
      </c>
      <c r="H189" s="1">
        <v>3</v>
      </c>
      <c r="I189" s="55">
        <f t="shared" si="44"/>
        <v>10</v>
      </c>
      <c r="J189" s="1">
        <v>4</v>
      </c>
      <c r="K189" s="1">
        <v>2</v>
      </c>
      <c r="L189" s="1">
        <v>3</v>
      </c>
      <c r="M189" s="55">
        <f t="shared" si="45"/>
        <v>9</v>
      </c>
      <c r="N189" s="1">
        <v>2</v>
      </c>
      <c r="O189" s="1">
        <v>3</v>
      </c>
      <c r="P189" s="1">
        <v>3</v>
      </c>
      <c r="Q189" s="55">
        <f t="shared" si="35"/>
        <v>8</v>
      </c>
      <c r="R189" s="55">
        <f>+E189+I189+M189+Q189</f>
        <v>34</v>
      </c>
      <c r="S189" s="4">
        <f>SUM(R141:R189)</f>
        <v>279033</v>
      </c>
    </row>
    <row r="190" spans="1:20" ht="15.75" customHeight="1" x14ac:dyDescent="0.3">
      <c r="A190" s="71" t="s">
        <v>855</v>
      </c>
      <c r="B190" s="1"/>
      <c r="C190" s="1"/>
      <c r="D190" s="1"/>
      <c r="E190" s="55">
        <f t="shared" si="43"/>
        <v>0</v>
      </c>
      <c r="F190" s="1"/>
      <c r="G190" s="1"/>
      <c r="H190" s="1"/>
      <c r="I190" s="55">
        <f t="shared" si="44"/>
        <v>0</v>
      </c>
      <c r="J190" s="1">
        <v>206</v>
      </c>
      <c r="K190" s="1"/>
      <c r="L190" s="1"/>
      <c r="M190" s="55">
        <f t="shared" si="45"/>
        <v>206</v>
      </c>
      <c r="N190" s="1"/>
      <c r="O190" s="1"/>
      <c r="P190" s="1"/>
      <c r="Q190" s="55">
        <f t="shared" si="35"/>
        <v>0</v>
      </c>
      <c r="R190" s="55">
        <f>+E190+I190+M190+Q190</f>
        <v>206</v>
      </c>
      <c r="S190" s="465" t="s">
        <v>821</v>
      </c>
      <c r="T190" s="4" t="s">
        <v>822</v>
      </c>
    </row>
    <row r="191" spans="1:20" ht="15.75" customHeight="1" x14ac:dyDescent="0.3">
      <c r="A191" s="15" t="s">
        <v>50</v>
      </c>
      <c r="B191" s="1"/>
      <c r="C191" s="1"/>
      <c r="D191" s="1"/>
      <c r="E191" s="55" t="s">
        <v>7</v>
      </c>
      <c r="F191" s="1"/>
      <c r="G191" s="1"/>
      <c r="H191" s="1"/>
      <c r="I191" s="55" t="s">
        <v>7</v>
      </c>
      <c r="J191" s="1"/>
      <c r="K191" s="1"/>
      <c r="L191" s="1"/>
      <c r="M191" s="55" t="s">
        <v>7</v>
      </c>
      <c r="N191" s="1"/>
      <c r="O191" s="1"/>
      <c r="P191" s="1"/>
      <c r="Q191" s="55" t="s">
        <v>7</v>
      </c>
      <c r="R191" s="55" t="s">
        <v>7</v>
      </c>
    </row>
    <row r="192" spans="1:20" ht="15.75" customHeight="1" x14ac:dyDescent="0.3">
      <c r="A192" s="71" t="s">
        <v>701</v>
      </c>
      <c r="B192" s="1"/>
      <c r="C192" s="1"/>
      <c r="D192" s="1"/>
      <c r="E192" s="55">
        <f t="shared" ref="E192:E203" si="46">SUM(B192:D192)</f>
        <v>0</v>
      </c>
      <c r="F192" s="1"/>
      <c r="G192" s="1"/>
      <c r="H192" s="1"/>
      <c r="I192" s="55">
        <f t="shared" ref="I192:I203" si="47">SUM(F192:H192)</f>
        <v>0</v>
      </c>
      <c r="J192" s="1"/>
      <c r="K192" s="1"/>
      <c r="L192" s="1"/>
      <c r="M192" s="55">
        <f t="shared" ref="M192:M203" si="48">SUM(J192:L192)</f>
        <v>0</v>
      </c>
      <c r="N192" s="1"/>
      <c r="O192" s="1"/>
      <c r="P192" s="1"/>
      <c r="Q192" s="55">
        <f t="shared" ref="Q192:Q203" si="49">SUM(N192:P192)</f>
        <v>0</v>
      </c>
      <c r="R192" s="55">
        <f t="shared" ref="R192:R203" si="50">+E192+I192+M192+Q192</f>
        <v>0</v>
      </c>
    </row>
    <row r="193" spans="1:20" ht="15.75" customHeight="1" x14ac:dyDescent="0.3">
      <c r="A193" s="71" t="s">
        <v>127</v>
      </c>
      <c r="B193" s="1"/>
      <c r="C193" s="1"/>
      <c r="D193" s="1"/>
      <c r="E193" s="55">
        <f>SUM(B193:D193)</f>
        <v>0</v>
      </c>
      <c r="F193" s="1"/>
      <c r="G193" s="1"/>
      <c r="H193" s="1"/>
      <c r="I193" s="55">
        <f>SUM(F193:H193)</f>
        <v>0</v>
      </c>
      <c r="J193" s="1"/>
      <c r="K193" s="1"/>
      <c r="L193" s="1"/>
      <c r="M193" s="55">
        <f>SUM(J193:L193)</f>
        <v>0</v>
      </c>
      <c r="N193" s="1"/>
      <c r="O193" s="1"/>
      <c r="P193" s="1"/>
      <c r="Q193" s="55">
        <f>SUM(N193:P193)</f>
        <v>0</v>
      </c>
      <c r="R193" s="55">
        <f>+E193+I193+M193+Q193</f>
        <v>0</v>
      </c>
      <c r="T193" s="4" t="s">
        <v>406</v>
      </c>
    </row>
    <row r="194" spans="1:20" ht="15.75" customHeight="1" x14ac:dyDescent="0.3">
      <c r="A194" s="71" t="s">
        <v>128</v>
      </c>
      <c r="B194" s="1"/>
      <c r="C194" s="1"/>
      <c r="D194" s="1"/>
      <c r="E194" s="55">
        <f t="shared" si="46"/>
        <v>0</v>
      </c>
      <c r="F194" s="1"/>
      <c r="G194" s="1"/>
      <c r="H194" s="1"/>
      <c r="I194" s="55">
        <f t="shared" si="47"/>
        <v>0</v>
      </c>
      <c r="J194" s="1"/>
      <c r="K194" s="1"/>
      <c r="L194" s="1"/>
      <c r="M194" s="55">
        <f t="shared" si="48"/>
        <v>0</v>
      </c>
      <c r="N194" s="1"/>
      <c r="O194" s="1"/>
      <c r="P194" s="1"/>
      <c r="Q194" s="55">
        <f t="shared" si="49"/>
        <v>0</v>
      </c>
      <c r="R194" s="55">
        <f t="shared" si="50"/>
        <v>0</v>
      </c>
    </row>
    <row r="195" spans="1:20" ht="15.75" customHeight="1" x14ac:dyDescent="0.3">
      <c r="A195" s="71" t="s">
        <v>856</v>
      </c>
      <c r="B195" s="1"/>
      <c r="C195" s="1"/>
      <c r="D195" s="1"/>
      <c r="E195" s="55">
        <f t="shared" si="46"/>
        <v>0</v>
      </c>
      <c r="F195" s="1"/>
      <c r="G195" s="1"/>
      <c r="H195" s="1"/>
      <c r="I195" s="55">
        <f t="shared" si="47"/>
        <v>0</v>
      </c>
      <c r="J195" s="1"/>
      <c r="K195" s="1"/>
      <c r="L195" s="1"/>
      <c r="M195" s="55">
        <f t="shared" si="48"/>
        <v>0</v>
      </c>
      <c r="N195" s="1"/>
      <c r="O195" s="1"/>
      <c r="P195" s="1"/>
      <c r="Q195" s="55">
        <f t="shared" si="49"/>
        <v>0</v>
      </c>
      <c r="R195" s="55">
        <f t="shared" si="50"/>
        <v>0</v>
      </c>
      <c r="T195" s="4" t="s">
        <v>822</v>
      </c>
    </row>
    <row r="196" spans="1:20" ht="15.75" customHeight="1" x14ac:dyDescent="0.3">
      <c r="A196" s="71" t="s">
        <v>540</v>
      </c>
      <c r="B196" s="1"/>
      <c r="C196" s="1"/>
      <c r="D196" s="1"/>
      <c r="E196" s="55">
        <f t="shared" si="46"/>
        <v>0</v>
      </c>
      <c r="F196" s="1"/>
      <c r="G196" s="1"/>
      <c r="H196" s="1"/>
      <c r="I196" s="55">
        <f t="shared" si="47"/>
        <v>0</v>
      </c>
      <c r="J196" s="1"/>
      <c r="K196" s="1"/>
      <c r="L196" s="1"/>
      <c r="M196" s="55">
        <f t="shared" si="48"/>
        <v>0</v>
      </c>
      <c r="N196" s="1"/>
      <c r="O196" s="1"/>
      <c r="P196" s="1"/>
      <c r="Q196" s="55">
        <f t="shared" si="49"/>
        <v>0</v>
      </c>
      <c r="R196" s="55">
        <f t="shared" si="50"/>
        <v>0</v>
      </c>
    </row>
    <row r="197" spans="1:20" ht="15.75" customHeight="1" x14ac:dyDescent="0.3">
      <c r="A197" s="71" t="s">
        <v>132</v>
      </c>
      <c r="B197" s="1"/>
      <c r="C197" s="1"/>
      <c r="D197" s="1"/>
      <c r="E197" s="55">
        <f t="shared" si="46"/>
        <v>0</v>
      </c>
      <c r="F197" s="1"/>
      <c r="G197" s="1"/>
      <c r="H197" s="1"/>
      <c r="I197" s="55">
        <f t="shared" si="47"/>
        <v>0</v>
      </c>
      <c r="J197" s="1"/>
      <c r="K197" s="1"/>
      <c r="L197" s="1"/>
      <c r="M197" s="55">
        <f t="shared" si="48"/>
        <v>0</v>
      </c>
      <c r="N197" s="1"/>
      <c r="O197" s="1"/>
      <c r="P197" s="1"/>
      <c r="Q197" s="55">
        <f t="shared" si="49"/>
        <v>0</v>
      </c>
      <c r="R197" s="55">
        <f t="shared" si="50"/>
        <v>0</v>
      </c>
    </row>
    <row r="198" spans="1:20" ht="15.75" customHeight="1" x14ac:dyDescent="0.3">
      <c r="A198" s="84" t="s">
        <v>614</v>
      </c>
      <c r="B198" s="1"/>
      <c r="C198" s="1"/>
      <c r="D198" s="1"/>
      <c r="E198" s="55">
        <f t="shared" si="46"/>
        <v>0</v>
      </c>
      <c r="F198" s="1"/>
      <c r="G198" s="1"/>
      <c r="H198" s="1"/>
      <c r="I198" s="55">
        <f t="shared" si="47"/>
        <v>0</v>
      </c>
      <c r="J198" s="1"/>
      <c r="K198" s="1"/>
      <c r="L198" s="1"/>
      <c r="M198" s="55">
        <f t="shared" si="48"/>
        <v>0</v>
      </c>
      <c r="N198" s="1"/>
      <c r="O198" s="1"/>
      <c r="P198" s="1"/>
      <c r="Q198" s="55">
        <f t="shared" si="49"/>
        <v>0</v>
      </c>
      <c r="R198" s="55">
        <f t="shared" si="50"/>
        <v>0</v>
      </c>
      <c r="T198" s="4" t="s">
        <v>812</v>
      </c>
    </row>
    <row r="199" spans="1:20" ht="15.75" customHeight="1" x14ac:dyDescent="0.3">
      <c r="A199" s="71" t="s">
        <v>1274</v>
      </c>
      <c r="B199" s="1"/>
      <c r="C199" s="1"/>
      <c r="D199" s="1"/>
      <c r="E199" s="55">
        <f t="shared" si="46"/>
        <v>0</v>
      </c>
      <c r="F199" s="1"/>
      <c r="G199" s="1"/>
      <c r="H199" s="1"/>
      <c r="I199" s="55">
        <f t="shared" si="47"/>
        <v>0</v>
      </c>
      <c r="J199" s="1"/>
      <c r="K199" s="1"/>
      <c r="L199" s="1"/>
      <c r="M199" s="55">
        <f t="shared" si="48"/>
        <v>0</v>
      </c>
      <c r="N199" s="1"/>
      <c r="O199" s="1"/>
      <c r="P199" s="1">
        <v>367</v>
      </c>
      <c r="Q199" s="55">
        <f t="shared" ref="Q199" si="51">SUM(N199:P199)</f>
        <v>367</v>
      </c>
      <c r="R199" s="55">
        <f t="shared" si="50"/>
        <v>367</v>
      </c>
    </row>
    <row r="200" spans="1:20" ht="15.75" customHeight="1" x14ac:dyDescent="0.3">
      <c r="A200" s="71" t="s">
        <v>857</v>
      </c>
      <c r="B200" s="1"/>
      <c r="C200" s="1"/>
      <c r="D200" s="1"/>
      <c r="E200" s="55">
        <f t="shared" si="46"/>
        <v>0</v>
      </c>
      <c r="F200" s="1"/>
      <c r="G200" s="1"/>
      <c r="H200" s="1"/>
      <c r="I200" s="55">
        <f t="shared" si="47"/>
        <v>0</v>
      </c>
      <c r="J200" s="1"/>
      <c r="K200" s="1"/>
      <c r="L200" s="1"/>
      <c r="M200" s="55">
        <f t="shared" si="48"/>
        <v>0</v>
      </c>
      <c r="N200" s="1"/>
      <c r="O200" s="1"/>
      <c r="P200" s="1"/>
      <c r="Q200" s="55">
        <f t="shared" si="49"/>
        <v>0</v>
      </c>
      <c r="R200" s="55">
        <f t="shared" si="50"/>
        <v>0</v>
      </c>
      <c r="T200" s="4" t="s">
        <v>822</v>
      </c>
    </row>
    <row r="201" spans="1:20" ht="15.75" customHeight="1" x14ac:dyDescent="0.3">
      <c r="A201" s="71" t="s">
        <v>1275</v>
      </c>
      <c r="B201" s="1"/>
      <c r="C201" s="1"/>
      <c r="D201" s="1"/>
      <c r="E201" s="55">
        <f t="shared" si="46"/>
        <v>0</v>
      </c>
      <c r="F201" s="1"/>
      <c r="G201" s="1"/>
      <c r="H201" s="1"/>
      <c r="I201" s="55">
        <f t="shared" si="47"/>
        <v>0</v>
      </c>
      <c r="J201" s="1"/>
      <c r="K201" s="1"/>
      <c r="L201" s="1"/>
      <c r="M201" s="55">
        <f t="shared" si="48"/>
        <v>0</v>
      </c>
      <c r="N201" s="1"/>
      <c r="O201" s="1"/>
      <c r="P201" s="1">
        <v>65</v>
      </c>
      <c r="Q201" s="55">
        <f t="shared" ref="Q201" si="52">SUM(N201:P201)</f>
        <v>65</v>
      </c>
      <c r="R201" s="55">
        <f t="shared" si="50"/>
        <v>65</v>
      </c>
    </row>
    <row r="202" spans="1:20" ht="15.75" customHeight="1" x14ac:dyDescent="0.3">
      <c r="A202" s="71" t="s">
        <v>858</v>
      </c>
      <c r="B202" s="1"/>
      <c r="C202" s="1"/>
      <c r="D202" s="1"/>
      <c r="E202" s="55">
        <f t="shared" si="46"/>
        <v>0</v>
      </c>
      <c r="F202" s="1"/>
      <c r="G202" s="1"/>
      <c r="H202" s="1"/>
      <c r="I202" s="55">
        <f t="shared" si="47"/>
        <v>0</v>
      </c>
      <c r="J202" s="1"/>
      <c r="K202" s="1"/>
      <c r="L202" s="1"/>
      <c r="M202" s="55">
        <f t="shared" si="48"/>
        <v>0</v>
      </c>
      <c r="N202" s="1"/>
      <c r="O202" s="1"/>
      <c r="P202" s="1"/>
      <c r="Q202" s="55">
        <f t="shared" si="49"/>
        <v>0</v>
      </c>
      <c r="R202" s="55">
        <f t="shared" si="50"/>
        <v>0</v>
      </c>
      <c r="T202" s="4" t="s">
        <v>859</v>
      </c>
    </row>
    <row r="203" spans="1:20" ht="15.75" customHeight="1" x14ac:dyDescent="0.3">
      <c r="A203" s="84" t="s">
        <v>135</v>
      </c>
      <c r="B203" s="1"/>
      <c r="C203" s="1"/>
      <c r="D203" s="1"/>
      <c r="E203" s="55">
        <f t="shared" si="46"/>
        <v>0</v>
      </c>
      <c r="F203" s="1"/>
      <c r="G203" s="1"/>
      <c r="H203" s="1"/>
      <c r="I203" s="55">
        <f t="shared" si="47"/>
        <v>0</v>
      </c>
      <c r="J203" s="1"/>
      <c r="K203" s="1"/>
      <c r="L203" s="1"/>
      <c r="M203" s="55">
        <f t="shared" si="48"/>
        <v>0</v>
      </c>
      <c r="N203" s="1"/>
      <c r="O203" s="1"/>
      <c r="P203" s="1"/>
      <c r="Q203" s="55">
        <f t="shared" si="49"/>
        <v>0</v>
      </c>
      <c r="R203" s="55">
        <f t="shared" si="50"/>
        <v>0</v>
      </c>
    </row>
    <row r="204" spans="1:20" ht="15.75" customHeight="1" x14ac:dyDescent="0.3">
      <c r="A204" s="15" t="s">
        <v>1186</v>
      </c>
      <c r="B204" s="1"/>
      <c r="C204" s="1"/>
      <c r="D204" s="1"/>
      <c r="E204" s="55" t="s">
        <v>7</v>
      </c>
      <c r="F204" s="1"/>
      <c r="G204" s="1"/>
      <c r="H204" s="1"/>
      <c r="I204" s="55" t="s">
        <v>7</v>
      </c>
      <c r="J204" s="1"/>
      <c r="K204" s="1"/>
      <c r="L204" s="1"/>
      <c r="M204" s="55" t="s">
        <v>7</v>
      </c>
      <c r="N204" s="1"/>
      <c r="O204" s="1"/>
      <c r="P204" s="1"/>
      <c r="Q204" s="55" t="s">
        <v>7</v>
      </c>
      <c r="R204" s="55" t="s">
        <v>7</v>
      </c>
    </row>
    <row r="205" spans="1:20" ht="15.75" customHeight="1" x14ac:dyDescent="0.3">
      <c r="A205" s="85" t="s">
        <v>1276</v>
      </c>
      <c r="B205" s="1"/>
      <c r="C205" s="1"/>
      <c r="D205" s="1"/>
      <c r="E205" s="55">
        <f>SUM(B205:D205)</f>
        <v>0</v>
      </c>
      <c r="F205" s="1"/>
      <c r="G205" s="1"/>
      <c r="H205" s="1"/>
      <c r="I205" s="55">
        <f>SUM(F205:H205)</f>
        <v>0</v>
      </c>
      <c r="J205" s="1"/>
      <c r="K205" s="1"/>
      <c r="L205" s="1"/>
      <c r="M205" s="55">
        <f>SUM(J205:L205)</f>
        <v>0</v>
      </c>
      <c r="N205" s="1"/>
      <c r="O205" s="1"/>
      <c r="P205" s="1"/>
      <c r="Q205" s="55">
        <f>SUM(N205:P205)</f>
        <v>0</v>
      </c>
      <c r="R205" s="55">
        <f>+E205+I205+M205+Q205</f>
        <v>0</v>
      </c>
      <c r="S205" s="478" t="s">
        <v>1259</v>
      </c>
      <c r="T205" s="4" t="s">
        <v>818</v>
      </c>
    </row>
    <row r="206" spans="1:20" ht="15.75" customHeight="1" x14ac:dyDescent="0.3">
      <c r="A206" s="85" t="s">
        <v>1277</v>
      </c>
      <c r="B206" s="1"/>
      <c r="C206" s="1"/>
      <c r="D206" s="1"/>
      <c r="E206" s="55">
        <f>SUM(B206:D206)</f>
        <v>0</v>
      </c>
      <c r="F206" s="1">
        <v>1500</v>
      </c>
      <c r="G206" s="1"/>
      <c r="H206" s="1"/>
      <c r="I206" s="55">
        <f>SUM(F206:H206)</f>
        <v>1500</v>
      </c>
      <c r="J206" s="1"/>
      <c r="K206" s="1"/>
      <c r="L206" s="1"/>
      <c r="M206" s="55">
        <f>SUM(J206:L206)</f>
        <v>0</v>
      </c>
      <c r="N206" s="1"/>
      <c r="O206" s="1"/>
      <c r="P206" s="1">
        <v>1</v>
      </c>
      <c r="Q206" s="55">
        <f>SUM(N206:P206)</f>
        <v>1</v>
      </c>
      <c r="R206" s="55">
        <f>+E206+I206+M206+Q206</f>
        <v>1501</v>
      </c>
      <c r="S206" s="478" t="s">
        <v>1259</v>
      </c>
      <c r="T206" s="4" t="s">
        <v>819</v>
      </c>
    </row>
    <row r="207" spans="1:20" ht="15.75" customHeight="1" x14ac:dyDescent="0.3">
      <c r="A207" s="61" t="s">
        <v>1278</v>
      </c>
      <c r="B207" s="1">
        <v>35</v>
      </c>
      <c r="C207" s="1">
        <v>25</v>
      </c>
      <c r="D207" s="1">
        <v>69</v>
      </c>
      <c r="E207" s="55">
        <f>SUM(B207:D207)</f>
        <v>129</v>
      </c>
      <c r="F207" s="1">
        <v>121</v>
      </c>
      <c r="G207" s="1">
        <v>131</v>
      </c>
      <c r="H207" s="1">
        <v>132</v>
      </c>
      <c r="I207" s="55">
        <f>SUM(F207:H207)</f>
        <v>384</v>
      </c>
      <c r="J207" s="1">
        <v>161</v>
      </c>
      <c r="K207" s="1">
        <v>156</v>
      </c>
      <c r="L207" s="1">
        <v>154</v>
      </c>
      <c r="M207" s="55">
        <f>SUM(J207:L207)</f>
        <v>471</v>
      </c>
      <c r="N207" s="1">
        <v>16</v>
      </c>
      <c r="O207" s="1">
        <v>53</v>
      </c>
      <c r="P207" s="1">
        <v>13</v>
      </c>
      <c r="Q207" s="55">
        <f>SUM(N207:P207)</f>
        <v>82</v>
      </c>
      <c r="R207" s="55">
        <f>+E207+I207+M207+Q207</f>
        <v>1066</v>
      </c>
      <c r="S207" s="478" t="s">
        <v>1259</v>
      </c>
      <c r="T207" s="4" t="s">
        <v>862</v>
      </c>
    </row>
    <row r="208" spans="1:20" ht="15.75" customHeight="1" thickBot="1" x14ac:dyDescent="0.35">
      <c r="A208" s="15" t="s">
        <v>53</v>
      </c>
      <c r="B208" s="1"/>
      <c r="C208" s="1"/>
      <c r="D208" s="1"/>
      <c r="E208" s="55" t="s">
        <v>7</v>
      </c>
      <c r="F208" s="1"/>
      <c r="G208" s="1"/>
      <c r="H208" s="1"/>
      <c r="I208" s="55" t="s">
        <v>7</v>
      </c>
      <c r="J208" s="1"/>
      <c r="K208" s="1"/>
      <c r="L208" s="1"/>
      <c r="M208" s="55" t="s">
        <v>7</v>
      </c>
      <c r="N208" s="1"/>
      <c r="O208" s="1"/>
      <c r="P208" s="1"/>
      <c r="Q208" s="55" t="s">
        <v>7</v>
      </c>
      <c r="R208" s="55" t="s">
        <v>7</v>
      </c>
    </row>
    <row r="209" spans="1:20" ht="16.5" customHeight="1" thickBot="1" x14ac:dyDescent="0.35">
      <c r="A209" s="57" t="s">
        <v>54</v>
      </c>
      <c r="B209" s="86">
        <f>SUM(B139:B208)</f>
        <v>15659</v>
      </c>
      <c r="C209" s="87">
        <f>SUM(C139:C208)</f>
        <v>14874</v>
      </c>
      <c r="D209" s="87">
        <f>SUM(D139:D208)</f>
        <v>13703</v>
      </c>
      <c r="E209" s="59">
        <f>SUM(B209:D209)</f>
        <v>44236</v>
      </c>
      <c r="F209" s="87">
        <f>SUM(F139:F208)</f>
        <v>13784</v>
      </c>
      <c r="G209" s="87">
        <f t="shared" ref="G209:H209" si="53">SUM(G139:G208)</f>
        <v>23124</v>
      </c>
      <c r="H209" s="87">
        <f t="shared" si="53"/>
        <v>35927</v>
      </c>
      <c r="I209" s="59">
        <f>SUM(F209:H209)</f>
        <v>72835</v>
      </c>
      <c r="J209" s="87">
        <f>SUM(J139:J208)</f>
        <v>33930</v>
      </c>
      <c r="K209" s="87">
        <f>SUM(K139:K208)</f>
        <v>31748</v>
      </c>
      <c r="L209" s="87">
        <f>SUM(L139:L208)</f>
        <v>29737</v>
      </c>
      <c r="M209" s="59">
        <f>SUM(J209:L209)</f>
        <v>95415</v>
      </c>
      <c r="N209" s="87">
        <f>SUM(N139:N208)</f>
        <v>21652</v>
      </c>
      <c r="O209" s="87">
        <f>SUM(O139:O208)</f>
        <v>22933</v>
      </c>
      <c r="P209" s="87">
        <f>SUM(P139:P208)</f>
        <v>25167</v>
      </c>
      <c r="Q209" s="59">
        <f>SUM(N209:P209)</f>
        <v>69752</v>
      </c>
      <c r="R209" s="59">
        <f>+E209+I209+M209+Q209</f>
        <v>282238</v>
      </c>
    </row>
    <row r="210" spans="1:20" ht="15.75" customHeight="1" x14ac:dyDescent="0.3">
      <c r="A210" s="15" t="s">
        <v>55</v>
      </c>
      <c r="B210" s="1"/>
      <c r="C210" s="1"/>
      <c r="D210" s="1"/>
      <c r="E210" s="55" t="s">
        <v>7</v>
      </c>
      <c r="F210" s="1"/>
      <c r="G210" s="1"/>
      <c r="H210" s="1"/>
      <c r="I210" s="55" t="s">
        <v>7</v>
      </c>
      <c r="J210" s="1"/>
      <c r="K210" s="1"/>
      <c r="L210" s="1"/>
      <c r="M210" s="55" t="s">
        <v>7</v>
      </c>
      <c r="N210" s="1"/>
      <c r="O210" s="1"/>
      <c r="P210" s="1"/>
      <c r="Q210" s="55" t="s">
        <v>7</v>
      </c>
      <c r="R210" s="55" t="s">
        <v>7</v>
      </c>
    </row>
    <row r="211" spans="1:20" ht="15.75" customHeight="1" x14ac:dyDescent="0.3">
      <c r="A211" s="15" t="s">
        <v>56</v>
      </c>
      <c r="B211" s="1"/>
      <c r="C211" s="1"/>
      <c r="D211" s="1"/>
      <c r="E211" s="55" t="s">
        <v>7</v>
      </c>
      <c r="F211" s="1"/>
      <c r="G211" s="1"/>
      <c r="H211" s="1"/>
      <c r="I211" s="55" t="s">
        <v>7</v>
      </c>
      <c r="J211" s="1"/>
      <c r="K211" s="1"/>
      <c r="L211" s="1"/>
      <c r="M211" s="55" t="s">
        <v>7</v>
      </c>
      <c r="N211" s="1"/>
      <c r="O211" s="1"/>
      <c r="P211" s="1"/>
      <c r="Q211" s="55" t="s">
        <v>7</v>
      </c>
      <c r="R211" s="55" t="s">
        <v>7</v>
      </c>
    </row>
    <row r="212" spans="1:20" ht="15.75" customHeight="1" x14ac:dyDescent="0.3">
      <c r="A212" s="15" t="s">
        <v>57</v>
      </c>
      <c r="B212" s="1"/>
      <c r="C212" s="1"/>
      <c r="D212" s="1"/>
      <c r="E212" s="55" t="s">
        <v>7</v>
      </c>
      <c r="F212" s="1"/>
      <c r="G212" s="1"/>
      <c r="H212" s="1"/>
      <c r="I212" s="55" t="s">
        <v>7</v>
      </c>
      <c r="J212" s="1"/>
      <c r="K212" s="1"/>
      <c r="L212" s="1"/>
      <c r="M212" s="55" t="s">
        <v>7</v>
      </c>
      <c r="N212" s="1"/>
      <c r="O212" s="1"/>
      <c r="P212" s="1"/>
      <c r="Q212" s="55" t="s">
        <v>7</v>
      </c>
      <c r="R212" s="55" t="s">
        <v>7</v>
      </c>
    </row>
    <row r="213" spans="1:20" ht="15.75" customHeight="1" x14ac:dyDescent="0.3">
      <c r="A213" s="85" t="s">
        <v>616</v>
      </c>
      <c r="B213" s="1"/>
      <c r="C213" s="1"/>
      <c r="D213" s="1"/>
      <c r="E213" s="55">
        <f>SUM(B213:D213)</f>
        <v>0</v>
      </c>
      <c r="F213" s="1"/>
      <c r="G213" s="1"/>
      <c r="H213" s="1"/>
      <c r="I213" s="55">
        <f>SUM(F213:H213)</f>
        <v>0</v>
      </c>
      <c r="J213" s="1"/>
      <c r="K213" s="1"/>
      <c r="L213" s="1"/>
      <c r="M213" s="55">
        <f>SUM(J213:L213)</f>
        <v>0</v>
      </c>
      <c r="N213" s="1"/>
      <c r="O213" s="1"/>
      <c r="P213" s="1"/>
      <c r="Q213" s="55">
        <f>SUM(N213:P213)</f>
        <v>0</v>
      </c>
      <c r="R213" s="55">
        <f>+E213+I213+M213+Q213</f>
        <v>0</v>
      </c>
      <c r="T213" s="4" t="s">
        <v>812</v>
      </c>
    </row>
    <row r="214" spans="1:20" ht="15.75" customHeight="1" x14ac:dyDescent="0.3">
      <c r="A214" s="72" t="s">
        <v>863</v>
      </c>
      <c r="B214" s="1"/>
      <c r="C214" s="1"/>
      <c r="D214" s="1"/>
      <c r="E214" s="55">
        <f>SUM(B214:D214)</f>
        <v>0</v>
      </c>
      <c r="F214" s="1"/>
      <c r="G214" s="1"/>
      <c r="H214" s="1"/>
      <c r="I214" s="55">
        <f>SUM(F214:H214)</f>
        <v>0</v>
      </c>
      <c r="J214" s="1"/>
      <c r="K214" s="1"/>
      <c r="L214" s="1"/>
      <c r="M214" s="55">
        <f>SUM(J214:L214)</f>
        <v>0</v>
      </c>
      <c r="N214" s="1"/>
      <c r="O214" s="1"/>
      <c r="P214" s="1"/>
      <c r="Q214" s="55">
        <f>SUM(N214:P214)</f>
        <v>0</v>
      </c>
      <c r="R214" s="55">
        <f>+E214+I214+M214+Q214</f>
        <v>0</v>
      </c>
      <c r="S214" s="4" t="s">
        <v>821</v>
      </c>
      <c r="T214" s="4" t="s">
        <v>822</v>
      </c>
    </row>
    <row r="215" spans="1:20" ht="15.75" customHeight="1" thickBot="1" x14ac:dyDescent="0.35">
      <c r="A215" s="15" t="s">
        <v>58</v>
      </c>
      <c r="B215" s="1"/>
      <c r="C215" s="1"/>
      <c r="D215" s="1"/>
      <c r="E215" s="55" t="s">
        <v>7</v>
      </c>
      <c r="F215" s="1"/>
      <c r="G215" s="1"/>
      <c r="H215" s="1"/>
      <c r="I215" s="55" t="s">
        <v>7</v>
      </c>
      <c r="J215" s="1"/>
      <c r="K215" s="1"/>
      <c r="L215" s="1"/>
      <c r="M215" s="55" t="s">
        <v>7</v>
      </c>
      <c r="N215" s="1"/>
      <c r="O215" s="1"/>
      <c r="P215" s="1"/>
      <c r="Q215" s="55" t="s">
        <v>7</v>
      </c>
      <c r="R215" s="55" t="s">
        <v>7</v>
      </c>
    </row>
    <row r="216" spans="1:20" ht="16.5" customHeight="1" thickBot="1" x14ac:dyDescent="0.35">
      <c r="A216" s="57" t="s">
        <v>59</v>
      </c>
      <c r="B216" s="86">
        <f>SUM(B210:B215)</f>
        <v>0</v>
      </c>
      <c r="C216" s="87">
        <f>SUM(C210:C215)</f>
        <v>0</v>
      </c>
      <c r="D216" s="87">
        <f>SUM(D210:D215)</f>
        <v>0</v>
      </c>
      <c r="E216" s="59">
        <f>SUM(B216:D216)</f>
        <v>0</v>
      </c>
      <c r="F216" s="87"/>
      <c r="G216" s="87"/>
      <c r="H216" s="87"/>
      <c r="I216" s="59">
        <f>SUM(F216:H216)</f>
        <v>0</v>
      </c>
      <c r="J216" s="87">
        <f>SUM(J210:J215)</f>
        <v>0</v>
      </c>
      <c r="K216" s="87">
        <f>SUM(K210:K215)</f>
        <v>0</v>
      </c>
      <c r="L216" s="87">
        <f>SUM(L210:L215)</f>
        <v>0</v>
      </c>
      <c r="M216" s="59">
        <f>SUM(J216:L216)</f>
        <v>0</v>
      </c>
      <c r="N216" s="87">
        <f>SUM(N210:N215)</f>
        <v>0</v>
      </c>
      <c r="O216" s="87">
        <f>SUM(O210:O215)</f>
        <v>0</v>
      </c>
      <c r="P216" s="87">
        <f>SUM(P210:P215)</f>
        <v>0</v>
      </c>
      <c r="Q216" s="59">
        <f>SUM(N216:P216)</f>
        <v>0</v>
      </c>
      <c r="R216" s="59">
        <f>+E216+I216+M216+Q216</f>
        <v>0</v>
      </c>
    </row>
    <row r="217" spans="1:20" ht="15.75" customHeight="1" x14ac:dyDescent="0.3">
      <c r="A217" s="15" t="s">
        <v>60</v>
      </c>
      <c r="B217" s="1"/>
      <c r="C217" s="1"/>
      <c r="D217" s="1"/>
      <c r="E217" s="55" t="s">
        <v>7</v>
      </c>
      <c r="F217" s="1"/>
      <c r="G217" s="1"/>
      <c r="H217" s="1"/>
      <c r="I217" s="55" t="s">
        <v>7</v>
      </c>
      <c r="J217" s="1"/>
      <c r="K217" s="1"/>
      <c r="L217" s="1"/>
      <c r="M217" s="55" t="s">
        <v>7</v>
      </c>
      <c r="N217" s="1"/>
      <c r="O217" s="1"/>
      <c r="P217" s="1"/>
      <c r="Q217" s="55" t="s">
        <v>7</v>
      </c>
      <c r="R217" s="55" t="s">
        <v>7</v>
      </c>
    </row>
    <row r="218" spans="1:20" ht="15.75" customHeight="1" x14ac:dyDescent="0.3">
      <c r="A218" s="15" t="s">
        <v>61</v>
      </c>
      <c r="B218" s="1"/>
      <c r="C218" s="1"/>
      <c r="D218" s="1"/>
      <c r="E218" s="55" t="s">
        <v>7</v>
      </c>
      <c r="F218" s="1"/>
      <c r="G218" s="1"/>
      <c r="H218" s="1"/>
      <c r="I218" s="55" t="s">
        <v>7</v>
      </c>
      <c r="J218" s="1"/>
      <c r="K218" s="1"/>
      <c r="L218" s="1"/>
      <c r="M218" s="55" t="s">
        <v>7</v>
      </c>
      <c r="N218" s="1"/>
      <c r="O218" s="1"/>
      <c r="P218" s="1"/>
      <c r="Q218" s="55" t="s">
        <v>7</v>
      </c>
      <c r="R218" s="55" t="s">
        <v>7</v>
      </c>
    </row>
    <row r="219" spans="1:20" ht="15.75" customHeight="1" x14ac:dyDescent="0.3">
      <c r="A219" s="15" t="s">
        <v>62</v>
      </c>
      <c r="B219" s="1"/>
      <c r="C219" s="1"/>
      <c r="D219" s="1"/>
      <c r="E219" s="55" t="s">
        <v>7</v>
      </c>
      <c r="F219" s="1"/>
      <c r="G219" s="1"/>
      <c r="H219" s="1"/>
      <c r="I219" s="55" t="s">
        <v>7</v>
      </c>
      <c r="J219" s="1"/>
      <c r="K219" s="1"/>
      <c r="L219" s="1"/>
      <c r="M219" s="55" t="s">
        <v>7</v>
      </c>
      <c r="N219" s="1"/>
      <c r="O219" s="1"/>
      <c r="P219" s="1"/>
      <c r="Q219" s="55" t="s">
        <v>7</v>
      </c>
      <c r="R219" s="55" t="s">
        <v>7</v>
      </c>
    </row>
    <row r="220" spans="1:20" ht="15.75" customHeight="1" x14ac:dyDescent="0.3">
      <c r="A220" s="88" t="s">
        <v>142</v>
      </c>
      <c r="B220" s="1">
        <v>271</v>
      </c>
      <c r="C220" s="1">
        <v>252</v>
      </c>
      <c r="D220" s="1">
        <v>288</v>
      </c>
      <c r="E220" s="55">
        <f t="shared" ref="E220:E226" si="54">SUM(B220:D220)</f>
        <v>811</v>
      </c>
      <c r="F220" s="1">
        <v>376</v>
      </c>
      <c r="G220" s="1">
        <v>454</v>
      </c>
      <c r="H220" s="1">
        <v>507</v>
      </c>
      <c r="I220" s="55">
        <f t="shared" ref="I220:I226" si="55">SUM(F220:H220)</f>
        <v>1337</v>
      </c>
      <c r="J220" s="1">
        <v>475</v>
      </c>
      <c r="K220" s="1">
        <v>427</v>
      </c>
      <c r="L220" s="1">
        <v>457</v>
      </c>
      <c r="M220" s="55">
        <f t="shared" ref="M220:M226" si="56">SUM(J220:L220)</f>
        <v>1359</v>
      </c>
      <c r="N220" s="1">
        <v>312</v>
      </c>
      <c r="O220" s="1">
        <v>282</v>
      </c>
      <c r="P220" s="1">
        <v>264</v>
      </c>
      <c r="Q220" s="55">
        <f t="shared" ref="Q220:Q226" si="57">SUM(N220:P220)</f>
        <v>858</v>
      </c>
      <c r="R220" s="55">
        <f t="shared" ref="R220:R284" si="58">+E220+I220+M220+Q220</f>
        <v>4365</v>
      </c>
      <c r="T220" s="4" t="s">
        <v>865</v>
      </c>
    </row>
    <row r="221" spans="1:20" ht="15.75" customHeight="1" x14ac:dyDescent="0.3">
      <c r="A221" s="88" t="s">
        <v>143</v>
      </c>
      <c r="B221" s="1"/>
      <c r="C221" s="1"/>
      <c r="D221" s="1">
        <v>357</v>
      </c>
      <c r="E221" s="55">
        <f t="shared" si="54"/>
        <v>357</v>
      </c>
      <c r="F221" s="1"/>
      <c r="G221" s="1"/>
      <c r="H221" s="1"/>
      <c r="I221" s="55">
        <f t="shared" si="55"/>
        <v>0</v>
      </c>
      <c r="J221" s="1"/>
      <c r="K221" s="1"/>
      <c r="L221" s="1"/>
      <c r="M221" s="55">
        <f t="shared" si="56"/>
        <v>0</v>
      </c>
      <c r="N221" s="1"/>
      <c r="O221" s="1"/>
      <c r="P221" s="1"/>
      <c r="Q221" s="55">
        <f t="shared" si="57"/>
        <v>0</v>
      </c>
      <c r="R221" s="55">
        <f t="shared" si="58"/>
        <v>357</v>
      </c>
      <c r="T221" s="4" t="s">
        <v>812</v>
      </c>
    </row>
    <row r="222" spans="1:20" ht="15.75" customHeight="1" x14ac:dyDescent="0.3">
      <c r="A222" s="72" t="s">
        <v>1194</v>
      </c>
      <c r="B222" s="1">
        <v>8</v>
      </c>
      <c r="C222" s="1">
        <v>5</v>
      </c>
      <c r="D222" s="1">
        <v>6</v>
      </c>
      <c r="E222" s="55">
        <f t="shared" si="54"/>
        <v>19</v>
      </c>
      <c r="F222" s="1">
        <v>8</v>
      </c>
      <c r="G222" s="1">
        <v>9</v>
      </c>
      <c r="H222" s="1">
        <v>11</v>
      </c>
      <c r="I222" s="55">
        <f t="shared" si="55"/>
        <v>28</v>
      </c>
      <c r="J222" s="1">
        <v>6</v>
      </c>
      <c r="K222" s="1">
        <v>6</v>
      </c>
      <c r="L222" s="1">
        <v>33</v>
      </c>
      <c r="M222" s="55">
        <f t="shared" si="56"/>
        <v>45</v>
      </c>
      <c r="N222" s="1">
        <v>4</v>
      </c>
      <c r="O222" s="1">
        <v>4</v>
      </c>
      <c r="P222" s="1"/>
      <c r="Q222" s="55">
        <f t="shared" si="57"/>
        <v>8</v>
      </c>
      <c r="R222" s="55">
        <f t="shared" si="58"/>
        <v>100</v>
      </c>
    </row>
    <row r="223" spans="1:20" ht="15.75" customHeight="1" x14ac:dyDescent="0.3">
      <c r="A223" s="88" t="s">
        <v>1279</v>
      </c>
      <c r="B223" s="1">
        <f>15+19</f>
        <v>34</v>
      </c>
      <c r="C223" s="1">
        <f>11+23</f>
        <v>34</v>
      </c>
      <c r="D223" s="1">
        <f>13+10</f>
        <v>23</v>
      </c>
      <c r="E223" s="55">
        <f t="shared" si="54"/>
        <v>91</v>
      </c>
      <c r="F223" s="1"/>
      <c r="G223" s="1"/>
      <c r="H223" s="1">
        <v>45</v>
      </c>
      <c r="I223" s="55">
        <f t="shared" si="55"/>
        <v>45</v>
      </c>
      <c r="J223" s="1">
        <f>144+68</f>
        <v>212</v>
      </c>
      <c r="K223" s="1">
        <f>94+59</f>
        <v>153</v>
      </c>
      <c r="L223" s="1">
        <f>69+54</f>
        <v>123</v>
      </c>
      <c r="M223" s="55">
        <f t="shared" si="56"/>
        <v>488</v>
      </c>
      <c r="N223" s="1">
        <f>37+12</f>
        <v>49</v>
      </c>
      <c r="O223" s="1">
        <v>42</v>
      </c>
      <c r="P223" s="1">
        <f>21+5</f>
        <v>26</v>
      </c>
      <c r="Q223" s="55">
        <f t="shared" si="57"/>
        <v>117</v>
      </c>
      <c r="R223" s="55">
        <f t="shared" si="58"/>
        <v>741</v>
      </c>
      <c r="T223" s="4" t="s">
        <v>406</v>
      </c>
    </row>
    <row r="224" spans="1:20" ht="15.75" customHeight="1" x14ac:dyDescent="0.3">
      <c r="A224" s="88" t="s">
        <v>866</v>
      </c>
      <c r="B224" s="1">
        <v>198</v>
      </c>
      <c r="C224" s="1"/>
      <c r="D224" s="1"/>
      <c r="E224" s="55">
        <f t="shared" si="54"/>
        <v>198</v>
      </c>
      <c r="F224" s="1"/>
      <c r="G224" s="1"/>
      <c r="H224" s="1"/>
      <c r="I224" s="55">
        <f t="shared" si="55"/>
        <v>0</v>
      </c>
      <c r="J224" s="1"/>
      <c r="K224" s="1"/>
      <c r="L224" s="1"/>
      <c r="M224" s="55">
        <f t="shared" si="56"/>
        <v>0</v>
      </c>
      <c r="N224" s="1">
        <v>650</v>
      </c>
      <c r="O224" s="1"/>
      <c r="P224" s="1"/>
      <c r="Q224" s="55">
        <f t="shared" si="57"/>
        <v>650</v>
      </c>
      <c r="R224" s="55">
        <f>+E224+I224+M224+Q224</f>
        <v>848</v>
      </c>
      <c r="T224" s="4" t="s">
        <v>819</v>
      </c>
    </row>
    <row r="225" spans="1:20" ht="15.75" customHeight="1" x14ac:dyDescent="0.3">
      <c r="A225" s="88" t="s">
        <v>864</v>
      </c>
      <c r="B225" s="1"/>
      <c r="C225" s="1"/>
      <c r="D225" s="1">
        <v>999</v>
      </c>
      <c r="E225" s="55">
        <f t="shared" si="54"/>
        <v>999</v>
      </c>
      <c r="F225" s="1">
        <v>296</v>
      </c>
      <c r="G225" s="1"/>
      <c r="H225" s="1"/>
      <c r="I225" s="55">
        <f t="shared" si="55"/>
        <v>296</v>
      </c>
      <c r="J225" s="1"/>
      <c r="K225" s="1"/>
      <c r="L225" s="1"/>
      <c r="M225" s="55">
        <f t="shared" si="56"/>
        <v>0</v>
      </c>
      <c r="N225" s="1">
        <v>673</v>
      </c>
      <c r="O225" s="1">
        <v>3307</v>
      </c>
      <c r="P225" s="1"/>
      <c r="Q225" s="55">
        <f t="shared" si="57"/>
        <v>3980</v>
      </c>
      <c r="R225" s="55">
        <f>+E225+I225+M225+Q225</f>
        <v>5275</v>
      </c>
      <c r="T225" s="4" t="s">
        <v>819</v>
      </c>
    </row>
    <row r="226" spans="1:20" ht="15.75" customHeight="1" x14ac:dyDescent="0.3">
      <c r="A226" s="72" t="s">
        <v>867</v>
      </c>
      <c r="B226" s="1"/>
      <c r="C226" s="1"/>
      <c r="D226" s="1"/>
      <c r="E226" s="55">
        <f t="shared" si="54"/>
        <v>0</v>
      </c>
      <c r="F226" s="1"/>
      <c r="G226" s="1"/>
      <c r="H226" s="1">
        <v>245</v>
      </c>
      <c r="I226" s="55">
        <f t="shared" si="55"/>
        <v>245</v>
      </c>
      <c r="J226" s="1">
        <v>1605</v>
      </c>
      <c r="K226" s="1"/>
      <c r="L226" s="1"/>
      <c r="M226" s="55">
        <f t="shared" si="56"/>
        <v>1605</v>
      </c>
      <c r="N226" s="1"/>
      <c r="O226" s="1"/>
      <c r="P226" s="1"/>
      <c r="Q226" s="55">
        <f t="shared" si="57"/>
        <v>0</v>
      </c>
      <c r="R226" s="55">
        <f>+E226+I226+M226+Q226</f>
        <v>1850</v>
      </c>
      <c r="S226" s="465"/>
      <c r="T226" s="4" t="s">
        <v>822</v>
      </c>
    </row>
    <row r="227" spans="1:20" ht="15.75" customHeight="1" x14ac:dyDescent="0.3">
      <c r="A227" s="72" t="s">
        <v>868</v>
      </c>
      <c r="B227" s="1"/>
      <c r="C227" s="1"/>
      <c r="D227" s="1"/>
      <c r="E227" s="55">
        <f>SUM(B227:D227)</f>
        <v>0</v>
      </c>
      <c r="F227" s="1"/>
      <c r="G227" s="1"/>
      <c r="H227" s="1"/>
      <c r="I227" s="55">
        <f t="shared" ref="I227:I282" si="59">SUM(F227:H227)</f>
        <v>0</v>
      </c>
      <c r="J227" s="1"/>
      <c r="K227" s="1"/>
      <c r="L227" s="1"/>
      <c r="M227" s="55">
        <f t="shared" ref="M227:M282" si="60">SUM(J227:L227)</f>
        <v>0</v>
      </c>
      <c r="N227" s="1"/>
      <c r="O227" s="1"/>
      <c r="P227" s="1"/>
      <c r="Q227" s="55">
        <f t="shared" ref="Q227:Q282" si="61">SUM(N227:P227)</f>
        <v>0</v>
      </c>
      <c r="R227" s="55">
        <f t="shared" si="58"/>
        <v>0</v>
      </c>
      <c r="S227" s="4" t="s">
        <v>821</v>
      </c>
    </row>
    <row r="228" spans="1:20" ht="15.75" customHeight="1" x14ac:dyDescent="0.3">
      <c r="A228" s="359" t="s">
        <v>1119</v>
      </c>
      <c r="B228" s="1">
        <v>476</v>
      </c>
      <c r="C228" s="1">
        <v>198</v>
      </c>
      <c r="D228" s="1"/>
      <c r="E228" s="55">
        <f t="shared" ref="E228" si="62">SUM(B228:D228)</f>
        <v>674</v>
      </c>
      <c r="F228" s="1"/>
      <c r="G228" s="1"/>
      <c r="H228" s="1"/>
      <c r="I228" s="55">
        <f t="shared" si="59"/>
        <v>0</v>
      </c>
      <c r="J228" s="1"/>
      <c r="K228" s="1"/>
      <c r="L228" s="1"/>
      <c r="M228" s="55">
        <f t="shared" si="60"/>
        <v>0</v>
      </c>
      <c r="N228" s="1"/>
      <c r="O228" s="1"/>
      <c r="P228" s="1"/>
      <c r="Q228" s="55">
        <f t="shared" si="61"/>
        <v>0</v>
      </c>
      <c r="R228" s="55">
        <f>+E228+I228+M228+Q228</f>
        <v>674</v>
      </c>
      <c r="T228" s="4" t="s">
        <v>919</v>
      </c>
    </row>
    <row r="229" spans="1:20" ht="15.75" customHeight="1" x14ac:dyDescent="0.3">
      <c r="A229" s="72" t="s">
        <v>148</v>
      </c>
      <c r="B229" s="1">
        <v>654</v>
      </c>
      <c r="C229" s="1"/>
      <c r="D229" s="1"/>
      <c r="E229" s="55">
        <f>SUM(B229:D229)</f>
        <v>654</v>
      </c>
      <c r="F229" s="1"/>
      <c r="G229" s="1"/>
      <c r="H229" s="1"/>
      <c r="I229" s="55">
        <f>SUM(F229:H229)</f>
        <v>0</v>
      </c>
      <c r="J229" s="1"/>
      <c r="K229" s="1"/>
      <c r="L229" s="1"/>
      <c r="M229" s="55">
        <f>SUM(J229:L229)</f>
        <v>0</v>
      </c>
      <c r="N229" s="1"/>
      <c r="O229" s="1"/>
      <c r="P229" s="1"/>
      <c r="Q229" s="55">
        <f>SUM(N229:P229)</f>
        <v>0</v>
      </c>
      <c r="R229" s="55">
        <f t="shared" si="58"/>
        <v>654</v>
      </c>
      <c r="T229" s="4" t="s">
        <v>832</v>
      </c>
    </row>
    <row r="230" spans="1:20" ht="15.75" customHeight="1" x14ac:dyDescent="0.3">
      <c r="A230" s="88" t="s">
        <v>1280</v>
      </c>
      <c r="B230" s="1">
        <v>28</v>
      </c>
      <c r="C230" s="1"/>
      <c r="D230" s="1"/>
      <c r="E230" s="55">
        <f>SUM(B230:D230)</f>
        <v>28</v>
      </c>
      <c r="F230" s="1"/>
      <c r="G230" s="1"/>
      <c r="H230" s="1"/>
      <c r="I230" s="55">
        <f>SUM(F230:H230)</f>
        <v>0</v>
      </c>
      <c r="J230" s="1"/>
      <c r="K230" s="1"/>
      <c r="L230" s="1"/>
      <c r="M230" s="55">
        <f>SUM(J230:L230)</f>
        <v>0</v>
      </c>
      <c r="N230" s="1"/>
      <c r="O230" s="1"/>
      <c r="P230" s="1"/>
      <c r="Q230" s="55">
        <f>SUM(N230:P230)</f>
        <v>0</v>
      </c>
      <c r="R230" s="55">
        <f t="shared" si="58"/>
        <v>28</v>
      </c>
    </row>
    <row r="231" spans="1:20" ht="15.75" customHeight="1" x14ac:dyDescent="0.3">
      <c r="A231" s="72" t="s">
        <v>149</v>
      </c>
      <c r="B231" s="1"/>
      <c r="C231" s="1"/>
      <c r="D231" s="1"/>
      <c r="E231" s="55">
        <f t="shared" ref="E231:E274" si="63">SUM(B231:D231)</f>
        <v>0</v>
      </c>
      <c r="F231" s="1"/>
      <c r="G231" s="1"/>
      <c r="H231" s="1"/>
      <c r="I231" s="55">
        <f t="shared" si="59"/>
        <v>0</v>
      </c>
      <c r="J231" s="1"/>
      <c r="K231" s="1"/>
      <c r="L231" s="1"/>
      <c r="M231" s="55">
        <f t="shared" si="60"/>
        <v>0</v>
      </c>
      <c r="N231" s="1"/>
      <c r="O231" s="1"/>
      <c r="P231" s="1"/>
      <c r="Q231" s="55">
        <f t="shared" si="61"/>
        <v>0</v>
      </c>
      <c r="R231" s="55">
        <f t="shared" si="58"/>
        <v>0</v>
      </c>
    </row>
    <row r="232" spans="1:20" ht="15.75" customHeight="1" x14ac:dyDescent="0.3">
      <c r="A232" s="72" t="s">
        <v>150</v>
      </c>
      <c r="B232" s="1">
        <v>1136</v>
      </c>
      <c r="C232" s="1"/>
      <c r="D232" s="1"/>
      <c r="E232" s="55">
        <f t="shared" si="63"/>
        <v>1136</v>
      </c>
      <c r="F232" s="1"/>
      <c r="G232" s="1"/>
      <c r="H232" s="1"/>
      <c r="I232" s="55">
        <f t="shared" si="59"/>
        <v>0</v>
      </c>
      <c r="J232" s="1"/>
      <c r="K232" s="1"/>
      <c r="L232" s="1"/>
      <c r="M232" s="55">
        <f t="shared" si="60"/>
        <v>0</v>
      </c>
      <c r="N232" s="1"/>
      <c r="O232" s="1"/>
      <c r="P232" s="1"/>
      <c r="Q232" s="55">
        <f t="shared" si="61"/>
        <v>0</v>
      </c>
      <c r="R232" s="55">
        <f t="shared" si="58"/>
        <v>1136</v>
      </c>
    </row>
    <row r="233" spans="1:20" ht="15.75" customHeight="1" x14ac:dyDescent="0.3">
      <c r="A233" s="72" t="s">
        <v>151</v>
      </c>
      <c r="B233" s="1">
        <v>23</v>
      </c>
      <c r="C233" s="1"/>
      <c r="D233" s="1"/>
      <c r="E233" s="55">
        <f t="shared" si="63"/>
        <v>23</v>
      </c>
      <c r="F233" s="1"/>
      <c r="G233" s="1"/>
      <c r="H233" s="1"/>
      <c r="I233" s="55">
        <f t="shared" si="59"/>
        <v>0</v>
      </c>
      <c r="J233" s="1"/>
      <c r="K233" s="1"/>
      <c r="L233" s="1"/>
      <c r="M233" s="55">
        <f t="shared" si="60"/>
        <v>0</v>
      </c>
      <c r="N233" s="1"/>
      <c r="O233" s="1"/>
      <c r="P233" s="1"/>
      <c r="Q233" s="55">
        <f t="shared" si="61"/>
        <v>0</v>
      </c>
      <c r="R233" s="55">
        <f t="shared" si="58"/>
        <v>23</v>
      </c>
    </row>
    <row r="234" spans="1:20" ht="15.75" customHeight="1" x14ac:dyDescent="0.3">
      <c r="A234" s="72" t="s">
        <v>870</v>
      </c>
      <c r="B234" s="1">
        <v>23</v>
      </c>
      <c r="C234" s="1"/>
      <c r="D234" s="1"/>
      <c r="E234" s="55">
        <f t="shared" si="63"/>
        <v>23</v>
      </c>
      <c r="F234" s="1"/>
      <c r="G234" s="1"/>
      <c r="H234" s="1"/>
      <c r="I234" s="55">
        <f t="shared" si="59"/>
        <v>0</v>
      </c>
      <c r="J234" s="1"/>
      <c r="K234" s="1"/>
      <c r="L234" s="1"/>
      <c r="M234" s="55">
        <f t="shared" si="60"/>
        <v>0</v>
      </c>
      <c r="N234" s="1"/>
      <c r="O234" s="1"/>
      <c r="P234" s="1"/>
      <c r="Q234" s="55">
        <f t="shared" si="61"/>
        <v>0</v>
      </c>
      <c r="R234" s="55">
        <f t="shared" si="58"/>
        <v>23</v>
      </c>
      <c r="S234" s="4" t="s">
        <v>821</v>
      </c>
      <c r="T234" s="4" t="s">
        <v>822</v>
      </c>
    </row>
    <row r="235" spans="1:20" ht="15.75" customHeight="1" x14ac:dyDescent="0.3">
      <c r="A235" s="72" t="s">
        <v>1195</v>
      </c>
      <c r="B235" s="1"/>
      <c r="C235" s="1"/>
      <c r="D235" s="1"/>
      <c r="E235" s="55">
        <f t="shared" si="63"/>
        <v>0</v>
      </c>
      <c r="F235" s="1"/>
      <c r="G235" s="1"/>
      <c r="H235" s="1"/>
      <c r="I235" s="55">
        <f t="shared" si="59"/>
        <v>0</v>
      </c>
      <c r="J235" s="1"/>
      <c r="K235" s="1"/>
      <c r="L235" s="1"/>
      <c r="M235" s="55">
        <f t="shared" si="60"/>
        <v>0</v>
      </c>
      <c r="N235" s="1"/>
      <c r="O235" s="1"/>
      <c r="P235" s="1"/>
      <c r="Q235" s="55">
        <f t="shared" si="61"/>
        <v>0</v>
      </c>
      <c r="R235" s="55">
        <f t="shared" si="58"/>
        <v>0</v>
      </c>
      <c r="S235" s="4" t="s">
        <v>821</v>
      </c>
      <c r="T235" s="4" t="s">
        <v>822</v>
      </c>
    </row>
    <row r="236" spans="1:20" ht="15.75" customHeight="1" x14ac:dyDescent="0.3">
      <c r="A236" s="72" t="s">
        <v>1196</v>
      </c>
      <c r="B236" s="1"/>
      <c r="C236" s="1"/>
      <c r="D236" s="1"/>
      <c r="E236" s="55">
        <f t="shared" si="63"/>
        <v>0</v>
      </c>
      <c r="G236" s="1"/>
      <c r="H236" s="1"/>
      <c r="I236" s="55">
        <f t="shared" si="59"/>
        <v>0</v>
      </c>
      <c r="J236" s="1"/>
      <c r="K236" s="1"/>
      <c r="L236" s="1"/>
      <c r="M236" s="55">
        <f t="shared" si="60"/>
        <v>0</v>
      </c>
      <c r="N236" s="1"/>
      <c r="O236" s="1"/>
      <c r="P236" s="1"/>
      <c r="Q236" s="55">
        <f t="shared" si="61"/>
        <v>0</v>
      </c>
      <c r="R236" s="55">
        <f t="shared" si="58"/>
        <v>0</v>
      </c>
    </row>
    <row r="237" spans="1:20" ht="15.75" customHeight="1" x14ac:dyDescent="0.3">
      <c r="A237" s="72" t="s">
        <v>1197</v>
      </c>
      <c r="B237" s="1"/>
      <c r="C237" s="1"/>
      <c r="D237" s="1"/>
      <c r="E237" s="55">
        <f t="shared" si="63"/>
        <v>0</v>
      </c>
      <c r="F237" s="4">
        <v>4300</v>
      </c>
      <c r="H237" s="1"/>
      <c r="I237" s="55">
        <f t="shared" si="59"/>
        <v>4300</v>
      </c>
      <c r="J237" s="1"/>
      <c r="K237" s="1"/>
      <c r="L237" s="1"/>
      <c r="M237" s="55">
        <f t="shared" si="60"/>
        <v>0</v>
      </c>
      <c r="N237" s="1"/>
      <c r="O237" s="1"/>
      <c r="P237" s="1"/>
      <c r="Q237" s="55">
        <f t="shared" si="61"/>
        <v>0</v>
      </c>
      <c r="R237" s="55">
        <f t="shared" si="58"/>
        <v>4300</v>
      </c>
    </row>
    <row r="238" spans="1:20" ht="15.75" customHeight="1" x14ac:dyDescent="0.3">
      <c r="A238" s="88" t="s">
        <v>872</v>
      </c>
      <c r="B238" s="1"/>
      <c r="C238" s="1"/>
      <c r="D238" s="1"/>
      <c r="E238" s="55">
        <f t="shared" si="63"/>
        <v>0</v>
      </c>
      <c r="F238" s="1"/>
      <c r="G238" s="1"/>
      <c r="H238" s="1"/>
      <c r="I238" s="55">
        <f t="shared" si="59"/>
        <v>0</v>
      </c>
      <c r="J238" s="1"/>
      <c r="K238" s="1"/>
      <c r="L238" s="1"/>
      <c r="M238" s="55">
        <f t="shared" si="60"/>
        <v>0</v>
      </c>
      <c r="N238" s="1"/>
      <c r="O238" s="1"/>
      <c r="P238" s="1"/>
      <c r="Q238" s="55">
        <f t="shared" si="61"/>
        <v>0</v>
      </c>
      <c r="R238" s="55">
        <f t="shared" si="58"/>
        <v>0</v>
      </c>
      <c r="T238" s="4" t="s">
        <v>812</v>
      </c>
    </row>
    <row r="239" spans="1:20" ht="15.75" customHeight="1" x14ac:dyDescent="0.3">
      <c r="A239" s="72" t="s">
        <v>873</v>
      </c>
      <c r="B239" s="1"/>
      <c r="C239" s="1"/>
      <c r="D239" s="1"/>
      <c r="E239" s="55">
        <f t="shared" si="63"/>
        <v>0</v>
      </c>
      <c r="F239" s="1"/>
      <c r="G239" s="1"/>
      <c r="H239" s="1"/>
      <c r="I239" s="55">
        <f t="shared" si="59"/>
        <v>0</v>
      </c>
      <c r="J239" s="1"/>
      <c r="K239" s="1"/>
      <c r="L239" s="1"/>
      <c r="M239" s="55">
        <f t="shared" si="60"/>
        <v>0</v>
      </c>
      <c r="N239" s="1"/>
      <c r="O239" s="1"/>
      <c r="P239" s="1"/>
      <c r="Q239" s="55">
        <f>SUM(N239:P239)</f>
        <v>0</v>
      </c>
      <c r="R239" s="55">
        <f>+E239+I239+M239+Q239</f>
        <v>0</v>
      </c>
      <c r="S239" s="465"/>
      <c r="T239" s="4" t="s">
        <v>822</v>
      </c>
    </row>
    <row r="240" spans="1:20" ht="15.75" customHeight="1" x14ac:dyDescent="0.3">
      <c r="A240" s="88" t="s">
        <v>874</v>
      </c>
      <c r="B240" s="1"/>
      <c r="C240" s="1"/>
      <c r="D240" s="1"/>
      <c r="E240" s="55">
        <f>SUM(B240:D240)</f>
        <v>0</v>
      </c>
      <c r="F240" s="1"/>
      <c r="G240" s="1"/>
      <c r="H240" s="1"/>
      <c r="I240" s="55">
        <f t="shared" si="59"/>
        <v>0</v>
      </c>
      <c r="J240" s="1"/>
      <c r="K240" s="1"/>
      <c r="L240" s="1"/>
      <c r="M240" s="55">
        <f t="shared" si="60"/>
        <v>0</v>
      </c>
      <c r="N240" s="1"/>
      <c r="O240" s="1"/>
      <c r="P240" s="1"/>
      <c r="Q240" s="55">
        <f t="shared" si="61"/>
        <v>0</v>
      </c>
      <c r="R240" s="55">
        <f t="shared" si="58"/>
        <v>0</v>
      </c>
    </row>
    <row r="241" spans="1:21" ht="15.75" customHeight="1" x14ac:dyDescent="0.3">
      <c r="A241" s="88" t="s">
        <v>875</v>
      </c>
      <c r="B241" s="1"/>
      <c r="C241" s="1"/>
      <c r="D241" s="1"/>
      <c r="E241" s="55">
        <f t="shared" si="63"/>
        <v>0</v>
      </c>
      <c r="F241" s="1"/>
      <c r="G241" s="1"/>
      <c r="H241" s="1"/>
      <c r="I241" s="55">
        <f t="shared" si="59"/>
        <v>0</v>
      </c>
      <c r="J241" s="1"/>
      <c r="K241" s="1"/>
      <c r="L241" s="1"/>
      <c r="M241" s="55">
        <f t="shared" si="60"/>
        <v>0</v>
      </c>
      <c r="N241" s="1"/>
      <c r="O241" s="1"/>
      <c r="P241" s="1"/>
      <c r="Q241" s="55">
        <f t="shared" si="61"/>
        <v>0</v>
      </c>
      <c r="R241" s="55">
        <f t="shared" si="58"/>
        <v>0</v>
      </c>
    </row>
    <row r="242" spans="1:21" ht="15.75" customHeight="1" x14ac:dyDescent="0.3">
      <c r="A242" s="88" t="s">
        <v>876</v>
      </c>
      <c r="B242" s="1"/>
      <c r="C242" s="1"/>
      <c r="D242" s="1"/>
      <c r="E242" s="55">
        <f t="shared" ref="E242:E243" si="64">SUM(B242:D242)</f>
        <v>0</v>
      </c>
      <c r="F242" s="1"/>
      <c r="G242" s="1"/>
      <c r="H242" s="1"/>
      <c r="I242" s="55">
        <f t="shared" si="59"/>
        <v>0</v>
      </c>
      <c r="J242" s="1"/>
      <c r="K242" s="1"/>
      <c r="L242" s="1"/>
      <c r="M242" s="55">
        <f t="shared" si="60"/>
        <v>0</v>
      </c>
      <c r="N242" s="1"/>
      <c r="O242" s="1"/>
      <c r="P242" s="1"/>
      <c r="Q242" s="55">
        <f t="shared" si="61"/>
        <v>0</v>
      </c>
      <c r="R242" s="55">
        <f t="shared" si="58"/>
        <v>0</v>
      </c>
    </row>
    <row r="243" spans="1:21" ht="15.75" customHeight="1" x14ac:dyDescent="0.3">
      <c r="A243" s="88" t="s">
        <v>877</v>
      </c>
      <c r="B243" s="1"/>
      <c r="C243" s="1"/>
      <c r="D243" s="1"/>
      <c r="E243" s="55">
        <f t="shared" si="64"/>
        <v>0</v>
      </c>
      <c r="F243" s="1"/>
      <c r="G243" s="1"/>
      <c r="H243" s="1"/>
      <c r="I243" s="55">
        <f t="shared" si="59"/>
        <v>0</v>
      </c>
      <c r="J243" s="1"/>
      <c r="K243" s="1"/>
      <c r="L243" s="1"/>
      <c r="M243" s="55">
        <f t="shared" si="60"/>
        <v>0</v>
      </c>
      <c r="N243" s="1"/>
      <c r="O243" s="1"/>
      <c r="P243" s="1"/>
      <c r="Q243" s="55">
        <f t="shared" si="61"/>
        <v>0</v>
      </c>
      <c r="R243" s="55">
        <f t="shared" si="58"/>
        <v>0</v>
      </c>
    </row>
    <row r="244" spans="1:21" ht="15.75" customHeight="1" x14ac:dyDescent="0.3">
      <c r="A244" s="72" t="s">
        <v>878</v>
      </c>
      <c r="B244" s="1">
        <v>800</v>
      </c>
      <c r="C244" s="1">
        <v>728</v>
      </c>
      <c r="D244" s="1">
        <v>821</v>
      </c>
      <c r="E244" s="55">
        <f>SUM(B244:D244)</f>
        <v>2349</v>
      </c>
      <c r="F244" s="1">
        <v>909</v>
      </c>
      <c r="G244" s="1">
        <v>1006</v>
      </c>
      <c r="H244" s="1"/>
      <c r="I244" s="55">
        <f t="shared" ref="I244" si="65">SUM(F244:H244)</f>
        <v>1915</v>
      </c>
      <c r="J244" s="1"/>
      <c r="K244" s="1"/>
      <c r="L244" s="1"/>
      <c r="M244" s="55">
        <f t="shared" si="60"/>
        <v>0</v>
      </c>
      <c r="N244" s="1"/>
      <c r="O244" s="1"/>
      <c r="P244" s="1"/>
      <c r="Q244" s="55">
        <f t="shared" si="61"/>
        <v>0</v>
      </c>
      <c r="R244" s="55">
        <f t="shared" si="58"/>
        <v>4264</v>
      </c>
    </row>
    <row r="245" spans="1:21" ht="15.75" customHeight="1" x14ac:dyDescent="0.3">
      <c r="A245" s="84" t="s">
        <v>879</v>
      </c>
      <c r="B245" s="1"/>
      <c r="C245" s="1"/>
      <c r="D245" s="1"/>
      <c r="E245" s="55">
        <f>SUM(B245:D245)</f>
        <v>0</v>
      </c>
      <c r="F245" s="1"/>
      <c r="G245" s="1"/>
      <c r="H245" s="1"/>
      <c r="I245" s="55">
        <f t="shared" si="59"/>
        <v>0</v>
      </c>
      <c r="J245" s="1"/>
      <c r="K245" s="1"/>
      <c r="L245" s="1"/>
      <c r="M245" s="55">
        <f t="shared" si="60"/>
        <v>0</v>
      </c>
      <c r="N245" s="1"/>
      <c r="O245" s="1"/>
      <c r="P245" s="1">
        <v>34</v>
      </c>
      <c r="Q245" s="55">
        <f t="shared" si="61"/>
        <v>34</v>
      </c>
      <c r="R245" s="55">
        <f t="shared" si="58"/>
        <v>34</v>
      </c>
    </row>
    <row r="246" spans="1:21" ht="15.75" customHeight="1" x14ac:dyDescent="0.3">
      <c r="A246" s="84" t="s">
        <v>880</v>
      </c>
      <c r="B246" s="1"/>
      <c r="C246" s="1"/>
      <c r="D246" s="1"/>
      <c r="E246" s="55">
        <f>SUM(B246:D246)</f>
        <v>0</v>
      </c>
      <c r="F246" s="1"/>
      <c r="G246" s="1"/>
      <c r="H246" s="1"/>
      <c r="I246" s="55">
        <f t="shared" si="59"/>
        <v>0</v>
      </c>
      <c r="J246" s="1"/>
      <c r="K246" s="1"/>
      <c r="L246" s="1"/>
      <c r="M246" s="55">
        <f t="shared" si="60"/>
        <v>0</v>
      </c>
      <c r="N246" s="1"/>
      <c r="O246" s="1"/>
      <c r="P246" s="1"/>
      <c r="Q246" s="55">
        <f t="shared" si="61"/>
        <v>0</v>
      </c>
      <c r="R246" s="55">
        <f t="shared" si="58"/>
        <v>0</v>
      </c>
    </row>
    <row r="247" spans="1:21" ht="15.75" customHeight="1" x14ac:dyDescent="0.3">
      <c r="A247" s="84" t="s">
        <v>881</v>
      </c>
      <c r="B247" s="1"/>
      <c r="C247" s="1"/>
      <c r="D247" s="1"/>
      <c r="E247" s="55">
        <f>SUM(B247:D247)</f>
        <v>0</v>
      </c>
      <c r="F247" s="1"/>
      <c r="G247" s="1"/>
      <c r="H247" s="1"/>
      <c r="I247" s="55">
        <f t="shared" si="59"/>
        <v>0</v>
      </c>
      <c r="J247" s="1"/>
      <c r="K247" s="1"/>
      <c r="L247" s="1"/>
      <c r="M247" s="55">
        <f t="shared" si="60"/>
        <v>0</v>
      </c>
      <c r="N247" s="1"/>
      <c r="O247" s="1"/>
      <c r="P247" s="1"/>
      <c r="Q247" s="55">
        <f t="shared" si="61"/>
        <v>0</v>
      </c>
      <c r="R247" s="55">
        <f t="shared" si="58"/>
        <v>0</v>
      </c>
      <c r="T247" s="4" t="s">
        <v>812</v>
      </c>
    </row>
    <row r="248" spans="1:21" ht="15.75" customHeight="1" x14ac:dyDescent="0.3">
      <c r="A248" s="72" t="s">
        <v>1198</v>
      </c>
      <c r="B248" s="1"/>
      <c r="C248" s="1"/>
      <c r="D248" s="1"/>
      <c r="E248" s="55">
        <f t="shared" ref="E248:E251" si="66">SUM(B248:D248)</f>
        <v>0</v>
      </c>
      <c r="F248" s="1">
        <f>1286+595</f>
        <v>1881</v>
      </c>
      <c r="G248" s="1"/>
      <c r="H248" s="1"/>
      <c r="I248" s="55">
        <f>SUM(F248:H248)</f>
        <v>1881</v>
      </c>
      <c r="J248" s="1"/>
      <c r="K248" s="1"/>
      <c r="L248" s="1"/>
      <c r="M248" s="55">
        <f t="shared" ref="M248:M249" si="67">SUM(J248:L248)</f>
        <v>0</v>
      </c>
      <c r="N248" s="1"/>
      <c r="O248" s="1"/>
      <c r="P248" s="1"/>
      <c r="Q248" s="55">
        <f t="shared" ref="Q248:Q249" si="68">SUM(N248:P248)</f>
        <v>0</v>
      </c>
      <c r="R248" s="55">
        <f t="shared" si="58"/>
        <v>1881</v>
      </c>
      <c r="S248" s="466" t="s">
        <v>821</v>
      </c>
    </row>
    <row r="249" spans="1:21" ht="15.75" customHeight="1" x14ac:dyDescent="0.3">
      <c r="A249" s="72" t="s">
        <v>621</v>
      </c>
      <c r="B249" s="1"/>
      <c r="C249" s="1"/>
      <c r="D249" s="1"/>
      <c r="E249" s="55">
        <f t="shared" si="66"/>
        <v>0</v>
      </c>
      <c r="F249" s="1">
        <f>4806</f>
        <v>4806</v>
      </c>
      <c r="G249" s="1">
        <v>8089</v>
      </c>
      <c r="H249" s="1"/>
      <c r="I249" s="55">
        <f>SUM(F249:H249)</f>
        <v>12895</v>
      </c>
      <c r="J249" s="1"/>
      <c r="K249" s="1"/>
      <c r="L249" s="1"/>
      <c r="M249" s="55">
        <f t="shared" si="67"/>
        <v>0</v>
      </c>
      <c r="N249" s="1"/>
      <c r="O249" s="1"/>
      <c r="P249" s="1"/>
      <c r="Q249" s="55">
        <f t="shared" si="68"/>
        <v>0</v>
      </c>
      <c r="R249" s="55">
        <f t="shared" si="58"/>
        <v>12895</v>
      </c>
      <c r="S249" s="4" t="s">
        <v>821</v>
      </c>
    </row>
    <row r="250" spans="1:21" ht="15.75" customHeight="1" x14ac:dyDescent="0.3">
      <c r="A250" s="72" t="s">
        <v>622</v>
      </c>
      <c r="B250" s="1">
        <v>213</v>
      </c>
      <c r="C250" s="1">
        <v>3576</v>
      </c>
      <c r="D250" s="1">
        <v>3455</v>
      </c>
      <c r="E250" s="55">
        <f t="shared" si="66"/>
        <v>7244</v>
      </c>
      <c r="F250" s="1">
        <f>4218+374</f>
        <v>4592</v>
      </c>
      <c r="G250" s="1"/>
      <c r="H250" s="1"/>
      <c r="I250" s="55">
        <f t="shared" si="59"/>
        <v>4592</v>
      </c>
      <c r="J250" s="1"/>
      <c r="K250" s="1"/>
      <c r="L250" s="1"/>
      <c r="M250" s="55">
        <f t="shared" si="60"/>
        <v>0</v>
      </c>
      <c r="N250" s="1"/>
      <c r="O250" s="1"/>
      <c r="P250" s="1"/>
      <c r="Q250" s="55">
        <f t="shared" si="61"/>
        <v>0</v>
      </c>
      <c r="R250" s="55">
        <f t="shared" si="58"/>
        <v>11836</v>
      </c>
      <c r="S250" s="4" t="s">
        <v>821</v>
      </c>
    </row>
    <row r="251" spans="1:21" ht="15.75" customHeight="1" x14ac:dyDescent="0.3">
      <c r="A251" s="72" t="s">
        <v>882</v>
      </c>
      <c r="B251" s="1"/>
      <c r="C251" s="1"/>
      <c r="D251" s="1"/>
      <c r="E251" s="55">
        <f t="shared" si="66"/>
        <v>0</v>
      </c>
      <c r="F251" s="1">
        <v>164</v>
      </c>
      <c r="G251" s="1"/>
      <c r="H251" s="1"/>
      <c r="I251" s="55">
        <f t="shared" si="59"/>
        <v>164</v>
      </c>
      <c r="J251" s="1"/>
      <c r="K251" s="1"/>
      <c r="L251" s="1"/>
      <c r="M251" s="55">
        <f t="shared" si="60"/>
        <v>0</v>
      </c>
      <c r="N251" s="1"/>
      <c r="O251" s="1"/>
      <c r="P251" s="1"/>
      <c r="Q251" s="55">
        <f>SUM(N251:P251)</f>
        <v>0</v>
      </c>
      <c r="R251" s="55">
        <f t="shared" si="58"/>
        <v>164</v>
      </c>
    </row>
    <row r="252" spans="1:21" ht="15.75" customHeight="1" x14ac:dyDescent="0.3">
      <c r="A252" s="72" t="s">
        <v>883</v>
      </c>
      <c r="B252" s="1"/>
      <c r="C252" s="1"/>
      <c r="D252" s="1"/>
      <c r="E252" s="55">
        <f>SUM(B252:D252)</f>
        <v>0</v>
      </c>
      <c r="F252" s="1"/>
      <c r="G252" s="1">
        <v>276</v>
      </c>
      <c r="H252" s="1">
        <v>500</v>
      </c>
      <c r="I252" s="55">
        <f t="shared" si="59"/>
        <v>776</v>
      </c>
      <c r="J252" s="1"/>
      <c r="K252" s="1"/>
      <c r="L252" s="1"/>
      <c r="M252" s="55">
        <f t="shared" si="60"/>
        <v>0</v>
      </c>
      <c r="N252" s="1"/>
      <c r="O252" s="1"/>
      <c r="P252" s="1"/>
      <c r="Q252" s="55">
        <f t="shared" si="61"/>
        <v>0</v>
      </c>
      <c r="R252" s="55">
        <f t="shared" si="58"/>
        <v>776</v>
      </c>
      <c r="S252" s="4" t="s">
        <v>821</v>
      </c>
      <c r="T252" s="4" t="s">
        <v>822</v>
      </c>
    </row>
    <row r="253" spans="1:21" ht="15.75" customHeight="1" x14ac:dyDescent="0.3">
      <c r="A253" s="72" t="s">
        <v>884</v>
      </c>
      <c r="B253" s="1"/>
      <c r="C253" s="1"/>
      <c r="D253" s="1"/>
      <c r="E253" s="55">
        <f t="shared" ref="E253" si="69">SUM(B253:D253)</f>
        <v>0</v>
      </c>
      <c r="F253" s="1"/>
      <c r="G253" s="1"/>
      <c r="H253" s="1">
        <v>721</v>
      </c>
      <c r="I253" s="55">
        <f t="shared" si="59"/>
        <v>721</v>
      </c>
      <c r="J253" s="1"/>
      <c r="K253" s="1"/>
      <c r="L253" s="1"/>
      <c r="M253" s="55">
        <f t="shared" si="60"/>
        <v>0</v>
      </c>
      <c r="N253" s="1"/>
      <c r="O253" s="1"/>
      <c r="P253" s="1"/>
      <c r="Q253" s="55">
        <f t="shared" si="61"/>
        <v>0</v>
      </c>
      <c r="R253" s="55">
        <f t="shared" si="58"/>
        <v>721</v>
      </c>
      <c r="S253" s="89" t="s">
        <v>821</v>
      </c>
      <c r="T253" s="89" t="s">
        <v>822</v>
      </c>
      <c r="U253" s="89"/>
    </row>
    <row r="254" spans="1:21" ht="15.75" customHeight="1" x14ac:dyDescent="0.3">
      <c r="A254" s="72" t="s">
        <v>161</v>
      </c>
      <c r="B254" s="1"/>
      <c r="C254" s="1">
        <v>555</v>
      </c>
      <c r="D254" s="1">
        <v>1259</v>
      </c>
      <c r="E254" s="55">
        <f>SUM(B254:D254)</f>
        <v>1814</v>
      </c>
      <c r="F254" s="1"/>
      <c r="G254" s="1"/>
      <c r="H254" s="1"/>
      <c r="I254" s="55">
        <f>SUM(F254:H254)</f>
        <v>0</v>
      </c>
      <c r="J254" s="1"/>
      <c r="K254" s="1"/>
      <c r="L254" s="1"/>
      <c r="M254" s="55">
        <f t="shared" si="60"/>
        <v>0</v>
      </c>
      <c r="N254" s="1"/>
      <c r="O254" s="1"/>
      <c r="P254" s="1"/>
      <c r="Q254" s="55">
        <f t="shared" si="61"/>
        <v>0</v>
      </c>
      <c r="R254" s="55">
        <f t="shared" si="58"/>
        <v>1814</v>
      </c>
      <c r="T254" s="4" t="s">
        <v>885</v>
      </c>
    </row>
    <row r="255" spans="1:21" ht="15.75" customHeight="1" x14ac:dyDescent="0.3">
      <c r="A255" s="84" t="s">
        <v>886</v>
      </c>
      <c r="B255" s="1"/>
      <c r="C255" s="1"/>
      <c r="D255" s="1"/>
      <c r="E255" s="55">
        <f>SUM(B255:D255)</f>
        <v>0</v>
      </c>
      <c r="F255" s="1"/>
      <c r="G255" s="1"/>
      <c r="H255" s="1"/>
      <c r="I255" s="55">
        <f>SUM(F255:H255)</f>
        <v>0</v>
      </c>
      <c r="J255" s="1"/>
      <c r="K255" s="1"/>
      <c r="L255" s="1"/>
      <c r="M255" s="55">
        <f t="shared" si="60"/>
        <v>0</v>
      </c>
      <c r="N255" s="1"/>
      <c r="O255" s="1"/>
      <c r="P255" s="1"/>
      <c r="Q255" s="55">
        <f>SUM(N255:P255)</f>
        <v>0</v>
      </c>
      <c r="R255" s="55">
        <f>+E255+I255+M255+Q255</f>
        <v>0</v>
      </c>
      <c r="T255" s="4" t="s">
        <v>819</v>
      </c>
    </row>
    <row r="256" spans="1:21" ht="15.75" customHeight="1" x14ac:dyDescent="0.3">
      <c r="A256" s="72" t="s">
        <v>162</v>
      </c>
      <c r="B256" s="1"/>
      <c r="C256" s="1"/>
      <c r="D256" s="1"/>
      <c r="E256" s="55">
        <f t="shared" si="63"/>
        <v>0</v>
      </c>
      <c r="F256" s="1"/>
      <c r="G256" s="1"/>
      <c r="H256" s="1"/>
      <c r="I256" s="55">
        <f t="shared" si="59"/>
        <v>0</v>
      </c>
      <c r="J256" s="1"/>
      <c r="K256" s="1"/>
      <c r="L256" s="1"/>
      <c r="M256" s="55">
        <f t="shared" si="60"/>
        <v>0</v>
      </c>
      <c r="N256" s="1"/>
      <c r="O256" s="1"/>
      <c r="P256" s="1"/>
      <c r="Q256" s="55">
        <f t="shared" si="61"/>
        <v>0</v>
      </c>
      <c r="R256" s="55">
        <f t="shared" si="58"/>
        <v>0</v>
      </c>
    </row>
    <row r="257" spans="1:20" ht="15.75" customHeight="1" x14ac:dyDescent="0.3">
      <c r="A257" s="72" t="s">
        <v>163</v>
      </c>
      <c r="B257" s="1"/>
      <c r="C257" s="1"/>
      <c r="D257" s="1"/>
      <c r="E257" s="55">
        <f t="shared" si="63"/>
        <v>0</v>
      </c>
      <c r="F257" s="1">
        <f>2378+75+1+2</f>
        <v>2456</v>
      </c>
      <c r="G257" s="1"/>
      <c r="H257" s="1"/>
      <c r="I257" s="55">
        <f t="shared" si="59"/>
        <v>2456</v>
      </c>
      <c r="J257" s="1"/>
      <c r="K257" s="1"/>
      <c r="L257" s="1"/>
      <c r="M257" s="55">
        <f t="shared" si="60"/>
        <v>0</v>
      </c>
      <c r="N257" s="1"/>
      <c r="O257" s="1"/>
      <c r="P257" s="1"/>
      <c r="Q257" s="55">
        <f t="shared" si="61"/>
        <v>0</v>
      </c>
      <c r="R257" s="55">
        <f t="shared" si="58"/>
        <v>2456</v>
      </c>
    </row>
    <row r="258" spans="1:20" ht="15.75" customHeight="1" x14ac:dyDescent="0.3">
      <c r="A258" s="72" t="s">
        <v>1199</v>
      </c>
      <c r="B258" s="1"/>
      <c r="C258" s="1"/>
      <c r="D258" s="1"/>
      <c r="E258" s="55">
        <f t="shared" si="63"/>
        <v>0</v>
      </c>
      <c r="F258" s="1"/>
      <c r="G258" s="1"/>
      <c r="H258" s="1"/>
      <c r="I258" s="55">
        <f t="shared" si="59"/>
        <v>0</v>
      </c>
      <c r="J258" s="1"/>
      <c r="K258" s="1"/>
      <c r="L258" s="1"/>
      <c r="M258" s="55">
        <f t="shared" si="60"/>
        <v>0</v>
      </c>
      <c r="N258" s="1"/>
      <c r="O258" s="1"/>
      <c r="P258" s="1"/>
      <c r="Q258" s="55">
        <f t="shared" si="61"/>
        <v>0</v>
      </c>
      <c r="R258" s="55">
        <f t="shared" si="58"/>
        <v>0</v>
      </c>
    </row>
    <row r="259" spans="1:20" ht="15.75" customHeight="1" x14ac:dyDescent="0.3">
      <c r="A259" s="72" t="s">
        <v>164</v>
      </c>
      <c r="B259" s="1">
        <v>60</v>
      </c>
      <c r="C259" s="1"/>
      <c r="D259" s="1"/>
      <c r="E259" s="55">
        <f t="shared" si="63"/>
        <v>60</v>
      </c>
      <c r="F259" s="1"/>
      <c r="G259" s="1"/>
      <c r="H259" s="1"/>
      <c r="I259" s="55">
        <f t="shared" si="59"/>
        <v>0</v>
      </c>
      <c r="J259" s="1"/>
      <c r="K259" s="1"/>
      <c r="L259" s="1"/>
      <c r="M259" s="55">
        <f t="shared" si="60"/>
        <v>0</v>
      </c>
      <c r="N259" s="1"/>
      <c r="O259" s="1"/>
      <c r="P259" s="1"/>
      <c r="Q259" s="55">
        <f t="shared" si="61"/>
        <v>0</v>
      </c>
      <c r="R259" s="55">
        <f t="shared" si="58"/>
        <v>60</v>
      </c>
    </row>
    <row r="260" spans="1:20" ht="15.75" customHeight="1" x14ac:dyDescent="0.3">
      <c r="A260" s="72" t="s">
        <v>887</v>
      </c>
      <c r="B260" s="1">
        <v>60</v>
      </c>
      <c r="C260" s="1"/>
      <c r="D260" s="1"/>
      <c r="E260" s="55">
        <f t="shared" si="63"/>
        <v>60</v>
      </c>
      <c r="F260" s="1"/>
      <c r="G260" s="1"/>
      <c r="H260" s="1"/>
      <c r="I260" s="55">
        <f t="shared" si="59"/>
        <v>0</v>
      </c>
      <c r="J260" s="1"/>
      <c r="K260" s="1"/>
      <c r="L260" s="1"/>
      <c r="M260" s="55">
        <f t="shared" si="60"/>
        <v>0</v>
      </c>
      <c r="N260" s="1"/>
      <c r="O260" s="1"/>
      <c r="P260" s="1"/>
      <c r="Q260" s="55">
        <f t="shared" si="61"/>
        <v>0</v>
      </c>
      <c r="R260" s="55">
        <f t="shared" si="58"/>
        <v>60</v>
      </c>
      <c r="S260" s="4" t="s">
        <v>821</v>
      </c>
      <c r="T260" s="4" t="s">
        <v>822</v>
      </c>
    </row>
    <row r="261" spans="1:20" ht="15.75" customHeight="1" x14ac:dyDescent="0.3">
      <c r="A261" s="72" t="s">
        <v>1200</v>
      </c>
      <c r="B261" s="1"/>
      <c r="C261" s="1"/>
      <c r="D261" s="1"/>
      <c r="E261" s="55">
        <f t="shared" si="63"/>
        <v>0</v>
      </c>
      <c r="F261" s="1"/>
      <c r="G261" s="1"/>
      <c r="H261" s="1"/>
      <c r="I261" s="55">
        <f t="shared" si="59"/>
        <v>0</v>
      </c>
      <c r="J261" s="1"/>
      <c r="K261" s="1"/>
      <c r="L261" s="1"/>
      <c r="M261" s="55">
        <f t="shared" si="60"/>
        <v>0</v>
      </c>
      <c r="N261" s="1"/>
      <c r="O261" s="1"/>
      <c r="P261" s="1"/>
      <c r="Q261" s="55">
        <f t="shared" si="61"/>
        <v>0</v>
      </c>
      <c r="R261" s="55">
        <f t="shared" si="58"/>
        <v>0</v>
      </c>
      <c r="T261" s="4" t="s">
        <v>822</v>
      </c>
    </row>
    <row r="262" spans="1:20" ht="15.75" customHeight="1" x14ac:dyDescent="0.3">
      <c r="A262" s="72" t="s">
        <v>1281</v>
      </c>
      <c r="B262" s="1"/>
      <c r="C262" s="1"/>
      <c r="D262" s="1"/>
      <c r="E262" s="55">
        <f t="shared" ref="E262" si="70">SUM(B262:D262)</f>
        <v>0</v>
      </c>
      <c r="F262" s="1">
        <v>975</v>
      </c>
      <c r="G262" s="1">
        <v>765</v>
      </c>
      <c r="H262" s="1">
        <v>715</v>
      </c>
      <c r="I262" s="55">
        <f t="shared" ref="I262:I263" si="71">SUM(F262:H262)</f>
        <v>2455</v>
      </c>
      <c r="J262" s="1">
        <v>715</v>
      </c>
      <c r="K262" s="1">
        <v>726</v>
      </c>
      <c r="L262" s="1">
        <v>766</v>
      </c>
      <c r="M262" s="55">
        <f t="shared" ref="M262:M263" si="72">SUM(J262:L262)</f>
        <v>2207</v>
      </c>
      <c r="N262" s="1">
        <v>741</v>
      </c>
      <c r="O262" s="1">
        <v>866</v>
      </c>
      <c r="P262" s="1">
        <v>871</v>
      </c>
      <c r="Q262" s="55">
        <f t="shared" ref="Q262" si="73">SUM(N262:P262)</f>
        <v>2478</v>
      </c>
      <c r="R262" s="55">
        <f t="shared" si="58"/>
        <v>7140</v>
      </c>
      <c r="S262" s="4" t="s">
        <v>821</v>
      </c>
      <c r="T262" s="4" t="s">
        <v>822</v>
      </c>
    </row>
    <row r="263" spans="1:20" ht="15.75" customHeight="1" x14ac:dyDescent="0.3">
      <c r="A263" s="72" t="s">
        <v>890</v>
      </c>
      <c r="B263" s="1"/>
      <c r="C263" s="1"/>
      <c r="D263" s="1"/>
      <c r="E263" s="55">
        <f t="shared" si="63"/>
        <v>0</v>
      </c>
      <c r="F263" s="1"/>
      <c r="G263" s="1"/>
      <c r="H263" s="1">
        <v>7000</v>
      </c>
      <c r="I263" s="55">
        <f t="shared" si="71"/>
        <v>7000</v>
      </c>
      <c r="J263" s="1">
        <v>7000</v>
      </c>
      <c r="K263" s="1">
        <v>9000</v>
      </c>
      <c r="L263" s="1">
        <v>8400</v>
      </c>
      <c r="M263" s="55">
        <f t="shared" si="72"/>
        <v>24400</v>
      </c>
      <c r="N263" s="1">
        <v>7000</v>
      </c>
      <c r="O263" s="1">
        <v>2151</v>
      </c>
      <c r="P263" s="1"/>
      <c r="Q263" s="55">
        <f t="shared" si="61"/>
        <v>9151</v>
      </c>
      <c r="R263" s="55">
        <f>+E263+I263+M263+Q263</f>
        <v>40551</v>
      </c>
      <c r="S263" s="465" t="s">
        <v>821</v>
      </c>
      <c r="T263" s="4" t="s">
        <v>822</v>
      </c>
    </row>
    <row r="264" spans="1:20" ht="15.75" customHeight="1" x14ac:dyDescent="0.3">
      <c r="A264" s="84" t="s">
        <v>891</v>
      </c>
      <c r="B264" s="1"/>
      <c r="C264" s="1"/>
      <c r="D264" s="1"/>
      <c r="E264" s="55">
        <f t="shared" si="63"/>
        <v>0</v>
      </c>
      <c r="F264" s="1"/>
      <c r="G264" s="1"/>
      <c r="H264" s="1"/>
      <c r="I264" s="55">
        <f t="shared" si="59"/>
        <v>0</v>
      </c>
      <c r="J264" s="1"/>
      <c r="K264" s="1"/>
      <c r="L264" s="1"/>
      <c r="M264" s="55">
        <f t="shared" si="60"/>
        <v>0</v>
      </c>
      <c r="N264" s="1"/>
      <c r="O264" s="1"/>
      <c r="P264" s="1">
        <v>1000</v>
      </c>
      <c r="Q264" s="55">
        <f>SUM(N264:P264)</f>
        <v>1000</v>
      </c>
      <c r="R264" s="55">
        <f t="shared" si="58"/>
        <v>1000</v>
      </c>
      <c r="T264" s="4" t="s">
        <v>818</v>
      </c>
    </row>
    <row r="265" spans="1:20" ht="15.75" customHeight="1" x14ac:dyDescent="0.3">
      <c r="A265" s="84" t="s">
        <v>892</v>
      </c>
      <c r="B265" s="1"/>
      <c r="C265" s="1"/>
      <c r="D265" s="1"/>
      <c r="E265" s="55">
        <f>SUM(B265:D265)</f>
        <v>0</v>
      </c>
      <c r="F265" s="1"/>
      <c r="G265" s="1"/>
      <c r="H265" s="1"/>
      <c r="I265" s="55">
        <f t="shared" ref="I265:I266" si="74">SUM(F265:H265)</f>
        <v>0</v>
      </c>
      <c r="J265" s="1"/>
      <c r="K265" s="1"/>
      <c r="L265" s="1"/>
      <c r="M265" s="55">
        <f t="shared" ref="M265" si="75">SUM(J265:L265)</f>
        <v>0</v>
      </c>
      <c r="N265" s="1"/>
      <c r="O265" s="1">
        <v>994</v>
      </c>
      <c r="P265" s="1">
        <f>301+152</f>
        <v>453</v>
      </c>
      <c r="Q265" s="55">
        <f>SUM(N265:P265)</f>
        <v>1447</v>
      </c>
      <c r="R265" s="55">
        <f t="shared" si="58"/>
        <v>1447</v>
      </c>
      <c r="T265" s="4" t="s">
        <v>819</v>
      </c>
    </row>
    <row r="266" spans="1:20" ht="15.75" customHeight="1" x14ac:dyDescent="0.3">
      <c r="A266" s="72" t="s">
        <v>1282</v>
      </c>
      <c r="B266" s="1"/>
      <c r="C266" s="1"/>
      <c r="D266" s="1"/>
      <c r="E266" s="55">
        <f>SUM(B266:D266)</f>
        <v>0</v>
      </c>
      <c r="F266" s="1"/>
      <c r="G266" s="1"/>
      <c r="H266" s="1"/>
      <c r="I266" s="55">
        <f t="shared" si="74"/>
        <v>0</v>
      </c>
      <c r="J266" s="1">
        <v>1171</v>
      </c>
      <c r="K266" s="1">
        <v>800</v>
      </c>
      <c r="L266" s="1"/>
      <c r="M266" s="55">
        <f>SUM(J266:L266)</f>
        <v>1971</v>
      </c>
      <c r="N266" s="1"/>
      <c r="O266" s="1"/>
      <c r="P266" s="1"/>
      <c r="Q266" s="55">
        <f t="shared" si="61"/>
        <v>0</v>
      </c>
      <c r="R266" s="55">
        <f t="shared" si="58"/>
        <v>1971</v>
      </c>
      <c r="S266" s="4" t="s">
        <v>821</v>
      </c>
      <c r="T266" s="4" t="s">
        <v>822</v>
      </c>
    </row>
    <row r="267" spans="1:20" ht="15.75" customHeight="1" x14ac:dyDescent="0.3">
      <c r="A267" s="72" t="s">
        <v>1283</v>
      </c>
      <c r="B267" s="1"/>
      <c r="C267" s="1"/>
      <c r="D267" s="1">
        <v>419</v>
      </c>
      <c r="E267" s="55">
        <f t="shared" ref="E267:E268" si="76">SUM(B267:D267)</f>
        <v>419</v>
      </c>
      <c r="F267" s="1">
        <v>368</v>
      </c>
      <c r="G267" s="1">
        <v>571</v>
      </c>
      <c r="H267" s="1"/>
      <c r="I267" s="55">
        <f t="shared" si="59"/>
        <v>939</v>
      </c>
      <c r="J267" s="1"/>
      <c r="K267" s="1"/>
      <c r="L267" s="1"/>
      <c r="M267" s="55">
        <f t="shared" si="60"/>
        <v>0</v>
      </c>
      <c r="N267" s="1"/>
      <c r="O267" s="1"/>
      <c r="P267" s="1"/>
      <c r="Q267" s="55">
        <f t="shared" si="61"/>
        <v>0</v>
      </c>
      <c r="R267" s="55">
        <f t="shared" si="58"/>
        <v>1358</v>
      </c>
      <c r="T267" s="4" t="s">
        <v>822</v>
      </c>
    </row>
    <row r="268" spans="1:20" ht="15.75" customHeight="1" x14ac:dyDescent="0.3">
      <c r="A268" s="84" t="s">
        <v>1284</v>
      </c>
      <c r="B268" s="1"/>
      <c r="C268" s="1">
        <v>572</v>
      </c>
      <c r="D268" s="1"/>
      <c r="E268" s="55">
        <f t="shared" si="76"/>
        <v>572</v>
      </c>
      <c r="F268" s="1"/>
      <c r="G268" s="1"/>
      <c r="H268" s="1"/>
      <c r="I268" s="55">
        <f t="shared" si="59"/>
        <v>0</v>
      </c>
      <c r="J268" s="1"/>
      <c r="K268" s="1"/>
      <c r="L268" s="1"/>
      <c r="M268" s="55">
        <f t="shared" si="60"/>
        <v>0</v>
      </c>
      <c r="N268" s="1"/>
      <c r="O268" s="1"/>
      <c r="P268" s="1"/>
      <c r="Q268" s="55">
        <f t="shared" ref="Q268" si="77">SUM(N268:P268)</f>
        <v>0</v>
      </c>
      <c r="R268" s="55">
        <f t="shared" si="58"/>
        <v>572</v>
      </c>
    </row>
    <row r="269" spans="1:20" ht="15.75" customHeight="1" x14ac:dyDescent="0.3">
      <c r="A269" s="72" t="s">
        <v>1285</v>
      </c>
      <c r="B269" s="1">
        <v>1223</v>
      </c>
      <c r="C269" s="1">
        <v>1055</v>
      </c>
      <c r="D269" s="1"/>
      <c r="E269" s="55">
        <f t="shared" si="63"/>
        <v>2278</v>
      </c>
      <c r="F269" s="1"/>
      <c r="G269" s="1"/>
      <c r="H269" s="1"/>
      <c r="I269" s="55">
        <f t="shared" si="59"/>
        <v>0</v>
      </c>
      <c r="J269" s="1"/>
      <c r="K269" s="1"/>
      <c r="L269" s="1"/>
      <c r="M269" s="55">
        <f t="shared" si="60"/>
        <v>0</v>
      </c>
      <c r="N269" s="1"/>
      <c r="O269" s="1"/>
      <c r="P269" s="1"/>
      <c r="Q269" s="55">
        <f t="shared" si="61"/>
        <v>0</v>
      </c>
      <c r="R269" s="55">
        <f t="shared" si="58"/>
        <v>2278</v>
      </c>
      <c r="T269" s="4" t="s">
        <v>832</v>
      </c>
    </row>
    <row r="270" spans="1:20" ht="15.75" customHeight="1" x14ac:dyDescent="0.3">
      <c r="A270" s="72" t="s">
        <v>1286</v>
      </c>
      <c r="B270" s="1"/>
      <c r="C270" s="1"/>
      <c r="D270" s="1"/>
      <c r="E270" s="55">
        <f t="shared" si="63"/>
        <v>0</v>
      </c>
      <c r="F270" s="1"/>
      <c r="G270" s="1"/>
      <c r="H270" s="1"/>
      <c r="I270" s="55">
        <f t="shared" si="59"/>
        <v>0</v>
      </c>
      <c r="J270" s="1"/>
      <c r="K270" s="1"/>
      <c r="L270" s="1"/>
      <c r="M270" s="55">
        <f t="shared" si="60"/>
        <v>0</v>
      </c>
      <c r="N270" s="1"/>
      <c r="O270" s="1"/>
      <c r="P270" s="1"/>
      <c r="Q270" s="55">
        <f t="shared" si="61"/>
        <v>0</v>
      </c>
      <c r="R270" s="55">
        <f t="shared" si="58"/>
        <v>0</v>
      </c>
    </row>
    <row r="271" spans="1:20" ht="15.75" customHeight="1" x14ac:dyDescent="0.3">
      <c r="A271" s="72" t="s">
        <v>1287</v>
      </c>
      <c r="B271" s="1"/>
      <c r="C271" s="1"/>
      <c r="D271" s="1">
        <v>636</v>
      </c>
      <c r="E271" s="55">
        <f t="shared" si="63"/>
        <v>636</v>
      </c>
      <c r="F271" s="1"/>
      <c r="G271" s="1"/>
      <c r="H271" s="1"/>
      <c r="I271" s="55">
        <f>SUM(F271:H271)</f>
        <v>0</v>
      </c>
      <c r="J271" s="1"/>
      <c r="K271" s="1"/>
      <c r="L271" s="1"/>
      <c r="M271" s="55">
        <f t="shared" si="60"/>
        <v>0</v>
      </c>
      <c r="N271" s="1"/>
      <c r="O271" s="1"/>
      <c r="P271" s="1"/>
      <c r="Q271" s="55">
        <f t="shared" si="61"/>
        <v>0</v>
      </c>
      <c r="R271" s="55">
        <f t="shared" si="58"/>
        <v>636</v>
      </c>
      <c r="S271" s="4" t="s">
        <v>821</v>
      </c>
    </row>
    <row r="272" spans="1:20" ht="15.75" customHeight="1" x14ac:dyDescent="0.3">
      <c r="A272" s="72" t="s">
        <v>1288</v>
      </c>
      <c r="B272" s="1"/>
      <c r="C272" s="1"/>
      <c r="D272" s="1">
        <v>605</v>
      </c>
      <c r="E272" s="55">
        <f t="shared" si="63"/>
        <v>605</v>
      </c>
      <c r="F272" s="1"/>
      <c r="G272" s="1"/>
      <c r="H272" s="1"/>
      <c r="I272" s="55">
        <f>SUM(F272:H272)</f>
        <v>0</v>
      </c>
      <c r="J272" s="1"/>
      <c r="K272" s="1"/>
      <c r="L272" s="1"/>
      <c r="M272" s="55">
        <f t="shared" si="60"/>
        <v>0</v>
      </c>
      <c r="N272" s="1"/>
      <c r="O272" s="1"/>
      <c r="P272" s="1"/>
      <c r="Q272" s="55">
        <f t="shared" ref="Q272" si="78">SUM(N272:P272)</f>
        <v>0</v>
      </c>
      <c r="R272" s="55">
        <f t="shared" si="58"/>
        <v>605</v>
      </c>
    </row>
    <row r="273" spans="1:20" ht="15.75" customHeight="1" x14ac:dyDescent="0.3">
      <c r="A273" s="72" t="s">
        <v>1289</v>
      </c>
      <c r="B273" s="1">
        <v>95</v>
      </c>
      <c r="C273" s="1"/>
      <c r="D273" s="1"/>
      <c r="E273" s="55">
        <f t="shared" si="63"/>
        <v>95</v>
      </c>
      <c r="F273" s="1"/>
      <c r="G273" s="1"/>
      <c r="H273" s="1"/>
      <c r="I273" s="55">
        <f t="shared" si="59"/>
        <v>0</v>
      </c>
      <c r="J273" s="1"/>
      <c r="K273" s="1"/>
      <c r="L273" s="1"/>
      <c r="M273" s="55">
        <f t="shared" si="60"/>
        <v>0</v>
      </c>
      <c r="N273" s="1"/>
      <c r="O273" s="1"/>
      <c r="P273" s="1"/>
      <c r="Q273" s="55">
        <f t="shared" si="61"/>
        <v>0</v>
      </c>
      <c r="R273" s="55">
        <f t="shared" si="58"/>
        <v>95</v>
      </c>
    </row>
    <row r="274" spans="1:20" ht="15.75" customHeight="1" x14ac:dyDescent="0.3">
      <c r="A274" s="72" t="s">
        <v>1290</v>
      </c>
      <c r="B274" s="1">
        <v>95</v>
      </c>
      <c r="C274" s="1"/>
      <c r="D274" s="1"/>
      <c r="E274" s="55">
        <f t="shared" si="63"/>
        <v>95</v>
      </c>
      <c r="F274" s="1"/>
      <c r="G274" s="1"/>
      <c r="H274" s="1"/>
      <c r="I274" s="55">
        <f t="shared" si="59"/>
        <v>0</v>
      </c>
      <c r="J274" s="1"/>
      <c r="K274" s="1"/>
      <c r="L274" s="1"/>
      <c r="M274" s="55">
        <f t="shared" si="60"/>
        <v>0</v>
      </c>
      <c r="N274" s="1"/>
      <c r="O274" s="1"/>
      <c r="P274" s="1"/>
      <c r="Q274" s="55">
        <f t="shared" si="61"/>
        <v>0</v>
      </c>
      <c r="R274" s="55">
        <f t="shared" si="58"/>
        <v>95</v>
      </c>
      <c r="S274" s="4" t="s">
        <v>821</v>
      </c>
      <c r="T274" s="4" t="s">
        <v>822</v>
      </c>
    </row>
    <row r="275" spans="1:20" ht="15.75" customHeight="1" x14ac:dyDescent="0.3">
      <c r="A275" s="72" t="s">
        <v>889</v>
      </c>
      <c r="B275" s="1">
        <v>678</v>
      </c>
      <c r="C275" s="1">
        <v>1915</v>
      </c>
      <c r="D275" s="1">
        <v>1450</v>
      </c>
      <c r="E275" s="55">
        <f>SUM(B275:D275)</f>
        <v>4043</v>
      </c>
      <c r="F275" s="1">
        <v>1387</v>
      </c>
      <c r="G275" s="1">
        <v>996</v>
      </c>
      <c r="H275" s="1">
        <v>400</v>
      </c>
      <c r="I275" s="55">
        <f>SUM(F275:H275)</f>
        <v>2783</v>
      </c>
      <c r="J275" s="1">
        <v>1600</v>
      </c>
      <c r="K275" s="1">
        <v>1000</v>
      </c>
      <c r="L275" s="1">
        <v>1100</v>
      </c>
      <c r="M275" s="55">
        <f>SUM(J275:L275)</f>
        <v>3700</v>
      </c>
      <c r="N275" s="1">
        <v>1200</v>
      </c>
      <c r="O275" s="1">
        <v>1100</v>
      </c>
      <c r="P275" s="1">
        <v>1174</v>
      </c>
      <c r="Q275" s="55">
        <f>SUM(N275:P275)</f>
        <v>3474</v>
      </c>
      <c r="R275" s="55">
        <f>+E275+I275+M275+Q275</f>
        <v>14000</v>
      </c>
      <c r="S275" s="4" t="s">
        <v>821</v>
      </c>
      <c r="T275" s="4" t="s">
        <v>822</v>
      </c>
    </row>
    <row r="276" spans="1:20" ht="15.75" customHeight="1" x14ac:dyDescent="0.3">
      <c r="A276" s="72" t="s">
        <v>1291</v>
      </c>
      <c r="B276" s="1"/>
      <c r="C276" s="1"/>
      <c r="D276" s="1"/>
      <c r="E276" s="55">
        <f>SUM(B276:D276)</f>
        <v>0</v>
      </c>
      <c r="F276" s="1"/>
      <c r="G276" s="1"/>
      <c r="H276" s="1"/>
      <c r="I276" s="55">
        <f>SUM(F276:H276)</f>
        <v>0</v>
      </c>
      <c r="J276" s="1"/>
      <c r="K276" s="1"/>
      <c r="L276" s="1"/>
      <c r="M276" s="55">
        <f>SUM(J276:L276)</f>
        <v>0</v>
      </c>
      <c r="N276" s="1"/>
      <c r="O276" s="1"/>
      <c r="P276" s="1"/>
      <c r="Q276" s="55">
        <f t="shared" ref="Q276" si="79">SUM(N276:P276)</f>
        <v>0</v>
      </c>
      <c r="R276" s="55">
        <f>+E276+I276+M276+Q276</f>
        <v>0</v>
      </c>
      <c r="T276" s="4" t="s">
        <v>822</v>
      </c>
    </row>
    <row r="277" spans="1:20" ht="15.75" customHeight="1" x14ac:dyDescent="0.3">
      <c r="A277" s="72" t="s">
        <v>1292</v>
      </c>
      <c r="B277" s="1"/>
      <c r="C277" s="1"/>
      <c r="D277" s="1"/>
      <c r="E277" s="55">
        <f t="shared" ref="E277" si="80">SUM(B277:D277)</f>
        <v>0</v>
      </c>
      <c r="F277" s="1"/>
      <c r="G277" s="1"/>
      <c r="H277" s="1"/>
      <c r="I277" s="55">
        <f t="shared" ref="I277" si="81">SUM(F277:H277)</f>
        <v>0</v>
      </c>
      <c r="J277" s="1"/>
      <c r="K277" s="1"/>
      <c r="L277" s="1"/>
      <c r="M277" s="55">
        <f t="shared" ref="M277" si="82">SUM(J277:L277)</f>
        <v>0</v>
      </c>
      <c r="N277" s="1"/>
      <c r="O277" s="1"/>
      <c r="P277" s="1"/>
      <c r="Q277" s="55">
        <f t="shared" ref="Q277" si="83">SUM(N277:P277)</f>
        <v>0</v>
      </c>
      <c r="R277" s="55">
        <f>+E277+I277+M277+Q277</f>
        <v>0</v>
      </c>
      <c r="T277" s="4" t="s">
        <v>822</v>
      </c>
    </row>
    <row r="278" spans="1:20" ht="15.75" customHeight="1" x14ac:dyDescent="0.3">
      <c r="A278" s="72" t="s">
        <v>896</v>
      </c>
      <c r="B278" s="1"/>
      <c r="C278" s="1"/>
      <c r="D278" s="1"/>
      <c r="E278" s="55">
        <f t="shared" ref="E278" si="84">SUM(B278:D278)</f>
        <v>0</v>
      </c>
      <c r="F278" s="1"/>
      <c r="G278" s="1"/>
      <c r="H278" s="1">
        <v>200</v>
      </c>
      <c r="I278" s="55">
        <f t="shared" ref="I278" si="85">SUM(F278:H278)</f>
        <v>200</v>
      </c>
      <c r="J278" s="1">
        <v>951</v>
      </c>
      <c r="K278" s="1">
        <v>737</v>
      </c>
      <c r="L278" s="1">
        <v>761</v>
      </c>
      <c r="M278" s="55">
        <f t="shared" ref="M278" si="86">SUM(J278:L278)</f>
        <v>2449</v>
      </c>
      <c r="N278" s="1">
        <v>761</v>
      </c>
      <c r="O278" s="1">
        <v>322</v>
      </c>
      <c r="P278" s="1"/>
      <c r="Q278" s="55">
        <f t="shared" si="61"/>
        <v>1083</v>
      </c>
      <c r="R278" s="55">
        <f t="shared" si="58"/>
        <v>3732</v>
      </c>
      <c r="S278" s="4" t="s">
        <v>821</v>
      </c>
    </row>
    <row r="279" spans="1:20" ht="15.75" customHeight="1" x14ac:dyDescent="0.3">
      <c r="A279" s="72" t="s">
        <v>709</v>
      </c>
      <c r="B279" s="1"/>
      <c r="C279" s="1"/>
      <c r="D279" s="1"/>
      <c r="E279" s="55">
        <f>SUM(B279:D279)</f>
        <v>0</v>
      </c>
      <c r="F279" s="1"/>
      <c r="G279" s="1">
        <v>225</v>
      </c>
      <c r="H279" s="1"/>
      <c r="I279" s="55">
        <f>SUM(F279:H279)</f>
        <v>225</v>
      </c>
      <c r="J279" s="1"/>
      <c r="K279" s="1"/>
      <c r="L279" s="1"/>
      <c r="M279" s="55">
        <f>SUM(J279:L279)</f>
        <v>0</v>
      </c>
      <c r="N279" s="1"/>
      <c r="O279" s="1"/>
      <c r="P279" s="1"/>
      <c r="Q279" s="55">
        <f>SUM(N279:P279)</f>
        <v>0</v>
      </c>
      <c r="R279" s="55">
        <f>+E279+I279+M279+Q279</f>
        <v>225</v>
      </c>
      <c r="S279" s="4" t="s">
        <v>821</v>
      </c>
    </row>
    <row r="280" spans="1:20" ht="15.75" customHeight="1" x14ac:dyDescent="0.3">
      <c r="A280" s="72" t="s">
        <v>897</v>
      </c>
      <c r="B280" s="1"/>
      <c r="C280" s="1"/>
      <c r="D280" s="1"/>
      <c r="E280" s="55">
        <f>SUM(B280:D280)</f>
        <v>0</v>
      </c>
      <c r="F280" s="1"/>
      <c r="G280" s="1"/>
      <c r="H280" s="1"/>
      <c r="I280" s="55">
        <f>SUM(F280:H280)</f>
        <v>0</v>
      </c>
      <c r="J280" s="1"/>
      <c r="K280" s="1"/>
      <c r="L280" s="1"/>
      <c r="M280" s="55">
        <f>SUM(J280:L280)</f>
        <v>0</v>
      </c>
      <c r="N280" s="1"/>
      <c r="O280" s="1"/>
      <c r="P280" s="1"/>
      <c r="Q280" s="55">
        <f>SUM(N280:P280)</f>
        <v>0</v>
      </c>
      <c r="R280" s="55">
        <f>+E280+I280+M280+Q280</f>
        <v>0</v>
      </c>
    </row>
    <row r="281" spans="1:20" ht="15.75" customHeight="1" x14ac:dyDescent="0.3">
      <c r="A281" s="72" t="s">
        <v>1205</v>
      </c>
      <c r="B281" s="1"/>
      <c r="C281" s="1"/>
      <c r="D281" s="1"/>
      <c r="E281" s="55">
        <f t="shared" ref="E281" si="87">SUM(B281:D281)</f>
        <v>0</v>
      </c>
      <c r="F281" s="1"/>
      <c r="G281" s="1"/>
      <c r="H281" s="1"/>
      <c r="I281" s="55">
        <f t="shared" ref="I281" si="88">SUM(F281:H281)</f>
        <v>0</v>
      </c>
      <c r="J281" s="1"/>
      <c r="K281" s="1"/>
      <c r="L281" s="1"/>
      <c r="M281" s="55">
        <f t="shared" ref="M281" si="89">SUM(J281:L281)</f>
        <v>0</v>
      </c>
      <c r="N281" s="1"/>
      <c r="O281" s="1"/>
      <c r="P281" s="1"/>
      <c r="Q281" s="55">
        <f t="shared" ref="Q281" si="90">SUM(N281:P281)</f>
        <v>0</v>
      </c>
      <c r="R281" s="55">
        <f t="shared" ref="R281" si="91">+E281+I281+M281+Q281</f>
        <v>0</v>
      </c>
    </row>
    <row r="282" spans="1:20" ht="15.75" customHeight="1" x14ac:dyDescent="0.3">
      <c r="A282" s="72" t="s">
        <v>175</v>
      </c>
      <c r="B282" s="1">
        <v>500</v>
      </c>
      <c r="C282" s="1"/>
      <c r="D282" s="1"/>
      <c r="E282" s="55">
        <f t="shared" ref="E282" si="92">SUM(B282:D282)</f>
        <v>500</v>
      </c>
      <c r="F282" s="1"/>
      <c r="G282" s="1"/>
      <c r="H282" s="1"/>
      <c r="I282" s="55">
        <f t="shared" si="59"/>
        <v>0</v>
      </c>
      <c r="J282" s="1"/>
      <c r="K282" s="1"/>
      <c r="L282" s="1"/>
      <c r="M282" s="55">
        <f t="shared" si="60"/>
        <v>0</v>
      </c>
      <c r="N282" s="1"/>
      <c r="O282" s="1"/>
      <c r="P282" s="1"/>
      <c r="Q282" s="55">
        <f t="shared" si="61"/>
        <v>0</v>
      </c>
      <c r="R282" s="55">
        <f t="shared" si="58"/>
        <v>500</v>
      </c>
    </row>
    <row r="283" spans="1:20" ht="15.75" customHeight="1" thickBot="1" x14ac:dyDescent="0.35">
      <c r="A283" s="72" t="s">
        <v>898</v>
      </c>
      <c r="B283" s="1"/>
      <c r="C283" s="1"/>
      <c r="D283" s="1"/>
      <c r="E283" s="55">
        <f>SUM(B283:D283)</f>
        <v>0</v>
      </c>
      <c r="F283" s="1"/>
      <c r="G283" s="1"/>
      <c r="H283" s="1"/>
      <c r="I283" s="55">
        <f>SUM(F283:H283)</f>
        <v>0</v>
      </c>
      <c r="J283" s="1"/>
      <c r="K283" s="1"/>
      <c r="L283" s="1"/>
      <c r="M283" s="55">
        <f>SUM(J283:L283)</f>
        <v>0</v>
      </c>
      <c r="N283" s="1"/>
      <c r="O283" s="1"/>
      <c r="P283" s="1"/>
      <c r="Q283" s="55">
        <f>SUM(N283:P283)</f>
        <v>0</v>
      </c>
      <c r="R283" s="55">
        <f t="shared" si="58"/>
        <v>0</v>
      </c>
      <c r="S283" s="465" t="s">
        <v>821</v>
      </c>
    </row>
    <row r="284" spans="1:20" ht="16.5" customHeight="1" thickBot="1" x14ac:dyDescent="0.35">
      <c r="A284" s="57" t="s">
        <v>63</v>
      </c>
      <c r="B284" s="86">
        <f>SUM(B217:B283)</f>
        <v>6575</v>
      </c>
      <c r="C284" s="87">
        <f>SUM(C217:C283)</f>
        <v>8890</v>
      </c>
      <c r="D284" s="87">
        <f>SUM(D217:D283)</f>
        <v>10318</v>
      </c>
      <c r="E284" s="59">
        <f t="shared" ref="E284" si="93">SUM(B284:D284)</f>
        <v>25783</v>
      </c>
      <c r="F284" s="87">
        <f>SUM(F217:F283)</f>
        <v>22518</v>
      </c>
      <c r="G284" s="87">
        <f>SUM(G217:G283)</f>
        <v>12391</v>
      </c>
      <c r="H284" s="87">
        <f>SUM(H217:H283)</f>
        <v>10344</v>
      </c>
      <c r="I284" s="59">
        <f t="shared" ref="I284" si="94">SUM(F284:H284)</f>
        <v>45253</v>
      </c>
      <c r="J284" s="87">
        <f>SUM(J217:J283)</f>
        <v>13735</v>
      </c>
      <c r="K284" s="87">
        <f>SUM(K217:K283)</f>
        <v>12849</v>
      </c>
      <c r="L284" s="87">
        <f>SUM(L217:L283)</f>
        <v>11640</v>
      </c>
      <c r="M284" s="59">
        <f t="shared" ref="M284" si="95">SUM(J284:L284)</f>
        <v>38224</v>
      </c>
      <c r="N284" s="87">
        <f>SUM(N217:N283)</f>
        <v>11390</v>
      </c>
      <c r="O284" s="87">
        <f>SUM(O217:O283)</f>
        <v>9068</v>
      </c>
      <c r="P284" s="87">
        <f>SUM(P217:P283)</f>
        <v>3822</v>
      </c>
      <c r="Q284" s="59">
        <f t="shared" ref="Q284" si="96">SUM(N284:P284)</f>
        <v>24280</v>
      </c>
      <c r="R284" s="59">
        <f t="shared" si="58"/>
        <v>133540</v>
      </c>
    </row>
    <row r="285" spans="1:20" ht="15.75" customHeight="1" x14ac:dyDescent="0.3">
      <c r="A285" s="15" t="s">
        <v>64</v>
      </c>
      <c r="B285" s="1"/>
      <c r="C285" s="1"/>
      <c r="D285" s="1"/>
      <c r="E285" s="55" t="s">
        <v>7</v>
      </c>
      <c r="F285" s="1"/>
      <c r="G285" s="1"/>
      <c r="H285" s="1"/>
      <c r="I285" s="55" t="s">
        <v>7</v>
      </c>
      <c r="J285" s="1"/>
      <c r="K285" s="1"/>
      <c r="L285" s="1"/>
      <c r="M285" s="55" t="s">
        <v>7</v>
      </c>
      <c r="N285" s="1"/>
      <c r="O285" s="1"/>
      <c r="P285" s="1"/>
      <c r="Q285" s="55" t="s">
        <v>7</v>
      </c>
      <c r="R285" s="55" t="s">
        <v>7</v>
      </c>
    </row>
    <row r="286" spans="1:20" ht="15.75" customHeight="1" x14ac:dyDescent="0.3">
      <c r="A286" s="15" t="s">
        <v>594</v>
      </c>
      <c r="B286" s="1"/>
      <c r="C286" s="1"/>
      <c r="D286" s="1"/>
      <c r="E286" s="55" t="s">
        <v>7</v>
      </c>
      <c r="F286" s="1"/>
      <c r="G286" s="1"/>
      <c r="H286" s="1"/>
      <c r="I286" s="55" t="s">
        <v>7</v>
      </c>
      <c r="J286" s="1"/>
      <c r="K286" s="1"/>
      <c r="L286" s="1"/>
      <c r="M286" s="55" t="s">
        <v>7</v>
      </c>
      <c r="N286" s="1"/>
      <c r="O286" s="1"/>
      <c r="P286" s="1"/>
      <c r="Q286" s="55" t="s">
        <v>7</v>
      </c>
      <c r="R286" s="55" t="s">
        <v>7</v>
      </c>
    </row>
    <row r="287" spans="1:20" ht="15.75" customHeight="1" x14ac:dyDescent="0.3">
      <c r="A287" s="346" t="s">
        <v>899</v>
      </c>
      <c r="B287" s="1"/>
      <c r="C287" s="1"/>
      <c r="D287" s="1"/>
      <c r="E287" s="55">
        <f>SUM(B287:D287)</f>
        <v>0</v>
      </c>
      <c r="F287" s="1"/>
      <c r="G287" s="1"/>
      <c r="H287" s="1"/>
      <c r="I287" s="55">
        <f>SUM(F287:H287)</f>
        <v>0</v>
      </c>
      <c r="J287" s="1"/>
      <c r="K287" s="1"/>
      <c r="L287" s="1"/>
      <c r="M287" s="55">
        <f>SUM(J287:L287)</f>
        <v>0</v>
      </c>
      <c r="N287" s="1"/>
      <c r="O287" s="1"/>
      <c r="P287" s="1"/>
      <c r="Q287" s="55">
        <f>SUM(N287:P287)</f>
        <v>0</v>
      </c>
      <c r="R287" s="55">
        <f>+E287+I287+M287+Q287</f>
        <v>0</v>
      </c>
      <c r="T287" s="4" t="s">
        <v>822</v>
      </c>
    </row>
    <row r="288" spans="1:20" ht="15.75" customHeight="1" x14ac:dyDescent="0.3">
      <c r="A288" s="85" t="s">
        <v>1293</v>
      </c>
      <c r="B288" s="1"/>
      <c r="C288" s="1"/>
      <c r="D288" s="1"/>
      <c r="E288" s="55">
        <f>SUM(B288:D288)</f>
        <v>0</v>
      </c>
      <c r="F288" s="1"/>
      <c r="G288" s="1"/>
      <c r="H288" s="1"/>
      <c r="I288" s="55">
        <f>SUM(F288:H288)</f>
        <v>0</v>
      </c>
      <c r="J288" s="1"/>
      <c r="K288" s="1"/>
      <c r="L288" s="1"/>
      <c r="M288" s="55">
        <f>SUM(J288:L288)</f>
        <v>0</v>
      </c>
      <c r="N288" s="1"/>
      <c r="O288" s="1"/>
      <c r="P288" s="1"/>
      <c r="Q288" s="55">
        <f>SUM(N288:P288)</f>
        <v>0</v>
      </c>
      <c r="R288" s="55">
        <f>+E288+I288+M288+Q288</f>
        <v>0</v>
      </c>
      <c r="T288" s="4" t="s">
        <v>818</v>
      </c>
    </row>
    <row r="289" spans="1:20" ht="15.75" customHeight="1" x14ac:dyDescent="0.3">
      <c r="A289" s="85" t="s">
        <v>1294</v>
      </c>
      <c r="B289" s="1"/>
      <c r="C289" s="1"/>
      <c r="D289" s="1"/>
      <c r="E289" s="55">
        <f>SUM(B289:D289)</f>
        <v>0</v>
      </c>
      <c r="F289" s="1"/>
      <c r="G289" s="1"/>
      <c r="H289" s="1"/>
      <c r="I289" s="55">
        <f>SUM(F289:H289)</f>
        <v>0</v>
      </c>
      <c r="J289" s="1"/>
      <c r="K289" s="1"/>
      <c r="L289" s="1"/>
      <c r="M289" s="55">
        <f>SUM(J289:L289)</f>
        <v>0</v>
      </c>
      <c r="N289" s="1"/>
      <c r="O289" s="1"/>
      <c r="P289" s="1"/>
      <c r="Q289" s="55">
        <f>SUM(N289:P289)</f>
        <v>0</v>
      </c>
      <c r="R289" s="55">
        <f>+E289+I289+M289+Q289</f>
        <v>0</v>
      </c>
      <c r="T289" s="4" t="s">
        <v>819</v>
      </c>
    </row>
    <row r="290" spans="1:20" ht="15.75" customHeight="1" x14ac:dyDescent="0.3">
      <c r="A290" s="15" t="s">
        <v>67</v>
      </c>
      <c r="B290" s="1"/>
      <c r="C290" s="1"/>
      <c r="D290" s="1"/>
      <c r="E290" s="55" t="s">
        <v>7</v>
      </c>
      <c r="F290" s="1"/>
      <c r="G290" s="1"/>
      <c r="H290" s="1"/>
      <c r="I290" s="55" t="s">
        <v>7</v>
      </c>
      <c r="J290" s="1"/>
      <c r="K290" s="1"/>
      <c r="L290" s="1"/>
      <c r="M290" s="55" t="s">
        <v>7</v>
      </c>
      <c r="N290" s="1"/>
      <c r="O290" s="1"/>
      <c r="P290" s="1"/>
      <c r="Q290" s="55" t="s">
        <v>7</v>
      </c>
      <c r="R290" s="55" t="s">
        <v>7</v>
      </c>
    </row>
    <row r="291" spans="1:20" ht="15.75" customHeight="1" x14ac:dyDescent="0.3">
      <c r="A291" s="85" t="s">
        <v>900</v>
      </c>
      <c r="B291" s="1">
        <v>1335</v>
      </c>
      <c r="C291" s="1">
        <v>444</v>
      </c>
      <c r="D291" s="1"/>
      <c r="E291" s="55">
        <f>SUM(B291:D291)</f>
        <v>1779</v>
      </c>
      <c r="F291" s="1"/>
      <c r="G291" s="1"/>
      <c r="H291" s="1"/>
      <c r="I291" s="55">
        <f>SUM(F291:H291)</f>
        <v>0</v>
      </c>
      <c r="J291" s="1"/>
      <c r="K291" s="1"/>
      <c r="L291" s="1">
        <v>221</v>
      </c>
      <c r="M291" s="55">
        <f>SUM(J291:L291)</f>
        <v>221</v>
      </c>
      <c r="N291" s="1"/>
      <c r="O291" s="1"/>
      <c r="P291" s="1">
        <f>251+16</f>
        <v>267</v>
      </c>
      <c r="Q291" s="55">
        <f>SUM(N291:P291)</f>
        <v>267</v>
      </c>
      <c r="R291" s="55">
        <f>+E291+I291+M291+Q291</f>
        <v>2267</v>
      </c>
    </row>
    <row r="292" spans="1:20" ht="15.75" customHeight="1" x14ac:dyDescent="0.3">
      <c r="A292" s="85" t="s">
        <v>901</v>
      </c>
      <c r="B292" s="1"/>
      <c r="C292" s="1"/>
      <c r="D292" s="1"/>
      <c r="E292" s="55">
        <f>SUM(B292:D292)</f>
        <v>0</v>
      </c>
      <c r="F292" s="1"/>
      <c r="G292" s="1"/>
      <c r="H292" s="1"/>
      <c r="I292" s="55">
        <f>SUM(F292:H292)</f>
        <v>0</v>
      </c>
      <c r="J292" s="1"/>
      <c r="K292" s="1"/>
      <c r="L292" s="1">
        <v>652</v>
      </c>
      <c r="M292" s="55">
        <f>SUM(J292:L292)</f>
        <v>652</v>
      </c>
      <c r="N292" s="1">
        <v>924</v>
      </c>
      <c r="O292" s="1">
        <v>494</v>
      </c>
      <c r="P292" s="1">
        <v>300</v>
      </c>
      <c r="Q292" s="55">
        <f>SUM(N292:P292)</f>
        <v>1718</v>
      </c>
      <c r="R292" s="55">
        <f>+E292+I292+M292+Q292</f>
        <v>2370</v>
      </c>
      <c r="S292" s="4" t="s">
        <v>1264</v>
      </c>
      <c r="T292" s="4">
        <f>24000-SUM(R148,R152,R169,R172,R185,R205,R241,R242,R264,R288,R291,R292)</f>
        <v>302</v>
      </c>
    </row>
    <row r="293" spans="1:20" ht="15.75" customHeight="1" x14ac:dyDescent="0.3">
      <c r="A293" s="71" t="s">
        <v>902</v>
      </c>
      <c r="B293" s="1"/>
      <c r="C293" s="1"/>
      <c r="D293" s="1"/>
      <c r="E293" s="55">
        <f t="shared" ref="E293:E298" si="97">SUM(B293:D293)</f>
        <v>0</v>
      </c>
      <c r="F293" s="1"/>
      <c r="G293" s="1"/>
      <c r="H293" s="1"/>
      <c r="I293" s="55">
        <f t="shared" ref="I293:I298" si="98">SUM(F293:H293)</f>
        <v>0</v>
      </c>
      <c r="J293" s="1"/>
      <c r="K293" s="1"/>
      <c r="L293" s="1"/>
      <c r="M293" s="55">
        <f t="shared" ref="M293:M298" si="99">SUM(J293:L293)</f>
        <v>0</v>
      </c>
      <c r="N293" s="1"/>
      <c r="O293" s="1"/>
      <c r="P293" s="1"/>
      <c r="Q293" s="55">
        <f t="shared" ref="Q293:Q298" si="100">SUM(N293:P293)</f>
        <v>0</v>
      </c>
      <c r="R293" s="55">
        <f t="shared" ref="R293:R298" si="101">+E293+I293+M293+Q293</f>
        <v>0</v>
      </c>
      <c r="S293" s="4" t="s">
        <v>821</v>
      </c>
    </row>
    <row r="294" spans="1:20" ht="15.75" customHeight="1" x14ac:dyDescent="0.3">
      <c r="A294" s="71" t="s">
        <v>713</v>
      </c>
      <c r="B294" s="1"/>
      <c r="C294" s="1"/>
      <c r="D294" s="1"/>
      <c r="E294" s="55">
        <f t="shared" si="97"/>
        <v>0</v>
      </c>
      <c r="F294" s="1"/>
      <c r="G294" s="1"/>
      <c r="H294" s="1"/>
      <c r="I294" s="55">
        <f t="shared" si="98"/>
        <v>0</v>
      </c>
      <c r="J294" s="1"/>
      <c r="K294" s="1"/>
      <c r="L294" s="1"/>
      <c r="M294" s="55">
        <f t="shared" si="99"/>
        <v>0</v>
      </c>
      <c r="N294" s="1"/>
      <c r="O294" s="1"/>
      <c r="P294" s="1"/>
      <c r="Q294" s="55">
        <f t="shared" si="100"/>
        <v>0</v>
      </c>
      <c r="R294" s="55">
        <f t="shared" si="101"/>
        <v>0</v>
      </c>
      <c r="S294" s="4" t="s">
        <v>1264</v>
      </c>
    </row>
    <row r="295" spans="1:20" ht="15.75" customHeight="1" x14ac:dyDescent="0.3">
      <c r="A295" s="84" t="s">
        <v>903</v>
      </c>
      <c r="B295" s="1"/>
      <c r="C295" s="1">
        <v>1000</v>
      </c>
      <c r="D295" s="1"/>
      <c r="E295" s="55">
        <f t="shared" si="97"/>
        <v>1000</v>
      </c>
      <c r="F295" s="1">
        <v>1616</v>
      </c>
      <c r="G295" s="1">
        <v>1717</v>
      </c>
      <c r="H295" s="1"/>
      <c r="I295" s="55">
        <f t="shared" si="98"/>
        <v>3333</v>
      </c>
      <c r="J295" s="1"/>
      <c r="K295" s="1"/>
      <c r="L295" s="1">
        <v>980</v>
      </c>
      <c r="M295" s="55">
        <f t="shared" si="99"/>
        <v>980</v>
      </c>
      <c r="N295" s="1">
        <v>1698</v>
      </c>
      <c r="O295" s="1"/>
      <c r="P295" s="1"/>
      <c r="Q295" s="55">
        <f t="shared" si="100"/>
        <v>1698</v>
      </c>
      <c r="R295" s="55">
        <f t="shared" si="101"/>
        <v>7011</v>
      </c>
    </row>
    <row r="296" spans="1:20" ht="15.75" customHeight="1" x14ac:dyDescent="0.3">
      <c r="A296" s="84" t="s">
        <v>715</v>
      </c>
      <c r="B296" s="1"/>
      <c r="C296" s="1"/>
      <c r="D296" s="1"/>
      <c r="E296" s="55">
        <f t="shared" si="97"/>
        <v>0</v>
      </c>
      <c r="F296" s="1"/>
      <c r="G296" s="1"/>
      <c r="H296" s="1"/>
      <c r="I296" s="55">
        <f t="shared" si="98"/>
        <v>0</v>
      </c>
      <c r="J296" s="1"/>
      <c r="K296" s="1"/>
      <c r="L296" s="1"/>
      <c r="M296" s="55">
        <f t="shared" si="99"/>
        <v>0</v>
      </c>
      <c r="N296" s="1"/>
      <c r="O296" s="1"/>
      <c r="P296" s="1"/>
      <c r="Q296" s="55">
        <f t="shared" si="100"/>
        <v>0</v>
      </c>
      <c r="R296" s="55">
        <f t="shared" si="101"/>
        <v>0</v>
      </c>
      <c r="S296" s="4" t="s">
        <v>1264</v>
      </c>
    </row>
    <row r="297" spans="1:20" ht="15.75" customHeight="1" x14ac:dyDescent="0.3">
      <c r="A297" s="61" t="s">
        <v>716</v>
      </c>
      <c r="B297" s="1"/>
      <c r="C297" s="1"/>
      <c r="D297" s="1"/>
      <c r="E297" s="55">
        <f t="shared" si="97"/>
        <v>0</v>
      </c>
      <c r="F297" s="1"/>
      <c r="G297" s="1"/>
      <c r="H297" s="1"/>
      <c r="I297" s="55">
        <f t="shared" si="98"/>
        <v>0</v>
      </c>
      <c r="J297" s="1"/>
      <c r="K297" s="1"/>
      <c r="L297" s="1"/>
      <c r="M297" s="55">
        <f t="shared" si="99"/>
        <v>0</v>
      </c>
      <c r="N297" s="1"/>
      <c r="O297" s="1"/>
      <c r="P297" s="1"/>
      <c r="Q297" s="55">
        <f t="shared" si="100"/>
        <v>0</v>
      </c>
      <c r="R297" s="55">
        <f t="shared" si="101"/>
        <v>0</v>
      </c>
    </row>
    <row r="298" spans="1:20" ht="15.75" customHeight="1" x14ac:dyDescent="0.3">
      <c r="A298" s="61" t="s">
        <v>717</v>
      </c>
      <c r="B298" s="1"/>
      <c r="C298" s="1"/>
      <c r="D298" s="1"/>
      <c r="E298" s="55">
        <f t="shared" si="97"/>
        <v>0</v>
      </c>
      <c r="F298" s="1"/>
      <c r="G298" s="1"/>
      <c r="H298" s="1"/>
      <c r="I298" s="55">
        <f t="shared" si="98"/>
        <v>0</v>
      </c>
      <c r="J298" s="1"/>
      <c r="K298" s="1"/>
      <c r="L298" s="1"/>
      <c r="M298" s="55">
        <f t="shared" si="99"/>
        <v>0</v>
      </c>
      <c r="N298" s="1"/>
      <c r="O298" s="1"/>
      <c r="P298" s="1"/>
      <c r="Q298" s="55">
        <f t="shared" si="100"/>
        <v>0</v>
      </c>
      <c r="R298" s="55">
        <f t="shared" si="101"/>
        <v>0</v>
      </c>
    </row>
    <row r="299" spans="1:20" ht="15.75" customHeight="1" x14ac:dyDescent="0.3">
      <c r="A299" s="15" t="s">
        <v>600</v>
      </c>
      <c r="B299" s="1"/>
      <c r="C299" s="1"/>
      <c r="D299" s="1"/>
      <c r="E299" s="55" t="s">
        <v>7</v>
      </c>
      <c r="F299" s="1"/>
      <c r="G299" s="1"/>
      <c r="H299" s="1"/>
      <c r="I299" s="55" t="s">
        <v>7</v>
      </c>
      <c r="J299" s="1"/>
      <c r="K299" s="1"/>
      <c r="L299" s="1"/>
      <c r="M299" s="55" t="s">
        <v>7</v>
      </c>
      <c r="N299" s="1"/>
      <c r="O299" s="1"/>
      <c r="P299" s="1"/>
      <c r="Q299" s="55" t="s">
        <v>7</v>
      </c>
      <c r="R299" s="55" t="s">
        <v>7</v>
      </c>
    </row>
    <row r="300" spans="1:20" ht="15.75" customHeight="1" x14ac:dyDescent="0.3">
      <c r="A300" s="85" t="s">
        <v>1295</v>
      </c>
      <c r="B300" s="1"/>
      <c r="C300" s="1"/>
      <c r="D300" s="1"/>
      <c r="E300" s="55">
        <f t="shared" ref="E300" si="102">SUM(B300:D300)</f>
        <v>0</v>
      </c>
      <c r="F300" s="1"/>
      <c r="G300" s="1"/>
      <c r="H300" s="1"/>
      <c r="I300" s="55">
        <f t="shared" ref="I300" si="103">SUM(F300:H300)</f>
        <v>0</v>
      </c>
      <c r="J300" s="1"/>
      <c r="K300" s="1"/>
      <c r="L300" s="1"/>
      <c r="M300" s="55">
        <f t="shared" ref="M300" si="104">SUM(J300:L300)</f>
        <v>0</v>
      </c>
      <c r="N300" s="1"/>
      <c r="O300" s="1"/>
      <c r="P300" s="1"/>
      <c r="Q300" s="55">
        <f t="shared" ref="Q300" si="105">SUM(N300:P300)</f>
        <v>0</v>
      </c>
      <c r="R300" s="55">
        <f t="shared" ref="R300" si="106">+E300+I300+M300+Q300</f>
        <v>0</v>
      </c>
    </row>
    <row r="301" spans="1:20" ht="15.75" customHeight="1" x14ac:dyDescent="0.3">
      <c r="A301" s="15" t="s">
        <v>70</v>
      </c>
      <c r="B301" s="1"/>
      <c r="C301" s="1"/>
      <c r="D301" s="1"/>
      <c r="E301" s="55" t="s">
        <v>7</v>
      </c>
      <c r="F301" s="1"/>
      <c r="G301" s="1"/>
      <c r="H301" s="1"/>
      <c r="I301" s="55" t="s">
        <v>7</v>
      </c>
      <c r="J301" s="1"/>
      <c r="K301" s="1"/>
      <c r="L301" s="1"/>
      <c r="M301" s="55" t="s">
        <v>7</v>
      </c>
      <c r="N301" s="1"/>
      <c r="O301" s="1"/>
      <c r="P301" s="1"/>
      <c r="Q301" s="55" t="s">
        <v>7</v>
      </c>
      <c r="R301" s="55" t="s">
        <v>7</v>
      </c>
    </row>
    <row r="302" spans="1:20" ht="15.75" customHeight="1" thickBot="1" x14ac:dyDescent="0.35">
      <c r="A302" s="71" t="s">
        <v>904</v>
      </c>
      <c r="B302" s="1"/>
      <c r="C302" s="1"/>
      <c r="D302" s="1"/>
      <c r="E302" s="55">
        <f t="shared" ref="E302" si="107">SUM(B302:D302)</f>
        <v>0</v>
      </c>
      <c r="F302" s="1"/>
      <c r="G302" s="1"/>
      <c r="H302" s="1"/>
      <c r="I302" s="55">
        <f t="shared" ref="I302:I311" si="108">SUM(F302:H302)</f>
        <v>0</v>
      </c>
      <c r="J302" s="1"/>
      <c r="K302" s="1"/>
      <c r="L302" s="1"/>
      <c r="M302" s="55">
        <f t="shared" ref="M302:M311" si="109">SUM(J302:L302)</f>
        <v>0</v>
      </c>
      <c r="N302" s="1"/>
      <c r="O302" s="1"/>
      <c r="P302" s="1"/>
      <c r="Q302" s="55">
        <f t="shared" ref="Q302:Q311" si="110">SUM(N302:P302)</f>
        <v>0</v>
      </c>
      <c r="R302" s="55">
        <f t="shared" ref="R302:R311" si="111">+E302+I302+M302+Q302</f>
        <v>0</v>
      </c>
      <c r="S302" s="4" t="s">
        <v>821</v>
      </c>
    </row>
    <row r="303" spans="1:20" ht="16.5" customHeight="1" thickBot="1" x14ac:dyDescent="0.35">
      <c r="A303" s="57" t="s">
        <v>71</v>
      </c>
      <c r="B303" s="58">
        <f>SUM(B299:B302)</f>
        <v>0</v>
      </c>
      <c r="C303" s="58">
        <f>SUM(C299:C302)</f>
        <v>0</v>
      </c>
      <c r="D303" s="58">
        <f>SUM(D299:D302)</f>
        <v>0</v>
      </c>
      <c r="E303" s="60">
        <f t="shared" ref="E303:E308" si="112">SUM(B303:D303)</f>
        <v>0</v>
      </c>
      <c r="F303" s="58">
        <f>SUM(F299:F302)</f>
        <v>0</v>
      </c>
      <c r="G303" s="58">
        <f>SUM(G299:G302)</f>
        <v>0</v>
      </c>
      <c r="H303" s="58">
        <f>SUM(H299:H302)</f>
        <v>0</v>
      </c>
      <c r="I303" s="60">
        <f t="shared" si="108"/>
        <v>0</v>
      </c>
      <c r="J303" s="58">
        <f>SUM(J299:J302)</f>
        <v>0</v>
      </c>
      <c r="K303" s="58">
        <f>SUM(K299:K302)</f>
        <v>0</v>
      </c>
      <c r="L303" s="58">
        <f>SUM(L299:L302)</f>
        <v>0</v>
      </c>
      <c r="M303" s="60">
        <f t="shared" si="109"/>
        <v>0</v>
      </c>
      <c r="N303" s="58">
        <f>SUM(N299:N302)</f>
        <v>0</v>
      </c>
      <c r="O303" s="58">
        <f>SUM(O299:O302)</f>
        <v>0</v>
      </c>
      <c r="P303" s="58">
        <f>SUM(P299:P302)</f>
        <v>0</v>
      </c>
      <c r="Q303" s="60">
        <f t="shared" si="110"/>
        <v>0</v>
      </c>
      <c r="R303" s="59">
        <f t="shared" si="111"/>
        <v>0</v>
      </c>
    </row>
    <row r="304" spans="1:20" ht="16.5" customHeight="1" thickBot="1" x14ac:dyDescent="0.35">
      <c r="A304" s="57" t="s">
        <v>72</v>
      </c>
      <c r="B304" s="86">
        <f>SUM(B285:B302)</f>
        <v>1335</v>
      </c>
      <c r="C304" s="87">
        <f>SUM(C285:C302)</f>
        <v>1444</v>
      </c>
      <c r="D304" s="87">
        <f>SUM(D285:D302)</f>
        <v>0</v>
      </c>
      <c r="E304" s="59">
        <f t="shared" si="112"/>
        <v>2779</v>
      </c>
      <c r="F304" s="87">
        <f>SUM(F285:F302)</f>
        <v>1616</v>
      </c>
      <c r="G304" s="87">
        <f>SUM(G285:G302)</f>
        <v>1717</v>
      </c>
      <c r="H304" s="87">
        <f>SUM(H285:H302)</f>
        <v>0</v>
      </c>
      <c r="I304" s="59">
        <f t="shared" si="108"/>
        <v>3333</v>
      </c>
      <c r="J304" s="87">
        <f>SUM(J285:J302)</f>
        <v>0</v>
      </c>
      <c r="K304" s="87">
        <f>SUM(K285:K302)</f>
        <v>0</v>
      </c>
      <c r="L304" s="87">
        <f>SUM(L285:L302)</f>
        <v>1853</v>
      </c>
      <c r="M304" s="59">
        <f t="shared" si="109"/>
        <v>1853</v>
      </c>
      <c r="N304" s="87">
        <f>SUM(N285:N302)</f>
        <v>2622</v>
      </c>
      <c r="O304" s="87">
        <f>SUM(O285:O302)</f>
        <v>494</v>
      </c>
      <c r="P304" s="87">
        <f>SUM(P285:P302)</f>
        <v>567</v>
      </c>
      <c r="Q304" s="59">
        <f t="shared" si="110"/>
        <v>3683</v>
      </c>
      <c r="R304" s="59">
        <f t="shared" si="111"/>
        <v>11648</v>
      </c>
    </row>
    <row r="305" spans="1:20" ht="16.5" customHeight="1" thickBot="1" x14ac:dyDescent="0.35">
      <c r="A305" s="57" t="s">
        <v>73</v>
      </c>
      <c r="B305" s="90">
        <f>+B209+B216+B284+B304</f>
        <v>23569</v>
      </c>
      <c r="C305" s="58">
        <f>+C209+C216+C284+C304</f>
        <v>25208</v>
      </c>
      <c r="D305" s="58">
        <f>+D209+D216+D284+D304</f>
        <v>24021</v>
      </c>
      <c r="E305" s="81">
        <f t="shared" si="112"/>
        <v>72798</v>
      </c>
      <c r="F305" s="58">
        <f>+F209+F216+F284+F304</f>
        <v>37918</v>
      </c>
      <c r="G305" s="58">
        <f>+G209+G216+G284+G304</f>
        <v>37232</v>
      </c>
      <c r="H305" s="58">
        <f>+H209+H216+H284+H304</f>
        <v>46271</v>
      </c>
      <c r="I305" s="81">
        <f t="shared" si="108"/>
        <v>121421</v>
      </c>
      <c r="J305" s="58">
        <f>+J209+J216+J284+J304</f>
        <v>47665</v>
      </c>
      <c r="K305" s="58">
        <f>+K209+K216+K284+K304</f>
        <v>44597</v>
      </c>
      <c r="L305" s="58">
        <f>+L209+L216+L284+L304</f>
        <v>43230</v>
      </c>
      <c r="M305" s="81">
        <f t="shared" si="109"/>
        <v>135492</v>
      </c>
      <c r="N305" s="58">
        <f>+N209+N216+N284+N304</f>
        <v>35664</v>
      </c>
      <c r="O305" s="58">
        <f>+O209+O216+O284+O304</f>
        <v>32495</v>
      </c>
      <c r="P305" s="58">
        <f>+P209+P216+P284+P304</f>
        <v>29556</v>
      </c>
      <c r="Q305" s="81">
        <f t="shared" si="110"/>
        <v>97715</v>
      </c>
      <c r="R305" s="81">
        <f t="shared" si="111"/>
        <v>427426</v>
      </c>
    </row>
    <row r="306" spans="1:20" ht="15.75" customHeight="1" x14ac:dyDescent="0.3">
      <c r="A306" s="88" t="s">
        <v>905</v>
      </c>
      <c r="B306" s="1"/>
      <c r="C306" s="1">
        <v>1245</v>
      </c>
      <c r="D306" s="1">
        <v>1376</v>
      </c>
      <c r="E306" s="55">
        <f t="shared" si="112"/>
        <v>2621</v>
      </c>
      <c r="F306" s="1">
        <v>2992</v>
      </c>
      <c r="G306" s="1">
        <v>4839</v>
      </c>
      <c r="H306" s="1">
        <v>3560</v>
      </c>
      <c r="I306" s="55">
        <f t="shared" si="108"/>
        <v>11391</v>
      </c>
      <c r="J306" s="1">
        <v>3753</v>
      </c>
      <c r="K306" s="1">
        <v>2162</v>
      </c>
      <c r="L306" s="1">
        <v>3758</v>
      </c>
      <c r="M306" s="55">
        <f t="shared" si="109"/>
        <v>9673</v>
      </c>
      <c r="N306" s="1">
        <v>742</v>
      </c>
      <c r="O306" s="1">
        <v>4368</v>
      </c>
      <c r="P306" s="1">
        <v>1362</v>
      </c>
      <c r="Q306" s="55">
        <f t="shared" si="110"/>
        <v>6472</v>
      </c>
      <c r="R306" s="55">
        <f t="shared" si="111"/>
        <v>30157</v>
      </c>
      <c r="T306" s="4" t="s">
        <v>812</v>
      </c>
    </row>
    <row r="307" spans="1:20" ht="15.75" customHeight="1" x14ac:dyDescent="0.3">
      <c r="A307" s="91" t="s">
        <v>193</v>
      </c>
      <c r="B307" s="1"/>
      <c r="C307" s="1"/>
      <c r="D307" s="1"/>
      <c r="E307" s="55">
        <f t="shared" si="112"/>
        <v>0</v>
      </c>
      <c r="F307" s="1"/>
      <c r="G307" s="1"/>
      <c r="H307" s="1">
        <v>-2984</v>
      </c>
      <c r="I307" s="55">
        <f t="shared" si="108"/>
        <v>-2984</v>
      </c>
      <c r="J307" s="1">
        <v>-8893</v>
      </c>
      <c r="K307" s="1">
        <v>6441</v>
      </c>
      <c r="L307" s="1">
        <v>4836</v>
      </c>
      <c r="M307" s="55">
        <f t="shared" si="109"/>
        <v>2384</v>
      </c>
      <c r="N307" s="1">
        <v>2905</v>
      </c>
      <c r="O307" s="1">
        <v>10265</v>
      </c>
      <c r="P307" s="1">
        <v>6</v>
      </c>
      <c r="Q307" s="55">
        <f t="shared" si="110"/>
        <v>13176</v>
      </c>
      <c r="R307" s="55">
        <f t="shared" si="111"/>
        <v>12576</v>
      </c>
    </row>
    <row r="308" spans="1:20" ht="15.75" customHeight="1" x14ac:dyDescent="0.3">
      <c r="A308" s="71" t="s">
        <v>718</v>
      </c>
      <c r="B308" s="1"/>
      <c r="C308" s="1"/>
      <c r="D308" s="1"/>
      <c r="E308" s="55">
        <f t="shared" si="112"/>
        <v>0</v>
      </c>
      <c r="F308" s="1"/>
      <c r="G308" s="1"/>
      <c r="H308" s="1"/>
      <c r="I308" s="55">
        <f t="shared" si="108"/>
        <v>0</v>
      </c>
      <c r="J308" s="1"/>
      <c r="K308" s="1"/>
      <c r="L308" s="1"/>
      <c r="M308" s="55">
        <f t="shared" si="109"/>
        <v>0</v>
      </c>
      <c r="N308" s="1"/>
      <c r="O308" s="1"/>
      <c r="P308" s="1"/>
      <c r="Q308" s="55">
        <f t="shared" si="110"/>
        <v>0</v>
      </c>
      <c r="R308" s="55">
        <f t="shared" si="111"/>
        <v>0</v>
      </c>
    </row>
    <row r="309" spans="1:20" ht="15.75" customHeight="1" x14ac:dyDescent="0.3">
      <c r="A309" s="91" t="s">
        <v>195</v>
      </c>
      <c r="B309" s="1">
        <v>36</v>
      </c>
      <c r="C309" s="1">
        <v>25</v>
      </c>
      <c r="D309" s="1">
        <v>24</v>
      </c>
      <c r="E309" s="55">
        <f>SUM(B309:D309)</f>
        <v>85</v>
      </c>
      <c r="F309" s="1">
        <v>69</v>
      </c>
      <c r="G309" s="1">
        <v>187</v>
      </c>
      <c r="H309" s="1">
        <v>137</v>
      </c>
      <c r="I309" s="55">
        <f>SUM(F309:H309)</f>
        <v>393</v>
      </c>
      <c r="J309" s="1">
        <v>67</v>
      </c>
      <c r="K309" s="1">
        <v>48</v>
      </c>
      <c r="L309" s="1">
        <v>86</v>
      </c>
      <c r="M309" s="55">
        <f>SUM(J309:L309)</f>
        <v>201</v>
      </c>
      <c r="N309" s="1">
        <v>28</v>
      </c>
      <c r="O309" s="1">
        <v>65</v>
      </c>
      <c r="P309" s="1">
        <v>34</v>
      </c>
      <c r="Q309" s="55">
        <f>SUM(N309:P309)</f>
        <v>127</v>
      </c>
      <c r="R309" s="55">
        <f t="shared" si="111"/>
        <v>806</v>
      </c>
    </row>
    <row r="310" spans="1:20" ht="15.75" customHeight="1" x14ac:dyDescent="0.3">
      <c r="A310" s="84" t="s">
        <v>196</v>
      </c>
      <c r="B310" s="1">
        <v>42045</v>
      </c>
      <c r="C310" s="1">
        <v>51021</v>
      </c>
      <c r="D310" s="1">
        <v>46045</v>
      </c>
      <c r="E310" s="55">
        <f t="shared" ref="E310" si="113">SUM(B310:D310)</f>
        <v>139111</v>
      </c>
      <c r="F310" s="1">
        <v>10279</v>
      </c>
      <c r="G310" s="1">
        <v>4059</v>
      </c>
      <c r="H310" s="1"/>
      <c r="I310" s="55">
        <f t="shared" ref="I310" si="114">SUM(F310:H310)</f>
        <v>14338</v>
      </c>
      <c r="J310" s="1"/>
      <c r="K310" s="1"/>
      <c r="L310" s="1">
        <v>17967</v>
      </c>
      <c r="M310" s="55">
        <f t="shared" ref="M310" si="115">SUM(J310:L310)</f>
        <v>17967</v>
      </c>
      <c r="N310" s="1">
        <v>94204</v>
      </c>
      <c r="O310" s="1">
        <v>80702</v>
      </c>
      <c r="P310" s="1">
        <v>79076</v>
      </c>
      <c r="Q310" s="55">
        <f t="shared" si="110"/>
        <v>253982</v>
      </c>
      <c r="R310" s="55">
        <f t="shared" si="111"/>
        <v>425398</v>
      </c>
    </row>
    <row r="311" spans="1:20" ht="16.5" customHeight="1" thickBot="1" x14ac:dyDescent="0.35">
      <c r="A311" s="39" t="s">
        <v>40</v>
      </c>
      <c r="B311" s="21">
        <v>104</v>
      </c>
      <c r="C311" s="21">
        <v>268</v>
      </c>
      <c r="D311" s="21">
        <v>474</v>
      </c>
      <c r="E311" s="55">
        <f>SUM(B311:D311)</f>
        <v>846</v>
      </c>
      <c r="F311" s="21">
        <v>647</v>
      </c>
      <c r="G311" s="21">
        <v>742</v>
      </c>
      <c r="H311" s="21">
        <v>781</v>
      </c>
      <c r="I311" s="55">
        <f t="shared" si="108"/>
        <v>2170</v>
      </c>
      <c r="J311" s="21">
        <v>774</v>
      </c>
      <c r="K311" s="21">
        <v>596</v>
      </c>
      <c r="L311" s="21">
        <v>546</v>
      </c>
      <c r="M311" s="55">
        <f t="shared" si="109"/>
        <v>1916</v>
      </c>
      <c r="N311" s="21">
        <v>517</v>
      </c>
      <c r="O311" s="21">
        <v>413</v>
      </c>
      <c r="P311" s="21">
        <v>302</v>
      </c>
      <c r="Q311" s="55">
        <f t="shared" si="110"/>
        <v>1232</v>
      </c>
      <c r="R311" s="55">
        <f t="shared" si="111"/>
        <v>6164</v>
      </c>
    </row>
    <row r="312" spans="1:20" ht="16.5" customHeight="1" thickBot="1" x14ac:dyDescent="0.35">
      <c r="A312" s="74"/>
      <c r="B312" s="75"/>
      <c r="C312" s="75"/>
      <c r="D312" s="75"/>
      <c r="E312" s="60"/>
      <c r="F312" s="75"/>
      <c r="G312" s="75"/>
      <c r="H312" s="75"/>
      <c r="I312" s="59"/>
      <c r="J312" s="75"/>
      <c r="K312" s="75"/>
      <c r="L312" s="75"/>
      <c r="M312" s="59"/>
      <c r="N312" s="75"/>
      <c r="O312" s="75"/>
      <c r="P312" s="75"/>
      <c r="Q312" s="59"/>
      <c r="R312" s="59" t="s">
        <v>7</v>
      </c>
    </row>
    <row r="313" spans="1:20" ht="15.75" customHeight="1" x14ac:dyDescent="0.3">
      <c r="A313" s="76" t="s">
        <v>41</v>
      </c>
      <c r="B313" s="77">
        <f>SUM(B305:B311)</f>
        <v>65754</v>
      </c>
      <c r="C313" s="77">
        <f>SUM(C305:C311)</f>
        <v>77767</v>
      </c>
      <c r="D313" s="77">
        <f>SUM(D305:D311)</f>
        <v>71940</v>
      </c>
      <c r="E313" s="60">
        <f>SUM(B313:D313)</f>
        <v>215461</v>
      </c>
      <c r="F313" s="77">
        <f>SUM(F305:F311)</f>
        <v>51905</v>
      </c>
      <c r="G313" s="77">
        <f>SUM(G305:G311)</f>
        <v>47059</v>
      </c>
      <c r="H313" s="77">
        <f>SUM(H305:H311)</f>
        <v>47765</v>
      </c>
      <c r="I313" s="60">
        <f>SUM(F313:H313)</f>
        <v>146729</v>
      </c>
      <c r="J313" s="77">
        <f>SUM(J305:J311)</f>
        <v>43366</v>
      </c>
      <c r="K313" s="77">
        <f>SUM(K305:K311)</f>
        <v>53844</v>
      </c>
      <c r="L313" s="77">
        <f>SUM(L305:L311)</f>
        <v>70423</v>
      </c>
      <c r="M313" s="60">
        <f>SUM(J313:L313)</f>
        <v>167633</v>
      </c>
      <c r="N313" s="77">
        <f>SUM(N305:N311)</f>
        <v>134060</v>
      </c>
      <c r="O313" s="77">
        <f>SUM(O305:O311)</f>
        <v>128308</v>
      </c>
      <c r="P313" s="77">
        <f>SUM(P305:P311)</f>
        <v>110336</v>
      </c>
      <c r="Q313" s="92">
        <f>SUM(N313:P313)</f>
        <v>372704</v>
      </c>
      <c r="R313" s="60">
        <f>+E313+I313+M313+Q313</f>
        <v>902527</v>
      </c>
    </row>
    <row r="314" spans="1:20" ht="15.75" customHeight="1" x14ac:dyDescent="0.3">
      <c r="A314" s="79" t="s">
        <v>42</v>
      </c>
      <c r="B314" s="1">
        <f>(B313/B10)/1.983</f>
        <v>1069.6403299009321</v>
      </c>
      <c r="C314" s="1">
        <f>(C313/C10)/1.983</f>
        <v>1400.6015416756718</v>
      </c>
      <c r="D314" s="1">
        <f>(D313/D10)/1.983</f>
        <v>1170.2698745790833</v>
      </c>
      <c r="E314" s="55" t="s">
        <v>7</v>
      </c>
      <c r="F314" s="1">
        <f>(F313/F10)/1.983</f>
        <v>872.4995797613044</v>
      </c>
      <c r="G314" s="1">
        <f>(G313/G10)/1.983</f>
        <v>765.52307517121335</v>
      </c>
      <c r="H314" s="1">
        <f>(H313/H10)/1.983</f>
        <v>802.90805177340735</v>
      </c>
      <c r="I314" s="55" t="s">
        <v>7</v>
      </c>
      <c r="J314" s="1">
        <f>(J313/J10)/1.983</f>
        <v>705.44792022513946</v>
      </c>
      <c r="K314" s="1">
        <f>(K313/K10)/1.983</f>
        <v>875.89673515201798</v>
      </c>
      <c r="L314" s="1">
        <f>(L313/L10)/1.983</f>
        <v>1183.7787863506471</v>
      </c>
      <c r="M314" s="55" t="s">
        <v>7</v>
      </c>
      <c r="N314" s="1">
        <f>(N313/N10)/1.983</f>
        <v>2180.7948204902968</v>
      </c>
      <c r="O314" s="1">
        <f>(O313/O10)/1.983</f>
        <v>2156.7994620944696</v>
      </c>
      <c r="P314" s="1">
        <f>(P313/P10)/1.983</f>
        <v>1794.8692922095877</v>
      </c>
      <c r="Q314" s="93" t="s">
        <v>7</v>
      </c>
      <c r="R314" s="55" t="s">
        <v>7</v>
      </c>
    </row>
    <row r="315" spans="1:20" ht="15.75" customHeight="1" x14ac:dyDescent="0.3">
      <c r="A315" s="79" t="s">
        <v>197</v>
      </c>
      <c r="B315" s="1">
        <f>(+B313+B485)+B322</f>
        <v>88667</v>
      </c>
      <c r="C315" s="1">
        <f>(+C313+C485)+C322</f>
        <v>105580</v>
      </c>
      <c r="D315" s="1">
        <f>(+D313+D485)+D322</f>
        <v>133800</v>
      </c>
      <c r="E315" s="55">
        <f>SUM(B315:D315)</f>
        <v>328047</v>
      </c>
      <c r="F315" s="1">
        <f>(+F313+F485)+F322</f>
        <v>162267</v>
      </c>
      <c r="G315" s="1">
        <f>(+G313+G485)+G322</f>
        <v>172030</v>
      </c>
      <c r="H315" s="1">
        <f>(+H313+H485)+H322</f>
        <v>84340</v>
      </c>
      <c r="I315" s="55">
        <f>SUM(F315:H315)</f>
        <v>418637</v>
      </c>
      <c r="J315" s="1">
        <f>(+J313+J485)+J322</f>
        <v>70991</v>
      </c>
      <c r="K315" s="1">
        <f>(+K313+K485)+K322</f>
        <v>20509</v>
      </c>
      <c r="L315" s="1">
        <f>(+L313+L485)+L322</f>
        <v>159695</v>
      </c>
      <c r="M315" s="55">
        <f>SUM(J315:L315)</f>
        <v>251195</v>
      </c>
      <c r="N315" s="1">
        <f>(+N313+N485)+N322</f>
        <v>173627</v>
      </c>
      <c r="O315" s="1">
        <f>(+O313+O485)+O322</f>
        <v>167679</v>
      </c>
      <c r="P315" s="1">
        <f>(+P313+P485)+P322</f>
        <v>139832</v>
      </c>
      <c r="Q315" s="93">
        <f>SUM(N315:P315)</f>
        <v>481138</v>
      </c>
      <c r="R315" s="55">
        <f>+E315+I315+M315+Q315</f>
        <v>1479017</v>
      </c>
    </row>
    <row r="316" spans="1:20" ht="16.5" customHeight="1" thickBot="1" x14ac:dyDescent="0.35">
      <c r="A316" s="80" t="s">
        <v>198</v>
      </c>
      <c r="B316" s="25">
        <f>(B315/B10)/1.983</f>
        <v>1442.3730743578481</v>
      </c>
      <c r="C316" s="25">
        <f>(C315/C10)/1.983</f>
        <v>1901.5200633960089</v>
      </c>
      <c r="D316" s="25">
        <f>(D315/D10)/1.983</f>
        <v>2176.565321360597</v>
      </c>
      <c r="E316" s="81" t="s">
        <v>7</v>
      </c>
      <c r="F316" s="25">
        <f>(F315/F10)/1.983</f>
        <v>2727.6348966212804</v>
      </c>
      <c r="G316" s="25">
        <f>(G315/G10)/1.983</f>
        <v>2798.4643664698319</v>
      </c>
      <c r="H316" s="25">
        <f>(H315/H10)/1.983</f>
        <v>1417.7172634056144</v>
      </c>
      <c r="I316" s="81" t="s">
        <v>7</v>
      </c>
      <c r="J316" s="25">
        <f>(J315/J10)/1.983</f>
        <v>1154.8322027556812</v>
      </c>
      <c r="K316" s="25">
        <f>(K315/K10)/1.983</f>
        <v>333.62614481154327</v>
      </c>
      <c r="L316" s="25">
        <f>(L315/L10)/1.983</f>
        <v>2684.4007396201041</v>
      </c>
      <c r="M316" s="81" t="s">
        <v>7</v>
      </c>
      <c r="N316" s="25">
        <f>(N315/N10)/1.983</f>
        <v>2824.4432515087924</v>
      </c>
      <c r="O316" s="25">
        <f>(O315/O10)/1.983</f>
        <v>2818.6081694402419</v>
      </c>
      <c r="P316" s="25">
        <f>(P315/P10)/1.983</f>
        <v>2274.6897011696192</v>
      </c>
      <c r="Q316" s="94" t="s">
        <v>7</v>
      </c>
      <c r="R316" s="81" t="s">
        <v>7</v>
      </c>
    </row>
    <row r="317" spans="1:20" ht="16.5" customHeight="1" thickBot="1" x14ac:dyDescent="0.35">
      <c r="A317" s="95" t="s">
        <v>199</v>
      </c>
      <c r="B317" s="96">
        <f>+(B315-(B141+B142+B143+B144+B147+B148+B149+B152+B153+B154+B158+B160++B166+B167+B169+B170+B172+B173+B174+B175+B176+B185+B186+B187+B198+B203+B205+B206+B213+B220+B221+B223+B224+B225+B230+B238+B240+B241+B242+B243+B245+B246+B247+B255+B264+B265+B268+B288+B289+B291+B292+B295+B296+B300+B306+B310+B318)-B322)/(B10*1.983)</f>
        <v>764.56330421485848</v>
      </c>
      <c r="C317" s="96">
        <f>+(C315-(C141+C142+C143+C144+C147+C148+C149+C152+C153+C154+C158+C160++C166+C167+C169+C170+C172+C173+C174+C175+C176+C185+C186+C187+C198+C203+C205+C206+C213+C220+C221+C223+C224+C225+C230+C238+C240+C241+C242+C243+C245+C246+C247+C255+C264+C265+C268+C288+C289+C291+C292+C295+C296+C300+C306+C310+C318)-C322)/(C10*1.983)</f>
        <v>1096.8770261508537</v>
      </c>
      <c r="D317" s="96">
        <f>+(D315-(D141+D142+D143+D144+D147+D148+D149+D152+D153+D154+D158+D160++D166+D167+D169+D170+D172+D173+D174+D175+D176+D185+D186+D187+D198+D203+D205+D206+D213+D220+D221+D223+D224+D225+D230+D238+D240+D241+D242+D243+D245+D246+D247+D255+D264+D265+D268+D288+D289+D291+D292+D295+D296+D300+D306+D310+D318)-D322)/(D10*1.983)</f>
        <v>1566.0533892928602</v>
      </c>
      <c r="E317" s="97"/>
      <c r="F317" s="96">
        <f>+(F315-(F141+F142+F143+F144+F147+F148+F149+F152+F153+F154+F158+F160++F166+F167+F169+F170+F172+F173+F174+F175+F176+F185+F186+F187+F198+F203+F205+F206+F213+F220+F221+F223+F224+F225+F230+F238+F240+F241+F242+F243+F245+F246+F247+F255+F264+F265+F268+F288+F289+F291+F292+F295+F296+F300+F306+F310+F318)-F322)/(F10*1.983)</f>
        <v>2415.9522608841821</v>
      </c>
      <c r="G317" s="96">
        <f>+(G315-(G141+G142+G143+G144+G147+G148+G149+G152+G153+G154+G158+G160++G166+G167+G169+G170+G172+G173+G174+G175+G176+G185+G186+G187+G198+G203+G205+G206+G213+G220+G221+G223+G224+G225+G230+G238+G240+G241+G242+G243+G245+G246+G247+G255+G264+G265+G268+G288+G289+G291+G292+G295+G296+G300+G306+G310+G318)-G322)/(G10*1.983)</f>
        <v>2602.7036259821384</v>
      </c>
      <c r="H317" s="96">
        <f>+(H315-(H141+H142+H143+H144+H147+H148+H149+H152+H153+H154+H158+H160++H166+H167+H169+H170+H172+H173+H174+H175+H176+H185+H186+H187+H198+H203+H205+H206+H213+H220+H221+H223+H224+H225+H230+H238+H240+H241+H242+H243+H245+H246+H247+H255+H264+H265+H268+H288+H289+H291+H292+H295+H296+H300+H306+H310+H318)-H322)/(H10*1.983)</f>
        <v>3009.4469658766179</v>
      </c>
      <c r="I317" s="97"/>
      <c r="J317" s="96">
        <f>+(J315-(J141+J142+J143+J144+J147+J148+J149+J152+J153+J154+J158+J160++J166+J167+J169+J170+J172+J173+J174+J175+J176+J185+J186+J187+J198+J203+J205+J206+J213+J220+J221+J223+J224+J225+J230+J238+J240+J241+J242+J243+J245+J246+J247+J255+J264+J265+J268+J288+J289+J291+J292+J295+J296+J300+J306+J310+J318)-J322)/(J10*1.983)</f>
        <v>2919.6883184487497</v>
      </c>
      <c r="K317" s="96">
        <f>+(K315-(K141+K142+K143+K144+K147+K148+K149+K152+K153+K154+K158+K160++K166+K167+K169+K170+K172+K173+K174+K175+K176+K185+K186+K187+K198+K203+K205+K206+K213+K220+K221+K223+K224+K225+K230+K238+K240+K241+K242+K243+K245+K246+K247+K255+K264+K265+K268+K288+K289+K291+K292+K295+K296+K300+K306+K310+K318)-K322)/(K10*1.983)</f>
        <v>2784.1654059505795</v>
      </c>
      <c r="L317" s="96">
        <f>+(L315-(L141+L142+L143+L144+L147+L148+L149+L152+L153+L154+L158+L160++L166+L167+L169+L170+L172+L173+L174+L175+L176+L185+L186+L187+L198+L203+L205+L206+L213+L220+L221+L223+L224+L225+L230+L238+L240+L241+L242+L243+L245+L246+L247+L255+L264+L265+L268+L288+L289+L291+L292+L295+L296+L300+L306+L310+L318)-L322)/(L10*1.983)</f>
        <v>2334.2242393679608</v>
      </c>
      <c r="M317" s="97"/>
      <c r="N317" s="96">
        <f>+(N315-(N141+N142+N143+N144+N147+N148+N149+N152+N153+N154+N158+N160++N166+N167+N169+N170+N172+N173+N174+N175+N176+N185+N186+N187+N198+N203+N205+N206+N213+N220+N221+N223+N224+N225+N230+N238+N240+N241+N242+N243+N245+N246+N247+N255+N264+N265+N268+N288+N289+N291+N292+N295+N296+N300+N306+N310+N318)-N322)/(N10*1.983)</f>
        <v>1153.5308184080816</v>
      </c>
      <c r="O317" s="96">
        <f>+(O315-(O141+O142+O143+O144+O147+O148+O149+O152+O153+O154+O158+O160++O166+O167+O169+O170+O172+O173+O174+O175+O176+O185+O186+O187+O198+O203+O205+O206+O213+O220+O221+O223+O224+O225+O230+O238+O240+O241+O242+O243+O245+O246+O247+O255+O264+O265+O268+O288+O289+O291+O292+O295+O296+O300+O306+O310+O318)-O322)/(O10*1.983)</f>
        <v>1289.0906034627669</v>
      </c>
      <c r="P317" s="96">
        <f>+(P315-(P141+P142+P143+P144+P147+P148+P149+P152+P153+P154+P158+P160++P166+P167+P169+P170+P172+P173+P174+P175+P176+P185+P186+P187+P198+P203+P205+P206+P213+P220+P221+P223+P224+P225+P230+P238+P240+P241+P242+P243+P245+P246+P247+P255+P264+P265+P268+P288+P289+P291+P292+P295+P296+P300+P306+P310+P318)-P322)/(P10*1.983)</f>
        <v>918.58214175328999</v>
      </c>
      <c r="Q317" s="98"/>
      <c r="R317" s="97"/>
    </row>
    <row r="318" spans="1:20" ht="15.75" customHeight="1" x14ac:dyDescent="0.3">
      <c r="A318" s="299" t="s">
        <v>719</v>
      </c>
      <c r="B318" s="1"/>
      <c r="C318" s="1"/>
      <c r="D318" s="1"/>
      <c r="E318" s="1"/>
      <c r="F318" s="1"/>
      <c r="G318" s="1"/>
      <c r="H318" s="1"/>
      <c r="I318" s="1"/>
      <c r="J318" s="1"/>
      <c r="K318" s="1"/>
      <c r="L318" s="1"/>
      <c r="M318" s="1"/>
      <c r="N318" s="1"/>
      <c r="O318" s="1"/>
      <c r="P318" s="1"/>
      <c r="Q318" s="1"/>
      <c r="R318" s="2"/>
    </row>
    <row r="319" spans="1:20" ht="15.75" customHeight="1" thickBot="1" x14ac:dyDescent="0.35">
      <c r="A319" s="28"/>
      <c r="B319" s="1"/>
      <c r="C319" s="1"/>
      <c r="D319" s="1"/>
      <c r="E319" s="1"/>
      <c r="F319" s="1"/>
      <c r="G319" s="1"/>
      <c r="H319" s="1"/>
      <c r="I319" s="1"/>
      <c r="J319" s="1"/>
      <c r="K319" s="1"/>
      <c r="L319" s="1"/>
      <c r="M319" s="1"/>
      <c r="N319" s="1"/>
      <c r="O319" s="1"/>
      <c r="P319" s="1"/>
      <c r="Q319" s="1"/>
      <c r="R319" s="2"/>
    </row>
    <row r="320" spans="1:20" ht="16.5" customHeight="1" thickBot="1" x14ac:dyDescent="0.35">
      <c r="A320" s="29" t="s">
        <v>201</v>
      </c>
      <c r="B320" s="30" t="s">
        <v>8</v>
      </c>
      <c r="C320" s="31" t="s">
        <v>9</v>
      </c>
      <c r="D320" s="31" t="s">
        <v>10</v>
      </c>
      <c r="E320" s="32" t="s">
        <v>11</v>
      </c>
      <c r="F320" s="31" t="s">
        <v>12</v>
      </c>
      <c r="G320" s="31" t="s">
        <v>13</v>
      </c>
      <c r="H320" s="31" t="s">
        <v>14</v>
      </c>
      <c r="I320" s="33" t="s">
        <v>15</v>
      </c>
      <c r="J320" s="31" t="s">
        <v>16</v>
      </c>
      <c r="K320" s="31" t="s">
        <v>17</v>
      </c>
      <c r="L320" s="31" t="s">
        <v>18</v>
      </c>
      <c r="M320" s="33" t="s">
        <v>19</v>
      </c>
      <c r="N320" s="31" t="s">
        <v>20</v>
      </c>
      <c r="O320" s="31" t="s">
        <v>21</v>
      </c>
      <c r="P320" s="31" t="s">
        <v>22</v>
      </c>
      <c r="Q320" s="33" t="s">
        <v>23</v>
      </c>
      <c r="R320" s="34" t="s">
        <v>24</v>
      </c>
    </row>
    <row r="321" spans="1:20" ht="16.5" customHeight="1" thickBot="1" x14ac:dyDescent="0.35">
      <c r="A321" s="74"/>
      <c r="B321" s="75"/>
      <c r="C321" s="75"/>
      <c r="D321" s="75"/>
      <c r="E321" s="82"/>
      <c r="F321" s="75"/>
      <c r="G321" s="75"/>
      <c r="H321" s="75"/>
      <c r="I321" s="82"/>
      <c r="J321" s="75"/>
      <c r="K321" s="75"/>
      <c r="L321" s="75"/>
      <c r="M321" s="82"/>
      <c r="N321" s="75"/>
      <c r="O321" s="75"/>
      <c r="P321" s="75"/>
      <c r="Q321" s="82"/>
      <c r="R321" s="100"/>
    </row>
    <row r="322" spans="1:20" ht="15.75" customHeight="1" thickBot="1" x14ac:dyDescent="0.35">
      <c r="A322" s="71" t="s">
        <v>202</v>
      </c>
      <c r="B322" s="1">
        <v>-4721</v>
      </c>
      <c r="C322" s="1">
        <v>-14510</v>
      </c>
      <c r="D322" s="1">
        <v>-18985</v>
      </c>
      <c r="E322" s="55">
        <f>SUM(B322:D322)</f>
        <v>-38216</v>
      </c>
      <c r="F322" s="1">
        <v>-6618</v>
      </c>
      <c r="G322" s="1">
        <v>-4883</v>
      </c>
      <c r="H322" s="1">
        <v>-106895</v>
      </c>
      <c r="I322" s="55">
        <f>SUM(F322:H322)</f>
        <v>-118396</v>
      </c>
      <c r="J322" s="1">
        <v>-118035</v>
      </c>
      <c r="K322" s="1">
        <v>-157144</v>
      </c>
      <c r="L322" s="1">
        <v>-7983</v>
      </c>
      <c r="M322" s="55">
        <f>SUM(J322:L322)</f>
        <v>-283162</v>
      </c>
      <c r="N322" s="1"/>
      <c r="O322" s="1">
        <v>-109</v>
      </c>
      <c r="P322" s="1"/>
      <c r="Q322" s="55">
        <f>SUM(N322:P322)</f>
        <v>-109</v>
      </c>
      <c r="R322" s="55">
        <f>+E322+I322+M322+Q322</f>
        <v>-439883</v>
      </c>
    </row>
    <row r="323" spans="1:20" ht="16.5" customHeight="1" thickBot="1" x14ac:dyDescent="0.35">
      <c r="A323" s="101"/>
      <c r="B323" s="102"/>
      <c r="C323" s="102"/>
      <c r="D323" s="102"/>
      <c r="E323" s="103"/>
      <c r="F323" s="102"/>
      <c r="G323" s="102"/>
      <c r="H323" s="102"/>
      <c r="I323" s="103"/>
      <c r="J323" s="102"/>
      <c r="K323" s="102"/>
      <c r="L323" s="102"/>
      <c r="M323" s="103"/>
      <c r="N323" s="102"/>
      <c r="O323" s="102"/>
      <c r="P323" s="102"/>
      <c r="Q323" s="103"/>
      <c r="R323" s="104"/>
    </row>
    <row r="324" spans="1:20" ht="15.75" customHeight="1" x14ac:dyDescent="0.3">
      <c r="A324" s="15" t="s">
        <v>32</v>
      </c>
      <c r="B324" s="1">
        <f>B322</f>
        <v>-4721</v>
      </c>
      <c r="C324" s="1">
        <f>C322</f>
        <v>-14510</v>
      </c>
      <c r="D324" s="1">
        <f>D322</f>
        <v>-18985</v>
      </c>
      <c r="E324" s="55">
        <f>SUM(B324:D324)</f>
        <v>-38216</v>
      </c>
      <c r="F324" s="1">
        <f>F322</f>
        <v>-6618</v>
      </c>
      <c r="G324" s="1">
        <f>G322</f>
        <v>-4883</v>
      </c>
      <c r="H324" s="1">
        <f>H322</f>
        <v>-106895</v>
      </c>
      <c r="I324" s="55">
        <f>SUM(F324:H324)</f>
        <v>-118396</v>
      </c>
      <c r="J324" s="1">
        <f>J322</f>
        <v>-118035</v>
      </c>
      <c r="K324" s="1">
        <f>K322</f>
        <v>-157144</v>
      </c>
      <c r="L324" s="1">
        <f>L322</f>
        <v>-7983</v>
      </c>
      <c r="M324" s="55">
        <f>SUM(J324:L324)</f>
        <v>-283162</v>
      </c>
      <c r="N324" s="1">
        <f>N322</f>
        <v>0</v>
      </c>
      <c r="O324" s="1">
        <f>O322</f>
        <v>-109</v>
      </c>
      <c r="P324" s="1">
        <f>P322</f>
        <v>0</v>
      </c>
      <c r="Q324" s="55">
        <f>SUM(N324:P324)</f>
        <v>-109</v>
      </c>
      <c r="R324" s="105">
        <f>R322</f>
        <v>-439883</v>
      </c>
    </row>
    <row r="325" spans="1:20" ht="16.5" customHeight="1" thickBot="1" x14ac:dyDescent="0.35">
      <c r="A325" s="20" t="s">
        <v>42</v>
      </c>
      <c r="B325" s="21">
        <f>(B324/B10)/1.983</f>
        <v>-76.797943812730779</v>
      </c>
      <c r="C325" s="21">
        <f>(C324/C10)/1.983</f>
        <v>-261.32843455082485</v>
      </c>
      <c r="D325" s="21">
        <f>(D324/D10)/1.983</f>
        <v>-308.83477298976783</v>
      </c>
      <c r="E325" s="81"/>
      <c r="F325" s="21">
        <f>(F324/F10)/1.983</f>
        <v>-111.24558749369641</v>
      </c>
      <c r="G325" s="21">
        <f>(G324/G10)/1.983</f>
        <v>-79.433247116620308</v>
      </c>
      <c r="H325" s="21">
        <f>(H324/H10)/1.983</f>
        <v>-1796.8566145570683</v>
      </c>
      <c r="I325" s="81"/>
      <c r="J325" s="21">
        <f>(J324/J10)/1.983</f>
        <v>-1920.1112683617196</v>
      </c>
      <c r="K325" s="21">
        <f>(K324/K10)/1.983</f>
        <v>-2556.3092739902067</v>
      </c>
      <c r="L325" s="21">
        <f>(L324/L10)/1.983</f>
        <v>-134.19062027231467</v>
      </c>
      <c r="M325" s="81"/>
      <c r="N325" s="21">
        <f>(N324/N10)/1.983</f>
        <v>0</v>
      </c>
      <c r="O325" s="21">
        <f>(O324/O10)/1.983</f>
        <v>-1.8322407127248277</v>
      </c>
      <c r="P325" s="21">
        <f>(P324/P10)/1.983</f>
        <v>0</v>
      </c>
      <c r="Q325" s="81"/>
      <c r="R325" s="100" t="s">
        <v>7</v>
      </c>
    </row>
    <row r="326" spans="1:20" ht="15.75" customHeight="1" x14ac:dyDescent="0.3">
      <c r="A326" s="2"/>
      <c r="B326" s="1"/>
      <c r="C326" s="1"/>
      <c r="D326" s="1"/>
      <c r="E326" s="1"/>
      <c r="F326" s="1"/>
      <c r="G326" s="1"/>
      <c r="H326" s="1"/>
      <c r="I326" s="1"/>
      <c r="J326" s="1"/>
      <c r="K326" s="1"/>
      <c r="L326" s="1"/>
      <c r="M326" s="1"/>
      <c r="N326" s="1"/>
      <c r="O326" s="1"/>
      <c r="P326" s="1"/>
      <c r="Q326" s="1"/>
      <c r="R326" s="2"/>
    </row>
    <row r="327" spans="1:20" ht="16.5" customHeight="1" thickBot="1" x14ac:dyDescent="0.35">
      <c r="A327" s="106"/>
      <c r="B327" s="21"/>
      <c r="C327" s="21"/>
      <c r="D327" s="21"/>
      <c r="E327" s="21"/>
      <c r="F327" s="21"/>
      <c r="G327" s="21"/>
      <c r="H327" s="21"/>
      <c r="I327" s="21"/>
      <c r="J327" s="21"/>
      <c r="K327" s="21"/>
      <c r="L327" s="21"/>
      <c r="M327" s="21"/>
      <c r="N327" s="21"/>
      <c r="O327" s="21"/>
      <c r="P327" s="21"/>
      <c r="Q327" s="21"/>
      <c r="R327" s="106"/>
    </row>
    <row r="328" spans="1:20" ht="16.5" customHeight="1" thickBot="1" x14ac:dyDescent="0.35">
      <c r="A328" s="107" t="s">
        <v>203</v>
      </c>
      <c r="B328" s="30" t="s">
        <v>8</v>
      </c>
      <c r="C328" s="31" t="s">
        <v>9</v>
      </c>
      <c r="D328" s="31" t="s">
        <v>10</v>
      </c>
      <c r="E328" s="32" t="s">
        <v>11</v>
      </c>
      <c r="F328" s="31" t="s">
        <v>12</v>
      </c>
      <c r="G328" s="31" t="s">
        <v>13</v>
      </c>
      <c r="H328" s="31" t="s">
        <v>14</v>
      </c>
      <c r="I328" s="33" t="s">
        <v>15</v>
      </c>
      <c r="J328" s="31" t="s">
        <v>16</v>
      </c>
      <c r="K328" s="31" t="s">
        <v>17</v>
      </c>
      <c r="L328" s="31" t="s">
        <v>18</v>
      </c>
      <c r="M328" s="33" t="s">
        <v>19</v>
      </c>
      <c r="N328" s="31" t="s">
        <v>20</v>
      </c>
      <c r="O328" s="31" t="s">
        <v>21</v>
      </c>
      <c r="P328" s="31" t="s">
        <v>22</v>
      </c>
      <c r="Q328" s="33" t="s">
        <v>23</v>
      </c>
      <c r="R328" s="34" t="s">
        <v>24</v>
      </c>
    </row>
    <row r="329" spans="1:20" ht="16.5" customHeight="1" thickBot="1" x14ac:dyDescent="0.35">
      <c r="A329" s="59"/>
      <c r="B329" s="75"/>
      <c r="C329" s="75"/>
      <c r="D329" s="75"/>
      <c r="E329" s="69"/>
      <c r="F329" s="75"/>
      <c r="G329" s="75"/>
      <c r="H329" s="75"/>
      <c r="I329" s="82"/>
      <c r="J329" s="75"/>
      <c r="K329" s="75"/>
      <c r="L329" s="75"/>
      <c r="M329" s="82"/>
      <c r="N329" s="75"/>
      <c r="O329" s="75"/>
      <c r="P329" s="75"/>
      <c r="Q329" s="82"/>
      <c r="R329" s="105"/>
    </row>
    <row r="330" spans="1:20" ht="15.75" customHeight="1" x14ac:dyDescent="0.3">
      <c r="A330" s="15" t="s">
        <v>48</v>
      </c>
      <c r="B330" s="1"/>
      <c r="C330" s="1"/>
      <c r="D330" s="1"/>
      <c r="E330" s="55" t="s">
        <v>7</v>
      </c>
      <c r="F330" s="1" t="s">
        <v>7</v>
      </c>
      <c r="G330" s="1" t="s">
        <v>7</v>
      </c>
      <c r="H330" s="1" t="s">
        <v>7</v>
      </c>
      <c r="I330" s="55" t="s">
        <v>7</v>
      </c>
      <c r="J330" s="1" t="s">
        <v>7</v>
      </c>
      <c r="K330" s="1" t="s">
        <v>7</v>
      </c>
      <c r="L330" s="1" t="s">
        <v>7</v>
      </c>
      <c r="M330" s="55" t="s">
        <v>7</v>
      </c>
      <c r="N330" s="1" t="s">
        <v>7</v>
      </c>
      <c r="O330" s="1" t="s">
        <v>7</v>
      </c>
      <c r="P330" s="1" t="s">
        <v>7</v>
      </c>
      <c r="Q330" s="55" t="s">
        <v>7</v>
      </c>
      <c r="R330" s="60" t="s">
        <v>7</v>
      </c>
    </row>
    <row r="331" spans="1:20" ht="15.75" customHeight="1" x14ac:dyDescent="0.3">
      <c r="A331" s="15" t="s">
        <v>49</v>
      </c>
      <c r="B331" s="1"/>
      <c r="C331" s="1"/>
      <c r="D331" s="1"/>
      <c r="E331" s="55" t="s">
        <v>7</v>
      </c>
      <c r="F331" s="1"/>
      <c r="G331" s="1"/>
      <c r="H331" s="1"/>
      <c r="I331" s="55" t="s">
        <v>7</v>
      </c>
      <c r="J331" s="1"/>
      <c r="K331" s="1"/>
      <c r="L331" s="1"/>
      <c r="M331" s="55" t="s">
        <v>7</v>
      </c>
      <c r="N331" s="1"/>
      <c r="O331" s="1"/>
      <c r="P331" s="1"/>
      <c r="Q331" s="55" t="s">
        <v>7</v>
      </c>
      <c r="R331" s="55" t="s">
        <v>7</v>
      </c>
    </row>
    <row r="332" spans="1:20" ht="15.75" customHeight="1" x14ac:dyDescent="0.3">
      <c r="A332" s="72" t="s">
        <v>906</v>
      </c>
      <c r="B332" s="1"/>
      <c r="C332" s="1"/>
      <c r="D332" s="1"/>
      <c r="E332" s="55">
        <f t="shared" ref="E332:E358" si="116">SUM(B332:D332)</f>
        <v>0</v>
      </c>
      <c r="F332" s="1"/>
      <c r="G332" s="1">
        <v>108</v>
      </c>
      <c r="H332" s="1">
        <v>122</v>
      </c>
      <c r="I332" s="55">
        <f t="shared" ref="I332:I358" si="117">SUM(F332:H332)</f>
        <v>230</v>
      </c>
      <c r="J332" s="1">
        <f>104+2+4</f>
        <v>110</v>
      </c>
      <c r="K332" s="1">
        <f>120+1</f>
        <v>121</v>
      </c>
      <c r="L332" s="1">
        <f>104+2</f>
        <v>106</v>
      </c>
      <c r="M332" s="55">
        <f t="shared" ref="M332:M358" si="118">SUM(J332:L332)</f>
        <v>337</v>
      </c>
      <c r="N332" s="1">
        <v>67</v>
      </c>
      <c r="O332" s="1">
        <f>82+1</f>
        <v>83</v>
      </c>
      <c r="P332" s="1">
        <f>108+1</f>
        <v>109</v>
      </c>
      <c r="Q332" s="55">
        <f t="shared" ref="Q332:Q361" si="119">SUM(N332:P332)</f>
        <v>259</v>
      </c>
      <c r="R332" s="55">
        <f t="shared" ref="R332:R361" si="120">+E332+I332+M332+Q332</f>
        <v>826</v>
      </c>
      <c r="T332" s="4" t="s">
        <v>907</v>
      </c>
    </row>
    <row r="333" spans="1:20" ht="15.75" customHeight="1" x14ac:dyDescent="0.3">
      <c r="A333" s="72" t="s">
        <v>908</v>
      </c>
      <c r="B333" s="1"/>
      <c r="C333" s="1"/>
      <c r="D333" s="1"/>
      <c r="E333" s="55">
        <f t="shared" si="116"/>
        <v>0</v>
      </c>
      <c r="F333" s="1"/>
      <c r="G333" s="1">
        <v>34</v>
      </c>
      <c r="H333" s="1"/>
      <c r="I333" s="55">
        <f t="shared" si="117"/>
        <v>34</v>
      </c>
      <c r="J333" s="1"/>
      <c r="K333" s="1"/>
      <c r="L333" s="1"/>
      <c r="M333" s="55">
        <f t="shared" si="118"/>
        <v>0</v>
      </c>
      <c r="N333" s="1"/>
      <c r="O333" s="1"/>
      <c r="P333" s="1"/>
      <c r="Q333" s="55">
        <f t="shared" si="119"/>
        <v>0</v>
      </c>
      <c r="R333" s="55">
        <f t="shared" si="120"/>
        <v>34</v>
      </c>
    </row>
    <row r="334" spans="1:20" ht="15.75" customHeight="1" x14ac:dyDescent="0.3">
      <c r="A334" s="72" t="s">
        <v>208</v>
      </c>
      <c r="B334" s="1">
        <v>38</v>
      </c>
      <c r="C334" s="1">
        <v>76</v>
      </c>
      <c r="D334" s="1">
        <v>96</v>
      </c>
      <c r="E334" s="55">
        <f t="shared" si="116"/>
        <v>210</v>
      </c>
      <c r="F334" s="1">
        <v>285</v>
      </c>
      <c r="G334" s="1">
        <v>307</v>
      </c>
      <c r="H334" s="1">
        <v>346</v>
      </c>
      <c r="I334" s="55">
        <f t="shared" si="117"/>
        <v>938</v>
      </c>
      <c r="J334" s="1">
        <v>334</v>
      </c>
      <c r="K334" s="1">
        <v>264</v>
      </c>
      <c r="L334" s="1">
        <v>286</v>
      </c>
      <c r="M334" s="55">
        <f t="shared" si="118"/>
        <v>884</v>
      </c>
      <c r="N334" s="1">
        <v>250</v>
      </c>
      <c r="O334" s="1">
        <v>177</v>
      </c>
      <c r="P334" s="1">
        <v>63</v>
      </c>
      <c r="Q334" s="55">
        <f t="shared" si="119"/>
        <v>490</v>
      </c>
      <c r="R334" s="55">
        <f t="shared" si="120"/>
        <v>2522</v>
      </c>
      <c r="T334" s="4" t="s">
        <v>209</v>
      </c>
    </row>
    <row r="335" spans="1:20" ht="15.75" customHeight="1" x14ac:dyDescent="0.3">
      <c r="A335" s="72" t="s">
        <v>1296</v>
      </c>
      <c r="B335" s="1"/>
      <c r="C335" s="1"/>
      <c r="D335" s="1"/>
      <c r="E335" s="55">
        <f>SUM(B335:D335)</f>
        <v>0</v>
      </c>
      <c r="F335" s="1"/>
      <c r="G335" s="1"/>
      <c r="H335" s="1"/>
      <c r="I335" s="55">
        <f t="shared" ref="I335" si="121">SUM(F335:H335)</f>
        <v>0</v>
      </c>
      <c r="J335" s="1"/>
      <c r="K335" s="1"/>
      <c r="L335" s="1"/>
      <c r="M335" s="55">
        <f t="shared" ref="M335" si="122">SUM(J335:L335)</f>
        <v>0</v>
      </c>
      <c r="N335" s="1"/>
      <c r="O335" s="1"/>
      <c r="P335" s="1"/>
      <c r="Q335" s="55">
        <f t="shared" ref="Q335" si="123">SUM(N335:P335)</f>
        <v>0</v>
      </c>
      <c r="R335" s="55">
        <f t="shared" si="120"/>
        <v>0</v>
      </c>
      <c r="T335" s="4" t="s">
        <v>910</v>
      </c>
    </row>
    <row r="336" spans="1:20" ht="15.75" customHeight="1" x14ac:dyDescent="0.3">
      <c r="A336" s="72" t="s">
        <v>909</v>
      </c>
      <c r="B336" s="1"/>
      <c r="C336" s="1"/>
      <c r="D336" s="1"/>
      <c r="E336" s="55">
        <f t="shared" si="116"/>
        <v>0</v>
      </c>
      <c r="F336" s="1"/>
      <c r="G336" s="1"/>
      <c r="H336" s="1">
        <v>300</v>
      </c>
      <c r="I336" s="55">
        <f t="shared" si="117"/>
        <v>300</v>
      </c>
      <c r="J336" s="1"/>
      <c r="K336" s="1"/>
      <c r="L336" s="1"/>
      <c r="M336" s="55">
        <f t="shared" si="118"/>
        <v>0</v>
      </c>
      <c r="N336" s="1"/>
      <c r="O336" s="1"/>
      <c r="P336" s="1"/>
      <c r="Q336" s="55">
        <f t="shared" si="119"/>
        <v>0</v>
      </c>
      <c r="R336" s="55">
        <f t="shared" si="120"/>
        <v>300</v>
      </c>
      <c r="T336" s="4" t="s">
        <v>910</v>
      </c>
    </row>
    <row r="337" spans="1:20" ht="15.75" customHeight="1" x14ac:dyDescent="0.3">
      <c r="A337" s="72" t="s">
        <v>911</v>
      </c>
      <c r="C337" s="1"/>
      <c r="D337" s="1"/>
      <c r="E337" s="55">
        <f>SUM(B337:D337)</f>
        <v>0</v>
      </c>
      <c r="F337" s="1"/>
      <c r="G337" s="1"/>
      <c r="H337" s="1">
        <v>2250</v>
      </c>
      <c r="I337" s="55">
        <f>SUM(F337:H337)</f>
        <v>2250</v>
      </c>
      <c r="J337" s="1"/>
      <c r="K337" s="1"/>
      <c r="L337" s="1"/>
      <c r="M337" s="55">
        <f t="shared" ref="M337:M342" si="124">SUM(J337:L337)</f>
        <v>0</v>
      </c>
      <c r="N337" s="1"/>
      <c r="O337" s="1"/>
      <c r="P337" s="1">
        <v>134</v>
      </c>
      <c r="Q337" s="55">
        <f>SUM(N337:P337)</f>
        <v>134</v>
      </c>
      <c r="R337" s="55">
        <f t="shared" si="120"/>
        <v>2384</v>
      </c>
      <c r="T337" s="4" t="s">
        <v>209</v>
      </c>
    </row>
    <row r="338" spans="1:20" ht="15.75" customHeight="1" x14ac:dyDescent="0.3">
      <c r="A338" s="72" t="s">
        <v>912</v>
      </c>
      <c r="B338" s="1"/>
      <c r="C338" s="1"/>
      <c r="D338" s="1"/>
      <c r="E338" s="55">
        <f t="shared" ref="E338:E342" si="125">SUM(B338:D338)</f>
        <v>0</v>
      </c>
      <c r="F338" s="1"/>
      <c r="G338" s="1"/>
      <c r="H338" s="1">
        <v>2000</v>
      </c>
      <c r="I338" s="55">
        <f t="shared" ref="I338:I342" si="126">SUM(F338:H338)</f>
        <v>2000</v>
      </c>
      <c r="J338" s="1"/>
      <c r="K338" s="1"/>
      <c r="L338" s="1"/>
      <c r="M338" s="55">
        <f t="shared" si="124"/>
        <v>0</v>
      </c>
      <c r="N338" s="1"/>
      <c r="O338" s="1"/>
      <c r="P338" s="1"/>
      <c r="Q338" s="55">
        <f>SUM(N338:P338)</f>
        <v>0</v>
      </c>
      <c r="R338" s="55">
        <f t="shared" si="120"/>
        <v>2000</v>
      </c>
      <c r="T338" s="4" t="s">
        <v>910</v>
      </c>
    </row>
    <row r="339" spans="1:20" ht="15.75" customHeight="1" x14ac:dyDescent="0.3">
      <c r="A339" s="72" t="s">
        <v>913</v>
      </c>
      <c r="B339" s="1">
        <v>74</v>
      </c>
      <c r="C339" s="1">
        <v>122</v>
      </c>
      <c r="D339" s="1">
        <v>180</v>
      </c>
      <c r="E339" s="55">
        <f t="shared" si="125"/>
        <v>376</v>
      </c>
      <c r="F339" s="1">
        <v>327</v>
      </c>
      <c r="G339" s="1">
        <v>454</v>
      </c>
      <c r="H339" s="1">
        <v>380</v>
      </c>
      <c r="I339" s="55">
        <f t="shared" si="126"/>
        <v>1161</v>
      </c>
      <c r="J339" s="1">
        <f>66+354</f>
        <v>420</v>
      </c>
      <c r="K339" s="1">
        <f>46+274</f>
        <v>320</v>
      </c>
      <c r="L339" s="1">
        <f>47+287</f>
        <v>334</v>
      </c>
      <c r="M339" s="55">
        <f t="shared" si="124"/>
        <v>1074</v>
      </c>
      <c r="N339" s="1">
        <f>31+179</f>
        <v>210</v>
      </c>
      <c r="O339" s="1">
        <f>24+151</f>
        <v>175</v>
      </c>
      <c r="P339" s="1">
        <f>18+70</f>
        <v>88</v>
      </c>
      <c r="Q339" s="55">
        <f>SUM(N339:P339)</f>
        <v>473</v>
      </c>
      <c r="R339" s="55">
        <f>+E339+I339+M339+Q339</f>
        <v>3084</v>
      </c>
      <c r="T339" s="4" t="s">
        <v>914</v>
      </c>
    </row>
    <row r="340" spans="1:20" ht="15.75" customHeight="1" x14ac:dyDescent="0.3">
      <c r="A340" s="72" t="s">
        <v>915</v>
      </c>
      <c r="B340" s="1"/>
      <c r="C340" s="1"/>
      <c r="D340" s="1"/>
      <c r="E340" s="55">
        <f t="shared" si="125"/>
        <v>0</v>
      </c>
      <c r="F340" s="1"/>
      <c r="G340" s="1">
        <v>3200</v>
      </c>
      <c r="H340" s="1"/>
      <c r="I340" s="55">
        <f t="shared" si="126"/>
        <v>3200</v>
      </c>
      <c r="J340" s="1"/>
      <c r="K340" s="1"/>
      <c r="L340" s="1"/>
      <c r="M340" s="55">
        <f t="shared" si="124"/>
        <v>0</v>
      </c>
      <c r="N340" s="1"/>
      <c r="O340" s="1"/>
      <c r="P340" s="1"/>
      <c r="Q340" s="55">
        <f>SUM(N340:P340)</f>
        <v>0</v>
      </c>
      <c r="R340" s="55">
        <f>+E340+I340+M340+Q340</f>
        <v>3200</v>
      </c>
      <c r="T340" s="4" t="s">
        <v>224</v>
      </c>
    </row>
    <row r="341" spans="1:20" ht="15.75" customHeight="1" x14ac:dyDescent="0.3">
      <c r="A341" s="72" t="s">
        <v>1207</v>
      </c>
      <c r="B341" s="1"/>
      <c r="C341" s="1"/>
      <c r="D341" s="1"/>
      <c r="E341" s="55">
        <f t="shared" si="125"/>
        <v>0</v>
      </c>
      <c r="F341" s="1"/>
      <c r="G341" s="1"/>
      <c r="H341" s="1">
        <v>1146</v>
      </c>
      <c r="I341" s="55">
        <f t="shared" si="126"/>
        <v>1146</v>
      </c>
      <c r="J341" s="1">
        <v>6306</v>
      </c>
      <c r="K341" s="1">
        <v>5574</v>
      </c>
      <c r="L341" s="1">
        <v>5555</v>
      </c>
      <c r="M341" s="55">
        <f t="shared" si="124"/>
        <v>17435</v>
      </c>
      <c r="N341" s="1">
        <v>1867</v>
      </c>
      <c r="O341" s="1">
        <v>552</v>
      </c>
      <c r="P341" s="1"/>
      <c r="Q341" s="55">
        <f t="shared" ref="Q341" si="127">SUM(N341:P341)</f>
        <v>2419</v>
      </c>
      <c r="R341" s="55">
        <f>+E341+I341+M341+Q341</f>
        <v>21000</v>
      </c>
    </row>
    <row r="342" spans="1:20" ht="15.75" customHeight="1" x14ac:dyDescent="0.3">
      <c r="A342" s="72" t="s">
        <v>1297</v>
      </c>
      <c r="B342" s="1"/>
      <c r="C342" s="1"/>
      <c r="D342" s="1">
        <v>315</v>
      </c>
      <c r="E342" s="55">
        <f t="shared" si="125"/>
        <v>315</v>
      </c>
      <c r="F342" s="1"/>
      <c r="G342" s="1"/>
      <c r="H342" s="1"/>
      <c r="I342" s="55">
        <f t="shared" si="126"/>
        <v>0</v>
      </c>
      <c r="J342" s="1"/>
      <c r="K342" s="1"/>
      <c r="L342" s="1"/>
      <c r="M342" s="55">
        <f t="shared" si="124"/>
        <v>0</v>
      </c>
      <c r="N342" s="1"/>
      <c r="O342" s="1"/>
      <c r="P342" s="1"/>
      <c r="Q342" s="55">
        <f>SUM(N342:P342)</f>
        <v>0</v>
      </c>
      <c r="R342" s="55">
        <f>+E342+I342+M342+Q342</f>
        <v>315</v>
      </c>
      <c r="S342" s="477" t="s">
        <v>1257</v>
      </c>
    </row>
    <row r="343" spans="1:20" ht="15.75" customHeight="1" x14ac:dyDescent="0.3">
      <c r="A343" s="72" t="s">
        <v>1208</v>
      </c>
      <c r="B343" s="1"/>
      <c r="C343" s="1"/>
      <c r="D343" s="1"/>
      <c r="E343" s="55">
        <f>SUM(B343:D343)</f>
        <v>0</v>
      </c>
      <c r="F343" s="1"/>
      <c r="G343" s="1"/>
      <c r="H343" s="1"/>
      <c r="I343" s="55">
        <f t="shared" ref="I343:I344" si="128">SUM(F343:H343)</f>
        <v>0</v>
      </c>
      <c r="J343" s="1"/>
      <c r="K343" s="1"/>
      <c r="L343" s="1"/>
      <c r="M343" s="55">
        <f t="shared" ref="M343:M344" si="129">SUM(J343:L343)</f>
        <v>0</v>
      </c>
      <c r="N343" s="1"/>
      <c r="O343" s="1"/>
      <c r="P343" s="1"/>
      <c r="Q343" s="55">
        <f t="shared" ref="Q343:Q344" si="130">SUM(N343:P343)</f>
        <v>0</v>
      </c>
      <c r="R343" s="55">
        <f t="shared" ref="R343:R344" si="131">+E343+I343+M343+Q343</f>
        <v>0</v>
      </c>
    </row>
    <row r="344" spans="1:20" ht="15.75" customHeight="1" x14ac:dyDescent="0.3">
      <c r="A344" s="72" t="s">
        <v>917</v>
      </c>
      <c r="B344" s="1"/>
      <c r="C344" s="1"/>
      <c r="D344" s="1">
        <v>28</v>
      </c>
      <c r="E344" s="55">
        <f>SUM(B344:D344)</f>
        <v>28</v>
      </c>
      <c r="F344" s="1">
        <v>2000</v>
      </c>
      <c r="G344" s="1"/>
      <c r="H344" s="1"/>
      <c r="I344" s="55">
        <f t="shared" si="128"/>
        <v>2000</v>
      </c>
      <c r="J344" s="1"/>
      <c r="K344" s="1"/>
      <c r="L344" s="1">
        <v>600</v>
      </c>
      <c r="M344" s="55">
        <f t="shared" si="129"/>
        <v>600</v>
      </c>
      <c r="N344" s="1"/>
      <c r="O344" s="1"/>
      <c r="P344" s="1"/>
      <c r="Q344" s="55">
        <f t="shared" si="130"/>
        <v>0</v>
      </c>
      <c r="R344" s="55">
        <f t="shared" si="131"/>
        <v>2628</v>
      </c>
      <c r="T344" s="4" t="s">
        <v>241</v>
      </c>
    </row>
    <row r="345" spans="1:20" ht="15.75" customHeight="1" x14ac:dyDescent="0.3">
      <c r="A345" s="72" t="s">
        <v>918</v>
      </c>
      <c r="B345" s="1"/>
      <c r="C345" s="1"/>
      <c r="D345" s="1"/>
      <c r="E345" s="55">
        <f t="shared" ref="E345:E346" si="132">SUM(B345:D345)</f>
        <v>0</v>
      </c>
      <c r="F345" s="1"/>
      <c r="G345" s="1"/>
      <c r="H345" s="1"/>
      <c r="I345" s="55">
        <f t="shared" ref="I345:I346" si="133">SUM(F345:H345)</f>
        <v>0</v>
      </c>
      <c r="J345" s="1"/>
      <c r="K345" s="1">
        <v>187</v>
      </c>
      <c r="L345" s="1">
        <v>1617</v>
      </c>
      <c r="M345" s="55">
        <f t="shared" ref="M345:M346" si="134">SUM(J345:L345)</f>
        <v>1804</v>
      </c>
      <c r="N345" s="1">
        <v>1684</v>
      </c>
      <c r="O345" s="1">
        <v>1285</v>
      </c>
      <c r="P345" s="1">
        <v>1125</v>
      </c>
      <c r="Q345" s="55">
        <f t="shared" si="119"/>
        <v>4094</v>
      </c>
      <c r="R345" s="55">
        <f t="shared" si="120"/>
        <v>5898</v>
      </c>
      <c r="T345" s="4" t="s">
        <v>919</v>
      </c>
    </row>
    <row r="346" spans="1:20" ht="15.75" customHeight="1" x14ac:dyDescent="0.3">
      <c r="A346" s="72" t="s">
        <v>920</v>
      </c>
      <c r="B346" s="1"/>
      <c r="C346" s="1"/>
      <c r="D346" s="1"/>
      <c r="E346" s="55">
        <f t="shared" si="132"/>
        <v>0</v>
      </c>
      <c r="F346" s="1"/>
      <c r="G346" s="1"/>
      <c r="H346" s="1">
        <v>1600</v>
      </c>
      <c r="I346" s="55">
        <f t="shared" si="133"/>
        <v>1600</v>
      </c>
      <c r="J346" s="1"/>
      <c r="K346" s="1"/>
      <c r="L346" s="1"/>
      <c r="M346" s="55">
        <f t="shared" si="134"/>
        <v>0</v>
      </c>
      <c r="N346" s="1"/>
      <c r="O346" s="1"/>
      <c r="P346" s="1"/>
      <c r="Q346" s="55">
        <f t="shared" si="119"/>
        <v>0</v>
      </c>
      <c r="R346" s="55">
        <f t="shared" si="120"/>
        <v>1600</v>
      </c>
      <c r="T346" s="4" t="s">
        <v>209</v>
      </c>
    </row>
    <row r="347" spans="1:20" ht="15.75" customHeight="1" x14ac:dyDescent="0.3">
      <c r="A347" s="72" t="s">
        <v>921</v>
      </c>
      <c r="B347" s="1"/>
      <c r="C347" s="1"/>
      <c r="D347" s="1"/>
      <c r="E347" s="55">
        <f t="shared" si="116"/>
        <v>0</v>
      </c>
      <c r="F347" s="1"/>
      <c r="G347" s="1"/>
      <c r="H347" s="1"/>
      <c r="I347" s="55">
        <f t="shared" si="117"/>
        <v>0</v>
      </c>
      <c r="J347" s="1"/>
      <c r="K347" s="1"/>
      <c r="L347" s="1"/>
      <c r="M347" s="55">
        <f t="shared" si="118"/>
        <v>0</v>
      </c>
      <c r="N347" s="1"/>
      <c r="O347" s="1"/>
      <c r="P347" s="1"/>
      <c r="Q347" s="55">
        <f t="shared" si="119"/>
        <v>0</v>
      </c>
      <c r="R347" s="55">
        <f t="shared" si="120"/>
        <v>0</v>
      </c>
      <c r="T347" s="4" t="s">
        <v>209</v>
      </c>
    </row>
    <row r="348" spans="1:20" ht="15.75" customHeight="1" x14ac:dyDescent="0.3">
      <c r="A348" s="72" t="s">
        <v>1209</v>
      </c>
      <c r="B348" s="1">
        <v>1163</v>
      </c>
      <c r="C348" s="1">
        <v>265</v>
      </c>
      <c r="D348" s="1"/>
      <c r="E348" s="55">
        <f t="shared" si="116"/>
        <v>1428</v>
      </c>
      <c r="F348" s="1"/>
      <c r="G348" s="1"/>
      <c r="H348" s="1"/>
      <c r="I348" s="55">
        <f t="shared" si="117"/>
        <v>0</v>
      </c>
      <c r="J348" s="1"/>
      <c r="K348" s="1"/>
      <c r="L348" s="1"/>
      <c r="M348" s="55">
        <f t="shared" si="118"/>
        <v>0</v>
      </c>
      <c r="N348" s="1"/>
      <c r="O348" s="1"/>
      <c r="P348" s="1"/>
      <c r="Q348" s="55">
        <f t="shared" si="119"/>
        <v>0</v>
      </c>
      <c r="R348" s="55">
        <f t="shared" si="120"/>
        <v>1428</v>
      </c>
    </row>
    <row r="349" spans="1:20" ht="15.75" customHeight="1" x14ac:dyDescent="0.3">
      <c r="A349" s="72" t="s">
        <v>922</v>
      </c>
      <c r="B349" s="1"/>
      <c r="C349" s="1"/>
      <c r="D349" s="1"/>
      <c r="E349" s="55">
        <f>SUM(B349:D349)</f>
        <v>0</v>
      </c>
      <c r="F349" s="1"/>
      <c r="G349" s="1"/>
      <c r="H349" s="1"/>
      <c r="I349" s="55">
        <f>SUM(F349:H349)</f>
        <v>0</v>
      </c>
      <c r="J349" s="1"/>
      <c r="K349" s="1"/>
      <c r="L349" s="1"/>
      <c r="M349" s="55">
        <f t="shared" si="118"/>
        <v>0</v>
      </c>
      <c r="N349" s="1"/>
      <c r="O349" s="1"/>
      <c r="P349" s="1"/>
      <c r="Q349" s="55">
        <f>SUM(N349:P349)</f>
        <v>0</v>
      </c>
      <c r="R349" s="55">
        <f t="shared" si="120"/>
        <v>0</v>
      </c>
      <c r="T349" s="4" t="s">
        <v>241</v>
      </c>
    </row>
    <row r="350" spans="1:20" ht="15.75" customHeight="1" x14ac:dyDescent="0.3">
      <c r="A350" s="72" t="s">
        <v>118</v>
      </c>
      <c r="B350" s="1"/>
      <c r="C350" s="1"/>
      <c r="D350" s="1"/>
      <c r="E350" s="55">
        <f t="shared" ref="E350" si="135">SUM(B350:D350)</f>
        <v>0</v>
      </c>
      <c r="F350" s="1"/>
      <c r="G350" s="1"/>
      <c r="H350" s="1"/>
      <c r="I350" s="55">
        <f t="shared" ref="I350" si="136">SUM(F350:H350)</f>
        <v>0</v>
      </c>
      <c r="J350" s="1"/>
      <c r="K350" s="1">
        <v>994</v>
      </c>
      <c r="L350" s="1">
        <v>1713</v>
      </c>
      <c r="M350" s="55">
        <f t="shared" si="118"/>
        <v>2707</v>
      </c>
      <c r="N350" s="1">
        <v>1735</v>
      </c>
      <c r="O350" s="1">
        <v>1377</v>
      </c>
      <c r="P350" s="1">
        <v>1016</v>
      </c>
      <c r="Q350" s="55">
        <f t="shared" si="119"/>
        <v>4128</v>
      </c>
      <c r="R350" s="55">
        <f t="shared" si="120"/>
        <v>6835</v>
      </c>
      <c r="T350" s="4" t="s">
        <v>919</v>
      </c>
    </row>
    <row r="351" spans="1:20" ht="15.75" customHeight="1" x14ac:dyDescent="0.3">
      <c r="A351" s="72" t="s">
        <v>923</v>
      </c>
      <c r="B351" s="1"/>
      <c r="C351" s="1"/>
      <c r="D351" s="1"/>
      <c r="E351" s="55">
        <f>SUM(B351:D351)</f>
        <v>0</v>
      </c>
      <c r="F351" s="1"/>
      <c r="G351" s="1"/>
      <c r="H351" s="1"/>
      <c r="I351" s="55">
        <f>SUM(F351:H351)</f>
        <v>0</v>
      </c>
      <c r="J351" s="1"/>
      <c r="K351" s="1"/>
      <c r="L351" s="1"/>
      <c r="M351" s="55">
        <f>SUM(J351:L351)</f>
        <v>0</v>
      </c>
      <c r="N351" s="1"/>
      <c r="O351" s="1"/>
      <c r="P351" s="1"/>
      <c r="Q351" s="55">
        <f>SUM(N351:P351)</f>
        <v>0</v>
      </c>
      <c r="R351" s="55">
        <f t="shared" si="120"/>
        <v>0</v>
      </c>
      <c r="T351" s="4" t="s">
        <v>241</v>
      </c>
    </row>
    <row r="352" spans="1:20" ht="15.75" customHeight="1" x14ac:dyDescent="0.3">
      <c r="A352" s="72" t="s">
        <v>924</v>
      </c>
      <c r="B352" s="1"/>
      <c r="C352" s="1"/>
      <c r="D352" s="1"/>
      <c r="E352" s="55">
        <f t="shared" si="116"/>
        <v>0</v>
      </c>
      <c r="F352" s="1"/>
      <c r="G352" s="1"/>
      <c r="H352" s="1"/>
      <c r="I352" s="55">
        <f t="shared" si="117"/>
        <v>0</v>
      </c>
      <c r="J352" s="1"/>
      <c r="K352" s="1"/>
      <c r="L352" s="1"/>
      <c r="M352" s="55">
        <f t="shared" si="118"/>
        <v>0</v>
      </c>
      <c r="N352" s="1"/>
      <c r="O352" s="1"/>
      <c r="P352" s="1"/>
      <c r="Q352" s="55">
        <f t="shared" si="119"/>
        <v>0</v>
      </c>
      <c r="R352" s="55">
        <f t="shared" si="120"/>
        <v>0</v>
      </c>
      <c r="S352" s="300"/>
      <c r="T352" s="4" t="s">
        <v>214</v>
      </c>
    </row>
    <row r="353" spans="1:20" ht="15.75" customHeight="1" x14ac:dyDescent="0.3">
      <c r="A353" s="72" t="s">
        <v>925</v>
      </c>
      <c r="B353" s="1">
        <v>28</v>
      </c>
      <c r="C353" s="1">
        <v>25</v>
      </c>
      <c r="D353" s="1">
        <v>49</v>
      </c>
      <c r="E353" s="55">
        <f t="shared" si="116"/>
        <v>102</v>
      </c>
      <c r="F353" s="1">
        <v>43</v>
      </c>
      <c r="G353" s="1">
        <v>78</v>
      </c>
      <c r="H353" s="1">
        <v>69</v>
      </c>
      <c r="I353" s="55">
        <f>SUM(F353:H353)</f>
        <v>190</v>
      </c>
      <c r="J353" s="1">
        <v>74</v>
      </c>
      <c r="K353" s="1">
        <v>56</v>
      </c>
      <c r="L353" s="1">
        <v>11</v>
      </c>
      <c r="M353" s="55">
        <f>SUM(J353:L353)</f>
        <v>141</v>
      </c>
      <c r="N353" s="1"/>
      <c r="O353" s="1"/>
      <c r="P353" s="1"/>
      <c r="Q353" s="55">
        <f>SUM(N353:P353)</f>
        <v>0</v>
      </c>
      <c r="R353" s="55">
        <f>+E353+I353+M353+Q353</f>
        <v>433</v>
      </c>
      <c r="T353" s="4" t="s">
        <v>406</v>
      </c>
    </row>
    <row r="354" spans="1:20" ht="15.75" customHeight="1" x14ac:dyDescent="0.3">
      <c r="A354" s="72" t="s">
        <v>215</v>
      </c>
      <c r="B354" s="1">
        <v>2381</v>
      </c>
      <c r="C354" s="1"/>
      <c r="D354" s="1"/>
      <c r="E354" s="55">
        <f t="shared" ref="E354" si="137">SUM(B354:D354)</f>
        <v>2381</v>
      </c>
      <c r="F354" s="1">
        <v>2125</v>
      </c>
      <c r="G354" s="1">
        <v>267</v>
      </c>
      <c r="H354" s="1">
        <f>4619+1181</f>
        <v>5800</v>
      </c>
      <c r="I354" s="55">
        <f t="shared" ref="I354" si="138">SUM(F354:H354)</f>
        <v>8192</v>
      </c>
      <c r="J354" s="1">
        <f>1574+4118</f>
        <v>5692</v>
      </c>
      <c r="K354" s="1">
        <f>1898+3334</f>
        <v>5232</v>
      </c>
      <c r="L354" s="1">
        <f>1645+3079</f>
        <v>4724</v>
      </c>
      <c r="M354" s="55">
        <f t="shared" ref="M354" si="139">SUM(J354:L354)</f>
        <v>15648</v>
      </c>
      <c r="N354" s="1">
        <f>1558+2350</f>
        <v>3908</v>
      </c>
      <c r="O354" s="1">
        <f>1507+2796</f>
        <v>4303</v>
      </c>
      <c r="P354" s="1">
        <f>1461+3674</f>
        <v>5135</v>
      </c>
      <c r="Q354" s="55">
        <f t="shared" si="119"/>
        <v>13346</v>
      </c>
      <c r="R354" s="55">
        <f t="shared" si="120"/>
        <v>39567</v>
      </c>
      <c r="T354" s="4" t="s">
        <v>210</v>
      </c>
    </row>
    <row r="355" spans="1:20" ht="15.75" customHeight="1" x14ac:dyDescent="0.3">
      <c r="A355" s="72" t="s">
        <v>1211</v>
      </c>
      <c r="B355" s="1"/>
      <c r="C355" s="1"/>
      <c r="D355" s="1"/>
      <c r="E355" s="55">
        <f t="shared" si="116"/>
        <v>0</v>
      </c>
      <c r="F355" s="1"/>
      <c r="G355" s="1"/>
      <c r="H355" s="1"/>
      <c r="I355" s="55">
        <f t="shared" si="117"/>
        <v>0</v>
      </c>
      <c r="J355" s="1"/>
      <c r="K355" s="1"/>
      <c r="L355" s="1"/>
      <c r="M355" s="55">
        <f t="shared" si="118"/>
        <v>0</v>
      </c>
      <c r="N355" s="1"/>
      <c r="O355" s="1"/>
      <c r="P355" s="1"/>
      <c r="Q355" s="55">
        <f t="shared" si="119"/>
        <v>0</v>
      </c>
      <c r="R355" s="55">
        <f t="shared" si="120"/>
        <v>0</v>
      </c>
      <c r="T355" s="4" t="s">
        <v>256</v>
      </c>
    </row>
    <row r="356" spans="1:20" ht="15.75" customHeight="1" x14ac:dyDescent="0.3">
      <c r="A356" s="72" t="s">
        <v>1212</v>
      </c>
      <c r="B356" s="1">
        <v>417</v>
      </c>
      <c r="C356" s="1">
        <v>417</v>
      </c>
      <c r="D356" s="1">
        <v>417</v>
      </c>
      <c r="E356" s="55">
        <f t="shared" si="116"/>
        <v>1251</v>
      </c>
      <c r="F356" s="1">
        <v>417</v>
      </c>
      <c r="G356" s="1">
        <v>417</v>
      </c>
      <c r="H356" s="1">
        <v>417</v>
      </c>
      <c r="I356" s="55">
        <f t="shared" si="117"/>
        <v>1251</v>
      </c>
      <c r="J356" s="1">
        <v>417</v>
      </c>
      <c r="K356" s="1"/>
      <c r="L356" s="1">
        <f>657+1021+403</f>
        <v>2081</v>
      </c>
      <c r="M356" s="55">
        <f t="shared" si="118"/>
        <v>2498</v>
      </c>
      <c r="N356" s="1"/>
      <c r="O356" s="1"/>
      <c r="P356" s="1"/>
      <c r="Q356" s="55">
        <f t="shared" si="119"/>
        <v>0</v>
      </c>
      <c r="R356" s="55">
        <f t="shared" si="120"/>
        <v>5000</v>
      </c>
    </row>
    <row r="357" spans="1:20" ht="15.75" customHeight="1" x14ac:dyDescent="0.3">
      <c r="A357" s="72" t="s">
        <v>1298</v>
      </c>
      <c r="B357" s="1"/>
      <c r="C357" s="1"/>
      <c r="D357" s="1"/>
      <c r="E357" s="55">
        <f t="shared" si="116"/>
        <v>0</v>
      </c>
      <c r="F357" s="1"/>
      <c r="G357" s="1"/>
      <c r="H357" s="1"/>
      <c r="I357" s="55">
        <f t="shared" si="117"/>
        <v>0</v>
      </c>
      <c r="J357" s="1"/>
      <c r="K357" s="1"/>
      <c r="L357" s="1"/>
      <c r="M357" s="55">
        <f t="shared" si="118"/>
        <v>0</v>
      </c>
      <c r="N357" s="1"/>
      <c r="O357" s="1"/>
      <c r="P357" s="1"/>
      <c r="Q357" s="55">
        <f t="shared" si="119"/>
        <v>0</v>
      </c>
      <c r="R357" s="55">
        <f t="shared" si="120"/>
        <v>0</v>
      </c>
      <c r="S357" s="477" t="s">
        <v>1257</v>
      </c>
    </row>
    <row r="358" spans="1:20" ht="15.75" customHeight="1" x14ac:dyDescent="0.3">
      <c r="A358" s="72" t="s">
        <v>926</v>
      </c>
      <c r="B358" s="1"/>
      <c r="C358" s="1"/>
      <c r="D358" s="1"/>
      <c r="E358" s="55">
        <f t="shared" si="116"/>
        <v>0</v>
      </c>
      <c r="F358" s="1"/>
      <c r="G358" s="1"/>
      <c r="H358" s="1"/>
      <c r="I358" s="55">
        <f t="shared" si="117"/>
        <v>0</v>
      </c>
      <c r="J358" s="1"/>
      <c r="K358" s="1"/>
      <c r="L358" s="1">
        <v>1222</v>
      </c>
      <c r="M358" s="55">
        <f t="shared" si="118"/>
        <v>1222</v>
      </c>
      <c r="N358" s="1"/>
      <c r="O358" s="1"/>
      <c r="P358" s="1"/>
      <c r="Q358" s="55">
        <f>SUM(N358:P358)</f>
        <v>0</v>
      </c>
      <c r="R358" s="55">
        <f>+E358+I358+M358+Q358</f>
        <v>1222</v>
      </c>
      <c r="T358" s="4" t="s">
        <v>241</v>
      </c>
    </row>
    <row r="359" spans="1:20" ht="15.75" customHeight="1" x14ac:dyDescent="0.3">
      <c r="A359" s="72" t="s">
        <v>927</v>
      </c>
      <c r="B359" s="1">
        <v>28</v>
      </c>
      <c r="C359" s="1">
        <v>42</v>
      </c>
      <c r="D359" s="1">
        <v>37</v>
      </c>
      <c r="E359" s="55">
        <f>SUM(B359:D359)</f>
        <v>107</v>
      </c>
      <c r="F359" s="1">
        <v>47</v>
      </c>
      <c r="G359" s="1">
        <v>72</v>
      </c>
      <c r="H359" s="1">
        <v>77</v>
      </c>
      <c r="I359" s="55">
        <f>SUM(F359:H359)</f>
        <v>196</v>
      </c>
      <c r="J359" s="1">
        <v>85</v>
      </c>
      <c r="K359" s="1">
        <v>61</v>
      </c>
      <c r="L359" s="1">
        <v>54</v>
      </c>
      <c r="M359" s="55">
        <f>SUM(J359:L359)</f>
        <v>200</v>
      </c>
      <c r="N359" s="1">
        <v>41</v>
      </c>
      <c r="O359" s="1">
        <v>47</v>
      </c>
      <c r="P359" s="1">
        <v>35</v>
      </c>
      <c r="Q359" s="55">
        <f>SUM(N359:P359)</f>
        <v>123</v>
      </c>
      <c r="R359" s="55">
        <f>+E359+I359+M359+Q359</f>
        <v>626</v>
      </c>
      <c r="T359" s="4" t="s">
        <v>406</v>
      </c>
    </row>
    <row r="360" spans="1:20" ht="15.75" customHeight="1" x14ac:dyDescent="0.3">
      <c r="A360" s="71" t="s">
        <v>929</v>
      </c>
      <c r="B360" s="1"/>
      <c r="C360" s="1"/>
      <c r="D360" s="1"/>
      <c r="E360" s="55">
        <f>SUM(B360:D360)</f>
        <v>0</v>
      </c>
      <c r="F360" s="1"/>
      <c r="G360" s="1">
        <v>34</v>
      </c>
      <c r="H360" s="1"/>
      <c r="I360" s="55">
        <f>SUM(F360:H360)</f>
        <v>34</v>
      </c>
      <c r="J360" s="1"/>
      <c r="K360" s="1"/>
      <c r="L360" s="1"/>
      <c r="M360" s="55">
        <f>SUM(J360:L360)</f>
        <v>0</v>
      </c>
      <c r="N360" s="1"/>
      <c r="O360" s="1"/>
      <c r="P360" s="1"/>
      <c r="Q360" s="55">
        <f>SUM(N360:P360)</f>
        <v>0</v>
      </c>
      <c r="R360" s="55">
        <f t="shared" si="120"/>
        <v>34</v>
      </c>
    </row>
    <row r="361" spans="1:20" ht="15.75" customHeight="1" x14ac:dyDescent="0.3">
      <c r="A361" s="72" t="s">
        <v>930</v>
      </c>
      <c r="B361" s="1"/>
      <c r="C361" s="1"/>
      <c r="D361" s="1">
        <v>25</v>
      </c>
      <c r="E361" s="55">
        <f t="shared" ref="E361" si="140">SUM(B361:D361)</f>
        <v>25</v>
      </c>
      <c r="F361" s="1">
        <v>30</v>
      </c>
      <c r="G361" s="1">
        <v>55</v>
      </c>
      <c r="H361" s="1">
        <v>96</v>
      </c>
      <c r="I361" s="55">
        <f t="shared" ref="I361" si="141">SUM(F361:H361)</f>
        <v>181</v>
      </c>
      <c r="J361" s="1">
        <v>98</v>
      </c>
      <c r="K361" s="1">
        <v>111</v>
      </c>
      <c r="L361" s="1">
        <v>80</v>
      </c>
      <c r="M361" s="55">
        <f t="shared" ref="M361" si="142">SUM(J361:L361)</f>
        <v>289</v>
      </c>
      <c r="N361" s="1"/>
      <c r="O361" s="1"/>
      <c r="P361" s="1"/>
      <c r="Q361" s="55">
        <f t="shared" si="119"/>
        <v>0</v>
      </c>
      <c r="R361" s="55">
        <f t="shared" si="120"/>
        <v>495</v>
      </c>
      <c r="S361" s="4">
        <f>SUM(R332:R361)</f>
        <v>101431</v>
      </c>
      <c r="T361" s="4" t="s">
        <v>214</v>
      </c>
    </row>
    <row r="362" spans="1:20" ht="15.75" customHeight="1" x14ac:dyDescent="0.3">
      <c r="A362" s="72" t="s">
        <v>931</v>
      </c>
      <c r="B362" s="1">
        <v>15</v>
      </c>
      <c r="C362" s="1">
        <v>19</v>
      </c>
      <c r="D362" s="1">
        <v>40</v>
      </c>
      <c r="E362" s="55">
        <f>SUM(B362:D362)</f>
        <v>74</v>
      </c>
      <c r="F362" s="1">
        <v>45</v>
      </c>
      <c r="G362" s="1">
        <v>58</v>
      </c>
      <c r="H362" s="1">
        <v>57</v>
      </c>
      <c r="I362" s="55">
        <f>SUM(F362:H362)</f>
        <v>160</v>
      </c>
      <c r="J362" s="1">
        <v>69</v>
      </c>
      <c r="K362" s="1">
        <v>53</v>
      </c>
      <c r="L362" s="1">
        <v>63</v>
      </c>
      <c r="M362" s="55">
        <f>SUM(J362:L362)</f>
        <v>185</v>
      </c>
      <c r="N362" s="1">
        <v>47</v>
      </c>
      <c r="O362" s="1">
        <v>36</v>
      </c>
      <c r="P362" s="1">
        <v>16</v>
      </c>
      <c r="Q362" s="55">
        <f>SUM(N362:P362)</f>
        <v>99</v>
      </c>
      <c r="R362" s="55">
        <f>+E362+I362+M362+Q362</f>
        <v>518</v>
      </c>
      <c r="T362" s="4" t="s">
        <v>406</v>
      </c>
    </row>
    <row r="363" spans="1:20" ht="15.75" customHeight="1" x14ac:dyDescent="0.3">
      <c r="A363" s="15" t="s">
        <v>50</v>
      </c>
      <c r="B363" s="1"/>
      <c r="C363" s="1"/>
      <c r="D363" s="1"/>
      <c r="E363" s="55" t="s">
        <v>7</v>
      </c>
      <c r="F363" s="1"/>
      <c r="G363" s="1"/>
      <c r="H363" s="1"/>
      <c r="I363" s="55" t="s">
        <v>7</v>
      </c>
      <c r="J363" s="1"/>
      <c r="K363" s="1"/>
      <c r="L363" s="1"/>
      <c r="M363" s="55" t="s">
        <v>7</v>
      </c>
      <c r="N363" s="1"/>
      <c r="O363" s="1"/>
      <c r="P363" s="1"/>
      <c r="Q363" s="55" t="s">
        <v>7</v>
      </c>
      <c r="R363" s="55" t="s">
        <v>7</v>
      </c>
    </row>
    <row r="364" spans="1:20" ht="15.75" customHeight="1" x14ac:dyDescent="0.3">
      <c r="A364" s="72" t="s">
        <v>217</v>
      </c>
      <c r="B364" s="1"/>
      <c r="C364" s="1"/>
      <c r="D364" s="1"/>
      <c r="E364" s="55">
        <f t="shared" ref="E364:E375" si="143">SUM(B364:D364)</f>
        <v>0</v>
      </c>
      <c r="F364" s="1"/>
      <c r="G364" s="1"/>
      <c r="H364" s="1"/>
      <c r="I364" s="55">
        <f t="shared" ref="I364:I375" si="144">SUM(F364:H364)</f>
        <v>0</v>
      </c>
      <c r="J364" s="1"/>
      <c r="K364" s="1"/>
      <c r="L364" s="1"/>
      <c r="M364" s="55">
        <f t="shared" ref="M364:M375" si="145">SUM(J364:L364)</f>
        <v>0</v>
      </c>
      <c r="N364" s="1"/>
      <c r="O364" s="1"/>
      <c r="P364" s="1"/>
      <c r="Q364" s="55">
        <f t="shared" ref="Q364:Q375" si="146">SUM(N364:P364)</f>
        <v>0</v>
      </c>
      <c r="R364" s="55">
        <f t="shared" ref="R364:R375" si="147">+E364+I364+M364+Q364</f>
        <v>0</v>
      </c>
    </row>
    <row r="365" spans="1:20" ht="15.75" customHeight="1" x14ac:dyDescent="0.3">
      <c r="A365" s="72" t="s">
        <v>932</v>
      </c>
      <c r="B365" s="1"/>
      <c r="C365" s="1"/>
      <c r="D365" s="1"/>
      <c r="E365" s="55">
        <f>SUM(B365:D365)</f>
        <v>0</v>
      </c>
      <c r="F365" s="1"/>
      <c r="G365" s="1"/>
      <c r="H365" s="1"/>
      <c r="I365" s="55">
        <f>SUM(F365:H365)</f>
        <v>0</v>
      </c>
      <c r="J365" s="1"/>
      <c r="K365" s="1"/>
      <c r="L365" s="1"/>
      <c r="M365" s="55">
        <f>SUM(J365:L365)</f>
        <v>0</v>
      </c>
      <c r="N365" s="1"/>
      <c r="O365" s="1"/>
      <c r="P365" s="1"/>
      <c r="Q365" s="55">
        <f>SUM(N365:P365)</f>
        <v>0</v>
      </c>
      <c r="R365" s="55">
        <f>+E365+I365+M365+Q365</f>
        <v>0</v>
      </c>
      <c r="T365" s="4" t="s">
        <v>220</v>
      </c>
    </row>
    <row r="366" spans="1:20" ht="15.75" customHeight="1" x14ac:dyDescent="0.3">
      <c r="A366" s="72" t="s">
        <v>264</v>
      </c>
      <c r="B366" s="1"/>
      <c r="C366" s="1"/>
      <c r="D366" s="1"/>
      <c r="E366" s="55">
        <f>SUM(B366:D366)</f>
        <v>0</v>
      </c>
      <c r="F366" s="1"/>
      <c r="G366" s="1"/>
      <c r="H366" s="1"/>
      <c r="I366" s="55">
        <f>SUM(F366:H366)</f>
        <v>0</v>
      </c>
      <c r="J366" s="1"/>
      <c r="K366" s="1"/>
      <c r="L366" s="1"/>
      <c r="M366" s="55">
        <f>SUM(J366:L366)</f>
        <v>0</v>
      </c>
      <c r="N366" s="1"/>
      <c r="O366" s="1"/>
      <c r="P366" s="1">
        <v>147</v>
      </c>
      <c r="Q366" s="55">
        <f>SUM(N366:P366)</f>
        <v>147</v>
      </c>
      <c r="R366" s="55">
        <f>+E366+I366+M366+Q366</f>
        <v>147</v>
      </c>
      <c r="T366" s="4" t="s">
        <v>919</v>
      </c>
    </row>
    <row r="367" spans="1:20" ht="15.75" customHeight="1" x14ac:dyDescent="0.3">
      <c r="A367" s="72" t="s">
        <v>643</v>
      </c>
      <c r="B367" s="1"/>
      <c r="C367" s="1"/>
      <c r="D367" s="1"/>
      <c r="E367" s="55">
        <f>SUM(B367:D367)</f>
        <v>0</v>
      </c>
      <c r="F367" s="1"/>
      <c r="G367" s="1"/>
      <c r="H367" s="1"/>
      <c r="I367" s="55">
        <f>SUM(F367:H367)</f>
        <v>0</v>
      </c>
      <c r="J367" s="1"/>
      <c r="K367" s="1"/>
      <c r="L367" s="1"/>
      <c r="M367" s="55">
        <f>SUM(J367:L367)</f>
        <v>0</v>
      </c>
      <c r="N367" s="1"/>
      <c r="O367" s="1"/>
      <c r="P367" s="1"/>
      <c r="Q367" s="55">
        <f>SUM(N367:P367)</f>
        <v>0</v>
      </c>
      <c r="R367" s="55">
        <f>+E367+I367+M367+Q367</f>
        <v>0</v>
      </c>
      <c r="T367" s="4" t="s">
        <v>256</v>
      </c>
    </row>
    <row r="368" spans="1:20" ht="15.75" customHeight="1" x14ac:dyDescent="0.3">
      <c r="A368" s="72" t="s">
        <v>924</v>
      </c>
      <c r="B368" s="1"/>
      <c r="C368" s="1"/>
      <c r="D368" s="1"/>
      <c r="E368" s="55">
        <f t="shared" si="143"/>
        <v>0</v>
      </c>
      <c r="F368" s="1"/>
      <c r="G368" s="1"/>
      <c r="H368" s="1"/>
      <c r="I368" s="55">
        <f t="shared" si="144"/>
        <v>0</v>
      </c>
      <c r="J368" s="1"/>
      <c r="K368" s="1"/>
      <c r="L368" s="1"/>
      <c r="M368" s="55">
        <f t="shared" si="145"/>
        <v>0</v>
      </c>
      <c r="N368" s="1"/>
      <c r="O368" s="1"/>
      <c r="P368" s="1"/>
      <c r="Q368" s="55">
        <f t="shared" si="146"/>
        <v>0</v>
      </c>
      <c r="R368" s="55">
        <f>+E368+I368+M368+Q368</f>
        <v>0</v>
      </c>
      <c r="T368" s="4" t="s">
        <v>214</v>
      </c>
    </row>
    <row r="369" spans="1:23" ht="15.75" customHeight="1" x14ac:dyDescent="0.3">
      <c r="A369" s="72" t="s">
        <v>721</v>
      </c>
      <c r="B369" s="1"/>
      <c r="C369" s="1"/>
      <c r="D369" s="1"/>
      <c r="E369" s="55">
        <f>SUM(B369:D369)</f>
        <v>0</v>
      </c>
      <c r="F369" s="1"/>
      <c r="G369" s="1"/>
      <c r="H369" s="1"/>
      <c r="I369" s="55">
        <f>SUM(F369:H369)</f>
        <v>0</v>
      </c>
      <c r="J369" s="1"/>
      <c r="K369" s="1"/>
      <c r="L369" s="1"/>
      <c r="M369" s="55">
        <f>SUM(J369:L369)</f>
        <v>0</v>
      </c>
      <c r="N369" s="1"/>
      <c r="O369" s="1"/>
      <c r="P369" s="1"/>
      <c r="Q369" s="55">
        <f>SUM(N369:P369)</f>
        <v>0</v>
      </c>
      <c r="R369" s="55">
        <f>+E369+I369+M369+Q369</f>
        <v>0</v>
      </c>
      <c r="T369" s="4" t="s">
        <v>218</v>
      </c>
    </row>
    <row r="370" spans="1:23" ht="15.75" customHeight="1" x14ac:dyDescent="0.3">
      <c r="A370" s="72" t="s">
        <v>222</v>
      </c>
      <c r="B370" s="1"/>
      <c r="C370" s="1"/>
      <c r="D370" s="1"/>
      <c r="E370" s="55">
        <f t="shared" si="143"/>
        <v>0</v>
      </c>
      <c r="F370" s="1"/>
      <c r="G370" s="1"/>
      <c r="H370" s="1"/>
      <c r="I370" s="55">
        <f t="shared" si="144"/>
        <v>0</v>
      </c>
      <c r="J370" s="1"/>
      <c r="K370" s="1"/>
      <c r="L370" s="1"/>
      <c r="M370" s="55">
        <f t="shared" si="145"/>
        <v>0</v>
      </c>
      <c r="N370" s="1"/>
      <c r="O370" s="1"/>
      <c r="P370" s="1"/>
      <c r="Q370" s="55">
        <f t="shared" si="146"/>
        <v>0</v>
      </c>
      <c r="R370" s="55">
        <f t="shared" si="147"/>
        <v>0</v>
      </c>
    </row>
    <row r="371" spans="1:23" ht="15.75" customHeight="1" x14ac:dyDescent="0.3">
      <c r="A371" s="72" t="s">
        <v>933</v>
      </c>
      <c r="B371" s="1"/>
      <c r="C371" s="1"/>
      <c r="D371" s="1"/>
      <c r="E371" s="55">
        <f t="shared" si="143"/>
        <v>0</v>
      </c>
      <c r="F371" s="1"/>
      <c r="G371" s="1"/>
      <c r="H371" s="1"/>
      <c r="I371" s="55">
        <f t="shared" si="144"/>
        <v>0</v>
      </c>
      <c r="J371" s="1"/>
      <c r="K371" s="1"/>
      <c r="L371" s="1"/>
      <c r="M371" s="55">
        <f t="shared" si="145"/>
        <v>0</v>
      </c>
      <c r="N371" s="1"/>
      <c r="O371" s="1"/>
      <c r="P371" s="1"/>
      <c r="Q371" s="55">
        <f t="shared" si="146"/>
        <v>0</v>
      </c>
      <c r="R371" s="55">
        <f t="shared" si="147"/>
        <v>0</v>
      </c>
      <c r="T371" s="4" t="s">
        <v>226</v>
      </c>
    </row>
    <row r="372" spans="1:23" ht="15.75" customHeight="1" x14ac:dyDescent="0.3">
      <c r="A372" s="72" t="s">
        <v>227</v>
      </c>
      <c r="B372" s="1"/>
      <c r="C372" s="1"/>
      <c r="D372" s="1"/>
      <c r="E372" s="55">
        <f t="shared" si="143"/>
        <v>0</v>
      </c>
      <c r="F372" s="1"/>
      <c r="G372" s="1"/>
      <c r="H372" s="1"/>
      <c r="I372" s="55">
        <f t="shared" si="144"/>
        <v>0</v>
      </c>
      <c r="J372" s="1"/>
      <c r="K372" s="1"/>
      <c r="L372" s="1"/>
      <c r="M372" s="55">
        <f t="shared" si="145"/>
        <v>0</v>
      </c>
      <c r="N372" s="1"/>
      <c r="O372" s="1"/>
      <c r="P372" s="1"/>
      <c r="Q372" s="55">
        <f t="shared" si="146"/>
        <v>0</v>
      </c>
      <c r="R372" s="55">
        <f t="shared" si="147"/>
        <v>0</v>
      </c>
      <c r="T372" s="4" t="s">
        <v>226</v>
      </c>
    </row>
    <row r="373" spans="1:23" ht="15.75" customHeight="1" x14ac:dyDescent="0.3">
      <c r="A373" s="72" t="s">
        <v>934</v>
      </c>
      <c r="B373" s="1"/>
      <c r="C373" s="1"/>
      <c r="D373" s="1"/>
      <c r="E373" s="55">
        <f t="shared" si="143"/>
        <v>0</v>
      </c>
      <c r="F373" s="1"/>
      <c r="G373" s="1"/>
      <c r="H373" s="1"/>
      <c r="I373" s="55">
        <f t="shared" si="144"/>
        <v>0</v>
      </c>
      <c r="J373" s="1"/>
      <c r="K373" s="1"/>
      <c r="L373" s="1"/>
      <c r="M373" s="55">
        <f t="shared" si="145"/>
        <v>0</v>
      </c>
      <c r="N373" s="1"/>
      <c r="O373" s="1"/>
      <c r="P373" s="1"/>
      <c r="Q373" s="55">
        <f t="shared" si="146"/>
        <v>0</v>
      </c>
      <c r="R373" s="55">
        <f t="shared" si="147"/>
        <v>0</v>
      </c>
      <c r="T373" s="4" t="s">
        <v>406</v>
      </c>
    </row>
    <row r="374" spans="1:23" ht="15.75" customHeight="1" x14ac:dyDescent="0.3">
      <c r="A374" s="72" t="s">
        <v>634</v>
      </c>
      <c r="B374" s="1"/>
      <c r="C374" s="1"/>
      <c r="D374" s="1"/>
      <c r="E374" s="55">
        <f>SUM(B374:D374)</f>
        <v>0</v>
      </c>
      <c r="F374" s="1"/>
      <c r="G374" s="1"/>
      <c r="H374" s="1"/>
      <c r="I374" s="55">
        <f>SUM(F374:H374)</f>
        <v>0</v>
      </c>
      <c r="J374" s="1"/>
      <c r="K374" s="1"/>
      <c r="L374" s="1"/>
      <c r="M374" s="55">
        <f>SUM(J374:L374)</f>
        <v>0</v>
      </c>
      <c r="N374" s="1"/>
      <c r="O374" s="1"/>
      <c r="P374" s="1"/>
      <c r="Q374" s="55">
        <f>SUM(N374:P374)</f>
        <v>0</v>
      </c>
      <c r="R374" s="55">
        <f>+E374+I374+M374+Q374</f>
        <v>0</v>
      </c>
      <c r="T374" s="4" t="s">
        <v>406</v>
      </c>
    </row>
    <row r="375" spans="1:23" ht="15.75" customHeight="1" x14ac:dyDescent="0.3">
      <c r="A375" s="72" t="s">
        <v>635</v>
      </c>
      <c r="B375" s="1"/>
      <c r="C375" s="1"/>
      <c r="D375" s="1"/>
      <c r="E375" s="55">
        <f t="shared" si="143"/>
        <v>0</v>
      </c>
      <c r="F375" s="1"/>
      <c r="G375" s="1"/>
      <c r="H375" s="1"/>
      <c r="I375" s="55">
        <f t="shared" si="144"/>
        <v>0</v>
      </c>
      <c r="J375" s="1"/>
      <c r="K375" s="1"/>
      <c r="L375" s="1"/>
      <c r="M375" s="55">
        <f t="shared" si="145"/>
        <v>0</v>
      </c>
      <c r="N375" s="1"/>
      <c r="O375" s="1"/>
      <c r="P375" s="1"/>
      <c r="Q375" s="55">
        <f t="shared" si="146"/>
        <v>0</v>
      </c>
      <c r="R375" s="55">
        <f t="shared" si="147"/>
        <v>0</v>
      </c>
      <c r="T375" s="4" t="s">
        <v>232</v>
      </c>
    </row>
    <row r="376" spans="1:23" ht="15.75" customHeight="1" x14ac:dyDescent="0.3">
      <c r="A376" s="15" t="s">
        <v>1186</v>
      </c>
      <c r="B376" s="1"/>
      <c r="C376" s="1"/>
      <c r="D376" s="1"/>
      <c r="E376" s="55" t="s">
        <v>7</v>
      </c>
      <c r="F376" s="1"/>
      <c r="G376" s="1"/>
      <c r="H376" s="1"/>
      <c r="I376" s="55" t="s">
        <v>7</v>
      </c>
      <c r="J376" s="1"/>
      <c r="K376" s="1"/>
      <c r="L376" s="1"/>
      <c r="M376" s="55" t="s">
        <v>7</v>
      </c>
      <c r="N376" s="1"/>
      <c r="O376" s="1"/>
      <c r="P376" s="1"/>
      <c r="Q376" s="55" t="s">
        <v>7</v>
      </c>
      <c r="R376" s="55" t="s">
        <v>7</v>
      </c>
    </row>
    <row r="377" spans="1:23" ht="15.75" customHeight="1" x14ac:dyDescent="0.3">
      <c r="A377" s="72" t="s">
        <v>1299</v>
      </c>
      <c r="B377" s="1"/>
      <c r="C377" s="1"/>
      <c r="D377" s="1"/>
      <c r="E377" s="55">
        <f>SUM(B377:D377)</f>
        <v>0</v>
      </c>
      <c r="F377" s="1"/>
      <c r="G377" s="1"/>
      <c r="H377" s="1"/>
      <c r="I377" s="55">
        <f>SUM(F377:H377)</f>
        <v>0</v>
      </c>
      <c r="J377" s="1"/>
      <c r="K377" s="1"/>
      <c r="L377" s="1"/>
      <c r="M377" s="55">
        <f>SUM(J377:L377)</f>
        <v>0</v>
      </c>
      <c r="N377" s="1"/>
      <c r="O377" s="1"/>
      <c r="P377" s="1"/>
      <c r="Q377" s="55">
        <f>SUM(N377:P377)</f>
        <v>0</v>
      </c>
      <c r="R377" s="55">
        <f>+E377+I377+M377+Q377</f>
        <v>0</v>
      </c>
      <c r="S377" s="478" t="s">
        <v>1259</v>
      </c>
      <c r="T377" s="4" t="s">
        <v>209</v>
      </c>
    </row>
    <row r="378" spans="1:23" ht="15.75" customHeight="1" x14ac:dyDescent="0.3">
      <c r="A378" s="72" t="s">
        <v>1300</v>
      </c>
      <c r="B378" s="1"/>
      <c r="C378" s="1"/>
      <c r="D378" s="1"/>
      <c r="E378" s="55">
        <f>SUM(B378:D378)</f>
        <v>0</v>
      </c>
      <c r="F378" s="1"/>
      <c r="G378" s="1"/>
      <c r="H378" s="1"/>
      <c r="I378" s="55">
        <f>SUM(F378:H378)</f>
        <v>0</v>
      </c>
      <c r="J378" s="1"/>
      <c r="K378" s="1">
        <f>2151+1375+2257+2657</f>
        <v>8440</v>
      </c>
      <c r="L378" s="1">
        <v>560</v>
      </c>
      <c r="M378" s="55">
        <f>SUM(J378:L378)</f>
        <v>9000</v>
      </c>
      <c r="N378" s="1"/>
      <c r="O378" s="1"/>
      <c r="P378" s="1">
        <v>188</v>
      </c>
      <c r="Q378" s="55">
        <f>SUM(N378:P378)</f>
        <v>188</v>
      </c>
      <c r="R378" s="55">
        <f>+E378+I378+M378+Q378</f>
        <v>9188</v>
      </c>
      <c r="S378" s="478" t="s">
        <v>1259</v>
      </c>
    </row>
    <row r="379" spans="1:23" ht="15.75" customHeight="1" x14ac:dyDescent="0.3">
      <c r="A379" s="72" t="s">
        <v>1301</v>
      </c>
      <c r="B379" s="1"/>
      <c r="C379" s="1"/>
      <c r="D379" s="1"/>
      <c r="E379" s="55">
        <f>SUM(B379:D379)</f>
        <v>0</v>
      </c>
      <c r="F379" s="1"/>
      <c r="G379" s="1"/>
      <c r="H379" s="1"/>
      <c r="I379" s="55">
        <f>SUM(F379:H379)</f>
        <v>0</v>
      </c>
      <c r="J379" s="1">
        <f>131+266</f>
        <v>397</v>
      </c>
      <c r="K379" s="1">
        <f>52+1430</f>
        <v>1482</v>
      </c>
      <c r="L379" s="1">
        <f>21+172</f>
        <v>193</v>
      </c>
      <c r="M379" s="55">
        <f>SUM(J379:L379)</f>
        <v>2072</v>
      </c>
      <c r="N379" s="1">
        <v>665</v>
      </c>
      <c r="O379" s="1">
        <v>105</v>
      </c>
      <c r="P379" s="1">
        <v>543</v>
      </c>
      <c r="Q379" s="55">
        <f>SUM(N379:P379)</f>
        <v>1313</v>
      </c>
      <c r="R379" s="55">
        <f>+E379+I379+M379+Q379</f>
        <v>3385</v>
      </c>
      <c r="S379" s="478" t="s">
        <v>1259</v>
      </c>
      <c r="T379" s="4" t="s">
        <v>214</v>
      </c>
    </row>
    <row r="380" spans="1:23" ht="15.75" customHeight="1" x14ac:dyDescent="0.3">
      <c r="A380" s="72" t="s">
        <v>1302</v>
      </c>
      <c r="B380" s="1"/>
      <c r="C380" s="1">
        <v>1338</v>
      </c>
      <c r="D380" s="1">
        <v>2000</v>
      </c>
      <c r="E380" s="55">
        <f>SUM(B380:D380)</f>
        <v>3338</v>
      </c>
      <c r="F380" s="1">
        <v>677</v>
      </c>
      <c r="G380" s="1"/>
      <c r="H380" s="1"/>
      <c r="I380" s="55">
        <f>SUM(F380:H380)</f>
        <v>677</v>
      </c>
      <c r="J380" s="1"/>
      <c r="K380" s="1"/>
      <c r="L380" s="1"/>
      <c r="M380" s="55">
        <f>SUM(J380:L380)</f>
        <v>0</v>
      </c>
      <c r="N380" s="1">
        <v>1</v>
      </c>
      <c r="O380" s="1"/>
      <c r="P380" s="1"/>
      <c r="Q380" s="55">
        <f>SUM(N380:P380)</f>
        <v>1</v>
      </c>
      <c r="R380" s="55">
        <f>+E380+I380+M380+Q380</f>
        <v>4016</v>
      </c>
      <c r="S380" s="478" t="s">
        <v>1259</v>
      </c>
      <c r="T380" s="4" t="s">
        <v>241</v>
      </c>
    </row>
    <row r="381" spans="1:23" ht="16.5" customHeight="1" thickBot="1" x14ac:dyDescent="0.35">
      <c r="A381" s="15" t="s">
        <v>53</v>
      </c>
      <c r="B381" s="1"/>
      <c r="C381" s="1"/>
      <c r="D381" s="1"/>
      <c r="E381" s="55" t="s">
        <v>7</v>
      </c>
      <c r="F381" s="1"/>
      <c r="G381" s="1"/>
      <c r="H381" s="1"/>
      <c r="I381" s="55" t="s">
        <v>7</v>
      </c>
      <c r="J381" s="1"/>
      <c r="K381" s="1"/>
      <c r="L381" s="1"/>
      <c r="M381" s="55" t="s">
        <v>7</v>
      </c>
      <c r="N381" s="1"/>
      <c r="O381" s="1"/>
      <c r="P381" s="1"/>
      <c r="Q381" s="55" t="s">
        <v>7</v>
      </c>
      <c r="R381" s="81" t="s">
        <v>7</v>
      </c>
      <c r="V381" s="4" t="s">
        <v>936</v>
      </c>
      <c r="W381" s="4" t="s">
        <v>937</v>
      </c>
    </row>
    <row r="382" spans="1:23" ht="16.5" customHeight="1" thickBot="1" x14ac:dyDescent="0.35">
      <c r="A382" s="109" t="s">
        <v>54</v>
      </c>
      <c r="B382" s="86">
        <f>SUM(B330:B381)</f>
        <v>4144</v>
      </c>
      <c r="C382" s="87">
        <f>SUM(C330:C381)</f>
        <v>2304</v>
      </c>
      <c r="D382" s="87">
        <f>SUM(D330:D381)</f>
        <v>3187</v>
      </c>
      <c r="E382" s="59">
        <f>SUM(B382:D382)</f>
        <v>9635</v>
      </c>
      <c r="F382" s="87">
        <f>SUM(F330:F381)</f>
        <v>5996</v>
      </c>
      <c r="G382" s="87">
        <f>SUM(G330:G381)</f>
        <v>5084</v>
      </c>
      <c r="H382" s="87">
        <f>SUM(H330:H381)</f>
        <v>14660</v>
      </c>
      <c r="I382" s="59">
        <f>SUM(F382:H382)</f>
        <v>25740</v>
      </c>
      <c r="J382" s="87">
        <f>SUM(J330:J381)</f>
        <v>14002</v>
      </c>
      <c r="K382" s="87">
        <f>SUM(K330:K381)</f>
        <v>22895</v>
      </c>
      <c r="L382" s="87">
        <f>SUM(L330:L381)</f>
        <v>19199</v>
      </c>
      <c r="M382" s="59">
        <f>SUM(J382:L382)</f>
        <v>56096</v>
      </c>
      <c r="N382" s="87">
        <f>SUM(N330:N381)</f>
        <v>10475</v>
      </c>
      <c r="O382" s="87">
        <f>SUM(O330:O381)</f>
        <v>8140</v>
      </c>
      <c r="P382" s="87">
        <f>SUM(P330:P381)</f>
        <v>8599</v>
      </c>
      <c r="Q382" s="59">
        <f>SUM(N382:P382)</f>
        <v>27214</v>
      </c>
      <c r="R382" s="59">
        <f>+E382+I382+M382+Q382</f>
        <v>118685</v>
      </c>
      <c r="T382" s="89"/>
      <c r="V382" s="4" t="s">
        <v>209</v>
      </c>
      <c r="W382" s="348">
        <v>0.18</v>
      </c>
    </row>
    <row r="383" spans="1:23" ht="15.75" customHeight="1" x14ac:dyDescent="0.3">
      <c r="A383" s="15" t="s">
        <v>55</v>
      </c>
      <c r="B383" s="1"/>
      <c r="C383" s="1"/>
      <c r="D383" s="1"/>
      <c r="E383" s="55" t="s">
        <v>7</v>
      </c>
      <c r="F383" s="1"/>
      <c r="G383" s="1"/>
      <c r="H383" s="1"/>
      <c r="I383" s="55" t="s">
        <v>7</v>
      </c>
      <c r="J383" s="1"/>
      <c r="K383" s="1"/>
      <c r="L383" s="1"/>
      <c r="M383" s="55" t="s">
        <v>7</v>
      </c>
      <c r="N383" s="1"/>
      <c r="O383" s="1"/>
      <c r="P383" s="1"/>
      <c r="Q383" s="55" t="s">
        <v>7</v>
      </c>
      <c r="R383" s="55" t="s">
        <v>7</v>
      </c>
      <c r="V383" s="4" t="s">
        <v>938</v>
      </c>
      <c r="W383" s="348">
        <v>0.52</v>
      </c>
    </row>
    <row r="384" spans="1:23" ht="15.75" customHeight="1" x14ac:dyDescent="0.3">
      <c r="A384" s="15" t="s">
        <v>242</v>
      </c>
      <c r="B384" s="1"/>
      <c r="C384" s="1"/>
      <c r="D384" s="1"/>
      <c r="E384" s="55"/>
      <c r="F384" s="1"/>
      <c r="G384" s="1"/>
      <c r="H384" s="1"/>
      <c r="I384" s="55"/>
      <c r="J384" s="1"/>
      <c r="K384" s="1"/>
      <c r="L384" s="1"/>
      <c r="M384" s="55"/>
      <c r="N384" s="1"/>
      <c r="O384" s="1"/>
      <c r="P384" s="1"/>
      <c r="Q384" s="55"/>
      <c r="R384" s="55"/>
      <c r="V384" s="4" t="s">
        <v>939</v>
      </c>
      <c r="W384" s="348">
        <v>0.3</v>
      </c>
    </row>
    <row r="385" spans="1:39" ht="15.75" customHeight="1" x14ac:dyDescent="0.3">
      <c r="A385" s="15" t="s">
        <v>57</v>
      </c>
      <c r="B385" s="1"/>
      <c r="C385" s="1"/>
      <c r="D385" s="1"/>
      <c r="E385" s="55" t="s">
        <v>7</v>
      </c>
      <c r="F385" s="1"/>
      <c r="G385" s="1"/>
      <c r="H385" s="1"/>
      <c r="I385" s="55" t="s">
        <v>7</v>
      </c>
      <c r="J385" s="1"/>
      <c r="K385" s="1"/>
      <c r="L385" s="1"/>
      <c r="M385" s="55" t="s">
        <v>7</v>
      </c>
      <c r="N385" s="1"/>
      <c r="O385" s="1"/>
      <c r="P385" s="1"/>
      <c r="Q385" s="55" t="s">
        <v>7</v>
      </c>
      <c r="R385" s="55" t="s">
        <v>7</v>
      </c>
      <c r="W385" s="349">
        <f>+SUM(W382:W384)</f>
        <v>1</v>
      </c>
    </row>
    <row r="386" spans="1:39" ht="15.75" customHeight="1" x14ac:dyDescent="0.3">
      <c r="A386" s="72" t="s">
        <v>553</v>
      </c>
      <c r="B386" s="1">
        <v>42</v>
      </c>
      <c r="C386" s="1">
        <v>24</v>
      </c>
      <c r="D386" s="1">
        <v>137</v>
      </c>
      <c r="E386" s="55">
        <f>SUM(B386:D386)</f>
        <v>203</v>
      </c>
      <c r="F386" s="1">
        <v>1559</v>
      </c>
      <c r="G386" s="1">
        <v>3028</v>
      </c>
      <c r="H386" s="1">
        <v>3048</v>
      </c>
      <c r="I386" s="55">
        <f>SUM(F386:H386)</f>
        <v>7635</v>
      </c>
      <c r="J386" s="1">
        <v>4207</v>
      </c>
      <c r="K386" s="1">
        <v>3863</v>
      </c>
      <c r="L386" s="1">
        <v>2992</v>
      </c>
      <c r="M386" s="55">
        <f>SUM(J386:L386)</f>
        <v>11062</v>
      </c>
      <c r="N386" s="1"/>
      <c r="O386" s="1">
        <v>1048</v>
      </c>
      <c r="P386" s="1">
        <v>27</v>
      </c>
      <c r="Q386" s="55">
        <f>SUM(N386:P386)</f>
        <v>1075</v>
      </c>
      <c r="R386" s="55">
        <f t="shared" ref="R386:R394" si="148">+E386+I386+M386+Q386</f>
        <v>19975</v>
      </c>
      <c r="T386" s="4" t="s">
        <v>209</v>
      </c>
      <c r="V386" s="351" t="s">
        <v>729</v>
      </c>
      <c r="W386" s="28" t="s">
        <v>8</v>
      </c>
      <c r="X386" s="338" t="s">
        <v>9</v>
      </c>
      <c r="Y386" s="338" t="s">
        <v>10</v>
      </c>
      <c r="Z386" s="352" t="s">
        <v>11</v>
      </c>
      <c r="AA386" s="338" t="s">
        <v>12</v>
      </c>
      <c r="AB386" s="338" t="s">
        <v>13</v>
      </c>
      <c r="AC386" s="338" t="s">
        <v>14</v>
      </c>
      <c r="AD386" s="352" t="s">
        <v>15</v>
      </c>
      <c r="AE386" s="338" t="s">
        <v>16</v>
      </c>
      <c r="AF386" s="338" t="s">
        <v>17</v>
      </c>
      <c r="AG386" s="338" t="s">
        <v>18</v>
      </c>
      <c r="AH386" s="352" t="s">
        <v>19</v>
      </c>
      <c r="AI386" s="338" t="s">
        <v>20</v>
      </c>
      <c r="AJ386" s="338" t="s">
        <v>21</v>
      </c>
      <c r="AK386" s="338" t="s">
        <v>22</v>
      </c>
      <c r="AL386" s="352" t="s">
        <v>23</v>
      </c>
      <c r="AM386" s="353" t="s">
        <v>24</v>
      </c>
    </row>
    <row r="387" spans="1:39" ht="15.75" customHeight="1" x14ac:dyDescent="0.3">
      <c r="A387" s="72" t="s">
        <v>244</v>
      </c>
      <c r="B387" s="1"/>
      <c r="C387" s="1"/>
      <c r="D387" s="1"/>
      <c r="E387" s="55">
        <f>SUM(B387:D387)</f>
        <v>0</v>
      </c>
      <c r="F387" s="1"/>
      <c r="G387" s="1"/>
      <c r="H387" s="1"/>
      <c r="I387" s="55">
        <f>SUM(F387:H387)</f>
        <v>0</v>
      </c>
      <c r="J387" s="1"/>
      <c r="K387" s="1"/>
      <c r="L387" s="1"/>
      <c r="M387" s="55">
        <f>SUM(J387:L387)</f>
        <v>0</v>
      </c>
      <c r="N387" s="1"/>
      <c r="O387" s="1"/>
      <c r="P387" s="1"/>
      <c r="Q387" s="55">
        <f>SUM(N387:P387)</f>
        <v>0</v>
      </c>
      <c r="R387" s="55">
        <f t="shared" si="148"/>
        <v>0</v>
      </c>
      <c r="T387" s="4" t="s">
        <v>214</v>
      </c>
      <c r="V387" s="306" t="s">
        <v>942</v>
      </c>
      <c r="W387" s="354">
        <v>1500</v>
      </c>
      <c r="X387" s="354">
        <v>1500</v>
      </c>
      <c r="Y387" s="354">
        <v>6800</v>
      </c>
      <c r="Z387" s="4">
        <f>+SUM(W387:Y387)</f>
        <v>9800</v>
      </c>
      <c r="AA387" s="354">
        <f>8000+1500</f>
        <v>9500</v>
      </c>
      <c r="AB387" s="354">
        <f>10000+2000</f>
        <v>12000</v>
      </c>
      <c r="AC387" s="354">
        <f>12000+1500</f>
        <v>13500</v>
      </c>
      <c r="AD387" s="4">
        <f>+SUM(AA387:AC387)</f>
        <v>35000</v>
      </c>
      <c r="AE387" s="354">
        <v>25500</v>
      </c>
      <c r="AF387" s="354">
        <v>19000</v>
      </c>
      <c r="AG387" s="354">
        <v>4000</v>
      </c>
      <c r="AH387" s="4">
        <f>+SUM(AE387:AG387)</f>
        <v>48500</v>
      </c>
      <c r="AI387" s="354">
        <v>1500</v>
      </c>
      <c r="AJ387" s="354">
        <v>1000</v>
      </c>
      <c r="AK387" s="354">
        <v>1069</v>
      </c>
      <c r="AL387" s="4">
        <f>+SUM(AI387:AK387)</f>
        <v>3569</v>
      </c>
      <c r="AM387" s="307">
        <f>+Z387+AD387+AH387+AL387</f>
        <v>96869</v>
      </c>
    </row>
    <row r="388" spans="1:39" ht="15.75" customHeight="1" x14ac:dyDescent="0.3">
      <c r="A388" s="72" t="s">
        <v>245</v>
      </c>
      <c r="B388" s="1">
        <v>888</v>
      </c>
      <c r="C388" s="1">
        <v>1287</v>
      </c>
      <c r="D388" s="1">
        <v>4975</v>
      </c>
      <c r="E388" s="55">
        <f t="shared" ref="E388:E389" si="149">SUM(B388:D388)</f>
        <v>7150</v>
      </c>
      <c r="F388" s="1">
        <v>9027</v>
      </c>
      <c r="G388" s="1">
        <v>10074</v>
      </c>
      <c r="H388" s="1">
        <v>1645</v>
      </c>
      <c r="I388" s="55">
        <f t="shared" ref="I388:I393" si="150">SUM(F388:H388)</f>
        <v>20746</v>
      </c>
      <c r="J388" s="1">
        <v>1121</v>
      </c>
      <c r="K388" s="1"/>
      <c r="L388" s="1"/>
      <c r="M388" s="55">
        <f t="shared" ref="M388:M393" si="151">SUM(J388:L388)</f>
        <v>1121</v>
      </c>
      <c r="N388" s="1"/>
      <c r="O388" s="1"/>
      <c r="P388" s="1">
        <v>67</v>
      </c>
      <c r="Q388" s="55">
        <f t="shared" ref="Q388:Q394" si="152">SUM(N388:P388)</f>
        <v>67</v>
      </c>
      <c r="R388" s="55">
        <f t="shared" si="148"/>
        <v>29084</v>
      </c>
      <c r="T388" s="4" t="s">
        <v>910</v>
      </c>
      <c r="V388" s="306" t="s">
        <v>209</v>
      </c>
      <c r="W388" s="4">
        <f>+$W$382*W387</f>
        <v>270</v>
      </c>
      <c r="X388" s="4">
        <f>+$W$382*X387</f>
        <v>270</v>
      </c>
      <c r="Y388" s="4">
        <f>+$W$382*Y387</f>
        <v>1224</v>
      </c>
      <c r="Z388" s="4">
        <f>+SUM(W388:Y388)</f>
        <v>1764</v>
      </c>
      <c r="AA388" s="4">
        <f>+$W$382*AA387</f>
        <v>1710</v>
      </c>
      <c r="AB388" s="4">
        <f>+$W$382*AB387</f>
        <v>2160</v>
      </c>
      <c r="AC388" s="4">
        <f>+$W$382*AC387</f>
        <v>2430</v>
      </c>
      <c r="AD388" s="4">
        <f>+SUM(AA388:AC388)</f>
        <v>6300</v>
      </c>
      <c r="AE388" s="4">
        <f>+$W$382*AE387</f>
        <v>4590</v>
      </c>
      <c r="AF388" s="4">
        <f>+$W$382*AF387</f>
        <v>3420</v>
      </c>
      <c r="AG388" s="4">
        <f>+$W$382*AG387</f>
        <v>720</v>
      </c>
      <c r="AH388" s="4">
        <f>+SUM(AE388:AG388)</f>
        <v>8730</v>
      </c>
      <c r="AI388" s="4">
        <f>+$W$382*AI387</f>
        <v>270</v>
      </c>
      <c r="AJ388" s="4">
        <f>+$W$382*AJ387</f>
        <v>180</v>
      </c>
      <c r="AK388" s="4">
        <f>+$W$382*AK387</f>
        <v>192.42</v>
      </c>
      <c r="AL388" s="4">
        <f>+SUM(AI388:AK388)</f>
        <v>642.41999999999996</v>
      </c>
      <c r="AM388" s="307">
        <f>+Z388+AD388+AH388+AL388</f>
        <v>17436.419999999998</v>
      </c>
    </row>
    <row r="389" spans="1:39" ht="15.75" customHeight="1" x14ac:dyDescent="0.3">
      <c r="A389" s="72" t="s">
        <v>727</v>
      </c>
      <c r="B389" s="1">
        <v>3020</v>
      </c>
      <c r="C389" s="1">
        <v>1804</v>
      </c>
      <c r="D389" s="1">
        <v>5323</v>
      </c>
      <c r="E389" s="55">
        <f t="shared" si="149"/>
        <v>10147</v>
      </c>
      <c r="F389" s="1">
        <v>14969</v>
      </c>
      <c r="G389" s="1">
        <v>20569</v>
      </c>
      <c r="H389" s="1">
        <v>20160</v>
      </c>
      <c r="I389" s="55">
        <f t="shared" ref="I389" si="153">SUM(F389:H389)</f>
        <v>55698</v>
      </c>
      <c r="J389" s="1">
        <v>15588</v>
      </c>
      <c r="K389" s="1">
        <v>8344</v>
      </c>
      <c r="L389" s="1">
        <v>178</v>
      </c>
      <c r="M389" s="55">
        <f t="shared" ref="M389" si="154">SUM(J389:L389)</f>
        <v>24110</v>
      </c>
      <c r="N389" s="1"/>
      <c r="O389" s="1">
        <v>571</v>
      </c>
      <c r="P389" s="1">
        <v>2160</v>
      </c>
      <c r="Q389" s="55">
        <f t="shared" si="152"/>
        <v>2731</v>
      </c>
      <c r="R389" s="55">
        <f t="shared" si="148"/>
        <v>92686</v>
      </c>
      <c r="T389" s="4" t="s">
        <v>209</v>
      </c>
      <c r="V389" s="306" t="s">
        <v>938</v>
      </c>
      <c r="W389" s="4">
        <f>+$W$383*W387</f>
        <v>780</v>
      </c>
      <c r="X389" s="4">
        <f>+$W$383*X387</f>
        <v>780</v>
      </c>
      <c r="Y389" s="4">
        <f>+$W$383*Y387</f>
        <v>3536</v>
      </c>
      <c r="Z389" s="4">
        <f>+SUM(W389:Y389)</f>
        <v>5096</v>
      </c>
      <c r="AA389" s="4">
        <f>+$W$383*AA387</f>
        <v>4940</v>
      </c>
      <c r="AB389" s="4">
        <f>+$W$383*AB387</f>
        <v>6240</v>
      </c>
      <c r="AC389" s="4">
        <f>+$W$383*AC387</f>
        <v>7020</v>
      </c>
      <c r="AD389" s="4">
        <f>+SUM(AA389:AC389)</f>
        <v>18200</v>
      </c>
      <c r="AE389" s="4">
        <f>+$W$383*AE387</f>
        <v>13260</v>
      </c>
      <c r="AF389" s="4">
        <f>+$W$383*AF387</f>
        <v>9880</v>
      </c>
      <c r="AG389" s="4">
        <f>+$W$383*AG387</f>
        <v>2080</v>
      </c>
      <c r="AH389" s="4">
        <f>+SUM(AE389:AG389)</f>
        <v>25220</v>
      </c>
      <c r="AI389" s="4">
        <f>+$W$383*AI387</f>
        <v>780</v>
      </c>
      <c r="AJ389" s="4">
        <f>+$W$383*AJ387</f>
        <v>520</v>
      </c>
      <c r="AK389" s="4">
        <f>+$W$383*AK387</f>
        <v>555.88</v>
      </c>
      <c r="AL389" s="4">
        <f>+SUM(AI389:AK389)</f>
        <v>1855.88</v>
      </c>
      <c r="AM389" s="307">
        <f>+Z389+AD389+AH389+AL389</f>
        <v>50371.88</v>
      </c>
    </row>
    <row r="390" spans="1:39" ht="15.75" customHeight="1" x14ac:dyDescent="0.3">
      <c r="A390" s="72" t="s">
        <v>943</v>
      </c>
      <c r="B390" s="1"/>
      <c r="C390" s="1"/>
      <c r="D390" s="1"/>
      <c r="E390" s="55">
        <f t="shared" ref="E390:E393" si="155">SUM(B390:D390)</f>
        <v>0</v>
      </c>
      <c r="F390" s="1"/>
      <c r="G390" s="1"/>
      <c r="H390" s="1"/>
      <c r="I390" s="55">
        <f t="shared" si="150"/>
        <v>0</v>
      </c>
      <c r="J390" s="1"/>
      <c r="K390" s="1"/>
      <c r="L390" s="1"/>
      <c r="M390" s="55">
        <f t="shared" si="151"/>
        <v>0</v>
      </c>
      <c r="N390" s="1"/>
      <c r="O390" s="1"/>
      <c r="P390" s="1"/>
      <c r="Q390" s="55">
        <f t="shared" si="152"/>
        <v>0</v>
      </c>
      <c r="R390" s="55">
        <f t="shared" si="148"/>
        <v>0</v>
      </c>
      <c r="T390" s="4" t="s">
        <v>944</v>
      </c>
      <c r="V390" s="306" t="s">
        <v>939</v>
      </c>
      <c r="W390" s="4">
        <f>+$W$384*W387</f>
        <v>450</v>
      </c>
      <c r="X390" s="4">
        <f>+$W$384*X387</f>
        <v>450</v>
      </c>
      <c r="Y390" s="4">
        <f>+$W$384*Y387</f>
        <v>2040</v>
      </c>
      <c r="Z390" s="4">
        <f>+SUM(W390:Y390)</f>
        <v>2940</v>
      </c>
      <c r="AA390" s="4">
        <f>+$W$384*AA387</f>
        <v>2850</v>
      </c>
      <c r="AB390" s="4">
        <f>+$W$384*AB387</f>
        <v>3600</v>
      </c>
      <c r="AC390" s="4">
        <f>+$W$384*AC387</f>
        <v>4050</v>
      </c>
      <c r="AD390" s="4">
        <f>+SUM(AA390:AC390)</f>
        <v>10500</v>
      </c>
      <c r="AE390" s="4">
        <f>+$W$384*AE387</f>
        <v>7650</v>
      </c>
      <c r="AF390" s="4">
        <f>+$W$384*AF387</f>
        <v>5700</v>
      </c>
      <c r="AG390" s="4">
        <f>+$W$384*AG387</f>
        <v>1200</v>
      </c>
      <c r="AH390" s="4">
        <f>+SUM(AE390:AG390)</f>
        <v>14550</v>
      </c>
      <c r="AI390" s="4">
        <f>+$W$384*AI387</f>
        <v>450</v>
      </c>
      <c r="AJ390" s="4">
        <f>+$W$384*AJ387</f>
        <v>300</v>
      </c>
      <c r="AK390" s="4">
        <f>+$W$384*AK387</f>
        <v>320.7</v>
      </c>
      <c r="AL390" s="4">
        <f>+$W$384*AL387</f>
        <v>1070.7</v>
      </c>
      <c r="AM390" s="307">
        <f>+Z390+AD390+AH390+AL390</f>
        <v>29060.7</v>
      </c>
    </row>
    <row r="391" spans="1:39" ht="15.75" customHeight="1" thickBot="1" x14ac:dyDescent="0.35">
      <c r="A391" s="72" t="s">
        <v>945</v>
      </c>
      <c r="B391" s="1">
        <v>630</v>
      </c>
      <c r="C391" s="1">
        <v>1157</v>
      </c>
      <c r="D391" s="1">
        <v>189</v>
      </c>
      <c r="E391" s="55">
        <f t="shared" ref="E391" si="156">SUM(B391:D391)</f>
        <v>1976</v>
      </c>
      <c r="F391" s="1">
        <v>924</v>
      </c>
      <c r="G391" s="1"/>
      <c r="H391" s="1"/>
      <c r="I391" s="55">
        <f t="shared" ref="I391" si="157">SUM(F391:H391)</f>
        <v>924</v>
      </c>
      <c r="J391" s="1"/>
      <c r="K391" s="1"/>
      <c r="L391" s="1"/>
      <c r="M391" s="55">
        <f t="shared" ref="M391" si="158">SUM(J391:L391)</f>
        <v>0</v>
      </c>
      <c r="N391" s="1"/>
      <c r="O391" s="1"/>
      <c r="P391" s="1"/>
      <c r="Q391" s="55">
        <f t="shared" si="152"/>
        <v>0</v>
      </c>
      <c r="R391" s="55">
        <f t="shared" si="148"/>
        <v>2900</v>
      </c>
      <c r="T391" s="4" t="s">
        <v>214</v>
      </c>
      <c r="V391" s="311"/>
      <c r="W391" s="312"/>
      <c r="X391" s="312"/>
      <c r="Y391" s="312"/>
      <c r="Z391" s="312"/>
      <c r="AA391" s="312"/>
      <c r="AB391" s="312"/>
      <c r="AC391" s="312"/>
      <c r="AD391" s="312"/>
      <c r="AE391" s="312"/>
      <c r="AF391" s="312"/>
      <c r="AG391" s="312"/>
      <c r="AH391" s="312"/>
      <c r="AI391" s="312"/>
      <c r="AJ391" s="312"/>
      <c r="AK391" s="312"/>
      <c r="AL391" s="312"/>
      <c r="AM391" s="313"/>
    </row>
    <row r="392" spans="1:39" s="355" customFormat="1" ht="15.75" customHeight="1" x14ac:dyDescent="0.3">
      <c r="A392" s="467" t="s">
        <v>1215</v>
      </c>
      <c r="B392" s="301"/>
      <c r="C392" s="301"/>
      <c r="D392" s="301"/>
      <c r="E392" s="302">
        <f t="shared" si="155"/>
        <v>0</v>
      </c>
      <c r="F392" s="301"/>
      <c r="G392" s="301"/>
      <c r="H392" s="301"/>
      <c r="I392" s="302">
        <f t="shared" si="150"/>
        <v>0</v>
      </c>
      <c r="J392" s="301"/>
      <c r="K392" s="301"/>
      <c r="L392" s="301"/>
      <c r="M392" s="302">
        <f t="shared" si="151"/>
        <v>0</v>
      </c>
      <c r="N392" s="301"/>
      <c r="O392" s="301"/>
      <c r="P392" s="301"/>
      <c r="Q392" s="302">
        <f t="shared" ref="Q392" si="159">SUM(N392:P392)</f>
        <v>0</v>
      </c>
      <c r="R392" s="302">
        <f t="shared" si="148"/>
        <v>0</v>
      </c>
    </row>
    <row r="393" spans="1:39" ht="15.75" customHeight="1" x14ac:dyDescent="0.3">
      <c r="A393" s="72" t="s">
        <v>946</v>
      </c>
      <c r="B393" s="1"/>
      <c r="C393" s="1"/>
      <c r="D393" s="1"/>
      <c r="E393" s="55">
        <f t="shared" si="155"/>
        <v>0</v>
      </c>
      <c r="F393" s="1"/>
      <c r="G393" s="1"/>
      <c r="H393" s="1"/>
      <c r="I393" s="55">
        <f t="shared" si="150"/>
        <v>0</v>
      </c>
      <c r="J393" s="1"/>
      <c r="K393" s="1"/>
      <c r="L393" s="1"/>
      <c r="M393" s="55">
        <f t="shared" si="151"/>
        <v>0</v>
      </c>
      <c r="N393" s="1"/>
      <c r="O393" s="1"/>
      <c r="P393" s="1">
        <v>6</v>
      </c>
      <c r="Q393" s="55">
        <f t="shared" si="152"/>
        <v>6</v>
      </c>
      <c r="R393" s="55">
        <f t="shared" si="148"/>
        <v>6</v>
      </c>
      <c r="T393" s="4" t="s">
        <v>224</v>
      </c>
    </row>
    <row r="394" spans="1:39" ht="15.75" customHeight="1" x14ac:dyDescent="0.3">
      <c r="A394" s="72" t="s">
        <v>252</v>
      </c>
      <c r="B394" s="1"/>
      <c r="C394" s="1"/>
      <c r="D394" s="1"/>
      <c r="E394" s="55">
        <f t="shared" ref="E394" si="160">SUM(B394:D394)</f>
        <v>0</v>
      </c>
      <c r="F394" s="1"/>
      <c r="G394" s="1"/>
      <c r="H394" s="1">
        <v>226</v>
      </c>
      <c r="I394" s="55">
        <f t="shared" ref="I394" si="161">SUM(F394:H394)</f>
        <v>226</v>
      </c>
      <c r="J394" s="1">
        <v>1928</v>
      </c>
      <c r="K394" s="1">
        <v>1328</v>
      </c>
      <c r="L394" s="1">
        <v>1182</v>
      </c>
      <c r="M394" s="55">
        <f t="shared" ref="M394" si="162">SUM(J394:L394)</f>
        <v>4438</v>
      </c>
      <c r="N394" s="1">
        <v>35</v>
      </c>
      <c r="O394" s="1">
        <v>410</v>
      </c>
      <c r="P394" s="1">
        <v>399</v>
      </c>
      <c r="Q394" s="55">
        <f t="shared" si="152"/>
        <v>844</v>
      </c>
      <c r="R394" s="55">
        <f t="shared" si="148"/>
        <v>5508</v>
      </c>
    </row>
    <row r="395" spans="1:39" ht="15.75" customHeight="1" thickBot="1" x14ac:dyDescent="0.35">
      <c r="A395" s="15" t="s">
        <v>58</v>
      </c>
      <c r="B395" s="1"/>
      <c r="C395" s="1"/>
      <c r="D395" s="1"/>
      <c r="E395" s="55" t="s">
        <v>7</v>
      </c>
      <c r="F395" s="1"/>
      <c r="G395" s="1"/>
      <c r="H395" s="1"/>
      <c r="I395" s="55" t="s">
        <v>7</v>
      </c>
      <c r="J395" s="1"/>
      <c r="K395" s="1"/>
      <c r="L395" s="1"/>
      <c r="M395" s="55" t="s">
        <v>7</v>
      </c>
      <c r="N395" s="1"/>
      <c r="O395" s="1"/>
      <c r="P395" s="1"/>
      <c r="Q395" s="55" t="s">
        <v>7</v>
      </c>
      <c r="R395" s="55" t="s">
        <v>7</v>
      </c>
    </row>
    <row r="396" spans="1:39" ht="16.5" customHeight="1" thickBot="1" x14ac:dyDescent="0.35">
      <c r="A396" s="57" t="s">
        <v>59</v>
      </c>
      <c r="B396" s="86">
        <f>SUM(B383:B395)</f>
        <v>4580</v>
      </c>
      <c r="C396" s="87">
        <f>SUM(C383:C395)</f>
        <v>4272</v>
      </c>
      <c r="D396" s="87">
        <f>SUM(D383:D395)</f>
        <v>10624</v>
      </c>
      <c r="E396" s="59">
        <f>SUM(B396:D396)</f>
        <v>19476</v>
      </c>
      <c r="F396" s="87">
        <f>SUM(F383:F395)</f>
        <v>26479</v>
      </c>
      <c r="G396" s="87">
        <f>SUM(G383:G395)</f>
        <v>33671</v>
      </c>
      <c r="H396" s="87">
        <f>SUM(H383:H395)</f>
        <v>25079</v>
      </c>
      <c r="I396" s="59">
        <f>SUM(F396:H396)</f>
        <v>85229</v>
      </c>
      <c r="J396" s="87">
        <f>SUM(J383:J395)</f>
        <v>22844</v>
      </c>
      <c r="K396" s="87">
        <f>SUM(K383:K395)</f>
        <v>13535</v>
      </c>
      <c r="L396" s="87">
        <f>SUM(L383:L395)</f>
        <v>4352</v>
      </c>
      <c r="M396" s="59">
        <f>SUM(J396:L396)</f>
        <v>40731</v>
      </c>
      <c r="N396" s="87">
        <f>SUM(N383:N395)</f>
        <v>35</v>
      </c>
      <c r="O396" s="87">
        <f>SUM(O383:O395)</f>
        <v>2029</v>
      </c>
      <c r="P396" s="87">
        <f>SUM(P383:P395)</f>
        <v>2659</v>
      </c>
      <c r="Q396" s="59">
        <f>SUM(N396:P396)</f>
        <v>4723</v>
      </c>
      <c r="R396" s="59">
        <f>+E396+I396+M396+Q396</f>
        <v>150159</v>
      </c>
    </row>
    <row r="397" spans="1:39" ht="15.75" customHeight="1" x14ac:dyDescent="0.3">
      <c r="A397" s="15" t="s">
        <v>60</v>
      </c>
      <c r="B397" s="1"/>
      <c r="C397" s="1"/>
      <c r="D397" s="1"/>
      <c r="E397" s="55" t="s">
        <v>7</v>
      </c>
      <c r="F397" s="1"/>
      <c r="G397" s="1"/>
      <c r="H397" s="1"/>
      <c r="I397" s="55" t="s">
        <v>7</v>
      </c>
      <c r="J397" s="1"/>
      <c r="K397" s="1"/>
      <c r="L397" s="1"/>
      <c r="M397" s="55" t="s">
        <v>7</v>
      </c>
      <c r="N397" s="1"/>
      <c r="O397" s="1"/>
      <c r="P397" s="1"/>
      <c r="Q397" s="55" t="s">
        <v>7</v>
      </c>
      <c r="R397" s="55" t="s">
        <v>7</v>
      </c>
    </row>
    <row r="398" spans="1:39" ht="15.75" customHeight="1" x14ac:dyDescent="0.3">
      <c r="A398" s="15" t="s">
        <v>61</v>
      </c>
      <c r="B398" s="1"/>
      <c r="C398" s="1"/>
      <c r="D398" s="1"/>
      <c r="E398" s="55" t="s">
        <v>7</v>
      </c>
      <c r="F398" s="1"/>
      <c r="G398" s="1"/>
      <c r="H398" s="1"/>
      <c r="I398" s="55" t="s">
        <v>7</v>
      </c>
      <c r="J398" s="1"/>
      <c r="K398" s="1"/>
      <c r="L398" s="1"/>
      <c r="M398" s="55" t="s">
        <v>7</v>
      </c>
      <c r="N398" s="1"/>
      <c r="O398" s="1"/>
      <c r="P398" s="1"/>
      <c r="Q398" s="55" t="s">
        <v>7</v>
      </c>
      <c r="R398" s="55" t="s">
        <v>7</v>
      </c>
    </row>
    <row r="399" spans="1:39" ht="15.75" customHeight="1" x14ac:dyDescent="0.3">
      <c r="A399" s="72" t="s">
        <v>254</v>
      </c>
      <c r="B399" s="1">
        <v>2695</v>
      </c>
      <c r="C399" s="1">
        <v>2762</v>
      </c>
      <c r="D399" s="1">
        <v>7469</v>
      </c>
      <c r="E399" s="55">
        <f>SUM(B399:D399)</f>
        <v>12926</v>
      </c>
      <c r="F399" s="1">
        <v>8692</v>
      </c>
      <c r="G399" s="1">
        <v>12002</v>
      </c>
      <c r="H399" s="1">
        <v>11518</v>
      </c>
      <c r="I399" s="55">
        <f>SUM(F399:H399)</f>
        <v>32212</v>
      </c>
      <c r="J399" s="1">
        <v>9679</v>
      </c>
      <c r="K399" s="1">
        <v>6421</v>
      </c>
      <c r="L399" s="1">
        <v>4956</v>
      </c>
      <c r="M399" s="55">
        <f>SUM(J399:L399)</f>
        <v>21056</v>
      </c>
      <c r="N399" s="1">
        <v>459</v>
      </c>
      <c r="O399" s="1">
        <v>1030</v>
      </c>
      <c r="P399" s="1">
        <v>996</v>
      </c>
      <c r="Q399" s="55">
        <f>SUM(N399:P399)</f>
        <v>2485</v>
      </c>
      <c r="R399" s="55">
        <f>+E399+I399+M399+Q399</f>
        <v>68679</v>
      </c>
      <c r="T399" s="4" t="s">
        <v>209</v>
      </c>
    </row>
    <row r="400" spans="1:39" ht="15.75" customHeight="1" x14ac:dyDescent="0.3">
      <c r="A400" s="72" t="s">
        <v>947</v>
      </c>
      <c r="B400" s="1"/>
      <c r="C400" s="1">
        <f>468+47</f>
        <v>515</v>
      </c>
      <c r="D400" s="1">
        <f>323+326</f>
        <v>649</v>
      </c>
      <c r="E400" s="55">
        <f>SUM(B400:D400)</f>
        <v>1164</v>
      </c>
      <c r="F400" s="1">
        <f>593+117</f>
        <v>710</v>
      </c>
      <c r="G400" s="1">
        <f>730+2717</f>
        <v>3447</v>
      </c>
      <c r="H400" s="1">
        <f>1762+4636</f>
        <v>6398</v>
      </c>
      <c r="I400" s="55">
        <f>SUM(F400:H400)</f>
        <v>10555</v>
      </c>
      <c r="J400" s="1">
        <v>12927</v>
      </c>
      <c r="K400" s="1">
        <v>11204</v>
      </c>
      <c r="L400" s="1">
        <v>9302</v>
      </c>
      <c r="M400" s="55">
        <f>SUM(J400:L400)</f>
        <v>33433</v>
      </c>
      <c r="N400" s="1">
        <v>1742</v>
      </c>
      <c r="O400" s="1">
        <v>4665</v>
      </c>
      <c r="P400" s="1">
        <v>3248</v>
      </c>
      <c r="Q400" s="55">
        <f>SUM(N400:P400)</f>
        <v>9655</v>
      </c>
      <c r="R400" s="55">
        <f>+E400+I400+M400+Q400</f>
        <v>54807</v>
      </c>
      <c r="T400" s="4" t="s">
        <v>256</v>
      </c>
    </row>
    <row r="401" spans="1:20" ht="15.75" customHeight="1" x14ac:dyDescent="0.3">
      <c r="A401" s="15" t="s">
        <v>62</v>
      </c>
      <c r="B401" s="1"/>
      <c r="C401" s="1"/>
      <c r="D401" s="1"/>
      <c r="E401" s="55" t="s">
        <v>7</v>
      </c>
      <c r="F401" s="1"/>
      <c r="G401" s="1"/>
      <c r="H401" s="1"/>
      <c r="I401" s="55" t="s">
        <v>7</v>
      </c>
      <c r="J401" s="1"/>
      <c r="K401" s="1"/>
      <c r="L401" s="1"/>
      <c r="M401" s="55" t="s">
        <v>7</v>
      </c>
      <c r="N401" s="1"/>
      <c r="O401" s="1"/>
      <c r="P401" s="1"/>
      <c r="Q401" s="55" t="s">
        <v>7</v>
      </c>
      <c r="R401" s="55" t="s">
        <v>7</v>
      </c>
    </row>
    <row r="402" spans="1:20" ht="15.75" customHeight="1" x14ac:dyDescent="0.3">
      <c r="A402" s="72" t="s">
        <v>1216</v>
      </c>
      <c r="B402" s="1"/>
      <c r="C402" s="1"/>
      <c r="D402" s="1"/>
      <c r="E402" s="55">
        <f>SUM(B402:D402)</f>
        <v>0</v>
      </c>
      <c r="F402" s="1"/>
      <c r="G402" s="1">
        <v>90</v>
      </c>
      <c r="H402" s="1">
        <v>4910</v>
      </c>
      <c r="I402" s="55">
        <f>SUM(F402:H402)</f>
        <v>5000</v>
      </c>
      <c r="J402" s="1"/>
      <c r="K402" s="1"/>
      <c r="L402" s="1"/>
      <c r="M402" s="55">
        <f>SUM(J402:L402)</f>
        <v>0</v>
      </c>
      <c r="N402" s="1"/>
      <c r="O402" s="1"/>
      <c r="P402" s="1"/>
      <c r="Q402" s="55">
        <f>SUM(N402:P402)</f>
        <v>0</v>
      </c>
      <c r="R402" s="55">
        <f t="shared" ref="R402:R450" si="163">+E402+I402+M402+Q402</f>
        <v>5000</v>
      </c>
    </row>
    <row r="403" spans="1:20" ht="15.75" customHeight="1" x14ac:dyDescent="0.3">
      <c r="A403" s="72" t="s">
        <v>1217</v>
      </c>
      <c r="B403" s="1"/>
      <c r="C403" s="1"/>
      <c r="D403" s="1"/>
      <c r="E403" s="55">
        <f t="shared" ref="E403:E406" si="164">SUM(B403:D403)</f>
        <v>0</v>
      </c>
      <c r="F403" s="1"/>
      <c r="G403" s="1"/>
      <c r="H403" s="1"/>
      <c r="I403" s="55">
        <f t="shared" ref="I403:I450" si="165">SUM(F403:H403)</f>
        <v>0</v>
      </c>
      <c r="J403" s="1"/>
      <c r="K403" s="1"/>
      <c r="L403" s="1"/>
      <c r="M403" s="55">
        <f t="shared" ref="M403:M450" si="166">SUM(J403:L403)</f>
        <v>0</v>
      </c>
      <c r="N403" s="1"/>
      <c r="O403" s="1"/>
      <c r="P403" s="1"/>
      <c r="Q403" s="55">
        <f t="shared" ref="Q403:Q451" si="167">SUM(N403:P403)</f>
        <v>0</v>
      </c>
      <c r="R403" s="55">
        <f t="shared" si="163"/>
        <v>0</v>
      </c>
    </row>
    <row r="404" spans="1:20" ht="15.75" customHeight="1" x14ac:dyDescent="0.3">
      <c r="A404" s="72" t="s">
        <v>948</v>
      </c>
      <c r="B404" s="1"/>
      <c r="C404" s="1"/>
      <c r="D404" s="1">
        <v>972</v>
      </c>
      <c r="E404" s="55">
        <f t="shared" si="164"/>
        <v>972</v>
      </c>
      <c r="F404" s="1"/>
      <c r="G404" s="1"/>
      <c r="H404" s="1"/>
      <c r="I404" s="55">
        <f t="shared" si="165"/>
        <v>0</v>
      </c>
      <c r="J404" s="1"/>
      <c r="K404" s="1"/>
      <c r="L404" s="1"/>
      <c r="M404" s="55">
        <f t="shared" si="166"/>
        <v>0</v>
      </c>
      <c r="N404" s="1"/>
      <c r="O404" s="1"/>
      <c r="P404" s="1"/>
      <c r="Q404" s="55">
        <f t="shared" si="167"/>
        <v>0</v>
      </c>
      <c r="R404" s="55">
        <f t="shared" si="163"/>
        <v>972</v>
      </c>
      <c r="T404" s="4" t="s">
        <v>241</v>
      </c>
    </row>
    <row r="405" spans="1:20" ht="15.75" customHeight="1" x14ac:dyDescent="0.3">
      <c r="A405" s="72" t="s">
        <v>949</v>
      </c>
      <c r="B405" s="1">
        <v>786</v>
      </c>
      <c r="C405" s="1">
        <v>77</v>
      </c>
      <c r="D405" s="1"/>
      <c r="E405" s="55">
        <f t="shared" si="164"/>
        <v>863</v>
      </c>
      <c r="F405" s="1"/>
      <c r="G405" s="1"/>
      <c r="H405" s="1"/>
      <c r="I405" s="55">
        <f t="shared" si="165"/>
        <v>0</v>
      </c>
      <c r="J405" s="1"/>
      <c r="K405" s="1"/>
      <c r="L405" s="1"/>
      <c r="M405" s="55">
        <f t="shared" si="166"/>
        <v>0</v>
      </c>
      <c r="N405" s="1"/>
      <c r="O405" s="1"/>
      <c r="P405" s="1"/>
      <c r="Q405" s="55">
        <f t="shared" si="167"/>
        <v>0</v>
      </c>
      <c r="R405" s="55">
        <f t="shared" si="163"/>
        <v>863</v>
      </c>
      <c r="T405" s="4" t="s">
        <v>919</v>
      </c>
    </row>
    <row r="406" spans="1:20" ht="15.75" customHeight="1" x14ac:dyDescent="0.3">
      <c r="A406" s="72" t="s">
        <v>950</v>
      </c>
      <c r="B406" s="1"/>
      <c r="C406" s="1"/>
      <c r="D406" s="1"/>
      <c r="E406" s="55">
        <f t="shared" si="164"/>
        <v>0</v>
      </c>
      <c r="F406" s="1"/>
      <c r="G406" s="1"/>
      <c r="H406" s="1"/>
      <c r="I406" s="55">
        <f t="shared" si="165"/>
        <v>0</v>
      </c>
      <c r="J406" s="1"/>
      <c r="K406" s="1"/>
      <c r="L406" s="1"/>
      <c r="M406" s="55">
        <f t="shared" si="166"/>
        <v>0</v>
      </c>
      <c r="N406" s="1"/>
      <c r="O406" s="1"/>
      <c r="P406" s="1"/>
      <c r="Q406" s="55">
        <f t="shared" si="167"/>
        <v>0</v>
      </c>
      <c r="R406" s="55">
        <f t="shared" si="163"/>
        <v>0</v>
      </c>
      <c r="T406" s="4" t="s">
        <v>241</v>
      </c>
    </row>
    <row r="407" spans="1:20" ht="15.75" customHeight="1" x14ac:dyDescent="0.3">
      <c r="A407" s="72" t="s">
        <v>149</v>
      </c>
      <c r="B407" s="1"/>
      <c r="C407" s="1"/>
      <c r="D407" s="1"/>
      <c r="E407" s="55">
        <f t="shared" ref="E407:E450" si="168">SUM(B407:D407)</f>
        <v>0</v>
      </c>
      <c r="F407" s="1">
        <v>138</v>
      </c>
      <c r="G407" s="1">
        <v>489</v>
      </c>
      <c r="H407" s="1"/>
      <c r="I407" s="55">
        <f t="shared" si="165"/>
        <v>627</v>
      </c>
      <c r="J407" s="1"/>
      <c r="K407" s="1"/>
      <c r="L407" s="1"/>
      <c r="M407" s="55">
        <f t="shared" si="166"/>
        <v>0</v>
      </c>
      <c r="N407" s="1"/>
      <c r="O407" s="1"/>
      <c r="P407" s="1"/>
      <c r="Q407" s="55">
        <f t="shared" si="167"/>
        <v>0</v>
      </c>
      <c r="R407" s="55">
        <f t="shared" si="163"/>
        <v>627</v>
      </c>
    </row>
    <row r="408" spans="1:20" ht="15.75" customHeight="1" x14ac:dyDescent="0.3">
      <c r="A408" s="72" t="s">
        <v>1303</v>
      </c>
      <c r="B408" s="1"/>
      <c r="C408" s="1"/>
      <c r="D408" s="1"/>
      <c r="E408" s="55">
        <f t="shared" si="168"/>
        <v>0</v>
      </c>
      <c r="F408" s="1"/>
      <c r="G408" s="1"/>
      <c r="H408" s="1"/>
      <c r="I408" s="55">
        <f t="shared" si="165"/>
        <v>0</v>
      </c>
      <c r="J408" s="1"/>
      <c r="K408" s="1"/>
      <c r="L408" s="1"/>
      <c r="M408" s="55">
        <f t="shared" si="166"/>
        <v>0</v>
      </c>
      <c r="N408" s="1"/>
      <c r="O408" s="1"/>
      <c r="P408" s="1"/>
      <c r="Q408" s="55">
        <f t="shared" si="167"/>
        <v>0</v>
      </c>
      <c r="R408" s="55">
        <f t="shared" si="163"/>
        <v>0</v>
      </c>
    </row>
    <row r="409" spans="1:20" ht="15.75" customHeight="1" x14ac:dyDescent="0.3">
      <c r="A409" s="72" t="s">
        <v>951</v>
      </c>
      <c r="B409" s="1"/>
      <c r="C409" s="1"/>
      <c r="D409" s="1"/>
      <c r="E409" s="55">
        <f t="shared" si="168"/>
        <v>0</v>
      </c>
      <c r="F409" s="1"/>
      <c r="G409" s="1"/>
      <c r="H409" s="1"/>
      <c r="I409" s="55">
        <f t="shared" si="165"/>
        <v>0</v>
      </c>
      <c r="J409" s="1"/>
      <c r="K409" s="1"/>
      <c r="L409" s="1"/>
      <c r="M409" s="55">
        <f t="shared" si="166"/>
        <v>0</v>
      </c>
      <c r="N409" s="1"/>
      <c r="O409" s="1"/>
      <c r="P409" s="1"/>
      <c r="Q409" s="55">
        <f t="shared" si="167"/>
        <v>0</v>
      </c>
      <c r="R409" s="55">
        <f>+E409+I409+M409+Q409</f>
        <v>0</v>
      </c>
      <c r="T409" s="4" t="s">
        <v>224</v>
      </c>
    </row>
    <row r="410" spans="1:20" ht="15.75" customHeight="1" x14ac:dyDescent="0.3">
      <c r="A410" s="72" t="s">
        <v>952</v>
      </c>
      <c r="B410" s="1"/>
      <c r="C410" s="1"/>
      <c r="D410" s="1"/>
      <c r="E410" s="55">
        <f t="shared" si="168"/>
        <v>0</v>
      </c>
      <c r="F410" s="1"/>
      <c r="G410" s="1"/>
      <c r="H410" s="1"/>
      <c r="I410" s="55">
        <f t="shared" si="165"/>
        <v>0</v>
      </c>
      <c r="J410" s="1"/>
      <c r="K410" s="1"/>
      <c r="L410" s="1"/>
      <c r="M410" s="55">
        <f t="shared" si="166"/>
        <v>0</v>
      </c>
      <c r="N410" s="1">
        <v>727</v>
      </c>
      <c r="O410" s="1"/>
      <c r="P410" s="1"/>
      <c r="Q410" s="55">
        <f t="shared" si="167"/>
        <v>727</v>
      </c>
      <c r="R410" s="55">
        <f t="shared" si="163"/>
        <v>727</v>
      </c>
      <c r="T410" s="4" t="s">
        <v>209</v>
      </c>
    </row>
    <row r="411" spans="1:20" ht="15.75" customHeight="1" x14ac:dyDescent="0.3">
      <c r="A411" s="72" t="s">
        <v>953</v>
      </c>
      <c r="B411" s="1">
        <v>317</v>
      </c>
      <c r="C411" s="1">
        <v>706</v>
      </c>
      <c r="D411" s="1">
        <v>1000</v>
      </c>
      <c r="E411" s="55">
        <f t="shared" si="168"/>
        <v>2023</v>
      </c>
      <c r="F411" s="1">
        <v>2927</v>
      </c>
      <c r="G411" s="1">
        <v>2769</v>
      </c>
      <c r="H411" s="1">
        <v>2000</v>
      </c>
      <c r="I411" s="55">
        <f t="shared" si="165"/>
        <v>7696</v>
      </c>
      <c r="J411" s="1">
        <f>2780+2475</f>
        <v>5255</v>
      </c>
      <c r="K411" s="1"/>
      <c r="L411" s="1">
        <v>26</v>
      </c>
      <c r="M411" s="55">
        <f t="shared" si="166"/>
        <v>5281</v>
      </c>
      <c r="N411" s="1"/>
      <c r="O411" s="1"/>
      <c r="P411" s="1"/>
      <c r="Q411" s="55">
        <f t="shared" si="167"/>
        <v>0</v>
      </c>
      <c r="R411" s="55">
        <f t="shared" si="163"/>
        <v>15000</v>
      </c>
    </row>
    <row r="412" spans="1:20" ht="15.75" customHeight="1" x14ac:dyDescent="0.3">
      <c r="A412" s="72" t="s">
        <v>641</v>
      </c>
      <c r="B412" s="1"/>
      <c r="C412" s="1">
        <v>1620</v>
      </c>
      <c r="D412" s="1">
        <v>3060</v>
      </c>
      <c r="E412" s="55">
        <f t="shared" si="168"/>
        <v>4680</v>
      </c>
      <c r="F412" s="1">
        <v>3580</v>
      </c>
      <c r="G412" s="1">
        <v>6080</v>
      </c>
      <c r="H412" s="1">
        <v>7630</v>
      </c>
      <c r="I412" s="55">
        <f t="shared" si="165"/>
        <v>17290</v>
      </c>
      <c r="J412" s="1">
        <v>4530</v>
      </c>
      <c r="K412" s="1">
        <v>3000</v>
      </c>
      <c r="L412" s="1">
        <v>5500</v>
      </c>
      <c r="M412" s="55">
        <f t="shared" si="166"/>
        <v>13030</v>
      </c>
      <c r="N412" s="1"/>
      <c r="O412" s="1">
        <v>6300</v>
      </c>
      <c r="P412" s="1">
        <v>1700</v>
      </c>
      <c r="Q412" s="55">
        <f t="shared" si="167"/>
        <v>8000</v>
      </c>
      <c r="R412" s="55">
        <f t="shared" si="163"/>
        <v>43000</v>
      </c>
      <c r="T412" s="4" t="s">
        <v>209</v>
      </c>
    </row>
    <row r="413" spans="1:20" ht="15.75" customHeight="1" x14ac:dyDescent="0.3">
      <c r="A413" s="72" t="s">
        <v>640</v>
      </c>
      <c r="B413" s="1"/>
      <c r="C413" s="1"/>
      <c r="D413" s="1"/>
      <c r="E413" s="55">
        <f t="shared" si="168"/>
        <v>0</v>
      </c>
      <c r="F413" s="1"/>
      <c r="G413" s="1"/>
      <c r="H413" s="1">
        <v>7282</v>
      </c>
      <c r="I413" s="55">
        <f t="shared" si="165"/>
        <v>7282</v>
      </c>
      <c r="J413" s="1">
        <f>12245+1506</f>
        <v>13751</v>
      </c>
      <c r="K413" s="1">
        <f>10823+1469</f>
        <v>12292</v>
      </c>
      <c r="L413" s="1">
        <f>6368+992</f>
        <v>7360</v>
      </c>
      <c r="M413" s="55">
        <f t="shared" si="166"/>
        <v>33403</v>
      </c>
      <c r="N413" s="1">
        <f>2809+21</f>
        <v>2830</v>
      </c>
      <c r="O413" s="1">
        <f>3339+105</f>
        <v>3444</v>
      </c>
      <c r="P413" s="1">
        <f>2714+327</f>
        <v>3041</v>
      </c>
      <c r="Q413" s="55">
        <f t="shared" si="167"/>
        <v>9315</v>
      </c>
      <c r="R413" s="55">
        <f t="shared" si="163"/>
        <v>50000</v>
      </c>
    </row>
    <row r="414" spans="1:20" ht="15.75" customHeight="1" x14ac:dyDescent="0.3">
      <c r="A414" s="72" t="s">
        <v>954</v>
      </c>
      <c r="B414" s="1"/>
      <c r="C414" s="1">
        <v>1572</v>
      </c>
      <c r="D414" s="1">
        <v>3774</v>
      </c>
      <c r="E414" s="55">
        <f t="shared" si="168"/>
        <v>5346</v>
      </c>
      <c r="F414" s="1">
        <v>5715</v>
      </c>
      <c r="G414" s="1">
        <v>939</v>
      </c>
      <c r="H414" s="1"/>
      <c r="I414" s="55">
        <f t="shared" si="165"/>
        <v>6654</v>
      </c>
      <c r="J414" s="1"/>
      <c r="K414" s="1"/>
      <c r="L414" s="1"/>
      <c r="M414" s="55">
        <f t="shared" si="166"/>
        <v>0</v>
      </c>
      <c r="N414" s="1"/>
      <c r="O414" s="1"/>
      <c r="P414" s="1"/>
      <c r="Q414" s="55">
        <f t="shared" si="167"/>
        <v>0</v>
      </c>
      <c r="R414" s="55">
        <f t="shared" si="163"/>
        <v>12000</v>
      </c>
    </row>
    <row r="415" spans="1:20" ht="15.75" customHeight="1" x14ac:dyDescent="0.3">
      <c r="A415" s="72" t="s">
        <v>1218</v>
      </c>
      <c r="B415" s="1"/>
      <c r="C415" s="1"/>
      <c r="D415" s="1"/>
      <c r="E415" s="55">
        <f t="shared" si="168"/>
        <v>0</v>
      </c>
      <c r="F415" s="1"/>
      <c r="G415" s="1">
        <v>560</v>
      </c>
      <c r="H415" s="1"/>
      <c r="I415" s="55">
        <f t="shared" si="165"/>
        <v>560</v>
      </c>
      <c r="J415" s="1"/>
      <c r="K415" s="1"/>
      <c r="L415" s="1"/>
      <c r="M415" s="55">
        <f t="shared" si="166"/>
        <v>0</v>
      </c>
      <c r="N415" s="1"/>
      <c r="O415" s="1"/>
      <c r="P415" s="1"/>
      <c r="Q415" s="55">
        <f t="shared" ref="Q415" si="169">SUM(N415:P415)</f>
        <v>0</v>
      </c>
      <c r="R415" s="55">
        <f t="shared" si="163"/>
        <v>560</v>
      </c>
    </row>
    <row r="416" spans="1:20" ht="15.75" customHeight="1" x14ac:dyDescent="0.3">
      <c r="A416" s="72" t="s">
        <v>955</v>
      </c>
      <c r="B416" s="1">
        <v>117</v>
      </c>
      <c r="C416" s="1">
        <v>108</v>
      </c>
      <c r="D416" s="1">
        <v>117</v>
      </c>
      <c r="E416" s="55">
        <f t="shared" si="168"/>
        <v>342</v>
      </c>
      <c r="F416" s="1">
        <v>98</v>
      </c>
      <c r="G416" s="1"/>
      <c r="H416" s="1"/>
      <c r="I416" s="55">
        <f t="shared" si="165"/>
        <v>98</v>
      </c>
      <c r="J416" s="1"/>
      <c r="K416" s="1"/>
      <c r="L416" s="1"/>
      <c r="M416" s="55">
        <f t="shared" si="166"/>
        <v>0</v>
      </c>
      <c r="N416" s="1"/>
      <c r="O416" s="1"/>
      <c r="P416" s="1"/>
      <c r="Q416" s="55">
        <f t="shared" si="167"/>
        <v>0</v>
      </c>
      <c r="R416" s="55">
        <f t="shared" si="163"/>
        <v>440</v>
      </c>
    </row>
    <row r="417" spans="1:20" ht="15.75" customHeight="1" x14ac:dyDescent="0.3">
      <c r="A417" s="72" t="s">
        <v>956</v>
      </c>
      <c r="B417" s="1"/>
      <c r="C417" s="1"/>
      <c r="D417" s="1"/>
      <c r="E417" s="55">
        <f t="shared" si="168"/>
        <v>0</v>
      </c>
      <c r="F417" s="1"/>
      <c r="G417" s="1"/>
      <c r="H417" s="1"/>
      <c r="I417" s="55">
        <f t="shared" si="165"/>
        <v>0</v>
      </c>
      <c r="J417" s="1"/>
      <c r="K417" s="1"/>
      <c r="L417" s="1"/>
      <c r="M417" s="55">
        <f t="shared" si="166"/>
        <v>0</v>
      </c>
      <c r="N417" s="1"/>
      <c r="O417" s="1"/>
      <c r="P417" s="1"/>
      <c r="Q417" s="55">
        <f t="shared" si="167"/>
        <v>0</v>
      </c>
      <c r="R417" s="55">
        <f t="shared" si="163"/>
        <v>0</v>
      </c>
      <c r="T417" s="4" t="s">
        <v>241</v>
      </c>
    </row>
    <row r="418" spans="1:20" ht="15.75" customHeight="1" x14ac:dyDescent="0.3">
      <c r="A418" s="72" t="s">
        <v>957</v>
      </c>
      <c r="B418" s="1">
        <v>14</v>
      </c>
      <c r="C418" s="1">
        <v>17</v>
      </c>
      <c r="D418" s="1">
        <v>18</v>
      </c>
      <c r="E418" s="55">
        <f t="shared" si="168"/>
        <v>49</v>
      </c>
      <c r="F418" s="1">
        <v>22</v>
      </c>
      <c r="G418" s="1">
        <v>14</v>
      </c>
      <c r="H418" s="1">
        <v>36</v>
      </c>
      <c r="I418" s="55">
        <f t="shared" si="165"/>
        <v>72</v>
      </c>
      <c r="J418" s="1">
        <v>34</v>
      </c>
      <c r="K418" s="1">
        <v>36</v>
      </c>
      <c r="L418" s="1">
        <v>27</v>
      </c>
      <c r="M418" s="55">
        <f t="shared" si="166"/>
        <v>97</v>
      </c>
      <c r="N418" s="1">
        <v>18</v>
      </c>
      <c r="O418" s="1"/>
      <c r="P418" s="1">
        <v>18</v>
      </c>
      <c r="Q418" s="55">
        <f t="shared" si="167"/>
        <v>36</v>
      </c>
      <c r="R418" s="55">
        <f t="shared" si="163"/>
        <v>254</v>
      </c>
      <c r="T418" s="4" t="s">
        <v>220</v>
      </c>
    </row>
    <row r="419" spans="1:20" ht="15.75" customHeight="1" x14ac:dyDescent="0.3">
      <c r="A419" s="72" t="s">
        <v>958</v>
      </c>
      <c r="B419" s="1">
        <v>791</v>
      </c>
      <c r="C419" s="1">
        <v>509</v>
      </c>
      <c r="D419" s="1">
        <v>1173</v>
      </c>
      <c r="E419" s="55">
        <f t="shared" si="168"/>
        <v>2473</v>
      </c>
      <c r="F419" s="1">
        <v>1322</v>
      </c>
      <c r="G419" s="1">
        <v>1509</v>
      </c>
      <c r="H419" s="1">
        <v>712</v>
      </c>
      <c r="I419" s="55">
        <f t="shared" si="165"/>
        <v>3543</v>
      </c>
      <c r="J419" s="1"/>
      <c r="K419" s="1"/>
      <c r="L419" s="1"/>
      <c r="M419" s="55">
        <f t="shared" si="166"/>
        <v>0</v>
      </c>
      <c r="N419" s="1"/>
      <c r="O419" s="1"/>
      <c r="P419" s="1"/>
      <c r="Q419" s="55">
        <f t="shared" si="167"/>
        <v>0</v>
      </c>
      <c r="R419" s="55">
        <f t="shared" si="163"/>
        <v>6016</v>
      </c>
      <c r="T419" s="4" t="s">
        <v>919</v>
      </c>
    </row>
    <row r="420" spans="1:20" ht="15.75" customHeight="1" x14ac:dyDescent="0.3">
      <c r="A420" s="72" t="s">
        <v>642</v>
      </c>
      <c r="B420" s="1"/>
      <c r="C420" s="1">
        <v>2071</v>
      </c>
      <c r="D420" s="1">
        <v>3347</v>
      </c>
      <c r="E420" s="55">
        <f t="shared" si="168"/>
        <v>5418</v>
      </c>
      <c r="F420" s="1">
        <v>2028</v>
      </c>
      <c r="G420" s="1"/>
      <c r="H420" s="1"/>
      <c r="I420" s="55">
        <f t="shared" si="165"/>
        <v>2028</v>
      </c>
      <c r="J420" s="1"/>
      <c r="K420" s="1"/>
      <c r="L420" s="1"/>
      <c r="M420" s="55">
        <f t="shared" si="166"/>
        <v>0</v>
      </c>
      <c r="N420" s="1"/>
      <c r="O420" s="1"/>
      <c r="P420" s="1"/>
      <c r="Q420" s="55">
        <f t="shared" si="167"/>
        <v>0</v>
      </c>
      <c r="R420" s="55">
        <f>+E420+I420+M420+Q420</f>
        <v>7446</v>
      </c>
    </row>
    <row r="421" spans="1:20" ht="15.75" customHeight="1" x14ac:dyDescent="0.3">
      <c r="A421" s="72" t="s">
        <v>737</v>
      </c>
      <c r="B421" s="1"/>
      <c r="C421" s="1"/>
      <c r="D421" s="1"/>
      <c r="E421" s="55">
        <f t="shared" si="168"/>
        <v>0</v>
      </c>
      <c r="F421" s="1"/>
      <c r="G421" s="1"/>
      <c r="H421" s="1"/>
      <c r="I421" s="55">
        <f t="shared" si="165"/>
        <v>0</v>
      </c>
      <c r="J421" s="1"/>
      <c r="K421" s="1"/>
      <c r="L421" s="1"/>
      <c r="M421" s="55">
        <f t="shared" si="166"/>
        <v>0</v>
      </c>
      <c r="N421" s="1"/>
      <c r="O421" s="1"/>
      <c r="P421" s="1"/>
      <c r="Q421" s="55">
        <f t="shared" si="167"/>
        <v>0</v>
      </c>
      <c r="R421" s="55">
        <f>+E421+I421+M421+Q421</f>
        <v>0</v>
      </c>
    </row>
    <row r="422" spans="1:20" ht="15.75" customHeight="1" x14ac:dyDescent="0.3">
      <c r="A422" s="72" t="s">
        <v>1219</v>
      </c>
      <c r="B422" s="1"/>
      <c r="C422" s="1"/>
      <c r="D422" s="1"/>
      <c r="E422" s="55">
        <f t="shared" si="168"/>
        <v>0</v>
      </c>
      <c r="F422" s="1"/>
      <c r="G422" s="1"/>
      <c r="H422" s="1"/>
      <c r="I422" s="55">
        <f t="shared" si="165"/>
        <v>0</v>
      </c>
      <c r="J422" s="1"/>
      <c r="K422" s="1"/>
      <c r="L422" s="1"/>
      <c r="M422" s="55">
        <f t="shared" si="166"/>
        <v>0</v>
      </c>
      <c r="N422" s="1"/>
      <c r="O422" s="1"/>
      <c r="P422" s="1"/>
      <c r="Q422" s="55">
        <f t="shared" si="167"/>
        <v>0</v>
      </c>
      <c r="R422" s="55">
        <f>+E422+I422+M422+Q422</f>
        <v>0</v>
      </c>
    </row>
    <row r="423" spans="1:20" ht="15.75" customHeight="1" x14ac:dyDescent="0.3">
      <c r="A423" s="72" t="s">
        <v>1220</v>
      </c>
      <c r="B423" s="1"/>
      <c r="C423" s="1">
        <v>768</v>
      </c>
      <c r="D423" s="1">
        <v>165</v>
      </c>
      <c r="E423" s="55">
        <f t="shared" si="168"/>
        <v>933</v>
      </c>
      <c r="F423" s="1"/>
      <c r="G423" s="1"/>
      <c r="H423" s="1"/>
      <c r="I423" s="55">
        <f t="shared" si="165"/>
        <v>0</v>
      </c>
      <c r="J423" s="1"/>
      <c r="K423" s="1"/>
      <c r="L423" s="1"/>
      <c r="M423" s="55">
        <f t="shared" si="166"/>
        <v>0</v>
      </c>
      <c r="N423" s="1"/>
      <c r="O423" s="1"/>
      <c r="P423" s="1"/>
      <c r="Q423" s="55">
        <f t="shared" si="167"/>
        <v>0</v>
      </c>
      <c r="R423" s="55">
        <f>+E423+I423+M423+Q423</f>
        <v>933</v>
      </c>
      <c r="T423" s="4" t="s">
        <v>241</v>
      </c>
    </row>
    <row r="424" spans="1:20" ht="15.75" customHeight="1" x14ac:dyDescent="0.3">
      <c r="A424" s="72" t="s">
        <v>1221</v>
      </c>
      <c r="B424" s="1"/>
      <c r="C424" s="1"/>
      <c r="D424" s="1"/>
      <c r="E424" s="55">
        <f t="shared" ref="E424" si="170">SUM(B424:D424)</f>
        <v>0</v>
      </c>
      <c r="F424" s="1"/>
      <c r="G424" s="1"/>
      <c r="H424" s="1"/>
      <c r="I424" s="55">
        <f t="shared" ref="I424" si="171">SUM(F424:H424)</f>
        <v>0</v>
      </c>
      <c r="J424" s="1"/>
      <c r="K424" s="1"/>
      <c r="L424" s="1"/>
      <c r="M424" s="55">
        <f t="shared" ref="M424" si="172">SUM(J424:L424)</f>
        <v>0</v>
      </c>
      <c r="N424" s="1"/>
      <c r="O424" s="1">
        <v>971</v>
      </c>
      <c r="P424" s="1">
        <v>29</v>
      </c>
      <c r="Q424" s="55">
        <f t="shared" ref="Q424" si="173">SUM(N424:P424)</f>
        <v>1000</v>
      </c>
      <c r="R424" s="55">
        <f t="shared" ref="R424:R425" si="174">+E424+I424+M424+Q424</f>
        <v>1000</v>
      </c>
      <c r="T424" s="4" t="s">
        <v>822</v>
      </c>
    </row>
    <row r="425" spans="1:20" ht="16.5" customHeight="1" x14ac:dyDescent="0.3">
      <c r="A425" s="72" t="s">
        <v>961</v>
      </c>
      <c r="B425" s="1"/>
      <c r="C425" s="1"/>
      <c r="D425" s="1">
        <v>2543</v>
      </c>
      <c r="E425" s="55">
        <f t="shared" si="168"/>
        <v>2543</v>
      </c>
      <c r="F425" s="1">
        <v>2000</v>
      </c>
      <c r="G425" s="1">
        <v>2500</v>
      </c>
      <c r="H425" s="1">
        <f>2470+1611+1600</f>
        <v>5681</v>
      </c>
      <c r="I425" s="55">
        <f t="shared" si="165"/>
        <v>10181</v>
      </c>
      <c r="J425" s="1">
        <v>1776</v>
      </c>
      <c r="K425" s="1"/>
      <c r="L425" s="1"/>
      <c r="M425" s="55">
        <f t="shared" si="166"/>
        <v>1776</v>
      </c>
      <c r="N425" s="1"/>
      <c r="O425" s="1"/>
      <c r="P425" s="1"/>
      <c r="Q425" s="55">
        <f t="shared" ref="Q425" si="175">SUM(N425:P425)</f>
        <v>0</v>
      </c>
      <c r="R425" s="55">
        <f t="shared" si="174"/>
        <v>14500</v>
      </c>
      <c r="T425" s="4" t="s">
        <v>944</v>
      </c>
    </row>
    <row r="426" spans="1:20" ht="15.75" customHeight="1" x14ac:dyDescent="0.3">
      <c r="A426" s="72" t="s">
        <v>1222</v>
      </c>
      <c r="B426" s="1"/>
      <c r="C426" s="1"/>
      <c r="D426" s="1">
        <v>1960</v>
      </c>
      <c r="E426" s="55">
        <f t="shared" si="168"/>
        <v>1960</v>
      </c>
      <c r="F426" s="1">
        <v>2204</v>
      </c>
      <c r="G426" s="1">
        <f>2917+105</f>
        <v>3022</v>
      </c>
      <c r="H426" s="1">
        <f>2859+125</f>
        <v>2984</v>
      </c>
      <c r="I426" s="55">
        <f t="shared" si="165"/>
        <v>8210</v>
      </c>
      <c r="J426" s="1">
        <v>2830</v>
      </c>
      <c r="K426" s="1"/>
      <c r="L426" s="1"/>
      <c r="M426" s="55">
        <f t="shared" si="166"/>
        <v>2830</v>
      </c>
      <c r="N426" s="1"/>
      <c r="O426" s="1"/>
      <c r="P426" s="1"/>
      <c r="Q426" s="55">
        <f t="shared" ref="Q426" si="176">SUM(N426:P426)</f>
        <v>0</v>
      </c>
      <c r="R426" s="55">
        <f t="shared" si="163"/>
        <v>13000</v>
      </c>
      <c r="T426" s="4" t="s">
        <v>214</v>
      </c>
    </row>
    <row r="427" spans="1:20" ht="15.75" customHeight="1" x14ac:dyDescent="0.3">
      <c r="A427" s="72" t="s">
        <v>962</v>
      </c>
      <c r="B427" s="1"/>
      <c r="C427" s="1"/>
      <c r="D427" s="1"/>
      <c r="E427" s="55">
        <f t="shared" si="168"/>
        <v>0</v>
      </c>
      <c r="F427" s="1"/>
      <c r="G427" s="1"/>
      <c r="H427" s="1"/>
      <c r="I427" s="55">
        <f t="shared" si="165"/>
        <v>0</v>
      </c>
      <c r="J427" s="1"/>
      <c r="K427" s="1"/>
      <c r="L427" s="1"/>
      <c r="M427" s="55">
        <f t="shared" si="166"/>
        <v>0</v>
      </c>
      <c r="N427" s="1"/>
      <c r="O427" s="1"/>
      <c r="P427" s="1"/>
      <c r="Q427" s="55">
        <f t="shared" si="167"/>
        <v>0</v>
      </c>
      <c r="R427" s="55">
        <f t="shared" si="163"/>
        <v>0</v>
      </c>
      <c r="T427" s="4" t="s">
        <v>214</v>
      </c>
    </row>
    <row r="428" spans="1:20" ht="15.75" customHeight="1" x14ac:dyDescent="0.3">
      <c r="A428" s="72" t="s">
        <v>963</v>
      </c>
      <c r="B428" s="1"/>
      <c r="C428" s="1"/>
      <c r="D428" s="1"/>
      <c r="E428" s="55">
        <f t="shared" si="168"/>
        <v>0</v>
      </c>
      <c r="F428" s="1"/>
      <c r="G428" s="1"/>
      <c r="H428" s="1"/>
      <c r="I428" s="55">
        <f t="shared" si="165"/>
        <v>0</v>
      </c>
      <c r="J428" s="1"/>
      <c r="K428" s="1"/>
      <c r="L428" s="1"/>
      <c r="M428" s="55">
        <f t="shared" si="166"/>
        <v>0</v>
      </c>
      <c r="N428" s="1"/>
      <c r="O428" s="1"/>
      <c r="P428" s="1"/>
      <c r="Q428" s="55">
        <f t="shared" si="167"/>
        <v>0</v>
      </c>
      <c r="R428" s="55">
        <f t="shared" si="163"/>
        <v>0</v>
      </c>
      <c r="T428" s="4" t="s">
        <v>919</v>
      </c>
    </row>
    <row r="429" spans="1:20" ht="15.75" customHeight="1" x14ac:dyDescent="0.3">
      <c r="A429" s="72" t="s">
        <v>1223</v>
      </c>
      <c r="B429" s="1"/>
      <c r="C429" s="1"/>
      <c r="D429" s="1"/>
      <c r="E429" s="55">
        <f t="shared" si="168"/>
        <v>0</v>
      </c>
      <c r="F429" s="1"/>
      <c r="G429" s="1"/>
      <c r="H429" s="1"/>
      <c r="I429" s="55">
        <f t="shared" si="165"/>
        <v>0</v>
      </c>
      <c r="J429" s="1"/>
      <c r="K429" s="1"/>
      <c r="L429" s="1"/>
      <c r="M429" s="55">
        <f t="shared" si="166"/>
        <v>0</v>
      </c>
      <c r="N429" s="1"/>
      <c r="O429" s="1"/>
      <c r="P429" s="1"/>
      <c r="Q429" s="55">
        <f t="shared" si="167"/>
        <v>0</v>
      </c>
      <c r="R429" s="55">
        <f t="shared" si="163"/>
        <v>0</v>
      </c>
    </row>
    <row r="430" spans="1:20" ht="15.75" customHeight="1" x14ac:dyDescent="0.3">
      <c r="A430" s="72" t="s">
        <v>964</v>
      </c>
      <c r="B430" s="1"/>
      <c r="C430" s="1"/>
      <c r="D430" s="1">
        <v>768</v>
      </c>
      <c r="E430" s="55">
        <f t="shared" si="168"/>
        <v>768</v>
      </c>
      <c r="F430" s="1"/>
      <c r="G430" s="1"/>
      <c r="H430" s="1"/>
      <c r="I430" s="55">
        <f t="shared" si="165"/>
        <v>0</v>
      </c>
      <c r="J430" s="1"/>
      <c r="K430" s="1"/>
      <c r="L430" s="1"/>
      <c r="M430" s="55">
        <f t="shared" si="166"/>
        <v>0</v>
      </c>
      <c r="N430" s="1"/>
      <c r="O430" s="1"/>
      <c r="P430" s="1"/>
      <c r="Q430" s="55">
        <f t="shared" si="167"/>
        <v>0</v>
      </c>
      <c r="R430" s="55">
        <f t="shared" si="163"/>
        <v>768</v>
      </c>
      <c r="T430" s="4" t="s">
        <v>241</v>
      </c>
    </row>
    <row r="431" spans="1:20" ht="15.75" customHeight="1" x14ac:dyDescent="0.3">
      <c r="A431" s="72" t="s">
        <v>1304</v>
      </c>
      <c r="B431" s="1"/>
      <c r="C431" s="1"/>
      <c r="D431" s="1">
        <v>1100</v>
      </c>
      <c r="E431" s="55">
        <f t="shared" si="168"/>
        <v>1100</v>
      </c>
      <c r="F431" s="1">
        <v>1100</v>
      </c>
      <c r="G431" s="1">
        <v>1100</v>
      </c>
      <c r="H431" s="1">
        <v>1300</v>
      </c>
      <c r="I431" s="55">
        <f t="shared" si="165"/>
        <v>3500</v>
      </c>
      <c r="J431" s="1">
        <v>1500</v>
      </c>
      <c r="K431" s="1">
        <v>1500</v>
      </c>
      <c r="L431" s="1">
        <v>905</v>
      </c>
      <c r="M431" s="55">
        <f t="shared" si="166"/>
        <v>3905</v>
      </c>
      <c r="N431" s="1"/>
      <c r="O431" s="1"/>
      <c r="P431" s="1"/>
      <c r="Q431" s="55">
        <f t="shared" si="167"/>
        <v>0</v>
      </c>
      <c r="R431" s="55">
        <f t="shared" si="163"/>
        <v>8505</v>
      </c>
    </row>
    <row r="432" spans="1:20" ht="15.75" customHeight="1" x14ac:dyDescent="0.3">
      <c r="A432" s="72" t="s">
        <v>1305</v>
      </c>
      <c r="B432" s="1"/>
      <c r="C432" s="1"/>
      <c r="D432" s="1"/>
      <c r="E432" s="55">
        <f>SUM(B432:D432)</f>
        <v>0</v>
      </c>
      <c r="F432" s="1"/>
      <c r="G432" s="1"/>
      <c r="H432" s="1"/>
      <c r="I432" s="55">
        <f>SUM(F432:H432)</f>
        <v>0</v>
      </c>
      <c r="J432" s="1"/>
      <c r="K432" s="1"/>
      <c r="L432" s="1"/>
      <c r="M432" s="55">
        <f>SUM(J432:L432)</f>
        <v>0</v>
      </c>
      <c r="N432" s="1"/>
      <c r="O432" s="1"/>
      <c r="P432" s="1"/>
      <c r="Q432" s="55">
        <f>SUM(N432:P432)</f>
        <v>0</v>
      </c>
      <c r="R432" s="55">
        <f>+E432+I432+M432+Q432</f>
        <v>0</v>
      </c>
    </row>
    <row r="433" spans="1:20" ht="15.75" customHeight="1" x14ac:dyDescent="0.3">
      <c r="A433" s="72" t="s">
        <v>965</v>
      </c>
      <c r="B433" s="1"/>
      <c r="C433" s="1"/>
      <c r="D433" s="1"/>
      <c r="E433" s="55">
        <f t="shared" si="168"/>
        <v>0</v>
      </c>
      <c r="F433" s="1"/>
      <c r="G433" s="1"/>
      <c r="H433" s="1"/>
      <c r="I433" s="55">
        <f t="shared" si="165"/>
        <v>0</v>
      </c>
      <c r="J433" s="1"/>
      <c r="K433" s="1"/>
      <c r="L433" s="1"/>
      <c r="M433" s="55">
        <f t="shared" si="166"/>
        <v>0</v>
      </c>
      <c r="N433" s="1"/>
      <c r="O433" s="1"/>
      <c r="P433" s="1"/>
      <c r="Q433" s="55">
        <f>SUM(N433:P433)</f>
        <v>0</v>
      </c>
      <c r="R433" s="55">
        <f t="shared" si="163"/>
        <v>0</v>
      </c>
    </row>
    <row r="434" spans="1:20" ht="15.75" customHeight="1" x14ac:dyDescent="0.3">
      <c r="A434" s="72" t="s">
        <v>966</v>
      </c>
      <c r="B434" s="1"/>
      <c r="C434" s="1">
        <v>1550</v>
      </c>
      <c r="D434" s="1">
        <v>1030</v>
      </c>
      <c r="E434" s="55">
        <f t="shared" si="168"/>
        <v>2580</v>
      </c>
      <c r="F434" s="1">
        <v>2327</v>
      </c>
      <c r="G434" s="1">
        <v>868</v>
      </c>
      <c r="H434" s="1"/>
      <c r="I434" s="55">
        <f t="shared" si="165"/>
        <v>3195</v>
      </c>
      <c r="J434" s="1"/>
      <c r="K434" s="1"/>
      <c r="L434" s="1"/>
      <c r="M434" s="55">
        <f t="shared" si="166"/>
        <v>0</v>
      </c>
      <c r="N434" s="1"/>
      <c r="O434" s="1"/>
      <c r="P434" s="1"/>
      <c r="Q434" s="55">
        <f t="shared" si="167"/>
        <v>0</v>
      </c>
      <c r="R434" s="55">
        <f t="shared" si="163"/>
        <v>5775</v>
      </c>
    </row>
    <row r="435" spans="1:20" ht="15.75" customHeight="1" x14ac:dyDescent="0.3">
      <c r="A435" s="72" t="s">
        <v>1306</v>
      </c>
      <c r="B435" s="1"/>
      <c r="C435" s="1"/>
      <c r="D435" s="1"/>
      <c r="E435" s="55">
        <f t="shared" ref="E435" si="177">SUM(B435:D435)</f>
        <v>0</v>
      </c>
      <c r="F435" s="1"/>
      <c r="G435" s="1"/>
      <c r="H435" s="1">
        <v>928</v>
      </c>
      <c r="I435" s="55">
        <f t="shared" ref="I435" si="178">SUM(F435:H435)</f>
        <v>928</v>
      </c>
      <c r="J435" s="1">
        <v>882</v>
      </c>
      <c r="K435" s="1"/>
      <c r="L435" s="1"/>
      <c r="M435" s="55">
        <f t="shared" ref="M435" si="179">SUM(J435:L435)</f>
        <v>882</v>
      </c>
      <c r="N435" s="1"/>
      <c r="O435" s="1"/>
      <c r="P435" s="1"/>
      <c r="Q435" s="55">
        <f t="shared" ref="Q435" si="180">SUM(N435:P435)</f>
        <v>0</v>
      </c>
      <c r="R435" s="55">
        <f t="shared" si="163"/>
        <v>1810</v>
      </c>
      <c r="T435" s="4" t="s">
        <v>919</v>
      </c>
    </row>
    <row r="436" spans="1:20" ht="15.75" customHeight="1" x14ac:dyDescent="0.3">
      <c r="A436" s="72" t="s">
        <v>967</v>
      </c>
      <c r="B436" s="1"/>
      <c r="C436" s="1"/>
      <c r="D436" s="1"/>
      <c r="E436" s="55">
        <f t="shared" si="168"/>
        <v>0</v>
      </c>
      <c r="F436" s="1"/>
      <c r="G436" s="1"/>
      <c r="H436" s="1"/>
      <c r="I436" s="55">
        <f t="shared" si="165"/>
        <v>0</v>
      </c>
      <c r="J436" s="1"/>
      <c r="K436" s="1"/>
      <c r="L436" s="1"/>
      <c r="M436" s="55">
        <f t="shared" si="166"/>
        <v>0</v>
      </c>
      <c r="N436" s="1"/>
      <c r="O436" s="1"/>
      <c r="P436" s="1"/>
      <c r="Q436" s="55">
        <f t="shared" si="167"/>
        <v>0</v>
      </c>
      <c r="R436" s="55">
        <f t="shared" si="163"/>
        <v>0</v>
      </c>
      <c r="T436" s="4" t="s">
        <v>919</v>
      </c>
    </row>
    <row r="437" spans="1:20" ht="15.75" customHeight="1" x14ac:dyDescent="0.3">
      <c r="A437" s="72" t="s">
        <v>968</v>
      </c>
      <c r="B437" s="1"/>
      <c r="C437" s="1"/>
      <c r="D437" s="1"/>
      <c r="E437" s="55">
        <f t="shared" si="168"/>
        <v>0</v>
      </c>
      <c r="F437" s="1"/>
      <c r="G437" s="1"/>
      <c r="H437" s="1">
        <v>927</v>
      </c>
      <c r="I437" s="55">
        <f t="shared" si="165"/>
        <v>927</v>
      </c>
      <c r="J437" s="1">
        <v>1664</v>
      </c>
      <c r="K437" s="1">
        <v>776</v>
      </c>
      <c r="L437" s="1"/>
      <c r="M437" s="55">
        <f t="shared" si="166"/>
        <v>2440</v>
      </c>
      <c r="N437" s="1"/>
      <c r="O437" s="1"/>
      <c r="P437" s="1"/>
      <c r="Q437" s="55">
        <f t="shared" si="167"/>
        <v>0</v>
      </c>
      <c r="R437" s="55">
        <f t="shared" si="163"/>
        <v>3367</v>
      </c>
      <c r="T437" s="4" t="s">
        <v>919</v>
      </c>
    </row>
    <row r="438" spans="1:20" ht="15.75" customHeight="1" x14ac:dyDescent="0.3">
      <c r="A438" s="72" t="s">
        <v>969</v>
      </c>
      <c r="B438" s="1"/>
      <c r="C438" s="1"/>
      <c r="D438" s="1"/>
      <c r="E438" s="55">
        <f t="shared" si="168"/>
        <v>0</v>
      </c>
      <c r="F438" s="1"/>
      <c r="G438" s="1"/>
      <c r="H438" s="1"/>
      <c r="I438" s="55">
        <f t="shared" si="165"/>
        <v>0</v>
      </c>
      <c r="J438" s="1"/>
      <c r="K438" s="1"/>
      <c r="L438" s="1"/>
      <c r="M438" s="55">
        <f t="shared" si="166"/>
        <v>0</v>
      </c>
      <c r="N438" s="1"/>
      <c r="O438" s="1"/>
      <c r="P438" s="1"/>
      <c r="Q438" s="55">
        <f t="shared" si="167"/>
        <v>0</v>
      </c>
      <c r="R438" s="55">
        <f t="shared" si="163"/>
        <v>0</v>
      </c>
      <c r="T438" s="4" t="s">
        <v>241</v>
      </c>
    </row>
    <row r="439" spans="1:20" ht="15.75" customHeight="1" x14ac:dyDescent="0.3">
      <c r="A439" s="72" t="s">
        <v>162</v>
      </c>
      <c r="B439" s="1"/>
      <c r="C439" s="1"/>
      <c r="D439" s="1"/>
      <c r="E439" s="55">
        <f t="shared" si="168"/>
        <v>0</v>
      </c>
      <c r="F439" s="1"/>
      <c r="G439" s="1">
        <v>1669</v>
      </c>
      <c r="H439" s="1"/>
      <c r="I439" s="55">
        <f t="shared" si="165"/>
        <v>1669</v>
      </c>
      <c r="J439" s="1"/>
      <c r="K439" s="1"/>
      <c r="L439" s="1"/>
      <c r="M439" s="55">
        <f t="shared" si="166"/>
        <v>0</v>
      </c>
      <c r="N439" s="1"/>
      <c r="O439" s="1"/>
      <c r="P439" s="1"/>
      <c r="Q439" s="55">
        <f t="shared" si="167"/>
        <v>0</v>
      </c>
      <c r="R439" s="55">
        <f t="shared" si="163"/>
        <v>1669</v>
      </c>
    </row>
    <row r="440" spans="1:20" ht="15.75" customHeight="1" x14ac:dyDescent="0.3">
      <c r="A440" s="72" t="s">
        <v>970</v>
      </c>
      <c r="B440" s="1"/>
      <c r="C440" s="1"/>
      <c r="D440" s="1"/>
      <c r="E440" s="55">
        <f t="shared" si="168"/>
        <v>0</v>
      </c>
      <c r="F440" s="1"/>
      <c r="G440" s="1"/>
      <c r="H440" s="1"/>
      <c r="I440" s="55">
        <f t="shared" si="165"/>
        <v>0</v>
      </c>
      <c r="J440" s="1"/>
      <c r="K440" s="1"/>
      <c r="L440" s="1"/>
      <c r="M440" s="55">
        <f t="shared" si="166"/>
        <v>0</v>
      </c>
      <c r="N440" s="1"/>
      <c r="O440" s="1"/>
      <c r="P440" s="1"/>
      <c r="Q440" s="55">
        <f t="shared" si="167"/>
        <v>0</v>
      </c>
      <c r="R440" s="55">
        <f t="shared" si="163"/>
        <v>0</v>
      </c>
      <c r="T440" s="4" t="s">
        <v>241</v>
      </c>
    </row>
    <row r="441" spans="1:20" ht="15.75" customHeight="1" x14ac:dyDescent="0.3">
      <c r="A441" s="72" t="s">
        <v>1307</v>
      </c>
      <c r="B441" s="1"/>
      <c r="C441" s="1"/>
      <c r="D441" s="1"/>
      <c r="E441" s="55">
        <f t="shared" si="168"/>
        <v>0</v>
      </c>
      <c r="F441" s="1"/>
      <c r="G441" s="1"/>
      <c r="H441" s="1"/>
      <c r="I441" s="55">
        <f t="shared" si="165"/>
        <v>0</v>
      </c>
      <c r="J441" s="1">
        <v>642</v>
      </c>
      <c r="K441" s="1">
        <v>1451</v>
      </c>
      <c r="L441" s="1"/>
      <c r="M441" s="55">
        <f t="shared" si="166"/>
        <v>2093</v>
      </c>
      <c r="N441" s="1"/>
      <c r="O441" s="1"/>
      <c r="P441" s="1"/>
      <c r="Q441" s="55">
        <f t="shared" si="167"/>
        <v>0</v>
      </c>
      <c r="R441" s="55">
        <f t="shared" si="163"/>
        <v>2093</v>
      </c>
      <c r="T441" s="4" t="s">
        <v>919</v>
      </c>
    </row>
    <row r="442" spans="1:20" ht="15.75" customHeight="1" x14ac:dyDescent="0.3">
      <c r="A442" s="72" t="s">
        <v>1308</v>
      </c>
      <c r="B442" s="1"/>
      <c r="C442" s="1"/>
      <c r="D442" s="1"/>
      <c r="E442" s="55">
        <f t="shared" si="168"/>
        <v>0</v>
      </c>
      <c r="F442" s="1"/>
      <c r="G442" s="1"/>
      <c r="H442" s="1"/>
      <c r="I442" s="55">
        <f t="shared" si="165"/>
        <v>0</v>
      </c>
      <c r="J442" s="1"/>
      <c r="K442" s="1"/>
      <c r="L442" s="1"/>
      <c r="M442" s="55">
        <f t="shared" si="166"/>
        <v>0</v>
      </c>
      <c r="N442" s="1"/>
      <c r="O442" s="1"/>
      <c r="P442" s="1"/>
      <c r="Q442" s="55">
        <f t="shared" si="167"/>
        <v>0</v>
      </c>
      <c r="R442" s="55">
        <f>+E442+I442+M442+Q442</f>
        <v>0</v>
      </c>
    </row>
    <row r="443" spans="1:20" ht="15.75" customHeight="1" x14ac:dyDescent="0.3">
      <c r="A443" s="72" t="s">
        <v>1309</v>
      </c>
      <c r="B443" s="1"/>
      <c r="C443" s="1"/>
      <c r="D443" s="1"/>
      <c r="E443" s="55">
        <f t="shared" si="168"/>
        <v>0</v>
      </c>
      <c r="F443" s="1"/>
      <c r="G443" s="1"/>
      <c r="H443" s="1"/>
      <c r="I443" s="55">
        <f t="shared" si="165"/>
        <v>0</v>
      </c>
      <c r="J443" s="1"/>
      <c r="K443" s="1"/>
      <c r="L443" s="1"/>
      <c r="M443" s="55">
        <f t="shared" si="166"/>
        <v>0</v>
      </c>
      <c r="N443" s="1"/>
      <c r="O443" s="1"/>
      <c r="P443" s="1"/>
      <c r="Q443" s="55">
        <f t="shared" si="167"/>
        <v>0</v>
      </c>
      <c r="R443" s="55">
        <f>+E443+I443+M443+Q443</f>
        <v>0</v>
      </c>
      <c r="T443" s="4" t="s">
        <v>241</v>
      </c>
    </row>
    <row r="444" spans="1:20" ht="15.75" customHeight="1" x14ac:dyDescent="0.3">
      <c r="A444" s="72" t="s">
        <v>1310</v>
      </c>
      <c r="B444" s="1"/>
      <c r="C444" s="1">
        <v>339</v>
      </c>
      <c r="D444" s="1">
        <v>1116</v>
      </c>
      <c r="E444" s="55">
        <f t="shared" si="168"/>
        <v>1455</v>
      </c>
      <c r="F444" s="1">
        <v>1316</v>
      </c>
      <c r="G444" s="1">
        <v>1546</v>
      </c>
      <c r="H444" s="1">
        <v>749</v>
      </c>
      <c r="I444" s="55">
        <f t="shared" si="165"/>
        <v>3611</v>
      </c>
      <c r="J444" s="1"/>
      <c r="K444" s="1"/>
      <c r="L444" s="1"/>
      <c r="M444" s="55">
        <f t="shared" si="166"/>
        <v>0</v>
      </c>
      <c r="N444" s="1"/>
      <c r="O444" s="1"/>
      <c r="P444" s="1"/>
      <c r="Q444" s="55">
        <f t="shared" si="167"/>
        <v>0</v>
      </c>
      <c r="R444" s="55">
        <f t="shared" si="163"/>
        <v>5066</v>
      </c>
      <c r="T444" s="4" t="s">
        <v>919</v>
      </c>
    </row>
    <row r="445" spans="1:20" ht="15.75" customHeight="1" x14ac:dyDescent="0.3">
      <c r="A445" s="72" t="s">
        <v>1311</v>
      </c>
      <c r="B445" s="1"/>
      <c r="C445" s="1"/>
      <c r="D445" s="1"/>
      <c r="E445" s="55">
        <f t="shared" si="168"/>
        <v>0</v>
      </c>
      <c r="F445" s="1"/>
      <c r="G445" s="1"/>
      <c r="H445" s="1"/>
      <c r="I445" s="55">
        <f t="shared" si="165"/>
        <v>0</v>
      </c>
      <c r="J445" s="1"/>
      <c r="K445" s="1"/>
      <c r="L445" s="1"/>
      <c r="M445" s="55">
        <f t="shared" si="166"/>
        <v>0</v>
      </c>
      <c r="N445" s="1"/>
      <c r="O445" s="1"/>
      <c r="P445" s="1"/>
      <c r="Q445" s="55">
        <f t="shared" si="167"/>
        <v>0</v>
      </c>
      <c r="R445" s="55">
        <f t="shared" si="163"/>
        <v>0</v>
      </c>
      <c r="T445" s="4" t="s">
        <v>241</v>
      </c>
    </row>
    <row r="446" spans="1:20" ht="15.75" customHeight="1" x14ac:dyDescent="0.3">
      <c r="A446" s="72" t="s">
        <v>1312</v>
      </c>
      <c r="B446" s="1"/>
      <c r="C446" s="1"/>
      <c r="D446" s="1"/>
      <c r="E446" s="55">
        <f t="shared" ref="E446:E447" si="181">SUM(B446:D446)</f>
        <v>0</v>
      </c>
      <c r="F446" s="1"/>
      <c r="G446" s="1"/>
      <c r="H446" s="1"/>
      <c r="I446" s="55">
        <f t="shared" ref="I446:I448" si="182">SUM(F446:H446)</f>
        <v>0</v>
      </c>
      <c r="J446" s="1"/>
      <c r="K446" s="1"/>
      <c r="L446" s="1"/>
      <c r="M446" s="55">
        <f t="shared" ref="M446:M448" si="183">SUM(J446:L446)</f>
        <v>0</v>
      </c>
      <c r="N446" s="1"/>
      <c r="O446" s="1"/>
      <c r="P446" s="1"/>
      <c r="Q446" s="55">
        <f t="shared" ref="Q446:Q448" si="184">SUM(N446:P446)</f>
        <v>0</v>
      </c>
      <c r="R446" s="55">
        <f t="shared" si="163"/>
        <v>0</v>
      </c>
    </row>
    <row r="447" spans="1:20" ht="15.75" customHeight="1" x14ac:dyDescent="0.3">
      <c r="A447" s="72" t="s">
        <v>1313</v>
      </c>
      <c r="B447" s="1"/>
      <c r="C447" s="1"/>
      <c r="D447" s="1"/>
      <c r="E447" s="55">
        <f t="shared" si="181"/>
        <v>0</v>
      </c>
      <c r="F447" s="1"/>
      <c r="G447" s="1"/>
      <c r="H447" s="1"/>
      <c r="I447" s="55">
        <f t="shared" si="182"/>
        <v>0</v>
      </c>
      <c r="J447" s="1"/>
      <c r="K447" s="1"/>
      <c r="L447" s="1"/>
      <c r="M447" s="55">
        <f t="shared" si="183"/>
        <v>0</v>
      </c>
      <c r="N447" s="1"/>
      <c r="O447" s="1"/>
      <c r="P447" s="1"/>
      <c r="Q447" s="55">
        <f t="shared" si="184"/>
        <v>0</v>
      </c>
      <c r="R447" s="55">
        <f>+E447+I447+M447+Q447</f>
        <v>0</v>
      </c>
    </row>
    <row r="448" spans="1:20" ht="15.75" customHeight="1" x14ac:dyDescent="0.3">
      <c r="A448" s="72" t="s">
        <v>1314</v>
      </c>
      <c r="B448" s="1"/>
      <c r="C448" s="1"/>
      <c r="D448" s="1"/>
      <c r="E448" s="55">
        <f>SUM(B448:D448)</f>
        <v>0</v>
      </c>
      <c r="F448" s="1"/>
      <c r="G448" s="1"/>
      <c r="H448" s="1"/>
      <c r="I448" s="55">
        <f t="shared" si="182"/>
        <v>0</v>
      </c>
      <c r="J448" s="1"/>
      <c r="K448" s="1"/>
      <c r="L448" s="1"/>
      <c r="M448" s="55">
        <f t="shared" si="183"/>
        <v>0</v>
      </c>
      <c r="N448" s="1"/>
      <c r="O448" s="1"/>
      <c r="P448" s="1"/>
      <c r="Q448" s="55">
        <f t="shared" si="184"/>
        <v>0</v>
      </c>
      <c r="R448" s="55">
        <f t="shared" si="163"/>
        <v>0</v>
      </c>
    </row>
    <row r="449" spans="1:21" ht="15.75" customHeight="1" x14ac:dyDescent="0.3">
      <c r="A449" s="72" t="s">
        <v>1286</v>
      </c>
      <c r="B449" s="1"/>
      <c r="C449" s="1"/>
      <c r="D449" s="1"/>
      <c r="E449" s="55">
        <f t="shared" si="168"/>
        <v>0</v>
      </c>
      <c r="F449" s="1"/>
      <c r="G449" s="1">
        <v>2622</v>
      </c>
      <c r="H449" s="1"/>
      <c r="I449" s="55">
        <f t="shared" si="165"/>
        <v>2622</v>
      </c>
      <c r="J449" s="1"/>
      <c r="K449" s="1"/>
      <c r="L449" s="1"/>
      <c r="M449" s="55">
        <f t="shared" si="166"/>
        <v>0</v>
      </c>
      <c r="N449" s="1"/>
      <c r="O449" s="1"/>
      <c r="P449" s="1"/>
      <c r="Q449" s="55">
        <f t="shared" si="167"/>
        <v>0</v>
      </c>
      <c r="R449" s="55">
        <f t="shared" si="163"/>
        <v>2622</v>
      </c>
    </row>
    <row r="450" spans="1:21" ht="15.75" customHeight="1" thickBot="1" x14ac:dyDescent="0.35">
      <c r="A450" s="72" t="s">
        <v>975</v>
      </c>
      <c r="B450" s="1">
        <v>317</v>
      </c>
      <c r="C450" s="1">
        <v>707</v>
      </c>
      <c r="D450" s="1">
        <v>1000</v>
      </c>
      <c r="E450" s="55">
        <f t="shared" si="168"/>
        <v>2024</v>
      </c>
      <c r="F450" s="1">
        <v>2000</v>
      </c>
      <c r="G450" s="1">
        <v>4000</v>
      </c>
      <c r="H450" s="1">
        <v>2000</v>
      </c>
      <c r="I450" s="55">
        <f t="shared" si="165"/>
        <v>8000</v>
      </c>
      <c r="J450" s="1">
        <v>3988</v>
      </c>
      <c r="K450" s="1"/>
      <c r="L450" s="1">
        <f>894+63</f>
        <v>957</v>
      </c>
      <c r="M450" s="55">
        <f t="shared" si="166"/>
        <v>4945</v>
      </c>
      <c r="N450" s="1">
        <f>826+295+764+708</f>
        <v>2593</v>
      </c>
      <c r="O450" s="1">
        <f>976+311+1423+1906</f>
        <v>4616</v>
      </c>
      <c r="P450" s="1">
        <f>187+724+411+1500</f>
        <v>2822</v>
      </c>
      <c r="Q450" s="55">
        <f t="shared" si="167"/>
        <v>10031</v>
      </c>
      <c r="R450" s="55">
        <f t="shared" si="163"/>
        <v>25000</v>
      </c>
    </row>
    <row r="451" spans="1:21" ht="16.5" customHeight="1" thickBot="1" x14ac:dyDescent="0.35">
      <c r="A451" s="114" t="s">
        <v>63</v>
      </c>
      <c r="B451" s="90">
        <f>SUM(B397:B450)</f>
        <v>5037</v>
      </c>
      <c r="C451" s="58">
        <f>SUM(C397:C450)</f>
        <v>13321</v>
      </c>
      <c r="D451" s="58">
        <f>SUM(D397:D450)</f>
        <v>31261</v>
      </c>
      <c r="E451" s="59">
        <f t="shared" ref="E451" si="185">SUM(B451:D451)</f>
        <v>49619</v>
      </c>
      <c r="F451" s="58">
        <f>SUM(F397:F450)</f>
        <v>36179</v>
      </c>
      <c r="G451" s="58">
        <f>SUM(G397:G450)</f>
        <v>45226</v>
      </c>
      <c r="H451" s="58">
        <f>SUM(H397:H450)</f>
        <v>55055</v>
      </c>
      <c r="I451" s="59">
        <f t="shared" ref="I451" si="186">SUM(F451:H451)</f>
        <v>136460</v>
      </c>
      <c r="J451" s="58">
        <f>SUM(J397:J450)</f>
        <v>59458</v>
      </c>
      <c r="K451" s="58">
        <f>SUM(K397:K450)</f>
        <v>36680</v>
      </c>
      <c r="L451" s="58">
        <f>SUM(L397:L450)</f>
        <v>29033</v>
      </c>
      <c r="M451" s="59">
        <f t="shared" ref="M451" si="187">SUM(J451:L451)</f>
        <v>125171</v>
      </c>
      <c r="N451" s="58">
        <f>SUM(N397:N450)</f>
        <v>8369</v>
      </c>
      <c r="O451" s="58">
        <f>SUM(O397:O450)</f>
        <v>21026</v>
      </c>
      <c r="P451" s="58">
        <f>SUM(P397:P450)</f>
        <v>11854</v>
      </c>
      <c r="Q451" s="59">
        <f t="shared" si="167"/>
        <v>41249</v>
      </c>
      <c r="R451" s="59">
        <f>+E451+I451+M451+Q451</f>
        <v>352499</v>
      </c>
      <c r="T451" s="89"/>
    </row>
    <row r="452" spans="1:21" ht="15.75" customHeight="1" x14ac:dyDescent="0.3">
      <c r="A452" s="15" t="s">
        <v>64</v>
      </c>
      <c r="B452" s="1"/>
      <c r="C452" s="1"/>
      <c r="D452" s="1"/>
      <c r="E452" s="55" t="s">
        <v>7</v>
      </c>
      <c r="F452" s="1"/>
      <c r="G452" s="1"/>
      <c r="H452" s="1"/>
      <c r="I452" s="55" t="s">
        <v>7</v>
      </c>
      <c r="J452" s="1"/>
      <c r="K452" s="1"/>
      <c r="L452" s="1"/>
      <c r="M452" s="55" t="s">
        <v>7</v>
      </c>
      <c r="N452" s="1"/>
      <c r="O452" s="1"/>
      <c r="P452" s="1"/>
      <c r="Q452" s="55" t="s">
        <v>7</v>
      </c>
      <c r="R452" s="55" t="s">
        <v>7</v>
      </c>
    </row>
    <row r="453" spans="1:21" ht="15.75" customHeight="1" x14ac:dyDescent="0.3">
      <c r="A453" s="15" t="s">
        <v>594</v>
      </c>
      <c r="B453" s="1"/>
      <c r="C453" s="1"/>
      <c r="D453" s="1"/>
      <c r="E453" s="55" t="s">
        <v>7</v>
      </c>
      <c r="F453" s="1"/>
      <c r="G453" s="1"/>
      <c r="H453" s="1"/>
      <c r="I453" s="55" t="s">
        <v>7</v>
      </c>
      <c r="J453" s="1"/>
      <c r="K453" s="1"/>
      <c r="L453" s="1"/>
      <c r="M453" s="55" t="s">
        <v>7</v>
      </c>
      <c r="N453" s="1"/>
      <c r="O453" s="1"/>
      <c r="P453" s="1"/>
      <c r="Q453" s="55" t="s">
        <v>7</v>
      </c>
      <c r="R453" s="55" t="s">
        <v>7</v>
      </c>
    </row>
    <row r="454" spans="1:21" ht="15.75" customHeight="1" x14ac:dyDescent="0.3">
      <c r="A454" s="72" t="s">
        <v>1315</v>
      </c>
      <c r="B454" s="1"/>
      <c r="C454" s="1"/>
      <c r="D454" s="1"/>
      <c r="E454" s="55">
        <f>SUM(B454:D454)</f>
        <v>0</v>
      </c>
      <c r="F454" s="1"/>
      <c r="G454" s="1"/>
      <c r="H454" s="1"/>
      <c r="I454" s="55">
        <f>SUM(F454:H454)</f>
        <v>0</v>
      </c>
      <c r="J454" s="1"/>
      <c r="K454" s="1"/>
      <c r="L454" s="1"/>
      <c r="M454" s="55">
        <f>SUM(J454:L454)</f>
        <v>0</v>
      </c>
      <c r="N454" s="1"/>
      <c r="O454" s="1"/>
      <c r="P454" s="1"/>
      <c r="Q454" s="55">
        <f>SUM(N454:P454)</f>
        <v>0</v>
      </c>
      <c r="R454" s="55">
        <f>+E454+I454+M454+Q454</f>
        <v>0</v>
      </c>
      <c r="U454" s="355"/>
    </row>
    <row r="455" spans="1:21" ht="15.75" customHeight="1" x14ac:dyDescent="0.3">
      <c r="A455" s="15" t="s">
        <v>67</v>
      </c>
      <c r="B455" s="1"/>
      <c r="C455" s="1"/>
      <c r="D455" s="1"/>
      <c r="E455" s="55" t="s">
        <v>7</v>
      </c>
      <c r="F455" s="1"/>
      <c r="G455" s="1"/>
      <c r="H455" s="1"/>
      <c r="I455" s="55" t="s">
        <v>7</v>
      </c>
      <c r="J455" s="1"/>
      <c r="K455" s="1"/>
      <c r="L455" s="1"/>
      <c r="M455" s="55" t="s">
        <v>7</v>
      </c>
      <c r="N455" s="1"/>
      <c r="O455" s="1"/>
      <c r="P455" s="1"/>
      <c r="Q455" s="55" t="s">
        <v>7</v>
      </c>
      <c r="R455" s="55" t="s">
        <v>7</v>
      </c>
    </row>
    <row r="456" spans="1:21" ht="15.75" customHeight="1" x14ac:dyDescent="0.3">
      <c r="A456" s="72" t="s">
        <v>744</v>
      </c>
      <c r="B456" s="1"/>
      <c r="C456" s="1"/>
      <c r="D456" s="1"/>
      <c r="E456" s="55">
        <f>SUM(B456:D456)</f>
        <v>0</v>
      </c>
      <c r="F456" s="1"/>
      <c r="G456" s="1"/>
      <c r="H456" s="1"/>
      <c r="I456" s="55">
        <f>SUM(F456:H456)</f>
        <v>0</v>
      </c>
      <c r="J456" s="1"/>
      <c r="K456" s="1"/>
      <c r="L456" s="1"/>
      <c r="M456" s="55">
        <f>SUM(J456:L456)</f>
        <v>0</v>
      </c>
      <c r="N456" s="1"/>
      <c r="O456" s="1"/>
      <c r="P456" s="1"/>
      <c r="Q456" s="55">
        <f>SUM(N456:P456)</f>
        <v>0</v>
      </c>
      <c r="R456" s="55">
        <f>+E456+I456+M456+Q456</f>
        <v>0</v>
      </c>
    </row>
    <row r="457" spans="1:21" ht="15.75" customHeight="1" x14ac:dyDescent="0.3">
      <c r="A457" s="72" t="s">
        <v>745</v>
      </c>
      <c r="B457" s="1"/>
      <c r="C457" s="1"/>
      <c r="D457" s="1">
        <v>1000</v>
      </c>
      <c r="E457" s="55">
        <f>SUM(B457:D457)</f>
        <v>1000</v>
      </c>
      <c r="F457" s="1">
        <v>1000</v>
      </c>
      <c r="G457" s="1"/>
      <c r="H457" s="1"/>
      <c r="I457" s="55">
        <f>SUM(F457:H457)</f>
        <v>1000</v>
      </c>
      <c r="J457" s="1"/>
      <c r="K457" s="1"/>
      <c r="L457" s="1">
        <v>1490</v>
      </c>
      <c r="M457" s="55">
        <f>SUM(J457:L457)</f>
        <v>1490</v>
      </c>
      <c r="N457" s="1">
        <v>5197</v>
      </c>
      <c r="O457" s="1"/>
      <c r="P457" s="1"/>
      <c r="Q457" s="55">
        <f>SUM(N457:P457)</f>
        <v>5197</v>
      </c>
      <c r="R457" s="55">
        <f>+E457+I457+M457+Q457</f>
        <v>8687</v>
      </c>
    </row>
    <row r="458" spans="1:21" ht="15.75" customHeight="1" x14ac:dyDescent="0.3">
      <c r="A458" s="15" t="s">
        <v>600</v>
      </c>
      <c r="B458" s="1"/>
      <c r="C458" s="1"/>
      <c r="D458" s="1"/>
      <c r="E458" s="55" t="s">
        <v>7</v>
      </c>
      <c r="F458" s="1"/>
      <c r="G458" s="1"/>
      <c r="H458" s="1"/>
      <c r="I458" s="55" t="s">
        <v>7</v>
      </c>
      <c r="J458" s="1"/>
      <c r="K458" s="1"/>
      <c r="L458" s="1"/>
      <c r="M458" s="55" t="s">
        <v>7</v>
      </c>
      <c r="N458" s="1"/>
      <c r="O458" s="1"/>
      <c r="P458" s="1"/>
      <c r="Q458" s="55" t="s">
        <v>7</v>
      </c>
      <c r="R458" s="55" t="s">
        <v>7</v>
      </c>
    </row>
    <row r="459" spans="1:21" ht="15.75" customHeight="1" x14ac:dyDescent="0.3">
      <c r="A459" s="72" t="s">
        <v>270</v>
      </c>
      <c r="B459" s="1"/>
      <c r="C459" s="1"/>
      <c r="D459" s="1"/>
      <c r="E459" s="55">
        <f t="shared" ref="E459:E464" si="188">SUM(B459:D459)</f>
        <v>0</v>
      </c>
      <c r="F459" s="1"/>
      <c r="G459" s="1"/>
      <c r="H459" s="1"/>
      <c r="I459" s="55">
        <f t="shared" ref="I459:I464" si="189">SUM(F459:H459)</f>
        <v>0</v>
      </c>
      <c r="J459" s="1"/>
      <c r="K459" s="1"/>
      <c r="L459" s="1"/>
      <c r="M459" s="55">
        <f t="shared" ref="M459:M464" si="190">SUM(J459:L459)</f>
        <v>0</v>
      </c>
      <c r="N459" s="1"/>
      <c r="O459" s="1"/>
      <c r="P459" s="1"/>
      <c r="Q459" s="55">
        <f t="shared" ref="Q459:Q464" si="191">SUM(N459:P459)</f>
        <v>0</v>
      </c>
      <c r="R459" s="55">
        <f t="shared" ref="R459:R464" si="192">+E459+I459+M459+Q459</f>
        <v>0</v>
      </c>
      <c r="T459" s="4" t="s">
        <v>224</v>
      </c>
    </row>
    <row r="460" spans="1:21" ht="15.75" customHeight="1" x14ac:dyDescent="0.3">
      <c r="A460" s="72" t="s">
        <v>646</v>
      </c>
      <c r="B460" s="1"/>
      <c r="C460" s="1"/>
      <c r="D460" s="1"/>
      <c r="E460" s="55">
        <f t="shared" ref="E460" si="193">SUM(B460:D460)</f>
        <v>0</v>
      </c>
      <c r="F460" s="1"/>
      <c r="G460" s="1">
        <v>2000</v>
      </c>
      <c r="H460" s="1"/>
      <c r="I460" s="55">
        <f t="shared" si="189"/>
        <v>2000</v>
      </c>
      <c r="J460" s="1"/>
      <c r="K460" s="1"/>
      <c r="L460" s="1"/>
      <c r="M460" s="55">
        <f t="shared" si="190"/>
        <v>0</v>
      </c>
      <c r="N460" s="1"/>
      <c r="O460" s="1"/>
      <c r="P460" s="1"/>
      <c r="Q460" s="55">
        <f t="shared" si="191"/>
        <v>0</v>
      </c>
      <c r="R460" s="55">
        <f t="shared" si="192"/>
        <v>2000</v>
      </c>
      <c r="T460" s="4" t="s">
        <v>224</v>
      </c>
    </row>
    <row r="461" spans="1:21" ht="15.75" customHeight="1" x14ac:dyDescent="0.3">
      <c r="A461" s="72" t="s">
        <v>1316</v>
      </c>
      <c r="B461" s="1"/>
      <c r="C461" s="1"/>
      <c r="D461" s="1"/>
      <c r="E461" s="55">
        <f t="shared" si="188"/>
        <v>0</v>
      </c>
      <c r="F461" s="1"/>
      <c r="G461" s="1"/>
      <c r="H461" s="1"/>
      <c r="I461" s="55">
        <f t="shared" si="189"/>
        <v>0</v>
      </c>
      <c r="J461" s="1"/>
      <c r="K461" s="1"/>
      <c r="L461" s="1"/>
      <c r="M461" s="55">
        <f t="shared" si="190"/>
        <v>0</v>
      </c>
      <c r="N461" s="1"/>
      <c r="O461" s="1"/>
      <c r="P461" s="1"/>
      <c r="Q461" s="55">
        <f t="shared" si="191"/>
        <v>0</v>
      </c>
      <c r="R461" s="55">
        <f t="shared" si="192"/>
        <v>0</v>
      </c>
      <c r="T461" s="4" t="s">
        <v>214</v>
      </c>
    </row>
    <row r="462" spans="1:21" ht="15.75" customHeight="1" x14ac:dyDescent="0.3">
      <c r="A462" s="72" t="s">
        <v>1317</v>
      </c>
      <c r="B462" s="1"/>
      <c r="C462" s="1"/>
      <c r="D462" s="1"/>
      <c r="E462" s="55">
        <f t="shared" si="188"/>
        <v>0</v>
      </c>
      <c r="F462" s="1"/>
      <c r="G462" s="1"/>
      <c r="H462" s="1"/>
      <c r="I462" s="55">
        <f t="shared" si="189"/>
        <v>0</v>
      </c>
      <c r="J462" s="1"/>
      <c r="K462" s="1"/>
      <c r="L462" s="1"/>
      <c r="M462" s="55">
        <f t="shared" si="190"/>
        <v>0</v>
      </c>
      <c r="N462" s="1"/>
      <c r="O462" s="1"/>
      <c r="P462" s="1"/>
      <c r="Q462" s="55">
        <f t="shared" si="191"/>
        <v>0</v>
      </c>
      <c r="R462" s="55">
        <f t="shared" si="192"/>
        <v>0</v>
      </c>
    </row>
    <row r="463" spans="1:21" ht="15.75" customHeight="1" x14ac:dyDescent="0.3">
      <c r="A463" s="72" t="s">
        <v>652</v>
      </c>
      <c r="B463" s="1"/>
      <c r="C463" s="1"/>
      <c r="D463" s="1"/>
      <c r="E463" s="55">
        <f t="shared" si="188"/>
        <v>0</v>
      </c>
      <c r="F463" s="1"/>
      <c r="G463" s="1"/>
      <c r="H463" s="1"/>
      <c r="I463" s="55">
        <f t="shared" si="189"/>
        <v>0</v>
      </c>
      <c r="J463" s="1"/>
      <c r="K463" s="1"/>
      <c r="L463" s="1"/>
      <c r="M463" s="55">
        <f t="shared" si="190"/>
        <v>0</v>
      </c>
      <c r="N463" s="1"/>
      <c r="O463" s="1"/>
      <c r="P463" s="1"/>
      <c r="Q463" s="55">
        <f t="shared" si="191"/>
        <v>0</v>
      </c>
      <c r="R463" s="55">
        <f t="shared" si="192"/>
        <v>0</v>
      </c>
    </row>
    <row r="464" spans="1:21" ht="15.75" customHeight="1" x14ac:dyDescent="0.3">
      <c r="A464" s="72" t="s">
        <v>746</v>
      </c>
      <c r="B464" s="1"/>
      <c r="C464" s="1"/>
      <c r="D464" s="1"/>
      <c r="E464" s="55">
        <f t="shared" si="188"/>
        <v>0</v>
      </c>
      <c r="F464" s="1"/>
      <c r="G464" s="1"/>
      <c r="H464" s="1"/>
      <c r="I464" s="55">
        <f t="shared" si="189"/>
        <v>0</v>
      </c>
      <c r="J464" s="1"/>
      <c r="K464" s="1"/>
      <c r="L464" s="1"/>
      <c r="M464" s="55">
        <f t="shared" si="190"/>
        <v>0</v>
      </c>
      <c r="N464" s="1"/>
      <c r="O464" s="1"/>
      <c r="P464" s="1"/>
      <c r="Q464" s="55">
        <f t="shared" si="191"/>
        <v>0</v>
      </c>
      <c r="R464" s="55">
        <f t="shared" si="192"/>
        <v>0</v>
      </c>
      <c r="T464" s="4" t="s">
        <v>224</v>
      </c>
    </row>
    <row r="465" spans="1:21" ht="15.75" customHeight="1" x14ac:dyDescent="0.3">
      <c r="A465" s="15" t="s">
        <v>70</v>
      </c>
      <c r="B465" s="1"/>
      <c r="C465" s="1"/>
      <c r="D465" s="1"/>
      <c r="E465" s="55" t="s">
        <v>7</v>
      </c>
      <c r="F465" s="1"/>
      <c r="G465" s="1"/>
      <c r="H465" s="1"/>
      <c r="I465" s="55" t="s">
        <v>7</v>
      </c>
      <c r="J465" s="1"/>
      <c r="K465" s="1"/>
      <c r="L465" s="1"/>
      <c r="M465" s="55" t="s">
        <v>7</v>
      </c>
      <c r="N465" s="1"/>
      <c r="O465" s="1"/>
      <c r="P465" s="1"/>
      <c r="Q465" s="55" t="s">
        <v>7</v>
      </c>
      <c r="R465" s="55" t="s">
        <v>7</v>
      </c>
    </row>
    <row r="466" spans="1:21" ht="15.75" customHeight="1" x14ac:dyDescent="0.3">
      <c r="A466" s="72" t="s">
        <v>977</v>
      </c>
      <c r="B466" s="1"/>
      <c r="C466" s="1"/>
      <c r="D466" s="1"/>
      <c r="E466" s="55">
        <f>SUM(B466:D466)</f>
        <v>0</v>
      </c>
      <c r="F466" s="1"/>
      <c r="G466" s="1"/>
      <c r="H466" s="1"/>
      <c r="I466" s="55">
        <f>SUM(F466:H466)</f>
        <v>0</v>
      </c>
      <c r="J466" s="1"/>
      <c r="K466" s="1"/>
      <c r="L466" s="1"/>
      <c r="M466" s="55">
        <f>SUM(J466:L466)</f>
        <v>0</v>
      </c>
      <c r="N466" s="1"/>
      <c r="O466" s="1"/>
      <c r="P466" s="1"/>
      <c r="Q466" s="55">
        <f>SUM(N466:P466)</f>
        <v>0</v>
      </c>
      <c r="R466" s="55">
        <f>+E466+I466+M466+Q466</f>
        <v>0</v>
      </c>
      <c r="T466" s="4" t="s">
        <v>209</v>
      </c>
    </row>
    <row r="467" spans="1:21" ht="15.75" customHeight="1" x14ac:dyDescent="0.3">
      <c r="A467" s="72" t="s">
        <v>978</v>
      </c>
      <c r="B467" s="1"/>
      <c r="C467" s="1"/>
      <c r="D467" s="1"/>
      <c r="E467" s="55">
        <f>SUM(B467:D467)</f>
        <v>0</v>
      </c>
      <c r="F467" s="1"/>
      <c r="G467" s="1"/>
      <c r="H467" s="1"/>
      <c r="I467" s="55">
        <f>SUM(F467:H467)</f>
        <v>0</v>
      </c>
      <c r="J467" s="1"/>
      <c r="K467" s="1"/>
      <c r="L467" s="1"/>
      <c r="M467" s="55">
        <f>SUM(J467:L467)</f>
        <v>0</v>
      </c>
      <c r="N467" s="1"/>
      <c r="O467" s="1"/>
      <c r="P467" s="1"/>
      <c r="Q467" s="55">
        <f>SUM(N467:P467)</f>
        <v>0</v>
      </c>
      <c r="R467" s="55">
        <f>+E467+I467+M467+Q467</f>
        <v>0</v>
      </c>
      <c r="S467" s="4" t="s">
        <v>1264</v>
      </c>
      <c r="T467" s="4" t="s">
        <v>209</v>
      </c>
    </row>
    <row r="468" spans="1:21" ht="15.75" customHeight="1" x14ac:dyDescent="0.3">
      <c r="A468" s="72" t="s">
        <v>1318</v>
      </c>
      <c r="B468" s="1"/>
      <c r="C468" s="1"/>
      <c r="D468" s="1"/>
      <c r="E468" s="55">
        <f>SUM(B468:D468)</f>
        <v>0</v>
      </c>
      <c r="F468" s="1"/>
      <c r="G468" s="1"/>
      <c r="H468" s="1"/>
      <c r="I468" s="55">
        <f>SUM(F468:H468)</f>
        <v>0</v>
      </c>
      <c r="J468" s="1"/>
      <c r="K468" s="1"/>
      <c r="L468" s="1">
        <v>3000</v>
      </c>
      <c r="M468" s="55">
        <f>SUM(J468:L468)</f>
        <v>3000</v>
      </c>
      <c r="N468" s="1"/>
      <c r="O468" s="1"/>
      <c r="P468" s="1"/>
      <c r="Q468" s="55">
        <f>SUM(N468:P468)</f>
        <v>0</v>
      </c>
      <c r="R468" s="55">
        <f>+E468+I468+M468+Q468</f>
        <v>3000</v>
      </c>
      <c r="S468" s="4" t="s">
        <v>1264</v>
      </c>
    </row>
    <row r="469" spans="1:21" ht="15.75" customHeight="1" x14ac:dyDescent="0.3">
      <c r="A469" s="72" t="s">
        <v>750</v>
      </c>
      <c r="B469" s="1"/>
      <c r="C469" s="1"/>
      <c r="D469" s="1"/>
      <c r="E469" s="55">
        <f>SUM(B469:D469)</f>
        <v>0</v>
      </c>
      <c r="F469" s="1"/>
      <c r="G469" s="1"/>
      <c r="H469" s="1"/>
      <c r="I469" s="55">
        <f>SUM(F469:H469)</f>
        <v>0</v>
      </c>
      <c r="J469" s="1"/>
      <c r="K469" s="1"/>
      <c r="L469" s="1"/>
      <c r="M469" s="55">
        <f>SUM(J469:L469)</f>
        <v>0</v>
      </c>
      <c r="N469" s="1"/>
      <c r="O469" s="1"/>
      <c r="P469" s="1"/>
      <c r="Q469" s="55">
        <f>SUM(N469:P469)</f>
        <v>0</v>
      </c>
      <c r="R469" s="55">
        <f>+E469+I469+M469+Q469</f>
        <v>0</v>
      </c>
    </row>
    <row r="470" spans="1:21" ht="15.75" customHeight="1" x14ac:dyDescent="0.3">
      <c r="A470" s="72" t="s">
        <v>751</v>
      </c>
      <c r="B470" s="1"/>
      <c r="C470" s="1"/>
      <c r="D470" s="1"/>
      <c r="E470" s="55">
        <f t="shared" ref="E470" si="194">SUM(B470:D470)</f>
        <v>0</v>
      </c>
      <c r="F470" s="1"/>
      <c r="G470" s="1">
        <v>536</v>
      </c>
      <c r="H470" s="1">
        <v>2164</v>
      </c>
      <c r="I470" s="55">
        <f t="shared" ref="I470" si="195">SUM(F470:H470)</f>
        <v>2700</v>
      </c>
      <c r="J470" s="1"/>
      <c r="K470" s="1"/>
      <c r="L470" s="1"/>
      <c r="M470" s="55">
        <f t="shared" ref="M470" si="196">SUM(J470:L470)</f>
        <v>0</v>
      </c>
      <c r="N470" s="1"/>
      <c r="O470" s="1"/>
      <c r="P470" s="1"/>
      <c r="Q470" s="55">
        <f t="shared" ref="Q470:Q481" si="197">SUM(N470:P470)</f>
        <v>0</v>
      </c>
      <c r="R470" s="55">
        <f t="shared" ref="R470:R481" si="198">+E470+I470+M470+Q470</f>
        <v>2700</v>
      </c>
    </row>
    <row r="471" spans="1:21" ht="15.75" customHeight="1" x14ac:dyDescent="0.3">
      <c r="A471" s="72" t="s">
        <v>752</v>
      </c>
      <c r="B471" s="1"/>
      <c r="C471" s="1"/>
      <c r="D471" s="1"/>
      <c r="E471" s="55">
        <f>SUM(B471:D471)</f>
        <v>0</v>
      </c>
      <c r="F471" s="1"/>
      <c r="G471" s="1"/>
      <c r="H471" s="1"/>
      <c r="I471" s="55">
        <f>SUM(F471:H471)</f>
        <v>0</v>
      </c>
      <c r="J471" s="1"/>
      <c r="K471" s="1"/>
      <c r="L471" s="1"/>
      <c r="M471" s="55">
        <f>SUM(J471:L471)</f>
        <v>0</v>
      </c>
      <c r="N471" s="1"/>
      <c r="O471" s="1"/>
      <c r="P471" s="1"/>
      <c r="Q471" s="55">
        <f>SUM(N471:P471)</f>
        <v>0</v>
      </c>
      <c r="R471" s="55">
        <f>+E471+I471+M471+Q471</f>
        <v>0</v>
      </c>
      <c r="S471" s="4" t="s">
        <v>1264</v>
      </c>
    </row>
    <row r="472" spans="1:21" ht="15.75" customHeight="1" x14ac:dyDescent="0.3">
      <c r="A472" s="72" t="s">
        <v>753</v>
      </c>
      <c r="B472" s="1"/>
      <c r="C472" s="1"/>
      <c r="D472" s="1">
        <v>510</v>
      </c>
      <c r="E472" s="55">
        <f>SUM(B472:D472)</f>
        <v>510</v>
      </c>
      <c r="F472" s="1">
        <v>610</v>
      </c>
      <c r="G472" s="1">
        <v>710</v>
      </c>
      <c r="H472" s="1">
        <v>870</v>
      </c>
      <c r="I472" s="55">
        <f>SUM(F472:H472)</f>
        <v>2190</v>
      </c>
      <c r="J472" s="1"/>
      <c r="K472" s="1"/>
      <c r="L472" s="1">
        <v>2300</v>
      </c>
      <c r="M472" s="55">
        <f>SUM(J472:L472)</f>
        <v>2300</v>
      </c>
      <c r="N472" s="1">
        <v>1504</v>
      </c>
      <c r="O472" s="1">
        <v>1396</v>
      </c>
      <c r="P472" s="1">
        <v>500</v>
      </c>
      <c r="Q472" s="55">
        <f>SUM(N472:P472)</f>
        <v>3400</v>
      </c>
      <c r="R472" s="55">
        <f>+E472+I472+M472+Q472</f>
        <v>8400</v>
      </c>
      <c r="T472" s="4" t="s">
        <v>209</v>
      </c>
      <c r="U472" s="355"/>
    </row>
    <row r="473" spans="1:21" ht="15.75" customHeight="1" x14ac:dyDescent="0.3">
      <c r="A473" s="72" t="s">
        <v>754</v>
      </c>
      <c r="B473" s="1"/>
      <c r="C473" s="1"/>
      <c r="D473" s="1"/>
      <c r="E473" s="55">
        <f>SUM(B473:D473)</f>
        <v>0</v>
      </c>
      <c r="F473" s="1"/>
      <c r="G473" s="1"/>
      <c r="H473" s="1"/>
      <c r="I473" s="55">
        <f>SUM(F473:H473)</f>
        <v>0</v>
      </c>
      <c r="J473" s="1"/>
      <c r="K473" s="1"/>
      <c r="L473" s="1"/>
      <c r="M473" s="55">
        <f>SUM(J473:L473)</f>
        <v>0</v>
      </c>
      <c r="N473" s="1"/>
      <c r="O473" s="1"/>
      <c r="P473" s="1"/>
      <c r="Q473" s="55">
        <f>SUM(N473:P473)</f>
        <v>0</v>
      </c>
      <c r="R473" s="55">
        <f>+E473+I473+M473+Q473</f>
        <v>0</v>
      </c>
      <c r="S473" s="4" t="s">
        <v>1264</v>
      </c>
    </row>
    <row r="474" spans="1:21" ht="15.75" customHeight="1" x14ac:dyDescent="0.3">
      <c r="A474" s="72" t="s">
        <v>1319</v>
      </c>
      <c r="B474" s="1"/>
      <c r="C474" s="1"/>
      <c r="D474" s="1"/>
      <c r="E474" s="55">
        <f>SUM(B474:D474)</f>
        <v>0</v>
      </c>
      <c r="F474" s="1"/>
      <c r="G474" s="1"/>
      <c r="H474" s="1"/>
      <c r="I474" s="55">
        <f>SUM(F474:H474)</f>
        <v>0</v>
      </c>
      <c r="J474" s="1"/>
      <c r="K474" s="1">
        <v>1230</v>
      </c>
      <c r="L474" s="1">
        <v>1500</v>
      </c>
      <c r="M474" s="55">
        <f>SUM(J474:L474)</f>
        <v>2730</v>
      </c>
      <c r="N474" s="1"/>
      <c r="O474" s="1">
        <v>900</v>
      </c>
      <c r="P474" s="1"/>
      <c r="Q474" s="55">
        <f>SUM(N474:P474)</f>
        <v>900</v>
      </c>
      <c r="R474" s="55">
        <f>+E474+I474+M474+Q474</f>
        <v>3630</v>
      </c>
      <c r="S474" s="4" t="s">
        <v>1264</v>
      </c>
      <c r="T474" s="4" t="s">
        <v>214</v>
      </c>
    </row>
    <row r="475" spans="1:21" ht="15.75" customHeight="1" thickBot="1" x14ac:dyDescent="0.35">
      <c r="A475" s="72" t="s">
        <v>755</v>
      </c>
      <c r="B475" s="1"/>
      <c r="C475" s="1"/>
      <c r="D475" s="1"/>
      <c r="E475" s="55">
        <f>SUM(B475:D475)</f>
        <v>0</v>
      </c>
      <c r="F475" s="1"/>
      <c r="G475" s="1"/>
      <c r="H475" s="1"/>
      <c r="I475" s="55">
        <f>SUM(F475:H475)</f>
        <v>0</v>
      </c>
      <c r="J475" s="1"/>
      <c r="K475" s="1"/>
      <c r="L475" s="1"/>
      <c r="M475" s="55">
        <f>SUM(J475:L475)</f>
        <v>0</v>
      </c>
      <c r="N475" s="1"/>
      <c r="O475" s="1"/>
      <c r="P475" s="1"/>
      <c r="Q475" s="55">
        <f>SUM(N475:P475)</f>
        <v>0</v>
      </c>
      <c r="R475" s="55">
        <f>+E475+I475+M475+Q475</f>
        <v>0</v>
      </c>
      <c r="T475" s="4" t="s">
        <v>214</v>
      </c>
    </row>
    <row r="476" spans="1:21" ht="16.5" customHeight="1" thickBot="1" x14ac:dyDescent="0.35">
      <c r="A476" s="57" t="s">
        <v>71</v>
      </c>
      <c r="B476" s="58">
        <f>SUM(B458:B475)</f>
        <v>0</v>
      </c>
      <c r="C476" s="58">
        <f>SUM(C458:C475)</f>
        <v>0</v>
      </c>
      <c r="D476" s="58">
        <f>SUM(D458:D475)</f>
        <v>510</v>
      </c>
      <c r="E476" s="60">
        <f t="shared" ref="E476:E481" si="199">SUM(B476:D476)</f>
        <v>510</v>
      </c>
      <c r="F476" s="58">
        <f>SUM(F458:F475)</f>
        <v>610</v>
      </c>
      <c r="G476" s="58">
        <f>SUM(G458:G475)</f>
        <v>3246</v>
      </c>
      <c r="H476" s="58">
        <f>SUM(H458:H475)</f>
        <v>3034</v>
      </c>
      <c r="I476" s="60">
        <f t="shared" ref="I476:I481" si="200">SUM(F476:H476)</f>
        <v>6890</v>
      </c>
      <c r="J476" s="58">
        <f>SUM(J458:J475)</f>
        <v>0</v>
      </c>
      <c r="K476" s="58">
        <f>SUM(K458:K475)</f>
        <v>1230</v>
      </c>
      <c r="L476" s="58">
        <f>SUM(L458:L475)</f>
        <v>6800</v>
      </c>
      <c r="M476" s="60">
        <f t="shared" ref="M476:M481" si="201">SUM(J476:L476)</f>
        <v>8030</v>
      </c>
      <c r="N476" s="58">
        <f>SUM(N458:N475)</f>
        <v>1504</v>
      </c>
      <c r="O476" s="58">
        <f>SUM(O458:O475)</f>
        <v>2296</v>
      </c>
      <c r="P476" s="58">
        <f>SUM(P458:P475)</f>
        <v>500</v>
      </c>
      <c r="Q476" s="60">
        <f t="shared" si="197"/>
        <v>4300</v>
      </c>
      <c r="R476" s="59">
        <f t="shared" si="198"/>
        <v>19730</v>
      </c>
    </row>
    <row r="477" spans="1:21" ht="16.5" customHeight="1" thickBot="1" x14ac:dyDescent="0.35">
      <c r="A477" s="114" t="s">
        <v>72</v>
      </c>
      <c r="B477" s="86">
        <f>SUM(B452:B475)</f>
        <v>0</v>
      </c>
      <c r="C477" s="87">
        <f>SUM(C452:C475)</f>
        <v>0</v>
      </c>
      <c r="D477" s="118">
        <f>SUM(D452:D475)</f>
        <v>1510</v>
      </c>
      <c r="E477" s="60">
        <f t="shared" si="199"/>
        <v>1510</v>
      </c>
      <c r="F477" s="87">
        <f>SUM(F452:F475)</f>
        <v>1610</v>
      </c>
      <c r="G477" s="87">
        <f>SUM(G452:G475)</f>
        <v>3246</v>
      </c>
      <c r="H477" s="87">
        <f>SUM(H452:H475)</f>
        <v>3034</v>
      </c>
      <c r="I477" s="60">
        <f t="shared" si="200"/>
        <v>7890</v>
      </c>
      <c r="J477" s="87">
        <f>SUM(J452:J475)</f>
        <v>0</v>
      </c>
      <c r="K477" s="87">
        <f>SUM(K452:K475)</f>
        <v>1230</v>
      </c>
      <c r="L477" s="87">
        <f>SUM(L452:L475)</f>
        <v>8290</v>
      </c>
      <c r="M477" s="60">
        <f t="shared" si="201"/>
        <v>9520</v>
      </c>
      <c r="N477" s="87">
        <f>SUM(N452:N475)</f>
        <v>6701</v>
      </c>
      <c r="O477" s="87">
        <f>SUM(O452:O475)</f>
        <v>2296</v>
      </c>
      <c r="P477" s="87">
        <f>SUM(P452:P475)</f>
        <v>500</v>
      </c>
      <c r="Q477" s="60">
        <f t="shared" si="197"/>
        <v>9497</v>
      </c>
      <c r="R477" s="59">
        <f t="shared" si="198"/>
        <v>28417</v>
      </c>
    </row>
    <row r="478" spans="1:21" ht="16.5" customHeight="1" thickBot="1" x14ac:dyDescent="0.35">
      <c r="A478" s="57" t="s">
        <v>73</v>
      </c>
      <c r="B478" s="90">
        <f>+B382+B396+B451+B477</f>
        <v>13761</v>
      </c>
      <c r="C478" s="58">
        <f>+C382+C396+C451+C477</f>
        <v>19897</v>
      </c>
      <c r="D478" s="58">
        <f>+D382+D396+D451+D477</f>
        <v>46582</v>
      </c>
      <c r="E478" s="59">
        <f t="shared" si="199"/>
        <v>80240</v>
      </c>
      <c r="F478" s="58">
        <f>+F382+F396+F451+F477</f>
        <v>70264</v>
      </c>
      <c r="G478" s="58">
        <f>+G382+G396+G451+G477</f>
        <v>87227</v>
      </c>
      <c r="H478" s="58">
        <f>+H382+H396+H451+H477</f>
        <v>97828</v>
      </c>
      <c r="I478" s="59">
        <f t="shared" si="200"/>
        <v>255319</v>
      </c>
      <c r="J478" s="58">
        <f>+J382+J396+J451+J477</f>
        <v>96304</v>
      </c>
      <c r="K478" s="58">
        <f>+K382+K396+K451+K477</f>
        <v>74340</v>
      </c>
      <c r="L478" s="58">
        <f>+L382+L396+L451+L477</f>
        <v>60874</v>
      </c>
      <c r="M478" s="59">
        <f t="shared" si="201"/>
        <v>231518</v>
      </c>
      <c r="N478" s="58">
        <f>+N382+N396+N451+N477</f>
        <v>25580</v>
      </c>
      <c r="O478" s="58">
        <f>+O382+O396+O451+O477</f>
        <v>33491</v>
      </c>
      <c r="P478" s="58">
        <f>+P382+P396+P451+P477</f>
        <v>23612</v>
      </c>
      <c r="Q478" s="59">
        <f t="shared" si="197"/>
        <v>82683</v>
      </c>
      <c r="R478" s="81">
        <f t="shared" si="198"/>
        <v>649760</v>
      </c>
    </row>
    <row r="479" spans="1:21" ht="15.75" customHeight="1" x14ac:dyDescent="0.3">
      <c r="A479" s="71" t="s">
        <v>756</v>
      </c>
      <c r="B479" s="1"/>
      <c r="C479" s="1"/>
      <c r="D479" s="1"/>
      <c r="E479" s="55">
        <f t="shared" si="199"/>
        <v>0</v>
      </c>
      <c r="F479" s="1"/>
      <c r="G479" s="1"/>
      <c r="H479" s="1"/>
      <c r="I479" s="55">
        <f t="shared" si="200"/>
        <v>0</v>
      </c>
      <c r="J479" s="1"/>
      <c r="K479" s="1"/>
      <c r="L479" s="1"/>
      <c r="M479" s="55">
        <f t="shared" si="201"/>
        <v>0</v>
      </c>
      <c r="N479" s="1"/>
      <c r="O479" s="1"/>
      <c r="P479" s="1"/>
      <c r="Q479" s="55">
        <f t="shared" si="197"/>
        <v>0</v>
      </c>
      <c r="R479" s="55">
        <f t="shared" si="198"/>
        <v>0</v>
      </c>
    </row>
    <row r="480" spans="1:21" ht="15.75" customHeight="1" x14ac:dyDescent="0.3">
      <c r="A480" s="71" t="s">
        <v>757</v>
      </c>
      <c r="B480" s="1"/>
      <c r="C480" s="1"/>
      <c r="D480" s="1"/>
      <c r="E480" s="55">
        <f t="shared" si="199"/>
        <v>0</v>
      </c>
      <c r="F480" s="1"/>
      <c r="G480" s="1"/>
      <c r="H480" s="1"/>
      <c r="I480" s="55">
        <f t="shared" si="200"/>
        <v>0</v>
      </c>
      <c r="J480" s="1"/>
      <c r="K480" s="1"/>
      <c r="L480" s="1"/>
      <c r="M480" s="55">
        <f t="shared" si="201"/>
        <v>0</v>
      </c>
      <c r="N480" s="1"/>
      <c r="O480" s="1"/>
      <c r="P480" s="1"/>
      <c r="Q480" s="55">
        <f t="shared" si="197"/>
        <v>0</v>
      </c>
      <c r="R480" s="55">
        <f t="shared" si="198"/>
        <v>0</v>
      </c>
    </row>
    <row r="481" spans="1:18" ht="16.5" customHeight="1" thickBot="1" x14ac:dyDescent="0.35">
      <c r="A481" s="73" t="s">
        <v>40</v>
      </c>
      <c r="B481" s="21">
        <v>155</v>
      </c>
      <c r="C481" s="21">
        <v>283</v>
      </c>
      <c r="D481" s="21">
        <v>435</v>
      </c>
      <c r="E481" s="81">
        <f t="shared" si="199"/>
        <v>873</v>
      </c>
      <c r="F481" s="21">
        <v>602</v>
      </c>
      <c r="G481" s="21">
        <v>711</v>
      </c>
      <c r="H481" s="21">
        <v>722</v>
      </c>
      <c r="I481" s="81">
        <f t="shared" si="200"/>
        <v>2035</v>
      </c>
      <c r="J481" s="21">
        <v>686</v>
      </c>
      <c r="K481" s="21">
        <v>519</v>
      </c>
      <c r="L481" s="21">
        <v>531</v>
      </c>
      <c r="M481" s="81">
        <f t="shared" si="201"/>
        <v>1736</v>
      </c>
      <c r="N481" s="21">
        <v>489</v>
      </c>
      <c r="O481" s="21">
        <v>389</v>
      </c>
      <c r="P481" s="21">
        <v>275</v>
      </c>
      <c r="Q481" s="81">
        <f t="shared" si="197"/>
        <v>1153</v>
      </c>
      <c r="R481" s="55">
        <f t="shared" si="198"/>
        <v>5797</v>
      </c>
    </row>
    <row r="482" spans="1:18" ht="16.5" customHeight="1" thickBot="1" x14ac:dyDescent="0.35">
      <c r="A482" s="74"/>
      <c r="B482" s="75"/>
      <c r="C482" s="75"/>
      <c r="D482" s="75"/>
      <c r="E482" s="59"/>
      <c r="F482" s="75"/>
      <c r="G482" s="75"/>
      <c r="H482" s="75"/>
      <c r="I482" s="59"/>
      <c r="J482" s="75"/>
      <c r="K482" s="75"/>
      <c r="L482" s="75"/>
      <c r="M482" s="59"/>
      <c r="N482" s="75"/>
      <c r="O482" s="75"/>
      <c r="P482" s="75"/>
      <c r="Q482" s="59"/>
      <c r="R482" s="59" t="s">
        <v>7</v>
      </c>
    </row>
    <row r="483" spans="1:18" ht="15.75" customHeight="1" x14ac:dyDescent="0.3">
      <c r="A483" s="76" t="s">
        <v>41</v>
      </c>
      <c r="B483" s="77">
        <f>SUM(B478:B481)</f>
        <v>13916</v>
      </c>
      <c r="C483" s="77">
        <f>SUM(C478:C481)</f>
        <v>20180</v>
      </c>
      <c r="D483" s="77">
        <f>SUM(D478:D481)</f>
        <v>47017</v>
      </c>
      <c r="E483" s="60">
        <f>SUM(B483:D483)</f>
        <v>81113</v>
      </c>
      <c r="F483" s="77">
        <f>SUM(F478:F481)</f>
        <v>70866</v>
      </c>
      <c r="G483" s="77">
        <f>SUM(G478:G481)</f>
        <v>87938</v>
      </c>
      <c r="H483" s="77">
        <f>SUM(H478:H481)</f>
        <v>98550</v>
      </c>
      <c r="I483" s="60">
        <f>SUM(F483:H483)</f>
        <v>257354</v>
      </c>
      <c r="J483" s="77">
        <f>SUM(J478:J481)</f>
        <v>96990</v>
      </c>
      <c r="K483" s="77">
        <f>SUM(K478:K481)</f>
        <v>74859</v>
      </c>
      <c r="L483" s="77">
        <f>SUM(L478:L481)</f>
        <v>61405</v>
      </c>
      <c r="M483" s="60">
        <f>SUM(J483:L483)</f>
        <v>233254</v>
      </c>
      <c r="N483" s="77">
        <f>SUM(N478:N481)</f>
        <v>26069</v>
      </c>
      <c r="O483" s="77">
        <f>SUM(O478:O481)</f>
        <v>33880</v>
      </c>
      <c r="P483" s="77">
        <f>SUM(P478:P481)</f>
        <v>23887</v>
      </c>
      <c r="Q483" s="60">
        <f>SUM(N483:P483)</f>
        <v>83836</v>
      </c>
      <c r="R483" s="60">
        <f>+E483+I483+M483+Q483</f>
        <v>655557</v>
      </c>
    </row>
    <row r="484" spans="1:18" ht="15.75" customHeight="1" x14ac:dyDescent="0.3">
      <c r="A484" s="79" t="s">
        <v>42</v>
      </c>
      <c r="B484" s="1">
        <f>(B483/B10)/1.983</f>
        <v>226.37580726497811</v>
      </c>
      <c r="C484" s="1">
        <f>(C483/C10)/1.983</f>
        <v>363.44643757654342</v>
      </c>
      <c r="D484" s="1">
        <f>(D483/D10)/1.983</f>
        <v>764.83984838872345</v>
      </c>
      <c r="E484" s="55" t="s">
        <v>7</v>
      </c>
      <c r="F484" s="1">
        <f>(F483/F10)/1.983</f>
        <v>1191.2254160363084</v>
      </c>
      <c r="G484" s="1">
        <f>(G483/G10)/1.983</f>
        <v>1430.5142094903451</v>
      </c>
      <c r="H484" s="1">
        <f>(H483/H10)/1.983</f>
        <v>1656.5809379727684</v>
      </c>
      <c r="I484" s="55" t="s">
        <v>7</v>
      </c>
      <c r="J484" s="1">
        <f>(J483/J10)/1.983</f>
        <v>1577.7658484212579</v>
      </c>
      <c r="K484" s="1">
        <f>(K483/K10)/1.983</f>
        <v>1217.7541359621298</v>
      </c>
      <c r="L484" s="1">
        <f>(L483/L10)/1.983</f>
        <v>1032.1902840813582</v>
      </c>
      <c r="M484" s="55" t="s">
        <v>7</v>
      </c>
      <c r="N484" s="1">
        <f>(N483/N10)/1.983</f>
        <v>424.07235696972651</v>
      </c>
      <c r="O484" s="1">
        <f>(O483/O10)/1.983</f>
        <v>569.50748024878123</v>
      </c>
      <c r="P484" s="1">
        <f>(P483/P10)/1.983</f>
        <v>388.57709888894306</v>
      </c>
      <c r="Q484" s="55" t="s">
        <v>7</v>
      </c>
      <c r="R484" s="55" t="s">
        <v>7</v>
      </c>
    </row>
    <row r="485" spans="1:18" ht="15.75" customHeight="1" x14ac:dyDescent="0.3">
      <c r="A485" s="79" t="s">
        <v>289</v>
      </c>
      <c r="B485" s="1">
        <f>B483+B535</f>
        <v>27634</v>
      </c>
      <c r="C485" s="1">
        <f>C483+C535</f>
        <v>42323</v>
      </c>
      <c r="D485" s="1">
        <f>D483+D535</f>
        <v>80845</v>
      </c>
      <c r="E485" s="55">
        <f>SUM(B485:D485)</f>
        <v>150802</v>
      </c>
      <c r="F485" s="1">
        <f>F483+F535</f>
        <v>116980</v>
      </c>
      <c r="G485" s="1">
        <f>G483+G535</f>
        <v>129854</v>
      </c>
      <c r="H485" s="1">
        <f>H483+H535</f>
        <v>143470</v>
      </c>
      <c r="I485" s="55">
        <f>SUM(F485:H485)</f>
        <v>390304</v>
      </c>
      <c r="J485" s="1">
        <f>J483+J535</f>
        <v>145660</v>
      </c>
      <c r="K485" s="1">
        <f>K483+K535</f>
        <v>123809</v>
      </c>
      <c r="L485" s="1">
        <f>L483+L535</f>
        <v>97255</v>
      </c>
      <c r="M485" s="55">
        <f>SUM(J485:L485)</f>
        <v>366724</v>
      </c>
      <c r="N485" s="1">
        <f>N483+N535</f>
        <v>39567</v>
      </c>
      <c r="O485" s="1">
        <f>O483+O535</f>
        <v>39480</v>
      </c>
      <c r="P485" s="1">
        <f>P483+P535</f>
        <v>29496</v>
      </c>
      <c r="Q485" s="55">
        <f>SUM(N485:P485)</f>
        <v>108543</v>
      </c>
      <c r="R485" s="55">
        <f>+E485+I485+M485+Q485</f>
        <v>1016373</v>
      </c>
    </row>
    <row r="486" spans="1:18" s="344" customFormat="1" ht="16.5" customHeight="1" thickBot="1" x14ac:dyDescent="0.35">
      <c r="A486" s="356" t="s">
        <v>290</v>
      </c>
      <c r="B486" s="357">
        <f>(B485/B10)/1.983</f>
        <v>449.53068826964682</v>
      </c>
      <c r="C486" s="357">
        <f>(C485/C10)/1.983</f>
        <v>762.24695627116193</v>
      </c>
      <c r="D486" s="357">
        <f>(D485/D10)/1.983</f>
        <v>1315.1302197712816</v>
      </c>
      <c r="E486" s="358" t="s">
        <v>7</v>
      </c>
      <c r="F486" s="357">
        <f>(F485/F10)/1.983</f>
        <v>1966.3809043536728</v>
      </c>
      <c r="G486" s="357">
        <f>(G485/G10)/1.983</f>
        <v>2112.3745384152394</v>
      </c>
      <c r="H486" s="357">
        <f>(H485/H10)/1.983</f>
        <v>2411.6658261892753</v>
      </c>
      <c r="I486" s="358" t="s">
        <v>7</v>
      </c>
      <c r="J486" s="357">
        <f>(J485/J10)/1.983</f>
        <v>2369.4955508922617</v>
      </c>
      <c r="K486" s="357">
        <f>(K485/K10)/1.983</f>
        <v>2014.0386836497323</v>
      </c>
      <c r="L486" s="357">
        <f>(L485/L10)/1.983</f>
        <v>1634.8125735417718</v>
      </c>
      <c r="M486" s="358" t="s">
        <v>7</v>
      </c>
      <c r="N486" s="357">
        <f>(N485/N10)/1.983</f>
        <v>643.6484310184959</v>
      </c>
      <c r="O486" s="357">
        <f>(O485/O10)/1.983</f>
        <v>663.6409480584972</v>
      </c>
      <c r="P486" s="357">
        <f>(P485/P10)/1.983</f>
        <v>479.82040896003122</v>
      </c>
      <c r="Q486" s="358" t="s">
        <v>7</v>
      </c>
      <c r="R486" s="358" t="s">
        <v>7</v>
      </c>
    </row>
    <row r="487" spans="1:18" ht="15.75" customHeight="1" x14ac:dyDescent="0.3">
      <c r="A487" s="120" t="s">
        <v>291</v>
      </c>
      <c r="B487" s="121">
        <f>B$488+(SUMIF($T$323:$T$462,"FLG",B$330:B$480)/B10/1.98)+(SUMIF($T$323:$T$462,"FCA",B$330:B$480)/B10/1.98)+(SUMIF($T$323:$T$462,"NSC",B$330:B$480)/B10/1.98)</f>
        <v>350.15064509720702</v>
      </c>
      <c r="C487" s="121">
        <f>C$488+(SUMIF($T$323:$T$462,"FLG",C$330:C$480)/C10/1.98)+(SUMIF($T$323:$T$462,"FCA",C$330:C$480)/C10/1.98)+(SUMIF($T$323:$T$462,"NSC",C$330:C$480)/C10/1.98)</f>
        <v>485.83154322564303</v>
      </c>
      <c r="D487" s="121">
        <f>D$488+(SUMIF($T$323:$T$462,"FLG",D$330:D$480)/D10/1.98)+(SUMIF($T$323:$T$462,"FCA",D$330:D$480)/D10/1.98)+(SUMIF($T$323:$T$462,"NSC",D$330:D$480)/D10/1.98)</f>
        <v>785.82311820562768</v>
      </c>
      <c r="E487" s="122"/>
      <c r="F487" s="121">
        <f>F$488+(SUMIF($T$323:$T$462,"FLG",F$330:F$480)/F10/1.98)+(SUMIF($T$323:$T$462,"FCA",F$330:F$480)/F10/1.98)+(SUMIF($T$323:$T$462,"NSC",F$330:F$480)/F10/1.98)</f>
        <v>1350.1049832668593</v>
      </c>
      <c r="G487" s="121">
        <f>G$488+(SUMIF($T$323:$T$462,"FLG",G$330:G$480)/G10/1.98)+(SUMIF($T$323:$T$462,"FCA",G$330:G$480)/G10/1.98)+(SUMIF($T$323:$T$462,"NSC",G$330:G$480)/G10/1.98)</f>
        <v>1310.2734928219288</v>
      </c>
      <c r="H487" s="121">
        <f>H$488+(SUMIF($T$323:$T$462,"FLG",H$330:H$480)/H10/1.98)+(SUMIF($T$323:$T$462,"FCA",H$330:H$480)/H10/1.98)+(SUMIF($T$323:$T$462,"NSC",H$330:H$480)/H10/1.98)</f>
        <v>1403.9737771053958</v>
      </c>
      <c r="I487" s="45"/>
      <c r="J487" s="121">
        <f>J$488+(SUMIF($T$323:$T$462,"FLG",J$330:J$480)/J10/1.98)+(SUMIF($T$323:$T$462,"FCA",J$330:J$480)/J10/1.98)+(SUMIF($T$323:$T$462,"NSC",J$330:J$480)/J10/1.98)</f>
        <v>1390.6381417020234</v>
      </c>
      <c r="K487" s="121">
        <f>K$488+(SUMIF($T$323:$T$462,"FLG",K$330:K$480)/K10/1.98)+(SUMIF($T$323:$T$462,"FCA",K$330:K$480)/K10/1.98)+(SUMIF($T$323:$T$462,"NSC",K$330:K$480)/K10/1.98)</f>
        <v>1194.6227686064688</v>
      </c>
      <c r="L487" s="121">
        <f>L$488+(SUMIF($T$323:$T$462,"FLG",L$330:L$480)/L10/1.98)+(SUMIF($T$323:$T$462,"FCA",L$330:L$480)/L10/1.98)+(SUMIF($T$323:$T$462,"NSC",L$330:L$480)/L10/1.98)</f>
        <v>860.2822221203462</v>
      </c>
      <c r="M487" s="45"/>
      <c r="N487" s="121">
        <f>N$488+(SUMIF($T$323:$T$462,"FLG",N$330:N$480)/N10/1.98)+(SUMIF($T$323:$T$462,"FCA",N$330:N$480)/N10/1.98)+(SUMIF($T$323:$T$462,"NSC",N$330:N$480)/N10/1.98)</f>
        <v>314.99803559976323</v>
      </c>
      <c r="O487" s="121">
        <f>O$488+(SUMIF($T$323:$T$462,"FLG",O$330:O$480)/O10/1.98)+(SUMIF($T$323:$T$462,"FCA",O$330:O$480)/O10/1.98)+(SUMIF($T$323:$T$462,"NSC",O$330:O$480)/O10/1.98)</f>
        <v>210.63178430803239</v>
      </c>
      <c r="P487" s="121">
        <f>P$488+(SUMIF($T$323:$T$462,"FLG",P$330:P$480)/P10/1.98)+(SUMIF($T$323:$T$462,"FCA",P$330:P$480)/P10/1.98)+(SUMIF($T$323:$T$462,"NSC",P$330:P$480)/P10/1.98)</f>
        <v>218.58120515091869</v>
      </c>
      <c r="Q487" s="45"/>
      <c r="R487" s="45"/>
    </row>
    <row r="488" spans="1:18" ht="15.75" customHeight="1" x14ac:dyDescent="0.3">
      <c r="A488" s="120" t="s">
        <v>292</v>
      </c>
      <c r="B488" s="121">
        <f>B$489+(SUMIF($T$323:$T$462,"FCI",B$330:B$480)/B10/1.98)+(SUMIF($T$323:$T$462,"FCC",B$330:B$480)/B10/1.98)</f>
        <v>350.15064509720702</v>
      </c>
      <c r="C488" s="121">
        <f>C$489+(SUMIF($T$323:$T$462,"FCI",C$330:C$480)/C10/1.98)+(SUMIF($T$323:$T$462,"FCC",C$330:C$480)/C10/1.98)</f>
        <v>485.83154322564303</v>
      </c>
      <c r="D488" s="121">
        <f>D$489+(SUMIF($T$323:$T$462,"FCI",D$330:D$480)/D10/1.98)+(SUMIF($T$323:$T$462,"FCC",D$330:D$480)/D10/1.98)</f>
        <v>785.82311820562768</v>
      </c>
      <c r="E488" s="122"/>
      <c r="F488" s="121">
        <f>F$489+(SUMIF($T$323:$T$462,"FCI",F$330:F$480)/F10/1.98)+(SUMIF($T$323:$T$462,"FCC",F$330:F$480)/F10/1.98)</f>
        <v>1350.1049832668593</v>
      </c>
      <c r="G488" s="121">
        <f>G$489+(SUMIF($T$323:$T$462,"FCI",G$330:G$480)/G10/1.98)+(SUMIF($T$323:$T$462,"FCC",G$330:G$480)/G10/1.98)</f>
        <v>1310.2734928219288</v>
      </c>
      <c r="H488" s="121">
        <f>H$489+(SUMIF($T$323:$T$462,"FCI",H$330:H$480)/H10/1.98)+(SUMIF($T$323:$T$462,"FCC",H$330:H$480)/H10/1.98)</f>
        <v>1403.9737771053958</v>
      </c>
      <c r="I488" s="45"/>
      <c r="J488" s="121">
        <f>J$489+(SUMIF($T$323:$T$462,"FCI",J$330:J$480)/J10/1.98)+(SUMIF($T$323:$T$462,"FCC",J$330:J$480)/J10/1.98)</f>
        <v>1390.6381417020234</v>
      </c>
      <c r="K488" s="121">
        <f>K$489+(SUMIF($T$323:$T$462,"FCI",K$330:K$480)/K10/1.98)+(SUMIF($T$323:$T$462,"FCC",K$330:K$480)/K10/1.98)</f>
        <v>1194.6227686064688</v>
      </c>
      <c r="L488" s="121">
        <f>L$489+(SUMIF($T$323:$T$462,"FCI",L$330:L$480)/L10/1.98)+(SUMIF($T$323:$T$462,"FCC",L$330:L$480)/L10/1.98)</f>
        <v>860.2822221203462</v>
      </c>
      <c r="M488" s="45"/>
      <c r="N488" s="121">
        <f>N$489+(SUMIF($T$323:$T$462,"FCI",N$330:N$480)/N10/1.98)+(SUMIF($T$323:$T$462,"FCC",N$330:N$480)/N10/1.98)</f>
        <v>314.99803559976323</v>
      </c>
      <c r="O488" s="121">
        <f>O$489+(SUMIF($T$323:$T$462,"FCI",O$330:O$480)/O10/1.98)+(SUMIF($T$323:$T$462,"FCC",O$330:O$480)/O10/1.98)</f>
        <v>210.63178430803239</v>
      </c>
      <c r="P488" s="121">
        <f>P$489+(SUMIF($T$323:$T$462,"FCI",P$330:P$480)/P10/1.98)+(SUMIF($T$323:$T$462,"FCC",P$330:P$480)/P10/1.98)</f>
        <v>218.58120515091869</v>
      </c>
      <c r="Q488" s="45"/>
      <c r="R488" s="45"/>
    </row>
    <row r="489" spans="1:18" ht="15.75" customHeight="1" x14ac:dyDescent="0.3">
      <c r="A489" s="120" t="s">
        <v>293</v>
      </c>
      <c r="B489" s="121">
        <f>B$490+(SUMIF($T$323:$T$462,"PIL",B$330:B$480)/B10/1.98)+(SUMIF($T$323:$T$462,"KLK",B$330:B$480)/B10/1.98)</f>
        <v>350.15064509720702</v>
      </c>
      <c r="C489" s="121">
        <f>C$490+(SUMIF($T$323:$T$462,"PIL",C$330:C$480)/C10/1.98)+(SUMIF($T$323:$T$462,"KLK",C$330:C$480)/C10/1.98)</f>
        <v>485.83154322564303</v>
      </c>
      <c r="D489" s="121">
        <f>D$490+(SUMIF($T$323:$T$462,"PIL",D$330:D$480)/D10/1.98)+(SUMIF($T$323:$T$462,"KLK",D$330:D$480)/D10/1.98)</f>
        <v>785.82311820562768</v>
      </c>
      <c r="E489" s="122"/>
      <c r="F489" s="121">
        <f>F$490+(SUMIF($T$323:$T$462,"PIL",F$330:F$480)/F10/1.98)+(SUMIF($T$323:$T$462,"KLK",F$330:F$480)/F10/1.98)</f>
        <v>1350.1049832668593</v>
      </c>
      <c r="G489" s="121">
        <f>G$490+(SUMIF($T$323:$T$462,"PIL",G$330:G$480)/G10/1.98)+(SUMIF($T$323:$T$462,"KLK",G$330:G$480)/G10/1.98)</f>
        <v>1310.2734928219288</v>
      </c>
      <c r="H489" s="121">
        <f>H$490+(SUMIF($T$323:$T$462,"PIL",H$330:H$480)/H10/1.98)+(SUMIF($T$323:$T$462,"KLK",H$330:H$480)/H10/1.98)</f>
        <v>1403.9737771053958</v>
      </c>
      <c r="I489" s="45"/>
      <c r="J489" s="121">
        <f>J$490+(SUMIF($T$323:$T$462,"PIL",J$330:J$480)/J10/1.98)+(SUMIF($T$323:$T$462,"KLK",J$330:J$480)/J10/1.98)</f>
        <v>1390.6381417020234</v>
      </c>
      <c r="K489" s="121">
        <f>K$490+(SUMIF($T$323:$T$462,"PIL",K$330:K$480)/K10/1.98)+(SUMIF($T$323:$T$462,"KLK",K$330:K$480)/K10/1.98)</f>
        <v>1194.6227686064688</v>
      </c>
      <c r="L489" s="121">
        <f>L$490+(SUMIF($T$323:$T$462,"PIL",L$330:L$480)/L10/1.98)+(SUMIF($T$323:$T$462,"KLK",L$330:L$480)/L10/1.98)</f>
        <v>860.2822221203462</v>
      </c>
      <c r="M489" s="45"/>
      <c r="N489" s="121">
        <f>N$490+(SUMIF($T$323:$T$462,"PIL",N$330:N$480)/N10/1.98)+(SUMIF($T$323:$T$462,"KLK",N$330:N$480)/N10/1.98)</f>
        <v>314.99803559976323</v>
      </c>
      <c r="O489" s="121">
        <f>O$490+(SUMIF($T$323:$T$462,"PIL",O$330:O$480)/O10/1.98)+(SUMIF($T$323:$T$462,"KLK",O$330:O$480)/O10/1.98)</f>
        <v>210.63178430803239</v>
      </c>
      <c r="P489" s="121">
        <f>P$490+(SUMIF($T$323:$T$462,"PIL",P$330:P$480)/P10/1.98)+(SUMIF($T$323:$T$462,"KLK",P$330:P$480)/P10/1.98)</f>
        <v>218.58120515091869</v>
      </c>
      <c r="Q489" s="45"/>
      <c r="R489" s="45"/>
    </row>
    <row r="490" spans="1:18" ht="15.75" customHeight="1" x14ac:dyDescent="0.3">
      <c r="A490" s="120" t="s">
        <v>294</v>
      </c>
      <c r="B490" s="121">
        <f>B$491+(SUMIF($T$323:$T$462,"CGE",B$330:B$480)/B10/1.98)</f>
        <v>349.90626582056967</v>
      </c>
      <c r="C490" s="121">
        <f>C$491+(SUMIF($T$323:$T$462,"CGE",C$330:C$480)/C10/1.98)</f>
        <v>485.48883038293019</v>
      </c>
      <c r="D490" s="121">
        <f>D$491+(SUMIF($T$323:$T$462,"CGE",D$330:D$480)/D10/1.98)</f>
        <v>785.17144013459472</v>
      </c>
      <c r="E490" s="122"/>
      <c r="F490" s="121">
        <f>F$491+(SUMIF($T$323:$T$462,"CGE",F$330:F$480)/F10/1.98)</f>
        <v>1347.0241751860513</v>
      </c>
      <c r="G490" s="121">
        <f>G$491+(SUMIF($T$323:$T$462,"CGE",G$330:G$480)/G10/1.98)</f>
        <v>1301.3617952005538</v>
      </c>
      <c r="H490" s="121">
        <f>H$491+(SUMIF($T$323:$T$462,"CGE",H$330:H$480)/H10/1.98)</f>
        <v>1403.0141811457997</v>
      </c>
      <c r="I490" s="45"/>
      <c r="J490" s="121">
        <f>J$491+(SUMIF($T$323:$T$462,"CGE",J$330:J$480)/J10/1.98)</f>
        <v>1389.5139970294917</v>
      </c>
      <c r="K490" s="121">
        <f>K$491+(SUMIF($T$323:$T$462,"CGE",K$330:K$480)/K10/1.98)</f>
        <v>1193.7592951623501</v>
      </c>
      <c r="L490" s="121">
        <f>L$491+(SUMIF($T$323:$T$462,"CGE",L$330:L$480)/L10/1.98)</f>
        <v>859.2216160597402</v>
      </c>
      <c r="M490" s="45"/>
      <c r="N490" s="121">
        <f>N$491+(SUMIF($T$323:$T$462,"CGE",N$330:N$480)/N10/1.98)</f>
        <v>314.23231386629953</v>
      </c>
      <c r="O490" s="121">
        <f>O$491+(SUMIF($T$323:$T$462,"CGE",O$330:O$480)/O10/1.98)</f>
        <v>210.0257237019718</v>
      </c>
      <c r="P490" s="121">
        <f>P$491+(SUMIF($T$323:$T$462,"CGE",P$330:P$480)/P10/1.98)</f>
        <v>218.32053392250552</v>
      </c>
      <c r="Q490" s="45"/>
      <c r="R490" s="45"/>
    </row>
    <row r="491" spans="1:18" ht="15.75" customHeight="1" x14ac:dyDescent="0.3">
      <c r="A491" s="120" t="s">
        <v>295</v>
      </c>
      <c r="B491" s="121">
        <f>B$492+(SUMIF($T$323:$T$462,"SRO",B$330:B$480)/B10/1.98)</f>
        <v>349.90626582056967</v>
      </c>
      <c r="C491" s="121">
        <f>C$492+(SUMIF($T$323:$T$462,"SRO",C$330:C$480)/C10/1.98)</f>
        <v>485.48883038293019</v>
      </c>
      <c r="D491" s="121">
        <f>D$492+(SUMIF($T$323:$T$462,"SRO",D$330:D$480)/D10/1.98)</f>
        <v>743.74100676867749</v>
      </c>
      <c r="E491" s="122"/>
      <c r="F491" s="121">
        <f>F$492+(SUMIF($T$323:$T$462,"SRO",F$330:F$480)/F10/1.98)</f>
        <v>1313.3541415160175</v>
      </c>
      <c r="G491" s="121">
        <f>G$492+(SUMIF($T$323:$T$462,"SRO",G$330:G$480)/G10/1.98)</f>
        <v>1260.6319157609969</v>
      </c>
      <c r="H491" s="121">
        <f>H$492+(SUMIF($T$323:$T$462,"SRO",H$330:H$480)/H10/1.98)</f>
        <v>1307.374450506069</v>
      </c>
      <c r="I491" s="45"/>
      <c r="J491" s="121">
        <f>J$492+(SUMIF($T$323:$T$462,"SRO",J$330:J$480)/J10/1.98)</f>
        <v>1360.5794906756305</v>
      </c>
      <c r="K491" s="121">
        <f>K$492+(SUMIF($T$323:$T$462,"SRO",K$330:K$480)/K10/1.98)</f>
        <v>1193.7592951623501</v>
      </c>
      <c r="L491" s="121">
        <f>L$492+(SUMIF($T$323:$T$462,"SRO",L$330:L$480)/L10/1.98)</f>
        <v>859.2216160597402</v>
      </c>
      <c r="M491" s="45"/>
      <c r="N491" s="121">
        <f>N$492+(SUMIF($T$323:$T$462,"SRO",N$330:N$480)/N10/1.98)</f>
        <v>314.23231386629953</v>
      </c>
      <c r="O491" s="121">
        <f>O$492+(SUMIF($T$323:$T$462,"SRO",O$330:O$480)/O10/1.98)</f>
        <v>210.0257237019718</v>
      </c>
      <c r="P491" s="121">
        <f>P$492+(SUMIF($T$323:$T$462,"SRO",P$330:P$480)/P10/1.98)</f>
        <v>218.32053392250552</v>
      </c>
      <c r="Q491" s="45"/>
      <c r="R491" s="45"/>
    </row>
    <row r="492" spans="1:18" ht="15.75" customHeight="1" x14ac:dyDescent="0.3">
      <c r="A492" s="120" t="s">
        <v>296</v>
      </c>
      <c r="B492" s="121">
        <f>B$535/B10/1.983</f>
        <v>223.15488100466871</v>
      </c>
      <c r="C492" s="121">
        <f>C$535/C10/1.983</f>
        <v>398.80051869461852</v>
      </c>
      <c r="D492" s="121">
        <f>D$535/D10/1.983</f>
        <v>550.29037138255819</v>
      </c>
      <c r="E492" s="123"/>
      <c r="F492" s="121">
        <f>F$535/F10/1.983</f>
        <v>775.1554883173643</v>
      </c>
      <c r="G492" s="121">
        <f>G$535/G10/1.983</f>
        <v>681.86032892489391</v>
      </c>
      <c r="H492" s="121">
        <f>H$535/H10/1.983</f>
        <v>755.0848882165069</v>
      </c>
      <c r="I492" s="1"/>
      <c r="J492" s="121">
        <f>J$535/J10/1.983</f>
        <v>791.72970247100352</v>
      </c>
      <c r="K492" s="121">
        <f>K$535/K10/1.983</f>
        <v>796.28454768760264</v>
      </c>
      <c r="L492" s="121">
        <f>L$535/L10/1.983</f>
        <v>602.62228946041353</v>
      </c>
      <c r="N492" s="121">
        <f>N$535/N10/1.983</f>
        <v>219.57607404876939</v>
      </c>
      <c r="O492" s="121">
        <f>O$535/O10/1.983</f>
        <v>94.13346780971591</v>
      </c>
      <c r="P492" s="121">
        <f>P$535/P10/1.983</f>
        <v>91.243310071088118</v>
      </c>
      <c r="R492" s="45"/>
    </row>
    <row r="493" spans="1:18" ht="15.75" customHeight="1" x14ac:dyDescent="0.3">
      <c r="A493" s="120"/>
      <c r="B493" s="121"/>
      <c r="C493" s="121"/>
      <c r="D493" s="121"/>
      <c r="E493" s="123"/>
      <c r="F493" s="121"/>
      <c r="G493" s="121"/>
      <c r="H493" s="121"/>
      <c r="I493" s="1"/>
      <c r="J493" s="121"/>
      <c r="K493" s="121"/>
      <c r="L493" s="121"/>
      <c r="N493" s="121"/>
      <c r="O493" s="121"/>
      <c r="P493" s="121"/>
      <c r="R493" s="45"/>
    </row>
    <row r="494" spans="1:18" ht="15.75" customHeight="1" thickBot="1" x14ac:dyDescent="0.35">
      <c r="A494" s="28"/>
      <c r="B494" s="1"/>
      <c r="C494" s="1"/>
      <c r="D494" s="1"/>
      <c r="E494" s="1"/>
      <c r="F494" s="1"/>
      <c r="G494" s="1"/>
      <c r="H494" s="1"/>
      <c r="I494" s="1"/>
      <c r="J494" s="1"/>
      <c r="K494" s="1"/>
      <c r="L494" s="1"/>
      <c r="M494" s="1"/>
      <c r="N494" s="1"/>
      <c r="O494" s="1"/>
      <c r="P494" s="1"/>
      <c r="Q494" s="1"/>
      <c r="R494" s="2"/>
    </row>
    <row r="495" spans="1:18" ht="16.5" customHeight="1" thickBot="1" x14ac:dyDescent="0.35">
      <c r="A495" s="29" t="s">
        <v>297</v>
      </c>
      <c r="B495" s="30" t="s">
        <v>8</v>
      </c>
      <c r="C495" s="31" t="s">
        <v>9</v>
      </c>
      <c r="D495" s="31" t="s">
        <v>10</v>
      </c>
      <c r="E495" s="32" t="s">
        <v>11</v>
      </c>
      <c r="F495" s="31" t="s">
        <v>12</v>
      </c>
      <c r="G495" s="31" t="s">
        <v>13</v>
      </c>
      <c r="H495" s="31" t="s">
        <v>14</v>
      </c>
      <c r="I495" s="33" t="s">
        <v>15</v>
      </c>
      <c r="J495" s="31" t="s">
        <v>16</v>
      </c>
      <c r="K495" s="31" t="s">
        <v>17</v>
      </c>
      <c r="L495" s="31" t="s">
        <v>18</v>
      </c>
      <c r="M495" s="33" t="s">
        <v>19</v>
      </c>
      <c r="N495" s="31" t="s">
        <v>20</v>
      </c>
      <c r="O495" s="31" t="s">
        <v>21</v>
      </c>
      <c r="P495" s="31" t="s">
        <v>22</v>
      </c>
      <c r="Q495" s="33" t="s">
        <v>23</v>
      </c>
      <c r="R495" s="34" t="s">
        <v>24</v>
      </c>
    </row>
    <row r="496" spans="1:18" ht="16.5" customHeight="1" thickBot="1" x14ac:dyDescent="0.35">
      <c r="A496" s="59"/>
      <c r="B496" s="75"/>
      <c r="C496" s="75"/>
      <c r="D496" s="75"/>
      <c r="E496" s="69"/>
      <c r="F496" s="75"/>
      <c r="G496" s="75"/>
      <c r="H496" s="75"/>
      <c r="I496" s="82"/>
      <c r="J496" s="75"/>
      <c r="K496" s="75"/>
      <c r="L496" s="75"/>
      <c r="M496" s="82"/>
      <c r="N496" s="75"/>
      <c r="O496" s="75"/>
      <c r="P496" s="75"/>
      <c r="Q496" s="82"/>
      <c r="R496" s="100"/>
    </row>
    <row r="497" spans="1:20" ht="15.75" customHeight="1" x14ac:dyDescent="0.3">
      <c r="A497" s="15" t="s">
        <v>48</v>
      </c>
      <c r="B497" s="1" t="s">
        <v>7</v>
      </c>
      <c r="C497" s="1" t="s">
        <v>7</v>
      </c>
      <c r="D497" s="1" t="s">
        <v>7</v>
      </c>
      <c r="E497" s="55" t="s">
        <v>7</v>
      </c>
      <c r="F497" s="1"/>
      <c r="G497" s="1"/>
      <c r="H497" s="1"/>
      <c r="I497" s="55" t="s">
        <v>7</v>
      </c>
      <c r="J497" s="1" t="s">
        <v>7</v>
      </c>
      <c r="K497" s="1" t="s">
        <v>7</v>
      </c>
      <c r="L497" s="1" t="s">
        <v>7</v>
      </c>
      <c r="M497" s="55" t="s">
        <v>7</v>
      </c>
      <c r="N497" s="1" t="s">
        <v>7</v>
      </c>
      <c r="O497" s="1" t="s">
        <v>7</v>
      </c>
      <c r="P497" s="1" t="s">
        <v>7</v>
      </c>
      <c r="Q497" s="55" t="s">
        <v>7</v>
      </c>
      <c r="R497" s="55" t="s">
        <v>7</v>
      </c>
    </row>
    <row r="498" spans="1:20" ht="15.75" customHeight="1" x14ac:dyDescent="0.3">
      <c r="A498" s="15" t="s">
        <v>49</v>
      </c>
      <c r="B498" s="1"/>
      <c r="C498" s="1"/>
      <c r="D498" s="1"/>
      <c r="E498" s="55" t="s">
        <v>7</v>
      </c>
      <c r="F498" s="1"/>
      <c r="G498" s="1"/>
      <c r="H498" s="1"/>
      <c r="I498" s="55" t="s">
        <v>7</v>
      </c>
      <c r="J498" s="1"/>
      <c r="K498" s="1"/>
      <c r="L498" s="1"/>
      <c r="M498" s="55" t="s">
        <v>7</v>
      </c>
      <c r="N498" s="1"/>
      <c r="O498" s="1"/>
      <c r="P498" s="1"/>
      <c r="Q498" s="55" t="s">
        <v>7</v>
      </c>
      <c r="R498" s="55" t="s">
        <v>7</v>
      </c>
    </row>
    <row r="499" spans="1:20" ht="15.75" customHeight="1" x14ac:dyDescent="0.3">
      <c r="A499" s="71" t="s">
        <v>1225</v>
      </c>
      <c r="B499" s="1"/>
      <c r="C499" s="1"/>
      <c r="D499" s="1">
        <v>4</v>
      </c>
      <c r="E499" s="55">
        <f t="shared" ref="E499:E503" si="202">SUM(B499:D499)</f>
        <v>4</v>
      </c>
      <c r="F499" s="1">
        <v>17</v>
      </c>
      <c r="G499" s="1">
        <v>7</v>
      </c>
      <c r="H499" s="1">
        <v>17</v>
      </c>
      <c r="I499" s="55">
        <f t="shared" ref="I499:I503" si="203">SUM(F499:H499)</f>
        <v>41</v>
      </c>
      <c r="J499" s="1">
        <v>6</v>
      </c>
      <c r="K499" s="1">
        <v>9</v>
      </c>
      <c r="L499" s="1">
        <v>3</v>
      </c>
      <c r="M499" s="55">
        <f t="shared" ref="M499:M503" si="204">SUM(J499:L499)</f>
        <v>18</v>
      </c>
      <c r="N499" s="1"/>
      <c r="O499" s="1"/>
      <c r="P499" s="1"/>
      <c r="Q499" s="55">
        <f t="shared" ref="Q499:Q503" si="205">SUM(N499:P499)</f>
        <v>0</v>
      </c>
      <c r="R499" s="55">
        <f t="shared" ref="R499:R503" si="206">+E499+I499+M499+Q499</f>
        <v>63</v>
      </c>
      <c r="T499" s="4" t="s">
        <v>938</v>
      </c>
    </row>
    <row r="500" spans="1:20" ht="15.75" customHeight="1" x14ac:dyDescent="0.3">
      <c r="A500" s="71" t="s">
        <v>1226</v>
      </c>
      <c r="B500" s="1"/>
      <c r="C500" s="1"/>
      <c r="D500" s="1"/>
      <c r="E500" s="55">
        <f t="shared" si="202"/>
        <v>0</v>
      </c>
      <c r="F500" s="1"/>
      <c r="G500" s="1"/>
      <c r="H500" s="1"/>
      <c r="I500" s="55">
        <f t="shared" si="203"/>
        <v>0</v>
      </c>
      <c r="J500" s="1"/>
      <c r="K500" s="1"/>
      <c r="L500" s="1"/>
      <c r="M500" s="55">
        <f t="shared" si="204"/>
        <v>0</v>
      </c>
      <c r="N500" s="1"/>
      <c r="O500" s="1"/>
      <c r="P500" s="1"/>
      <c r="Q500" s="55">
        <f t="shared" si="205"/>
        <v>0</v>
      </c>
      <c r="R500" s="55">
        <f t="shared" si="206"/>
        <v>0</v>
      </c>
      <c r="T500" s="4" t="s">
        <v>938</v>
      </c>
    </row>
    <row r="501" spans="1:20" ht="15.75" customHeight="1" x14ac:dyDescent="0.3">
      <c r="A501" s="71" t="s">
        <v>1320</v>
      </c>
      <c r="B501" s="1"/>
      <c r="C501" s="1"/>
      <c r="D501" s="1"/>
      <c r="E501" s="55">
        <f t="shared" si="202"/>
        <v>0</v>
      </c>
      <c r="F501" s="1"/>
      <c r="G501" s="1"/>
      <c r="H501" s="1"/>
      <c r="I501" s="55">
        <f t="shared" si="203"/>
        <v>0</v>
      </c>
      <c r="J501" s="1"/>
      <c r="K501" s="1">
        <v>1073</v>
      </c>
      <c r="L501" s="1"/>
      <c r="M501" s="55">
        <f t="shared" si="204"/>
        <v>1073</v>
      </c>
      <c r="N501" s="1"/>
      <c r="O501" s="1"/>
      <c r="P501" s="1"/>
      <c r="Q501" s="55">
        <f t="shared" si="205"/>
        <v>0</v>
      </c>
      <c r="R501" s="55">
        <f t="shared" si="206"/>
        <v>1073</v>
      </c>
    </row>
    <row r="502" spans="1:20" ht="15.75" customHeight="1" x14ac:dyDescent="0.3">
      <c r="A502" s="71" t="s">
        <v>980</v>
      </c>
      <c r="C502" s="1"/>
      <c r="D502" s="1"/>
      <c r="E502" s="55">
        <f t="shared" si="202"/>
        <v>0</v>
      </c>
      <c r="F502" s="1"/>
      <c r="G502" s="1">
        <v>2300</v>
      </c>
      <c r="H502" s="1"/>
      <c r="I502" s="55">
        <f t="shared" si="203"/>
        <v>2300</v>
      </c>
      <c r="J502" s="1"/>
      <c r="K502" s="1"/>
      <c r="L502" s="1">
        <v>1150</v>
      </c>
      <c r="M502" s="55">
        <f t="shared" si="204"/>
        <v>1150</v>
      </c>
      <c r="N502" s="1"/>
      <c r="O502" s="1"/>
      <c r="P502" s="1"/>
      <c r="Q502" s="55">
        <f t="shared" si="205"/>
        <v>0</v>
      </c>
      <c r="R502" s="55">
        <f t="shared" si="206"/>
        <v>3450</v>
      </c>
      <c r="T502" s="4" t="s">
        <v>938</v>
      </c>
    </row>
    <row r="503" spans="1:20" ht="15.75" customHeight="1" x14ac:dyDescent="0.3">
      <c r="A503" s="72" t="s">
        <v>981</v>
      </c>
      <c r="B503" s="1"/>
      <c r="C503" s="1"/>
      <c r="D503" s="1"/>
      <c r="E503" s="55">
        <f t="shared" si="202"/>
        <v>0</v>
      </c>
      <c r="F503" s="1"/>
      <c r="G503" s="1"/>
      <c r="H503" s="1"/>
      <c r="I503" s="55">
        <f t="shared" si="203"/>
        <v>0</v>
      </c>
      <c r="J503" s="1"/>
      <c r="K503" s="1"/>
      <c r="L503" s="1"/>
      <c r="M503" s="55">
        <f t="shared" si="204"/>
        <v>0</v>
      </c>
      <c r="N503" s="1"/>
      <c r="O503" s="1"/>
      <c r="P503" s="1"/>
      <c r="Q503" s="55">
        <f t="shared" si="205"/>
        <v>0</v>
      </c>
      <c r="R503" s="55">
        <f t="shared" si="206"/>
        <v>0</v>
      </c>
      <c r="T503" s="4" t="s">
        <v>938</v>
      </c>
    </row>
    <row r="504" spans="1:20" ht="15.75" customHeight="1" x14ac:dyDescent="0.3">
      <c r="A504" s="15" t="s">
        <v>50</v>
      </c>
      <c r="B504" s="1"/>
      <c r="C504" s="1"/>
      <c r="D504" s="1"/>
      <c r="E504" s="55" t="s">
        <v>7</v>
      </c>
      <c r="F504" s="1"/>
      <c r="G504" s="1"/>
      <c r="H504" s="1"/>
      <c r="I504" s="55" t="s">
        <v>7</v>
      </c>
      <c r="J504" s="1"/>
      <c r="K504" s="1"/>
      <c r="L504" s="1"/>
      <c r="M504" s="55" t="s">
        <v>7</v>
      </c>
      <c r="N504" s="1"/>
      <c r="O504" s="1"/>
      <c r="P504" s="1"/>
      <c r="Q504" s="55" t="s">
        <v>7</v>
      </c>
      <c r="R504" s="55" t="s">
        <v>7</v>
      </c>
    </row>
    <row r="505" spans="1:20" ht="15.75" customHeight="1" x14ac:dyDescent="0.3">
      <c r="A505" s="71" t="s">
        <v>758</v>
      </c>
      <c r="B505" s="1"/>
      <c r="C505" s="1"/>
      <c r="D505" s="1"/>
      <c r="E505" s="55">
        <f>SUM(B505:D505)</f>
        <v>0</v>
      </c>
      <c r="F505" s="1"/>
      <c r="G505" s="1"/>
      <c r="H505" s="1"/>
      <c r="I505" s="55">
        <f>SUM(F505:H505)</f>
        <v>0</v>
      </c>
      <c r="J505" s="1"/>
      <c r="K505" s="1"/>
      <c r="L505" s="1"/>
      <c r="M505" s="55">
        <f>SUM(J505:L505)</f>
        <v>0</v>
      </c>
      <c r="N505" s="1"/>
      <c r="O505" s="1"/>
      <c r="P505" s="1"/>
      <c r="Q505" s="55">
        <f>SUM(N505:P505)</f>
        <v>0</v>
      </c>
      <c r="R505" s="55">
        <f>+E505+I505+M505+Q505</f>
        <v>0</v>
      </c>
    </row>
    <row r="506" spans="1:20" ht="15.75" customHeight="1" x14ac:dyDescent="0.3">
      <c r="A506" s="71" t="s">
        <v>298</v>
      </c>
      <c r="B506" s="1"/>
      <c r="C506" s="1"/>
      <c r="D506" s="1"/>
      <c r="E506" s="55">
        <f>SUM(B506:D506)</f>
        <v>0</v>
      </c>
      <c r="F506" s="1"/>
      <c r="G506" s="1"/>
      <c r="H506" s="1"/>
      <c r="I506" s="55">
        <f>SUM(F506:H506)</f>
        <v>0</v>
      </c>
      <c r="J506" s="1"/>
      <c r="K506" s="1"/>
      <c r="L506" s="1"/>
      <c r="M506" s="55">
        <f>SUM(J506:L506)</f>
        <v>0</v>
      </c>
      <c r="N506" s="1"/>
      <c r="O506" s="1"/>
      <c r="P506" s="1"/>
      <c r="Q506" s="55">
        <f>SUM(N506:P506)</f>
        <v>0</v>
      </c>
      <c r="R506" s="55">
        <f>+E506+I506+M506+Q506</f>
        <v>0</v>
      </c>
    </row>
    <row r="507" spans="1:20" ht="15.75" customHeight="1" x14ac:dyDescent="0.3">
      <c r="A507" s="15" t="s">
        <v>1186</v>
      </c>
      <c r="B507" s="1"/>
      <c r="C507" s="1"/>
      <c r="D507" s="1"/>
      <c r="E507" s="55" t="s">
        <v>7</v>
      </c>
      <c r="F507" s="1"/>
      <c r="G507" s="1"/>
      <c r="H507" s="1"/>
      <c r="I507" s="55" t="s">
        <v>7</v>
      </c>
      <c r="J507" s="1"/>
      <c r="K507" s="1"/>
      <c r="L507" s="1"/>
      <c r="M507" s="55" t="s">
        <v>7</v>
      </c>
      <c r="N507" s="1"/>
      <c r="O507" s="1"/>
      <c r="P507" s="1"/>
      <c r="Q507" s="55" t="s">
        <v>7</v>
      </c>
      <c r="R507" s="55" t="s">
        <v>7</v>
      </c>
    </row>
    <row r="508" spans="1:20" ht="15.75" customHeight="1" thickBot="1" x14ac:dyDescent="0.35">
      <c r="A508" s="15" t="s">
        <v>53</v>
      </c>
      <c r="B508" s="1"/>
      <c r="C508" s="1"/>
      <c r="D508" s="1"/>
      <c r="E508" s="55" t="s">
        <v>7</v>
      </c>
      <c r="F508" s="1"/>
      <c r="G508" s="1"/>
      <c r="H508" s="1"/>
      <c r="I508" s="55" t="s">
        <v>7</v>
      </c>
      <c r="J508" s="1"/>
      <c r="K508" s="1"/>
      <c r="L508" s="1"/>
      <c r="M508" s="55" t="s">
        <v>7</v>
      </c>
      <c r="N508" s="1"/>
      <c r="O508" s="1"/>
      <c r="P508" s="1"/>
      <c r="Q508" s="55" t="s">
        <v>7</v>
      </c>
      <c r="R508" s="55" t="s">
        <v>7</v>
      </c>
    </row>
    <row r="509" spans="1:20" ht="16.5" customHeight="1" thickBot="1" x14ac:dyDescent="0.35">
      <c r="A509" s="109" t="s">
        <v>54</v>
      </c>
      <c r="B509" s="86">
        <f>SUM(B497:B508)</f>
        <v>0</v>
      </c>
      <c r="C509" s="87">
        <f>SUM(C497:C508)</f>
        <v>0</v>
      </c>
      <c r="D509" s="87">
        <f>SUM(D497:D508)</f>
        <v>4</v>
      </c>
      <c r="E509" s="59">
        <f>SUM(B509:D509)</f>
        <v>4</v>
      </c>
      <c r="F509" s="87">
        <f>SUM(F497:F508)</f>
        <v>17</v>
      </c>
      <c r="G509" s="87">
        <f>SUM(G497:G508)</f>
        <v>2307</v>
      </c>
      <c r="H509" s="87">
        <f>SUM(H497:H508)</f>
        <v>17</v>
      </c>
      <c r="I509" s="59">
        <f>SUM(F509:H509)</f>
        <v>2341</v>
      </c>
      <c r="J509" s="87">
        <f>SUM(J497:J508)</f>
        <v>6</v>
      </c>
      <c r="K509" s="87">
        <f>SUM(K497:K508)</f>
        <v>1082</v>
      </c>
      <c r="L509" s="87">
        <f>SUM(L497:L508)</f>
        <v>1153</v>
      </c>
      <c r="M509" s="59">
        <f>SUM(J509:L509)</f>
        <v>2241</v>
      </c>
      <c r="N509" s="87">
        <f>SUM(N497:N508)</f>
        <v>0</v>
      </c>
      <c r="O509" s="87">
        <f>SUM(O497:O508)</f>
        <v>0</v>
      </c>
      <c r="P509" s="87">
        <f>SUM(P497:P508)</f>
        <v>0</v>
      </c>
      <c r="Q509" s="59">
        <f>SUM(N509:P509)</f>
        <v>0</v>
      </c>
      <c r="R509" s="59">
        <f>+E509+I509+M509+Q509</f>
        <v>4586</v>
      </c>
    </row>
    <row r="510" spans="1:20" ht="15.75" customHeight="1" x14ac:dyDescent="0.3">
      <c r="A510" s="15" t="s">
        <v>55</v>
      </c>
      <c r="B510" s="1"/>
      <c r="C510" s="1"/>
      <c r="D510" s="1"/>
      <c r="E510" s="55" t="s">
        <v>7</v>
      </c>
      <c r="F510" s="1"/>
      <c r="G510" s="1"/>
      <c r="H510" s="1"/>
      <c r="I510" s="55" t="s">
        <v>7</v>
      </c>
      <c r="J510" s="1"/>
      <c r="K510" s="1"/>
      <c r="L510" s="1"/>
      <c r="M510" s="55" t="s">
        <v>7</v>
      </c>
      <c r="N510" s="1" t="s">
        <v>7</v>
      </c>
      <c r="O510" s="1"/>
      <c r="P510" s="1"/>
      <c r="Q510" s="55" t="s">
        <v>7</v>
      </c>
      <c r="R510" s="55" t="s">
        <v>7</v>
      </c>
    </row>
    <row r="511" spans="1:20" ht="15.75" customHeight="1" x14ac:dyDescent="0.3">
      <c r="A511" s="15" t="s">
        <v>57</v>
      </c>
      <c r="B511" s="1"/>
      <c r="C511" s="1"/>
      <c r="D511" s="1"/>
      <c r="E511" s="55" t="s">
        <v>7</v>
      </c>
      <c r="F511" s="1"/>
      <c r="G511" s="1"/>
      <c r="H511" s="1"/>
      <c r="I511" s="55" t="s">
        <v>7</v>
      </c>
      <c r="J511" s="1"/>
      <c r="K511" s="1"/>
      <c r="L511" s="1"/>
      <c r="M511" s="55" t="s">
        <v>7</v>
      </c>
      <c r="N511" s="1"/>
      <c r="O511" s="1"/>
      <c r="P511" s="1"/>
      <c r="Q511" s="55" t="s">
        <v>7</v>
      </c>
      <c r="R511" s="55" t="s">
        <v>7</v>
      </c>
    </row>
    <row r="512" spans="1:20" ht="15.75" customHeight="1" x14ac:dyDescent="0.3">
      <c r="A512" s="71" t="s">
        <v>565</v>
      </c>
      <c r="B512" s="1">
        <v>35</v>
      </c>
      <c r="C512" s="1">
        <v>104</v>
      </c>
      <c r="D512" s="1">
        <v>5031</v>
      </c>
      <c r="E512" s="55">
        <f>SUM(B512:D512)</f>
        <v>5170</v>
      </c>
      <c r="F512" s="1">
        <v>7188</v>
      </c>
      <c r="G512" s="1">
        <v>3337</v>
      </c>
      <c r="H512" s="1">
        <v>5857</v>
      </c>
      <c r="I512" s="55">
        <f>SUM(F512:H512)</f>
        <v>16382</v>
      </c>
      <c r="J512" s="1">
        <v>4003</v>
      </c>
      <c r="K512" s="1">
        <f>6283+3047</f>
        <v>9330</v>
      </c>
      <c r="L512" s="1">
        <f>2969</f>
        <v>2969</v>
      </c>
      <c r="M512" s="55">
        <f>SUM(J512:L512)</f>
        <v>16302</v>
      </c>
      <c r="N512" s="1">
        <v>75</v>
      </c>
      <c r="O512" s="1"/>
      <c r="P512" s="1">
        <v>106</v>
      </c>
      <c r="Q512" s="55">
        <f>SUM(N512:P512)</f>
        <v>181</v>
      </c>
      <c r="R512" s="55">
        <f>+E512+I512+M512+Q512</f>
        <v>38035</v>
      </c>
    </row>
    <row r="513" spans="1:20" ht="15.75" customHeight="1" thickBot="1" x14ac:dyDescent="0.35">
      <c r="A513" s="15" t="s">
        <v>58</v>
      </c>
      <c r="B513" s="1"/>
      <c r="C513" s="1"/>
      <c r="D513" s="1"/>
      <c r="E513" s="55" t="s">
        <v>7</v>
      </c>
      <c r="F513" s="1"/>
      <c r="G513" s="1"/>
      <c r="H513" s="1"/>
      <c r="I513" s="55" t="s">
        <v>7</v>
      </c>
      <c r="J513" s="1"/>
      <c r="K513" s="1"/>
      <c r="L513" s="1"/>
      <c r="M513" s="55" t="s">
        <v>7</v>
      </c>
      <c r="N513" s="1"/>
      <c r="O513" s="1"/>
      <c r="P513" s="1"/>
      <c r="Q513" s="55" t="s">
        <v>7</v>
      </c>
      <c r="R513" s="55" t="s">
        <v>7</v>
      </c>
    </row>
    <row r="514" spans="1:20" ht="16.5" customHeight="1" thickBot="1" x14ac:dyDescent="0.35">
      <c r="A514" s="57" t="s">
        <v>59</v>
      </c>
      <c r="B514" s="86">
        <f>SUM(B510:B513)</f>
        <v>35</v>
      </c>
      <c r="C514" s="87">
        <f>SUM(C510:C513)</f>
        <v>104</v>
      </c>
      <c r="D514" s="87">
        <f>SUM(D510:D513)</f>
        <v>5031</v>
      </c>
      <c r="E514" s="59">
        <f>SUM(B514:D514)</f>
        <v>5170</v>
      </c>
      <c r="F514" s="87">
        <f>SUM(F510:F513)</f>
        <v>7188</v>
      </c>
      <c r="G514" s="87">
        <f>SUM(G510:G513)</f>
        <v>3337</v>
      </c>
      <c r="H514" s="87">
        <f>SUM(H510:H513)</f>
        <v>5857</v>
      </c>
      <c r="I514" s="59">
        <f>SUM(F514:H514)</f>
        <v>16382</v>
      </c>
      <c r="J514" s="87">
        <f>SUM(J510:J513)</f>
        <v>4003</v>
      </c>
      <c r="K514" s="87">
        <f>SUM(K510:K513)</f>
        <v>9330</v>
      </c>
      <c r="L514" s="87">
        <f>SUM(L510:L513)</f>
        <v>2969</v>
      </c>
      <c r="M514" s="59">
        <f>SUM(J514:L514)</f>
        <v>16302</v>
      </c>
      <c r="N514" s="87">
        <f>SUM(N510:N513)</f>
        <v>75</v>
      </c>
      <c r="O514" s="87">
        <f>SUM(O510:O513)</f>
        <v>0</v>
      </c>
      <c r="P514" s="87">
        <f>SUM(P510:P513)</f>
        <v>106</v>
      </c>
      <c r="Q514" s="59">
        <f>SUM(N514:P514)</f>
        <v>181</v>
      </c>
      <c r="R514" s="59">
        <f>+E514+I514+M514+Q514</f>
        <v>38035</v>
      </c>
    </row>
    <row r="515" spans="1:20" ht="15.75" customHeight="1" x14ac:dyDescent="0.3">
      <c r="A515" s="15" t="s">
        <v>60</v>
      </c>
      <c r="B515" s="1"/>
      <c r="C515" s="1"/>
      <c r="D515" s="1"/>
      <c r="E515" s="55" t="s">
        <v>7</v>
      </c>
      <c r="F515" s="1"/>
      <c r="G515" s="1"/>
      <c r="H515" s="1"/>
      <c r="I515" s="55" t="s">
        <v>7</v>
      </c>
      <c r="J515" s="1"/>
      <c r="K515" s="1"/>
      <c r="L515" s="1"/>
      <c r="M515" s="55" t="s">
        <v>7</v>
      </c>
      <c r="N515" s="1"/>
      <c r="O515" s="1"/>
      <c r="P515" s="1"/>
      <c r="Q515" s="55" t="s">
        <v>7</v>
      </c>
      <c r="R515" s="55" t="s">
        <v>7</v>
      </c>
    </row>
    <row r="516" spans="1:20" ht="15.75" customHeight="1" x14ac:dyDescent="0.3">
      <c r="A516" s="15" t="s">
        <v>61</v>
      </c>
      <c r="B516" s="1"/>
      <c r="C516" s="1"/>
      <c r="D516" s="1"/>
      <c r="E516" s="55" t="s">
        <v>7</v>
      </c>
      <c r="F516" s="1"/>
      <c r="G516" s="1"/>
      <c r="H516" s="1"/>
      <c r="I516" s="55" t="s">
        <v>7</v>
      </c>
      <c r="J516" s="1"/>
      <c r="K516" s="1"/>
      <c r="L516" s="1"/>
      <c r="M516" s="55" t="s">
        <v>7</v>
      </c>
      <c r="N516" s="1"/>
      <c r="O516" s="1"/>
      <c r="P516" s="1"/>
      <c r="Q516" s="55" t="s">
        <v>7</v>
      </c>
      <c r="R516" s="55" t="s">
        <v>7</v>
      </c>
    </row>
    <row r="517" spans="1:20" ht="15.75" customHeight="1" x14ac:dyDescent="0.3">
      <c r="A517" s="15" t="s">
        <v>62</v>
      </c>
      <c r="B517" s="1"/>
      <c r="C517" s="1"/>
      <c r="D517" s="1"/>
      <c r="E517" s="55" t="s">
        <v>7</v>
      </c>
      <c r="F517" s="1"/>
      <c r="G517" s="1"/>
      <c r="H517" s="1"/>
      <c r="I517" s="55" t="s">
        <v>7</v>
      </c>
      <c r="J517" s="1"/>
      <c r="K517" s="1"/>
      <c r="L517" s="1"/>
      <c r="M517" s="55" t="s">
        <v>7</v>
      </c>
      <c r="N517" s="1"/>
      <c r="O517" s="1"/>
      <c r="P517" s="1"/>
      <c r="Q517" s="55" t="s">
        <v>7</v>
      </c>
      <c r="R517" s="55" t="s">
        <v>7</v>
      </c>
    </row>
    <row r="518" spans="1:20" ht="15.75" customHeight="1" x14ac:dyDescent="0.3">
      <c r="A518" s="71" t="s">
        <v>1321</v>
      </c>
      <c r="B518" s="1"/>
      <c r="C518" s="1"/>
      <c r="D518" s="1"/>
      <c r="E518" s="55">
        <f>SUM(B518:D518)</f>
        <v>0</v>
      </c>
      <c r="F518" s="1"/>
      <c r="G518" s="1"/>
      <c r="H518" s="1">
        <v>4000</v>
      </c>
      <c r="I518" s="55">
        <f>SUM(F518:H518)</f>
        <v>4000</v>
      </c>
      <c r="J518" s="1">
        <v>4505</v>
      </c>
      <c r="K518" s="1"/>
      <c r="L518" s="1"/>
      <c r="M518" s="55">
        <f>SUM(J518:L518)</f>
        <v>4505</v>
      </c>
      <c r="N518" s="1"/>
      <c r="O518" s="1"/>
      <c r="P518" s="1"/>
      <c r="Q518" s="55">
        <f>SUM(N518:P518)</f>
        <v>0</v>
      </c>
      <c r="R518" s="55">
        <f>+E518+I518+M518+Q518</f>
        <v>8505</v>
      </c>
      <c r="T518" s="4" t="s">
        <v>938</v>
      </c>
    </row>
    <row r="519" spans="1:20" ht="15.75" customHeight="1" thickBot="1" x14ac:dyDescent="0.35">
      <c r="A519" s="359" t="s">
        <v>982</v>
      </c>
      <c r="B519" s="1"/>
      <c r="C519" s="1"/>
      <c r="E519" s="55">
        <f>SUM(B519:D519)</f>
        <v>0</v>
      </c>
      <c r="F519" s="1">
        <v>4000</v>
      </c>
      <c r="G519" s="1">
        <v>4000</v>
      </c>
      <c r="H519" s="1">
        <v>6000</v>
      </c>
      <c r="I519" s="55">
        <f>SUM(F519:H519)</f>
        <v>14000</v>
      </c>
      <c r="J519" s="1">
        <v>10000</v>
      </c>
      <c r="K519" s="1">
        <v>6000</v>
      </c>
      <c r="L519" s="1">
        <v>4000</v>
      </c>
      <c r="M519" s="55">
        <f>SUM(J519:L519)</f>
        <v>20000</v>
      </c>
      <c r="N519" s="1">
        <v>773</v>
      </c>
      <c r="O519" s="1">
        <v>22</v>
      </c>
      <c r="P519" s="1">
        <v>171</v>
      </c>
      <c r="Q519" s="55">
        <f>SUM(N519:P519)</f>
        <v>966</v>
      </c>
      <c r="R519" s="55">
        <f>+E519+I519+M519+Q519</f>
        <v>34966</v>
      </c>
      <c r="T519" s="4" t="s">
        <v>938</v>
      </c>
    </row>
    <row r="520" spans="1:20" ht="16.5" customHeight="1" thickBot="1" x14ac:dyDescent="0.35">
      <c r="A520" s="114" t="s">
        <v>63</v>
      </c>
      <c r="B520" s="86">
        <f>SUM(B515:B519)</f>
        <v>0</v>
      </c>
      <c r="C520" s="87">
        <f>SUM(C515:C519)</f>
        <v>0</v>
      </c>
      <c r="D520" s="87">
        <f>SUM(D515:D519)</f>
        <v>0</v>
      </c>
      <c r="E520" s="59">
        <f>SUM(B520:D520)</f>
        <v>0</v>
      </c>
      <c r="F520" s="87">
        <f>SUM(F515:F519)</f>
        <v>4000</v>
      </c>
      <c r="G520" s="87">
        <f>SUM(G515:G519)</f>
        <v>4000</v>
      </c>
      <c r="H520" s="87">
        <f>SUM(H515:H519)</f>
        <v>10000</v>
      </c>
      <c r="I520" s="59">
        <f>SUM(F520:H520)</f>
        <v>18000</v>
      </c>
      <c r="J520" s="87">
        <f>SUM(J515:J519)</f>
        <v>14505</v>
      </c>
      <c r="K520" s="87">
        <f>SUM(K515:K519)</f>
        <v>6000</v>
      </c>
      <c r="L520" s="87">
        <f>SUM(L515:L519)</f>
        <v>4000</v>
      </c>
      <c r="M520" s="59">
        <f>SUM(J520:L520)</f>
        <v>24505</v>
      </c>
      <c r="N520" s="87">
        <f>SUM(N515:N519)</f>
        <v>773</v>
      </c>
      <c r="O520" s="87">
        <f>SUM(O515:O519)</f>
        <v>22</v>
      </c>
      <c r="P520" s="87">
        <f>SUM(P515:P519)</f>
        <v>171</v>
      </c>
      <c r="Q520" s="59">
        <f>SUM(N520:P520)</f>
        <v>966</v>
      </c>
      <c r="R520" s="59">
        <f>+E520+I520+M520+Q520</f>
        <v>43471</v>
      </c>
    </row>
    <row r="521" spans="1:20" ht="15.75" customHeight="1" x14ac:dyDescent="0.3">
      <c r="A521" s="15" t="s">
        <v>64</v>
      </c>
      <c r="B521" s="1"/>
      <c r="C521" s="1"/>
      <c r="D521" s="1"/>
      <c r="E521" s="55" t="s">
        <v>7</v>
      </c>
      <c r="F521" s="1"/>
      <c r="G521" s="1"/>
      <c r="H521" s="1"/>
      <c r="I521" s="55" t="s">
        <v>7</v>
      </c>
      <c r="J521" s="1"/>
      <c r="K521" s="1"/>
      <c r="L521" s="1"/>
      <c r="M521" s="55" t="s">
        <v>7</v>
      </c>
      <c r="N521" s="1"/>
      <c r="O521" s="1"/>
      <c r="P521" s="1"/>
      <c r="Q521" s="55" t="s">
        <v>7</v>
      </c>
      <c r="R521" s="55" t="s">
        <v>7</v>
      </c>
    </row>
    <row r="522" spans="1:20" ht="15.75" customHeight="1" x14ac:dyDescent="0.3">
      <c r="A522" s="15" t="s">
        <v>594</v>
      </c>
      <c r="B522" s="1"/>
      <c r="C522" s="1"/>
      <c r="D522" s="1"/>
      <c r="E522" s="55" t="s">
        <v>7</v>
      </c>
      <c r="F522" s="1"/>
      <c r="G522" s="1"/>
      <c r="H522" s="1"/>
      <c r="I522" s="55" t="s">
        <v>7</v>
      </c>
      <c r="J522" s="1"/>
      <c r="K522" s="1"/>
      <c r="L522" s="1"/>
      <c r="M522" s="55" t="s">
        <v>7</v>
      </c>
      <c r="N522" s="1"/>
      <c r="O522" s="1"/>
      <c r="P522" s="1"/>
      <c r="Q522" s="55" t="s">
        <v>7</v>
      </c>
      <c r="R522" s="55" t="s">
        <v>7</v>
      </c>
    </row>
    <row r="523" spans="1:20" ht="15.75" customHeight="1" x14ac:dyDescent="0.3">
      <c r="A523" s="15" t="s">
        <v>67</v>
      </c>
      <c r="B523" s="1"/>
      <c r="C523" s="1"/>
      <c r="D523" s="1"/>
      <c r="E523" s="55" t="s">
        <v>7</v>
      </c>
      <c r="F523" s="1"/>
      <c r="G523" s="1"/>
      <c r="H523" s="1"/>
      <c r="I523" s="55" t="s">
        <v>7</v>
      </c>
      <c r="J523" s="1"/>
      <c r="K523" s="1"/>
      <c r="L523" s="1"/>
      <c r="M523" s="55" t="s">
        <v>7</v>
      </c>
      <c r="N523" s="1"/>
      <c r="O523" s="1"/>
      <c r="P523" s="1"/>
      <c r="Q523" s="55" t="s">
        <v>7</v>
      </c>
      <c r="R523" s="55" t="s">
        <v>7</v>
      </c>
    </row>
    <row r="524" spans="1:20" ht="15.75" customHeight="1" x14ac:dyDescent="0.3">
      <c r="A524" s="15" t="s">
        <v>600</v>
      </c>
      <c r="B524" s="1"/>
      <c r="C524" s="1"/>
      <c r="D524" s="1"/>
      <c r="E524" s="55" t="s">
        <v>7</v>
      </c>
      <c r="F524" s="1"/>
      <c r="G524" s="1"/>
      <c r="H524" s="1"/>
      <c r="I524" s="55" t="s">
        <v>7</v>
      </c>
      <c r="J524" s="1"/>
      <c r="K524" s="1"/>
      <c r="L524" s="1"/>
      <c r="M524" s="55" t="s">
        <v>7</v>
      </c>
      <c r="N524" s="1"/>
      <c r="O524" s="1"/>
      <c r="P524" s="1"/>
      <c r="Q524" s="55" t="s">
        <v>7</v>
      </c>
      <c r="R524" s="55" t="s">
        <v>7</v>
      </c>
    </row>
    <row r="525" spans="1:20" ht="15.75" customHeight="1" x14ac:dyDescent="0.3">
      <c r="A525" s="15" t="s">
        <v>70</v>
      </c>
      <c r="B525" s="1"/>
      <c r="C525" s="1"/>
      <c r="D525" s="1"/>
      <c r="E525" s="55" t="s">
        <v>7</v>
      </c>
      <c r="F525" s="1"/>
      <c r="G525" s="1"/>
      <c r="H525" s="1"/>
      <c r="I525" s="55" t="s">
        <v>7</v>
      </c>
      <c r="J525" s="1"/>
      <c r="K525" s="1"/>
      <c r="L525" s="1"/>
      <c r="M525" s="55" t="s">
        <v>7</v>
      </c>
      <c r="N525" s="1"/>
      <c r="O525" s="1"/>
      <c r="P525" s="1"/>
      <c r="Q525" s="55" t="s">
        <v>7</v>
      </c>
      <c r="R525" s="55" t="s">
        <v>7</v>
      </c>
    </row>
    <row r="526" spans="1:20" ht="15.75" customHeight="1" x14ac:dyDescent="0.3">
      <c r="A526" s="71" t="s">
        <v>977</v>
      </c>
      <c r="B526" s="1"/>
      <c r="C526" s="1"/>
      <c r="D526" s="1"/>
      <c r="E526" s="55">
        <f t="shared" ref="E526:E527" si="207">SUM(B526:D526)</f>
        <v>0</v>
      </c>
      <c r="F526" s="1"/>
      <c r="G526" s="1"/>
      <c r="H526" s="1"/>
      <c r="I526" s="55">
        <f t="shared" ref="I526:I527" si="208">SUM(F526:H526)</f>
        <v>0</v>
      </c>
      <c r="J526" s="1"/>
      <c r="K526" s="1"/>
      <c r="L526" s="1"/>
      <c r="M526" s="55">
        <f t="shared" ref="M526:M527" si="209">SUM(J526:L526)</f>
        <v>0</v>
      </c>
      <c r="N526" s="1"/>
      <c r="O526" s="1"/>
      <c r="P526" s="1"/>
      <c r="Q526" s="55">
        <f t="shared" ref="Q526:Q527" si="210">SUM(N526:P526)</f>
        <v>0</v>
      </c>
      <c r="R526" s="55">
        <f t="shared" ref="R526:R531" si="211">+E526+I526+M526+Q526</f>
        <v>0</v>
      </c>
      <c r="T526" s="4" t="s">
        <v>938</v>
      </c>
    </row>
    <row r="527" spans="1:20" ht="15.75" customHeight="1" thickBot="1" x14ac:dyDescent="0.35">
      <c r="A527" s="71" t="s">
        <v>983</v>
      </c>
      <c r="B527" s="1"/>
      <c r="C527" s="1"/>
      <c r="D527" s="1"/>
      <c r="E527" s="55">
        <f t="shared" si="207"/>
        <v>0</v>
      </c>
      <c r="F527" s="1"/>
      <c r="G527" s="1"/>
      <c r="H527" s="1"/>
      <c r="I527" s="55">
        <f t="shared" si="208"/>
        <v>0</v>
      </c>
      <c r="J527" s="1"/>
      <c r="K527" s="1"/>
      <c r="L527" s="1"/>
      <c r="M527" s="55">
        <f t="shared" si="209"/>
        <v>0</v>
      </c>
      <c r="N527" s="1"/>
      <c r="O527" s="1"/>
      <c r="P527" s="1"/>
      <c r="Q527" s="55">
        <f t="shared" si="210"/>
        <v>0</v>
      </c>
      <c r="R527" s="55">
        <f t="shared" si="211"/>
        <v>0</v>
      </c>
      <c r="S527" s="4" t="s">
        <v>1264</v>
      </c>
      <c r="T527" s="4" t="s">
        <v>938</v>
      </c>
    </row>
    <row r="528" spans="1:20" ht="16.5" customHeight="1" thickBot="1" x14ac:dyDescent="0.35">
      <c r="A528" s="57" t="s">
        <v>71</v>
      </c>
      <c r="B528" s="58">
        <f>SUM(B524:B527)</f>
        <v>0</v>
      </c>
      <c r="C528" s="58">
        <f>SUM(C524:C527)</f>
        <v>0</v>
      </c>
      <c r="D528" s="58">
        <f>SUM(D524:D527)</f>
        <v>0</v>
      </c>
      <c r="E528" s="60">
        <f t="shared" ref="E528:E531" si="212">SUM(B528:D528)</f>
        <v>0</v>
      </c>
      <c r="F528" s="58">
        <f>SUM(F524:F527)</f>
        <v>0</v>
      </c>
      <c r="G528" s="58">
        <f>SUM(G524:G527)</f>
        <v>0</v>
      </c>
      <c r="H528" s="58">
        <f>SUM(H524:H527)</f>
        <v>0</v>
      </c>
      <c r="I528" s="60">
        <f t="shared" ref="I528:I531" si="213">SUM(F528:H528)</f>
        <v>0</v>
      </c>
      <c r="J528" s="58">
        <f>SUM(J524:J527)</f>
        <v>0</v>
      </c>
      <c r="K528" s="58">
        <f>SUM(K524:K527)</f>
        <v>0</v>
      </c>
      <c r="L528" s="58">
        <f>SUM(L524:L527)</f>
        <v>0</v>
      </c>
      <c r="M528" s="60">
        <f t="shared" ref="M528:M531" si="214">SUM(J528:L528)</f>
        <v>0</v>
      </c>
      <c r="N528" s="58">
        <f>SUM(N524:N527)</f>
        <v>0</v>
      </c>
      <c r="O528" s="58">
        <f>SUM(O524:O527)</f>
        <v>0</v>
      </c>
      <c r="P528" s="58">
        <f>SUM(P524:P527)</f>
        <v>0</v>
      </c>
      <c r="Q528" s="60">
        <f t="shared" ref="Q528:Q531" si="215">SUM(N528:P528)</f>
        <v>0</v>
      </c>
      <c r="R528" s="59">
        <f t="shared" si="211"/>
        <v>0</v>
      </c>
    </row>
    <row r="529" spans="1:20" ht="16.5" customHeight="1" thickBot="1" x14ac:dyDescent="0.35">
      <c r="A529" s="114" t="s">
        <v>72</v>
      </c>
      <c r="B529" s="86">
        <f>SUM(B521:B527)</f>
        <v>0</v>
      </c>
      <c r="C529" s="87">
        <f>SUM(C521:C527)</f>
        <v>0</v>
      </c>
      <c r="D529" s="118">
        <f>SUM(D521:D527)</f>
        <v>0</v>
      </c>
      <c r="E529" s="60">
        <f t="shared" si="212"/>
        <v>0</v>
      </c>
      <c r="F529" s="87">
        <f>SUM(F521:F527)</f>
        <v>0</v>
      </c>
      <c r="G529" s="87">
        <f>SUM(G521:G527)</f>
        <v>0</v>
      </c>
      <c r="H529" s="87">
        <f>SUM(H521:H527)</f>
        <v>0</v>
      </c>
      <c r="I529" s="60">
        <f t="shared" si="213"/>
        <v>0</v>
      </c>
      <c r="J529" s="87">
        <f>SUM(J521:J527)</f>
        <v>0</v>
      </c>
      <c r="K529" s="87">
        <f>SUM(K521:K527)</f>
        <v>0</v>
      </c>
      <c r="L529" s="87">
        <f>SUM(L521:L527)</f>
        <v>0</v>
      </c>
      <c r="M529" s="60">
        <f t="shared" si="214"/>
        <v>0</v>
      </c>
      <c r="N529" s="87">
        <f>SUM(N521:N527)</f>
        <v>0</v>
      </c>
      <c r="O529" s="87">
        <f>SUM(O521:O527)</f>
        <v>0</v>
      </c>
      <c r="P529" s="87">
        <f>SUM(P521:P527)</f>
        <v>0</v>
      </c>
      <c r="Q529" s="60">
        <f t="shared" si="215"/>
        <v>0</v>
      </c>
      <c r="R529" s="59">
        <f t="shared" si="211"/>
        <v>0</v>
      </c>
    </row>
    <row r="530" spans="1:20" ht="16.5" customHeight="1" thickBot="1" x14ac:dyDescent="0.35">
      <c r="A530" s="57" t="s">
        <v>73</v>
      </c>
      <c r="B530" s="90">
        <f>+B509+B514+B520+B529</f>
        <v>35</v>
      </c>
      <c r="C530" s="58">
        <f>+C509+C514+C520+C529</f>
        <v>104</v>
      </c>
      <c r="D530" s="58">
        <f>+D509+D514+D520+D529</f>
        <v>5035</v>
      </c>
      <c r="E530" s="59">
        <f t="shared" si="212"/>
        <v>5174</v>
      </c>
      <c r="F530" s="58">
        <f>+F509+F514+F520+F529</f>
        <v>11205</v>
      </c>
      <c r="G530" s="58">
        <f>+G509+G514+G520+G529</f>
        <v>9644</v>
      </c>
      <c r="H530" s="58">
        <f>+H509+H514+H520+H529</f>
        <v>15874</v>
      </c>
      <c r="I530" s="59">
        <f t="shared" si="213"/>
        <v>36723</v>
      </c>
      <c r="J530" s="58">
        <f>+J509+J514+J520+J529</f>
        <v>18514</v>
      </c>
      <c r="K530" s="58">
        <f>+K509+K514+K520+K529</f>
        <v>16412</v>
      </c>
      <c r="L530" s="58">
        <f>+L509+L514+L520+L529</f>
        <v>8122</v>
      </c>
      <c r="M530" s="59">
        <f t="shared" si="214"/>
        <v>43048</v>
      </c>
      <c r="N530" s="58">
        <f>+N509+N514+N520+N529</f>
        <v>848</v>
      </c>
      <c r="O530" s="58">
        <f>+O509+O514+O520+O529</f>
        <v>22</v>
      </c>
      <c r="P530" s="58">
        <f>+P509+P514+P520+P529</f>
        <v>277</v>
      </c>
      <c r="Q530" s="59">
        <f t="shared" si="215"/>
        <v>1147</v>
      </c>
      <c r="R530" s="81">
        <f>+E530+I530+M530+Q530</f>
        <v>86092</v>
      </c>
    </row>
    <row r="531" spans="1:20" ht="16.5" customHeight="1" thickBot="1" x14ac:dyDescent="0.35">
      <c r="A531" s="39" t="s">
        <v>40</v>
      </c>
      <c r="B531" s="21">
        <v>9</v>
      </c>
      <c r="C531" s="21">
        <v>16</v>
      </c>
      <c r="D531" s="21">
        <v>25</v>
      </c>
      <c r="E531" s="55">
        <f t="shared" si="212"/>
        <v>50</v>
      </c>
      <c r="F531" s="21">
        <v>34</v>
      </c>
      <c r="G531" s="21">
        <v>41</v>
      </c>
      <c r="H531" s="21">
        <v>41</v>
      </c>
      <c r="I531" s="55">
        <f t="shared" si="213"/>
        <v>116</v>
      </c>
      <c r="J531" s="21">
        <v>39</v>
      </c>
      <c r="K531" s="21">
        <v>30</v>
      </c>
      <c r="L531" s="21">
        <v>30</v>
      </c>
      <c r="M531" s="55">
        <f t="shared" si="214"/>
        <v>99</v>
      </c>
      <c r="N531" s="21">
        <v>28</v>
      </c>
      <c r="O531" s="21">
        <v>22</v>
      </c>
      <c r="P531" s="21">
        <v>16</v>
      </c>
      <c r="Q531" s="55">
        <f t="shared" si="215"/>
        <v>66</v>
      </c>
      <c r="R531" s="55">
        <f t="shared" si="211"/>
        <v>331</v>
      </c>
    </row>
    <row r="532" spans="1:20" ht="16.5" customHeight="1" thickBot="1" x14ac:dyDescent="0.35">
      <c r="A532" s="74"/>
      <c r="B532" s="75"/>
      <c r="C532" s="75"/>
      <c r="D532" s="75"/>
      <c r="E532" s="59"/>
      <c r="F532" s="75"/>
      <c r="G532" s="75"/>
      <c r="H532" s="75"/>
      <c r="I532" s="59"/>
      <c r="J532" s="75"/>
      <c r="K532" s="75"/>
      <c r="L532" s="75"/>
      <c r="M532" s="59"/>
      <c r="N532" s="75"/>
      <c r="O532" s="75"/>
      <c r="P532" s="75"/>
      <c r="Q532" s="59"/>
      <c r="R532" s="59" t="s">
        <v>7</v>
      </c>
    </row>
    <row r="533" spans="1:20" ht="15.75" customHeight="1" x14ac:dyDescent="0.3">
      <c r="A533" s="76" t="s">
        <v>41</v>
      </c>
      <c r="B533" s="77">
        <f>SUM(B530:B531)</f>
        <v>44</v>
      </c>
      <c r="C533" s="77">
        <f>SUM(C530:C531)</f>
        <v>120</v>
      </c>
      <c r="D533" s="77">
        <f>SUM(D530:D531)</f>
        <v>5060</v>
      </c>
      <c r="E533" s="60">
        <f>SUM(B533:D533)</f>
        <v>5224</v>
      </c>
      <c r="F533" s="77">
        <f>SUM(F530:F531)</f>
        <v>11239</v>
      </c>
      <c r="G533" s="77">
        <f>SUM(G530:G531)</f>
        <v>9685</v>
      </c>
      <c r="H533" s="77">
        <f>SUM(H530:H531)</f>
        <v>15915</v>
      </c>
      <c r="I533" s="60">
        <f>SUM(F533:H533)</f>
        <v>36839</v>
      </c>
      <c r="J533" s="77">
        <f>SUM(J530:J531)</f>
        <v>18553</v>
      </c>
      <c r="K533" s="77">
        <f>SUM(K530:K531)</f>
        <v>16442</v>
      </c>
      <c r="L533" s="77">
        <f>SUM(L530:L531)</f>
        <v>8152</v>
      </c>
      <c r="M533" s="60">
        <f>SUM(J533:L533)</f>
        <v>43147</v>
      </c>
      <c r="N533" s="77">
        <f>SUM(N530:N531)</f>
        <v>876</v>
      </c>
      <c r="O533" s="77">
        <f>SUM(O530:O531)</f>
        <v>44</v>
      </c>
      <c r="P533" s="77">
        <f>SUM(P530:P531)</f>
        <v>293</v>
      </c>
      <c r="Q533" s="60">
        <f>SUM(N533:P533)</f>
        <v>1213</v>
      </c>
      <c r="R533" s="60">
        <f>+E533+I533+M533+Q533</f>
        <v>86423</v>
      </c>
    </row>
    <row r="534" spans="1:20" ht="15.75" customHeight="1" x14ac:dyDescent="0.3">
      <c r="A534" s="79" t="s">
        <v>42</v>
      </c>
      <c r="B534" s="1">
        <f>(B533/B10)/1.983</f>
        <v>0.71576139117986759</v>
      </c>
      <c r="C534" s="1">
        <f>(C533/C10)/1.983</f>
        <v>2.1612275772638858</v>
      </c>
      <c r="D534" s="1">
        <f>(D533/D10)/1.983</f>
        <v>82.312559985684771</v>
      </c>
      <c r="E534" s="55" t="s">
        <v>7</v>
      </c>
      <c r="F534" s="1">
        <f>(F533/F10)/1.983</f>
        <v>188.9225079845352</v>
      </c>
      <c r="G534" s="1">
        <f>(G533/G10)/1.983</f>
        <v>157.54884258129584</v>
      </c>
      <c r="H534" s="1">
        <f>(H533/H10)/1.983</f>
        <v>267.52395360564799</v>
      </c>
      <c r="I534" s="55" t="s">
        <v>7</v>
      </c>
      <c r="J534" s="1">
        <f>(J533/J10)/1.983</f>
        <v>301.80729751272918</v>
      </c>
      <c r="K534" s="1">
        <f>(K533/K10)/1.983</f>
        <v>267.46701804044051</v>
      </c>
      <c r="L534" s="1">
        <f>(L533/L10)/1.983</f>
        <v>137.03143385442931</v>
      </c>
      <c r="M534" s="55" t="s">
        <v>7</v>
      </c>
      <c r="N534" s="1">
        <f>(N533/N10)/1.983</f>
        <v>14.250158606217363</v>
      </c>
      <c r="O534" s="1">
        <f>(O533/O10)/1.983</f>
        <v>0.73962010421919644</v>
      </c>
      <c r="P534" s="1">
        <f>(P533/P10)/1.983</f>
        <v>4.766320173084118</v>
      </c>
      <c r="Q534" s="55" t="s">
        <v>7</v>
      </c>
      <c r="R534" s="55" t="s">
        <v>7</v>
      </c>
    </row>
    <row r="535" spans="1:20" ht="15.75" customHeight="1" x14ac:dyDescent="0.3">
      <c r="A535" s="79" t="s">
        <v>303</v>
      </c>
      <c r="B535" s="1">
        <f>B533+B580</f>
        <v>13718</v>
      </c>
      <c r="C535" s="1">
        <f>C533+C580</f>
        <v>22143</v>
      </c>
      <c r="D535" s="1">
        <f>D533+D580</f>
        <v>33828</v>
      </c>
      <c r="E535" s="55">
        <f>SUM(B535:D535)</f>
        <v>69689</v>
      </c>
      <c r="F535" s="1">
        <f>F533+F580</f>
        <v>46114</v>
      </c>
      <c r="G535" s="1">
        <f>G533+G580</f>
        <v>41916</v>
      </c>
      <c r="H535" s="1">
        <f>H533+H580</f>
        <v>44920</v>
      </c>
      <c r="I535" s="55">
        <f>SUM(F535:H535)</f>
        <v>132950</v>
      </c>
      <c r="J535" s="1">
        <f>J533+J580</f>
        <v>48670</v>
      </c>
      <c r="K535" s="1">
        <f>K533+K580</f>
        <v>48950</v>
      </c>
      <c r="L535" s="1">
        <f>L533+L580</f>
        <v>35850</v>
      </c>
      <c r="M535" s="55">
        <f>SUM(J535:L535)</f>
        <v>133470</v>
      </c>
      <c r="N535" s="1">
        <f>N533+N580</f>
        <v>13498</v>
      </c>
      <c r="O535" s="1">
        <f>O533+O580</f>
        <v>5600</v>
      </c>
      <c r="P535" s="1">
        <f>P533+P580</f>
        <v>5609</v>
      </c>
      <c r="Q535" s="55">
        <f>SUM(N535:P535)</f>
        <v>24707</v>
      </c>
      <c r="R535" s="55">
        <f>+E535+I535+M535+Q535</f>
        <v>360816</v>
      </c>
    </row>
    <row r="536" spans="1:20" ht="16.5" customHeight="1" thickBot="1" x14ac:dyDescent="0.35">
      <c r="A536" s="80" t="s">
        <v>304</v>
      </c>
      <c r="B536" s="25">
        <f>(B535/B10)/1.983</f>
        <v>223.15488100466871</v>
      </c>
      <c r="C536" s="25">
        <f>(C535/C10)/1.983</f>
        <v>398.80051869461852</v>
      </c>
      <c r="D536" s="25">
        <f>(D535/D10)/1.983</f>
        <v>550.29037138255819</v>
      </c>
      <c r="E536" s="81" t="s">
        <v>7</v>
      </c>
      <c r="F536" s="25">
        <f>(F535/F10)/1.983</f>
        <v>775.1554883173643</v>
      </c>
      <c r="G536" s="25">
        <f>(G535/G10)/1.983</f>
        <v>681.86032892489391</v>
      </c>
      <c r="H536" s="25">
        <f>(H535/H10)/1.983</f>
        <v>755.0848882165069</v>
      </c>
      <c r="I536" s="81" t="s">
        <v>7</v>
      </c>
      <c r="J536" s="25">
        <f>(J535/J10)/1.983</f>
        <v>791.72970247100352</v>
      </c>
      <c r="K536" s="25">
        <f>(K535/K10)/1.983</f>
        <v>796.28454768760264</v>
      </c>
      <c r="L536" s="25">
        <f>(L535/L10)/1.983</f>
        <v>602.62228946041353</v>
      </c>
      <c r="M536" s="81" t="s">
        <v>7</v>
      </c>
      <c r="N536" s="25">
        <f>(N535/N10)/1.983</f>
        <v>219.57607404876939</v>
      </c>
      <c r="O536" s="25">
        <f>(O535/O10)/1.983</f>
        <v>94.13346780971591</v>
      </c>
      <c r="P536" s="25">
        <f>(P535/P10)/1.983</f>
        <v>91.243310071088118</v>
      </c>
      <c r="Q536" s="81" t="s">
        <v>7</v>
      </c>
      <c r="R536" s="81" t="s">
        <v>7</v>
      </c>
    </row>
    <row r="537" spans="1:20" ht="15.75" customHeight="1" x14ac:dyDescent="0.3">
      <c r="A537" s="2"/>
      <c r="B537" s="1"/>
      <c r="C537" s="1"/>
      <c r="D537" s="1"/>
      <c r="E537" s="1"/>
      <c r="F537" s="1"/>
      <c r="G537" s="1"/>
      <c r="H537" s="1"/>
      <c r="I537" s="1"/>
      <c r="J537" s="1"/>
      <c r="K537" s="1"/>
      <c r="L537" s="1"/>
      <c r="M537" s="1"/>
      <c r="N537" s="1"/>
      <c r="O537" s="1"/>
      <c r="P537" s="1"/>
      <c r="Q537" s="1"/>
      <c r="R537" s="2"/>
    </row>
    <row r="538" spans="1:20" ht="15.75" customHeight="1" thickBot="1" x14ac:dyDescent="0.35">
      <c r="A538" s="2"/>
      <c r="B538" s="1"/>
      <c r="C538" s="1"/>
      <c r="D538" s="1"/>
      <c r="E538" s="1"/>
      <c r="F538" s="1"/>
      <c r="G538" s="1"/>
      <c r="H538" s="1"/>
      <c r="I538" s="1"/>
      <c r="J538" s="1"/>
      <c r="K538" s="1"/>
      <c r="L538" s="1"/>
      <c r="M538" s="1"/>
      <c r="N538" s="1"/>
      <c r="O538" s="1"/>
      <c r="P538" s="1"/>
      <c r="Q538" s="1"/>
      <c r="R538" s="2"/>
    </row>
    <row r="539" spans="1:20" ht="16.5" customHeight="1" thickBot="1" x14ac:dyDescent="0.35">
      <c r="A539" s="124" t="s">
        <v>305</v>
      </c>
      <c r="B539" s="30" t="s">
        <v>8</v>
      </c>
      <c r="C539" s="31" t="s">
        <v>9</v>
      </c>
      <c r="D539" s="31" t="s">
        <v>10</v>
      </c>
      <c r="E539" s="32" t="s">
        <v>11</v>
      </c>
      <c r="F539" s="31" t="s">
        <v>12</v>
      </c>
      <c r="G539" s="31" t="s">
        <v>13</v>
      </c>
      <c r="H539" s="31" t="s">
        <v>14</v>
      </c>
      <c r="I539" s="33" t="s">
        <v>15</v>
      </c>
      <c r="J539" s="31" t="s">
        <v>16</v>
      </c>
      <c r="K539" s="31" t="s">
        <v>17</v>
      </c>
      <c r="L539" s="31" t="s">
        <v>18</v>
      </c>
      <c r="M539" s="33" t="s">
        <v>19</v>
      </c>
      <c r="N539" s="31" t="s">
        <v>20</v>
      </c>
      <c r="O539" s="31" t="s">
        <v>21</v>
      </c>
      <c r="P539" s="31" t="s">
        <v>22</v>
      </c>
      <c r="Q539" s="33" t="s">
        <v>23</v>
      </c>
      <c r="R539" s="34" t="s">
        <v>24</v>
      </c>
    </row>
    <row r="540" spans="1:20" ht="16.5" customHeight="1" thickBot="1" x14ac:dyDescent="0.35">
      <c r="A540" s="59"/>
      <c r="B540" s="75"/>
      <c r="C540" s="75"/>
      <c r="D540" s="75"/>
      <c r="E540" s="69"/>
      <c r="F540" s="75"/>
      <c r="G540" s="75"/>
      <c r="H540" s="75"/>
      <c r="I540" s="82"/>
      <c r="J540" s="75"/>
      <c r="K540" s="75"/>
      <c r="L540" s="75"/>
      <c r="M540" s="82"/>
      <c r="N540" s="75"/>
      <c r="O540" s="75"/>
      <c r="P540" s="75"/>
      <c r="Q540" s="82"/>
      <c r="R540" s="100"/>
    </row>
    <row r="541" spans="1:20" ht="15.75" customHeight="1" x14ac:dyDescent="0.3">
      <c r="A541" s="15" t="s">
        <v>48</v>
      </c>
      <c r="B541" s="1" t="s">
        <v>7</v>
      </c>
      <c r="C541" s="1" t="s">
        <v>7</v>
      </c>
      <c r="D541" s="1" t="s">
        <v>7</v>
      </c>
      <c r="E541" s="55" t="s">
        <v>7</v>
      </c>
      <c r="F541" s="1"/>
      <c r="G541" s="1"/>
      <c r="H541" s="1"/>
      <c r="I541" s="55" t="s">
        <v>7</v>
      </c>
      <c r="J541" s="1" t="s">
        <v>7</v>
      </c>
      <c r="K541" s="1" t="s">
        <v>7</v>
      </c>
      <c r="L541" s="1" t="s">
        <v>7</v>
      </c>
      <c r="M541" s="55" t="s">
        <v>7</v>
      </c>
      <c r="N541" s="1" t="s">
        <v>7</v>
      </c>
      <c r="O541" s="1" t="s">
        <v>7</v>
      </c>
      <c r="P541" s="1" t="s">
        <v>7</v>
      </c>
      <c r="Q541" s="55" t="s">
        <v>7</v>
      </c>
      <c r="R541" s="55" t="s">
        <v>7</v>
      </c>
    </row>
    <row r="542" spans="1:20" ht="15.75" customHeight="1" x14ac:dyDescent="0.3">
      <c r="A542" s="15" t="s">
        <v>49</v>
      </c>
      <c r="B542" s="1"/>
      <c r="C542" s="1"/>
      <c r="D542" s="1"/>
      <c r="E542" s="55" t="s">
        <v>7</v>
      </c>
      <c r="F542" s="1"/>
      <c r="G542" s="1"/>
      <c r="H542" s="1"/>
      <c r="I542" s="55" t="s">
        <v>7</v>
      </c>
      <c r="J542" s="1"/>
      <c r="K542" s="1"/>
      <c r="L542" s="1"/>
      <c r="M542" s="55" t="s">
        <v>7</v>
      </c>
      <c r="N542" s="1"/>
      <c r="O542" s="1"/>
      <c r="P542" s="1"/>
      <c r="Q542" s="55" t="s">
        <v>7</v>
      </c>
      <c r="R542" s="55" t="s">
        <v>7</v>
      </c>
    </row>
    <row r="543" spans="1:20" ht="15.75" customHeight="1" x14ac:dyDescent="0.3">
      <c r="A543" s="15" t="s">
        <v>984</v>
      </c>
      <c r="C543" s="1"/>
      <c r="D543" s="1"/>
      <c r="E543" s="55">
        <f>SUM(B543:D543)</f>
        <v>0</v>
      </c>
      <c r="F543" s="1"/>
      <c r="G543" s="1"/>
      <c r="H543" s="1"/>
      <c r="I543" s="55">
        <f>SUM(F543:H543)</f>
        <v>0</v>
      </c>
      <c r="J543" s="1"/>
      <c r="K543" s="1"/>
      <c r="L543" s="1"/>
      <c r="M543" s="55">
        <f>SUM(J543:L543)</f>
        <v>0</v>
      </c>
      <c r="N543" s="1"/>
      <c r="O543" s="1"/>
      <c r="P543" s="1"/>
      <c r="Q543" s="55">
        <f>SUM(N543:P543)</f>
        <v>0</v>
      </c>
      <c r="R543" s="55">
        <f>+E543+I543+M543+Q543</f>
        <v>0</v>
      </c>
      <c r="T543" s="4" t="s">
        <v>939</v>
      </c>
    </row>
    <row r="544" spans="1:20" ht="15.75" customHeight="1" x14ac:dyDescent="0.3">
      <c r="A544" s="71" t="s">
        <v>306</v>
      </c>
      <c r="B544" s="1"/>
      <c r="C544" s="1">
        <v>424</v>
      </c>
      <c r="D544" s="1"/>
      <c r="E544" s="55">
        <f>SUM(B544:D544)</f>
        <v>424</v>
      </c>
      <c r="F544" s="1"/>
      <c r="G544" s="1"/>
      <c r="H544" s="1"/>
      <c r="I544" s="55">
        <f>SUM(F544:H544)</f>
        <v>0</v>
      </c>
      <c r="J544" s="1">
        <v>440</v>
      </c>
      <c r="K544" s="1">
        <v>636</v>
      </c>
      <c r="L544" s="1"/>
      <c r="M544" s="55">
        <f>SUM(J544:L544)</f>
        <v>1076</v>
      </c>
      <c r="N544" s="1"/>
      <c r="O544" s="1"/>
      <c r="P544" s="1"/>
      <c r="Q544" s="55">
        <f>SUM(N544:P544)</f>
        <v>0</v>
      </c>
      <c r="R544" s="55">
        <f>+E544+I544+M544+Q544</f>
        <v>1500</v>
      </c>
    </row>
    <row r="545" spans="1:20" ht="15.75" customHeight="1" x14ac:dyDescent="0.3">
      <c r="A545" s="71" t="s">
        <v>656</v>
      </c>
      <c r="B545" s="1">
        <v>19</v>
      </c>
      <c r="C545" s="1"/>
      <c r="D545" s="1">
        <v>3</v>
      </c>
      <c r="E545" s="55">
        <f>SUM(B545:D545)</f>
        <v>22</v>
      </c>
      <c r="F545" s="1">
        <v>473</v>
      </c>
      <c r="G545" s="1">
        <v>1500</v>
      </c>
      <c r="H545" s="1">
        <v>857</v>
      </c>
      <c r="I545" s="55">
        <f>SUM(F545:H545)</f>
        <v>2830</v>
      </c>
      <c r="J545" s="1">
        <v>1148</v>
      </c>
      <c r="K545" s="1"/>
      <c r="L545" s="1"/>
      <c r="M545" s="55">
        <f>SUM(J545:L545)</f>
        <v>1148</v>
      </c>
      <c r="N545" s="1"/>
      <c r="O545" s="1"/>
      <c r="P545" s="1"/>
      <c r="Q545" s="55">
        <f>SUM(N545:P545)</f>
        <v>0</v>
      </c>
      <c r="R545" s="55">
        <f>+E545+I545+M545+Q545</f>
        <v>4000</v>
      </c>
    </row>
    <row r="546" spans="1:20" ht="15.75" customHeight="1" x14ac:dyDescent="0.3">
      <c r="A546" s="71" t="s">
        <v>1227</v>
      </c>
      <c r="B546" s="1"/>
      <c r="C546" s="1"/>
      <c r="D546" s="1"/>
      <c r="E546" s="55">
        <f>SUM(B546:D546)</f>
        <v>0</v>
      </c>
      <c r="F546" s="1"/>
      <c r="G546" s="1"/>
      <c r="H546" s="1"/>
      <c r="I546" s="55">
        <f>SUM(F546:H546)</f>
        <v>0</v>
      </c>
      <c r="J546" s="1"/>
      <c r="K546" s="1"/>
      <c r="L546" s="1"/>
      <c r="M546" s="55">
        <f>SUM(J546:L546)</f>
        <v>0</v>
      </c>
      <c r="N546" s="1"/>
      <c r="O546" s="1"/>
      <c r="P546" s="1"/>
      <c r="Q546" s="55">
        <f>SUM(N546:P546)</f>
        <v>0</v>
      </c>
      <c r="R546" s="55">
        <f>+E546+I546+M546+Q546</f>
        <v>0</v>
      </c>
    </row>
    <row r="547" spans="1:20" ht="15.75" customHeight="1" x14ac:dyDescent="0.3">
      <c r="A547" s="71" t="s">
        <v>657</v>
      </c>
      <c r="B547" s="1"/>
      <c r="C547" s="1"/>
      <c r="D547" s="1"/>
      <c r="E547" s="55">
        <f>SUM(B547:D547)</f>
        <v>0</v>
      </c>
      <c r="F547" s="1"/>
      <c r="G547" s="1"/>
      <c r="H547" s="1"/>
      <c r="I547" s="55">
        <f>SUM(F547:H547)</f>
        <v>0</v>
      </c>
      <c r="J547" s="1"/>
      <c r="K547" s="1">
        <v>700</v>
      </c>
      <c r="L547" s="1"/>
      <c r="M547" s="55">
        <f>SUM(J547:L547)</f>
        <v>700</v>
      </c>
      <c r="N547" s="1"/>
      <c r="O547" s="1"/>
      <c r="P547" s="1"/>
      <c r="Q547" s="55">
        <f>SUM(N547:P547)</f>
        <v>0</v>
      </c>
      <c r="R547" s="55">
        <f>+E547+I547+M547+Q547</f>
        <v>700</v>
      </c>
    </row>
    <row r="548" spans="1:20" ht="15.75" customHeight="1" x14ac:dyDescent="0.3">
      <c r="A548" s="15" t="s">
        <v>50</v>
      </c>
      <c r="B548" s="1"/>
      <c r="C548" s="1"/>
      <c r="D548" s="1"/>
      <c r="E548" s="55" t="s">
        <v>7</v>
      </c>
      <c r="F548" s="1"/>
      <c r="G548" s="1"/>
      <c r="H548" s="1"/>
      <c r="I548" s="55" t="s">
        <v>7</v>
      </c>
      <c r="J548" s="1"/>
      <c r="K548" s="1"/>
      <c r="L548" s="1"/>
      <c r="M548" s="55" t="s">
        <v>7</v>
      </c>
      <c r="N548" s="1"/>
      <c r="O548" s="1"/>
      <c r="P548" s="1"/>
      <c r="Q548" s="55" t="s">
        <v>7</v>
      </c>
      <c r="R548" s="55" t="s">
        <v>7</v>
      </c>
    </row>
    <row r="549" spans="1:20" ht="15.75" customHeight="1" x14ac:dyDescent="0.3">
      <c r="A549" s="15" t="s">
        <v>1186</v>
      </c>
      <c r="B549" s="1"/>
      <c r="C549" s="1"/>
      <c r="D549" s="1"/>
      <c r="E549" s="55" t="s">
        <v>7</v>
      </c>
      <c r="F549" s="1"/>
      <c r="G549" s="1"/>
      <c r="H549" s="1"/>
      <c r="I549" s="55" t="s">
        <v>7</v>
      </c>
      <c r="J549" s="1"/>
      <c r="K549" s="1"/>
      <c r="L549" s="1"/>
      <c r="M549" s="55" t="s">
        <v>7</v>
      </c>
      <c r="N549" s="1"/>
      <c r="O549" s="1"/>
      <c r="P549" s="1"/>
      <c r="Q549" s="55" t="s">
        <v>7</v>
      </c>
      <c r="R549" s="55" t="s">
        <v>7</v>
      </c>
    </row>
    <row r="550" spans="1:20" ht="15.75" customHeight="1" thickBot="1" x14ac:dyDescent="0.35">
      <c r="A550" s="15" t="s">
        <v>53</v>
      </c>
      <c r="B550" s="1"/>
      <c r="C550" s="1"/>
      <c r="D550" s="1"/>
      <c r="E550" s="55" t="s">
        <v>7</v>
      </c>
      <c r="F550" s="1"/>
      <c r="G550" s="1"/>
      <c r="H550" s="1"/>
      <c r="I550" s="55" t="s">
        <v>7</v>
      </c>
      <c r="J550" s="1"/>
      <c r="K550" s="1"/>
      <c r="L550" s="1"/>
      <c r="M550" s="55" t="s">
        <v>7</v>
      </c>
      <c r="N550" s="1"/>
      <c r="O550" s="1"/>
      <c r="P550" s="1"/>
      <c r="Q550" s="55" t="s">
        <v>7</v>
      </c>
      <c r="R550" s="55" t="s">
        <v>7</v>
      </c>
    </row>
    <row r="551" spans="1:20" ht="16.5" customHeight="1" thickBot="1" x14ac:dyDescent="0.35">
      <c r="A551" s="109" t="s">
        <v>54</v>
      </c>
      <c r="B551" s="86">
        <f>SUM(B541:B550)</f>
        <v>19</v>
      </c>
      <c r="C551" s="87">
        <f>SUM(C541:C550)</f>
        <v>424</v>
      </c>
      <c r="D551" s="87">
        <f>SUM(D541:D550)</f>
        <v>3</v>
      </c>
      <c r="E551" s="59">
        <f>SUM(B551:D551)</f>
        <v>446</v>
      </c>
      <c r="F551" s="87">
        <f>SUM(F541:F550)</f>
        <v>473</v>
      </c>
      <c r="G551" s="87">
        <f>SUM(G541:G550)</f>
        <v>1500</v>
      </c>
      <c r="H551" s="87">
        <f>SUM(H541:H550)</f>
        <v>857</v>
      </c>
      <c r="I551" s="59">
        <f>SUM(F551:H551)</f>
        <v>2830</v>
      </c>
      <c r="J551" s="87">
        <f>SUM(J541:J550)</f>
        <v>1588</v>
      </c>
      <c r="K551" s="87">
        <f>SUM(K541:K550)</f>
        <v>1336</v>
      </c>
      <c r="L551" s="87">
        <f>SUM(L541:L550)</f>
        <v>0</v>
      </c>
      <c r="M551" s="59">
        <f>SUM(J551:L551)</f>
        <v>2924</v>
      </c>
      <c r="N551" s="87">
        <f>SUM(N541:N550)</f>
        <v>0</v>
      </c>
      <c r="O551" s="87">
        <f>SUM(O541:O550)</f>
        <v>0</v>
      </c>
      <c r="P551" s="87">
        <f>SUM(P541:P550)</f>
        <v>0</v>
      </c>
      <c r="Q551" s="59">
        <f>SUM(N551:P551)</f>
        <v>0</v>
      </c>
      <c r="R551" s="59">
        <f>+E551+I551+M551+Q551</f>
        <v>6200</v>
      </c>
    </row>
    <row r="552" spans="1:20" ht="15.75" customHeight="1" x14ac:dyDescent="0.3">
      <c r="A552" s="15" t="s">
        <v>55</v>
      </c>
      <c r="B552" s="1"/>
      <c r="C552" s="1"/>
      <c r="D552" s="1"/>
      <c r="E552" s="60" t="s">
        <v>7</v>
      </c>
      <c r="F552" s="1"/>
      <c r="G552" s="1"/>
      <c r="H552" s="1"/>
      <c r="I552" s="60" t="s">
        <v>7</v>
      </c>
      <c r="J552" s="1"/>
      <c r="K552" s="1"/>
      <c r="L552" s="1"/>
      <c r="M552" s="60" t="s">
        <v>7</v>
      </c>
      <c r="N552" s="1"/>
      <c r="O552" s="1"/>
      <c r="P552" s="1"/>
      <c r="Q552" s="60" t="s">
        <v>7</v>
      </c>
      <c r="R552" s="125" t="s">
        <v>7</v>
      </c>
    </row>
    <row r="553" spans="1:20" ht="15.75" customHeight="1" x14ac:dyDescent="0.3">
      <c r="A553" s="15" t="s">
        <v>57</v>
      </c>
      <c r="B553" s="1"/>
      <c r="C553" s="1"/>
      <c r="D553" s="1"/>
      <c r="E553" s="55" t="s">
        <v>7</v>
      </c>
      <c r="F553" s="1"/>
      <c r="G553" s="1"/>
      <c r="H553" s="1"/>
      <c r="I553" s="55" t="s">
        <v>7</v>
      </c>
      <c r="J553" s="1"/>
      <c r="K553" s="1"/>
      <c r="L553" s="1"/>
      <c r="M553" s="55" t="s">
        <v>7</v>
      </c>
      <c r="N553" s="1"/>
      <c r="O553" s="1"/>
      <c r="P553" s="1"/>
      <c r="Q553" s="55" t="s">
        <v>7</v>
      </c>
      <c r="R553" s="125" t="s">
        <v>7</v>
      </c>
    </row>
    <row r="554" spans="1:20" ht="15.75" customHeight="1" x14ac:dyDescent="0.3">
      <c r="A554" s="71" t="s">
        <v>569</v>
      </c>
      <c r="B554" s="1">
        <v>7</v>
      </c>
      <c r="C554" s="1">
        <v>235</v>
      </c>
      <c r="D554" s="1">
        <v>1985</v>
      </c>
      <c r="E554" s="55">
        <f>SUM(B554:D554)</f>
        <v>2227</v>
      </c>
      <c r="F554" s="1">
        <v>5249</v>
      </c>
      <c r="G554" s="1">
        <v>3919</v>
      </c>
      <c r="H554" s="1">
        <v>5023</v>
      </c>
      <c r="I554" s="55">
        <f>SUM(F554:H554)</f>
        <v>14191</v>
      </c>
      <c r="J554" s="1">
        <v>5649</v>
      </c>
      <c r="K554" s="1">
        <v>2690</v>
      </c>
      <c r="L554" s="1">
        <v>2591</v>
      </c>
      <c r="M554" s="55">
        <f>SUM(J554:L554)</f>
        <v>10930</v>
      </c>
      <c r="N554" s="1">
        <v>68</v>
      </c>
      <c r="O554" s="1"/>
      <c r="P554" s="1"/>
      <c r="Q554" s="55">
        <f>SUM(N554:P554)</f>
        <v>68</v>
      </c>
      <c r="R554" s="55">
        <f>+E554+I554+M554+Q554</f>
        <v>27416</v>
      </c>
      <c r="S554" s="4">
        <f>+SUM(R554,R512,R386)</f>
        <v>85426</v>
      </c>
      <c r="T554" s="4" t="s">
        <v>985</v>
      </c>
    </row>
    <row r="555" spans="1:20" ht="15.75" customHeight="1" x14ac:dyDescent="0.3">
      <c r="A555" s="71" t="s">
        <v>309</v>
      </c>
      <c r="B555" s="1"/>
      <c r="C555" s="1"/>
      <c r="D555" s="1"/>
      <c r="E555" s="55">
        <f>SUM(B555:D555)</f>
        <v>0</v>
      </c>
      <c r="F555" s="1"/>
      <c r="G555" s="1"/>
      <c r="H555" s="1"/>
      <c r="I555" s="55">
        <f>SUM(F555:H555)</f>
        <v>0</v>
      </c>
      <c r="J555" s="1"/>
      <c r="K555" s="1"/>
      <c r="L555" s="1"/>
      <c r="M555" s="55">
        <f>SUM(J555:L555)</f>
        <v>0</v>
      </c>
      <c r="N555" s="1"/>
      <c r="O555" s="1"/>
      <c r="P555" s="1"/>
      <c r="Q555" s="55">
        <f>SUM(N555:P555)</f>
        <v>0</v>
      </c>
      <c r="R555" s="55">
        <f>+E555+I555+M555+Q555</f>
        <v>0</v>
      </c>
    </row>
    <row r="556" spans="1:20" ht="15.75" customHeight="1" thickBot="1" x14ac:dyDescent="0.35">
      <c r="A556" s="15" t="s">
        <v>58</v>
      </c>
      <c r="B556" s="1"/>
      <c r="C556" s="1"/>
      <c r="D556" s="1"/>
      <c r="E556" s="55" t="s">
        <v>7</v>
      </c>
      <c r="F556" s="1"/>
      <c r="G556" s="1"/>
      <c r="H556" s="1"/>
      <c r="I556" s="55" t="s">
        <v>7</v>
      </c>
      <c r="J556" s="1"/>
      <c r="K556" s="1"/>
      <c r="L556" s="1"/>
      <c r="M556" s="55" t="s">
        <v>7</v>
      </c>
      <c r="N556" s="1"/>
      <c r="O556" s="1"/>
      <c r="P556" s="1"/>
      <c r="Q556" s="55" t="s">
        <v>7</v>
      </c>
      <c r="R556" s="125" t="s">
        <v>7</v>
      </c>
    </row>
    <row r="557" spans="1:20" ht="16.5" customHeight="1" thickBot="1" x14ac:dyDescent="0.35">
      <c r="A557" s="57" t="s">
        <v>59</v>
      </c>
      <c r="B557" s="86">
        <f>SUM(B552:B556)</f>
        <v>7</v>
      </c>
      <c r="C557" s="87">
        <f>SUM(C552:C556)</f>
        <v>235</v>
      </c>
      <c r="D557" s="87">
        <f>SUM(D552:D556)</f>
        <v>1985</v>
      </c>
      <c r="E557" s="59">
        <f>SUM(B557:D557)</f>
        <v>2227</v>
      </c>
      <c r="F557" s="87">
        <f>SUM(F552:F556)</f>
        <v>5249</v>
      </c>
      <c r="G557" s="87">
        <f>SUM(G552:G556)</f>
        <v>3919</v>
      </c>
      <c r="H557" s="87">
        <f>SUM(H552:H556)</f>
        <v>5023</v>
      </c>
      <c r="I557" s="59">
        <f>SUM(F557:H557)</f>
        <v>14191</v>
      </c>
      <c r="J557" s="87">
        <f>SUM(J552:J556)</f>
        <v>5649</v>
      </c>
      <c r="K557" s="87">
        <f>SUM(K552:K556)</f>
        <v>2690</v>
      </c>
      <c r="L557" s="87">
        <f>SUM(L552:L556)</f>
        <v>2591</v>
      </c>
      <c r="M557" s="59">
        <f>SUM(J557:L557)</f>
        <v>10930</v>
      </c>
      <c r="N557" s="87">
        <f>SUM(N552:N556)</f>
        <v>68</v>
      </c>
      <c r="O557" s="87">
        <f>SUM(O552:O556)</f>
        <v>0</v>
      </c>
      <c r="P557" s="87">
        <f>SUM(P552:P556)</f>
        <v>0</v>
      </c>
      <c r="Q557" s="59">
        <f>SUM(N557:P557)</f>
        <v>68</v>
      </c>
      <c r="R557" s="59">
        <f>+E557+I557+M557+Q557</f>
        <v>27416</v>
      </c>
    </row>
    <row r="558" spans="1:20" ht="15.75" customHeight="1" x14ac:dyDescent="0.3">
      <c r="A558" s="15" t="s">
        <v>60</v>
      </c>
      <c r="B558" s="1"/>
      <c r="C558" s="1"/>
      <c r="D558" s="1"/>
      <c r="E558" s="55" t="s">
        <v>7</v>
      </c>
      <c r="F558" s="1"/>
      <c r="G558" s="1"/>
      <c r="H558" s="1"/>
      <c r="I558" s="55" t="s">
        <v>7</v>
      </c>
      <c r="J558" s="1"/>
      <c r="K558" s="1"/>
      <c r="L558" s="1"/>
      <c r="M558" s="55" t="s">
        <v>7</v>
      </c>
      <c r="N558" s="1"/>
      <c r="O558" s="1"/>
      <c r="P558" s="1"/>
      <c r="Q558" s="55" t="s">
        <v>7</v>
      </c>
      <c r="R558" s="55" t="s">
        <v>7</v>
      </c>
    </row>
    <row r="559" spans="1:20" ht="15.75" customHeight="1" x14ac:dyDescent="0.3">
      <c r="A559" s="15" t="s">
        <v>61</v>
      </c>
      <c r="B559" s="1"/>
      <c r="C559" s="1"/>
      <c r="D559" s="1"/>
      <c r="E559" s="55" t="s">
        <v>7</v>
      </c>
      <c r="F559" s="1"/>
      <c r="G559" s="1"/>
      <c r="H559" s="1"/>
      <c r="I559" s="55" t="s">
        <v>7</v>
      </c>
      <c r="J559" s="1"/>
      <c r="K559" s="1"/>
      <c r="L559" s="1"/>
      <c r="M559" s="55" t="s">
        <v>7</v>
      </c>
      <c r="N559" s="1"/>
      <c r="O559" s="1"/>
      <c r="P559" s="1"/>
      <c r="Q559" s="55" t="s">
        <v>7</v>
      </c>
      <c r="R559" s="55" t="s">
        <v>7</v>
      </c>
    </row>
    <row r="560" spans="1:20" ht="15.75" customHeight="1" x14ac:dyDescent="0.3">
      <c r="A560" s="15" t="s">
        <v>62</v>
      </c>
      <c r="B560" s="1"/>
      <c r="C560" s="1"/>
      <c r="D560" s="1"/>
      <c r="E560" s="55" t="s">
        <v>7</v>
      </c>
      <c r="F560" s="1"/>
      <c r="G560" s="1"/>
      <c r="H560" s="1"/>
      <c r="I560" s="55" t="s">
        <v>7</v>
      </c>
      <c r="J560" s="1"/>
      <c r="K560" s="1"/>
      <c r="L560" s="1"/>
      <c r="M560" s="55" t="s">
        <v>7</v>
      </c>
      <c r="N560" s="1"/>
      <c r="O560" s="1"/>
      <c r="P560" s="1"/>
      <c r="Q560" s="55" t="s">
        <v>7</v>
      </c>
      <c r="R560" s="55" t="s">
        <v>7</v>
      </c>
    </row>
    <row r="561" spans="1:20" ht="15.75" customHeight="1" thickBot="1" x14ac:dyDescent="0.35">
      <c r="A561" s="359" t="s">
        <v>982</v>
      </c>
      <c r="B561" s="1"/>
      <c r="C561" s="1"/>
      <c r="D561" s="1"/>
      <c r="E561" s="55">
        <f>SUM(B561:D561)</f>
        <v>0</v>
      </c>
      <c r="F561" s="1"/>
      <c r="G561" s="1"/>
      <c r="H561" s="1"/>
      <c r="I561" s="55">
        <f>SUM(F561:H561)</f>
        <v>0</v>
      </c>
      <c r="J561" s="1"/>
      <c r="K561" s="1"/>
      <c r="L561" s="1"/>
      <c r="M561" s="55">
        <f>SUM(J561:L561)</f>
        <v>0</v>
      </c>
      <c r="N561" s="1"/>
      <c r="O561" s="1">
        <v>307</v>
      </c>
      <c r="P561" s="1"/>
      <c r="Q561" s="55">
        <f>SUM(N561:P561)</f>
        <v>307</v>
      </c>
      <c r="R561" s="55">
        <f>+E561+I561+M561+Q561</f>
        <v>307</v>
      </c>
      <c r="T561" s="4" t="s">
        <v>939</v>
      </c>
    </row>
    <row r="562" spans="1:20" ht="16.5" customHeight="1" thickBot="1" x14ac:dyDescent="0.35">
      <c r="A562" s="114" t="s">
        <v>63</v>
      </c>
      <c r="B562" s="86">
        <f>SUM(B558:B561)</f>
        <v>0</v>
      </c>
      <c r="C562" s="87">
        <f>SUM(C558:C561)</f>
        <v>0</v>
      </c>
      <c r="D562" s="87">
        <f>SUM(D558:D561)</f>
        <v>0</v>
      </c>
      <c r="E562" s="59">
        <f>SUM(B562:D562)</f>
        <v>0</v>
      </c>
      <c r="F562" s="87">
        <f>SUM(F558:F561)</f>
        <v>0</v>
      </c>
      <c r="G562" s="87">
        <f>SUM(G558:G561)</f>
        <v>0</v>
      </c>
      <c r="H562" s="87">
        <f>SUM(H558:H561)</f>
        <v>0</v>
      </c>
      <c r="I562" s="59">
        <f>SUM(F562:H562)</f>
        <v>0</v>
      </c>
      <c r="J562" s="87">
        <f>SUM(J558:J561)</f>
        <v>0</v>
      </c>
      <c r="K562" s="87">
        <f>SUM(K558:K561)</f>
        <v>0</v>
      </c>
      <c r="L562" s="87">
        <f>SUM(L558:L561)</f>
        <v>0</v>
      </c>
      <c r="M562" s="59">
        <f>SUM(J562:L562)</f>
        <v>0</v>
      </c>
      <c r="N562" s="87">
        <f>SUM(N558:N561)</f>
        <v>0</v>
      </c>
      <c r="O562" s="87">
        <f>SUM(O558:O561)</f>
        <v>307</v>
      </c>
      <c r="P562" s="87">
        <f>SUM(P558:P561)</f>
        <v>0</v>
      </c>
      <c r="Q562" s="59">
        <f>SUM(N562:P562)</f>
        <v>307</v>
      </c>
      <c r="R562" s="59">
        <f>+E562+I562+M562+Q562</f>
        <v>307</v>
      </c>
    </row>
    <row r="563" spans="1:20" ht="15.75" customHeight="1" x14ac:dyDescent="0.3">
      <c r="A563" s="15" t="s">
        <v>64</v>
      </c>
      <c r="B563" s="1"/>
      <c r="C563" s="1"/>
      <c r="D563" s="1"/>
      <c r="E563" s="55" t="s">
        <v>7</v>
      </c>
      <c r="F563" s="1"/>
      <c r="G563" s="1"/>
      <c r="H563" s="1"/>
      <c r="I563" s="55" t="s">
        <v>7</v>
      </c>
      <c r="J563" s="1"/>
      <c r="K563" s="1"/>
      <c r="L563" s="1"/>
      <c r="M563" s="55" t="s">
        <v>7</v>
      </c>
      <c r="N563" s="1"/>
      <c r="O563" s="1"/>
      <c r="P563" s="1"/>
      <c r="Q563" s="55" t="s">
        <v>7</v>
      </c>
      <c r="R563" s="55" t="s">
        <v>7</v>
      </c>
    </row>
    <row r="564" spans="1:20" ht="15.75" customHeight="1" x14ac:dyDescent="0.3">
      <c r="A564" s="15" t="s">
        <v>594</v>
      </c>
      <c r="B564" s="1"/>
      <c r="C564" s="1"/>
      <c r="D564" s="1"/>
      <c r="E564" s="55" t="s">
        <v>7</v>
      </c>
      <c r="F564" s="1"/>
      <c r="G564" s="1"/>
      <c r="H564" s="1"/>
      <c r="I564" s="55" t="s">
        <v>7</v>
      </c>
      <c r="J564" s="1"/>
      <c r="K564" s="1"/>
      <c r="L564" s="1"/>
      <c r="M564" s="55" t="s">
        <v>7</v>
      </c>
      <c r="N564" s="1"/>
      <c r="O564" s="1"/>
      <c r="P564" s="1"/>
      <c r="Q564" s="55" t="s">
        <v>7</v>
      </c>
      <c r="R564" s="55" t="s">
        <v>7</v>
      </c>
    </row>
    <row r="565" spans="1:20" ht="15.75" customHeight="1" x14ac:dyDescent="0.3">
      <c r="A565" s="15" t="s">
        <v>67</v>
      </c>
      <c r="B565" s="1"/>
      <c r="C565" s="1"/>
      <c r="D565" s="1"/>
      <c r="E565" s="55" t="s">
        <v>7</v>
      </c>
      <c r="F565" s="1"/>
      <c r="G565" s="1"/>
      <c r="H565" s="1"/>
      <c r="I565" s="55" t="s">
        <v>7</v>
      </c>
      <c r="J565" s="1"/>
      <c r="K565" s="1"/>
      <c r="L565" s="1"/>
      <c r="M565" s="55" t="s">
        <v>7</v>
      </c>
      <c r="N565" s="1"/>
      <c r="O565" s="1"/>
      <c r="P565" s="1"/>
      <c r="Q565" s="55" t="s">
        <v>7</v>
      </c>
      <c r="R565" s="55" t="s">
        <v>7</v>
      </c>
    </row>
    <row r="566" spans="1:20" ht="15.75" customHeight="1" x14ac:dyDescent="0.3">
      <c r="A566" s="15" t="s">
        <v>600</v>
      </c>
      <c r="B566" s="1"/>
      <c r="C566" s="1"/>
      <c r="D566" s="1"/>
      <c r="E566" s="55" t="s">
        <v>7</v>
      </c>
      <c r="F566" s="1"/>
      <c r="G566" s="1"/>
      <c r="H566" s="1"/>
      <c r="I566" s="55" t="s">
        <v>7</v>
      </c>
      <c r="J566" s="1"/>
      <c r="K566" s="1"/>
      <c r="L566" s="1"/>
      <c r="M566" s="55" t="s">
        <v>7</v>
      </c>
      <c r="N566" s="1"/>
      <c r="O566" s="1"/>
      <c r="P566" s="1"/>
      <c r="Q566" s="55" t="s">
        <v>7</v>
      </c>
      <c r="R566" s="55" t="s">
        <v>7</v>
      </c>
    </row>
    <row r="567" spans="1:20" ht="15.75" customHeight="1" x14ac:dyDescent="0.3">
      <c r="A567" s="71" t="s">
        <v>1322</v>
      </c>
      <c r="B567" s="1"/>
      <c r="C567" s="1"/>
      <c r="D567" s="1"/>
      <c r="E567" s="55">
        <f>SUM(B567:D567)</f>
        <v>0</v>
      </c>
      <c r="F567" s="1"/>
      <c r="G567" s="1"/>
      <c r="H567" s="1"/>
      <c r="I567" s="55">
        <f>SUM(F567:H567)</f>
        <v>0</v>
      </c>
      <c r="J567" s="1"/>
      <c r="K567" s="1"/>
      <c r="L567" s="1"/>
      <c r="M567" s="55">
        <f>SUM(J567:L567)</f>
        <v>0</v>
      </c>
      <c r="N567" s="1"/>
      <c r="O567" s="1"/>
      <c r="P567" s="1"/>
      <c r="Q567" s="55">
        <f>SUM(N567:P567)</f>
        <v>0</v>
      </c>
      <c r="R567" s="55">
        <f>+E567+I567+M567+Q567</f>
        <v>0</v>
      </c>
    </row>
    <row r="568" spans="1:20" ht="15.75" customHeight="1" x14ac:dyDescent="0.3">
      <c r="A568" s="15" t="s">
        <v>70</v>
      </c>
      <c r="B568" s="1"/>
      <c r="C568" s="1"/>
      <c r="D568" s="1"/>
      <c r="E568" s="55"/>
      <c r="F568" s="1"/>
      <c r="G568" s="1"/>
      <c r="H568" s="1"/>
      <c r="I568" s="55"/>
      <c r="J568" s="1"/>
      <c r="K568" s="1"/>
      <c r="L568" s="1"/>
      <c r="M568" s="55"/>
      <c r="N568" s="1"/>
      <c r="O568" s="1"/>
      <c r="P568" s="1"/>
      <c r="Q568" s="55"/>
      <c r="R568" s="55" t="s">
        <v>7</v>
      </c>
    </row>
    <row r="569" spans="1:20" ht="15.75" customHeight="1" x14ac:dyDescent="0.3">
      <c r="A569" s="71" t="s">
        <v>977</v>
      </c>
      <c r="B569" s="1"/>
      <c r="C569" s="1"/>
      <c r="D569" s="1"/>
      <c r="E569" s="55">
        <f t="shared" ref="E569:E576" si="216">SUM(B569:D569)</f>
        <v>0</v>
      </c>
      <c r="F569" s="1"/>
      <c r="G569" s="1"/>
      <c r="H569" s="1"/>
      <c r="I569" s="55">
        <f t="shared" ref="I569:I576" si="217">SUM(F569:H569)</f>
        <v>0</v>
      </c>
      <c r="J569" s="1"/>
      <c r="K569" s="1"/>
      <c r="L569" s="1"/>
      <c r="M569" s="55">
        <f t="shared" ref="M569:M576" si="218">SUM(J569:L569)</f>
        <v>0</v>
      </c>
      <c r="N569" s="1"/>
      <c r="O569" s="1"/>
      <c r="P569" s="1"/>
      <c r="Q569" s="55">
        <f t="shared" ref="Q569:Q576" si="219">SUM(N569:P569)</f>
        <v>0</v>
      </c>
      <c r="R569" s="55">
        <f t="shared" ref="R569:R576" si="220">+E569+I569+M569+Q569</f>
        <v>0</v>
      </c>
      <c r="T569" s="4" t="s">
        <v>939</v>
      </c>
    </row>
    <row r="570" spans="1:20" ht="15.75" customHeight="1" x14ac:dyDescent="0.3">
      <c r="A570" s="71" t="s">
        <v>986</v>
      </c>
      <c r="B570" s="1"/>
      <c r="C570" s="1"/>
      <c r="D570" s="1"/>
      <c r="E570" s="55">
        <f>SUM(B570:D570)</f>
        <v>0</v>
      </c>
      <c r="F570" s="1"/>
      <c r="G570" s="1"/>
      <c r="H570" s="1"/>
      <c r="I570" s="55">
        <f>SUM(F570:H570)</f>
        <v>0</v>
      </c>
      <c r="J570" s="1"/>
      <c r="K570" s="1"/>
      <c r="L570" s="1"/>
      <c r="M570" s="55">
        <f>SUM(J570:L570)</f>
        <v>0</v>
      </c>
      <c r="N570" s="1"/>
      <c r="O570" s="1"/>
      <c r="P570" s="1"/>
      <c r="Q570" s="55">
        <f>SUM(N570:P570)</f>
        <v>0</v>
      </c>
      <c r="R570" s="55">
        <f>+E570+I570+M570+Q570</f>
        <v>0</v>
      </c>
      <c r="S570" s="4" t="s">
        <v>1264</v>
      </c>
      <c r="T570" s="4" t="s">
        <v>939</v>
      </c>
    </row>
    <row r="571" spans="1:20" ht="15.75" customHeight="1" x14ac:dyDescent="0.3">
      <c r="A571" s="71" t="s">
        <v>1323</v>
      </c>
      <c r="B571" s="1"/>
      <c r="C571" s="1"/>
      <c r="D571" s="1"/>
      <c r="E571" s="55">
        <f t="shared" ref="E571" si="221">SUM(B571:D571)</f>
        <v>0</v>
      </c>
      <c r="F571" s="1"/>
      <c r="G571" s="1"/>
      <c r="H571" s="1"/>
      <c r="I571" s="55">
        <f t="shared" ref="I571" si="222">SUM(F571:H571)</f>
        <v>0</v>
      </c>
      <c r="J571" s="1"/>
      <c r="K571" s="1">
        <v>256</v>
      </c>
      <c r="L571" s="1">
        <v>973</v>
      </c>
      <c r="M571" s="55">
        <f t="shared" ref="M571" si="223">SUM(J571:L571)</f>
        <v>1229</v>
      </c>
      <c r="N571" s="1"/>
      <c r="O571" s="1"/>
      <c r="P571" s="1"/>
      <c r="Q571" s="55">
        <f t="shared" ref="Q571" si="224">SUM(N571:P571)</f>
        <v>0</v>
      </c>
      <c r="R571" s="55">
        <f t="shared" ref="R571" si="225">+E571+I571+M571+Q571</f>
        <v>1229</v>
      </c>
      <c r="S571" s="4" t="s">
        <v>1264</v>
      </c>
    </row>
    <row r="572" spans="1:20" ht="15.75" customHeight="1" thickBot="1" x14ac:dyDescent="0.35">
      <c r="A572" s="71" t="s">
        <v>761</v>
      </c>
      <c r="B572" s="1"/>
      <c r="C572" s="1"/>
      <c r="D572" s="1"/>
      <c r="E572" s="55">
        <f t="shared" si="216"/>
        <v>0</v>
      </c>
      <c r="F572" s="1"/>
      <c r="G572" s="1"/>
      <c r="H572" s="1"/>
      <c r="I572" s="55">
        <f t="shared" si="217"/>
        <v>0</v>
      </c>
      <c r="J572" s="1"/>
      <c r="K572" s="1"/>
      <c r="L572" s="1">
        <v>61</v>
      </c>
      <c r="M572" s="55">
        <f t="shared" si="218"/>
        <v>61</v>
      </c>
      <c r="N572" s="1">
        <v>44</v>
      </c>
      <c r="O572" s="1"/>
      <c r="P572" s="1"/>
      <c r="Q572" s="55">
        <f t="shared" si="219"/>
        <v>44</v>
      </c>
      <c r="R572" s="55">
        <f t="shared" si="220"/>
        <v>105</v>
      </c>
    </row>
    <row r="573" spans="1:20" ht="16.5" customHeight="1" thickBot="1" x14ac:dyDescent="0.35">
      <c r="A573" s="57" t="s">
        <v>71</v>
      </c>
      <c r="B573" s="58">
        <f>SUM(B566:B572)</f>
        <v>0</v>
      </c>
      <c r="C573" s="58">
        <f>SUM(C566:C572)</f>
        <v>0</v>
      </c>
      <c r="D573" s="58">
        <f>SUM(D566:D572)</f>
        <v>0</v>
      </c>
      <c r="E573" s="60">
        <f t="shared" si="216"/>
        <v>0</v>
      </c>
      <c r="F573" s="58">
        <f>SUM(F566:F572)</f>
        <v>0</v>
      </c>
      <c r="G573" s="58">
        <f>SUM(G566:G572)</f>
        <v>0</v>
      </c>
      <c r="H573" s="58">
        <f>SUM(H566:H572)</f>
        <v>0</v>
      </c>
      <c r="I573" s="60">
        <f t="shared" si="217"/>
        <v>0</v>
      </c>
      <c r="J573" s="58">
        <f>SUM(J566:J572)</f>
        <v>0</v>
      </c>
      <c r="K573" s="58">
        <f>SUM(K566:K572)</f>
        <v>256</v>
      </c>
      <c r="L573" s="58">
        <f>SUM(L566:L572)</f>
        <v>1034</v>
      </c>
      <c r="M573" s="60">
        <f t="shared" si="218"/>
        <v>1290</v>
      </c>
      <c r="N573" s="58">
        <f>SUM(N566:N572)</f>
        <v>44</v>
      </c>
      <c r="O573" s="58">
        <f>SUM(O566:O572)</f>
        <v>0</v>
      </c>
      <c r="P573" s="58">
        <f>SUM(P566:P572)</f>
        <v>0</v>
      </c>
      <c r="Q573" s="60">
        <f t="shared" si="219"/>
        <v>44</v>
      </c>
      <c r="R573" s="59">
        <f t="shared" si="220"/>
        <v>1334</v>
      </c>
    </row>
    <row r="574" spans="1:20" ht="16.5" customHeight="1" thickBot="1" x14ac:dyDescent="0.35">
      <c r="A574" s="114" t="s">
        <v>72</v>
      </c>
      <c r="B574" s="86">
        <f>SUM(B563:B572)</f>
        <v>0</v>
      </c>
      <c r="C574" s="87">
        <f>SUM(C563:C572)</f>
        <v>0</v>
      </c>
      <c r="D574" s="118">
        <f>SUM(D563:D572)</f>
        <v>0</v>
      </c>
      <c r="E574" s="60">
        <f t="shared" si="216"/>
        <v>0</v>
      </c>
      <c r="F574" s="87">
        <f>SUM(F563:F572)</f>
        <v>0</v>
      </c>
      <c r="G574" s="87">
        <f>SUM(G563:G572)</f>
        <v>0</v>
      </c>
      <c r="H574" s="87">
        <f>SUM(H563:H572)</f>
        <v>0</v>
      </c>
      <c r="I574" s="60">
        <f t="shared" si="217"/>
        <v>0</v>
      </c>
      <c r="J574" s="87">
        <f>SUM(J563:J572)</f>
        <v>0</v>
      </c>
      <c r="K574" s="87">
        <f>SUM(K563:K572)</f>
        <v>256</v>
      </c>
      <c r="L574" s="87">
        <f>SUM(L563:L572)</f>
        <v>1034</v>
      </c>
      <c r="M574" s="60">
        <f t="shared" si="218"/>
        <v>1290</v>
      </c>
      <c r="N574" s="87">
        <f>SUM(N563:N572)</f>
        <v>44</v>
      </c>
      <c r="O574" s="87">
        <f>SUM(O563:O572)</f>
        <v>0</v>
      </c>
      <c r="P574" s="87">
        <f>SUM(P563:P572)</f>
        <v>0</v>
      </c>
      <c r="Q574" s="60">
        <f t="shared" si="219"/>
        <v>44</v>
      </c>
      <c r="R574" s="59">
        <f t="shared" si="220"/>
        <v>1334</v>
      </c>
    </row>
    <row r="575" spans="1:20" ht="16.5" customHeight="1" thickBot="1" x14ac:dyDescent="0.35">
      <c r="A575" s="57" t="s">
        <v>73</v>
      </c>
      <c r="B575" s="90">
        <f>+B551+B557+B562+B574</f>
        <v>26</v>
      </c>
      <c r="C575" s="58">
        <f>+C551+C557+C562+C574</f>
        <v>659</v>
      </c>
      <c r="D575" s="58">
        <f>+D551+D557+D562+D574</f>
        <v>1988</v>
      </c>
      <c r="E575" s="59">
        <f t="shared" si="216"/>
        <v>2673</v>
      </c>
      <c r="F575" s="58">
        <f>+F551+F557+F562+F574</f>
        <v>5722</v>
      </c>
      <c r="G575" s="58">
        <f>+G551+G557+G562+G574</f>
        <v>5419</v>
      </c>
      <c r="H575" s="58">
        <f>+H551+H557+H562+H574</f>
        <v>5880</v>
      </c>
      <c r="I575" s="59">
        <f t="shared" si="217"/>
        <v>17021</v>
      </c>
      <c r="J575" s="58">
        <f>+J551+J557+J562+J574</f>
        <v>7237</v>
      </c>
      <c r="K575" s="58">
        <f>+K551+K557+K562+K574</f>
        <v>4282</v>
      </c>
      <c r="L575" s="58">
        <f>+L551+L557+L562+L574</f>
        <v>3625</v>
      </c>
      <c r="M575" s="59">
        <f t="shared" si="218"/>
        <v>15144</v>
      </c>
      <c r="N575" s="58">
        <f>+N551+N557+N562+N574</f>
        <v>112</v>
      </c>
      <c r="O575" s="58">
        <f>+O551+O557+O562+O574</f>
        <v>307</v>
      </c>
      <c r="P575" s="58">
        <f>+P551+P557+P562+P574</f>
        <v>0</v>
      </c>
      <c r="Q575" s="59">
        <f t="shared" si="219"/>
        <v>419</v>
      </c>
      <c r="R575" s="81">
        <f t="shared" si="220"/>
        <v>35257</v>
      </c>
    </row>
    <row r="576" spans="1:20" ht="16.5" customHeight="1" thickBot="1" x14ac:dyDescent="0.35">
      <c r="A576" s="39" t="s">
        <v>40</v>
      </c>
      <c r="B576" s="21">
        <v>23</v>
      </c>
      <c r="C576" s="21">
        <v>43</v>
      </c>
      <c r="D576" s="21">
        <v>66</v>
      </c>
      <c r="E576" s="81">
        <f t="shared" si="216"/>
        <v>132</v>
      </c>
      <c r="F576" s="21">
        <v>91</v>
      </c>
      <c r="G576" s="21">
        <v>108</v>
      </c>
      <c r="H576" s="21">
        <v>109</v>
      </c>
      <c r="I576" s="81">
        <f t="shared" si="217"/>
        <v>308</v>
      </c>
      <c r="J576" s="21">
        <v>104</v>
      </c>
      <c r="K576" s="21">
        <v>79</v>
      </c>
      <c r="L576" s="21">
        <v>80</v>
      </c>
      <c r="M576" s="81">
        <f t="shared" si="218"/>
        <v>263</v>
      </c>
      <c r="N576" s="21">
        <v>74</v>
      </c>
      <c r="O576" s="21">
        <v>58</v>
      </c>
      <c r="P576" s="21">
        <v>42</v>
      </c>
      <c r="Q576" s="81">
        <f t="shared" si="219"/>
        <v>174</v>
      </c>
      <c r="R576" s="55">
        <f t="shared" si="220"/>
        <v>877</v>
      </c>
    </row>
    <row r="577" spans="1:20" ht="16.5" customHeight="1" thickBot="1" x14ac:dyDescent="0.35">
      <c r="A577" s="41"/>
      <c r="B577" s="36"/>
      <c r="C577" s="36"/>
      <c r="D577" s="36"/>
      <c r="E577" s="42"/>
      <c r="F577" s="36"/>
      <c r="G577" s="36"/>
      <c r="H577" s="36"/>
      <c r="I577" s="126"/>
      <c r="J577" s="36"/>
      <c r="K577" s="36"/>
      <c r="L577" s="36"/>
      <c r="M577" s="126"/>
      <c r="N577" s="36"/>
      <c r="O577" s="36"/>
      <c r="P577" s="36"/>
      <c r="Q577" s="126"/>
      <c r="R577" s="42"/>
    </row>
    <row r="578" spans="1:20" ht="15.75" customHeight="1" x14ac:dyDescent="0.3">
      <c r="A578" s="15" t="s">
        <v>314</v>
      </c>
      <c r="B578" s="77">
        <f>SUM(B575:B576)</f>
        <v>49</v>
      </c>
      <c r="C578" s="77">
        <f>SUM(C575:C576)</f>
        <v>702</v>
      </c>
      <c r="D578" s="77">
        <f>SUM(D575:D576)</f>
        <v>2054</v>
      </c>
      <c r="E578" s="60">
        <f>SUM(B578:D578)</f>
        <v>2805</v>
      </c>
      <c r="F578" s="77">
        <f>SUM(F575:F576)</f>
        <v>5813</v>
      </c>
      <c r="G578" s="77">
        <f>SUM(G575:G576)</f>
        <v>5527</v>
      </c>
      <c r="H578" s="77">
        <f>SUM(H575:H576)</f>
        <v>5989</v>
      </c>
      <c r="I578" s="60">
        <f>SUM(F578:H578)</f>
        <v>17329</v>
      </c>
      <c r="J578" s="77">
        <f>SUM(J575:J576)</f>
        <v>7341</v>
      </c>
      <c r="K578" s="77">
        <f>SUM(K575:K576)</f>
        <v>4361</v>
      </c>
      <c r="L578" s="77">
        <f>SUM(L575:L576)</f>
        <v>3705</v>
      </c>
      <c r="M578" s="60">
        <f>SUM(J578:L578)</f>
        <v>15407</v>
      </c>
      <c r="N578" s="77">
        <f>SUM(N575:N576)</f>
        <v>186</v>
      </c>
      <c r="O578" s="77">
        <f>SUM(O575:O576)</f>
        <v>365</v>
      </c>
      <c r="P578" s="77">
        <f>SUM(P575:P576)</f>
        <v>42</v>
      </c>
      <c r="Q578" s="60">
        <f>SUM(N578:P578)</f>
        <v>593</v>
      </c>
      <c r="R578" s="60">
        <f>+E578+I578+M578+Q578</f>
        <v>36134</v>
      </c>
    </row>
    <row r="579" spans="1:20" ht="15.75" customHeight="1" x14ac:dyDescent="0.3">
      <c r="A579" s="15" t="s">
        <v>42</v>
      </c>
      <c r="B579" s="1">
        <f>(B578/B10)/1.983</f>
        <v>0.79709791290485243</v>
      </c>
      <c r="C579" s="1">
        <f>(C578/C10)/1.983</f>
        <v>12.643181326993732</v>
      </c>
      <c r="D579" s="1">
        <f>(D578/D10)/1.983</f>
        <v>33.413043124623819</v>
      </c>
      <c r="E579" s="55" t="s">
        <v>7</v>
      </c>
      <c r="F579" s="1">
        <f>(F578/F10)/1.983</f>
        <v>97.713901496049758</v>
      </c>
      <c r="G579" s="1">
        <f>(G578/G10)/1.983</f>
        <v>89.909391114798353</v>
      </c>
      <c r="H579" s="1">
        <f>(H578/H10)/1.983</f>
        <v>100.67238191292654</v>
      </c>
      <c r="I579" s="55" t="s">
        <v>7</v>
      </c>
      <c r="J579" s="1">
        <f>(J578/J10)/1.983</f>
        <v>119.4182811966229</v>
      </c>
      <c r="K579" s="1">
        <f>(K578/K10)/1.983</f>
        <v>70.941714248531881</v>
      </c>
      <c r="L579" s="1">
        <f>(L578/L10)/1.983</f>
        <v>62.279374684820972</v>
      </c>
      <c r="M579" s="55" t="s">
        <v>7</v>
      </c>
      <c r="N579" s="1">
        <f>(N578/N10)/1.983</f>
        <v>3.02571860816944</v>
      </c>
      <c r="O579" s="1">
        <f>(O578/O10)/1.983</f>
        <v>6.1354849554546975</v>
      </c>
      <c r="P579" s="1">
        <f>(P578/P10)/1.983</f>
        <v>0.68322678248987356</v>
      </c>
      <c r="Q579" s="55" t="s">
        <v>7</v>
      </c>
      <c r="R579" s="55" t="s">
        <v>7</v>
      </c>
    </row>
    <row r="580" spans="1:20" ht="15.75" customHeight="1" x14ac:dyDescent="0.3">
      <c r="A580" s="15" t="s">
        <v>315</v>
      </c>
      <c r="B580" s="1">
        <f>B578+B644</f>
        <v>13674</v>
      </c>
      <c r="C580" s="1">
        <f>C578+C644</f>
        <v>22023</v>
      </c>
      <c r="D580" s="1">
        <f>D578+D644</f>
        <v>28768</v>
      </c>
      <c r="E580" s="55">
        <f>SUM(B580:D580)</f>
        <v>64465</v>
      </c>
      <c r="F580" s="1">
        <f>F578+F644</f>
        <v>34875</v>
      </c>
      <c r="G580" s="1">
        <f>G578+G644</f>
        <v>32231</v>
      </c>
      <c r="H580" s="1">
        <f>H578+H644</f>
        <v>29005</v>
      </c>
      <c r="I580" s="55">
        <f>SUM(F580:H580)</f>
        <v>96111</v>
      </c>
      <c r="J580" s="1">
        <f>J578+J644</f>
        <v>30117</v>
      </c>
      <c r="K580" s="1">
        <f>K578+K644</f>
        <v>32508</v>
      </c>
      <c r="L580" s="1">
        <f>L578+L644</f>
        <v>27698</v>
      </c>
      <c r="M580" s="55">
        <f>SUM(J580:L580)</f>
        <v>90323</v>
      </c>
      <c r="N580" s="1">
        <f>N578+N644</f>
        <v>12622</v>
      </c>
      <c r="O580" s="1">
        <f>O578+O644</f>
        <v>5556</v>
      </c>
      <c r="P580" s="1">
        <f>P578+P644</f>
        <v>5316</v>
      </c>
      <c r="Q580" s="55">
        <f>SUM(N580:P580)</f>
        <v>23494</v>
      </c>
      <c r="R580" s="55">
        <f>+E580+I580+M580+Q580</f>
        <v>274393</v>
      </c>
    </row>
    <row r="581" spans="1:20" ht="16.5" customHeight="1" thickBot="1" x14ac:dyDescent="0.35">
      <c r="A581" s="20" t="s">
        <v>316</v>
      </c>
      <c r="B581" s="25">
        <f>(B580/B10)/1.983</f>
        <v>222.43911961348886</v>
      </c>
      <c r="C581" s="25">
        <f>(C580/C10)/1.983</f>
        <v>396.63929111735467</v>
      </c>
      <c r="D581" s="25">
        <f>(D580/D10)/1.983</f>
        <v>467.97781139687339</v>
      </c>
      <c r="E581" s="81" t="s">
        <v>7</v>
      </c>
      <c r="F581" s="25">
        <f>(F580/F10)/1.983</f>
        <v>586.23298033282902</v>
      </c>
      <c r="G581" s="25">
        <f>(G580/G10)/1.983</f>
        <v>524.31148634359795</v>
      </c>
      <c r="H581" s="25">
        <f>(H580/H10)/1.983</f>
        <v>487.56093461085896</v>
      </c>
      <c r="I581" s="81" t="s">
        <v>7</v>
      </c>
      <c r="J581" s="25">
        <f>(J580/J10)/1.983</f>
        <v>489.92240495827434</v>
      </c>
      <c r="K581" s="25">
        <f>(K580/K10)/1.983</f>
        <v>528.81752964716225</v>
      </c>
      <c r="L581" s="25">
        <f>(L580/L10)/1.983</f>
        <v>465.59085560598419</v>
      </c>
      <c r="M581" s="81" t="s">
        <v>7</v>
      </c>
      <c r="N581" s="25">
        <f>(N580/N10)/1.983</f>
        <v>205.32591544255203</v>
      </c>
      <c r="O581" s="25">
        <f>(O580/O10)/1.983</f>
        <v>93.393847705496711</v>
      </c>
      <c r="P581" s="25">
        <f>(P580/P10)/1.983</f>
        <v>86.476989898003993</v>
      </c>
      <c r="Q581" s="81" t="s">
        <v>7</v>
      </c>
      <c r="R581" s="81" t="s">
        <v>7</v>
      </c>
    </row>
    <row r="582" spans="1:20" ht="15.75" customHeight="1" x14ac:dyDescent="0.3">
      <c r="A582" s="2"/>
      <c r="B582" s="1"/>
      <c r="C582" s="1"/>
      <c r="D582" s="1"/>
      <c r="E582" s="1"/>
      <c r="F582" s="1"/>
      <c r="G582" s="1"/>
      <c r="H582" s="1"/>
      <c r="I582" s="1"/>
      <c r="J582" s="1"/>
      <c r="K582" s="1"/>
      <c r="L582" s="1"/>
      <c r="M582" s="1"/>
      <c r="N582" s="1"/>
      <c r="O582" s="1"/>
      <c r="P582" s="1"/>
      <c r="Q582" s="1"/>
      <c r="R582" s="2"/>
    </row>
    <row r="583" spans="1:20" ht="15.75" customHeight="1" thickBot="1" x14ac:dyDescent="0.35">
      <c r="A583" s="2"/>
      <c r="B583" s="1"/>
      <c r="C583" s="1"/>
      <c r="D583" s="1"/>
      <c r="E583" s="1"/>
      <c r="F583" s="1"/>
      <c r="G583" s="1"/>
      <c r="H583" s="1"/>
      <c r="I583" s="1"/>
      <c r="J583" s="1"/>
      <c r="K583" s="1"/>
      <c r="L583" s="1"/>
      <c r="M583" s="1"/>
      <c r="N583" s="1"/>
      <c r="O583" s="1"/>
      <c r="P583" s="1"/>
      <c r="Q583" s="1"/>
      <c r="R583" s="2"/>
    </row>
    <row r="584" spans="1:20" ht="16.5" customHeight="1" thickBot="1" x14ac:dyDescent="0.35">
      <c r="A584" s="124" t="s">
        <v>317</v>
      </c>
      <c r="B584" s="30" t="s">
        <v>8</v>
      </c>
      <c r="C584" s="31" t="s">
        <v>9</v>
      </c>
      <c r="D584" s="31" t="s">
        <v>10</v>
      </c>
      <c r="E584" s="32" t="s">
        <v>11</v>
      </c>
      <c r="F584" s="31" t="s">
        <v>12</v>
      </c>
      <c r="G584" s="31" t="s">
        <v>13</v>
      </c>
      <c r="H584" s="31" t="s">
        <v>14</v>
      </c>
      <c r="I584" s="33" t="s">
        <v>15</v>
      </c>
      <c r="J584" s="31" t="s">
        <v>16</v>
      </c>
      <c r="K584" s="31" t="s">
        <v>17</v>
      </c>
      <c r="L584" s="31" t="s">
        <v>18</v>
      </c>
      <c r="M584" s="33" t="s">
        <v>19</v>
      </c>
      <c r="N584" s="31" t="s">
        <v>20</v>
      </c>
      <c r="O584" s="31" t="s">
        <v>21</v>
      </c>
      <c r="P584" s="31" t="s">
        <v>22</v>
      </c>
      <c r="Q584" s="33" t="s">
        <v>23</v>
      </c>
      <c r="R584" s="34" t="s">
        <v>24</v>
      </c>
    </row>
    <row r="585" spans="1:20" ht="16.5" customHeight="1" thickBot="1" x14ac:dyDescent="0.35">
      <c r="A585" s="59"/>
      <c r="B585" s="75"/>
      <c r="C585" s="75"/>
      <c r="D585" s="75"/>
      <c r="E585" s="69"/>
      <c r="F585" s="75"/>
      <c r="G585" s="75"/>
      <c r="H585" s="75"/>
      <c r="I585" s="82"/>
      <c r="J585" s="75"/>
      <c r="K585" s="75"/>
      <c r="L585" s="75"/>
      <c r="M585" s="82"/>
      <c r="N585" s="75"/>
      <c r="O585" s="75"/>
      <c r="P585" s="75"/>
      <c r="Q585" s="82"/>
      <c r="R585" s="100"/>
    </row>
    <row r="586" spans="1:20" ht="15.75" customHeight="1" x14ac:dyDescent="0.3">
      <c r="A586" s="15" t="s">
        <v>48</v>
      </c>
      <c r="B586" s="1"/>
      <c r="C586" s="1"/>
      <c r="D586" s="1"/>
      <c r="E586" s="55" t="s">
        <v>7</v>
      </c>
      <c r="F586" s="1"/>
      <c r="G586" s="1"/>
      <c r="H586" s="1"/>
      <c r="I586" s="55" t="s">
        <v>7</v>
      </c>
      <c r="J586" s="1" t="s">
        <v>7</v>
      </c>
      <c r="K586" s="1" t="s">
        <v>7</v>
      </c>
      <c r="L586" s="1" t="s">
        <v>7</v>
      </c>
      <c r="M586" s="55" t="s">
        <v>7</v>
      </c>
      <c r="N586" s="1" t="s">
        <v>7</v>
      </c>
      <c r="O586" s="1" t="s">
        <v>7</v>
      </c>
      <c r="P586" s="1" t="s">
        <v>7</v>
      </c>
      <c r="Q586" s="55" t="s">
        <v>7</v>
      </c>
      <c r="R586" s="55" t="s">
        <v>7</v>
      </c>
    </row>
    <row r="587" spans="1:20" ht="15.75" customHeight="1" x14ac:dyDescent="0.3">
      <c r="A587" s="15" t="s">
        <v>49</v>
      </c>
      <c r="B587" s="1"/>
      <c r="C587" s="1"/>
      <c r="D587" s="1"/>
      <c r="E587" s="55" t="s">
        <v>7</v>
      </c>
      <c r="F587" s="1"/>
      <c r="G587" s="1"/>
      <c r="H587" s="1"/>
      <c r="I587" s="55" t="s">
        <v>7</v>
      </c>
      <c r="J587" s="1"/>
      <c r="K587" s="1"/>
      <c r="L587" s="1"/>
      <c r="M587" s="55" t="s">
        <v>7</v>
      </c>
      <c r="N587" s="1"/>
      <c r="O587" s="1"/>
      <c r="P587" s="1"/>
      <c r="Q587" s="55" t="s">
        <v>7</v>
      </c>
      <c r="R587" s="55" t="s">
        <v>7</v>
      </c>
    </row>
    <row r="588" spans="1:20" ht="15.75" customHeight="1" x14ac:dyDescent="0.3">
      <c r="A588" s="71" t="s">
        <v>762</v>
      </c>
      <c r="B588" s="1">
        <v>108</v>
      </c>
      <c r="C588" s="1">
        <v>273</v>
      </c>
      <c r="D588" s="1">
        <v>378</v>
      </c>
      <c r="E588" s="55">
        <f t="shared" ref="E588" si="226">SUM(B588:D588)</f>
        <v>759</v>
      </c>
      <c r="F588" s="1">
        <v>281</v>
      </c>
      <c r="G588" s="1">
        <v>315</v>
      </c>
      <c r="H588" s="1"/>
      <c r="I588" s="55">
        <f t="shared" ref="I588" si="227">SUM(F588:H588)</f>
        <v>596</v>
      </c>
      <c r="J588" s="1">
        <v>433</v>
      </c>
      <c r="K588" s="1">
        <v>728</v>
      </c>
      <c r="L588" s="1">
        <v>584</v>
      </c>
      <c r="M588" s="55">
        <f t="shared" ref="M588" si="228">SUM(J588:L588)</f>
        <v>1745</v>
      </c>
      <c r="N588" s="1"/>
      <c r="O588" s="1"/>
      <c r="P588" s="1"/>
      <c r="Q588" s="55">
        <f t="shared" ref="Q588:Q596" si="229">SUM(N588:P588)</f>
        <v>0</v>
      </c>
      <c r="R588" s="55">
        <f t="shared" ref="R588:R598" si="230">+E588+I588+M588+Q588</f>
        <v>3100</v>
      </c>
    </row>
    <row r="589" spans="1:20" ht="15.75" customHeight="1" x14ac:dyDescent="0.3">
      <c r="A589" s="71" t="s">
        <v>320</v>
      </c>
      <c r="B589" s="1">
        <v>200</v>
      </c>
      <c r="C589" s="1">
        <v>213</v>
      </c>
      <c r="D589" s="1">
        <v>480</v>
      </c>
      <c r="E589" s="55">
        <f>SUM(B589:D589)</f>
        <v>893</v>
      </c>
      <c r="F589" s="1">
        <v>200</v>
      </c>
      <c r="G589" s="1">
        <v>200</v>
      </c>
      <c r="H589" s="1">
        <v>200</v>
      </c>
      <c r="I589" s="55">
        <f>SUM(F589:H589)</f>
        <v>600</v>
      </c>
      <c r="J589" s="1">
        <v>403</v>
      </c>
      <c r="K589" s="1">
        <v>104</v>
      </c>
      <c r="L589" s="1"/>
      <c r="M589" s="55">
        <f>SUM(J589:L589)</f>
        <v>507</v>
      </c>
      <c r="N589" s="1"/>
      <c r="O589" s="1"/>
      <c r="P589" s="1"/>
      <c r="Q589" s="55">
        <f>SUM(N589:P589)</f>
        <v>0</v>
      </c>
      <c r="R589" s="55">
        <f>+E589+I589+M589+Q589</f>
        <v>2000</v>
      </c>
    </row>
    <row r="590" spans="1:20" ht="15.75" customHeight="1" x14ac:dyDescent="0.3">
      <c r="A590" s="71" t="s">
        <v>318</v>
      </c>
      <c r="B590" s="1">
        <v>200</v>
      </c>
      <c r="C590" s="1">
        <v>300</v>
      </c>
      <c r="D590" s="1">
        <v>650</v>
      </c>
      <c r="E590" s="55">
        <f t="shared" ref="E590" si="231">SUM(B590:D590)</f>
        <v>1150</v>
      </c>
      <c r="F590" s="1">
        <v>1613</v>
      </c>
      <c r="G590" s="1">
        <v>635</v>
      </c>
      <c r="H590" s="1">
        <v>1780</v>
      </c>
      <c r="I590" s="55">
        <f t="shared" ref="I590" si="232">SUM(F590:H590)</f>
        <v>4028</v>
      </c>
      <c r="J590" s="1">
        <v>949</v>
      </c>
      <c r="K590" s="1">
        <v>673</v>
      </c>
      <c r="L590" s="1"/>
      <c r="M590" s="55">
        <f t="shared" ref="M590" si="233">SUM(J590:L590)</f>
        <v>1622</v>
      </c>
      <c r="N590" s="1"/>
      <c r="O590" s="1"/>
      <c r="P590" s="1"/>
      <c r="Q590" s="55">
        <f t="shared" si="229"/>
        <v>0</v>
      </c>
      <c r="R590" s="55">
        <f t="shared" si="230"/>
        <v>6800</v>
      </c>
      <c r="T590" s="4" t="s">
        <v>987</v>
      </c>
    </row>
    <row r="591" spans="1:20" ht="15.75" customHeight="1" x14ac:dyDescent="0.3">
      <c r="A591" s="71" t="s">
        <v>763</v>
      </c>
      <c r="B591" s="1"/>
      <c r="C591" s="1"/>
      <c r="D591" s="1"/>
      <c r="E591" s="55">
        <f>SUM(B591:D591)</f>
        <v>0</v>
      </c>
      <c r="F591" s="1"/>
      <c r="G591" s="1"/>
      <c r="H591" s="1"/>
      <c r="I591" s="55">
        <f>SUM(F591:H591)</f>
        <v>0</v>
      </c>
      <c r="J591" s="1"/>
      <c r="K591" s="1"/>
      <c r="L591" s="1"/>
      <c r="M591" s="55">
        <f>SUM(J591:L591)</f>
        <v>0</v>
      </c>
      <c r="N591" s="1"/>
      <c r="O591" s="1"/>
      <c r="P591" s="1"/>
      <c r="Q591" s="55">
        <f>SUM(N591:P591)</f>
        <v>0</v>
      </c>
      <c r="R591" s="55">
        <f>+E591+I591+M591+Q591</f>
        <v>0</v>
      </c>
      <c r="T591" s="4" t="s">
        <v>988</v>
      </c>
    </row>
    <row r="592" spans="1:20" ht="15.75" customHeight="1" x14ac:dyDescent="0.3">
      <c r="A592" s="71" t="s">
        <v>572</v>
      </c>
      <c r="B592" s="1">
        <v>277</v>
      </c>
      <c r="C592" s="1">
        <v>400</v>
      </c>
      <c r="D592" s="1">
        <v>1500</v>
      </c>
      <c r="E592" s="55">
        <f t="shared" ref="E592" si="234">SUM(B592:D592)</f>
        <v>2177</v>
      </c>
      <c r="F592" s="1">
        <v>1737</v>
      </c>
      <c r="G592" s="1"/>
      <c r="H592" s="1"/>
      <c r="I592" s="55">
        <f t="shared" ref="I592" si="235">SUM(F592:H592)</f>
        <v>1737</v>
      </c>
      <c r="J592" s="1">
        <v>29</v>
      </c>
      <c r="K592" s="1">
        <v>62</v>
      </c>
      <c r="L592" s="1"/>
      <c r="M592" s="55">
        <f t="shared" ref="M592" si="236">SUM(J592:L592)</f>
        <v>91</v>
      </c>
      <c r="N592" s="1"/>
      <c r="O592" s="1"/>
      <c r="P592" s="1"/>
      <c r="Q592" s="55">
        <f t="shared" si="229"/>
        <v>0</v>
      </c>
      <c r="R592" s="55">
        <f t="shared" si="230"/>
        <v>4005</v>
      </c>
      <c r="T592" s="4" t="s">
        <v>988</v>
      </c>
    </row>
    <row r="593" spans="1:20" ht="15.75" customHeight="1" x14ac:dyDescent="0.3">
      <c r="A593" s="71" t="s">
        <v>989</v>
      </c>
      <c r="B593" s="1">
        <v>500</v>
      </c>
      <c r="C593" s="1">
        <v>500</v>
      </c>
      <c r="D593" s="1">
        <v>500</v>
      </c>
      <c r="E593" s="55">
        <f>SUM(B593:D593)</f>
        <v>1500</v>
      </c>
      <c r="G593" s="1">
        <v>500</v>
      </c>
      <c r="H593" s="1">
        <v>338</v>
      </c>
      <c r="I593" s="55">
        <f>SUM(F593:H593)</f>
        <v>838</v>
      </c>
      <c r="J593" s="1">
        <v>662</v>
      </c>
      <c r="K593" s="1"/>
      <c r="L593" s="1"/>
      <c r="M593" s="55">
        <f>SUM(J593:L593)</f>
        <v>662</v>
      </c>
      <c r="N593" s="1"/>
      <c r="O593" s="1"/>
      <c r="P593" s="1"/>
      <c r="Q593" s="55">
        <f>SUM(N593:P593)</f>
        <v>0</v>
      </c>
      <c r="R593" s="55">
        <f t="shared" si="230"/>
        <v>3000</v>
      </c>
    </row>
    <row r="594" spans="1:20" ht="15.75" customHeight="1" x14ac:dyDescent="0.3">
      <c r="A594" s="71" t="s">
        <v>319</v>
      </c>
      <c r="B594" s="1"/>
      <c r="C594" s="1"/>
      <c r="D594" s="1"/>
      <c r="E594" s="55">
        <f t="shared" ref="E594:E599" si="237">SUM(B594:D594)</f>
        <v>0</v>
      </c>
      <c r="F594" s="1"/>
      <c r="G594" s="1"/>
      <c r="H594" s="1"/>
      <c r="I594" s="55">
        <f t="shared" ref="I594:I598" si="238">SUM(F594:H594)</f>
        <v>0</v>
      </c>
      <c r="J594" s="1"/>
      <c r="K594" s="1">
        <v>1000</v>
      </c>
      <c r="L594" s="1">
        <v>1800</v>
      </c>
      <c r="M594" s="55">
        <f t="shared" ref="M594:M598" si="239">SUM(J594:L594)</f>
        <v>2800</v>
      </c>
      <c r="N594" s="1"/>
      <c r="O594" s="1"/>
      <c r="P594" s="1"/>
      <c r="Q594" s="55">
        <f t="shared" si="229"/>
        <v>0</v>
      </c>
      <c r="R594" s="55">
        <f t="shared" si="230"/>
        <v>2800</v>
      </c>
      <c r="T594" s="4" t="s">
        <v>988</v>
      </c>
    </row>
    <row r="595" spans="1:20" ht="15.75" customHeight="1" x14ac:dyDescent="0.3">
      <c r="A595" s="71" t="s">
        <v>990</v>
      </c>
      <c r="B595" s="1"/>
      <c r="C595" s="1"/>
      <c r="D595" s="1"/>
      <c r="E595" s="55">
        <f t="shared" si="237"/>
        <v>0</v>
      </c>
      <c r="F595" s="1">
        <v>454</v>
      </c>
      <c r="G595" s="1">
        <v>709</v>
      </c>
      <c r="H595" s="1">
        <v>400</v>
      </c>
      <c r="I595" s="55">
        <f t="shared" si="238"/>
        <v>1563</v>
      </c>
      <c r="J595" s="1">
        <v>773</v>
      </c>
      <c r="K595" s="1"/>
      <c r="L595" s="1"/>
      <c r="M595" s="55">
        <f t="shared" si="239"/>
        <v>773</v>
      </c>
      <c r="N595" s="1"/>
      <c r="O595" s="1"/>
      <c r="P595" s="1"/>
      <c r="Q595" s="55">
        <f>SUM(N595:P595)</f>
        <v>0</v>
      </c>
      <c r="R595" s="55">
        <f>+E595+I595+M595+Q595</f>
        <v>2336</v>
      </c>
    </row>
    <row r="596" spans="1:20" ht="15.75" customHeight="1" x14ac:dyDescent="0.3">
      <c r="A596" s="71" t="s">
        <v>321</v>
      </c>
      <c r="B596" s="1"/>
      <c r="C596" s="1"/>
      <c r="D596" s="1"/>
      <c r="E596" s="55">
        <f t="shared" si="237"/>
        <v>0</v>
      </c>
      <c r="F596" s="1"/>
      <c r="G596" s="1"/>
      <c r="H596" s="1"/>
      <c r="I596" s="55">
        <f t="shared" si="238"/>
        <v>0</v>
      </c>
      <c r="J596" s="1"/>
      <c r="K596" s="1"/>
      <c r="L596" s="1"/>
      <c r="M596" s="55">
        <f t="shared" si="239"/>
        <v>0</v>
      </c>
      <c r="N596" s="1"/>
      <c r="O596" s="1"/>
      <c r="P596" s="1"/>
      <c r="Q596" s="55">
        <f t="shared" si="229"/>
        <v>0</v>
      </c>
      <c r="R596" s="55">
        <f t="shared" si="230"/>
        <v>0</v>
      </c>
      <c r="T596" s="4" t="s">
        <v>988</v>
      </c>
    </row>
    <row r="597" spans="1:20" ht="15.75" customHeight="1" x14ac:dyDescent="0.3">
      <c r="A597" s="71" t="s">
        <v>1324</v>
      </c>
      <c r="B597" s="1">
        <v>326</v>
      </c>
      <c r="C597" s="1">
        <v>232</v>
      </c>
      <c r="D597" s="1">
        <v>742</v>
      </c>
      <c r="E597" s="55">
        <f t="shared" si="237"/>
        <v>1300</v>
      </c>
      <c r="F597" s="1">
        <v>650</v>
      </c>
      <c r="G597" s="1">
        <v>937</v>
      </c>
      <c r="H597" s="1"/>
      <c r="I597" s="55">
        <f t="shared" si="238"/>
        <v>1587</v>
      </c>
      <c r="J597" s="1"/>
      <c r="K597" s="1"/>
      <c r="L597" s="1"/>
      <c r="M597" s="55">
        <f t="shared" si="239"/>
        <v>0</v>
      </c>
      <c r="N597" s="1"/>
      <c r="O597" s="1"/>
      <c r="P597" s="1"/>
      <c r="Q597" s="55">
        <f t="shared" ref="Q597" si="240">SUM(N597:P597)</f>
        <v>0</v>
      </c>
      <c r="R597" s="55">
        <f t="shared" si="230"/>
        <v>2887</v>
      </c>
    </row>
    <row r="598" spans="1:20" ht="15.75" customHeight="1" x14ac:dyDescent="0.3">
      <c r="A598" s="71" t="s">
        <v>1325</v>
      </c>
      <c r="B598" s="1"/>
      <c r="C598" s="1"/>
      <c r="D598" s="1"/>
      <c r="E598" s="55">
        <f t="shared" si="237"/>
        <v>0</v>
      </c>
      <c r="F598" s="1"/>
      <c r="G598" s="1"/>
      <c r="H598" s="1"/>
      <c r="I598" s="55">
        <f t="shared" si="238"/>
        <v>0</v>
      </c>
      <c r="J598" s="1"/>
      <c r="K598" s="1"/>
      <c r="L598" s="1">
        <v>163</v>
      </c>
      <c r="M598" s="55">
        <f t="shared" si="239"/>
        <v>163</v>
      </c>
      <c r="N598" s="1">
        <v>477</v>
      </c>
      <c r="O598" s="1"/>
      <c r="P598" s="1"/>
      <c r="Q598" s="55">
        <f t="shared" ref="Q598" si="241">SUM(N598:P598)</f>
        <v>477</v>
      </c>
      <c r="R598" s="55">
        <f t="shared" si="230"/>
        <v>640</v>
      </c>
    </row>
    <row r="599" spans="1:20" ht="15.75" customHeight="1" x14ac:dyDescent="0.3">
      <c r="A599" s="71" t="s">
        <v>1326</v>
      </c>
      <c r="B599" s="1"/>
      <c r="C599" s="1"/>
      <c r="D599" s="1"/>
      <c r="E599" s="55">
        <f t="shared" si="237"/>
        <v>0</v>
      </c>
      <c r="F599" s="1"/>
      <c r="G599" s="1"/>
      <c r="H599" s="1"/>
      <c r="I599" s="55">
        <f>SUM(F599:H599)</f>
        <v>0</v>
      </c>
      <c r="J599" s="1"/>
      <c r="K599" s="1">
        <v>1128</v>
      </c>
      <c r="L599" s="1">
        <v>1726</v>
      </c>
      <c r="M599" s="55">
        <f>SUM(J599:L599)</f>
        <v>2854</v>
      </c>
      <c r="N599" s="1">
        <v>646</v>
      </c>
      <c r="O599" s="1"/>
      <c r="P599" s="1"/>
      <c r="Q599" s="55">
        <f>SUM(N599:P599)</f>
        <v>646</v>
      </c>
      <c r="R599" s="55">
        <f>+E599+I599+M599+Q599</f>
        <v>3500</v>
      </c>
      <c r="T599" s="4" t="s">
        <v>987</v>
      </c>
    </row>
    <row r="600" spans="1:20" ht="15.75" customHeight="1" x14ac:dyDescent="0.3">
      <c r="A600" s="15" t="s">
        <v>50</v>
      </c>
      <c r="B600" s="1"/>
      <c r="C600" s="1"/>
      <c r="D600" s="1"/>
      <c r="E600" s="55" t="s">
        <v>7</v>
      </c>
      <c r="F600" s="1"/>
      <c r="G600" s="1"/>
      <c r="H600" s="1"/>
      <c r="I600" s="55" t="s">
        <v>7</v>
      </c>
      <c r="J600" s="1"/>
      <c r="K600" s="1"/>
      <c r="L600" s="1"/>
      <c r="M600" s="55" t="s">
        <v>7</v>
      </c>
      <c r="N600" s="1"/>
      <c r="O600" s="1"/>
      <c r="P600" s="1"/>
      <c r="Q600" s="55" t="s">
        <v>7</v>
      </c>
      <c r="R600" s="55" t="s">
        <v>7</v>
      </c>
    </row>
    <row r="601" spans="1:20" ht="15.75" customHeight="1" x14ac:dyDescent="0.3">
      <c r="A601" s="71" t="s">
        <v>321</v>
      </c>
      <c r="B601" s="1"/>
      <c r="C601" s="1"/>
      <c r="D601" s="1"/>
      <c r="E601" s="55">
        <f>SUM(B601:D601)</f>
        <v>0</v>
      </c>
      <c r="F601" s="1"/>
      <c r="G601" s="1"/>
      <c r="H601" s="1"/>
      <c r="I601" s="55">
        <f>SUM(F601:H601)</f>
        <v>0</v>
      </c>
      <c r="J601" s="1"/>
      <c r="K601" s="1"/>
      <c r="L601" s="1"/>
      <c r="M601" s="55">
        <f>SUM(J601:L601)</f>
        <v>0</v>
      </c>
      <c r="N601" s="1"/>
      <c r="O601" s="1"/>
      <c r="P601" s="1"/>
      <c r="Q601" s="55">
        <f>SUM(N601:P601)</f>
        <v>0</v>
      </c>
      <c r="R601" s="55">
        <f>+E601+I601+M601+Q601</f>
        <v>0</v>
      </c>
      <c r="T601" s="4" t="s">
        <v>988</v>
      </c>
    </row>
    <row r="602" spans="1:20" ht="15.75" customHeight="1" x14ac:dyDescent="0.3">
      <c r="A602" s="15" t="s">
        <v>1186</v>
      </c>
      <c r="B602" s="1"/>
      <c r="C602" s="1"/>
      <c r="D602" s="1"/>
      <c r="E602" s="55" t="s">
        <v>7</v>
      </c>
      <c r="F602" s="1"/>
      <c r="G602" s="1"/>
      <c r="H602" s="1"/>
      <c r="I602" s="55" t="s">
        <v>7</v>
      </c>
      <c r="J602" s="1"/>
      <c r="K602" s="1"/>
      <c r="L602" s="1"/>
      <c r="M602" s="55" t="s">
        <v>7</v>
      </c>
      <c r="N602" s="1"/>
      <c r="O602" s="1"/>
      <c r="P602" s="1"/>
      <c r="Q602" s="55" t="s">
        <v>7</v>
      </c>
      <c r="R602" s="55" t="s">
        <v>7</v>
      </c>
    </row>
    <row r="603" spans="1:20" ht="15.75" customHeight="1" x14ac:dyDescent="0.3">
      <c r="A603" s="71" t="s">
        <v>1327</v>
      </c>
      <c r="B603" s="1"/>
      <c r="C603" s="1"/>
      <c r="D603" s="1">
        <v>190</v>
      </c>
      <c r="E603" s="55">
        <f>SUM(B603:D603)</f>
        <v>190</v>
      </c>
      <c r="F603" s="1"/>
      <c r="G603" s="1"/>
      <c r="H603" s="1"/>
      <c r="I603" s="55">
        <f>SUM(F603:H603)</f>
        <v>0</v>
      </c>
      <c r="J603" s="1"/>
      <c r="K603" s="1"/>
      <c r="L603" s="1"/>
      <c r="M603" s="55">
        <f>SUM(J603:L603)</f>
        <v>0</v>
      </c>
      <c r="N603" s="1"/>
      <c r="O603" s="1"/>
      <c r="P603" s="1"/>
      <c r="Q603" s="55">
        <f>SUM(N603:P603)</f>
        <v>0</v>
      </c>
      <c r="R603" s="55">
        <f>+E603+I603+M603+Q603</f>
        <v>190</v>
      </c>
      <c r="S603" s="478" t="s">
        <v>1259</v>
      </c>
      <c r="T603" s="4" t="s">
        <v>988</v>
      </c>
    </row>
    <row r="604" spans="1:20" ht="15.75" customHeight="1" thickBot="1" x14ac:dyDescent="0.35">
      <c r="A604" s="15" t="s">
        <v>53</v>
      </c>
      <c r="B604" s="1"/>
      <c r="C604" s="1"/>
      <c r="D604" s="1"/>
      <c r="E604" s="55" t="s">
        <v>7</v>
      </c>
      <c r="F604" s="1"/>
      <c r="G604" s="1"/>
      <c r="H604" s="1"/>
      <c r="I604" s="55" t="s">
        <v>7</v>
      </c>
      <c r="J604" s="1"/>
      <c r="K604" s="1"/>
      <c r="L604" s="1"/>
      <c r="M604" s="55" t="s">
        <v>7</v>
      </c>
      <c r="N604" s="1"/>
      <c r="O604" s="1"/>
      <c r="P604" s="1"/>
      <c r="Q604" s="55" t="s">
        <v>7</v>
      </c>
      <c r="R604" s="55" t="s">
        <v>7</v>
      </c>
    </row>
    <row r="605" spans="1:20" ht="16.5" customHeight="1" thickBot="1" x14ac:dyDescent="0.35">
      <c r="A605" s="109" t="s">
        <v>54</v>
      </c>
      <c r="B605" s="86">
        <f>SUM(B586:B604)</f>
        <v>1611</v>
      </c>
      <c r="C605" s="87">
        <f>SUM(C586:C604)</f>
        <v>1918</v>
      </c>
      <c r="D605" s="87">
        <f>SUM(D586:D604)</f>
        <v>4440</v>
      </c>
      <c r="E605" s="59">
        <f>SUM(B605:D605)</f>
        <v>7969</v>
      </c>
      <c r="F605" s="87">
        <f>SUM(F586:F604)</f>
        <v>4935</v>
      </c>
      <c r="G605" s="87">
        <f>SUM(G586:G604)</f>
        <v>3296</v>
      </c>
      <c r="H605" s="87">
        <f>SUM(H586:H604)</f>
        <v>2718</v>
      </c>
      <c r="I605" s="59">
        <f>SUM(F605:H605)</f>
        <v>10949</v>
      </c>
      <c r="J605" s="87">
        <f>SUM(J586:J604)</f>
        <v>3249</v>
      </c>
      <c r="K605" s="87">
        <f>SUM(K586:K604)</f>
        <v>3695</v>
      </c>
      <c r="L605" s="87">
        <f>SUM(L586:L604)</f>
        <v>4273</v>
      </c>
      <c r="M605" s="59">
        <f>SUM(J605:L605)</f>
        <v>11217</v>
      </c>
      <c r="N605" s="87">
        <f>SUM(N586:N604)</f>
        <v>1123</v>
      </c>
      <c r="O605" s="87">
        <f>SUM(O586:O604)</f>
        <v>0</v>
      </c>
      <c r="P605" s="87">
        <f>SUM(P586:P604)</f>
        <v>0</v>
      </c>
      <c r="Q605" s="59">
        <f>SUM(N605:P605)</f>
        <v>1123</v>
      </c>
      <c r="R605" s="59">
        <f>+E605+I605+M605+Q605</f>
        <v>31258</v>
      </c>
    </row>
    <row r="606" spans="1:20" ht="15.75" customHeight="1" x14ac:dyDescent="0.3">
      <c r="A606" s="15" t="s">
        <v>55</v>
      </c>
      <c r="B606" s="1"/>
      <c r="C606" s="1"/>
      <c r="D606" s="1"/>
      <c r="E606" s="55" t="s">
        <v>7</v>
      </c>
      <c r="F606" s="1"/>
      <c r="G606" s="1"/>
      <c r="H606" s="1"/>
      <c r="I606" s="55" t="s">
        <v>7</v>
      </c>
      <c r="J606" s="1"/>
      <c r="K606" s="1"/>
      <c r="L606" s="1"/>
      <c r="M606" s="55" t="s">
        <v>7</v>
      </c>
      <c r="N606" s="1"/>
      <c r="O606" s="1"/>
      <c r="P606" s="1"/>
      <c r="Q606" s="55" t="s">
        <v>7</v>
      </c>
      <c r="R606" s="55" t="s">
        <v>7</v>
      </c>
    </row>
    <row r="607" spans="1:20" ht="15.75" customHeight="1" x14ac:dyDescent="0.3">
      <c r="A607" s="15" t="s">
        <v>57</v>
      </c>
      <c r="B607" s="1"/>
      <c r="C607" s="1"/>
      <c r="D607" s="1"/>
      <c r="E607" s="55" t="s">
        <v>7</v>
      </c>
      <c r="F607" s="1"/>
      <c r="G607" s="1"/>
      <c r="H607" s="1"/>
      <c r="I607" s="55" t="s">
        <v>7</v>
      </c>
      <c r="J607" s="1"/>
      <c r="K607" s="1"/>
      <c r="L607" s="1"/>
      <c r="M607" s="55" t="s">
        <v>7</v>
      </c>
      <c r="N607" s="1"/>
      <c r="O607" s="1"/>
      <c r="P607" s="1"/>
      <c r="Q607" s="55" t="s">
        <v>7</v>
      </c>
      <c r="R607" s="55" t="s">
        <v>7</v>
      </c>
    </row>
    <row r="608" spans="1:20" ht="15.75" customHeight="1" x14ac:dyDescent="0.3">
      <c r="A608" s="71" t="s">
        <v>324</v>
      </c>
      <c r="B608" s="1"/>
      <c r="C608" s="1"/>
      <c r="D608" s="1"/>
      <c r="E608" s="55">
        <f>SUM(B608:D608)</f>
        <v>0</v>
      </c>
      <c r="F608" s="1"/>
      <c r="G608" s="1"/>
      <c r="H608" s="1"/>
      <c r="I608" s="55">
        <f>SUM(F608:H608)</f>
        <v>0</v>
      </c>
      <c r="J608" s="1"/>
      <c r="K608" s="1"/>
      <c r="L608" s="1"/>
      <c r="M608" s="55">
        <f>SUM(J608:L608)</f>
        <v>0</v>
      </c>
      <c r="N608" s="1"/>
      <c r="O608" s="1"/>
      <c r="P608" s="1"/>
      <c r="Q608" s="55">
        <f>SUM(N608:P608)</f>
        <v>0</v>
      </c>
      <c r="R608" s="55">
        <f>+E608+I608+M608+Q608</f>
        <v>0</v>
      </c>
    </row>
    <row r="609" spans="1:20" ht="15.75" customHeight="1" x14ac:dyDescent="0.3">
      <c r="A609" s="71" t="s">
        <v>659</v>
      </c>
      <c r="B609" s="1"/>
      <c r="C609" s="1"/>
      <c r="D609" s="1"/>
      <c r="E609" s="55">
        <f>SUM(B609:D609)</f>
        <v>0</v>
      </c>
      <c r="F609" s="1"/>
      <c r="G609" s="1"/>
      <c r="H609" s="1"/>
      <c r="I609" s="55">
        <f>SUM(F609:H609)</f>
        <v>0</v>
      </c>
      <c r="J609" s="1"/>
      <c r="K609" s="1"/>
      <c r="L609" s="1"/>
      <c r="M609" s="55">
        <f>SUM(J609:L609)</f>
        <v>0</v>
      </c>
      <c r="N609" s="1"/>
      <c r="O609" s="1"/>
      <c r="P609" s="1"/>
      <c r="Q609" s="55">
        <f>SUM(N609:P609)</f>
        <v>0</v>
      </c>
      <c r="R609" s="55">
        <f>+E609+I609+M609+Q609</f>
        <v>0</v>
      </c>
    </row>
    <row r="610" spans="1:20" ht="15.75" customHeight="1" thickBot="1" x14ac:dyDescent="0.35">
      <c r="A610" s="15" t="s">
        <v>58</v>
      </c>
      <c r="B610" s="1"/>
      <c r="C610" s="1"/>
      <c r="D610" s="1"/>
      <c r="E610" s="55" t="s">
        <v>7</v>
      </c>
      <c r="F610" s="1"/>
      <c r="G610" s="1"/>
      <c r="H610" s="1"/>
      <c r="I610" s="55" t="s">
        <v>7</v>
      </c>
      <c r="J610" s="1"/>
      <c r="K610" s="1"/>
      <c r="L610" s="1"/>
      <c r="M610" s="55" t="s">
        <v>7</v>
      </c>
      <c r="N610" s="1"/>
      <c r="O610" s="1"/>
      <c r="P610" s="1"/>
      <c r="Q610" s="55" t="s">
        <v>7</v>
      </c>
      <c r="R610" s="55" t="s">
        <v>7</v>
      </c>
    </row>
    <row r="611" spans="1:20" ht="16.5" customHeight="1" thickBot="1" x14ac:dyDescent="0.35">
      <c r="A611" s="57" t="s">
        <v>59</v>
      </c>
      <c r="B611" s="86">
        <f>SUM(B606:B610)</f>
        <v>0</v>
      </c>
      <c r="C611" s="87">
        <f>SUM(C606:C610)</f>
        <v>0</v>
      </c>
      <c r="D611" s="87">
        <f>SUM(D606:D610)</f>
        <v>0</v>
      </c>
      <c r="E611" s="59">
        <f>SUM(B611:D611)</f>
        <v>0</v>
      </c>
      <c r="F611" s="87">
        <f>SUM(F606:F610)</f>
        <v>0</v>
      </c>
      <c r="G611" s="87">
        <f>SUM(G606:G610)</f>
        <v>0</v>
      </c>
      <c r="H611" s="87">
        <f>SUM(H606:H610)</f>
        <v>0</v>
      </c>
      <c r="I611" s="59">
        <f>SUM(F611:H611)</f>
        <v>0</v>
      </c>
      <c r="J611" s="87">
        <f>SUM(J606:J610)</f>
        <v>0</v>
      </c>
      <c r="K611" s="87">
        <f>SUM(K606:K610)</f>
        <v>0</v>
      </c>
      <c r="L611" s="87">
        <f>SUM(L606:L610)</f>
        <v>0</v>
      </c>
      <c r="M611" s="59">
        <f>SUM(J611:L611)</f>
        <v>0</v>
      </c>
      <c r="N611" s="87">
        <f>SUM(N606:N610)</f>
        <v>0</v>
      </c>
      <c r="O611" s="87">
        <f>SUM(O606:O610)</f>
        <v>0</v>
      </c>
      <c r="P611" s="87">
        <f>SUM(P606:P610)</f>
        <v>0</v>
      </c>
      <c r="Q611" s="59">
        <f>SUM(N611:P611)</f>
        <v>0</v>
      </c>
      <c r="R611" s="59">
        <f>+E611+I611+M611+Q611</f>
        <v>0</v>
      </c>
    </row>
    <row r="612" spans="1:20" ht="15.75" customHeight="1" x14ac:dyDescent="0.3">
      <c r="A612" s="15" t="s">
        <v>60</v>
      </c>
      <c r="B612" s="1"/>
      <c r="C612" s="1"/>
      <c r="D612" s="1"/>
      <c r="E612" s="55" t="s">
        <v>7</v>
      </c>
      <c r="F612" s="1"/>
      <c r="G612" s="1"/>
      <c r="H612" s="1"/>
      <c r="I612" s="55" t="s">
        <v>7</v>
      </c>
      <c r="J612" s="1"/>
      <c r="K612" s="1"/>
      <c r="L612" s="1"/>
      <c r="M612" s="55" t="s">
        <v>7</v>
      </c>
      <c r="N612" s="1"/>
      <c r="O612" s="1"/>
      <c r="P612" s="1"/>
      <c r="Q612" s="55" t="s">
        <v>7</v>
      </c>
      <c r="R612" s="55" t="s">
        <v>7</v>
      </c>
    </row>
    <row r="613" spans="1:20" ht="15.75" customHeight="1" x14ac:dyDescent="0.3">
      <c r="A613" s="15" t="s">
        <v>61</v>
      </c>
      <c r="B613" s="1"/>
      <c r="C613" s="1"/>
      <c r="D613" s="1"/>
      <c r="E613" s="55" t="s">
        <v>7</v>
      </c>
      <c r="F613" s="1"/>
      <c r="G613" s="1"/>
      <c r="H613" s="1"/>
      <c r="I613" s="55" t="s">
        <v>7</v>
      </c>
      <c r="J613" s="1"/>
      <c r="K613" s="1"/>
      <c r="L613" s="1"/>
      <c r="M613" s="55" t="s">
        <v>7</v>
      </c>
      <c r="N613" s="1"/>
      <c r="O613" s="1"/>
      <c r="P613" s="1"/>
      <c r="Q613" s="55" t="s">
        <v>7</v>
      </c>
      <c r="R613" s="55" t="s">
        <v>7</v>
      </c>
    </row>
    <row r="614" spans="1:20" ht="15.75" customHeight="1" x14ac:dyDescent="0.3">
      <c r="A614" s="15" t="s">
        <v>62</v>
      </c>
      <c r="B614" s="1"/>
      <c r="C614" s="1"/>
      <c r="D614" s="1"/>
      <c r="E614" s="55" t="s">
        <v>7</v>
      </c>
      <c r="F614" s="1"/>
      <c r="G614" s="1"/>
      <c r="H614" s="1"/>
      <c r="I614" s="55" t="s">
        <v>7</v>
      </c>
      <c r="J614" s="1"/>
      <c r="K614" s="1"/>
      <c r="L614" s="1"/>
      <c r="M614" s="55" t="s">
        <v>7</v>
      </c>
      <c r="N614" s="1"/>
      <c r="O614" s="1"/>
      <c r="P614" s="1"/>
      <c r="Q614" s="55" t="s">
        <v>7</v>
      </c>
      <c r="R614" s="55" t="s">
        <v>7</v>
      </c>
    </row>
    <row r="615" spans="1:20" ht="15.75" customHeight="1" x14ac:dyDescent="0.3">
      <c r="A615" s="71" t="s">
        <v>1229</v>
      </c>
      <c r="B615" s="1"/>
      <c r="C615" s="1"/>
      <c r="D615" s="1"/>
      <c r="E615" s="55">
        <f t="shared" ref="E615:E616" si="242">SUM(B615:D615)</f>
        <v>0</v>
      </c>
      <c r="F615" s="1"/>
      <c r="G615" s="1"/>
      <c r="H615" s="1"/>
      <c r="I615" s="55">
        <f t="shared" ref="I615:I616" si="243">SUM(F615:H615)</f>
        <v>0</v>
      </c>
      <c r="J615" s="1"/>
      <c r="K615" s="1"/>
      <c r="L615" s="1"/>
      <c r="M615" s="55">
        <f t="shared" ref="M615:M616" si="244">SUM(J615:L615)</f>
        <v>0</v>
      </c>
      <c r="N615" s="1"/>
      <c r="O615" s="1"/>
      <c r="P615" s="1"/>
      <c r="Q615" s="55">
        <f>SUM(N615:P615)</f>
        <v>0</v>
      </c>
      <c r="R615" s="55">
        <f>+E615+I615+M615+Q615</f>
        <v>0</v>
      </c>
      <c r="T615" s="4" t="s">
        <v>988</v>
      </c>
    </row>
    <row r="616" spans="1:20" ht="15.75" customHeight="1" x14ac:dyDescent="0.3">
      <c r="A616" s="71" t="s">
        <v>1328</v>
      </c>
      <c r="B616" s="1"/>
      <c r="C616" s="1"/>
      <c r="D616" s="1">
        <v>328</v>
      </c>
      <c r="E616" s="55">
        <f t="shared" si="242"/>
        <v>328</v>
      </c>
      <c r="F616" s="1">
        <v>767</v>
      </c>
      <c r="G616" s="1"/>
      <c r="H616" s="1"/>
      <c r="I616" s="55">
        <f t="shared" si="243"/>
        <v>767</v>
      </c>
      <c r="J616" s="1"/>
      <c r="K616" s="1"/>
      <c r="L616" s="1"/>
      <c r="M616" s="55">
        <f t="shared" si="244"/>
        <v>0</v>
      </c>
      <c r="N616" s="1"/>
      <c r="O616" s="1"/>
      <c r="P616" s="1"/>
      <c r="Q616" s="55">
        <f t="shared" ref="Q616" si="245">SUM(N616:P616)</f>
        <v>0</v>
      </c>
      <c r="R616" s="55">
        <f t="shared" ref="R616:R618" si="246">+E616+I616+M616+Q616</f>
        <v>1095</v>
      </c>
    </row>
    <row r="617" spans="1:20" ht="15.75" customHeight="1" x14ac:dyDescent="0.3">
      <c r="A617" s="71" t="s">
        <v>1329</v>
      </c>
      <c r="B617" s="1"/>
      <c r="C617" s="1"/>
      <c r="D617" s="1"/>
      <c r="E617" s="55">
        <f>SUM(B617:D617)</f>
        <v>0</v>
      </c>
      <c r="F617" s="1">
        <v>276</v>
      </c>
      <c r="G617" s="1"/>
      <c r="H617" s="1"/>
      <c r="I617" s="55">
        <f>SUM(F617:H617)</f>
        <v>276</v>
      </c>
      <c r="J617" s="1"/>
      <c r="K617" s="1"/>
      <c r="L617" s="1"/>
      <c r="M617" s="55">
        <f>SUM(J617:L617)</f>
        <v>0</v>
      </c>
      <c r="N617" s="1"/>
      <c r="O617" s="1"/>
      <c r="P617" s="1"/>
      <c r="Q617" s="55">
        <f>SUM(N617:P617)</f>
        <v>0</v>
      </c>
      <c r="R617" s="55">
        <f t="shared" si="246"/>
        <v>276</v>
      </c>
    </row>
    <row r="618" spans="1:20" ht="15.75" customHeight="1" x14ac:dyDescent="0.3">
      <c r="A618" s="71" t="s">
        <v>1330</v>
      </c>
      <c r="B618" s="1"/>
      <c r="C618" s="1"/>
      <c r="D618" s="1"/>
      <c r="E618" s="55">
        <f>SUM(B618:D618)</f>
        <v>0</v>
      </c>
      <c r="F618" s="1">
        <v>224</v>
      </c>
      <c r="G618" s="1"/>
      <c r="H618" s="1"/>
      <c r="I618" s="55">
        <f>SUM(F618:H618)</f>
        <v>224</v>
      </c>
      <c r="J618" s="1"/>
      <c r="K618" s="1"/>
      <c r="L618" s="1"/>
      <c r="M618" s="55">
        <f>SUM(J618:L618)</f>
        <v>0</v>
      </c>
      <c r="N618" s="1"/>
      <c r="O618" s="1"/>
      <c r="P618" s="1"/>
      <c r="Q618" s="55">
        <f>SUM(N618:P618)</f>
        <v>0</v>
      </c>
      <c r="R618" s="55">
        <f t="shared" si="246"/>
        <v>224</v>
      </c>
    </row>
    <row r="619" spans="1:20" ht="15.75" customHeight="1" thickBot="1" x14ac:dyDescent="0.35">
      <c r="A619" s="71" t="s">
        <v>660</v>
      </c>
      <c r="B619" s="1"/>
      <c r="C619" s="1"/>
      <c r="D619" s="1"/>
      <c r="E619" s="55">
        <f>SUM(B619:D619)</f>
        <v>0</v>
      </c>
      <c r="F619" s="1"/>
      <c r="G619" s="1"/>
      <c r="H619" s="1"/>
      <c r="I619" s="55">
        <f>SUM(F619:H619)</f>
        <v>0</v>
      </c>
      <c r="J619" s="1"/>
      <c r="K619" s="1"/>
      <c r="L619" s="1"/>
      <c r="M619" s="55">
        <f>SUM(J619:L619)</f>
        <v>0</v>
      </c>
      <c r="N619" s="1"/>
      <c r="O619" s="1"/>
      <c r="P619" s="1"/>
      <c r="Q619" s="55">
        <f>SUM(N619:P619)</f>
        <v>0</v>
      </c>
      <c r="R619" s="55">
        <f>+E619+I619+M619+Q619</f>
        <v>0</v>
      </c>
      <c r="T619" s="4" t="s">
        <v>988</v>
      </c>
    </row>
    <row r="620" spans="1:20" ht="16.5" customHeight="1" thickBot="1" x14ac:dyDescent="0.35">
      <c r="A620" s="114" t="s">
        <v>63</v>
      </c>
      <c r="B620" s="86">
        <f>SUM(B612:B619)</f>
        <v>0</v>
      </c>
      <c r="C620" s="87">
        <f>SUM(C612:C619)</f>
        <v>0</v>
      </c>
      <c r="D620" s="87">
        <f>SUM(D612:D619)</f>
        <v>328</v>
      </c>
      <c r="E620" s="59">
        <f>SUM(B620:D620)</f>
        <v>328</v>
      </c>
      <c r="F620" s="87">
        <f>SUM(F612:F619)</f>
        <v>1267</v>
      </c>
      <c r="G620" s="87">
        <f>SUM(G612:G619)</f>
        <v>0</v>
      </c>
      <c r="H620" s="87">
        <f>SUM(H612:H619)</f>
        <v>0</v>
      </c>
      <c r="I620" s="59">
        <f>SUM(F620:H620)</f>
        <v>1267</v>
      </c>
      <c r="J620" s="87">
        <f>SUM(J612:J619)</f>
        <v>0</v>
      </c>
      <c r="K620" s="87">
        <f>SUM(K612:K619)</f>
        <v>0</v>
      </c>
      <c r="L620" s="87">
        <f>SUM(L612:L619)</f>
        <v>0</v>
      </c>
      <c r="M620" s="59">
        <f>SUM(J620:L620)</f>
        <v>0</v>
      </c>
      <c r="N620" s="87">
        <f>SUM(N612:N619)</f>
        <v>0</v>
      </c>
      <c r="O620" s="87">
        <f>SUM(O612:O619)</f>
        <v>0</v>
      </c>
      <c r="P620" s="87">
        <f>SUM(P612:P619)</f>
        <v>0</v>
      </c>
      <c r="Q620" s="59">
        <f>SUM(N620:P620)</f>
        <v>0</v>
      </c>
      <c r="R620" s="59">
        <f>+E620+I620+M620+Q620</f>
        <v>1595</v>
      </c>
    </row>
    <row r="621" spans="1:20" ht="15.75" customHeight="1" x14ac:dyDescent="0.3">
      <c r="A621" s="15" t="s">
        <v>64</v>
      </c>
      <c r="B621" s="1"/>
      <c r="C621" s="1"/>
      <c r="D621" s="1"/>
      <c r="E621" s="55" t="s">
        <v>7</v>
      </c>
      <c r="F621" s="1"/>
      <c r="G621" s="1"/>
      <c r="H621" s="1"/>
      <c r="I621" s="55" t="s">
        <v>7</v>
      </c>
      <c r="J621" s="1"/>
      <c r="K621" s="1"/>
      <c r="L621" s="1"/>
      <c r="M621" s="55" t="s">
        <v>7</v>
      </c>
      <c r="N621" s="1"/>
      <c r="O621" s="1"/>
      <c r="P621" s="1"/>
      <c r="Q621" s="55" t="s">
        <v>7</v>
      </c>
      <c r="R621" s="55" t="s">
        <v>7</v>
      </c>
    </row>
    <row r="622" spans="1:20" ht="15.75" customHeight="1" x14ac:dyDescent="0.3">
      <c r="A622" s="15" t="s">
        <v>594</v>
      </c>
      <c r="B622" s="1"/>
      <c r="C622" s="1"/>
      <c r="D622" s="1"/>
      <c r="E622" s="55" t="s">
        <v>7</v>
      </c>
      <c r="F622" s="1"/>
      <c r="G622" s="1"/>
      <c r="H622" s="1"/>
      <c r="I622" s="55" t="s">
        <v>7</v>
      </c>
      <c r="J622" s="1"/>
      <c r="K622" s="1"/>
      <c r="L622" s="1"/>
      <c r="M622" s="55" t="s">
        <v>7</v>
      </c>
      <c r="N622" s="1"/>
      <c r="O622" s="1"/>
      <c r="P622" s="1"/>
      <c r="Q622" s="55" t="s">
        <v>7</v>
      </c>
      <c r="R622" s="55" t="s">
        <v>7</v>
      </c>
    </row>
    <row r="623" spans="1:20" ht="15.75" customHeight="1" x14ac:dyDescent="0.3">
      <c r="A623" s="71" t="s">
        <v>1331</v>
      </c>
      <c r="B623" s="1"/>
      <c r="C623" s="1"/>
      <c r="D623" s="1"/>
      <c r="E623" s="55">
        <f>SUM(B623:D623)</f>
        <v>0</v>
      </c>
      <c r="F623" s="1"/>
      <c r="G623" s="1"/>
      <c r="H623" s="1"/>
      <c r="I623" s="55">
        <f>SUM(F623:H623)</f>
        <v>0</v>
      </c>
      <c r="J623" s="1"/>
      <c r="K623" s="1"/>
      <c r="L623" s="1"/>
      <c r="M623" s="55">
        <f>SUM(J623:L623)</f>
        <v>0</v>
      </c>
      <c r="N623" s="1"/>
      <c r="O623" s="1"/>
      <c r="P623" s="1"/>
      <c r="Q623" s="55">
        <f>SUM(N623:P623)</f>
        <v>0</v>
      </c>
      <c r="R623" s="55">
        <f>+E623+I623+M623+Q623</f>
        <v>0</v>
      </c>
      <c r="T623" s="4" t="s">
        <v>988</v>
      </c>
    </row>
    <row r="624" spans="1:20" ht="15.75" customHeight="1" x14ac:dyDescent="0.3">
      <c r="A624" s="71" t="s">
        <v>327</v>
      </c>
      <c r="B624" s="1"/>
      <c r="C624" s="1"/>
      <c r="D624" s="1"/>
      <c r="E624" s="55">
        <f>SUM(B624:D624)</f>
        <v>0</v>
      </c>
      <c r="F624" s="1"/>
      <c r="G624" s="1"/>
      <c r="H624" s="1"/>
      <c r="I624" s="55">
        <f>SUM(F624:H624)</f>
        <v>0</v>
      </c>
      <c r="J624" s="1"/>
      <c r="K624" s="1"/>
      <c r="L624" s="1"/>
      <c r="M624" s="55">
        <f>SUM(J624:L624)</f>
        <v>0</v>
      </c>
      <c r="N624" s="1"/>
      <c r="O624" s="1"/>
      <c r="P624" s="1"/>
      <c r="Q624" s="55">
        <f>SUM(N624:P624)</f>
        <v>0</v>
      </c>
      <c r="R624" s="55">
        <f>+E624+I624+M624+Q624</f>
        <v>0</v>
      </c>
      <c r="T624" s="4" t="s">
        <v>988</v>
      </c>
    </row>
    <row r="625" spans="1:20" ht="15.75" customHeight="1" x14ac:dyDescent="0.3">
      <c r="A625" s="15" t="s">
        <v>67</v>
      </c>
      <c r="B625" s="1"/>
      <c r="C625" s="1"/>
      <c r="D625" s="1"/>
      <c r="E625" s="55" t="s">
        <v>7</v>
      </c>
      <c r="F625" s="1"/>
      <c r="G625" s="1"/>
      <c r="H625" s="1"/>
      <c r="I625" s="55" t="s">
        <v>7</v>
      </c>
      <c r="J625" s="1"/>
      <c r="K625" s="1"/>
      <c r="L625" s="1"/>
      <c r="M625" s="55" t="s">
        <v>7</v>
      </c>
      <c r="N625" s="1"/>
      <c r="O625" s="1"/>
      <c r="P625" s="1"/>
      <c r="Q625" s="55" t="s">
        <v>7</v>
      </c>
      <c r="R625" s="55" t="s">
        <v>7</v>
      </c>
    </row>
    <row r="626" spans="1:20" ht="15.75" customHeight="1" x14ac:dyDescent="0.3">
      <c r="A626" s="71" t="s">
        <v>992</v>
      </c>
      <c r="B626" s="1"/>
      <c r="C626" s="1"/>
      <c r="D626" s="1"/>
      <c r="E626" s="55">
        <f>SUM(B626:D626)</f>
        <v>0</v>
      </c>
      <c r="F626" s="1"/>
      <c r="G626" s="1"/>
      <c r="H626" s="1"/>
      <c r="I626" s="55">
        <f>SUM(F626:H626)</f>
        <v>0</v>
      </c>
      <c r="J626" s="1"/>
      <c r="K626" s="1"/>
      <c r="L626" s="1"/>
      <c r="M626" s="55">
        <f>SUM(J626:L626)</f>
        <v>0</v>
      </c>
      <c r="N626" s="1"/>
      <c r="O626" s="1"/>
      <c r="P626" s="1"/>
      <c r="Q626" s="55">
        <f>SUM(N626:P626)</f>
        <v>0</v>
      </c>
      <c r="R626" s="55">
        <f>+E626+I626+M626+Q626</f>
        <v>0</v>
      </c>
    </row>
    <row r="627" spans="1:20" ht="15.75" customHeight="1" x14ac:dyDescent="0.3">
      <c r="A627" s="71" t="s">
        <v>768</v>
      </c>
      <c r="B627" s="1"/>
      <c r="C627" s="1"/>
      <c r="D627" s="1"/>
      <c r="E627" s="55">
        <f>SUM(B627:D627)</f>
        <v>0</v>
      </c>
      <c r="F627" s="1"/>
      <c r="G627" s="1"/>
      <c r="H627" s="1"/>
      <c r="I627" s="55">
        <f>SUM(F627:H627)</f>
        <v>0</v>
      </c>
      <c r="J627" s="1"/>
      <c r="K627" s="1"/>
      <c r="L627" s="1"/>
      <c r="M627" s="55">
        <f>SUM(J627:L627)</f>
        <v>0</v>
      </c>
      <c r="N627" s="1"/>
      <c r="O627" s="1"/>
      <c r="P627" s="1"/>
      <c r="Q627" s="55">
        <f>SUM(N627:P627)</f>
        <v>0</v>
      </c>
      <c r="R627" s="55">
        <f>+E627+I627+M627+Q627</f>
        <v>0</v>
      </c>
      <c r="S627" s="4" t="s">
        <v>1264</v>
      </c>
    </row>
    <row r="628" spans="1:20" ht="15.75" customHeight="1" x14ac:dyDescent="0.3">
      <c r="A628" s="71" t="s">
        <v>769</v>
      </c>
      <c r="B628" s="1"/>
      <c r="C628" s="1">
        <v>2623</v>
      </c>
      <c r="D628" s="1">
        <v>2052</v>
      </c>
      <c r="E628" s="55">
        <f>SUM(B628:D628)</f>
        <v>4675</v>
      </c>
      <c r="F628" s="1"/>
      <c r="G628" s="1"/>
      <c r="H628" s="1"/>
      <c r="I628" s="55">
        <f>SUM(F628:H628)</f>
        <v>0</v>
      </c>
      <c r="J628" s="1"/>
      <c r="K628" s="1"/>
      <c r="L628" s="1"/>
      <c r="M628" s="55">
        <f>SUM(J628:L628)</f>
        <v>0</v>
      </c>
      <c r="N628" s="1">
        <v>1991</v>
      </c>
      <c r="O628" s="1"/>
      <c r="P628" s="1"/>
      <c r="Q628" s="55">
        <f>SUM(N628:P628)</f>
        <v>1991</v>
      </c>
      <c r="R628" s="55">
        <f>+E628+I628+M628+Q628</f>
        <v>6666</v>
      </c>
      <c r="T628" s="4" t="s">
        <v>988</v>
      </c>
    </row>
    <row r="629" spans="1:20" ht="15.75" customHeight="1" x14ac:dyDescent="0.3">
      <c r="A629" s="71" t="s">
        <v>770</v>
      </c>
      <c r="B629" s="1"/>
      <c r="C629" s="1"/>
      <c r="D629" s="1"/>
      <c r="E629" s="55">
        <f>SUM(B629:D629)</f>
        <v>0</v>
      </c>
      <c r="F629" s="1"/>
      <c r="G629" s="1"/>
      <c r="H629" s="1"/>
      <c r="I629" s="55">
        <f>SUM(F629:H629)</f>
        <v>0</v>
      </c>
      <c r="J629" s="1"/>
      <c r="K629" s="1"/>
      <c r="L629" s="1"/>
      <c r="M629" s="55">
        <f>SUM(J629:L629)</f>
        <v>0</v>
      </c>
      <c r="N629" s="1"/>
      <c r="O629" s="1"/>
      <c r="P629" s="1"/>
      <c r="Q629" s="55">
        <f>SUM(N629:P629)</f>
        <v>0</v>
      </c>
      <c r="R629" s="55">
        <f>+E629+I629+M629+Q629</f>
        <v>0</v>
      </c>
      <c r="S629" s="4" t="s">
        <v>1264</v>
      </c>
      <c r="T629" s="4" t="s">
        <v>988</v>
      </c>
    </row>
    <row r="630" spans="1:20" ht="15.75" customHeight="1" x14ac:dyDescent="0.3">
      <c r="A630" s="15" t="s">
        <v>600</v>
      </c>
      <c r="B630" s="1"/>
      <c r="C630" s="1"/>
      <c r="D630" s="1"/>
      <c r="E630" s="55" t="s">
        <v>7</v>
      </c>
      <c r="F630" s="1"/>
      <c r="G630" s="1"/>
      <c r="H630" s="1"/>
      <c r="I630" s="55" t="s">
        <v>7</v>
      </c>
      <c r="J630" s="1"/>
      <c r="K630" s="1"/>
      <c r="L630" s="1"/>
      <c r="M630" s="55" t="s">
        <v>7</v>
      </c>
      <c r="N630" s="1"/>
      <c r="O630" s="1"/>
      <c r="P630" s="1"/>
      <c r="Q630" s="55" t="s">
        <v>7</v>
      </c>
      <c r="R630" s="55" t="s">
        <v>7</v>
      </c>
    </row>
    <row r="631" spans="1:20" ht="15.75" customHeight="1" x14ac:dyDescent="0.3">
      <c r="A631" s="71" t="s">
        <v>1332</v>
      </c>
      <c r="B631" s="1"/>
      <c r="C631" s="1"/>
      <c r="D631" s="1"/>
      <c r="E631" s="55">
        <f>SUM(B631:D631)</f>
        <v>0</v>
      </c>
      <c r="F631" s="1"/>
      <c r="G631" s="1"/>
      <c r="H631" s="1"/>
      <c r="I631" s="55">
        <f>SUM(F631:H631)</f>
        <v>0</v>
      </c>
      <c r="J631" s="1"/>
      <c r="K631" s="1"/>
      <c r="L631" s="1"/>
      <c r="M631" s="55">
        <f>SUM(J631:L631)</f>
        <v>0</v>
      </c>
      <c r="N631" s="1">
        <v>227</v>
      </c>
      <c r="O631" s="1">
        <v>685</v>
      </c>
      <c r="P631" s="1">
        <v>88</v>
      </c>
      <c r="Q631" s="55">
        <f>SUM(N631:P631)</f>
        <v>1000</v>
      </c>
      <c r="R631" s="55">
        <f>+E631+I631+M631+Q631</f>
        <v>1000</v>
      </c>
    </row>
    <row r="632" spans="1:20" ht="15.75" customHeight="1" x14ac:dyDescent="0.3">
      <c r="A632" s="71" t="s">
        <v>1333</v>
      </c>
      <c r="B632" s="1"/>
      <c r="C632" s="1"/>
      <c r="D632" s="1"/>
      <c r="E632" s="55">
        <f>SUM(B632:D632)</f>
        <v>0</v>
      </c>
      <c r="F632" s="1"/>
      <c r="G632" s="1">
        <v>500</v>
      </c>
      <c r="H632" s="1">
        <v>500</v>
      </c>
      <c r="I632" s="55">
        <f>SUM(F632:H632)</f>
        <v>1000</v>
      </c>
      <c r="J632" s="1"/>
      <c r="K632" s="1">
        <v>1000</v>
      </c>
      <c r="L632" s="1"/>
      <c r="M632" s="55">
        <f>SUM(J632:L632)</f>
        <v>1000</v>
      </c>
      <c r="N632" s="1"/>
      <c r="O632" s="1"/>
      <c r="P632" s="1"/>
      <c r="Q632" s="55">
        <f>SUM(N632:P632)</f>
        <v>0</v>
      </c>
      <c r="R632" s="55">
        <f>+E632+I632+M632+Q632</f>
        <v>2000</v>
      </c>
    </row>
    <row r="633" spans="1:20" ht="15.75" customHeight="1" x14ac:dyDescent="0.3">
      <c r="A633" s="15" t="s">
        <v>70</v>
      </c>
      <c r="B633" s="1"/>
      <c r="C633" s="1"/>
      <c r="D633" s="1"/>
      <c r="E633" s="55" t="s">
        <v>7</v>
      </c>
      <c r="F633" s="1"/>
      <c r="G633" s="1"/>
      <c r="H633" s="1"/>
      <c r="I633" s="55" t="s">
        <v>7</v>
      </c>
      <c r="J633" s="1"/>
      <c r="K633" s="1"/>
      <c r="L633" s="1"/>
      <c r="M633" s="55" t="s">
        <v>7</v>
      </c>
      <c r="N633" s="1"/>
      <c r="O633" s="1"/>
      <c r="P633" s="1"/>
      <c r="Q633" s="55" t="s">
        <v>7</v>
      </c>
      <c r="R633" s="55" t="s">
        <v>7</v>
      </c>
    </row>
    <row r="634" spans="1:20" ht="15.75" customHeight="1" x14ac:dyDescent="0.3">
      <c r="A634" s="71" t="s">
        <v>993</v>
      </c>
      <c r="B634" s="1"/>
      <c r="C634" s="1"/>
      <c r="D634" s="1"/>
      <c r="E634" s="55">
        <f t="shared" ref="E634:E636" si="247">SUM(B634:D634)</f>
        <v>0</v>
      </c>
      <c r="F634" s="1"/>
      <c r="G634" s="1"/>
      <c r="H634" s="1"/>
      <c r="I634" s="55">
        <f t="shared" ref="I634:I636" si="248">SUM(F634:H634)</f>
        <v>0</v>
      </c>
      <c r="J634" s="1"/>
      <c r="K634" s="1"/>
      <c r="L634" s="1"/>
      <c r="M634" s="55">
        <f t="shared" ref="M634:M636" si="249">SUM(J634:L634)</f>
        <v>0</v>
      </c>
      <c r="N634" s="1"/>
      <c r="O634" s="1"/>
      <c r="P634" s="1"/>
      <c r="Q634" s="55">
        <f t="shared" ref="Q634:Q640" si="250">SUM(N634:P634)</f>
        <v>0</v>
      </c>
      <c r="R634" s="55">
        <f t="shared" ref="R634:R640" si="251">+E634+I634+M634+Q634</f>
        <v>0</v>
      </c>
    </row>
    <row r="635" spans="1:20" ht="15.75" customHeight="1" x14ac:dyDescent="0.3">
      <c r="A635" s="71" t="s">
        <v>1334</v>
      </c>
      <c r="B635" s="1"/>
      <c r="C635" s="1"/>
      <c r="D635" s="1"/>
      <c r="E635" s="55">
        <f t="shared" ref="E635" si="252">SUM(B635:D635)</f>
        <v>0</v>
      </c>
      <c r="F635" s="1"/>
      <c r="G635" s="1"/>
      <c r="H635" s="1"/>
      <c r="I635" s="55">
        <f t="shared" ref="I635" si="253">SUM(F635:H635)</f>
        <v>0</v>
      </c>
      <c r="J635" s="1"/>
      <c r="K635" s="1">
        <v>733</v>
      </c>
      <c r="L635" s="1">
        <v>758</v>
      </c>
      <c r="M635" s="55">
        <f t="shared" ref="M635" si="254">SUM(J635:L635)</f>
        <v>1491</v>
      </c>
      <c r="N635" s="1"/>
      <c r="O635" s="1">
        <v>5</v>
      </c>
      <c r="P635" s="1">
        <v>4</v>
      </c>
      <c r="Q635" s="55">
        <f t="shared" ref="Q635" si="255">SUM(N635:P635)</f>
        <v>9</v>
      </c>
      <c r="R635" s="55">
        <f t="shared" si="251"/>
        <v>1500</v>
      </c>
      <c r="S635" s="4" t="s">
        <v>1264</v>
      </c>
    </row>
    <row r="636" spans="1:20" ht="15.75" customHeight="1" thickBot="1" x14ac:dyDescent="0.35">
      <c r="A636" s="71" t="s">
        <v>771</v>
      </c>
      <c r="B636" s="1"/>
      <c r="C636" s="1"/>
      <c r="D636" s="1"/>
      <c r="E636" s="55">
        <f t="shared" si="247"/>
        <v>0</v>
      </c>
      <c r="F636" s="1"/>
      <c r="G636" s="1"/>
      <c r="H636" s="1"/>
      <c r="I636" s="55">
        <f t="shared" si="248"/>
        <v>0</v>
      </c>
      <c r="J636" s="1">
        <v>1000</v>
      </c>
      <c r="K636" s="1"/>
      <c r="L636" s="1"/>
      <c r="M636" s="55">
        <f t="shared" si="249"/>
        <v>1000</v>
      </c>
      <c r="N636" s="1"/>
      <c r="O636" s="1"/>
      <c r="P636" s="1"/>
      <c r="Q636" s="55">
        <f t="shared" si="250"/>
        <v>0</v>
      </c>
      <c r="R636" s="55">
        <f t="shared" si="251"/>
        <v>1000</v>
      </c>
    </row>
    <row r="637" spans="1:20" ht="16.5" customHeight="1" thickBot="1" x14ac:dyDescent="0.35">
      <c r="A637" s="57" t="s">
        <v>71</v>
      </c>
      <c r="B637" s="146">
        <f>SUM(B630:B636)</f>
        <v>0</v>
      </c>
      <c r="C637" s="146">
        <f>SUM(C630:C636)</f>
        <v>0</v>
      </c>
      <c r="D637" s="146">
        <f>SUM(D630:D636)</f>
        <v>0</v>
      </c>
      <c r="E637" s="60">
        <f t="shared" ref="E637:E640" si="256">SUM(B637:D637)</f>
        <v>0</v>
      </c>
      <c r="F637" s="146">
        <f>SUM(F630:F636)</f>
        <v>0</v>
      </c>
      <c r="G637" s="146">
        <f>SUM(G630:G636)</f>
        <v>500</v>
      </c>
      <c r="H637" s="146">
        <f>SUM(H630:H636)</f>
        <v>500</v>
      </c>
      <c r="I637" s="60">
        <f t="shared" ref="I637:I640" si="257">SUM(F637:H637)</f>
        <v>1000</v>
      </c>
      <c r="J637" s="146">
        <f>SUM(J630:J636)</f>
        <v>1000</v>
      </c>
      <c r="K637" s="146">
        <f>SUM(K630:K636)</f>
        <v>1733</v>
      </c>
      <c r="L637" s="146">
        <f>SUM(L630:L636)</f>
        <v>758</v>
      </c>
      <c r="M637" s="60">
        <f t="shared" ref="M637:M640" si="258">SUM(J637:L637)</f>
        <v>3491</v>
      </c>
      <c r="N637" s="146">
        <f>SUM(N630:N636)</f>
        <v>227</v>
      </c>
      <c r="O637" s="146">
        <f>SUM(O630:O636)</f>
        <v>690</v>
      </c>
      <c r="P637" s="146">
        <f>SUM(P630:P636)</f>
        <v>92</v>
      </c>
      <c r="Q637" s="60">
        <f t="shared" si="250"/>
        <v>1009</v>
      </c>
      <c r="R637" s="59">
        <f t="shared" si="251"/>
        <v>5500</v>
      </c>
    </row>
    <row r="638" spans="1:20" ht="16.5" customHeight="1" thickBot="1" x14ac:dyDescent="0.35">
      <c r="A638" s="114" t="s">
        <v>72</v>
      </c>
      <c r="B638" s="86">
        <f>SUM(B621:B636)</f>
        <v>0</v>
      </c>
      <c r="C638" s="87">
        <f>SUM(C621:C636)</f>
        <v>2623</v>
      </c>
      <c r="D638" s="118">
        <f>SUM(D621:D636)</f>
        <v>2052</v>
      </c>
      <c r="E638" s="60">
        <f t="shared" si="256"/>
        <v>4675</v>
      </c>
      <c r="F638" s="86">
        <f>SUM(F621:F636)</f>
        <v>0</v>
      </c>
      <c r="G638" s="87">
        <f>SUM(G621:G636)</f>
        <v>500</v>
      </c>
      <c r="H638" s="118">
        <f>SUM(H621:H636)</f>
        <v>500</v>
      </c>
      <c r="I638" s="60">
        <f t="shared" si="257"/>
        <v>1000</v>
      </c>
      <c r="J638" s="86">
        <f>SUM(J621:J636)</f>
        <v>1000</v>
      </c>
      <c r="K638" s="87">
        <f>SUM(K621:K636)</f>
        <v>1733</v>
      </c>
      <c r="L638" s="118">
        <f>SUM(L621:L636)</f>
        <v>758</v>
      </c>
      <c r="M638" s="60">
        <f t="shared" si="258"/>
        <v>3491</v>
      </c>
      <c r="N638" s="86">
        <f>SUM(N621:N636)</f>
        <v>2218</v>
      </c>
      <c r="O638" s="87">
        <f>SUM(O621:O636)</f>
        <v>690</v>
      </c>
      <c r="P638" s="118">
        <f>SUM(P621:P636)</f>
        <v>92</v>
      </c>
      <c r="Q638" s="60">
        <f t="shared" si="250"/>
        <v>3000</v>
      </c>
      <c r="R638" s="59">
        <f t="shared" si="251"/>
        <v>12166</v>
      </c>
    </row>
    <row r="639" spans="1:20" ht="16.5" customHeight="1" thickBot="1" x14ac:dyDescent="0.35">
      <c r="A639" s="57" t="s">
        <v>73</v>
      </c>
      <c r="B639" s="148">
        <f>+B605+B611+B620+B638</f>
        <v>1611</v>
      </c>
      <c r="C639" s="149">
        <f>+C605+C611+C620+C638</f>
        <v>4541</v>
      </c>
      <c r="D639" s="149">
        <f>+D605+D611+D620+D638</f>
        <v>6820</v>
      </c>
      <c r="E639" s="59">
        <f t="shared" si="256"/>
        <v>12972</v>
      </c>
      <c r="F639" s="58">
        <f>+F605+F611+F620+F638</f>
        <v>6202</v>
      </c>
      <c r="G639" s="58">
        <f>+G605+G611+G620+G638</f>
        <v>3796</v>
      </c>
      <c r="H639" s="58">
        <f>+H605+H611+H620+H638</f>
        <v>3218</v>
      </c>
      <c r="I639" s="59">
        <f t="shared" si="257"/>
        <v>13216</v>
      </c>
      <c r="J639" s="58">
        <f>+J605+J611+J620+J638</f>
        <v>4249</v>
      </c>
      <c r="K639" s="58">
        <f>+K605+K611+K620+K638</f>
        <v>5428</v>
      </c>
      <c r="L639" s="58">
        <f>+L605+L611+L620+L638</f>
        <v>5031</v>
      </c>
      <c r="M639" s="59">
        <f t="shared" si="258"/>
        <v>14708</v>
      </c>
      <c r="N639" s="58">
        <f>+N605+N611+N620+N638</f>
        <v>3341</v>
      </c>
      <c r="O639" s="58">
        <f>+O605+O611+O620+O638</f>
        <v>690</v>
      </c>
      <c r="P639" s="58">
        <f>+P605+P611+P620+P638</f>
        <v>92</v>
      </c>
      <c r="Q639" s="59">
        <f t="shared" si="250"/>
        <v>4123</v>
      </c>
      <c r="R639" s="81">
        <f t="shared" si="251"/>
        <v>45019</v>
      </c>
    </row>
    <row r="640" spans="1:20" ht="16.5" customHeight="1" thickBot="1" x14ac:dyDescent="0.35">
      <c r="A640" s="39" t="s">
        <v>40</v>
      </c>
      <c r="B640" s="21">
        <v>17</v>
      </c>
      <c r="C640" s="21">
        <v>47</v>
      </c>
      <c r="D640" s="21">
        <v>84</v>
      </c>
      <c r="E640" s="55">
        <f t="shared" si="256"/>
        <v>148</v>
      </c>
      <c r="F640" s="21">
        <v>116</v>
      </c>
      <c r="G640" s="21">
        <v>132</v>
      </c>
      <c r="H640" s="21">
        <v>138</v>
      </c>
      <c r="I640" s="55">
        <f t="shared" si="257"/>
        <v>386</v>
      </c>
      <c r="J640" s="21">
        <v>126</v>
      </c>
      <c r="K640" s="21">
        <v>95</v>
      </c>
      <c r="L640" s="21">
        <v>99</v>
      </c>
      <c r="M640" s="55">
        <f t="shared" si="258"/>
        <v>320</v>
      </c>
      <c r="N640" s="21">
        <v>91</v>
      </c>
      <c r="O640" s="21">
        <v>67</v>
      </c>
      <c r="P640" s="21">
        <v>38</v>
      </c>
      <c r="Q640" s="55">
        <f t="shared" si="250"/>
        <v>196</v>
      </c>
      <c r="R640" s="55">
        <f t="shared" si="251"/>
        <v>1050</v>
      </c>
    </row>
    <row r="641" spans="1:18" ht="16.5" customHeight="1" thickBot="1" x14ac:dyDescent="0.35">
      <c r="A641" s="41"/>
      <c r="B641" s="36"/>
      <c r="C641" s="36"/>
      <c r="D641" s="36"/>
      <c r="E641" s="42"/>
      <c r="F641" s="36"/>
      <c r="G641" s="36"/>
      <c r="H641" s="36"/>
      <c r="I641" s="42"/>
      <c r="J641" s="36"/>
      <c r="K641" s="36"/>
      <c r="L641" s="36"/>
      <c r="M641" s="42"/>
      <c r="N641" s="36"/>
      <c r="O641" s="36"/>
      <c r="P641" s="36"/>
      <c r="Q641" s="42"/>
      <c r="R641" s="42"/>
    </row>
    <row r="642" spans="1:18" ht="15.75" customHeight="1" x14ac:dyDescent="0.3">
      <c r="A642" s="76" t="s">
        <v>314</v>
      </c>
      <c r="B642" s="77">
        <f>SUM(B639:B640)</f>
        <v>1628</v>
      </c>
      <c r="C642" s="77">
        <f>SUM(C639:C640)</f>
        <v>4588</v>
      </c>
      <c r="D642" s="77">
        <f>SUM(D639:D640)</f>
        <v>6904</v>
      </c>
      <c r="E642" s="60">
        <f>SUM(B642:D642)</f>
        <v>13120</v>
      </c>
      <c r="F642" s="77">
        <f>SUM(F639:F640)</f>
        <v>6318</v>
      </c>
      <c r="G642" s="77">
        <f>SUM(G639:G640)</f>
        <v>3928</v>
      </c>
      <c r="H642" s="77">
        <f>SUM(H639:H640)</f>
        <v>3356</v>
      </c>
      <c r="I642" s="60">
        <f>SUM(F642:H642)</f>
        <v>13602</v>
      </c>
      <c r="J642" s="77">
        <f>SUM(J639:J640)</f>
        <v>4375</v>
      </c>
      <c r="K642" s="77">
        <f>SUM(K639:K640)</f>
        <v>5523</v>
      </c>
      <c r="L642" s="77">
        <f>SUM(L639:L640)</f>
        <v>5130</v>
      </c>
      <c r="M642" s="60">
        <f>SUM(J642:L642)</f>
        <v>15028</v>
      </c>
      <c r="N642" s="77">
        <f>SUM(N639:N640)</f>
        <v>3432</v>
      </c>
      <c r="O642" s="77">
        <f>SUM(O639:O640)</f>
        <v>757</v>
      </c>
      <c r="P642" s="77">
        <f>SUM(P639:P640)</f>
        <v>130</v>
      </c>
      <c r="Q642" s="60">
        <f>SUM(N642:P642)</f>
        <v>4319</v>
      </c>
      <c r="R642" s="60">
        <f>+E642+I642+M642+Q642</f>
        <v>46069</v>
      </c>
    </row>
    <row r="643" spans="1:18" ht="15.75" customHeight="1" x14ac:dyDescent="0.3">
      <c r="A643" s="79" t="s">
        <v>42</v>
      </c>
      <c r="B643" s="1">
        <f>(B642/B10)/1.983</f>
        <v>26.483171473655098</v>
      </c>
      <c r="C643" s="1">
        <f>(C642/C10)/1.983</f>
        <v>82.630934370722571</v>
      </c>
      <c r="D643" s="1">
        <f>(D642/D10)/1.983</f>
        <v>112.30946919785922</v>
      </c>
      <c r="E643" s="55" t="s">
        <v>7</v>
      </c>
      <c r="F643" s="1">
        <f>(F642/F10)/1.983</f>
        <v>106.20272314674735</v>
      </c>
      <c r="G643" s="1">
        <f>(G642/G10)/1.983</f>
        <v>63.897971467148174</v>
      </c>
      <c r="H643" s="1">
        <f>(H642/H10)/1.983</f>
        <v>56.412842494536889</v>
      </c>
      <c r="I643" s="55" t="s">
        <v>7</v>
      </c>
      <c r="J643" s="1">
        <f>(J642/J10)/1.983</f>
        <v>71.169456509361822</v>
      </c>
      <c r="K643" s="1">
        <f>(K642/K10)/1.983</f>
        <v>89.844321897418368</v>
      </c>
      <c r="L643" s="1">
        <f>(L642/L10)/1.983</f>
        <v>86.232980332829044</v>
      </c>
      <c r="M643" s="55" t="s">
        <v>7</v>
      </c>
      <c r="N643" s="1">
        <f>(N642/N10)/1.983</f>
        <v>55.829388512029666</v>
      </c>
      <c r="O643" s="1">
        <f>(O642/O10)/1.983</f>
        <v>12.724827702134812</v>
      </c>
      <c r="P643" s="1">
        <f>(P642/P10)/1.983</f>
        <v>2.1147495648496086</v>
      </c>
      <c r="Q643" s="55" t="s">
        <v>7</v>
      </c>
      <c r="R643" s="55" t="s">
        <v>7</v>
      </c>
    </row>
    <row r="644" spans="1:18" ht="15.75" customHeight="1" x14ac:dyDescent="0.3">
      <c r="A644" s="79" t="s">
        <v>332</v>
      </c>
      <c r="B644" s="1">
        <f>B642+B654</f>
        <v>13625</v>
      </c>
      <c r="C644" s="1">
        <f>C642+C654</f>
        <v>21321</v>
      </c>
      <c r="D644" s="1">
        <f>D642+D654</f>
        <v>26714</v>
      </c>
      <c r="E644" s="55">
        <f>SUM(B644:D644)</f>
        <v>61660</v>
      </c>
      <c r="F644" s="1">
        <f>F642+F654</f>
        <v>29062</v>
      </c>
      <c r="G644" s="1">
        <f>G642+G654</f>
        <v>26704</v>
      </c>
      <c r="H644" s="1">
        <f>H642+H654</f>
        <v>23016</v>
      </c>
      <c r="I644" s="55">
        <f>SUM(F644:H644)</f>
        <v>78782</v>
      </c>
      <c r="J644" s="1">
        <f>J642+J654</f>
        <v>22776</v>
      </c>
      <c r="K644" s="1">
        <f>K642+K654</f>
        <v>28147</v>
      </c>
      <c r="L644" s="1">
        <f>L642+L654</f>
        <v>23993</v>
      </c>
      <c r="M644" s="55">
        <f>SUM(J644:L644)</f>
        <v>74916</v>
      </c>
      <c r="N644" s="1">
        <f>N642+N654</f>
        <v>12436</v>
      </c>
      <c r="O644" s="1">
        <f>O642+O654</f>
        <v>5191</v>
      </c>
      <c r="P644" s="1">
        <f>P642+P654</f>
        <v>5274</v>
      </c>
      <c r="Q644" s="55">
        <f>SUM(N644:P644)</f>
        <v>22901</v>
      </c>
      <c r="R644" s="55">
        <f>+E644+I644+M644+Q644</f>
        <v>238259</v>
      </c>
    </row>
    <row r="645" spans="1:18" ht="16.5" customHeight="1" thickBot="1" x14ac:dyDescent="0.35">
      <c r="A645" s="80" t="s">
        <v>333</v>
      </c>
      <c r="B645" s="25">
        <f>(B644/B10)/1.983</f>
        <v>221.64202170058397</v>
      </c>
      <c r="C645" s="25">
        <f>(C644/C10)/1.983</f>
        <v>383.99610979036089</v>
      </c>
      <c r="D645" s="25">
        <f>(D644/D10)/1.983</f>
        <v>434.56476827224958</v>
      </c>
      <c r="E645" s="81" t="s">
        <v>7</v>
      </c>
      <c r="F645" s="25">
        <f>(F644/F10)/1.983</f>
        <v>488.51907883677927</v>
      </c>
      <c r="G645" s="25">
        <f>(G644/G10)/1.983</f>
        <v>434.40209522879957</v>
      </c>
      <c r="H645" s="25">
        <f>(H644/H10)/1.983</f>
        <v>386.88855269793243</v>
      </c>
      <c r="I645" s="81" t="s">
        <v>7</v>
      </c>
      <c r="J645" s="25">
        <f>(J644/J10)/1.983</f>
        <v>370.50412376165144</v>
      </c>
      <c r="K645" s="25">
        <f>(K644/K10)/1.983</f>
        <v>457.87581539863027</v>
      </c>
      <c r="L645" s="25">
        <f>(L644/L10)/1.983</f>
        <v>403.3114809211632</v>
      </c>
      <c r="M645" s="81" t="s">
        <v>7</v>
      </c>
      <c r="N645" s="25">
        <f>(N644/N10)/1.983</f>
        <v>202.30019683438258</v>
      </c>
      <c r="O645" s="25">
        <f>(O644/O10)/1.983</f>
        <v>87.258362750042025</v>
      </c>
      <c r="P645" s="25">
        <f>(P644/P10)/1.983</f>
        <v>85.793763115514125</v>
      </c>
      <c r="Q645" s="81" t="s">
        <v>7</v>
      </c>
      <c r="R645" s="81" t="s">
        <v>7</v>
      </c>
    </row>
    <row r="646" spans="1:18" ht="15.75" customHeight="1" x14ac:dyDescent="0.3">
      <c r="A646" s="2"/>
      <c r="B646" s="1"/>
      <c r="C646" s="1"/>
      <c r="D646" s="1"/>
      <c r="E646" s="1"/>
      <c r="F646" s="1"/>
      <c r="G646" s="1"/>
      <c r="H646" s="1"/>
      <c r="I646" s="1"/>
      <c r="J646" s="1"/>
      <c r="K646" s="1"/>
      <c r="L646" s="1"/>
      <c r="M646" s="1"/>
      <c r="N646" s="1"/>
      <c r="O646" s="1"/>
      <c r="P646" s="1"/>
      <c r="Q646" s="1"/>
      <c r="R646" s="2"/>
    </row>
    <row r="647" spans="1:18" ht="16.5" customHeight="1" thickBot="1" x14ac:dyDescent="0.35">
      <c r="A647" s="106"/>
      <c r="B647" s="21"/>
      <c r="C647" s="21"/>
      <c r="D647" s="21"/>
      <c r="E647" s="21"/>
      <c r="F647" s="21"/>
      <c r="G647" s="21"/>
      <c r="H647" s="21"/>
      <c r="I647" s="21"/>
      <c r="J647" s="21"/>
      <c r="K647" s="21"/>
      <c r="L647" s="21"/>
      <c r="M647" s="21"/>
      <c r="N647" s="21"/>
      <c r="O647" s="21"/>
      <c r="P647" s="21"/>
      <c r="Q647" s="21"/>
      <c r="R647" s="106"/>
    </row>
    <row r="648" spans="1:18" ht="16.5" customHeight="1" thickBot="1" x14ac:dyDescent="0.35">
      <c r="A648" s="124" t="s">
        <v>334</v>
      </c>
      <c r="B648" s="30" t="s">
        <v>8</v>
      </c>
      <c r="C648" s="31" t="s">
        <v>9</v>
      </c>
      <c r="D648" s="31" t="s">
        <v>10</v>
      </c>
      <c r="E648" s="32" t="s">
        <v>11</v>
      </c>
      <c r="F648" s="31" t="s">
        <v>12</v>
      </c>
      <c r="G648" s="31" t="s">
        <v>13</v>
      </c>
      <c r="H648" s="31" t="s">
        <v>14</v>
      </c>
      <c r="I648" s="33" t="s">
        <v>15</v>
      </c>
      <c r="J648" s="31" t="s">
        <v>16</v>
      </c>
      <c r="K648" s="31" t="s">
        <v>17</v>
      </c>
      <c r="L648" s="31" t="s">
        <v>18</v>
      </c>
      <c r="M648" s="33" t="s">
        <v>19</v>
      </c>
      <c r="N648" s="31" t="s">
        <v>20</v>
      </c>
      <c r="O648" s="31" t="s">
        <v>21</v>
      </c>
      <c r="P648" s="31" t="s">
        <v>22</v>
      </c>
      <c r="Q648" s="32" t="s">
        <v>23</v>
      </c>
      <c r="R648" s="49" t="s">
        <v>24</v>
      </c>
    </row>
    <row r="649" spans="1:18" ht="16.5" customHeight="1" thickBot="1" x14ac:dyDescent="0.35">
      <c r="A649" s="41"/>
      <c r="B649" s="36"/>
      <c r="C649" s="36"/>
      <c r="D649" s="36"/>
      <c r="E649" s="37"/>
      <c r="F649" s="36"/>
      <c r="G649" s="36"/>
      <c r="H649" s="36"/>
      <c r="I649" s="37"/>
      <c r="J649" s="36"/>
      <c r="K649" s="36"/>
      <c r="L649" s="36"/>
      <c r="M649" s="37"/>
      <c r="N649" s="36"/>
      <c r="O649" s="36"/>
      <c r="P649" s="36"/>
      <c r="Q649" s="127"/>
      <c r="R649" s="128"/>
    </row>
    <row r="650" spans="1:18" ht="16.5" customHeight="1" thickBot="1" x14ac:dyDescent="0.35">
      <c r="A650" s="39" t="s">
        <v>40</v>
      </c>
      <c r="B650" s="21">
        <v>20</v>
      </c>
      <c r="C650" s="21">
        <v>22</v>
      </c>
      <c r="D650" s="21">
        <v>28</v>
      </c>
      <c r="E650" s="55">
        <f>SUM(B650:D650)</f>
        <v>70</v>
      </c>
      <c r="F650" s="21">
        <v>37</v>
      </c>
      <c r="G650" s="21">
        <v>42</v>
      </c>
      <c r="H650" s="21">
        <v>44</v>
      </c>
      <c r="I650" s="55">
        <f>SUM(F650:H650)</f>
        <v>123</v>
      </c>
      <c r="J650" s="21">
        <v>39</v>
      </c>
      <c r="K650" s="21">
        <v>36</v>
      </c>
      <c r="L650" s="21">
        <v>34</v>
      </c>
      <c r="M650" s="55">
        <f>SUM(J650:L650)</f>
        <v>109</v>
      </c>
      <c r="N650" s="21">
        <v>29</v>
      </c>
      <c r="O650" s="21">
        <v>23</v>
      </c>
      <c r="P650" s="21">
        <v>19</v>
      </c>
      <c r="Q650" s="55">
        <f>SUM(N650:P650)</f>
        <v>71</v>
      </c>
      <c r="R650" s="55">
        <f>+E650+I650+M650+Q650</f>
        <v>373</v>
      </c>
    </row>
    <row r="651" spans="1:18" ht="16.5" customHeight="1" thickBot="1" x14ac:dyDescent="0.35">
      <c r="A651" s="41"/>
      <c r="B651" s="36"/>
      <c r="C651" s="36"/>
      <c r="D651" s="36"/>
      <c r="E651" s="52"/>
      <c r="F651" s="36"/>
      <c r="G651" s="36"/>
      <c r="H651" s="36"/>
      <c r="I651" s="52"/>
      <c r="J651" s="36"/>
      <c r="K651" s="36"/>
      <c r="L651" s="36"/>
      <c r="M651" s="52"/>
      <c r="N651" s="36"/>
      <c r="O651" s="36"/>
      <c r="P651" s="36"/>
      <c r="Q651" s="52"/>
      <c r="R651" s="42"/>
    </row>
    <row r="652" spans="1:18" ht="15.75" customHeight="1" x14ac:dyDescent="0.3">
      <c r="A652" s="76" t="s">
        <v>314</v>
      </c>
      <c r="B652" s="77">
        <f>B650</f>
        <v>20</v>
      </c>
      <c r="C652" s="77">
        <f>C650</f>
        <v>22</v>
      </c>
      <c r="D652" s="77">
        <f>D650</f>
        <v>28</v>
      </c>
      <c r="E652" s="60">
        <f>SUM(B652:D652)</f>
        <v>70</v>
      </c>
      <c r="F652" s="77">
        <f>F650</f>
        <v>37</v>
      </c>
      <c r="G652" s="77">
        <f>G650</f>
        <v>42</v>
      </c>
      <c r="H652" s="77">
        <f>H650</f>
        <v>44</v>
      </c>
      <c r="I652" s="60">
        <f>SUM(F652:H652)</f>
        <v>123</v>
      </c>
      <c r="J652" s="77">
        <f>J650</f>
        <v>39</v>
      </c>
      <c r="K652" s="77">
        <f>K650</f>
        <v>36</v>
      </c>
      <c r="L652" s="77">
        <f>L650</f>
        <v>34</v>
      </c>
      <c r="M652" s="60">
        <f>SUM(J652:L652)</f>
        <v>109</v>
      </c>
      <c r="N652" s="77">
        <f>N650</f>
        <v>29</v>
      </c>
      <c r="O652" s="77">
        <f>O650</f>
        <v>23</v>
      </c>
      <c r="P652" s="77">
        <f>P650</f>
        <v>19</v>
      </c>
      <c r="Q652" s="60">
        <f>SUM(N652:P652)</f>
        <v>71</v>
      </c>
      <c r="R652" s="60">
        <f>+E652+I652+M652+Q652</f>
        <v>373</v>
      </c>
    </row>
    <row r="653" spans="1:18" ht="15.75" customHeight="1" x14ac:dyDescent="0.3">
      <c r="A653" s="79" t="s">
        <v>42</v>
      </c>
      <c r="B653" s="1">
        <f>(B652/B10)/1.983</f>
        <v>0.32534608689993977</v>
      </c>
      <c r="C653" s="1">
        <f>(C652/C10)/1.983</f>
        <v>0.39622505583171236</v>
      </c>
      <c r="D653" s="1">
        <f>(D652/D10)/1.983</f>
        <v>0.45548452165991571</v>
      </c>
      <c r="E653" s="55" t="s">
        <v>7</v>
      </c>
      <c r="F653" s="1">
        <f>(F652/F10)/1.983</f>
        <v>0.62195326945705165</v>
      </c>
      <c r="G653" s="1">
        <f>(G652/G10)/1.983</f>
        <v>0.68322678248987356</v>
      </c>
      <c r="H653" s="1">
        <f>(H652/H10)/1.983</f>
        <v>0.73962010421919644</v>
      </c>
      <c r="I653" s="55" t="s">
        <v>7</v>
      </c>
      <c r="J653" s="1">
        <f>(J652/J10)/1.983</f>
        <v>0.63442486945488263</v>
      </c>
      <c r="K653" s="1">
        <f>(K652/K10)/1.983</f>
        <v>0.5856229564198917</v>
      </c>
      <c r="L653" s="1">
        <f>(L652/L10)/1.983</f>
        <v>0.57152462598756093</v>
      </c>
      <c r="M653" s="55" t="s">
        <v>7</v>
      </c>
      <c r="N653" s="1">
        <f>(N652/N10)/1.983</f>
        <v>0.47175182600491267</v>
      </c>
      <c r="O653" s="1">
        <f>(O652/O10)/1.983</f>
        <v>0.38661959993276179</v>
      </c>
      <c r="P653" s="1">
        <f>(P652/P10)/1.983</f>
        <v>0.30907878255494281</v>
      </c>
      <c r="Q653" s="55" t="s">
        <v>7</v>
      </c>
      <c r="R653" s="55" t="s">
        <v>7</v>
      </c>
    </row>
    <row r="654" spans="1:18" ht="15.75" customHeight="1" x14ac:dyDescent="0.3">
      <c r="A654" s="79" t="s">
        <v>335</v>
      </c>
      <c r="B654" s="1">
        <f>B652+B690</f>
        <v>11997</v>
      </c>
      <c r="C654" s="1">
        <f>C652+C690</f>
        <v>16733</v>
      </c>
      <c r="D654" s="1">
        <f>D652+D690</f>
        <v>19810</v>
      </c>
      <c r="E654" s="55">
        <f>SUM(B654:D654)</f>
        <v>48540</v>
      </c>
      <c r="F654" s="1">
        <f>F652+F690</f>
        <v>22744</v>
      </c>
      <c r="G654" s="1">
        <f>G652+G690</f>
        <v>22776</v>
      </c>
      <c r="H654" s="1">
        <f>H652+H690</f>
        <v>19660</v>
      </c>
      <c r="I654" s="55">
        <f>SUM(F654:H654)</f>
        <v>65180</v>
      </c>
      <c r="J654" s="1">
        <f>J652+J690</f>
        <v>18401</v>
      </c>
      <c r="K654" s="1">
        <f>K652+K690</f>
        <v>22624</v>
      </c>
      <c r="L654" s="1">
        <f>L652+L690</f>
        <v>18863</v>
      </c>
      <c r="M654" s="55">
        <f>SUM(J654:L654)</f>
        <v>59888</v>
      </c>
      <c r="N654" s="1">
        <f>N652+N690</f>
        <v>9004</v>
      </c>
      <c r="O654" s="1">
        <f>O652+O690</f>
        <v>4434</v>
      </c>
      <c r="P654" s="1">
        <f>P652+P690</f>
        <v>5144</v>
      </c>
      <c r="Q654" s="55">
        <f>SUM(N654:P654)</f>
        <v>18582</v>
      </c>
      <c r="R654" s="55">
        <f>+E654+I654+M654+Q654</f>
        <v>192190</v>
      </c>
    </row>
    <row r="655" spans="1:18" ht="16.5" customHeight="1" thickBot="1" x14ac:dyDescent="0.35">
      <c r="A655" s="80" t="s">
        <v>336</v>
      </c>
      <c r="B655" s="25">
        <f>(B654/B10)/1.983</f>
        <v>195.15885022692888</v>
      </c>
      <c r="C655" s="25">
        <f>(C654/C10)/1.983</f>
        <v>301.36517541963838</v>
      </c>
      <c r="D655" s="25">
        <f>(D654/D10)/1.983</f>
        <v>322.25529907439034</v>
      </c>
      <c r="E655" s="81" t="s">
        <v>7</v>
      </c>
      <c r="F655" s="25">
        <f>(F654/F10)/1.983</f>
        <v>382.31635569003191</v>
      </c>
      <c r="G655" s="25">
        <f>(G654/G10)/1.983</f>
        <v>370.50412376165144</v>
      </c>
      <c r="H655" s="25">
        <f>(H654/H10)/1.983</f>
        <v>330.47571020339552</v>
      </c>
      <c r="I655" s="81" t="s">
        <v>7</v>
      </c>
      <c r="J655" s="25">
        <f>(J654/J10)/1.983</f>
        <v>299.33466725228965</v>
      </c>
      <c r="K655" s="25">
        <f>(K654/K10)/1.983</f>
        <v>368.03149350121186</v>
      </c>
      <c r="L655" s="25">
        <f>(L654/L10)/1.983</f>
        <v>317.07850058833412</v>
      </c>
      <c r="M655" s="81" t="s">
        <v>7</v>
      </c>
      <c r="N655" s="25">
        <f>(N654/N10)/1.983</f>
        <v>146.47080832235289</v>
      </c>
      <c r="O655" s="25">
        <f>(O654/O10)/1.983</f>
        <v>74.533535047907208</v>
      </c>
      <c r="P655" s="25">
        <f>(P654/P10)/1.983</f>
        <v>83.679013550664521</v>
      </c>
      <c r="Q655" s="81" t="s">
        <v>7</v>
      </c>
      <c r="R655" s="81" t="s">
        <v>7</v>
      </c>
    </row>
    <row r="656" spans="1:18" ht="15.75" customHeight="1" x14ac:dyDescent="0.3">
      <c r="A656" s="28"/>
      <c r="B656" s="1"/>
      <c r="C656" s="1"/>
      <c r="D656" s="1"/>
      <c r="E656" s="1"/>
      <c r="F656" s="1"/>
      <c r="G656" s="1"/>
      <c r="H656" s="1"/>
      <c r="I656" s="1"/>
      <c r="J656" s="1"/>
      <c r="K656" s="1"/>
      <c r="L656" s="1"/>
      <c r="M656" s="1"/>
      <c r="N656" s="1"/>
      <c r="O656" s="1"/>
      <c r="P656" s="1"/>
      <c r="Q656" s="1"/>
      <c r="R656" s="2"/>
    </row>
    <row r="657" spans="1:18" ht="15.75" customHeight="1" thickBot="1" x14ac:dyDescent="0.35">
      <c r="A657" s="28"/>
      <c r="B657" s="1"/>
      <c r="C657" s="1"/>
      <c r="D657" s="1"/>
      <c r="E657" s="1"/>
      <c r="F657" s="1"/>
      <c r="G657" s="1"/>
      <c r="H657" s="1"/>
      <c r="I657" s="1"/>
      <c r="J657" s="1"/>
      <c r="K657" s="1"/>
      <c r="L657" s="1"/>
      <c r="M657" s="1"/>
      <c r="N657" s="1"/>
      <c r="O657" s="1"/>
      <c r="P657" s="1"/>
      <c r="Q657" s="1"/>
      <c r="R657" s="2"/>
    </row>
    <row r="658" spans="1:18" ht="16.5" customHeight="1" thickBot="1" x14ac:dyDescent="0.35">
      <c r="A658" s="29" t="s">
        <v>337</v>
      </c>
      <c r="B658" s="30" t="s">
        <v>8</v>
      </c>
      <c r="C658" s="31" t="s">
        <v>9</v>
      </c>
      <c r="D658" s="31" t="s">
        <v>10</v>
      </c>
      <c r="E658" s="32" t="s">
        <v>11</v>
      </c>
      <c r="F658" s="31" t="s">
        <v>12</v>
      </c>
      <c r="G658" s="31" t="s">
        <v>13</v>
      </c>
      <c r="H658" s="31" t="s">
        <v>14</v>
      </c>
      <c r="I658" s="33" t="s">
        <v>15</v>
      </c>
      <c r="J658" s="31" t="s">
        <v>16</v>
      </c>
      <c r="K658" s="31" t="s">
        <v>17</v>
      </c>
      <c r="L658" s="31" t="s">
        <v>18</v>
      </c>
      <c r="M658" s="33" t="s">
        <v>19</v>
      </c>
      <c r="N658" s="31" t="s">
        <v>20</v>
      </c>
      <c r="O658" s="31" t="s">
        <v>21</v>
      </c>
      <c r="P658" s="31" t="s">
        <v>22</v>
      </c>
      <c r="Q658" s="33" t="s">
        <v>23</v>
      </c>
      <c r="R658" s="34" t="s">
        <v>24</v>
      </c>
    </row>
    <row r="659" spans="1:18" ht="16.5" customHeight="1" thickBot="1" x14ac:dyDescent="0.35">
      <c r="A659" s="41"/>
      <c r="B659" s="36"/>
      <c r="C659" s="36"/>
      <c r="D659" s="36"/>
      <c r="E659" s="52"/>
      <c r="F659" s="36"/>
      <c r="G659" s="36"/>
      <c r="H659" s="36"/>
      <c r="I659" s="52"/>
      <c r="J659" s="36"/>
      <c r="K659" s="36"/>
      <c r="L659" s="36"/>
      <c r="M659" s="52"/>
      <c r="N659" s="36"/>
      <c r="O659" s="36"/>
      <c r="P659" s="36"/>
      <c r="Q659" s="52"/>
      <c r="R659" s="38"/>
    </row>
    <row r="660" spans="1:18" ht="15.75" customHeight="1" x14ac:dyDescent="0.3">
      <c r="A660" s="15" t="s">
        <v>48</v>
      </c>
      <c r="B660" s="1" t="s">
        <v>7</v>
      </c>
      <c r="C660" s="1" t="s">
        <v>7</v>
      </c>
      <c r="D660" s="1" t="s">
        <v>7</v>
      </c>
      <c r="E660" s="55" t="s">
        <v>7</v>
      </c>
      <c r="F660" s="1" t="s">
        <v>7</v>
      </c>
      <c r="G660" s="1" t="s">
        <v>7</v>
      </c>
      <c r="H660" s="1" t="s">
        <v>7</v>
      </c>
      <c r="I660" s="55" t="s">
        <v>7</v>
      </c>
      <c r="J660" s="1" t="s">
        <v>7</v>
      </c>
      <c r="K660" s="1" t="s">
        <v>7</v>
      </c>
      <c r="L660" s="1" t="s">
        <v>7</v>
      </c>
      <c r="M660" s="55" t="s">
        <v>7</v>
      </c>
      <c r="N660" s="1" t="s">
        <v>7</v>
      </c>
      <c r="O660" s="1" t="s">
        <v>7</v>
      </c>
      <c r="P660" s="1" t="s">
        <v>7</v>
      </c>
      <c r="Q660" s="55" t="s">
        <v>7</v>
      </c>
      <c r="R660" s="55" t="s">
        <v>7</v>
      </c>
    </row>
    <row r="661" spans="1:18" ht="15.75" customHeight="1" x14ac:dyDescent="0.3">
      <c r="A661" s="15" t="s">
        <v>49</v>
      </c>
      <c r="B661" s="1"/>
      <c r="C661" s="1"/>
      <c r="D661" s="1"/>
      <c r="E661" s="55" t="s">
        <v>7</v>
      </c>
      <c r="F661" s="1"/>
      <c r="G661" s="1"/>
      <c r="H661" s="1"/>
      <c r="I661" s="55" t="s">
        <v>7</v>
      </c>
      <c r="J661" s="1"/>
      <c r="K661" s="1"/>
      <c r="L661" s="1"/>
      <c r="M661" s="55" t="s">
        <v>7</v>
      </c>
      <c r="N661" s="1"/>
      <c r="O661" s="1"/>
      <c r="P661" s="1"/>
      <c r="Q661" s="55" t="s">
        <v>7</v>
      </c>
      <c r="R661" s="55" t="s">
        <v>7</v>
      </c>
    </row>
    <row r="662" spans="1:18" ht="15.75" customHeight="1" x14ac:dyDescent="0.3">
      <c r="A662" s="71" t="s">
        <v>994</v>
      </c>
      <c r="B662" s="1">
        <v>114</v>
      </c>
      <c r="C662" s="1">
        <v>348</v>
      </c>
      <c r="D662" s="1">
        <v>332</v>
      </c>
      <c r="E662" s="55">
        <f>SUM(B662:D662)</f>
        <v>794</v>
      </c>
      <c r="F662" s="1">
        <v>782</v>
      </c>
      <c r="G662" s="1">
        <v>366</v>
      </c>
      <c r="H662" s="1">
        <v>772</v>
      </c>
      <c r="I662" s="55">
        <f>SUM(F662:H662)</f>
        <v>1920</v>
      </c>
      <c r="J662" s="1">
        <v>667</v>
      </c>
      <c r="K662" s="1">
        <f>1316+601</f>
        <v>1917</v>
      </c>
      <c r="L662" s="1">
        <f>1662+220</f>
        <v>1882</v>
      </c>
      <c r="M662" s="55">
        <f>SUM(J662:L662)</f>
        <v>4466</v>
      </c>
      <c r="N662" s="1">
        <v>104</v>
      </c>
      <c r="O662" s="1">
        <v>641</v>
      </c>
      <c r="P662" s="1">
        <v>817</v>
      </c>
      <c r="Q662" s="55">
        <f>SUM(N662:P662)</f>
        <v>1562</v>
      </c>
      <c r="R662" s="55">
        <f>+E662+I662+M662+Q662</f>
        <v>8742</v>
      </c>
    </row>
    <row r="663" spans="1:18" ht="15.75" customHeight="1" x14ac:dyDescent="0.3">
      <c r="A663" s="71" t="s">
        <v>995</v>
      </c>
      <c r="B663" s="1">
        <v>93</v>
      </c>
      <c r="C663" s="1">
        <v>490</v>
      </c>
      <c r="D663" s="1">
        <v>537</v>
      </c>
      <c r="E663" s="55">
        <f>SUM(B663:D663)</f>
        <v>1120</v>
      </c>
      <c r="F663" s="1">
        <v>444</v>
      </c>
      <c r="G663" s="1">
        <v>1079</v>
      </c>
      <c r="H663" s="1">
        <v>933</v>
      </c>
      <c r="I663" s="55">
        <f>SUM(F663:H663)</f>
        <v>2456</v>
      </c>
      <c r="J663" s="1">
        <v>874</v>
      </c>
      <c r="K663" s="1">
        <v>602</v>
      </c>
      <c r="L663" s="1">
        <v>170</v>
      </c>
      <c r="M663" s="55">
        <f>SUM(J663:L663)</f>
        <v>1646</v>
      </c>
      <c r="N663" s="1"/>
      <c r="O663" s="1"/>
      <c r="P663" s="1"/>
      <c r="Q663" s="55">
        <f>SUM(N663:P663)</f>
        <v>0</v>
      </c>
      <c r="R663" s="55">
        <f>+E663+I663+M663+Q663</f>
        <v>5222</v>
      </c>
    </row>
    <row r="664" spans="1:18" ht="15.75" customHeight="1" x14ac:dyDescent="0.3">
      <c r="A664" s="71" t="s">
        <v>339</v>
      </c>
      <c r="B664" s="1">
        <v>69</v>
      </c>
      <c r="C664" s="1">
        <v>37</v>
      </c>
      <c r="D664" s="1">
        <v>72</v>
      </c>
      <c r="E664" s="55">
        <f>SUM(B664:D664)</f>
        <v>178</v>
      </c>
      <c r="F664" s="1">
        <v>188</v>
      </c>
      <c r="G664" s="1">
        <v>69</v>
      </c>
      <c r="H664" s="1"/>
      <c r="I664" s="55">
        <f>SUM(F664:H664)</f>
        <v>257</v>
      </c>
      <c r="J664" s="1"/>
      <c r="K664" s="1"/>
      <c r="L664" s="1"/>
      <c r="M664" s="55">
        <f>SUM(J664:L664)</f>
        <v>0</v>
      </c>
      <c r="N664" s="1"/>
      <c r="O664" s="1"/>
      <c r="P664" s="1">
        <v>37</v>
      </c>
      <c r="Q664" s="55">
        <f>SUM(N664:P664)</f>
        <v>37</v>
      </c>
      <c r="R664" s="55">
        <f>+E664+I664+M664+Q664</f>
        <v>472</v>
      </c>
    </row>
    <row r="665" spans="1:18" ht="15.75" customHeight="1" x14ac:dyDescent="0.3">
      <c r="A665" s="15" t="s">
        <v>50</v>
      </c>
      <c r="B665" s="1"/>
      <c r="C665" s="1"/>
      <c r="D665" s="1"/>
      <c r="E665" s="55" t="s">
        <v>7</v>
      </c>
      <c r="F665" s="1"/>
      <c r="G665" s="1"/>
      <c r="H665" s="1"/>
      <c r="I665" s="55" t="s">
        <v>7</v>
      </c>
      <c r="J665" s="1"/>
      <c r="K665" s="1"/>
      <c r="L665" s="1"/>
      <c r="M665" s="55" t="s">
        <v>7</v>
      </c>
      <c r="N665" s="1"/>
      <c r="O665" s="1"/>
      <c r="P665" s="1"/>
      <c r="Q665" s="55" t="s">
        <v>7</v>
      </c>
      <c r="R665" s="55" t="s">
        <v>7</v>
      </c>
    </row>
    <row r="666" spans="1:18" ht="15.75" customHeight="1" x14ac:dyDescent="0.3">
      <c r="A666" s="15" t="s">
        <v>1186</v>
      </c>
      <c r="B666" s="1"/>
      <c r="C666" s="1"/>
      <c r="D666" s="1"/>
      <c r="E666" s="55" t="s">
        <v>7</v>
      </c>
      <c r="F666" s="1"/>
      <c r="G666" s="1"/>
      <c r="H666" s="1"/>
      <c r="I666" s="55" t="s">
        <v>7</v>
      </c>
      <c r="J666" s="1"/>
      <c r="K666" s="1"/>
      <c r="L666" s="1"/>
      <c r="M666" s="55" t="s">
        <v>7</v>
      </c>
      <c r="N666" s="1"/>
      <c r="O666" s="1"/>
      <c r="P666" s="1"/>
      <c r="Q666" s="55" t="s">
        <v>7</v>
      </c>
      <c r="R666" s="55" t="s">
        <v>7</v>
      </c>
    </row>
    <row r="667" spans="1:18" ht="15.75" customHeight="1" thickBot="1" x14ac:dyDescent="0.35">
      <c r="A667" s="15" t="s">
        <v>53</v>
      </c>
      <c r="B667" s="1"/>
      <c r="C667" s="1"/>
      <c r="D667" s="1"/>
      <c r="E667" s="55" t="s">
        <v>7</v>
      </c>
      <c r="F667" s="1"/>
      <c r="G667" s="1"/>
      <c r="H667" s="1"/>
      <c r="I667" s="55" t="s">
        <v>7</v>
      </c>
      <c r="J667" s="1"/>
      <c r="K667" s="1"/>
      <c r="L667" s="1"/>
      <c r="M667" s="55" t="s">
        <v>7</v>
      </c>
      <c r="N667" s="1"/>
      <c r="O667" s="1"/>
      <c r="P667" s="1"/>
      <c r="Q667" s="55" t="s">
        <v>7</v>
      </c>
      <c r="R667" s="55" t="s">
        <v>7</v>
      </c>
    </row>
    <row r="668" spans="1:18" ht="16.5" customHeight="1" thickBot="1" x14ac:dyDescent="0.35">
      <c r="A668" s="109" t="s">
        <v>54</v>
      </c>
      <c r="B668" s="86">
        <f>SUM(B660:B667)</f>
        <v>276</v>
      </c>
      <c r="C668" s="87">
        <f>SUM(C660:C667)</f>
        <v>875</v>
      </c>
      <c r="D668" s="87">
        <f>SUM(D660:D667)</f>
        <v>941</v>
      </c>
      <c r="E668" s="59">
        <f>SUM(B668:D668)</f>
        <v>2092</v>
      </c>
      <c r="F668" s="87">
        <f>SUM(F660:F667)</f>
        <v>1414</v>
      </c>
      <c r="G668" s="87">
        <f>SUM(G660:G667)</f>
        <v>1514</v>
      </c>
      <c r="H668" s="87">
        <f>SUM(H660:H667)</f>
        <v>1705</v>
      </c>
      <c r="I668" s="59">
        <f>SUM(F668:H668)</f>
        <v>4633</v>
      </c>
      <c r="J668" s="87">
        <f>SUM(J660:J667)</f>
        <v>1541</v>
      </c>
      <c r="K668" s="87">
        <f>SUM(K660:K667)</f>
        <v>2519</v>
      </c>
      <c r="L668" s="87">
        <f>SUM(L660:L667)</f>
        <v>2052</v>
      </c>
      <c r="M668" s="59">
        <f>SUM(J668:L668)</f>
        <v>6112</v>
      </c>
      <c r="N668" s="87">
        <f>SUM(N660:N667)</f>
        <v>104</v>
      </c>
      <c r="O668" s="87">
        <f>SUM(O660:O667)</f>
        <v>641</v>
      </c>
      <c r="P668" s="87">
        <f>SUM(P660:P667)</f>
        <v>854</v>
      </c>
      <c r="Q668" s="59">
        <f>SUM(N668:P668)</f>
        <v>1599</v>
      </c>
      <c r="R668" s="59">
        <f>+E668+I668+M668+Q668</f>
        <v>14436</v>
      </c>
    </row>
    <row r="669" spans="1:18" ht="15.75" customHeight="1" x14ac:dyDescent="0.3">
      <c r="A669" s="15" t="s">
        <v>55</v>
      </c>
      <c r="B669" s="1"/>
      <c r="C669" s="1"/>
      <c r="D669" s="1"/>
      <c r="E669" s="55" t="s">
        <v>7</v>
      </c>
      <c r="F669" s="1"/>
      <c r="G669" s="1"/>
      <c r="H669" s="1"/>
      <c r="I669" s="55" t="s">
        <v>7</v>
      </c>
      <c r="J669" s="1"/>
      <c r="K669" s="1"/>
      <c r="L669" s="1"/>
      <c r="M669" s="55" t="s">
        <v>7</v>
      </c>
      <c r="N669" s="1"/>
      <c r="O669" s="1"/>
      <c r="P669" s="1"/>
      <c r="Q669" s="55" t="s">
        <v>7</v>
      </c>
      <c r="R669" s="55" t="s">
        <v>7</v>
      </c>
    </row>
    <row r="670" spans="1:18" ht="15.75" customHeight="1" x14ac:dyDescent="0.3">
      <c r="A670" s="15" t="s">
        <v>57</v>
      </c>
      <c r="B670" s="1"/>
      <c r="C670" s="1"/>
      <c r="D670" s="1"/>
      <c r="E670" s="55" t="s">
        <v>7</v>
      </c>
      <c r="F670" s="1"/>
      <c r="G670" s="1"/>
      <c r="H670" s="1"/>
      <c r="I670" s="55" t="s">
        <v>7</v>
      </c>
      <c r="J670" s="1"/>
      <c r="K670" s="1"/>
      <c r="L670" s="1"/>
      <c r="M670" s="55" t="s">
        <v>7</v>
      </c>
      <c r="N670" s="1"/>
      <c r="O670" s="1"/>
      <c r="P670" s="1"/>
      <c r="Q670" s="55" t="s">
        <v>7</v>
      </c>
      <c r="R670" s="55" t="s">
        <v>7</v>
      </c>
    </row>
    <row r="671" spans="1:18" ht="15.75" customHeight="1" thickBot="1" x14ac:dyDescent="0.35">
      <c r="A671" s="15" t="s">
        <v>58</v>
      </c>
      <c r="B671" s="1"/>
      <c r="C671" s="1"/>
      <c r="D671" s="1"/>
      <c r="E671" s="55" t="s">
        <v>7</v>
      </c>
      <c r="F671" s="1"/>
      <c r="G671" s="1"/>
      <c r="H671" s="1"/>
      <c r="I671" s="55" t="s">
        <v>7</v>
      </c>
      <c r="J671" s="1"/>
      <c r="K671" s="1"/>
      <c r="L671" s="1"/>
      <c r="M671" s="55" t="s">
        <v>7</v>
      </c>
      <c r="N671" s="1"/>
      <c r="O671" s="1"/>
      <c r="P671" s="1"/>
      <c r="Q671" s="55" t="s">
        <v>7</v>
      </c>
      <c r="R671" s="55" t="s">
        <v>7</v>
      </c>
    </row>
    <row r="672" spans="1:18" ht="16.5" customHeight="1" thickBot="1" x14ac:dyDescent="0.35">
      <c r="A672" s="57" t="s">
        <v>59</v>
      </c>
      <c r="B672" s="86">
        <f>SUM(B669:B671)</f>
        <v>0</v>
      </c>
      <c r="C672" s="87">
        <f>SUM(C669:C671)</f>
        <v>0</v>
      </c>
      <c r="D672" s="87">
        <f>SUM(D669:D671)</f>
        <v>0</v>
      </c>
      <c r="E672" s="59">
        <f>SUM(B672:D672)</f>
        <v>0</v>
      </c>
      <c r="F672" s="87">
        <f>SUM(F669:F671)</f>
        <v>0</v>
      </c>
      <c r="G672" s="87">
        <f>SUM(G669:G671)</f>
        <v>0</v>
      </c>
      <c r="H672" s="87">
        <f>SUM(H669:H671)</f>
        <v>0</v>
      </c>
      <c r="I672" s="59">
        <f>SUM(F672:H672)</f>
        <v>0</v>
      </c>
      <c r="J672" s="87">
        <f>SUM(J669:J671)</f>
        <v>0</v>
      </c>
      <c r="K672" s="87">
        <f>SUM(K669:K671)</f>
        <v>0</v>
      </c>
      <c r="L672" s="87">
        <f>SUM(L669:L671)</f>
        <v>0</v>
      </c>
      <c r="M672" s="59">
        <f>SUM(J672:L672)</f>
        <v>0</v>
      </c>
      <c r="N672" s="87">
        <f>SUM(N669:N671)</f>
        <v>0</v>
      </c>
      <c r="O672" s="87">
        <f>SUM(O669:O671)</f>
        <v>0</v>
      </c>
      <c r="P672" s="87">
        <f>SUM(P669:P671)</f>
        <v>0</v>
      </c>
      <c r="Q672" s="59">
        <f>SUM(N672:P672)</f>
        <v>0</v>
      </c>
      <c r="R672" s="59">
        <f>+E672+I672+M672+Q672</f>
        <v>0</v>
      </c>
    </row>
    <row r="673" spans="1:18" ht="15.75" customHeight="1" x14ac:dyDescent="0.3">
      <c r="A673" s="15" t="s">
        <v>60</v>
      </c>
      <c r="B673" s="1"/>
      <c r="C673" s="1"/>
      <c r="D673" s="1"/>
      <c r="E673" s="55" t="s">
        <v>7</v>
      </c>
      <c r="F673" s="1"/>
      <c r="G673" s="1"/>
      <c r="H673" s="1"/>
      <c r="I673" s="55" t="s">
        <v>7</v>
      </c>
      <c r="J673" s="1"/>
      <c r="K673" s="1"/>
      <c r="L673" s="1"/>
      <c r="M673" s="55" t="s">
        <v>7</v>
      </c>
      <c r="N673" s="1"/>
      <c r="O673" s="1"/>
      <c r="P673" s="1"/>
      <c r="Q673" s="55" t="s">
        <v>7</v>
      </c>
      <c r="R673" s="55" t="s">
        <v>7</v>
      </c>
    </row>
    <row r="674" spans="1:18" ht="15.75" customHeight="1" x14ac:dyDescent="0.3">
      <c r="A674" s="15" t="s">
        <v>61</v>
      </c>
      <c r="B674" s="1"/>
      <c r="C674" s="1"/>
      <c r="D674" s="1"/>
      <c r="E674" s="55" t="s">
        <v>7</v>
      </c>
      <c r="F674" s="1"/>
      <c r="G674" s="1"/>
      <c r="H674" s="1"/>
      <c r="I674" s="55" t="s">
        <v>7</v>
      </c>
      <c r="J674" s="1"/>
      <c r="K674" s="1"/>
      <c r="L674" s="1"/>
      <c r="M674" s="55" t="s">
        <v>7</v>
      </c>
      <c r="N674" s="1"/>
      <c r="O674" s="1"/>
      <c r="P674" s="1"/>
      <c r="Q674" s="55" t="s">
        <v>7</v>
      </c>
      <c r="R674" s="55" t="s">
        <v>7</v>
      </c>
    </row>
    <row r="675" spans="1:18" ht="15.75" customHeight="1" thickBot="1" x14ac:dyDescent="0.35">
      <c r="A675" s="15" t="s">
        <v>62</v>
      </c>
      <c r="B675" s="1"/>
      <c r="C675" s="1"/>
      <c r="D675" s="1"/>
      <c r="E675" s="55" t="s">
        <v>7</v>
      </c>
      <c r="F675" s="1"/>
      <c r="G675" s="1"/>
      <c r="H675" s="1"/>
      <c r="I675" s="55" t="s">
        <v>7</v>
      </c>
      <c r="J675" s="1"/>
      <c r="K675" s="1"/>
      <c r="L675" s="1"/>
      <c r="M675" s="55" t="s">
        <v>7</v>
      </c>
      <c r="N675" s="1"/>
      <c r="O675" s="1"/>
      <c r="P675" s="1"/>
      <c r="Q675" s="55" t="s">
        <v>7</v>
      </c>
      <c r="R675" s="55" t="s">
        <v>7</v>
      </c>
    </row>
    <row r="676" spans="1:18" ht="16.5" customHeight="1" thickBot="1" x14ac:dyDescent="0.35">
      <c r="A676" s="114" t="s">
        <v>63</v>
      </c>
      <c r="B676" s="86">
        <f>SUM(B673:B675)</f>
        <v>0</v>
      </c>
      <c r="C676" s="87">
        <f>SUM(C673:C675)</f>
        <v>0</v>
      </c>
      <c r="D676" s="87">
        <f>SUM(D673:D675)</f>
        <v>0</v>
      </c>
      <c r="E676" s="59">
        <f>SUM(B676:D676)</f>
        <v>0</v>
      </c>
      <c r="F676" s="87">
        <f>SUM(F673:F675)</f>
        <v>0</v>
      </c>
      <c r="G676" s="87">
        <f>SUM(G673:G675)</f>
        <v>0</v>
      </c>
      <c r="H676" s="87">
        <f>SUM(H673:H675)</f>
        <v>0</v>
      </c>
      <c r="I676" s="59">
        <f>SUM(F676:H676)</f>
        <v>0</v>
      </c>
      <c r="J676" s="87">
        <f>SUM(J673:J675)</f>
        <v>0</v>
      </c>
      <c r="K676" s="87">
        <f>SUM(K673:K675)</f>
        <v>0</v>
      </c>
      <c r="L676" s="87">
        <f>SUM(L673:L675)</f>
        <v>0</v>
      </c>
      <c r="M676" s="59">
        <f>SUM(J676:L676)</f>
        <v>0</v>
      </c>
      <c r="N676" s="87">
        <f>SUM(N673:N675)</f>
        <v>0</v>
      </c>
      <c r="O676" s="87">
        <f>SUM(O673:O675)</f>
        <v>0</v>
      </c>
      <c r="P676" s="87">
        <f>SUM(P673:P675)</f>
        <v>0</v>
      </c>
      <c r="Q676" s="59">
        <f>SUM(N676:P676)</f>
        <v>0</v>
      </c>
      <c r="R676" s="59">
        <f>+E676+I676+M676+Q676</f>
        <v>0</v>
      </c>
    </row>
    <row r="677" spans="1:18" ht="15.75" customHeight="1" x14ac:dyDescent="0.3">
      <c r="A677" s="15" t="s">
        <v>64</v>
      </c>
      <c r="B677" s="1"/>
      <c r="C677" s="1"/>
      <c r="D677" s="1"/>
      <c r="E677" s="55" t="s">
        <v>7</v>
      </c>
      <c r="F677" s="1"/>
      <c r="G677" s="1"/>
      <c r="H677" s="1"/>
      <c r="I677" s="55" t="s">
        <v>7</v>
      </c>
      <c r="J677" s="1"/>
      <c r="K677" s="1"/>
      <c r="L677" s="1"/>
      <c r="M677" s="55" t="s">
        <v>7</v>
      </c>
      <c r="N677" s="1"/>
      <c r="O677" s="1"/>
      <c r="P677" s="1"/>
      <c r="Q677" s="55" t="s">
        <v>7</v>
      </c>
      <c r="R677" s="55" t="s">
        <v>7</v>
      </c>
    </row>
    <row r="678" spans="1:18" ht="15.75" customHeight="1" x14ac:dyDescent="0.3">
      <c r="A678" s="15" t="s">
        <v>594</v>
      </c>
      <c r="B678" s="1"/>
      <c r="C678" s="1"/>
      <c r="D678" s="1"/>
      <c r="E678" s="55" t="s">
        <v>7</v>
      </c>
      <c r="F678" s="1"/>
      <c r="G678" s="1"/>
      <c r="H678" s="1"/>
      <c r="I678" s="55" t="s">
        <v>7</v>
      </c>
      <c r="J678" s="1"/>
      <c r="K678" s="1"/>
      <c r="L678" s="1"/>
      <c r="M678" s="55" t="s">
        <v>7</v>
      </c>
      <c r="N678" s="1"/>
      <c r="O678" s="1"/>
      <c r="P678" s="1"/>
      <c r="Q678" s="55" t="s">
        <v>7</v>
      </c>
      <c r="R678" s="55" t="s">
        <v>7</v>
      </c>
    </row>
    <row r="679" spans="1:18" ht="15.75" customHeight="1" x14ac:dyDescent="0.3">
      <c r="A679" s="15" t="s">
        <v>67</v>
      </c>
      <c r="B679" s="1"/>
      <c r="C679" s="1"/>
      <c r="D679" s="1"/>
      <c r="E679" s="55" t="s">
        <v>7</v>
      </c>
      <c r="F679" s="1"/>
      <c r="G679" s="1"/>
      <c r="H679" s="1"/>
      <c r="I679" s="55" t="s">
        <v>7</v>
      </c>
      <c r="J679" s="1"/>
      <c r="K679" s="1"/>
      <c r="L679" s="1"/>
      <c r="M679" s="55" t="s">
        <v>7</v>
      </c>
      <c r="N679" s="1"/>
      <c r="O679" s="1"/>
      <c r="P679" s="1"/>
      <c r="Q679" s="55" t="s">
        <v>7</v>
      </c>
      <c r="R679" s="55" t="s">
        <v>7</v>
      </c>
    </row>
    <row r="680" spans="1:18" ht="15.75" customHeight="1" x14ac:dyDescent="0.3">
      <c r="A680" s="71" t="s">
        <v>773</v>
      </c>
      <c r="B680" s="1"/>
      <c r="C680" s="1"/>
      <c r="D680" s="1"/>
      <c r="E680" s="55">
        <f>SUM(B680:D680)</f>
        <v>0</v>
      </c>
      <c r="F680" s="1"/>
      <c r="G680" s="1"/>
      <c r="H680" s="1"/>
      <c r="I680" s="55">
        <f>SUM(F680:H680)</f>
        <v>0</v>
      </c>
      <c r="J680" s="1"/>
      <c r="K680" s="1"/>
      <c r="L680" s="1"/>
      <c r="M680" s="55">
        <f>SUM(J680:L680)</f>
        <v>0</v>
      </c>
      <c r="N680" s="1"/>
      <c r="O680" s="1"/>
      <c r="P680" s="1"/>
      <c r="Q680" s="55">
        <f>SUM(N680:P680)</f>
        <v>0</v>
      </c>
      <c r="R680" s="55">
        <f>+E680+I680+M680+Q680</f>
        <v>0</v>
      </c>
    </row>
    <row r="681" spans="1:18" ht="15.75" customHeight="1" x14ac:dyDescent="0.3">
      <c r="A681" s="15" t="s">
        <v>600</v>
      </c>
      <c r="B681" s="1"/>
      <c r="C681" s="1"/>
      <c r="D681" s="1"/>
      <c r="E681" s="55" t="s">
        <v>7</v>
      </c>
      <c r="F681" s="1"/>
      <c r="G681" s="1"/>
      <c r="H681" s="1"/>
      <c r="I681" s="55" t="s">
        <v>7</v>
      </c>
      <c r="J681" s="1"/>
      <c r="K681" s="1"/>
      <c r="L681" s="1"/>
      <c r="M681" s="55" t="s">
        <v>7</v>
      </c>
      <c r="N681" s="1"/>
      <c r="O681" s="1"/>
      <c r="P681" s="1"/>
      <c r="Q681" s="55" t="s">
        <v>7</v>
      </c>
      <c r="R681" s="55" t="s">
        <v>7</v>
      </c>
    </row>
    <row r="682" spans="1:18" ht="15.75" customHeight="1" thickBot="1" x14ac:dyDescent="0.35">
      <c r="A682" s="15" t="s">
        <v>70</v>
      </c>
      <c r="B682" s="1"/>
      <c r="C682" s="1"/>
      <c r="D682" s="1"/>
      <c r="E682" s="55" t="s">
        <v>7</v>
      </c>
      <c r="F682" s="1"/>
      <c r="G682" s="1"/>
      <c r="H682" s="1"/>
      <c r="I682" s="55" t="s">
        <v>7</v>
      </c>
      <c r="J682" s="1"/>
      <c r="K682" s="1"/>
      <c r="L682" s="1"/>
      <c r="M682" s="55" t="s">
        <v>7</v>
      </c>
      <c r="N682" s="1"/>
      <c r="O682" s="1"/>
      <c r="P682" s="1"/>
      <c r="Q682" s="55" t="s">
        <v>7</v>
      </c>
      <c r="R682" s="55" t="s">
        <v>7</v>
      </c>
    </row>
    <row r="683" spans="1:18" ht="16.5" customHeight="1" thickBot="1" x14ac:dyDescent="0.35">
      <c r="A683" s="57" t="s">
        <v>71</v>
      </c>
      <c r="B683" s="58">
        <f>SUM(B681:B682)</f>
        <v>0</v>
      </c>
      <c r="C683" s="58">
        <f>SUM(C681:C682)</f>
        <v>0</v>
      </c>
      <c r="D683" s="58">
        <f>SUM(D681:D682)</f>
        <v>0</v>
      </c>
      <c r="E683" s="60">
        <f>SUM(B683:D683)</f>
        <v>0</v>
      </c>
      <c r="F683" s="58">
        <f>SUM(F681:F682)</f>
        <v>0</v>
      </c>
      <c r="G683" s="58">
        <f>SUM(G681:G682)</f>
        <v>0</v>
      </c>
      <c r="H683" s="58">
        <f>SUM(H681:H682)</f>
        <v>0</v>
      </c>
      <c r="I683" s="60">
        <f>SUM(F683:H683)</f>
        <v>0</v>
      </c>
      <c r="J683" s="58">
        <f>SUM(J681:J682)</f>
        <v>0</v>
      </c>
      <c r="K683" s="58">
        <f>SUM(K681:K682)</f>
        <v>0</v>
      </c>
      <c r="L683" s="58">
        <f>SUM(L681:L682)</f>
        <v>0</v>
      </c>
      <c r="M683" s="60">
        <f>SUM(J683:L683)</f>
        <v>0</v>
      </c>
      <c r="N683" s="58">
        <f>SUM(N681:N682)</f>
        <v>0</v>
      </c>
      <c r="O683" s="58">
        <f>SUM(O681:O682)</f>
        <v>0</v>
      </c>
      <c r="P683" s="58">
        <f>SUM(P681:P682)</f>
        <v>0</v>
      </c>
      <c r="Q683" s="60">
        <f>SUM(N683:P683)</f>
        <v>0</v>
      </c>
      <c r="R683" s="59">
        <f>+E683+I683+M683+Q683</f>
        <v>0</v>
      </c>
    </row>
    <row r="684" spans="1:18" ht="16.5" customHeight="1" thickBot="1" x14ac:dyDescent="0.35">
      <c r="A684" s="114" t="s">
        <v>72</v>
      </c>
      <c r="B684" s="86">
        <f>SUM(B677:B682)</f>
        <v>0</v>
      </c>
      <c r="C684" s="87">
        <f>SUM(C677:C682)</f>
        <v>0</v>
      </c>
      <c r="D684" s="118">
        <f>SUM(D677:D682)</f>
        <v>0</v>
      </c>
      <c r="E684" s="60">
        <f>SUM(B684:D684)</f>
        <v>0</v>
      </c>
      <c r="F684" s="87">
        <f>SUM(F677:F682)</f>
        <v>0</v>
      </c>
      <c r="G684" s="87">
        <f>SUM(G677:G682)</f>
        <v>0</v>
      </c>
      <c r="H684" s="87">
        <f>SUM(H677:H682)</f>
        <v>0</v>
      </c>
      <c r="I684" s="60">
        <f>SUM(F684:H684)</f>
        <v>0</v>
      </c>
      <c r="J684" s="87">
        <f>SUM(J677:J682)</f>
        <v>0</v>
      </c>
      <c r="K684" s="87">
        <f>SUM(K677:K682)</f>
        <v>0</v>
      </c>
      <c r="L684" s="87">
        <f>SUM(L677:L682)</f>
        <v>0</v>
      </c>
      <c r="M684" s="60">
        <f>SUM(J684:L684)</f>
        <v>0</v>
      </c>
      <c r="N684" s="87">
        <f>SUM(N677:N682)</f>
        <v>0</v>
      </c>
      <c r="O684" s="87">
        <f>SUM(O677:O682)</f>
        <v>0</v>
      </c>
      <c r="P684" s="87">
        <f>SUM(P677:P682)</f>
        <v>0</v>
      </c>
      <c r="Q684" s="60">
        <f>SUM(N684:P684)</f>
        <v>0</v>
      </c>
      <c r="R684" s="59">
        <f>+E684+I684+M684+Q684</f>
        <v>0</v>
      </c>
    </row>
    <row r="685" spans="1:18" ht="16.5" customHeight="1" thickBot="1" x14ac:dyDescent="0.35">
      <c r="A685" s="57" t="s">
        <v>73</v>
      </c>
      <c r="B685" s="90">
        <f>+B668+B672+B676+B684</f>
        <v>276</v>
      </c>
      <c r="C685" s="58">
        <f>+C668+C672+C676+C684</f>
        <v>875</v>
      </c>
      <c r="D685" s="58">
        <f>+D668+D672+D676+D684</f>
        <v>941</v>
      </c>
      <c r="E685" s="59">
        <f>SUM(B685:D685)</f>
        <v>2092</v>
      </c>
      <c r="F685" s="58">
        <f>+F668+F672+F676+F684</f>
        <v>1414</v>
      </c>
      <c r="G685" s="58">
        <f>+G668+G672+G676+G684</f>
        <v>1514</v>
      </c>
      <c r="H685" s="58">
        <f>+H668+H672+H676+H684</f>
        <v>1705</v>
      </c>
      <c r="I685" s="59">
        <f>SUM(F685:H685)</f>
        <v>4633</v>
      </c>
      <c r="J685" s="58">
        <f>+J668+J672+J676+J684</f>
        <v>1541</v>
      </c>
      <c r="K685" s="58">
        <f>+K668+K672+K676+K684</f>
        <v>2519</v>
      </c>
      <c r="L685" s="58">
        <f>+L668+L672+L676+L684</f>
        <v>2052</v>
      </c>
      <c r="M685" s="59">
        <f>SUM(J685:L685)</f>
        <v>6112</v>
      </c>
      <c r="N685" s="58">
        <f>+N668+N672+N676+N684</f>
        <v>104</v>
      </c>
      <c r="O685" s="58">
        <f>+O668+O672+O676+O684</f>
        <v>641</v>
      </c>
      <c r="P685" s="58">
        <f>+P668+P672+P676+P684</f>
        <v>854</v>
      </c>
      <c r="Q685" s="59">
        <f>SUM(N685:P685)</f>
        <v>1599</v>
      </c>
      <c r="R685" s="81">
        <f>+E685+I685+M685+Q685</f>
        <v>14436</v>
      </c>
    </row>
    <row r="686" spans="1:18" ht="16.5" customHeight="1" thickBot="1" x14ac:dyDescent="0.35">
      <c r="A686" s="39" t="s">
        <v>40</v>
      </c>
      <c r="B686" s="21">
        <v>10</v>
      </c>
      <c r="C686" s="21">
        <v>11</v>
      </c>
      <c r="D686" s="21">
        <v>14</v>
      </c>
      <c r="E686" s="55">
        <f>SUM(B686:D686)</f>
        <v>35</v>
      </c>
      <c r="F686" s="21">
        <v>18</v>
      </c>
      <c r="G686" s="21">
        <v>21</v>
      </c>
      <c r="H686" s="21">
        <v>22</v>
      </c>
      <c r="I686" s="55">
        <f>SUM(F686:H686)</f>
        <v>61</v>
      </c>
      <c r="J686" s="21">
        <v>19</v>
      </c>
      <c r="K686" s="21">
        <v>17</v>
      </c>
      <c r="L686" s="21">
        <v>17</v>
      </c>
      <c r="M686" s="55">
        <f>SUM(J686:L686)</f>
        <v>53</v>
      </c>
      <c r="N686" s="21">
        <v>14</v>
      </c>
      <c r="O686" s="21">
        <v>11</v>
      </c>
      <c r="P686" s="21">
        <v>9</v>
      </c>
      <c r="Q686" s="55">
        <f>SUM(N686:P686)</f>
        <v>34</v>
      </c>
      <c r="R686" s="55">
        <f>+E686+I686+M686+Q686</f>
        <v>183</v>
      </c>
    </row>
    <row r="687" spans="1:18" ht="16.5" customHeight="1" thickBot="1" x14ac:dyDescent="0.35">
      <c r="A687" s="41"/>
      <c r="B687" s="36"/>
      <c r="C687" s="36"/>
      <c r="D687" s="36"/>
      <c r="E687" s="52"/>
      <c r="F687" s="36"/>
      <c r="G687" s="36"/>
      <c r="H687" s="36"/>
      <c r="I687" s="52"/>
      <c r="J687" s="36"/>
      <c r="K687" s="36"/>
      <c r="L687" s="36"/>
      <c r="M687" s="129"/>
      <c r="N687" s="36"/>
      <c r="O687" s="36"/>
      <c r="P687" s="36"/>
      <c r="Q687" s="129"/>
      <c r="R687" s="40"/>
    </row>
    <row r="688" spans="1:18" ht="15.75" customHeight="1" x14ac:dyDescent="0.3">
      <c r="A688" s="15" t="s">
        <v>314</v>
      </c>
      <c r="B688" s="1">
        <f>SUM(B685:B686)</f>
        <v>286</v>
      </c>
      <c r="C688" s="1">
        <f>SUM(C685:C686)</f>
        <v>886</v>
      </c>
      <c r="D688" s="1">
        <f>SUM(D685:D686)</f>
        <v>955</v>
      </c>
      <c r="E688" s="55">
        <f>SUM(B688:D688)</f>
        <v>2127</v>
      </c>
      <c r="F688" s="1">
        <f>SUM(F685:F686)</f>
        <v>1432</v>
      </c>
      <c r="G688" s="1">
        <f>SUM(G685:G686)</f>
        <v>1535</v>
      </c>
      <c r="H688" s="1">
        <f>SUM(H685:H686)</f>
        <v>1727</v>
      </c>
      <c r="I688" s="60">
        <f>SUM(F688:H688)</f>
        <v>4694</v>
      </c>
      <c r="J688" s="1">
        <f>SUM(J685:J686)</f>
        <v>1560</v>
      </c>
      <c r="K688" s="1">
        <f>SUM(K685:K686)</f>
        <v>2536</v>
      </c>
      <c r="L688" s="1">
        <f>SUM(L685:L686)</f>
        <v>2069</v>
      </c>
      <c r="M688" s="60">
        <f>SUM(J688:L688)</f>
        <v>6165</v>
      </c>
      <c r="N688" s="1">
        <f>SUM(N685:N686)</f>
        <v>118</v>
      </c>
      <c r="O688" s="1">
        <f>SUM(O685:O686)</f>
        <v>652</v>
      </c>
      <c r="P688" s="1">
        <f>SUM(P685:P686)</f>
        <v>863</v>
      </c>
      <c r="Q688" s="60">
        <f>SUM(N688:P688)</f>
        <v>1633</v>
      </c>
      <c r="R688" s="60">
        <f>+E688+I688+M688+Q688</f>
        <v>14619</v>
      </c>
    </row>
    <row r="689" spans="1:18" ht="15.75" customHeight="1" x14ac:dyDescent="0.3">
      <c r="A689" s="15" t="s">
        <v>42</v>
      </c>
      <c r="B689" s="1">
        <f>(B688/B10)/1.983</f>
        <v>4.6524490426691392</v>
      </c>
      <c r="C689" s="1">
        <f>(C688/C10)/1.983</f>
        <v>15.957063612131689</v>
      </c>
      <c r="D689" s="1">
        <f>(D688/D10)/1.983</f>
        <v>15.535275649472124</v>
      </c>
      <c r="E689" s="55" t="s">
        <v>7</v>
      </c>
      <c r="F689" s="1">
        <f>(F688/F10)/1.983</f>
        <v>24.071272482770212</v>
      </c>
      <c r="G689" s="1">
        <f>(G688/G10)/1.983</f>
        <v>24.970312169570381</v>
      </c>
      <c r="H689" s="1">
        <f>(H688/H10)/1.983</f>
        <v>29.030089090603465</v>
      </c>
      <c r="I689" s="55" t="s">
        <v>7</v>
      </c>
      <c r="J689" s="1">
        <f>(J688/J10)/1.983</f>
        <v>25.376994778195304</v>
      </c>
      <c r="K689" s="1">
        <f>(K688/K10)/1.983</f>
        <v>41.253883818912371</v>
      </c>
      <c r="L689" s="1">
        <f>(L688/L10)/1.983</f>
        <v>34.778954446125397</v>
      </c>
      <c r="M689" s="55" t="s">
        <v>7</v>
      </c>
      <c r="N689" s="1">
        <f>(N688/N10)/1.983</f>
        <v>1.9195419127096449</v>
      </c>
      <c r="O689" s="1">
        <f>(O688/O10)/1.983</f>
        <v>10.959825180702639</v>
      </c>
      <c r="P689" s="1">
        <f>(P688/P10)/1.983</f>
        <v>14.038683649732402</v>
      </c>
      <c r="Q689" s="55" t="s">
        <v>7</v>
      </c>
      <c r="R689" s="55" t="s">
        <v>7</v>
      </c>
    </row>
    <row r="690" spans="1:18" ht="15.75" customHeight="1" x14ac:dyDescent="0.3">
      <c r="A690" s="15" t="s">
        <v>341</v>
      </c>
      <c r="B690" s="1">
        <f>B688+B741</f>
        <v>11977</v>
      </c>
      <c r="C690" s="1">
        <f>C688+C741</f>
        <v>16711</v>
      </c>
      <c r="D690" s="1">
        <f>D688+D741</f>
        <v>19782</v>
      </c>
      <c r="E690" s="55">
        <f>SUM(B690:D690)</f>
        <v>48470</v>
      </c>
      <c r="F690" s="1">
        <f>F688+F741</f>
        <v>22707</v>
      </c>
      <c r="G690" s="1">
        <f>G688+G741</f>
        <v>22734</v>
      </c>
      <c r="H690" s="1">
        <f>H688+H741</f>
        <v>19616</v>
      </c>
      <c r="I690" s="55">
        <f>SUM(F690:H690)</f>
        <v>65057</v>
      </c>
      <c r="J690" s="1">
        <f>J688+J741</f>
        <v>18362</v>
      </c>
      <c r="K690" s="1">
        <f>K688+K741</f>
        <v>22588</v>
      </c>
      <c r="L690" s="1">
        <f>L688+L741</f>
        <v>18829</v>
      </c>
      <c r="M690" s="55">
        <f>SUM(J690:L690)</f>
        <v>59779</v>
      </c>
      <c r="N690" s="1">
        <f>N688+N741</f>
        <v>8975</v>
      </c>
      <c r="O690" s="1">
        <f>O688+O741</f>
        <v>4411</v>
      </c>
      <c r="P690" s="1">
        <f>P688+P741</f>
        <v>5125</v>
      </c>
      <c r="Q690" s="55">
        <f>SUM(N690:P690)</f>
        <v>18511</v>
      </c>
      <c r="R690" s="55">
        <f>+E690+I690+M690+Q690</f>
        <v>191817</v>
      </c>
    </row>
    <row r="691" spans="1:18" ht="16.5" customHeight="1" thickBot="1" x14ac:dyDescent="0.35">
      <c r="A691" s="20" t="s">
        <v>342</v>
      </c>
      <c r="B691" s="21">
        <f>(B690/B10)/1.983</f>
        <v>194.83350414002896</v>
      </c>
      <c r="C691" s="21">
        <f>(C690/C10)/1.983</f>
        <v>300.96895036380664</v>
      </c>
      <c r="D691" s="21">
        <f>(D690/D10)/1.983</f>
        <v>321.79981455273042</v>
      </c>
      <c r="E691" s="81" t="s">
        <v>7</v>
      </c>
      <c r="F691" s="21">
        <f>(F690/F10)/1.983</f>
        <v>381.69440242057487</v>
      </c>
      <c r="G691" s="21">
        <f>(G690/G10)/1.983</f>
        <v>369.8208969791616</v>
      </c>
      <c r="H691" s="21">
        <f>(H690/H10)/1.983</f>
        <v>329.73609009917629</v>
      </c>
      <c r="I691" s="81" t="s">
        <v>7</v>
      </c>
      <c r="J691" s="21">
        <f>(J690/J10)/1.983</f>
        <v>298.70024238283474</v>
      </c>
      <c r="K691" s="21">
        <f>(K690/K10)/1.983</f>
        <v>367.445870544792</v>
      </c>
      <c r="L691" s="21">
        <f>(L690/L10)/1.983</f>
        <v>316.50697596234659</v>
      </c>
      <c r="M691" s="81" t="s">
        <v>7</v>
      </c>
      <c r="N691" s="21">
        <f>(N690/N10)/1.983</f>
        <v>145.99905649634798</v>
      </c>
      <c r="O691" s="21">
        <f>(O690/O10)/1.983</f>
        <v>74.14691544797445</v>
      </c>
      <c r="P691" s="21">
        <f>(P690/P10)/1.983</f>
        <v>83.369934768109573</v>
      </c>
      <c r="Q691" s="81" t="s">
        <v>7</v>
      </c>
      <c r="R691" s="81" t="s">
        <v>7</v>
      </c>
    </row>
    <row r="692" spans="1:18" ht="15.75" customHeight="1" x14ac:dyDescent="0.3">
      <c r="A692" s="2"/>
      <c r="B692" s="1"/>
      <c r="C692" s="1"/>
      <c r="D692" s="1"/>
      <c r="E692" s="1"/>
      <c r="F692" s="1"/>
      <c r="G692" s="1"/>
      <c r="H692" s="1"/>
      <c r="I692" s="1"/>
      <c r="J692" s="1"/>
      <c r="K692" s="1"/>
      <c r="L692" s="1"/>
      <c r="M692" s="1"/>
      <c r="N692" s="1"/>
      <c r="O692" s="1"/>
      <c r="P692" s="1"/>
      <c r="Q692" s="1"/>
      <c r="R692" s="2"/>
    </row>
    <row r="693" spans="1:18" ht="16.5" customHeight="1" thickBot="1" x14ac:dyDescent="0.35">
      <c r="A693" s="106"/>
      <c r="B693" s="21"/>
      <c r="C693" s="21"/>
      <c r="D693" s="21"/>
      <c r="E693" s="21"/>
      <c r="F693" s="21"/>
      <c r="G693" s="21"/>
      <c r="H693" s="21"/>
      <c r="I693" s="21"/>
      <c r="J693" s="21"/>
      <c r="K693" s="21"/>
      <c r="L693" s="21"/>
      <c r="M693" s="21"/>
      <c r="N693" s="21"/>
      <c r="O693" s="21"/>
      <c r="P693" s="21"/>
      <c r="Q693" s="21"/>
      <c r="R693" s="106"/>
    </row>
    <row r="694" spans="1:18" ht="15.75" customHeight="1" thickBot="1" x14ac:dyDescent="0.35">
      <c r="A694" s="107" t="s">
        <v>343</v>
      </c>
      <c r="B694" s="47" t="s">
        <v>8</v>
      </c>
      <c r="C694" s="48" t="s">
        <v>9</v>
      </c>
      <c r="D694" s="48" t="s">
        <v>10</v>
      </c>
      <c r="E694" s="32" t="s">
        <v>11</v>
      </c>
      <c r="F694" s="48" t="s">
        <v>12</v>
      </c>
      <c r="G694" s="48" t="s">
        <v>13</v>
      </c>
      <c r="H694" s="48" t="s">
        <v>14</v>
      </c>
      <c r="I694" s="32" t="s">
        <v>15</v>
      </c>
      <c r="J694" s="48" t="s">
        <v>16</v>
      </c>
      <c r="K694" s="48" t="s">
        <v>17</v>
      </c>
      <c r="L694" s="48" t="s">
        <v>18</v>
      </c>
      <c r="M694" s="32" t="s">
        <v>19</v>
      </c>
      <c r="N694" s="48" t="s">
        <v>20</v>
      </c>
      <c r="O694" s="48" t="s">
        <v>21</v>
      </c>
      <c r="P694" s="48" t="s">
        <v>22</v>
      </c>
      <c r="Q694" s="32" t="s">
        <v>23</v>
      </c>
      <c r="R694" s="49" t="s">
        <v>24</v>
      </c>
    </row>
    <row r="695" spans="1:18" ht="16.5" customHeight="1" thickBot="1" x14ac:dyDescent="0.35">
      <c r="A695" s="130"/>
      <c r="B695" s="51"/>
      <c r="C695" s="51"/>
      <c r="D695" s="51"/>
      <c r="E695" s="52"/>
      <c r="F695" s="51"/>
      <c r="G695" s="51"/>
      <c r="H695" s="51"/>
      <c r="I695" s="52"/>
      <c r="J695" s="51"/>
      <c r="K695" s="51"/>
      <c r="L695" s="51"/>
      <c r="M695" s="52"/>
      <c r="N695" s="51"/>
      <c r="O695" s="51"/>
      <c r="P695" s="51"/>
      <c r="Q695" s="52"/>
      <c r="R695" s="53"/>
    </row>
    <row r="696" spans="1:18" ht="15.75" customHeight="1" x14ac:dyDescent="0.3">
      <c r="A696" s="15" t="s">
        <v>48</v>
      </c>
      <c r="B696" s="1" t="s">
        <v>7</v>
      </c>
      <c r="C696" s="1" t="s">
        <v>7</v>
      </c>
      <c r="D696" s="1" t="s">
        <v>7</v>
      </c>
      <c r="E696" s="55" t="s">
        <v>7</v>
      </c>
      <c r="F696" s="1" t="s">
        <v>7</v>
      </c>
      <c r="G696" s="1" t="s">
        <v>7</v>
      </c>
      <c r="H696" s="1" t="s">
        <v>7</v>
      </c>
      <c r="I696" s="55" t="s">
        <v>7</v>
      </c>
      <c r="J696" s="1" t="s">
        <v>7</v>
      </c>
      <c r="K696" s="1" t="s">
        <v>7</v>
      </c>
      <c r="L696" s="1" t="s">
        <v>7</v>
      </c>
      <c r="M696" s="55" t="s">
        <v>7</v>
      </c>
      <c r="N696" s="1" t="s">
        <v>7</v>
      </c>
      <c r="O696" s="1" t="s">
        <v>7</v>
      </c>
      <c r="P696" s="1" t="s">
        <v>7</v>
      </c>
      <c r="Q696" s="55" t="s">
        <v>7</v>
      </c>
      <c r="R696" s="55" t="s">
        <v>7</v>
      </c>
    </row>
    <row r="697" spans="1:18" ht="15.75" customHeight="1" x14ac:dyDescent="0.3">
      <c r="A697" s="15" t="s">
        <v>49</v>
      </c>
      <c r="B697" s="1"/>
      <c r="C697" s="1"/>
      <c r="D697" s="1"/>
      <c r="E697" s="55" t="s">
        <v>7</v>
      </c>
      <c r="F697" s="1"/>
      <c r="G697" s="1"/>
      <c r="H697" s="1"/>
      <c r="I697" s="55" t="s">
        <v>7</v>
      </c>
      <c r="J697" s="1"/>
      <c r="K697" s="1"/>
      <c r="L697" s="1"/>
      <c r="M697" s="55" t="s">
        <v>7</v>
      </c>
      <c r="N697" s="1"/>
      <c r="O697" s="1"/>
      <c r="P697" s="1"/>
      <c r="Q697" s="55" t="s">
        <v>7</v>
      </c>
      <c r="R697" s="55" t="s">
        <v>7</v>
      </c>
    </row>
    <row r="698" spans="1:18" ht="15.75" customHeight="1" x14ac:dyDescent="0.3">
      <c r="A698" s="71" t="s">
        <v>344</v>
      </c>
      <c r="B698" s="1">
        <v>3597</v>
      </c>
      <c r="C698" s="1">
        <v>4903</v>
      </c>
      <c r="D698" s="1">
        <v>7716</v>
      </c>
      <c r="E698" s="55">
        <f t="shared" ref="E698:E699" si="259">SUM(B698:D698)</f>
        <v>16216</v>
      </c>
      <c r="F698" s="1">
        <v>7493</v>
      </c>
      <c r="G698" s="1">
        <v>7706</v>
      </c>
      <c r="H698" s="1">
        <v>5408</v>
      </c>
      <c r="I698" s="55">
        <f t="shared" ref="I698:I699" si="260">SUM(F698:H698)</f>
        <v>20607</v>
      </c>
      <c r="J698" s="1">
        <v>4387</v>
      </c>
      <c r="K698" s="1">
        <v>5554</v>
      </c>
      <c r="L698" s="1">
        <v>3676</v>
      </c>
      <c r="M698" s="55">
        <f t="shared" ref="M698:M699" si="261">SUM(J698:L698)</f>
        <v>13617</v>
      </c>
      <c r="N698" s="1">
        <v>173</v>
      </c>
      <c r="O698" s="1">
        <v>276</v>
      </c>
      <c r="P698" s="1">
        <f>1026+636</f>
        <v>1662</v>
      </c>
      <c r="Q698" s="55">
        <f t="shared" ref="Q698:Q703" si="262">SUM(N698:P698)</f>
        <v>2111</v>
      </c>
      <c r="R698" s="55">
        <f>+E698+I698+M698+Q698</f>
        <v>52551</v>
      </c>
    </row>
    <row r="699" spans="1:18" ht="15.75" customHeight="1" x14ac:dyDescent="0.3">
      <c r="A699" s="71" t="s">
        <v>345</v>
      </c>
      <c r="B699" s="1"/>
      <c r="C699" s="1">
        <v>2009</v>
      </c>
      <c r="D699" s="1">
        <v>3315</v>
      </c>
      <c r="E699" s="55">
        <f t="shared" si="259"/>
        <v>5324</v>
      </c>
      <c r="F699" s="1">
        <v>3023</v>
      </c>
      <c r="G699" s="1">
        <v>3264</v>
      </c>
      <c r="H699" s="1">
        <v>3048</v>
      </c>
      <c r="I699" s="55">
        <f t="shared" si="260"/>
        <v>9335</v>
      </c>
      <c r="J699" s="1">
        <v>3301</v>
      </c>
      <c r="K699" s="1">
        <v>4166</v>
      </c>
      <c r="L699" s="1">
        <v>3985</v>
      </c>
      <c r="M699" s="55">
        <f t="shared" si="261"/>
        <v>11452</v>
      </c>
      <c r="N699" s="1">
        <v>3976</v>
      </c>
      <c r="O699" s="1"/>
      <c r="P699" s="1">
        <v>66</v>
      </c>
      <c r="Q699" s="55">
        <f t="shared" si="262"/>
        <v>4042</v>
      </c>
      <c r="R699" s="55">
        <f t="shared" ref="R699:R703" si="263">+E699+I699+M699+Q699</f>
        <v>30153</v>
      </c>
    </row>
    <row r="700" spans="1:18" ht="15.75" customHeight="1" x14ac:dyDescent="0.3">
      <c r="A700" s="71" t="s">
        <v>996</v>
      </c>
      <c r="B700" s="1">
        <v>60</v>
      </c>
      <c r="C700" s="1"/>
      <c r="D700" s="1"/>
      <c r="E700" s="55">
        <f t="shared" ref="E700:E703" si="264">SUM(B700:D700)</f>
        <v>60</v>
      </c>
      <c r="F700" s="1"/>
      <c r="G700" s="1"/>
      <c r="H700" s="1"/>
      <c r="I700" s="55">
        <f t="shared" ref="I700:I703" si="265">SUM(F700:H700)</f>
        <v>0</v>
      </c>
      <c r="J700" s="1"/>
      <c r="K700" s="1"/>
      <c r="L700" s="1"/>
      <c r="M700" s="55">
        <f t="shared" ref="M700:M703" si="266">SUM(J700:L700)</f>
        <v>0</v>
      </c>
      <c r="N700" s="1"/>
      <c r="O700" s="1"/>
      <c r="P700" s="1"/>
      <c r="Q700" s="55">
        <f t="shared" si="262"/>
        <v>0</v>
      </c>
      <c r="R700" s="55">
        <f t="shared" si="263"/>
        <v>60</v>
      </c>
    </row>
    <row r="701" spans="1:18" ht="15.75" customHeight="1" x14ac:dyDescent="0.3">
      <c r="A701" s="71" t="s">
        <v>997</v>
      </c>
      <c r="B701" s="1">
        <v>3500</v>
      </c>
      <c r="C701" s="1">
        <v>4000</v>
      </c>
      <c r="D701" s="1">
        <v>3800</v>
      </c>
      <c r="E701" s="55">
        <f t="shared" si="264"/>
        <v>11300</v>
      </c>
      <c r="G701" s="1">
        <v>3800</v>
      </c>
      <c r="H701" s="1">
        <v>3800</v>
      </c>
      <c r="I701" s="55">
        <f t="shared" si="265"/>
        <v>7600</v>
      </c>
      <c r="J701" s="1">
        <v>3800</v>
      </c>
      <c r="K701" s="1">
        <v>3800</v>
      </c>
      <c r="L701" s="1">
        <v>3800</v>
      </c>
      <c r="M701" s="55">
        <f t="shared" si="266"/>
        <v>11400</v>
      </c>
      <c r="N701" s="1">
        <v>1400</v>
      </c>
      <c r="O701" s="1">
        <v>857</v>
      </c>
      <c r="P701" s="1">
        <v>143</v>
      </c>
      <c r="Q701" s="55">
        <f t="shared" si="262"/>
        <v>2400</v>
      </c>
      <c r="R701" s="55">
        <f t="shared" si="263"/>
        <v>32700</v>
      </c>
    </row>
    <row r="702" spans="1:18" ht="15.75" customHeight="1" x14ac:dyDescent="0.3">
      <c r="A702" s="71" t="s">
        <v>998</v>
      </c>
      <c r="B702" s="1">
        <v>250</v>
      </c>
      <c r="C702" s="1">
        <v>250</v>
      </c>
      <c r="D702" s="1">
        <v>250</v>
      </c>
      <c r="E702" s="55">
        <f t="shared" si="264"/>
        <v>750</v>
      </c>
      <c r="F702" s="1">
        <v>250</v>
      </c>
      <c r="G702" s="1">
        <v>250</v>
      </c>
      <c r="H702" s="1">
        <v>250</v>
      </c>
      <c r="I702" s="55">
        <f t="shared" si="265"/>
        <v>750</v>
      </c>
      <c r="J702" s="1">
        <v>250</v>
      </c>
      <c r="K702" s="1">
        <v>250</v>
      </c>
      <c r="L702" s="1">
        <v>300</v>
      </c>
      <c r="M702" s="55">
        <f t="shared" si="266"/>
        <v>800</v>
      </c>
      <c r="N702" s="1"/>
      <c r="O702" s="1"/>
      <c r="P702" s="1"/>
      <c r="Q702" s="55">
        <f t="shared" si="262"/>
        <v>0</v>
      </c>
      <c r="R702" s="55">
        <f t="shared" si="263"/>
        <v>2300</v>
      </c>
    </row>
    <row r="703" spans="1:18" ht="15.75" customHeight="1" x14ac:dyDescent="0.3">
      <c r="A703" s="71" t="s">
        <v>999</v>
      </c>
      <c r="B703" s="1">
        <v>100</v>
      </c>
      <c r="C703" s="1">
        <v>100</v>
      </c>
      <c r="D703" s="1">
        <v>100</v>
      </c>
      <c r="E703" s="55">
        <f t="shared" si="264"/>
        <v>300</v>
      </c>
      <c r="F703" s="1">
        <v>100</v>
      </c>
      <c r="G703" s="1">
        <v>100</v>
      </c>
      <c r="H703" s="1">
        <v>100</v>
      </c>
      <c r="I703" s="55">
        <f t="shared" si="265"/>
        <v>300</v>
      </c>
      <c r="J703" s="1">
        <v>100</v>
      </c>
      <c r="K703" s="1">
        <v>157</v>
      </c>
      <c r="L703" s="1"/>
      <c r="M703" s="55">
        <f t="shared" si="266"/>
        <v>257</v>
      </c>
      <c r="N703" s="1">
        <v>100</v>
      </c>
      <c r="O703" s="1">
        <v>100</v>
      </c>
      <c r="P703" s="1">
        <v>100</v>
      </c>
      <c r="Q703" s="55">
        <f t="shared" si="262"/>
        <v>300</v>
      </c>
      <c r="R703" s="55">
        <f t="shared" si="263"/>
        <v>1157</v>
      </c>
    </row>
    <row r="704" spans="1:18" ht="15.75" customHeight="1" x14ac:dyDescent="0.3">
      <c r="A704" s="15" t="s">
        <v>50</v>
      </c>
      <c r="B704" s="1"/>
      <c r="C704" s="1"/>
      <c r="D704" s="1"/>
      <c r="E704" s="55" t="s">
        <v>7</v>
      </c>
      <c r="F704" s="1"/>
      <c r="G704" s="1"/>
      <c r="H704" s="1"/>
      <c r="I704" s="55" t="s">
        <v>7</v>
      </c>
      <c r="J704" s="1"/>
      <c r="K704" s="1"/>
      <c r="L704" s="1"/>
      <c r="M704" s="55" t="s">
        <v>7</v>
      </c>
      <c r="N704" s="1"/>
      <c r="O704" s="1"/>
      <c r="P704" s="1"/>
      <c r="Q704" s="55" t="s">
        <v>7</v>
      </c>
      <c r="R704" s="55" t="s">
        <v>7</v>
      </c>
    </row>
    <row r="705" spans="1:20" ht="15.75" customHeight="1" x14ac:dyDescent="0.3">
      <c r="A705" s="15" t="s">
        <v>1186</v>
      </c>
      <c r="B705" s="1"/>
      <c r="C705" s="1"/>
      <c r="D705" s="1"/>
      <c r="E705" s="55" t="s">
        <v>7</v>
      </c>
      <c r="F705" s="1"/>
      <c r="G705" s="1"/>
      <c r="H705" s="1"/>
      <c r="I705" s="55" t="s">
        <v>7</v>
      </c>
      <c r="J705" s="1"/>
      <c r="K705" s="1"/>
      <c r="L705" s="1"/>
      <c r="M705" s="55" t="s">
        <v>7</v>
      </c>
      <c r="N705" s="1"/>
      <c r="O705" s="1"/>
      <c r="P705" s="1"/>
      <c r="Q705" s="55" t="s">
        <v>7</v>
      </c>
      <c r="R705" s="55" t="s">
        <v>7</v>
      </c>
    </row>
    <row r="706" spans="1:20" ht="15.75" customHeight="1" thickBot="1" x14ac:dyDescent="0.35">
      <c r="A706" s="15" t="s">
        <v>53</v>
      </c>
      <c r="B706" s="1"/>
      <c r="C706" s="1"/>
      <c r="D706" s="1"/>
      <c r="E706" s="55" t="s">
        <v>7</v>
      </c>
      <c r="F706" s="1"/>
      <c r="G706" s="1"/>
      <c r="H706" s="1"/>
      <c r="I706" s="55" t="s">
        <v>7</v>
      </c>
      <c r="J706" s="1"/>
      <c r="K706" s="1"/>
      <c r="L706" s="1"/>
      <c r="M706" s="55" t="s">
        <v>7</v>
      </c>
      <c r="N706" s="1"/>
      <c r="O706" s="1"/>
      <c r="P706" s="1"/>
      <c r="Q706" s="55" t="s">
        <v>7</v>
      </c>
      <c r="R706" s="55" t="s">
        <v>7</v>
      </c>
    </row>
    <row r="707" spans="1:20" ht="16.5" customHeight="1" thickBot="1" x14ac:dyDescent="0.35">
      <c r="A707" s="109" t="s">
        <v>54</v>
      </c>
      <c r="B707" s="86">
        <f>SUM(B696:B706)</f>
        <v>7507</v>
      </c>
      <c r="C707" s="87">
        <f>SUM(C696:C706)</f>
        <v>11262</v>
      </c>
      <c r="D707" s="87">
        <f>SUM(D696:D706)</f>
        <v>15181</v>
      </c>
      <c r="E707" s="59">
        <f>SUM(B707:D707)</f>
        <v>33950</v>
      </c>
      <c r="F707" s="87">
        <f>SUM(F696:F706)</f>
        <v>10866</v>
      </c>
      <c r="G707" s="87">
        <f>SUM(G696:G706)</f>
        <v>15120</v>
      </c>
      <c r="H707" s="87">
        <f>SUM(H696:H706)</f>
        <v>12606</v>
      </c>
      <c r="I707" s="59">
        <f>SUM(F707:H707)</f>
        <v>38592</v>
      </c>
      <c r="J707" s="87">
        <f>SUM(J696:J706)</f>
        <v>11838</v>
      </c>
      <c r="K707" s="87">
        <f>SUM(K696:K706)</f>
        <v>13927</v>
      </c>
      <c r="L707" s="87">
        <f>SUM(L696:L706)</f>
        <v>11761</v>
      </c>
      <c r="M707" s="59">
        <f>SUM(J707:L707)</f>
        <v>37526</v>
      </c>
      <c r="N707" s="87">
        <f>SUM(N696:N706)</f>
        <v>5649</v>
      </c>
      <c r="O707" s="87">
        <f>SUM(O696:O706)</f>
        <v>1233</v>
      </c>
      <c r="P707" s="87">
        <f>SUM(P696:P706)</f>
        <v>1971</v>
      </c>
      <c r="Q707" s="59">
        <f>SUM(N707:P707)</f>
        <v>8853</v>
      </c>
      <c r="R707" s="59">
        <f>+E707+I707+M707+Q707</f>
        <v>118921</v>
      </c>
    </row>
    <row r="708" spans="1:20" ht="15.75" customHeight="1" x14ac:dyDescent="0.3">
      <c r="A708" s="15" t="s">
        <v>55</v>
      </c>
      <c r="B708" s="1"/>
      <c r="C708" s="1"/>
      <c r="D708" s="1"/>
      <c r="E708" s="55" t="s">
        <v>7</v>
      </c>
      <c r="F708" s="1"/>
      <c r="G708" s="1"/>
      <c r="H708" s="1"/>
      <c r="I708" s="55" t="s">
        <v>7</v>
      </c>
      <c r="J708" s="1"/>
      <c r="K708" s="1"/>
      <c r="L708" s="1"/>
      <c r="M708" s="55" t="s">
        <v>7</v>
      </c>
      <c r="N708" s="1"/>
      <c r="O708" s="1"/>
      <c r="P708" s="1"/>
      <c r="Q708" s="55" t="s">
        <v>7</v>
      </c>
      <c r="R708" s="55" t="s">
        <v>7</v>
      </c>
    </row>
    <row r="709" spans="1:20" ht="15.75" customHeight="1" x14ac:dyDescent="0.3">
      <c r="A709" s="15" t="s">
        <v>57</v>
      </c>
      <c r="B709" s="1"/>
      <c r="C709" s="1"/>
      <c r="D709" s="1"/>
      <c r="E709" s="55" t="s">
        <v>7</v>
      </c>
      <c r="F709" s="1"/>
      <c r="G709" s="1"/>
      <c r="H709" s="1"/>
      <c r="I709" s="55" t="s">
        <v>7</v>
      </c>
      <c r="J709" s="1"/>
      <c r="K709" s="1"/>
      <c r="L709" s="1"/>
      <c r="M709" s="55" t="s">
        <v>7</v>
      </c>
      <c r="N709" s="1"/>
      <c r="O709" s="1"/>
      <c r="P709" s="1"/>
      <c r="Q709" s="55" t="s">
        <v>7</v>
      </c>
      <c r="R709" s="55" t="s">
        <v>7</v>
      </c>
    </row>
    <row r="710" spans="1:20" ht="15.75" customHeight="1" thickBot="1" x14ac:dyDescent="0.35">
      <c r="A710" s="15" t="s">
        <v>58</v>
      </c>
      <c r="B710" s="1"/>
      <c r="C710" s="1"/>
      <c r="D710" s="1"/>
      <c r="E710" s="55" t="s">
        <v>7</v>
      </c>
      <c r="F710" s="1"/>
      <c r="G710" s="1"/>
      <c r="H710" s="1"/>
      <c r="I710" s="55" t="s">
        <v>7</v>
      </c>
      <c r="J710" s="1"/>
      <c r="K710" s="1"/>
      <c r="L710" s="1"/>
      <c r="M710" s="55" t="s">
        <v>7</v>
      </c>
      <c r="N710" s="1"/>
      <c r="O710" s="1"/>
      <c r="P710" s="1"/>
      <c r="Q710" s="55" t="s">
        <v>7</v>
      </c>
      <c r="R710" s="55" t="s">
        <v>7</v>
      </c>
    </row>
    <row r="711" spans="1:20" ht="16.5" customHeight="1" thickBot="1" x14ac:dyDescent="0.35">
      <c r="A711" s="57" t="s">
        <v>59</v>
      </c>
      <c r="B711" s="86">
        <f>SUM(B708:B710)</f>
        <v>0</v>
      </c>
      <c r="C711" s="87">
        <f>SUM(C708:C710)</f>
        <v>0</v>
      </c>
      <c r="D711" s="87">
        <f>SUM(D708:D710)</f>
        <v>0</v>
      </c>
      <c r="E711" s="59">
        <f>SUM(B711:D711)</f>
        <v>0</v>
      </c>
      <c r="F711" s="87">
        <f>SUM(F708:F710)</f>
        <v>0</v>
      </c>
      <c r="G711" s="87">
        <f>SUM(G708:G710)</f>
        <v>0</v>
      </c>
      <c r="H711" s="87">
        <f>SUM(H708:H710)</f>
        <v>0</v>
      </c>
      <c r="I711" s="59">
        <f>SUM(F711:H711)</f>
        <v>0</v>
      </c>
      <c r="J711" s="87">
        <f>SUM(J708:J710)</f>
        <v>0</v>
      </c>
      <c r="K711" s="87">
        <f>SUM(K708:K710)</f>
        <v>0</v>
      </c>
      <c r="L711" s="87">
        <f>SUM(L708:L710)</f>
        <v>0</v>
      </c>
      <c r="M711" s="59">
        <f>SUM(J711:L711)</f>
        <v>0</v>
      </c>
      <c r="N711" s="87">
        <f>SUM(N708:N710)</f>
        <v>0</v>
      </c>
      <c r="O711" s="87">
        <f>SUM(O708:O710)</f>
        <v>0</v>
      </c>
      <c r="P711" s="87">
        <f>SUM(P708:P710)</f>
        <v>0</v>
      </c>
      <c r="Q711" s="59">
        <f>SUM(N711:P711)</f>
        <v>0</v>
      </c>
      <c r="R711" s="59">
        <f>+E711+I711+M711+Q711</f>
        <v>0</v>
      </c>
    </row>
    <row r="712" spans="1:20" ht="15.75" customHeight="1" x14ac:dyDescent="0.3">
      <c r="A712" s="15" t="s">
        <v>60</v>
      </c>
      <c r="B712" s="1"/>
      <c r="C712" s="1"/>
      <c r="D712" s="1"/>
      <c r="E712" s="55" t="s">
        <v>7</v>
      </c>
      <c r="F712" s="1"/>
      <c r="G712" s="1"/>
      <c r="H712" s="1"/>
      <c r="I712" s="55" t="s">
        <v>7</v>
      </c>
      <c r="J712" s="1"/>
      <c r="K712" s="1"/>
      <c r="L712" s="1"/>
      <c r="M712" s="55" t="s">
        <v>7</v>
      </c>
      <c r="N712" s="1"/>
      <c r="O712" s="1"/>
      <c r="P712" s="1"/>
      <c r="Q712" s="55" t="s">
        <v>7</v>
      </c>
      <c r="R712" s="55" t="s">
        <v>7</v>
      </c>
    </row>
    <row r="713" spans="1:20" ht="15.75" customHeight="1" x14ac:dyDescent="0.3">
      <c r="A713" s="15" t="s">
        <v>61</v>
      </c>
      <c r="B713" s="1"/>
      <c r="C713" s="1"/>
      <c r="D713" s="1"/>
      <c r="E713" s="55" t="s">
        <v>7</v>
      </c>
      <c r="F713" s="1"/>
      <c r="G713" s="1"/>
      <c r="H713" s="1"/>
      <c r="I713" s="55" t="s">
        <v>7</v>
      </c>
      <c r="J713" s="1"/>
      <c r="K713" s="1"/>
      <c r="L713" s="1"/>
      <c r="M713" s="55" t="s">
        <v>7</v>
      </c>
      <c r="N713" s="1"/>
      <c r="O713" s="1"/>
      <c r="P713" s="1"/>
      <c r="Q713" s="55" t="s">
        <v>7</v>
      </c>
      <c r="R713" s="55" t="s">
        <v>7</v>
      </c>
    </row>
    <row r="714" spans="1:20" ht="15.75" customHeight="1" x14ac:dyDescent="0.3">
      <c r="A714" s="71" t="s">
        <v>346</v>
      </c>
      <c r="B714" s="1">
        <v>419</v>
      </c>
      <c r="C714" s="1">
        <v>436</v>
      </c>
      <c r="D714" s="1">
        <v>806</v>
      </c>
      <c r="E714" s="55">
        <f>SUM(B714:D714)</f>
        <v>1661</v>
      </c>
      <c r="F714" s="1">
        <v>2587</v>
      </c>
      <c r="G714" s="1">
        <v>1272</v>
      </c>
      <c r="H714" s="1">
        <v>1303</v>
      </c>
      <c r="I714" s="55">
        <f>SUM(F714:H714)</f>
        <v>5162</v>
      </c>
      <c r="J714" s="1">
        <v>1498</v>
      </c>
      <c r="K714" s="1">
        <v>1530</v>
      </c>
      <c r="L714" s="1">
        <v>854</v>
      </c>
      <c r="M714" s="55">
        <f>SUM(J714:L714)</f>
        <v>3882</v>
      </c>
      <c r="N714" s="1"/>
      <c r="O714" s="1">
        <v>359</v>
      </c>
      <c r="P714" s="1">
        <v>362</v>
      </c>
      <c r="Q714" s="55">
        <f>SUM(N714:P714)</f>
        <v>721</v>
      </c>
      <c r="R714" s="55">
        <f>+E714+I714+M714+Q714</f>
        <v>11426</v>
      </c>
      <c r="T714" s="4" t="s">
        <v>1000</v>
      </c>
    </row>
    <row r="715" spans="1:20" ht="15.75" customHeight="1" x14ac:dyDescent="0.3">
      <c r="A715" s="15" t="s">
        <v>62</v>
      </c>
      <c r="B715" s="1"/>
      <c r="C715" s="1"/>
      <c r="D715" s="1"/>
      <c r="E715" s="55" t="s">
        <v>7</v>
      </c>
      <c r="F715" s="1"/>
      <c r="G715" s="1"/>
      <c r="H715" s="1"/>
      <c r="I715" s="55" t="s">
        <v>7</v>
      </c>
      <c r="J715" s="1"/>
      <c r="K715" s="1"/>
      <c r="L715" s="1"/>
      <c r="M715" s="55" t="s">
        <v>7</v>
      </c>
      <c r="N715" s="1"/>
      <c r="O715" s="1"/>
      <c r="P715" s="1"/>
      <c r="Q715" s="55" t="s">
        <v>7</v>
      </c>
      <c r="R715" s="55" t="s">
        <v>7</v>
      </c>
    </row>
    <row r="716" spans="1:20" ht="15.75" customHeight="1" x14ac:dyDescent="0.3">
      <c r="A716" s="71" t="s">
        <v>1001</v>
      </c>
      <c r="B716" s="1"/>
      <c r="C716" s="1"/>
      <c r="D716" s="1"/>
      <c r="E716" s="55">
        <f t="shared" ref="E716:E724" si="267">SUM(B716:D716)</f>
        <v>0</v>
      </c>
      <c r="F716" s="1"/>
      <c r="G716" s="1"/>
      <c r="H716" s="1"/>
      <c r="I716" s="55">
        <f t="shared" ref="I716:I724" si="268">SUM(F716:H716)</f>
        <v>0</v>
      </c>
      <c r="J716" s="1"/>
      <c r="K716" s="1"/>
      <c r="L716" s="1"/>
      <c r="M716" s="55">
        <f t="shared" ref="M716:M724" si="269">SUM(J716:L716)</f>
        <v>0</v>
      </c>
      <c r="N716" s="1"/>
      <c r="O716" s="1"/>
      <c r="P716" s="1"/>
      <c r="Q716" s="55">
        <f t="shared" ref="Q716:Q724" si="270">SUM(N716:P716)</f>
        <v>0</v>
      </c>
      <c r="R716" s="55">
        <f t="shared" ref="R716:R724" si="271">+E716+I716+M716+Q716</f>
        <v>0</v>
      </c>
      <c r="T716" s="4" t="s">
        <v>1002</v>
      </c>
    </row>
    <row r="717" spans="1:20" ht="15.75" customHeight="1" x14ac:dyDescent="0.3">
      <c r="A717" s="71" t="s">
        <v>1003</v>
      </c>
      <c r="B717" s="1"/>
      <c r="C717" s="1"/>
      <c r="D717" s="1"/>
      <c r="E717" s="55">
        <f t="shared" si="267"/>
        <v>0</v>
      </c>
      <c r="F717" s="1"/>
      <c r="G717" s="1"/>
      <c r="H717" s="1"/>
      <c r="I717" s="55">
        <f t="shared" si="268"/>
        <v>0</v>
      </c>
      <c r="J717" s="1"/>
      <c r="K717" s="1"/>
      <c r="L717" s="1"/>
      <c r="M717" s="55">
        <f t="shared" si="269"/>
        <v>0</v>
      </c>
      <c r="N717" s="1"/>
      <c r="O717" s="1"/>
      <c r="P717" s="1"/>
      <c r="Q717" s="55">
        <f t="shared" si="270"/>
        <v>0</v>
      </c>
      <c r="R717" s="55">
        <f t="shared" si="271"/>
        <v>0</v>
      </c>
      <c r="T717" s="4" t="s">
        <v>1002</v>
      </c>
    </row>
    <row r="718" spans="1:20" ht="15.75" customHeight="1" x14ac:dyDescent="0.3">
      <c r="A718" s="71" t="s">
        <v>1004</v>
      </c>
      <c r="B718" s="1">
        <v>26</v>
      </c>
      <c r="C718" s="1">
        <v>32</v>
      </c>
      <c r="D718" s="1">
        <v>32</v>
      </c>
      <c r="E718" s="55">
        <f t="shared" si="267"/>
        <v>90</v>
      </c>
      <c r="F718" s="1">
        <v>32</v>
      </c>
      <c r="G718" s="1">
        <v>32</v>
      </c>
      <c r="H718" s="1">
        <v>32</v>
      </c>
      <c r="I718" s="55">
        <f t="shared" si="268"/>
        <v>96</v>
      </c>
      <c r="J718" s="1">
        <v>32</v>
      </c>
      <c r="K718" s="1">
        <v>30</v>
      </c>
      <c r="L718" s="1">
        <v>22</v>
      </c>
      <c r="M718" s="55">
        <f t="shared" si="269"/>
        <v>84</v>
      </c>
      <c r="N718" s="1"/>
      <c r="O718" s="1"/>
      <c r="P718" s="1"/>
      <c r="Q718" s="55">
        <f t="shared" si="270"/>
        <v>0</v>
      </c>
      <c r="R718" s="55">
        <f t="shared" si="271"/>
        <v>270</v>
      </c>
      <c r="T718" s="4" t="s">
        <v>1002</v>
      </c>
    </row>
    <row r="719" spans="1:20" ht="15.75" customHeight="1" x14ac:dyDescent="0.3">
      <c r="A719" s="71" t="s">
        <v>1335</v>
      </c>
      <c r="B719" s="1"/>
      <c r="C719" s="1"/>
      <c r="D719" s="1"/>
      <c r="E719" s="55">
        <f t="shared" si="267"/>
        <v>0</v>
      </c>
      <c r="F719" s="1">
        <v>3509</v>
      </c>
      <c r="G719" s="1"/>
      <c r="H719" s="1"/>
      <c r="I719" s="55">
        <f t="shared" si="268"/>
        <v>3509</v>
      </c>
      <c r="J719" s="1"/>
      <c r="K719" s="1"/>
      <c r="L719" s="1"/>
      <c r="M719" s="55">
        <f t="shared" si="269"/>
        <v>0</v>
      </c>
      <c r="N719" s="1"/>
      <c r="O719" s="1"/>
      <c r="P719" s="1"/>
      <c r="Q719" s="55">
        <f t="shared" si="270"/>
        <v>0</v>
      </c>
      <c r="R719" s="55">
        <f t="shared" si="271"/>
        <v>3509</v>
      </c>
    </row>
    <row r="720" spans="1:20" ht="15.75" customHeight="1" x14ac:dyDescent="0.3">
      <c r="A720" s="71" t="s">
        <v>1336</v>
      </c>
      <c r="B720" s="1"/>
      <c r="C720" s="1"/>
      <c r="D720" s="1"/>
      <c r="E720" s="55">
        <f t="shared" si="267"/>
        <v>0</v>
      </c>
      <c r="F720" s="1"/>
      <c r="G720" s="1"/>
      <c r="H720" s="1"/>
      <c r="I720" s="55">
        <f t="shared" si="268"/>
        <v>0</v>
      </c>
      <c r="J720" s="1"/>
      <c r="K720" s="1"/>
      <c r="L720" s="1"/>
      <c r="M720" s="55">
        <f t="shared" si="269"/>
        <v>0</v>
      </c>
      <c r="N720" s="1"/>
      <c r="O720" s="1"/>
      <c r="P720" s="1"/>
      <c r="Q720" s="55">
        <f t="shared" si="270"/>
        <v>0</v>
      </c>
      <c r="R720" s="55">
        <f t="shared" si="271"/>
        <v>0</v>
      </c>
    </row>
    <row r="721" spans="1:20" ht="15.75" customHeight="1" x14ac:dyDescent="0.3">
      <c r="A721" s="71" t="s">
        <v>1337</v>
      </c>
      <c r="B721" s="1"/>
      <c r="C721" s="1"/>
      <c r="D721" s="1"/>
      <c r="E721" s="55">
        <f t="shared" si="267"/>
        <v>0</v>
      </c>
      <c r="F721" s="1"/>
      <c r="G721" s="1"/>
      <c r="H721" s="1"/>
      <c r="I721" s="55">
        <f t="shared" si="268"/>
        <v>0</v>
      </c>
      <c r="J721" s="1"/>
      <c r="K721" s="1"/>
      <c r="L721" s="1"/>
      <c r="M721" s="55">
        <f t="shared" si="269"/>
        <v>0</v>
      </c>
      <c r="N721" s="1"/>
      <c r="O721" s="1"/>
      <c r="P721" s="1"/>
      <c r="Q721" s="55">
        <f t="shared" si="270"/>
        <v>0</v>
      </c>
      <c r="R721" s="55">
        <f t="shared" si="271"/>
        <v>0</v>
      </c>
    </row>
    <row r="722" spans="1:20" ht="15.75" customHeight="1" x14ac:dyDescent="0.3">
      <c r="A722" s="71" t="s">
        <v>1338</v>
      </c>
      <c r="B722" s="1"/>
      <c r="C722" s="1"/>
      <c r="D722" s="1"/>
      <c r="E722" s="55">
        <f t="shared" si="267"/>
        <v>0</v>
      </c>
      <c r="F722" s="1">
        <v>291</v>
      </c>
      <c r="G722" s="1"/>
      <c r="H722" s="1"/>
      <c r="I722" s="55">
        <f t="shared" si="268"/>
        <v>291</v>
      </c>
      <c r="J722" s="1"/>
      <c r="K722" s="1"/>
      <c r="L722" s="1"/>
      <c r="M722" s="55">
        <f t="shared" si="269"/>
        <v>0</v>
      </c>
      <c r="N722" s="1"/>
      <c r="O722" s="1"/>
      <c r="P722" s="1"/>
      <c r="Q722" s="55">
        <f t="shared" ref="Q722" si="272">SUM(N722:P722)</f>
        <v>0</v>
      </c>
      <c r="R722" s="55">
        <f t="shared" si="271"/>
        <v>291</v>
      </c>
    </row>
    <row r="723" spans="1:20" ht="15.75" customHeight="1" thickBot="1" x14ac:dyDescent="0.35">
      <c r="A723" s="71" t="s">
        <v>775</v>
      </c>
      <c r="B723" s="1"/>
      <c r="C723" s="1"/>
      <c r="D723" s="1"/>
      <c r="E723" s="55">
        <f t="shared" si="267"/>
        <v>0</v>
      </c>
      <c r="F723" s="1"/>
      <c r="G723" s="1"/>
      <c r="H723" s="1"/>
      <c r="I723" s="55">
        <f t="shared" si="268"/>
        <v>0</v>
      </c>
      <c r="J723" s="1"/>
      <c r="K723" s="1"/>
      <c r="L723" s="1"/>
      <c r="M723" s="55">
        <f t="shared" si="269"/>
        <v>0</v>
      </c>
      <c r="N723" s="1"/>
      <c r="O723" s="1"/>
      <c r="P723" s="1"/>
      <c r="Q723" s="55">
        <f t="shared" si="270"/>
        <v>0</v>
      </c>
      <c r="R723" s="55">
        <f t="shared" si="271"/>
        <v>0</v>
      </c>
      <c r="T723" s="4" t="s">
        <v>1002</v>
      </c>
    </row>
    <row r="724" spans="1:20" ht="16.5" customHeight="1" thickBot="1" x14ac:dyDescent="0.35">
      <c r="A724" s="57" t="s">
        <v>63</v>
      </c>
      <c r="B724" s="86">
        <f>SUM(B712:B723)</f>
        <v>445</v>
      </c>
      <c r="C724" s="87">
        <f>SUM(C712:C723)</f>
        <v>468</v>
      </c>
      <c r="D724" s="87">
        <f>SUM(D712:D723)</f>
        <v>838</v>
      </c>
      <c r="E724" s="59">
        <f t="shared" si="267"/>
        <v>1751</v>
      </c>
      <c r="F724" s="87">
        <f>SUM(F712:F723)</f>
        <v>6419</v>
      </c>
      <c r="G724" s="87">
        <f>SUM(G712:G723)</f>
        <v>1304</v>
      </c>
      <c r="H724" s="87">
        <f>SUM(H712:H723)</f>
        <v>1335</v>
      </c>
      <c r="I724" s="59">
        <f t="shared" si="268"/>
        <v>9058</v>
      </c>
      <c r="J724" s="87">
        <f>SUM(J712:J723)</f>
        <v>1530</v>
      </c>
      <c r="K724" s="87">
        <f>SUM(K712:K723)</f>
        <v>1560</v>
      </c>
      <c r="L724" s="87">
        <f>SUM(L712:L723)</f>
        <v>876</v>
      </c>
      <c r="M724" s="59">
        <f t="shared" si="269"/>
        <v>3966</v>
      </c>
      <c r="N724" s="87">
        <f>SUM(N712:N723)</f>
        <v>0</v>
      </c>
      <c r="O724" s="87">
        <f>SUM(O712:O723)</f>
        <v>359</v>
      </c>
      <c r="P724" s="87">
        <f>SUM(P712:P723)</f>
        <v>362</v>
      </c>
      <c r="Q724" s="59">
        <f t="shared" si="270"/>
        <v>721</v>
      </c>
      <c r="R724" s="118">
        <f t="shared" si="271"/>
        <v>15496</v>
      </c>
    </row>
    <row r="725" spans="1:20" ht="15.75" customHeight="1" x14ac:dyDescent="0.3">
      <c r="A725" s="15" t="s">
        <v>64</v>
      </c>
      <c r="B725" s="1"/>
      <c r="C725" s="1"/>
      <c r="D725" s="1"/>
      <c r="E725" s="55" t="s">
        <v>7</v>
      </c>
      <c r="F725" s="1"/>
      <c r="G725" s="1"/>
      <c r="H725" s="1"/>
      <c r="I725" s="55" t="s">
        <v>7</v>
      </c>
      <c r="J725" s="1"/>
      <c r="K725" s="1"/>
      <c r="L725" s="1"/>
      <c r="M725" s="55" t="s">
        <v>7</v>
      </c>
      <c r="N725" s="1"/>
      <c r="O725" s="1"/>
      <c r="P725" s="1"/>
      <c r="Q725" s="55" t="s">
        <v>7</v>
      </c>
      <c r="R725" s="55" t="s">
        <v>7</v>
      </c>
    </row>
    <row r="726" spans="1:20" ht="15.75" customHeight="1" x14ac:dyDescent="0.3">
      <c r="A726" s="15" t="s">
        <v>594</v>
      </c>
      <c r="B726" s="1"/>
      <c r="C726" s="1"/>
      <c r="D726" s="1"/>
      <c r="E726" s="55" t="s">
        <v>7</v>
      </c>
      <c r="F726" s="1"/>
      <c r="G726" s="1"/>
      <c r="H726" s="1"/>
      <c r="I726" s="55" t="s">
        <v>7</v>
      </c>
      <c r="J726" s="1"/>
      <c r="K726" s="1"/>
      <c r="L726" s="1"/>
      <c r="M726" s="55" t="s">
        <v>7</v>
      </c>
      <c r="N726" s="1"/>
      <c r="O726" s="1"/>
      <c r="P726" s="1"/>
      <c r="Q726" s="55" t="s">
        <v>7</v>
      </c>
      <c r="R726" s="55" t="s">
        <v>7</v>
      </c>
    </row>
    <row r="727" spans="1:20" ht="15.75" customHeight="1" x14ac:dyDescent="0.3">
      <c r="A727" s="15" t="s">
        <v>67</v>
      </c>
      <c r="B727" s="1"/>
      <c r="C727" s="1"/>
      <c r="D727" s="1"/>
      <c r="E727" s="55" t="s">
        <v>7</v>
      </c>
      <c r="F727" s="1"/>
      <c r="G727" s="1"/>
      <c r="H727" s="1"/>
      <c r="I727" s="55" t="s">
        <v>7</v>
      </c>
      <c r="J727" s="1"/>
      <c r="K727" s="1"/>
      <c r="L727" s="1"/>
      <c r="M727" s="55" t="s">
        <v>7</v>
      </c>
      <c r="N727" s="1"/>
      <c r="O727" s="1"/>
      <c r="P727" s="1"/>
      <c r="Q727" s="55" t="s">
        <v>7</v>
      </c>
      <c r="R727" s="55" t="s">
        <v>7</v>
      </c>
    </row>
    <row r="728" spans="1:20" ht="15.75" customHeight="1" x14ac:dyDescent="0.3">
      <c r="A728" s="71" t="s">
        <v>776</v>
      </c>
      <c r="B728" s="1"/>
      <c r="C728" s="1"/>
      <c r="D728" s="1"/>
      <c r="E728" s="55">
        <f>SUM(B728:D728)</f>
        <v>0</v>
      </c>
      <c r="F728" s="1"/>
      <c r="G728" s="1"/>
      <c r="H728" s="1"/>
      <c r="I728" s="55">
        <f>SUM(F728:H728)</f>
        <v>0</v>
      </c>
      <c r="J728" s="1"/>
      <c r="K728" s="1"/>
      <c r="L728" s="1"/>
      <c r="M728" s="55">
        <f>SUM(J728:L728)</f>
        <v>0</v>
      </c>
      <c r="N728" s="1"/>
      <c r="O728" s="1"/>
      <c r="P728" s="1"/>
      <c r="Q728" s="55">
        <f>SUM(N728:P728)</f>
        <v>0</v>
      </c>
      <c r="R728" s="55">
        <f>+E728+I728+M728+Q728</f>
        <v>0</v>
      </c>
    </row>
    <row r="729" spans="1:20" ht="15.75" customHeight="1" x14ac:dyDescent="0.3">
      <c r="A729" s="71" t="s">
        <v>777</v>
      </c>
      <c r="B729" s="1"/>
      <c r="C729" s="1"/>
      <c r="D729" s="1"/>
      <c r="E729" s="55">
        <f>SUM(B729:D729)</f>
        <v>0</v>
      </c>
      <c r="F729" s="1"/>
      <c r="G729" s="1"/>
      <c r="H729" s="1"/>
      <c r="I729" s="55">
        <f>SUM(F729:H729)</f>
        <v>0</v>
      </c>
      <c r="J729" s="1"/>
      <c r="K729" s="1"/>
      <c r="L729" s="1"/>
      <c r="M729" s="55">
        <f>SUM(J729:L729)</f>
        <v>0</v>
      </c>
      <c r="N729" s="1"/>
      <c r="O729" s="1"/>
      <c r="P729" s="1"/>
      <c r="Q729" s="55">
        <f>SUM(N729:P729)</f>
        <v>0</v>
      </c>
      <c r="R729" s="55">
        <f>+E729+I729+M729+Q729</f>
        <v>0</v>
      </c>
      <c r="S729" s="4" t="s">
        <v>1264</v>
      </c>
    </row>
    <row r="730" spans="1:20" ht="15.75" customHeight="1" x14ac:dyDescent="0.3">
      <c r="A730" s="71" t="s">
        <v>778</v>
      </c>
      <c r="B730" s="1"/>
      <c r="C730" s="1"/>
      <c r="D730" s="1"/>
      <c r="E730" s="55">
        <f>SUM(B730:D730)</f>
        <v>0</v>
      </c>
      <c r="F730" s="1"/>
      <c r="G730" s="1"/>
      <c r="H730" s="1"/>
      <c r="I730" s="55">
        <f>SUM(F730:H730)</f>
        <v>0</v>
      </c>
      <c r="J730" s="1"/>
      <c r="K730" s="1"/>
      <c r="L730" s="1"/>
      <c r="M730" s="55">
        <f>SUM(J730:L730)</f>
        <v>0</v>
      </c>
      <c r="N730" s="1"/>
      <c r="O730" s="1"/>
      <c r="P730" s="1"/>
      <c r="Q730" s="55">
        <f>SUM(N730:P730)</f>
        <v>0</v>
      </c>
      <c r="R730" s="55">
        <f>+E730+I730+M730+Q730</f>
        <v>0</v>
      </c>
    </row>
    <row r="731" spans="1:20" ht="15.75" customHeight="1" x14ac:dyDescent="0.3">
      <c r="A731" s="71" t="s">
        <v>779</v>
      </c>
      <c r="B731" s="1"/>
      <c r="C731" s="1"/>
      <c r="D731" s="1"/>
      <c r="E731" s="55">
        <f>SUM(B731:D731)</f>
        <v>0</v>
      </c>
      <c r="F731" s="1"/>
      <c r="G731" s="1"/>
      <c r="H731" s="1"/>
      <c r="I731" s="55">
        <f>SUM(F731:H731)</f>
        <v>0</v>
      </c>
      <c r="J731" s="1"/>
      <c r="K731" s="1"/>
      <c r="L731" s="1"/>
      <c r="M731" s="55">
        <f>SUM(J731:L731)</f>
        <v>0</v>
      </c>
      <c r="N731" s="1"/>
      <c r="O731" s="1"/>
      <c r="P731" s="1"/>
      <c r="Q731" s="55">
        <f>SUM(N731:P731)</f>
        <v>0</v>
      </c>
      <c r="R731" s="55">
        <f>+E731+I731+M731+Q731</f>
        <v>0</v>
      </c>
      <c r="S731" s="4" t="s">
        <v>1264</v>
      </c>
    </row>
    <row r="732" spans="1:20" ht="15.75" customHeight="1" x14ac:dyDescent="0.3">
      <c r="A732" s="15" t="s">
        <v>600</v>
      </c>
      <c r="B732" s="1"/>
      <c r="C732" s="1"/>
      <c r="D732" s="1"/>
      <c r="E732" s="55" t="s">
        <v>7</v>
      </c>
      <c r="F732" s="1"/>
      <c r="G732" s="1"/>
      <c r="H732" s="1"/>
      <c r="I732" s="55" t="s">
        <v>7</v>
      </c>
      <c r="J732" s="1"/>
      <c r="K732" s="1"/>
      <c r="L732" s="1"/>
      <c r="M732" s="55" t="s">
        <v>7</v>
      </c>
      <c r="N732" s="1"/>
      <c r="O732" s="1"/>
      <c r="P732" s="1"/>
      <c r="Q732" s="55" t="s">
        <v>7</v>
      </c>
      <c r="R732" s="55" t="s">
        <v>7</v>
      </c>
    </row>
    <row r="733" spans="1:20" ht="15.75" customHeight="1" thickBot="1" x14ac:dyDescent="0.35">
      <c r="A733" s="15" t="s">
        <v>70</v>
      </c>
      <c r="B733" s="1"/>
      <c r="C733" s="1"/>
      <c r="D733" s="1"/>
      <c r="E733" s="55" t="s">
        <v>7</v>
      </c>
      <c r="F733" s="1"/>
      <c r="G733" s="1"/>
      <c r="H733" s="1"/>
      <c r="I733" s="55" t="s">
        <v>7</v>
      </c>
      <c r="J733" s="1"/>
      <c r="K733" s="1"/>
      <c r="L733" s="1"/>
      <c r="M733" s="55" t="s">
        <v>7</v>
      </c>
      <c r="N733" s="1"/>
      <c r="O733" s="1"/>
      <c r="P733" s="1"/>
      <c r="Q733" s="55" t="s">
        <v>7</v>
      </c>
      <c r="R733" s="55" t="s">
        <v>7</v>
      </c>
    </row>
    <row r="734" spans="1:20" ht="16.5" customHeight="1" thickBot="1" x14ac:dyDescent="0.35">
      <c r="A734" s="57" t="s">
        <v>71</v>
      </c>
      <c r="B734" s="58">
        <f>SUM(B732:B733)</f>
        <v>0</v>
      </c>
      <c r="C734" s="58">
        <f>SUM(C732:C733)</f>
        <v>0</v>
      </c>
      <c r="D734" s="58">
        <f>SUM(D732:D733)</f>
        <v>0</v>
      </c>
      <c r="E734" s="60">
        <f>SUM(B734:D734)</f>
        <v>0</v>
      </c>
      <c r="F734" s="58">
        <f>SUM(F732:F733)</f>
        <v>0</v>
      </c>
      <c r="G734" s="58">
        <f>SUM(G732:G733)</f>
        <v>0</v>
      </c>
      <c r="H734" s="58">
        <f>SUM(H732:H733)</f>
        <v>0</v>
      </c>
      <c r="I734" s="60">
        <f>SUM(F734:H734)</f>
        <v>0</v>
      </c>
      <c r="J734" s="58">
        <f>SUM(J732:J733)</f>
        <v>0</v>
      </c>
      <c r="K734" s="58">
        <f>SUM(K732:K733)</f>
        <v>0</v>
      </c>
      <c r="L734" s="58">
        <f>SUM(L732:L733)</f>
        <v>0</v>
      </c>
      <c r="M734" s="60">
        <f>SUM(J734:L734)</f>
        <v>0</v>
      </c>
      <c r="N734" s="58">
        <f>SUM(N732:N733)</f>
        <v>0</v>
      </c>
      <c r="O734" s="58">
        <f>SUM(O732:O733)</f>
        <v>0</v>
      </c>
      <c r="P734" s="58">
        <f>SUM(P732:P733)</f>
        <v>0</v>
      </c>
      <c r="Q734" s="60">
        <f>SUM(N734:P734)</f>
        <v>0</v>
      </c>
      <c r="R734" s="59">
        <f>+E734+I734+M734+Q734</f>
        <v>0</v>
      </c>
    </row>
    <row r="735" spans="1:20" ht="16.5" customHeight="1" thickBot="1" x14ac:dyDescent="0.35">
      <c r="A735" s="114" t="s">
        <v>72</v>
      </c>
      <c r="B735" s="86">
        <f>SUM(B725:B733)</f>
        <v>0</v>
      </c>
      <c r="C735" s="87">
        <f>SUM(C725:C733)</f>
        <v>0</v>
      </c>
      <c r="D735" s="118">
        <f>SUM(D725:D733)</f>
        <v>0</v>
      </c>
      <c r="E735" s="60">
        <f>SUM(B735:D735)</f>
        <v>0</v>
      </c>
      <c r="F735" s="87">
        <f>SUM(F725:F733)</f>
        <v>0</v>
      </c>
      <c r="G735" s="87">
        <f>SUM(G725:G733)</f>
        <v>0</v>
      </c>
      <c r="H735" s="87">
        <f>SUM(H725:H733)</f>
        <v>0</v>
      </c>
      <c r="I735" s="60">
        <f>SUM(F735:H735)</f>
        <v>0</v>
      </c>
      <c r="J735" s="87">
        <f>SUM(J725:J733)</f>
        <v>0</v>
      </c>
      <c r="K735" s="87">
        <f>SUM(K725:K733)</f>
        <v>0</v>
      </c>
      <c r="L735" s="87">
        <f>SUM(L725:L733)</f>
        <v>0</v>
      </c>
      <c r="M735" s="60">
        <f>SUM(J735:L735)</f>
        <v>0</v>
      </c>
      <c r="N735" s="87">
        <f>SUM(N725:N733)</f>
        <v>0</v>
      </c>
      <c r="O735" s="87">
        <f>SUM(O725:O733)</f>
        <v>0</v>
      </c>
      <c r="P735" s="87">
        <f>SUM(P725:P733)</f>
        <v>0</v>
      </c>
      <c r="Q735" s="60">
        <f>SUM(N735:P735)</f>
        <v>0</v>
      </c>
      <c r="R735" s="59">
        <f>+E735+I735+M735+Q735</f>
        <v>0</v>
      </c>
    </row>
    <row r="736" spans="1:20" ht="16.5" customHeight="1" thickBot="1" x14ac:dyDescent="0.35">
      <c r="A736" s="57" t="s">
        <v>73</v>
      </c>
      <c r="B736" s="90">
        <f>+B707+B711+B724+B735</f>
        <v>7952</v>
      </c>
      <c r="C736" s="58">
        <f>+C707+C711+C724+C735</f>
        <v>11730</v>
      </c>
      <c r="D736" s="58">
        <f>+D707+D711+D724+D735</f>
        <v>16019</v>
      </c>
      <c r="E736" s="59">
        <f>SUM(B736:D736)</f>
        <v>35701</v>
      </c>
      <c r="F736" s="58">
        <f>+F707+F711+F724+F735</f>
        <v>17285</v>
      </c>
      <c r="G736" s="58">
        <f>+G707+G711+G724+G735</f>
        <v>16424</v>
      </c>
      <c r="H736" s="58">
        <f>+H707+H711+H724+H735</f>
        <v>13941</v>
      </c>
      <c r="I736" s="59">
        <f>SUM(F736:H736)</f>
        <v>47650</v>
      </c>
      <c r="J736" s="58">
        <f>+J707+J711+J724+J735</f>
        <v>13368</v>
      </c>
      <c r="K736" s="58">
        <f>+K707+K711+K724+K735</f>
        <v>15487</v>
      </c>
      <c r="L736" s="58">
        <f>+L707+L711+L724+L735</f>
        <v>12637</v>
      </c>
      <c r="M736" s="59">
        <f>SUM(J736:L736)</f>
        <v>41492</v>
      </c>
      <c r="N736" s="58">
        <f>+N707+N711+N724+N735</f>
        <v>5649</v>
      </c>
      <c r="O736" s="58">
        <f>+O707+O711+O724+O735</f>
        <v>1592</v>
      </c>
      <c r="P736" s="58">
        <f>+P707+P711+P724+P735</f>
        <v>2333</v>
      </c>
      <c r="Q736" s="59">
        <f>SUM(N736:P736)</f>
        <v>9574</v>
      </c>
      <c r="R736" s="81">
        <f>+E736+I736+M736+Q736</f>
        <v>134417</v>
      </c>
    </row>
    <row r="737" spans="1:18" ht="16.5" customHeight="1" thickBot="1" x14ac:dyDescent="0.35">
      <c r="A737" s="62" t="s">
        <v>40</v>
      </c>
      <c r="B737" s="21">
        <v>22</v>
      </c>
      <c r="C737" s="21">
        <v>24</v>
      </c>
      <c r="D737" s="21">
        <v>31</v>
      </c>
      <c r="E737" s="59">
        <f>SUM(B737:D737)</f>
        <v>77</v>
      </c>
      <c r="F737" s="21">
        <v>40</v>
      </c>
      <c r="G737" s="21">
        <v>45</v>
      </c>
      <c r="H737" s="21">
        <v>48</v>
      </c>
      <c r="I737" s="59">
        <f>SUM(F737:H737)</f>
        <v>133</v>
      </c>
      <c r="J737" s="21">
        <v>42</v>
      </c>
      <c r="K737" s="21">
        <v>39</v>
      </c>
      <c r="L737" s="21">
        <v>38</v>
      </c>
      <c r="M737" s="59">
        <f>SUM(J737:L737)</f>
        <v>119</v>
      </c>
      <c r="N737" s="21">
        <v>32</v>
      </c>
      <c r="O737" s="21">
        <v>25</v>
      </c>
      <c r="P737" s="21">
        <v>21</v>
      </c>
      <c r="Q737" s="59">
        <f>SUM(N737:P737)</f>
        <v>78</v>
      </c>
      <c r="R737" s="60">
        <f>+E737+I737+M737+Q737</f>
        <v>407</v>
      </c>
    </row>
    <row r="738" spans="1:18" ht="16.5" customHeight="1" thickBot="1" x14ac:dyDescent="0.35">
      <c r="A738" s="41"/>
      <c r="B738" s="36"/>
      <c r="C738" s="36"/>
      <c r="D738" s="36"/>
      <c r="E738" s="52"/>
      <c r="F738" s="36"/>
      <c r="G738" s="36"/>
      <c r="H738" s="36"/>
      <c r="I738" s="52"/>
      <c r="J738" s="36"/>
      <c r="K738" s="36"/>
      <c r="L738" s="36"/>
      <c r="M738" s="52"/>
      <c r="N738" s="36"/>
      <c r="O738" s="36"/>
      <c r="P738" s="36"/>
      <c r="Q738" s="52"/>
      <c r="R738" s="42"/>
    </row>
    <row r="739" spans="1:18" ht="15.75" customHeight="1" x14ac:dyDescent="0.3">
      <c r="A739" s="15" t="s">
        <v>314</v>
      </c>
      <c r="B739" s="1">
        <f>+SUM(B736:B737)</f>
        <v>7974</v>
      </c>
      <c r="C739" s="1">
        <f>+SUM(C736:C737)</f>
        <v>11754</v>
      </c>
      <c r="D739" s="1">
        <f>+SUM(D736:D737)</f>
        <v>16050</v>
      </c>
      <c r="E739" s="60">
        <f>SUM(B739:D739)</f>
        <v>35778</v>
      </c>
      <c r="F739" s="1">
        <f>+SUM(F736:F737)</f>
        <v>17325</v>
      </c>
      <c r="G739" s="1">
        <f>+SUM(G736:G737)</f>
        <v>16469</v>
      </c>
      <c r="H739" s="1">
        <f>+SUM(H736:H737)</f>
        <v>13989</v>
      </c>
      <c r="I739" s="60">
        <f>SUM(F739:H739)</f>
        <v>47783</v>
      </c>
      <c r="J739" s="1">
        <f>+SUM(J736:J737)</f>
        <v>13410</v>
      </c>
      <c r="K739" s="1">
        <f>+SUM(K736:K737)</f>
        <v>15526</v>
      </c>
      <c r="L739" s="1">
        <f>+SUM(L736:L737)</f>
        <v>12675</v>
      </c>
      <c r="M739" s="60">
        <f>SUM(J739:L739)</f>
        <v>41611</v>
      </c>
      <c r="N739" s="1">
        <f>+SUM(N736:N737)</f>
        <v>5681</v>
      </c>
      <c r="O739" s="1">
        <f>+SUM(O736:O737)</f>
        <v>1617</v>
      </c>
      <c r="P739" s="1">
        <f>+SUM(P736:P737)</f>
        <v>2354</v>
      </c>
      <c r="Q739" s="60">
        <f>SUM(N739:P739)</f>
        <v>9652</v>
      </c>
      <c r="R739" s="60">
        <f>+E739+I739+M739+Q739</f>
        <v>134824</v>
      </c>
    </row>
    <row r="740" spans="1:18" ht="15.75" customHeight="1" x14ac:dyDescent="0.3">
      <c r="A740" s="15" t="s">
        <v>42</v>
      </c>
      <c r="B740" s="1">
        <f>(B739/B10)/1.983</f>
        <v>129.715484847006</v>
      </c>
      <c r="C740" s="1">
        <f>(C739/C10)/1.983</f>
        <v>211.69224119299761</v>
      </c>
      <c r="D740" s="1">
        <f>(D739/D10)/1.983</f>
        <v>261.09023473720168</v>
      </c>
      <c r="E740" s="55" t="s">
        <v>7</v>
      </c>
      <c r="F740" s="1">
        <f>(F739/F10)/1.983</f>
        <v>291.22541603630862</v>
      </c>
      <c r="G740" s="1">
        <f>(G739/G10)/1.983</f>
        <v>267.90623525775544</v>
      </c>
      <c r="H740" s="1">
        <f>(H739/H10)/1.983</f>
        <v>235.14876449823498</v>
      </c>
      <c r="I740" s="55" t="s">
        <v>7</v>
      </c>
      <c r="J740" s="1">
        <f>(J739/J10)/1.983</f>
        <v>218.14455126640962</v>
      </c>
      <c r="K740" s="1">
        <f>(K739/K10)/1.983</f>
        <v>252.56616726042324</v>
      </c>
      <c r="L740" s="1">
        <f>(L739/L10)/1.983</f>
        <v>213.06101865859807</v>
      </c>
      <c r="M740" s="55" t="s">
        <v>7</v>
      </c>
      <c r="N740" s="1">
        <f>(N739/N10)/1.983</f>
        <v>92.414555983927897</v>
      </c>
      <c r="O740" s="1">
        <f>(O739/O10)/1.983</f>
        <v>27.181038830055471</v>
      </c>
      <c r="P740" s="1">
        <f>(P739/P10)/1.983</f>
        <v>38.293234428122915</v>
      </c>
      <c r="Q740" s="55" t="s">
        <v>7</v>
      </c>
      <c r="R740" s="55" t="s">
        <v>7</v>
      </c>
    </row>
    <row r="741" spans="1:18" ht="15.75" customHeight="1" x14ac:dyDescent="0.3">
      <c r="A741" s="15" t="s">
        <v>351</v>
      </c>
      <c r="B741" s="1">
        <f>B739+B751</f>
        <v>11691</v>
      </c>
      <c r="C741" s="1">
        <f>C739+C751</f>
        <v>15825</v>
      </c>
      <c r="D741" s="1">
        <f>D739+D751</f>
        <v>18827</v>
      </c>
      <c r="E741" s="55">
        <f>SUM(B741:D741)</f>
        <v>46343</v>
      </c>
      <c r="F741" s="1">
        <f>F739+F751</f>
        <v>21275</v>
      </c>
      <c r="G741" s="1">
        <f>G739+G751</f>
        <v>21199</v>
      </c>
      <c r="H741" s="1">
        <f>H739+H751</f>
        <v>17889</v>
      </c>
      <c r="I741" s="55">
        <f>SUM(F741:H741)</f>
        <v>60363</v>
      </c>
      <c r="J741" s="1">
        <f>J739+J751</f>
        <v>16802</v>
      </c>
      <c r="K741" s="1">
        <f>K739+K751</f>
        <v>20052</v>
      </c>
      <c r="L741" s="1">
        <f>L739+L751</f>
        <v>16760</v>
      </c>
      <c r="M741" s="55">
        <f>SUM(J741:L741)</f>
        <v>53614</v>
      </c>
      <c r="N741" s="1">
        <f>N739+N751</f>
        <v>8857</v>
      </c>
      <c r="O741" s="1">
        <f>O739+O751</f>
        <v>3759</v>
      </c>
      <c r="P741" s="1">
        <f>P739+P751</f>
        <v>4262</v>
      </c>
      <c r="Q741" s="55">
        <f>SUM(N741:P741)</f>
        <v>16878</v>
      </c>
      <c r="R741" s="55">
        <f>+E741+I741+M741+Q741</f>
        <v>177198</v>
      </c>
    </row>
    <row r="742" spans="1:18" ht="16.5" customHeight="1" thickBot="1" x14ac:dyDescent="0.35">
      <c r="A742" s="20" t="s">
        <v>352</v>
      </c>
      <c r="B742" s="21">
        <f>(B741/B10)/1.983</f>
        <v>190.1810550973598</v>
      </c>
      <c r="C742" s="21">
        <f>(C741/C10)/1.983</f>
        <v>285.01188675167492</v>
      </c>
      <c r="D742" s="21">
        <f>(D741/D10)/1.983</f>
        <v>306.26453890325837</v>
      </c>
      <c r="E742" s="81" t="s">
        <v>7</v>
      </c>
      <c r="F742" s="21">
        <f>(F741/F10)/1.983</f>
        <v>357.62312993780466</v>
      </c>
      <c r="G742" s="21">
        <f>(G741/G10)/1.983</f>
        <v>344.85058480959123</v>
      </c>
      <c r="H742" s="21">
        <f>(H741/H10)/1.983</f>
        <v>300.70600100857285</v>
      </c>
      <c r="I742" s="81" t="s">
        <v>7</v>
      </c>
      <c r="J742" s="21">
        <f>(J741/J10)/1.983</f>
        <v>273.32324760463945</v>
      </c>
      <c r="K742" s="21">
        <f>(K741/K10)/1.983</f>
        <v>326.19198672587964</v>
      </c>
      <c r="L742" s="21">
        <f>(L741/L10)/1.983</f>
        <v>281.72802151622119</v>
      </c>
      <c r="M742" s="81" t="s">
        <v>7</v>
      </c>
      <c r="N742" s="21">
        <f>(N741/N10)/1.983</f>
        <v>144.07951458363831</v>
      </c>
      <c r="O742" s="21">
        <f>(O741/O10)/1.983</f>
        <v>63.187090267271806</v>
      </c>
      <c r="P742" s="21">
        <f>(P741/P10)/1.983</f>
        <v>69.331251118377168</v>
      </c>
      <c r="Q742" s="81" t="s">
        <v>7</v>
      </c>
      <c r="R742" s="81" t="s">
        <v>7</v>
      </c>
    </row>
    <row r="743" spans="1:18" ht="15.75" customHeight="1" x14ac:dyDescent="0.3">
      <c r="A743" s="2"/>
      <c r="B743" s="1"/>
      <c r="C743" s="1"/>
      <c r="D743" s="1"/>
      <c r="E743" s="1"/>
      <c r="F743" s="1"/>
      <c r="G743" s="1"/>
      <c r="H743" s="1"/>
      <c r="I743" s="1"/>
      <c r="J743" s="1"/>
      <c r="K743" s="1"/>
      <c r="L743" s="1"/>
      <c r="M743" s="1"/>
      <c r="N743" s="1"/>
      <c r="O743" s="1"/>
      <c r="P743" s="1"/>
      <c r="Q743" s="1"/>
      <c r="R743" s="2"/>
    </row>
    <row r="744" spans="1:18" ht="15.75" customHeight="1" thickBot="1" x14ac:dyDescent="0.35">
      <c r="A744" s="2"/>
      <c r="B744" s="1"/>
      <c r="C744" s="1"/>
      <c r="D744" s="1"/>
      <c r="E744" s="1"/>
      <c r="F744" s="1"/>
      <c r="G744" s="1"/>
      <c r="H744" s="1"/>
      <c r="I744" s="1"/>
      <c r="J744" s="1"/>
      <c r="K744" s="1"/>
      <c r="L744" s="1"/>
      <c r="M744" s="1"/>
      <c r="N744" s="1"/>
      <c r="O744" s="1"/>
      <c r="P744" s="1"/>
      <c r="Q744" s="1"/>
      <c r="R744" s="2"/>
    </row>
    <row r="745" spans="1:18" ht="16.5" customHeight="1" thickBot="1" x14ac:dyDescent="0.35">
      <c r="A745" s="124" t="s">
        <v>353</v>
      </c>
      <c r="B745" s="30" t="s">
        <v>8</v>
      </c>
      <c r="C745" s="31" t="s">
        <v>9</v>
      </c>
      <c r="D745" s="31" t="s">
        <v>10</v>
      </c>
      <c r="E745" s="32" t="s">
        <v>11</v>
      </c>
      <c r="F745" s="31" t="s">
        <v>12</v>
      </c>
      <c r="G745" s="31" t="s">
        <v>13</v>
      </c>
      <c r="H745" s="31" t="s">
        <v>14</v>
      </c>
      <c r="I745" s="33" t="s">
        <v>15</v>
      </c>
      <c r="J745" s="31" t="s">
        <v>16</v>
      </c>
      <c r="K745" s="31" t="s">
        <v>17</v>
      </c>
      <c r="L745" s="31" t="s">
        <v>18</v>
      </c>
      <c r="M745" s="33" t="s">
        <v>19</v>
      </c>
      <c r="N745" s="31" t="s">
        <v>20</v>
      </c>
      <c r="O745" s="31" t="s">
        <v>21</v>
      </c>
      <c r="P745" s="31" t="s">
        <v>22</v>
      </c>
      <c r="Q745" s="33" t="s">
        <v>23</v>
      </c>
      <c r="R745" s="34" t="s">
        <v>24</v>
      </c>
    </row>
    <row r="746" spans="1:18" ht="16.5" customHeight="1" thickBot="1" x14ac:dyDescent="0.35">
      <c r="A746" s="41"/>
      <c r="B746" s="36"/>
      <c r="C746" s="36"/>
      <c r="D746" s="36"/>
      <c r="E746" s="37"/>
      <c r="F746" s="36"/>
      <c r="G746" s="36"/>
      <c r="H746" s="36"/>
      <c r="I746" s="37"/>
      <c r="J746" s="36"/>
      <c r="K746" s="36"/>
      <c r="L746" s="36"/>
      <c r="M746" s="37"/>
      <c r="N746" s="36"/>
      <c r="O746" s="36"/>
      <c r="P746" s="36"/>
      <c r="Q746" s="37"/>
      <c r="R746" s="41"/>
    </row>
    <row r="747" spans="1:18" ht="16.5" customHeight="1" thickBot="1" x14ac:dyDescent="0.35">
      <c r="A747" s="39" t="s">
        <v>40</v>
      </c>
      <c r="B747" s="21">
        <v>2</v>
      </c>
      <c r="C747" s="21">
        <v>3</v>
      </c>
      <c r="D747" s="21">
        <v>5</v>
      </c>
      <c r="E747" s="55">
        <f>SUM(B747:D747)</f>
        <v>10</v>
      </c>
      <c r="F747" s="21">
        <v>7</v>
      </c>
      <c r="G747" s="21">
        <v>8</v>
      </c>
      <c r="H747" s="21">
        <v>9</v>
      </c>
      <c r="I747" s="55">
        <f>SUM(F747:H747)</f>
        <v>24</v>
      </c>
      <c r="J747" s="21">
        <v>7</v>
      </c>
      <c r="K747" s="21">
        <v>6</v>
      </c>
      <c r="L747" s="21">
        <v>6</v>
      </c>
      <c r="M747" s="55">
        <f>SUM(J747:L747)</f>
        <v>19</v>
      </c>
      <c r="N747" s="21">
        <v>5</v>
      </c>
      <c r="O747" s="21">
        <v>3</v>
      </c>
      <c r="P747" s="21">
        <v>2</v>
      </c>
      <c r="Q747" s="55">
        <f>SUM(N747:P747)</f>
        <v>10</v>
      </c>
      <c r="R747" s="60">
        <f>+E747+I747+M747+Q747</f>
        <v>63</v>
      </c>
    </row>
    <row r="748" spans="1:18" ht="16.5" customHeight="1" thickBot="1" x14ac:dyDescent="0.35">
      <c r="A748" s="41"/>
      <c r="B748" s="36"/>
      <c r="C748" s="36"/>
      <c r="D748" s="36"/>
      <c r="E748" s="52"/>
      <c r="F748" s="36"/>
      <c r="G748" s="36"/>
      <c r="H748" s="36"/>
      <c r="I748" s="52"/>
      <c r="J748" s="36"/>
      <c r="K748" s="36"/>
      <c r="L748" s="36"/>
      <c r="M748" s="52"/>
      <c r="N748" s="36"/>
      <c r="O748" s="36"/>
      <c r="P748" s="36"/>
      <c r="Q748" s="52"/>
      <c r="R748" s="42"/>
    </row>
    <row r="749" spans="1:18" ht="15.75" customHeight="1" x14ac:dyDescent="0.3">
      <c r="A749" s="15" t="s">
        <v>314</v>
      </c>
      <c r="B749" s="1">
        <f>B747</f>
        <v>2</v>
      </c>
      <c r="C749" s="1">
        <f>C747</f>
        <v>3</v>
      </c>
      <c r="D749" s="1">
        <f>D747</f>
        <v>5</v>
      </c>
      <c r="E749" s="60">
        <f>SUM(B749:D749)</f>
        <v>10</v>
      </c>
      <c r="F749" s="1">
        <f>F747</f>
        <v>7</v>
      </c>
      <c r="G749" s="1">
        <f>G747</f>
        <v>8</v>
      </c>
      <c r="H749" s="1">
        <f>H747</f>
        <v>9</v>
      </c>
      <c r="I749" s="60">
        <f>SUM(F749:H749)</f>
        <v>24</v>
      </c>
      <c r="J749" s="1">
        <f>J747</f>
        <v>7</v>
      </c>
      <c r="K749" s="1">
        <f>K747</f>
        <v>6</v>
      </c>
      <c r="L749" s="1">
        <f>L747</f>
        <v>6</v>
      </c>
      <c r="M749" s="60">
        <f>SUM(J749:L749)</f>
        <v>19</v>
      </c>
      <c r="N749" s="1">
        <f>N747</f>
        <v>5</v>
      </c>
      <c r="O749" s="1">
        <f>O747</f>
        <v>3</v>
      </c>
      <c r="P749" s="1">
        <f>P747</f>
        <v>2</v>
      </c>
      <c r="Q749" s="60">
        <f>SUM(N749:P749)</f>
        <v>10</v>
      </c>
      <c r="R749" s="60">
        <f>+E749+I749+M749+Q749</f>
        <v>63</v>
      </c>
    </row>
    <row r="750" spans="1:18" ht="15.75" customHeight="1" x14ac:dyDescent="0.3">
      <c r="A750" s="15" t="s">
        <v>42</v>
      </c>
      <c r="B750" s="1">
        <f>(B749/B10)/1.983</f>
        <v>3.2534608689993978E-2</v>
      </c>
      <c r="C750" s="1">
        <f>(C749/C10)/1.983</f>
        <v>5.403068943159714E-2</v>
      </c>
      <c r="D750" s="1">
        <f>(D749/D10)/1.983</f>
        <v>8.1336521724984942E-2</v>
      </c>
      <c r="E750" s="55" t="s">
        <v>7</v>
      </c>
      <c r="F750" s="1">
        <f>(F749/F10)/1.983</f>
        <v>0.1176668347621449</v>
      </c>
      <c r="G750" s="1">
        <f>(G749/G10)/1.983</f>
        <v>0.13013843475997591</v>
      </c>
      <c r="H750" s="1">
        <f>(H749/H10)/1.983</f>
        <v>0.15128593040847199</v>
      </c>
      <c r="I750" s="55" t="s">
        <v>7</v>
      </c>
      <c r="J750" s="1">
        <f>(J749/J10)/1.983</f>
        <v>0.11387113041497893</v>
      </c>
      <c r="K750" s="1">
        <f>(K749/K10)/1.983</f>
        <v>9.7603826069981942E-2</v>
      </c>
      <c r="L750" s="1">
        <f>(L749/L10)/1.983</f>
        <v>0.10085728693898134</v>
      </c>
      <c r="M750" s="55" t="s">
        <v>7</v>
      </c>
      <c r="N750" s="1">
        <f>(N749/N10)/1.983</f>
        <v>8.1336521724984942E-2</v>
      </c>
      <c r="O750" s="1">
        <f>(O749/O10)/1.983</f>
        <v>5.0428643469490671E-2</v>
      </c>
      <c r="P750" s="1">
        <f>(P749/P10)/1.983</f>
        <v>3.2534608689993978E-2</v>
      </c>
      <c r="Q750" s="55" t="s">
        <v>7</v>
      </c>
      <c r="R750" s="55" t="s">
        <v>7</v>
      </c>
    </row>
    <row r="751" spans="1:18" ht="15.75" customHeight="1" x14ac:dyDescent="0.3">
      <c r="A751" s="15" t="s">
        <v>354</v>
      </c>
      <c r="B751" s="1">
        <f>B749+B785+B834-B780</f>
        <v>3717</v>
      </c>
      <c r="C751" s="1">
        <f>C749+C785+C834-C780</f>
        <v>4071</v>
      </c>
      <c r="D751" s="1">
        <f>D749+D785+D834-D780</f>
        <v>2777</v>
      </c>
      <c r="E751" s="55">
        <f>SUM(B751:D751)</f>
        <v>10565</v>
      </c>
      <c r="F751" s="1">
        <f>F749+F785+F834-F780</f>
        <v>3950</v>
      </c>
      <c r="G751" s="1">
        <f>G749+G785+G834-G780</f>
        <v>4730</v>
      </c>
      <c r="H751" s="1">
        <f>H749+H785+H834-H780</f>
        <v>3900</v>
      </c>
      <c r="I751" s="55">
        <f>SUM(F751:H751)</f>
        <v>12580</v>
      </c>
      <c r="J751" s="1">
        <f>J749+J785+J834-J780</f>
        <v>3392</v>
      </c>
      <c r="K751" s="1">
        <f>K749+K785+K834-K780</f>
        <v>4526</v>
      </c>
      <c r="L751" s="1">
        <f>L749+L785+L834-L780</f>
        <v>4085</v>
      </c>
      <c r="M751" s="55">
        <f>SUM(J751:L751)</f>
        <v>12003</v>
      </c>
      <c r="N751" s="1">
        <f>N749+N785+N834-N780</f>
        <v>3175.9999999999995</v>
      </c>
      <c r="O751" s="1">
        <f>O749+O785+O834-O780</f>
        <v>2142</v>
      </c>
      <c r="P751" s="1">
        <f>P749+P785+P834-P780</f>
        <v>1908</v>
      </c>
      <c r="Q751" s="55">
        <f>SUM(N751:P751)</f>
        <v>7226</v>
      </c>
      <c r="R751" s="55">
        <f>+E751+I751+M751+Q751</f>
        <v>42374</v>
      </c>
    </row>
    <row r="752" spans="1:18" ht="16.5" customHeight="1" thickBot="1" x14ac:dyDescent="0.35">
      <c r="A752" s="20" t="s">
        <v>355</v>
      </c>
      <c r="B752" s="21">
        <f>(B751/B10)/1.983</f>
        <v>60.465570250353814</v>
      </c>
      <c r="C752" s="21">
        <f>(C751/C10)/1.983</f>
        <v>73.319645558677323</v>
      </c>
      <c r="D752" s="21">
        <f>(D751/D10)/1.983</f>
        <v>45.174304166056636</v>
      </c>
      <c r="E752" s="81" t="s">
        <v>7</v>
      </c>
      <c r="F752" s="21">
        <f>(F751/F10)/1.983</f>
        <v>66.397713901496047</v>
      </c>
      <c r="G752" s="21">
        <f>(G751/G10)/1.983</f>
        <v>76.944349551835771</v>
      </c>
      <c r="H752" s="21">
        <f>(H751/H10)/1.983</f>
        <v>65.557236510337873</v>
      </c>
      <c r="I752" s="81" t="s">
        <v>7</v>
      </c>
      <c r="J752" s="21">
        <f>(J751/J10)/1.983</f>
        <v>55.178696338229791</v>
      </c>
      <c r="K752" s="21">
        <f>(K751/K10)/1.983</f>
        <v>73.625819465456374</v>
      </c>
      <c r="L752" s="21">
        <f>(L751/L10)/1.983</f>
        <v>68.667002857623118</v>
      </c>
      <c r="M752" s="81" t="s">
        <v>7</v>
      </c>
      <c r="N752" s="21">
        <f>(N751/N10)/1.983</f>
        <v>51.664958599710431</v>
      </c>
      <c r="O752" s="21">
        <f>(O751/O10)/1.983</f>
        <v>36.006051437216342</v>
      </c>
      <c r="P752" s="21">
        <f>(P751/P10)/1.983</f>
        <v>31.038016690254256</v>
      </c>
      <c r="Q752" s="81" t="s">
        <v>7</v>
      </c>
      <c r="R752" s="81" t="s">
        <v>7</v>
      </c>
    </row>
    <row r="753" spans="1:18" ht="15.75" customHeight="1" x14ac:dyDescent="0.3">
      <c r="A753" s="2"/>
      <c r="B753" s="1"/>
      <c r="C753" s="1"/>
      <c r="D753" s="1"/>
      <c r="E753" s="1"/>
      <c r="F753" s="1"/>
      <c r="G753" s="1"/>
      <c r="H753" s="1"/>
      <c r="I753" s="1"/>
      <c r="J753" s="1"/>
      <c r="K753" s="1"/>
      <c r="L753" s="1"/>
      <c r="M753" s="1"/>
      <c r="N753" s="1"/>
      <c r="O753" s="1"/>
      <c r="P753" s="1"/>
      <c r="Q753" s="1"/>
      <c r="R753" s="2"/>
    </row>
    <row r="754" spans="1:18" ht="15.75" customHeight="1" thickBot="1" x14ac:dyDescent="0.35">
      <c r="A754" s="2"/>
      <c r="B754" s="1"/>
      <c r="C754" s="1"/>
      <c r="D754" s="1"/>
      <c r="E754" s="1"/>
      <c r="F754" s="1"/>
      <c r="G754" s="1"/>
      <c r="H754" s="1"/>
      <c r="I754" s="1"/>
      <c r="J754" s="1"/>
      <c r="K754" s="1"/>
      <c r="L754" s="1"/>
      <c r="M754" s="1"/>
      <c r="N754" s="1"/>
      <c r="O754" s="1"/>
      <c r="P754" s="1"/>
      <c r="Q754" s="1"/>
      <c r="R754" s="2"/>
    </row>
    <row r="755" spans="1:18" ht="16.5" customHeight="1" thickBot="1" x14ac:dyDescent="0.35">
      <c r="A755" s="124" t="s">
        <v>356</v>
      </c>
      <c r="B755" s="30" t="s">
        <v>8</v>
      </c>
      <c r="C755" s="31" t="s">
        <v>9</v>
      </c>
      <c r="D755" s="31" t="s">
        <v>10</v>
      </c>
      <c r="E755" s="33" t="s">
        <v>11</v>
      </c>
      <c r="F755" s="31" t="s">
        <v>12</v>
      </c>
      <c r="G755" s="31" t="s">
        <v>13</v>
      </c>
      <c r="H755" s="31" t="s">
        <v>14</v>
      </c>
      <c r="I755" s="33" t="s">
        <v>15</v>
      </c>
      <c r="J755" s="31" t="s">
        <v>16</v>
      </c>
      <c r="K755" s="31" t="s">
        <v>17</v>
      </c>
      <c r="L755" s="31" t="s">
        <v>18</v>
      </c>
      <c r="M755" s="33" t="s">
        <v>19</v>
      </c>
      <c r="N755" s="31" t="s">
        <v>20</v>
      </c>
      <c r="O755" s="31" t="s">
        <v>21</v>
      </c>
      <c r="P755" s="31" t="s">
        <v>22</v>
      </c>
      <c r="Q755" s="33" t="s">
        <v>23</v>
      </c>
      <c r="R755" s="131" t="s">
        <v>24</v>
      </c>
    </row>
    <row r="756" spans="1:18" ht="16.5" customHeight="1" thickBot="1" x14ac:dyDescent="0.35">
      <c r="A756" s="41"/>
      <c r="B756" s="36"/>
      <c r="C756" s="36"/>
      <c r="D756" s="36"/>
      <c r="E756" s="132"/>
      <c r="F756" s="36"/>
      <c r="G756" s="36"/>
      <c r="H756" s="36"/>
      <c r="I756" s="132"/>
      <c r="J756" s="36"/>
      <c r="K756" s="36"/>
      <c r="L756" s="36"/>
      <c r="M756" s="132"/>
      <c r="N756" s="36"/>
      <c r="O756" s="36"/>
      <c r="P756" s="36"/>
      <c r="Q756" s="132"/>
      <c r="R756" s="38"/>
    </row>
    <row r="757" spans="1:18" ht="15.75" customHeight="1" x14ac:dyDescent="0.3">
      <c r="A757" s="15" t="s">
        <v>48</v>
      </c>
      <c r="B757" s="1" t="s">
        <v>7</v>
      </c>
      <c r="C757" s="1" t="s">
        <v>7</v>
      </c>
      <c r="D757" s="1" t="s">
        <v>7</v>
      </c>
      <c r="E757" s="55" t="s">
        <v>7</v>
      </c>
      <c r="F757" s="1" t="s">
        <v>7</v>
      </c>
      <c r="G757" s="1" t="s">
        <v>7</v>
      </c>
      <c r="H757" s="1" t="s">
        <v>7</v>
      </c>
      <c r="I757" s="55" t="s">
        <v>7</v>
      </c>
      <c r="J757" s="1" t="s">
        <v>7</v>
      </c>
      <c r="K757" s="1" t="s">
        <v>7</v>
      </c>
      <c r="L757" s="1" t="s">
        <v>7</v>
      </c>
      <c r="M757" s="55" t="s">
        <v>7</v>
      </c>
      <c r="N757" s="1" t="s">
        <v>7</v>
      </c>
      <c r="O757" s="1" t="s">
        <v>7</v>
      </c>
      <c r="P757" s="1" t="s">
        <v>7</v>
      </c>
      <c r="Q757" s="55" t="s">
        <v>7</v>
      </c>
      <c r="R757" s="55" t="s">
        <v>7</v>
      </c>
    </row>
    <row r="758" spans="1:18" ht="15.75" customHeight="1" x14ac:dyDescent="0.3">
      <c r="A758" s="15" t="s">
        <v>49</v>
      </c>
      <c r="B758" s="1"/>
      <c r="C758" s="1"/>
      <c r="D758" s="1"/>
      <c r="E758" s="55" t="s">
        <v>7</v>
      </c>
      <c r="F758" s="1"/>
      <c r="G758" s="1"/>
      <c r="H758" s="1"/>
      <c r="I758" s="55" t="s">
        <v>7</v>
      </c>
      <c r="J758" s="1"/>
      <c r="K758" s="1"/>
      <c r="L758" s="1"/>
      <c r="M758" s="55" t="s">
        <v>7</v>
      </c>
      <c r="N758" s="1"/>
      <c r="O758" s="1"/>
      <c r="P758" s="1"/>
      <c r="Q758" s="55" t="s">
        <v>7</v>
      </c>
      <c r="R758" s="55" t="s">
        <v>7</v>
      </c>
    </row>
    <row r="759" spans="1:18" ht="15.75" customHeight="1" x14ac:dyDescent="0.3">
      <c r="A759" s="71" t="s">
        <v>357</v>
      </c>
      <c r="B759" s="1"/>
      <c r="C759" s="1"/>
      <c r="D759" s="1">
        <v>27</v>
      </c>
      <c r="E759" s="55">
        <f>SUM(B759:D759)</f>
        <v>27</v>
      </c>
      <c r="F759" s="1"/>
      <c r="G759" s="1"/>
      <c r="H759" s="1"/>
      <c r="I759" s="55">
        <f>SUM(F759:H759)</f>
        <v>0</v>
      </c>
      <c r="J759" s="1"/>
      <c r="K759" s="1"/>
      <c r="L759" s="1"/>
      <c r="M759" s="55">
        <f>SUM(J759:L759)</f>
        <v>0</v>
      </c>
      <c r="N759" s="1"/>
      <c r="O759" s="1"/>
      <c r="P759" s="1">
        <v>20</v>
      </c>
      <c r="Q759" s="55">
        <f>SUM(N759:P759)</f>
        <v>20</v>
      </c>
      <c r="R759" s="55">
        <f>+E759+I759+M759+Q759</f>
        <v>47</v>
      </c>
    </row>
    <row r="760" spans="1:18" ht="15.75" customHeight="1" x14ac:dyDescent="0.3">
      <c r="A760" s="15" t="s">
        <v>50</v>
      </c>
      <c r="B760" s="1"/>
      <c r="C760" s="1"/>
      <c r="D760" s="1"/>
      <c r="E760" s="55" t="s">
        <v>7</v>
      </c>
      <c r="F760" s="1"/>
      <c r="G760" s="1"/>
      <c r="H760" s="1"/>
      <c r="I760" s="55" t="s">
        <v>7</v>
      </c>
      <c r="J760" s="1"/>
      <c r="K760" s="1"/>
      <c r="L760" s="1"/>
      <c r="M760" s="55" t="s">
        <v>7</v>
      </c>
      <c r="N760" s="1"/>
      <c r="O760" s="1"/>
      <c r="P760" s="1"/>
      <c r="Q760" s="55" t="s">
        <v>7</v>
      </c>
      <c r="R760" s="55" t="s">
        <v>7</v>
      </c>
    </row>
    <row r="761" spans="1:18" ht="15.75" customHeight="1" x14ac:dyDescent="0.3">
      <c r="A761" s="15" t="s">
        <v>1186</v>
      </c>
      <c r="B761" s="1"/>
      <c r="C761" s="1"/>
      <c r="D761" s="1"/>
      <c r="E761" s="55" t="s">
        <v>7</v>
      </c>
      <c r="F761" s="1"/>
      <c r="G761" s="1"/>
      <c r="H761" s="1"/>
      <c r="I761" s="55" t="s">
        <v>7</v>
      </c>
      <c r="J761" s="1"/>
      <c r="K761" s="1"/>
      <c r="L761" s="1"/>
      <c r="M761" s="55" t="s">
        <v>7</v>
      </c>
      <c r="N761" s="1"/>
      <c r="O761" s="1"/>
      <c r="P761" s="1"/>
      <c r="Q761" s="55" t="s">
        <v>7</v>
      </c>
      <c r="R761" s="55" t="s">
        <v>7</v>
      </c>
    </row>
    <row r="762" spans="1:18" ht="15.75" customHeight="1" thickBot="1" x14ac:dyDescent="0.35">
      <c r="A762" s="15" t="s">
        <v>53</v>
      </c>
      <c r="B762" s="1"/>
      <c r="C762" s="1"/>
      <c r="D762" s="1"/>
      <c r="E762" s="55" t="s">
        <v>7</v>
      </c>
      <c r="F762" s="1"/>
      <c r="G762" s="1"/>
      <c r="H762" s="1"/>
      <c r="I762" s="55" t="s">
        <v>7</v>
      </c>
      <c r="J762" s="1"/>
      <c r="K762" s="1"/>
      <c r="L762" s="1"/>
      <c r="M762" s="55" t="s">
        <v>7</v>
      </c>
      <c r="N762" s="1"/>
      <c r="O762" s="1"/>
      <c r="P762" s="1"/>
      <c r="Q762" s="55" t="s">
        <v>7</v>
      </c>
      <c r="R762" s="55" t="s">
        <v>7</v>
      </c>
    </row>
    <row r="763" spans="1:18" ht="16.5" customHeight="1" thickBot="1" x14ac:dyDescent="0.35">
      <c r="A763" s="57" t="s">
        <v>54</v>
      </c>
      <c r="B763" s="86">
        <f>SUM(B757:B762)</f>
        <v>0</v>
      </c>
      <c r="C763" s="87">
        <f>SUM(C757:C762)</f>
        <v>0</v>
      </c>
      <c r="D763" s="87">
        <f>SUM(D757:D762)</f>
        <v>27</v>
      </c>
      <c r="E763" s="59">
        <f>SUM(B763:D763)</f>
        <v>27</v>
      </c>
      <c r="F763" s="87">
        <f>SUM(F757:F762)</f>
        <v>0</v>
      </c>
      <c r="G763" s="87">
        <f>SUM(G757:G762)</f>
        <v>0</v>
      </c>
      <c r="H763" s="87">
        <f>SUM(H757:H762)</f>
        <v>0</v>
      </c>
      <c r="I763" s="59">
        <f>SUM(F763:H763)</f>
        <v>0</v>
      </c>
      <c r="J763" s="87">
        <f>SUM(J757:J762)</f>
        <v>0</v>
      </c>
      <c r="K763" s="87">
        <f>SUM(K757:K762)</f>
        <v>0</v>
      </c>
      <c r="L763" s="87">
        <f>SUM(L757:L762)</f>
        <v>0</v>
      </c>
      <c r="M763" s="59">
        <f>SUM(J763:L763)</f>
        <v>0</v>
      </c>
      <c r="N763" s="87">
        <f>SUM(N757:N762)</f>
        <v>0</v>
      </c>
      <c r="O763" s="87">
        <f>SUM(O757:O762)</f>
        <v>0</v>
      </c>
      <c r="P763" s="87">
        <f>SUM(P757:P762)</f>
        <v>20</v>
      </c>
      <c r="Q763" s="59">
        <f>SUM(N763:P763)</f>
        <v>20</v>
      </c>
      <c r="R763" s="59">
        <f>+E763+I763+M763+Q763</f>
        <v>47</v>
      </c>
    </row>
    <row r="764" spans="1:18" ht="15.75" customHeight="1" x14ac:dyDescent="0.3">
      <c r="A764" s="15" t="s">
        <v>55</v>
      </c>
      <c r="B764" s="1"/>
      <c r="C764" s="1"/>
      <c r="D764" s="1"/>
      <c r="E764" s="55" t="s">
        <v>7</v>
      </c>
      <c r="F764" s="1"/>
      <c r="G764" s="1"/>
      <c r="H764" s="1"/>
      <c r="I764" s="55" t="s">
        <v>7</v>
      </c>
      <c r="J764" s="1"/>
      <c r="K764" s="1"/>
      <c r="L764" s="1"/>
      <c r="M764" s="55" t="s">
        <v>7</v>
      </c>
      <c r="N764" s="1"/>
      <c r="O764" s="1"/>
      <c r="P764" s="1"/>
      <c r="Q764" s="55" t="s">
        <v>7</v>
      </c>
      <c r="R764" s="55" t="s">
        <v>7</v>
      </c>
    </row>
    <row r="765" spans="1:18" ht="15.75" customHeight="1" x14ac:dyDescent="0.3">
      <c r="A765" s="15" t="s">
        <v>57</v>
      </c>
      <c r="B765" s="1"/>
      <c r="C765" s="1"/>
      <c r="D765" s="1"/>
      <c r="E765" s="55" t="s">
        <v>7</v>
      </c>
      <c r="F765" s="1"/>
      <c r="G765" s="1"/>
      <c r="H765" s="1"/>
      <c r="I765" s="55" t="s">
        <v>7</v>
      </c>
      <c r="J765" s="1"/>
      <c r="K765" s="1"/>
      <c r="L765" s="1"/>
      <c r="M765" s="55" t="s">
        <v>7</v>
      </c>
      <c r="N765" s="1"/>
      <c r="O765" s="1"/>
      <c r="P765" s="1"/>
      <c r="Q765" s="55" t="s">
        <v>7</v>
      </c>
      <c r="R765" s="55" t="s">
        <v>7</v>
      </c>
    </row>
    <row r="766" spans="1:18" ht="15.75" customHeight="1" thickBot="1" x14ac:dyDescent="0.35">
      <c r="A766" s="15" t="s">
        <v>58</v>
      </c>
      <c r="B766" s="1"/>
      <c r="C766" s="1"/>
      <c r="D766" s="1"/>
      <c r="E766" s="55" t="s">
        <v>7</v>
      </c>
      <c r="F766" s="1"/>
      <c r="G766" s="1"/>
      <c r="H766" s="1"/>
      <c r="I766" s="55" t="s">
        <v>7</v>
      </c>
      <c r="J766" s="1"/>
      <c r="K766" s="1"/>
      <c r="L766" s="1"/>
      <c r="M766" s="55" t="s">
        <v>7</v>
      </c>
      <c r="N766" s="1"/>
      <c r="O766" s="1"/>
      <c r="P766" s="1"/>
      <c r="Q766" s="55" t="s">
        <v>7</v>
      </c>
      <c r="R766" s="55" t="s">
        <v>7</v>
      </c>
    </row>
    <row r="767" spans="1:18" ht="16.5" customHeight="1" thickBot="1" x14ac:dyDescent="0.35">
      <c r="A767" s="57" t="s">
        <v>59</v>
      </c>
      <c r="B767" s="86">
        <f>SUM(B764:B766)</f>
        <v>0</v>
      </c>
      <c r="C767" s="87">
        <f>SUM(C764:C766)</f>
        <v>0</v>
      </c>
      <c r="D767" s="87">
        <f>SUM(D764:D766)</f>
        <v>0</v>
      </c>
      <c r="E767" s="59">
        <f>SUM(B767:D767)</f>
        <v>0</v>
      </c>
      <c r="F767" s="87">
        <f>SUM(F764:F766)</f>
        <v>0</v>
      </c>
      <c r="G767" s="87">
        <f>SUM(G764:G766)</f>
        <v>0</v>
      </c>
      <c r="H767" s="87">
        <f>SUM(H764:H766)</f>
        <v>0</v>
      </c>
      <c r="I767" s="59">
        <f>SUM(F767:H767)</f>
        <v>0</v>
      </c>
      <c r="J767" s="87">
        <f>SUM(J764:J766)</f>
        <v>0</v>
      </c>
      <c r="K767" s="87">
        <f>SUM(K764:K766)</f>
        <v>0</v>
      </c>
      <c r="L767" s="87">
        <f>SUM(L764:L766)</f>
        <v>0</v>
      </c>
      <c r="M767" s="59">
        <f>SUM(J767:L767)</f>
        <v>0</v>
      </c>
      <c r="N767" s="87">
        <f>SUM(N764:N766)</f>
        <v>0</v>
      </c>
      <c r="O767" s="87">
        <f>SUM(O764:O766)</f>
        <v>0</v>
      </c>
      <c r="P767" s="87">
        <f>SUM(P764:P766)</f>
        <v>0</v>
      </c>
      <c r="Q767" s="59">
        <f>SUM(N767:P767)</f>
        <v>0</v>
      </c>
      <c r="R767" s="59">
        <f>+E767+I767+M767+Q767</f>
        <v>0</v>
      </c>
    </row>
    <row r="768" spans="1:18" ht="15.75" customHeight="1" x14ac:dyDescent="0.3">
      <c r="A768" s="15" t="s">
        <v>60</v>
      </c>
      <c r="B768" s="1"/>
      <c r="C768" s="1"/>
      <c r="D768" s="1"/>
      <c r="E768" s="55" t="s">
        <v>7</v>
      </c>
      <c r="F768" s="1"/>
      <c r="G768" s="1"/>
      <c r="H768" s="1"/>
      <c r="I768" s="55" t="s">
        <v>7</v>
      </c>
      <c r="J768" s="1"/>
      <c r="K768" s="1"/>
      <c r="L768" s="1"/>
      <c r="M768" s="55" t="s">
        <v>7</v>
      </c>
      <c r="N768" s="1"/>
      <c r="O768" s="1"/>
      <c r="P768" s="1"/>
      <c r="Q768" s="55" t="s">
        <v>7</v>
      </c>
      <c r="R768" s="55" t="s">
        <v>7</v>
      </c>
    </row>
    <row r="769" spans="1:18" ht="15.75" customHeight="1" x14ac:dyDescent="0.3">
      <c r="A769" s="15" t="s">
        <v>61</v>
      </c>
      <c r="B769" s="1"/>
      <c r="C769" s="1"/>
      <c r="D769" s="1"/>
      <c r="E769" s="55" t="s">
        <v>7</v>
      </c>
      <c r="F769" s="1"/>
      <c r="G769" s="1"/>
      <c r="H769" s="1"/>
      <c r="I769" s="55" t="s">
        <v>7</v>
      </c>
      <c r="J769" s="1"/>
      <c r="K769" s="1"/>
      <c r="L769" s="1"/>
      <c r="M769" s="55" t="s">
        <v>7</v>
      </c>
      <c r="N769" s="1"/>
      <c r="O769" s="1"/>
      <c r="P769" s="1"/>
      <c r="Q769" s="55" t="s">
        <v>7</v>
      </c>
      <c r="R769" s="55" t="s">
        <v>7</v>
      </c>
    </row>
    <row r="770" spans="1:18" ht="15.75" customHeight="1" thickBot="1" x14ac:dyDescent="0.35">
      <c r="A770" s="15" t="s">
        <v>62</v>
      </c>
      <c r="B770" s="1"/>
      <c r="C770" s="1"/>
      <c r="D770" s="1"/>
      <c r="E770" s="55" t="s">
        <v>7</v>
      </c>
      <c r="F770" s="1"/>
      <c r="G770" s="1"/>
      <c r="H770" s="1"/>
      <c r="I770" s="55" t="s">
        <v>7</v>
      </c>
      <c r="J770" s="1"/>
      <c r="K770" s="1"/>
      <c r="L770" s="1"/>
      <c r="M770" s="55" t="s">
        <v>7</v>
      </c>
      <c r="N770" s="1"/>
      <c r="O770" s="1"/>
      <c r="P770" s="1"/>
      <c r="Q770" s="55" t="s">
        <v>7</v>
      </c>
      <c r="R770" s="55" t="s">
        <v>7</v>
      </c>
    </row>
    <row r="771" spans="1:18" ht="16.5" customHeight="1" thickBot="1" x14ac:dyDescent="0.35">
      <c r="A771" s="57" t="s">
        <v>63</v>
      </c>
      <c r="B771" s="86">
        <f>SUM(B768:B770)</f>
        <v>0</v>
      </c>
      <c r="C771" s="87">
        <f>SUM(C768:C770)</f>
        <v>0</v>
      </c>
      <c r="D771" s="87">
        <f>SUM(D768:D770)</f>
        <v>0</v>
      </c>
      <c r="E771" s="59">
        <f>SUM(B771:D771)</f>
        <v>0</v>
      </c>
      <c r="F771" s="87">
        <f>SUM(F768:F770)</f>
        <v>0</v>
      </c>
      <c r="G771" s="87">
        <f>SUM(G768:G770)</f>
        <v>0</v>
      </c>
      <c r="H771" s="87">
        <f>SUM(H768:H770)</f>
        <v>0</v>
      </c>
      <c r="I771" s="59">
        <f>SUM(F771:H771)</f>
        <v>0</v>
      </c>
      <c r="J771" s="87">
        <f>SUM(J768:J770)</f>
        <v>0</v>
      </c>
      <c r="K771" s="87">
        <f>SUM(K768:K770)</f>
        <v>0</v>
      </c>
      <c r="L771" s="87">
        <f>SUM(L768:L770)</f>
        <v>0</v>
      </c>
      <c r="M771" s="59">
        <f>SUM(J771:L771)</f>
        <v>0</v>
      </c>
      <c r="N771" s="87">
        <f>SUM(N768:N770)</f>
        <v>0</v>
      </c>
      <c r="O771" s="87">
        <f>SUM(O768:O770)</f>
        <v>0</v>
      </c>
      <c r="P771" s="87">
        <f>SUM(P768:P770)</f>
        <v>0</v>
      </c>
      <c r="Q771" s="59">
        <f>SUM(N771:P771)</f>
        <v>0</v>
      </c>
      <c r="R771" s="59">
        <f>+E771+I771+M771+Q771</f>
        <v>0</v>
      </c>
    </row>
    <row r="772" spans="1:18" ht="15.75" customHeight="1" x14ac:dyDescent="0.3">
      <c r="A772" s="15" t="s">
        <v>64</v>
      </c>
      <c r="B772" s="1"/>
      <c r="C772" s="1"/>
      <c r="D772" s="1"/>
      <c r="E772" s="55" t="s">
        <v>7</v>
      </c>
      <c r="F772" s="1"/>
      <c r="G772" s="1"/>
      <c r="H772" s="1"/>
      <c r="I772" s="55" t="s">
        <v>7</v>
      </c>
      <c r="J772" s="1"/>
      <c r="K772" s="1"/>
      <c r="L772" s="1"/>
      <c r="M772" s="55" t="s">
        <v>7</v>
      </c>
      <c r="N772" s="1"/>
      <c r="O772" s="1"/>
      <c r="P772" s="1"/>
      <c r="Q772" s="55" t="s">
        <v>7</v>
      </c>
      <c r="R772" s="55" t="s">
        <v>7</v>
      </c>
    </row>
    <row r="773" spans="1:18" ht="15.75" customHeight="1" x14ac:dyDescent="0.3">
      <c r="A773" s="15" t="s">
        <v>594</v>
      </c>
      <c r="B773" s="1"/>
      <c r="C773" s="1"/>
      <c r="D773" s="1"/>
      <c r="E773" s="55" t="s">
        <v>7</v>
      </c>
      <c r="F773" s="1"/>
      <c r="G773" s="1"/>
      <c r="H773" s="1"/>
      <c r="I773" s="55" t="s">
        <v>7</v>
      </c>
      <c r="J773" s="1"/>
      <c r="K773" s="1"/>
      <c r="L773" s="1"/>
      <c r="M773" s="55" t="s">
        <v>7</v>
      </c>
      <c r="N773" s="1"/>
      <c r="O773" s="1"/>
      <c r="P773" s="1"/>
      <c r="Q773" s="55" t="s">
        <v>7</v>
      </c>
      <c r="R773" s="55" t="s">
        <v>7</v>
      </c>
    </row>
    <row r="774" spans="1:18" ht="15.75" customHeight="1" x14ac:dyDescent="0.3">
      <c r="A774" s="15" t="s">
        <v>67</v>
      </c>
      <c r="B774" s="1"/>
      <c r="C774" s="1"/>
      <c r="D774" s="1"/>
      <c r="E774" s="55" t="s">
        <v>7</v>
      </c>
      <c r="F774" s="1"/>
      <c r="G774" s="1"/>
      <c r="H774" s="1"/>
      <c r="I774" s="55" t="s">
        <v>7</v>
      </c>
      <c r="J774" s="1"/>
      <c r="K774" s="1"/>
      <c r="L774" s="1"/>
      <c r="M774" s="55" t="s">
        <v>7</v>
      </c>
      <c r="N774" s="1"/>
      <c r="O774" s="1"/>
      <c r="P774" s="1"/>
      <c r="Q774" s="55" t="s">
        <v>7</v>
      </c>
      <c r="R774" s="55" t="s">
        <v>7</v>
      </c>
    </row>
    <row r="775" spans="1:18" ht="15.75" customHeight="1" x14ac:dyDescent="0.3">
      <c r="A775" s="15" t="s">
        <v>600</v>
      </c>
      <c r="B775" s="1"/>
      <c r="C775" s="1"/>
      <c r="D775" s="1"/>
      <c r="E775" s="55" t="s">
        <v>7</v>
      </c>
      <c r="F775" s="1"/>
      <c r="G775" s="1"/>
      <c r="H775" s="1"/>
      <c r="I775" s="55" t="s">
        <v>7</v>
      </c>
      <c r="J775" s="1"/>
      <c r="K775" s="1"/>
      <c r="L775" s="1"/>
      <c r="M775" s="55" t="s">
        <v>7</v>
      </c>
      <c r="N775" s="1"/>
      <c r="O775" s="1"/>
      <c r="P775" s="1"/>
      <c r="Q775" s="55" t="s">
        <v>7</v>
      </c>
      <c r="R775" s="55" t="s">
        <v>7</v>
      </c>
    </row>
    <row r="776" spans="1:18" ht="15.75" customHeight="1" thickBot="1" x14ac:dyDescent="0.35">
      <c r="A776" s="15" t="s">
        <v>70</v>
      </c>
      <c r="B776" s="1"/>
      <c r="C776" s="1"/>
      <c r="D776" s="1"/>
      <c r="E776" s="55" t="s">
        <v>7</v>
      </c>
      <c r="F776" s="1"/>
      <c r="G776" s="1"/>
      <c r="H776" s="1"/>
      <c r="I776" s="55" t="s">
        <v>7</v>
      </c>
      <c r="J776" s="1"/>
      <c r="K776" s="1"/>
      <c r="L776" s="1"/>
      <c r="M776" s="55" t="s">
        <v>7</v>
      </c>
      <c r="N776" s="1"/>
      <c r="O776" s="1"/>
      <c r="P776" s="1"/>
      <c r="Q776" s="55" t="s">
        <v>7</v>
      </c>
      <c r="R776" s="55" t="s">
        <v>7</v>
      </c>
    </row>
    <row r="777" spans="1:18" ht="16.5" customHeight="1" thickBot="1" x14ac:dyDescent="0.35">
      <c r="A777" s="57" t="s">
        <v>71</v>
      </c>
      <c r="B777" s="58">
        <f>SUM(B775:B776)</f>
        <v>0</v>
      </c>
      <c r="C777" s="58">
        <f>SUM(C775:C776)</f>
        <v>0</v>
      </c>
      <c r="D777" s="58">
        <f>SUM(D775:D776)</f>
        <v>0</v>
      </c>
      <c r="E777" s="60">
        <f>SUM(B777:D777)</f>
        <v>0</v>
      </c>
      <c r="F777" s="58">
        <f>SUM(F775:F776)</f>
        <v>0</v>
      </c>
      <c r="G777" s="58">
        <f>SUM(G775:G776)</f>
        <v>0</v>
      </c>
      <c r="H777" s="58">
        <f>SUM(H775:H776)</f>
        <v>0</v>
      </c>
      <c r="I777" s="60">
        <f>SUM(F777:H777)</f>
        <v>0</v>
      </c>
      <c r="J777" s="58">
        <f>SUM(J775:J776)</f>
        <v>0</v>
      </c>
      <c r="K777" s="58">
        <f>SUM(K775:K776)</f>
        <v>0</v>
      </c>
      <c r="L777" s="58">
        <f>SUM(L775:L776)</f>
        <v>0</v>
      </c>
      <c r="M777" s="60">
        <f>SUM(J777:L777)</f>
        <v>0</v>
      </c>
      <c r="N777" s="58">
        <f>SUM(N775:N776)</f>
        <v>0</v>
      </c>
      <c r="O777" s="58">
        <f>SUM(O775:O776)</f>
        <v>0</v>
      </c>
      <c r="P777" s="58">
        <f>SUM(P775:P776)</f>
        <v>0</v>
      </c>
      <c r="Q777" s="60">
        <f>SUM(N777:P777)</f>
        <v>0</v>
      </c>
      <c r="R777" s="59">
        <f>+E777+I777+M777+Q777</f>
        <v>0</v>
      </c>
    </row>
    <row r="778" spans="1:18" ht="16.5" customHeight="1" thickBot="1" x14ac:dyDescent="0.35">
      <c r="A778" s="57" t="s">
        <v>72</v>
      </c>
      <c r="B778" s="86">
        <f>SUM(B772:B776)</f>
        <v>0</v>
      </c>
      <c r="C778" s="87">
        <f>SUM(C772:C776)</f>
        <v>0</v>
      </c>
      <c r="D778" s="118">
        <f>SUM(D772:D776)</f>
        <v>0</v>
      </c>
      <c r="E778" s="60">
        <f>SUM(B778:D778)</f>
        <v>0</v>
      </c>
      <c r="F778" s="87">
        <f>SUM(F772:F776)</f>
        <v>0</v>
      </c>
      <c r="G778" s="87">
        <f>SUM(G772:G776)</f>
        <v>0</v>
      </c>
      <c r="H778" s="87">
        <f>SUM(H772:H776)</f>
        <v>0</v>
      </c>
      <c r="I778" s="60">
        <f>SUM(F778:H778)</f>
        <v>0</v>
      </c>
      <c r="J778" s="87">
        <f>SUM(J772:J776)</f>
        <v>0</v>
      </c>
      <c r="K778" s="87">
        <f>SUM(K772:K776)</f>
        <v>0</v>
      </c>
      <c r="L778" s="87">
        <f>SUM(L772:L776)</f>
        <v>0</v>
      </c>
      <c r="M778" s="60">
        <f>SUM(J778:L778)</f>
        <v>0</v>
      </c>
      <c r="N778" s="87">
        <f>SUM(N772:N776)</f>
        <v>0</v>
      </c>
      <c r="O778" s="87">
        <f>SUM(O772:O776)</f>
        <v>0</v>
      </c>
      <c r="P778" s="87">
        <f>SUM(P772:P776)</f>
        <v>0</v>
      </c>
      <c r="Q778" s="60">
        <f>SUM(N778:P778)</f>
        <v>0</v>
      </c>
      <c r="R778" s="59">
        <f>+E778+I778+M778+Q778</f>
        <v>0</v>
      </c>
    </row>
    <row r="779" spans="1:18" ht="16.5" customHeight="1" thickBot="1" x14ac:dyDescent="0.35">
      <c r="A779" s="57" t="s">
        <v>73</v>
      </c>
      <c r="B779" s="90">
        <f>+B763+B767+B771+B778</f>
        <v>0</v>
      </c>
      <c r="C779" s="58">
        <f>+C763+C767+C771+C778</f>
        <v>0</v>
      </c>
      <c r="D779" s="58">
        <f>+D763+D767+D771+D778</f>
        <v>27</v>
      </c>
      <c r="E779" s="59">
        <f>SUM(B779:D779)</f>
        <v>27</v>
      </c>
      <c r="F779" s="58">
        <f>+F763+F767+F771+F778</f>
        <v>0</v>
      </c>
      <c r="G779" s="58">
        <f>+G763+G767+G771+G778</f>
        <v>0</v>
      </c>
      <c r="H779" s="58">
        <f>+H763+H767+H771+H778</f>
        <v>0</v>
      </c>
      <c r="I779" s="59">
        <f>SUM(F779:H779)</f>
        <v>0</v>
      </c>
      <c r="J779" s="58">
        <f>+J763+J767+J771+J778</f>
        <v>0</v>
      </c>
      <c r="K779" s="58">
        <f>+K763+K767+K771+K778</f>
        <v>0</v>
      </c>
      <c r="L779" s="58">
        <f>+L763+L767+L771+L778</f>
        <v>0</v>
      </c>
      <c r="M779" s="59">
        <f>SUM(J779:L779)</f>
        <v>0</v>
      </c>
      <c r="N779" s="58">
        <f>+N763+N767+N771+N778</f>
        <v>0</v>
      </c>
      <c r="O779" s="58">
        <f>+O763+O767+O771+O778</f>
        <v>0</v>
      </c>
      <c r="P779" s="58">
        <f>+P763+P767+P771+P778</f>
        <v>20</v>
      </c>
      <c r="Q779" s="59">
        <f>SUM(N779:P779)</f>
        <v>20</v>
      </c>
      <c r="R779" s="81">
        <f>+E779+I779+M779+Q779</f>
        <v>47</v>
      </c>
    </row>
    <row r="780" spans="1:18" ht="15.75" customHeight="1" x14ac:dyDescent="0.3">
      <c r="A780" s="71" t="s">
        <v>358</v>
      </c>
      <c r="B780" s="1">
        <v>3753</v>
      </c>
      <c r="C780" s="1">
        <v>3023</v>
      </c>
      <c r="D780" s="1">
        <v>3753</v>
      </c>
      <c r="E780" s="55">
        <f>SUM(B780:D780)</f>
        <v>10529</v>
      </c>
      <c r="F780" s="1">
        <v>4566</v>
      </c>
      <c r="G780" s="1">
        <v>5871</v>
      </c>
      <c r="H780" s="1">
        <v>5822</v>
      </c>
      <c r="I780" s="55">
        <f>SUM(F780:H780)</f>
        <v>16259</v>
      </c>
      <c r="J780" s="1">
        <v>5226</v>
      </c>
      <c r="K780" s="1">
        <v>5706</v>
      </c>
      <c r="L780" s="1">
        <v>5582</v>
      </c>
      <c r="M780" s="55">
        <f>SUM(J780:L780)</f>
        <v>16514</v>
      </c>
      <c r="N780" s="1">
        <v>3589.6666666666665</v>
      </c>
      <c r="O780" s="1">
        <v>3783.8</v>
      </c>
      <c r="P780" s="1">
        <v>3294.2</v>
      </c>
      <c r="Q780" s="55">
        <f>SUM(N780:P780)</f>
        <v>10667.666666666668</v>
      </c>
      <c r="R780" s="55">
        <f>+E780+I780+M780+Q780</f>
        <v>53969.666666666672</v>
      </c>
    </row>
    <row r="781" spans="1:18" ht="15.75" customHeight="1" thickBot="1" x14ac:dyDescent="0.35">
      <c r="A781" s="71" t="s">
        <v>40</v>
      </c>
      <c r="B781" s="1">
        <v>0</v>
      </c>
      <c r="C781" s="1">
        <v>0</v>
      </c>
      <c r="D781" s="1">
        <v>0</v>
      </c>
      <c r="E781" s="55">
        <f>SUM(B781:D781)</f>
        <v>0</v>
      </c>
      <c r="F781" s="1">
        <v>0</v>
      </c>
      <c r="G781" s="1">
        <v>0</v>
      </c>
      <c r="H781" s="1">
        <v>0</v>
      </c>
      <c r="I781" s="55">
        <f>SUM(F781:H781)</f>
        <v>0</v>
      </c>
      <c r="J781" s="1">
        <v>0</v>
      </c>
      <c r="K781" s="1">
        <v>0</v>
      </c>
      <c r="L781" s="1">
        <v>0</v>
      </c>
      <c r="M781" s="55">
        <f>SUM(J781:L781)</f>
        <v>0</v>
      </c>
      <c r="N781" s="1">
        <v>0</v>
      </c>
      <c r="O781" s="1">
        <v>0</v>
      </c>
      <c r="P781" s="1">
        <v>0</v>
      </c>
      <c r="Q781" s="55">
        <f>SUM(N781:P781)</f>
        <v>0</v>
      </c>
      <c r="R781" s="55">
        <f>+E781+I781+M781+Q781</f>
        <v>0</v>
      </c>
    </row>
    <row r="782" spans="1:18" ht="16.5" customHeight="1" thickBot="1" x14ac:dyDescent="0.35">
      <c r="A782" s="130"/>
      <c r="B782" s="51"/>
      <c r="C782" s="51"/>
      <c r="D782" s="51"/>
      <c r="E782" s="59" t="s">
        <v>7</v>
      </c>
      <c r="F782" s="51"/>
      <c r="G782" s="51"/>
      <c r="H782" s="51"/>
      <c r="I782" s="59" t="s">
        <v>7</v>
      </c>
      <c r="J782" s="51"/>
      <c r="K782" s="51"/>
      <c r="L782" s="51"/>
      <c r="M782" s="59" t="s">
        <v>7</v>
      </c>
      <c r="N782" s="51"/>
      <c r="O782" s="51"/>
      <c r="P782" s="51"/>
      <c r="Q782" s="59"/>
      <c r="R782" s="59"/>
    </row>
    <row r="783" spans="1:18" ht="15.75" customHeight="1" x14ac:dyDescent="0.3">
      <c r="A783" s="15" t="s">
        <v>41</v>
      </c>
      <c r="B783" s="1">
        <f>SUM(B779:B781)</f>
        <v>3753</v>
      </c>
      <c r="C783" s="1">
        <f>SUM(C779:C781)</f>
        <v>3023</v>
      </c>
      <c r="D783" s="1">
        <f>SUM(D779:D781)</f>
        <v>3780</v>
      </c>
      <c r="E783" s="60">
        <f>SUM(B783:D783)</f>
        <v>10556</v>
      </c>
      <c r="F783" s="1">
        <f>SUM(F779:F781)</f>
        <v>4566</v>
      </c>
      <c r="G783" s="1">
        <f>SUM(G779:G781)</f>
        <v>5871</v>
      </c>
      <c r="H783" s="1">
        <f>SUM(H779:H781)</f>
        <v>5822</v>
      </c>
      <c r="I783" s="60">
        <f>SUM(F783:H783)</f>
        <v>16259</v>
      </c>
      <c r="J783" s="1">
        <f>SUM(J779:J781)</f>
        <v>5226</v>
      </c>
      <c r="K783" s="1">
        <f>SUM(K779:K781)</f>
        <v>5706</v>
      </c>
      <c r="L783" s="1">
        <f>SUM(L779:L781)</f>
        <v>5582</v>
      </c>
      <c r="M783" s="60">
        <f>SUM(J783:L783)</f>
        <v>16514</v>
      </c>
      <c r="N783" s="1">
        <f>SUM(N779:N781)</f>
        <v>3589.6666666666665</v>
      </c>
      <c r="O783" s="1">
        <f>SUM(O779:O781)</f>
        <v>3783.8</v>
      </c>
      <c r="P783" s="1">
        <f>SUM(P779:P781)</f>
        <v>3314.2</v>
      </c>
      <c r="Q783" s="60">
        <f>SUM(N783:P783)</f>
        <v>10687.666666666668</v>
      </c>
      <c r="R783" s="60">
        <f>+E783+I783+M783+Q783</f>
        <v>54016.666666666672</v>
      </c>
    </row>
    <row r="784" spans="1:18" ht="15.75" customHeight="1" x14ac:dyDescent="0.3">
      <c r="A784" s="15" t="s">
        <v>42</v>
      </c>
      <c r="B784" s="1">
        <f>(B783/B10)/1.983</f>
        <v>61.051193206773704</v>
      </c>
      <c r="C784" s="1">
        <f>(C783/C10)/1.983</f>
        <v>54.444924717239388</v>
      </c>
      <c r="D784" s="1">
        <f>(D783/D10)/1.983</f>
        <v>61.490410424088623</v>
      </c>
      <c r="E784" s="55" t="s">
        <v>7</v>
      </c>
      <c r="F784" s="1">
        <f>(F783/F10)/1.983</f>
        <v>76.75239536056479</v>
      </c>
      <c r="G784" s="1">
        <f>(G783/G10)/1.983</f>
        <v>95.505343809477324</v>
      </c>
      <c r="H784" s="1">
        <f>(H783/H10)/1.983</f>
        <v>97.86518742645822</v>
      </c>
      <c r="I784" s="55" t="s">
        <v>7</v>
      </c>
      <c r="J784" s="1">
        <f>(J783/J10)/1.983</f>
        <v>85.012932506954272</v>
      </c>
      <c r="K784" s="1">
        <f>(K783/K10)/1.983</f>
        <v>92.821238592552817</v>
      </c>
      <c r="L784" s="1">
        <f>(L783/L10)/1.983</f>
        <v>93.83089594889897</v>
      </c>
      <c r="M784" s="55" t="s">
        <v>7</v>
      </c>
      <c r="N784" s="1">
        <f>(N783/N10)/1.983</f>
        <v>58.394200163757532</v>
      </c>
      <c r="O784" s="1">
        <f>(O783/O10)/1.983</f>
        <v>63.603967053286269</v>
      </c>
      <c r="P784" s="1">
        <f>(P783/P10)/1.983</f>
        <v>53.913100060189024</v>
      </c>
      <c r="Q784" s="55" t="s">
        <v>7</v>
      </c>
      <c r="R784" s="55" t="s">
        <v>7</v>
      </c>
    </row>
    <row r="785" spans="1:20" ht="15.75" customHeight="1" x14ac:dyDescent="0.3">
      <c r="A785" s="15" t="s">
        <v>359</v>
      </c>
      <c r="B785" s="1">
        <f>B783</f>
        <v>3753</v>
      </c>
      <c r="C785" s="1">
        <f>C783</f>
        <v>3023</v>
      </c>
      <c r="D785" s="1">
        <f>D783</f>
        <v>3780</v>
      </c>
      <c r="E785" s="55">
        <f>SUM(B785:D785)</f>
        <v>10556</v>
      </c>
      <c r="F785" s="1">
        <f>F783</f>
        <v>4566</v>
      </c>
      <c r="G785" s="1">
        <f>G783</f>
        <v>5871</v>
      </c>
      <c r="H785" s="1">
        <f>H783</f>
        <v>5822</v>
      </c>
      <c r="I785" s="55">
        <f>SUM(F785:H785)</f>
        <v>16259</v>
      </c>
      <c r="J785" s="1">
        <f>J783</f>
        <v>5226</v>
      </c>
      <c r="K785" s="1">
        <f>K783</f>
        <v>5706</v>
      </c>
      <c r="L785" s="1">
        <f>L783</f>
        <v>5582</v>
      </c>
      <c r="M785" s="55">
        <f>SUM(J785:L785)</f>
        <v>16514</v>
      </c>
      <c r="N785" s="1">
        <f>N783</f>
        <v>3589.6666666666665</v>
      </c>
      <c r="O785" s="1">
        <f>O783</f>
        <v>3783.8</v>
      </c>
      <c r="P785" s="1">
        <f>P783</f>
        <v>3314.2</v>
      </c>
      <c r="Q785" s="55">
        <f>SUM(N785:P785)</f>
        <v>10687.666666666668</v>
      </c>
      <c r="R785" s="55">
        <f>+E785+I785+M785+Q785</f>
        <v>54016.666666666672</v>
      </c>
    </row>
    <row r="786" spans="1:20" ht="16.5" customHeight="1" thickBot="1" x14ac:dyDescent="0.35">
      <c r="A786" s="20" t="s">
        <v>360</v>
      </c>
      <c r="B786" s="21">
        <f>(B785/B10)/1.983</f>
        <v>61.051193206773704</v>
      </c>
      <c r="C786" s="21">
        <f>(C785/C10)/1.983</f>
        <v>54.444924717239388</v>
      </c>
      <c r="D786" s="21">
        <f>(D785/D10)/1.983</f>
        <v>61.490410424088623</v>
      </c>
      <c r="E786" s="81" t="s">
        <v>7</v>
      </c>
      <c r="F786" s="21">
        <f>(F785/F10)/1.983</f>
        <v>76.75239536056479</v>
      </c>
      <c r="G786" s="21">
        <f>(G785/G10)/1.983</f>
        <v>95.505343809477324</v>
      </c>
      <c r="H786" s="21">
        <f>(H785/H10)/1.983</f>
        <v>97.86518742645822</v>
      </c>
      <c r="I786" s="81" t="s">
        <v>7</v>
      </c>
      <c r="J786" s="21">
        <f>(J785/J10)/1.983</f>
        <v>85.012932506954272</v>
      </c>
      <c r="K786" s="21">
        <f>(K785/K10)/1.983</f>
        <v>92.821238592552817</v>
      </c>
      <c r="L786" s="21">
        <f>(L785/L10)/1.983</f>
        <v>93.83089594889897</v>
      </c>
      <c r="M786" s="81" t="s">
        <v>7</v>
      </c>
      <c r="N786" s="21">
        <f>(N785/N10)/1.983</f>
        <v>58.394200163757532</v>
      </c>
      <c r="O786" s="21">
        <f>(O785/O10)/1.983</f>
        <v>63.603967053286269</v>
      </c>
      <c r="P786" s="21">
        <f>(P785/P10)/1.983</f>
        <v>53.913100060189024</v>
      </c>
      <c r="Q786" s="81" t="s">
        <v>7</v>
      </c>
      <c r="R786" s="81" t="s">
        <v>7</v>
      </c>
    </row>
    <row r="787" spans="1:20" ht="15.75" customHeight="1" x14ac:dyDescent="0.3">
      <c r="A787" s="2"/>
      <c r="B787" s="1"/>
      <c r="C787" s="1"/>
      <c r="D787" s="1"/>
      <c r="E787" s="1"/>
      <c r="F787" s="1"/>
      <c r="G787" s="1"/>
      <c r="H787" s="1"/>
      <c r="I787" s="1"/>
      <c r="J787" s="1"/>
      <c r="K787" s="1"/>
      <c r="L787" s="1"/>
      <c r="M787" s="1"/>
      <c r="N787" s="1"/>
      <c r="O787" s="1"/>
      <c r="P787" s="1"/>
      <c r="Q787" s="1"/>
      <c r="R787" s="2"/>
    </row>
    <row r="788" spans="1:20" ht="15.75" customHeight="1" thickBot="1" x14ac:dyDescent="0.35">
      <c r="A788" s="2"/>
      <c r="B788" s="1"/>
      <c r="C788" s="1"/>
      <c r="D788" s="1"/>
      <c r="E788" s="1"/>
      <c r="F788" s="1"/>
      <c r="G788" s="1"/>
      <c r="H788" s="1"/>
      <c r="I788" s="1"/>
      <c r="J788" s="1"/>
      <c r="K788" s="1"/>
      <c r="L788" s="1"/>
      <c r="M788" s="1"/>
      <c r="N788" s="1"/>
      <c r="O788" s="1"/>
      <c r="P788" s="1"/>
      <c r="Q788" s="1"/>
      <c r="R788" s="2"/>
    </row>
    <row r="789" spans="1:20" ht="16.5" customHeight="1" thickBot="1" x14ac:dyDescent="0.35">
      <c r="A789" s="124" t="s">
        <v>361</v>
      </c>
      <c r="B789" s="30" t="s">
        <v>8</v>
      </c>
      <c r="C789" s="31" t="s">
        <v>9</v>
      </c>
      <c r="D789" s="31" t="s">
        <v>10</v>
      </c>
      <c r="E789" s="32" t="s">
        <v>11</v>
      </c>
      <c r="F789" s="31" t="s">
        <v>12</v>
      </c>
      <c r="G789" s="31" t="s">
        <v>13</v>
      </c>
      <c r="H789" s="31" t="s">
        <v>14</v>
      </c>
      <c r="I789" s="33" t="s">
        <v>15</v>
      </c>
      <c r="J789" s="31" t="s">
        <v>16</v>
      </c>
      <c r="K789" s="31" t="s">
        <v>17</v>
      </c>
      <c r="L789" s="31" t="s">
        <v>18</v>
      </c>
      <c r="M789" s="33" t="s">
        <v>19</v>
      </c>
      <c r="N789" s="31" t="s">
        <v>20</v>
      </c>
      <c r="O789" s="31" t="s">
        <v>21</v>
      </c>
      <c r="P789" s="31" t="s">
        <v>22</v>
      </c>
      <c r="Q789" s="33" t="s">
        <v>23</v>
      </c>
      <c r="R789" s="133" t="s">
        <v>24</v>
      </c>
    </row>
    <row r="790" spans="1:20" ht="16.5" customHeight="1" thickBot="1" x14ac:dyDescent="0.35">
      <c r="A790" s="41"/>
      <c r="B790" s="36"/>
      <c r="C790" s="36"/>
      <c r="D790" s="36"/>
      <c r="E790" s="52"/>
      <c r="F790" s="36"/>
      <c r="G790" s="36"/>
      <c r="H790" s="36"/>
      <c r="I790" s="132"/>
      <c r="J790" s="36"/>
      <c r="K790" s="36"/>
      <c r="L790" s="36"/>
      <c r="M790" s="132"/>
      <c r="N790" s="36"/>
      <c r="O790" s="36"/>
      <c r="P790" s="36"/>
      <c r="Q790" s="134"/>
      <c r="R790" s="135"/>
    </row>
    <row r="791" spans="1:20" ht="15.75" customHeight="1" x14ac:dyDescent="0.3">
      <c r="A791" s="15" t="s">
        <v>48</v>
      </c>
      <c r="B791" s="1" t="s">
        <v>7</v>
      </c>
      <c r="C791" s="1" t="s">
        <v>7</v>
      </c>
      <c r="D791" s="1" t="s">
        <v>7</v>
      </c>
      <c r="E791" s="136"/>
      <c r="F791" s="1" t="s">
        <v>7</v>
      </c>
      <c r="G791" s="1" t="s">
        <v>7</v>
      </c>
      <c r="H791" s="1" t="s">
        <v>7</v>
      </c>
      <c r="I791" s="136"/>
      <c r="J791" s="1" t="s">
        <v>7</v>
      </c>
      <c r="K791" s="1" t="s">
        <v>7</v>
      </c>
      <c r="L791" s="1" t="s">
        <v>7</v>
      </c>
      <c r="M791" s="136"/>
      <c r="N791" s="1" t="s">
        <v>7</v>
      </c>
      <c r="O791" s="1" t="s">
        <v>7</v>
      </c>
      <c r="P791" s="1" t="s">
        <v>7</v>
      </c>
      <c r="Q791" s="137"/>
      <c r="R791" s="138" t="s">
        <v>7</v>
      </c>
    </row>
    <row r="792" spans="1:20" ht="15.75" customHeight="1" x14ac:dyDescent="0.3">
      <c r="A792" s="15" t="s">
        <v>49</v>
      </c>
      <c r="B792" s="1"/>
      <c r="C792" s="1"/>
      <c r="D792" s="1"/>
      <c r="E792" s="55" t="s">
        <v>7</v>
      </c>
      <c r="F792" s="1"/>
      <c r="G792" s="1"/>
      <c r="H792" s="1"/>
      <c r="I792" s="55" t="s">
        <v>7</v>
      </c>
      <c r="J792" s="1"/>
      <c r="K792" s="1"/>
      <c r="L792" s="1"/>
      <c r="M792" s="55" t="s">
        <v>7</v>
      </c>
      <c r="N792" s="1"/>
      <c r="O792" s="1"/>
      <c r="P792" s="1"/>
      <c r="Q792" s="55" t="s">
        <v>7</v>
      </c>
      <c r="R792" s="55" t="s">
        <v>7</v>
      </c>
    </row>
    <row r="793" spans="1:20" ht="15.75" customHeight="1" x14ac:dyDescent="0.3">
      <c r="A793" s="71" t="s">
        <v>1232</v>
      </c>
      <c r="B793" s="1"/>
      <c r="C793" s="1"/>
      <c r="D793" s="1"/>
      <c r="E793" s="55">
        <f>SUM(B793:D793)</f>
        <v>0</v>
      </c>
      <c r="F793" s="1"/>
      <c r="G793" s="1"/>
      <c r="H793" s="1"/>
      <c r="I793" s="55">
        <f>SUM(F793:H793)</f>
        <v>0</v>
      </c>
      <c r="J793" s="1"/>
      <c r="K793" s="1"/>
      <c r="L793" s="1"/>
      <c r="M793" s="55">
        <f>SUM(J793:L793)</f>
        <v>0</v>
      </c>
      <c r="N793" s="1"/>
      <c r="O793" s="1"/>
      <c r="P793" s="1"/>
      <c r="Q793" s="55">
        <f>SUM(N793:P793)</f>
        <v>0</v>
      </c>
      <c r="R793" s="55">
        <f>+E793+I793+M793+Q793</f>
        <v>0</v>
      </c>
      <c r="T793" s="4" t="s">
        <v>1005</v>
      </c>
    </row>
    <row r="794" spans="1:20" ht="15.75" customHeight="1" x14ac:dyDescent="0.3">
      <c r="A794" s="71" t="s">
        <v>362</v>
      </c>
      <c r="B794" s="1"/>
      <c r="C794" s="1"/>
      <c r="D794" s="1"/>
      <c r="E794" s="55">
        <f>SUM(B794:D794)</f>
        <v>0</v>
      </c>
      <c r="F794" s="1"/>
      <c r="G794" s="1"/>
      <c r="H794" s="1"/>
      <c r="I794" s="55">
        <f>SUM(F794:H794)</f>
        <v>0</v>
      </c>
      <c r="J794" s="1"/>
      <c r="K794" s="1"/>
      <c r="L794" s="1"/>
      <c r="M794" s="55">
        <f>SUM(J794:L794)</f>
        <v>0</v>
      </c>
      <c r="N794" s="1"/>
      <c r="O794" s="1"/>
      <c r="P794" s="1"/>
      <c r="Q794" s="55">
        <f>SUM(N794:P794)</f>
        <v>0</v>
      </c>
      <c r="R794" s="55">
        <f>+E794+I794+M794+Q794</f>
        <v>0</v>
      </c>
    </row>
    <row r="795" spans="1:20" ht="15.75" customHeight="1" x14ac:dyDescent="0.3">
      <c r="A795" s="71" t="s">
        <v>368</v>
      </c>
      <c r="B795" s="1"/>
      <c r="C795" s="1"/>
      <c r="D795" s="1"/>
      <c r="E795" s="55">
        <f>SUM(B795:D795)</f>
        <v>0</v>
      </c>
      <c r="F795" s="1"/>
      <c r="G795" s="1"/>
      <c r="H795" s="1"/>
      <c r="I795" s="55">
        <f>SUM(F795:H795)</f>
        <v>0</v>
      </c>
      <c r="J795" s="1"/>
      <c r="K795" s="1"/>
      <c r="L795" s="1"/>
      <c r="M795" s="55">
        <f>SUM(J795:L795)</f>
        <v>0</v>
      </c>
      <c r="N795" s="1"/>
      <c r="O795" s="1"/>
      <c r="P795" s="1"/>
      <c r="Q795" s="55">
        <f>SUM(N795:P795)</f>
        <v>0</v>
      </c>
      <c r="R795" s="55">
        <f>+E795+I795+M795+Q795</f>
        <v>0</v>
      </c>
    </row>
    <row r="796" spans="1:20" ht="15.75" customHeight="1" x14ac:dyDescent="0.3">
      <c r="A796" s="71" t="s">
        <v>1006</v>
      </c>
      <c r="B796" s="1">
        <v>150</v>
      </c>
      <c r="C796" s="1"/>
      <c r="D796" s="1"/>
      <c r="E796" s="55">
        <f>SUM(B796:D796)</f>
        <v>150</v>
      </c>
      <c r="F796" s="1"/>
      <c r="G796" s="1"/>
      <c r="H796" s="1"/>
      <c r="I796" s="55">
        <f>SUM(F796:H796)</f>
        <v>0</v>
      </c>
      <c r="J796" s="1"/>
      <c r="K796" s="1"/>
      <c r="L796" s="1"/>
      <c r="M796" s="55">
        <f>SUM(J796:L796)</f>
        <v>0</v>
      </c>
      <c r="N796" s="1"/>
      <c r="O796" s="1"/>
      <c r="P796" s="1"/>
      <c r="Q796" s="55">
        <f>SUM(N796:P796)</f>
        <v>0</v>
      </c>
      <c r="R796" s="55">
        <f>+E796+I796+M796+Q796</f>
        <v>150</v>
      </c>
    </row>
    <row r="797" spans="1:20" ht="15.75" customHeight="1" x14ac:dyDescent="0.3">
      <c r="A797" s="71" t="s">
        <v>664</v>
      </c>
      <c r="B797" s="1">
        <v>2285</v>
      </c>
      <c r="C797" s="1">
        <v>3095</v>
      </c>
      <c r="D797" s="1">
        <v>1485</v>
      </c>
      <c r="E797" s="55">
        <f>SUM(B797:D797)</f>
        <v>6865</v>
      </c>
      <c r="F797" s="1">
        <v>2460</v>
      </c>
      <c r="G797" s="1">
        <v>2646</v>
      </c>
      <c r="H797" s="1">
        <v>1821</v>
      </c>
      <c r="I797" s="55">
        <f>SUM(F797:H797)</f>
        <v>6927</v>
      </c>
      <c r="J797" s="1">
        <v>500</v>
      </c>
      <c r="K797" s="1">
        <v>2505</v>
      </c>
      <c r="L797" s="1">
        <v>2777</v>
      </c>
      <c r="M797" s="55">
        <f>SUM(J797:L797)</f>
        <v>5782</v>
      </c>
      <c r="N797" s="1">
        <v>1137</v>
      </c>
      <c r="O797" s="1">
        <v>249</v>
      </c>
      <c r="P797" s="1">
        <v>1040</v>
      </c>
      <c r="Q797" s="55">
        <f>SUM(N797:P797)</f>
        <v>2426</v>
      </c>
      <c r="R797" s="55">
        <f>+E797+I797+M797+Q797</f>
        <v>22000</v>
      </c>
    </row>
    <row r="798" spans="1:20" ht="15.75" customHeight="1" x14ac:dyDescent="0.3">
      <c r="A798" s="15" t="s">
        <v>50</v>
      </c>
      <c r="B798" s="1"/>
      <c r="C798" s="1"/>
      <c r="D798" s="1"/>
      <c r="E798" s="55" t="s">
        <v>7</v>
      </c>
      <c r="F798" s="1"/>
      <c r="G798" s="1"/>
      <c r="H798" s="1"/>
      <c r="I798" s="55" t="s">
        <v>7</v>
      </c>
      <c r="J798" s="1"/>
      <c r="K798" s="1"/>
      <c r="L798" s="1"/>
      <c r="M798" s="55" t="s">
        <v>7</v>
      </c>
      <c r="N798" s="1"/>
      <c r="O798" s="1"/>
      <c r="P798" s="1"/>
      <c r="Q798" s="55" t="s">
        <v>7</v>
      </c>
      <c r="R798" s="55" t="s">
        <v>7</v>
      </c>
    </row>
    <row r="799" spans="1:20" ht="15.75" customHeight="1" x14ac:dyDescent="0.3">
      <c r="A799" s="15" t="s">
        <v>1186</v>
      </c>
      <c r="B799" s="1"/>
      <c r="C799" s="1"/>
      <c r="D799" s="1"/>
      <c r="E799" s="55" t="s">
        <v>7</v>
      </c>
      <c r="F799" s="1"/>
      <c r="G799" s="1"/>
      <c r="H799" s="1"/>
      <c r="I799" s="55" t="s">
        <v>7</v>
      </c>
      <c r="J799" s="1"/>
      <c r="K799" s="1"/>
      <c r="L799" s="1"/>
      <c r="M799" s="55" t="s">
        <v>7</v>
      </c>
      <c r="N799" s="1"/>
      <c r="O799" s="1"/>
      <c r="P799" s="1"/>
      <c r="Q799" s="55" t="s">
        <v>7</v>
      </c>
      <c r="R799" s="55" t="s">
        <v>7</v>
      </c>
    </row>
    <row r="800" spans="1:20" ht="15.75" customHeight="1" x14ac:dyDescent="0.3">
      <c r="A800" s="71" t="s">
        <v>1339</v>
      </c>
      <c r="B800" s="1"/>
      <c r="C800" s="1"/>
      <c r="D800" s="1"/>
      <c r="E800" s="55">
        <f>SUM(B800:D800)</f>
        <v>0</v>
      </c>
      <c r="F800" s="1"/>
      <c r="G800" s="1"/>
      <c r="H800" s="1"/>
      <c r="I800" s="55">
        <f>SUM(F800:H800)</f>
        <v>0</v>
      </c>
      <c r="J800" s="1"/>
      <c r="K800" s="1"/>
      <c r="L800" s="1"/>
      <c r="M800" s="55">
        <f>SUM(J800:L800)</f>
        <v>0</v>
      </c>
      <c r="N800" s="1">
        <v>1136</v>
      </c>
      <c r="O800" s="1">
        <v>1214</v>
      </c>
      <c r="P800" s="1"/>
      <c r="Q800" s="55">
        <f>SUM(N800:P800)</f>
        <v>2350</v>
      </c>
      <c r="R800" s="55">
        <f>+E800+I800+M800+Q800</f>
        <v>2350</v>
      </c>
      <c r="S800" s="478" t="s">
        <v>1259</v>
      </c>
    </row>
    <row r="801" spans="1:20" ht="15.75" customHeight="1" thickBot="1" x14ac:dyDescent="0.35">
      <c r="A801" s="15" t="s">
        <v>53</v>
      </c>
      <c r="B801" s="1"/>
      <c r="C801" s="1"/>
      <c r="D801" s="1"/>
      <c r="E801" s="55" t="s">
        <v>7</v>
      </c>
      <c r="F801" s="1"/>
      <c r="G801" s="1"/>
      <c r="H801" s="1"/>
      <c r="I801" s="55" t="s">
        <v>7</v>
      </c>
      <c r="J801" s="1"/>
      <c r="K801" s="1"/>
      <c r="L801" s="1"/>
      <c r="M801" s="55" t="s">
        <v>7</v>
      </c>
      <c r="N801" s="1"/>
      <c r="O801" s="1"/>
      <c r="P801" s="1"/>
      <c r="Q801" s="55" t="s">
        <v>7</v>
      </c>
      <c r="R801" s="55" t="s">
        <v>7</v>
      </c>
    </row>
    <row r="802" spans="1:20" ht="16.5" customHeight="1" thickBot="1" x14ac:dyDescent="0.35">
      <c r="A802" s="57" t="s">
        <v>54</v>
      </c>
      <c r="B802" s="86">
        <f>SUM(B791:B801)</f>
        <v>2435</v>
      </c>
      <c r="C802" s="87">
        <f>SUM(C791:C801)</f>
        <v>3095</v>
      </c>
      <c r="D802" s="87">
        <f>SUM(D791:D801)</f>
        <v>1485</v>
      </c>
      <c r="E802" s="59">
        <f>SUM(B802:D802)</f>
        <v>7015</v>
      </c>
      <c r="F802" s="87">
        <f>SUM(F791:F801)</f>
        <v>2460</v>
      </c>
      <c r="G802" s="87">
        <f>SUM(G791:G801)</f>
        <v>2646</v>
      </c>
      <c r="H802" s="87">
        <f>SUM(H791:H801)</f>
        <v>1821</v>
      </c>
      <c r="I802" s="59">
        <f>SUM(F802:H802)</f>
        <v>6927</v>
      </c>
      <c r="J802" s="87">
        <f>SUM(J791:J801)</f>
        <v>500</v>
      </c>
      <c r="K802" s="87">
        <f>SUM(K791:K801)</f>
        <v>2505</v>
      </c>
      <c r="L802" s="87">
        <f>SUM(L791:L801)</f>
        <v>2777</v>
      </c>
      <c r="M802" s="59">
        <f>SUM(J802:L802)</f>
        <v>5782</v>
      </c>
      <c r="N802" s="87">
        <f>SUM(N791:N801)</f>
        <v>2273</v>
      </c>
      <c r="O802" s="87">
        <f>SUM(O791:O801)</f>
        <v>1463</v>
      </c>
      <c r="P802" s="87">
        <f>SUM(P791:P801)</f>
        <v>1040</v>
      </c>
      <c r="Q802" s="59">
        <f>SUM(N802:P802)</f>
        <v>4776</v>
      </c>
      <c r="R802" s="59">
        <f>+E802+I802+M802+Q802</f>
        <v>24500</v>
      </c>
    </row>
    <row r="803" spans="1:20" ht="15.75" customHeight="1" x14ac:dyDescent="0.3">
      <c r="A803" s="15" t="s">
        <v>55</v>
      </c>
      <c r="B803" s="1"/>
      <c r="C803" s="1"/>
      <c r="D803" s="1"/>
      <c r="E803" s="55" t="s">
        <v>7</v>
      </c>
      <c r="F803" s="1"/>
      <c r="G803" s="1"/>
      <c r="H803" s="1"/>
      <c r="I803" s="55" t="s">
        <v>7</v>
      </c>
      <c r="J803" s="1"/>
      <c r="K803" s="1"/>
      <c r="L803" s="1"/>
      <c r="M803" s="55" t="s">
        <v>7</v>
      </c>
      <c r="N803" s="1"/>
      <c r="O803" s="1"/>
      <c r="P803" s="1"/>
      <c r="Q803" s="55" t="s">
        <v>7</v>
      </c>
      <c r="R803" s="55" t="s">
        <v>7</v>
      </c>
    </row>
    <row r="804" spans="1:20" ht="15.75" customHeight="1" x14ac:dyDescent="0.3">
      <c r="A804" s="15" t="s">
        <v>57</v>
      </c>
      <c r="B804" s="1"/>
      <c r="C804" s="1"/>
      <c r="D804" s="1"/>
      <c r="E804" s="55" t="s">
        <v>7</v>
      </c>
      <c r="F804" s="1"/>
      <c r="G804" s="1"/>
      <c r="H804" s="1"/>
      <c r="I804" s="55" t="s">
        <v>7</v>
      </c>
      <c r="J804" s="1"/>
      <c r="K804" s="1"/>
      <c r="L804" s="1"/>
      <c r="M804" s="55" t="s">
        <v>7</v>
      </c>
      <c r="N804" s="1"/>
      <c r="O804" s="1"/>
      <c r="P804" s="1"/>
      <c r="Q804" s="55" t="s">
        <v>7</v>
      </c>
      <c r="R804" s="55" t="s">
        <v>7</v>
      </c>
    </row>
    <row r="805" spans="1:20" ht="15.75" customHeight="1" x14ac:dyDescent="0.3">
      <c r="A805" s="71" t="s">
        <v>781</v>
      </c>
      <c r="B805" s="1"/>
      <c r="C805" s="1"/>
      <c r="D805" s="1"/>
      <c r="E805" s="55">
        <f>SUM(B805:D805)</f>
        <v>0</v>
      </c>
      <c r="F805" s="1"/>
      <c r="G805" s="1"/>
      <c r="H805" s="1"/>
      <c r="I805" s="55">
        <f>SUM(F805:H805)</f>
        <v>0</v>
      </c>
      <c r="J805" s="1"/>
      <c r="K805" s="1"/>
      <c r="L805" s="1"/>
      <c r="M805" s="55">
        <f>SUM(J805:L805)</f>
        <v>0</v>
      </c>
      <c r="N805" s="1"/>
      <c r="O805" s="1"/>
      <c r="P805" s="1"/>
      <c r="Q805" s="55">
        <f>SUM(N805:P805)</f>
        <v>0</v>
      </c>
      <c r="R805" s="55">
        <f>+E805+I805+M805+Q805</f>
        <v>0</v>
      </c>
    </row>
    <row r="806" spans="1:20" ht="15.75" customHeight="1" thickBot="1" x14ac:dyDescent="0.35">
      <c r="A806" s="15" t="s">
        <v>58</v>
      </c>
      <c r="B806" s="1"/>
      <c r="C806" s="1"/>
      <c r="D806" s="1"/>
      <c r="E806" s="55" t="s">
        <v>7</v>
      </c>
      <c r="F806" s="1"/>
      <c r="G806" s="1"/>
      <c r="H806" s="1"/>
      <c r="I806" s="55" t="s">
        <v>7</v>
      </c>
      <c r="J806" s="1"/>
      <c r="K806" s="1"/>
      <c r="L806" s="1"/>
      <c r="M806" s="55" t="s">
        <v>7</v>
      </c>
      <c r="N806" s="1"/>
      <c r="O806" s="1"/>
      <c r="P806" s="1"/>
      <c r="Q806" s="55" t="s">
        <v>7</v>
      </c>
      <c r="R806" s="55" t="s">
        <v>7</v>
      </c>
    </row>
    <row r="807" spans="1:20" ht="16.5" customHeight="1" thickBot="1" x14ac:dyDescent="0.35">
      <c r="A807" s="57" t="s">
        <v>59</v>
      </c>
      <c r="B807" s="86">
        <f>SUM(B803:B806)</f>
        <v>0</v>
      </c>
      <c r="C807" s="87">
        <f>SUM(C803:C806)</f>
        <v>0</v>
      </c>
      <c r="D807" s="87">
        <f>SUM(D803:D806)</f>
        <v>0</v>
      </c>
      <c r="E807" s="59">
        <f>SUM(B807:D807)</f>
        <v>0</v>
      </c>
      <c r="F807" s="87">
        <f>SUM(F803:F806)</f>
        <v>0</v>
      </c>
      <c r="G807" s="87">
        <f>SUM(G803:G806)</f>
        <v>0</v>
      </c>
      <c r="H807" s="87">
        <f>SUM(H803:H806)</f>
        <v>0</v>
      </c>
      <c r="I807" s="59">
        <f>SUM(F807:H807)</f>
        <v>0</v>
      </c>
      <c r="J807" s="87">
        <f>SUM(J803:J806)</f>
        <v>0</v>
      </c>
      <c r="K807" s="87">
        <f>SUM(K803:K806)</f>
        <v>0</v>
      </c>
      <c r="L807" s="87">
        <f>SUM(L803:L806)</f>
        <v>0</v>
      </c>
      <c r="M807" s="59">
        <f>SUM(J807:L807)</f>
        <v>0</v>
      </c>
      <c r="N807" s="87">
        <f>SUM(N803:N806)</f>
        <v>0</v>
      </c>
      <c r="O807" s="87">
        <f>SUM(O803:O806)</f>
        <v>0</v>
      </c>
      <c r="P807" s="87">
        <f>SUM(P803:P806)</f>
        <v>0</v>
      </c>
      <c r="Q807" s="59">
        <f>SUM(N807:P807)</f>
        <v>0</v>
      </c>
      <c r="R807" s="59">
        <f>+E807+I807+M807+Q807</f>
        <v>0</v>
      </c>
    </row>
    <row r="808" spans="1:20" ht="15.75" customHeight="1" x14ac:dyDescent="0.3">
      <c r="A808" s="15" t="s">
        <v>60</v>
      </c>
      <c r="B808" s="1"/>
      <c r="C808" s="1"/>
      <c r="D808" s="1"/>
      <c r="E808" s="55" t="s">
        <v>7</v>
      </c>
      <c r="F808" s="1"/>
      <c r="G808" s="1"/>
      <c r="H808" s="1"/>
      <c r="I808" s="55" t="s">
        <v>7</v>
      </c>
      <c r="J808" s="1" t="s">
        <v>7</v>
      </c>
      <c r="K808" s="1"/>
      <c r="L808" s="1"/>
      <c r="M808" s="55" t="s">
        <v>7</v>
      </c>
      <c r="N808" s="1"/>
      <c r="O808" s="1"/>
      <c r="P808" s="1"/>
      <c r="Q808" s="55" t="s">
        <v>7</v>
      </c>
      <c r="R808" s="55" t="s">
        <v>7</v>
      </c>
    </row>
    <row r="809" spans="1:20" ht="18" customHeight="1" x14ac:dyDescent="0.3">
      <c r="A809" s="15" t="s">
        <v>61</v>
      </c>
      <c r="B809" s="1"/>
      <c r="C809" s="1"/>
      <c r="D809" s="1"/>
      <c r="E809" s="55" t="s">
        <v>7</v>
      </c>
      <c r="F809" s="1"/>
      <c r="G809" s="1"/>
      <c r="H809" s="1"/>
      <c r="I809" s="55" t="s">
        <v>7</v>
      </c>
      <c r="J809" s="1"/>
      <c r="K809" s="1"/>
      <c r="L809" s="1"/>
      <c r="M809" s="55" t="s">
        <v>7</v>
      </c>
      <c r="N809" s="1"/>
      <c r="O809" s="1"/>
      <c r="P809" s="1"/>
      <c r="Q809" s="55" t="s">
        <v>7</v>
      </c>
      <c r="R809" s="55" t="s">
        <v>7</v>
      </c>
    </row>
    <row r="810" spans="1:20" ht="15.75" customHeight="1" x14ac:dyDescent="0.3">
      <c r="A810" s="71" t="s">
        <v>1007</v>
      </c>
      <c r="B810" s="1">
        <v>475</v>
      </c>
      <c r="C810" s="1">
        <v>267</v>
      </c>
      <c r="D810" s="1">
        <v>516</v>
      </c>
      <c r="E810" s="55">
        <f>SUM(B810:D810)</f>
        <v>1258</v>
      </c>
      <c r="F810" s="1">
        <v>756</v>
      </c>
      <c r="G810" s="1">
        <v>1248</v>
      </c>
      <c r="H810" s="1">
        <v>1198</v>
      </c>
      <c r="I810" s="55">
        <f>SUM(F810:H810)</f>
        <v>3202</v>
      </c>
      <c r="J810" s="1">
        <v>723</v>
      </c>
      <c r="K810" s="1">
        <v>1072</v>
      </c>
      <c r="L810" s="1">
        <v>478</v>
      </c>
      <c r="M810" s="55">
        <f>SUM(J810:L810)</f>
        <v>2273</v>
      </c>
      <c r="N810" s="1">
        <v>304</v>
      </c>
      <c r="O810" s="1">
        <v>426</v>
      </c>
      <c r="P810" s="1">
        <v>301</v>
      </c>
      <c r="Q810" s="55">
        <f>SUM(N810:P810)</f>
        <v>1031</v>
      </c>
      <c r="R810" s="55">
        <f>+E810+I810+M810+Q810</f>
        <v>7764</v>
      </c>
      <c r="T810" s="4" t="s">
        <v>1008</v>
      </c>
    </row>
    <row r="811" spans="1:20" ht="15.75" customHeight="1" x14ac:dyDescent="0.3">
      <c r="A811" s="71" t="s">
        <v>1009</v>
      </c>
      <c r="B811" s="1">
        <v>30</v>
      </c>
      <c r="C811" s="1">
        <v>22</v>
      </c>
      <c r="D811" s="1">
        <v>47</v>
      </c>
      <c r="E811" s="55">
        <f>SUM(B811:D811)</f>
        <v>99</v>
      </c>
      <c r="F811" s="1">
        <v>89</v>
      </c>
      <c r="G811" s="1">
        <v>88</v>
      </c>
      <c r="H811" s="1">
        <v>94</v>
      </c>
      <c r="I811" s="55">
        <f>SUM(F811:H811)</f>
        <v>271</v>
      </c>
      <c r="J811" s="1">
        <v>59</v>
      </c>
      <c r="K811" s="1">
        <v>71</v>
      </c>
      <c r="L811" s="1"/>
      <c r="M811" s="55">
        <f>SUM(J811:L811)</f>
        <v>130</v>
      </c>
      <c r="N811" s="1"/>
      <c r="O811" s="1"/>
      <c r="P811" s="1"/>
      <c r="Q811" s="55">
        <f>SUM(N811:P811)</f>
        <v>0</v>
      </c>
      <c r="R811" s="55">
        <f>+E811+I811+M811+Q811</f>
        <v>500</v>
      </c>
      <c r="T811" s="4" t="s">
        <v>1010</v>
      </c>
    </row>
    <row r="812" spans="1:20" ht="15.75" customHeight="1" x14ac:dyDescent="0.3">
      <c r="A812" s="15" t="s">
        <v>62</v>
      </c>
      <c r="B812" s="1"/>
      <c r="C812" s="1"/>
      <c r="D812" s="1"/>
      <c r="E812" s="55" t="s">
        <v>7</v>
      </c>
      <c r="F812" s="1"/>
      <c r="G812" s="1"/>
      <c r="H812" s="1"/>
      <c r="I812" s="55" t="s">
        <v>7</v>
      </c>
      <c r="J812" s="1"/>
      <c r="K812" s="1"/>
      <c r="L812" s="1"/>
      <c r="M812" s="55" t="s">
        <v>7</v>
      </c>
      <c r="N812" s="1"/>
      <c r="O812" s="1"/>
      <c r="P812" s="1"/>
      <c r="Q812" s="55" t="s">
        <v>7</v>
      </c>
      <c r="R812" s="55" t="s">
        <v>7</v>
      </c>
    </row>
    <row r="813" spans="1:20" ht="15.75" customHeight="1" x14ac:dyDescent="0.3">
      <c r="A813" s="71" t="s">
        <v>1011</v>
      </c>
      <c r="B813" s="1"/>
      <c r="C813" s="1"/>
      <c r="D813" s="1"/>
      <c r="E813" s="55">
        <f>SUM(B813:D813)</f>
        <v>0</v>
      </c>
      <c r="F813" s="1"/>
      <c r="G813" s="1"/>
      <c r="H813" s="1"/>
      <c r="I813" s="55">
        <f>SUM(F813:H813)</f>
        <v>0</v>
      </c>
      <c r="J813" s="1"/>
      <c r="K813" s="1"/>
      <c r="L813" s="1"/>
      <c r="M813" s="55">
        <f>SUM(J813:L813)</f>
        <v>0</v>
      </c>
      <c r="N813" s="1"/>
      <c r="O813" s="1"/>
      <c r="P813" s="1"/>
      <c r="Q813" s="55">
        <f>SUM(N813:P813)</f>
        <v>0</v>
      </c>
      <c r="R813" s="55">
        <f>+E813+I813+M813+Q813</f>
        <v>0</v>
      </c>
      <c r="T813" s="4" t="s">
        <v>1010</v>
      </c>
    </row>
    <row r="814" spans="1:20" ht="15.75" customHeight="1" x14ac:dyDescent="0.3">
      <c r="A814" s="71" t="s">
        <v>1012</v>
      </c>
      <c r="B814" s="1"/>
      <c r="C814" s="1"/>
      <c r="D814" s="1"/>
      <c r="E814" s="55">
        <f>SUM(B814:D814)</f>
        <v>0</v>
      </c>
      <c r="F814" s="1"/>
      <c r="G814" s="1"/>
      <c r="H814" s="1"/>
      <c r="I814" s="55">
        <f>SUM(F814:H814)</f>
        <v>0</v>
      </c>
      <c r="J814" s="1"/>
      <c r="K814" s="1">
        <v>5</v>
      </c>
      <c r="L814" s="1">
        <v>51</v>
      </c>
      <c r="M814" s="55">
        <f>SUM(J814:L814)</f>
        <v>56</v>
      </c>
      <c r="N814" s="1">
        <v>69</v>
      </c>
      <c r="O814" s="1">
        <v>31</v>
      </c>
      <c r="P814" s="1">
        <v>21</v>
      </c>
      <c r="Q814" s="55">
        <f>SUM(N814:P814)</f>
        <v>121</v>
      </c>
      <c r="R814" s="55">
        <f>+E814+I814+M814+Q814</f>
        <v>177</v>
      </c>
    </row>
    <row r="815" spans="1:20" ht="15.75" customHeight="1" x14ac:dyDescent="0.3">
      <c r="A815" s="71" t="s">
        <v>666</v>
      </c>
      <c r="B815" s="1"/>
      <c r="C815" s="1"/>
      <c r="D815" s="1"/>
      <c r="E815" s="55">
        <f>SUM(B815:D815)</f>
        <v>0</v>
      </c>
      <c r="F815" s="1"/>
      <c r="G815" s="1"/>
      <c r="H815" s="1"/>
      <c r="I815" s="55">
        <f>SUM(F815:H815)</f>
        <v>0</v>
      </c>
      <c r="J815" s="1"/>
      <c r="K815" s="1"/>
      <c r="L815" s="1"/>
      <c r="M815" s="55">
        <f>SUM(J815:L815)</f>
        <v>0</v>
      </c>
      <c r="N815" s="1"/>
      <c r="O815" s="1"/>
      <c r="P815" s="1"/>
      <c r="Q815" s="55">
        <f>SUM(N815:P815)</f>
        <v>0</v>
      </c>
      <c r="R815" s="55">
        <f>+E815+I815+M815+Q815</f>
        <v>0</v>
      </c>
      <c r="T815" s="4" t="s">
        <v>1005</v>
      </c>
    </row>
    <row r="816" spans="1:20" ht="15.75" customHeight="1" thickBot="1" x14ac:dyDescent="0.35">
      <c r="A816" s="71" t="s">
        <v>782</v>
      </c>
      <c r="B816" s="1">
        <v>764</v>
      </c>
      <c r="C816" s="1">
        <v>671</v>
      </c>
      <c r="D816" s="1">
        <v>680</v>
      </c>
      <c r="E816" s="55">
        <f>SUM(B816:D816)</f>
        <v>2115</v>
      </c>
      <c r="F816" s="1">
        <v>617</v>
      </c>
      <c r="G816" s="1">
        <v>717</v>
      </c>
      <c r="H816" s="1">
        <v>753</v>
      </c>
      <c r="I816" s="55">
        <f>SUM(F816:H816)</f>
        <v>2087</v>
      </c>
      <c r="J816" s="1">
        <f>44+763</f>
        <v>807</v>
      </c>
      <c r="K816" s="1">
        <f>42+804</f>
        <v>846</v>
      </c>
      <c r="L816" s="1">
        <f>22+732</f>
        <v>754</v>
      </c>
      <c r="M816" s="55">
        <f>SUM(J816:L816)</f>
        <v>2407</v>
      </c>
      <c r="N816" s="1">
        <f>11+468</f>
        <v>479</v>
      </c>
      <c r="O816" s="1">
        <f>1+205</f>
        <v>206</v>
      </c>
      <c r="P816" s="1">
        <f>4+509</f>
        <v>513</v>
      </c>
      <c r="Q816" s="55">
        <f>SUM(N816:P816)</f>
        <v>1198</v>
      </c>
      <c r="R816" s="55">
        <f>+E816+I816+M816+Q816</f>
        <v>7807</v>
      </c>
      <c r="T816" s="4" t="s">
        <v>1013</v>
      </c>
    </row>
    <row r="817" spans="1:19" ht="16.5" customHeight="1" thickBot="1" x14ac:dyDescent="0.35">
      <c r="A817" s="57" t="s">
        <v>63</v>
      </c>
      <c r="B817" s="86">
        <f>SUM(B808:B816)</f>
        <v>1269</v>
      </c>
      <c r="C817" s="87">
        <f>SUM(C808:C816)</f>
        <v>960</v>
      </c>
      <c r="D817" s="87">
        <f>SUM(D808:D816)</f>
        <v>1243</v>
      </c>
      <c r="E817" s="59">
        <f>SUM(B817:D817)</f>
        <v>3472</v>
      </c>
      <c r="F817" s="87">
        <f>SUM(F808:F816)</f>
        <v>1462</v>
      </c>
      <c r="G817" s="87">
        <f>SUM(G808:G816)</f>
        <v>2053</v>
      </c>
      <c r="H817" s="87">
        <f>SUM(H808:H816)</f>
        <v>2045</v>
      </c>
      <c r="I817" s="59">
        <f>SUM(F817:H817)</f>
        <v>5560</v>
      </c>
      <c r="J817" s="87">
        <f>SUM(J808:J816)</f>
        <v>1589</v>
      </c>
      <c r="K817" s="87">
        <f>SUM(K808:K816)</f>
        <v>1994</v>
      </c>
      <c r="L817" s="87">
        <f>SUM(L808:L816)</f>
        <v>1283</v>
      </c>
      <c r="M817" s="59">
        <f>SUM(J817:L817)</f>
        <v>4866</v>
      </c>
      <c r="N817" s="87">
        <f>SUM(N808:N816)</f>
        <v>852</v>
      </c>
      <c r="O817" s="87">
        <f>SUM(O808:O816)</f>
        <v>663</v>
      </c>
      <c r="P817" s="87">
        <f>SUM(P808:P816)</f>
        <v>835</v>
      </c>
      <c r="Q817" s="59">
        <f>SUM(N817:P817)</f>
        <v>2350</v>
      </c>
      <c r="R817" s="59">
        <f>+E817+I817+M817+Q817</f>
        <v>16248</v>
      </c>
    </row>
    <row r="818" spans="1:19" ht="15.75" customHeight="1" x14ac:dyDescent="0.3">
      <c r="A818" s="15" t="s">
        <v>64</v>
      </c>
      <c r="B818" s="1"/>
      <c r="C818" s="1"/>
      <c r="D818" s="1"/>
      <c r="E818" s="55" t="s">
        <v>7</v>
      </c>
      <c r="F818" s="1"/>
      <c r="G818" s="1"/>
      <c r="H818" s="1"/>
      <c r="I818" s="55" t="s">
        <v>7</v>
      </c>
      <c r="J818" s="1"/>
      <c r="K818" s="1"/>
      <c r="L818" s="1"/>
      <c r="M818" s="55" t="s">
        <v>7</v>
      </c>
      <c r="N818" s="1"/>
      <c r="O818" s="1"/>
      <c r="P818" s="1"/>
      <c r="Q818" s="55" t="s">
        <v>7</v>
      </c>
      <c r="R818" s="55" t="s">
        <v>7</v>
      </c>
    </row>
    <row r="819" spans="1:19" ht="15.75" customHeight="1" x14ac:dyDescent="0.3">
      <c r="A819" s="15" t="s">
        <v>594</v>
      </c>
      <c r="B819" s="1"/>
      <c r="C819" s="1"/>
      <c r="D819" s="1"/>
      <c r="E819" s="55" t="s">
        <v>7</v>
      </c>
      <c r="F819" s="1"/>
      <c r="G819" s="1"/>
      <c r="H819" s="1"/>
      <c r="I819" s="55" t="s">
        <v>7</v>
      </c>
      <c r="J819" s="1"/>
      <c r="K819" s="1"/>
      <c r="L819" s="1"/>
      <c r="M819" s="55" t="s">
        <v>7</v>
      </c>
      <c r="N819" s="1"/>
      <c r="O819" s="1"/>
      <c r="P819" s="1"/>
      <c r="Q819" s="55" t="s">
        <v>7</v>
      </c>
      <c r="R819" s="55" t="s">
        <v>7</v>
      </c>
    </row>
    <row r="820" spans="1:19" ht="15.75" customHeight="1" x14ac:dyDescent="0.3">
      <c r="A820" s="71" t="s">
        <v>1340</v>
      </c>
      <c r="B820" s="1"/>
      <c r="C820" s="1"/>
      <c r="D820" s="1"/>
      <c r="E820" s="55">
        <f>SUM(B820:D820)</f>
        <v>0</v>
      </c>
      <c r="F820" s="1"/>
      <c r="G820" s="1"/>
      <c r="H820" s="1"/>
      <c r="I820" s="55">
        <f>SUM(F820:H820)</f>
        <v>0</v>
      </c>
      <c r="J820" s="1"/>
      <c r="K820" s="1"/>
      <c r="L820" s="1"/>
      <c r="M820" s="55">
        <f>SUM(J820:L820)</f>
        <v>0</v>
      </c>
      <c r="N820" s="1"/>
      <c r="O820" s="1"/>
      <c r="P820" s="1"/>
      <c r="Q820" s="55">
        <f>SUM(N820:P820)</f>
        <v>0</v>
      </c>
      <c r="R820" s="55">
        <f>+E820+I820+M820+Q820</f>
        <v>0</v>
      </c>
    </row>
    <row r="821" spans="1:19" ht="15.75" customHeight="1" x14ac:dyDescent="0.3">
      <c r="A821" s="71" t="s">
        <v>367</v>
      </c>
      <c r="B821" s="1"/>
      <c r="C821" s="1"/>
      <c r="D821" s="1"/>
      <c r="E821" s="55">
        <f>SUM(B821:D821)</f>
        <v>0</v>
      </c>
      <c r="F821" s="1"/>
      <c r="G821" s="1"/>
      <c r="H821" s="1"/>
      <c r="I821" s="55">
        <f>SUM(F821:H821)</f>
        <v>0</v>
      </c>
      <c r="J821" s="1"/>
      <c r="K821" s="1"/>
      <c r="L821" s="1"/>
      <c r="M821" s="55">
        <f>SUM(J821:L821)</f>
        <v>0</v>
      </c>
      <c r="N821" s="1"/>
      <c r="O821" s="1"/>
      <c r="P821" s="1"/>
      <c r="Q821" s="55">
        <f>SUM(N821:P821)</f>
        <v>0</v>
      </c>
      <c r="R821" s="55">
        <f>+E821+I821+M821+Q821</f>
        <v>0</v>
      </c>
    </row>
    <row r="822" spans="1:19" ht="15.75" customHeight="1" x14ac:dyDescent="0.3">
      <c r="A822" s="15" t="s">
        <v>67</v>
      </c>
      <c r="B822" s="1"/>
      <c r="C822" s="1"/>
      <c r="D822" s="1"/>
      <c r="E822" s="55" t="s">
        <v>7</v>
      </c>
      <c r="F822" s="1"/>
      <c r="G822" s="1"/>
      <c r="H822" s="1"/>
      <c r="I822" s="55" t="s">
        <v>7</v>
      </c>
      <c r="J822" s="1"/>
      <c r="K822" s="1"/>
      <c r="L822" s="1"/>
      <c r="M822" s="55" t="s">
        <v>7</v>
      </c>
      <c r="N822" s="1"/>
      <c r="O822" s="1"/>
      <c r="P822" s="1"/>
      <c r="Q822" s="55" t="s">
        <v>7</v>
      </c>
      <c r="R822" s="55" t="s">
        <v>7</v>
      </c>
    </row>
    <row r="823" spans="1:19" ht="15.75" customHeight="1" x14ac:dyDescent="0.3">
      <c r="A823" s="71" t="s">
        <v>783</v>
      </c>
      <c r="B823" s="1"/>
      <c r="C823" s="1"/>
      <c r="D823" s="1"/>
      <c r="E823" s="55">
        <f>SUM(B823:D823)</f>
        <v>0</v>
      </c>
      <c r="F823" s="1"/>
      <c r="G823" s="1"/>
      <c r="H823" s="1"/>
      <c r="I823" s="55">
        <f>SUM(F823:H823)</f>
        <v>0</v>
      </c>
      <c r="J823" s="1"/>
      <c r="K823" s="1"/>
      <c r="L823" s="1"/>
      <c r="M823" s="55">
        <f>SUM(J823:L823)</f>
        <v>0</v>
      </c>
      <c r="N823" s="1">
        <v>29</v>
      </c>
      <c r="O823" s="1"/>
      <c r="P823" s="1"/>
      <c r="Q823" s="55">
        <f>SUM(N823:P823)</f>
        <v>29</v>
      </c>
      <c r="R823" s="55">
        <f>+E823+I823+M823+Q823</f>
        <v>29</v>
      </c>
    </row>
    <row r="824" spans="1:19" ht="15.75" customHeight="1" x14ac:dyDescent="0.3">
      <c r="A824" s="71" t="s">
        <v>784</v>
      </c>
      <c r="B824" s="1"/>
      <c r="C824" s="1"/>
      <c r="D824" s="1"/>
      <c r="E824" s="55">
        <f>SUM(B824:D824)</f>
        <v>0</v>
      </c>
      <c r="F824" s="1"/>
      <c r="G824" s="1"/>
      <c r="H824" s="1"/>
      <c r="I824" s="55">
        <f>SUM(F824:H824)</f>
        <v>0</v>
      </c>
      <c r="J824" s="1">
        <v>1271</v>
      </c>
      <c r="K824" s="1"/>
      <c r="L824" s="1"/>
      <c r="M824" s="55">
        <f>SUM(J824:L824)</f>
        <v>1271</v>
      </c>
      <c r="N824" s="1"/>
      <c r="O824" s="1"/>
      <c r="P824" s="1"/>
      <c r="Q824" s="55">
        <f>SUM(N824:P824)</f>
        <v>0</v>
      </c>
      <c r="R824" s="55">
        <f>+E824+I824+M824+Q824</f>
        <v>1271</v>
      </c>
      <c r="S824" s="4" t="s">
        <v>1264</v>
      </c>
    </row>
    <row r="825" spans="1:19" ht="15.75" customHeight="1" x14ac:dyDescent="0.3">
      <c r="A825" s="15" t="s">
        <v>600</v>
      </c>
      <c r="B825" s="1"/>
      <c r="C825" s="1"/>
      <c r="D825" s="1"/>
      <c r="E825" s="55" t="s">
        <v>7</v>
      </c>
      <c r="F825" s="1"/>
      <c r="G825" s="1"/>
      <c r="H825" s="1"/>
      <c r="I825" s="55" t="s">
        <v>7</v>
      </c>
      <c r="J825" s="1"/>
      <c r="K825" s="1"/>
      <c r="L825" s="1"/>
      <c r="M825" s="55" t="s">
        <v>7</v>
      </c>
      <c r="N825" s="1"/>
      <c r="O825" s="1"/>
      <c r="P825" s="1"/>
      <c r="Q825" s="55" t="s">
        <v>7</v>
      </c>
      <c r="R825" s="55" t="s">
        <v>7</v>
      </c>
    </row>
    <row r="826" spans="1:19" ht="15.75" customHeight="1" thickBot="1" x14ac:dyDescent="0.35">
      <c r="A826" s="15" t="s">
        <v>70</v>
      </c>
      <c r="B826" s="1"/>
      <c r="C826" s="1"/>
      <c r="D826" s="1"/>
      <c r="E826" s="55" t="s">
        <v>7</v>
      </c>
      <c r="F826" s="1"/>
      <c r="G826" s="1"/>
      <c r="H826" s="1"/>
      <c r="I826" s="55" t="s">
        <v>7</v>
      </c>
      <c r="J826" s="1"/>
      <c r="K826" s="1"/>
      <c r="L826" s="1"/>
      <c r="M826" s="55" t="s">
        <v>7</v>
      </c>
      <c r="N826" s="1"/>
      <c r="O826" s="1"/>
      <c r="P826" s="1"/>
      <c r="Q826" s="55" t="s">
        <v>7</v>
      </c>
      <c r="R826" s="55" t="s">
        <v>7</v>
      </c>
    </row>
    <row r="827" spans="1:19" ht="16.5" customHeight="1" thickBot="1" x14ac:dyDescent="0.35">
      <c r="A827" s="57" t="s">
        <v>71</v>
      </c>
      <c r="B827" s="58">
        <f>SUM(B825:B826)</f>
        <v>0</v>
      </c>
      <c r="C827" s="58">
        <f>SUM(C825:C826)</f>
        <v>0</v>
      </c>
      <c r="D827" s="58">
        <f>SUM(D825:D826)</f>
        <v>0</v>
      </c>
      <c r="E827" s="60">
        <f>SUM(B827:D827)</f>
        <v>0</v>
      </c>
      <c r="F827" s="58">
        <f>SUM(F825:F826)</f>
        <v>0</v>
      </c>
      <c r="G827" s="58">
        <f>SUM(G825:G826)</f>
        <v>0</v>
      </c>
      <c r="H827" s="58">
        <f>SUM(H825:H826)</f>
        <v>0</v>
      </c>
      <c r="I827" s="60">
        <f>SUM(F827:H827)</f>
        <v>0</v>
      </c>
      <c r="J827" s="58">
        <f>SUM(J825:J826)</f>
        <v>0</v>
      </c>
      <c r="K827" s="58">
        <f>SUM(K825:K826)</f>
        <v>0</v>
      </c>
      <c r="L827" s="58">
        <f>SUM(L825:L826)</f>
        <v>0</v>
      </c>
      <c r="M827" s="60">
        <f>SUM(J827:L827)</f>
        <v>0</v>
      </c>
      <c r="N827" s="58">
        <f>SUM(N825:N826)</f>
        <v>0</v>
      </c>
      <c r="O827" s="58">
        <f>SUM(O825:O826)</f>
        <v>0</v>
      </c>
      <c r="P827" s="58">
        <f>SUM(P825:P826)</f>
        <v>0</v>
      </c>
      <c r="Q827" s="60">
        <f>SUM(N827:P827)</f>
        <v>0</v>
      </c>
      <c r="R827" s="59">
        <f>+E827+I827+M827+Q827</f>
        <v>0</v>
      </c>
    </row>
    <row r="828" spans="1:19" ht="16.5" customHeight="1" thickBot="1" x14ac:dyDescent="0.35">
      <c r="A828" s="57" t="s">
        <v>72</v>
      </c>
      <c r="B828" s="86">
        <f>SUM(B818:B826)</f>
        <v>0</v>
      </c>
      <c r="C828" s="87">
        <f>SUM(C818:C826)</f>
        <v>0</v>
      </c>
      <c r="D828" s="118">
        <f>SUM(D818:D826)</f>
        <v>0</v>
      </c>
      <c r="E828" s="60">
        <f>SUM(B828:D828)</f>
        <v>0</v>
      </c>
      <c r="F828" s="87">
        <f>SUM(F818:F826)</f>
        <v>0</v>
      </c>
      <c r="G828" s="87">
        <f>SUM(G818:G826)</f>
        <v>0</v>
      </c>
      <c r="H828" s="87">
        <f>SUM(H818:H826)</f>
        <v>0</v>
      </c>
      <c r="I828" s="60">
        <f>SUM(F828:H828)</f>
        <v>0</v>
      </c>
      <c r="J828" s="87">
        <f>SUM(J818:J826)</f>
        <v>1271</v>
      </c>
      <c r="K828" s="87">
        <f>SUM(K818:K826)</f>
        <v>0</v>
      </c>
      <c r="L828" s="87">
        <f>SUM(L818:L826)</f>
        <v>0</v>
      </c>
      <c r="M828" s="60">
        <f>SUM(J828:L828)</f>
        <v>1271</v>
      </c>
      <c r="N828" s="87">
        <f>SUM(N818:N826)</f>
        <v>29</v>
      </c>
      <c r="O828" s="87">
        <f>SUM(O818:O826)</f>
        <v>0</v>
      </c>
      <c r="P828" s="87">
        <f>SUM(P818:P826)</f>
        <v>0</v>
      </c>
      <c r="Q828" s="60">
        <f>SUM(N828:P828)</f>
        <v>29</v>
      </c>
      <c r="R828" s="59">
        <f>+E828+I828+M828+Q828</f>
        <v>1300</v>
      </c>
    </row>
    <row r="829" spans="1:19" ht="16.5" customHeight="1" thickBot="1" x14ac:dyDescent="0.35">
      <c r="A829" s="57" t="s">
        <v>73</v>
      </c>
      <c r="B829" s="90">
        <f>+B802+B807+B817+B828</f>
        <v>3704</v>
      </c>
      <c r="C829" s="58">
        <f>+C802+C807+C817+C828</f>
        <v>4055</v>
      </c>
      <c r="D829" s="58">
        <f>+D802+D807+D817+D828</f>
        <v>2728</v>
      </c>
      <c r="E829" s="59">
        <f>SUM(B829:D829)</f>
        <v>10487</v>
      </c>
      <c r="F829" s="58">
        <f>+F802+F807+F817+F828</f>
        <v>3922</v>
      </c>
      <c r="G829" s="58">
        <f>+G802+G807+G817+G828</f>
        <v>4699</v>
      </c>
      <c r="H829" s="58">
        <f>+H802+H807+H817+H828</f>
        <v>3866</v>
      </c>
      <c r="I829" s="59">
        <f>SUM(F829:H829)</f>
        <v>12487</v>
      </c>
      <c r="J829" s="58">
        <f>+J802+J807+J817+J828</f>
        <v>3360</v>
      </c>
      <c r="K829" s="58">
        <f>+K802+K807+K817+K828</f>
        <v>4499</v>
      </c>
      <c r="L829" s="58">
        <f>+L802+L807+L817+L828</f>
        <v>4060</v>
      </c>
      <c r="M829" s="59">
        <f>SUM(J829:L829)</f>
        <v>11919</v>
      </c>
      <c r="N829" s="58">
        <f>+N802+N807+N817+N828</f>
        <v>3154</v>
      </c>
      <c r="O829" s="58">
        <f>+O802+O807+O817+O828</f>
        <v>2126</v>
      </c>
      <c r="P829" s="58">
        <f>+P802+P807+P817+P828</f>
        <v>1875</v>
      </c>
      <c r="Q829" s="59">
        <f>SUM(N829:P829)</f>
        <v>7155</v>
      </c>
      <c r="R829" s="81">
        <f>+E829+I829+M829+Q829</f>
        <v>42048</v>
      </c>
    </row>
    <row r="830" spans="1:19" ht="16.5" customHeight="1" thickBot="1" x14ac:dyDescent="0.35">
      <c r="A830" s="39" t="s">
        <v>40</v>
      </c>
      <c r="B830" s="21">
        <v>11</v>
      </c>
      <c r="C830" s="21">
        <v>13</v>
      </c>
      <c r="D830" s="21">
        <v>17</v>
      </c>
      <c r="E830" s="55">
        <f>SUM(B830:D830)</f>
        <v>41</v>
      </c>
      <c r="F830" s="21">
        <v>21</v>
      </c>
      <c r="G830" s="21">
        <v>23</v>
      </c>
      <c r="H830" s="21">
        <v>25</v>
      </c>
      <c r="I830" s="55">
        <f>SUM(F830:H830)</f>
        <v>69</v>
      </c>
      <c r="J830" s="21">
        <v>25</v>
      </c>
      <c r="K830" s="21">
        <v>21</v>
      </c>
      <c r="L830" s="21">
        <v>19</v>
      </c>
      <c r="M830" s="55">
        <f>SUM(J830:L830)</f>
        <v>65</v>
      </c>
      <c r="N830" s="21">
        <v>17</v>
      </c>
      <c r="O830" s="21">
        <v>13</v>
      </c>
      <c r="P830" s="21">
        <v>11</v>
      </c>
      <c r="Q830" s="55">
        <f>SUM(N830:P830)</f>
        <v>41</v>
      </c>
      <c r="R830" s="55">
        <f>+E830+I830+M830+Q830</f>
        <v>216</v>
      </c>
    </row>
    <row r="831" spans="1:19" ht="16.5" customHeight="1" thickBot="1" x14ac:dyDescent="0.35">
      <c r="A831" s="41"/>
      <c r="B831" s="36"/>
      <c r="C831" s="36"/>
      <c r="D831" s="36"/>
      <c r="E831" s="59" t="s">
        <v>7</v>
      </c>
      <c r="F831" s="36"/>
      <c r="G831" s="36"/>
      <c r="H831" s="36"/>
      <c r="I831" s="59" t="s">
        <v>7</v>
      </c>
      <c r="J831" s="36"/>
      <c r="K831" s="36"/>
      <c r="L831" s="36"/>
      <c r="M831" s="59" t="s">
        <v>7</v>
      </c>
      <c r="N831" s="36"/>
      <c r="O831" s="36"/>
      <c r="P831" s="36"/>
      <c r="Q831" s="59" t="s">
        <v>7</v>
      </c>
      <c r="R831" s="59" t="s">
        <v>7</v>
      </c>
    </row>
    <row r="832" spans="1:19" ht="15.75" customHeight="1" x14ac:dyDescent="0.3">
      <c r="A832" s="15" t="s">
        <v>41</v>
      </c>
      <c r="B832" s="1">
        <f>SUM(B829:B830)</f>
        <v>3715</v>
      </c>
      <c r="C832" s="1">
        <f>SUM(C829:C830)</f>
        <v>4068</v>
      </c>
      <c r="D832" s="1">
        <f>SUM(D829:D830)</f>
        <v>2745</v>
      </c>
      <c r="E832" s="60">
        <f>SUM(B832:D832)</f>
        <v>10528</v>
      </c>
      <c r="F832" s="1">
        <f>SUM(F829:F830)</f>
        <v>3943</v>
      </c>
      <c r="G832" s="1">
        <f>SUM(G829:G830)</f>
        <v>4722</v>
      </c>
      <c r="H832" s="1">
        <f>SUM(H829:H830)</f>
        <v>3891</v>
      </c>
      <c r="I832" s="60">
        <f>SUM(F832:H832)</f>
        <v>12556</v>
      </c>
      <c r="J832" s="1">
        <f>SUM(J829:J830)</f>
        <v>3385</v>
      </c>
      <c r="K832" s="1">
        <f>SUM(K829:K830)</f>
        <v>4520</v>
      </c>
      <c r="L832" s="1">
        <f>SUM(L829:L830)</f>
        <v>4079</v>
      </c>
      <c r="M832" s="60">
        <f>SUM(J832:L832)</f>
        <v>11984</v>
      </c>
      <c r="N832" s="1">
        <f>SUM(N829:N830)</f>
        <v>3171</v>
      </c>
      <c r="O832" s="1">
        <f>SUM(O829:O830)</f>
        <v>2139</v>
      </c>
      <c r="P832" s="1">
        <f>SUM(P829:P830)</f>
        <v>1886</v>
      </c>
      <c r="Q832" s="60">
        <f>SUM(N832:P832)</f>
        <v>7196</v>
      </c>
      <c r="R832" s="60">
        <f>+E832+I832+M832+Q832</f>
        <v>42264</v>
      </c>
    </row>
    <row r="833" spans="1:18" ht="15.75" customHeight="1" x14ac:dyDescent="0.3">
      <c r="A833" s="15" t="s">
        <v>42</v>
      </c>
      <c r="B833" s="1">
        <f>(B832/B10)/1.983</f>
        <v>60.433035641663821</v>
      </c>
      <c r="C833" s="1">
        <f>(C832/C10)/1.983</f>
        <v>73.265614869245724</v>
      </c>
      <c r="D833" s="1">
        <f>(D832/D10)/1.983</f>
        <v>44.653750427016739</v>
      </c>
      <c r="E833" s="55" t="s">
        <v>7</v>
      </c>
      <c r="F833" s="1">
        <f>(F832/F10)/1.983</f>
        <v>66.2800470667339</v>
      </c>
      <c r="G833" s="1">
        <f>(G832/G10)/1.983</f>
        <v>76.814211117075786</v>
      </c>
      <c r="H833" s="1">
        <f>(H832/H10)/1.983</f>
        <v>65.405950579929396</v>
      </c>
      <c r="I833" s="55" t="s">
        <v>7</v>
      </c>
      <c r="J833" s="1">
        <f>(J832/J10)/1.983</f>
        <v>55.064825207814806</v>
      </c>
      <c r="K833" s="1">
        <f>(K832/K10)/1.983</f>
        <v>73.528215639386403</v>
      </c>
      <c r="L833" s="1">
        <f>(L832/L10)/1.983</f>
        <v>68.566145570684142</v>
      </c>
      <c r="M833" s="55" t="s">
        <v>7</v>
      </c>
      <c r="N833" s="1">
        <f>(N832/N10)/1.983</f>
        <v>51.58362207798546</v>
      </c>
      <c r="O833" s="1">
        <f>(O832/O10)/1.983</f>
        <v>35.955622793746848</v>
      </c>
      <c r="P833" s="1">
        <f>(P832/P10)/1.983</f>
        <v>30.680135994664322</v>
      </c>
      <c r="Q833" s="55" t="s">
        <v>7</v>
      </c>
      <c r="R833" s="55" t="s">
        <v>7</v>
      </c>
    </row>
    <row r="834" spans="1:18" ht="15.75" customHeight="1" x14ac:dyDescent="0.3">
      <c r="A834" s="15" t="s">
        <v>372</v>
      </c>
      <c r="B834" s="1">
        <f>B832</f>
        <v>3715</v>
      </c>
      <c r="C834" s="1">
        <f>C832</f>
        <v>4068</v>
      </c>
      <c r="D834" s="1">
        <f>D832</f>
        <v>2745</v>
      </c>
      <c r="E834" s="55">
        <f>SUM(B834:D834)</f>
        <v>10528</v>
      </c>
      <c r="F834" s="1">
        <f>F832</f>
        <v>3943</v>
      </c>
      <c r="G834" s="1">
        <f>G832</f>
        <v>4722</v>
      </c>
      <c r="H834" s="1">
        <f>H832</f>
        <v>3891</v>
      </c>
      <c r="I834" s="55">
        <f>SUM(F834:H834)</f>
        <v>12556</v>
      </c>
      <c r="J834" s="1">
        <f>J832</f>
        <v>3385</v>
      </c>
      <c r="K834" s="1">
        <f>K832</f>
        <v>4520</v>
      </c>
      <c r="L834" s="1">
        <f>L832</f>
        <v>4079</v>
      </c>
      <c r="M834" s="55">
        <f>SUM(J834:L834)</f>
        <v>11984</v>
      </c>
      <c r="N834" s="1">
        <f>N832</f>
        <v>3171</v>
      </c>
      <c r="O834" s="1">
        <f>O832</f>
        <v>2139</v>
      </c>
      <c r="P834" s="1">
        <f>P832</f>
        <v>1886</v>
      </c>
      <c r="Q834" s="55">
        <f>SUM(N834:P834)</f>
        <v>7196</v>
      </c>
      <c r="R834" s="55">
        <f>+E834+I834+M834+Q834</f>
        <v>42264</v>
      </c>
    </row>
    <row r="835" spans="1:18" ht="16.5" customHeight="1" thickBot="1" x14ac:dyDescent="0.35">
      <c r="A835" s="20" t="s">
        <v>373</v>
      </c>
      <c r="B835" s="21">
        <f>(B834/B10)/1.983</f>
        <v>60.433035641663821</v>
      </c>
      <c r="C835" s="21">
        <f>(C834/C10)/1.983</f>
        <v>73.265614869245724</v>
      </c>
      <c r="D835" s="21">
        <f>(D834/D10)/1.983</f>
        <v>44.653750427016739</v>
      </c>
      <c r="E835" s="81" t="s">
        <v>7</v>
      </c>
      <c r="F835" s="21">
        <f>(F834/F10)/1.983</f>
        <v>66.2800470667339</v>
      </c>
      <c r="G835" s="21">
        <f>(G834/G10)/1.983</f>
        <v>76.814211117075786</v>
      </c>
      <c r="H835" s="21">
        <f>(H834/H10)/1.983</f>
        <v>65.405950579929396</v>
      </c>
      <c r="I835" s="81" t="s">
        <v>7</v>
      </c>
      <c r="J835" s="21">
        <f>(J834/J10)/1.983</f>
        <v>55.064825207814806</v>
      </c>
      <c r="K835" s="21">
        <f>(K834/K10)/1.983</f>
        <v>73.528215639386403</v>
      </c>
      <c r="L835" s="21">
        <f>(L834/L10)/1.983</f>
        <v>68.566145570684142</v>
      </c>
      <c r="M835" s="81" t="s">
        <v>7</v>
      </c>
      <c r="N835" s="21">
        <f>(N834/N10)/1.983</f>
        <v>51.58362207798546</v>
      </c>
      <c r="O835" s="21">
        <f>(O834/O10)/1.983</f>
        <v>35.955622793746848</v>
      </c>
      <c r="P835" s="21">
        <f>(P834/P10)/1.983</f>
        <v>30.680135994664322</v>
      </c>
      <c r="Q835" s="81" t="s">
        <v>7</v>
      </c>
      <c r="R835" s="81" t="s">
        <v>7</v>
      </c>
    </row>
    <row r="836" spans="1:18" ht="15.75" customHeight="1" x14ac:dyDescent="0.3">
      <c r="A836" s="28"/>
      <c r="B836" s="1"/>
      <c r="C836" s="1"/>
      <c r="D836" s="1"/>
      <c r="E836" s="2"/>
      <c r="F836" s="1"/>
      <c r="G836" s="1"/>
      <c r="H836" s="1"/>
      <c r="I836" s="2"/>
      <c r="J836" s="1"/>
      <c r="K836" s="1"/>
      <c r="L836" s="1"/>
      <c r="M836" s="2"/>
      <c r="N836" s="1"/>
      <c r="O836" s="1"/>
      <c r="P836" s="1"/>
      <c r="Q836" s="2"/>
      <c r="R836" s="2"/>
    </row>
    <row r="837" spans="1:18" ht="15.75" customHeight="1" x14ac:dyDescent="0.3">
      <c r="A837" s="28"/>
      <c r="B837" s="1"/>
      <c r="C837" s="1"/>
      <c r="D837" s="1"/>
      <c r="E837" s="1"/>
      <c r="F837" s="1"/>
      <c r="G837" s="1"/>
      <c r="H837" s="1"/>
      <c r="I837" s="1"/>
      <c r="J837" s="1"/>
      <c r="K837" s="1"/>
      <c r="L837" s="1"/>
      <c r="M837" s="1"/>
      <c r="N837" s="1"/>
      <c r="O837" s="1"/>
      <c r="P837" s="1"/>
      <c r="Q837" s="338" t="str">
        <f>+Q1</f>
        <v xml:space="preserve">PRINTED:  </v>
      </c>
      <c r="R837" s="360">
        <f ca="1">+R1</f>
        <v>44909.46975358796</v>
      </c>
    </row>
    <row r="838" spans="1:18" ht="15.75" customHeight="1" x14ac:dyDescent="0.3">
      <c r="A838" s="499" t="s">
        <v>1</v>
      </c>
      <c r="B838" s="499"/>
      <c r="C838" s="499"/>
      <c r="D838" s="499"/>
      <c r="E838" s="499"/>
      <c r="F838" s="499"/>
      <c r="G838" s="499"/>
      <c r="H838" s="499"/>
      <c r="I838" s="499"/>
      <c r="J838" s="499"/>
      <c r="K838" s="499"/>
      <c r="L838" s="499"/>
      <c r="M838" s="499"/>
      <c r="N838" s="499"/>
      <c r="O838" s="499"/>
      <c r="P838" s="499"/>
      <c r="Q838" s="499"/>
      <c r="R838" s="499"/>
    </row>
    <row r="839" spans="1:18" ht="15.75" customHeight="1" x14ac:dyDescent="0.3">
      <c r="A839" s="499" t="s">
        <v>2</v>
      </c>
      <c r="B839" s="499"/>
      <c r="C839" s="499"/>
      <c r="D839" s="499"/>
      <c r="E839" s="499"/>
      <c r="F839" s="499"/>
      <c r="G839" s="499"/>
      <c r="H839" s="499"/>
      <c r="I839" s="499"/>
      <c r="J839" s="499"/>
      <c r="K839" s="499"/>
      <c r="L839" s="499"/>
      <c r="M839" s="499"/>
      <c r="N839" s="499"/>
      <c r="O839" s="499"/>
      <c r="P839" s="499"/>
      <c r="Q839" s="499"/>
      <c r="R839" s="499"/>
    </row>
    <row r="840" spans="1:18" ht="15.75" customHeight="1" x14ac:dyDescent="0.3">
      <c r="A840" s="499" t="s">
        <v>3</v>
      </c>
      <c r="B840" s="499"/>
      <c r="C840" s="499"/>
      <c r="D840" s="499"/>
      <c r="E840" s="499"/>
      <c r="F840" s="499"/>
      <c r="G840" s="499"/>
      <c r="H840" s="499"/>
      <c r="I840" s="499"/>
      <c r="J840" s="499"/>
      <c r="K840" s="499"/>
      <c r="L840" s="499"/>
      <c r="M840" s="499"/>
      <c r="N840" s="499"/>
      <c r="O840" s="499"/>
      <c r="P840" s="499"/>
      <c r="Q840" s="499"/>
      <c r="R840" s="499"/>
    </row>
    <row r="841" spans="1:18" ht="15.75" customHeight="1" x14ac:dyDescent="0.3">
      <c r="A841" s="504">
        <f>+A5</f>
        <v>2018</v>
      </c>
      <c r="B841" s="504"/>
      <c r="C841" s="504"/>
      <c r="D841" s="504"/>
      <c r="E841" s="504"/>
      <c r="F841" s="504"/>
      <c r="G841" s="504"/>
      <c r="H841" s="504"/>
      <c r="I841" s="504"/>
      <c r="J841" s="504"/>
      <c r="K841" s="504"/>
      <c r="L841" s="504"/>
      <c r="M841" s="504"/>
      <c r="N841" s="504"/>
      <c r="O841" s="504"/>
      <c r="P841" s="504"/>
      <c r="Q841" s="504"/>
      <c r="R841" s="504"/>
    </row>
    <row r="842" spans="1:18" ht="15.75" customHeight="1" x14ac:dyDescent="0.3">
      <c r="A842" s="1"/>
      <c r="B842" s="1"/>
      <c r="C842" s="1"/>
      <c r="D842" s="5"/>
      <c r="E842" s="5"/>
      <c r="F842" s="5"/>
      <c r="G842" s="6"/>
      <c r="H842" s="5"/>
      <c r="I842" s="5"/>
      <c r="J842" s="6"/>
      <c r="K842" s="6"/>
      <c r="L842" s="6"/>
      <c r="M842" s="6"/>
      <c r="N842" s="1"/>
      <c r="O842" s="6"/>
      <c r="P842" s="6"/>
      <c r="Q842" s="6"/>
      <c r="R842" s="6"/>
    </row>
    <row r="843" spans="1:18" ht="15.75" customHeight="1" x14ac:dyDescent="0.3">
      <c r="A843" s="499" t="str">
        <f>+A8</f>
        <v>Revised:  3/2/2019</v>
      </c>
      <c r="B843" s="499"/>
      <c r="C843" s="499"/>
      <c r="D843" s="499"/>
      <c r="E843" s="499"/>
      <c r="F843" s="499"/>
      <c r="G843" s="499"/>
      <c r="H843" s="499"/>
      <c r="I843" s="499"/>
      <c r="J843" s="499"/>
      <c r="K843" s="499"/>
      <c r="L843" s="499"/>
      <c r="M843" s="499"/>
      <c r="N843" s="499"/>
      <c r="O843" s="499"/>
      <c r="P843" s="499"/>
      <c r="Q843" s="499"/>
      <c r="R843" s="499"/>
    </row>
    <row r="844" spans="1:18" ht="15.75" customHeight="1" x14ac:dyDescent="0.3">
      <c r="A844" s="314"/>
      <c r="B844" s="314"/>
      <c r="C844" s="314"/>
      <c r="D844" s="314"/>
      <c r="E844" s="314"/>
      <c r="F844" s="314"/>
      <c r="G844" s="314"/>
      <c r="H844" s="314"/>
      <c r="I844" s="314"/>
      <c r="J844" s="314"/>
      <c r="K844" s="314"/>
      <c r="L844" s="314"/>
      <c r="M844" s="314"/>
      <c r="N844" s="314"/>
      <c r="O844" s="314"/>
      <c r="P844" s="314"/>
      <c r="Q844" s="314"/>
      <c r="R844" s="314"/>
    </row>
    <row r="845" spans="1:18" ht="15.75" customHeight="1" x14ac:dyDescent="0.3">
      <c r="A845" s="314"/>
      <c r="B845" s="314"/>
      <c r="C845" s="314"/>
      <c r="D845" s="314"/>
      <c r="E845" s="314"/>
      <c r="F845" s="314"/>
      <c r="G845" s="314"/>
      <c r="H845" s="314"/>
      <c r="I845" s="314"/>
      <c r="J845" s="314"/>
      <c r="K845" s="314"/>
      <c r="L845" s="314"/>
      <c r="M845" s="314"/>
      <c r="N845" s="314"/>
      <c r="O845" s="314"/>
      <c r="P845" s="314"/>
      <c r="Q845" s="314"/>
      <c r="R845" s="314"/>
    </row>
    <row r="846" spans="1:18" ht="15.75" customHeight="1" thickBot="1" x14ac:dyDescent="0.35">
      <c r="A846" s="28"/>
      <c r="B846" s="1"/>
      <c r="C846" s="1"/>
      <c r="D846" s="1"/>
      <c r="E846" s="1"/>
      <c r="F846" s="1"/>
      <c r="G846" s="1"/>
      <c r="H846" s="1"/>
      <c r="I846" s="1"/>
      <c r="J846" s="1"/>
      <c r="K846" s="1"/>
      <c r="L846" s="1"/>
      <c r="M846" s="1"/>
      <c r="N846" s="1"/>
      <c r="O846" s="1"/>
      <c r="P846" s="1"/>
      <c r="Q846" s="1"/>
      <c r="R846" s="2"/>
    </row>
    <row r="847" spans="1:18" ht="16.5" customHeight="1" thickBot="1" x14ac:dyDescent="0.35">
      <c r="A847" s="124" t="s">
        <v>374</v>
      </c>
      <c r="B847" s="30" t="s">
        <v>8</v>
      </c>
      <c r="C847" s="31" t="s">
        <v>9</v>
      </c>
      <c r="D847" s="31" t="s">
        <v>10</v>
      </c>
      <c r="E847" s="32" t="s">
        <v>11</v>
      </c>
      <c r="F847" s="31" t="s">
        <v>12</v>
      </c>
      <c r="G847" s="31" t="s">
        <v>13</v>
      </c>
      <c r="H847" s="31" t="s">
        <v>14</v>
      </c>
      <c r="I847" s="33" t="s">
        <v>15</v>
      </c>
      <c r="J847" s="31" t="s">
        <v>16</v>
      </c>
      <c r="K847" s="31" t="s">
        <v>17</v>
      </c>
      <c r="L847" s="31" t="s">
        <v>18</v>
      </c>
      <c r="M847" s="33" t="s">
        <v>19</v>
      </c>
      <c r="N847" s="31" t="s">
        <v>20</v>
      </c>
      <c r="O847" s="31" t="s">
        <v>21</v>
      </c>
      <c r="P847" s="31" t="s">
        <v>22</v>
      </c>
      <c r="Q847" s="33" t="s">
        <v>23</v>
      </c>
      <c r="R847" s="133" t="s">
        <v>24</v>
      </c>
    </row>
    <row r="848" spans="1:18" ht="16.5" customHeight="1" thickBot="1" x14ac:dyDescent="0.35">
      <c r="A848" s="41"/>
      <c r="B848" s="36"/>
      <c r="C848" s="36"/>
      <c r="D848" s="36"/>
      <c r="E848" s="52"/>
      <c r="F848" s="36"/>
      <c r="G848" s="36"/>
      <c r="H848" s="36"/>
      <c r="I848" s="132"/>
      <c r="J848" s="36"/>
      <c r="K848" s="36"/>
      <c r="L848" s="36"/>
      <c r="M848" s="132"/>
      <c r="N848" s="36"/>
      <c r="O848" s="36"/>
      <c r="P848" s="36"/>
      <c r="Q848" s="134"/>
      <c r="R848" s="135"/>
    </row>
    <row r="849" spans="1:20" ht="15.75" customHeight="1" x14ac:dyDescent="0.3">
      <c r="A849" s="15" t="s">
        <v>48</v>
      </c>
      <c r="B849" s="1" t="s">
        <v>7</v>
      </c>
      <c r="C849" s="1" t="s">
        <v>7</v>
      </c>
      <c r="D849" s="1" t="s">
        <v>7</v>
      </c>
      <c r="E849" s="136"/>
      <c r="F849" s="1" t="s">
        <v>7</v>
      </c>
      <c r="G849" s="1" t="s">
        <v>7</v>
      </c>
      <c r="H849" s="1" t="s">
        <v>7</v>
      </c>
      <c r="I849" s="136"/>
      <c r="J849" s="1" t="s">
        <v>7</v>
      </c>
      <c r="K849" s="1" t="s">
        <v>7</v>
      </c>
      <c r="L849" s="1" t="s">
        <v>7</v>
      </c>
      <c r="M849" s="136"/>
      <c r="N849" s="1" t="s">
        <v>7</v>
      </c>
      <c r="O849" s="1" t="s">
        <v>7</v>
      </c>
      <c r="P849" s="1" t="s">
        <v>7</v>
      </c>
      <c r="Q849" s="137"/>
      <c r="R849" s="138" t="s">
        <v>7</v>
      </c>
    </row>
    <row r="850" spans="1:20" ht="15.75" customHeight="1" x14ac:dyDescent="0.3">
      <c r="A850" s="315" t="s">
        <v>49</v>
      </c>
      <c r="B850" s="1">
        <f>+SUM(B71:B82)+SUM(B140:B190)+SUM(B331:B362)+SUM(B498:B503)+SUM(B542:B547)+SUM(B587:B599)+SUM(B661:B664)+SUM(B697:B703)+SUM(B758:B759)+SUM(B792:B797)</f>
        <v>31616</v>
      </c>
      <c r="C850" s="1">
        <f>+SUM(C71:C82)+SUM(C140:C190)+SUM(C331:C362)+SUM(C498:C503)+SUM(C542:C547)+SUM(C587:C599)+SUM(C661:C664)+SUM(C697:C703)+SUM(C758:C759)+SUM(C792:C797)</f>
        <v>33389</v>
      </c>
      <c r="D850" s="1">
        <f>+SUM(D71:D82)+SUM(D140:D190)+SUM(D331:D362)+SUM(D498:D503)+SUM(D542:D547)+SUM(D587:D599)+SUM(D661:D664)+SUM(D697:D703)+SUM(D758:D759)+SUM(D792:D797)</f>
        <v>36712</v>
      </c>
      <c r="E850" s="55">
        <f t="shared" ref="E850:E856" si="273">SUM(B850:D850)</f>
        <v>101717</v>
      </c>
      <c r="F850" s="1">
        <f>+SUM(F71:F82)+SUM(F140:F190)+SUM(F331:F362)+SUM(F498:F503)+SUM(F542:F547)+SUM(F587:F599)+SUM(F661:F664)+SUM(F697:F703)+SUM(F758:F759)+SUM(F792:F797)</f>
        <v>37647</v>
      </c>
      <c r="G850" s="1">
        <f>+SUM(G71:G82)+SUM(G140:G190)+SUM(G331:G362)+SUM(G498:G503)+SUM(G542:G547)+SUM(G587:G599)+SUM(G661:G664)+SUM(G697:G703)+SUM(G758:G759)+SUM(G792:G797)</f>
        <v>54972</v>
      </c>
      <c r="H850" s="1">
        <f>+SUM(H71:H82)+SUM(H140:H190)+SUM(H331:H362)+SUM(H498:H503)+SUM(H542:H547)+SUM(H587:H599)+SUM(H661:H664)+SUM(H697:H703)+SUM(H758:H759)+SUM(H792:H797)</f>
        <v>70691</v>
      </c>
      <c r="I850" s="55">
        <f t="shared" ref="I850:I856" si="274">SUM(F850:H850)</f>
        <v>163310</v>
      </c>
      <c r="J850" s="1">
        <f>+SUM(J71:J82)+SUM(J140:J190)+SUM(J331:J362)+SUM(J498:J503)+SUM(J542:J547)+SUM(J587:J599)+SUM(J661:J664)+SUM(J697:J703)+SUM(J758:J759)+SUM(J792:J797)</f>
        <v>66608</v>
      </c>
      <c r="K850" s="1">
        <f>+SUM(K71:K82)+SUM(K140:K190)+SUM(K331:K362)+SUM(K498:K503)+SUM(K542:K547)+SUM(K587:K599)+SUM(K661:K664)+SUM(K697:K703)+SUM(K758:K759)+SUM(K792:K797)</f>
        <v>70141</v>
      </c>
      <c r="L850" s="1">
        <f>+SUM(L71:L82)+SUM(L140:L190)+SUM(L331:L362)+SUM(L498:L503)+SUM(L542:L547)+SUM(L587:L599)+SUM(L661:L664)+SUM(L697:L703)+SUM(L758:L759)+SUM(L792:L797)</f>
        <v>70045</v>
      </c>
      <c r="M850" s="55">
        <f t="shared" ref="M850:M856" si="275">SUM(J850:L850)</f>
        <v>206794</v>
      </c>
      <c r="N850" s="1">
        <f>+SUM(N71:N82)+SUM(N140:N190)+SUM(N331:N362)+SUM(N498:N503)+SUM(N542:N547)+SUM(N587:N599)+SUM(N661:N664)+SUM(N697:N703)+SUM(N758:N759)+SUM(N792:N797)</f>
        <v>39458</v>
      </c>
      <c r="O850" s="1">
        <f>+SUM(O71:O82)+SUM(O140:O190)+SUM(O331:O362)+SUM(O498:O503)+SUM(O542:O547)+SUM(O587:O599)+SUM(O661:O664)+SUM(O697:O703)+SUM(O758:O759)+SUM(O792:O797)</f>
        <v>33038</v>
      </c>
      <c r="P850" s="1">
        <f>+SUM(P71:P82)+SUM(P140:P190)+SUM(P331:P362)+SUM(P498:P503)+SUM(P542:P547)+SUM(P587:P599)+SUM(P661:P664)+SUM(P697:P703)+SUM(P758:P759)+SUM(P792:P797)</f>
        <v>36327</v>
      </c>
      <c r="Q850" s="55">
        <f t="shared" ref="Q850:Q856" si="276">SUM(N850:P850)</f>
        <v>108823</v>
      </c>
      <c r="R850" s="55">
        <f t="shared" ref="R850:R856" si="277">+E850+I850+M850+Q850</f>
        <v>580644</v>
      </c>
    </row>
    <row r="851" spans="1:20" ht="15.75" customHeight="1" x14ac:dyDescent="0.3">
      <c r="A851" s="15" t="s">
        <v>1014</v>
      </c>
      <c r="B851" s="1">
        <f>+B38+SUM(B83:B84)+SUM(B192:B203)+SUM(B364:B375)+SUM(B505:B506)+B548+SUM(B600:B601)+B665+B704+B760+SUM(B798:B798)</f>
        <v>0</v>
      </c>
      <c r="C851" s="1">
        <f>+C38+SUM(C83:C84)+SUM(C192:C203)+SUM(C364:C375)+SUM(C505:C506)+C548+SUM(C600:C601)+C665+C704+C760+SUM(C798:C798)</f>
        <v>0</v>
      </c>
      <c r="D851" s="1">
        <f>+D38+SUM(D83:D84)+SUM(D192:D203)+SUM(D364:D375)+SUM(D505:D506)+D548+SUM(D600:D601)+D665+D704+D760+SUM(D798:D798)</f>
        <v>0</v>
      </c>
      <c r="E851" s="55">
        <f t="shared" si="273"/>
        <v>0</v>
      </c>
      <c r="F851" s="1">
        <f>+F38+SUM(F83:F84)+SUM(F192:F203)+SUM(F364:F375)+SUM(F505:F506)+F548+SUM(F600:F601)+F665+F704+F760+SUM(F798:F798)</f>
        <v>0</v>
      </c>
      <c r="G851" s="1">
        <f>+G38+SUM(G83:G84)+SUM(G192:G203)+SUM(G364:G375)+SUM(G505:G506)+G548+SUM(G600:G601)+G665+G704+G760+SUM(G798:G798)</f>
        <v>0</v>
      </c>
      <c r="H851" s="1">
        <f>+H38+SUM(H83:H84)+SUM(H192:H203)+SUM(H364:H375)+SUM(H505:H506)+H548+SUM(H600:H601)+H665+H704+H760+SUM(H798:H798)</f>
        <v>0</v>
      </c>
      <c r="I851" s="55">
        <f t="shared" si="274"/>
        <v>0</v>
      </c>
      <c r="J851" s="1">
        <f>+J38+SUM(J83:J84)+SUM(J192:J203)+SUM(J364:J375)+SUM(J505:J506)+J548+SUM(J600:J601)+J665+J704+J760+SUM(J798:J798)</f>
        <v>0</v>
      </c>
      <c r="K851" s="1">
        <f>+K38+SUM(K83:K84)+SUM(K192:K203)+SUM(K364:K375)+SUM(K505:K506)+K548+SUM(K600:K601)+K665+K704+K760+SUM(K798:K798)</f>
        <v>0</v>
      </c>
      <c r="L851" s="1">
        <f>+L38+SUM(L83:L84)+SUM(L192:L203)+SUM(L364:L375)+SUM(L505:L506)+L548+SUM(L600:L601)+L665+L704+L760+SUM(L798:L798)</f>
        <v>0</v>
      </c>
      <c r="M851" s="55">
        <f t="shared" si="275"/>
        <v>0</v>
      </c>
      <c r="N851" s="1">
        <f>+N38+SUM(N83:N84)+SUM(N192:N203)+SUM(N364:N375)+SUM(N505:N506)+N548+SUM(N600:N601)+N665+N704+N760+SUM(N798:N798)</f>
        <v>0</v>
      </c>
      <c r="O851" s="1">
        <f>+O38+SUM(O83:O84)+SUM(O192:O203)+SUM(O364:O375)+SUM(O505:O506)+O548+SUM(O600:O601)+O665+O704+O760+SUM(O798:O798)</f>
        <v>0</v>
      </c>
      <c r="P851" s="1">
        <f>+P38+SUM(P83:P84)+SUM(P192:P203)+SUM(P364:P375)+SUM(P505:P506)+P548+SUM(P600:P601)+P665+P704+P760+SUM(P798:P798)</f>
        <v>579</v>
      </c>
      <c r="Q851" s="55">
        <f t="shared" si="276"/>
        <v>579</v>
      </c>
      <c r="R851" s="55">
        <f t="shared" si="277"/>
        <v>579</v>
      </c>
    </row>
    <row r="852" spans="1:20" ht="15.75" customHeight="1" x14ac:dyDescent="0.3">
      <c r="A852" s="315" t="s">
        <v>1015</v>
      </c>
      <c r="B852" s="1">
        <f>+SUM(B85:B87)+SUM(B204:B207)+SUM(B376:B380)+B507+B549+SUM(B602:B603)+B666+B705+B761+SUM(B799:B800)</f>
        <v>315</v>
      </c>
      <c r="C852" s="1">
        <f>+SUM(C85:C87)+SUM(C204:C207)+SUM(C376:C380)+C507+C549+SUM(C602:C603)+C666+C705+C761+SUM(C799:C800)</f>
        <v>1963</v>
      </c>
      <c r="D852" s="1">
        <f>+SUM(D85:D87)+SUM(D204:D207)+SUM(D376:D380)+D507+D549+SUM(D602:D603)+D666+D705+D761+SUM(D799:D800)</f>
        <v>3938</v>
      </c>
      <c r="E852" s="55">
        <f t="shared" si="273"/>
        <v>6216</v>
      </c>
      <c r="F852" s="1">
        <f>+SUM(F85:F87)+SUM(F204:F207)+SUM(F376:F380)+F507+F549+SUM(F602:F603)+F666+F705+F761+SUM(F799:F800)</f>
        <v>4161</v>
      </c>
      <c r="G852" s="1">
        <f>+SUM(G85:G87)+SUM(G204:G207)+SUM(G376:G380)+G507+G549+SUM(G602:G603)+G666+G705+G761+SUM(G799:G800)</f>
        <v>2011</v>
      </c>
      <c r="H852" s="1">
        <f>+SUM(H85:H87)+SUM(H204:H207)+SUM(H376:H380)+H507+H549+SUM(H602:H603)+H666+H705+H761+SUM(H799:H800)</f>
        <v>1876</v>
      </c>
      <c r="I852" s="55">
        <f t="shared" si="274"/>
        <v>8048</v>
      </c>
      <c r="J852" s="1">
        <f>+SUM(J85:J87)+SUM(J204:J207)+SUM(J376:J380)+J507+J549+SUM(J602:J603)+J666+J705+J761+SUM(J799:J800)</f>
        <v>2058</v>
      </c>
      <c r="K852" s="1">
        <f>+SUM(K85:K87)+SUM(K204:K207)+SUM(K376:K380)+K507+K549+SUM(K602:K603)+K666+K705+K761+SUM(K799:K800)</f>
        <v>11705</v>
      </c>
      <c r="L852" s="1">
        <f>+SUM(L85:L87)+SUM(L204:L207)+SUM(L376:L380)+L507+L549+SUM(L602:L603)+L666+L705+L761+SUM(L799:L800)</f>
        <v>2722</v>
      </c>
      <c r="M852" s="55">
        <f t="shared" si="275"/>
        <v>16485</v>
      </c>
      <c r="N852" s="1">
        <f>+SUM(N85:N87)+SUM(N204:N207)+SUM(N376:N380)+N507+N549+SUM(N602:N603)+N666+N705+N761+SUM(N799:N800)</f>
        <v>1830</v>
      </c>
      <c r="O852" s="1">
        <f>+SUM(O85:O87)+SUM(O204:O207)+SUM(O376:O380)+O507+O549+SUM(O602:O603)+O666+O705+O761+SUM(O799:O800)</f>
        <v>1372</v>
      </c>
      <c r="P852" s="1">
        <f>+SUM(P85:P87)+SUM(P204:P207)+SUM(P376:P380)+P507+P549+SUM(P602:P603)+P666+P705+P761+SUM(P799:P800)</f>
        <v>745</v>
      </c>
      <c r="Q852" s="55">
        <f t="shared" si="276"/>
        <v>3947</v>
      </c>
      <c r="R852" s="55">
        <f>+E852+I852+M852+Q852</f>
        <v>34696</v>
      </c>
    </row>
    <row r="853" spans="1:20" ht="15.75" customHeight="1" x14ac:dyDescent="0.3">
      <c r="A853" s="15" t="s">
        <v>1016</v>
      </c>
      <c r="B853" s="1">
        <f>+B308+B479+B480</f>
        <v>0</v>
      </c>
      <c r="C853" s="1">
        <f>+C308+C479+C480</f>
        <v>0</v>
      </c>
      <c r="D853" s="1">
        <f>+D308+D479+D480</f>
        <v>0</v>
      </c>
      <c r="E853" s="55">
        <f t="shared" si="273"/>
        <v>0</v>
      </c>
      <c r="F853" s="1">
        <f>+F308+F479+F480</f>
        <v>0</v>
      </c>
      <c r="G853" s="1">
        <f>+G308+G479+G480</f>
        <v>0</v>
      </c>
      <c r="H853" s="1">
        <f>+H308+H479+H480</f>
        <v>0</v>
      </c>
      <c r="I853" s="55">
        <f t="shared" si="274"/>
        <v>0</v>
      </c>
      <c r="J853" s="1">
        <f>+J308+J479+J480</f>
        <v>0</v>
      </c>
      <c r="K853" s="1">
        <f>+K308+K479+K480</f>
        <v>0</v>
      </c>
      <c r="L853" s="1">
        <f>+L308+L479+L480</f>
        <v>0</v>
      </c>
      <c r="M853" s="55">
        <f t="shared" si="275"/>
        <v>0</v>
      </c>
      <c r="N853" s="1">
        <f>+N308+N479+N480</f>
        <v>0</v>
      </c>
      <c r="O853" s="1">
        <f>+O308+O479+O480</f>
        <v>0</v>
      </c>
      <c r="P853" s="1">
        <f>+P308+P479+P480</f>
        <v>0</v>
      </c>
      <c r="Q853" s="55">
        <f t="shared" si="276"/>
        <v>0</v>
      </c>
      <c r="R853" s="55">
        <f t="shared" si="277"/>
        <v>0</v>
      </c>
    </row>
    <row r="854" spans="1:20" ht="15.75" customHeight="1" x14ac:dyDescent="0.3">
      <c r="A854" s="315" t="s">
        <v>377</v>
      </c>
      <c r="B854" s="1">
        <f>+B309</f>
        <v>36</v>
      </c>
      <c r="C854" s="1">
        <f>+C309</f>
        <v>25</v>
      </c>
      <c r="D854" s="1">
        <f>+D309</f>
        <v>24</v>
      </c>
      <c r="E854" s="55">
        <f>SUM(B854:D854)</f>
        <v>85</v>
      </c>
      <c r="F854" s="1">
        <f>+F309</f>
        <v>69</v>
      </c>
      <c r="G854" s="1">
        <f>+G309</f>
        <v>187</v>
      </c>
      <c r="H854" s="1">
        <f>+H309</f>
        <v>137</v>
      </c>
      <c r="I854" s="55">
        <f>SUM(F854:H854)</f>
        <v>393</v>
      </c>
      <c r="J854" s="1">
        <f>+J309</f>
        <v>67</v>
      </c>
      <c r="K854" s="1">
        <f>+K309</f>
        <v>48</v>
      </c>
      <c r="L854" s="1">
        <f>+L309</f>
        <v>86</v>
      </c>
      <c r="M854" s="55">
        <f>SUM(J854:L854)</f>
        <v>201</v>
      </c>
      <c r="N854" s="1">
        <f>+N309</f>
        <v>28</v>
      </c>
      <c r="O854" s="1">
        <f>+O309</f>
        <v>65</v>
      </c>
      <c r="P854" s="1">
        <f>+P309</f>
        <v>34</v>
      </c>
      <c r="Q854" s="55">
        <f t="shared" si="276"/>
        <v>127</v>
      </c>
      <c r="R854" s="55">
        <f>+E854+I854+M854+Q854</f>
        <v>806</v>
      </c>
    </row>
    <row r="855" spans="1:20" ht="15.75" customHeight="1" thickBot="1" x14ac:dyDescent="0.35">
      <c r="A855" s="15" t="s">
        <v>53</v>
      </c>
      <c r="B855" s="1">
        <f>+B88+B508+B550+B604+B667+B706+B762+B801</f>
        <v>0</v>
      </c>
      <c r="C855" s="1">
        <f>+C88+C508+C550+C604+C667+C706+C762+C801</f>
        <v>0</v>
      </c>
      <c r="D855" s="1">
        <f>+D88+D508+D550+D604+D667+D706+D762+D801</f>
        <v>0</v>
      </c>
      <c r="E855" s="55">
        <f t="shared" si="273"/>
        <v>0</v>
      </c>
      <c r="F855" s="1">
        <f>+F88+F508+F550+F604+F667+F706+F762+F801</f>
        <v>0</v>
      </c>
      <c r="G855" s="1">
        <f>+G88+G508+G550+G604+G667+G706+G762+G801</f>
        <v>0</v>
      </c>
      <c r="H855" s="1">
        <f>+H88+H508+H550+H604+H667+H706+H762+H801</f>
        <v>0</v>
      </c>
      <c r="I855" s="55">
        <f t="shared" si="274"/>
        <v>0</v>
      </c>
      <c r="J855" s="1">
        <f>+J88+J508+J550+J604+J667+J706+J762+J801</f>
        <v>0</v>
      </c>
      <c r="K855" s="1">
        <f>+K88+K508+K550+K604+K667+K706+K762+K801</f>
        <v>0</v>
      </c>
      <c r="L855" s="1">
        <f>+L88+L508+L550+L604+L667+L706+L762+L801</f>
        <v>0</v>
      </c>
      <c r="M855" s="55">
        <f t="shared" si="275"/>
        <v>0</v>
      </c>
      <c r="N855" s="1">
        <f>+N88+N508+N550+N604+N667+N706+N762+N801</f>
        <v>0</v>
      </c>
      <c r="O855" s="1">
        <f>+O88+O508+O550+O604+O667+O706+O762+O801</f>
        <v>0</v>
      </c>
      <c r="P855" s="1">
        <f>+P88+P508+P550+P604+P667+P706+P762+P801</f>
        <v>0</v>
      </c>
      <c r="Q855" s="55">
        <f t="shared" si="276"/>
        <v>0</v>
      </c>
      <c r="R855" s="55">
        <f t="shared" si="277"/>
        <v>0</v>
      </c>
    </row>
    <row r="856" spans="1:20" ht="16.5" customHeight="1" thickBot="1" x14ac:dyDescent="0.35">
      <c r="A856" s="57" t="s">
        <v>54</v>
      </c>
      <c r="B856" s="86">
        <f>SUM(B849:B855)</f>
        <v>31967</v>
      </c>
      <c r="C856" s="87">
        <f>SUM(C849:C855)</f>
        <v>35377</v>
      </c>
      <c r="D856" s="87">
        <f>SUM(D849:D855)</f>
        <v>40674</v>
      </c>
      <c r="E856" s="59">
        <f t="shared" si="273"/>
        <v>108018</v>
      </c>
      <c r="F856" s="87">
        <f>SUM(F849:F855)</f>
        <v>41877</v>
      </c>
      <c r="G856" s="87">
        <f>SUM(G849:G855)</f>
        <v>57170</v>
      </c>
      <c r="H856" s="87">
        <f>SUM(H849:H855)</f>
        <v>72704</v>
      </c>
      <c r="I856" s="59">
        <f t="shared" si="274"/>
        <v>171751</v>
      </c>
      <c r="J856" s="87">
        <f>SUM(J849:J855)</f>
        <v>68733</v>
      </c>
      <c r="K856" s="87">
        <f>SUM(K849:K855)</f>
        <v>81894</v>
      </c>
      <c r="L856" s="87">
        <f>SUM(L849:L855)</f>
        <v>72853</v>
      </c>
      <c r="M856" s="59">
        <f t="shared" si="275"/>
        <v>223480</v>
      </c>
      <c r="N856" s="87">
        <f>SUM(N849:N855)</f>
        <v>41316</v>
      </c>
      <c r="O856" s="87">
        <f>SUM(O849:O855)</f>
        <v>34475</v>
      </c>
      <c r="P856" s="87">
        <f>SUM(P849:P855)</f>
        <v>37685</v>
      </c>
      <c r="Q856" s="59">
        <f t="shared" si="276"/>
        <v>113476</v>
      </c>
      <c r="R856" s="59">
        <f t="shared" si="277"/>
        <v>616725</v>
      </c>
      <c r="T856" s="4">
        <f>+R856-R853-R852</f>
        <v>582029</v>
      </c>
    </row>
    <row r="857" spans="1:20" ht="15.75" customHeight="1" x14ac:dyDescent="0.3">
      <c r="A857" s="15" t="s">
        <v>55</v>
      </c>
      <c r="B857" s="1"/>
      <c r="C857" s="1"/>
      <c r="D857" s="1"/>
      <c r="E857" s="55" t="s">
        <v>7</v>
      </c>
      <c r="F857" s="1"/>
      <c r="G857" s="1"/>
      <c r="H857" s="1"/>
      <c r="I857" s="55" t="s">
        <v>7</v>
      </c>
      <c r="J857" s="1"/>
      <c r="K857" s="1"/>
      <c r="L857" s="1"/>
      <c r="M857" s="55" t="s">
        <v>7</v>
      </c>
      <c r="N857" s="1"/>
      <c r="O857" s="1"/>
      <c r="P857" s="1"/>
      <c r="Q857" s="55" t="s">
        <v>7</v>
      </c>
      <c r="R857" s="55" t="s">
        <v>7</v>
      </c>
    </row>
    <row r="858" spans="1:20" ht="15.75" customHeight="1" x14ac:dyDescent="0.3">
      <c r="A858" s="15" t="s">
        <v>56</v>
      </c>
      <c r="B858" s="1">
        <f>SUM(B43:B43)+SUM(B211:B211)+SUM(B91:B91)+SUM(B384:B384)</f>
        <v>0</v>
      </c>
      <c r="C858" s="1">
        <f>SUM(C43:C43)+SUM(C211:C211)+SUM(C91:C91)+SUM(C384:C384)</f>
        <v>0</v>
      </c>
      <c r="D858" s="1">
        <f>SUM(D43:D43)+SUM(D211:D211)+SUM(D91:D91)+SUM(D384:D384)</f>
        <v>0</v>
      </c>
      <c r="E858" s="55">
        <f>SUM(B858:D858)</f>
        <v>0</v>
      </c>
      <c r="F858" s="1">
        <f>SUM(F43:F43)+SUM(F211:F211)+SUM(F91:F91)+SUM(F384:F384)</f>
        <v>0</v>
      </c>
      <c r="G858" s="1">
        <f>SUM(G43:G43)+SUM(G211:G211)+SUM(G91:G91)+SUM(G384:G384)</f>
        <v>0</v>
      </c>
      <c r="H858" s="1">
        <f>SUM(H43:H43)+SUM(H211:H211)+SUM(H91:H91)+SUM(H384:H384)</f>
        <v>0</v>
      </c>
      <c r="I858" s="55">
        <f>SUM(F858:H858)</f>
        <v>0</v>
      </c>
      <c r="J858" s="1">
        <f>SUM(J43:J43)+SUM(J211:J211)+SUM(J91:J91)+SUM(J384:J384)</f>
        <v>0</v>
      </c>
      <c r="K858" s="1">
        <f>SUM(K43:K43)+SUM(K211:K211)+SUM(K91:K91)+SUM(K384:K384)</f>
        <v>0</v>
      </c>
      <c r="L858" s="1">
        <f>SUM(L43:L43)+SUM(L211:L211)+SUM(L91:L91)+SUM(L384:L384)</f>
        <v>0</v>
      </c>
      <c r="M858" s="55">
        <f>SUM(J858:L858)</f>
        <v>0</v>
      </c>
      <c r="N858" s="1">
        <f>SUM(N43:N43)+SUM(N211:N211)+SUM(N91:N91)+SUM(N384:N384)</f>
        <v>0</v>
      </c>
      <c r="O858" s="1">
        <f>SUM(O43:O43)+SUM(O211:O211)+SUM(O91:O91)+SUM(O384:O384)</f>
        <v>0</v>
      </c>
      <c r="P858" s="1">
        <f>SUM(P43:P43)+SUM(P211:P211)+SUM(P91:P91)+SUM(P384:P384)</f>
        <v>0</v>
      </c>
      <c r="Q858" s="55">
        <f>SUM(N858:P858)</f>
        <v>0</v>
      </c>
      <c r="R858" s="55">
        <f>+E858+I858+M858+Q858</f>
        <v>0</v>
      </c>
    </row>
    <row r="859" spans="1:20" ht="15.75" customHeight="1" x14ac:dyDescent="0.3">
      <c r="A859" s="315" t="s">
        <v>57</v>
      </c>
      <c r="B859" s="1">
        <f>+SUM(B93:B94)+SUM(B212:B214)+SUM(B385:B394)+B512+SUM(B553:B555)+SUM(B607:B609)+SUM(B670:B670)+B709+B765+SUM(B804:B805)</f>
        <v>5022</v>
      </c>
      <c r="C859" s="1">
        <f>+SUM(C93:C94)+SUM(C212:C214)+SUM(C385:C394)+C512+SUM(C553:C555)+SUM(C607:C609)+SUM(C670:C670)+C709+C765+SUM(C804:C805)</f>
        <v>5022</v>
      </c>
      <c r="D859" s="1">
        <f>+SUM(D93:D94)+SUM(D212:D214)+SUM(D385:D394)+D512+SUM(D553:D555)+SUM(D607:D609)+SUM(D670:D670)+D709+D765+SUM(D804:D805)</f>
        <v>18750</v>
      </c>
      <c r="E859" s="55">
        <f>SUM(B859:D859)</f>
        <v>28794</v>
      </c>
      <c r="F859" s="1">
        <f>+SUM(F93:F94)+SUM(F212:F214)+SUM(F385:F394)+F512+SUM(F553:F555)+SUM(F607:F609)+SUM(F670:F670)+F709+F765+SUM(F804:F805)</f>
        <v>42093</v>
      </c>
      <c r="G859" s="1">
        <f>+SUM(G93:G94)+SUM(G212:G214)+SUM(G385:G394)+G512+SUM(G553:G555)+SUM(G607:G609)+SUM(G670:G670)+G709+G765+SUM(G804:G805)</f>
        <v>44361</v>
      </c>
      <c r="H859" s="1">
        <f>+SUM(H93:H94)+SUM(H212:H214)+SUM(H385:H394)+H512+SUM(H553:H555)+SUM(H607:H609)+SUM(H670:H670)+H709+H765+SUM(H804:H805)</f>
        <v>39913</v>
      </c>
      <c r="I859" s="55">
        <f>SUM(F859:H859)</f>
        <v>126367</v>
      </c>
      <c r="J859" s="1">
        <f>+SUM(J93:J94)+SUM(J212:J214)+SUM(J385:J394)+J512+SUM(J553:J555)+SUM(J607:J609)+SUM(J670:J670)+J709+J765+SUM(J804:J805)</f>
        <v>36677</v>
      </c>
      <c r="K859" s="1">
        <f>+SUM(K93:K94)+SUM(K212:K214)+SUM(K385:K394)+K512+SUM(K553:K555)+SUM(K607:K609)+SUM(K670:K670)+K709+K765+SUM(K804:K805)</f>
        <v>29640</v>
      </c>
      <c r="L859" s="1">
        <f>+SUM(L93:L94)+SUM(L212:L214)+SUM(L385:L394)+L512+SUM(L553:L555)+SUM(L607:L609)+SUM(L670:L670)+L709+L765+SUM(L804:L805)</f>
        <v>12019</v>
      </c>
      <c r="M859" s="55">
        <f>SUM(J859:L859)</f>
        <v>78336</v>
      </c>
      <c r="N859" s="1">
        <f>+SUM(N93:N94)+SUM(N212:N214)+SUM(N385:N394)+N512+SUM(N553:N555)+SUM(N607:N609)+SUM(N670:N670)+N709+N765+SUM(N804:N805)</f>
        <v>589</v>
      </c>
      <c r="O859" s="1">
        <f>+SUM(O93:O94)+SUM(O212:O214)+SUM(O385:O394)+O512+SUM(O553:O555)+SUM(O607:O609)+SUM(O670:O670)+O709+O765+SUM(O804:O805)</f>
        <v>4170</v>
      </c>
      <c r="P859" s="1">
        <f>+SUM(P93:P94)+SUM(P212:P214)+SUM(P385:P394)+P512+SUM(P553:P555)+SUM(P607:P609)+SUM(P670:P670)+P709+P765+SUM(P804:P805)</f>
        <v>4593</v>
      </c>
      <c r="Q859" s="55">
        <f>SUM(N859:P859)</f>
        <v>9352</v>
      </c>
      <c r="R859" s="55">
        <f>+E859+I859+M859+Q859</f>
        <v>242849</v>
      </c>
    </row>
    <row r="860" spans="1:20" ht="15.75" customHeight="1" thickBot="1" x14ac:dyDescent="0.35">
      <c r="A860" s="15" t="s">
        <v>58</v>
      </c>
      <c r="B860" s="1">
        <f>+B95+B513+B556+B610+B671+B710+B766+B806+B395+B215+B45</f>
        <v>0</v>
      </c>
      <c r="C860" s="1">
        <f>+C95+C513+C556+C610+C671+C710+C766+C806+C395+C215+C45</f>
        <v>0</v>
      </c>
      <c r="D860" s="1">
        <f>+D95+D513+D556+D610+D671+D710+D766+D806+D395+D215+D45</f>
        <v>0</v>
      </c>
      <c r="E860" s="55">
        <f>SUM(B860:D860)</f>
        <v>0</v>
      </c>
      <c r="F860" s="1">
        <f>+F95+F513+F556+F610+F671+F710+F766+F806+F395+F215+F45</f>
        <v>0</v>
      </c>
      <c r="G860" s="1">
        <f>+G95+G513+G556+G610+G671+G710+G766+G806+G395+G215+G45</f>
        <v>0</v>
      </c>
      <c r="H860" s="1">
        <f>+H95+H513+H556+H610+H671+H710+H766+H806+H395+H215+H45</f>
        <v>0</v>
      </c>
      <c r="I860" s="55">
        <f>SUM(F860:H860)</f>
        <v>0</v>
      </c>
      <c r="J860" s="1">
        <f>+J95+J513+J556+J610+J671+J710+J766+J806+J395+J215+J45</f>
        <v>0</v>
      </c>
      <c r="K860" s="1">
        <f>+K95+K513+K556+K610+K671+K710+K766+K806+K395+K215+K45</f>
        <v>0</v>
      </c>
      <c r="L860" s="1">
        <f>+L95+L513+L556+L610+L671+L710+L766+L806+L395+L215+L45</f>
        <v>0</v>
      </c>
      <c r="M860" s="55">
        <f>SUM(J860:L860)</f>
        <v>0</v>
      </c>
      <c r="N860" s="1">
        <f>+N95+N513+N556+N610+N671+N710+N766+N806+N395+N215+N45</f>
        <v>0</v>
      </c>
      <c r="O860" s="1">
        <f>+O95+O513+O556+O610+O671+O710+O766+O806+O395+O215+O45</f>
        <v>0</v>
      </c>
      <c r="P860" s="1">
        <f>+P95+P513+P556+P610+P671+P710+P766+P806+P395+P215+P45</f>
        <v>0</v>
      </c>
      <c r="Q860" s="55">
        <f>SUM(N860:P860)</f>
        <v>0</v>
      </c>
      <c r="R860" s="55">
        <f>+E860+I860+M860+Q860</f>
        <v>0</v>
      </c>
    </row>
    <row r="861" spans="1:20" ht="16.5" customHeight="1" thickBot="1" x14ac:dyDescent="0.35">
      <c r="A861" s="57" t="s">
        <v>59</v>
      </c>
      <c r="B861" s="86">
        <f>SUM(B857:B860)</f>
        <v>5022</v>
      </c>
      <c r="C861" s="87">
        <f>SUM(C857:C860)</f>
        <v>5022</v>
      </c>
      <c r="D861" s="87">
        <f>SUM(D857:D860)</f>
        <v>18750</v>
      </c>
      <c r="E861" s="59">
        <f>SUM(B861:D861)</f>
        <v>28794</v>
      </c>
      <c r="F861" s="87">
        <f>SUM(F857:F860)</f>
        <v>42093</v>
      </c>
      <c r="G861" s="87">
        <f>SUM(G857:G860)</f>
        <v>44361</v>
      </c>
      <c r="H861" s="87">
        <f>SUM(H857:H860)</f>
        <v>39913</v>
      </c>
      <c r="I861" s="59">
        <f>SUM(F861:H861)</f>
        <v>126367</v>
      </c>
      <c r="J861" s="87">
        <f>SUM(J857:J860)</f>
        <v>36677</v>
      </c>
      <c r="K861" s="87">
        <f>SUM(K857:K860)</f>
        <v>29640</v>
      </c>
      <c r="L861" s="87">
        <f>SUM(L857:L860)</f>
        <v>12019</v>
      </c>
      <c r="M861" s="59">
        <f>SUM(J861:L861)</f>
        <v>78336</v>
      </c>
      <c r="N861" s="87">
        <f>SUM(N857:N860)</f>
        <v>589</v>
      </c>
      <c r="O861" s="87">
        <f>SUM(O857:O860)</f>
        <v>4170</v>
      </c>
      <c r="P861" s="87">
        <f>SUM(P857:P860)</f>
        <v>4593</v>
      </c>
      <c r="Q861" s="59">
        <f>SUM(N861:P861)</f>
        <v>9352</v>
      </c>
      <c r="R861" s="59">
        <f>+E861+I861+M861+Q861</f>
        <v>242849</v>
      </c>
    </row>
    <row r="862" spans="1:20" ht="15.75" customHeight="1" x14ac:dyDescent="0.3">
      <c r="A862" s="15" t="s">
        <v>60</v>
      </c>
      <c r="B862" s="1"/>
      <c r="C862" s="1"/>
      <c r="D862" s="1"/>
      <c r="E862" s="55" t="s">
        <v>7</v>
      </c>
      <c r="F862" s="1"/>
      <c r="G862" s="1"/>
      <c r="H862" s="1"/>
      <c r="I862" s="55" t="s">
        <v>7</v>
      </c>
      <c r="J862" s="1"/>
      <c r="K862" s="1"/>
      <c r="L862" s="1"/>
      <c r="M862" s="55" t="s">
        <v>7</v>
      </c>
      <c r="N862" s="1"/>
      <c r="O862" s="1"/>
      <c r="P862" s="1"/>
      <c r="Q862" s="55" t="s">
        <v>7</v>
      </c>
      <c r="R862" s="55" t="s">
        <v>7</v>
      </c>
    </row>
    <row r="863" spans="1:20" ht="15.75" customHeight="1" x14ac:dyDescent="0.3">
      <c r="A863" s="315" t="s">
        <v>61</v>
      </c>
      <c r="B863" s="1">
        <f>+B48+B98+B218+SUM(B398:B400)+B516+B559+B613+B674+SUM(B713:B714)+B769+SUM(B809:B811)</f>
        <v>3619</v>
      </c>
      <c r="C863" s="1">
        <f>+C48+C98+C218+SUM(C398:C400)+C516+C559+C613+C674+SUM(C713:C714)+C769+SUM(C809:C811)</f>
        <v>4002</v>
      </c>
      <c r="D863" s="1">
        <f>+D48+D98+D218+SUM(D398:D400)+D516+D559+D613+D674+SUM(D713:D714)+D769+SUM(D809:D811)</f>
        <v>9487</v>
      </c>
      <c r="E863" s="55">
        <f>SUM(B863:D863)</f>
        <v>17108</v>
      </c>
      <c r="F863" s="1">
        <f>+F48+F98+F218+SUM(F398:F400)+F516+F559+F613+F674+SUM(F713:F714)+F769+SUM(F809:F811)</f>
        <v>12834</v>
      </c>
      <c r="G863" s="1">
        <f>+G48+G98+G218+SUM(G398:G400)+G516+G559+G613+G674+SUM(G713:G714)+G769+SUM(G809:G811)</f>
        <v>18057</v>
      </c>
      <c r="H863" s="1">
        <f>+H48+H98+H218+SUM(H398:H400)+H516+H559+H613+H674+SUM(H713:H714)+H769+SUM(H809:H811)</f>
        <v>20511</v>
      </c>
      <c r="I863" s="55">
        <f>SUM(F863:H863)</f>
        <v>51402</v>
      </c>
      <c r="J863" s="1">
        <f>+J48+J98+J218+SUM(J398:J400)+J516+J559+J613+J674+SUM(J713:J714)+J769+SUM(J809:J811)</f>
        <v>24886</v>
      </c>
      <c r="K863" s="1">
        <f>+K48+K98+K218+SUM(K398:K400)+K516+K559+K613+K674+SUM(K713:K714)+K769+SUM(K809:K811)</f>
        <v>20298</v>
      </c>
      <c r="L863" s="1">
        <f>+L48+L98+L218+SUM(L398:L400)+L516+L559+L613+L674+SUM(L713:L714)+L769+SUM(L809:L811)</f>
        <v>15590</v>
      </c>
      <c r="M863" s="55">
        <f>SUM(J863:L863)</f>
        <v>60774</v>
      </c>
      <c r="N863" s="1">
        <f>+N48+N98+N218+SUM(N398:N400)+N516+N559+N613+N674+SUM(N713:N714)+N769+SUM(N809:N811)</f>
        <v>2505</v>
      </c>
      <c r="O863" s="1">
        <f>+O48+O98+O218+SUM(O398:O400)+O516+O559+O613+O674+SUM(O713:O714)+O769+SUM(O809:O811)</f>
        <v>6480</v>
      </c>
      <c r="P863" s="1">
        <f>+P48+P98+P218+SUM(P398:P400)+P516+P559+P613+P674+SUM(P713:P714)+P769+SUM(P809:P811)</f>
        <v>4907</v>
      </c>
      <c r="Q863" s="55">
        <f>SUM(N863:P863)</f>
        <v>13892</v>
      </c>
      <c r="R863" s="55">
        <f>+E863+I863+M863+Q863</f>
        <v>143176</v>
      </c>
    </row>
    <row r="864" spans="1:20" ht="15.75" customHeight="1" thickBot="1" x14ac:dyDescent="0.35">
      <c r="A864" s="315" t="s">
        <v>62</v>
      </c>
      <c r="B864" s="1">
        <f>+B49+SUM(B99:B106)+SUM(B219:B283)+SUM(B401:B450)+SUM(B517:B519)+SUM(B560:B561)+SUM(B614:B619)+B675+SUM(B715:B723)+B770+SUM(B812:B816)</f>
        <v>9707</v>
      </c>
      <c r="C864" s="1">
        <f>+C49+SUM(C99:C106)+SUM(C219:C283)+SUM(C401:C450)+SUM(C517:C519)+SUM(C560:C561)+SUM(C614:C619)+C675+SUM(C715:C723)+C770+SUM(C812:C816)</f>
        <v>19637</v>
      </c>
      <c r="D864" s="1">
        <f>+D49+SUM(D99:D106)+SUM(D219:D283)+SUM(D401:D450)+SUM(D517:D519)+SUM(D560:D561)+SUM(D614:D619)+D675+SUM(D715:D723)+D770+SUM(D812:D816)</f>
        <v>34501</v>
      </c>
      <c r="E864" s="55">
        <f>SUM(B864:D864)</f>
        <v>63845</v>
      </c>
      <c r="F864" s="1">
        <f>+F49+SUM(F99:F106)+SUM(F219:F283)+SUM(F401:F450)+SUM(F517:F519)+SUM(F560:F561)+SUM(F614:F619)+F675+SUM(F715:F723)+F770+SUM(F812:F816)</f>
        <v>59011</v>
      </c>
      <c r="G864" s="1">
        <f>+G49+SUM(G99:G106)+SUM(G219:G283)+SUM(G401:G450)+SUM(G517:G519)+SUM(G560:G561)+SUM(G614:G619)+G675+SUM(G715:G723)+G770+SUM(G812:G816)</f>
        <v>46917</v>
      </c>
      <c r="H864" s="1">
        <f>+H49+SUM(H99:H106)+SUM(H219:H283)+SUM(H401:H450)+SUM(H517:H519)+SUM(H560:H561)+SUM(H614:H619)+H675+SUM(H715:H723)+H770+SUM(H812:H816)</f>
        <v>58268</v>
      </c>
      <c r="I864" s="55">
        <f>SUM(F864:H864)</f>
        <v>164196</v>
      </c>
      <c r="J864" s="1">
        <f>+J49+SUM(J99:J106)+SUM(J219:J283)+SUM(J401:J450)+SUM(J517:J519)+SUM(J560:J561)+SUM(J614:J619)+J675+SUM(J715:J723)+J770+SUM(J812:J816)</f>
        <v>65931</v>
      </c>
      <c r="K864" s="1">
        <f>+K49+SUM(K99:K106)+SUM(K219:K283)+SUM(K401:K450)+SUM(K517:K519)+SUM(K560:K561)+SUM(K614:K619)+K675+SUM(K715:K723)+K770+SUM(K812:K816)</f>
        <v>38785</v>
      </c>
      <c r="L864" s="1">
        <f>+L49+SUM(L99:L106)+SUM(L219:L283)+SUM(L401:L450)+SUM(L517:L519)+SUM(L560:L561)+SUM(L614:L619)+L675+SUM(L715:L723)+L770+SUM(L812:L816)</f>
        <v>31242</v>
      </c>
      <c r="M864" s="55">
        <f>SUM(J864:L864)</f>
        <v>135958</v>
      </c>
      <c r="N864" s="1">
        <f>+N49+SUM(N99:N106)+SUM(N219:N283)+SUM(N401:N450)+SUM(N517:N519)+SUM(N560:N561)+SUM(N614:N619)+N675+SUM(N715:N723)+N770+SUM(N812:N816)</f>
        <v>18879</v>
      </c>
      <c r="O864" s="1">
        <f>+O49+SUM(O99:O106)+SUM(O219:O283)+SUM(O401:O450)+SUM(O517:O519)+SUM(O560:O561)+SUM(O614:O619)+O675+SUM(O715:O723)+O770+SUM(O812:O816)</f>
        <v>24965</v>
      </c>
      <c r="P864" s="1">
        <f>+P49+SUM(P99:P106)+SUM(P219:P283)+SUM(P401:P450)+SUM(P517:P519)+SUM(P560:P561)+SUM(P614:P619)+P675+SUM(P715:P723)+P770+SUM(P812:P816)</f>
        <v>12137</v>
      </c>
      <c r="Q864" s="55">
        <f>SUM(N864:P864)</f>
        <v>55981</v>
      </c>
      <c r="R864" s="55">
        <f>+E864+I864+M864+Q864</f>
        <v>419980</v>
      </c>
    </row>
    <row r="865" spans="1:20" ht="16.5" customHeight="1" thickBot="1" x14ac:dyDescent="0.35">
      <c r="A865" s="57" t="s">
        <v>63</v>
      </c>
      <c r="B865" s="86">
        <f>SUM(B862:B864)</f>
        <v>13326</v>
      </c>
      <c r="C865" s="87">
        <f>SUM(C862:C864)</f>
        <v>23639</v>
      </c>
      <c r="D865" s="118">
        <f>SUM(D862:D864)</f>
        <v>43988</v>
      </c>
      <c r="E865" s="59">
        <f>SUM(B865:D865)</f>
        <v>80953</v>
      </c>
      <c r="F865" s="87">
        <f>SUM(F862:F864)</f>
        <v>71845</v>
      </c>
      <c r="G865" s="87">
        <f>SUM(G862:G864)</f>
        <v>64974</v>
      </c>
      <c r="H865" s="87">
        <f>SUM(H862:H864)</f>
        <v>78779</v>
      </c>
      <c r="I865" s="59">
        <f>SUM(F865:H865)</f>
        <v>215598</v>
      </c>
      <c r="J865" s="87">
        <f>SUM(J862:J864)</f>
        <v>90817</v>
      </c>
      <c r="K865" s="87">
        <f>SUM(K862:K864)</f>
        <v>59083</v>
      </c>
      <c r="L865" s="87">
        <f>SUM(L862:L864)</f>
        <v>46832</v>
      </c>
      <c r="M865" s="59">
        <f>SUM(J865:L865)</f>
        <v>196732</v>
      </c>
      <c r="N865" s="87">
        <f>SUM(N862:N864)</f>
        <v>21384</v>
      </c>
      <c r="O865" s="87">
        <f>SUM(O862:O864)</f>
        <v>31445</v>
      </c>
      <c r="P865" s="87">
        <f>SUM(P862:P864)</f>
        <v>17044</v>
      </c>
      <c r="Q865" s="59">
        <f>SUM(N865:P865)</f>
        <v>69873</v>
      </c>
      <c r="R865" s="59">
        <f>+E865+I865+M865+Q865</f>
        <v>563156</v>
      </c>
      <c r="T865" s="4">
        <v>1600000</v>
      </c>
    </row>
    <row r="866" spans="1:20" ht="20.25" customHeight="1" x14ac:dyDescent="0.3">
      <c r="A866" s="15" t="s">
        <v>1018</v>
      </c>
      <c r="B866" s="1"/>
      <c r="C866" s="1"/>
      <c r="D866" s="1"/>
      <c r="E866" s="55" t="s">
        <v>7</v>
      </c>
      <c r="F866" s="1"/>
      <c r="G866" s="1"/>
      <c r="H866" s="1"/>
      <c r="I866" s="55" t="s">
        <v>7</v>
      </c>
      <c r="J866" s="1"/>
      <c r="K866" s="1"/>
      <c r="L866" s="1"/>
      <c r="M866" s="55" t="s">
        <v>7</v>
      </c>
      <c r="N866" s="1"/>
      <c r="O866" s="1"/>
      <c r="P866" s="1"/>
      <c r="Q866" s="55" t="s">
        <v>7</v>
      </c>
      <c r="R866" s="55" t="s">
        <v>7</v>
      </c>
      <c r="T866" s="4">
        <f>+T865-28000-R850-R851-400000-R863-R864+12000</f>
        <v>39621</v>
      </c>
    </row>
    <row r="867" spans="1:20" ht="15.75" customHeight="1" x14ac:dyDescent="0.3">
      <c r="A867" s="15" t="s">
        <v>1019</v>
      </c>
      <c r="B867" s="1">
        <f>SUM(B52:B52)+SUM(B109:B117)+SUM(B286:B289)+SUM(B453:B454)+SUM(B522:B522)+B564+SUM(B622:B624)+B678+B726+B773+SUM(B819:B821)</f>
        <v>0</v>
      </c>
      <c r="C867" s="1">
        <f>SUM(C52:C52)+SUM(C109:C117)+SUM(C286:C289)+SUM(C453:C454)+SUM(C522:C522)+C564+SUM(C622:C624)+C678+C726+C773+SUM(C819:C821)</f>
        <v>0</v>
      </c>
      <c r="D867" s="1">
        <f>SUM(D52:D52)+SUM(D109:D117)+SUM(D286:D289)+SUM(D453:D454)+SUM(D522:D522)+D564+SUM(D622:D624)+D678+D726+D773+SUM(D819:D821)</f>
        <v>0</v>
      </c>
      <c r="E867" s="55">
        <f t="shared" ref="E867:E875" si="278">SUM(B867:D867)</f>
        <v>0</v>
      </c>
      <c r="F867" s="1">
        <f>SUM(F52:F52)+SUM(F109:F117)+SUM(F286:F289)+SUM(F453:F454)+SUM(F522:F522)+F564+SUM(F622:F624)+F678+F726+F773+SUM(F819:F821)</f>
        <v>0</v>
      </c>
      <c r="G867" s="1">
        <f>SUM(G52:G52)+SUM(G109:G117)+SUM(G286:G289)+SUM(G453:G454)+SUM(G522:G522)+G564+SUM(G622:G624)+G678+G726+G773+SUM(G819:G821)</f>
        <v>0</v>
      </c>
      <c r="H867" s="1">
        <f>SUM(H52:H52)+SUM(H109:H117)+SUM(H286:H289)+SUM(H453:H454)+SUM(H522:H522)+H564+SUM(H622:H624)+H678+H726+H773+SUM(H819:H821)</f>
        <v>0</v>
      </c>
      <c r="I867" s="55">
        <f t="shared" ref="I867:I875" si="279">SUM(F867:H867)</f>
        <v>0</v>
      </c>
      <c r="J867" s="1">
        <f>SUM(J52:J52)+SUM(J109:J117)+SUM(J286:J289)+SUM(J453:J454)+SUM(J522:J522)+J564+SUM(J622:J624)+J678+J726+J773+SUM(J819:J821)</f>
        <v>0</v>
      </c>
      <c r="K867" s="1">
        <f>SUM(K52:K52)+SUM(K109:K117)+SUM(K286:K289)+SUM(K453:K454)+SUM(K522:K522)+K564+SUM(K622:K624)+K678+K726+K773+SUM(K819:K821)</f>
        <v>0</v>
      </c>
      <c r="L867" s="1">
        <f>SUM(L52:L52)+SUM(L109:L117)+SUM(L286:L289)+SUM(L453:L454)+SUM(L522:L522)+L564+SUM(L622:L624)+L678+L726+L773+SUM(L819:L821)</f>
        <v>0</v>
      </c>
      <c r="M867" s="55">
        <f t="shared" ref="M867:M875" si="280">SUM(J867:L867)</f>
        <v>0</v>
      </c>
      <c r="N867" s="1">
        <f>SUM(N52:N52)+SUM(N109:N117)+SUM(N286:N289)+SUM(N453:N454)+SUM(N522:N522)+N564+SUM(N622:N624)+N678+N726+N773+SUM(N819:N821)</f>
        <v>0</v>
      </c>
      <c r="O867" s="1">
        <f>SUM(O52:O52)+SUM(O109:O117)+SUM(O286:O289)+SUM(O453:O454)+SUM(O522:O522)+O564+SUM(O622:O624)+O678+O726+O773+SUM(O819:O821)</f>
        <v>0</v>
      </c>
      <c r="P867" s="1">
        <f>SUM(P52:P52)+SUM(P109:P117)+SUM(P286:P289)+SUM(P453:P454)+SUM(P522:P522)+P564+SUM(P622:P624)+P678+P726+P773+SUM(P819:P821)</f>
        <v>0</v>
      </c>
      <c r="Q867" s="55">
        <f t="shared" ref="Q867:Q875" si="281">SUM(N867:P867)</f>
        <v>0</v>
      </c>
      <c r="R867" s="55">
        <f>+E867+I867+M867+Q867</f>
        <v>0</v>
      </c>
    </row>
    <row r="868" spans="1:20" ht="15.75" customHeight="1" x14ac:dyDescent="0.3">
      <c r="A868" s="15" t="s">
        <v>67</v>
      </c>
      <c r="B868" s="1">
        <f>SUM(B53:B54)+SUM(B118:B119)+SUM(B290:B291)+B293+B295+B297+B298+SUM(B455:B457)+B523+B565+SUM(B625:B626)+B628+SUM(B679:B680)+B728+B730+B774+SUM(B822:B823)</f>
        <v>1335</v>
      </c>
      <c r="C868" s="1">
        <f>SUM(C53:C54)+SUM(C118:C119)+SUM(C290:C291)+C293+C295+C297+C298+SUM(C455:C457)+C523+C565+SUM(C625:C626)+C628+SUM(C679:C680)+C728+C730+C774+SUM(C822:C823)</f>
        <v>4067</v>
      </c>
      <c r="D868" s="1">
        <f>SUM(D53:D54)+SUM(D118:D119)+SUM(D290:D291)+D293+D295+D297+D298+SUM(D455:D457)+D523+D565+SUM(D625:D626)+D628+SUM(D679:D680)+D728+D730+D774+SUM(D822:D823)</f>
        <v>3052</v>
      </c>
      <c r="E868" s="55">
        <f t="shared" si="278"/>
        <v>8454</v>
      </c>
      <c r="F868" s="1">
        <f>SUM(F53:F54)+SUM(F118:F119)+SUM(F290:F291)+F293+F295+F297+F298+SUM(F455:F457)+F523+F565+SUM(F625:F626)+F628+SUM(F679:F680)+F728+F730+F774+SUM(F822:F823)</f>
        <v>2616</v>
      </c>
      <c r="G868" s="1">
        <f>SUM(G53:G54)+SUM(G118:G119)+SUM(G290:G291)+G293+G295+G297+G298+SUM(G455:G457)+G523+G565+SUM(G625:G626)+G628+SUM(G679:G680)+G728+G730+G774+SUM(G822:G823)</f>
        <v>1717</v>
      </c>
      <c r="H868" s="1">
        <f>SUM(H53:H54)+SUM(H118:H119)+SUM(H290:H291)+H293+H295+H297+H298+SUM(H455:H457)+H523+H565+SUM(H625:H626)+H628+SUM(H679:H680)+H728+H730+H774+SUM(H822:H823)</f>
        <v>0</v>
      </c>
      <c r="I868" s="55">
        <f t="shared" si="279"/>
        <v>4333</v>
      </c>
      <c r="J868" s="1">
        <f>SUM(J53:J54)+SUM(J118:J119)+SUM(J290:J291)+J293+J295+J297+J298+SUM(J455:J457)+J523+J565+SUM(J625:J626)+J628+SUM(J679:J680)+J728+J730+J774+SUM(J822:J823)</f>
        <v>0</v>
      </c>
      <c r="K868" s="1">
        <f>SUM(K53:K54)+SUM(K118:K119)+SUM(K290:K291)+K293+K295+K297+K298+SUM(K455:K457)+K523+K565+SUM(K625:K626)+K628+SUM(K679:K680)+K728+K730+K774+SUM(K822:K823)</f>
        <v>0</v>
      </c>
      <c r="L868" s="1">
        <f>SUM(L53:L54)+SUM(L118:L119)+SUM(L290:L291)+L293+L295+L297+L298+SUM(L455:L457)+L523+L565+SUM(L625:L626)+L628+SUM(L679:L680)+L728+L730+L774+SUM(L822:L823)</f>
        <v>2691</v>
      </c>
      <c r="M868" s="55">
        <f t="shared" si="280"/>
        <v>2691</v>
      </c>
      <c r="N868" s="1">
        <f>SUM(N53:N54)+SUM(N118:N119)+SUM(N290:N291)+N293+N295+N297+N298+SUM(N455:N457)+N523+N565+SUM(N625:N626)+N628+SUM(N679:N680)+N728+N730+N774+SUM(N822:N823)</f>
        <v>8915</v>
      </c>
      <c r="O868" s="1">
        <f>SUM(O53:O54)+SUM(O118:O119)+SUM(O290:O291)+O293+O295+O297+O298+SUM(O455:O457)+O523+O565+SUM(O625:O626)+O628+SUM(O679:O680)+O728+O730+O774+SUM(O822:O823)</f>
        <v>0</v>
      </c>
      <c r="P868" s="1">
        <f>SUM(P53:P54)+SUM(P118:P119)+SUM(P290:P291)+P293+P295+P297+P298+SUM(P455:P457)+P523+P565+SUM(P625:P626)+P628+SUM(P679:P680)+P728+P730+P774+SUM(P822:P823)</f>
        <v>267</v>
      </c>
      <c r="Q868" s="55">
        <f t="shared" si="281"/>
        <v>9182</v>
      </c>
      <c r="R868" s="55">
        <f t="shared" ref="R868:R875" si="282">+E868+I868+M868+Q868</f>
        <v>24660</v>
      </c>
    </row>
    <row r="869" spans="1:20" ht="17.399999999999999" x14ac:dyDescent="0.3">
      <c r="A869" s="71" t="s">
        <v>1341</v>
      </c>
      <c r="B869" s="1">
        <f>B120+B292+B294+B296+B627+B629+B729+B731+B824</f>
        <v>0</v>
      </c>
      <c r="C869" s="1">
        <f>C120+C292+C294+C296+C627+C629+C729+C731+C824</f>
        <v>0</v>
      </c>
      <c r="D869" s="1">
        <f>D120+D292+D294+D296+D627+D629+D729+D731+D824</f>
        <v>0</v>
      </c>
      <c r="E869" s="55">
        <f t="shared" si="278"/>
        <v>0</v>
      </c>
      <c r="F869" s="1">
        <f>F120+F292+F294+F296+F627+F629+F729+F731+F824</f>
        <v>0</v>
      </c>
      <c r="G869" s="1">
        <f>G120+G292+G294+G296+G627+G629+G729+G731+G824</f>
        <v>0</v>
      </c>
      <c r="H869" s="1">
        <f>H120+H292+H294+H296+H627+H629+H729+H731+H824</f>
        <v>0</v>
      </c>
      <c r="I869" s="55">
        <f t="shared" si="279"/>
        <v>0</v>
      </c>
      <c r="J869" s="1">
        <f>J120+J292+J294+J296+J627+J629+J729+J731+J824</f>
        <v>1271</v>
      </c>
      <c r="K869" s="1">
        <f>K120+K292+K294+K296+K627+K629+K729+K731+K824</f>
        <v>0</v>
      </c>
      <c r="L869" s="1">
        <f>L120+L292+L294+L296+L627+L629+L729+L731+L824</f>
        <v>652</v>
      </c>
      <c r="M869" s="55">
        <f t="shared" si="280"/>
        <v>1923</v>
      </c>
      <c r="N869" s="1">
        <f>N120+N292+N294+N296+N627+N629+N729+N731+N824</f>
        <v>924</v>
      </c>
      <c r="O869" s="1">
        <f>O120+O292+O294+O296+O627+O629+O729+O731+O824</f>
        <v>494</v>
      </c>
      <c r="P869" s="1">
        <f>P120+P292+P294+P296+P627+P629+P729+P731+P824</f>
        <v>300</v>
      </c>
      <c r="Q869" s="55">
        <f t="shared" si="281"/>
        <v>1718</v>
      </c>
      <c r="R869" s="55">
        <f t="shared" si="282"/>
        <v>3641</v>
      </c>
    </row>
    <row r="870" spans="1:20" ht="15.75" customHeight="1" x14ac:dyDescent="0.3">
      <c r="A870" s="15" t="s">
        <v>1020</v>
      </c>
      <c r="B870" s="1">
        <f>+B55+SUM(B121:B122)+SUM(B299:B300)+SUM(B458:B464)+SUM(B524:B524)+SUM(B566:B567)+SUM(B630:B632)+B681+B732+B825+B825+B775</f>
        <v>0</v>
      </c>
      <c r="C870" s="1">
        <f>+C55+SUM(C121:C122)+SUM(C299:C300)+SUM(C458:C464)+SUM(C524:C524)+SUM(C566:C567)+SUM(C630:C632)+C681+C732+C825+C825+C775</f>
        <v>0</v>
      </c>
      <c r="D870" s="1">
        <f>+D55+SUM(D121:D122)+SUM(D299:D300)+SUM(D458:D464)+SUM(D524:D524)+SUM(D566:D567)+SUM(D630:D632)+D681+D732+D825+D825+D775</f>
        <v>0</v>
      </c>
      <c r="E870" s="55">
        <f t="shared" si="278"/>
        <v>0</v>
      </c>
      <c r="F870" s="1">
        <f>+F55+SUM(F121:F122)+SUM(F299:F300)+SUM(F458:F464)+SUM(F524:F524)+SUM(F566:F567)+SUM(F630:F632)+F681+F732+F825+F825+F775</f>
        <v>0</v>
      </c>
      <c r="G870" s="1">
        <f>+G55+SUM(G121:G122)+SUM(G299:G300)+SUM(G458:G464)+SUM(G524:G524)+SUM(G566:G567)+SUM(G630:G632)+G681+G732+G825+G825+G775</f>
        <v>2500</v>
      </c>
      <c r="H870" s="1">
        <f>+H55+SUM(H121:H122)+SUM(H299:H300)+SUM(H458:H464)+SUM(H524:H524)+SUM(H566:H567)+SUM(H630:H632)+H681+H732+H825+H825+H775</f>
        <v>500</v>
      </c>
      <c r="I870" s="55">
        <f t="shared" si="279"/>
        <v>3000</v>
      </c>
      <c r="J870" s="1">
        <f>+J55+SUM(J121:J122)+SUM(J299:J300)+SUM(J458:J464)+SUM(J524:J524)+SUM(J566:J567)+SUM(J630:J632)+J681+J732+J825+J825+J775</f>
        <v>0</v>
      </c>
      <c r="K870" s="1">
        <f>+K55+SUM(K121:K122)+SUM(K299:K300)+SUM(K458:K464)+SUM(K524:K524)+SUM(K566:K567)+SUM(K630:K632)+K681+K732+K825+K825+K775</f>
        <v>1000</v>
      </c>
      <c r="L870" s="1">
        <f>+L55+SUM(L121:L122)+SUM(L299:L300)+SUM(L458:L464)+SUM(L524:L524)+SUM(L566:L567)+SUM(L630:L632)+L681+L732+L825+L825+L775</f>
        <v>0</v>
      </c>
      <c r="M870" s="55">
        <f t="shared" si="280"/>
        <v>1000</v>
      </c>
      <c r="N870" s="1">
        <f>+N55+SUM(N121:N122)+SUM(N299:N300)+SUM(N458:N464)+SUM(N524:N524)+SUM(N566:N567)+SUM(N630:N632)+N681+N732+N825+N825+N775</f>
        <v>227</v>
      </c>
      <c r="O870" s="1">
        <f>+O55+SUM(O121:O122)+SUM(O299:O300)+SUM(O458:O464)+SUM(O524:O524)+SUM(O566:O567)+SUM(O630:O632)+O681+O732+O825+O825+O775</f>
        <v>685</v>
      </c>
      <c r="P870" s="1">
        <f>+P55+SUM(P121:P122)+SUM(P299:P300)+SUM(P458:P464)+SUM(P524:P524)+SUM(P566:P567)+SUM(P630:P632)+P681+P732+P825+P825+P775</f>
        <v>88</v>
      </c>
      <c r="Q870" s="55">
        <f t="shared" si="281"/>
        <v>1000</v>
      </c>
      <c r="R870" s="55">
        <f>+E870+I870+M870+Q870</f>
        <v>5000</v>
      </c>
    </row>
    <row r="871" spans="1:20" ht="22.5" customHeight="1" x14ac:dyDescent="0.3">
      <c r="A871" s="15" t="s">
        <v>70</v>
      </c>
      <c r="B871" s="1">
        <f>SUM(B125:B125)+SUM(B301:B302)+B466+B469+B470+B472+B475+SUM(B525:B526)+B569+B572+B633+B634+B636+B682+B733+B776+B826</f>
        <v>0</v>
      </c>
      <c r="C871" s="1">
        <f>SUM(C125:C125)+SUM(C301:C302)+C466+C469+C470+C472+C475+SUM(C525:C526)+C569+C572+C633+C634+C636+C682+C733+C776+C826</f>
        <v>0</v>
      </c>
      <c r="D871" s="1">
        <f>SUM(D125:D125)+SUM(D301:D302)+D466+D469+D470+D472+D475+SUM(D525:D526)+D569+D572+D633+D634+D636+D682+D733+D776+D826</f>
        <v>510</v>
      </c>
      <c r="E871" s="55">
        <f t="shared" si="278"/>
        <v>510</v>
      </c>
      <c r="F871" s="1">
        <f>SUM(F125:F125)+SUM(F301:F302)+F466+F469+F470+F472+F475+SUM(F525:F526)+F569+F572+F633+F634+F636+F682+F733+F776+F826</f>
        <v>610</v>
      </c>
      <c r="G871" s="1">
        <f>SUM(G125:G125)+SUM(G301:G302)+G466+G469+G470+G472+G475+SUM(G525:G526)+G569+G572+G633+G634+G636+G682+G733+G776+G826</f>
        <v>1246</v>
      </c>
      <c r="H871" s="1">
        <f>SUM(H125:H125)+SUM(H301:H302)+H466+H469+H470+H472+H475+SUM(H525:H526)+H569+H572+H633+H634+H636+H682+H733+H776+H826</f>
        <v>3034</v>
      </c>
      <c r="I871" s="55">
        <f t="shared" si="279"/>
        <v>4890</v>
      </c>
      <c r="J871" s="1">
        <f>SUM(J125:J125)+SUM(J301:J302)+J466+J469+J470+J472+J475+SUM(J525:J526)+J569+J572+J633+J634+J636+J682+J733+J776+J826</f>
        <v>1000</v>
      </c>
      <c r="K871" s="1">
        <f>SUM(K125:K125)+SUM(K301:K302)+K466+K469+K470+K472+K475+SUM(K525:K526)+K569+K572+K633+K634+K636+K682+K733+K776+K826</f>
        <v>302</v>
      </c>
      <c r="L871" s="1">
        <f>SUM(L125:L125)+SUM(L301:L302)+L466+L469+L470+L472+L475+SUM(L525:L526)+L569+L572+L633+L634+L636+L682+L733+L776+L826</f>
        <v>2761</v>
      </c>
      <c r="M871" s="55">
        <f t="shared" si="280"/>
        <v>4063</v>
      </c>
      <c r="N871" s="1">
        <f>SUM(N125:N125)+SUM(N301:N302)+N466+N469+N470+N472+N475+SUM(N525:N526)+N569+N572+N633+N634+N636+N682+N733+N776+N826</f>
        <v>1624</v>
      </c>
      <c r="O871" s="1">
        <f>SUM(O125:O125)+SUM(O301:O302)+O466+O469+O470+O472+O475+SUM(O525:O526)+O569+O572+O633+O634+O636+O682+O733+O776+O826</f>
        <v>1657</v>
      </c>
      <c r="P871" s="1">
        <f>SUM(P125:P125)+SUM(P301:P302)+P466+P469+P470+P472+P475+SUM(P525:P526)+P569+P572+P633+P634+P636+P682+P733+P776+P826</f>
        <v>596</v>
      </c>
      <c r="Q871" s="55">
        <f t="shared" si="281"/>
        <v>3877</v>
      </c>
      <c r="R871" s="55">
        <f>+E871+I871+M871+Q871</f>
        <v>13340</v>
      </c>
    </row>
    <row r="872" spans="1:20" ht="18" thickBot="1" x14ac:dyDescent="0.35">
      <c r="A872" s="71" t="s">
        <v>1342</v>
      </c>
      <c r="B872" s="1">
        <f>+B467+B471+B473+B527+B124+B468+B474+B570+B571+B635</f>
        <v>0</v>
      </c>
      <c r="C872" s="1">
        <f>+C467+C471+C473+C527+C124+C468+C474+C570+C571+C635</f>
        <v>0</v>
      </c>
      <c r="D872" s="1">
        <f>+D467+D471+D473+D527+D124+D468+D474+D570+D571+D635</f>
        <v>0</v>
      </c>
      <c r="E872" s="55">
        <f>SUM(B872:D872)</f>
        <v>0</v>
      </c>
      <c r="F872" s="1">
        <f>+F467+F471+F473+F527+F124+F468+F474+F570+F571+F635</f>
        <v>0</v>
      </c>
      <c r="G872" s="1">
        <f>+G467+G471+G473+G527+G124+G468+G474+G570+G571+G635</f>
        <v>0</v>
      </c>
      <c r="H872" s="1">
        <f>+H467+H471+H473+H527+H124+H468+H474+H570+H571+H635</f>
        <v>0</v>
      </c>
      <c r="I872" s="55">
        <f>SUM(F872:H872)</f>
        <v>0</v>
      </c>
      <c r="J872" s="1">
        <f>+J467+J471+J473+J527+J124+J468+J474+J570+J571+J635</f>
        <v>0</v>
      </c>
      <c r="K872" s="1">
        <f>+K467+K471+K473+K527+K124+K468+K474+K570+K571+K635</f>
        <v>2319</v>
      </c>
      <c r="L872" s="1">
        <f>+L467+L471+L473+L527+L124+L468+L474+L570+L571+L635</f>
        <v>6331</v>
      </c>
      <c r="M872" s="55">
        <f>SUM(J872:L872)</f>
        <v>8650</v>
      </c>
      <c r="N872" s="1">
        <f>+N467+N471+N473+N527+N124+N468+N474+N570+N571+N635</f>
        <v>25</v>
      </c>
      <c r="O872" s="1">
        <f>+O467+O471+O473+O527+O124+O468+O474+O570+O571+O635</f>
        <v>1180</v>
      </c>
      <c r="P872" s="1">
        <f>+P467+P471+P473+P527+P124+P468+P474+P570+P571+P635</f>
        <v>4</v>
      </c>
      <c r="Q872" s="55">
        <f>SUM(N872:P872)</f>
        <v>1209</v>
      </c>
      <c r="R872" s="55">
        <f>+E872+I872+M872+Q872</f>
        <v>9859</v>
      </c>
    </row>
    <row r="873" spans="1:20" ht="16.5" customHeight="1" thickBot="1" x14ac:dyDescent="0.35">
      <c r="A873" s="57" t="s">
        <v>71</v>
      </c>
      <c r="B873" s="146">
        <f>SUM(B870:B872)</f>
        <v>0</v>
      </c>
      <c r="C873" s="146">
        <f>SUM(C870:C872)</f>
        <v>0</v>
      </c>
      <c r="D873" s="146">
        <f>SUM(D870:D872)</f>
        <v>510</v>
      </c>
      <c r="E873" s="60">
        <f t="shared" si="278"/>
        <v>510</v>
      </c>
      <c r="F873" s="146">
        <f>SUM(F870:F872)</f>
        <v>610</v>
      </c>
      <c r="G873" s="146">
        <f>SUM(G870:G872)</f>
        <v>3746</v>
      </c>
      <c r="H873" s="146">
        <f>SUM(H870:H872)</f>
        <v>3534</v>
      </c>
      <c r="I873" s="60">
        <f t="shared" si="279"/>
        <v>7890</v>
      </c>
      <c r="J873" s="146">
        <f>SUM(J870:J872)</f>
        <v>1000</v>
      </c>
      <c r="K873" s="146">
        <f>SUM(K870:K872)</f>
        <v>3621</v>
      </c>
      <c r="L873" s="146">
        <f>SUM(L870:L872)</f>
        <v>9092</v>
      </c>
      <c r="M873" s="60">
        <f t="shared" si="280"/>
        <v>13713</v>
      </c>
      <c r="N873" s="146">
        <f>SUM(N870:N872)</f>
        <v>1876</v>
      </c>
      <c r="O873" s="146">
        <f>SUM(O870:O872)</f>
        <v>3522</v>
      </c>
      <c r="P873" s="146">
        <f>SUM(P870:P872)</f>
        <v>688</v>
      </c>
      <c r="Q873" s="60">
        <f t="shared" si="281"/>
        <v>6086</v>
      </c>
      <c r="R873" s="59">
        <f t="shared" si="282"/>
        <v>28199</v>
      </c>
    </row>
    <row r="874" spans="1:20" ht="16.5" customHeight="1" thickBot="1" x14ac:dyDescent="0.35">
      <c r="A874" s="114" t="s">
        <v>72</v>
      </c>
      <c r="B874" s="86">
        <f>SUM(B866:B872)</f>
        <v>1335</v>
      </c>
      <c r="C874" s="87">
        <f>SUM(C866:C872)</f>
        <v>4067</v>
      </c>
      <c r="D874" s="118">
        <f>SUM(D866:D872)</f>
        <v>3562</v>
      </c>
      <c r="E874" s="147">
        <f t="shared" si="278"/>
        <v>8964</v>
      </c>
      <c r="F874" s="86">
        <f>SUM(F866:F872)</f>
        <v>3226</v>
      </c>
      <c r="G874" s="87">
        <f>SUM(G866:G872)</f>
        <v>5463</v>
      </c>
      <c r="H874" s="118">
        <f>SUM(H866:H872)</f>
        <v>3534</v>
      </c>
      <c r="I874" s="60">
        <f t="shared" si="279"/>
        <v>12223</v>
      </c>
      <c r="J874" s="86">
        <f>SUM(J866:J872)</f>
        <v>2271</v>
      </c>
      <c r="K874" s="87">
        <f>SUM(K866:K872)</f>
        <v>3621</v>
      </c>
      <c r="L874" s="118">
        <f>SUM(L866:L872)</f>
        <v>12435</v>
      </c>
      <c r="M874" s="60">
        <f t="shared" si="280"/>
        <v>18327</v>
      </c>
      <c r="N874" s="86">
        <f>SUM(N866:N872)</f>
        <v>11715</v>
      </c>
      <c r="O874" s="87">
        <f>SUM(O866:O872)</f>
        <v>4016</v>
      </c>
      <c r="P874" s="118">
        <f>SUM(P866:P872)</f>
        <v>1255</v>
      </c>
      <c r="Q874" s="60">
        <f t="shared" si="281"/>
        <v>16986</v>
      </c>
      <c r="R874" s="59">
        <f t="shared" si="282"/>
        <v>56500</v>
      </c>
    </row>
    <row r="875" spans="1:20" ht="16.5" customHeight="1" thickBot="1" x14ac:dyDescent="0.35">
      <c r="A875" s="57" t="s">
        <v>73</v>
      </c>
      <c r="B875" s="148">
        <f>+B856+B861+B865+B874</f>
        <v>51650</v>
      </c>
      <c r="C875" s="149">
        <f>+C856+C861+C865+C874</f>
        <v>68105</v>
      </c>
      <c r="D875" s="149">
        <f>+D856+D861+D865+D874</f>
        <v>106974</v>
      </c>
      <c r="E875" s="59">
        <f t="shared" si="278"/>
        <v>226729</v>
      </c>
      <c r="F875" s="58">
        <f>+F856+F861+F865+F874</f>
        <v>159041</v>
      </c>
      <c r="G875" s="58">
        <f>+G856+G861+G865+G874</f>
        <v>171968</v>
      </c>
      <c r="H875" s="58">
        <f>+H856+H861+H865+H874</f>
        <v>194930</v>
      </c>
      <c r="I875" s="59">
        <f t="shared" si="279"/>
        <v>525939</v>
      </c>
      <c r="J875" s="58">
        <f>+J856+J861+J865+J874</f>
        <v>198498</v>
      </c>
      <c r="K875" s="58">
        <f>+K856+K861+K865+K874</f>
        <v>174238</v>
      </c>
      <c r="L875" s="58">
        <f>+L856+L861+L865+L874</f>
        <v>144139</v>
      </c>
      <c r="M875" s="59">
        <f t="shared" si="280"/>
        <v>516875</v>
      </c>
      <c r="N875" s="58">
        <f>+N856+N861+N865+N874</f>
        <v>75004</v>
      </c>
      <c r="O875" s="58">
        <f>+O856+O861+O865+O874</f>
        <v>74106</v>
      </c>
      <c r="P875" s="58">
        <f>+P856+P861+P865+P874</f>
        <v>60577</v>
      </c>
      <c r="Q875" s="59">
        <f t="shared" si="281"/>
        <v>209687</v>
      </c>
      <c r="R875" s="81">
        <f t="shared" si="282"/>
        <v>1479230</v>
      </c>
    </row>
    <row r="876" spans="1:20" ht="15.75" customHeight="1" x14ac:dyDescent="0.3">
      <c r="A876" s="1" t="s">
        <v>1343</v>
      </c>
      <c r="B876" s="1"/>
      <c r="C876" s="1"/>
      <c r="D876" s="1"/>
      <c r="E876" s="1"/>
      <c r="F876" s="1"/>
      <c r="G876" s="1"/>
      <c r="H876" s="1"/>
      <c r="I876" s="1"/>
      <c r="J876" s="1"/>
      <c r="K876" s="1"/>
      <c r="L876" s="1"/>
      <c r="M876" s="1"/>
      <c r="N876" s="1"/>
      <c r="O876" s="316"/>
      <c r="P876" s="1"/>
      <c r="Q876" s="1"/>
      <c r="R876" s="2"/>
    </row>
    <row r="877" spans="1:20" ht="15.75" customHeight="1" x14ac:dyDescent="0.3">
      <c r="A877" s="1" t="s">
        <v>1344</v>
      </c>
      <c r="B877" s="1"/>
      <c r="C877" s="1"/>
      <c r="D877" s="1"/>
      <c r="E877" s="1"/>
      <c r="F877" s="1"/>
      <c r="G877" s="1"/>
      <c r="H877" s="1"/>
      <c r="I877" s="1"/>
      <c r="J877" s="1"/>
      <c r="K877" s="1"/>
      <c r="L877" s="1"/>
      <c r="M877" s="1"/>
      <c r="N877" s="1"/>
      <c r="O877" s="316"/>
      <c r="P877" s="1"/>
      <c r="Q877" s="1"/>
      <c r="R877" s="2"/>
    </row>
    <row r="878" spans="1:20" ht="15.75" customHeight="1" x14ac:dyDescent="0.3">
      <c r="A878" s="1"/>
      <c r="B878" s="1"/>
      <c r="C878" s="1"/>
      <c r="D878" s="1"/>
      <c r="E878" s="1"/>
      <c r="F878" s="1"/>
      <c r="G878" s="1"/>
      <c r="H878" s="1"/>
      <c r="I878" s="1"/>
      <c r="J878" s="1"/>
      <c r="K878" s="1"/>
      <c r="L878" s="1"/>
      <c r="M878" s="1"/>
      <c r="N878" s="1"/>
      <c r="O878" s="316"/>
      <c r="P878" s="1"/>
      <c r="Q878" s="338" t="str">
        <f>+Q1</f>
        <v xml:space="preserve">PRINTED:  </v>
      </c>
      <c r="R878" s="360">
        <f ca="1">+R1</f>
        <v>44909.46975358796</v>
      </c>
    </row>
    <row r="879" spans="1:20" ht="15.75" customHeight="1" x14ac:dyDescent="0.3">
      <c r="A879" s="499" t="s">
        <v>1</v>
      </c>
      <c r="B879" s="499"/>
      <c r="C879" s="499"/>
      <c r="D879" s="499"/>
      <c r="E879" s="499"/>
      <c r="F879" s="499"/>
      <c r="G879" s="499"/>
      <c r="H879" s="499"/>
      <c r="I879" s="499"/>
      <c r="J879" s="499"/>
      <c r="K879" s="499"/>
      <c r="L879" s="499"/>
      <c r="M879" s="499"/>
      <c r="N879" s="499"/>
      <c r="O879" s="499"/>
      <c r="P879" s="499"/>
      <c r="Q879" s="499"/>
      <c r="R879" s="499"/>
    </row>
    <row r="880" spans="1:20" ht="15.75" customHeight="1" x14ac:dyDescent="0.3">
      <c r="A880" s="499" t="s">
        <v>2</v>
      </c>
      <c r="B880" s="499"/>
      <c r="C880" s="499"/>
      <c r="D880" s="499"/>
      <c r="E880" s="499"/>
      <c r="F880" s="499"/>
      <c r="G880" s="499"/>
      <c r="H880" s="499"/>
      <c r="I880" s="499"/>
      <c r="J880" s="499"/>
      <c r="K880" s="499"/>
      <c r="L880" s="499"/>
      <c r="M880" s="499"/>
      <c r="N880" s="499"/>
      <c r="O880" s="499"/>
      <c r="P880" s="499"/>
      <c r="Q880" s="499"/>
      <c r="R880" s="499"/>
    </row>
    <row r="881" spans="1:46" ht="15.75" customHeight="1" x14ac:dyDescent="0.3">
      <c r="A881" s="499" t="s">
        <v>3</v>
      </c>
      <c r="B881" s="499"/>
      <c r="C881" s="499"/>
      <c r="D881" s="499"/>
      <c r="E881" s="499"/>
      <c r="F881" s="499"/>
      <c r="G881" s="499"/>
      <c r="H881" s="499"/>
      <c r="I881" s="499"/>
      <c r="J881" s="499"/>
      <c r="K881" s="499"/>
      <c r="L881" s="499"/>
      <c r="M881" s="499"/>
      <c r="N881" s="499"/>
      <c r="O881" s="499"/>
      <c r="P881" s="499"/>
      <c r="Q881" s="499"/>
      <c r="R881" s="499"/>
    </row>
    <row r="882" spans="1:46" ht="15.75" customHeight="1" x14ac:dyDescent="0.3">
      <c r="A882" s="505">
        <f>+A5</f>
        <v>2018</v>
      </c>
      <c r="B882" s="505"/>
      <c r="C882" s="505"/>
      <c r="D882" s="505"/>
      <c r="E882" s="505"/>
      <c r="F882" s="505"/>
      <c r="G882" s="505"/>
      <c r="H882" s="505"/>
      <c r="I882" s="505"/>
      <c r="J882" s="505"/>
      <c r="K882" s="505"/>
      <c r="L882" s="505"/>
      <c r="M882" s="505"/>
      <c r="N882" s="505"/>
      <c r="O882" s="505"/>
      <c r="P882" s="505"/>
      <c r="Q882" s="505"/>
      <c r="R882" s="505"/>
    </row>
    <row r="883" spans="1:46" ht="15.75" customHeight="1" x14ac:dyDescent="0.3">
      <c r="A883" s="1"/>
      <c r="B883" s="1"/>
      <c r="C883" s="1"/>
      <c r="D883" s="5"/>
      <c r="E883" s="5"/>
      <c r="F883" s="5"/>
      <c r="G883" s="6"/>
      <c r="H883" s="5"/>
      <c r="I883" s="5"/>
      <c r="J883" s="6"/>
      <c r="K883" s="6"/>
      <c r="L883" s="6"/>
      <c r="M883" s="6"/>
      <c r="N883" s="1"/>
      <c r="O883" s="6"/>
      <c r="P883" s="6"/>
      <c r="Q883" s="6"/>
      <c r="R883" s="6"/>
    </row>
    <row r="884" spans="1:46" ht="15.75" customHeight="1" x14ac:dyDescent="0.3">
      <c r="A884" s="499" t="str">
        <f>+A8</f>
        <v>Revised:  3/2/2019</v>
      </c>
      <c r="B884" s="499"/>
      <c r="C884" s="499"/>
      <c r="D884" s="499"/>
      <c r="E884" s="499"/>
      <c r="F884" s="499"/>
      <c r="G884" s="499"/>
      <c r="H884" s="499"/>
      <c r="I884" s="499"/>
      <c r="J884" s="499"/>
      <c r="K884" s="499"/>
      <c r="L884" s="499"/>
      <c r="M884" s="499"/>
      <c r="N884" s="499"/>
      <c r="O884" s="499"/>
      <c r="P884" s="499"/>
      <c r="Q884" s="499"/>
      <c r="R884" s="499"/>
    </row>
    <row r="885" spans="1:46" ht="15.75" customHeight="1" x14ac:dyDescent="0.3">
      <c r="A885" s="314"/>
      <c r="B885" s="314"/>
      <c r="C885" s="314"/>
      <c r="D885" s="314"/>
      <c r="E885" s="314"/>
      <c r="F885" s="314"/>
      <c r="G885" s="314"/>
      <c r="H885" s="314"/>
      <c r="I885" s="314"/>
      <c r="J885" s="314"/>
      <c r="K885" s="314"/>
      <c r="L885" s="314"/>
      <c r="M885" s="314"/>
      <c r="N885" s="314"/>
      <c r="O885" s="314"/>
      <c r="P885" s="314"/>
      <c r="Q885" s="314"/>
      <c r="R885" s="314"/>
    </row>
    <row r="886" spans="1:46" ht="15.75" customHeight="1" x14ac:dyDescent="0.3">
      <c r="A886" s="28"/>
      <c r="B886" s="1"/>
      <c r="C886" s="1"/>
      <c r="D886" s="1"/>
      <c r="E886" s="1"/>
      <c r="F886" s="1"/>
      <c r="G886" s="1"/>
      <c r="H886" s="1"/>
      <c r="I886" s="1"/>
      <c r="J886" s="1"/>
      <c r="K886" s="1"/>
      <c r="L886" s="1"/>
      <c r="M886" s="1"/>
      <c r="N886" s="1"/>
      <c r="O886" s="1"/>
      <c r="P886" s="1"/>
      <c r="Q886" s="1"/>
      <c r="R886" s="2"/>
    </row>
    <row r="887" spans="1:46" ht="15.75" customHeight="1" thickBot="1" x14ac:dyDescent="0.35">
      <c r="A887" s="1"/>
      <c r="B887" s="1"/>
      <c r="C887" s="1"/>
      <c r="D887" s="1"/>
      <c r="E887" s="1"/>
      <c r="F887" s="1"/>
      <c r="G887" s="1"/>
      <c r="H887" s="1"/>
      <c r="I887" s="1"/>
      <c r="J887" s="1"/>
      <c r="K887" s="1"/>
      <c r="L887" s="1"/>
      <c r="M887" s="1"/>
      <c r="N887" s="1"/>
      <c r="O887" s="316"/>
      <c r="P887" s="1"/>
      <c r="Q887" s="1"/>
      <c r="R887" s="2"/>
    </row>
    <row r="888" spans="1:46" ht="15.75" customHeight="1" thickBot="1" x14ac:dyDescent="0.35">
      <c r="A888" s="107" t="s">
        <v>380</v>
      </c>
      <c r="B888" s="47" t="s">
        <v>8</v>
      </c>
      <c r="C888" s="48" t="s">
        <v>9</v>
      </c>
      <c r="D888" s="48" t="s">
        <v>10</v>
      </c>
      <c r="E888" s="32" t="s">
        <v>11</v>
      </c>
      <c r="F888" s="48" t="s">
        <v>12</v>
      </c>
      <c r="G888" s="48" t="s">
        <v>13</v>
      </c>
      <c r="H888" s="48" t="s">
        <v>14</v>
      </c>
      <c r="I888" s="32" t="s">
        <v>15</v>
      </c>
      <c r="J888" s="48" t="s">
        <v>16</v>
      </c>
      <c r="K888" s="48" t="s">
        <v>17</v>
      </c>
      <c r="L888" s="48" t="s">
        <v>18</v>
      </c>
      <c r="M888" s="32" t="s">
        <v>19</v>
      </c>
      <c r="N888" s="48" t="s">
        <v>20</v>
      </c>
      <c r="O888" s="48" t="s">
        <v>21</v>
      </c>
      <c r="P888" s="48" t="s">
        <v>22</v>
      </c>
      <c r="Q888" s="32" t="s">
        <v>23</v>
      </c>
      <c r="R888" s="151" t="s">
        <v>24</v>
      </c>
    </row>
    <row r="889" spans="1:46" ht="16.5" customHeight="1" thickBot="1" x14ac:dyDescent="0.35">
      <c r="A889" s="152"/>
      <c r="B889" s="153"/>
      <c r="C889" s="153"/>
      <c r="D889" s="153"/>
      <c r="E889" s="52"/>
      <c r="F889" s="153"/>
      <c r="G889" s="153"/>
      <c r="H889" s="153"/>
      <c r="I889" s="37"/>
      <c r="J889" s="153"/>
      <c r="K889" s="153"/>
      <c r="L889" s="153"/>
      <c r="M889" s="37"/>
      <c r="N889" s="153"/>
      <c r="O889" s="153"/>
      <c r="P889" s="153"/>
      <c r="Q889" s="127"/>
      <c r="R889" s="154"/>
    </row>
    <row r="890" spans="1:46" ht="16.5" customHeight="1" thickBot="1" x14ac:dyDescent="0.35">
      <c r="A890" s="155" t="s">
        <v>381</v>
      </c>
      <c r="B890" s="156">
        <f>+B856</f>
        <v>31967</v>
      </c>
      <c r="C890" s="156">
        <f>+C856</f>
        <v>35377</v>
      </c>
      <c r="D890" s="156">
        <f>+D856</f>
        <v>40674</v>
      </c>
      <c r="E890" s="86">
        <f>+SUM(B890:D890)</f>
        <v>108018</v>
      </c>
      <c r="F890" s="156">
        <f>+F856</f>
        <v>41877</v>
      </c>
      <c r="G890" s="156">
        <f>+G856</f>
        <v>57170</v>
      </c>
      <c r="H890" s="156">
        <f>+H856</f>
        <v>72704</v>
      </c>
      <c r="I890" s="86">
        <f>+SUM(F890:H890)</f>
        <v>171751</v>
      </c>
      <c r="J890" s="156">
        <f>+J856</f>
        <v>68733</v>
      </c>
      <c r="K890" s="156">
        <f>+K856</f>
        <v>81894</v>
      </c>
      <c r="L890" s="156">
        <f>+L856</f>
        <v>72853</v>
      </c>
      <c r="M890" s="86">
        <f>+SUM(J890:L890)</f>
        <v>223480</v>
      </c>
      <c r="N890" s="156">
        <f>+N856</f>
        <v>41316</v>
      </c>
      <c r="O890" s="156">
        <f>+O856</f>
        <v>34475</v>
      </c>
      <c r="P890" s="156">
        <f>+P856</f>
        <v>37685</v>
      </c>
      <c r="Q890" s="86">
        <f>+SUM(N890:P890)</f>
        <v>113476</v>
      </c>
      <c r="R890" s="59">
        <f>+E890+I890+M890+Q890</f>
        <v>616725</v>
      </c>
    </row>
    <row r="891" spans="1:46" ht="16.5" customHeight="1" thickBot="1" x14ac:dyDescent="0.35">
      <c r="A891" s="33"/>
      <c r="B891" s="86"/>
      <c r="C891" s="86"/>
      <c r="D891" s="86"/>
      <c r="E891" s="86"/>
      <c r="F891" s="86"/>
      <c r="G891" s="86"/>
      <c r="H891" s="86"/>
      <c r="I891" s="86"/>
      <c r="J891" s="86"/>
      <c r="K891" s="86"/>
      <c r="L891" s="86"/>
      <c r="M891" s="86"/>
      <c r="N891" s="86"/>
      <c r="O891" s="86"/>
      <c r="P891" s="86"/>
      <c r="Q891" s="86"/>
      <c r="R891" s="59"/>
    </row>
    <row r="892" spans="1:46" ht="16.5" customHeight="1" thickBot="1" x14ac:dyDescent="0.35">
      <c r="A892" s="155" t="s">
        <v>382</v>
      </c>
      <c r="B892" s="156">
        <f>+B861</f>
        <v>5022</v>
      </c>
      <c r="C892" s="156">
        <f>+C861</f>
        <v>5022</v>
      </c>
      <c r="D892" s="156">
        <f>+D861</f>
        <v>18750</v>
      </c>
      <c r="E892" s="86">
        <f>+SUM(B892:D892)</f>
        <v>28794</v>
      </c>
      <c r="F892" s="156">
        <f>+F861</f>
        <v>42093</v>
      </c>
      <c r="G892" s="156">
        <f>+G861</f>
        <v>44361</v>
      </c>
      <c r="H892" s="156">
        <f>+H861</f>
        <v>39913</v>
      </c>
      <c r="I892" s="86">
        <f>+SUM(F892:H892)</f>
        <v>126367</v>
      </c>
      <c r="J892" s="156">
        <f>+J861</f>
        <v>36677</v>
      </c>
      <c r="K892" s="156">
        <f>+K861</f>
        <v>29640</v>
      </c>
      <c r="L892" s="156">
        <f>+L861</f>
        <v>12019</v>
      </c>
      <c r="M892" s="86">
        <f>+SUM(J892:L892)</f>
        <v>78336</v>
      </c>
      <c r="N892" s="156">
        <f>+N861</f>
        <v>589</v>
      </c>
      <c r="O892" s="156">
        <f>+O861</f>
        <v>4170</v>
      </c>
      <c r="P892" s="156">
        <f>+P861</f>
        <v>4593</v>
      </c>
      <c r="Q892" s="86">
        <f>+SUM(N892:P892)</f>
        <v>9352</v>
      </c>
      <c r="R892" s="59">
        <f>+E892+I892+M892+Q892</f>
        <v>242849</v>
      </c>
    </row>
    <row r="893" spans="1:46" ht="16.5" customHeight="1" thickBot="1" x14ac:dyDescent="0.35">
      <c r="A893" s="33"/>
      <c r="B893" s="86"/>
      <c r="C893" s="86"/>
      <c r="D893" s="86"/>
      <c r="E893" s="86"/>
      <c r="F893" s="86"/>
      <c r="G893" s="86"/>
      <c r="H893" s="86"/>
      <c r="I893" s="86"/>
      <c r="J893" s="86"/>
      <c r="K893" s="86"/>
      <c r="L893" s="86"/>
      <c r="M893" s="86"/>
      <c r="N893" s="86"/>
      <c r="O893" s="86"/>
      <c r="P893" s="86"/>
      <c r="Q893" s="86"/>
      <c r="R893" s="59"/>
      <c r="AC893" s="318"/>
      <c r="AD893" s="319"/>
      <c r="AE893" s="321" t="s">
        <v>423</v>
      </c>
      <c r="AF893" s="319"/>
      <c r="AG893" s="319"/>
      <c r="AH893" s="319"/>
      <c r="AI893" s="319"/>
      <c r="AJ893" s="319"/>
      <c r="AK893" s="319" t="s">
        <v>424</v>
      </c>
      <c r="AL893" s="319"/>
      <c r="AM893" s="319" t="s">
        <v>7</v>
      </c>
      <c r="AN893" s="329" t="str">
        <f>+A8</f>
        <v>Revised:  3/2/2019</v>
      </c>
      <c r="AO893" s="319"/>
      <c r="AP893" s="319"/>
      <c r="AQ893" s="319"/>
      <c r="AR893" s="319"/>
      <c r="AS893" s="361" t="str">
        <f>+Q1</f>
        <v xml:space="preserve">PRINTED:  </v>
      </c>
      <c r="AT893" s="362">
        <f ca="1">+R1</f>
        <v>44909.46975358796</v>
      </c>
    </row>
    <row r="894" spans="1:46" ht="16.5" customHeight="1" thickBot="1" x14ac:dyDescent="0.35">
      <c r="A894" s="155" t="s">
        <v>383</v>
      </c>
      <c r="B894" s="156">
        <f>+B865</f>
        <v>13326</v>
      </c>
      <c r="C894" s="156">
        <f>+C865</f>
        <v>23639</v>
      </c>
      <c r="D894" s="156">
        <f>+D865</f>
        <v>43988</v>
      </c>
      <c r="E894" s="86">
        <f>+SUM(B894:D894)</f>
        <v>80953</v>
      </c>
      <c r="F894" s="156">
        <f>+F865</f>
        <v>71845</v>
      </c>
      <c r="G894" s="156">
        <f>+G865</f>
        <v>64974</v>
      </c>
      <c r="H894" s="156">
        <f>+H865</f>
        <v>78779</v>
      </c>
      <c r="I894" s="86">
        <f>+SUM(F894:H894)</f>
        <v>215598</v>
      </c>
      <c r="J894" s="156">
        <f>+J865</f>
        <v>90817</v>
      </c>
      <c r="K894" s="156">
        <f>+K865</f>
        <v>59083</v>
      </c>
      <c r="L894" s="156">
        <f>+L865</f>
        <v>46832</v>
      </c>
      <c r="M894" s="86">
        <f>+SUM(J894:L894)</f>
        <v>196732</v>
      </c>
      <c r="N894" s="156">
        <f>+N865</f>
        <v>21384</v>
      </c>
      <c r="O894" s="156">
        <f>+O865</f>
        <v>31445</v>
      </c>
      <c r="P894" s="156">
        <f>+P865</f>
        <v>17044</v>
      </c>
      <c r="Q894" s="86">
        <f>+SUM(N894:P894)</f>
        <v>69873</v>
      </c>
      <c r="R894" s="59">
        <f>+E894+I894+M894+Q894</f>
        <v>563156</v>
      </c>
      <c r="AC894" s="323"/>
      <c r="AD894" s="159"/>
      <c r="AE894" s="159"/>
      <c r="AF894" s="159">
        <f>++A5</f>
        <v>2018</v>
      </c>
      <c r="AG894" s="159"/>
      <c r="AH894" s="159"/>
      <c r="AI894" s="159"/>
      <c r="AJ894" s="159"/>
      <c r="AK894" s="159"/>
      <c r="AL894" s="159"/>
      <c r="AM894" s="159"/>
      <c r="AN894" s="159"/>
      <c r="AO894" s="159"/>
      <c r="AP894" s="159"/>
      <c r="AQ894" s="159"/>
      <c r="AR894" s="159"/>
      <c r="AS894" s="159"/>
      <c r="AT894" s="324"/>
    </row>
    <row r="895" spans="1:46" ht="16.5" customHeight="1" thickBot="1" x14ac:dyDescent="0.35">
      <c r="A895" s="33"/>
      <c r="B895" s="86"/>
      <c r="C895" s="86"/>
      <c r="D895" s="86"/>
      <c r="E895" s="86"/>
      <c r="F895" s="86"/>
      <c r="G895" s="86"/>
      <c r="H895" s="86"/>
      <c r="I895" s="86"/>
      <c r="J895" s="86"/>
      <c r="K895" s="86"/>
      <c r="L895" s="86"/>
      <c r="M895" s="86"/>
      <c r="N895" s="86"/>
      <c r="O895" s="86"/>
      <c r="P895" s="86"/>
      <c r="Q895" s="86"/>
      <c r="R895" s="59"/>
      <c r="AC895" s="323"/>
      <c r="AD895" s="159"/>
      <c r="AE895" s="159"/>
      <c r="AF895" s="159"/>
      <c r="AG895" s="159"/>
      <c r="AH895" s="159"/>
      <c r="AI895" s="159"/>
      <c r="AJ895" s="159"/>
      <c r="AK895" s="159"/>
      <c r="AL895" s="159"/>
      <c r="AM895" s="159"/>
      <c r="AN895" s="159"/>
      <c r="AO895" s="159"/>
      <c r="AP895" s="159"/>
      <c r="AQ895" s="159"/>
      <c r="AR895" s="159"/>
      <c r="AS895" s="159"/>
      <c r="AT895" s="324"/>
    </row>
    <row r="896" spans="1:46" ht="16.5" customHeight="1" thickBot="1" x14ac:dyDescent="0.35">
      <c r="A896" s="155" t="s">
        <v>384</v>
      </c>
      <c r="B896" s="156">
        <f>+B874</f>
        <v>1335</v>
      </c>
      <c r="C896" s="156">
        <f>+C874</f>
        <v>4067</v>
      </c>
      <c r="D896" s="156">
        <f>+D874</f>
        <v>3562</v>
      </c>
      <c r="E896" s="86">
        <f>+SUM(B896:D896)</f>
        <v>8964</v>
      </c>
      <c r="F896" s="156">
        <f>+F874</f>
        <v>3226</v>
      </c>
      <c r="G896" s="156">
        <f>+G874</f>
        <v>5463</v>
      </c>
      <c r="H896" s="156">
        <f>+H874</f>
        <v>3534</v>
      </c>
      <c r="I896" s="86">
        <f>+SUM(F896:H896)</f>
        <v>12223</v>
      </c>
      <c r="J896" s="156">
        <f>+J874</f>
        <v>2271</v>
      </c>
      <c r="K896" s="156">
        <f>+K874</f>
        <v>3621</v>
      </c>
      <c r="L896" s="156">
        <f>+L874</f>
        <v>12435</v>
      </c>
      <c r="M896" s="86">
        <f>+SUM(J896:L896)</f>
        <v>18327</v>
      </c>
      <c r="N896" s="156">
        <f>+N874</f>
        <v>11715</v>
      </c>
      <c r="O896" s="156">
        <f>+O874</f>
        <v>4016</v>
      </c>
      <c r="P896" s="156">
        <f>+P874</f>
        <v>1255</v>
      </c>
      <c r="Q896" s="86">
        <f>+SUM(N896:P896)</f>
        <v>16986</v>
      </c>
      <c r="R896" s="59">
        <f>+E896+I896+M896+Q896</f>
        <v>56500</v>
      </c>
      <c r="AC896" s="323"/>
      <c r="AD896" s="159"/>
      <c r="AE896" s="159"/>
      <c r="AF896" s="159"/>
      <c r="AG896" s="159"/>
      <c r="AH896" s="159"/>
      <c r="AI896" s="164" t="s">
        <v>425</v>
      </c>
      <c r="AJ896" s="159"/>
      <c r="AK896" s="159"/>
      <c r="AL896" s="159"/>
      <c r="AM896" s="159"/>
      <c r="AN896" s="159"/>
      <c r="AO896" s="159"/>
      <c r="AP896" s="159"/>
      <c r="AQ896" s="159"/>
      <c r="AR896" s="159"/>
      <c r="AS896" s="159"/>
      <c r="AT896" s="324"/>
    </row>
    <row r="897" spans="1:46" ht="16.5" customHeight="1" thickBot="1" x14ac:dyDescent="0.35">
      <c r="A897" s="33"/>
      <c r="B897" s="86"/>
      <c r="C897" s="86"/>
      <c r="D897" s="86"/>
      <c r="E897" s="86"/>
      <c r="F897" s="86"/>
      <c r="G897" s="86"/>
      <c r="H897" s="86"/>
      <c r="I897" s="86"/>
      <c r="J897" s="86"/>
      <c r="K897" s="86"/>
      <c r="L897" s="86"/>
      <c r="M897" s="86"/>
      <c r="N897" s="86"/>
      <c r="O897" s="86"/>
      <c r="P897" s="86"/>
      <c r="Q897" s="86"/>
      <c r="R897" s="59"/>
      <c r="AC897" s="323"/>
      <c r="AD897" s="159" t="s">
        <v>424</v>
      </c>
      <c r="AE897" s="159"/>
      <c r="AF897" s="164" t="s">
        <v>426</v>
      </c>
      <c r="AG897" s="164" t="s">
        <v>426</v>
      </c>
      <c r="AH897" s="164" t="s">
        <v>427</v>
      </c>
      <c r="AI897" s="164" t="s">
        <v>404</v>
      </c>
      <c r="AJ897" s="164" t="s">
        <v>428</v>
      </c>
      <c r="AK897" s="164" t="s">
        <v>429</v>
      </c>
      <c r="AL897" s="164" t="s">
        <v>422</v>
      </c>
      <c r="AM897" s="159" t="s">
        <v>424</v>
      </c>
      <c r="AN897" s="164" t="s">
        <v>430</v>
      </c>
      <c r="AO897" s="164" t="s">
        <v>430</v>
      </c>
      <c r="AP897" s="164" t="s">
        <v>430</v>
      </c>
      <c r="AQ897" s="159"/>
      <c r="AR897" s="159"/>
      <c r="AS897" s="159"/>
      <c r="AT897" s="324"/>
    </row>
    <row r="898" spans="1:46" ht="16.5" customHeight="1" thickBot="1" x14ac:dyDescent="0.4">
      <c r="A898" s="33" t="s">
        <v>385</v>
      </c>
      <c r="B898" s="90">
        <f t="shared" ref="B898:Q898" si="283">+SUM(B890:B896)</f>
        <v>51650</v>
      </c>
      <c r="C898" s="90">
        <f t="shared" si="283"/>
        <v>68105</v>
      </c>
      <c r="D898" s="90">
        <f t="shared" si="283"/>
        <v>106974</v>
      </c>
      <c r="E898" s="90">
        <f t="shared" si="283"/>
        <v>226729</v>
      </c>
      <c r="F898" s="90">
        <f t="shared" si="283"/>
        <v>159041</v>
      </c>
      <c r="G898" s="90">
        <f t="shared" si="283"/>
        <v>171968</v>
      </c>
      <c r="H898" s="90">
        <f t="shared" si="283"/>
        <v>194930</v>
      </c>
      <c r="I898" s="90">
        <f t="shared" si="283"/>
        <v>525939</v>
      </c>
      <c r="J898" s="90">
        <f t="shared" si="283"/>
        <v>198498</v>
      </c>
      <c r="K898" s="90">
        <f t="shared" si="283"/>
        <v>174238</v>
      </c>
      <c r="L898" s="90">
        <f t="shared" si="283"/>
        <v>144139</v>
      </c>
      <c r="M898" s="90">
        <f t="shared" si="283"/>
        <v>516875</v>
      </c>
      <c r="N898" s="90">
        <f t="shared" si="283"/>
        <v>75004</v>
      </c>
      <c r="O898" s="90">
        <f t="shared" si="283"/>
        <v>74106</v>
      </c>
      <c r="P898" s="90">
        <f t="shared" si="283"/>
        <v>60577</v>
      </c>
      <c r="Q898" s="90">
        <f t="shared" si="283"/>
        <v>209687</v>
      </c>
      <c r="R898" s="157">
        <f>+SUM(R890:R896)</f>
        <v>1479230</v>
      </c>
      <c r="AC898" s="323"/>
      <c r="AD898" s="164" t="s">
        <v>394</v>
      </c>
      <c r="AE898" s="164" t="s">
        <v>431</v>
      </c>
      <c r="AF898" s="164" t="s">
        <v>432</v>
      </c>
      <c r="AG898" s="164" t="s">
        <v>432</v>
      </c>
      <c r="AH898" s="164" t="s">
        <v>433</v>
      </c>
      <c r="AI898" s="165" t="s">
        <v>434</v>
      </c>
      <c r="AJ898" s="164" t="s">
        <v>435</v>
      </c>
      <c r="AK898" s="164" t="s">
        <v>436</v>
      </c>
      <c r="AL898" s="164" t="s">
        <v>437</v>
      </c>
      <c r="AM898" s="159" t="s">
        <v>424</v>
      </c>
      <c r="AN898" s="164" t="s">
        <v>438</v>
      </c>
      <c r="AO898" s="164" t="s">
        <v>434</v>
      </c>
      <c r="AP898" s="164" t="s">
        <v>407</v>
      </c>
      <c r="AQ898" s="159"/>
      <c r="AR898" s="159"/>
      <c r="AS898" s="159"/>
      <c r="AT898" s="324"/>
    </row>
    <row r="899" spans="1:46" ht="15.75" customHeight="1" x14ac:dyDescent="0.35">
      <c r="A899" s="145"/>
      <c r="B899" s="158"/>
      <c r="C899" s="158"/>
      <c r="D899" s="158"/>
      <c r="E899" s="158"/>
      <c r="F899" s="158"/>
      <c r="G899" s="158"/>
      <c r="H899" s="317" t="s">
        <v>786</v>
      </c>
      <c r="I899" s="158"/>
      <c r="J899" s="158"/>
      <c r="K899" s="158"/>
      <c r="L899" s="158"/>
      <c r="M899" s="158"/>
      <c r="N899" s="158"/>
      <c r="O899" s="158"/>
      <c r="P899" s="158"/>
      <c r="Q899" s="158"/>
      <c r="R899" s="158"/>
      <c r="AC899" s="323"/>
      <c r="AD899" s="164" t="s">
        <v>406</v>
      </c>
      <c r="AE899" s="164" t="s">
        <v>439</v>
      </c>
      <c r="AF899" s="164" t="s">
        <v>440</v>
      </c>
      <c r="AG899" s="164" t="s">
        <v>441</v>
      </c>
      <c r="AH899" s="164" t="s">
        <v>442</v>
      </c>
      <c r="AI899" s="164" t="s">
        <v>442</v>
      </c>
      <c r="AJ899" s="164" t="s">
        <v>442</v>
      </c>
      <c r="AK899" s="164" t="s">
        <v>442</v>
      </c>
      <c r="AL899" s="164" t="s">
        <v>443</v>
      </c>
      <c r="AM899" s="159" t="s">
        <v>424</v>
      </c>
      <c r="AN899" s="164" t="s">
        <v>444</v>
      </c>
      <c r="AO899" s="164" t="s">
        <v>445</v>
      </c>
      <c r="AP899" s="164" t="s">
        <v>445</v>
      </c>
      <c r="AQ899" s="159"/>
      <c r="AR899" s="159"/>
      <c r="AS899" s="159"/>
      <c r="AT899" s="324"/>
    </row>
    <row r="900" spans="1:46" ht="6" customHeight="1" x14ac:dyDescent="0.35">
      <c r="A900" s="145"/>
      <c r="B900" s="158"/>
      <c r="C900" s="158"/>
      <c r="D900" s="158"/>
      <c r="E900" s="158"/>
      <c r="F900" s="158"/>
      <c r="G900" s="158"/>
      <c r="H900" s="158"/>
      <c r="I900" s="158"/>
      <c r="J900" s="158"/>
      <c r="K900" s="158"/>
      <c r="L900" s="158"/>
      <c r="M900" s="158"/>
      <c r="N900" s="158"/>
      <c r="O900" s="158"/>
      <c r="P900" s="158"/>
      <c r="Q900" s="158"/>
      <c r="R900" s="158"/>
      <c r="AC900" s="323"/>
      <c r="AD900" s="164" t="s">
        <v>446</v>
      </c>
      <c r="AE900" s="164" t="s">
        <v>447</v>
      </c>
      <c r="AF900" s="164" t="s">
        <v>448</v>
      </c>
      <c r="AG900" s="164" t="s">
        <v>448</v>
      </c>
      <c r="AH900" s="164" t="s">
        <v>448</v>
      </c>
      <c r="AI900" s="164" t="s">
        <v>448</v>
      </c>
      <c r="AJ900" s="164" t="s">
        <v>448</v>
      </c>
      <c r="AK900" s="164" t="s">
        <v>448</v>
      </c>
      <c r="AL900" s="164" t="s">
        <v>448</v>
      </c>
      <c r="AM900" s="159" t="s">
        <v>424</v>
      </c>
      <c r="AN900" s="164" t="s">
        <v>449</v>
      </c>
      <c r="AO900" s="164" t="s">
        <v>449</v>
      </c>
      <c r="AP900" s="164" t="s">
        <v>449</v>
      </c>
      <c r="AQ900" s="159"/>
      <c r="AR900" s="159"/>
      <c r="AS900" s="159"/>
      <c r="AT900" s="324"/>
    </row>
    <row r="901" spans="1:46" ht="6" customHeight="1" thickBot="1" x14ac:dyDescent="0.4">
      <c r="A901" s="145"/>
      <c r="B901" s="158"/>
      <c r="C901" s="158"/>
      <c r="D901" s="158"/>
      <c r="E901" s="158"/>
      <c r="F901" s="158"/>
      <c r="G901" s="158"/>
      <c r="H901" s="317"/>
      <c r="I901" s="158"/>
      <c r="J901" s="158"/>
      <c r="K901" s="158"/>
      <c r="L901" s="158"/>
      <c r="M901" s="158"/>
      <c r="N901" s="158"/>
      <c r="O901" s="158"/>
      <c r="P901" s="158"/>
      <c r="Q901" s="158"/>
      <c r="R901" s="158"/>
      <c r="AC901" s="323"/>
      <c r="AD901" s="159" t="s">
        <v>409</v>
      </c>
      <c r="AE901" s="159" t="s">
        <v>409</v>
      </c>
      <c r="AF901" s="159" t="s">
        <v>409</v>
      </c>
      <c r="AG901" s="159" t="s">
        <v>409</v>
      </c>
      <c r="AH901" s="159" t="s">
        <v>409</v>
      </c>
      <c r="AI901" s="159" t="s">
        <v>409</v>
      </c>
      <c r="AJ901" s="159" t="s">
        <v>409</v>
      </c>
      <c r="AK901" s="159" t="s">
        <v>409</v>
      </c>
      <c r="AL901" s="159" t="s">
        <v>409</v>
      </c>
      <c r="AM901" s="159" t="s">
        <v>424</v>
      </c>
      <c r="AN901" s="159" t="s">
        <v>409</v>
      </c>
      <c r="AO901" s="159" t="s">
        <v>409</v>
      </c>
      <c r="AP901" s="159" t="s">
        <v>409</v>
      </c>
      <c r="AQ901" s="159"/>
      <c r="AR901" s="159"/>
      <c r="AS901" s="159"/>
      <c r="AT901" s="324"/>
    </row>
    <row r="902" spans="1:46" ht="15.75" customHeight="1" x14ac:dyDescent="0.3">
      <c r="A902" s="363"/>
      <c r="B902" s="506" t="s">
        <v>386</v>
      </c>
      <c r="C902" s="506"/>
      <c r="D902" s="506"/>
      <c r="E902" s="506"/>
      <c r="F902" s="506"/>
      <c r="G902" s="506"/>
      <c r="H902" s="506"/>
      <c r="I902" s="506"/>
      <c r="J902" s="506"/>
      <c r="K902" s="506"/>
      <c r="L902" s="506"/>
      <c r="M902" s="506"/>
      <c r="N902" s="506"/>
      <c r="O902" s="506"/>
      <c r="P902" s="506"/>
      <c r="Q902" s="361" t="str">
        <f>+Q1</f>
        <v xml:space="preserve">PRINTED:  </v>
      </c>
      <c r="R902" s="362">
        <f ca="1">+R1</f>
        <v>44909.46975358796</v>
      </c>
      <c r="AC902" s="325" t="s">
        <v>410</v>
      </c>
      <c r="AD902" s="159">
        <f t="shared" ref="AD902:AD913" si="284">(F911)</f>
        <v>42045</v>
      </c>
      <c r="AE902" s="159">
        <f t="shared" ref="AE902:AE913" si="285">SUM($B$966:$E$966)+(T911-1526.8)/0.7702</f>
        <v>1638.1524430019012</v>
      </c>
      <c r="AF902" s="159">
        <f>(AD902*AE902/1000)</f>
        <v>68876.119466014934</v>
      </c>
      <c r="AG902" s="159">
        <f t="shared" ref="AG902:AG913" si="286">(((B911-F911)*B$966)+((C911-F911)*C$966)+((D911-F911)*D$966)+((E911-F911)*E$966))/1000</f>
        <v>67708.956000000006</v>
      </c>
      <c r="AH902" s="159">
        <f>(AF902+AG902)</f>
        <v>136585.07546601494</v>
      </c>
      <c r="AI902" s="159">
        <f t="shared" ref="AI902:AI913" si="287">SUM(H968:Q968)</f>
        <v>21027</v>
      </c>
      <c r="AJ902" s="159">
        <f>+AH902+AI902</f>
        <v>157612.07546601494</v>
      </c>
      <c r="AK902" s="159">
        <f t="shared" ref="AK902:AK909" si="288">(G996)</f>
        <v>702.99006867204707</v>
      </c>
      <c r="AL902" s="159">
        <f t="shared" ref="AL902:AL913" si="289">(AJ902-AK902)</f>
        <v>156909.08539734289</v>
      </c>
      <c r="AM902" s="159" t="s">
        <v>424</v>
      </c>
      <c r="AN902" s="159">
        <f>+B911/31/1.98</f>
        <v>1461.5998696643858</v>
      </c>
      <c r="AO902" s="159">
        <f>(AD902*43560/31/24/3600)</f>
        <v>683.79637096774195</v>
      </c>
      <c r="AP902" s="159">
        <f>+B325</f>
        <v>-76.797943812730779</v>
      </c>
      <c r="AQ902" s="159"/>
      <c r="AR902" s="159"/>
      <c r="AS902" s="159"/>
      <c r="AT902" s="324"/>
    </row>
    <row r="903" spans="1:46" ht="15.75" customHeight="1" x14ac:dyDescent="0.3">
      <c r="A903" s="325"/>
      <c r="B903" s="503" t="str">
        <f>+A8</f>
        <v>Revised:  3/2/2019</v>
      </c>
      <c r="C903" s="503"/>
      <c r="D903" s="503"/>
      <c r="E903" s="503"/>
      <c r="F903" s="503"/>
      <c r="G903" s="503"/>
      <c r="H903" s="503"/>
      <c r="I903" s="503"/>
      <c r="J903" s="503"/>
      <c r="K903" s="503"/>
      <c r="L903" s="503"/>
      <c r="M903" s="503"/>
      <c r="N903" s="503"/>
      <c r="O903" s="503"/>
      <c r="P903" s="503"/>
      <c r="Q903" s="159"/>
      <c r="R903" s="324"/>
      <c r="AC903" s="325" t="s">
        <v>411</v>
      </c>
      <c r="AD903" s="159">
        <f t="shared" si="284"/>
        <v>51021</v>
      </c>
      <c r="AE903" s="159">
        <f t="shared" si="285"/>
        <v>1642.6450272656455</v>
      </c>
      <c r="AF903" s="159">
        <f>(AD903*AE903/1000)</f>
        <v>83809.39193612049</v>
      </c>
      <c r="AG903" s="159">
        <f t="shared" si="286"/>
        <v>79633.322</v>
      </c>
      <c r="AH903" s="159">
        <f t="shared" ref="AH903:AH913" si="290">(AF903+AG903)</f>
        <v>163442.7139361205</v>
      </c>
      <c r="AI903" s="159">
        <f t="shared" si="287"/>
        <v>29930</v>
      </c>
      <c r="AJ903" s="159">
        <f t="shared" ref="AJ903:AJ913" si="291">+AH903+AI903</f>
        <v>193372.7139361205</v>
      </c>
      <c r="AK903" s="159">
        <f t="shared" si="288"/>
        <v>2236.3113790504899</v>
      </c>
      <c r="AL903" s="159">
        <f t="shared" si="289"/>
        <v>191136.40255707002</v>
      </c>
      <c r="AM903" s="159" t="s">
        <v>424</v>
      </c>
      <c r="AN903" s="159">
        <f>+B912/28/1.98</f>
        <v>1932.6118326118326</v>
      </c>
      <c r="AO903" s="159">
        <f>(AD903*43560/29/24/3600)</f>
        <v>887.00301724137933</v>
      </c>
      <c r="AP903" s="159">
        <f>+C325</f>
        <v>-261.32843455082485</v>
      </c>
      <c r="AQ903" s="159"/>
      <c r="AR903" s="159"/>
      <c r="AS903" s="159"/>
      <c r="AT903" s="324"/>
    </row>
    <row r="904" spans="1:46" ht="15.75" customHeight="1" x14ac:dyDescent="0.3">
      <c r="A904" s="325"/>
      <c r="B904" s="503" t="s">
        <v>1024</v>
      </c>
      <c r="C904" s="503"/>
      <c r="D904" s="503"/>
      <c r="E904" s="503"/>
      <c r="F904" s="503"/>
      <c r="G904" s="503"/>
      <c r="H904" s="503"/>
      <c r="I904" s="503"/>
      <c r="J904" s="503"/>
      <c r="K904" s="503"/>
      <c r="L904" s="503"/>
      <c r="M904" s="503"/>
      <c r="N904" s="503"/>
      <c r="O904" s="503"/>
      <c r="P904" s="503"/>
      <c r="Q904" s="159"/>
      <c r="R904" s="324"/>
      <c r="AC904" s="325" t="s">
        <v>412</v>
      </c>
      <c r="AD904" s="159">
        <f t="shared" si="284"/>
        <v>46045</v>
      </c>
      <c r="AE904" s="159">
        <f t="shared" si="285"/>
        <v>1646.592054011945</v>
      </c>
      <c r="AF904" s="159">
        <f t="shared" ref="AF904:AF913" si="292">(AD904*AE904/1000)</f>
        <v>75817.331126980003</v>
      </c>
      <c r="AG904" s="159">
        <f t="shared" si="286"/>
        <v>129617.287</v>
      </c>
      <c r="AH904" s="159">
        <f t="shared" si="290"/>
        <v>205434.61812698</v>
      </c>
      <c r="AI904" s="159">
        <f t="shared" si="287"/>
        <v>39462</v>
      </c>
      <c r="AJ904" s="159">
        <f t="shared" si="291"/>
        <v>244896.61812698</v>
      </c>
      <c r="AK904" s="159">
        <f t="shared" si="288"/>
        <v>3012.9924642049727</v>
      </c>
      <c r="AL904" s="159">
        <f t="shared" si="289"/>
        <v>241883.62566277504</v>
      </c>
      <c r="AM904" s="159" t="s">
        <v>424</v>
      </c>
      <c r="AN904" s="159">
        <f>+B913/31/1.98</f>
        <v>2241.6911045943307</v>
      </c>
      <c r="AO904" s="159">
        <f>(AD904*43560/31/24/3600)</f>
        <v>748.85013440860212</v>
      </c>
      <c r="AP904" s="159">
        <f>+D325</f>
        <v>-308.83477298976783</v>
      </c>
      <c r="AQ904" s="159"/>
      <c r="AR904" s="159"/>
      <c r="AS904" s="159"/>
      <c r="AT904" s="324"/>
    </row>
    <row r="905" spans="1:46" ht="15.75" customHeight="1" x14ac:dyDescent="0.3">
      <c r="A905" s="325"/>
      <c r="B905" s="503"/>
      <c r="C905" s="503"/>
      <c r="D905" s="503"/>
      <c r="E905" s="503"/>
      <c r="F905" s="503"/>
      <c r="G905" s="503"/>
      <c r="H905" s="503"/>
      <c r="I905" s="503"/>
      <c r="J905" s="503"/>
      <c r="K905" s="503"/>
      <c r="L905" s="503"/>
      <c r="M905" s="503"/>
      <c r="N905" s="503"/>
      <c r="O905" s="503"/>
      <c r="P905" s="503"/>
      <c r="Q905" s="159"/>
      <c r="R905" s="324"/>
      <c r="AC905" s="325" t="s">
        <v>413</v>
      </c>
      <c r="AD905" s="159">
        <f t="shared" si="284"/>
        <v>10279</v>
      </c>
      <c r="AE905" s="159">
        <f t="shared" si="285"/>
        <v>1645.8271291131655</v>
      </c>
      <c r="AF905" s="159">
        <f t="shared" si="292"/>
        <v>16917.457060154229</v>
      </c>
      <c r="AG905" s="159">
        <f t="shared" si="286"/>
        <v>224306.24</v>
      </c>
      <c r="AH905" s="159">
        <f t="shared" si="290"/>
        <v>241223.69706015423</v>
      </c>
      <c r="AI905" s="159">
        <f t="shared" si="287"/>
        <v>49349</v>
      </c>
      <c r="AJ905" s="159">
        <f t="shared" si="291"/>
        <v>290572.69706015423</v>
      </c>
      <c r="AK905" s="159">
        <f t="shared" si="288"/>
        <v>1044.425677996546</v>
      </c>
      <c r="AL905" s="159">
        <f t="shared" si="289"/>
        <v>289528.27138215769</v>
      </c>
      <c r="AM905" s="159" t="s">
        <v>424</v>
      </c>
      <c r="AN905" s="159">
        <f>+B914/30/1.98</f>
        <v>2839.2760942760942</v>
      </c>
      <c r="AO905" s="159">
        <f>(AD905*43560/30/24/3600)</f>
        <v>172.74430555555554</v>
      </c>
      <c r="AP905" s="159">
        <f>+F325</f>
        <v>-111.24558749369641</v>
      </c>
      <c r="AQ905" s="159"/>
      <c r="AR905" s="159"/>
      <c r="AS905" s="159"/>
      <c r="AT905" s="324"/>
    </row>
    <row r="906" spans="1:46" ht="15.75" customHeight="1" x14ac:dyDescent="0.3">
      <c r="A906" s="325"/>
      <c r="B906" s="509">
        <f>+A5</f>
        <v>2018</v>
      </c>
      <c r="C906" s="509"/>
      <c r="D906" s="509"/>
      <c r="E906" s="509"/>
      <c r="F906" s="509"/>
      <c r="G906" s="509"/>
      <c r="H906" s="509"/>
      <c r="I906" s="509"/>
      <c r="J906" s="509"/>
      <c r="K906" s="509"/>
      <c r="L906" s="509"/>
      <c r="M906" s="509"/>
      <c r="N906" s="509"/>
      <c r="O906" s="509"/>
      <c r="P906" s="509"/>
      <c r="Q906" s="159"/>
      <c r="R906" s="324"/>
      <c r="AC906" s="325" t="s">
        <v>414</v>
      </c>
      <c r="AD906" s="159">
        <f t="shared" si="284"/>
        <v>4059</v>
      </c>
      <c r="AE906" s="159">
        <f t="shared" si="285"/>
        <v>1642.8008309529996</v>
      </c>
      <c r="AF906" s="159">
        <f t="shared" si="292"/>
        <v>6668.1285728382254</v>
      </c>
      <c r="AG906" s="159">
        <f t="shared" si="286"/>
        <v>248274.18599999999</v>
      </c>
      <c r="AH906" s="159">
        <f t="shared" si="290"/>
        <v>254942.31457283822</v>
      </c>
      <c r="AI906" s="159">
        <f t="shared" si="287"/>
        <v>49585</v>
      </c>
      <c r="AJ906" s="159">
        <f t="shared" si="291"/>
        <v>304527.31457283825</v>
      </c>
      <c r="AK906" s="159">
        <f t="shared" si="288"/>
        <v>753.46125094197532</v>
      </c>
      <c r="AL906" s="159">
        <f t="shared" si="289"/>
        <v>303773.85332189628</v>
      </c>
      <c r="AM906" s="159" t="s">
        <v>424</v>
      </c>
      <c r="AN906" s="159">
        <f>+B915/31/1.98</f>
        <v>2922.9064841968066</v>
      </c>
      <c r="AO906" s="159">
        <f>(AD906*43560/31/24/3600)</f>
        <v>66.013306451612905</v>
      </c>
      <c r="AP906" s="159">
        <f>+G325</f>
        <v>-79.433247116620308</v>
      </c>
      <c r="AQ906" s="159"/>
      <c r="AR906" s="159"/>
      <c r="AS906" s="159"/>
      <c r="AT906" s="324"/>
    </row>
    <row r="907" spans="1:46" ht="15.75" customHeight="1" x14ac:dyDescent="0.3">
      <c r="A907" s="325"/>
      <c r="B907" s="503" t="s">
        <v>1025</v>
      </c>
      <c r="C907" s="503"/>
      <c r="D907" s="503"/>
      <c r="E907" s="503"/>
      <c r="F907" s="503"/>
      <c r="G907" s="503"/>
      <c r="H907" s="503"/>
      <c r="I907" s="503"/>
      <c r="J907" s="503"/>
      <c r="K907" s="503"/>
      <c r="L907" s="503"/>
      <c r="M907" s="503"/>
      <c r="N907" s="503"/>
      <c r="O907" s="503"/>
      <c r="P907" s="503"/>
      <c r="Q907" s="159"/>
      <c r="R907" s="324"/>
      <c r="AC907" s="325" t="s">
        <v>415</v>
      </c>
      <c r="AD907" s="159">
        <f t="shared" si="284"/>
        <v>0</v>
      </c>
      <c r="AE907" s="159">
        <f t="shared" si="285"/>
        <v>1626.3375746559338</v>
      </c>
      <c r="AF907" s="159">
        <f t="shared" si="292"/>
        <v>0</v>
      </c>
      <c r="AG907" s="159">
        <f t="shared" si="286"/>
        <v>129450.04700000001</v>
      </c>
      <c r="AH907" s="159">
        <f t="shared" si="290"/>
        <v>129450.04700000001</v>
      </c>
      <c r="AI907" s="159">
        <f t="shared" si="287"/>
        <v>47563</v>
      </c>
      <c r="AJ907" s="159">
        <f t="shared" si="291"/>
        <v>177013.04700000002</v>
      </c>
      <c r="AK907" s="159">
        <f t="shared" si="288"/>
        <v>14451.36623963829</v>
      </c>
      <c r="AL907" s="159">
        <f t="shared" si="289"/>
        <v>162561.68076036172</v>
      </c>
      <c r="AM907" s="159" t="s">
        <v>424</v>
      </c>
      <c r="AN907" s="159">
        <f>+B916/30/1.98</f>
        <v>1550.0841750841751</v>
      </c>
      <c r="AO907" s="159">
        <f t="shared" ref="AO907:AO912" si="293">(AD907*43560/30/24/3600)</f>
        <v>0</v>
      </c>
      <c r="AP907" s="159">
        <f>+H325</f>
        <v>-1796.8566145570683</v>
      </c>
      <c r="AQ907" s="159"/>
      <c r="AR907" s="159"/>
      <c r="AS907" s="159"/>
      <c r="AT907" s="324"/>
    </row>
    <row r="908" spans="1:46" ht="15.75" customHeight="1" x14ac:dyDescent="0.3">
      <c r="A908" s="325"/>
      <c r="B908" s="159"/>
      <c r="C908" s="159"/>
      <c r="D908" s="159"/>
      <c r="E908" s="159"/>
      <c r="F908" s="159"/>
      <c r="G908" s="159"/>
      <c r="H908" s="159"/>
      <c r="I908" s="159"/>
      <c r="J908" s="159"/>
      <c r="K908" s="159"/>
      <c r="L908" s="159"/>
      <c r="M908" s="159"/>
      <c r="N908" s="159"/>
      <c r="O908" s="159"/>
      <c r="P908" s="159"/>
      <c r="Q908" s="159"/>
      <c r="R908" s="324"/>
      <c r="AC908" s="325" t="s">
        <v>416</v>
      </c>
      <c r="AD908" s="159">
        <f t="shared" si="284"/>
        <v>0</v>
      </c>
      <c r="AE908" s="159">
        <f t="shared" si="285"/>
        <v>1614.093965893418</v>
      </c>
      <c r="AF908" s="159">
        <f t="shared" si="292"/>
        <v>0</v>
      </c>
      <c r="AG908" s="159">
        <f t="shared" si="286"/>
        <v>110389.53200000001</v>
      </c>
      <c r="AH908" s="159">
        <f t="shared" si="290"/>
        <v>110389.53200000001</v>
      </c>
      <c r="AI908" s="159">
        <f t="shared" si="287"/>
        <v>47519</v>
      </c>
      <c r="AJ908" s="159">
        <f t="shared" si="291"/>
        <v>157908.53200000001</v>
      </c>
      <c r="AK908" s="159">
        <f t="shared" si="288"/>
        <v>14279.828496924818</v>
      </c>
      <c r="AL908" s="159">
        <f t="shared" si="289"/>
        <v>143628.7035030752</v>
      </c>
      <c r="AM908" s="159" t="s">
        <v>424</v>
      </c>
      <c r="AN908" s="159">
        <f>+B917/31/1.98</f>
        <v>1282.258064516129</v>
      </c>
      <c r="AO908" s="159">
        <f t="shared" si="293"/>
        <v>0</v>
      </c>
      <c r="AP908" s="159">
        <f>+J325</f>
        <v>-1920.1112683617196</v>
      </c>
      <c r="AQ908" s="159"/>
      <c r="AR908" s="159"/>
      <c r="AS908" s="159"/>
      <c r="AT908" s="324"/>
    </row>
    <row r="909" spans="1:46" ht="15.75" customHeight="1" thickBot="1" x14ac:dyDescent="0.35">
      <c r="A909" s="325" t="s">
        <v>433</v>
      </c>
      <c r="B909" s="364" t="s">
        <v>390</v>
      </c>
      <c r="C909" s="364" t="s">
        <v>391</v>
      </c>
      <c r="D909" s="364" t="s">
        <v>392</v>
      </c>
      <c r="E909" s="364" t="s">
        <v>393</v>
      </c>
      <c r="F909" s="364" t="s">
        <v>394</v>
      </c>
      <c r="G909" s="364" t="s">
        <v>394</v>
      </c>
      <c r="H909" s="364" t="s">
        <v>395</v>
      </c>
      <c r="I909" s="364" t="s">
        <v>396</v>
      </c>
      <c r="J909" s="364" t="s">
        <v>397</v>
      </c>
      <c r="K909" s="364" t="s">
        <v>398</v>
      </c>
      <c r="L909" s="364" t="s">
        <v>399</v>
      </c>
      <c r="M909" s="364" t="s">
        <v>400</v>
      </c>
      <c r="N909" s="364" t="s">
        <v>401</v>
      </c>
      <c r="O909" s="364" t="s">
        <v>402</v>
      </c>
      <c r="P909" s="364" t="s">
        <v>403</v>
      </c>
      <c r="Q909" s="364" t="s">
        <v>404</v>
      </c>
      <c r="R909" s="324"/>
      <c r="T909" s="45" t="s">
        <v>1026</v>
      </c>
      <c r="AC909" s="325" t="s">
        <v>417</v>
      </c>
      <c r="AD909" s="159">
        <f t="shared" si="284"/>
        <v>0</v>
      </c>
      <c r="AE909" s="159">
        <f t="shared" si="285"/>
        <v>1600.6037637565339</v>
      </c>
      <c r="AF909" s="159">
        <f t="shared" si="292"/>
        <v>0</v>
      </c>
      <c r="AG909" s="159">
        <f t="shared" si="286"/>
        <v>38597.786999999997</v>
      </c>
      <c r="AH909" s="159">
        <f t="shared" si="290"/>
        <v>38597.786999999997</v>
      </c>
      <c r="AI909" s="159">
        <f t="shared" si="287"/>
        <v>50060</v>
      </c>
      <c r="AJ909" s="159">
        <f t="shared" si="291"/>
        <v>88657.786999999997</v>
      </c>
      <c r="AK909" s="159">
        <f t="shared" si="288"/>
        <v>16550.405806515493</v>
      </c>
      <c r="AL909" s="159">
        <f t="shared" si="289"/>
        <v>72107.3811934845</v>
      </c>
      <c r="AM909" s="159" t="s">
        <v>424</v>
      </c>
      <c r="AN909" s="159">
        <f>+B918/31/1.98</f>
        <v>462.03975236233305</v>
      </c>
      <c r="AO909" s="159">
        <f t="shared" si="293"/>
        <v>0</v>
      </c>
      <c r="AP909" s="159">
        <f>+K325</f>
        <v>-2556.3092739902067</v>
      </c>
      <c r="AQ909" s="159"/>
      <c r="AR909" s="159"/>
      <c r="AS909" s="159"/>
      <c r="AT909" s="324"/>
    </row>
    <row r="910" spans="1:46" ht="15.75" customHeight="1" x14ac:dyDescent="0.3">
      <c r="A910" s="325"/>
      <c r="B910" s="159"/>
      <c r="C910" s="159"/>
      <c r="D910" s="159"/>
      <c r="E910" s="159"/>
      <c r="F910" s="164" t="s">
        <v>406</v>
      </c>
      <c r="G910" s="164" t="s">
        <v>407</v>
      </c>
      <c r="H910" s="159"/>
      <c r="I910" s="159"/>
      <c r="J910" s="159"/>
      <c r="K910" s="159"/>
      <c r="L910" s="159"/>
      <c r="M910" s="159"/>
      <c r="N910" s="159"/>
      <c r="O910" s="159"/>
      <c r="P910" s="159"/>
      <c r="Q910" s="159"/>
      <c r="R910" s="324"/>
      <c r="AC910" s="325" t="s">
        <v>418</v>
      </c>
      <c r="AD910" s="159">
        <f t="shared" si="284"/>
        <v>17967</v>
      </c>
      <c r="AE910" s="159">
        <f t="shared" si="285"/>
        <v>1598.5266164632565</v>
      </c>
      <c r="AF910" s="159">
        <f t="shared" si="292"/>
        <v>28720.727717995327</v>
      </c>
      <c r="AG910" s="159">
        <f t="shared" si="286"/>
        <v>208722.867</v>
      </c>
      <c r="AH910" s="159">
        <f t="shared" si="290"/>
        <v>237443.59471799532</v>
      </c>
      <c r="AI910" s="159">
        <f t="shared" si="287"/>
        <v>41141</v>
      </c>
      <c r="AJ910" s="159">
        <f t="shared" si="291"/>
        <v>278584.59471799532</v>
      </c>
      <c r="AK910" s="159">
        <v>0</v>
      </c>
      <c r="AL910" s="159">
        <f t="shared" si="289"/>
        <v>278584.59471799532</v>
      </c>
      <c r="AM910" s="159" t="s">
        <v>424</v>
      </c>
      <c r="AN910" s="159">
        <f>+B919/30/1.98</f>
        <v>2782.4242424242425</v>
      </c>
      <c r="AO910" s="159">
        <f t="shared" si="293"/>
        <v>301.94541666666669</v>
      </c>
      <c r="AP910" s="159">
        <f>+L325</f>
        <v>-134.19062027231467</v>
      </c>
      <c r="AQ910" s="159"/>
      <c r="AR910" s="159"/>
      <c r="AS910" s="159"/>
      <c r="AT910" s="324"/>
    </row>
    <row r="911" spans="1:46" ht="15.75" customHeight="1" x14ac:dyDescent="0.3">
      <c r="A911" s="365" t="s">
        <v>795</v>
      </c>
      <c r="B911" s="159">
        <f>+B29</f>
        <v>89713</v>
      </c>
      <c r="C911" s="159">
        <f>+B64</f>
        <v>89616</v>
      </c>
      <c r="D911" s="159">
        <f>+B133</f>
        <v>89520</v>
      </c>
      <c r="E911" s="159">
        <f>+B315</f>
        <v>88667</v>
      </c>
      <c r="F911" s="159">
        <f>+B310</f>
        <v>42045</v>
      </c>
      <c r="G911" s="159">
        <f>+B322</f>
        <v>-4721</v>
      </c>
      <c r="H911" s="159">
        <f>+B485</f>
        <v>27634</v>
      </c>
      <c r="I911" s="159">
        <f>+B535</f>
        <v>13718</v>
      </c>
      <c r="J911" s="159">
        <f>+B580</f>
        <v>13674</v>
      </c>
      <c r="K911" s="159">
        <f>+B644</f>
        <v>13625</v>
      </c>
      <c r="L911" s="159">
        <f>+B654</f>
        <v>11997</v>
      </c>
      <c r="M911" s="159">
        <f>+B690</f>
        <v>11977</v>
      </c>
      <c r="N911" s="159">
        <f>+B741</f>
        <v>11691</v>
      </c>
      <c r="O911" s="159">
        <f>+B751</f>
        <v>3717</v>
      </c>
      <c r="P911" s="159">
        <f>+B785</f>
        <v>3753</v>
      </c>
      <c r="Q911" s="159">
        <f>+B834</f>
        <v>3715</v>
      </c>
      <c r="R911" s="324"/>
      <c r="T911" s="366">
        <f>'[1]Lake Pleasant Forecast'!B35</f>
        <v>1690.1998116000643</v>
      </c>
      <c r="AC911" s="325" t="s">
        <v>419</v>
      </c>
      <c r="AD911" s="159">
        <f t="shared" si="284"/>
        <v>94204</v>
      </c>
      <c r="AE911" s="159">
        <f t="shared" si="285"/>
        <v>1607.0828356271095</v>
      </c>
      <c r="AF911" s="159">
        <f t="shared" si="292"/>
        <v>151393.63144741621</v>
      </c>
      <c r="AG911" s="159">
        <f t="shared" si="286"/>
        <v>115047.329</v>
      </c>
      <c r="AH911" s="159">
        <f t="shared" si="290"/>
        <v>266440.96044741618</v>
      </c>
      <c r="AI911" s="159">
        <f t="shared" si="287"/>
        <v>19810</v>
      </c>
      <c r="AJ911" s="159">
        <f t="shared" si="291"/>
        <v>286250.96044741618</v>
      </c>
      <c r="AK911" s="159">
        <v>0</v>
      </c>
      <c r="AL911" s="159">
        <f t="shared" si="289"/>
        <v>286250.96044741618</v>
      </c>
      <c r="AM911" s="159" t="s">
        <v>424</v>
      </c>
      <c r="AN911" s="159">
        <f>+B920/31/1.98</f>
        <v>2854.317367220593</v>
      </c>
      <c r="AO911" s="159">
        <f t="shared" si="293"/>
        <v>1583.1505555555555</v>
      </c>
      <c r="AP911" s="159">
        <f>+N325</f>
        <v>0</v>
      </c>
      <c r="AQ911" s="159"/>
      <c r="AR911" s="159"/>
      <c r="AS911" s="159"/>
      <c r="AT911" s="324"/>
    </row>
    <row r="912" spans="1:46" ht="15.75" customHeight="1" x14ac:dyDescent="0.3">
      <c r="A912" s="365" t="s">
        <v>9</v>
      </c>
      <c r="B912" s="159">
        <f>+C29</f>
        <v>107144</v>
      </c>
      <c r="C912" s="159">
        <f>+C64</f>
        <v>106996</v>
      </c>
      <c r="D912" s="159">
        <f>+C133</f>
        <v>106851</v>
      </c>
      <c r="E912" s="159">
        <f>+C315</f>
        <v>105580</v>
      </c>
      <c r="F912" s="159">
        <f>+C310</f>
        <v>51021</v>
      </c>
      <c r="G912" s="159">
        <f>+C322</f>
        <v>-14510</v>
      </c>
      <c r="H912" s="159">
        <f>+C485</f>
        <v>42323</v>
      </c>
      <c r="I912" s="159">
        <f>+C535</f>
        <v>22143</v>
      </c>
      <c r="J912" s="159">
        <f>+C580</f>
        <v>22023</v>
      </c>
      <c r="K912" s="159">
        <f>+C644</f>
        <v>21321</v>
      </c>
      <c r="L912" s="159">
        <f>+C654</f>
        <v>16733</v>
      </c>
      <c r="M912" s="159">
        <f>+C690</f>
        <v>16711</v>
      </c>
      <c r="N912" s="159">
        <f>+C741</f>
        <v>15825</v>
      </c>
      <c r="O912" s="159">
        <f>+C751</f>
        <v>4071</v>
      </c>
      <c r="P912" s="159">
        <f>+C785</f>
        <v>3023</v>
      </c>
      <c r="Q912" s="159">
        <f>+C834</f>
        <v>4068</v>
      </c>
      <c r="R912" s="324"/>
      <c r="T912" s="366">
        <f>'[1]Lake Pleasant Forecast'!B37</f>
        <v>1693.66</v>
      </c>
      <c r="AC912" s="325" t="s">
        <v>420</v>
      </c>
      <c r="AD912" s="159">
        <f t="shared" si="284"/>
        <v>80702</v>
      </c>
      <c r="AE912" s="159">
        <f t="shared" si="285"/>
        <v>1617.5216826798235</v>
      </c>
      <c r="AF912" s="159">
        <f t="shared" si="292"/>
        <v>130537.23483562711</v>
      </c>
      <c r="AG912" s="159">
        <f t="shared" si="286"/>
        <v>128220.33900000001</v>
      </c>
      <c r="AH912" s="159">
        <f t="shared" si="290"/>
        <v>258757.57383562712</v>
      </c>
      <c r="AI912" s="159">
        <f t="shared" si="287"/>
        <v>12024</v>
      </c>
      <c r="AJ912" s="159">
        <f t="shared" si="291"/>
        <v>270781.57383562712</v>
      </c>
      <c r="AK912" s="159">
        <f>(G1006)</f>
        <v>13.620482290881665</v>
      </c>
      <c r="AL912" s="159">
        <f t="shared" si="289"/>
        <v>270767.95335333626</v>
      </c>
      <c r="AM912" s="159" t="s">
        <v>424</v>
      </c>
      <c r="AN912" s="159">
        <f>+B921/30/1.98</f>
        <v>2882.5589225589224</v>
      </c>
      <c r="AO912" s="159">
        <f t="shared" si="293"/>
        <v>1356.2419444444445</v>
      </c>
      <c r="AP912" s="159">
        <f>+O325</f>
        <v>-1.8322407127248277</v>
      </c>
      <c r="AQ912" s="159"/>
      <c r="AR912" s="159"/>
      <c r="AS912" s="159"/>
      <c r="AT912" s="324"/>
    </row>
    <row r="913" spans="1:50" ht="15.75" customHeight="1" x14ac:dyDescent="0.3">
      <c r="A913" s="365" t="s">
        <v>10</v>
      </c>
      <c r="B913" s="159">
        <f>+D29</f>
        <v>137595</v>
      </c>
      <c r="C913" s="159">
        <f>+D64</f>
        <v>137321</v>
      </c>
      <c r="D913" s="159">
        <f>+D133</f>
        <v>137060</v>
      </c>
      <c r="E913" s="159">
        <f>+D315</f>
        <v>133800</v>
      </c>
      <c r="F913" s="159">
        <f>+D310</f>
        <v>46045</v>
      </c>
      <c r="G913" s="159">
        <f>+D322</f>
        <v>-18985</v>
      </c>
      <c r="H913" s="159">
        <f>+D485</f>
        <v>80845</v>
      </c>
      <c r="I913" s="159">
        <f>+D535</f>
        <v>33828</v>
      </c>
      <c r="J913" s="159">
        <f>+D580</f>
        <v>28768</v>
      </c>
      <c r="K913" s="159">
        <f>+D644</f>
        <v>26714</v>
      </c>
      <c r="L913" s="159">
        <f>+D654</f>
        <v>19810</v>
      </c>
      <c r="M913" s="159">
        <f>+D690</f>
        <v>19782</v>
      </c>
      <c r="N913" s="159">
        <f>+D741</f>
        <v>18827</v>
      </c>
      <c r="O913" s="159">
        <f>+D751</f>
        <v>2777</v>
      </c>
      <c r="P913" s="159">
        <f>+D785</f>
        <v>3780</v>
      </c>
      <c r="Q913" s="159">
        <f>+D834</f>
        <v>2745</v>
      </c>
      <c r="R913" s="324"/>
      <c r="T913" s="366">
        <f>'[1]Lake Pleasant Forecast'!B39</f>
        <v>1696.7</v>
      </c>
      <c r="AC913" s="325" t="s">
        <v>421</v>
      </c>
      <c r="AD913" s="159">
        <f t="shared" si="284"/>
        <v>79076</v>
      </c>
      <c r="AE913" s="159">
        <f t="shared" si="285"/>
        <v>1621.0530797648637</v>
      </c>
      <c r="AF913" s="159">
        <f t="shared" si="292"/>
        <v>128186.39333548637</v>
      </c>
      <c r="AG913" s="159">
        <f t="shared" si="286"/>
        <v>89721.327999999994</v>
      </c>
      <c r="AH913" s="159">
        <f t="shared" si="290"/>
        <v>217907.72133548636</v>
      </c>
      <c r="AI913" s="159">
        <f t="shared" si="287"/>
        <v>10982</v>
      </c>
      <c r="AJ913" s="159">
        <f t="shared" si="291"/>
        <v>228889.72133548636</v>
      </c>
      <c r="AK913" s="159">
        <f>(G1007)</f>
        <v>0</v>
      </c>
      <c r="AL913" s="159">
        <f t="shared" si="289"/>
        <v>228889.72133548636</v>
      </c>
      <c r="AM913" s="159" t="s">
        <v>424</v>
      </c>
      <c r="AN913" s="159">
        <f>+B922/31/1.98</f>
        <v>2320.690778755295</v>
      </c>
      <c r="AO913" s="159">
        <f>(AD913*43560/31/24/3600)</f>
        <v>1286.0478494623655</v>
      </c>
      <c r="AP913" s="159">
        <f>+P325</f>
        <v>0</v>
      </c>
      <c r="AQ913" s="159"/>
      <c r="AR913" s="159"/>
      <c r="AS913" s="159"/>
      <c r="AT913" s="324"/>
    </row>
    <row r="914" spans="1:50" ht="15.75" customHeight="1" x14ac:dyDescent="0.3">
      <c r="A914" s="365" t="s">
        <v>12</v>
      </c>
      <c r="B914" s="159">
        <f>+F29</f>
        <v>168653</v>
      </c>
      <c r="C914" s="159">
        <f>+F64</f>
        <v>168286</v>
      </c>
      <c r="D914" s="159">
        <f>+F133</f>
        <v>167936</v>
      </c>
      <c r="E914" s="159">
        <f>+F315</f>
        <v>162267</v>
      </c>
      <c r="F914" s="159">
        <f>+F310</f>
        <v>10279</v>
      </c>
      <c r="G914" s="159">
        <f>+F322</f>
        <v>-6618</v>
      </c>
      <c r="H914" s="159">
        <f>+F485</f>
        <v>116980</v>
      </c>
      <c r="I914" s="159">
        <f>+F535</f>
        <v>46114</v>
      </c>
      <c r="J914" s="159">
        <f>+F580</f>
        <v>34875</v>
      </c>
      <c r="K914" s="159">
        <f>+F644</f>
        <v>29062</v>
      </c>
      <c r="L914" s="159">
        <f>+F654</f>
        <v>22744</v>
      </c>
      <c r="M914" s="159">
        <f>+F690</f>
        <v>22707</v>
      </c>
      <c r="N914" s="159">
        <f>+F741</f>
        <v>21275</v>
      </c>
      <c r="O914" s="159">
        <f>+F751</f>
        <v>3950</v>
      </c>
      <c r="P914" s="159">
        <f>+F785</f>
        <v>4566</v>
      </c>
      <c r="Q914" s="159">
        <f>+F834</f>
        <v>3943</v>
      </c>
      <c r="R914" s="324"/>
      <c r="T914" s="366">
        <f>'[1]Lake Pleasant Forecast'!B41</f>
        <v>1696.11085484296</v>
      </c>
      <c r="AC914" s="323"/>
      <c r="AD914" s="159"/>
      <c r="AE914" s="159"/>
      <c r="AF914" s="159"/>
      <c r="AG914" s="159"/>
      <c r="AH914" s="159"/>
      <c r="AI914" s="159"/>
      <c r="AJ914" s="159"/>
      <c r="AK914" s="159"/>
      <c r="AL914" s="159"/>
      <c r="AM914" s="159" t="s">
        <v>424</v>
      </c>
      <c r="AN914" s="159"/>
      <c r="AO914" s="159"/>
      <c r="AP914" s="159"/>
      <c r="AQ914" s="159"/>
      <c r="AR914" s="159"/>
      <c r="AS914" s="159"/>
      <c r="AT914" s="324"/>
    </row>
    <row r="915" spans="1:50" ht="15.75" customHeight="1" x14ac:dyDescent="0.3">
      <c r="A915" s="365" t="s">
        <v>13</v>
      </c>
      <c r="B915" s="159">
        <f>+G29</f>
        <v>179408</v>
      </c>
      <c r="C915" s="159">
        <f>+G64</f>
        <v>178983</v>
      </c>
      <c r="D915" s="159">
        <f>+G133</f>
        <v>178581</v>
      </c>
      <c r="E915" s="159">
        <f>+G315</f>
        <v>172030</v>
      </c>
      <c r="F915" s="159">
        <f>+G310</f>
        <v>4059</v>
      </c>
      <c r="G915" s="159">
        <f>+G322</f>
        <v>-4883</v>
      </c>
      <c r="H915" s="159">
        <f>+G485</f>
        <v>129854</v>
      </c>
      <c r="I915" s="159">
        <f>+G535</f>
        <v>41916</v>
      </c>
      <c r="J915" s="159">
        <f>+G580</f>
        <v>32231</v>
      </c>
      <c r="K915" s="159">
        <f>+G644</f>
        <v>26704</v>
      </c>
      <c r="L915" s="159">
        <f>+G654</f>
        <v>22776</v>
      </c>
      <c r="M915" s="159">
        <f>+G690</f>
        <v>22734</v>
      </c>
      <c r="N915" s="159">
        <f>+G741</f>
        <v>21199</v>
      </c>
      <c r="O915" s="159">
        <f>+G751</f>
        <v>4730</v>
      </c>
      <c r="P915" s="159">
        <f>+G785</f>
        <v>5871</v>
      </c>
      <c r="Q915" s="159">
        <f>+G834</f>
        <v>4722</v>
      </c>
      <c r="R915" s="324"/>
      <c r="T915" s="366">
        <f>'[1]Lake Pleasant Forecast'!B43</f>
        <v>1693.7800000000002</v>
      </c>
      <c r="AC915" s="323" t="s">
        <v>422</v>
      </c>
      <c r="AD915" s="159">
        <f>SUM(AD902:AD913)</f>
        <v>425398</v>
      </c>
      <c r="AE915" s="159"/>
      <c r="AF915" s="159">
        <f t="shared" ref="AF915:AL915" si="294">SUM(AF902:AF913)</f>
        <v>690926.41549863294</v>
      </c>
      <c r="AG915" s="159">
        <f t="shared" si="294"/>
        <v>1569689.2199999997</v>
      </c>
      <c r="AH915" s="159">
        <f t="shared" si="294"/>
        <v>2260615.6354986331</v>
      </c>
      <c r="AI915" s="159">
        <f t="shared" si="294"/>
        <v>418452</v>
      </c>
      <c r="AJ915" s="159">
        <f t="shared" si="294"/>
        <v>2679067.6354986331</v>
      </c>
      <c r="AK915" s="159">
        <f t="shared" si="294"/>
        <v>53045.401866235516</v>
      </c>
      <c r="AL915" s="159">
        <f t="shared" si="294"/>
        <v>2626022.2336323974</v>
      </c>
      <c r="AM915" s="159"/>
      <c r="AN915" s="159"/>
      <c r="AO915" s="159"/>
      <c r="AP915" s="159"/>
      <c r="AQ915" s="159"/>
      <c r="AR915" s="159"/>
      <c r="AS915" s="159"/>
      <c r="AT915" s="324"/>
    </row>
    <row r="916" spans="1:50" ht="15.75" customHeight="1" x14ac:dyDescent="0.3">
      <c r="A916" s="365" t="s">
        <v>14</v>
      </c>
      <c r="B916" s="159">
        <f>+H29</f>
        <v>92075</v>
      </c>
      <c r="C916" s="159">
        <f>+H64</f>
        <v>91658</v>
      </c>
      <c r="D916" s="159">
        <f>+H133</f>
        <v>91262</v>
      </c>
      <c r="E916" s="159">
        <f>+H315</f>
        <v>84340</v>
      </c>
      <c r="F916" s="159">
        <f>+H310</f>
        <v>0</v>
      </c>
      <c r="G916" s="159">
        <f>+H322</f>
        <v>-106895</v>
      </c>
      <c r="H916" s="159">
        <f>+H485</f>
        <v>143470</v>
      </c>
      <c r="I916" s="159">
        <f>+H535</f>
        <v>44920</v>
      </c>
      <c r="J916" s="159">
        <f>+H580</f>
        <v>29005</v>
      </c>
      <c r="K916" s="159">
        <f>+H644</f>
        <v>23016</v>
      </c>
      <c r="L916" s="159">
        <f>+H654</f>
        <v>19660</v>
      </c>
      <c r="M916" s="159">
        <f>+H690</f>
        <v>19616</v>
      </c>
      <c r="N916" s="159">
        <f>+H741</f>
        <v>17889</v>
      </c>
      <c r="O916" s="159">
        <f>+H751</f>
        <v>3900</v>
      </c>
      <c r="P916" s="159">
        <f>+H785</f>
        <v>5822</v>
      </c>
      <c r="Q916" s="159">
        <f>+H834</f>
        <v>3891</v>
      </c>
      <c r="R916" s="324"/>
      <c r="T916" s="366">
        <f>'[1]Lake Pleasant Forecast'!B45</f>
        <v>1681.1000000000001</v>
      </c>
      <c r="AC916" s="323"/>
      <c r="AD916" s="159"/>
      <c r="AE916" s="159"/>
      <c r="AF916" s="159"/>
      <c r="AG916" s="159"/>
      <c r="AH916" s="159"/>
      <c r="AI916" s="159"/>
      <c r="AJ916" s="159"/>
      <c r="AK916" s="159"/>
      <c r="AL916" s="159"/>
      <c r="AM916" s="159"/>
      <c r="AN916" s="159"/>
      <c r="AO916" s="159"/>
      <c r="AP916" s="159"/>
      <c r="AQ916" s="159"/>
      <c r="AR916" s="159"/>
      <c r="AS916" s="159"/>
      <c r="AT916" s="324"/>
    </row>
    <row r="917" spans="1:50" ht="15.75" customHeight="1" x14ac:dyDescent="0.3">
      <c r="A917" s="365" t="s">
        <v>16</v>
      </c>
      <c r="B917" s="159">
        <f>+J29</f>
        <v>78705</v>
      </c>
      <c r="C917" s="159">
        <f>+J64</f>
        <v>78289</v>
      </c>
      <c r="D917" s="159">
        <f>+J133</f>
        <v>77895</v>
      </c>
      <c r="E917" s="159">
        <f>+J315</f>
        <v>70991</v>
      </c>
      <c r="F917" s="159">
        <f>+J310</f>
        <v>0</v>
      </c>
      <c r="G917" s="159">
        <f>+J322</f>
        <v>-118035</v>
      </c>
      <c r="H917" s="159">
        <f>+J485</f>
        <v>145660</v>
      </c>
      <c r="I917" s="159">
        <f>+J535</f>
        <v>48670</v>
      </c>
      <c r="J917" s="159">
        <f>+J580</f>
        <v>30117</v>
      </c>
      <c r="K917" s="159">
        <f>+J644</f>
        <v>22776</v>
      </c>
      <c r="L917" s="159">
        <f>+J654</f>
        <v>18401</v>
      </c>
      <c r="M917" s="159">
        <f>+J690</f>
        <v>18362</v>
      </c>
      <c r="N917" s="159">
        <f>+J741</f>
        <v>16802</v>
      </c>
      <c r="O917" s="159">
        <f>+J751</f>
        <v>3392</v>
      </c>
      <c r="P917" s="159">
        <f>+J785</f>
        <v>5226</v>
      </c>
      <c r="Q917" s="159">
        <f>+J834</f>
        <v>3385</v>
      </c>
      <c r="R917" s="324"/>
      <c r="T917" s="366">
        <f>'[1]Lake Pleasant Forecast'!B47</f>
        <v>1671.6699725311105</v>
      </c>
      <c r="AC917" s="323" t="s">
        <v>450</v>
      </c>
      <c r="AD917" s="159"/>
      <c r="AE917" s="159"/>
      <c r="AF917" s="159"/>
      <c r="AG917" s="159"/>
      <c r="AH917" s="159"/>
      <c r="AI917" s="159"/>
      <c r="AJ917" s="159"/>
      <c r="AK917" s="159"/>
      <c r="AL917" s="159"/>
      <c r="AM917" s="159"/>
      <c r="AN917" s="159"/>
      <c r="AO917" s="159"/>
      <c r="AP917" s="159"/>
      <c r="AQ917" s="159"/>
      <c r="AR917" s="159"/>
      <c r="AS917" s="159"/>
      <c r="AT917" s="324"/>
    </row>
    <row r="918" spans="1:50" ht="15.75" customHeight="1" x14ac:dyDescent="0.3">
      <c r="A918" s="365" t="s">
        <v>17</v>
      </c>
      <c r="B918" s="159">
        <f>+K29</f>
        <v>28360</v>
      </c>
      <c r="C918" s="159">
        <f>+K64</f>
        <v>28026</v>
      </c>
      <c r="D918" s="159">
        <f>+K133</f>
        <v>27708</v>
      </c>
      <c r="E918" s="159">
        <f>+K315</f>
        <v>20509</v>
      </c>
      <c r="F918" s="159">
        <f>+K310</f>
        <v>0</v>
      </c>
      <c r="G918" s="159">
        <f>+K322</f>
        <v>-157144</v>
      </c>
      <c r="H918" s="159">
        <f>+K485</f>
        <v>123809</v>
      </c>
      <c r="I918" s="159">
        <f>+K535</f>
        <v>48950</v>
      </c>
      <c r="J918" s="159">
        <f>+K580</f>
        <v>32508</v>
      </c>
      <c r="K918" s="159">
        <f>+K644</f>
        <v>28147</v>
      </c>
      <c r="L918" s="159">
        <f>+K654</f>
        <v>22624</v>
      </c>
      <c r="M918" s="159">
        <f>+K690</f>
        <v>22588</v>
      </c>
      <c r="N918" s="159">
        <f>+K741</f>
        <v>20052</v>
      </c>
      <c r="O918" s="159">
        <f>+K751</f>
        <v>4526</v>
      </c>
      <c r="P918" s="159">
        <f>+K785</f>
        <v>5706</v>
      </c>
      <c r="Q918" s="159">
        <f>+K834</f>
        <v>4520</v>
      </c>
      <c r="R918" s="324"/>
      <c r="T918" s="366">
        <f>'[1]Lake Pleasant Forecast'!B49</f>
        <v>1661.2798188452823</v>
      </c>
      <c r="AC918" s="323" t="s">
        <v>451</v>
      </c>
      <c r="AD918" s="159"/>
      <c r="AE918" s="159"/>
      <c r="AF918" s="159"/>
      <c r="AG918" s="159"/>
      <c r="AH918" s="159"/>
      <c r="AI918" s="159"/>
      <c r="AJ918" s="159"/>
      <c r="AK918" s="159"/>
      <c r="AL918" s="159"/>
      <c r="AM918" s="159"/>
      <c r="AN918" s="159"/>
      <c r="AO918" s="159"/>
      <c r="AP918" s="159"/>
      <c r="AQ918" s="159"/>
      <c r="AR918" s="159"/>
      <c r="AS918" s="159"/>
      <c r="AT918" s="324"/>
    </row>
    <row r="919" spans="1:50" ht="15.75" customHeight="1" x14ac:dyDescent="0.3">
      <c r="A919" s="365" t="s">
        <v>18</v>
      </c>
      <c r="B919" s="159">
        <f>+L29</f>
        <v>165276</v>
      </c>
      <c r="C919" s="159">
        <f>+L64</f>
        <v>164960</v>
      </c>
      <c r="D919" s="159">
        <f>+L133</f>
        <v>164659</v>
      </c>
      <c r="E919" s="159">
        <f>+L315</f>
        <v>159695</v>
      </c>
      <c r="F919" s="159">
        <f>+L310</f>
        <v>17967</v>
      </c>
      <c r="G919" s="159">
        <f>+L322</f>
        <v>-7983</v>
      </c>
      <c r="H919" s="159">
        <f>+L485</f>
        <v>97255</v>
      </c>
      <c r="I919" s="159">
        <f>+L535</f>
        <v>35850</v>
      </c>
      <c r="J919" s="159">
        <f>+L580</f>
        <v>27698</v>
      </c>
      <c r="K919" s="159">
        <f>+L644</f>
        <v>23993</v>
      </c>
      <c r="L919" s="159">
        <f>+L654</f>
        <v>18863</v>
      </c>
      <c r="M919" s="159">
        <f>+L690</f>
        <v>18829</v>
      </c>
      <c r="N919" s="159">
        <f>+L741</f>
        <v>16760</v>
      </c>
      <c r="O919" s="159">
        <f>+L751</f>
        <v>4085</v>
      </c>
      <c r="P919" s="159">
        <f>+L785</f>
        <v>5582</v>
      </c>
      <c r="Q919" s="159">
        <f>+L834</f>
        <v>4079</v>
      </c>
      <c r="R919" s="324"/>
      <c r="T919" s="366">
        <f>'[1]Lake Pleasant Forecast'!B51</f>
        <v>1659.68</v>
      </c>
      <c r="AC919" s="323"/>
      <c r="AD919" s="159"/>
      <c r="AE919" s="159"/>
      <c r="AF919" s="159"/>
      <c r="AG919" s="159"/>
      <c r="AH919" s="159"/>
      <c r="AI919" s="159"/>
      <c r="AJ919" s="159"/>
      <c r="AK919" s="159"/>
      <c r="AL919" s="159"/>
      <c r="AM919" s="159"/>
      <c r="AN919" s="159"/>
      <c r="AO919" s="159"/>
      <c r="AP919" s="159"/>
      <c r="AQ919" s="159"/>
      <c r="AR919" s="159"/>
      <c r="AS919" s="159"/>
      <c r="AT919" s="324"/>
    </row>
    <row r="920" spans="1:50" ht="15.75" customHeight="1" x14ac:dyDescent="0.3">
      <c r="A920" s="365" t="s">
        <v>20</v>
      </c>
      <c r="B920" s="159">
        <f>+N29</f>
        <v>175198</v>
      </c>
      <c r="C920" s="159">
        <f>+N64</f>
        <v>174913</v>
      </c>
      <c r="D920" s="159">
        <f>+N133</f>
        <v>174641</v>
      </c>
      <c r="E920" s="159">
        <f>+N315</f>
        <v>173627</v>
      </c>
      <c r="F920" s="159">
        <f>+N310</f>
        <v>94204</v>
      </c>
      <c r="G920" s="159">
        <f>+N322</f>
        <v>0</v>
      </c>
      <c r="H920" s="159">
        <f>+N485</f>
        <v>39567</v>
      </c>
      <c r="I920" s="159">
        <f>+N535</f>
        <v>13498</v>
      </c>
      <c r="J920" s="159">
        <f>+N580</f>
        <v>12622</v>
      </c>
      <c r="K920" s="159">
        <f>+N644</f>
        <v>12436</v>
      </c>
      <c r="L920" s="159">
        <f>+N654</f>
        <v>9004</v>
      </c>
      <c r="M920" s="159">
        <f>+N690</f>
        <v>8975</v>
      </c>
      <c r="N920" s="159">
        <f>+N741</f>
        <v>8857</v>
      </c>
      <c r="O920" s="159">
        <f>+N751</f>
        <v>3175.9999999999995</v>
      </c>
      <c r="P920" s="159">
        <f>+N785</f>
        <v>3589.6666666666665</v>
      </c>
      <c r="Q920" s="159">
        <f>+N834</f>
        <v>3171</v>
      </c>
      <c r="R920" s="324"/>
      <c r="T920" s="366">
        <f>'[1]Lake Pleasant Forecast'!B53</f>
        <v>1666.2699999999998</v>
      </c>
      <c r="AC920" s="323" t="s">
        <v>452</v>
      </c>
      <c r="AD920" s="159"/>
      <c r="AE920" s="159"/>
      <c r="AF920" s="159"/>
      <c r="AG920" s="159"/>
      <c r="AH920" s="159"/>
      <c r="AI920" s="159"/>
      <c r="AJ920" s="159"/>
      <c r="AK920" s="159"/>
      <c r="AL920" s="159"/>
      <c r="AM920" s="159"/>
      <c r="AN920" s="159"/>
      <c r="AO920" s="159"/>
      <c r="AP920" s="159"/>
      <c r="AQ920" s="159"/>
      <c r="AR920" s="159"/>
      <c r="AS920" s="159"/>
      <c r="AT920" s="324"/>
    </row>
    <row r="921" spans="1:50" ht="15.75" customHeight="1" x14ac:dyDescent="0.3">
      <c r="A921" s="365" t="s">
        <v>21</v>
      </c>
      <c r="B921" s="159">
        <f>+O29</f>
        <v>171224</v>
      </c>
      <c r="C921" s="159">
        <f>+O64</f>
        <v>170989</v>
      </c>
      <c r="D921" s="159">
        <f>+O133</f>
        <v>170763</v>
      </c>
      <c r="E921" s="159">
        <f>+O315</f>
        <v>167679</v>
      </c>
      <c r="F921" s="159">
        <f>+O310</f>
        <v>80702</v>
      </c>
      <c r="G921" s="159">
        <f>+O322</f>
        <v>-109</v>
      </c>
      <c r="H921" s="159">
        <f>+O485</f>
        <v>39480</v>
      </c>
      <c r="I921" s="159">
        <f>+O535</f>
        <v>5600</v>
      </c>
      <c r="J921" s="159">
        <f>+O580</f>
        <v>5556</v>
      </c>
      <c r="K921" s="159">
        <f>+O644</f>
        <v>5191</v>
      </c>
      <c r="L921" s="159">
        <f>+O654</f>
        <v>4434</v>
      </c>
      <c r="M921" s="159">
        <f>+O690</f>
        <v>4411</v>
      </c>
      <c r="N921" s="159">
        <f>+O741</f>
        <v>3759</v>
      </c>
      <c r="O921" s="159">
        <f>+O751</f>
        <v>2142</v>
      </c>
      <c r="P921" s="159">
        <f>+O785</f>
        <v>3783.8</v>
      </c>
      <c r="Q921" s="159">
        <f>+O834</f>
        <v>2139</v>
      </c>
      <c r="R921" s="324"/>
      <c r="T921" s="366">
        <f>'[1]Lake Pleasant Forecast'!B55</f>
        <v>1674.31</v>
      </c>
      <c r="AC921" s="323"/>
      <c r="AD921" s="159"/>
      <c r="AE921" s="159"/>
      <c r="AF921" s="159"/>
      <c r="AG921" s="159"/>
      <c r="AH921" s="159"/>
      <c r="AI921" s="159"/>
      <c r="AJ921" s="159"/>
      <c r="AK921" s="159"/>
      <c r="AL921" s="159"/>
      <c r="AM921" s="159"/>
      <c r="AN921" s="159"/>
      <c r="AO921" s="159"/>
      <c r="AP921" s="159"/>
      <c r="AQ921" s="159"/>
      <c r="AR921" s="159"/>
      <c r="AS921" s="159"/>
      <c r="AT921" s="324"/>
    </row>
    <row r="922" spans="1:50" ht="15.75" customHeight="1" thickBot="1" x14ac:dyDescent="0.35">
      <c r="A922" s="365" t="s">
        <v>22</v>
      </c>
      <c r="B922" s="159">
        <f>+P29</f>
        <v>142444</v>
      </c>
      <c r="C922" s="159">
        <f>+P64</f>
        <v>142258</v>
      </c>
      <c r="D922" s="159">
        <f>+P133</f>
        <v>142079</v>
      </c>
      <c r="E922" s="159">
        <f>+P315</f>
        <v>139832</v>
      </c>
      <c r="F922" s="159">
        <f>+P310</f>
        <v>79076</v>
      </c>
      <c r="G922" s="159">
        <f>+P322</f>
        <v>0</v>
      </c>
      <c r="H922" s="159">
        <f>+P485</f>
        <v>29496</v>
      </c>
      <c r="I922" s="159">
        <f>+P535</f>
        <v>5609</v>
      </c>
      <c r="J922" s="159">
        <f>+P580</f>
        <v>5316</v>
      </c>
      <c r="K922" s="159">
        <f>+P644</f>
        <v>5274</v>
      </c>
      <c r="L922" s="159">
        <f>+P654</f>
        <v>5144</v>
      </c>
      <c r="M922" s="159">
        <f>+P690</f>
        <v>5125</v>
      </c>
      <c r="N922" s="159">
        <f>+P741</f>
        <v>4262</v>
      </c>
      <c r="O922" s="159">
        <f>+P751</f>
        <v>1908</v>
      </c>
      <c r="P922" s="159">
        <f>+P785</f>
        <v>3314.2</v>
      </c>
      <c r="Q922" s="159">
        <f>+P834</f>
        <v>1886</v>
      </c>
      <c r="R922" s="324"/>
      <c r="T922" s="366">
        <f>'[1]Lake Pleasant Forecast'!B57</f>
        <v>1677.029882034898</v>
      </c>
      <c r="AC922" s="326" t="s">
        <v>453</v>
      </c>
      <c r="AD922" s="327"/>
      <c r="AE922" s="327"/>
      <c r="AF922" s="327"/>
      <c r="AG922" s="327"/>
      <c r="AH922" s="327"/>
      <c r="AI922" s="327"/>
      <c r="AJ922" s="327"/>
      <c r="AK922" s="327"/>
      <c r="AL922" s="327"/>
      <c r="AM922" s="327"/>
      <c r="AN922" s="327"/>
      <c r="AO922" s="327"/>
      <c r="AP922" s="327"/>
      <c r="AQ922" s="327"/>
      <c r="AR922" s="327"/>
      <c r="AS922" s="327"/>
      <c r="AT922" s="328"/>
    </row>
    <row r="923" spans="1:50" ht="15.75" customHeight="1" x14ac:dyDescent="0.3">
      <c r="A923" s="325"/>
      <c r="B923" s="159"/>
      <c r="C923" s="159"/>
      <c r="D923" s="159"/>
      <c r="E923" s="159"/>
      <c r="F923" s="159"/>
      <c r="G923" s="159"/>
      <c r="H923" s="159"/>
      <c r="I923" s="159"/>
      <c r="J923" s="159"/>
      <c r="K923" s="159"/>
      <c r="L923" s="159"/>
      <c r="M923" s="159"/>
      <c r="N923" s="159"/>
      <c r="O923" s="159"/>
      <c r="P923" s="159"/>
      <c r="Q923" s="159"/>
      <c r="R923" s="324"/>
    </row>
    <row r="924" spans="1:50" ht="15.75" customHeight="1" thickBot="1" x14ac:dyDescent="0.35">
      <c r="A924" s="325" t="s">
        <v>422</v>
      </c>
      <c r="B924" s="159">
        <f t="shared" ref="B924:Q924" si="295">SUM(B911:B922)</f>
        <v>1535795</v>
      </c>
      <c r="C924" s="159">
        <f t="shared" si="295"/>
        <v>1532295</v>
      </c>
      <c r="D924" s="159">
        <f t="shared" si="295"/>
        <v>1528955</v>
      </c>
      <c r="E924" s="159">
        <f t="shared" si="295"/>
        <v>1479017</v>
      </c>
      <c r="F924" s="159">
        <f t="shared" si="295"/>
        <v>425398</v>
      </c>
      <c r="G924" s="159">
        <f t="shared" si="295"/>
        <v>-439883</v>
      </c>
      <c r="H924" s="159">
        <f t="shared" si="295"/>
        <v>1016373</v>
      </c>
      <c r="I924" s="159">
        <f t="shared" si="295"/>
        <v>360816</v>
      </c>
      <c r="J924" s="159">
        <f t="shared" si="295"/>
        <v>274393</v>
      </c>
      <c r="K924" s="159">
        <f t="shared" si="295"/>
        <v>238259</v>
      </c>
      <c r="L924" s="159">
        <f t="shared" si="295"/>
        <v>192190</v>
      </c>
      <c r="M924" s="159">
        <f t="shared" si="295"/>
        <v>191817</v>
      </c>
      <c r="N924" s="159">
        <f t="shared" si="295"/>
        <v>177198</v>
      </c>
      <c r="O924" s="159">
        <f t="shared" si="295"/>
        <v>42374</v>
      </c>
      <c r="P924" s="159">
        <f t="shared" si="295"/>
        <v>54016.666666666664</v>
      </c>
      <c r="Q924" s="159">
        <f t="shared" si="295"/>
        <v>42264</v>
      </c>
      <c r="R924" s="324"/>
    </row>
    <row r="925" spans="1:50" ht="15.75" customHeight="1" thickBot="1" x14ac:dyDescent="0.35">
      <c r="A925" s="312"/>
      <c r="B925" s="312"/>
      <c r="C925" s="312"/>
      <c r="D925" s="312"/>
      <c r="E925" s="312"/>
      <c r="F925" s="312"/>
      <c r="G925" s="312"/>
      <c r="H925" s="312"/>
      <c r="I925" s="312"/>
      <c r="J925" s="312"/>
      <c r="K925" s="312"/>
      <c r="L925" s="312"/>
      <c r="M925" s="312"/>
      <c r="N925" s="312"/>
      <c r="O925" s="312"/>
      <c r="P925" s="312"/>
      <c r="Q925" s="312"/>
      <c r="R925" s="328"/>
      <c r="AC925" s="318"/>
      <c r="AD925" s="319"/>
      <c r="AE925" s="319"/>
      <c r="AF925" s="319"/>
      <c r="AG925" s="319"/>
      <c r="AH925" s="319"/>
      <c r="AI925" s="319"/>
      <c r="AJ925" s="319"/>
      <c r="AK925" s="319"/>
      <c r="AL925" s="319"/>
      <c r="AM925" s="319"/>
      <c r="AN925" s="319"/>
      <c r="AO925" s="319"/>
      <c r="AP925" s="319"/>
      <c r="AQ925" s="319"/>
      <c r="AR925" s="319"/>
      <c r="AS925" s="361" t="str">
        <f>+Q1</f>
        <v xml:space="preserve">PRINTED:  </v>
      </c>
      <c r="AT925" s="367">
        <f ca="1">+R1</f>
        <v>44909.46975358796</v>
      </c>
      <c r="AU925" s="332"/>
      <c r="AW925" s="161" t="s">
        <v>467</v>
      </c>
      <c r="AX925" s="159"/>
    </row>
    <row r="926" spans="1:50" ht="15.75" customHeight="1" x14ac:dyDescent="0.35">
      <c r="A926" s="368"/>
      <c r="B926" s="368"/>
      <c r="C926" s="368"/>
      <c r="D926" s="368"/>
      <c r="E926" s="368"/>
      <c r="F926" s="368"/>
      <c r="G926" s="368"/>
      <c r="H926" s="368"/>
      <c r="I926" s="368"/>
      <c r="J926" s="368"/>
      <c r="K926" s="368"/>
      <c r="L926" s="368"/>
      <c r="M926" s="368"/>
      <c r="N926" s="368"/>
      <c r="O926" s="368"/>
      <c r="P926" s="368"/>
      <c r="Q926" s="368"/>
      <c r="R926" s="319"/>
      <c r="AC926" s="323"/>
      <c r="AD926" s="159"/>
      <c r="AE926" s="161" t="s">
        <v>460</v>
      </c>
      <c r="AF926" s="159"/>
      <c r="AG926" s="159"/>
      <c r="AH926" s="159"/>
      <c r="AI926" s="159"/>
      <c r="AJ926" s="159"/>
      <c r="AK926" s="159"/>
      <c r="AL926" s="159"/>
      <c r="AM926" s="159"/>
      <c r="AN926" s="167"/>
      <c r="AO926" s="161" t="s">
        <v>461</v>
      </c>
      <c r="AP926" s="159"/>
      <c r="AQ926" s="159"/>
      <c r="AR926" s="159"/>
      <c r="AS926" s="159"/>
      <c r="AT926" s="159"/>
      <c r="AU926" s="307"/>
      <c r="AW926" s="159" t="s">
        <v>468</v>
      </c>
      <c r="AX926" s="159"/>
    </row>
    <row r="927" spans="1:50" ht="16.5" customHeight="1" x14ac:dyDescent="0.3">
      <c r="A927" s="325" t="s">
        <v>7</v>
      </c>
      <c r="B927" s="159"/>
      <c r="C927" s="159"/>
      <c r="D927" s="159"/>
      <c r="E927" s="159"/>
      <c r="F927" s="159"/>
      <c r="G927" s="159"/>
      <c r="H927" s="159"/>
      <c r="I927" s="159"/>
      <c r="J927" s="159"/>
      <c r="K927" s="159"/>
      <c r="L927" s="159"/>
      <c r="M927" s="159"/>
      <c r="N927" s="159"/>
      <c r="O927" s="159"/>
      <c r="P927" s="159"/>
      <c r="Q927" s="159"/>
      <c r="R927" s="159"/>
      <c r="AC927" s="323"/>
      <c r="AD927" s="159"/>
      <c r="AE927" s="159"/>
      <c r="AF927" s="159"/>
      <c r="AG927" s="159" t="s">
        <v>7</v>
      </c>
      <c r="AH927" s="163" t="str">
        <f>+A8</f>
        <v>Revised:  3/2/2019</v>
      </c>
      <c r="AI927" s="159"/>
      <c r="AJ927" s="159"/>
      <c r="AK927" s="159"/>
      <c r="AL927" s="159"/>
      <c r="AM927" s="159"/>
      <c r="AN927" s="159"/>
      <c r="AO927" s="159"/>
      <c r="AP927" s="159"/>
      <c r="AQ927" s="159"/>
      <c r="AR927" s="159" t="s">
        <v>7</v>
      </c>
      <c r="AS927" s="163" t="str">
        <f>+A8</f>
        <v>Revised:  3/2/2019</v>
      </c>
      <c r="AT927" s="159"/>
      <c r="AU927" s="307"/>
      <c r="AW927" s="159"/>
      <c r="AX927" s="159"/>
    </row>
    <row r="928" spans="1:50" ht="15.75" customHeight="1" x14ac:dyDescent="0.3">
      <c r="A928" s="164"/>
      <c r="B928" s="159"/>
      <c r="C928" s="159"/>
      <c r="D928" s="159"/>
      <c r="E928" s="159"/>
      <c r="F928" s="159"/>
      <c r="G928" s="159"/>
      <c r="H928" s="159"/>
      <c r="I928" s="159"/>
      <c r="J928" s="159"/>
      <c r="K928" s="159"/>
      <c r="L928" s="159"/>
      <c r="M928" s="159"/>
      <c r="N928" s="159"/>
      <c r="O928" s="159"/>
      <c r="P928" s="159"/>
      <c r="Q928" s="159"/>
      <c r="R928" s="159"/>
      <c r="AC928" s="323"/>
      <c r="AD928" s="159"/>
      <c r="AE928" s="159"/>
      <c r="AF928" s="159" t="s">
        <v>787</v>
      </c>
      <c r="AG928" s="159"/>
      <c r="AH928" s="159"/>
      <c r="AI928" s="159"/>
      <c r="AJ928" s="159"/>
      <c r="AK928" s="159"/>
      <c r="AL928" s="159"/>
      <c r="AM928" s="159"/>
      <c r="AN928" s="159"/>
      <c r="AO928" s="159"/>
      <c r="AP928" s="159" t="s">
        <v>787</v>
      </c>
      <c r="AQ928" s="159"/>
      <c r="AR928" s="159"/>
      <c r="AS928" s="159"/>
      <c r="AT928" s="159"/>
      <c r="AU928" s="307"/>
      <c r="AW928" s="159" t="s">
        <v>424</v>
      </c>
      <c r="AX928" s="164" t="s">
        <v>442</v>
      </c>
    </row>
    <row r="929" spans="1:50" ht="15.75" customHeight="1" x14ac:dyDescent="0.3">
      <c r="A929" s="365"/>
      <c r="AC929" s="323"/>
      <c r="AD929" s="159"/>
      <c r="AE929" s="159"/>
      <c r="AF929" s="159"/>
      <c r="AG929" s="159"/>
      <c r="AH929" s="159"/>
      <c r="AI929" s="159"/>
      <c r="AJ929" s="159"/>
      <c r="AK929" s="159"/>
      <c r="AL929" s="159"/>
      <c r="AM929" s="159"/>
      <c r="AN929" s="159"/>
      <c r="AO929" s="159"/>
      <c r="AP929" s="159"/>
      <c r="AQ929" s="159"/>
      <c r="AR929" s="159"/>
      <c r="AS929" s="159"/>
      <c r="AT929" s="159"/>
      <c r="AU929" s="307"/>
      <c r="AW929" s="164" t="s">
        <v>442</v>
      </c>
      <c r="AX929" s="164" t="s">
        <v>439</v>
      </c>
    </row>
    <row r="930" spans="1:50" ht="15.75" customHeight="1" thickBot="1" x14ac:dyDescent="0.35">
      <c r="A930" s="365"/>
      <c r="AC930" s="323"/>
      <c r="AD930" s="159"/>
      <c r="AE930" s="159"/>
      <c r="AF930" s="159"/>
      <c r="AG930" s="159">
        <f>+A5</f>
        <v>2018</v>
      </c>
      <c r="AH930" s="159"/>
      <c r="AI930" s="159"/>
      <c r="AJ930" s="159"/>
      <c r="AK930" s="159"/>
      <c r="AL930" s="159"/>
      <c r="AM930" s="159"/>
      <c r="AN930" s="159"/>
      <c r="AO930" s="159"/>
      <c r="AP930" s="159"/>
      <c r="AQ930" s="159"/>
      <c r="AR930" s="159">
        <f>+A5</f>
        <v>2018</v>
      </c>
      <c r="AS930" s="159"/>
      <c r="AT930" s="159"/>
      <c r="AU930" s="307"/>
      <c r="AW930" s="164" t="s">
        <v>491</v>
      </c>
      <c r="AX930" s="164" t="s">
        <v>492</v>
      </c>
    </row>
    <row r="931" spans="1:50" ht="15.75" customHeight="1" x14ac:dyDescent="0.3">
      <c r="A931" s="363"/>
      <c r="B931" s="506" t="s">
        <v>454</v>
      </c>
      <c r="C931" s="506"/>
      <c r="D931" s="506"/>
      <c r="E931" s="506"/>
      <c r="F931" s="506"/>
      <c r="G931" s="506"/>
      <c r="H931" s="506"/>
      <c r="I931" s="506"/>
      <c r="J931" s="506"/>
      <c r="K931" s="506"/>
      <c r="L931" s="506"/>
      <c r="M931" s="506"/>
      <c r="N931" s="506"/>
      <c r="O931" s="506"/>
      <c r="P931" s="506"/>
      <c r="Q931" s="361" t="str">
        <f>+Q1</f>
        <v xml:space="preserve">PRINTED:  </v>
      </c>
      <c r="R931" s="362">
        <f ca="1">+R1</f>
        <v>44909.46975358796</v>
      </c>
      <c r="AC931" s="323"/>
      <c r="AD931" s="159"/>
      <c r="AE931" s="159"/>
      <c r="AF931" s="159"/>
      <c r="AG931" s="159" t="s">
        <v>457</v>
      </c>
      <c r="AH931" s="159"/>
      <c r="AI931" s="159"/>
      <c r="AJ931" s="159"/>
      <c r="AK931" s="159"/>
      <c r="AL931" s="159"/>
      <c r="AM931" s="159"/>
      <c r="AN931" s="159"/>
      <c r="AO931" s="159"/>
      <c r="AP931" s="159"/>
      <c r="AQ931" s="159"/>
      <c r="AR931" s="159" t="s">
        <v>457</v>
      </c>
      <c r="AS931" s="159"/>
      <c r="AT931" s="159"/>
      <c r="AU931" s="307"/>
      <c r="AW931" s="164" t="s">
        <v>409</v>
      </c>
      <c r="AX931" s="164" t="s">
        <v>409</v>
      </c>
    </row>
    <row r="932" spans="1:50" ht="15.75" customHeight="1" x14ac:dyDescent="0.3">
      <c r="A932" s="325"/>
      <c r="B932" s="503" t="str">
        <f>+A8</f>
        <v>Revised:  3/2/2019</v>
      </c>
      <c r="C932" s="503"/>
      <c r="D932" s="503"/>
      <c r="E932" s="503"/>
      <c r="F932" s="503"/>
      <c r="G932" s="503"/>
      <c r="H932" s="503"/>
      <c r="I932" s="503"/>
      <c r="J932" s="503"/>
      <c r="K932" s="503"/>
      <c r="L932" s="503"/>
      <c r="M932" s="503"/>
      <c r="N932" s="503"/>
      <c r="O932" s="503"/>
      <c r="P932" s="503"/>
      <c r="Q932" s="159"/>
      <c r="R932" s="324"/>
      <c r="AC932" s="323"/>
      <c r="AD932" s="159"/>
      <c r="AE932" s="159"/>
      <c r="AF932" s="159"/>
      <c r="AG932" s="159"/>
      <c r="AH932" s="159"/>
      <c r="AI932" s="159"/>
      <c r="AJ932" s="159"/>
      <c r="AK932" s="159"/>
      <c r="AL932" s="159"/>
      <c r="AM932" s="159"/>
      <c r="AN932" s="159"/>
      <c r="AO932" s="159"/>
      <c r="AP932" s="159"/>
      <c r="AQ932" s="159"/>
      <c r="AR932" s="159"/>
      <c r="AS932" s="159"/>
      <c r="AT932" s="159"/>
      <c r="AU932" s="307"/>
      <c r="AW932" s="159">
        <f t="shared" ref="AW932:AW943" si="296">SUM(L968:Q968)</f>
        <v>9190</v>
      </c>
      <c r="AX932" s="172">
        <v>2.4700000000000002</v>
      </c>
    </row>
    <row r="933" spans="1:50" ht="15.75" customHeight="1" x14ac:dyDescent="0.3">
      <c r="A933" s="325"/>
      <c r="B933" s="503" t="s">
        <v>1024</v>
      </c>
      <c r="C933" s="503"/>
      <c r="D933" s="503"/>
      <c r="E933" s="503"/>
      <c r="F933" s="503"/>
      <c r="G933" s="503"/>
      <c r="H933" s="503"/>
      <c r="I933" s="503"/>
      <c r="J933" s="503"/>
      <c r="K933" s="503"/>
      <c r="L933" s="503"/>
      <c r="M933" s="503"/>
      <c r="N933" s="503"/>
      <c r="O933" s="503"/>
      <c r="P933" s="503"/>
      <c r="Q933" s="159"/>
      <c r="R933" s="324"/>
      <c r="AC933" s="323" t="s">
        <v>389</v>
      </c>
      <c r="AD933" s="164" t="s">
        <v>390</v>
      </c>
      <c r="AE933" s="164" t="s">
        <v>391</v>
      </c>
      <c r="AF933" s="164" t="s">
        <v>392</v>
      </c>
      <c r="AG933" s="164" t="s">
        <v>393</v>
      </c>
      <c r="AH933" s="164" t="s">
        <v>394</v>
      </c>
      <c r="AI933" s="159"/>
      <c r="AJ933" s="164" t="s">
        <v>422</v>
      </c>
      <c r="AK933" s="159"/>
      <c r="AL933" s="159"/>
      <c r="AM933" s="159"/>
      <c r="AN933" s="159" t="s">
        <v>389</v>
      </c>
      <c r="AO933" s="164" t="s">
        <v>390</v>
      </c>
      <c r="AP933" s="164" t="s">
        <v>391</v>
      </c>
      <c r="AQ933" s="164" t="s">
        <v>392</v>
      </c>
      <c r="AR933" s="164" t="s">
        <v>393</v>
      </c>
      <c r="AS933" s="164" t="s">
        <v>394</v>
      </c>
      <c r="AT933" s="164" t="s">
        <v>422</v>
      </c>
      <c r="AU933" s="307"/>
      <c r="AW933" s="159">
        <f t="shared" si="296"/>
        <v>11233</v>
      </c>
      <c r="AX933" s="172">
        <v>2.4700000000000002</v>
      </c>
    </row>
    <row r="934" spans="1:50" ht="15.75" customHeight="1" x14ac:dyDescent="0.3">
      <c r="A934" s="325"/>
      <c r="B934" s="503"/>
      <c r="C934" s="503"/>
      <c r="D934" s="503"/>
      <c r="E934" s="503"/>
      <c r="F934" s="503"/>
      <c r="G934" s="503"/>
      <c r="H934" s="503"/>
      <c r="I934" s="503"/>
      <c r="J934" s="503"/>
      <c r="K934" s="503"/>
      <c r="L934" s="503"/>
      <c r="M934" s="503"/>
      <c r="N934" s="503"/>
      <c r="O934" s="503"/>
      <c r="P934" s="503"/>
      <c r="Q934" s="159"/>
      <c r="R934" s="324"/>
      <c r="AC934" s="323" t="s">
        <v>405</v>
      </c>
      <c r="AD934" s="159"/>
      <c r="AE934" s="159"/>
      <c r="AF934" s="159"/>
      <c r="AG934" s="159"/>
      <c r="AH934" s="164" t="s">
        <v>406</v>
      </c>
      <c r="AI934" s="159"/>
      <c r="AJ934" s="164" t="s">
        <v>465</v>
      </c>
      <c r="AK934" s="159"/>
      <c r="AL934" s="159"/>
      <c r="AM934" s="159"/>
      <c r="AN934" s="159" t="s">
        <v>405</v>
      </c>
      <c r="AO934" s="159"/>
      <c r="AP934" s="159"/>
      <c r="AQ934" s="159"/>
      <c r="AR934" s="159"/>
      <c r="AS934" s="164" t="s">
        <v>406</v>
      </c>
      <c r="AT934" s="164" t="s">
        <v>465</v>
      </c>
      <c r="AU934" s="307"/>
      <c r="AW934" s="159">
        <f t="shared" si="296"/>
        <v>12070</v>
      </c>
      <c r="AX934" s="172">
        <v>2.4700000000000002</v>
      </c>
    </row>
    <row r="935" spans="1:50" ht="15.75" customHeight="1" x14ac:dyDescent="0.3">
      <c r="A935" s="325"/>
      <c r="B935" s="509">
        <f>+A5</f>
        <v>2018</v>
      </c>
      <c r="C935" s="509"/>
      <c r="D935" s="509"/>
      <c r="E935" s="509"/>
      <c r="F935" s="509"/>
      <c r="G935" s="509"/>
      <c r="H935" s="509"/>
      <c r="I935" s="509"/>
      <c r="J935" s="509"/>
      <c r="K935" s="509"/>
      <c r="L935" s="509"/>
      <c r="M935" s="509"/>
      <c r="N935" s="509"/>
      <c r="O935" s="509"/>
      <c r="P935" s="509"/>
      <c r="Q935" s="159"/>
      <c r="R935" s="324"/>
      <c r="AC935" s="323" t="s">
        <v>408</v>
      </c>
      <c r="AD935" s="159">
        <f>+$B$966</f>
        <v>957</v>
      </c>
      <c r="AE935" s="159">
        <f>+C$966</f>
        <v>122</v>
      </c>
      <c r="AF935" s="159">
        <f>+D$966</f>
        <v>128</v>
      </c>
      <c r="AG935" s="159">
        <f>+E$966</f>
        <v>219</v>
      </c>
      <c r="AH935" s="159"/>
      <c r="AI935" s="159"/>
      <c r="AJ935" s="164" t="s">
        <v>442</v>
      </c>
      <c r="AK935" s="159"/>
      <c r="AL935" s="159"/>
      <c r="AM935" s="159"/>
      <c r="AN935" s="159" t="s">
        <v>408</v>
      </c>
      <c r="AO935" s="159">
        <f>+$B$966</f>
        <v>957</v>
      </c>
      <c r="AP935" s="159">
        <f>+C$966</f>
        <v>122</v>
      </c>
      <c r="AQ935" s="159">
        <f>+D$966</f>
        <v>128</v>
      </c>
      <c r="AR935" s="159">
        <f>+E$966</f>
        <v>219</v>
      </c>
      <c r="AS935" s="159"/>
      <c r="AT935" s="164" t="s">
        <v>442</v>
      </c>
      <c r="AU935" s="307"/>
      <c r="AW935" s="159">
        <f t="shared" si="296"/>
        <v>14349</v>
      </c>
      <c r="AX935" s="172">
        <v>2.4700000000000002</v>
      </c>
    </row>
    <row r="936" spans="1:50" ht="15.75" customHeight="1" x14ac:dyDescent="0.3">
      <c r="A936" s="325"/>
      <c r="B936" s="503" t="s">
        <v>1027</v>
      </c>
      <c r="C936" s="503"/>
      <c r="D936" s="503"/>
      <c r="E936" s="503"/>
      <c r="F936" s="503"/>
      <c r="G936" s="503"/>
      <c r="H936" s="503"/>
      <c r="I936" s="503"/>
      <c r="J936" s="503"/>
      <c r="K936" s="503"/>
      <c r="L936" s="503"/>
      <c r="M936" s="503"/>
      <c r="N936" s="503"/>
      <c r="O936" s="503"/>
      <c r="P936" s="503"/>
      <c r="Q936" s="159"/>
      <c r="R936" s="324"/>
      <c r="AC936" s="323"/>
      <c r="AD936" s="159" t="s">
        <v>409</v>
      </c>
      <c r="AE936" s="159" t="s">
        <v>409</v>
      </c>
      <c r="AF936" s="159" t="s">
        <v>409</v>
      </c>
      <c r="AG936" s="159" t="s">
        <v>409</v>
      </c>
      <c r="AH936" s="159" t="s">
        <v>409</v>
      </c>
      <c r="AI936" s="159"/>
      <c r="AJ936" s="159" t="s">
        <v>459</v>
      </c>
      <c r="AK936" s="159"/>
      <c r="AL936" s="159"/>
      <c r="AM936" s="159"/>
      <c r="AN936" s="159"/>
      <c r="AO936" s="159" t="s">
        <v>409</v>
      </c>
      <c r="AP936" s="159" t="s">
        <v>409</v>
      </c>
      <c r="AQ936" s="159" t="s">
        <v>409</v>
      </c>
      <c r="AR936" s="159" t="s">
        <v>409</v>
      </c>
      <c r="AS936" s="159" t="s">
        <v>409</v>
      </c>
      <c r="AT936" s="159" t="s">
        <v>459</v>
      </c>
      <c r="AU936" s="307"/>
      <c r="AW936" s="159">
        <f t="shared" si="296"/>
        <v>15281</v>
      </c>
      <c r="AX936" s="172">
        <v>2.4700000000000002</v>
      </c>
    </row>
    <row r="937" spans="1:50" ht="15.75" customHeight="1" x14ac:dyDescent="0.3">
      <c r="A937" s="325"/>
      <c r="B937" s="159"/>
      <c r="C937" s="159"/>
      <c r="D937" s="159"/>
      <c r="E937" s="159"/>
      <c r="F937" s="159"/>
      <c r="G937" s="159"/>
      <c r="H937" s="159"/>
      <c r="I937" s="159"/>
      <c r="J937" s="159"/>
      <c r="K937" s="159"/>
      <c r="L937" s="159"/>
      <c r="M937" s="159"/>
      <c r="N937" s="159"/>
      <c r="O937" s="159"/>
      <c r="P937" s="159"/>
      <c r="Q937" s="159"/>
      <c r="R937" s="324"/>
      <c r="AC937" s="325" t="s">
        <v>410</v>
      </c>
      <c r="AD937" s="159">
        <f t="shared" ref="AD937:AD948" si="297">ROUND($F911*$AD$935/1000,0)</f>
        <v>40237</v>
      </c>
      <c r="AE937" s="159">
        <f t="shared" ref="AE937:AE948" si="298">ROUND($F911*$AE$935/1000,0)</f>
        <v>5129</v>
      </c>
      <c r="AF937" s="159">
        <f t="shared" ref="AF937:AF948" si="299">ROUND($F911*$AF$935/1000,0)</f>
        <v>5382</v>
      </c>
      <c r="AG937" s="159">
        <f t="shared" ref="AG937:AG948" si="300">ROUND($F911*$AG$935/1000,0)</f>
        <v>9208</v>
      </c>
      <c r="AH937" s="159">
        <f t="shared" ref="AH937:AH948" si="301">(F911*((T911-1526.8)/0.7702))/1000</f>
        <v>8919.9494660149376</v>
      </c>
      <c r="AI937" s="159"/>
      <c r="AJ937" s="159">
        <f t="shared" ref="AJ937:AJ948" si="302">SUM(AD937:AH937)</f>
        <v>68875.949466014936</v>
      </c>
      <c r="AK937" s="159"/>
      <c r="AL937" s="159"/>
      <c r="AM937" s="159"/>
      <c r="AN937" s="164" t="s">
        <v>410</v>
      </c>
      <c r="AO937" s="159">
        <f t="shared" ref="AO937:AO948" si="303">ROUND((B911-$F911)*$AO$935/1000,0)</f>
        <v>45618</v>
      </c>
      <c r="AP937" s="159">
        <f t="shared" ref="AP937:AP948" si="304">ROUND((C911-$F911)*$AP$935/1000,0)</f>
        <v>5804</v>
      </c>
      <c r="AQ937" s="159">
        <f t="shared" ref="AQ937:AQ948" si="305">ROUND((D911-$F911)*$AQ$935/1000,0)</f>
        <v>6077</v>
      </c>
      <c r="AR937" s="159">
        <f t="shared" ref="AR937:AR948" si="306">ROUND((E911-$F911)*$AR$935/1000,0)</f>
        <v>10210</v>
      </c>
      <c r="AS937" s="159">
        <f>((F911-$F911)*(('[1]Lake Pleasant Forecast'!B35-1526.8)/0.7702))/1000</f>
        <v>0</v>
      </c>
      <c r="AT937" s="159">
        <f t="shared" ref="AT937:AT948" si="307">SUM(AN937:AR937)</f>
        <v>67709</v>
      </c>
      <c r="AU937" s="307"/>
      <c r="AW937" s="159">
        <f t="shared" si="296"/>
        <v>13224</v>
      </c>
      <c r="AX937" s="172">
        <v>2.4700000000000002</v>
      </c>
    </row>
    <row r="938" spans="1:50" ht="15.75" customHeight="1" thickBot="1" x14ac:dyDescent="0.35">
      <c r="A938" s="325" t="s">
        <v>433</v>
      </c>
      <c r="B938" s="364" t="s">
        <v>390</v>
      </c>
      <c r="C938" s="364" t="s">
        <v>391</v>
      </c>
      <c r="D938" s="364" t="s">
        <v>392</v>
      </c>
      <c r="E938" s="364" t="s">
        <v>393</v>
      </c>
      <c r="F938" s="364" t="s">
        <v>394</v>
      </c>
      <c r="G938" s="364" t="s">
        <v>394</v>
      </c>
      <c r="H938" s="364" t="s">
        <v>395</v>
      </c>
      <c r="I938" s="364" t="s">
        <v>396</v>
      </c>
      <c r="J938" s="364" t="s">
        <v>397</v>
      </c>
      <c r="K938" s="364" t="s">
        <v>398</v>
      </c>
      <c r="L938" s="364" t="s">
        <v>399</v>
      </c>
      <c r="M938" s="364" t="s">
        <v>400</v>
      </c>
      <c r="N938" s="364" t="s">
        <v>401</v>
      </c>
      <c r="O938" s="364" t="s">
        <v>402</v>
      </c>
      <c r="P938" s="364" t="s">
        <v>403</v>
      </c>
      <c r="Q938" s="364" t="s">
        <v>404</v>
      </c>
      <c r="R938" s="324"/>
      <c r="AC938" s="325" t="s">
        <v>411</v>
      </c>
      <c r="AD938" s="159">
        <f t="shared" si="297"/>
        <v>48827</v>
      </c>
      <c r="AE938" s="159">
        <f t="shared" si="298"/>
        <v>6225</v>
      </c>
      <c r="AF938" s="159">
        <f t="shared" si="299"/>
        <v>6531</v>
      </c>
      <c r="AG938" s="159">
        <f t="shared" si="300"/>
        <v>11174</v>
      </c>
      <c r="AH938" s="159">
        <f t="shared" si="301"/>
        <v>11053.445936120497</v>
      </c>
      <c r="AI938" s="159"/>
      <c r="AJ938" s="159">
        <f t="shared" si="302"/>
        <v>83810.445936120494</v>
      </c>
      <c r="AK938" s="159"/>
      <c r="AL938" s="159"/>
      <c r="AM938" s="159"/>
      <c r="AN938" s="164" t="s">
        <v>411</v>
      </c>
      <c r="AO938" s="159">
        <f t="shared" si="303"/>
        <v>53710</v>
      </c>
      <c r="AP938" s="159">
        <f t="shared" si="304"/>
        <v>6829</v>
      </c>
      <c r="AQ938" s="159">
        <f t="shared" si="305"/>
        <v>7146</v>
      </c>
      <c r="AR938" s="159">
        <f t="shared" si="306"/>
        <v>11948</v>
      </c>
      <c r="AS938" s="159">
        <f>((F912-$F912)*(('[1]Lake Pleasant Forecast'!B37-1526.8)/0.7702))/1000</f>
        <v>0</v>
      </c>
      <c r="AT938" s="159">
        <f t="shared" si="307"/>
        <v>79633</v>
      </c>
      <c r="AU938" s="307"/>
      <c r="AW938" s="159">
        <f t="shared" si="296"/>
        <v>12152</v>
      </c>
      <c r="AX938" s="172">
        <v>2.4700000000000002</v>
      </c>
    </row>
    <row r="939" spans="1:50" ht="15.75" customHeight="1" x14ac:dyDescent="0.3">
      <c r="A939" s="325"/>
      <c r="B939" s="159"/>
      <c r="C939" s="159"/>
      <c r="D939" s="159"/>
      <c r="E939" s="159"/>
      <c r="F939" s="164" t="s">
        <v>406</v>
      </c>
      <c r="G939" s="164" t="s">
        <v>407</v>
      </c>
      <c r="H939" s="159"/>
      <c r="I939" s="159"/>
      <c r="J939" s="159"/>
      <c r="K939" s="159"/>
      <c r="L939" s="159"/>
      <c r="M939" s="159"/>
      <c r="N939" s="159"/>
      <c r="O939" s="159"/>
      <c r="P939" s="159"/>
      <c r="Q939" s="159"/>
      <c r="R939" s="324"/>
      <c r="AC939" s="325" t="s">
        <v>412</v>
      </c>
      <c r="AD939" s="159">
        <f t="shared" si="297"/>
        <v>44065</v>
      </c>
      <c r="AE939" s="159">
        <f t="shared" si="298"/>
        <v>5617</v>
      </c>
      <c r="AF939" s="159">
        <f t="shared" si="299"/>
        <v>5894</v>
      </c>
      <c r="AG939" s="159">
        <f t="shared" si="300"/>
        <v>10084</v>
      </c>
      <c r="AH939" s="159">
        <f t="shared" si="301"/>
        <v>10157.161126980011</v>
      </c>
      <c r="AI939" s="159"/>
      <c r="AJ939" s="159">
        <f t="shared" si="302"/>
        <v>75817.161126980005</v>
      </c>
      <c r="AK939" s="159"/>
      <c r="AL939" s="159"/>
      <c r="AM939" s="159"/>
      <c r="AN939" s="164" t="s">
        <v>412</v>
      </c>
      <c r="AO939" s="159">
        <f t="shared" si="303"/>
        <v>87613</v>
      </c>
      <c r="AP939" s="159">
        <f t="shared" si="304"/>
        <v>11136</v>
      </c>
      <c r="AQ939" s="159">
        <f t="shared" si="305"/>
        <v>11650</v>
      </c>
      <c r="AR939" s="159">
        <f t="shared" si="306"/>
        <v>19218</v>
      </c>
      <c r="AS939" s="159">
        <f>((F913-$F913)*(('[1]Lake Pleasant Forecast'!B39-1526.8)/0.7702))/1000</f>
        <v>0</v>
      </c>
      <c r="AT939" s="159">
        <f t="shared" si="307"/>
        <v>129617</v>
      </c>
      <c r="AU939" s="307"/>
      <c r="AW939" s="159">
        <f t="shared" si="296"/>
        <v>14774</v>
      </c>
      <c r="AX939" s="172">
        <v>2.4700000000000002</v>
      </c>
    </row>
    <row r="940" spans="1:50" ht="15.75" customHeight="1" x14ac:dyDescent="0.3">
      <c r="A940" s="365" t="s">
        <v>795</v>
      </c>
      <c r="B940" s="159">
        <f t="shared" ref="B940:Q940" si="308">(B911/$B$10/1.983)</f>
        <v>1459.388674702715</v>
      </c>
      <c r="C940" s="159">
        <f t="shared" si="308"/>
        <v>1457.8107461812504</v>
      </c>
      <c r="D940" s="159">
        <f t="shared" si="308"/>
        <v>1456.2490849641304</v>
      </c>
      <c r="E940" s="159">
        <f t="shared" si="308"/>
        <v>1442.3730743578481</v>
      </c>
      <c r="F940" s="159">
        <f t="shared" si="308"/>
        <v>683.95881118539842</v>
      </c>
      <c r="G940" s="159">
        <f t="shared" si="308"/>
        <v>-76.797943812730779</v>
      </c>
      <c r="H940" s="159">
        <f t="shared" si="308"/>
        <v>449.53068826964682</v>
      </c>
      <c r="I940" s="159">
        <f t="shared" si="308"/>
        <v>223.15488100466871</v>
      </c>
      <c r="J940" s="159">
        <f t="shared" si="308"/>
        <v>222.43911961348886</v>
      </c>
      <c r="K940" s="159">
        <f t="shared" si="308"/>
        <v>221.64202170058397</v>
      </c>
      <c r="L940" s="159">
        <f t="shared" si="308"/>
        <v>195.15885022692888</v>
      </c>
      <c r="M940" s="159">
        <f t="shared" si="308"/>
        <v>194.83350414002896</v>
      </c>
      <c r="N940" s="159">
        <f t="shared" si="308"/>
        <v>190.1810550973598</v>
      </c>
      <c r="O940" s="159">
        <f t="shared" si="308"/>
        <v>60.465570250353814</v>
      </c>
      <c r="P940" s="159">
        <f t="shared" si="308"/>
        <v>61.051193206773704</v>
      </c>
      <c r="Q940" s="159">
        <f t="shared" si="308"/>
        <v>60.433035641663821</v>
      </c>
      <c r="R940" s="324"/>
      <c r="AC940" s="325" t="s">
        <v>413</v>
      </c>
      <c r="AD940" s="159">
        <f t="shared" si="297"/>
        <v>9837</v>
      </c>
      <c r="AE940" s="159">
        <f t="shared" si="298"/>
        <v>1254</v>
      </c>
      <c r="AF940" s="159">
        <f t="shared" si="299"/>
        <v>1316</v>
      </c>
      <c r="AG940" s="159">
        <f t="shared" si="300"/>
        <v>2251</v>
      </c>
      <c r="AH940" s="159">
        <f t="shared" si="301"/>
        <v>2259.603060154227</v>
      </c>
      <c r="AI940" s="159"/>
      <c r="AJ940" s="159">
        <f t="shared" si="302"/>
        <v>16917.603060154226</v>
      </c>
      <c r="AK940" s="159"/>
      <c r="AL940" s="159"/>
      <c r="AM940" s="159"/>
      <c r="AN940" s="164" t="s">
        <v>413</v>
      </c>
      <c r="AO940" s="159">
        <f t="shared" si="303"/>
        <v>151564</v>
      </c>
      <c r="AP940" s="159">
        <f t="shared" si="304"/>
        <v>19277</v>
      </c>
      <c r="AQ940" s="159">
        <f t="shared" si="305"/>
        <v>20180</v>
      </c>
      <c r="AR940" s="159">
        <f t="shared" si="306"/>
        <v>33285</v>
      </c>
      <c r="AS940" s="159">
        <f>((F914-$F914)*(('[1]Lake Pleasant Forecast'!B41-1526.8)/0.7702))/1000</f>
        <v>0</v>
      </c>
      <c r="AT940" s="159">
        <f t="shared" si="307"/>
        <v>224306</v>
      </c>
      <c r="AU940" s="307"/>
      <c r="AW940" s="159">
        <f t="shared" si="296"/>
        <v>12808</v>
      </c>
      <c r="AX940" s="172">
        <v>2.4700000000000002</v>
      </c>
    </row>
    <row r="941" spans="1:50" ht="15.75" customHeight="1" x14ac:dyDescent="0.3">
      <c r="A941" s="365" t="s">
        <v>9</v>
      </c>
      <c r="B941" s="159">
        <f t="shared" ref="B941:Q941" si="309">(B912/$C$10/1.983)</f>
        <v>1929.6880628196814</v>
      </c>
      <c r="C941" s="159">
        <f t="shared" si="309"/>
        <v>1927.0225488077226</v>
      </c>
      <c r="D941" s="159">
        <f t="shared" si="309"/>
        <v>1924.4110654851954</v>
      </c>
      <c r="E941" s="159">
        <f t="shared" si="309"/>
        <v>1901.5200633960089</v>
      </c>
      <c r="F941" s="159">
        <f t="shared" si="309"/>
        <v>918.89993516317259</v>
      </c>
      <c r="G941" s="159">
        <f t="shared" si="309"/>
        <v>-261.32843455082485</v>
      </c>
      <c r="H941" s="159">
        <f t="shared" si="309"/>
        <v>762.24695627116193</v>
      </c>
      <c r="I941" s="159">
        <f t="shared" si="309"/>
        <v>398.80051869461852</v>
      </c>
      <c r="J941" s="159">
        <f t="shared" si="309"/>
        <v>396.63929111735467</v>
      </c>
      <c r="K941" s="159">
        <f t="shared" si="309"/>
        <v>383.99610979036089</v>
      </c>
      <c r="L941" s="159">
        <f t="shared" si="309"/>
        <v>301.36517541963838</v>
      </c>
      <c r="M941" s="159">
        <f t="shared" si="309"/>
        <v>300.96895036380664</v>
      </c>
      <c r="N941" s="159">
        <f t="shared" si="309"/>
        <v>285.01188675167492</v>
      </c>
      <c r="O941" s="159">
        <f t="shared" si="309"/>
        <v>73.319645558677323</v>
      </c>
      <c r="P941" s="159">
        <f t="shared" si="309"/>
        <v>54.444924717239388</v>
      </c>
      <c r="Q941" s="159">
        <f t="shared" si="309"/>
        <v>73.265614869245724</v>
      </c>
      <c r="R941" s="324"/>
      <c r="AC941" s="325" t="s">
        <v>414</v>
      </c>
      <c r="AD941" s="159">
        <f t="shared" si="297"/>
        <v>3884</v>
      </c>
      <c r="AE941" s="159">
        <f t="shared" si="298"/>
        <v>495</v>
      </c>
      <c r="AF941" s="159">
        <f t="shared" si="299"/>
        <v>520</v>
      </c>
      <c r="AG941" s="159">
        <f t="shared" si="300"/>
        <v>889</v>
      </c>
      <c r="AH941" s="159">
        <f t="shared" si="301"/>
        <v>879.99457283822517</v>
      </c>
      <c r="AI941" s="159"/>
      <c r="AJ941" s="159">
        <f t="shared" si="302"/>
        <v>6667.9945728382254</v>
      </c>
      <c r="AK941" s="159"/>
      <c r="AL941" s="159"/>
      <c r="AM941" s="159"/>
      <c r="AN941" s="164" t="s">
        <v>414</v>
      </c>
      <c r="AO941" s="159">
        <f t="shared" si="303"/>
        <v>167809</v>
      </c>
      <c r="AP941" s="159">
        <f t="shared" si="304"/>
        <v>21341</v>
      </c>
      <c r="AQ941" s="159">
        <f t="shared" si="305"/>
        <v>22339</v>
      </c>
      <c r="AR941" s="159">
        <f t="shared" si="306"/>
        <v>36786</v>
      </c>
      <c r="AS941" s="159">
        <f>((F915-$F915)*(('[1]Lake Pleasant Forecast'!B43-1526.8)/0.7702))/1000</f>
        <v>0</v>
      </c>
      <c r="AT941" s="159">
        <f t="shared" si="307"/>
        <v>248275</v>
      </c>
      <c r="AU941" s="307"/>
      <c r="AW941" s="159">
        <f t="shared" si="296"/>
        <v>7423</v>
      </c>
      <c r="AX941" s="172">
        <v>2.4700000000000002</v>
      </c>
    </row>
    <row r="942" spans="1:50" ht="15.75" customHeight="1" x14ac:dyDescent="0.3">
      <c r="A942" s="365" t="s">
        <v>10</v>
      </c>
      <c r="B942" s="159">
        <f t="shared" ref="B942:Q942" si="310">(B913/$D$10/1.983)</f>
        <v>2238.2997413498611</v>
      </c>
      <c r="C942" s="159">
        <f t="shared" si="310"/>
        <v>2233.8424999593317</v>
      </c>
      <c r="D942" s="159">
        <f t="shared" si="310"/>
        <v>2229.5967335252872</v>
      </c>
      <c r="E942" s="159">
        <f t="shared" si="310"/>
        <v>2176.565321360597</v>
      </c>
      <c r="F942" s="159">
        <f t="shared" si="310"/>
        <v>749.02802856538631</v>
      </c>
      <c r="G942" s="159">
        <f t="shared" si="310"/>
        <v>-308.83477298976783</v>
      </c>
      <c r="H942" s="159">
        <f t="shared" si="310"/>
        <v>1315.1302197712816</v>
      </c>
      <c r="I942" s="159">
        <f t="shared" si="310"/>
        <v>550.29037138255819</v>
      </c>
      <c r="J942" s="159">
        <f t="shared" si="310"/>
        <v>467.97781139687339</v>
      </c>
      <c r="K942" s="159">
        <f t="shared" si="310"/>
        <v>434.56476827224958</v>
      </c>
      <c r="L942" s="159">
        <f t="shared" si="310"/>
        <v>322.25529907439034</v>
      </c>
      <c r="M942" s="159">
        <f t="shared" si="310"/>
        <v>321.79981455273042</v>
      </c>
      <c r="N942" s="159">
        <f t="shared" si="310"/>
        <v>306.26453890325837</v>
      </c>
      <c r="O942" s="159">
        <f t="shared" si="310"/>
        <v>45.174304166056636</v>
      </c>
      <c r="P942" s="159">
        <f t="shared" si="310"/>
        <v>61.490410424088623</v>
      </c>
      <c r="Q942" s="159">
        <f t="shared" si="310"/>
        <v>44.653750427016739</v>
      </c>
      <c r="R942" s="324"/>
      <c r="AC942" s="325" t="s">
        <v>415</v>
      </c>
      <c r="AD942" s="159">
        <f t="shared" si="297"/>
        <v>0</v>
      </c>
      <c r="AE942" s="159">
        <f t="shared" si="298"/>
        <v>0</v>
      </c>
      <c r="AF942" s="159">
        <f t="shared" si="299"/>
        <v>0</v>
      </c>
      <c r="AG942" s="159">
        <f t="shared" si="300"/>
        <v>0</v>
      </c>
      <c r="AH942" s="159">
        <f t="shared" si="301"/>
        <v>0</v>
      </c>
      <c r="AI942" s="159"/>
      <c r="AJ942" s="159">
        <f t="shared" si="302"/>
        <v>0</v>
      </c>
      <c r="AK942" s="159"/>
      <c r="AL942" s="159"/>
      <c r="AM942" s="159"/>
      <c r="AN942" s="164" t="s">
        <v>415</v>
      </c>
      <c r="AO942" s="159">
        <f t="shared" si="303"/>
        <v>88116</v>
      </c>
      <c r="AP942" s="159">
        <f t="shared" si="304"/>
        <v>11182</v>
      </c>
      <c r="AQ942" s="159">
        <f t="shared" si="305"/>
        <v>11682</v>
      </c>
      <c r="AR942" s="159">
        <f t="shared" si="306"/>
        <v>18470</v>
      </c>
      <c r="AS942" s="159">
        <f>((F916-$F916)*(('[1]Lake Pleasant Forecast'!B45-1526.8)/0.7702))/1000</f>
        <v>0</v>
      </c>
      <c r="AT942" s="159">
        <f t="shared" si="307"/>
        <v>129450</v>
      </c>
      <c r="AU942" s="307"/>
      <c r="AW942" s="159">
        <f t="shared" si="296"/>
        <v>4559</v>
      </c>
      <c r="AX942" s="172">
        <v>2.4700000000000002</v>
      </c>
    </row>
    <row r="943" spans="1:50" ht="15.75" customHeight="1" x14ac:dyDescent="0.3">
      <c r="A943" s="365" t="s">
        <v>12</v>
      </c>
      <c r="B943" s="159">
        <f t="shared" ref="B943:Q943" si="311">(B914/$F$10/1.983)</f>
        <v>2834.980669020003</v>
      </c>
      <c r="C943" s="159">
        <f t="shared" si="311"/>
        <v>2828.8115649689025</v>
      </c>
      <c r="D943" s="159">
        <f t="shared" si="311"/>
        <v>2822.9282232307951</v>
      </c>
      <c r="E943" s="159">
        <f t="shared" si="311"/>
        <v>2727.6348966212804</v>
      </c>
      <c r="F943" s="159">
        <f t="shared" si="311"/>
        <v>172.7853420742982</v>
      </c>
      <c r="G943" s="159">
        <f t="shared" si="311"/>
        <v>-111.24558749369641</v>
      </c>
      <c r="H943" s="159">
        <f t="shared" si="311"/>
        <v>1966.3809043536728</v>
      </c>
      <c r="I943" s="159">
        <f t="shared" si="311"/>
        <v>775.1554883173643</v>
      </c>
      <c r="J943" s="159">
        <f t="shared" si="311"/>
        <v>586.23298033282902</v>
      </c>
      <c r="K943" s="159">
        <f t="shared" si="311"/>
        <v>488.51907883677927</v>
      </c>
      <c r="L943" s="159">
        <f t="shared" si="311"/>
        <v>382.31635569003191</v>
      </c>
      <c r="M943" s="159">
        <f t="shared" si="311"/>
        <v>381.69440242057487</v>
      </c>
      <c r="N943" s="159">
        <f t="shared" si="311"/>
        <v>357.62312993780466</v>
      </c>
      <c r="O943" s="159">
        <f t="shared" si="311"/>
        <v>66.397713901496047</v>
      </c>
      <c r="P943" s="159">
        <f t="shared" si="311"/>
        <v>76.75239536056479</v>
      </c>
      <c r="Q943" s="159">
        <f t="shared" si="311"/>
        <v>66.2800470667339</v>
      </c>
      <c r="R943" s="324"/>
      <c r="AC943" s="325" t="s">
        <v>416</v>
      </c>
      <c r="AD943" s="159">
        <f t="shared" si="297"/>
        <v>0</v>
      </c>
      <c r="AE943" s="159">
        <f t="shared" si="298"/>
        <v>0</v>
      </c>
      <c r="AF943" s="159">
        <f t="shared" si="299"/>
        <v>0</v>
      </c>
      <c r="AG943" s="159">
        <f t="shared" si="300"/>
        <v>0</v>
      </c>
      <c r="AH943" s="159">
        <f t="shared" si="301"/>
        <v>0</v>
      </c>
      <c r="AI943" s="159"/>
      <c r="AJ943" s="159">
        <f t="shared" si="302"/>
        <v>0</v>
      </c>
      <c r="AK943" s="159"/>
      <c r="AL943" s="159"/>
      <c r="AM943" s="159"/>
      <c r="AN943" s="164" t="s">
        <v>416</v>
      </c>
      <c r="AO943" s="159">
        <f t="shared" si="303"/>
        <v>75321</v>
      </c>
      <c r="AP943" s="159">
        <f t="shared" si="304"/>
        <v>9551</v>
      </c>
      <c r="AQ943" s="159">
        <f t="shared" si="305"/>
        <v>9971</v>
      </c>
      <c r="AR943" s="159">
        <f t="shared" si="306"/>
        <v>15547</v>
      </c>
      <c r="AS943" s="159">
        <f>((F917-$F917)*(('[1]Lake Pleasant Forecast'!B47-1526.8)/0.7702))/1000</f>
        <v>0</v>
      </c>
      <c r="AT943" s="159">
        <f t="shared" si="307"/>
        <v>110390</v>
      </c>
      <c r="AU943" s="307"/>
      <c r="AW943" s="159">
        <f t="shared" si="296"/>
        <v>4524</v>
      </c>
      <c r="AX943" s="172">
        <v>2.4700000000000002</v>
      </c>
    </row>
    <row r="944" spans="1:50" ht="15.75" customHeight="1" x14ac:dyDescent="0.3">
      <c r="A944" s="365" t="s">
        <v>13</v>
      </c>
      <c r="B944" s="159">
        <f t="shared" ref="B944:Q944" si="312">(B915/$G$10/1.983)</f>
        <v>2918.4845379272197</v>
      </c>
      <c r="C944" s="159">
        <f t="shared" si="312"/>
        <v>2911.5709335805964</v>
      </c>
      <c r="D944" s="159">
        <f t="shared" si="312"/>
        <v>2905.0314772339075</v>
      </c>
      <c r="E944" s="159">
        <f t="shared" si="312"/>
        <v>2798.4643664698319</v>
      </c>
      <c r="F944" s="159">
        <f t="shared" si="312"/>
        <v>66.028988336342778</v>
      </c>
      <c r="G944" s="159">
        <f>(G915/$G$10/1.983)</f>
        <v>-79.433247116620308</v>
      </c>
      <c r="H944" s="159">
        <f t="shared" si="312"/>
        <v>2112.3745384152394</v>
      </c>
      <c r="I944" s="159">
        <f t="shared" si="312"/>
        <v>681.86032892489391</v>
      </c>
      <c r="J944" s="159">
        <f t="shared" si="312"/>
        <v>524.31148634359795</v>
      </c>
      <c r="K944" s="159">
        <f t="shared" si="312"/>
        <v>434.40209522879957</v>
      </c>
      <c r="L944" s="159">
        <f t="shared" si="312"/>
        <v>370.50412376165144</v>
      </c>
      <c r="M944" s="159">
        <f t="shared" si="312"/>
        <v>369.8208969791616</v>
      </c>
      <c r="N944" s="159">
        <f t="shared" si="312"/>
        <v>344.85058480959123</v>
      </c>
      <c r="O944" s="159">
        <f t="shared" si="312"/>
        <v>76.944349551835771</v>
      </c>
      <c r="P944" s="159">
        <f t="shared" si="312"/>
        <v>95.505343809477324</v>
      </c>
      <c r="Q944" s="159">
        <f t="shared" si="312"/>
        <v>76.814211117075786</v>
      </c>
      <c r="R944" s="324"/>
      <c r="AC944" s="325" t="s">
        <v>417</v>
      </c>
      <c r="AD944" s="159">
        <f t="shared" si="297"/>
        <v>0</v>
      </c>
      <c r="AE944" s="159">
        <f t="shared" si="298"/>
        <v>0</v>
      </c>
      <c r="AF944" s="159">
        <f t="shared" si="299"/>
        <v>0</v>
      </c>
      <c r="AG944" s="159">
        <f t="shared" si="300"/>
        <v>0</v>
      </c>
      <c r="AH944" s="159">
        <f t="shared" si="301"/>
        <v>0</v>
      </c>
      <c r="AI944" s="159"/>
      <c r="AJ944" s="159">
        <f t="shared" si="302"/>
        <v>0</v>
      </c>
      <c r="AK944" s="159"/>
      <c r="AL944" s="159"/>
      <c r="AM944" s="159"/>
      <c r="AN944" s="164" t="s">
        <v>417</v>
      </c>
      <c r="AO944" s="159">
        <f t="shared" si="303"/>
        <v>27141</v>
      </c>
      <c r="AP944" s="159">
        <f t="shared" si="304"/>
        <v>3419</v>
      </c>
      <c r="AQ944" s="159">
        <f t="shared" si="305"/>
        <v>3547</v>
      </c>
      <c r="AR944" s="159">
        <f t="shared" si="306"/>
        <v>4491</v>
      </c>
      <c r="AS944" s="159">
        <f>((F918-$F918)*(('[1]Lake Pleasant Forecast'!B49-1526.8)/0.7702))/1000</f>
        <v>0</v>
      </c>
      <c r="AT944" s="159">
        <f t="shared" si="307"/>
        <v>38598</v>
      </c>
      <c r="AU944" s="307"/>
      <c r="AW944" s="159"/>
      <c r="AX944" s="172"/>
    </row>
    <row r="945" spans="1:50" ht="15.75" customHeight="1" x14ac:dyDescent="0.3">
      <c r="A945" s="365" t="s">
        <v>14</v>
      </c>
      <c r="B945" s="159">
        <f t="shared" ref="B945:Q945" si="313">(B916/$H$10/1.983)</f>
        <v>1547.7391158177843</v>
      </c>
      <c r="C945" s="159">
        <f t="shared" si="313"/>
        <v>1540.7295343755254</v>
      </c>
      <c r="D945" s="159">
        <f t="shared" si="313"/>
        <v>1534.0729534375523</v>
      </c>
      <c r="E945" s="159">
        <f t="shared" si="313"/>
        <v>1417.7172634056144</v>
      </c>
      <c r="F945" s="159">
        <f t="shared" si="313"/>
        <v>0</v>
      </c>
      <c r="G945" s="159">
        <f t="shared" si="313"/>
        <v>-1796.8566145570683</v>
      </c>
      <c r="H945" s="159">
        <f t="shared" si="313"/>
        <v>2411.6658261892753</v>
      </c>
      <c r="I945" s="159">
        <f t="shared" si="313"/>
        <v>755.0848882165069</v>
      </c>
      <c r="J945" s="159">
        <f t="shared" si="313"/>
        <v>487.56093461085896</v>
      </c>
      <c r="K945" s="159">
        <f t="shared" si="313"/>
        <v>386.88855269793243</v>
      </c>
      <c r="L945" s="159">
        <f t="shared" si="313"/>
        <v>330.47571020339552</v>
      </c>
      <c r="M945" s="159">
        <f t="shared" si="313"/>
        <v>329.73609009917629</v>
      </c>
      <c r="N945" s="159">
        <f t="shared" si="313"/>
        <v>300.70600100857285</v>
      </c>
      <c r="O945" s="159">
        <f t="shared" si="313"/>
        <v>65.557236510337873</v>
      </c>
      <c r="P945" s="159">
        <f t="shared" si="313"/>
        <v>97.86518742645822</v>
      </c>
      <c r="Q945" s="159">
        <f t="shared" si="313"/>
        <v>65.405950579929396</v>
      </c>
      <c r="R945" s="324"/>
      <c r="AC945" s="325" t="s">
        <v>418</v>
      </c>
      <c r="AD945" s="159">
        <f t="shared" si="297"/>
        <v>17194</v>
      </c>
      <c r="AE945" s="159">
        <f t="shared" si="298"/>
        <v>2192</v>
      </c>
      <c r="AF945" s="159">
        <f t="shared" si="299"/>
        <v>2300</v>
      </c>
      <c r="AG945" s="159">
        <f t="shared" si="300"/>
        <v>3935</v>
      </c>
      <c r="AH945" s="159">
        <f t="shared" si="301"/>
        <v>3099.7857179953285</v>
      </c>
      <c r="AI945" s="159"/>
      <c r="AJ945" s="159">
        <f t="shared" si="302"/>
        <v>28720.785717995328</v>
      </c>
      <c r="AK945" s="159"/>
      <c r="AL945" s="159"/>
      <c r="AM945" s="159"/>
      <c r="AN945" s="164" t="s">
        <v>418</v>
      </c>
      <c r="AO945" s="159">
        <f t="shared" si="303"/>
        <v>140975</v>
      </c>
      <c r="AP945" s="159">
        <f t="shared" si="304"/>
        <v>17933</v>
      </c>
      <c r="AQ945" s="159">
        <f t="shared" si="305"/>
        <v>18777</v>
      </c>
      <c r="AR945" s="159">
        <f t="shared" si="306"/>
        <v>31038</v>
      </c>
      <c r="AS945" s="159">
        <f>((F919-$F919)*(('[1]Lake Pleasant Forecast'!B51-1526.8)/0.7702))/1000</f>
        <v>0</v>
      </c>
      <c r="AT945" s="159">
        <f t="shared" si="307"/>
        <v>208723</v>
      </c>
      <c r="AU945" s="307"/>
      <c r="AW945" s="159">
        <f>(SUM(AW932:AW943))</f>
        <v>131587</v>
      </c>
      <c r="AX945" s="172"/>
    </row>
    <row r="946" spans="1:50" ht="15.75" customHeight="1" x14ac:dyDescent="0.3">
      <c r="A946" s="365" t="s">
        <v>16</v>
      </c>
      <c r="B946" s="159">
        <f t="shared" ref="B946:Q946" si="314">(B917/$J$10/1.983)</f>
        <v>1280.3181884729881</v>
      </c>
      <c r="C946" s="159">
        <f t="shared" si="314"/>
        <v>1273.5509898654693</v>
      </c>
      <c r="D946" s="159">
        <f t="shared" si="314"/>
        <v>1267.1416719535405</v>
      </c>
      <c r="E946" s="159">
        <f t="shared" si="314"/>
        <v>1154.8322027556812</v>
      </c>
      <c r="F946" s="159">
        <f t="shared" si="314"/>
        <v>0</v>
      </c>
      <c r="G946" s="159">
        <f t="shared" si="314"/>
        <v>-1920.1112683617196</v>
      </c>
      <c r="H946" s="159">
        <f t="shared" si="314"/>
        <v>2369.4955508922617</v>
      </c>
      <c r="I946" s="159">
        <f t="shared" si="314"/>
        <v>791.72970247100352</v>
      </c>
      <c r="J946" s="159">
        <f t="shared" si="314"/>
        <v>489.92240495827434</v>
      </c>
      <c r="K946" s="159">
        <f t="shared" si="314"/>
        <v>370.50412376165144</v>
      </c>
      <c r="L946" s="159">
        <f t="shared" si="314"/>
        <v>299.33466725228965</v>
      </c>
      <c r="M946" s="159">
        <f t="shared" si="314"/>
        <v>298.70024238283474</v>
      </c>
      <c r="N946" s="159">
        <f t="shared" si="314"/>
        <v>273.32324760463945</v>
      </c>
      <c r="O946" s="159">
        <f t="shared" si="314"/>
        <v>55.178696338229791</v>
      </c>
      <c r="P946" s="159">
        <f t="shared" si="314"/>
        <v>85.012932506954272</v>
      </c>
      <c r="Q946" s="159">
        <f t="shared" si="314"/>
        <v>55.064825207814806</v>
      </c>
      <c r="R946" s="324"/>
      <c r="AC946" s="325" t="s">
        <v>419</v>
      </c>
      <c r="AD946" s="159">
        <f t="shared" si="297"/>
        <v>90153</v>
      </c>
      <c r="AE946" s="159">
        <f t="shared" si="298"/>
        <v>11493</v>
      </c>
      <c r="AF946" s="159">
        <f t="shared" si="299"/>
        <v>12058</v>
      </c>
      <c r="AG946" s="159">
        <f t="shared" si="300"/>
        <v>20631</v>
      </c>
      <c r="AH946" s="159">
        <f t="shared" si="301"/>
        <v>17058.72744741623</v>
      </c>
      <c r="AI946" s="159"/>
      <c r="AJ946" s="159">
        <f t="shared" si="302"/>
        <v>151393.72744741623</v>
      </c>
      <c r="AK946" s="159"/>
      <c r="AL946" s="159"/>
      <c r="AM946" s="159"/>
      <c r="AN946" s="164" t="s">
        <v>419</v>
      </c>
      <c r="AO946" s="159">
        <f t="shared" si="303"/>
        <v>77511</v>
      </c>
      <c r="AP946" s="159">
        <f t="shared" si="304"/>
        <v>9846</v>
      </c>
      <c r="AQ946" s="159">
        <f t="shared" si="305"/>
        <v>10296</v>
      </c>
      <c r="AR946" s="159">
        <f t="shared" si="306"/>
        <v>17394</v>
      </c>
      <c r="AS946" s="159">
        <f>((F920-$F920)*(('[1]Lake Pleasant Forecast'!B53-1526.8)/0.7702))/1000</f>
        <v>0</v>
      </c>
      <c r="AT946" s="159">
        <f t="shared" si="307"/>
        <v>115047</v>
      </c>
      <c r="AU946" s="307"/>
    </row>
    <row r="947" spans="1:50" ht="15.75" customHeight="1" x14ac:dyDescent="0.3">
      <c r="A947" s="365" t="s">
        <v>17</v>
      </c>
      <c r="B947" s="159">
        <f t="shared" ref="B947:Q947" si="315">(B918/$K$10/1.983)</f>
        <v>461.34075122411463</v>
      </c>
      <c r="C947" s="159">
        <f t="shared" si="315"/>
        <v>455.90747157288564</v>
      </c>
      <c r="D947" s="159">
        <f t="shared" si="315"/>
        <v>450.73446879117654</v>
      </c>
      <c r="E947" s="159">
        <f t="shared" si="315"/>
        <v>333.62614481154327</v>
      </c>
      <c r="F947" s="159">
        <f t="shared" si="315"/>
        <v>0</v>
      </c>
      <c r="G947" s="159">
        <f t="shared" si="315"/>
        <v>-2556.3092739902067</v>
      </c>
      <c r="H947" s="159">
        <f t="shared" si="315"/>
        <v>2014.0386836497323</v>
      </c>
      <c r="I947" s="159">
        <f t="shared" si="315"/>
        <v>796.28454768760264</v>
      </c>
      <c r="J947" s="159">
        <f t="shared" si="315"/>
        <v>528.81752964716225</v>
      </c>
      <c r="K947" s="159">
        <f t="shared" si="315"/>
        <v>457.87581539863027</v>
      </c>
      <c r="L947" s="159">
        <f t="shared" si="315"/>
        <v>368.03149350121186</v>
      </c>
      <c r="M947" s="159">
        <f t="shared" si="315"/>
        <v>367.445870544792</v>
      </c>
      <c r="N947" s="159">
        <f t="shared" si="315"/>
        <v>326.19198672587964</v>
      </c>
      <c r="O947" s="159">
        <f t="shared" si="315"/>
        <v>73.625819465456374</v>
      </c>
      <c r="P947" s="159">
        <f t="shared" si="315"/>
        <v>92.821238592552817</v>
      </c>
      <c r="Q947" s="159">
        <f t="shared" si="315"/>
        <v>73.528215639386403</v>
      </c>
      <c r="R947" s="324"/>
      <c r="AC947" s="325" t="s">
        <v>420</v>
      </c>
      <c r="AD947" s="159">
        <f t="shared" si="297"/>
        <v>77232</v>
      </c>
      <c r="AE947" s="159">
        <f t="shared" si="298"/>
        <v>9846</v>
      </c>
      <c r="AF947" s="159">
        <f t="shared" si="299"/>
        <v>10330</v>
      </c>
      <c r="AG947" s="159">
        <f t="shared" si="300"/>
        <v>17674</v>
      </c>
      <c r="AH947" s="159">
        <f t="shared" si="301"/>
        <v>15456.182835627109</v>
      </c>
      <c r="AI947" s="159"/>
      <c r="AJ947" s="159">
        <f t="shared" si="302"/>
        <v>130538.18283562711</v>
      </c>
      <c r="AK947" s="159"/>
      <c r="AL947" s="159"/>
      <c r="AM947" s="159"/>
      <c r="AN947" s="164" t="s">
        <v>420</v>
      </c>
      <c r="AO947" s="159">
        <f t="shared" si="303"/>
        <v>86630</v>
      </c>
      <c r="AP947" s="159">
        <f t="shared" si="304"/>
        <v>11015</v>
      </c>
      <c r="AQ947" s="159">
        <f t="shared" si="305"/>
        <v>11528</v>
      </c>
      <c r="AR947" s="159">
        <f t="shared" si="306"/>
        <v>19048</v>
      </c>
      <c r="AS947" s="159">
        <f>((F921-$F921)*(('[1]Lake Pleasant Forecast'!B55-1526.8)/0.7702))/1000</f>
        <v>0</v>
      </c>
      <c r="AT947" s="159">
        <f t="shared" si="307"/>
        <v>128221</v>
      </c>
      <c r="AU947" s="307"/>
    </row>
    <row r="948" spans="1:50" ht="15.75" customHeight="1" x14ac:dyDescent="0.3">
      <c r="A948" s="365" t="s">
        <v>18</v>
      </c>
      <c r="B948" s="159">
        <f t="shared" ref="B948:Q948" si="316">(B919/$L$10/1.983)</f>
        <v>2778.2148260211798</v>
      </c>
      <c r="C948" s="159">
        <f t="shared" si="316"/>
        <v>2772.9030089090602</v>
      </c>
      <c r="D948" s="159">
        <f t="shared" si="316"/>
        <v>2767.8433350142877</v>
      </c>
      <c r="E948" s="159">
        <f t="shared" si="316"/>
        <v>2684.4007396201041</v>
      </c>
      <c r="F948" s="159">
        <f t="shared" si="316"/>
        <v>302.01714573877962</v>
      </c>
      <c r="G948" s="159">
        <f t="shared" si="316"/>
        <v>-134.19062027231467</v>
      </c>
      <c r="H948" s="159">
        <f t="shared" si="316"/>
        <v>1634.8125735417718</v>
      </c>
      <c r="I948" s="159">
        <f t="shared" si="316"/>
        <v>602.62228946041353</v>
      </c>
      <c r="J948" s="159">
        <f t="shared" si="316"/>
        <v>465.59085560598419</v>
      </c>
      <c r="K948" s="159">
        <f t="shared" si="316"/>
        <v>403.3114809211632</v>
      </c>
      <c r="L948" s="159">
        <f t="shared" si="316"/>
        <v>317.07850058833412</v>
      </c>
      <c r="M948" s="159">
        <f t="shared" si="316"/>
        <v>316.50697596234659</v>
      </c>
      <c r="N948" s="159">
        <f t="shared" si="316"/>
        <v>281.72802151622119</v>
      </c>
      <c r="O948" s="159">
        <f t="shared" si="316"/>
        <v>68.667002857623118</v>
      </c>
      <c r="P948" s="159">
        <f t="shared" si="316"/>
        <v>93.83089594889897</v>
      </c>
      <c r="Q948" s="159">
        <f t="shared" si="316"/>
        <v>68.566145570684142</v>
      </c>
      <c r="R948" s="324"/>
      <c r="AC948" s="325" t="s">
        <v>421</v>
      </c>
      <c r="AD948" s="159">
        <f t="shared" si="297"/>
        <v>75676</v>
      </c>
      <c r="AE948" s="159">
        <f t="shared" si="298"/>
        <v>9647</v>
      </c>
      <c r="AF948" s="159">
        <f t="shared" si="299"/>
        <v>10122</v>
      </c>
      <c r="AG948" s="159">
        <f t="shared" si="300"/>
        <v>17318</v>
      </c>
      <c r="AH948" s="159">
        <f t="shared" si="301"/>
        <v>15424.017335486369</v>
      </c>
      <c r="AI948" s="159"/>
      <c r="AJ948" s="159">
        <f t="shared" si="302"/>
        <v>128187.01733548637</v>
      </c>
      <c r="AK948" s="159"/>
      <c r="AL948" s="159"/>
      <c r="AM948" s="159"/>
      <c r="AN948" s="164" t="s">
        <v>421</v>
      </c>
      <c r="AO948" s="159">
        <f t="shared" si="303"/>
        <v>60643</v>
      </c>
      <c r="AP948" s="159">
        <f t="shared" si="304"/>
        <v>7708</v>
      </c>
      <c r="AQ948" s="159">
        <f t="shared" si="305"/>
        <v>8064</v>
      </c>
      <c r="AR948" s="159">
        <f t="shared" si="306"/>
        <v>13306</v>
      </c>
      <c r="AS948" s="159">
        <f>((F922-$F922)*(('[1]Lake Pleasant Forecast'!B57-1526.8)/0.7702))/1000</f>
        <v>0</v>
      </c>
      <c r="AT948" s="159">
        <f t="shared" si="307"/>
        <v>89721</v>
      </c>
      <c r="AU948" s="307"/>
    </row>
    <row r="949" spans="1:50" ht="15.75" customHeight="1" x14ac:dyDescent="0.3">
      <c r="A949" s="365" t="s">
        <v>20</v>
      </c>
      <c r="B949" s="159">
        <f t="shared" ref="B949:Q949" si="317">(B920/$N$10/1.983)</f>
        <v>2849.9991866347827</v>
      </c>
      <c r="C949" s="159">
        <f t="shared" si="317"/>
        <v>2845.3630048964583</v>
      </c>
      <c r="D949" s="159">
        <f t="shared" si="317"/>
        <v>2840.9382981146196</v>
      </c>
      <c r="E949" s="159">
        <f t="shared" si="317"/>
        <v>2824.4432515087924</v>
      </c>
      <c r="F949" s="159">
        <f t="shared" si="317"/>
        <v>1532.4451385160964</v>
      </c>
      <c r="G949" s="159">
        <f t="shared" si="317"/>
        <v>0</v>
      </c>
      <c r="H949" s="159">
        <f t="shared" si="317"/>
        <v>643.6484310184959</v>
      </c>
      <c r="I949" s="159">
        <f t="shared" si="317"/>
        <v>219.57607404876939</v>
      </c>
      <c r="J949" s="159">
        <f t="shared" si="317"/>
        <v>205.32591544255203</v>
      </c>
      <c r="K949" s="159">
        <f t="shared" si="317"/>
        <v>202.30019683438258</v>
      </c>
      <c r="L949" s="159">
        <f t="shared" si="317"/>
        <v>146.47080832235289</v>
      </c>
      <c r="M949" s="159">
        <f t="shared" si="317"/>
        <v>145.99905649634798</v>
      </c>
      <c r="N949" s="159">
        <f t="shared" si="317"/>
        <v>144.07951458363831</v>
      </c>
      <c r="O949" s="159">
        <f t="shared" si="317"/>
        <v>51.664958599710431</v>
      </c>
      <c r="P949" s="159">
        <f t="shared" si="317"/>
        <v>58.394200163757532</v>
      </c>
      <c r="Q949" s="159">
        <f t="shared" si="317"/>
        <v>51.58362207798546</v>
      </c>
      <c r="R949" s="324"/>
      <c r="AC949" s="323"/>
      <c r="AD949" s="159"/>
      <c r="AE949" s="159"/>
      <c r="AF949" s="159"/>
      <c r="AG949" s="159"/>
      <c r="AH949" s="159"/>
      <c r="AI949" s="159"/>
      <c r="AJ949" s="159"/>
      <c r="AK949" s="159"/>
      <c r="AL949" s="159"/>
      <c r="AM949" s="159"/>
      <c r="AN949" s="159"/>
      <c r="AO949" s="159"/>
      <c r="AP949" s="159"/>
      <c r="AQ949" s="159"/>
      <c r="AR949" s="159"/>
      <c r="AS949" s="159"/>
      <c r="AT949" s="159"/>
      <c r="AU949" s="307"/>
    </row>
    <row r="950" spans="1:50" ht="15.75" customHeight="1" thickBot="1" x14ac:dyDescent="0.35">
      <c r="A950" s="365" t="s">
        <v>21</v>
      </c>
      <c r="B950" s="159">
        <f t="shared" ref="B950:Q950" si="318">(B921/$O$10/1.983)</f>
        <v>2878.1980164733563</v>
      </c>
      <c r="C950" s="159">
        <f t="shared" si="318"/>
        <v>2874.2477727349133</v>
      </c>
      <c r="D950" s="159">
        <f t="shared" si="318"/>
        <v>2870.4488149268786</v>
      </c>
      <c r="E950" s="159">
        <f t="shared" si="318"/>
        <v>2818.6081694402419</v>
      </c>
      <c r="F950" s="159">
        <f t="shared" si="318"/>
        <v>1356.5641284249452</v>
      </c>
      <c r="G950" s="159">
        <f t="shared" si="318"/>
        <v>-1.8322407127248277</v>
      </c>
      <c r="H950" s="159">
        <f t="shared" si="318"/>
        <v>663.6409480584972</v>
      </c>
      <c r="I950" s="159">
        <f t="shared" si="318"/>
        <v>94.13346780971591</v>
      </c>
      <c r="J950" s="159">
        <f t="shared" si="318"/>
        <v>93.393847705496711</v>
      </c>
      <c r="K950" s="159">
        <f t="shared" si="318"/>
        <v>87.258362750042025</v>
      </c>
      <c r="L950" s="159">
        <f t="shared" si="318"/>
        <v>74.533535047907208</v>
      </c>
      <c r="M950" s="159">
        <f t="shared" si="318"/>
        <v>74.14691544797445</v>
      </c>
      <c r="N950" s="159">
        <f t="shared" si="318"/>
        <v>63.187090267271806</v>
      </c>
      <c r="O950" s="159">
        <f t="shared" si="318"/>
        <v>36.006051437216342</v>
      </c>
      <c r="P950" s="159">
        <f t="shared" si="318"/>
        <v>63.603967053286269</v>
      </c>
      <c r="Q950" s="159">
        <f t="shared" si="318"/>
        <v>35.955622793746848</v>
      </c>
      <c r="R950" s="324"/>
      <c r="AC950" s="330" t="s">
        <v>422</v>
      </c>
      <c r="AD950" s="327">
        <f>SUM(AD937:AD948)</f>
        <v>407105</v>
      </c>
      <c r="AE950" s="327">
        <f>SUM(AE937:AE948)</f>
        <v>51898</v>
      </c>
      <c r="AF950" s="327">
        <f>SUM(AF937:AF948)</f>
        <v>54453</v>
      </c>
      <c r="AG950" s="327">
        <f>SUM(AG937:AG948)</f>
        <v>93164</v>
      </c>
      <c r="AH950" s="327">
        <f>SUM(AH937:AH948)</f>
        <v>84308.867498632942</v>
      </c>
      <c r="AI950" s="327"/>
      <c r="AJ950" s="327">
        <f>SUM(AJ937:AJ948)</f>
        <v>690928.86749863299</v>
      </c>
      <c r="AK950" s="327"/>
      <c r="AL950" s="327"/>
      <c r="AM950" s="327"/>
      <c r="AN950" s="335" t="s">
        <v>422</v>
      </c>
      <c r="AO950" s="327">
        <f t="shared" ref="AO950:AT950" si="319">SUM(AO937:AO948)</f>
        <v>1062651</v>
      </c>
      <c r="AP950" s="327">
        <f t="shared" si="319"/>
        <v>135041</v>
      </c>
      <c r="AQ950" s="327">
        <f t="shared" si="319"/>
        <v>141257</v>
      </c>
      <c r="AR950" s="327">
        <f t="shared" si="319"/>
        <v>230741</v>
      </c>
      <c r="AS950" s="327">
        <f t="shared" si="319"/>
        <v>0</v>
      </c>
      <c r="AT950" s="327">
        <f t="shared" si="319"/>
        <v>1569690</v>
      </c>
      <c r="AU950" s="313"/>
    </row>
    <row r="951" spans="1:50" ht="15.75" customHeight="1" thickBot="1" x14ac:dyDescent="0.35">
      <c r="A951" s="369" t="s">
        <v>22</v>
      </c>
      <c r="B951" s="327">
        <f t="shared" ref="B951:Q951" si="320">(B922/$P$10/1.983)</f>
        <v>2317.1799001187514</v>
      </c>
      <c r="C951" s="327">
        <f t="shared" si="320"/>
        <v>2314.1541815105816</v>
      </c>
      <c r="D951" s="327">
        <f t="shared" si="320"/>
        <v>2311.2423340328273</v>
      </c>
      <c r="E951" s="327">
        <f t="shared" si="320"/>
        <v>2274.6897011696192</v>
      </c>
      <c r="F951" s="327">
        <f t="shared" si="320"/>
        <v>1286.3533583849821</v>
      </c>
      <c r="G951" s="327">
        <f t="shared" si="320"/>
        <v>0</v>
      </c>
      <c r="H951" s="327">
        <f t="shared" si="320"/>
        <v>479.82040896003122</v>
      </c>
      <c r="I951" s="327">
        <f t="shared" si="320"/>
        <v>91.243310071088118</v>
      </c>
      <c r="J951" s="327">
        <f t="shared" si="320"/>
        <v>86.476989898003993</v>
      </c>
      <c r="K951" s="327">
        <f t="shared" si="320"/>
        <v>85.793763115514125</v>
      </c>
      <c r="L951" s="327">
        <f t="shared" si="320"/>
        <v>83.679013550664521</v>
      </c>
      <c r="M951" s="327">
        <f t="shared" si="320"/>
        <v>83.369934768109573</v>
      </c>
      <c r="N951" s="327">
        <f t="shared" si="320"/>
        <v>69.331251118377168</v>
      </c>
      <c r="O951" s="327">
        <f t="shared" si="320"/>
        <v>31.038016690254256</v>
      </c>
      <c r="P951" s="327">
        <f t="shared" si="320"/>
        <v>53.913100060189024</v>
      </c>
      <c r="Q951" s="327">
        <f t="shared" si="320"/>
        <v>30.680135994664322</v>
      </c>
      <c r="R951" s="328"/>
    </row>
    <row r="952" spans="1:50" ht="15.75" customHeight="1" x14ac:dyDescent="0.3">
      <c r="R952" s="319"/>
      <c r="AC952" s="370"/>
      <c r="AD952" s="506" t="s">
        <v>1028</v>
      </c>
      <c r="AE952" s="517"/>
      <c r="AF952" s="517"/>
      <c r="AG952" s="517"/>
      <c r="AH952" s="517"/>
      <c r="AI952" s="517"/>
      <c r="AJ952" s="517"/>
      <c r="AK952" s="517"/>
      <c r="AL952" s="517"/>
      <c r="AM952" s="517"/>
      <c r="AN952" s="517"/>
      <c r="AO952" s="517"/>
      <c r="AP952" s="517"/>
      <c r="AQ952" s="517"/>
      <c r="AR952" s="361" t="str">
        <f>$Q$1</f>
        <v xml:space="preserve">PRINTED:  </v>
      </c>
      <c r="AS952" s="371">
        <f ca="1">$R$1</f>
        <v>44909.46975358796</v>
      </c>
    </row>
    <row r="953" spans="1:50" ht="15.75" customHeight="1" x14ac:dyDescent="0.3">
      <c r="R953" s="159"/>
      <c r="AC953" s="306"/>
      <c r="AD953" s="503" t="str">
        <f>+$A$8</f>
        <v>Revised:  3/2/2019</v>
      </c>
      <c r="AE953" s="516"/>
      <c r="AF953" s="516"/>
      <c r="AG953" s="516"/>
      <c r="AH953" s="516"/>
      <c r="AI953" s="516"/>
      <c r="AJ953" s="516"/>
      <c r="AK953" s="516"/>
      <c r="AL953" s="516"/>
      <c r="AM953" s="516"/>
      <c r="AN953" s="516"/>
      <c r="AO953" s="516"/>
      <c r="AP953" s="516"/>
      <c r="AQ953" s="516"/>
      <c r="AR953" s="365"/>
      <c r="AS953" s="307"/>
    </row>
    <row r="954" spans="1:50" ht="15.75" customHeight="1" x14ac:dyDescent="0.3">
      <c r="A954" s="365"/>
      <c r="AC954" s="306"/>
      <c r="AD954" s="503" t="s">
        <v>1024</v>
      </c>
      <c r="AE954" s="508"/>
      <c r="AF954" s="508"/>
      <c r="AG954" s="508"/>
      <c r="AH954" s="508"/>
      <c r="AI954" s="508"/>
      <c r="AJ954" s="508"/>
      <c r="AK954" s="508"/>
      <c r="AL954" s="508"/>
      <c r="AM954" s="508"/>
      <c r="AN954" s="508"/>
      <c r="AO954" s="508"/>
      <c r="AP954" s="508"/>
      <c r="AQ954" s="508"/>
      <c r="AS954" s="307"/>
    </row>
    <row r="955" spans="1:50" ht="15.75" customHeight="1" x14ac:dyDescent="0.3">
      <c r="A955" s="365"/>
      <c r="AC955" s="306"/>
      <c r="AS955" s="307"/>
    </row>
    <row r="956" spans="1:50" ht="15.75" customHeight="1" thickBot="1" x14ac:dyDescent="0.35">
      <c r="A956" s="365"/>
      <c r="AC956" s="306"/>
      <c r="AD956" s="509">
        <f>$A$5</f>
        <v>2018</v>
      </c>
      <c r="AE956" s="508"/>
      <c r="AF956" s="508"/>
      <c r="AG956" s="508"/>
      <c r="AH956" s="508"/>
      <c r="AI956" s="508"/>
      <c r="AJ956" s="508"/>
      <c r="AK956" s="508"/>
      <c r="AL956" s="508"/>
      <c r="AM956" s="508"/>
      <c r="AN956" s="508"/>
      <c r="AO956" s="508"/>
      <c r="AP956" s="508"/>
      <c r="AQ956" s="508"/>
      <c r="AS956" s="307"/>
    </row>
    <row r="957" spans="1:50" ht="15.75" customHeight="1" x14ac:dyDescent="0.3">
      <c r="A957" s="363"/>
      <c r="B957" s="506" t="s">
        <v>456</v>
      </c>
      <c r="C957" s="506"/>
      <c r="D957" s="506"/>
      <c r="E957" s="506"/>
      <c r="F957" s="506"/>
      <c r="G957" s="506"/>
      <c r="H957" s="506"/>
      <c r="I957" s="506"/>
      <c r="J957" s="506"/>
      <c r="K957" s="506"/>
      <c r="L957" s="506"/>
      <c r="M957" s="506"/>
      <c r="N957" s="506"/>
      <c r="O957" s="506"/>
      <c r="P957" s="506"/>
      <c r="Q957" s="361" t="str">
        <f>+Q1</f>
        <v xml:space="preserve">PRINTED:  </v>
      </c>
      <c r="R957" s="362">
        <f ca="1">+R1</f>
        <v>44909.46975358796</v>
      </c>
      <c r="AC957" s="306"/>
      <c r="AD957" s="503" t="s">
        <v>1029</v>
      </c>
      <c r="AE957" s="516"/>
      <c r="AF957" s="516"/>
      <c r="AG957" s="516"/>
      <c r="AH957" s="516"/>
      <c r="AI957" s="516"/>
      <c r="AJ957" s="516"/>
      <c r="AK957" s="516"/>
      <c r="AL957" s="516"/>
      <c r="AM957" s="516"/>
      <c r="AN957" s="516"/>
      <c r="AO957" s="516"/>
      <c r="AP957" s="516"/>
      <c r="AQ957" s="516"/>
      <c r="AR957" s="164"/>
      <c r="AS957" s="307"/>
    </row>
    <row r="958" spans="1:50" ht="16.5" customHeight="1" x14ac:dyDescent="0.3">
      <c r="A958" s="325"/>
      <c r="B958" s="503" t="str">
        <f>+A8</f>
        <v>Revised:  3/2/2019</v>
      </c>
      <c r="C958" s="503"/>
      <c r="D958" s="503"/>
      <c r="E958" s="503"/>
      <c r="F958" s="503"/>
      <c r="G958" s="503"/>
      <c r="H958" s="503"/>
      <c r="I958" s="503"/>
      <c r="J958" s="503"/>
      <c r="K958" s="503"/>
      <c r="L958" s="503"/>
      <c r="M958" s="503"/>
      <c r="N958" s="503"/>
      <c r="O958" s="503"/>
      <c r="P958" s="503"/>
      <c r="Q958" s="159"/>
      <c r="R958" s="324"/>
      <c r="AC958" s="306"/>
      <c r="AK958" s="372"/>
      <c r="AS958" s="307"/>
    </row>
    <row r="959" spans="1:50" ht="15.75" customHeight="1" thickBot="1" x14ac:dyDescent="0.35">
      <c r="A959" s="325"/>
      <c r="B959" s="503" t="s">
        <v>1024</v>
      </c>
      <c r="C959" s="503"/>
      <c r="D959" s="503"/>
      <c r="E959" s="503"/>
      <c r="F959" s="503"/>
      <c r="G959" s="503"/>
      <c r="H959" s="503"/>
      <c r="I959" s="503"/>
      <c r="J959" s="503"/>
      <c r="K959" s="503"/>
      <c r="L959" s="503"/>
      <c r="M959" s="503"/>
      <c r="N959" s="503"/>
      <c r="O959" s="503"/>
      <c r="P959" s="503"/>
      <c r="Q959" s="159"/>
      <c r="R959" s="324"/>
      <c r="AC959" s="306"/>
      <c r="AD959" s="364" t="s">
        <v>390</v>
      </c>
      <c r="AE959" s="364" t="s">
        <v>391</v>
      </c>
      <c r="AF959" s="364" t="s">
        <v>392</v>
      </c>
      <c r="AG959" s="364" t="s">
        <v>393</v>
      </c>
      <c r="AH959" s="364" t="s">
        <v>394</v>
      </c>
      <c r="AI959" s="364" t="s">
        <v>395</v>
      </c>
      <c r="AJ959" s="364" t="s">
        <v>396</v>
      </c>
      <c r="AK959" s="364" t="s">
        <v>397</v>
      </c>
      <c r="AL959" s="364" t="s">
        <v>398</v>
      </c>
      <c r="AM959" s="364" t="s">
        <v>399</v>
      </c>
      <c r="AN959" s="364" t="s">
        <v>400</v>
      </c>
      <c r="AO959" s="364" t="s">
        <v>401</v>
      </c>
      <c r="AP959" s="364" t="s">
        <v>402</v>
      </c>
      <c r="AQ959" s="364" t="s">
        <v>403</v>
      </c>
      <c r="AR959" s="364" t="s">
        <v>404</v>
      </c>
      <c r="AS959" s="373" t="s">
        <v>422</v>
      </c>
    </row>
    <row r="960" spans="1:50" ht="15.75" customHeight="1" x14ac:dyDescent="0.3">
      <c r="A960" s="325"/>
      <c r="B960" s="159"/>
      <c r="C960" s="159"/>
      <c r="D960" s="159"/>
      <c r="E960" s="159"/>
      <c r="F960" s="159"/>
      <c r="G960" s="159"/>
      <c r="H960" s="159"/>
      <c r="I960" s="159"/>
      <c r="J960" s="159"/>
      <c r="K960" s="159"/>
      <c r="L960" s="159"/>
      <c r="M960" s="159"/>
      <c r="N960" s="159"/>
      <c r="O960" s="159"/>
      <c r="P960" s="159"/>
      <c r="Q960" s="159"/>
      <c r="R960" s="324"/>
      <c r="AC960" s="306"/>
      <c r="AD960" s="159"/>
      <c r="AE960" s="159"/>
      <c r="AF960" s="159"/>
      <c r="AG960" s="159"/>
      <c r="AH960" s="164" t="s">
        <v>1030</v>
      </c>
      <c r="AI960" s="159"/>
      <c r="AJ960" s="159"/>
      <c r="AK960" s="159"/>
      <c r="AL960" s="159"/>
      <c r="AM960" s="159"/>
      <c r="AN960" s="159"/>
      <c r="AO960" s="159"/>
      <c r="AP960" s="159"/>
      <c r="AQ960" s="159"/>
      <c r="AR960" s="159"/>
      <c r="AS960" s="374"/>
    </row>
    <row r="961" spans="1:48" ht="15.75" customHeight="1" x14ac:dyDescent="0.3">
      <c r="A961" s="325"/>
      <c r="B961" s="509">
        <f>A5</f>
        <v>2018</v>
      </c>
      <c r="C961" s="509"/>
      <c r="D961" s="509"/>
      <c r="E961" s="509"/>
      <c r="F961" s="509"/>
      <c r="G961" s="509"/>
      <c r="H961" s="509"/>
      <c r="I961" s="509"/>
      <c r="J961" s="509"/>
      <c r="K961" s="509"/>
      <c r="L961" s="509"/>
      <c r="M961" s="509"/>
      <c r="N961" s="509"/>
      <c r="O961" s="509"/>
      <c r="P961" s="509"/>
      <c r="Q961" s="159"/>
      <c r="R961" s="324"/>
      <c r="S961" s="159"/>
      <c r="AC961" s="375" t="s">
        <v>1031</v>
      </c>
      <c r="AD961" s="376">
        <v>1.7000000000000001E-2</v>
      </c>
      <c r="AE961" s="376">
        <v>1.7000000000000001E-2</v>
      </c>
      <c r="AF961" s="376">
        <v>1.7000000000000001E-2</v>
      </c>
      <c r="AG961" s="376">
        <v>1.7000000000000001E-2</v>
      </c>
      <c r="AH961" s="376"/>
      <c r="AI961" s="376"/>
      <c r="AJ961" s="376"/>
      <c r="AK961" s="376"/>
      <c r="AL961" s="376"/>
      <c r="AM961" s="376"/>
      <c r="AN961" s="376"/>
      <c r="AO961" s="376"/>
      <c r="AP961" s="376"/>
      <c r="AQ961" s="376"/>
      <c r="AR961" s="376"/>
      <c r="AS961" s="377"/>
    </row>
    <row r="962" spans="1:48" ht="15.75" customHeight="1" x14ac:dyDescent="0.3">
      <c r="A962" s="325"/>
      <c r="B962" s="503" t="s">
        <v>1029</v>
      </c>
      <c r="C962" s="503"/>
      <c r="D962" s="503"/>
      <c r="E962" s="503"/>
      <c r="F962" s="503"/>
      <c r="G962" s="503"/>
      <c r="H962" s="503"/>
      <c r="I962" s="503"/>
      <c r="J962" s="503"/>
      <c r="K962" s="503"/>
      <c r="L962" s="503"/>
      <c r="M962" s="503"/>
      <c r="N962" s="503"/>
      <c r="O962" s="503"/>
      <c r="P962" s="503"/>
      <c r="Q962" s="159"/>
      <c r="R962" s="324"/>
      <c r="S962" s="159"/>
      <c r="AC962" s="375" t="s">
        <v>1032</v>
      </c>
      <c r="AD962" s="376"/>
      <c r="AE962" s="376">
        <v>0.03</v>
      </c>
      <c r="AF962" s="376"/>
      <c r="AG962" s="376"/>
      <c r="AH962" s="376"/>
      <c r="AI962" s="376"/>
      <c r="AJ962" s="376"/>
      <c r="AK962" s="376"/>
      <c r="AL962" s="376"/>
      <c r="AM962" s="376">
        <v>0.03</v>
      </c>
      <c r="AN962" s="376">
        <v>0.03</v>
      </c>
      <c r="AO962" s="376">
        <v>0.03</v>
      </c>
      <c r="AP962" s="376">
        <v>0.03</v>
      </c>
      <c r="AQ962" s="376">
        <v>0.03</v>
      </c>
      <c r="AR962" s="376">
        <v>0.03</v>
      </c>
      <c r="AS962" s="377"/>
    </row>
    <row r="963" spans="1:48" ht="15.75" customHeight="1" x14ac:dyDescent="0.3">
      <c r="A963" s="325"/>
      <c r="B963" s="159"/>
      <c r="C963" s="159"/>
      <c r="D963" s="159"/>
      <c r="E963" s="159"/>
      <c r="F963" s="159"/>
      <c r="G963" s="159"/>
      <c r="H963" s="159"/>
      <c r="I963" s="159"/>
      <c r="J963" s="159"/>
      <c r="K963" s="159"/>
      <c r="L963" s="159"/>
      <c r="M963" s="159"/>
      <c r="N963" s="159"/>
      <c r="O963" s="159"/>
      <c r="P963" s="159"/>
      <c r="Q963" s="159"/>
      <c r="R963" s="324"/>
      <c r="S963" s="159"/>
      <c r="AC963" s="375" t="s">
        <v>1033</v>
      </c>
      <c r="AD963" s="376"/>
      <c r="AE963" s="376"/>
      <c r="AF963" s="376">
        <v>0.03</v>
      </c>
      <c r="AG963" s="376">
        <v>0.03</v>
      </c>
      <c r="AH963" s="376"/>
      <c r="AI963" s="376"/>
      <c r="AJ963" s="376"/>
      <c r="AK963" s="376"/>
      <c r="AL963" s="376"/>
      <c r="AM963" s="376"/>
      <c r="AN963" s="376"/>
      <c r="AO963" s="376"/>
      <c r="AP963" s="376"/>
      <c r="AQ963" s="376"/>
      <c r="AR963" s="376"/>
      <c r="AS963" s="377"/>
    </row>
    <row r="964" spans="1:48" ht="15.75" customHeight="1" thickBot="1" x14ac:dyDescent="0.35">
      <c r="A964" s="325" t="s">
        <v>433</v>
      </c>
      <c r="B964" s="364" t="s">
        <v>390</v>
      </c>
      <c r="C964" s="364" t="s">
        <v>391</v>
      </c>
      <c r="D964" s="364" t="s">
        <v>392</v>
      </c>
      <c r="E964" s="364" t="s">
        <v>393</v>
      </c>
      <c r="F964" s="364" t="s">
        <v>394</v>
      </c>
      <c r="G964" s="364" t="s">
        <v>394</v>
      </c>
      <c r="H964" s="364" t="s">
        <v>395</v>
      </c>
      <c r="I964" s="364" t="s">
        <v>396</v>
      </c>
      <c r="J964" s="364" t="s">
        <v>397</v>
      </c>
      <c r="K964" s="364" t="s">
        <v>398</v>
      </c>
      <c r="L964" s="364" t="s">
        <v>399</v>
      </c>
      <c r="M964" s="364" t="s">
        <v>400</v>
      </c>
      <c r="N964" s="364" t="s">
        <v>401</v>
      </c>
      <c r="O964" s="364" t="s">
        <v>402</v>
      </c>
      <c r="P964" s="364" t="s">
        <v>403</v>
      </c>
      <c r="Q964" s="364" t="s">
        <v>404</v>
      </c>
      <c r="R964" s="373" t="s">
        <v>422</v>
      </c>
      <c r="S964" s="164"/>
      <c r="AC964" s="375" t="s">
        <v>822</v>
      </c>
      <c r="AD964" s="376"/>
      <c r="AE964" s="376"/>
      <c r="AF964" s="376"/>
      <c r="AG964" s="376"/>
      <c r="AH964" s="376"/>
      <c r="AI964" s="376">
        <v>0.03</v>
      </c>
      <c r="AJ964" s="376"/>
      <c r="AK964" s="376"/>
      <c r="AL964" s="376"/>
      <c r="AM964" s="376"/>
      <c r="AN964" s="376"/>
      <c r="AO964" s="376"/>
      <c r="AP964" s="376"/>
      <c r="AQ964" s="376"/>
      <c r="AR964" s="376"/>
      <c r="AS964" s="377"/>
    </row>
    <row r="965" spans="1:48" ht="15.75" customHeight="1" x14ac:dyDescent="0.3">
      <c r="A965" s="325"/>
      <c r="B965" s="159"/>
      <c r="C965" s="159"/>
      <c r="D965" s="159"/>
      <c r="E965" s="159"/>
      <c r="F965" s="164" t="s">
        <v>406</v>
      </c>
      <c r="G965" s="164" t="s">
        <v>407</v>
      </c>
      <c r="H965" s="159"/>
      <c r="I965" s="159"/>
      <c r="J965" s="159"/>
      <c r="K965" s="159"/>
      <c r="L965" s="159"/>
      <c r="M965" s="159"/>
      <c r="N965" s="159"/>
      <c r="O965" s="159"/>
      <c r="P965" s="159"/>
      <c r="Q965" s="159"/>
      <c r="R965" s="377" t="s">
        <v>458</v>
      </c>
      <c r="S965" s="164"/>
      <c r="AC965" s="375" t="s">
        <v>1034</v>
      </c>
      <c r="AD965" s="376">
        <v>0.03</v>
      </c>
      <c r="AE965" s="376"/>
      <c r="AF965" s="376"/>
      <c r="AG965" s="376"/>
      <c r="AH965" s="376"/>
      <c r="AI965" s="376"/>
      <c r="AJ965" s="376">
        <v>0.03</v>
      </c>
      <c r="AK965" s="376">
        <v>0.03</v>
      </c>
      <c r="AL965" s="376">
        <v>0.03</v>
      </c>
      <c r="AM965" s="376"/>
      <c r="AN965" s="376"/>
      <c r="AO965" s="376"/>
      <c r="AP965" s="376"/>
      <c r="AQ965" s="376"/>
      <c r="AR965" s="376"/>
      <c r="AS965" s="377"/>
    </row>
    <row r="966" spans="1:48" ht="15.75" customHeight="1" x14ac:dyDescent="0.3">
      <c r="A966" s="325" t="s">
        <v>1035</v>
      </c>
      <c r="B966" s="378">
        <v>957</v>
      </c>
      <c r="C966" s="378">
        <v>122</v>
      </c>
      <c r="D966" s="378">
        <v>128</v>
      </c>
      <c r="E966" s="378">
        <v>219</v>
      </c>
      <c r="F966" s="378"/>
      <c r="G966" s="378"/>
      <c r="H966" s="378">
        <v>97</v>
      </c>
      <c r="I966" s="378">
        <v>160</v>
      </c>
      <c r="J966" s="378">
        <v>250</v>
      </c>
      <c r="K966" s="378">
        <v>260</v>
      </c>
      <c r="L966" s="378">
        <v>100</v>
      </c>
      <c r="M966" s="378">
        <v>118</v>
      </c>
      <c r="N966" s="378">
        <v>250</v>
      </c>
      <c r="O966" s="378">
        <v>190</v>
      </c>
      <c r="P966" s="378">
        <v>340</v>
      </c>
      <c r="Q966" s="378">
        <v>450</v>
      </c>
      <c r="R966" s="377" t="s">
        <v>442</v>
      </c>
      <c r="S966" s="164"/>
      <c r="AC966" s="375" t="s">
        <v>422</v>
      </c>
      <c r="AD966" s="169">
        <f>SUM(AD961:AD965)</f>
        <v>4.7E-2</v>
      </c>
      <c r="AE966" s="169">
        <f t="shared" ref="AE966:AR966" si="321">SUM(AE961:AE965)</f>
        <v>4.7E-2</v>
      </c>
      <c r="AF966" s="169">
        <f t="shared" si="321"/>
        <v>4.7E-2</v>
      </c>
      <c r="AG966" s="169">
        <f t="shared" si="321"/>
        <v>4.7E-2</v>
      </c>
      <c r="AH966" s="169">
        <f t="shared" si="321"/>
        <v>0</v>
      </c>
      <c r="AI966" s="169">
        <f t="shared" si="321"/>
        <v>0.03</v>
      </c>
      <c r="AJ966" s="169">
        <f t="shared" si="321"/>
        <v>0.03</v>
      </c>
      <c r="AK966" s="169">
        <f t="shared" si="321"/>
        <v>0.03</v>
      </c>
      <c r="AL966" s="169">
        <f t="shared" si="321"/>
        <v>0.03</v>
      </c>
      <c r="AM966" s="169">
        <f t="shared" si="321"/>
        <v>0.03</v>
      </c>
      <c r="AN966" s="169">
        <f t="shared" si="321"/>
        <v>0.03</v>
      </c>
      <c r="AO966" s="169">
        <f t="shared" si="321"/>
        <v>0.03</v>
      </c>
      <c r="AP966" s="169">
        <f t="shared" si="321"/>
        <v>0.03</v>
      </c>
      <c r="AQ966" s="169">
        <f t="shared" si="321"/>
        <v>0.03</v>
      </c>
      <c r="AR966" s="169">
        <f t="shared" si="321"/>
        <v>0.03</v>
      </c>
      <c r="AS966" s="377"/>
      <c r="AU966" s="365" t="s">
        <v>1036</v>
      </c>
      <c r="AV966" s="4" t="s">
        <v>1037</v>
      </c>
    </row>
    <row r="967" spans="1:48" ht="15.75" customHeight="1" x14ac:dyDescent="0.3">
      <c r="A967" s="325"/>
      <c r="B967" s="164" t="s">
        <v>409</v>
      </c>
      <c r="C967" s="164" t="s">
        <v>409</v>
      </c>
      <c r="D967" s="164" t="s">
        <v>409</v>
      </c>
      <c r="E967" s="164" t="s">
        <v>409</v>
      </c>
      <c r="F967" s="164" t="s">
        <v>409</v>
      </c>
      <c r="G967" s="164" t="s">
        <v>409</v>
      </c>
      <c r="H967" s="164" t="s">
        <v>409</v>
      </c>
      <c r="I967" s="164" t="s">
        <v>409</v>
      </c>
      <c r="J967" s="164" t="s">
        <v>409</v>
      </c>
      <c r="K967" s="164" t="s">
        <v>409</v>
      </c>
      <c r="L967" s="164" t="s">
        <v>409</v>
      </c>
      <c r="M967" s="164" t="s">
        <v>409</v>
      </c>
      <c r="N967" s="164" t="s">
        <v>409</v>
      </c>
      <c r="O967" s="164" t="s">
        <v>409</v>
      </c>
      <c r="P967" s="164" t="s">
        <v>409</v>
      </c>
      <c r="Q967" s="164" t="s">
        <v>409</v>
      </c>
      <c r="R967" s="377" t="s">
        <v>459</v>
      </c>
      <c r="S967" s="164"/>
      <c r="T967" s="164"/>
      <c r="AC967" s="325" t="s">
        <v>409</v>
      </c>
      <c r="AD967" s="164" t="s">
        <v>409</v>
      </c>
      <c r="AE967" s="164" t="s">
        <v>409</v>
      </c>
      <c r="AF967" s="164" t="s">
        <v>409</v>
      </c>
      <c r="AG967" s="164" t="s">
        <v>409</v>
      </c>
      <c r="AH967" s="164" t="s">
        <v>409</v>
      </c>
      <c r="AI967" s="164" t="s">
        <v>409</v>
      </c>
      <c r="AJ967" s="164" t="s">
        <v>409</v>
      </c>
      <c r="AK967" s="164" t="s">
        <v>409</v>
      </c>
      <c r="AL967" s="164" t="s">
        <v>409</v>
      </c>
      <c r="AM967" s="164" t="s">
        <v>409</v>
      </c>
      <c r="AN967" s="164" t="s">
        <v>409</v>
      </c>
      <c r="AO967" s="164" t="s">
        <v>409</v>
      </c>
      <c r="AP967" s="164" t="s">
        <v>409</v>
      </c>
      <c r="AQ967" s="164" t="s">
        <v>409</v>
      </c>
      <c r="AR967" s="164" t="s">
        <v>409</v>
      </c>
      <c r="AS967" s="377" t="s">
        <v>409</v>
      </c>
    </row>
    <row r="968" spans="1:48" ht="15.75" customHeight="1" x14ac:dyDescent="0.3">
      <c r="A968" s="365" t="s">
        <v>795</v>
      </c>
      <c r="B968" s="159">
        <f>ROUND((B911*$B$966)/1000,0)</f>
        <v>85855</v>
      </c>
      <c r="C968" s="159">
        <f t="shared" ref="C968:C979" si="322">ROUND((C911*$C$966)/1000,0)</f>
        <v>10933</v>
      </c>
      <c r="D968" s="159">
        <f t="shared" ref="D968:D979" si="323">ROUND((D911*$D$966)/1000,0)</f>
        <v>11459</v>
      </c>
      <c r="E968" s="159">
        <f t="shared" ref="E968:E979" si="324">ROUND((E911*$E$966)/1000,0)</f>
        <v>19418</v>
      </c>
      <c r="F968" s="159">
        <f>(F911*((T911-1526.8)/0.7702))/1000</f>
        <v>8919.9494660149376</v>
      </c>
      <c r="G968" s="159">
        <f t="shared" ref="G968:G979" si="325">(G911*((T911-1591.4)/0.6635))/1000</f>
        <v>-702.99006867204707</v>
      </c>
      <c r="H968" s="159">
        <f t="shared" ref="H968:H979" si="326">ROUND((H911*$H$966)/1000,0)</f>
        <v>2680</v>
      </c>
      <c r="I968" s="159">
        <f t="shared" ref="I968:I979" si="327">ROUND((I911*$I$966)/1000,0)</f>
        <v>2195</v>
      </c>
      <c r="J968" s="159">
        <f t="shared" ref="J968:J979" si="328">ROUND((J911*$J$966)/1000,0)</f>
        <v>3419</v>
      </c>
      <c r="K968" s="159">
        <f t="shared" ref="K968:K979" si="329">ROUND((K911*$K$966)/1000,0)</f>
        <v>3543</v>
      </c>
      <c r="L968" s="159">
        <f t="shared" ref="L968:L979" si="330">ROUND((L911*$L$966)/1000,0)</f>
        <v>1200</v>
      </c>
      <c r="M968" s="159">
        <f t="shared" ref="M968:M979" si="331">ROUND((M911*$M$966)/1000,0)</f>
        <v>1413</v>
      </c>
      <c r="N968" s="159">
        <f t="shared" ref="N968:N979" si="332">ROUND((N911*$N$966)/1000,0)</f>
        <v>2923</v>
      </c>
      <c r="O968" s="159">
        <f t="shared" ref="O968:O979" si="333">ROUND((O911*$O$966)/1000,0)</f>
        <v>706</v>
      </c>
      <c r="P968" s="159">
        <f t="shared" ref="P968:P979" si="334">ROUND((P911*$P$966)/1000,0)</f>
        <v>1276</v>
      </c>
      <c r="Q968" s="159">
        <f t="shared" ref="Q968:Q979" si="335">ROUND((Q911*$Q$966)/1000,0)</f>
        <v>1672</v>
      </c>
      <c r="R968" s="379">
        <f>(SUM(B968:Q968))</f>
        <v>156908.9593973429</v>
      </c>
      <c r="S968" s="168"/>
      <c r="AC968" s="375" t="s">
        <v>795</v>
      </c>
      <c r="AD968" s="159">
        <f>ROUND(B968*$AD$966, 0)</f>
        <v>4035</v>
      </c>
      <c r="AE968" s="159">
        <f>ROUND(C968*$AE$966,0)</f>
        <v>514</v>
      </c>
      <c r="AF968" s="159">
        <f>ROUND(D968*$AF$966,0)</f>
        <v>539</v>
      </c>
      <c r="AG968" s="159">
        <f>ROUND(E968*$AG$966,0)</f>
        <v>913</v>
      </c>
      <c r="AH968" s="159">
        <f>ROUND(F968*$AH$966,0)</f>
        <v>0</v>
      </c>
      <c r="AI968" s="159">
        <f>ROUND(H968*$AI$966,0)</f>
        <v>80</v>
      </c>
      <c r="AJ968" s="159">
        <f>ROUND(I968*$AJ$966,0)</f>
        <v>66</v>
      </c>
      <c r="AK968" s="159">
        <f>ROUND(J968*$AK$966,0)</f>
        <v>103</v>
      </c>
      <c r="AL968" s="159">
        <f>ROUND(K968*$AL$966,0)</f>
        <v>106</v>
      </c>
      <c r="AM968" s="159">
        <f>ROUND(L968*$AM$966,0)</f>
        <v>36</v>
      </c>
      <c r="AN968" s="159">
        <f>ROUND(M968*$AN$966,0)</f>
        <v>42</v>
      </c>
      <c r="AO968" s="159">
        <f>ROUND(N968*$AO$966,0)</f>
        <v>88</v>
      </c>
      <c r="AP968" s="159">
        <f>ROUND(O968*$AP$966,0)</f>
        <v>21</v>
      </c>
      <c r="AQ968" s="159">
        <f>ROUND(P968*$AQ$966,0)</f>
        <v>38</v>
      </c>
      <c r="AR968" s="159">
        <f>ROUND(Q968*$AR$966,0)</f>
        <v>50</v>
      </c>
      <c r="AS968" s="374">
        <f>SUM(AD968:AR968)</f>
        <v>6631</v>
      </c>
      <c r="AU968" s="380">
        <f>AS968/R968</f>
        <v>4.2260174469758729E-2</v>
      </c>
    </row>
    <row r="969" spans="1:48" ht="15.75" customHeight="1" x14ac:dyDescent="0.3">
      <c r="A969" s="365" t="s">
        <v>9</v>
      </c>
      <c r="B969" s="159">
        <f t="shared" ref="B969:B979" si="336">ROUND((B912*$B$966)/1000,0)</f>
        <v>102537</v>
      </c>
      <c r="C969" s="159">
        <f t="shared" si="322"/>
        <v>13054</v>
      </c>
      <c r="D969" s="159">
        <f t="shared" si="323"/>
        <v>13677</v>
      </c>
      <c r="E969" s="159">
        <f t="shared" si="324"/>
        <v>23122</v>
      </c>
      <c r="F969" s="159">
        <f t="shared" ref="F969:F979" si="337">(F912*((T912-1526.8)/0.7702))/1000</f>
        <v>11053.445936120497</v>
      </c>
      <c r="G969" s="159">
        <f>(G912*((T912-1591.4)/0.6635))/1000</f>
        <v>-2236.3113790504899</v>
      </c>
      <c r="H969" s="159">
        <f t="shared" si="326"/>
        <v>4105</v>
      </c>
      <c r="I969" s="159">
        <f t="shared" si="327"/>
        <v>3543</v>
      </c>
      <c r="J969" s="159">
        <f t="shared" si="328"/>
        <v>5506</v>
      </c>
      <c r="K969" s="159">
        <f t="shared" si="329"/>
        <v>5543</v>
      </c>
      <c r="L969" s="159">
        <f t="shared" si="330"/>
        <v>1673</v>
      </c>
      <c r="M969" s="159">
        <f t="shared" si="331"/>
        <v>1972</v>
      </c>
      <c r="N969" s="159">
        <f t="shared" si="332"/>
        <v>3956</v>
      </c>
      <c r="O969" s="159">
        <f t="shared" si="333"/>
        <v>773</v>
      </c>
      <c r="P969" s="159">
        <f t="shared" si="334"/>
        <v>1028</v>
      </c>
      <c r="Q969" s="159">
        <f t="shared" si="335"/>
        <v>1831</v>
      </c>
      <c r="R969" s="379">
        <f>(SUM(B969:Q969))</f>
        <v>191137.13455707001</v>
      </c>
      <c r="S969" s="168"/>
      <c r="AC969" s="375" t="s">
        <v>9</v>
      </c>
      <c r="AD969" s="159">
        <f t="shared" ref="AD969:AD979" si="338">ROUND(B969*$AD$966, 0)</f>
        <v>4819</v>
      </c>
      <c r="AE969" s="159">
        <f t="shared" ref="AE969:AE979" si="339">ROUND(C969*$AE$966,0)</f>
        <v>614</v>
      </c>
      <c r="AF969" s="159">
        <f t="shared" ref="AF969:AF979" si="340">ROUND(D969*$AF$966,0)</f>
        <v>643</v>
      </c>
      <c r="AG969" s="159">
        <f t="shared" ref="AG969:AG979" si="341">ROUND(E969*$AG$966,0)</f>
        <v>1087</v>
      </c>
      <c r="AH969" s="159">
        <f t="shared" ref="AH969:AH979" si="342">ROUND(F969*$AH$966,0)</f>
        <v>0</v>
      </c>
      <c r="AI969" s="159">
        <f t="shared" ref="AI969:AI979" si="343">ROUND(H969*$AI$966,0)</f>
        <v>123</v>
      </c>
      <c r="AJ969" s="159">
        <f t="shared" ref="AJ969:AJ979" si="344">ROUND(I969*$AJ$966,0)</f>
        <v>106</v>
      </c>
      <c r="AK969" s="159">
        <f t="shared" ref="AK969:AK979" si="345">ROUND(J969*$AK$966,0)</f>
        <v>165</v>
      </c>
      <c r="AL969" s="159">
        <f t="shared" ref="AL969:AL979" si="346">ROUND(K969*$AL$966,0)</f>
        <v>166</v>
      </c>
      <c r="AM969" s="159">
        <f t="shared" ref="AM969:AM979" si="347">ROUND(L969*$AM$966,0)</f>
        <v>50</v>
      </c>
      <c r="AN969" s="159">
        <f t="shared" ref="AN969:AN979" si="348">ROUND(M969*$AN$966,0)</f>
        <v>59</v>
      </c>
      <c r="AO969" s="159">
        <f t="shared" ref="AO969:AO979" si="349">ROUND(N969*$AO$966,0)</f>
        <v>119</v>
      </c>
      <c r="AP969" s="159">
        <f t="shared" ref="AP969:AP979" si="350">ROUND(O969*$AP$966,0)</f>
        <v>23</v>
      </c>
      <c r="AQ969" s="159">
        <f t="shared" ref="AQ969:AQ979" si="351">ROUND(P969*$AQ$966,0)</f>
        <v>31</v>
      </c>
      <c r="AR969" s="159">
        <f t="shared" ref="AR969:AR979" si="352">ROUND(Q969*$AR$966,0)</f>
        <v>55</v>
      </c>
      <c r="AS969" s="374">
        <f t="shared" ref="AS969:AS979" si="353">SUM(AD969:AR969)</f>
        <v>8060</v>
      </c>
      <c r="AU969" s="380">
        <f t="shared" ref="AU969:AU981" si="354">AS969/R969</f>
        <v>4.2168676529957254E-2</v>
      </c>
    </row>
    <row r="970" spans="1:48" ht="15.75" customHeight="1" x14ac:dyDescent="0.3">
      <c r="A970" s="365" t="s">
        <v>10</v>
      </c>
      <c r="B970" s="159">
        <f t="shared" si="336"/>
        <v>131678</v>
      </c>
      <c r="C970" s="159">
        <f t="shared" si="322"/>
        <v>16753</v>
      </c>
      <c r="D970" s="159">
        <f t="shared" si="323"/>
        <v>17544</v>
      </c>
      <c r="E970" s="159">
        <f t="shared" si="324"/>
        <v>29302</v>
      </c>
      <c r="F970" s="159">
        <f t="shared" si="337"/>
        <v>10157.161126980011</v>
      </c>
      <c r="G970" s="159">
        <f t="shared" si="325"/>
        <v>-3012.9924642049727</v>
      </c>
      <c r="H970" s="159">
        <f t="shared" si="326"/>
        <v>7842</v>
      </c>
      <c r="I970" s="159">
        <f t="shared" si="327"/>
        <v>5412</v>
      </c>
      <c r="J970" s="159">
        <f t="shared" si="328"/>
        <v>7192</v>
      </c>
      <c r="K970" s="159">
        <f t="shared" si="329"/>
        <v>6946</v>
      </c>
      <c r="L970" s="159">
        <f t="shared" si="330"/>
        <v>1981</v>
      </c>
      <c r="M970" s="159">
        <f t="shared" si="331"/>
        <v>2334</v>
      </c>
      <c r="N970" s="159">
        <f t="shared" si="332"/>
        <v>4707</v>
      </c>
      <c r="O970" s="159">
        <f t="shared" si="333"/>
        <v>528</v>
      </c>
      <c r="P970" s="159">
        <f t="shared" si="334"/>
        <v>1285</v>
      </c>
      <c r="Q970" s="159">
        <f t="shared" si="335"/>
        <v>1235</v>
      </c>
      <c r="R970" s="379">
        <f t="shared" ref="R970:R979" si="355">(SUM(B970:Q970))</f>
        <v>241883.16866277505</v>
      </c>
      <c r="S970" s="168"/>
      <c r="AC970" s="375" t="s">
        <v>10</v>
      </c>
      <c r="AD970" s="159">
        <f t="shared" si="338"/>
        <v>6189</v>
      </c>
      <c r="AE970" s="159">
        <f t="shared" si="339"/>
        <v>787</v>
      </c>
      <c r="AF970" s="159">
        <f t="shared" si="340"/>
        <v>825</v>
      </c>
      <c r="AG970" s="159">
        <f t="shared" si="341"/>
        <v>1377</v>
      </c>
      <c r="AH970" s="159">
        <f t="shared" si="342"/>
        <v>0</v>
      </c>
      <c r="AI970" s="159">
        <f t="shared" si="343"/>
        <v>235</v>
      </c>
      <c r="AJ970" s="159">
        <f t="shared" si="344"/>
        <v>162</v>
      </c>
      <c r="AK970" s="159">
        <f t="shared" si="345"/>
        <v>216</v>
      </c>
      <c r="AL970" s="159">
        <f t="shared" si="346"/>
        <v>208</v>
      </c>
      <c r="AM970" s="159">
        <f t="shared" si="347"/>
        <v>59</v>
      </c>
      <c r="AN970" s="159">
        <f t="shared" si="348"/>
        <v>70</v>
      </c>
      <c r="AO970" s="159">
        <f t="shared" si="349"/>
        <v>141</v>
      </c>
      <c r="AP970" s="159">
        <f t="shared" si="350"/>
        <v>16</v>
      </c>
      <c r="AQ970" s="159">
        <f t="shared" si="351"/>
        <v>39</v>
      </c>
      <c r="AR970" s="159">
        <f t="shared" si="352"/>
        <v>37</v>
      </c>
      <c r="AS970" s="374">
        <f t="shared" si="353"/>
        <v>10361</v>
      </c>
      <c r="AU970" s="380">
        <f t="shared" si="354"/>
        <v>4.2834729085449261E-2</v>
      </c>
    </row>
    <row r="971" spans="1:48" ht="15.75" customHeight="1" x14ac:dyDescent="0.3">
      <c r="A971" s="365" t="s">
        <v>12</v>
      </c>
      <c r="B971" s="159">
        <f t="shared" si="336"/>
        <v>161401</v>
      </c>
      <c r="C971" s="159">
        <f t="shared" si="322"/>
        <v>20531</v>
      </c>
      <c r="D971" s="159">
        <f t="shared" si="323"/>
        <v>21496</v>
      </c>
      <c r="E971" s="159">
        <f t="shared" si="324"/>
        <v>35536</v>
      </c>
      <c r="F971" s="159">
        <f t="shared" si="337"/>
        <v>2259.603060154227</v>
      </c>
      <c r="G971" s="159">
        <f t="shared" si="325"/>
        <v>-1044.425677996546</v>
      </c>
      <c r="H971" s="159">
        <f t="shared" si="326"/>
        <v>11347</v>
      </c>
      <c r="I971" s="159">
        <f t="shared" si="327"/>
        <v>7378</v>
      </c>
      <c r="J971" s="159">
        <f t="shared" si="328"/>
        <v>8719</v>
      </c>
      <c r="K971" s="159">
        <f t="shared" si="329"/>
        <v>7556</v>
      </c>
      <c r="L971" s="159">
        <f t="shared" si="330"/>
        <v>2274</v>
      </c>
      <c r="M971" s="159">
        <f t="shared" si="331"/>
        <v>2679</v>
      </c>
      <c r="N971" s="159">
        <f t="shared" si="332"/>
        <v>5319</v>
      </c>
      <c r="O971" s="159">
        <f t="shared" si="333"/>
        <v>751</v>
      </c>
      <c r="P971" s="159">
        <f t="shared" si="334"/>
        <v>1552</v>
      </c>
      <c r="Q971" s="159">
        <f t="shared" si="335"/>
        <v>1774</v>
      </c>
      <c r="R971" s="379">
        <f t="shared" si="355"/>
        <v>289528.17738215765</v>
      </c>
      <c r="S971" s="168"/>
      <c r="AC971" s="375" t="s">
        <v>12</v>
      </c>
      <c r="AD971" s="159">
        <f t="shared" si="338"/>
        <v>7586</v>
      </c>
      <c r="AE971" s="159">
        <f t="shared" si="339"/>
        <v>965</v>
      </c>
      <c r="AF971" s="159">
        <f t="shared" si="340"/>
        <v>1010</v>
      </c>
      <c r="AG971" s="159">
        <f t="shared" si="341"/>
        <v>1670</v>
      </c>
      <c r="AH971" s="159">
        <f t="shared" si="342"/>
        <v>0</v>
      </c>
      <c r="AI971" s="159">
        <f t="shared" si="343"/>
        <v>340</v>
      </c>
      <c r="AJ971" s="159">
        <f t="shared" si="344"/>
        <v>221</v>
      </c>
      <c r="AK971" s="159">
        <f t="shared" si="345"/>
        <v>262</v>
      </c>
      <c r="AL971" s="159">
        <f t="shared" si="346"/>
        <v>227</v>
      </c>
      <c r="AM971" s="159">
        <f t="shared" si="347"/>
        <v>68</v>
      </c>
      <c r="AN971" s="159">
        <f t="shared" si="348"/>
        <v>80</v>
      </c>
      <c r="AO971" s="159">
        <f t="shared" si="349"/>
        <v>160</v>
      </c>
      <c r="AP971" s="159">
        <f t="shared" si="350"/>
        <v>23</v>
      </c>
      <c r="AQ971" s="159">
        <f t="shared" si="351"/>
        <v>47</v>
      </c>
      <c r="AR971" s="159">
        <f t="shared" si="352"/>
        <v>53</v>
      </c>
      <c r="AS971" s="374">
        <f t="shared" si="353"/>
        <v>12712</v>
      </c>
      <c r="AU971" s="380">
        <f t="shared" si="354"/>
        <v>4.3905916567219011E-2</v>
      </c>
    </row>
    <row r="972" spans="1:48" ht="15.75" customHeight="1" x14ac:dyDescent="0.3">
      <c r="A972" s="365" t="s">
        <v>13</v>
      </c>
      <c r="B972" s="159">
        <f t="shared" si="336"/>
        <v>171693</v>
      </c>
      <c r="C972" s="159">
        <f t="shared" si="322"/>
        <v>21836</v>
      </c>
      <c r="D972" s="159">
        <f t="shared" si="323"/>
        <v>22858</v>
      </c>
      <c r="E972" s="159">
        <f t="shared" si="324"/>
        <v>37675</v>
      </c>
      <c r="F972" s="159">
        <f t="shared" si="337"/>
        <v>879.99457283822517</v>
      </c>
      <c r="G972" s="159">
        <f t="shared" si="325"/>
        <v>-753.46125094197532</v>
      </c>
      <c r="H972" s="159">
        <f t="shared" si="326"/>
        <v>12596</v>
      </c>
      <c r="I972" s="159">
        <f t="shared" si="327"/>
        <v>6707</v>
      </c>
      <c r="J972" s="159">
        <f t="shared" si="328"/>
        <v>8058</v>
      </c>
      <c r="K972" s="159">
        <f t="shared" si="329"/>
        <v>6943</v>
      </c>
      <c r="L972" s="159">
        <f t="shared" si="330"/>
        <v>2278</v>
      </c>
      <c r="M972" s="159">
        <f t="shared" si="331"/>
        <v>2683</v>
      </c>
      <c r="N972" s="159">
        <f t="shared" si="332"/>
        <v>5300</v>
      </c>
      <c r="O972" s="159">
        <f t="shared" si="333"/>
        <v>899</v>
      </c>
      <c r="P972" s="159">
        <f t="shared" si="334"/>
        <v>1996</v>
      </c>
      <c r="Q972" s="159">
        <f t="shared" si="335"/>
        <v>2125</v>
      </c>
      <c r="R972" s="379">
        <f t="shared" si="355"/>
        <v>303773.53332189622</v>
      </c>
      <c r="S972" s="168"/>
      <c r="AC972" s="375" t="s">
        <v>13</v>
      </c>
      <c r="AD972" s="159">
        <f t="shared" si="338"/>
        <v>8070</v>
      </c>
      <c r="AE972" s="159">
        <f t="shared" si="339"/>
        <v>1026</v>
      </c>
      <c r="AF972" s="159">
        <f t="shared" si="340"/>
        <v>1074</v>
      </c>
      <c r="AG972" s="159">
        <f t="shared" si="341"/>
        <v>1771</v>
      </c>
      <c r="AH972" s="159">
        <f t="shared" si="342"/>
        <v>0</v>
      </c>
      <c r="AI972" s="159">
        <f t="shared" si="343"/>
        <v>378</v>
      </c>
      <c r="AJ972" s="159">
        <f t="shared" si="344"/>
        <v>201</v>
      </c>
      <c r="AK972" s="159">
        <f t="shared" si="345"/>
        <v>242</v>
      </c>
      <c r="AL972" s="159">
        <f t="shared" si="346"/>
        <v>208</v>
      </c>
      <c r="AM972" s="159">
        <f t="shared" si="347"/>
        <v>68</v>
      </c>
      <c r="AN972" s="159">
        <f t="shared" si="348"/>
        <v>80</v>
      </c>
      <c r="AO972" s="159">
        <f t="shared" si="349"/>
        <v>159</v>
      </c>
      <c r="AP972" s="159">
        <f t="shared" si="350"/>
        <v>27</v>
      </c>
      <c r="AQ972" s="159">
        <f t="shared" si="351"/>
        <v>60</v>
      </c>
      <c r="AR972" s="159">
        <f t="shared" si="352"/>
        <v>64</v>
      </c>
      <c r="AS972" s="374">
        <f t="shared" si="353"/>
        <v>13428</v>
      </c>
      <c r="AU972" s="380">
        <f t="shared" si="354"/>
        <v>4.4203982661553683E-2</v>
      </c>
    </row>
    <row r="973" spans="1:48" ht="15.75" customHeight="1" x14ac:dyDescent="0.3">
      <c r="A973" s="365" t="s">
        <v>14</v>
      </c>
      <c r="B973" s="159">
        <f t="shared" si="336"/>
        <v>88116</v>
      </c>
      <c r="C973" s="159">
        <f t="shared" si="322"/>
        <v>11182</v>
      </c>
      <c r="D973" s="159">
        <f t="shared" si="323"/>
        <v>11682</v>
      </c>
      <c r="E973" s="159">
        <f t="shared" si="324"/>
        <v>18470</v>
      </c>
      <c r="F973" s="159">
        <f t="shared" si="337"/>
        <v>0</v>
      </c>
      <c r="G973" s="159">
        <f t="shared" si="325"/>
        <v>-14451.36623963829</v>
      </c>
      <c r="H973" s="159">
        <f t="shared" si="326"/>
        <v>13917</v>
      </c>
      <c r="I973" s="159">
        <f t="shared" si="327"/>
        <v>7187</v>
      </c>
      <c r="J973" s="159">
        <f t="shared" si="328"/>
        <v>7251</v>
      </c>
      <c r="K973" s="159">
        <f t="shared" si="329"/>
        <v>5984</v>
      </c>
      <c r="L973" s="159">
        <f t="shared" si="330"/>
        <v>1966</v>
      </c>
      <c r="M973" s="159">
        <f t="shared" si="331"/>
        <v>2315</v>
      </c>
      <c r="N973" s="159">
        <f t="shared" si="332"/>
        <v>4472</v>
      </c>
      <c r="O973" s="159">
        <f t="shared" si="333"/>
        <v>741</v>
      </c>
      <c r="P973" s="159">
        <f t="shared" si="334"/>
        <v>1979</v>
      </c>
      <c r="Q973" s="159">
        <f t="shared" si="335"/>
        <v>1751</v>
      </c>
      <c r="R973" s="379">
        <f>(SUM(B973:Q973))</f>
        <v>162561.6337603617</v>
      </c>
      <c r="S973" s="168"/>
      <c r="AC973" s="375" t="s">
        <v>14</v>
      </c>
      <c r="AD973" s="159">
        <f t="shared" si="338"/>
        <v>4141</v>
      </c>
      <c r="AE973" s="159">
        <f t="shared" si="339"/>
        <v>526</v>
      </c>
      <c r="AF973" s="159">
        <f t="shared" si="340"/>
        <v>549</v>
      </c>
      <c r="AG973" s="159">
        <f t="shared" si="341"/>
        <v>868</v>
      </c>
      <c r="AH973" s="159">
        <f t="shared" si="342"/>
        <v>0</v>
      </c>
      <c r="AI973" s="159">
        <f t="shared" si="343"/>
        <v>418</v>
      </c>
      <c r="AJ973" s="159">
        <f t="shared" si="344"/>
        <v>216</v>
      </c>
      <c r="AK973" s="159">
        <f t="shared" si="345"/>
        <v>218</v>
      </c>
      <c r="AL973" s="159">
        <f t="shared" si="346"/>
        <v>180</v>
      </c>
      <c r="AM973" s="159">
        <f t="shared" si="347"/>
        <v>59</v>
      </c>
      <c r="AN973" s="159">
        <f t="shared" si="348"/>
        <v>69</v>
      </c>
      <c r="AO973" s="159">
        <f t="shared" si="349"/>
        <v>134</v>
      </c>
      <c r="AP973" s="159">
        <f t="shared" si="350"/>
        <v>22</v>
      </c>
      <c r="AQ973" s="159">
        <f t="shared" si="351"/>
        <v>59</v>
      </c>
      <c r="AR973" s="159">
        <f t="shared" si="352"/>
        <v>53</v>
      </c>
      <c r="AS973" s="374">
        <f t="shared" si="353"/>
        <v>7512</v>
      </c>
      <c r="AU973" s="380">
        <f t="shared" si="354"/>
        <v>4.621016549989726E-2</v>
      </c>
    </row>
    <row r="974" spans="1:48" ht="15.75" customHeight="1" x14ac:dyDescent="0.3">
      <c r="A974" s="365" t="s">
        <v>16</v>
      </c>
      <c r="B974" s="159">
        <f t="shared" si="336"/>
        <v>75321</v>
      </c>
      <c r="C974" s="159">
        <f t="shared" si="322"/>
        <v>9551</v>
      </c>
      <c r="D974" s="159">
        <f t="shared" si="323"/>
        <v>9971</v>
      </c>
      <c r="E974" s="159">
        <f t="shared" si="324"/>
        <v>15547</v>
      </c>
      <c r="F974" s="159">
        <f t="shared" si="337"/>
        <v>0</v>
      </c>
      <c r="G974" s="159">
        <f t="shared" si="325"/>
        <v>-14279.828496924818</v>
      </c>
      <c r="H974" s="159">
        <f t="shared" si="326"/>
        <v>14129</v>
      </c>
      <c r="I974" s="159">
        <f t="shared" si="327"/>
        <v>7787</v>
      </c>
      <c r="J974" s="159">
        <f t="shared" si="328"/>
        <v>7529</v>
      </c>
      <c r="K974" s="159">
        <f t="shared" si="329"/>
        <v>5922</v>
      </c>
      <c r="L974" s="159">
        <f t="shared" si="330"/>
        <v>1840</v>
      </c>
      <c r="M974" s="159">
        <f t="shared" si="331"/>
        <v>2167</v>
      </c>
      <c r="N974" s="159">
        <f t="shared" si="332"/>
        <v>4201</v>
      </c>
      <c r="O974" s="159">
        <f t="shared" si="333"/>
        <v>644</v>
      </c>
      <c r="P974" s="159">
        <f t="shared" si="334"/>
        <v>1777</v>
      </c>
      <c r="Q974" s="159">
        <f t="shared" si="335"/>
        <v>1523</v>
      </c>
      <c r="R974" s="379">
        <f t="shared" si="355"/>
        <v>143629.17150307517</v>
      </c>
      <c r="S974" s="168"/>
      <c r="AC974" s="375" t="s">
        <v>16</v>
      </c>
      <c r="AD974" s="159">
        <f t="shared" si="338"/>
        <v>3540</v>
      </c>
      <c r="AE974" s="159">
        <f t="shared" si="339"/>
        <v>449</v>
      </c>
      <c r="AF974" s="159">
        <f t="shared" si="340"/>
        <v>469</v>
      </c>
      <c r="AG974" s="159">
        <f t="shared" si="341"/>
        <v>731</v>
      </c>
      <c r="AH974" s="159">
        <f t="shared" si="342"/>
        <v>0</v>
      </c>
      <c r="AI974" s="159">
        <f t="shared" si="343"/>
        <v>424</v>
      </c>
      <c r="AJ974" s="159">
        <f t="shared" si="344"/>
        <v>234</v>
      </c>
      <c r="AK974" s="159">
        <f t="shared" si="345"/>
        <v>226</v>
      </c>
      <c r="AL974" s="159">
        <f t="shared" si="346"/>
        <v>178</v>
      </c>
      <c r="AM974" s="159">
        <f t="shared" si="347"/>
        <v>55</v>
      </c>
      <c r="AN974" s="159">
        <f t="shared" si="348"/>
        <v>65</v>
      </c>
      <c r="AO974" s="159">
        <f t="shared" si="349"/>
        <v>126</v>
      </c>
      <c r="AP974" s="159">
        <f t="shared" si="350"/>
        <v>19</v>
      </c>
      <c r="AQ974" s="159">
        <f t="shared" si="351"/>
        <v>53</v>
      </c>
      <c r="AR974" s="159">
        <f t="shared" si="352"/>
        <v>46</v>
      </c>
      <c r="AS974" s="374">
        <f t="shared" si="353"/>
        <v>6615</v>
      </c>
      <c r="AU974" s="380">
        <f t="shared" si="354"/>
        <v>4.6056103581008055E-2</v>
      </c>
    </row>
    <row r="975" spans="1:48" ht="15.75" customHeight="1" x14ac:dyDescent="0.3">
      <c r="A975" s="365" t="s">
        <v>17</v>
      </c>
      <c r="B975" s="159">
        <f t="shared" si="336"/>
        <v>27141</v>
      </c>
      <c r="C975" s="159">
        <f t="shared" si="322"/>
        <v>3419</v>
      </c>
      <c r="D975" s="159">
        <f t="shared" si="323"/>
        <v>3547</v>
      </c>
      <c r="E975" s="159">
        <f t="shared" si="324"/>
        <v>4491</v>
      </c>
      <c r="F975" s="159">
        <f t="shared" si="337"/>
        <v>0</v>
      </c>
      <c r="G975" s="159">
        <f t="shared" si="325"/>
        <v>-16550.405806515493</v>
      </c>
      <c r="H975" s="159">
        <f t="shared" si="326"/>
        <v>12009</v>
      </c>
      <c r="I975" s="159">
        <f t="shared" si="327"/>
        <v>7832</v>
      </c>
      <c r="J975" s="159">
        <f t="shared" si="328"/>
        <v>8127</v>
      </c>
      <c r="K975" s="159">
        <f t="shared" si="329"/>
        <v>7318</v>
      </c>
      <c r="L975" s="159">
        <f t="shared" si="330"/>
        <v>2262</v>
      </c>
      <c r="M975" s="159">
        <f t="shared" si="331"/>
        <v>2665</v>
      </c>
      <c r="N975" s="159">
        <f t="shared" si="332"/>
        <v>5013</v>
      </c>
      <c r="O975" s="159">
        <f t="shared" si="333"/>
        <v>860</v>
      </c>
      <c r="P975" s="159">
        <f t="shared" si="334"/>
        <v>1940</v>
      </c>
      <c r="Q975" s="159">
        <f t="shared" si="335"/>
        <v>2034</v>
      </c>
      <c r="R975" s="379">
        <f t="shared" si="355"/>
        <v>72107.594193484503</v>
      </c>
      <c r="S975" s="168"/>
      <c r="AC975" s="375" t="s">
        <v>17</v>
      </c>
      <c r="AD975" s="159">
        <f t="shared" si="338"/>
        <v>1276</v>
      </c>
      <c r="AE975" s="159">
        <f t="shared" si="339"/>
        <v>161</v>
      </c>
      <c r="AF975" s="159">
        <f t="shared" si="340"/>
        <v>167</v>
      </c>
      <c r="AG975" s="159">
        <f t="shared" si="341"/>
        <v>211</v>
      </c>
      <c r="AH975" s="159">
        <f t="shared" si="342"/>
        <v>0</v>
      </c>
      <c r="AI975" s="159">
        <f t="shared" si="343"/>
        <v>360</v>
      </c>
      <c r="AJ975" s="159">
        <f t="shared" si="344"/>
        <v>235</v>
      </c>
      <c r="AK975" s="159">
        <f t="shared" si="345"/>
        <v>244</v>
      </c>
      <c r="AL975" s="159">
        <f t="shared" si="346"/>
        <v>220</v>
      </c>
      <c r="AM975" s="159">
        <f t="shared" si="347"/>
        <v>68</v>
      </c>
      <c r="AN975" s="159">
        <f t="shared" si="348"/>
        <v>80</v>
      </c>
      <c r="AO975" s="159">
        <f t="shared" si="349"/>
        <v>150</v>
      </c>
      <c r="AP975" s="159">
        <f t="shared" si="350"/>
        <v>26</v>
      </c>
      <c r="AQ975" s="159">
        <f t="shared" si="351"/>
        <v>58</v>
      </c>
      <c r="AR975" s="159">
        <f t="shared" si="352"/>
        <v>61</v>
      </c>
      <c r="AS975" s="374">
        <f t="shared" si="353"/>
        <v>3317</v>
      </c>
      <c r="AU975" s="380">
        <f t="shared" si="354"/>
        <v>4.600070265968903E-2</v>
      </c>
    </row>
    <row r="976" spans="1:48" ht="15.75" customHeight="1" x14ac:dyDescent="0.3">
      <c r="A976" s="365" t="s">
        <v>18</v>
      </c>
      <c r="B976" s="159">
        <f t="shared" si="336"/>
        <v>158169</v>
      </c>
      <c r="C976" s="159">
        <f t="shared" si="322"/>
        <v>20125</v>
      </c>
      <c r="D976" s="159">
        <f t="shared" si="323"/>
        <v>21076</v>
      </c>
      <c r="E976" s="159">
        <f t="shared" si="324"/>
        <v>34973</v>
      </c>
      <c r="F976" s="159">
        <f t="shared" si="337"/>
        <v>3099.7857179953285</v>
      </c>
      <c r="G976" s="159">
        <f t="shared" si="325"/>
        <v>-821.52108515448356</v>
      </c>
      <c r="H976" s="159">
        <f t="shared" si="326"/>
        <v>9434</v>
      </c>
      <c r="I976" s="159">
        <f t="shared" si="327"/>
        <v>5736</v>
      </c>
      <c r="J976" s="159">
        <f t="shared" si="328"/>
        <v>6925</v>
      </c>
      <c r="K976" s="159">
        <f t="shared" si="329"/>
        <v>6238</v>
      </c>
      <c r="L976" s="159">
        <f t="shared" si="330"/>
        <v>1886</v>
      </c>
      <c r="M976" s="159">
        <f t="shared" si="331"/>
        <v>2222</v>
      </c>
      <c r="N976" s="159">
        <f t="shared" si="332"/>
        <v>4190</v>
      </c>
      <c r="O976" s="159">
        <f t="shared" si="333"/>
        <v>776</v>
      </c>
      <c r="P976" s="159">
        <f t="shared" si="334"/>
        <v>1898</v>
      </c>
      <c r="Q976" s="159">
        <f t="shared" si="335"/>
        <v>1836</v>
      </c>
      <c r="R976" s="379">
        <f t="shared" si="355"/>
        <v>277762.26463284087</v>
      </c>
      <c r="S976" s="168"/>
      <c r="AC976" s="375" t="s">
        <v>18</v>
      </c>
      <c r="AD976" s="159">
        <f t="shared" si="338"/>
        <v>7434</v>
      </c>
      <c r="AE976" s="159">
        <f t="shared" si="339"/>
        <v>946</v>
      </c>
      <c r="AF976" s="159">
        <f t="shared" si="340"/>
        <v>991</v>
      </c>
      <c r="AG976" s="159">
        <f t="shared" si="341"/>
        <v>1644</v>
      </c>
      <c r="AH976" s="159">
        <f t="shared" si="342"/>
        <v>0</v>
      </c>
      <c r="AI976" s="159">
        <f t="shared" si="343"/>
        <v>283</v>
      </c>
      <c r="AJ976" s="159">
        <f t="shared" si="344"/>
        <v>172</v>
      </c>
      <c r="AK976" s="159">
        <f t="shared" si="345"/>
        <v>208</v>
      </c>
      <c r="AL976" s="159">
        <f t="shared" si="346"/>
        <v>187</v>
      </c>
      <c r="AM976" s="159">
        <f t="shared" si="347"/>
        <v>57</v>
      </c>
      <c r="AN976" s="159">
        <f t="shared" si="348"/>
        <v>67</v>
      </c>
      <c r="AO976" s="159">
        <f t="shared" si="349"/>
        <v>126</v>
      </c>
      <c r="AP976" s="159">
        <f t="shared" si="350"/>
        <v>23</v>
      </c>
      <c r="AQ976" s="159">
        <f t="shared" si="351"/>
        <v>57</v>
      </c>
      <c r="AR976" s="159">
        <f t="shared" si="352"/>
        <v>55</v>
      </c>
      <c r="AS976" s="374">
        <f t="shared" si="353"/>
        <v>12250</v>
      </c>
      <c r="AU976" s="380">
        <f t="shared" si="354"/>
        <v>4.4102463004442385E-2</v>
      </c>
    </row>
    <row r="977" spans="1:47" ht="15.75" customHeight="1" x14ac:dyDescent="0.3">
      <c r="A977" s="365" t="s">
        <v>20</v>
      </c>
      <c r="B977" s="159">
        <f t="shared" si="336"/>
        <v>167664</v>
      </c>
      <c r="C977" s="159">
        <f t="shared" si="322"/>
        <v>21339</v>
      </c>
      <c r="D977" s="159">
        <f t="shared" si="323"/>
        <v>22354</v>
      </c>
      <c r="E977" s="159">
        <f t="shared" si="324"/>
        <v>38024</v>
      </c>
      <c r="F977" s="159">
        <f t="shared" si="337"/>
        <v>17058.72744741623</v>
      </c>
      <c r="G977" s="159">
        <f t="shared" si="325"/>
        <v>0</v>
      </c>
      <c r="H977" s="159">
        <f t="shared" si="326"/>
        <v>3838</v>
      </c>
      <c r="I977" s="159">
        <f t="shared" si="327"/>
        <v>2160</v>
      </c>
      <c r="J977" s="159">
        <f t="shared" si="328"/>
        <v>3156</v>
      </c>
      <c r="K977" s="159">
        <f t="shared" si="329"/>
        <v>3233</v>
      </c>
      <c r="L977" s="159">
        <f t="shared" si="330"/>
        <v>900</v>
      </c>
      <c r="M977" s="159">
        <f t="shared" si="331"/>
        <v>1059</v>
      </c>
      <c r="N977" s="159">
        <f t="shared" si="332"/>
        <v>2214</v>
      </c>
      <c r="O977" s="159">
        <f t="shared" si="333"/>
        <v>603</v>
      </c>
      <c r="P977" s="159">
        <f t="shared" si="334"/>
        <v>1220</v>
      </c>
      <c r="Q977" s="159">
        <f t="shared" si="335"/>
        <v>1427</v>
      </c>
      <c r="R977" s="379">
        <f t="shared" si="355"/>
        <v>286249.72744741623</v>
      </c>
      <c r="S977" s="168"/>
      <c r="AC977" s="375" t="s">
        <v>20</v>
      </c>
      <c r="AD977" s="159">
        <f t="shared" si="338"/>
        <v>7880</v>
      </c>
      <c r="AE977" s="159">
        <f t="shared" si="339"/>
        <v>1003</v>
      </c>
      <c r="AF977" s="159">
        <f t="shared" si="340"/>
        <v>1051</v>
      </c>
      <c r="AG977" s="159">
        <f t="shared" si="341"/>
        <v>1787</v>
      </c>
      <c r="AH977" s="159">
        <f t="shared" si="342"/>
        <v>0</v>
      </c>
      <c r="AI977" s="159">
        <f t="shared" si="343"/>
        <v>115</v>
      </c>
      <c r="AJ977" s="159">
        <f t="shared" si="344"/>
        <v>65</v>
      </c>
      <c r="AK977" s="159">
        <f t="shared" si="345"/>
        <v>95</v>
      </c>
      <c r="AL977" s="159">
        <f t="shared" si="346"/>
        <v>97</v>
      </c>
      <c r="AM977" s="159">
        <f t="shared" si="347"/>
        <v>27</v>
      </c>
      <c r="AN977" s="159">
        <f t="shared" si="348"/>
        <v>32</v>
      </c>
      <c r="AO977" s="159">
        <f t="shared" si="349"/>
        <v>66</v>
      </c>
      <c r="AP977" s="159">
        <f t="shared" si="350"/>
        <v>18</v>
      </c>
      <c r="AQ977" s="159">
        <f t="shared" si="351"/>
        <v>37</v>
      </c>
      <c r="AR977" s="159">
        <f t="shared" si="352"/>
        <v>43</v>
      </c>
      <c r="AS977" s="374">
        <f t="shared" si="353"/>
        <v>12316</v>
      </c>
      <c r="AU977" s="380">
        <f t="shared" si="354"/>
        <v>4.3025368477468462E-2</v>
      </c>
    </row>
    <row r="978" spans="1:47" ht="15.75" customHeight="1" x14ac:dyDescent="0.3">
      <c r="A978" s="365" t="s">
        <v>21</v>
      </c>
      <c r="B978" s="159">
        <f t="shared" si="336"/>
        <v>163861</v>
      </c>
      <c r="C978" s="159">
        <f t="shared" si="322"/>
        <v>20861</v>
      </c>
      <c r="D978" s="159">
        <f t="shared" si="323"/>
        <v>21858</v>
      </c>
      <c r="E978" s="159">
        <f t="shared" si="324"/>
        <v>36722</v>
      </c>
      <c r="F978" s="159">
        <f t="shared" si="337"/>
        <v>15456.182835627109</v>
      </c>
      <c r="G978" s="159">
        <f t="shared" si="325"/>
        <v>-13.620482290881665</v>
      </c>
      <c r="H978" s="159">
        <f t="shared" si="326"/>
        <v>3830</v>
      </c>
      <c r="I978" s="159">
        <f t="shared" si="327"/>
        <v>896</v>
      </c>
      <c r="J978" s="159">
        <f t="shared" si="328"/>
        <v>1389</v>
      </c>
      <c r="K978" s="159">
        <f t="shared" si="329"/>
        <v>1350</v>
      </c>
      <c r="L978" s="159">
        <f t="shared" si="330"/>
        <v>443</v>
      </c>
      <c r="M978" s="159">
        <f t="shared" si="331"/>
        <v>520</v>
      </c>
      <c r="N978" s="159">
        <f t="shared" si="332"/>
        <v>940</v>
      </c>
      <c r="O978" s="159">
        <f t="shared" si="333"/>
        <v>407</v>
      </c>
      <c r="P978" s="159">
        <f t="shared" si="334"/>
        <v>1286</v>
      </c>
      <c r="Q978" s="159">
        <f t="shared" si="335"/>
        <v>963</v>
      </c>
      <c r="R978" s="379">
        <f t="shared" si="355"/>
        <v>270768.56235333625</v>
      </c>
      <c r="S978" s="168"/>
      <c r="AC978" s="375" t="s">
        <v>21</v>
      </c>
      <c r="AD978" s="159">
        <f t="shared" si="338"/>
        <v>7701</v>
      </c>
      <c r="AE978" s="159">
        <f t="shared" si="339"/>
        <v>980</v>
      </c>
      <c r="AF978" s="159">
        <f t="shared" si="340"/>
        <v>1027</v>
      </c>
      <c r="AG978" s="159">
        <f t="shared" si="341"/>
        <v>1726</v>
      </c>
      <c r="AH978" s="159">
        <f t="shared" si="342"/>
        <v>0</v>
      </c>
      <c r="AI978" s="159">
        <f t="shared" si="343"/>
        <v>115</v>
      </c>
      <c r="AJ978" s="159">
        <f t="shared" si="344"/>
        <v>27</v>
      </c>
      <c r="AK978" s="159">
        <f t="shared" si="345"/>
        <v>42</v>
      </c>
      <c r="AL978" s="159">
        <f t="shared" si="346"/>
        <v>41</v>
      </c>
      <c r="AM978" s="159">
        <f t="shared" si="347"/>
        <v>13</v>
      </c>
      <c r="AN978" s="159">
        <f t="shared" si="348"/>
        <v>16</v>
      </c>
      <c r="AO978" s="159">
        <f t="shared" si="349"/>
        <v>28</v>
      </c>
      <c r="AP978" s="159">
        <f t="shared" si="350"/>
        <v>12</v>
      </c>
      <c r="AQ978" s="159">
        <f t="shared" si="351"/>
        <v>39</v>
      </c>
      <c r="AR978" s="159">
        <f t="shared" si="352"/>
        <v>29</v>
      </c>
      <c r="AS978" s="374">
        <f t="shared" si="353"/>
        <v>11796</v>
      </c>
      <c r="AU978" s="380">
        <f t="shared" si="354"/>
        <v>4.3564880270727101E-2</v>
      </c>
    </row>
    <row r="979" spans="1:47" ht="15.75" customHeight="1" x14ac:dyDescent="0.3">
      <c r="A979" s="365" t="s">
        <v>22</v>
      </c>
      <c r="B979" s="159">
        <f t="shared" si="336"/>
        <v>136319</v>
      </c>
      <c r="C979" s="159">
        <f t="shared" si="322"/>
        <v>17355</v>
      </c>
      <c r="D979" s="159">
        <f t="shared" si="323"/>
        <v>18186</v>
      </c>
      <c r="E979" s="159">
        <f t="shared" si="324"/>
        <v>30623</v>
      </c>
      <c r="F979" s="159">
        <f t="shared" si="337"/>
        <v>15424.017335486369</v>
      </c>
      <c r="G979" s="159">
        <f t="shared" si="325"/>
        <v>0</v>
      </c>
      <c r="H979" s="159">
        <f t="shared" si="326"/>
        <v>2861</v>
      </c>
      <c r="I979" s="159">
        <f t="shared" si="327"/>
        <v>897</v>
      </c>
      <c r="J979" s="159">
        <f t="shared" si="328"/>
        <v>1329</v>
      </c>
      <c r="K979" s="159">
        <f t="shared" si="329"/>
        <v>1371</v>
      </c>
      <c r="L979" s="159">
        <f t="shared" si="330"/>
        <v>514</v>
      </c>
      <c r="M979" s="159">
        <f t="shared" si="331"/>
        <v>605</v>
      </c>
      <c r="N979" s="159">
        <f t="shared" si="332"/>
        <v>1066</v>
      </c>
      <c r="O979" s="159">
        <f t="shared" si="333"/>
        <v>363</v>
      </c>
      <c r="P979" s="159">
        <f t="shared" si="334"/>
        <v>1127</v>
      </c>
      <c r="Q979" s="159">
        <f t="shared" si="335"/>
        <v>849</v>
      </c>
      <c r="R979" s="379">
        <f t="shared" si="355"/>
        <v>228889.01733548637</v>
      </c>
      <c r="S979" s="168"/>
      <c r="AC979" s="375" t="s">
        <v>22</v>
      </c>
      <c r="AD979" s="159">
        <f t="shared" si="338"/>
        <v>6407</v>
      </c>
      <c r="AE979" s="159">
        <f t="shared" si="339"/>
        <v>816</v>
      </c>
      <c r="AF979" s="159">
        <f t="shared" si="340"/>
        <v>855</v>
      </c>
      <c r="AG979" s="159">
        <f t="shared" si="341"/>
        <v>1439</v>
      </c>
      <c r="AH979" s="159">
        <f t="shared" si="342"/>
        <v>0</v>
      </c>
      <c r="AI979" s="159">
        <f t="shared" si="343"/>
        <v>86</v>
      </c>
      <c r="AJ979" s="159">
        <f t="shared" si="344"/>
        <v>27</v>
      </c>
      <c r="AK979" s="159">
        <f t="shared" si="345"/>
        <v>40</v>
      </c>
      <c r="AL979" s="159">
        <f t="shared" si="346"/>
        <v>41</v>
      </c>
      <c r="AM979" s="159">
        <f t="shared" si="347"/>
        <v>15</v>
      </c>
      <c r="AN979" s="159">
        <f t="shared" si="348"/>
        <v>18</v>
      </c>
      <c r="AO979" s="159">
        <f t="shared" si="349"/>
        <v>32</v>
      </c>
      <c r="AP979" s="159">
        <f t="shared" si="350"/>
        <v>11</v>
      </c>
      <c r="AQ979" s="159">
        <f t="shared" si="351"/>
        <v>34</v>
      </c>
      <c r="AR979" s="159">
        <f t="shared" si="352"/>
        <v>25</v>
      </c>
      <c r="AS979" s="374">
        <f t="shared" si="353"/>
        <v>9846</v>
      </c>
      <c r="AU979" s="380">
        <f t="shared" si="354"/>
        <v>4.3016480714618811E-2</v>
      </c>
    </row>
    <row r="980" spans="1:47" ht="15.75" customHeight="1" x14ac:dyDescent="0.3">
      <c r="A980" s="325"/>
      <c r="B980" s="159"/>
      <c r="C980" s="159"/>
      <c r="D980" s="159"/>
      <c r="E980" s="159"/>
      <c r="F980" s="159"/>
      <c r="G980" s="159"/>
      <c r="H980" s="159"/>
      <c r="I980" s="159"/>
      <c r="J980" s="159"/>
      <c r="K980" s="159"/>
      <c r="L980" s="159"/>
      <c r="M980" s="159"/>
      <c r="N980" s="159"/>
      <c r="O980" s="159"/>
      <c r="P980" s="159"/>
      <c r="Q980" s="159"/>
      <c r="R980" s="374"/>
      <c r="S980" s="168"/>
      <c r="AC980" s="306"/>
      <c r="AD980" s="159"/>
      <c r="AE980" s="159"/>
      <c r="AF980" s="159"/>
      <c r="AG980" s="159"/>
      <c r="AH980" s="159"/>
      <c r="AI980" s="159"/>
      <c r="AJ980" s="159"/>
      <c r="AK980" s="159"/>
      <c r="AL980" s="159"/>
      <c r="AM980" s="159"/>
      <c r="AN980" s="159"/>
      <c r="AO980" s="159"/>
      <c r="AP980" s="159"/>
      <c r="AQ980" s="159"/>
      <c r="AR980" s="159"/>
      <c r="AS980" s="374"/>
    </row>
    <row r="981" spans="1:47" ht="15.75" customHeight="1" thickBot="1" x14ac:dyDescent="0.35">
      <c r="A981" s="325" t="s">
        <v>422</v>
      </c>
      <c r="B981" s="159">
        <f>SUM(B968:B979)</f>
        <v>1469755</v>
      </c>
      <c r="C981" s="159">
        <f t="shared" ref="C981:Q981" si="356">SUM(C968:C979)</f>
        <v>186939</v>
      </c>
      <c r="D981" s="159">
        <f t="shared" si="356"/>
        <v>195708</v>
      </c>
      <c r="E981" s="159">
        <f t="shared" si="356"/>
        <v>323903</v>
      </c>
      <c r="F981" s="159">
        <f t="shared" si="356"/>
        <v>84308.867498632942</v>
      </c>
      <c r="G981" s="159">
        <f t="shared" si="356"/>
        <v>-53866.922951389999</v>
      </c>
      <c r="H981" s="159">
        <f t="shared" si="356"/>
        <v>98588</v>
      </c>
      <c r="I981" s="159">
        <f t="shared" si="356"/>
        <v>57730</v>
      </c>
      <c r="J981" s="159">
        <f t="shared" si="356"/>
        <v>68600</v>
      </c>
      <c r="K981" s="159">
        <f t="shared" si="356"/>
        <v>61947</v>
      </c>
      <c r="L981" s="159">
        <f t="shared" si="356"/>
        <v>19217</v>
      </c>
      <c r="M981" s="159">
        <f t="shared" si="356"/>
        <v>22634</v>
      </c>
      <c r="N981" s="159">
        <f t="shared" si="356"/>
        <v>44301</v>
      </c>
      <c r="O981" s="159">
        <f t="shared" si="356"/>
        <v>8051</v>
      </c>
      <c r="P981" s="159">
        <f t="shared" si="356"/>
        <v>18364</v>
      </c>
      <c r="Q981" s="159">
        <f t="shared" si="356"/>
        <v>19020</v>
      </c>
      <c r="R981" s="381">
        <f>SUM(R968:R979)</f>
        <v>2625198.9445472425</v>
      </c>
      <c r="S981" s="168"/>
      <c r="AC981" s="382" t="s">
        <v>422</v>
      </c>
      <c r="AD981" s="327">
        <f>SUM(AD968:AD979)</f>
        <v>69078</v>
      </c>
      <c r="AE981" s="327">
        <f t="shared" ref="AE981:AS981" si="357">SUM(AE968:AE979)</f>
        <v>8787</v>
      </c>
      <c r="AF981" s="327">
        <f t="shared" si="357"/>
        <v>9200</v>
      </c>
      <c r="AG981" s="327">
        <f t="shared" si="357"/>
        <v>15224</v>
      </c>
      <c r="AH981" s="327">
        <f t="shared" si="357"/>
        <v>0</v>
      </c>
      <c r="AI981" s="327">
        <f t="shared" si="357"/>
        <v>2957</v>
      </c>
      <c r="AJ981" s="327">
        <f t="shared" si="357"/>
        <v>1732</v>
      </c>
      <c r="AK981" s="327">
        <f t="shared" si="357"/>
        <v>2061</v>
      </c>
      <c r="AL981" s="327">
        <f t="shared" si="357"/>
        <v>1859</v>
      </c>
      <c r="AM981" s="327">
        <f t="shared" si="357"/>
        <v>575</v>
      </c>
      <c r="AN981" s="327">
        <f t="shared" si="357"/>
        <v>678</v>
      </c>
      <c r="AO981" s="327">
        <f t="shared" si="357"/>
        <v>1329</v>
      </c>
      <c r="AP981" s="327">
        <f t="shared" si="357"/>
        <v>241</v>
      </c>
      <c r="AQ981" s="327">
        <f t="shared" si="357"/>
        <v>552</v>
      </c>
      <c r="AR981" s="327">
        <f t="shared" si="357"/>
        <v>571</v>
      </c>
      <c r="AS981" s="383">
        <f t="shared" si="357"/>
        <v>114844</v>
      </c>
      <c r="AU981" s="380">
        <f t="shared" si="354"/>
        <v>4.3746779739699572E-2</v>
      </c>
    </row>
    <row r="982" spans="1:47" ht="16.5" customHeight="1" thickBot="1" x14ac:dyDescent="0.35">
      <c r="A982" s="330" t="s">
        <v>7</v>
      </c>
      <c r="B982" s="327"/>
      <c r="C982" s="327"/>
      <c r="D982" s="327"/>
      <c r="E982" s="327"/>
      <c r="F982" s="327"/>
      <c r="G982" s="327"/>
      <c r="H982" s="327"/>
      <c r="I982" s="327"/>
      <c r="J982" s="327"/>
      <c r="K982" s="327"/>
      <c r="L982" s="327"/>
      <c r="M982" s="327"/>
      <c r="N982" s="327"/>
      <c r="O982" s="327"/>
      <c r="P982" s="327"/>
      <c r="Q982" s="327"/>
      <c r="R982" s="383"/>
      <c r="S982" s="159"/>
    </row>
    <row r="983" spans="1:47" ht="15.75" customHeight="1" x14ac:dyDescent="0.3">
      <c r="A983" s="159"/>
      <c r="B983" s="159"/>
      <c r="C983" s="159"/>
      <c r="D983" s="159"/>
      <c r="E983" s="159"/>
      <c r="F983" s="159"/>
      <c r="G983" s="159"/>
      <c r="H983" s="159"/>
      <c r="I983" s="159"/>
      <c r="J983" s="159"/>
      <c r="K983" s="159"/>
      <c r="L983" s="159"/>
      <c r="M983" s="159"/>
      <c r="N983" s="159"/>
      <c r="O983" s="159"/>
      <c r="P983" s="159"/>
      <c r="Q983" s="159"/>
      <c r="R983" s="159"/>
    </row>
    <row r="984" spans="1:47" ht="15.75" customHeight="1" x14ac:dyDescent="0.3"/>
    <row r="985" spans="1:47" ht="15.75" customHeight="1" thickBot="1" x14ac:dyDescent="0.35"/>
    <row r="986" spans="1:47" ht="15.75" customHeight="1" thickBot="1" x14ac:dyDescent="0.35">
      <c r="B986" s="519" t="s">
        <v>1038</v>
      </c>
      <c r="C986" s="506"/>
      <c r="D986" s="506"/>
      <c r="E986" s="506"/>
      <c r="F986" s="506"/>
      <c r="G986" s="506"/>
      <c r="H986" s="506"/>
      <c r="I986" s="506"/>
      <c r="J986" s="506"/>
      <c r="K986" s="506"/>
      <c r="L986" s="506"/>
      <c r="M986" s="506"/>
      <c r="N986" s="506"/>
      <c r="O986" s="506"/>
      <c r="P986" s="506"/>
      <c r="Q986" s="361" t="str">
        <f>+Q1</f>
        <v xml:space="preserve">PRINTED:  </v>
      </c>
      <c r="R986" s="367">
        <f ca="1">+R1</f>
        <v>44909.46975358796</v>
      </c>
      <c r="S986" s="319"/>
      <c r="T986" s="368"/>
      <c r="U986" s="368"/>
      <c r="V986" s="332"/>
    </row>
    <row r="987" spans="1:47" ht="15.75" customHeight="1" x14ac:dyDescent="0.3">
      <c r="B987" s="520">
        <f>+A5</f>
        <v>2018</v>
      </c>
      <c r="C987" s="509"/>
      <c r="D987" s="509"/>
      <c r="E987" s="509"/>
      <c r="F987" s="509"/>
      <c r="G987" s="509"/>
      <c r="H987" s="509"/>
      <c r="I987" s="509"/>
      <c r="J987" s="509"/>
      <c r="K987" s="509"/>
      <c r="L987" s="509"/>
      <c r="M987" s="509"/>
      <c r="N987" s="509"/>
      <c r="O987" s="509"/>
      <c r="P987" s="509"/>
      <c r="Q987" s="159"/>
      <c r="R987" s="159"/>
      <c r="S987" s="159"/>
      <c r="V987" s="307"/>
      <c r="AC987" s="370"/>
      <c r="AD987" s="506" t="s">
        <v>1039</v>
      </c>
      <c r="AE987" s="517"/>
      <c r="AF987" s="517"/>
      <c r="AG987" s="517"/>
      <c r="AH987" s="517"/>
      <c r="AI987" s="517"/>
      <c r="AJ987" s="517"/>
      <c r="AK987" s="517"/>
      <c r="AL987" s="517"/>
      <c r="AM987" s="517"/>
      <c r="AN987" s="517"/>
      <c r="AO987" s="517"/>
      <c r="AP987" s="517"/>
      <c r="AQ987" s="517"/>
      <c r="AR987" s="361" t="str">
        <f>$Q$1</f>
        <v xml:space="preserve">PRINTED:  </v>
      </c>
      <c r="AS987" s="371">
        <f ca="1">$R$1</f>
        <v>44909.46975358796</v>
      </c>
    </row>
    <row r="988" spans="1:47" ht="15.75" customHeight="1" x14ac:dyDescent="0.3">
      <c r="B988" s="518" t="str">
        <f>+A8</f>
        <v>Revised:  3/2/2019</v>
      </c>
      <c r="C988" s="503"/>
      <c r="D988" s="503"/>
      <c r="E988" s="503"/>
      <c r="F988" s="503"/>
      <c r="G988" s="503"/>
      <c r="H988" s="503"/>
      <c r="I988" s="503"/>
      <c r="J988" s="503"/>
      <c r="K988" s="503"/>
      <c r="L988" s="503"/>
      <c r="M988" s="503"/>
      <c r="N988" s="503"/>
      <c r="O988" s="503"/>
      <c r="P988" s="503"/>
      <c r="Q988" s="159"/>
      <c r="R988" s="159"/>
      <c r="S988" s="159"/>
      <c r="V988" s="307"/>
      <c r="AC988" s="306"/>
      <c r="AD988" s="503" t="str">
        <f>+$A$8</f>
        <v>Revised:  3/2/2019</v>
      </c>
      <c r="AE988" s="516"/>
      <c r="AF988" s="516"/>
      <c r="AG988" s="516"/>
      <c r="AH988" s="516"/>
      <c r="AI988" s="516"/>
      <c r="AJ988" s="516"/>
      <c r="AK988" s="516"/>
      <c r="AL988" s="516"/>
      <c r="AM988" s="516"/>
      <c r="AN988" s="516"/>
      <c r="AO988" s="516"/>
      <c r="AP988" s="516"/>
      <c r="AQ988" s="516"/>
      <c r="AR988" s="365"/>
      <c r="AS988" s="307"/>
    </row>
    <row r="989" spans="1:47" ht="15.75" customHeight="1" thickBot="1" x14ac:dyDescent="0.35">
      <c r="B989" s="521" t="s">
        <v>1040</v>
      </c>
      <c r="C989" s="522"/>
      <c r="D989" s="522"/>
      <c r="E989" s="522"/>
      <c r="F989" s="522"/>
      <c r="G989" s="522"/>
      <c r="H989" s="522"/>
      <c r="I989" s="522"/>
      <c r="J989" s="522"/>
      <c r="K989" s="522"/>
      <c r="L989" s="522"/>
      <c r="M989" s="522"/>
      <c r="N989" s="522"/>
      <c r="O989" s="522"/>
      <c r="P989" s="522"/>
      <c r="Q989" s="159"/>
      <c r="R989" s="159"/>
      <c r="S989" s="327"/>
      <c r="V989" s="307"/>
      <c r="AC989" s="306"/>
      <c r="AD989" s="503" t="s">
        <v>1024</v>
      </c>
      <c r="AE989" s="508"/>
      <c r="AF989" s="508"/>
      <c r="AG989" s="508"/>
      <c r="AH989" s="508"/>
      <c r="AI989" s="508"/>
      <c r="AJ989" s="508"/>
      <c r="AK989" s="508"/>
      <c r="AL989" s="508"/>
      <c r="AM989" s="508"/>
      <c r="AN989" s="508"/>
      <c r="AO989" s="508"/>
      <c r="AP989" s="508"/>
      <c r="AQ989" s="508"/>
      <c r="AS989" s="307"/>
    </row>
    <row r="990" spans="1:47" ht="15.75" customHeight="1" thickBot="1" x14ac:dyDescent="0.35">
      <c r="A990" s="384"/>
      <c r="B990" s="523" t="s">
        <v>1041</v>
      </c>
      <c r="C990" s="524"/>
      <c r="D990" s="524"/>
      <c r="E990" s="524"/>
      <c r="F990" s="525"/>
      <c r="G990" s="523" t="s">
        <v>1042</v>
      </c>
      <c r="H990" s="524"/>
      <c r="I990" s="524"/>
      <c r="J990" s="524"/>
      <c r="K990" s="524"/>
      <c r="L990" s="524"/>
      <c r="M990" s="526" t="s">
        <v>1043</v>
      </c>
      <c r="N990" s="527"/>
      <c r="O990" s="527"/>
      <c r="P990" s="527"/>
      <c r="Q990" s="527"/>
      <c r="R990" s="528"/>
      <c r="S990" s="523" t="s">
        <v>1044</v>
      </c>
      <c r="T990" s="529"/>
      <c r="U990" s="530"/>
      <c r="V990" s="307"/>
      <c r="AC990" s="306"/>
      <c r="AS990" s="307"/>
    </row>
    <row r="991" spans="1:47" ht="15.75" customHeight="1" x14ac:dyDescent="0.3">
      <c r="A991" s="384"/>
      <c r="B991" s="325" t="s">
        <v>428</v>
      </c>
      <c r="C991" s="164"/>
      <c r="D991" s="164" t="s">
        <v>469</v>
      </c>
      <c r="E991" s="164" t="s">
        <v>470</v>
      </c>
      <c r="F991" s="333" t="s">
        <v>1045</v>
      </c>
      <c r="G991" s="325" t="s">
        <v>471</v>
      </c>
      <c r="H991" s="164"/>
      <c r="I991" s="164"/>
      <c r="J991" s="164" t="s">
        <v>472</v>
      </c>
      <c r="K991" s="164" t="s">
        <v>1046</v>
      </c>
      <c r="L991" s="164" t="s">
        <v>1047</v>
      </c>
      <c r="M991" s="531" t="s">
        <v>1048</v>
      </c>
      <c r="N991" s="532"/>
      <c r="O991" s="533"/>
      <c r="P991" s="385"/>
      <c r="Q991" s="386"/>
      <c r="R991" s="387"/>
      <c r="S991" s="164" t="s">
        <v>1049</v>
      </c>
      <c r="T991" s="388" t="s">
        <v>486</v>
      </c>
      <c r="U991" s="389" t="s">
        <v>1050</v>
      </c>
      <c r="V991" s="307"/>
      <c r="AC991" s="306"/>
      <c r="AD991" s="509">
        <f>$A$5</f>
        <v>2018</v>
      </c>
      <c r="AE991" s="508"/>
      <c r="AF991" s="508"/>
      <c r="AG991" s="508"/>
      <c r="AH991" s="508"/>
      <c r="AI991" s="508"/>
      <c r="AJ991" s="508"/>
      <c r="AK991" s="508"/>
      <c r="AL991" s="508"/>
      <c r="AM991" s="508"/>
      <c r="AN991" s="508"/>
      <c r="AO991" s="508"/>
      <c r="AP991" s="508"/>
      <c r="AQ991" s="508"/>
      <c r="AS991" s="307"/>
    </row>
    <row r="992" spans="1:47" ht="15.75" customHeight="1" x14ac:dyDescent="0.3">
      <c r="A992" s="384"/>
      <c r="B992" s="390" t="s">
        <v>1051</v>
      </c>
      <c r="C992" s="391" t="s">
        <v>1052</v>
      </c>
      <c r="D992" s="391" t="s">
        <v>1053</v>
      </c>
      <c r="E992" s="164" t="s">
        <v>442</v>
      </c>
      <c r="F992" s="392" t="s">
        <v>1054</v>
      </c>
      <c r="G992" s="325" t="s">
        <v>429</v>
      </c>
      <c r="H992" s="164" t="s">
        <v>478</v>
      </c>
      <c r="I992" s="164" t="s">
        <v>479</v>
      </c>
      <c r="J992" s="391" t="s">
        <v>1055</v>
      </c>
      <c r="K992" s="164" t="s">
        <v>1034</v>
      </c>
      <c r="L992" s="391" t="s">
        <v>1056</v>
      </c>
      <c r="M992" s="393" t="s">
        <v>1057</v>
      </c>
      <c r="N992" s="385" t="s">
        <v>1058</v>
      </c>
      <c r="O992" s="394" t="s">
        <v>422</v>
      </c>
      <c r="P992" s="385" t="s">
        <v>1059</v>
      </c>
      <c r="Q992" s="385" t="s">
        <v>1059</v>
      </c>
      <c r="R992" s="394" t="s">
        <v>1060</v>
      </c>
      <c r="S992" s="164" t="s">
        <v>1061</v>
      </c>
      <c r="T992" s="164" t="s">
        <v>1062</v>
      </c>
      <c r="U992" s="333" t="s">
        <v>1063</v>
      </c>
      <c r="V992" s="307"/>
      <c r="AC992" s="306"/>
      <c r="AD992" s="503" t="s">
        <v>1029</v>
      </c>
      <c r="AE992" s="516"/>
      <c r="AF992" s="516"/>
      <c r="AG992" s="516"/>
      <c r="AH992" s="516"/>
      <c r="AI992" s="516"/>
      <c r="AJ992" s="516"/>
      <c r="AK992" s="516"/>
      <c r="AL992" s="516"/>
      <c r="AM992" s="516"/>
      <c r="AN992" s="516"/>
      <c r="AO992" s="516"/>
      <c r="AP992" s="516"/>
      <c r="AQ992" s="516"/>
      <c r="AR992" s="164"/>
      <c r="AS992" s="307"/>
    </row>
    <row r="993" spans="1:45" ht="15.75" customHeight="1" x14ac:dyDescent="0.3">
      <c r="A993" s="384"/>
      <c r="B993" s="395" t="s">
        <v>1064</v>
      </c>
      <c r="C993" s="169">
        <v>0</v>
      </c>
      <c r="D993" s="169"/>
      <c r="E993" s="164" t="s">
        <v>485</v>
      </c>
      <c r="F993" s="396" t="s">
        <v>1065</v>
      </c>
      <c r="G993" s="325" t="s">
        <v>1066</v>
      </c>
      <c r="H993" s="164" t="s">
        <v>442</v>
      </c>
      <c r="I993" s="164" t="s">
        <v>442</v>
      </c>
      <c r="J993" s="164" t="s">
        <v>442</v>
      </c>
      <c r="K993" s="164" t="s">
        <v>486</v>
      </c>
      <c r="L993" s="164" t="s">
        <v>1067</v>
      </c>
      <c r="M993" s="397" t="s">
        <v>434</v>
      </c>
      <c r="N993" s="386" t="s">
        <v>1068</v>
      </c>
      <c r="O993" s="394" t="s">
        <v>1069</v>
      </c>
      <c r="P993" s="386" t="s">
        <v>1070</v>
      </c>
      <c r="Q993" s="385" t="s">
        <v>1070</v>
      </c>
      <c r="R993" s="394" t="s">
        <v>1069</v>
      </c>
      <c r="S993" s="164" t="s">
        <v>442</v>
      </c>
      <c r="T993" s="164" t="s">
        <v>442</v>
      </c>
      <c r="U993" s="333" t="s">
        <v>442</v>
      </c>
      <c r="V993" s="307"/>
      <c r="AC993" s="306"/>
      <c r="AK993" s="372"/>
      <c r="AS993" s="307"/>
    </row>
    <row r="994" spans="1:45" ht="15.75" customHeight="1" thickBot="1" x14ac:dyDescent="0.35">
      <c r="A994" s="377" t="s">
        <v>1071</v>
      </c>
      <c r="B994" s="325" t="s">
        <v>491</v>
      </c>
      <c r="C994" s="164" t="s">
        <v>491</v>
      </c>
      <c r="D994" s="164" t="s">
        <v>491</v>
      </c>
      <c r="E994" s="164" t="s">
        <v>491</v>
      </c>
      <c r="F994" s="333" t="s">
        <v>491</v>
      </c>
      <c r="G994" s="325" t="s">
        <v>491</v>
      </c>
      <c r="H994" s="164" t="s">
        <v>491</v>
      </c>
      <c r="I994" s="164" t="s">
        <v>491</v>
      </c>
      <c r="J994" s="164" t="s">
        <v>491</v>
      </c>
      <c r="K994" s="164" t="s">
        <v>491</v>
      </c>
      <c r="L994" s="164" t="s">
        <v>491</v>
      </c>
      <c r="M994" s="397" t="s">
        <v>491</v>
      </c>
      <c r="N994" s="386" t="s">
        <v>491</v>
      </c>
      <c r="O994" s="394" t="s">
        <v>491</v>
      </c>
      <c r="P994" s="386" t="s">
        <v>937</v>
      </c>
      <c r="Q994" s="385" t="s">
        <v>491</v>
      </c>
      <c r="R994" s="394" t="s">
        <v>491</v>
      </c>
      <c r="S994" s="164" t="s">
        <v>491</v>
      </c>
      <c r="T994" s="164" t="s">
        <v>491</v>
      </c>
      <c r="U994" s="333" t="s">
        <v>491</v>
      </c>
      <c r="V994" s="307"/>
      <c r="AC994" s="306"/>
      <c r="AD994" s="364" t="s">
        <v>390</v>
      </c>
      <c r="AE994" s="364" t="s">
        <v>391</v>
      </c>
      <c r="AF994" s="364" t="s">
        <v>392</v>
      </c>
      <c r="AG994" s="364" t="s">
        <v>393</v>
      </c>
      <c r="AH994" s="364" t="s">
        <v>394</v>
      </c>
      <c r="AI994" s="364" t="s">
        <v>395</v>
      </c>
      <c r="AJ994" s="364" t="s">
        <v>396</v>
      </c>
      <c r="AK994" s="364" t="s">
        <v>397</v>
      </c>
      <c r="AL994" s="364" t="s">
        <v>398</v>
      </c>
      <c r="AM994" s="364" t="s">
        <v>399</v>
      </c>
      <c r="AN994" s="364" t="s">
        <v>400</v>
      </c>
      <c r="AO994" s="364" t="s">
        <v>401</v>
      </c>
      <c r="AP994" s="364" t="s">
        <v>402</v>
      </c>
      <c r="AQ994" s="364" t="s">
        <v>403</v>
      </c>
      <c r="AR994" s="364" t="s">
        <v>404</v>
      </c>
      <c r="AS994" s="373" t="s">
        <v>422</v>
      </c>
    </row>
    <row r="995" spans="1:45" ht="15.75" customHeight="1" x14ac:dyDescent="0.3">
      <c r="A995" s="377" t="s">
        <v>409</v>
      </c>
      <c r="B995" s="325" t="s">
        <v>409</v>
      </c>
      <c r="C995" s="164" t="s">
        <v>409</v>
      </c>
      <c r="D995" s="164" t="s">
        <v>409</v>
      </c>
      <c r="E995" s="164" t="s">
        <v>493</v>
      </c>
      <c r="F995" s="333" t="s">
        <v>409</v>
      </c>
      <c r="G995" s="325" t="s">
        <v>409</v>
      </c>
      <c r="H995" s="164" t="s">
        <v>494</v>
      </c>
      <c r="I995" s="164" t="s">
        <v>494</v>
      </c>
      <c r="J995" s="164" t="s">
        <v>409</v>
      </c>
      <c r="K995" s="164" t="s">
        <v>409</v>
      </c>
      <c r="L995" s="164" t="s">
        <v>409</v>
      </c>
      <c r="M995" s="397" t="s">
        <v>409</v>
      </c>
      <c r="N995" s="386" t="s">
        <v>409</v>
      </c>
      <c r="O995" s="394" t="s">
        <v>409</v>
      </c>
      <c r="P995" s="397" t="s">
        <v>409</v>
      </c>
      <c r="Q995" s="386" t="s">
        <v>409</v>
      </c>
      <c r="R995" s="394" t="s">
        <v>409</v>
      </c>
      <c r="S995" s="164" t="s">
        <v>409</v>
      </c>
      <c r="T995" s="164" t="s">
        <v>409</v>
      </c>
      <c r="U995" s="333" t="s">
        <v>409</v>
      </c>
      <c r="V995" s="307"/>
      <c r="AC995" s="306"/>
      <c r="AD995" s="159"/>
      <c r="AE995" s="159"/>
      <c r="AF995" s="159"/>
      <c r="AG995" s="159"/>
      <c r="AH995" s="164" t="s">
        <v>1030</v>
      </c>
      <c r="AI995" s="159"/>
      <c r="AJ995" s="159"/>
      <c r="AK995" s="159"/>
      <c r="AL995" s="159"/>
      <c r="AM995" s="159"/>
      <c r="AN995" s="159"/>
      <c r="AO995" s="159"/>
      <c r="AP995" s="159"/>
      <c r="AQ995" s="159"/>
      <c r="AR995" s="159"/>
      <c r="AS995" s="374"/>
    </row>
    <row r="996" spans="1:45" ht="15.75" customHeight="1" x14ac:dyDescent="0.3">
      <c r="A996" s="365" t="s">
        <v>795</v>
      </c>
      <c r="B996" s="325">
        <f>ROUND(R968-G968,0)</f>
        <v>157612</v>
      </c>
      <c r="C996" s="164">
        <f>+ROUND(B996*$C$993,0)</f>
        <v>0</v>
      </c>
      <c r="D996" s="164">
        <f>AS968</f>
        <v>6631</v>
      </c>
      <c r="E996" s="164">
        <f>+B996+C996</f>
        <v>157612</v>
      </c>
      <c r="F996" s="333">
        <f>(D996+E996)</f>
        <v>164243</v>
      </c>
      <c r="G996" s="325">
        <f>ABS(G968)</f>
        <v>702.99006867204707</v>
      </c>
      <c r="H996" s="398">
        <v>8917</v>
      </c>
      <c r="I996" s="398">
        <v>0</v>
      </c>
      <c r="J996" s="164">
        <f>(H996+I996)</f>
        <v>8917</v>
      </c>
      <c r="K996" s="398">
        <v>0</v>
      </c>
      <c r="L996" s="398">
        <v>0</v>
      </c>
      <c r="M996" s="399">
        <f>D996+E996-G996-J996-K996-L996</f>
        <v>154623.00993132795</v>
      </c>
      <c r="N996" s="400">
        <v>0</v>
      </c>
      <c r="O996" s="394">
        <f>M996+N996</f>
        <v>154623.00993132795</v>
      </c>
      <c r="P996" s="401">
        <v>0.2</v>
      </c>
      <c r="Q996" s="386">
        <f>-O996*P996</f>
        <v>-30924.601986265592</v>
      </c>
      <c r="R996" s="394">
        <f>O996+Q996</f>
        <v>123698.40794506235</v>
      </c>
      <c r="S996" s="402">
        <f t="shared" ref="S996:S1007" si="358">(F996-G996-J996-K996-L996-R996)</f>
        <v>30924.601986265596</v>
      </c>
      <c r="T996" s="164">
        <f>+IF(S996&gt;=0,ABS(S996),"")</f>
        <v>30924.601986265596</v>
      </c>
      <c r="U996" s="333" t="str">
        <f>+IF(S996&lt;=0,ABS(S996),"")</f>
        <v/>
      </c>
      <c r="V996" s="307"/>
      <c r="AC996" s="375" t="s">
        <v>1072</v>
      </c>
      <c r="AD996" s="376"/>
      <c r="AE996" s="376"/>
      <c r="AF996" s="376"/>
      <c r="AG996" s="376"/>
      <c r="AH996" s="376">
        <v>1.6E-2</v>
      </c>
      <c r="AI996" s="376">
        <v>1.6E-2</v>
      </c>
      <c r="AJ996" s="376">
        <v>1.6E-2</v>
      </c>
      <c r="AK996" s="376">
        <v>1.6E-2</v>
      </c>
      <c r="AL996" s="376">
        <v>1.6E-2</v>
      </c>
      <c r="AM996" s="376">
        <v>1.6E-2</v>
      </c>
      <c r="AN996" s="376">
        <v>1.6E-2</v>
      </c>
      <c r="AO996" s="376">
        <v>1.6E-2</v>
      </c>
      <c r="AP996" s="376">
        <v>1.6E-2</v>
      </c>
      <c r="AQ996" s="376">
        <v>1.6E-2</v>
      </c>
      <c r="AR996" s="376">
        <v>1.6E-2</v>
      </c>
      <c r="AS996" s="377"/>
    </row>
    <row r="997" spans="1:45" ht="15.75" customHeight="1" x14ac:dyDescent="0.3">
      <c r="A997" s="365" t="s">
        <v>9</v>
      </c>
      <c r="B997" s="325">
        <f>ROUND(R969-G969,0)</f>
        <v>193373</v>
      </c>
      <c r="C997" s="164">
        <f t="shared" ref="C997:C1007" si="359">+ROUND(B997*$C$993,0)</f>
        <v>0</v>
      </c>
      <c r="D997" s="164">
        <f t="shared" ref="D997:D1007" si="360">AS969</f>
        <v>8060</v>
      </c>
      <c r="E997" s="164">
        <f t="shared" ref="E997:E1009" si="361">+B997+C997</f>
        <v>193373</v>
      </c>
      <c r="F997" s="333">
        <f t="shared" ref="F997:F1007" si="362">(D997+E997)</f>
        <v>201433</v>
      </c>
      <c r="G997" s="325">
        <f t="shared" ref="G997:G1007" si="363">ABS(G969)</f>
        <v>2236.3113790504899</v>
      </c>
      <c r="H997" s="398">
        <v>11170</v>
      </c>
      <c r="I997" s="398">
        <v>0</v>
      </c>
      <c r="J997" s="164">
        <f t="shared" ref="J997:J1006" si="364">(H997+I997)</f>
        <v>11170</v>
      </c>
      <c r="K997" s="398">
        <v>0</v>
      </c>
      <c r="L997" s="398">
        <v>0</v>
      </c>
      <c r="M997" s="399">
        <f t="shared" ref="M997:M1007" si="365">D997+E997-G997-J997-K997-L997</f>
        <v>188026.68862094951</v>
      </c>
      <c r="N997" s="400">
        <v>0</v>
      </c>
      <c r="O997" s="394">
        <f t="shared" ref="O997:O1007" si="366">M997+N997</f>
        <v>188026.68862094951</v>
      </c>
      <c r="P997" s="401">
        <v>0.25</v>
      </c>
      <c r="Q997" s="386">
        <f t="shared" ref="Q997:Q1007" si="367">-O997*P997</f>
        <v>-47006.672155237378</v>
      </c>
      <c r="R997" s="394">
        <f t="shared" ref="R997:R1007" si="368">O997+Q997</f>
        <v>141020.01646571213</v>
      </c>
      <c r="S997" s="402">
        <f t="shared" si="358"/>
        <v>47006.672155237378</v>
      </c>
      <c r="T997" s="164">
        <f t="shared" ref="T997:T1007" si="369">+IF(S997&gt;=0,ABS(S997),"")</f>
        <v>47006.672155237378</v>
      </c>
      <c r="U997" s="333" t="str">
        <f t="shared" ref="U997:U1007" si="370">+IF(S997&lt;=0,ABS(S997),"")</f>
        <v/>
      </c>
      <c r="V997" s="307"/>
      <c r="AC997" s="375" t="s">
        <v>1032</v>
      </c>
      <c r="AD997" s="376"/>
      <c r="AE997" s="376"/>
      <c r="AF997" s="376"/>
      <c r="AG997" s="376"/>
      <c r="AH997" s="376"/>
      <c r="AI997" s="376"/>
      <c r="AJ997" s="376"/>
      <c r="AK997" s="376"/>
      <c r="AL997" s="376"/>
      <c r="AM997" s="376"/>
      <c r="AN997" s="376"/>
      <c r="AO997" s="376"/>
      <c r="AP997" s="376"/>
      <c r="AQ997" s="376"/>
      <c r="AR997" s="376"/>
      <c r="AS997" s="377"/>
    </row>
    <row r="998" spans="1:45" ht="15.75" customHeight="1" x14ac:dyDescent="0.3">
      <c r="A998" s="365" t="s">
        <v>10</v>
      </c>
      <c r="B998" s="325">
        <f t="shared" ref="B998:B1007" si="371">ROUND(R970-G970,0)</f>
        <v>244896</v>
      </c>
      <c r="C998" s="164">
        <f t="shared" si="359"/>
        <v>0</v>
      </c>
      <c r="D998" s="164">
        <f t="shared" si="360"/>
        <v>10361</v>
      </c>
      <c r="E998" s="164">
        <f t="shared" si="361"/>
        <v>244896</v>
      </c>
      <c r="F998" s="333">
        <f t="shared" si="362"/>
        <v>255257</v>
      </c>
      <c r="G998" s="325">
        <f t="shared" si="363"/>
        <v>3012.9924642049727</v>
      </c>
      <c r="H998" s="398">
        <v>7738</v>
      </c>
      <c r="I998" s="398">
        <v>0</v>
      </c>
      <c r="J998" s="164">
        <f t="shared" si="364"/>
        <v>7738</v>
      </c>
      <c r="K998" s="398">
        <v>0</v>
      </c>
      <c r="L998" s="398">
        <v>0</v>
      </c>
      <c r="M998" s="399">
        <f t="shared" si="365"/>
        <v>244506.00753579504</v>
      </c>
      <c r="N998" s="400">
        <v>0</v>
      </c>
      <c r="O998" s="394">
        <f t="shared" si="366"/>
        <v>244506.00753579504</v>
      </c>
      <c r="P998" s="401">
        <v>0.3</v>
      </c>
      <c r="Q998" s="386">
        <f t="shared" si="367"/>
        <v>-73351.802260738506</v>
      </c>
      <c r="R998" s="394">
        <f t="shared" si="368"/>
        <v>171154.20527505653</v>
      </c>
      <c r="S998" s="402">
        <f t="shared" si="358"/>
        <v>73351.802260738506</v>
      </c>
      <c r="T998" s="164">
        <f t="shared" si="369"/>
        <v>73351.802260738506</v>
      </c>
      <c r="U998" s="333" t="str">
        <f t="shared" si="370"/>
        <v/>
      </c>
      <c r="V998" s="307"/>
      <c r="AC998" s="375" t="s">
        <v>1033</v>
      </c>
      <c r="AD998" s="376"/>
      <c r="AE998" s="376"/>
      <c r="AF998" s="376"/>
      <c r="AG998" s="376"/>
      <c r="AH998" s="376"/>
      <c r="AI998" s="376"/>
      <c r="AJ998" s="376"/>
      <c r="AK998" s="376"/>
      <c r="AL998" s="376"/>
      <c r="AM998" s="376"/>
      <c r="AN998" s="376"/>
      <c r="AO998" s="376"/>
      <c r="AP998" s="376"/>
      <c r="AQ998" s="376"/>
      <c r="AR998" s="376"/>
      <c r="AS998" s="377"/>
    </row>
    <row r="999" spans="1:45" ht="15.75" customHeight="1" x14ac:dyDescent="0.3">
      <c r="A999" s="365" t="s">
        <v>12</v>
      </c>
      <c r="B999" s="325">
        <f t="shared" si="371"/>
        <v>290573</v>
      </c>
      <c r="C999" s="164">
        <f t="shared" si="359"/>
        <v>0</v>
      </c>
      <c r="D999" s="164">
        <f t="shared" si="360"/>
        <v>12712</v>
      </c>
      <c r="E999" s="164">
        <f t="shared" si="361"/>
        <v>290573</v>
      </c>
      <c r="F999" s="333">
        <f t="shared" si="362"/>
        <v>303285</v>
      </c>
      <c r="G999" s="325">
        <f t="shared" si="363"/>
        <v>1044.425677996546</v>
      </c>
      <c r="H999" s="398">
        <v>11080</v>
      </c>
      <c r="I999" s="398">
        <v>0</v>
      </c>
      <c r="J999" s="164">
        <f t="shared" si="364"/>
        <v>11080</v>
      </c>
      <c r="K999" s="398">
        <v>0</v>
      </c>
      <c r="L999" s="398">
        <v>0</v>
      </c>
      <c r="M999" s="399">
        <f t="shared" si="365"/>
        <v>291160.57432200346</v>
      </c>
      <c r="N999" s="400">
        <v>-22320</v>
      </c>
      <c r="O999" s="394">
        <f t="shared" si="366"/>
        <v>268840.57432200346</v>
      </c>
      <c r="P999" s="401">
        <v>0.35</v>
      </c>
      <c r="Q999" s="386">
        <f t="shared" si="367"/>
        <v>-94094.201012701204</v>
      </c>
      <c r="R999" s="394">
        <f t="shared" si="368"/>
        <v>174746.37330930226</v>
      </c>
      <c r="S999" s="402">
        <f t="shared" si="358"/>
        <v>116414.2010127012</v>
      </c>
      <c r="T999" s="164">
        <f t="shared" si="369"/>
        <v>116414.2010127012</v>
      </c>
      <c r="U999" s="333" t="str">
        <f t="shared" si="370"/>
        <v/>
      </c>
      <c r="V999" s="307"/>
      <c r="AC999" s="375" t="s">
        <v>822</v>
      </c>
      <c r="AD999" s="376"/>
      <c r="AE999" s="376"/>
      <c r="AF999" s="376"/>
      <c r="AG999" s="376"/>
      <c r="AH999" s="376"/>
      <c r="AI999" s="376"/>
      <c r="AJ999" s="376"/>
      <c r="AK999" s="376"/>
      <c r="AL999" s="376"/>
      <c r="AM999" s="376"/>
      <c r="AN999" s="376"/>
      <c r="AO999" s="376"/>
      <c r="AP999" s="376"/>
      <c r="AQ999" s="376"/>
      <c r="AR999" s="376"/>
      <c r="AS999" s="377"/>
    </row>
    <row r="1000" spans="1:45" ht="15.75" customHeight="1" x14ac:dyDescent="0.3">
      <c r="A1000" s="365" t="s">
        <v>13</v>
      </c>
      <c r="B1000" s="325">
        <f t="shared" si="371"/>
        <v>304527</v>
      </c>
      <c r="C1000" s="164">
        <f t="shared" si="359"/>
        <v>0</v>
      </c>
      <c r="D1000" s="164">
        <f t="shared" si="360"/>
        <v>13428</v>
      </c>
      <c r="E1000" s="164">
        <f t="shared" si="361"/>
        <v>304527</v>
      </c>
      <c r="F1000" s="333">
        <f t="shared" si="362"/>
        <v>317955</v>
      </c>
      <c r="G1000" s="325">
        <f t="shared" si="363"/>
        <v>753.46125094197532</v>
      </c>
      <c r="H1000" s="398">
        <v>9265</v>
      </c>
      <c r="I1000" s="398">
        <v>0</v>
      </c>
      <c r="J1000" s="164">
        <f t="shared" si="364"/>
        <v>9265</v>
      </c>
      <c r="K1000" s="398">
        <v>0</v>
      </c>
      <c r="L1000" s="398">
        <v>0</v>
      </c>
      <c r="M1000" s="399">
        <f t="shared" si="365"/>
        <v>307936.53874905803</v>
      </c>
      <c r="N1000" s="400">
        <v>0</v>
      </c>
      <c r="O1000" s="394">
        <f t="shared" si="366"/>
        <v>307936.53874905803</v>
      </c>
      <c r="P1000" s="401">
        <v>0.35</v>
      </c>
      <c r="Q1000" s="386">
        <f t="shared" si="367"/>
        <v>-107777.7885621703</v>
      </c>
      <c r="R1000" s="394">
        <f t="shared" si="368"/>
        <v>200158.75018688774</v>
      </c>
      <c r="S1000" s="402">
        <f t="shared" si="358"/>
        <v>107777.78856217029</v>
      </c>
      <c r="T1000" s="164">
        <f t="shared" si="369"/>
        <v>107777.78856217029</v>
      </c>
      <c r="U1000" s="333" t="str">
        <f t="shared" si="370"/>
        <v/>
      </c>
      <c r="V1000" s="307"/>
      <c r="AC1000" s="375" t="s">
        <v>1073</v>
      </c>
      <c r="AD1000" s="376"/>
      <c r="AE1000" s="376"/>
      <c r="AF1000" s="376"/>
      <c r="AG1000" s="376"/>
      <c r="AH1000" s="376"/>
      <c r="AI1000" s="376"/>
      <c r="AJ1000" s="376">
        <v>2.5000000000000001E-2</v>
      </c>
      <c r="AK1000" s="376">
        <v>2.5000000000000001E-2</v>
      </c>
      <c r="AL1000" s="376">
        <v>2.5000000000000001E-2</v>
      </c>
      <c r="AM1000" s="376">
        <v>2.5000000000000001E-2</v>
      </c>
      <c r="AN1000" s="376">
        <v>2.5000000000000001E-2</v>
      </c>
      <c r="AO1000" s="376">
        <v>2.5000000000000001E-2</v>
      </c>
      <c r="AP1000" s="376">
        <v>2.5000000000000001E-2</v>
      </c>
      <c r="AQ1000" s="376">
        <v>2.5000000000000001E-2</v>
      </c>
      <c r="AR1000" s="376">
        <v>2.5000000000000001E-2</v>
      </c>
      <c r="AS1000" s="377"/>
    </row>
    <row r="1001" spans="1:45" ht="15.75" customHeight="1" x14ac:dyDescent="0.3">
      <c r="A1001" s="365" t="s">
        <v>14</v>
      </c>
      <c r="B1001" s="325">
        <f>ROUND(R973-G973,0)</f>
        <v>177013</v>
      </c>
      <c r="C1001" s="164">
        <f t="shared" si="359"/>
        <v>0</v>
      </c>
      <c r="D1001" s="164">
        <f t="shared" si="360"/>
        <v>7512</v>
      </c>
      <c r="E1001" s="164">
        <f t="shared" si="361"/>
        <v>177013</v>
      </c>
      <c r="F1001" s="333">
        <f t="shared" si="362"/>
        <v>184525</v>
      </c>
      <c r="G1001" s="325">
        <f t="shared" si="363"/>
        <v>14451.36623963829</v>
      </c>
      <c r="H1001" s="398">
        <v>15931</v>
      </c>
      <c r="I1001" s="398">
        <v>0</v>
      </c>
      <c r="J1001" s="164">
        <f t="shared" si="364"/>
        <v>15931</v>
      </c>
      <c r="K1001" s="398">
        <v>0</v>
      </c>
      <c r="L1001" s="398">
        <v>0</v>
      </c>
      <c r="M1001" s="399">
        <f t="shared" si="365"/>
        <v>154142.6337603617</v>
      </c>
      <c r="N1001" s="400">
        <v>47280</v>
      </c>
      <c r="O1001" s="394">
        <f t="shared" si="366"/>
        <v>201422.6337603617</v>
      </c>
      <c r="P1001" s="401">
        <v>7.4999999999999997E-2</v>
      </c>
      <c r="Q1001" s="386">
        <f t="shared" si="367"/>
        <v>-15106.697532027127</v>
      </c>
      <c r="R1001" s="394">
        <f t="shared" si="368"/>
        <v>186315.93622833458</v>
      </c>
      <c r="S1001" s="402">
        <f t="shared" si="358"/>
        <v>-32173.302467972884</v>
      </c>
      <c r="T1001" s="164" t="str">
        <f t="shared" si="369"/>
        <v/>
      </c>
      <c r="U1001" s="333">
        <f t="shared" si="370"/>
        <v>32173.302467972884</v>
      </c>
      <c r="V1001" s="307"/>
      <c r="AC1001" s="375" t="s">
        <v>422</v>
      </c>
      <c r="AD1001" s="169">
        <f>SUM(AD996:AD1000)</f>
        <v>0</v>
      </c>
      <c r="AE1001" s="169">
        <f t="shared" ref="AE1001:AR1001" si="372">SUM(AE996:AE1000)</f>
        <v>0</v>
      </c>
      <c r="AF1001" s="169">
        <f t="shared" si="372"/>
        <v>0</v>
      </c>
      <c r="AG1001" s="169">
        <f t="shared" si="372"/>
        <v>0</v>
      </c>
      <c r="AH1001" s="169">
        <f t="shared" si="372"/>
        <v>1.6E-2</v>
      </c>
      <c r="AI1001" s="169">
        <f t="shared" si="372"/>
        <v>1.6E-2</v>
      </c>
      <c r="AJ1001" s="169">
        <f t="shared" si="372"/>
        <v>4.1000000000000002E-2</v>
      </c>
      <c r="AK1001" s="169">
        <f t="shared" si="372"/>
        <v>4.1000000000000002E-2</v>
      </c>
      <c r="AL1001" s="169">
        <f t="shared" si="372"/>
        <v>4.1000000000000002E-2</v>
      </c>
      <c r="AM1001" s="169">
        <f t="shared" si="372"/>
        <v>4.1000000000000002E-2</v>
      </c>
      <c r="AN1001" s="169">
        <f t="shared" si="372"/>
        <v>4.1000000000000002E-2</v>
      </c>
      <c r="AO1001" s="169">
        <f t="shared" si="372"/>
        <v>4.1000000000000002E-2</v>
      </c>
      <c r="AP1001" s="169">
        <f t="shared" si="372"/>
        <v>4.1000000000000002E-2</v>
      </c>
      <c r="AQ1001" s="169">
        <f t="shared" si="372"/>
        <v>4.1000000000000002E-2</v>
      </c>
      <c r="AR1001" s="169">
        <f t="shared" si="372"/>
        <v>4.1000000000000002E-2</v>
      </c>
      <c r="AS1001" s="377"/>
    </row>
    <row r="1002" spans="1:45" ht="15.75" customHeight="1" x14ac:dyDescent="0.3">
      <c r="A1002" s="365" t="s">
        <v>16</v>
      </c>
      <c r="B1002" s="325">
        <f t="shared" si="371"/>
        <v>157909</v>
      </c>
      <c r="C1002" s="164">
        <f t="shared" si="359"/>
        <v>0</v>
      </c>
      <c r="D1002" s="164">
        <f t="shared" si="360"/>
        <v>6615</v>
      </c>
      <c r="E1002" s="164">
        <f t="shared" si="361"/>
        <v>157909</v>
      </c>
      <c r="F1002" s="333">
        <f t="shared" si="362"/>
        <v>164524</v>
      </c>
      <c r="G1002" s="325">
        <f t="shared" si="363"/>
        <v>14279.828496924818</v>
      </c>
      <c r="H1002" s="398">
        <v>16823</v>
      </c>
      <c r="I1002" s="398">
        <v>0</v>
      </c>
      <c r="J1002" s="164">
        <f t="shared" si="364"/>
        <v>16823</v>
      </c>
      <c r="K1002" s="398">
        <v>0</v>
      </c>
      <c r="L1002" s="398">
        <v>0</v>
      </c>
      <c r="M1002" s="399">
        <f t="shared" si="365"/>
        <v>133421.17150307519</v>
      </c>
      <c r="N1002" s="400">
        <v>47120</v>
      </c>
      <c r="O1002" s="394">
        <f t="shared" si="366"/>
        <v>180541.17150307519</v>
      </c>
      <c r="P1002" s="401">
        <v>0.05</v>
      </c>
      <c r="Q1002" s="386">
        <f t="shared" si="367"/>
        <v>-9027.0585751537601</v>
      </c>
      <c r="R1002" s="394">
        <f t="shared" si="368"/>
        <v>171514.11292792144</v>
      </c>
      <c r="S1002" s="402">
        <f t="shared" si="358"/>
        <v>-38092.941424846242</v>
      </c>
      <c r="T1002" s="164" t="str">
        <f t="shared" si="369"/>
        <v/>
      </c>
      <c r="U1002" s="333">
        <f t="shared" si="370"/>
        <v>38092.941424846242</v>
      </c>
      <c r="V1002" s="307"/>
      <c r="AC1002" s="325" t="s">
        <v>409</v>
      </c>
      <c r="AD1002" s="164" t="s">
        <v>409</v>
      </c>
      <c r="AE1002" s="164" t="s">
        <v>409</v>
      </c>
      <c r="AF1002" s="164" t="s">
        <v>409</v>
      </c>
      <c r="AG1002" s="164" t="s">
        <v>409</v>
      </c>
      <c r="AH1002" s="164" t="s">
        <v>409</v>
      </c>
      <c r="AI1002" s="164" t="s">
        <v>409</v>
      </c>
      <c r="AJ1002" s="164" t="s">
        <v>409</v>
      </c>
      <c r="AK1002" s="164" t="s">
        <v>409</v>
      </c>
      <c r="AL1002" s="164" t="s">
        <v>409</v>
      </c>
      <c r="AM1002" s="164" t="s">
        <v>409</v>
      </c>
      <c r="AN1002" s="164" t="s">
        <v>409</v>
      </c>
      <c r="AO1002" s="164" t="s">
        <v>409</v>
      </c>
      <c r="AP1002" s="164" t="s">
        <v>409</v>
      </c>
      <c r="AQ1002" s="164" t="s">
        <v>409</v>
      </c>
      <c r="AR1002" s="164" t="s">
        <v>409</v>
      </c>
      <c r="AS1002" s="377" t="s">
        <v>409</v>
      </c>
    </row>
    <row r="1003" spans="1:45" ht="15.75" customHeight="1" x14ac:dyDescent="0.3">
      <c r="A1003" s="365" t="s">
        <v>17</v>
      </c>
      <c r="B1003" s="325">
        <f t="shared" si="371"/>
        <v>88658</v>
      </c>
      <c r="C1003" s="164">
        <f t="shared" si="359"/>
        <v>0</v>
      </c>
      <c r="D1003" s="164">
        <f t="shared" si="360"/>
        <v>3317</v>
      </c>
      <c r="E1003" s="164">
        <f t="shared" si="361"/>
        <v>88658</v>
      </c>
      <c r="F1003" s="333">
        <f t="shared" si="362"/>
        <v>91975</v>
      </c>
      <c r="G1003" s="325">
        <f t="shared" si="363"/>
        <v>16550.405806515493</v>
      </c>
      <c r="H1003" s="398">
        <v>14521</v>
      </c>
      <c r="I1003" s="398">
        <v>0</v>
      </c>
      <c r="J1003" s="164">
        <f t="shared" si="364"/>
        <v>14521</v>
      </c>
      <c r="K1003" s="398">
        <v>0</v>
      </c>
      <c r="L1003" s="398">
        <v>0</v>
      </c>
      <c r="M1003" s="399">
        <f t="shared" si="365"/>
        <v>60903.594193484503</v>
      </c>
      <c r="N1003" s="400">
        <v>58776</v>
      </c>
      <c r="O1003" s="394">
        <f t="shared" si="366"/>
        <v>119679.5941934845</v>
      </c>
      <c r="P1003" s="401">
        <v>0</v>
      </c>
      <c r="Q1003" s="386">
        <f t="shared" si="367"/>
        <v>0</v>
      </c>
      <c r="R1003" s="394">
        <f t="shared" si="368"/>
        <v>119679.5941934845</v>
      </c>
      <c r="S1003" s="402">
        <f t="shared" si="358"/>
        <v>-58776</v>
      </c>
      <c r="T1003" s="164" t="str">
        <f t="shared" si="369"/>
        <v/>
      </c>
      <c r="U1003" s="333">
        <f t="shared" si="370"/>
        <v>58776</v>
      </c>
      <c r="V1003" s="307"/>
      <c r="AC1003" s="375" t="s">
        <v>795</v>
      </c>
      <c r="AD1003" s="159">
        <f>ROUND(B968*$AD$1001, 0)</f>
        <v>0</v>
      </c>
      <c r="AE1003" s="159">
        <f>ROUND(C968*$AE$1001,0)</f>
        <v>0</v>
      </c>
      <c r="AF1003" s="159">
        <f>ROUND(D968*$AF$1001,0)</f>
        <v>0</v>
      </c>
      <c r="AG1003" s="159">
        <f>ROUND(E968*$AG$1001,0)</f>
        <v>0</v>
      </c>
      <c r="AH1003" s="159">
        <f>ROUND(F968*$AH$1001,0)</f>
        <v>143</v>
      </c>
      <c r="AI1003" s="159">
        <f>ROUND(H968*$AI$1001,0)</f>
        <v>43</v>
      </c>
      <c r="AJ1003" s="159">
        <f>ROUND(I968*$AJ$1001,0)</f>
        <v>90</v>
      </c>
      <c r="AK1003" s="159">
        <f>ROUND(J968*$AK$1001,0)</f>
        <v>140</v>
      </c>
      <c r="AL1003" s="159">
        <f>ROUND(K968*$AL$1001,0)</f>
        <v>145</v>
      </c>
      <c r="AM1003" s="159">
        <f>ROUND(L968*$AM$1001,0)</f>
        <v>49</v>
      </c>
      <c r="AN1003" s="159">
        <f>ROUND(M968*$AN$1001,0)</f>
        <v>58</v>
      </c>
      <c r="AO1003" s="159">
        <f>ROUND(N968*$AO$1001,0)</f>
        <v>120</v>
      </c>
      <c r="AP1003" s="159">
        <f>ROUND(O968*$AP$1001,0)</f>
        <v>29</v>
      </c>
      <c r="AQ1003" s="159">
        <f>ROUND(P968*$AQ$1001,0)</f>
        <v>52</v>
      </c>
      <c r="AR1003" s="159">
        <f>ROUND(Q968*$AR$1001,0)</f>
        <v>69</v>
      </c>
      <c r="AS1003" s="374">
        <f>SUM(AD1003:AR1003)</f>
        <v>938</v>
      </c>
    </row>
    <row r="1004" spans="1:45" ht="15.75" customHeight="1" x14ac:dyDescent="0.3">
      <c r="A1004" s="365" t="s">
        <v>18</v>
      </c>
      <c r="B1004" s="325">
        <f t="shared" si="371"/>
        <v>278584</v>
      </c>
      <c r="C1004" s="164">
        <f t="shared" si="359"/>
        <v>0</v>
      </c>
      <c r="D1004" s="164">
        <f t="shared" si="360"/>
        <v>12250</v>
      </c>
      <c r="E1004" s="164">
        <f t="shared" si="361"/>
        <v>278584</v>
      </c>
      <c r="F1004" s="333">
        <f t="shared" si="362"/>
        <v>290834</v>
      </c>
      <c r="G1004" s="325">
        <f t="shared" si="363"/>
        <v>821.52108515448356</v>
      </c>
      <c r="H1004" s="398">
        <v>12767</v>
      </c>
      <c r="I1004" s="398">
        <v>0</v>
      </c>
      <c r="J1004" s="164">
        <f t="shared" si="364"/>
        <v>12767</v>
      </c>
      <c r="K1004" s="398">
        <v>0</v>
      </c>
      <c r="L1004" s="398">
        <v>0</v>
      </c>
      <c r="M1004" s="399">
        <f t="shared" si="365"/>
        <v>277245.4789148455</v>
      </c>
      <c r="N1004" s="400">
        <v>0</v>
      </c>
      <c r="O1004" s="394">
        <f t="shared" si="366"/>
        <v>277245.4789148455</v>
      </c>
      <c r="P1004" s="401">
        <v>0.05</v>
      </c>
      <c r="Q1004" s="386">
        <f t="shared" si="367"/>
        <v>-13862.273945742276</v>
      </c>
      <c r="R1004" s="394">
        <f t="shared" si="368"/>
        <v>263383.20496910322</v>
      </c>
      <c r="S1004" s="402">
        <f t="shared" si="358"/>
        <v>13862.273945742287</v>
      </c>
      <c r="T1004" s="164">
        <f t="shared" si="369"/>
        <v>13862.273945742287</v>
      </c>
      <c r="U1004" s="333" t="str">
        <f t="shared" si="370"/>
        <v/>
      </c>
      <c r="V1004" s="307"/>
      <c r="AC1004" s="375" t="s">
        <v>9</v>
      </c>
      <c r="AD1004" s="159">
        <f t="shared" ref="AD1004:AD1014" si="373">ROUND(B969*$AD$1001, 0)</f>
        <v>0</v>
      </c>
      <c r="AE1004" s="159">
        <f t="shared" ref="AE1004:AE1014" si="374">ROUND(C969*$AE$1001,0)</f>
        <v>0</v>
      </c>
      <c r="AF1004" s="159">
        <f t="shared" ref="AF1004:AF1014" si="375">ROUND(D969*$AF$1001,0)</f>
        <v>0</v>
      </c>
      <c r="AG1004" s="159">
        <f t="shared" ref="AG1004:AG1014" si="376">ROUND(E969*$AG$1001,0)</f>
        <v>0</v>
      </c>
      <c r="AH1004" s="159">
        <f t="shared" ref="AH1004:AH1014" si="377">ROUND(F969*$AH$1001,0)</f>
        <v>177</v>
      </c>
      <c r="AI1004" s="159">
        <f t="shared" ref="AI1004:AI1014" si="378">ROUND(H969*$AI$1001,0)</f>
        <v>66</v>
      </c>
      <c r="AJ1004" s="159">
        <f t="shared" ref="AJ1004:AJ1014" si="379">ROUND(I969*$AJ$1001,0)</f>
        <v>145</v>
      </c>
      <c r="AK1004" s="159">
        <f t="shared" ref="AK1004:AK1014" si="380">ROUND(J969*$AK$1001,0)</f>
        <v>226</v>
      </c>
      <c r="AL1004" s="159">
        <f t="shared" ref="AL1004:AL1014" si="381">ROUND(K969*$AL$1001,0)</f>
        <v>227</v>
      </c>
      <c r="AM1004" s="159">
        <f t="shared" ref="AM1004:AM1014" si="382">ROUND(L969*$AM$1001,0)</f>
        <v>69</v>
      </c>
      <c r="AN1004" s="159">
        <f t="shared" ref="AN1004:AN1014" si="383">ROUND(M969*$AN$1001,0)</f>
        <v>81</v>
      </c>
      <c r="AO1004" s="159">
        <f t="shared" ref="AO1004:AO1014" si="384">ROUND(N969*$AO$1001,0)</f>
        <v>162</v>
      </c>
      <c r="AP1004" s="159">
        <f t="shared" ref="AP1004:AP1014" si="385">ROUND(O969*$AP$1001,0)</f>
        <v>32</v>
      </c>
      <c r="AQ1004" s="159">
        <f t="shared" ref="AQ1004:AQ1014" si="386">ROUND(P969*$AQ$1001,0)</f>
        <v>42</v>
      </c>
      <c r="AR1004" s="159">
        <f t="shared" ref="AR1004:AR1014" si="387">ROUND(Q969*$AR$1001,0)</f>
        <v>75</v>
      </c>
      <c r="AS1004" s="374">
        <f t="shared" ref="AS1004:AS1014" si="388">SUM(AD1004:AR1004)</f>
        <v>1302</v>
      </c>
    </row>
    <row r="1005" spans="1:45" ht="15.75" customHeight="1" x14ac:dyDescent="0.3">
      <c r="A1005" s="365" t="s">
        <v>20</v>
      </c>
      <c r="B1005" s="325">
        <f t="shared" si="371"/>
        <v>286250</v>
      </c>
      <c r="C1005" s="164">
        <f t="shared" si="359"/>
        <v>0</v>
      </c>
      <c r="D1005" s="164">
        <f t="shared" si="360"/>
        <v>12316</v>
      </c>
      <c r="E1005" s="164">
        <f t="shared" si="361"/>
        <v>286250</v>
      </c>
      <c r="F1005" s="333">
        <f t="shared" si="362"/>
        <v>298566</v>
      </c>
      <c r="G1005" s="325">
        <f t="shared" si="363"/>
        <v>0</v>
      </c>
      <c r="H1005" s="398">
        <v>12362</v>
      </c>
      <c r="I1005" s="398">
        <v>0</v>
      </c>
      <c r="J1005" s="164">
        <f t="shared" si="364"/>
        <v>12362</v>
      </c>
      <c r="K1005" s="398">
        <v>0</v>
      </c>
      <c r="L1005" s="398">
        <v>0</v>
      </c>
      <c r="M1005" s="399">
        <f t="shared" si="365"/>
        <v>286204</v>
      </c>
      <c r="N1005" s="400">
        <v>0</v>
      </c>
      <c r="O1005" s="394">
        <f t="shared" si="366"/>
        <v>286204</v>
      </c>
      <c r="P1005" s="401">
        <v>0.2</v>
      </c>
      <c r="Q1005" s="386">
        <f t="shared" si="367"/>
        <v>-57240.800000000003</v>
      </c>
      <c r="R1005" s="394">
        <f t="shared" si="368"/>
        <v>228963.20000000001</v>
      </c>
      <c r="S1005" s="402">
        <f t="shared" si="358"/>
        <v>57240.799999999988</v>
      </c>
      <c r="T1005" s="164">
        <f t="shared" si="369"/>
        <v>57240.799999999988</v>
      </c>
      <c r="U1005" s="333" t="str">
        <f t="shared" si="370"/>
        <v/>
      </c>
      <c r="V1005" s="307"/>
      <c r="AC1005" s="375" t="s">
        <v>10</v>
      </c>
      <c r="AD1005" s="159">
        <f t="shared" si="373"/>
        <v>0</v>
      </c>
      <c r="AE1005" s="159">
        <f t="shared" si="374"/>
        <v>0</v>
      </c>
      <c r="AF1005" s="159">
        <f t="shared" si="375"/>
        <v>0</v>
      </c>
      <c r="AG1005" s="159">
        <f t="shared" si="376"/>
        <v>0</v>
      </c>
      <c r="AH1005" s="159">
        <f t="shared" si="377"/>
        <v>163</v>
      </c>
      <c r="AI1005" s="159">
        <f t="shared" si="378"/>
        <v>125</v>
      </c>
      <c r="AJ1005" s="159">
        <f t="shared" si="379"/>
        <v>222</v>
      </c>
      <c r="AK1005" s="159">
        <f t="shared" si="380"/>
        <v>295</v>
      </c>
      <c r="AL1005" s="159">
        <f t="shared" si="381"/>
        <v>285</v>
      </c>
      <c r="AM1005" s="159">
        <f t="shared" si="382"/>
        <v>81</v>
      </c>
      <c r="AN1005" s="159">
        <f t="shared" si="383"/>
        <v>96</v>
      </c>
      <c r="AO1005" s="159">
        <f t="shared" si="384"/>
        <v>193</v>
      </c>
      <c r="AP1005" s="159">
        <f t="shared" si="385"/>
        <v>22</v>
      </c>
      <c r="AQ1005" s="159">
        <f t="shared" si="386"/>
        <v>53</v>
      </c>
      <c r="AR1005" s="159">
        <f t="shared" si="387"/>
        <v>51</v>
      </c>
      <c r="AS1005" s="374">
        <f t="shared" si="388"/>
        <v>1586</v>
      </c>
    </row>
    <row r="1006" spans="1:45" ht="15.75" customHeight="1" x14ac:dyDescent="0.3">
      <c r="A1006" s="365" t="s">
        <v>21</v>
      </c>
      <c r="B1006" s="325">
        <f t="shared" si="371"/>
        <v>270782</v>
      </c>
      <c r="C1006" s="164">
        <f t="shared" si="359"/>
        <v>0</v>
      </c>
      <c r="D1006" s="164">
        <f t="shared" si="360"/>
        <v>11796</v>
      </c>
      <c r="E1006" s="164">
        <f t="shared" si="361"/>
        <v>270782</v>
      </c>
      <c r="F1006" s="333">
        <f t="shared" si="362"/>
        <v>282578</v>
      </c>
      <c r="G1006" s="325">
        <f t="shared" si="363"/>
        <v>13.620482290881665</v>
      </c>
      <c r="H1006" s="398">
        <v>11454</v>
      </c>
      <c r="I1006" s="398">
        <v>0</v>
      </c>
      <c r="J1006" s="164">
        <f t="shared" si="364"/>
        <v>11454</v>
      </c>
      <c r="K1006" s="398">
        <v>0</v>
      </c>
      <c r="L1006" s="398">
        <v>0</v>
      </c>
      <c r="M1006" s="399">
        <f t="shared" si="365"/>
        <v>271110.37951770914</v>
      </c>
      <c r="N1006" s="400">
        <v>0</v>
      </c>
      <c r="O1006" s="394">
        <f t="shared" si="366"/>
        <v>271110.37951770914</v>
      </c>
      <c r="P1006" s="401">
        <v>0.2</v>
      </c>
      <c r="Q1006" s="386">
        <f t="shared" si="367"/>
        <v>-54222.07590354183</v>
      </c>
      <c r="R1006" s="394">
        <f t="shared" si="368"/>
        <v>216888.30361416732</v>
      </c>
      <c r="S1006" s="402">
        <f t="shared" si="358"/>
        <v>54222.075903541816</v>
      </c>
      <c r="T1006" s="164">
        <f t="shared" si="369"/>
        <v>54222.075903541816</v>
      </c>
      <c r="U1006" s="333" t="str">
        <f t="shared" si="370"/>
        <v/>
      </c>
      <c r="V1006" s="307"/>
      <c r="AC1006" s="375" t="s">
        <v>12</v>
      </c>
      <c r="AD1006" s="159">
        <f t="shared" si="373"/>
        <v>0</v>
      </c>
      <c r="AE1006" s="159">
        <f t="shared" si="374"/>
        <v>0</v>
      </c>
      <c r="AF1006" s="159">
        <f t="shared" si="375"/>
        <v>0</v>
      </c>
      <c r="AG1006" s="159">
        <f t="shared" si="376"/>
        <v>0</v>
      </c>
      <c r="AH1006" s="159">
        <f t="shared" si="377"/>
        <v>36</v>
      </c>
      <c r="AI1006" s="159">
        <f t="shared" si="378"/>
        <v>182</v>
      </c>
      <c r="AJ1006" s="159">
        <f t="shared" si="379"/>
        <v>302</v>
      </c>
      <c r="AK1006" s="159">
        <f t="shared" si="380"/>
        <v>357</v>
      </c>
      <c r="AL1006" s="159">
        <f t="shared" si="381"/>
        <v>310</v>
      </c>
      <c r="AM1006" s="159">
        <f t="shared" si="382"/>
        <v>93</v>
      </c>
      <c r="AN1006" s="159">
        <f t="shared" si="383"/>
        <v>110</v>
      </c>
      <c r="AO1006" s="159">
        <f t="shared" si="384"/>
        <v>218</v>
      </c>
      <c r="AP1006" s="159">
        <f t="shared" si="385"/>
        <v>31</v>
      </c>
      <c r="AQ1006" s="159">
        <f t="shared" si="386"/>
        <v>64</v>
      </c>
      <c r="AR1006" s="159">
        <f t="shared" si="387"/>
        <v>73</v>
      </c>
      <c r="AS1006" s="374">
        <f t="shared" si="388"/>
        <v>1776</v>
      </c>
    </row>
    <row r="1007" spans="1:45" ht="15.75" customHeight="1" x14ac:dyDescent="0.3">
      <c r="A1007" s="365" t="s">
        <v>22</v>
      </c>
      <c r="B1007" s="325">
        <f t="shared" si="371"/>
        <v>228889</v>
      </c>
      <c r="C1007" s="164">
        <f t="shared" si="359"/>
        <v>0</v>
      </c>
      <c r="D1007" s="164">
        <f t="shared" si="360"/>
        <v>9846</v>
      </c>
      <c r="E1007" s="164">
        <f t="shared" si="361"/>
        <v>228889</v>
      </c>
      <c r="F1007" s="333">
        <f t="shared" si="362"/>
        <v>238735</v>
      </c>
      <c r="G1007" s="325">
        <f t="shared" si="363"/>
        <v>0</v>
      </c>
      <c r="H1007" s="398">
        <v>10317</v>
      </c>
      <c r="I1007" s="398">
        <v>0</v>
      </c>
      <c r="J1007" s="164">
        <f>(H1007+I1007)</f>
        <v>10317</v>
      </c>
      <c r="K1007" s="398">
        <v>0</v>
      </c>
      <c r="L1007" s="398">
        <v>0</v>
      </c>
      <c r="M1007" s="399">
        <f t="shared" si="365"/>
        <v>228418</v>
      </c>
      <c r="N1007" s="400">
        <v>0</v>
      </c>
      <c r="O1007" s="394">
        <f t="shared" si="366"/>
        <v>228418</v>
      </c>
      <c r="P1007" s="401">
        <v>0.2</v>
      </c>
      <c r="Q1007" s="386">
        <f t="shared" si="367"/>
        <v>-45683.600000000006</v>
      </c>
      <c r="R1007" s="394">
        <f t="shared" si="368"/>
        <v>182734.4</v>
      </c>
      <c r="S1007" s="402">
        <f t="shared" si="358"/>
        <v>45683.600000000006</v>
      </c>
      <c r="T1007" s="164">
        <f t="shared" si="369"/>
        <v>45683.600000000006</v>
      </c>
      <c r="U1007" s="333" t="str">
        <f t="shared" si="370"/>
        <v/>
      </c>
      <c r="V1007" s="307"/>
      <c r="AC1007" s="375" t="s">
        <v>13</v>
      </c>
      <c r="AD1007" s="159">
        <f t="shared" si="373"/>
        <v>0</v>
      </c>
      <c r="AE1007" s="159">
        <f t="shared" si="374"/>
        <v>0</v>
      </c>
      <c r="AF1007" s="159">
        <f t="shared" si="375"/>
        <v>0</v>
      </c>
      <c r="AG1007" s="159">
        <f t="shared" si="376"/>
        <v>0</v>
      </c>
      <c r="AH1007" s="159">
        <f t="shared" si="377"/>
        <v>14</v>
      </c>
      <c r="AI1007" s="159">
        <f t="shared" si="378"/>
        <v>202</v>
      </c>
      <c r="AJ1007" s="159">
        <f t="shared" si="379"/>
        <v>275</v>
      </c>
      <c r="AK1007" s="159">
        <f t="shared" si="380"/>
        <v>330</v>
      </c>
      <c r="AL1007" s="159">
        <f t="shared" si="381"/>
        <v>285</v>
      </c>
      <c r="AM1007" s="159">
        <f t="shared" si="382"/>
        <v>93</v>
      </c>
      <c r="AN1007" s="159">
        <f t="shared" si="383"/>
        <v>110</v>
      </c>
      <c r="AO1007" s="159">
        <f t="shared" si="384"/>
        <v>217</v>
      </c>
      <c r="AP1007" s="159">
        <f t="shared" si="385"/>
        <v>37</v>
      </c>
      <c r="AQ1007" s="159">
        <f t="shared" si="386"/>
        <v>82</v>
      </c>
      <c r="AR1007" s="159">
        <f t="shared" si="387"/>
        <v>87</v>
      </c>
      <c r="AS1007" s="374">
        <f t="shared" si="388"/>
        <v>1732</v>
      </c>
    </row>
    <row r="1008" spans="1:45" ht="15.75" customHeight="1" x14ac:dyDescent="0.3">
      <c r="A1008" s="377" t="s">
        <v>424</v>
      </c>
      <c r="B1008" s="325" t="s">
        <v>424</v>
      </c>
      <c r="C1008" s="164"/>
      <c r="D1008" s="164"/>
      <c r="E1008" s="164" t="s">
        <v>7</v>
      </c>
      <c r="F1008" s="333"/>
      <c r="G1008" s="325"/>
      <c r="H1008" s="164"/>
      <c r="I1008" s="164" t="s">
        <v>7</v>
      </c>
      <c r="J1008" s="164" t="s">
        <v>7</v>
      </c>
      <c r="K1008" s="403"/>
      <c r="L1008" s="164"/>
      <c r="M1008" s="399"/>
      <c r="N1008" s="400"/>
      <c r="O1008" s="394"/>
      <c r="P1008" s="401"/>
      <c r="Q1008" s="400"/>
      <c r="R1008" s="394"/>
      <c r="S1008" s="402"/>
      <c r="T1008" s="164"/>
      <c r="U1008" s="333"/>
      <c r="V1008" s="307"/>
      <c r="AC1008" s="375" t="s">
        <v>14</v>
      </c>
      <c r="AD1008" s="159">
        <f t="shared" si="373"/>
        <v>0</v>
      </c>
      <c r="AE1008" s="159">
        <f t="shared" si="374"/>
        <v>0</v>
      </c>
      <c r="AF1008" s="159">
        <f t="shared" si="375"/>
        <v>0</v>
      </c>
      <c r="AG1008" s="159">
        <f t="shared" si="376"/>
        <v>0</v>
      </c>
      <c r="AH1008" s="159">
        <f t="shared" si="377"/>
        <v>0</v>
      </c>
      <c r="AI1008" s="159">
        <f t="shared" si="378"/>
        <v>223</v>
      </c>
      <c r="AJ1008" s="159">
        <f t="shared" si="379"/>
        <v>295</v>
      </c>
      <c r="AK1008" s="159">
        <f t="shared" si="380"/>
        <v>297</v>
      </c>
      <c r="AL1008" s="159">
        <f t="shared" si="381"/>
        <v>245</v>
      </c>
      <c r="AM1008" s="159">
        <f t="shared" si="382"/>
        <v>81</v>
      </c>
      <c r="AN1008" s="159">
        <f t="shared" si="383"/>
        <v>95</v>
      </c>
      <c r="AO1008" s="159">
        <f t="shared" si="384"/>
        <v>183</v>
      </c>
      <c r="AP1008" s="159">
        <f t="shared" si="385"/>
        <v>30</v>
      </c>
      <c r="AQ1008" s="159">
        <f t="shared" si="386"/>
        <v>81</v>
      </c>
      <c r="AR1008" s="159">
        <f t="shared" si="387"/>
        <v>72</v>
      </c>
      <c r="AS1008" s="374">
        <f t="shared" si="388"/>
        <v>1602</v>
      </c>
    </row>
    <row r="1009" spans="1:45" ht="16.5" customHeight="1" thickBot="1" x14ac:dyDescent="0.35">
      <c r="A1009" s="404" t="s">
        <v>422</v>
      </c>
      <c r="B1009" s="330">
        <f>SUM(B996:B1007)</f>
        <v>2679066</v>
      </c>
      <c r="C1009" s="335">
        <f>+SUM(C996:C1007)</f>
        <v>0</v>
      </c>
      <c r="D1009" s="335">
        <f>SUM(D996:D1007)</f>
        <v>114844</v>
      </c>
      <c r="E1009" s="335">
        <f t="shared" si="361"/>
        <v>2679066</v>
      </c>
      <c r="F1009" s="405">
        <f>SUM(F996:F1007)</f>
        <v>2793910</v>
      </c>
      <c r="G1009" s="330">
        <f>SUM(G996:G1007)</f>
        <v>53866.922951389999</v>
      </c>
      <c r="H1009" s="335">
        <f>SUM(H996:H1007)</f>
        <v>142345</v>
      </c>
      <c r="I1009" s="335">
        <f>SUM(I996:I1007)</f>
        <v>0</v>
      </c>
      <c r="J1009" s="335">
        <f>(H1009+I1009)</f>
        <v>142345</v>
      </c>
      <c r="K1009" s="335">
        <f>SUM(K996:K1007)</f>
        <v>0</v>
      </c>
      <c r="L1009" s="335">
        <f>SUM(L996:L1007)</f>
        <v>0</v>
      </c>
      <c r="M1009" s="406">
        <f>SUM(M996:M1007)</f>
        <v>2597698.07704861</v>
      </c>
      <c r="N1009" s="407">
        <f>SUM(N996:N1007)</f>
        <v>130856</v>
      </c>
      <c r="O1009" s="408">
        <f>+M1009+N1009</f>
        <v>2728554.07704861</v>
      </c>
      <c r="P1009" s="409">
        <f>Q1009/O1009</f>
        <v>-0.2009480319798734</v>
      </c>
      <c r="Q1009" s="410">
        <f>SUM(Q996:Q1007)</f>
        <v>-548297.571933578</v>
      </c>
      <c r="R1009" s="408">
        <f>SUM(R996:R1007)</f>
        <v>2180256.5051150317</v>
      </c>
      <c r="S1009" s="411">
        <f>(F1009-G1009-J1009-K1009-L1009-R1009)</f>
        <v>417441.57193357823</v>
      </c>
      <c r="T1009" s="335">
        <f>+SUM(T996:T1007)</f>
        <v>546483.81582639704</v>
      </c>
      <c r="U1009" s="405">
        <f>+SUM(U996:U1007)</f>
        <v>129042.24389281913</v>
      </c>
      <c r="V1009" s="307"/>
      <c r="AC1009" s="375" t="s">
        <v>16</v>
      </c>
      <c r="AD1009" s="159">
        <f t="shared" si="373"/>
        <v>0</v>
      </c>
      <c r="AE1009" s="159">
        <f t="shared" si="374"/>
        <v>0</v>
      </c>
      <c r="AF1009" s="159">
        <f t="shared" si="375"/>
        <v>0</v>
      </c>
      <c r="AG1009" s="159">
        <f t="shared" si="376"/>
        <v>0</v>
      </c>
      <c r="AH1009" s="159">
        <f t="shared" si="377"/>
        <v>0</v>
      </c>
      <c r="AI1009" s="159">
        <f t="shared" si="378"/>
        <v>226</v>
      </c>
      <c r="AJ1009" s="159">
        <f t="shared" si="379"/>
        <v>319</v>
      </c>
      <c r="AK1009" s="159">
        <f t="shared" si="380"/>
        <v>309</v>
      </c>
      <c r="AL1009" s="159">
        <f t="shared" si="381"/>
        <v>243</v>
      </c>
      <c r="AM1009" s="159">
        <f t="shared" si="382"/>
        <v>75</v>
      </c>
      <c r="AN1009" s="159">
        <f t="shared" si="383"/>
        <v>89</v>
      </c>
      <c r="AO1009" s="159">
        <f t="shared" si="384"/>
        <v>172</v>
      </c>
      <c r="AP1009" s="159">
        <f t="shared" si="385"/>
        <v>26</v>
      </c>
      <c r="AQ1009" s="159">
        <f t="shared" si="386"/>
        <v>73</v>
      </c>
      <c r="AR1009" s="159">
        <f t="shared" si="387"/>
        <v>62</v>
      </c>
      <c r="AS1009" s="374">
        <f t="shared" si="388"/>
        <v>1594</v>
      </c>
    </row>
    <row r="1010" spans="1:45" ht="15.75" customHeight="1" x14ac:dyDescent="0.3">
      <c r="A1010" s="306"/>
      <c r="B1010" s="159"/>
      <c r="C1010" s="159"/>
      <c r="D1010" s="159"/>
      <c r="E1010" s="159"/>
      <c r="F1010" s="159" t="s">
        <v>424</v>
      </c>
      <c r="G1010" s="159"/>
      <c r="H1010" s="159"/>
      <c r="I1010" s="159"/>
      <c r="K1010" s="159"/>
      <c r="L1010" s="159"/>
      <c r="M1010" s="173"/>
      <c r="O1010" s="368"/>
      <c r="P1010" s="319"/>
      <c r="V1010" s="307"/>
      <c r="AC1010" s="375" t="s">
        <v>17</v>
      </c>
      <c r="AD1010" s="159">
        <f t="shared" si="373"/>
        <v>0</v>
      </c>
      <c r="AE1010" s="159">
        <f t="shared" si="374"/>
        <v>0</v>
      </c>
      <c r="AF1010" s="159">
        <f t="shared" si="375"/>
        <v>0</v>
      </c>
      <c r="AG1010" s="159">
        <f t="shared" si="376"/>
        <v>0</v>
      </c>
      <c r="AH1010" s="159">
        <f t="shared" si="377"/>
        <v>0</v>
      </c>
      <c r="AI1010" s="159">
        <f t="shared" si="378"/>
        <v>192</v>
      </c>
      <c r="AJ1010" s="159">
        <f t="shared" si="379"/>
        <v>321</v>
      </c>
      <c r="AK1010" s="159">
        <f t="shared" si="380"/>
        <v>333</v>
      </c>
      <c r="AL1010" s="159">
        <f t="shared" si="381"/>
        <v>300</v>
      </c>
      <c r="AM1010" s="159">
        <f t="shared" si="382"/>
        <v>93</v>
      </c>
      <c r="AN1010" s="159">
        <f t="shared" si="383"/>
        <v>109</v>
      </c>
      <c r="AO1010" s="159">
        <f t="shared" si="384"/>
        <v>206</v>
      </c>
      <c r="AP1010" s="159">
        <f t="shared" si="385"/>
        <v>35</v>
      </c>
      <c r="AQ1010" s="159">
        <f t="shared" si="386"/>
        <v>80</v>
      </c>
      <c r="AR1010" s="159">
        <f t="shared" si="387"/>
        <v>83</v>
      </c>
      <c r="AS1010" s="374">
        <f t="shared" si="388"/>
        <v>1752</v>
      </c>
    </row>
    <row r="1011" spans="1:45" ht="15.75" customHeight="1" x14ac:dyDescent="0.3">
      <c r="A1011" s="323" t="s">
        <v>1074</v>
      </c>
      <c r="P1011" s="159"/>
      <c r="Q1011" s="159"/>
      <c r="R1011" s="159"/>
      <c r="V1011" s="307"/>
      <c r="AC1011" s="375" t="s">
        <v>18</v>
      </c>
      <c r="AD1011" s="159">
        <f t="shared" si="373"/>
        <v>0</v>
      </c>
      <c r="AE1011" s="159">
        <f t="shared" si="374"/>
        <v>0</v>
      </c>
      <c r="AF1011" s="159">
        <f t="shared" si="375"/>
        <v>0</v>
      </c>
      <c r="AG1011" s="159">
        <f t="shared" si="376"/>
        <v>0</v>
      </c>
      <c r="AH1011" s="159">
        <f t="shared" si="377"/>
        <v>50</v>
      </c>
      <c r="AI1011" s="159">
        <f t="shared" si="378"/>
        <v>151</v>
      </c>
      <c r="AJ1011" s="159">
        <f t="shared" si="379"/>
        <v>235</v>
      </c>
      <c r="AK1011" s="159">
        <f t="shared" si="380"/>
        <v>284</v>
      </c>
      <c r="AL1011" s="159">
        <f t="shared" si="381"/>
        <v>256</v>
      </c>
      <c r="AM1011" s="159">
        <f t="shared" si="382"/>
        <v>77</v>
      </c>
      <c r="AN1011" s="159">
        <f t="shared" si="383"/>
        <v>91</v>
      </c>
      <c r="AO1011" s="159">
        <f t="shared" si="384"/>
        <v>172</v>
      </c>
      <c r="AP1011" s="159">
        <f t="shared" si="385"/>
        <v>32</v>
      </c>
      <c r="AQ1011" s="159">
        <f t="shared" si="386"/>
        <v>78</v>
      </c>
      <c r="AR1011" s="159">
        <f t="shared" si="387"/>
        <v>75</v>
      </c>
      <c r="AS1011" s="374">
        <f t="shared" si="388"/>
        <v>1501</v>
      </c>
    </row>
    <row r="1012" spans="1:45" ht="15.75" customHeight="1" x14ac:dyDescent="0.3">
      <c r="A1012" s="323" t="s">
        <v>498</v>
      </c>
      <c r="D1012" s="159"/>
      <c r="E1012" s="159"/>
      <c r="F1012" s="159"/>
      <c r="G1012" s="159"/>
      <c r="H1012" s="159"/>
      <c r="I1012" s="159"/>
      <c r="J1012" s="159"/>
      <c r="K1012" s="159"/>
      <c r="L1012" s="159"/>
      <c r="M1012" s="159"/>
      <c r="N1012" s="159"/>
      <c r="O1012" s="159"/>
      <c r="P1012" s="159"/>
      <c r="Q1012" s="159"/>
      <c r="R1012" s="159"/>
      <c r="V1012" s="307"/>
      <c r="AC1012" s="375" t="s">
        <v>20</v>
      </c>
      <c r="AD1012" s="159">
        <f t="shared" si="373"/>
        <v>0</v>
      </c>
      <c r="AE1012" s="159">
        <f t="shared" si="374"/>
        <v>0</v>
      </c>
      <c r="AF1012" s="159">
        <f t="shared" si="375"/>
        <v>0</v>
      </c>
      <c r="AG1012" s="159">
        <f t="shared" si="376"/>
        <v>0</v>
      </c>
      <c r="AH1012" s="159">
        <f t="shared" si="377"/>
        <v>273</v>
      </c>
      <c r="AI1012" s="159">
        <f t="shared" si="378"/>
        <v>61</v>
      </c>
      <c r="AJ1012" s="159">
        <f t="shared" si="379"/>
        <v>89</v>
      </c>
      <c r="AK1012" s="159">
        <f t="shared" si="380"/>
        <v>129</v>
      </c>
      <c r="AL1012" s="159">
        <f t="shared" si="381"/>
        <v>133</v>
      </c>
      <c r="AM1012" s="159">
        <f t="shared" si="382"/>
        <v>37</v>
      </c>
      <c r="AN1012" s="159">
        <f t="shared" si="383"/>
        <v>43</v>
      </c>
      <c r="AO1012" s="159">
        <f t="shared" si="384"/>
        <v>91</v>
      </c>
      <c r="AP1012" s="159">
        <f t="shared" si="385"/>
        <v>25</v>
      </c>
      <c r="AQ1012" s="159">
        <f t="shared" si="386"/>
        <v>50</v>
      </c>
      <c r="AR1012" s="159">
        <f t="shared" si="387"/>
        <v>59</v>
      </c>
      <c r="AS1012" s="374">
        <f t="shared" si="388"/>
        <v>990</v>
      </c>
    </row>
    <row r="1013" spans="1:45" ht="15.75" customHeight="1" x14ac:dyDescent="0.3">
      <c r="A1013" s="323" t="s">
        <v>1075</v>
      </c>
      <c r="D1013" s="159"/>
      <c r="E1013" s="159"/>
      <c r="F1013" s="159"/>
      <c r="G1013" s="159"/>
      <c r="H1013" s="159"/>
      <c r="I1013" s="159"/>
      <c r="J1013" s="159"/>
      <c r="K1013" s="159"/>
      <c r="L1013" s="159"/>
      <c r="M1013" s="159"/>
      <c r="N1013" s="159"/>
      <c r="O1013" s="159"/>
      <c r="P1013" s="159"/>
      <c r="Q1013" s="159"/>
      <c r="R1013" s="159"/>
      <c r="V1013" s="307"/>
      <c r="AC1013" s="375" t="s">
        <v>21</v>
      </c>
      <c r="AD1013" s="159">
        <f t="shared" si="373"/>
        <v>0</v>
      </c>
      <c r="AE1013" s="159">
        <f t="shared" si="374"/>
        <v>0</v>
      </c>
      <c r="AF1013" s="159">
        <f t="shared" si="375"/>
        <v>0</v>
      </c>
      <c r="AG1013" s="159">
        <f t="shared" si="376"/>
        <v>0</v>
      </c>
      <c r="AH1013" s="159">
        <f t="shared" si="377"/>
        <v>247</v>
      </c>
      <c r="AI1013" s="159">
        <f t="shared" si="378"/>
        <v>61</v>
      </c>
      <c r="AJ1013" s="159">
        <f t="shared" si="379"/>
        <v>37</v>
      </c>
      <c r="AK1013" s="159">
        <f t="shared" si="380"/>
        <v>57</v>
      </c>
      <c r="AL1013" s="159">
        <f t="shared" si="381"/>
        <v>55</v>
      </c>
      <c r="AM1013" s="159">
        <f t="shared" si="382"/>
        <v>18</v>
      </c>
      <c r="AN1013" s="159">
        <f t="shared" si="383"/>
        <v>21</v>
      </c>
      <c r="AO1013" s="159">
        <f t="shared" si="384"/>
        <v>39</v>
      </c>
      <c r="AP1013" s="159">
        <f t="shared" si="385"/>
        <v>17</v>
      </c>
      <c r="AQ1013" s="159">
        <f t="shared" si="386"/>
        <v>53</v>
      </c>
      <c r="AR1013" s="159">
        <f t="shared" si="387"/>
        <v>39</v>
      </c>
      <c r="AS1013" s="374">
        <f t="shared" si="388"/>
        <v>644</v>
      </c>
    </row>
    <row r="1014" spans="1:45" ht="15.75" customHeight="1" thickBot="1" x14ac:dyDescent="0.35">
      <c r="A1014" s="326" t="s">
        <v>1076</v>
      </c>
      <c r="B1014" s="312"/>
      <c r="C1014" s="312"/>
      <c r="D1014" s="327"/>
      <c r="E1014" s="327"/>
      <c r="F1014" s="327"/>
      <c r="G1014" s="327"/>
      <c r="H1014" s="327"/>
      <c r="I1014" s="327"/>
      <c r="J1014" s="327"/>
      <c r="K1014" s="327"/>
      <c r="L1014" s="327"/>
      <c r="M1014" s="327"/>
      <c r="N1014" s="327"/>
      <c r="O1014" s="327"/>
      <c r="P1014" s="327"/>
      <c r="Q1014" s="327"/>
      <c r="R1014" s="327"/>
      <c r="S1014" s="312"/>
      <c r="T1014" s="312"/>
      <c r="U1014" s="312"/>
      <c r="V1014" s="313"/>
      <c r="AC1014" s="375" t="s">
        <v>22</v>
      </c>
      <c r="AD1014" s="159">
        <f t="shared" si="373"/>
        <v>0</v>
      </c>
      <c r="AE1014" s="159">
        <f t="shared" si="374"/>
        <v>0</v>
      </c>
      <c r="AF1014" s="159">
        <f t="shared" si="375"/>
        <v>0</v>
      </c>
      <c r="AG1014" s="159">
        <f t="shared" si="376"/>
        <v>0</v>
      </c>
      <c r="AH1014" s="159">
        <f t="shared" si="377"/>
        <v>247</v>
      </c>
      <c r="AI1014" s="159">
        <f t="shared" si="378"/>
        <v>46</v>
      </c>
      <c r="AJ1014" s="159">
        <f t="shared" si="379"/>
        <v>37</v>
      </c>
      <c r="AK1014" s="159">
        <f t="shared" si="380"/>
        <v>54</v>
      </c>
      <c r="AL1014" s="159">
        <f t="shared" si="381"/>
        <v>56</v>
      </c>
      <c r="AM1014" s="159">
        <f t="shared" si="382"/>
        <v>21</v>
      </c>
      <c r="AN1014" s="159">
        <f t="shared" si="383"/>
        <v>25</v>
      </c>
      <c r="AO1014" s="159">
        <f t="shared" si="384"/>
        <v>44</v>
      </c>
      <c r="AP1014" s="159">
        <f t="shared" si="385"/>
        <v>15</v>
      </c>
      <c r="AQ1014" s="159">
        <f t="shared" si="386"/>
        <v>46</v>
      </c>
      <c r="AR1014" s="159">
        <f t="shared" si="387"/>
        <v>35</v>
      </c>
      <c r="AS1014" s="374">
        <f t="shared" si="388"/>
        <v>626</v>
      </c>
    </row>
    <row r="1015" spans="1:45" ht="15.75" customHeight="1" thickBot="1" x14ac:dyDescent="0.35">
      <c r="A1015" s="323"/>
      <c r="D1015" s="159"/>
      <c r="E1015" s="159"/>
      <c r="F1015" s="159"/>
      <c r="G1015" s="159"/>
      <c r="H1015" s="159"/>
      <c r="I1015" s="159"/>
      <c r="J1015" s="159"/>
      <c r="K1015" s="159"/>
      <c r="L1015" s="159"/>
      <c r="M1015" s="159"/>
      <c r="N1015" s="159"/>
      <c r="O1015" s="159"/>
      <c r="P1015" s="159"/>
      <c r="Q1015" s="159"/>
      <c r="R1015" s="159"/>
      <c r="S1015" s="368"/>
      <c r="V1015" s="452"/>
      <c r="AC1015" s="306"/>
      <c r="AD1015" s="159"/>
      <c r="AE1015" s="159"/>
      <c r="AF1015" s="159"/>
      <c r="AG1015" s="159"/>
      <c r="AH1015" s="159"/>
      <c r="AI1015" s="159"/>
      <c r="AJ1015" s="159"/>
      <c r="AK1015" s="159"/>
      <c r="AL1015" s="159"/>
      <c r="AM1015" s="159"/>
      <c r="AN1015" s="159"/>
      <c r="AO1015" s="159"/>
      <c r="AP1015" s="159"/>
      <c r="AQ1015" s="159"/>
      <c r="AR1015" s="159"/>
      <c r="AS1015" s="374"/>
    </row>
    <row r="1016" spans="1:45" ht="15.75" customHeight="1" thickBot="1" x14ac:dyDescent="0.35">
      <c r="A1016" s="365"/>
      <c r="B1016" s="534" t="s">
        <v>1077</v>
      </c>
      <c r="C1016" s="535"/>
      <c r="D1016" s="535"/>
      <c r="E1016" s="535"/>
      <c r="F1016" s="535"/>
      <c r="G1016" s="535"/>
      <c r="H1016" s="535"/>
      <c r="I1016" s="535"/>
      <c r="J1016" s="535"/>
      <c r="K1016" s="535"/>
      <c r="L1016" s="535"/>
      <c r="M1016" s="535"/>
      <c r="N1016" s="535"/>
      <c r="O1016" s="535"/>
      <c r="P1016" s="535"/>
      <c r="Q1016" s="319"/>
      <c r="R1016" s="319"/>
      <c r="S1016" s="452"/>
      <c r="T1016" s="368"/>
      <c r="U1016" s="368"/>
      <c r="V1016" s="332"/>
      <c r="AC1016" s="382" t="s">
        <v>422</v>
      </c>
      <c r="AD1016" s="327">
        <f>SUM(AD1003:AD1014)</f>
        <v>0</v>
      </c>
      <c r="AE1016" s="327">
        <f t="shared" ref="AE1016:AS1016" si="389">SUM(AE1003:AE1014)</f>
        <v>0</v>
      </c>
      <c r="AF1016" s="327">
        <f t="shared" si="389"/>
        <v>0</v>
      </c>
      <c r="AG1016" s="327">
        <f t="shared" si="389"/>
        <v>0</v>
      </c>
      <c r="AH1016" s="327">
        <f t="shared" si="389"/>
        <v>1350</v>
      </c>
      <c r="AI1016" s="327">
        <f t="shared" si="389"/>
        <v>1578</v>
      </c>
      <c r="AJ1016" s="327">
        <f t="shared" si="389"/>
        <v>2367</v>
      </c>
      <c r="AK1016" s="327">
        <f t="shared" si="389"/>
        <v>2811</v>
      </c>
      <c r="AL1016" s="327">
        <f t="shared" si="389"/>
        <v>2540</v>
      </c>
      <c r="AM1016" s="327">
        <f t="shared" si="389"/>
        <v>787</v>
      </c>
      <c r="AN1016" s="327">
        <f t="shared" si="389"/>
        <v>928</v>
      </c>
      <c r="AO1016" s="327">
        <f t="shared" si="389"/>
        <v>1817</v>
      </c>
      <c r="AP1016" s="327">
        <f t="shared" si="389"/>
        <v>331</v>
      </c>
      <c r="AQ1016" s="327">
        <f t="shared" si="389"/>
        <v>754</v>
      </c>
      <c r="AR1016" s="327">
        <f t="shared" si="389"/>
        <v>780</v>
      </c>
      <c r="AS1016" s="383">
        <f t="shared" si="389"/>
        <v>16043</v>
      </c>
    </row>
    <row r="1017" spans="1:45" ht="15.75" customHeight="1" thickBot="1" x14ac:dyDescent="0.35">
      <c r="A1017" s="365"/>
      <c r="B1017" s="523" t="s">
        <v>1041</v>
      </c>
      <c r="C1017" s="524"/>
      <c r="D1017" s="524"/>
      <c r="E1017" s="524"/>
      <c r="F1017" s="525"/>
      <c r="G1017" s="523" t="s">
        <v>1042</v>
      </c>
      <c r="H1017" s="524"/>
      <c r="I1017" s="524"/>
      <c r="J1017" s="524"/>
      <c r="K1017" s="524"/>
      <c r="L1017" s="524"/>
      <c r="M1017" s="526" t="s">
        <v>1043</v>
      </c>
      <c r="N1017" s="536"/>
      <c r="O1017" s="536"/>
      <c r="P1017" s="527"/>
      <c r="Q1017" s="527"/>
      <c r="R1017" s="528"/>
      <c r="S1017" s="523" t="s">
        <v>1044</v>
      </c>
      <c r="T1017" s="529"/>
      <c r="U1017" s="530"/>
      <c r="V1017" s="307"/>
    </row>
    <row r="1018" spans="1:45" ht="15.75" customHeight="1" x14ac:dyDescent="0.3">
      <c r="A1018" s="377"/>
      <c r="B1018" s="325" t="s">
        <v>428</v>
      </c>
      <c r="C1018" s="164"/>
      <c r="D1018" s="164" t="s">
        <v>469</v>
      </c>
      <c r="E1018" s="164" t="s">
        <v>470</v>
      </c>
      <c r="F1018" s="333" t="s">
        <v>1045</v>
      </c>
      <c r="G1018" s="325" t="s">
        <v>471</v>
      </c>
      <c r="H1018" s="164"/>
      <c r="I1018" s="164"/>
      <c r="J1018" s="164" t="s">
        <v>472</v>
      </c>
      <c r="K1018" s="164" t="s">
        <v>1046</v>
      </c>
      <c r="L1018" s="164" t="s">
        <v>1047</v>
      </c>
      <c r="M1018" s="537" t="str">
        <f>+M991</f>
        <v>(NE)* per WAPA</v>
      </c>
      <c r="N1018" s="538"/>
      <c r="O1018" s="538"/>
      <c r="P1018" s="412"/>
      <c r="Q1018" s="386"/>
      <c r="R1018" s="394"/>
      <c r="S1018" s="325" t="s">
        <v>1049</v>
      </c>
      <c r="T1018" s="388" t="s">
        <v>486</v>
      </c>
      <c r="U1018" s="389" t="s">
        <v>1050</v>
      </c>
      <c r="V1018" s="307"/>
    </row>
    <row r="1019" spans="1:45" ht="15.75" customHeight="1" x14ac:dyDescent="0.3">
      <c r="A1019" s="377"/>
      <c r="B1019" s="390" t="s">
        <v>1051</v>
      </c>
      <c r="C1019" s="391" t="s">
        <v>1052</v>
      </c>
      <c r="D1019" s="391" t="s">
        <v>1053</v>
      </c>
      <c r="E1019" s="164" t="s">
        <v>442</v>
      </c>
      <c r="F1019" s="392" t="s">
        <v>1054</v>
      </c>
      <c r="G1019" s="325" t="s">
        <v>429</v>
      </c>
      <c r="H1019" s="164" t="s">
        <v>478</v>
      </c>
      <c r="I1019" s="164" t="s">
        <v>479</v>
      </c>
      <c r="J1019" s="391" t="s">
        <v>1055</v>
      </c>
      <c r="K1019" s="164" t="s">
        <v>1034</v>
      </c>
      <c r="L1019" s="391" t="s">
        <v>1056</v>
      </c>
      <c r="M1019" s="393" t="s">
        <v>1057</v>
      </c>
      <c r="N1019" s="385" t="s">
        <v>1058</v>
      </c>
      <c r="O1019" s="386" t="s">
        <v>422</v>
      </c>
      <c r="P1019" s="393" t="s">
        <v>1059</v>
      </c>
      <c r="Q1019" s="385" t="s">
        <v>1059</v>
      </c>
      <c r="R1019" s="394" t="s">
        <v>1060</v>
      </c>
      <c r="S1019" s="325" t="s">
        <v>1061</v>
      </c>
      <c r="T1019" s="164" t="s">
        <v>1062</v>
      </c>
      <c r="U1019" s="333" t="s">
        <v>1063</v>
      </c>
      <c r="V1019" s="307"/>
    </row>
    <row r="1020" spans="1:45" ht="15.75" customHeight="1" x14ac:dyDescent="0.3">
      <c r="A1020" s="377"/>
      <c r="B1020" s="395" t="s">
        <v>1064</v>
      </c>
      <c r="C1020" s="169">
        <v>5.0000000000000001E-3</v>
      </c>
      <c r="D1020" s="169">
        <v>4.2999999999999997E-2</v>
      </c>
      <c r="E1020" s="164" t="s">
        <v>485</v>
      </c>
      <c r="F1020" s="396" t="s">
        <v>1065</v>
      </c>
      <c r="G1020" s="325" t="s">
        <v>1066</v>
      </c>
      <c r="H1020" s="164" t="s">
        <v>442</v>
      </c>
      <c r="I1020" s="164" t="s">
        <v>442</v>
      </c>
      <c r="J1020" s="164" t="s">
        <v>442</v>
      </c>
      <c r="K1020" s="164" t="s">
        <v>486</v>
      </c>
      <c r="L1020" s="164" t="s">
        <v>1067</v>
      </c>
      <c r="M1020" s="397" t="s">
        <v>434</v>
      </c>
      <c r="N1020" s="386" t="s">
        <v>1068</v>
      </c>
      <c r="O1020" s="386" t="s">
        <v>1069</v>
      </c>
      <c r="P1020" s="397" t="s">
        <v>1070</v>
      </c>
      <c r="Q1020" s="385" t="s">
        <v>1070</v>
      </c>
      <c r="R1020" s="394" t="s">
        <v>1069</v>
      </c>
      <c r="S1020" s="325" t="s">
        <v>442</v>
      </c>
      <c r="T1020" s="164" t="s">
        <v>442</v>
      </c>
      <c r="U1020" s="333" t="s">
        <v>442</v>
      </c>
      <c r="V1020" s="307"/>
    </row>
    <row r="1021" spans="1:45" ht="15.75" customHeight="1" x14ac:dyDescent="0.3">
      <c r="A1021" s="377" t="s">
        <v>1071</v>
      </c>
      <c r="B1021" s="325" t="s">
        <v>1078</v>
      </c>
      <c r="C1021" s="164" t="s">
        <v>1078</v>
      </c>
      <c r="D1021" s="164" t="s">
        <v>1078</v>
      </c>
      <c r="E1021" s="164" t="s">
        <v>1078</v>
      </c>
      <c r="F1021" s="164" t="s">
        <v>1078</v>
      </c>
      <c r="G1021" s="325" t="s">
        <v>1078</v>
      </c>
      <c r="H1021" s="164" t="s">
        <v>1078</v>
      </c>
      <c r="I1021" s="164" t="s">
        <v>1078</v>
      </c>
      <c r="J1021" s="164" t="s">
        <v>1078</v>
      </c>
      <c r="K1021" s="164" t="s">
        <v>1078</v>
      </c>
      <c r="L1021" s="164" t="s">
        <v>1078</v>
      </c>
      <c r="M1021" s="397" t="s">
        <v>1078</v>
      </c>
      <c r="N1021" s="386" t="s">
        <v>1079</v>
      </c>
      <c r="O1021" s="386" t="s">
        <v>1078</v>
      </c>
      <c r="P1021" s="397" t="s">
        <v>937</v>
      </c>
      <c r="Q1021" s="385" t="s">
        <v>491</v>
      </c>
      <c r="R1021" s="394" t="s">
        <v>491</v>
      </c>
      <c r="S1021" s="325" t="s">
        <v>1078</v>
      </c>
      <c r="T1021" s="164" t="s">
        <v>1078</v>
      </c>
      <c r="U1021" s="333" t="s">
        <v>1078</v>
      </c>
      <c r="V1021" s="307"/>
    </row>
    <row r="1022" spans="1:45" ht="15.75" customHeight="1" x14ac:dyDescent="0.3">
      <c r="A1022" s="377" t="s">
        <v>409</v>
      </c>
      <c r="B1022" s="325" t="s">
        <v>409</v>
      </c>
      <c r="C1022" s="164" t="s">
        <v>409</v>
      </c>
      <c r="D1022" s="164" t="s">
        <v>409</v>
      </c>
      <c r="E1022" s="164" t="s">
        <v>493</v>
      </c>
      <c r="F1022" s="333" t="s">
        <v>409</v>
      </c>
      <c r="G1022" s="325" t="s">
        <v>409</v>
      </c>
      <c r="H1022" s="164" t="s">
        <v>494</v>
      </c>
      <c r="I1022" s="164" t="s">
        <v>494</v>
      </c>
      <c r="J1022" s="164" t="s">
        <v>409</v>
      </c>
      <c r="K1022" s="164" t="s">
        <v>409</v>
      </c>
      <c r="L1022" s="164" t="s">
        <v>409</v>
      </c>
      <c r="M1022" s="397" t="s">
        <v>409</v>
      </c>
      <c r="N1022" s="386" t="s">
        <v>409</v>
      </c>
      <c r="O1022" s="386" t="s">
        <v>409</v>
      </c>
      <c r="P1022" s="397" t="s">
        <v>409</v>
      </c>
      <c r="Q1022" s="386" t="s">
        <v>409</v>
      </c>
      <c r="R1022" s="394" t="s">
        <v>409</v>
      </c>
      <c r="S1022" s="325" t="s">
        <v>409</v>
      </c>
      <c r="T1022" s="164" t="s">
        <v>409</v>
      </c>
      <c r="U1022" s="333" t="s">
        <v>409</v>
      </c>
      <c r="V1022" s="307"/>
    </row>
    <row r="1023" spans="1:45" ht="15.75" customHeight="1" x14ac:dyDescent="0.3">
      <c r="A1023" s="365" t="s">
        <v>795</v>
      </c>
      <c r="B1023" s="325">
        <f>+B996/($B$10*24)</f>
        <v>211.84408602150538</v>
      </c>
      <c r="C1023" s="164">
        <f t="shared" ref="C1023:L1023" si="390">+C996/($B$10*24)</f>
        <v>0</v>
      </c>
      <c r="D1023" s="164">
        <f t="shared" si="390"/>
        <v>8.9126344086021501</v>
      </c>
      <c r="E1023" s="164">
        <f t="shared" si="390"/>
        <v>211.84408602150538</v>
      </c>
      <c r="F1023" s="333">
        <f t="shared" si="390"/>
        <v>220.75672043010752</v>
      </c>
      <c r="G1023" s="164">
        <f t="shared" si="390"/>
        <v>0.94487912455920309</v>
      </c>
      <c r="H1023" s="164">
        <f t="shared" si="390"/>
        <v>11.98521505376344</v>
      </c>
      <c r="I1023" s="164">
        <f t="shared" si="390"/>
        <v>0</v>
      </c>
      <c r="J1023" s="164">
        <f t="shared" si="390"/>
        <v>11.98521505376344</v>
      </c>
      <c r="K1023" s="164">
        <f t="shared" si="390"/>
        <v>0</v>
      </c>
      <c r="L1023" s="164">
        <f t="shared" si="390"/>
        <v>0</v>
      </c>
      <c r="M1023" s="397">
        <f>+M996/($B$10*24)</f>
        <v>207.82662625178489</v>
      </c>
      <c r="N1023" s="386">
        <f t="shared" ref="N1023" si="391">+N996/($B$10*24)</f>
        <v>0</v>
      </c>
      <c r="O1023" s="386">
        <f>+O996/($B$10*24)</f>
        <v>207.82662625178489</v>
      </c>
      <c r="P1023" s="413">
        <f>P996</f>
        <v>0.2</v>
      </c>
      <c r="Q1023" s="386">
        <f>-O1023*P1023</f>
        <v>-41.565325250356977</v>
      </c>
      <c r="R1023" s="394">
        <f>O1023+Q1023</f>
        <v>166.26130100142791</v>
      </c>
      <c r="S1023" s="414">
        <f>+S996/($B$10*24)</f>
        <v>41.565325250356985</v>
      </c>
      <c r="T1023" s="164">
        <f>+IF(S1023&gt;=0,ABS(S1023),"")</f>
        <v>41.565325250356985</v>
      </c>
      <c r="U1023" s="333" t="str">
        <f>+IF(S1023&lt;=0,ABS(S1023),"")</f>
        <v/>
      </c>
      <c r="V1023" s="307"/>
    </row>
    <row r="1024" spans="1:45" ht="15.75" customHeight="1" x14ac:dyDescent="0.3">
      <c r="A1024" s="365" t="s">
        <v>9</v>
      </c>
      <c r="B1024" s="325">
        <f>+B997/($C$10*24)</f>
        <v>287.75744047619048</v>
      </c>
      <c r="C1024" s="164">
        <f t="shared" ref="C1024:N1024" si="392">+C997/($C$10*24)</f>
        <v>0</v>
      </c>
      <c r="D1024" s="164">
        <f t="shared" si="392"/>
        <v>11.994047619047619</v>
      </c>
      <c r="E1024" s="164">
        <f t="shared" si="392"/>
        <v>287.75744047619048</v>
      </c>
      <c r="F1024" s="333">
        <f t="shared" si="392"/>
        <v>299.75148809523807</v>
      </c>
      <c r="G1024" s="164">
        <f t="shared" si="392"/>
        <v>3.327844314063229</v>
      </c>
      <c r="H1024" s="164">
        <f t="shared" si="392"/>
        <v>16.62202380952381</v>
      </c>
      <c r="I1024" s="164">
        <f t="shared" si="392"/>
        <v>0</v>
      </c>
      <c r="J1024" s="164">
        <f t="shared" si="392"/>
        <v>16.62202380952381</v>
      </c>
      <c r="K1024" s="164">
        <f t="shared" si="392"/>
        <v>0</v>
      </c>
      <c r="L1024" s="164">
        <f t="shared" si="392"/>
        <v>0</v>
      </c>
      <c r="M1024" s="397">
        <f t="shared" si="392"/>
        <v>279.80161997165106</v>
      </c>
      <c r="N1024" s="386">
        <f t="shared" si="392"/>
        <v>0</v>
      </c>
      <c r="O1024" s="386">
        <f t="shared" ref="O1024:O1034" si="393">+O997/($B$10*24)</f>
        <v>252.72404384536225</v>
      </c>
      <c r="P1024" s="413">
        <f t="shared" ref="P1024:P1034" si="394">P997</f>
        <v>0.25</v>
      </c>
      <c r="Q1024" s="386">
        <f t="shared" ref="Q1024:Q1034" si="395">-O1024*P1024</f>
        <v>-63.181010961340561</v>
      </c>
      <c r="R1024" s="394">
        <f t="shared" ref="R1024:R1034" si="396">O1024+Q1024</f>
        <v>189.54303288402167</v>
      </c>
      <c r="S1024" s="414">
        <f>+S997/($C$10*24)</f>
        <v>69.950404992912766</v>
      </c>
      <c r="T1024" s="164">
        <f t="shared" ref="T1024:T1034" si="397">+IF(S1024&gt;=0,ABS(S1024),"")</f>
        <v>69.950404992912766</v>
      </c>
      <c r="U1024" s="333" t="str">
        <f t="shared" ref="U1024:U1034" si="398">+IF(S1024&lt;=0,ABS(S1024),"")</f>
        <v/>
      </c>
      <c r="V1024" s="307"/>
    </row>
    <row r="1025" spans="1:22" ht="15.75" customHeight="1" x14ac:dyDescent="0.3">
      <c r="A1025" s="365" t="s">
        <v>10</v>
      </c>
      <c r="B1025" s="325">
        <f>+B998/($D$10*24)</f>
        <v>329.16129032258067</v>
      </c>
      <c r="C1025" s="164">
        <f t="shared" ref="C1025:N1025" si="399">+C998/($D$10*24)</f>
        <v>0</v>
      </c>
      <c r="D1025" s="164">
        <f t="shared" si="399"/>
        <v>13.926075268817204</v>
      </c>
      <c r="E1025" s="164">
        <f t="shared" si="399"/>
        <v>329.16129032258067</v>
      </c>
      <c r="F1025" s="333">
        <f t="shared" si="399"/>
        <v>343.08736559139783</v>
      </c>
      <c r="G1025" s="164">
        <f t="shared" si="399"/>
        <v>4.0497210540389421</v>
      </c>
      <c r="H1025" s="164">
        <f>+H998/($D$10*24)</f>
        <v>10.400537634408602</v>
      </c>
      <c r="I1025" s="164">
        <f t="shared" si="399"/>
        <v>0</v>
      </c>
      <c r="J1025" s="164">
        <f t="shared" si="399"/>
        <v>10.400537634408602</v>
      </c>
      <c r="K1025" s="164">
        <f t="shared" si="399"/>
        <v>0</v>
      </c>
      <c r="L1025" s="164">
        <f t="shared" si="399"/>
        <v>0</v>
      </c>
      <c r="M1025" s="397">
        <f t="shared" si="399"/>
        <v>328.63710690295034</v>
      </c>
      <c r="N1025" s="386">
        <f t="shared" si="399"/>
        <v>0</v>
      </c>
      <c r="O1025" s="386">
        <f t="shared" si="393"/>
        <v>328.63710690295034</v>
      </c>
      <c r="P1025" s="413">
        <f t="shared" si="394"/>
        <v>0.3</v>
      </c>
      <c r="Q1025" s="386">
        <f t="shared" si="395"/>
        <v>-98.591132070885095</v>
      </c>
      <c r="R1025" s="394">
        <f t="shared" si="396"/>
        <v>230.04597483206524</v>
      </c>
      <c r="S1025" s="414">
        <f>+S998/($D$10*24)</f>
        <v>98.591132070885095</v>
      </c>
      <c r="T1025" s="164">
        <f t="shared" si="397"/>
        <v>98.591132070885095</v>
      </c>
      <c r="U1025" s="333" t="str">
        <f t="shared" si="398"/>
        <v/>
      </c>
      <c r="V1025" s="307"/>
    </row>
    <row r="1026" spans="1:22" ht="15.75" customHeight="1" x14ac:dyDescent="0.3">
      <c r="A1026" s="365" t="s">
        <v>12</v>
      </c>
      <c r="B1026" s="325">
        <f>+B999/($F$10*24)</f>
        <v>403.57361111111112</v>
      </c>
      <c r="C1026" s="164">
        <f t="shared" ref="C1026:N1026" si="400">+C999/($F$10*24)</f>
        <v>0</v>
      </c>
      <c r="D1026" s="164">
        <f t="shared" si="400"/>
        <v>17.655555555555555</v>
      </c>
      <c r="E1026" s="164">
        <f t="shared" si="400"/>
        <v>403.57361111111112</v>
      </c>
      <c r="F1026" s="333">
        <f t="shared" si="400"/>
        <v>421.22916666666669</v>
      </c>
      <c r="G1026" s="164">
        <f t="shared" si="400"/>
        <v>1.4505912194396473</v>
      </c>
      <c r="H1026" s="164">
        <f t="shared" si="400"/>
        <v>15.388888888888889</v>
      </c>
      <c r="I1026" s="164">
        <f t="shared" si="400"/>
        <v>0</v>
      </c>
      <c r="J1026" s="164">
        <f t="shared" si="400"/>
        <v>15.388888888888889</v>
      </c>
      <c r="K1026" s="164">
        <f t="shared" si="400"/>
        <v>0</v>
      </c>
      <c r="L1026" s="164">
        <f t="shared" si="400"/>
        <v>0</v>
      </c>
      <c r="M1026" s="397">
        <f t="shared" si="400"/>
        <v>404.38968655833816</v>
      </c>
      <c r="N1026" s="386">
        <f t="shared" si="400"/>
        <v>-31</v>
      </c>
      <c r="O1026" s="386">
        <f t="shared" si="393"/>
        <v>361.34485795968209</v>
      </c>
      <c r="P1026" s="413">
        <f t="shared" si="394"/>
        <v>0.35</v>
      </c>
      <c r="Q1026" s="386">
        <f t="shared" si="395"/>
        <v>-126.47070028588873</v>
      </c>
      <c r="R1026" s="394">
        <f t="shared" si="396"/>
        <v>234.87415767379338</v>
      </c>
      <c r="S1026" s="414">
        <f>+S999/($F$10*24)</f>
        <v>161.68639029541833</v>
      </c>
      <c r="T1026" s="164">
        <f t="shared" si="397"/>
        <v>161.68639029541833</v>
      </c>
      <c r="U1026" s="333" t="str">
        <f t="shared" si="398"/>
        <v/>
      </c>
      <c r="V1026" s="307"/>
    </row>
    <row r="1027" spans="1:22" ht="15.75" customHeight="1" x14ac:dyDescent="0.3">
      <c r="A1027" s="365" t="s">
        <v>13</v>
      </c>
      <c r="B1027" s="325">
        <f>+B1000/($G$10*24)</f>
        <v>409.31048387096774</v>
      </c>
      <c r="C1027" s="164">
        <f t="shared" ref="C1027:N1027" si="401">+C1000/($G$10*24)</f>
        <v>0</v>
      </c>
      <c r="D1027" s="164">
        <f t="shared" si="401"/>
        <v>18.048387096774192</v>
      </c>
      <c r="E1027" s="164">
        <f t="shared" si="401"/>
        <v>409.31048387096774</v>
      </c>
      <c r="F1027" s="333">
        <f t="shared" si="401"/>
        <v>427.35887096774195</v>
      </c>
      <c r="G1027" s="164">
        <f t="shared" si="401"/>
        <v>1.0127167351370636</v>
      </c>
      <c r="H1027" s="164">
        <f t="shared" si="401"/>
        <v>12.452956989247312</v>
      </c>
      <c r="I1027" s="164">
        <f t="shared" si="401"/>
        <v>0</v>
      </c>
      <c r="J1027" s="164">
        <f t="shared" si="401"/>
        <v>12.452956989247312</v>
      </c>
      <c r="K1027" s="164">
        <f t="shared" si="401"/>
        <v>0</v>
      </c>
      <c r="L1027" s="164">
        <f t="shared" si="401"/>
        <v>0</v>
      </c>
      <c r="M1027" s="397">
        <f t="shared" si="401"/>
        <v>413.89319724335758</v>
      </c>
      <c r="N1027" s="386">
        <f t="shared" si="401"/>
        <v>0</v>
      </c>
      <c r="O1027" s="386">
        <f t="shared" si="393"/>
        <v>413.89319724335758</v>
      </c>
      <c r="P1027" s="413">
        <f t="shared" si="394"/>
        <v>0.35</v>
      </c>
      <c r="Q1027" s="386">
        <f t="shared" si="395"/>
        <v>-144.86261903517513</v>
      </c>
      <c r="R1027" s="394">
        <f t="shared" si="396"/>
        <v>269.03057820818242</v>
      </c>
      <c r="S1027" s="414">
        <f>+S1000/($G$10*24)</f>
        <v>144.86261903517513</v>
      </c>
      <c r="T1027" s="164">
        <f t="shared" si="397"/>
        <v>144.86261903517513</v>
      </c>
      <c r="U1027" s="333" t="str">
        <f t="shared" si="398"/>
        <v/>
      </c>
      <c r="V1027" s="307"/>
    </row>
    <row r="1028" spans="1:22" ht="15.75" customHeight="1" x14ac:dyDescent="0.3">
      <c r="A1028" s="365" t="s">
        <v>14</v>
      </c>
      <c r="B1028" s="325">
        <f>+B1001/($H$10*24)</f>
        <v>245.85138888888889</v>
      </c>
      <c r="C1028" s="164">
        <f t="shared" ref="C1028:N1028" si="402">+C1001/($H$10*24)</f>
        <v>0</v>
      </c>
      <c r="D1028" s="164">
        <f t="shared" si="402"/>
        <v>10.433333333333334</v>
      </c>
      <c r="E1028" s="164">
        <f t="shared" si="402"/>
        <v>245.85138888888889</v>
      </c>
      <c r="F1028" s="333">
        <f t="shared" si="402"/>
        <v>256.28472222222223</v>
      </c>
      <c r="G1028" s="164">
        <f t="shared" si="402"/>
        <v>20.071341999497626</v>
      </c>
      <c r="H1028" s="164">
        <f t="shared" si="402"/>
        <v>22.12638888888889</v>
      </c>
      <c r="I1028" s="164">
        <f t="shared" si="402"/>
        <v>0</v>
      </c>
      <c r="J1028" s="164">
        <f t="shared" si="402"/>
        <v>22.12638888888889</v>
      </c>
      <c r="K1028" s="164">
        <f t="shared" si="402"/>
        <v>0</v>
      </c>
      <c r="L1028" s="164">
        <f t="shared" si="402"/>
        <v>0</v>
      </c>
      <c r="M1028" s="397">
        <f t="shared" si="402"/>
        <v>214.0869913338357</v>
      </c>
      <c r="N1028" s="386">
        <f t="shared" si="402"/>
        <v>65.666666666666671</v>
      </c>
      <c r="O1028" s="386">
        <f t="shared" si="393"/>
        <v>270.72934645209904</v>
      </c>
      <c r="P1028" s="413">
        <f t="shared" si="394"/>
        <v>7.4999999999999997E-2</v>
      </c>
      <c r="Q1028" s="386">
        <f t="shared" si="395"/>
        <v>-20.304700983907427</v>
      </c>
      <c r="R1028" s="394">
        <f t="shared" si="396"/>
        <v>250.42464546819161</v>
      </c>
      <c r="S1028" s="414">
        <f>+S1001/($H$10*24)</f>
        <v>-44.685142316629005</v>
      </c>
      <c r="T1028" s="164" t="str">
        <f t="shared" si="397"/>
        <v/>
      </c>
      <c r="U1028" s="333">
        <f t="shared" si="398"/>
        <v>44.685142316629005</v>
      </c>
      <c r="V1028" s="307"/>
    </row>
    <row r="1029" spans="1:22" ht="15.75" customHeight="1" x14ac:dyDescent="0.3">
      <c r="A1029" s="365" t="s">
        <v>16</v>
      </c>
      <c r="B1029" s="325">
        <f>+B1002/($J$10*24)</f>
        <v>212.24327956989248</v>
      </c>
      <c r="C1029" s="164">
        <f t="shared" ref="C1029:N1029" si="403">+C1002/($J$10*24)</f>
        <v>0</v>
      </c>
      <c r="D1029" s="164">
        <f t="shared" si="403"/>
        <v>8.8911290322580641</v>
      </c>
      <c r="E1029" s="164">
        <f t="shared" si="403"/>
        <v>212.24327956989248</v>
      </c>
      <c r="F1029" s="333">
        <f t="shared" si="403"/>
        <v>221.13440860215053</v>
      </c>
      <c r="G1029" s="164">
        <f t="shared" si="403"/>
        <v>19.193317872210777</v>
      </c>
      <c r="H1029" s="164">
        <f t="shared" si="403"/>
        <v>22.611559139784948</v>
      </c>
      <c r="I1029" s="164">
        <f t="shared" si="403"/>
        <v>0</v>
      </c>
      <c r="J1029" s="164">
        <f t="shared" si="403"/>
        <v>22.611559139784948</v>
      </c>
      <c r="K1029" s="164">
        <f t="shared" si="403"/>
        <v>0</v>
      </c>
      <c r="L1029" s="164">
        <f t="shared" si="403"/>
        <v>0</v>
      </c>
      <c r="M1029" s="397">
        <f t="shared" si="403"/>
        <v>179.32953159015483</v>
      </c>
      <c r="N1029" s="386">
        <f t="shared" si="403"/>
        <v>63.333333333333336</v>
      </c>
      <c r="O1029" s="386">
        <f t="shared" si="393"/>
        <v>242.66286492348817</v>
      </c>
      <c r="P1029" s="413">
        <f t="shared" si="394"/>
        <v>0.05</v>
      </c>
      <c r="Q1029" s="386">
        <f t="shared" si="395"/>
        <v>-12.133143246174409</v>
      </c>
      <c r="R1029" s="394">
        <f t="shared" si="396"/>
        <v>230.52972167731377</v>
      </c>
      <c r="S1029" s="414">
        <f>+S1002/($J$10*24)</f>
        <v>-51.20019008715893</v>
      </c>
      <c r="T1029" s="164" t="str">
        <f t="shared" si="397"/>
        <v/>
      </c>
      <c r="U1029" s="333">
        <f t="shared" si="398"/>
        <v>51.20019008715893</v>
      </c>
      <c r="V1029" s="307"/>
    </row>
    <row r="1030" spans="1:22" ht="15.75" customHeight="1" x14ac:dyDescent="0.3">
      <c r="A1030" s="365" t="s">
        <v>17</v>
      </c>
      <c r="B1030" s="325">
        <f>+B1003/($K$10*24)</f>
        <v>119.16397849462365</v>
      </c>
      <c r="C1030" s="164">
        <f t="shared" ref="C1030:N1030" si="404">+C1003/($K$10*24)</f>
        <v>0</v>
      </c>
      <c r="D1030" s="164">
        <f t="shared" si="404"/>
        <v>4.458333333333333</v>
      </c>
      <c r="E1030" s="164">
        <f t="shared" si="404"/>
        <v>119.16397849462365</v>
      </c>
      <c r="F1030" s="333">
        <f t="shared" si="404"/>
        <v>123.62231182795699</v>
      </c>
      <c r="G1030" s="164">
        <f t="shared" si="404"/>
        <v>22.245169094778888</v>
      </c>
      <c r="H1030" s="164">
        <f t="shared" si="404"/>
        <v>19.517473118279568</v>
      </c>
      <c r="I1030" s="164">
        <f t="shared" si="404"/>
        <v>0</v>
      </c>
      <c r="J1030" s="164">
        <f t="shared" si="404"/>
        <v>19.517473118279568</v>
      </c>
      <c r="K1030" s="164">
        <f t="shared" si="404"/>
        <v>0</v>
      </c>
      <c r="L1030" s="164">
        <f t="shared" si="404"/>
        <v>0</v>
      </c>
      <c r="M1030" s="397">
        <f t="shared" si="404"/>
        <v>81.859669614898522</v>
      </c>
      <c r="N1030" s="386">
        <f t="shared" si="404"/>
        <v>79</v>
      </c>
      <c r="O1030" s="386">
        <f t="shared" si="393"/>
        <v>160.85966961489854</v>
      </c>
      <c r="P1030" s="413">
        <f t="shared" si="394"/>
        <v>0</v>
      </c>
      <c r="Q1030" s="386">
        <f t="shared" si="395"/>
        <v>0</v>
      </c>
      <c r="R1030" s="394">
        <f t="shared" si="396"/>
        <v>160.85966961489854</v>
      </c>
      <c r="S1030" s="414">
        <f>+S1003/($K$10*24)</f>
        <v>-79</v>
      </c>
      <c r="T1030" s="164" t="str">
        <f t="shared" si="397"/>
        <v/>
      </c>
      <c r="U1030" s="333">
        <f t="shared" si="398"/>
        <v>79</v>
      </c>
      <c r="V1030" s="307"/>
    </row>
    <row r="1031" spans="1:22" ht="15.75" customHeight="1" x14ac:dyDescent="0.3">
      <c r="A1031" s="365" t="s">
        <v>18</v>
      </c>
      <c r="B1031" s="325">
        <f>+B1004/($L$10*24)</f>
        <v>386.92222222222222</v>
      </c>
      <c r="C1031" s="164">
        <f t="shared" ref="C1031:N1031" si="405">+C1004/($L$10*24)</f>
        <v>0</v>
      </c>
      <c r="D1031" s="164">
        <f t="shared" si="405"/>
        <v>17.013888888888889</v>
      </c>
      <c r="E1031" s="164">
        <f t="shared" si="405"/>
        <v>386.92222222222222</v>
      </c>
      <c r="F1031" s="333">
        <f t="shared" si="405"/>
        <v>403.93611111111113</v>
      </c>
      <c r="G1031" s="164">
        <f t="shared" si="405"/>
        <v>1.1410015071590049</v>
      </c>
      <c r="H1031" s="164">
        <f t="shared" si="405"/>
        <v>17.731944444444444</v>
      </c>
      <c r="I1031" s="164">
        <f t="shared" si="405"/>
        <v>0</v>
      </c>
      <c r="J1031" s="164">
        <f t="shared" si="405"/>
        <v>17.731944444444444</v>
      </c>
      <c r="K1031" s="164">
        <f t="shared" si="405"/>
        <v>0</v>
      </c>
      <c r="L1031" s="164">
        <f t="shared" si="405"/>
        <v>0</v>
      </c>
      <c r="M1031" s="397">
        <f t="shared" si="405"/>
        <v>385.06316515950766</v>
      </c>
      <c r="N1031" s="386">
        <f t="shared" si="405"/>
        <v>0</v>
      </c>
      <c r="O1031" s="386">
        <f t="shared" si="393"/>
        <v>372.64177273500741</v>
      </c>
      <c r="P1031" s="413">
        <f t="shared" si="394"/>
        <v>0.05</v>
      </c>
      <c r="Q1031" s="386">
        <f t="shared" si="395"/>
        <v>-18.632088636750371</v>
      </c>
      <c r="R1031" s="394">
        <f t="shared" si="396"/>
        <v>354.00968409825703</v>
      </c>
      <c r="S1031" s="414">
        <f>+S1004/($L$10*24)</f>
        <v>19.253158257975397</v>
      </c>
      <c r="T1031" s="164">
        <f t="shared" si="397"/>
        <v>19.253158257975397</v>
      </c>
      <c r="U1031" s="333" t="str">
        <f t="shared" si="398"/>
        <v/>
      </c>
      <c r="V1031" s="307"/>
    </row>
    <row r="1032" spans="1:22" ht="15.75" customHeight="1" x14ac:dyDescent="0.3">
      <c r="A1032" s="365" t="s">
        <v>20</v>
      </c>
      <c r="B1032" s="325">
        <f>+B1005/($N$10*24)</f>
        <v>384.74462365591398</v>
      </c>
      <c r="C1032" s="164">
        <f t="shared" ref="C1032:N1032" si="406">+C1005/($N$10*24)</f>
        <v>0</v>
      </c>
      <c r="D1032" s="164">
        <f t="shared" si="406"/>
        <v>16.553763440860216</v>
      </c>
      <c r="E1032" s="164">
        <f t="shared" si="406"/>
        <v>384.74462365591398</v>
      </c>
      <c r="F1032" s="333">
        <f t="shared" si="406"/>
        <v>401.29838709677421</v>
      </c>
      <c r="G1032" s="164">
        <f t="shared" si="406"/>
        <v>0</v>
      </c>
      <c r="H1032" s="164">
        <f t="shared" si="406"/>
        <v>16.615591397849464</v>
      </c>
      <c r="I1032" s="164">
        <f t="shared" si="406"/>
        <v>0</v>
      </c>
      <c r="J1032" s="164">
        <f t="shared" si="406"/>
        <v>16.615591397849464</v>
      </c>
      <c r="K1032" s="164">
        <f t="shared" si="406"/>
        <v>0</v>
      </c>
      <c r="L1032" s="164">
        <f t="shared" si="406"/>
        <v>0</v>
      </c>
      <c r="M1032" s="397">
        <f t="shared" si="406"/>
        <v>384.68279569892474</v>
      </c>
      <c r="N1032" s="386">
        <f t="shared" si="406"/>
        <v>0</v>
      </c>
      <c r="O1032" s="386">
        <f t="shared" si="393"/>
        <v>384.68279569892474</v>
      </c>
      <c r="P1032" s="413">
        <f t="shared" si="394"/>
        <v>0.2</v>
      </c>
      <c r="Q1032" s="386">
        <f t="shared" si="395"/>
        <v>-76.936559139784947</v>
      </c>
      <c r="R1032" s="394">
        <f t="shared" si="396"/>
        <v>307.74623655913979</v>
      </c>
      <c r="S1032" s="414">
        <f>+S1005/($N$10*24)</f>
        <v>76.936559139784933</v>
      </c>
      <c r="T1032" s="164">
        <f t="shared" si="397"/>
        <v>76.936559139784933</v>
      </c>
      <c r="U1032" s="333" t="str">
        <f t="shared" si="398"/>
        <v/>
      </c>
      <c r="V1032" s="307"/>
    </row>
    <row r="1033" spans="1:22" ht="15.75" customHeight="1" x14ac:dyDescent="0.3">
      <c r="A1033" s="365" t="s">
        <v>21</v>
      </c>
      <c r="B1033" s="325">
        <f>+B1006/($O$10*24)</f>
        <v>376.08611111111111</v>
      </c>
      <c r="C1033" s="164">
        <f t="shared" ref="C1033:N1033" si="407">+C1006/($O$10*24)</f>
        <v>0</v>
      </c>
      <c r="D1033" s="164">
        <f t="shared" si="407"/>
        <v>16.383333333333333</v>
      </c>
      <c r="E1033" s="164">
        <f t="shared" si="407"/>
        <v>376.08611111111111</v>
      </c>
      <c r="F1033" s="333">
        <f t="shared" si="407"/>
        <v>392.46944444444443</v>
      </c>
      <c r="G1033" s="164">
        <f t="shared" si="407"/>
        <v>1.8917336515113424E-2</v>
      </c>
      <c r="H1033" s="164">
        <f t="shared" si="407"/>
        <v>15.908333333333333</v>
      </c>
      <c r="I1033" s="164">
        <f t="shared" si="407"/>
        <v>0</v>
      </c>
      <c r="J1033" s="164">
        <f t="shared" si="407"/>
        <v>15.908333333333333</v>
      </c>
      <c r="K1033" s="164">
        <f t="shared" si="407"/>
        <v>0</v>
      </c>
      <c r="L1033" s="164">
        <f t="shared" si="407"/>
        <v>0</v>
      </c>
      <c r="M1033" s="397">
        <f t="shared" si="407"/>
        <v>376.542193774596</v>
      </c>
      <c r="N1033" s="386">
        <f t="shared" si="407"/>
        <v>0</v>
      </c>
      <c r="O1033" s="386">
        <f t="shared" si="393"/>
        <v>364.39567139477037</v>
      </c>
      <c r="P1033" s="413">
        <f t="shared" si="394"/>
        <v>0.2</v>
      </c>
      <c r="Q1033" s="386">
        <f t="shared" si="395"/>
        <v>-72.879134278954083</v>
      </c>
      <c r="R1033" s="394">
        <f t="shared" si="396"/>
        <v>291.51653711581628</v>
      </c>
      <c r="S1033" s="414">
        <f>+S1006/($O$10*24)</f>
        <v>75.308438754919194</v>
      </c>
      <c r="T1033" s="164">
        <f t="shared" si="397"/>
        <v>75.308438754919194</v>
      </c>
      <c r="U1033" s="333" t="str">
        <f t="shared" si="398"/>
        <v/>
      </c>
      <c r="V1033" s="307"/>
    </row>
    <row r="1034" spans="1:22" ht="15.75" customHeight="1" thickBot="1" x14ac:dyDescent="0.35">
      <c r="A1034" s="365" t="s">
        <v>22</v>
      </c>
      <c r="B1034" s="330">
        <f>+B1007/($P$10*24)</f>
        <v>307.64650537634407</v>
      </c>
      <c r="C1034" s="335">
        <f t="shared" ref="C1034:N1034" si="408">+C1007/($P$10*24)</f>
        <v>0</v>
      </c>
      <c r="D1034" s="335">
        <f t="shared" si="408"/>
        <v>13.233870967741936</v>
      </c>
      <c r="E1034" s="335">
        <f t="shared" si="408"/>
        <v>307.64650537634407</v>
      </c>
      <c r="F1034" s="405">
        <f t="shared" si="408"/>
        <v>320.88037634408602</v>
      </c>
      <c r="G1034" s="335">
        <f t="shared" si="408"/>
        <v>0</v>
      </c>
      <c r="H1034" s="335">
        <f t="shared" si="408"/>
        <v>13.866935483870968</v>
      </c>
      <c r="I1034" s="335">
        <f t="shared" si="408"/>
        <v>0</v>
      </c>
      <c r="J1034" s="335">
        <f t="shared" si="408"/>
        <v>13.866935483870968</v>
      </c>
      <c r="K1034" s="335">
        <f t="shared" si="408"/>
        <v>0</v>
      </c>
      <c r="L1034" s="335">
        <f t="shared" si="408"/>
        <v>0</v>
      </c>
      <c r="M1034" s="406">
        <f t="shared" si="408"/>
        <v>307.01344086021504</v>
      </c>
      <c r="N1034" s="407">
        <f t="shared" si="408"/>
        <v>0</v>
      </c>
      <c r="O1034" s="408">
        <f t="shared" si="393"/>
        <v>307.01344086021504</v>
      </c>
      <c r="P1034" s="409">
        <f t="shared" si="394"/>
        <v>0.2</v>
      </c>
      <c r="Q1034" s="407">
        <f t="shared" si="395"/>
        <v>-61.402688172043014</v>
      </c>
      <c r="R1034" s="408">
        <f t="shared" si="396"/>
        <v>245.61075268817203</v>
      </c>
      <c r="S1034" s="415">
        <f>+S1007/($P$10*24)</f>
        <v>61.402688172043021</v>
      </c>
      <c r="T1034" s="335">
        <f t="shared" si="397"/>
        <v>61.402688172043021</v>
      </c>
      <c r="U1034" s="405" t="str">
        <f t="shared" si="398"/>
        <v/>
      </c>
      <c r="V1034" s="307"/>
    </row>
    <row r="1035" spans="1:22" ht="15.75" customHeight="1" x14ac:dyDescent="0.3">
      <c r="A1035" s="416"/>
      <c r="V1035" s="307"/>
    </row>
    <row r="1036" spans="1:22" ht="16.5" customHeight="1" thickBot="1" x14ac:dyDescent="0.35">
      <c r="A1036" s="417"/>
      <c r="B1036" s="312"/>
      <c r="C1036" s="312"/>
      <c r="D1036" s="312"/>
      <c r="E1036" s="312"/>
      <c r="F1036" s="312"/>
      <c r="G1036" s="312"/>
      <c r="H1036" s="312"/>
      <c r="I1036" s="312"/>
      <c r="J1036" s="312"/>
      <c r="K1036" s="312"/>
      <c r="L1036" s="312"/>
      <c r="M1036" s="312"/>
      <c r="N1036" s="312"/>
      <c r="O1036" s="312"/>
      <c r="P1036" s="312"/>
      <c r="Q1036" s="312"/>
      <c r="R1036" s="312"/>
      <c r="S1036" s="312"/>
      <c r="T1036" s="312"/>
      <c r="U1036" s="312"/>
      <c r="V1036" s="313"/>
    </row>
    <row r="1037" spans="1:22" ht="15.75" customHeight="1" x14ac:dyDescent="0.3">
      <c r="A1037" s="166"/>
      <c r="B1037" s="159"/>
      <c r="C1037" s="159"/>
      <c r="D1037" s="159"/>
      <c r="E1037" s="159"/>
      <c r="F1037" s="159"/>
      <c r="G1037" s="159"/>
      <c r="H1037" s="159"/>
      <c r="I1037" s="159"/>
      <c r="J1037" s="159"/>
      <c r="K1037" s="159"/>
      <c r="L1037" s="159"/>
      <c r="M1037" s="159"/>
      <c r="N1037" s="159"/>
      <c r="O1037" s="159"/>
      <c r="P1037" s="159"/>
      <c r="Q1037" s="159"/>
      <c r="R1037" s="159"/>
    </row>
    <row r="1038" spans="1:22" ht="15.75" customHeight="1" x14ac:dyDescent="0.3">
      <c r="A1038" s="418"/>
    </row>
    <row r="1039" spans="1:22" ht="15.75" customHeight="1" thickBot="1" x14ac:dyDescent="0.35">
      <c r="A1039" s="418"/>
    </row>
    <row r="1040" spans="1:22" ht="15.75" customHeight="1" x14ac:dyDescent="0.3">
      <c r="A1040" s="419"/>
      <c r="B1040" s="506" t="s">
        <v>1080</v>
      </c>
      <c r="C1040" s="506"/>
      <c r="D1040" s="506"/>
      <c r="E1040" s="506"/>
      <c r="F1040" s="506"/>
      <c r="G1040" s="506"/>
      <c r="H1040" s="506"/>
      <c r="I1040" s="506"/>
      <c r="J1040" s="506"/>
      <c r="K1040" s="506"/>
      <c r="L1040" s="506"/>
      <c r="M1040" s="506"/>
      <c r="N1040" s="506"/>
      <c r="O1040" s="506"/>
      <c r="P1040" s="506"/>
      <c r="Q1040" s="361" t="str">
        <f>+Q1</f>
        <v xml:space="preserve">PRINTED:  </v>
      </c>
      <c r="R1040" s="367">
        <f ca="1">+R1</f>
        <v>44909.46975358796</v>
      </c>
      <c r="S1040" s="332"/>
    </row>
    <row r="1041" spans="1:50" ht="15.75" customHeight="1" x14ac:dyDescent="0.3">
      <c r="A1041" s="420"/>
      <c r="B1041" s="503" t="str">
        <f>+A8</f>
        <v>Revised:  3/2/2019</v>
      </c>
      <c r="C1041" s="503"/>
      <c r="D1041" s="503"/>
      <c r="E1041" s="503"/>
      <c r="F1041" s="503"/>
      <c r="G1041" s="503"/>
      <c r="H1041" s="503"/>
      <c r="I1041" s="503"/>
      <c r="J1041" s="503"/>
      <c r="K1041" s="503"/>
      <c r="L1041" s="503"/>
      <c r="M1041" s="503"/>
      <c r="N1041" s="503"/>
      <c r="O1041" s="503"/>
      <c r="P1041" s="503"/>
      <c r="Q1041" s="159"/>
      <c r="R1041" s="159"/>
      <c r="S1041" s="307"/>
    </row>
    <row r="1042" spans="1:50" ht="16.5" customHeight="1" x14ac:dyDescent="0.3">
      <c r="A1042" s="420"/>
      <c r="B1042" s="503" t="s">
        <v>1024</v>
      </c>
      <c r="C1042" s="503"/>
      <c r="D1042" s="503"/>
      <c r="E1042" s="503"/>
      <c r="F1042" s="503"/>
      <c r="G1042" s="503"/>
      <c r="H1042" s="503"/>
      <c r="I1042" s="503"/>
      <c r="J1042" s="503"/>
      <c r="K1042" s="503"/>
      <c r="L1042" s="503"/>
      <c r="M1042" s="503"/>
      <c r="N1042" s="503"/>
      <c r="O1042" s="503"/>
      <c r="P1042" s="503"/>
      <c r="Q1042" s="159"/>
      <c r="R1042" s="159"/>
      <c r="S1042" s="307"/>
    </row>
    <row r="1043" spans="1:50" ht="15.75" customHeight="1" x14ac:dyDescent="0.3">
      <c r="A1043" s="420"/>
      <c r="B1043" s="159"/>
      <c r="C1043" s="159"/>
      <c r="D1043" s="159"/>
      <c r="E1043" s="159"/>
      <c r="F1043" s="159"/>
      <c r="G1043" s="159"/>
      <c r="H1043" s="159"/>
      <c r="I1043" s="159"/>
      <c r="J1043" s="159"/>
      <c r="K1043" s="159"/>
      <c r="L1043" s="159"/>
      <c r="M1043" s="159"/>
      <c r="N1043" s="159"/>
      <c r="O1043" s="159"/>
      <c r="P1043" s="159"/>
      <c r="Q1043" s="159"/>
      <c r="R1043" s="159"/>
      <c r="S1043" s="307"/>
      <c r="AG1043" s="365"/>
    </row>
    <row r="1044" spans="1:50" ht="15.75" customHeight="1" x14ac:dyDescent="0.3">
      <c r="A1044" s="420"/>
      <c r="B1044" s="539">
        <f>+A5</f>
        <v>2018</v>
      </c>
      <c r="C1044" s="509"/>
      <c r="D1044" s="509"/>
      <c r="E1044" s="509"/>
      <c r="F1044" s="509"/>
      <c r="G1044" s="509"/>
      <c r="H1044" s="509"/>
      <c r="I1044" s="509"/>
      <c r="J1044" s="509"/>
      <c r="K1044" s="509"/>
      <c r="L1044" s="509"/>
      <c r="M1044" s="509"/>
      <c r="N1044" s="509"/>
      <c r="O1044" s="509"/>
      <c r="P1044" s="509"/>
      <c r="Q1044" s="159"/>
      <c r="R1044" s="159"/>
      <c r="S1044" s="307"/>
      <c r="AE1044" s="4" t="s">
        <v>1081</v>
      </c>
      <c r="AF1044" s="4" t="s">
        <v>1082</v>
      </c>
    </row>
    <row r="1045" spans="1:50" ht="15.75" customHeight="1" thickBot="1" x14ac:dyDescent="0.35">
      <c r="A1045" s="420"/>
      <c r="B1045" s="503" t="s">
        <v>457</v>
      </c>
      <c r="C1045" s="503"/>
      <c r="D1045" s="503"/>
      <c r="E1045" s="503"/>
      <c r="F1045" s="503"/>
      <c r="G1045" s="503"/>
      <c r="H1045" s="503"/>
      <c r="I1045" s="503"/>
      <c r="J1045" s="503"/>
      <c r="K1045" s="503"/>
      <c r="L1045" s="503"/>
      <c r="M1045" s="503"/>
      <c r="N1045" s="503"/>
      <c r="O1045" s="503"/>
      <c r="P1045" s="503"/>
      <c r="Q1045" s="159"/>
      <c r="R1045" s="159"/>
      <c r="S1045" s="307"/>
      <c r="V1045" s="4" t="s">
        <v>1233</v>
      </c>
      <c r="AC1045" s="4" t="s">
        <v>1083</v>
      </c>
      <c r="AD1045" s="421" t="s">
        <v>1234</v>
      </c>
      <c r="AE1045" s="4">
        <f>DAY(DATE($A$5,MONTH(CONCATENATE(1,"-",AD1045,"-",$A$5))+1,1)-1)</f>
        <v>28</v>
      </c>
      <c r="AI1045" s="468"/>
      <c r="AJ1045" s="468"/>
    </row>
    <row r="1046" spans="1:50" ht="15.75" customHeight="1" x14ac:dyDescent="0.3">
      <c r="A1046" s="420"/>
      <c r="B1046" s="546" t="s">
        <v>1084</v>
      </c>
      <c r="C1046" s="547"/>
      <c r="D1046" s="548"/>
      <c r="E1046" s="164"/>
      <c r="F1046" s="164"/>
      <c r="G1046" s="164"/>
      <c r="H1046" s="164"/>
      <c r="I1046" s="164"/>
      <c r="J1046" s="164"/>
      <c r="K1046" s="164"/>
      <c r="L1046" s="164"/>
      <c r="M1046" s="164"/>
      <c r="N1046" s="164"/>
      <c r="O1046" s="164"/>
      <c r="P1046" s="164"/>
      <c r="Q1046" s="159"/>
      <c r="R1046" s="159"/>
      <c r="S1046" s="422"/>
      <c r="T1046" s="540" t="s">
        <v>1235</v>
      </c>
      <c r="U1046" s="541"/>
      <c r="V1046" s="541" t="s">
        <v>1236</v>
      </c>
      <c r="W1046" s="541"/>
      <c r="X1046" s="469" t="s">
        <v>429</v>
      </c>
      <c r="Y1046" s="469" t="s">
        <v>1237</v>
      </c>
      <c r="Z1046" s="469" t="s">
        <v>1238</v>
      </c>
    </row>
    <row r="1047" spans="1:50" ht="15.75" customHeight="1" thickBot="1" x14ac:dyDescent="0.35">
      <c r="A1047" s="364" t="s">
        <v>1071</v>
      </c>
      <c r="B1047" s="423" t="s">
        <v>1085</v>
      </c>
      <c r="C1047" s="424" t="s">
        <v>1086</v>
      </c>
      <c r="D1047" s="425" t="s">
        <v>1087</v>
      </c>
      <c r="E1047" s="424" t="s">
        <v>391</v>
      </c>
      <c r="F1047" s="424" t="s">
        <v>392</v>
      </c>
      <c r="G1047" s="424" t="s">
        <v>393</v>
      </c>
      <c r="H1047" s="424" t="s">
        <v>1088</v>
      </c>
      <c r="I1047" s="424" t="s">
        <v>1089</v>
      </c>
      <c r="J1047" s="424" t="s">
        <v>395</v>
      </c>
      <c r="K1047" s="424" t="s">
        <v>396</v>
      </c>
      <c r="L1047" s="424" t="s">
        <v>397</v>
      </c>
      <c r="M1047" s="424" t="s">
        <v>398</v>
      </c>
      <c r="N1047" s="424" t="s">
        <v>399</v>
      </c>
      <c r="O1047" s="424" t="s">
        <v>400</v>
      </c>
      <c r="P1047" s="424" t="s">
        <v>401</v>
      </c>
      <c r="Q1047" s="424" t="s">
        <v>402</v>
      </c>
      <c r="R1047" s="424" t="s">
        <v>403</v>
      </c>
      <c r="S1047" s="425" t="s">
        <v>404</v>
      </c>
      <c r="T1047" s="424" t="s">
        <v>1239</v>
      </c>
      <c r="U1047" s="424" t="s">
        <v>1086</v>
      </c>
      <c r="V1047" s="424" t="s">
        <v>1240</v>
      </c>
      <c r="W1047" s="424" t="s">
        <v>1086</v>
      </c>
      <c r="X1047" s="424" t="s">
        <v>406</v>
      </c>
      <c r="Y1047" s="424" t="s">
        <v>1241</v>
      </c>
      <c r="Z1047" s="424" t="s">
        <v>1242</v>
      </c>
      <c r="AD1047" s="364" t="s">
        <v>390</v>
      </c>
      <c r="AE1047" s="364" t="s">
        <v>391</v>
      </c>
      <c r="AF1047" s="364" t="s">
        <v>392</v>
      </c>
      <c r="AG1047" s="364" t="s">
        <v>393</v>
      </c>
      <c r="AH1047" s="364" t="s">
        <v>394</v>
      </c>
      <c r="AI1047" s="364" t="s">
        <v>395</v>
      </c>
      <c r="AJ1047" s="364" t="s">
        <v>396</v>
      </c>
      <c r="AK1047" s="364" t="s">
        <v>397</v>
      </c>
      <c r="AL1047" s="364" t="s">
        <v>398</v>
      </c>
      <c r="AM1047" s="364" t="s">
        <v>399</v>
      </c>
      <c r="AN1047" s="364" t="s">
        <v>400</v>
      </c>
      <c r="AO1047" s="364" t="s">
        <v>401</v>
      </c>
      <c r="AP1047" s="364" t="s">
        <v>402</v>
      </c>
      <c r="AQ1047" s="364" t="s">
        <v>403</v>
      </c>
      <c r="AR1047" s="364" t="s">
        <v>404</v>
      </c>
      <c r="AS1047" s="364" t="s">
        <v>422</v>
      </c>
      <c r="AT1047" s="364" t="s">
        <v>477</v>
      </c>
      <c r="AU1047" s="364" t="s">
        <v>422</v>
      </c>
      <c r="AW1047" s="426" t="s">
        <v>1093</v>
      </c>
      <c r="AX1047" s="426" t="s">
        <v>1094</v>
      </c>
    </row>
    <row r="1048" spans="1:50" ht="15.75" customHeight="1" x14ac:dyDescent="0.3">
      <c r="A1048" s="375" t="s">
        <v>795</v>
      </c>
      <c r="B1048" s="375">
        <f>+F1075</f>
        <v>196</v>
      </c>
      <c r="C1048" s="365">
        <f t="shared" ref="B1048:C1059" si="409">+G1075</f>
        <v>0</v>
      </c>
      <c r="D1048" s="427" t="s">
        <v>1095</v>
      </c>
      <c r="E1048" s="365">
        <f>+C968/$B$10/24</f>
        <v>14.69489247311828</v>
      </c>
      <c r="F1048" s="365">
        <f t="shared" ref="F1048:S1048" si="410">+D968/$B$10/24</f>
        <v>15.401881720430106</v>
      </c>
      <c r="G1048" s="365">
        <f t="shared" si="410"/>
        <v>26.099462365591396</v>
      </c>
      <c r="H1048" s="365">
        <f t="shared" si="410"/>
        <v>11.989179389805024</v>
      </c>
      <c r="I1048" s="365">
        <f t="shared" si="410"/>
        <v>-0.94487912455920309</v>
      </c>
      <c r="J1048" s="365">
        <f t="shared" si="410"/>
        <v>3.6021505376344085</v>
      </c>
      <c r="K1048" s="365">
        <f t="shared" si="410"/>
        <v>2.9502688172043015</v>
      </c>
      <c r="L1048" s="365">
        <f t="shared" si="410"/>
        <v>4.595430107526882</v>
      </c>
      <c r="M1048" s="365">
        <f t="shared" si="410"/>
        <v>4.7620967741935489</v>
      </c>
      <c r="N1048" s="365">
        <f t="shared" si="410"/>
        <v>1.6129032258064517</v>
      </c>
      <c r="O1048" s="365">
        <f t="shared" si="410"/>
        <v>1.8991935483870968</v>
      </c>
      <c r="P1048" s="365">
        <f t="shared" si="410"/>
        <v>3.9287634408602155</v>
      </c>
      <c r="Q1048" s="365">
        <f t="shared" si="410"/>
        <v>0.94892473118279563</v>
      </c>
      <c r="R1048" s="365">
        <f t="shared" si="410"/>
        <v>1.7150537634408602</v>
      </c>
      <c r="S1048" s="427">
        <f t="shared" si="410"/>
        <v>2.2473118279569895</v>
      </c>
      <c r="T1048" s="365">
        <f>+B1048+SUM(E1048:S1048)</f>
        <v>291.50263359857917</v>
      </c>
      <c r="U1048" s="365">
        <f t="shared" ref="U1048:U1059" si="411">+C1048+SUM(E1048:S1048)</f>
        <v>95.502633598579166</v>
      </c>
      <c r="V1048" s="365">
        <f>+B1048+SUM(E1048:G1048)</f>
        <v>252.19623655913978</v>
      </c>
      <c r="W1048" s="365">
        <f>+C1048+SUM(E1048:G1048)</f>
        <v>56.196236559139777</v>
      </c>
      <c r="X1048" s="365">
        <f>+H1048</f>
        <v>11.989179389805024</v>
      </c>
      <c r="Y1048" s="365">
        <f>+I1048</f>
        <v>-0.94487912455920309</v>
      </c>
      <c r="Z1048" s="365">
        <f>+SUM(J1048:S1048)</f>
        <v>28.262096774193548</v>
      </c>
      <c r="AC1048" s="4">
        <v>1</v>
      </c>
      <c r="AD1048" s="365">
        <f>IF($AF$1045=1,VLOOKUP($AD$1045,$A$1075:$P$1086,12,FALSE),VLOOKUP($AD$1045,$A$1048:$S$1059,2,FALSE))</f>
        <v>98</v>
      </c>
      <c r="AE1048" s="365">
        <f>VLOOKUP($AD$1045,$A$1048:$S$1059,5,FALSE)</f>
        <v>19.425595238095237</v>
      </c>
      <c r="AF1048" s="365">
        <f>VLOOKUP($AD$1045,$A$1048:$S$1059,6,FALSE)</f>
        <v>20.352678571428573</v>
      </c>
      <c r="AG1048" s="365">
        <f>VLOOKUP($AD$1045,$A$1048:$S$1059,7,FALSE)</f>
        <v>34.407738095238095</v>
      </c>
      <c r="AH1048" s="365">
        <f>VLOOKUP($AD$1045,$A$1048:$S$1059,8,FALSE)</f>
        <v>16.448580262084075</v>
      </c>
      <c r="AI1048" s="365">
        <f>VLOOKUP($AD$1045,$A$1048:$S$1059,10,FALSE)</f>
        <v>6.1086309523809526</v>
      </c>
      <c r="AJ1048" s="365">
        <f>VLOOKUP($AD$1045,$A$1048:$S$1059,11,FALSE)</f>
        <v>5.2723214285714288</v>
      </c>
      <c r="AK1048" s="365">
        <f>VLOOKUP($AD$1045,$A$1048:$S$1059,12,FALSE)</f>
        <v>8.1934523809523814</v>
      </c>
      <c r="AL1048" s="365">
        <f>VLOOKUP($AD$1045,$A$1048:$S$1059,13,FALSE)</f>
        <v>8.2485119047619051</v>
      </c>
      <c r="AM1048" s="365">
        <f>VLOOKUP($AD$1045,$A$1048:$S$1059,14,FALSE)</f>
        <v>2.4895833333333335</v>
      </c>
      <c r="AN1048" s="365">
        <f>VLOOKUP($AD$1045,$A$1048:$S$1059,15,FALSE)</f>
        <v>2.9345238095238098</v>
      </c>
      <c r="AO1048" s="365">
        <f>VLOOKUP($AD$1045,$A$1048:$S$1059,16,FALSE)</f>
        <v>5.8869047619047619</v>
      </c>
      <c r="AP1048" s="365">
        <f>VLOOKUP($AD$1045,$A$1048:$S$1059,17,FALSE)</f>
        <v>1.1502976190476191</v>
      </c>
      <c r="AQ1048" s="365">
        <f>VLOOKUP($AD$1045,$A$1048:$S$1059,18,FALSE)</f>
        <v>1.5297619047619049</v>
      </c>
      <c r="AR1048" s="365">
        <f>VLOOKUP($AD$1045,$A$1048:$S$1059,19,FALSE)</f>
        <v>2.7247023809523809</v>
      </c>
      <c r="AS1048" s="365">
        <f>SUM(AD1048:AR1048)</f>
        <v>233.17328264303646</v>
      </c>
      <c r="AT1048" s="365">
        <f>VLOOKUP($AD$1045,$AC$968:$AS$979,17,FALSE)/$AE$1045*(AS1048/$AS$1072)</f>
        <v>16.662847355546393</v>
      </c>
      <c r="AU1048" s="365">
        <f>AS1048+AT1048</f>
        <v>249.83612999858286</v>
      </c>
      <c r="AW1048" s="365">
        <f>VLOOKUP($AD$1045,$A$996:$O$1009,15,FALSE)/$AE$1045/24</f>
        <v>279.80161997165106</v>
      </c>
      <c r="AX1048" s="365">
        <f>AU1048-AW1048</f>
        <v>-29.965489973068202</v>
      </c>
    </row>
    <row r="1049" spans="1:50" ht="15.75" customHeight="1" x14ac:dyDescent="0.3">
      <c r="A1049" s="375" t="s">
        <v>9</v>
      </c>
      <c r="B1049" s="375">
        <f t="shared" si="409"/>
        <v>98</v>
      </c>
      <c r="C1049" s="365">
        <f t="shared" si="409"/>
        <v>0</v>
      </c>
      <c r="D1049" s="427" t="s">
        <v>1095</v>
      </c>
      <c r="E1049" s="365">
        <f t="shared" ref="E1049:S1049" si="412">+C969/$C$10/24</f>
        <v>19.425595238095237</v>
      </c>
      <c r="F1049" s="365">
        <f t="shared" si="412"/>
        <v>20.352678571428573</v>
      </c>
      <c r="G1049" s="365">
        <f t="shared" si="412"/>
        <v>34.407738095238095</v>
      </c>
      <c r="H1049" s="365">
        <f t="shared" si="412"/>
        <v>16.448580262084075</v>
      </c>
      <c r="I1049" s="365">
        <f t="shared" si="412"/>
        <v>-3.327844314063229</v>
      </c>
      <c r="J1049" s="365">
        <f t="shared" si="412"/>
        <v>6.1086309523809526</v>
      </c>
      <c r="K1049" s="365">
        <f t="shared" si="412"/>
        <v>5.2723214285714288</v>
      </c>
      <c r="L1049" s="365">
        <f t="shared" si="412"/>
        <v>8.1934523809523814</v>
      </c>
      <c r="M1049" s="365">
        <f t="shared" si="412"/>
        <v>8.2485119047619051</v>
      </c>
      <c r="N1049" s="365">
        <f t="shared" si="412"/>
        <v>2.4895833333333335</v>
      </c>
      <c r="O1049" s="365">
        <f t="shared" si="412"/>
        <v>2.9345238095238098</v>
      </c>
      <c r="P1049" s="365">
        <f t="shared" si="412"/>
        <v>5.8869047619047619</v>
      </c>
      <c r="Q1049" s="365">
        <f t="shared" si="412"/>
        <v>1.1502976190476191</v>
      </c>
      <c r="R1049" s="365">
        <f t="shared" si="412"/>
        <v>1.5297619047619049</v>
      </c>
      <c r="S1049" s="427">
        <f t="shared" si="412"/>
        <v>2.7247023809523809</v>
      </c>
      <c r="T1049" s="365">
        <f t="shared" ref="T1049:T1059" si="413">+B1049+SUM(E1049:S1049)</f>
        <v>229.84543832897322</v>
      </c>
      <c r="U1049" s="365">
        <f t="shared" si="411"/>
        <v>131.84543832897322</v>
      </c>
      <c r="V1049" s="365">
        <f t="shared" ref="V1049:V1059" si="414">+B1049+SUM(E1049:G1049)</f>
        <v>172.1860119047619</v>
      </c>
      <c r="W1049" s="365">
        <f t="shared" ref="W1049:W1059" si="415">+C1049+SUM(E1049:G1049)</f>
        <v>74.186011904761898</v>
      </c>
      <c r="X1049" s="365">
        <f t="shared" ref="X1049:Y1059" si="416">+H1049</f>
        <v>16.448580262084075</v>
      </c>
      <c r="Y1049" s="365">
        <f t="shared" si="416"/>
        <v>-3.327844314063229</v>
      </c>
      <c r="Z1049" s="365">
        <f t="shared" ref="Z1049:Z1059" si="417">+SUM(J1049:S1049)</f>
        <v>44.538690476190474</v>
      </c>
      <c r="AC1049" s="4">
        <v>2</v>
      </c>
      <c r="AD1049" s="365">
        <f t="shared" ref="AD1049:AD1053" si="418">IF($AF$1045=1,VLOOKUP($AD$1045,$A$1075:$P$1086,12,FALSE),VLOOKUP($AD$1045,$A$1048:$S$1059,2,FALSE))</f>
        <v>98</v>
      </c>
      <c r="AE1049" s="365">
        <f t="shared" ref="AE1049:AE1071" si="419">VLOOKUP($AD$1045,$A$1048:$S$1059,5,FALSE)</f>
        <v>19.425595238095237</v>
      </c>
      <c r="AF1049" s="365">
        <f t="shared" ref="AF1049:AF1071" si="420">VLOOKUP($AD$1045,$A$1048:$S$1059,6,FALSE)</f>
        <v>20.352678571428573</v>
      </c>
      <c r="AG1049" s="365">
        <f t="shared" ref="AG1049:AG1071" si="421">VLOOKUP($AD$1045,$A$1048:$S$1059,7,FALSE)</f>
        <v>34.407738095238095</v>
      </c>
      <c r="AH1049" s="365">
        <f t="shared" ref="AH1049:AH1071" si="422">VLOOKUP($AD$1045,$A$1048:$S$1059,8,FALSE)</f>
        <v>16.448580262084075</v>
      </c>
      <c r="AI1049" s="365">
        <f t="shared" ref="AI1049:AI1071" si="423">VLOOKUP($AD$1045,$A$1048:$S$1059,10,FALSE)</f>
        <v>6.1086309523809526</v>
      </c>
      <c r="AJ1049" s="365">
        <f t="shared" ref="AJ1049:AJ1071" si="424">VLOOKUP($AD$1045,$A$1048:$S$1059,11,FALSE)</f>
        <v>5.2723214285714288</v>
      </c>
      <c r="AK1049" s="365">
        <f t="shared" ref="AK1049:AK1071" si="425">VLOOKUP($AD$1045,$A$1048:$S$1059,12,FALSE)</f>
        <v>8.1934523809523814</v>
      </c>
      <c r="AL1049" s="365">
        <f t="shared" ref="AL1049:AL1071" si="426">VLOOKUP($AD$1045,$A$1048:$S$1059,13,FALSE)</f>
        <v>8.2485119047619051</v>
      </c>
      <c r="AM1049" s="365">
        <f t="shared" ref="AM1049:AM1071" si="427">VLOOKUP($AD$1045,$A$1048:$S$1059,14,FALSE)</f>
        <v>2.4895833333333335</v>
      </c>
      <c r="AN1049" s="365">
        <f t="shared" ref="AN1049:AN1071" si="428">VLOOKUP($AD$1045,$A$1048:$S$1059,15,FALSE)</f>
        <v>2.9345238095238098</v>
      </c>
      <c r="AO1049" s="365">
        <f t="shared" ref="AO1049:AO1071" si="429">VLOOKUP($AD$1045,$A$1048:$S$1059,16,FALSE)</f>
        <v>5.8869047619047619</v>
      </c>
      <c r="AP1049" s="365">
        <f t="shared" ref="AP1049:AP1071" si="430">VLOOKUP($AD$1045,$A$1048:$S$1059,17,FALSE)</f>
        <v>1.1502976190476191</v>
      </c>
      <c r="AQ1049" s="365">
        <f t="shared" ref="AQ1049:AQ1071" si="431">VLOOKUP($AD$1045,$A$1048:$S$1059,18,FALSE)</f>
        <v>1.5297619047619049</v>
      </c>
      <c r="AR1049" s="365">
        <f t="shared" ref="AR1049:AR1071" si="432">VLOOKUP($AD$1045,$A$1048:$S$1059,19,FALSE)</f>
        <v>2.7247023809523809</v>
      </c>
      <c r="AS1049" s="365">
        <f t="shared" ref="AS1049:AS1071" si="433">SUM(AD1049:AR1049)</f>
        <v>233.17328264303646</v>
      </c>
      <c r="AT1049" s="365">
        <f t="shared" ref="AT1049:AT1071" si="434">VLOOKUP($AD$1045,$AC$968:$AS$979,17,FALSE)/$AE$1045*(AS1049/$AS$1072)</f>
        <v>16.662847355546393</v>
      </c>
      <c r="AU1049" s="365">
        <f t="shared" ref="AU1049:AU1071" si="435">AS1049+AT1049</f>
        <v>249.83612999858286</v>
      </c>
      <c r="AW1049" s="365">
        <f t="shared" ref="AW1049:AW1071" si="436">VLOOKUP($AD$1045,$A$996:$O$1009,15,FALSE)/$AE$1045/24</f>
        <v>279.80161997165106</v>
      </c>
      <c r="AX1049" s="365">
        <f t="shared" ref="AX1049:AX1071" si="437">AU1049-AW1049</f>
        <v>-29.965489973068202</v>
      </c>
    </row>
    <row r="1050" spans="1:50" ht="15.75" customHeight="1" x14ac:dyDescent="0.3">
      <c r="A1050" s="375" t="s">
        <v>10</v>
      </c>
      <c r="B1050" s="375">
        <f t="shared" si="409"/>
        <v>294</v>
      </c>
      <c r="C1050" s="365">
        <f t="shared" si="409"/>
        <v>0</v>
      </c>
      <c r="D1050" s="427" t="s">
        <v>1095</v>
      </c>
      <c r="E1050" s="365">
        <f t="shared" ref="E1050:S1050" si="438">+C970/$D$10/24</f>
        <v>22.517473118279568</v>
      </c>
      <c r="F1050" s="365">
        <f t="shared" si="438"/>
        <v>23.58064516129032</v>
      </c>
      <c r="G1050" s="365">
        <f t="shared" si="438"/>
        <v>39.384408602150536</v>
      </c>
      <c r="H1050" s="365">
        <f t="shared" si="438"/>
        <v>13.652098288951628</v>
      </c>
      <c r="I1050" s="365">
        <f t="shared" si="438"/>
        <v>-4.0497210540389421</v>
      </c>
      <c r="J1050" s="365">
        <f t="shared" si="438"/>
        <v>10.540322580645162</v>
      </c>
      <c r="K1050" s="365">
        <f t="shared" si="438"/>
        <v>7.274193548387097</v>
      </c>
      <c r="L1050" s="365">
        <f t="shared" si="438"/>
        <v>9.6666666666666661</v>
      </c>
      <c r="M1050" s="365">
        <f t="shared" si="438"/>
        <v>9.336021505376344</v>
      </c>
      <c r="N1050" s="365">
        <f t="shared" si="438"/>
        <v>2.6626344086021505</v>
      </c>
      <c r="O1050" s="365">
        <f t="shared" si="438"/>
        <v>3.1370967741935485</v>
      </c>
      <c r="P1050" s="365">
        <f t="shared" si="438"/>
        <v>6.3266129032258069</v>
      </c>
      <c r="Q1050" s="365">
        <f t="shared" si="438"/>
        <v>0.70967741935483863</v>
      </c>
      <c r="R1050" s="365">
        <f t="shared" si="438"/>
        <v>1.7271505376344087</v>
      </c>
      <c r="S1050" s="427">
        <f t="shared" si="438"/>
        <v>1.6599462365591398</v>
      </c>
      <c r="T1050" s="365">
        <f t="shared" si="413"/>
        <v>442.12522669727826</v>
      </c>
      <c r="U1050" s="365">
        <f t="shared" si="411"/>
        <v>148.12522669727826</v>
      </c>
      <c r="V1050" s="365">
        <f t="shared" si="414"/>
        <v>379.48252688172045</v>
      </c>
      <c r="W1050" s="365">
        <f t="shared" si="415"/>
        <v>85.482526881720418</v>
      </c>
      <c r="X1050" s="365">
        <f t="shared" si="416"/>
        <v>13.652098288951628</v>
      </c>
      <c r="Y1050" s="365">
        <f t="shared" si="416"/>
        <v>-4.0497210540389421</v>
      </c>
      <c r="Z1050" s="365">
        <f t="shared" si="417"/>
        <v>53.040322580645167</v>
      </c>
      <c r="AC1050" s="4">
        <v>3</v>
      </c>
      <c r="AD1050" s="365">
        <f t="shared" si="418"/>
        <v>98</v>
      </c>
      <c r="AE1050" s="365">
        <f t="shared" si="419"/>
        <v>19.425595238095237</v>
      </c>
      <c r="AF1050" s="365">
        <f t="shared" si="420"/>
        <v>20.352678571428573</v>
      </c>
      <c r="AG1050" s="365">
        <f t="shared" si="421"/>
        <v>34.407738095238095</v>
      </c>
      <c r="AH1050" s="365">
        <f t="shared" si="422"/>
        <v>16.448580262084075</v>
      </c>
      <c r="AI1050" s="365">
        <f t="shared" si="423"/>
        <v>6.1086309523809526</v>
      </c>
      <c r="AJ1050" s="365">
        <f t="shared" si="424"/>
        <v>5.2723214285714288</v>
      </c>
      <c r="AK1050" s="365">
        <f t="shared" si="425"/>
        <v>8.1934523809523814</v>
      </c>
      <c r="AL1050" s="365">
        <f t="shared" si="426"/>
        <v>8.2485119047619051</v>
      </c>
      <c r="AM1050" s="365">
        <f t="shared" si="427"/>
        <v>2.4895833333333335</v>
      </c>
      <c r="AN1050" s="365">
        <f t="shared" si="428"/>
        <v>2.9345238095238098</v>
      </c>
      <c r="AO1050" s="365">
        <f t="shared" si="429"/>
        <v>5.8869047619047619</v>
      </c>
      <c r="AP1050" s="365">
        <f t="shared" si="430"/>
        <v>1.1502976190476191</v>
      </c>
      <c r="AQ1050" s="365">
        <f t="shared" si="431"/>
        <v>1.5297619047619049</v>
      </c>
      <c r="AR1050" s="365">
        <f t="shared" si="432"/>
        <v>2.7247023809523809</v>
      </c>
      <c r="AS1050" s="365">
        <f t="shared" si="433"/>
        <v>233.17328264303646</v>
      </c>
      <c r="AT1050" s="365">
        <f t="shared" si="434"/>
        <v>16.662847355546393</v>
      </c>
      <c r="AU1050" s="365">
        <f t="shared" si="435"/>
        <v>249.83612999858286</v>
      </c>
      <c r="AW1050" s="365">
        <f t="shared" si="436"/>
        <v>279.80161997165106</v>
      </c>
      <c r="AX1050" s="365">
        <f t="shared" si="437"/>
        <v>-29.965489973068202</v>
      </c>
    </row>
    <row r="1051" spans="1:50" ht="15.75" customHeight="1" x14ac:dyDescent="0.3">
      <c r="A1051" s="375" t="s">
        <v>12</v>
      </c>
      <c r="B1051" s="375">
        <f t="shared" si="409"/>
        <v>294</v>
      </c>
      <c r="C1051" s="365">
        <f t="shared" si="409"/>
        <v>0</v>
      </c>
      <c r="D1051" s="427" t="s">
        <v>1095</v>
      </c>
      <c r="E1051" s="365">
        <f t="shared" ref="E1051:S1051" si="439">+C971/$F$10/24</f>
        <v>28.515277777777779</v>
      </c>
      <c r="F1051" s="365">
        <f t="shared" si="439"/>
        <v>29.855555555555554</v>
      </c>
      <c r="G1051" s="365">
        <f t="shared" si="439"/>
        <v>49.355555555555554</v>
      </c>
      <c r="H1051" s="365">
        <f t="shared" si="439"/>
        <v>3.1383375835475373</v>
      </c>
      <c r="I1051" s="365">
        <f t="shared" si="439"/>
        <v>-1.4505912194396473</v>
      </c>
      <c r="J1051" s="365">
        <f t="shared" si="439"/>
        <v>15.759722222222223</v>
      </c>
      <c r="K1051" s="365">
        <f t="shared" si="439"/>
        <v>10.247222222222222</v>
      </c>
      <c r="L1051" s="365">
        <f t="shared" si="439"/>
        <v>12.109722222222222</v>
      </c>
      <c r="M1051" s="365">
        <f t="shared" si="439"/>
        <v>10.494444444444445</v>
      </c>
      <c r="N1051" s="365">
        <f t="shared" si="439"/>
        <v>3.1583333333333332</v>
      </c>
      <c r="O1051" s="365">
        <f t="shared" si="439"/>
        <v>3.7208333333333332</v>
      </c>
      <c r="P1051" s="365">
        <f t="shared" si="439"/>
        <v>7.3875000000000002</v>
      </c>
      <c r="Q1051" s="365">
        <f t="shared" si="439"/>
        <v>1.0430555555555556</v>
      </c>
      <c r="R1051" s="365">
        <f t="shared" si="439"/>
        <v>2.1555555555555554</v>
      </c>
      <c r="S1051" s="427">
        <f t="shared" si="439"/>
        <v>2.463888888888889</v>
      </c>
      <c r="T1051" s="365">
        <f t="shared" si="413"/>
        <v>471.95441303077456</v>
      </c>
      <c r="U1051" s="365">
        <f t="shared" si="411"/>
        <v>177.95441303077456</v>
      </c>
      <c r="V1051" s="365">
        <f t="shared" si="414"/>
        <v>401.72638888888889</v>
      </c>
      <c r="W1051" s="365">
        <f t="shared" si="415"/>
        <v>107.72638888888889</v>
      </c>
      <c r="X1051" s="365">
        <f t="shared" si="416"/>
        <v>3.1383375835475373</v>
      </c>
      <c r="Y1051" s="365">
        <f t="shared" si="416"/>
        <v>-1.4505912194396473</v>
      </c>
      <c r="Z1051" s="365">
        <f t="shared" si="417"/>
        <v>68.540277777777774</v>
      </c>
      <c r="AC1051" s="4">
        <v>4</v>
      </c>
      <c r="AD1051" s="365">
        <f t="shared" si="418"/>
        <v>98</v>
      </c>
      <c r="AE1051" s="365">
        <f t="shared" si="419"/>
        <v>19.425595238095237</v>
      </c>
      <c r="AF1051" s="365">
        <f t="shared" si="420"/>
        <v>20.352678571428573</v>
      </c>
      <c r="AG1051" s="365">
        <f t="shared" si="421"/>
        <v>34.407738095238095</v>
      </c>
      <c r="AH1051" s="365">
        <f t="shared" si="422"/>
        <v>16.448580262084075</v>
      </c>
      <c r="AI1051" s="365">
        <f t="shared" si="423"/>
        <v>6.1086309523809526</v>
      </c>
      <c r="AJ1051" s="365">
        <f t="shared" si="424"/>
        <v>5.2723214285714288</v>
      </c>
      <c r="AK1051" s="365">
        <f t="shared" si="425"/>
        <v>8.1934523809523814</v>
      </c>
      <c r="AL1051" s="365">
        <f t="shared" si="426"/>
        <v>8.2485119047619051</v>
      </c>
      <c r="AM1051" s="365">
        <f t="shared" si="427"/>
        <v>2.4895833333333335</v>
      </c>
      <c r="AN1051" s="365">
        <f t="shared" si="428"/>
        <v>2.9345238095238098</v>
      </c>
      <c r="AO1051" s="365">
        <f t="shared" si="429"/>
        <v>5.8869047619047619</v>
      </c>
      <c r="AP1051" s="365">
        <f t="shared" si="430"/>
        <v>1.1502976190476191</v>
      </c>
      <c r="AQ1051" s="365">
        <f t="shared" si="431"/>
        <v>1.5297619047619049</v>
      </c>
      <c r="AR1051" s="365">
        <f t="shared" si="432"/>
        <v>2.7247023809523809</v>
      </c>
      <c r="AS1051" s="365">
        <f t="shared" si="433"/>
        <v>233.17328264303646</v>
      </c>
      <c r="AT1051" s="365">
        <f t="shared" si="434"/>
        <v>16.662847355546393</v>
      </c>
      <c r="AU1051" s="365">
        <f t="shared" si="435"/>
        <v>249.83612999858286</v>
      </c>
      <c r="AW1051" s="365">
        <f t="shared" si="436"/>
        <v>279.80161997165106</v>
      </c>
      <c r="AX1051" s="365">
        <f t="shared" si="437"/>
        <v>-29.965489973068202</v>
      </c>
    </row>
    <row r="1052" spans="1:50" ht="15.75" customHeight="1" x14ac:dyDescent="0.3">
      <c r="A1052" s="375" t="s">
        <v>13</v>
      </c>
      <c r="B1052" s="375">
        <f t="shared" si="409"/>
        <v>294</v>
      </c>
      <c r="C1052" s="365">
        <f t="shared" si="409"/>
        <v>0</v>
      </c>
      <c r="D1052" s="427" t="s">
        <v>1095</v>
      </c>
      <c r="E1052" s="365">
        <f t="shared" ref="E1052:S1052" si="440">+C972/$G$10/24</f>
        <v>29.349462365591396</v>
      </c>
      <c r="F1052" s="365">
        <f t="shared" si="440"/>
        <v>30.723118279569892</v>
      </c>
      <c r="G1052" s="365">
        <f t="shared" si="440"/>
        <v>50.638440860215049</v>
      </c>
      <c r="H1052" s="365">
        <f t="shared" si="440"/>
        <v>1.1827884043524532</v>
      </c>
      <c r="I1052" s="365">
        <f t="shared" si="440"/>
        <v>-1.0127167351370636</v>
      </c>
      <c r="J1052" s="365">
        <f t="shared" si="440"/>
        <v>16.93010752688172</v>
      </c>
      <c r="K1052" s="365">
        <f t="shared" si="440"/>
        <v>9.0147849462365581</v>
      </c>
      <c r="L1052" s="365">
        <f t="shared" si="440"/>
        <v>10.830645161290322</v>
      </c>
      <c r="M1052" s="365">
        <f t="shared" si="440"/>
        <v>9.331989247311828</v>
      </c>
      <c r="N1052" s="365">
        <f t="shared" si="440"/>
        <v>3.0618279569892475</v>
      </c>
      <c r="O1052" s="365">
        <f t="shared" si="440"/>
        <v>3.6061827956989245</v>
      </c>
      <c r="P1052" s="365">
        <f t="shared" si="440"/>
        <v>7.123655913978495</v>
      </c>
      <c r="Q1052" s="365">
        <f t="shared" si="440"/>
        <v>1.2083333333333333</v>
      </c>
      <c r="R1052" s="365">
        <f t="shared" si="440"/>
        <v>2.6827956989247315</v>
      </c>
      <c r="S1052" s="427">
        <f t="shared" si="440"/>
        <v>2.8561827956989245</v>
      </c>
      <c r="T1052" s="365">
        <f t="shared" si="413"/>
        <v>471.52759855093581</v>
      </c>
      <c r="U1052" s="365">
        <f t="shared" si="411"/>
        <v>177.52759855093581</v>
      </c>
      <c r="V1052" s="365">
        <f t="shared" si="414"/>
        <v>404.71102150537632</v>
      </c>
      <c r="W1052" s="365">
        <f t="shared" si="415"/>
        <v>110.71102150537634</v>
      </c>
      <c r="X1052" s="365">
        <f t="shared" si="416"/>
        <v>1.1827884043524532</v>
      </c>
      <c r="Y1052" s="365">
        <f t="shared" si="416"/>
        <v>-1.0127167351370636</v>
      </c>
      <c r="Z1052" s="365">
        <f t="shared" si="417"/>
        <v>66.646505376344095</v>
      </c>
      <c r="AC1052" s="4">
        <v>5</v>
      </c>
      <c r="AD1052" s="365">
        <f t="shared" si="418"/>
        <v>98</v>
      </c>
      <c r="AE1052" s="365">
        <f t="shared" si="419"/>
        <v>19.425595238095237</v>
      </c>
      <c r="AF1052" s="365">
        <f t="shared" si="420"/>
        <v>20.352678571428573</v>
      </c>
      <c r="AG1052" s="365">
        <f t="shared" si="421"/>
        <v>34.407738095238095</v>
      </c>
      <c r="AH1052" s="365">
        <f t="shared" si="422"/>
        <v>16.448580262084075</v>
      </c>
      <c r="AI1052" s="365">
        <f t="shared" si="423"/>
        <v>6.1086309523809526</v>
      </c>
      <c r="AJ1052" s="365">
        <f t="shared" si="424"/>
        <v>5.2723214285714288</v>
      </c>
      <c r="AK1052" s="365">
        <f t="shared" si="425"/>
        <v>8.1934523809523814</v>
      </c>
      <c r="AL1052" s="365">
        <f t="shared" si="426"/>
        <v>8.2485119047619051</v>
      </c>
      <c r="AM1052" s="365">
        <f t="shared" si="427"/>
        <v>2.4895833333333335</v>
      </c>
      <c r="AN1052" s="365">
        <f t="shared" si="428"/>
        <v>2.9345238095238098</v>
      </c>
      <c r="AO1052" s="365">
        <f t="shared" si="429"/>
        <v>5.8869047619047619</v>
      </c>
      <c r="AP1052" s="365">
        <f t="shared" si="430"/>
        <v>1.1502976190476191</v>
      </c>
      <c r="AQ1052" s="365">
        <f t="shared" si="431"/>
        <v>1.5297619047619049</v>
      </c>
      <c r="AR1052" s="365">
        <f t="shared" si="432"/>
        <v>2.7247023809523809</v>
      </c>
      <c r="AS1052" s="365">
        <f t="shared" si="433"/>
        <v>233.17328264303646</v>
      </c>
      <c r="AT1052" s="365">
        <f t="shared" si="434"/>
        <v>16.662847355546393</v>
      </c>
      <c r="AU1052" s="365">
        <f t="shared" si="435"/>
        <v>249.83612999858286</v>
      </c>
      <c r="AW1052" s="365">
        <f t="shared" si="436"/>
        <v>279.80161997165106</v>
      </c>
      <c r="AX1052" s="365">
        <f t="shared" si="437"/>
        <v>-29.965489973068202</v>
      </c>
    </row>
    <row r="1053" spans="1:50" ht="15.75" customHeight="1" x14ac:dyDescent="0.3">
      <c r="A1053" s="375" t="s">
        <v>14</v>
      </c>
      <c r="B1053" s="375">
        <f t="shared" si="409"/>
        <v>147</v>
      </c>
      <c r="C1053" s="365">
        <f t="shared" si="409"/>
        <v>0</v>
      </c>
      <c r="D1053" s="427" t="str">
        <f>H1080</f>
        <v>n/a</v>
      </c>
      <c r="E1053" s="365">
        <f t="shared" ref="E1053:S1053" si="441">+C973/$H$10/24</f>
        <v>15.530555555555557</v>
      </c>
      <c r="F1053" s="365">
        <f t="shared" si="441"/>
        <v>16.224999999999998</v>
      </c>
      <c r="G1053" s="365">
        <f t="shared" si="441"/>
        <v>25.652777777777775</v>
      </c>
      <c r="H1053" s="365">
        <f t="shared" si="441"/>
        <v>0</v>
      </c>
      <c r="I1053" s="365">
        <f t="shared" si="441"/>
        <v>-20.071341999497623</v>
      </c>
      <c r="J1053" s="365">
        <f t="shared" si="441"/>
        <v>19.329166666666666</v>
      </c>
      <c r="K1053" s="365">
        <f t="shared" si="441"/>
        <v>9.9819444444444443</v>
      </c>
      <c r="L1053" s="365">
        <f t="shared" si="441"/>
        <v>10.070833333333333</v>
      </c>
      <c r="M1053" s="365">
        <f t="shared" si="441"/>
        <v>8.3111111111111118</v>
      </c>
      <c r="N1053" s="365">
        <f t="shared" si="441"/>
        <v>2.7305555555555556</v>
      </c>
      <c r="O1053" s="365">
        <f t="shared" si="441"/>
        <v>3.2152777777777781</v>
      </c>
      <c r="P1053" s="365">
        <f t="shared" si="441"/>
        <v>6.2111111111111112</v>
      </c>
      <c r="Q1053" s="365">
        <f t="shared" si="441"/>
        <v>1.0291666666666666</v>
      </c>
      <c r="R1053" s="365">
        <f t="shared" si="441"/>
        <v>2.7486111111111113</v>
      </c>
      <c r="S1053" s="427">
        <f t="shared" si="441"/>
        <v>2.4319444444444445</v>
      </c>
      <c r="T1053" s="365">
        <f t="shared" si="413"/>
        <v>250.39671355605793</v>
      </c>
      <c r="U1053" s="365">
        <f t="shared" si="411"/>
        <v>103.39671355605793</v>
      </c>
      <c r="V1053" s="365">
        <f t="shared" si="414"/>
        <v>204.40833333333333</v>
      </c>
      <c r="W1053" s="365">
        <f t="shared" si="415"/>
        <v>57.408333333333331</v>
      </c>
      <c r="X1053" s="365">
        <f t="shared" si="416"/>
        <v>0</v>
      </c>
      <c r="Y1053" s="365">
        <f t="shared" si="416"/>
        <v>-20.071341999497623</v>
      </c>
      <c r="Z1053" s="365">
        <f t="shared" si="417"/>
        <v>66.05972222222222</v>
      </c>
      <c r="AC1053" s="4">
        <v>6</v>
      </c>
      <c r="AD1053" s="365">
        <f t="shared" si="418"/>
        <v>98</v>
      </c>
      <c r="AE1053" s="365">
        <f t="shared" si="419"/>
        <v>19.425595238095237</v>
      </c>
      <c r="AF1053" s="365">
        <f t="shared" si="420"/>
        <v>20.352678571428573</v>
      </c>
      <c r="AG1053" s="365">
        <f t="shared" si="421"/>
        <v>34.407738095238095</v>
      </c>
      <c r="AH1053" s="365">
        <f t="shared" si="422"/>
        <v>16.448580262084075</v>
      </c>
      <c r="AI1053" s="365">
        <f t="shared" si="423"/>
        <v>6.1086309523809526</v>
      </c>
      <c r="AJ1053" s="365">
        <f t="shared" si="424"/>
        <v>5.2723214285714288</v>
      </c>
      <c r="AK1053" s="365">
        <f t="shared" si="425"/>
        <v>8.1934523809523814</v>
      </c>
      <c r="AL1053" s="365">
        <f t="shared" si="426"/>
        <v>8.2485119047619051</v>
      </c>
      <c r="AM1053" s="365">
        <f t="shared" si="427"/>
        <v>2.4895833333333335</v>
      </c>
      <c r="AN1053" s="365">
        <f t="shared" si="428"/>
        <v>2.9345238095238098</v>
      </c>
      <c r="AO1053" s="365">
        <f t="shared" si="429"/>
        <v>5.8869047619047619</v>
      </c>
      <c r="AP1053" s="365">
        <f t="shared" si="430"/>
        <v>1.1502976190476191</v>
      </c>
      <c r="AQ1053" s="365">
        <f t="shared" si="431"/>
        <v>1.5297619047619049</v>
      </c>
      <c r="AR1053" s="365">
        <f t="shared" si="432"/>
        <v>2.7247023809523809</v>
      </c>
      <c r="AS1053" s="365">
        <f t="shared" si="433"/>
        <v>233.17328264303646</v>
      </c>
      <c r="AT1053" s="365">
        <f t="shared" si="434"/>
        <v>16.662847355546393</v>
      </c>
      <c r="AU1053" s="365">
        <f t="shared" si="435"/>
        <v>249.83612999858286</v>
      </c>
      <c r="AW1053" s="365">
        <f t="shared" si="436"/>
        <v>279.80161997165106</v>
      </c>
      <c r="AX1053" s="365">
        <f t="shared" si="437"/>
        <v>-29.965489973068202</v>
      </c>
    </row>
    <row r="1054" spans="1:50" ht="15.75" customHeight="1" x14ac:dyDescent="0.3">
      <c r="A1054" s="375" t="s">
        <v>16</v>
      </c>
      <c r="B1054" s="375">
        <f t="shared" si="409"/>
        <v>147</v>
      </c>
      <c r="C1054" s="365">
        <f t="shared" si="409"/>
        <v>0</v>
      </c>
      <c r="D1054" s="427" t="str">
        <f>H1081</f>
        <v>n/a</v>
      </c>
      <c r="E1054" s="365">
        <f t="shared" ref="E1054:S1054" si="442">+C974/$J$10/24</f>
        <v>12.83736559139785</v>
      </c>
      <c r="F1054" s="365">
        <f t="shared" si="442"/>
        <v>13.401881720430106</v>
      </c>
      <c r="G1054" s="365">
        <f t="shared" si="442"/>
        <v>20.896505376344084</v>
      </c>
      <c r="H1054" s="365">
        <f t="shared" si="442"/>
        <v>0</v>
      </c>
      <c r="I1054" s="365">
        <f t="shared" si="442"/>
        <v>-19.193317872210777</v>
      </c>
      <c r="J1054" s="365">
        <f t="shared" si="442"/>
        <v>18.99059139784946</v>
      </c>
      <c r="K1054" s="365">
        <f t="shared" si="442"/>
        <v>10.466397849462366</v>
      </c>
      <c r="L1054" s="365">
        <f t="shared" si="442"/>
        <v>10.119623655913978</v>
      </c>
      <c r="M1054" s="365">
        <f t="shared" si="442"/>
        <v>7.959677419354839</v>
      </c>
      <c r="N1054" s="365">
        <f t="shared" si="442"/>
        <v>2.4731182795698925</v>
      </c>
      <c r="O1054" s="365">
        <f t="shared" si="442"/>
        <v>2.9126344086021505</v>
      </c>
      <c r="P1054" s="365">
        <f t="shared" si="442"/>
        <v>5.6465053763440869</v>
      </c>
      <c r="Q1054" s="365">
        <f t="shared" si="442"/>
        <v>0.86559139784946237</v>
      </c>
      <c r="R1054" s="365">
        <f t="shared" si="442"/>
        <v>2.3884408602150535</v>
      </c>
      <c r="S1054" s="427">
        <f t="shared" si="442"/>
        <v>2.0470430107526885</v>
      </c>
      <c r="T1054" s="365">
        <f t="shared" si="413"/>
        <v>238.81205847187522</v>
      </c>
      <c r="U1054" s="365">
        <f t="shared" si="411"/>
        <v>91.812058471875218</v>
      </c>
      <c r="V1054" s="365">
        <f t="shared" si="414"/>
        <v>194.13575268817203</v>
      </c>
      <c r="W1054" s="365">
        <f t="shared" si="415"/>
        <v>47.13575268817204</v>
      </c>
      <c r="X1054" s="365">
        <f t="shared" si="416"/>
        <v>0</v>
      </c>
      <c r="Y1054" s="365">
        <f t="shared" si="416"/>
        <v>-19.193317872210777</v>
      </c>
      <c r="Z1054" s="365">
        <f t="shared" si="417"/>
        <v>63.869623655913983</v>
      </c>
      <c r="AC1054" s="4">
        <v>7</v>
      </c>
      <c r="AD1054" s="365">
        <f>IF($AF$1045=1,VLOOKUP($AD$1045,$A$1075:$P$1086,12,FALSE),IF(OR($AD$1045="JAN",$AD$1045="FEB",$AD$1045="NOV",$AD$1045="DEC"),VLOOKUP($AD$1045,$A$1048:$S$1059,2,FALSE),VLOOKUP($AD$1045,$A$1048:$S$1059,3,FALSE)))</f>
        <v>98</v>
      </c>
      <c r="AE1054" s="365">
        <f t="shared" si="419"/>
        <v>19.425595238095237</v>
      </c>
      <c r="AF1054" s="365">
        <f t="shared" si="420"/>
        <v>20.352678571428573</v>
      </c>
      <c r="AG1054" s="365">
        <f t="shared" si="421"/>
        <v>34.407738095238095</v>
      </c>
      <c r="AH1054" s="365">
        <f t="shared" si="422"/>
        <v>16.448580262084075</v>
      </c>
      <c r="AI1054" s="365">
        <f t="shared" si="423"/>
        <v>6.1086309523809526</v>
      </c>
      <c r="AJ1054" s="365">
        <f t="shared" si="424"/>
        <v>5.2723214285714288</v>
      </c>
      <c r="AK1054" s="365">
        <f t="shared" si="425"/>
        <v>8.1934523809523814</v>
      </c>
      <c r="AL1054" s="365">
        <f t="shared" si="426"/>
        <v>8.2485119047619051</v>
      </c>
      <c r="AM1054" s="365">
        <f t="shared" si="427"/>
        <v>2.4895833333333335</v>
      </c>
      <c r="AN1054" s="365">
        <f t="shared" si="428"/>
        <v>2.9345238095238098</v>
      </c>
      <c r="AO1054" s="365">
        <f t="shared" si="429"/>
        <v>5.8869047619047619</v>
      </c>
      <c r="AP1054" s="365">
        <f t="shared" si="430"/>
        <v>1.1502976190476191</v>
      </c>
      <c r="AQ1054" s="365">
        <f t="shared" si="431"/>
        <v>1.5297619047619049</v>
      </c>
      <c r="AR1054" s="365">
        <f t="shared" si="432"/>
        <v>2.7247023809523809</v>
      </c>
      <c r="AS1054" s="365">
        <f t="shared" si="433"/>
        <v>233.17328264303646</v>
      </c>
      <c r="AT1054" s="365">
        <f t="shared" si="434"/>
        <v>16.662847355546393</v>
      </c>
      <c r="AU1054" s="365">
        <f t="shared" si="435"/>
        <v>249.83612999858286</v>
      </c>
      <c r="AW1054" s="365">
        <f t="shared" si="436"/>
        <v>279.80161997165106</v>
      </c>
      <c r="AX1054" s="365">
        <f t="shared" si="437"/>
        <v>-29.965489973068202</v>
      </c>
    </row>
    <row r="1055" spans="1:50" ht="15.75" customHeight="1" x14ac:dyDescent="0.3">
      <c r="A1055" s="375" t="s">
        <v>17</v>
      </c>
      <c r="B1055" s="375">
        <f t="shared" si="409"/>
        <v>147</v>
      </c>
      <c r="C1055" s="365">
        <f t="shared" si="409"/>
        <v>0</v>
      </c>
      <c r="D1055" s="427" t="str">
        <f>H1082</f>
        <v>n/a</v>
      </c>
      <c r="E1055" s="365">
        <f t="shared" ref="E1055:S1055" si="443">+C975/$K$10/24</f>
        <v>4.595430107526882</v>
      </c>
      <c r="F1055" s="365">
        <f t="shared" si="443"/>
        <v>4.76747311827957</v>
      </c>
      <c r="G1055" s="365">
        <f t="shared" si="443"/>
        <v>6.036290322580645</v>
      </c>
      <c r="H1055" s="365">
        <f t="shared" si="443"/>
        <v>0</v>
      </c>
      <c r="I1055" s="365">
        <f t="shared" si="443"/>
        <v>-22.245169094778888</v>
      </c>
      <c r="J1055" s="365">
        <f t="shared" si="443"/>
        <v>16.141129032258064</v>
      </c>
      <c r="K1055" s="365">
        <f t="shared" si="443"/>
        <v>10.526881720430108</v>
      </c>
      <c r="L1055" s="365">
        <f t="shared" si="443"/>
        <v>10.923387096774194</v>
      </c>
      <c r="M1055" s="365">
        <f t="shared" si="443"/>
        <v>9.836021505376344</v>
      </c>
      <c r="N1055" s="365">
        <f t="shared" si="443"/>
        <v>3.0403225806451615</v>
      </c>
      <c r="O1055" s="365">
        <f t="shared" si="443"/>
        <v>3.581989247311828</v>
      </c>
      <c r="P1055" s="365">
        <f t="shared" si="443"/>
        <v>6.737903225806452</v>
      </c>
      <c r="Q1055" s="365">
        <f t="shared" si="443"/>
        <v>1.1559139784946237</v>
      </c>
      <c r="R1055" s="365">
        <f t="shared" si="443"/>
        <v>2.60752688172043</v>
      </c>
      <c r="S1055" s="427">
        <f t="shared" si="443"/>
        <v>2.7338709677419355</v>
      </c>
      <c r="T1055" s="365">
        <f t="shared" si="413"/>
        <v>207.43897069016737</v>
      </c>
      <c r="U1055" s="365">
        <f t="shared" si="411"/>
        <v>60.438970690167352</v>
      </c>
      <c r="V1055" s="365">
        <f t="shared" si="414"/>
        <v>162.3991935483871</v>
      </c>
      <c r="W1055" s="365">
        <f t="shared" si="415"/>
        <v>15.399193548387096</v>
      </c>
      <c r="X1055" s="365">
        <f t="shared" si="416"/>
        <v>0</v>
      </c>
      <c r="Y1055" s="365">
        <f t="shared" si="416"/>
        <v>-22.245169094778888</v>
      </c>
      <c r="Z1055" s="365">
        <f t="shared" si="417"/>
        <v>67.284946236559136</v>
      </c>
      <c r="AC1055" s="4">
        <v>8</v>
      </c>
      <c r="AD1055" s="365">
        <f>IF($AF$1045=1,VLOOKUP($AD$1045,$A$1075:$P$1086,12,FALSE),VLOOKUP($AD$1045,$A$1048:$S$1059,3,FALSE))</f>
        <v>0</v>
      </c>
      <c r="AE1055" s="365">
        <f t="shared" si="419"/>
        <v>19.425595238095237</v>
      </c>
      <c r="AF1055" s="365">
        <f t="shared" si="420"/>
        <v>20.352678571428573</v>
      </c>
      <c r="AG1055" s="365">
        <f t="shared" si="421"/>
        <v>34.407738095238095</v>
      </c>
      <c r="AH1055" s="365">
        <f t="shared" si="422"/>
        <v>16.448580262084075</v>
      </c>
      <c r="AI1055" s="365">
        <f t="shared" si="423"/>
        <v>6.1086309523809526</v>
      </c>
      <c r="AJ1055" s="365">
        <f t="shared" si="424"/>
        <v>5.2723214285714288</v>
      </c>
      <c r="AK1055" s="365">
        <f t="shared" si="425"/>
        <v>8.1934523809523814</v>
      </c>
      <c r="AL1055" s="365">
        <f t="shared" si="426"/>
        <v>8.2485119047619051</v>
      </c>
      <c r="AM1055" s="365">
        <f t="shared" si="427"/>
        <v>2.4895833333333335</v>
      </c>
      <c r="AN1055" s="365">
        <f t="shared" si="428"/>
        <v>2.9345238095238098</v>
      </c>
      <c r="AO1055" s="365">
        <f t="shared" si="429"/>
        <v>5.8869047619047619</v>
      </c>
      <c r="AP1055" s="365">
        <f t="shared" si="430"/>
        <v>1.1502976190476191</v>
      </c>
      <c r="AQ1055" s="365">
        <f t="shared" si="431"/>
        <v>1.5297619047619049</v>
      </c>
      <c r="AR1055" s="365">
        <f t="shared" si="432"/>
        <v>2.7247023809523809</v>
      </c>
      <c r="AS1055" s="365">
        <f t="shared" si="433"/>
        <v>135.17328264303643</v>
      </c>
      <c r="AT1055" s="365">
        <f t="shared" si="434"/>
        <v>9.6596477507982215</v>
      </c>
      <c r="AU1055" s="365">
        <f t="shared" si="435"/>
        <v>144.83293039383466</v>
      </c>
      <c r="AW1055" s="365">
        <f t="shared" si="436"/>
        <v>279.80161997165106</v>
      </c>
      <c r="AX1055" s="365">
        <f t="shared" si="437"/>
        <v>-134.96868957781641</v>
      </c>
    </row>
    <row r="1056" spans="1:50" ht="15.75" customHeight="1" x14ac:dyDescent="0.3">
      <c r="A1056" s="375" t="s">
        <v>18</v>
      </c>
      <c r="B1056" s="375">
        <f t="shared" si="409"/>
        <v>245</v>
      </c>
      <c r="C1056" s="365">
        <f t="shared" si="409"/>
        <v>0</v>
      </c>
      <c r="D1056" s="427" t="s">
        <v>1095</v>
      </c>
      <c r="E1056" s="365">
        <f t="shared" ref="E1056:S1056" si="444">+C976/$L$10/24</f>
        <v>27.951388888888889</v>
      </c>
      <c r="F1056" s="365">
        <f t="shared" si="444"/>
        <v>29.272222222222222</v>
      </c>
      <c r="G1056" s="365">
        <f t="shared" si="444"/>
        <v>48.573611111111113</v>
      </c>
      <c r="H1056" s="365">
        <f t="shared" si="444"/>
        <v>4.3052579416601784</v>
      </c>
      <c r="I1056" s="365">
        <f t="shared" si="444"/>
        <v>-1.1410015071590049</v>
      </c>
      <c r="J1056" s="365">
        <f t="shared" si="444"/>
        <v>13.102777777777776</v>
      </c>
      <c r="K1056" s="365">
        <f t="shared" si="444"/>
        <v>7.9666666666666659</v>
      </c>
      <c r="L1056" s="365">
        <f t="shared" si="444"/>
        <v>9.6180555555555554</v>
      </c>
      <c r="M1056" s="365">
        <f t="shared" si="444"/>
        <v>8.6638888888888896</v>
      </c>
      <c r="N1056" s="365">
        <f t="shared" si="444"/>
        <v>2.6194444444444445</v>
      </c>
      <c r="O1056" s="365">
        <f t="shared" si="444"/>
        <v>3.0861111111111108</v>
      </c>
      <c r="P1056" s="365">
        <f t="shared" si="444"/>
        <v>5.8194444444444438</v>
      </c>
      <c r="Q1056" s="365">
        <f t="shared" si="444"/>
        <v>1.0777777777777777</v>
      </c>
      <c r="R1056" s="365">
        <f t="shared" si="444"/>
        <v>2.6361111111111111</v>
      </c>
      <c r="S1056" s="427">
        <f t="shared" si="444"/>
        <v>2.5500000000000003</v>
      </c>
      <c r="T1056" s="365">
        <f t="shared" si="413"/>
        <v>411.10175643450117</v>
      </c>
      <c r="U1056" s="365">
        <f t="shared" si="411"/>
        <v>166.10175643450117</v>
      </c>
      <c r="V1056" s="365">
        <f t="shared" si="414"/>
        <v>350.79722222222222</v>
      </c>
      <c r="W1056" s="365">
        <f t="shared" si="415"/>
        <v>105.79722222222222</v>
      </c>
      <c r="X1056" s="365">
        <f t="shared" si="416"/>
        <v>4.3052579416601784</v>
      </c>
      <c r="Y1056" s="365">
        <f t="shared" si="416"/>
        <v>-1.1410015071590049</v>
      </c>
      <c r="Z1056" s="365">
        <f t="shared" si="417"/>
        <v>57.140277777777776</v>
      </c>
      <c r="AC1056" s="4">
        <v>9</v>
      </c>
      <c r="AD1056" s="365">
        <f>IF($AF$1045=1,VLOOKUP($AD$1045,$A$1075:$P$1086,12,FALSE),VLOOKUP($AD$1045,$A$1048:$S$1059,3,FALSE))</f>
        <v>0</v>
      </c>
      <c r="AE1056" s="365">
        <f t="shared" si="419"/>
        <v>19.425595238095237</v>
      </c>
      <c r="AF1056" s="365">
        <f t="shared" si="420"/>
        <v>20.352678571428573</v>
      </c>
      <c r="AG1056" s="365">
        <f t="shared" si="421"/>
        <v>34.407738095238095</v>
      </c>
      <c r="AH1056" s="365">
        <f t="shared" si="422"/>
        <v>16.448580262084075</v>
      </c>
      <c r="AI1056" s="365">
        <f t="shared" si="423"/>
        <v>6.1086309523809526</v>
      </c>
      <c r="AJ1056" s="365">
        <f t="shared" si="424"/>
        <v>5.2723214285714288</v>
      </c>
      <c r="AK1056" s="365">
        <f t="shared" si="425"/>
        <v>8.1934523809523814</v>
      </c>
      <c r="AL1056" s="365">
        <f t="shared" si="426"/>
        <v>8.2485119047619051</v>
      </c>
      <c r="AM1056" s="365">
        <f t="shared" si="427"/>
        <v>2.4895833333333335</v>
      </c>
      <c r="AN1056" s="365">
        <f t="shared" si="428"/>
        <v>2.9345238095238098</v>
      </c>
      <c r="AO1056" s="365">
        <f t="shared" si="429"/>
        <v>5.8869047619047619</v>
      </c>
      <c r="AP1056" s="365">
        <f t="shared" si="430"/>
        <v>1.1502976190476191</v>
      </c>
      <c r="AQ1056" s="365">
        <f t="shared" si="431"/>
        <v>1.5297619047619049</v>
      </c>
      <c r="AR1056" s="365">
        <f t="shared" si="432"/>
        <v>2.7247023809523809</v>
      </c>
      <c r="AS1056" s="365">
        <f t="shared" si="433"/>
        <v>135.17328264303643</v>
      </c>
      <c r="AT1056" s="365">
        <f t="shared" si="434"/>
        <v>9.6596477507982215</v>
      </c>
      <c r="AU1056" s="365">
        <f t="shared" si="435"/>
        <v>144.83293039383466</v>
      </c>
      <c r="AW1056" s="365">
        <f t="shared" si="436"/>
        <v>279.80161997165106</v>
      </c>
      <c r="AX1056" s="365">
        <f t="shared" si="437"/>
        <v>-134.96868957781641</v>
      </c>
    </row>
    <row r="1057" spans="1:50" ht="15.75" customHeight="1" x14ac:dyDescent="0.3">
      <c r="A1057" s="375" t="s">
        <v>20</v>
      </c>
      <c r="B1057" s="375">
        <f t="shared" si="409"/>
        <v>245</v>
      </c>
      <c r="C1057" s="365">
        <f t="shared" si="409"/>
        <v>0</v>
      </c>
      <c r="D1057" s="427" t="s">
        <v>1095</v>
      </c>
      <c r="E1057" s="365">
        <f t="shared" ref="E1057:S1057" si="445">+C977/$N$10/24</f>
        <v>28.681451612903228</v>
      </c>
      <c r="F1057" s="365">
        <f t="shared" si="445"/>
        <v>30.045698924731184</v>
      </c>
      <c r="G1057" s="365">
        <f t="shared" si="445"/>
        <v>51.107526881720425</v>
      </c>
      <c r="H1057" s="365">
        <f t="shared" si="445"/>
        <v>22.928397106742242</v>
      </c>
      <c r="I1057" s="365">
        <f t="shared" si="445"/>
        <v>0</v>
      </c>
      <c r="J1057" s="365">
        <f t="shared" si="445"/>
        <v>5.1586021505376349</v>
      </c>
      <c r="K1057" s="365">
        <f t="shared" si="445"/>
        <v>2.9032258064516125</v>
      </c>
      <c r="L1057" s="365">
        <f t="shared" si="445"/>
        <v>4.241935483870968</v>
      </c>
      <c r="M1057" s="365">
        <f t="shared" si="445"/>
        <v>4.345430107526882</v>
      </c>
      <c r="N1057" s="365">
        <f t="shared" si="445"/>
        <v>1.2096774193548387</v>
      </c>
      <c r="O1057" s="365">
        <f t="shared" si="445"/>
        <v>1.4233870967741937</v>
      </c>
      <c r="P1057" s="365">
        <f t="shared" si="445"/>
        <v>2.9758064516129035</v>
      </c>
      <c r="Q1057" s="365">
        <f t="shared" si="445"/>
        <v>0.81048387096774199</v>
      </c>
      <c r="R1057" s="365">
        <f t="shared" si="445"/>
        <v>1.639784946236559</v>
      </c>
      <c r="S1057" s="427">
        <f t="shared" si="445"/>
        <v>1.918010752688172</v>
      </c>
      <c r="T1057" s="365">
        <f t="shared" si="413"/>
        <v>404.38941861211856</v>
      </c>
      <c r="U1057" s="365">
        <f t="shared" si="411"/>
        <v>159.38941861211859</v>
      </c>
      <c r="V1057" s="365">
        <f t="shared" si="414"/>
        <v>354.83467741935488</v>
      </c>
      <c r="W1057" s="365">
        <f t="shared" si="415"/>
        <v>109.83467741935485</v>
      </c>
      <c r="X1057" s="365">
        <f t="shared" si="416"/>
        <v>22.928397106742242</v>
      </c>
      <c r="Y1057" s="365">
        <f t="shared" si="416"/>
        <v>0</v>
      </c>
      <c r="Z1057" s="365">
        <f t="shared" si="417"/>
        <v>26.626344086021508</v>
      </c>
      <c r="AC1057" s="4">
        <v>10</v>
      </c>
      <c r="AD1057" s="365">
        <f>IF($AF$1045=1,VLOOKUP($AD$1045,$A$1075:$P$1086,12,FALSE),VLOOKUP($AD$1045,$A$1048:$S$1059,3,FALSE))</f>
        <v>0</v>
      </c>
      <c r="AE1057" s="365">
        <f t="shared" si="419"/>
        <v>19.425595238095237</v>
      </c>
      <c r="AF1057" s="365">
        <f t="shared" si="420"/>
        <v>20.352678571428573</v>
      </c>
      <c r="AG1057" s="365">
        <f t="shared" si="421"/>
        <v>34.407738095238095</v>
      </c>
      <c r="AH1057" s="365">
        <f t="shared" si="422"/>
        <v>16.448580262084075</v>
      </c>
      <c r="AI1057" s="365">
        <f t="shared" si="423"/>
        <v>6.1086309523809526</v>
      </c>
      <c r="AJ1057" s="365">
        <f t="shared" si="424"/>
        <v>5.2723214285714288</v>
      </c>
      <c r="AK1057" s="365">
        <f t="shared" si="425"/>
        <v>8.1934523809523814</v>
      </c>
      <c r="AL1057" s="365">
        <f t="shared" si="426"/>
        <v>8.2485119047619051</v>
      </c>
      <c r="AM1057" s="365">
        <f t="shared" si="427"/>
        <v>2.4895833333333335</v>
      </c>
      <c r="AN1057" s="365">
        <f t="shared" si="428"/>
        <v>2.9345238095238098</v>
      </c>
      <c r="AO1057" s="365">
        <f t="shared" si="429"/>
        <v>5.8869047619047619</v>
      </c>
      <c r="AP1057" s="365">
        <f t="shared" si="430"/>
        <v>1.1502976190476191</v>
      </c>
      <c r="AQ1057" s="365">
        <f t="shared" si="431"/>
        <v>1.5297619047619049</v>
      </c>
      <c r="AR1057" s="365">
        <f t="shared" si="432"/>
        <v>2.7247023809523809</v>
      </c>
      <c r="AS1057" s="365">
        <f t="shared" si="433"/>
        <v>135.17328264303643</v>
      </c>
      <c r="AT1057" s="365">
        <f t="shared" si="434"/>
        <v>9.6596477507982215</v>
      </c>
      <c r="AU1057" s="365">
        <f t="shared" si="435"/>
        <v>144.83293039383466</v>
      </c>
      <c r="AW1057" s="365">
        <f t="shared" si="436"/>
        <v>279.80161997165106</v>
      </c>
      <c r="AX1057" s="365">
        <f t="shared" si="437"/>
        <v>-134.96868957781641</v>
      </c>
    </row>
    <row r="1058" spans="1:50" ht="15.75" customHeight="1" x14ac:dyDescent="0.3">
      <c r="A1058" s="375" t="s">
        <v>21</v>
      </c>
      <c r="B1058" s="375">
        <f t="shared" si="409"/>
        <v>245</v>
      </c>
      <c r="C1058" s="365">
        <f t="shared" si="409"/>
        <v>0</v>
      </c>
      <c r="D1058" s="427" t="s">
        <v>1095</v>
      </c>
      <c r="E1058" s="365">
        <f t="shared" ref="E1058:S1058" si="446">+C978/$O$10/24</f>
        <v>28.973611111111111</v>
      </c>
      <c r="F1058" s="365">
        <f t="shared" si="446"/>
        <v>30.358333333333334</v>
      </c>
      <c r="G1058" s="365">
        <f t="shared" si="446"/>
        <v>51.002777777777773</v>
      </c>
      <c r="H1058" s="365">
        <f t="shared" si="446"/>
        <v>21.466920605037654</v>
      </c>
      <c r="I1058" s="365">
        <f t="shared" si="446"/>
        <v>-1.8917336515113424E-2</v>
      </c>
      <c r="J1058" s="365">
        <f t="shared" si="446"/>
        <v>5.3194444444444446</v>
      </c>
      <c r="K1058" s="365">
        <f t="shared" si="446"/>
        <v>1.2444444444444445</v>
      </c>
      <c r="L1058" s="365">
        <f t="shared" si="446"/>
        <v>1.9291666666666665</v>
      </c>
      <c r="M1058" s="365">
        <f t="shared" si="446"/>
        <v>1.875</v>
      </c>
      <c r="N1058" s="365">
        <f t="shared" si="446"/>
        <v>0.61527777777777781</v>
      </c>
      <c r="O1058" s="365">
        <f t="shared" si="446"/>
        <v>0.72222222222222221</v>
      </c>
      <c r="P1058" s="365">
        <f t="shared" si="446"/>
        <v>1.3055555555555556</v>
      </c>
      <c r="Q1058" s="365">
        <f t="shared" si="446"/>
        <v>0.56527777777777777</v>
      </c>
      <c r="R1058" s="365">
        <f t="shared" si="446"/>
        <v>1.7861111111111112</v>
      </c>
      <c r="S1058" s="427">
        <f t="shared" si="446"/>
        <v>1.3375000000000001</v>
      </c>
      <c r="T1058" s="365">
        <f t="shared" si="413"/>
        <v>393.48272549074477</v>
      </c>
      <c r="U1058" s="365">
        <f t="shared" si="411"/>
        <v>148.48272549074474</v>
      </c>
      <c r="V1058" s="365">
        <f t="shared" si="414"/>
        <v>355.33472222222224</v>
      </c>
      <c r="W1058" s="365">
        <f t="shared" si="415"/>
        <v>110.33472222222221</v>
      </c>
      <c r="X1058" s="365">
        <f t="shared" si="416"/>
        <v>21.466920605037654</v>
      </c>
      <c r="Y1058" s="365">
        <f t="shared" si="416"/>
        <v>-1.8917336515113424E-2</v>
      </c>
      <c r="Z1058" s="365">
        <f t="shared" si="417"/>
        <v>16.7</v>
      </c>
      <c r="AC1058" s="4">
        <v>11</v>
      </c>
      <c r="AD1058" s="365">
        <f>IF($AF$1045=1,VLOOKUP($AD$1045,$A$1075:$P$1086,12,FALSE),VLOOKUP($AD$1045,$A$1048:$S$1059,3,FALSE))</f>
        <v>0</v>
      </c>
      <c r="AE1058" s="365">
        <f t="shared" si="419"/>
        <v>19.425595238095237</v>
      </c>
      <c r="AF1058" s="365">
        <f t="shared" si="420"/>
        <v>20.352678571428573</v>
      </c>
      <c r="AG1058" s="365">
        <f t="shared" si="421"/>
        <v>34.407738095238095</v>
      </c>
      <c r="AH1058" s="365">
        <f t="shared" si="422"/>
        <v>16.448580262084075</v>
      </c>
      <c r="AI1058" s="365">
        <f t="shared" si="423"/>
        <v>6.1086309523809526</v>
      </c>
      <c r="AJ1058" s="365">
        <f t="shared" si="424"/>
        <v>5.2723214285714288</v>
      </c>
      <c r="AK1058" s="365">
        <f t="shared" si="425"/>
        <v>8.1934523809523814</v>
      </c>
      <c r="AL1058" s="365">
        <f t="shared" si="426"/>
        <v>8.2485119047619051</v>
      </c>
      <c r="AM1058" s="365">
        <f t="shared" si="427"/>
        <v>2.4895833333333335</v>
      </c>
      <c r="AN1058" s="365">
        <f t="shared" si="428"/>
        <v>2.9345238095238098</v>
      </c>
      <c r="AO1058" s="365">
        <f t="shared" si="429"/>
        <v>5.8869047619047619</v>
      </c>
      <c r="AP1058" s="365">
        <f t="shared" si="430"/>
        <v>1.1502976190476191</v>
      </c>
      <c r="AQ1058" s="365">
        <f t="shared" si="431"/>
        <v>1.5297619047619049</v>
      </c>
      <c r="AR1058" s="365">
        <f t="shared" si="432"/>
        <v>2.7247023809523809</v>
      </c>
      <c r="AS1058" s="365">
        <f t="shared" si="433"/>
        <v>135.17328264303643</v>
      </c>
      <c r="AT1058" s="365">
        <f t="shared" si="434"/>
        <v>9.6596477507982215</v>
      </c>
      <c r="AU1058" s="365">
        <f t="shared" si="435"/>
        <v>144.83293039383466</v>
      </c>
      <c r="AW1058" s="365">
        <f t="shared" si="436"/>
        <v>279.80161997165106</v>
      </c>
      <c r="AX1058" s="365">
        <f t="shared" si="437"/>
        <v>-134.96868957781641</v>
      </c>
    </row>
    <row r="1059" spans="1:50" ht="15.75" customHeight="1" thickBot="1" x14ac:dyDescent="0.35">
      <c r="A1059" s="382" t="s">
        <v>22</v>
      </c>
      <c r="B1059" s="382">
        <f t="shared" si="409"/>
        <v>245</v>
      </c>
      <c r="C1059" s="369">
        <f t="shared" si="409"/>
        <v>0</v>
      </c>
      <c r="D1059" s="429" t="s">
        <v>1095</v>
      </c>
      <c r="E1059" s="369">
        <f t="shared" ref="E1059:S1059" si="447">+C979/$P$10/24</f>
        <v>23.326612903225808</v>
      </c>
      <c r="F1059" s="369">
        <f t="shared" si="447"/>
        <v>24.443548387096772</v>
      </c>
      <c r="G1059" s="369">
        <f t="shared" si="447"/>
        <v>41.159946236559144</v>
      </c>
      <c r="H1059" s="369">
        <f t="shared" si="447"/>
        <v>20.731206096083827</v>
      </c>
      <c r="I1059" s="369">
        <f t="shared" si="447"/>
        <v>0</v>
      </c>
      <c r="J1059" s="369">
        <f t="shared" si="447"/>
        <v>3.845430107526882</v>
      </c>
      <c r="K1059" s="369">
        <f t="shared" si="447"/>
        <v>1.2056451612903225</v>
      </c>
      <c r="L1059" s="369">
        <f t="shared" si="447"/>
        <v>1.786290322580645</v>
      </c>
      <c r="M1059" s="369">
        <f t="shared" si="447"/>
        <v>1.842741935483871</v>
      </c>
      <c r="N1059" s="369">
        <f t="shared" si="447"/>
        <v>0.69086021505376349</v>
      </c>
      <c r="O1059" s="369">
        <f t="shared" si="447"/>
        <v>0.81317204301075263</v>
      </c>
      <c r="P1059" s="369">
        <f t="shared" si="447"/>
        <v>1.4327956989247312</v>
      </c>
      <c r="Q1059" s="369">
        <f t="shared" si="447"/>
        <v>0.48790322580645157</v>
      </c>
      <c r="R1059" s="369">
        <f t="shared" si="447"/>
        <v>1.514784946236559</v>
      </c>
      <c r="S1059" s="429">
        <f t="shared" si="447"/>
        <v>1.1411290322580645</v>
      </c>
      <c r="T1059" s="365">
        <f t="shared" si="413"/>
        <v>369.4220663111376</v>
      </c>
      <c r="U1059" s="365">
        <f t="shared" si="411"/>
        <v>124.42206631113758</v>
      </c>
      <c r="V1059" s="365">
        <f t="shared" si="414"/>
        <v>333.93010752688173</v>
      </c>
      <c r="W1059" s="365">
        <f t="shared" si="415"/>
        <v>88.930107526881727</v>
      </c>
      <c r="X1059" s="365">
        <f t="shared" si="416"/>
        <v>20.731206096083827</v>
      </c>
      <c r="Y1059" s="365">
        <f t="shared" si="416"/>
        <v>0</v>
      </c>
      <c r="Z1059" s="365">
        <f t="shared" si="417"/>
        <v>14.760752688172044</v>
      </c>
      <c r="AC1059" s="4">
        <v>12</v>
      </c>
      <c r="AD1059" s="365">
        <f>IF($AF$1045=1,VLOOKUP($AD$1045,$A$1075:$P$1086,12,FALSE),VLOOKUP($AD$1045,$A$1048:$S$1059,3,FALSE))</f>
        <v>0</v>
      </c>
      <c r="AE1059" s="365">
        <f t="shared" si="419"/>
        <v>19.425595238095237</v>
      </c>
      <c r="AF1059" s="365">
        <f t="shared" si="420"/>
        <v>20.352678571428573</v>
      </c>
      <c r="AG1059" s="365">
        <f t="shared" si="421"/>
        <v>34.407738095238095</v>
      </c>
      <c r="AH1059" s="365">
        <f t="shared" si="422"/>
        <v>16.448580262084075</v>
      </c>
      <c r="AI1059" s="365">
        <f t="shared" si="423"/>
        <v>6.1086309523809526</v>
      </c>
      <c r="AJ1059" s="365">
        <f t="shared" si="424"/>
        <v>5.2723214285714288</v>
      </c>
      <c r="AK1059" s="365">
        <f t="shared" si="425"/>
        <v>8.1934523809523814</v>
      </c>
      <c r="AL1059" s="365">
        <f t="shared" si="426"/>
        <v>8.2485119047619051</v>
      </c>
      <c r="AM1059" s="365">
        <f t="shared" si="427"/>
        <v>2.4895833333333335</v>
      </c>
      <c r="AN1059" s="365">
        <f t="shared" si="428"/>
        <v>2.9345238095238098</v>
      </c>
      <c r="AO1059" s="365">
        <f t="shared" si="429"/>
        <v>5.8869047619047619</v>
      </c>
      <c r="AP1059" s="365">
        <f t="shared" si="430"/>
        <v>1.1502976190476191</v>
      </c>
      <c r="AQ1059" s="365">
        <f t="shared" si="431"/>
        <v>1.5297619047619049</v>
      </c>
      <c r="AR1059" s="365">
        <f t="shared" si="432"/>
        <v>2.7247023809523809</v>
      </c>
      <c r="AS1059" s="365">
        <f t="shared" si="433"/>
        <v>135.17328264303643</v>
      </c>
      <c r="AT1059" s="365">
        <f t="shared" si="434"/>
        <v>9.6596477507982215</v>
      </c>
      <c r="AU1059" s="365">
        <f t="shared" si="435"/>
        <v>144.83293039383466</v>
      </c>
      <c r="AW1059" s="365">
        <f t="shared" si="436"/>
        <v>279.80161997165106</v>
      </c>
      <c r="AX1059" s="365">
        <f t="shared" si="437"/>
        <v>-134.96868957781641</v>
      </c>
    </row>
    <row r="1060" spans="1:50" ht="15.75" customHeight="1" x14ac:dyDescent="0.3">
      <c r="A1060" s="418"/>
      <c r="AC1060" s="4">
        <v>13</v>
      </c>
      <c r="AD1060" s="365">
        <f>IF($AF$1045=1,VLOOKUP($AD$1045,$A$1075:$P$1086,12,FALSE),IF(OR($AD$1045="JUN",$AD$1045="JUL",$AD$1045="AUG"),VLOOKUP($AD$1045,$A$1048:$S$1059,4,FALSE),VLOOKUP($AD$1045,$A$1048:$S$1059,3,FALSE)))</f>
        <v>0</v>
      </c>
      <c r="AE1060" s="365">
        <f t="shared" si="419"/>
        <v>19.425595238095237</v>
      </c>
      <c r="AF1060" s="365">
        <f t="shared" si="420"/>
        <v>20.352678571428573</v>
      </c>
      <c r="AG1060" s="365">
        <f t="shared" si="421"/>
        <v>34.407738095238095</v>
      </c>
      <c r="AH1060" s="365">
        <f t="shared" si="422"/>
        <v>16.448580262084075</v>
      </c>
      <c r="AI1060" s="365">
        <f t="shared" si="423"/>
        <v>6.1086309523809526</v>
      </c>
      <c r="AJ1060" s="365">
        <f t="shared" si="424"/>
        <v>5.2723214285714288</v>
      </c>
      <c r="AK1060" s="365">
        <f t="shared" si="425"/>
        <v>8.1934523809523814</v>
      </c>
      <c r="AL1060" s="365">
        <f t="shared" si="426"/>
        <v>8.2485119047619051</v>
      </c>
      <c r="AM1060" s="365">
        <f t="shared" si="427"/>
        <v>2.4895833333333335</v>
      </c>
      <c r="AN1060" s="365">
        <f t="shared" si="428"/>
        <v>2.9345238095238098</v>
      </c>
      <c r="AO1060" s="365">
        <f t="shared" si="429"/>
        <v>5.8869047619047619</v>
      </c>
      <c r="AP1060" s="365">
        <f t="shared" si="430"/>
        <v>1.1502976190476191</v>
      </c>
      <c r="AQ1060" s="365">
        <f t="shared" si="431"/>
        <v>1.5297619047619049</v>
      </c>
      <c r="AR1060" s="365">
        <f t="shared" si="432"/>
        <v>2.7247023809523809</v>
      </c>
      <c r="AS1060" s="365">
        <f t="shared" si="433"/>
        <v>135.17328264303643</v>
      </c>
      <c r="AT1060" s="365">
        <f t="shared" si="434"/>
        <v>9.6596477507982215</v>
      </c>
      <c r="AU1060" s="365">
        <f t="shared" si="435"/>
        <v>144.83293039383466</v>
      </c>
      <c r="AW1060" s="365">
        <f t="shared" si="436"/>
        <v>279.80161997165106</v>
      </c>
      <c r="AX1060" s="365">
        <f t="shared" si="437"/>
        <v>-134.96868957781641</v>
      </c>
    </row>
    <row r="1061" spans="1:50" ht="27.75" customHeight="1" x14ac:dyDescent="0.3">
      <c r="A1061" s="418" t="s">
        <v>1096</v>
      </c>
      <c r="AC1061" s="4">
        <v>14</v>
      </c>
      <c r="AD1061" s="365">
        <f t="shared" ref="AD1061:AD1067" si="448">IF($AF$1045=1,VLOOKUP($AD$1045,$A$1075:$P$1086,12,FALSE),IF(OR($AD$1045="JUN",$AD$1045="JUL",$AD$1045="AUG"),VLOOKUP($AD$1045,$A$1048:$S$1059,4,FALSE),VLOOKUP($AD$1045,$A$1048:$S$1059,3,FALSE)))</f>
        <v>0</v>
      </c>
      <c r="AE1061" s="365">
        <f t="shared" si="419"/>
        <v>19.425595238095237</v>
      </c>
      <c r="AF1061" s="365">
        <f t="shared" si="420"/>
        <v>20.352678571428573</v>
      </c>
      <c r="AG1061" s="365">
        <f t="shared" si="421"/>
        <v>34.407738095238095</v>
      </c>
      <c r="AH1061" s="365">
        <f t="shared" si="422"/>
        <v>16.448580262084075</v>
      </c>
      <c r="AI1061" s="365">
        <f t="shared" si="423"/>
        <v>6.1086309523809526</v>
      </c>
      <c r="AJ1061" s="365">
        <f t="shared" si="424"/>
        <v>5.2723214285714288</v>
      </c>
      <c r="AK1061" s="365">
        <f t="shared" si="425"/>
        <v>8.1934523809523814</v>
      </c>
      <c r="AL1061" s="365">
        <f t="shared" si="426"/>
        <v>8.2485119047619051</v>
      </c>
      <c r="AM1061" s="365">
        <f t="shared" si="427"/>
        <v>2.4895833333333335</v>
      </c>
      <c r="AN1061" s="365">
        <f t="shared" si="428"/>
        <v>2.9345238095238098</v>
      </c>
      <c r="AO1061" s="365">
        <f t="shared" si="429"/>
        <v>5.8869047619047619</v>
      </c>
      <c r="AP1061" s="365">
        <f t="shared" si="430"/>
        <v>1.1502976190476191</v>
      </c>
      <c r="AQ1061" s="365">
        <f t="shared" si="431"/>
        <v>1.5297619047619049</v>
      </c>
      <c r="AR1061" s="365">
        <f t="shared" si="432"/>
        <v>2.7247023809523809</v>
      </c>
      <c r="AS1061" s="365">
        <f t="shared" si="433"/>
        <v>135.17328264303643</v>
      </c>
      <c r="AT1061" s="365">
        <f t="shared" si="434"/>
        <v>9.6596477507982215</v>
      </c>
      <c r="AU1061" s="365">
        <f t="shared" si="435"/>
        <v>144.83293039383466</v>
      </c>
      <c r="AW1061" s="365">
        <f t="shared" si="436"/>
        <v>279.80161997165106</v>
      </c>
      <c r="AX1061" s="365">
        <f t="shared" si="437"/>
        <v>-134.96868957781641</v>
      </c>
    </row>
    <row r="1062" spans="1:50" ht="15.75" customHeight="1" x14ac:dyDescent="0.3">
      <c r="A1062" s="418"/>
      <c r="AC1062" s="4">
        <v>15</v>
      </c>
      <c r="AD1062" s="365">
        <f t="shared" si="448"/>
        <v>0</v>
      </c>
      <c r="AE1062" s="365">
        <f t="shared" si="419"/>
        <v>19.425595238095237</v>
      </c>
      <c r="AF1062" s="365">
        <f t="shared" si="420"/>
        <v>20.352678571428573</v>
      </c>
      <c r="AG1062" s="365">
        <f t="shared" si="421"/>
        <v>34.407738095238095</v>
      </c>
      <c r="AH1062" s="365">
        <f t="shared" si="422"/>
        <v>16.448580262084075</v>
      </c>
      <c r="AI1062" s="365">
        <f t="shared" si="423"/>
        <v>6.1086309523809526</v>
      </c>
      <c r="AJ1062" s="365">
        <f t="shared" si="424"/>
        <v>5.2723214285714288</v>
      </c>
      <c r="AK1062" s="365">
        <f t="shared" si="425"/>
        <v>8.1934523809523814</v>
      </c>
      <c r="AL1062" s="365">
        <f t="shared" si="426"/>
        <v>8.2485119047619051</v>
      </c>
      <c r="AM1062" s="365">
        <f t="shared" si="427"/>
        <v>2.4895833333333335</v>
      </c>
      <c r="AN1062" s="365">
        <f t="shared" si="428"/>
        <v>2.9345238095238098</v>
      </c>
      <c r="AO1062" s="365">
        <f t="shared" si="429"/>
        <v>5.8869047619047619</v>
      </c>
      <c r="AP1062" s="365">
        <f t="shared" si="430"/>
        <v>1.1502976190476191</v>
      </c>
      <c r="AQ1062" s="365">
        <f t="shared" si="431"/>
        <v>1.5297619047619049</v>
      </c>
      <c r="AR1062" s="365">
        <f t="shared" si="432"/>
        <v>2.7247023809523809</v>
      </c>
      <c r="AS1062" s="365">
        <f t="shared" si="433"/>
        <v>135.17328264303643</v>
      </c>
      <c r="AT1062" s="365">
        <f t="shared" si="434"/>
        <v>9.6596477507982215</v>
      </c>
      <c r="AU1062" s="365">
        <f t="shared" si="435"/>
        <v>144.83293039383466</v>
      </c>
      <c r="AW1062" s="365">
        <f t="shared" si="436"/>
        <v>279.80161997165106</v>
      </c>
      <c r="AX1062" s="365">
        <f t="shared" si="437"/>
        <v>-134.96868957781641</v>
      </c>
    </row>
    <row r="1063" spans="1:50" ht="15.75" customHeight="1" x14ac:dyDescent="0.3">
      <c r="A1063" s="418"/>
      <c r="AC1063" s="4">
        <v>16</v>
      </c>
      <c r="AD1063" s="365">
        <f t="shared" si="448"/>
        <v>0</v>
      </c>
      <c r="AE1063" s="365">
        <f t="shared" si="419"/>
        <v>19.425595238095237</v>
      </c>
      <c r="AF1063" s="365">
        <f t="shared" si="420"/>
        <v>20.352678571428573</v>
      </c>
      <c r="AG1063" s="365">
        <f t="shared" si="421"/>
        <v>34.407738095238095</v>
      </c>
      <c r="AH1063" s="365">
        <f t="shared" si="422"/>
        <v>16.448580262084075</v>
      </c>
      <c r="AI1063" s="365">
        <f t="shared" si="423"/>
        <v>6.1086309523809526</v>
      </c>
      <c r="AJ1063" s="365">
        <f t="shared" si="424"/>
        <v>5.2723214285714288</v>
      </c>
      <c r="AK1063" s="365">
        <f t="shared" si="425"/>
        <v>8.1934523809523814</v>
      </c>
      <c r="AL1063" s="365">
        <f t="shared" si="426"/>
        <v>8.2485119047619051</v>
      </c>
      <c r="AM1063" s="365">
        <f t="shared" si="427"/>
        <v>2.4895833333333335</v>
      </c>
      <c r="AN1063" s="365">
        <f t="shared" si="428"/>
        <v>2.9345238095238098</v>
      </c>
      <c r="AO1063" s="365">
        <f t="shared" si="429"/>
        <v>5.8869047619047619</v>
      </c>
      <c r="AP1063" s="365">
        <f t="shared" si="430"/>
        <v>1.1502976190476191</v>
      </c>
      <c r="AQ1063" s="365">
        <f t="shared" si="431"/>
        <v>1.5297619047619049</v>
      </c>
      <c r="AR1063" s="365">
        <f t="shared" si="432"/>
        <v>2.7247023809523809</v>
      </c>
      <c r="AS1063" s="365">
        <f t="shared" si="433"/>
        <v>135.17328264303643</v>
      </c>
      <c r="AT1063" s="365">
        <f t="shared" si="434"/>
        <v>9.6596477507982215</v>
      </c>
      <c r="AU1063" s="365">
        <f t="shared" si="435"/>
        <v>144.83293039383466</v>
      </c>
      <c r="AW1063" s="365">
        <f t="shared" si="436"/>
        <v>279.80161997165106</v>
      </c>
      <c r="AX1063" s="365">
        <f t="shared" si="437"/>
        <v>-134.96868957781641</v>
      </c>
    </row>
    <row r="1064" spans="1:50" ht="15.75" customHeight="1" thickBot="1" x14ac:dyDescent="0.35">
      <c r="A1064" s="418"/>
      <c r="AC1064" s="4">
        <v>17</v>
      </c>
      <c r="AD1064" s="365">
        <f t="shared" si="448"/>
        <v>0</v>
      </c>
      <c r="AE1064" s="365">
        <f t="shared" si="419"/>
        <v>19.425595238095237</v>
      </c>
      <c r="AF1064" s="365">
        <f t="shared" si="420"/>
        <v>20.352678571428573</v>
      </c>
      <c r="AG1064" s="365">
        <f t="shared" si="421"/>
        <v>34.407738095238095</v>
      </c>
      <c r="AH1064" s="365">
        <f t="shared" si="422"/>
        <v>16.448580262084075</v>
      </c>
      <c r="AI1064" s="365">
        <f t="shared" si="423"/>
        <v>6.1086309523809526</v>
      </c>
      <c r="AJ1064" s="365">
        <f t="shared" si="424"/>
        <v>5.2723214285714288</v>
      </c>
      <c r="AK1064" s="365">
        <f t="shared" si="425"/>
        <v>8.1934523809523814</v>
      </c>
      <c r="AL1064" s="365">
        <f t="shared" si="426"/>
        <v>8.2485119047619051</v>
      </c>
      <c r="AM1064" s="365">
        <f t="shared" si="427"/>
        <v>2.4895833333333335</v>
      </c>
      <c r="AN1064" s="365">
        <f t="shared" si="428"/>
        <v>2.9345238095238098</v>
      </c>
      <c r="AO1064" s="365">
        <f t="shared" si="429"/>
        <v>5.8869047619047619</v>
      </c>
      <c r="AP1064" s="365">
        <f t="shared" si="430"/>
        <v>1.1502976190476191</v>
      </c>
      <c r="AQ1064" s="365">
        <f t="shared" si="431"/>
        <v>1.5297619047619049</v>
      </c>
      <c r="AR1064" s="365">
        <f t="shared" si="432"/>
        <v>2.7247023809523809</v>
      </c>
      <c r="AS1064" s="365">
        <f t="shared" si="433"/>
        <v>135.17328264303643</v>
      </c>
      <c r="AT1064" s="365">
        <f t="shared" si="434"/>
        <v>9.6596477507982215</v>
      </c>
      <c r="AU1064" s="365">
        <f t="shared" si="435"/>
        <v>144.83293039383466</v>
      </c>
      <c r="AW1064" s="365">
        <f t="shared" si="436"/>
        <v>279.80161997165106</v>
      </c>
      <c r="AX1064" s="365">
        <f t="shared" si="437"/>
        <v>-134.96868957781641</v>
      </c>
    </row>
    <row r="1065" spans="1:50" ht="15.75" customHeight="1" x14ac:dyDescent="0.3">
      <c r="A1065" s="430"/>
      <c r="B1065" s="506" t="s">
        <v>1097</v>
      </c>
      <c r="C1065" s="506"/>
      <c r="D1065" s="506"/>
      <c r="E1065" s="506"/>
      <c r="F1065" s="506"/>
      <c r="G1065" s="506"/>
      <c r="H1065" s="506"/>
      <c r="I1065" s="506"/>
      <c r="J1065" s="506"/>
      <c r="K1065" s="506"/>
      <c r="L1065" s="506"/>
      <c r="M1065" s="506"/>
      <c r="N1065" s="506"/>
      <c r="O1065" s="506"/>
      <c r="P1065" s="506"/>
      <c r="Q1065" s="361" t="str">
        <f>+Q1</f>
        <v xml:space="preserve">PRINTED:  </v>
      </c>
      <c r="R1065" s="362">
        <f ca="1">+R1</f>
        <v>44909.46975358796</v>
      </c>
      <c r="AC1065" s="4">
        <v>18</v>
      </c>
      <c r="AD1065" s="365">
        <f t="shared" si="448"/>
        <v>0</v>
      </c>
      <c r="AE1065" s="365">
        <f t="shared" si="419"/>
        <v>19.425595238095237</v>
      </c>
      <c r="AF1065" s="365">
        <f t="shared" si="420"/>
        <v>20.352678571428573</v>
      </c>
      <c r="AG1065" s="365">
        <f t="shared" si="421"/>
        <v>34.407738095238095</v>
      </c>
      <c r="AH1065" s="365">
        <f t="shared" si="422"/>
        <v>16.448580262084075</v>
      </c>
      <c r="AI1065" s="365">
        <f t="shared" si="423"/>
        <v>6.1086309523809526</v>
      </c>
      <c r="AJ1065" s="365">
        <f t="shared" si="424"/>
        <v>5.2723214285714288</v>
      </c>
      <c r="AK1065" s="365">
        <f t="shared" si="425"/>
        <v>8.1934523809523814</v>
      </c>
      <c r="AL1065" s="365">
        <f t="shared" si="426"/>
        <v>8.2485119047619051</v>
      </c>
      <c r="AM1065" s="365">
        <f t="shared" si="427"/>
        <v>2.4895833333333335</v>
      </c>
      <c r="AN1065" s="365">
        <f t="shared" si="428"/>
        <v>2.9345238095238098</v>
      </c>
      <c r="AO1065" s="365">
        <f t="shared" si="429"/>
        <v>5.8869047619047619</v>
      </c>
      <c r="AP1065" s="365">
        <f t="shared" si="430"/>
        <v>1.1502976190476191</v>
      </c>
      <c r="AQ1065" s="365">
        <f t="shared" si="431"/>
        <v>1.5297619047619049</v>
      </c>
      <c r="AR1065" s="365">
        <f t="shared" si="432"/>
        <v>2.7247023809523809</v>
      </c>
      <c r="AS1065" s="365">
        <f t="shared" si="433"/>
        <v>135.17328264303643</v>
      </c>
      <c r="AT1065" s="365">
        <f t="shared" si="434"/>
        <v>9.6596477507982215</v>
      </c>
      <c r="AU1065" s="365">
        <f t="shared" si="435"/>
        <v>144.83293039383466</v>
      </c>
      <c r="AW1065" s="365">
        <f t="shared" si="436"/>
        <v>279.80161997165106</v>
      </c>
      <c r="AX1065" s="365">
        <f t="shared" si="437"/>
        <v>-134.96868957781641</v>
      </c>
    </row>
    <row r="1066" spans="1:50" ht="16.5" customHeight="1" x14ac:dyDescent="0.3">
      <c r="A1066" s="416"/>
      <c r="B1066" s="503" t="str">
        <f>+A8</f>
        <v>Revised:  3/2/2019</v>
      </c>
      <c r="C1066" s="503"/>
      <c r="D1066" s="503"/>
      <c r="E1066" s="503"/>
      <c r="F1066" s="503"/>
      <c r="G1066" s="503"/>
      <c r="H1066" s="503"/>
      <c r="I1066" s="503"/>
      <c r="J1066" s="503"/>
      <c r="K1066" s="503"/>
      <c r="L1066" s="503"/>
      <c r="M1066" s="503"/>
      <c r="N1066" s="503"/>
      <c r="O1066" s="503"/>
      <c r="P1066" s="503"/>
      <c r="R1066" s="307"/>
      <c r="AC1066" s="4">
        <v>19</v>
      </c>
      <c r="AD1066" s="365">
        <f t="shared" si="448"/>
        <v>0</v>
      </c>
      <c r="AE1066" s="365">
        <f t="shared" si="419"/>
        <v>19.425595238095237</v>
      </c>
      <c r="AF1066" s="365">
        <f t="shared" si="420"/>
        <v>20.352678571428573</v>
      </c>
      <c r="AG1066" s="365">
        <f t="shared" si="421"/>
        <v>34.407738095238095</v>
      </c>
      <c r="AH1066" s="365">
        <f t="shared" si="422"/>
        <v>16.448580262084075</v>
      </c>
      <c r="AI1066" s="365">
        <f t="shared" si="423"/>
        <v>6.1086309523809526</v>
      </c>
      <c r="AJ1066" s="365">
        <f t="shared" si="424"/>
        <v>5.2723214285714288</v>
      </c>
      <c r="AK1066" s="365">
        <f t="shared" si="425"/>
        <v>8.1934523809523814</v>
      </c>
      <c r="AL1066" s="365">
        <f t="shared" si="426"/>
        <v>8.2485119047619051</v>
      </c>
      <c r="AM1066" s="365">
        <f t="shared" si="427"/>
        <v>2.4895833333333335</v>
      </c>
      <c r="AN1066" s="365">
        <f t="shared" si="428"/>
        <v>2.9345238095238098</v>
      </c>
      <c r="AO1066" s="365">
        <f t="shared" si="429"/>
        <v>5.8869047619047619</v>
      </c>
      <c r="AP1066" s="365">
        <f t="shared" si="430"/>
        <v>1.1502976190476191</v>
      </c>
      <c r="AQ1066" s="365">
        <f t="shared" si="431"/>
        <v>1.5297619047619049</v>
      </c>
      <c r="AR1066" s="365">
        <f t="shared" si="432"/>
        <v>2.7247023809523809</v>
      </c>
      <c r="AS1066" s="365">
        <f t="shared" si="433"/>
        <v>135.17328264303643</v>
      </c>
      <c r="AT1066" s="365">
        <f t="shared" si="434"/>
        <v>9.6596477507982215</v>
      </c>
      <c r="AU1066" s="365">
        <f t="shared" si="435"/>
        <v>144.83293039383466</v>
      </c>
      <c r="AW1066" s="365">
        <f t="shared" si="436"/>
        <v>279.80161997165106</v>
      </c>
      <c r="AX1066" s="365">
        <f t="shared" si="437"/>
        <v>-134.96868957781641</v>
      </c>
    </row>
    <row r="1067" spans="1:50" ht="16.5" customHeight="1" x14ac:dyDescent="0.3">
      <c r="A1067" s="416"/>
      <c r="B1067" s="503" t="s">
        <v>1024</v>
      </c>
      <c r="C1067" s="503"/>
      <c r="D1067" s="503"/>
      <c r="E1067" s="503"/>
      <c r="F1067" s="503"/>
      <c r="G1067" s="503"/>
      <c r="H1067" s="503"/>
      <c r="I1067" s="503"/>
      <c r="J1067" s="503"/>
      <c r="K1067" s="503"/>
      <c r="L1067" s="503"/>
      <c r="M1067" s="503"/>
      <c r="N1067" s="503"/>
      <c r="O1067" s="503"/>
      <c r="P1067" s="503"/>
      <c r="R1067" s="307"/>
      <c r="AC1067" s="4">
        <v>20</v>
      </c>
      <c r="AD1067" s="365">
        <f t="shared" si="448"/>
        <v>0</v>
      </c>
      <c r="AE1067" s="365">
        <f t="shared" si="419"/>
        <v>19.425595238095237</v>
      </c>
      <c r="AF1067" s="365">
        <f t="shared" si="420"/>
        <v>20.352678571428573</v>
      </c>
      <c r="AG1067" s="365">
        <f t="shared" si="421"/>
        <v>34.407738095238095</v>
      </c>
      <c r="AH1067" s="365">
        <f t="shared" si="422"/>
        <v>16.448580262084075</v>
      </c>
      <c r="AI1067" s="365">
        <f t="shared" si="423"/>
        <v>6.1086309523809526</v>
      </c>
      <c r="AJ1067" s="365">
        <f t="shared" si="424"/>
        <v>5.2723214285714288</v>
      </c>
      <c r="AK1067" s="365">
        <f t="shared" si="425"/>
        <v>8.1934523809523814</v>
      </c>
      <c r="AL1067" s="365">
        <f t="shared" si="426"/>
        <v>8.2485119047619051</v>
      </c>
      <c r="AM1067" s="365">
        <f t="shared" si="427"/>
        <v>2.4895833333333335</v>
      </c>
      <c r="AN1067" s="365">
        <f t="shared" si="428"/>
        <v>2.9345238095238098</v>
      </c>
      <c r="AO1067" s="365">
        <f t="shared" si="429"/>
        <v>5.8869047619047619</v>
      </c>
      <c r="AP1067" s="365">
        <f t="shared" si="430"/>
        <v>1.1502976190476191</v>
      </c>
      <c r="AQ1067" s="365">
        <f t="shared" si="431"/>
        <v>1.5297619047619049</v>
      </c>
      <c r="AR1067" s="365">
        <f t="shared" si="432"/>
        <v>2.7247023809523809</v>
      </c>
      <c r="AS1067" s="365">
        <f t="shared" si="433"/>
        <v>135.17328264303643</v>
      </c>
      <c r="AT1067" s="365">
        <f t="shared" si="434"/>
        <v>9.6596477507982215</v>
      </c>
      <c r="AU1067" s="365">
        <f t="shared" si="435"/>
        <v>144.83293039383466</v>
      </c>
      <c r="AW1067" s="365">
        <f t="shared" si="436"/>
        <v>279.80161997165106</v>
      </c>
      <c r="AX1067" s="365">
        <f t="shared" si="437"/>
        <v>-134.96868957781641</v>
      </c>
    </row>
    <row r="1068" spans="1:50" ht="16.5" customHeight="1" x14ac:dyDescent="0.3">
      <c r="A1068" s="416"/>
      <c r="B1068" s="159"/>
      <c r="C1068" s="159"/>
      <c r="D1068" s="159"/>
      <c r="E1068" s="159"/>
      <c r="F1068" s="159"/>
      <c r="G1068" s="159"/>
      <c r="H1068" s="159"/>
      <c r="I1068" s="159"/>
      <c r="J1068" s="159"/>
      <c r="K1068" s="159"/>
      <c r="L1068" s="159"/>
      <c r="M1068" s="159"/>
      <c r="N1068" s="159"/>
      <c r="O1068" s="159"/>
      <c r="P1068" s="159"/>
      <c r="R1068" s="307"/>
      <c r="AC1068" s="4">
        <v>21</v>
      </c>
      <c r="AD1068" s="365">
        <f>IF($AF$1045=1,VLOOKUP($AD$1045,$A$1075:$P$1086,12,FALSE),VLOOKUP($AD$1045,$A$1048:$S$1059,3,FALSE))</f>
        <v>0</v>
      </c>
      <c r="AE1068" s="365">
        <f t="shared" si="419"/>
        <v>19.425595238095237</v>
      </c>
      <c r="AF1068" s="365">
        <f t="shared" si="420"/>
        <v>20.352678571428573</v>
      </c>
      <c r="AG1068" s="365">
        <f t="shared" si="421"/>
        <v>34.407738095238095</v>
      </c>
      <c r="AH1068" s="365">
        <f t="shared" si="422"/>
        <v>16.448580262084075</v>
      </c>
      <c r="AI1068" s="365">
        <f t="shared" si="423"/>
        <v>6.1086309523809526</v>
      </c>
      <c r="AJ1068" s="365">
        <f t="shared" si="424"/>
        <v>5.2723214285714288</v>
      </c>
      <c r="AK1068" s="365">
        <f t="shared" si="425"/>
        <v>8.1934523809523814</v>
      </c>
      <c r="AL1068" s="365">
        <f t="shared" si="426"/>
        <v>8.2485119047619051</v>
      </c>
      <c r="AM1068" s="365">
        <f t="shared" si="427"/>
        <v>2.4895833333333335</v>
      </c>
      <c r="AN1068" s="365">
        <f t="shared" si="428"/>
        <v>2.9345238095238098</v>
      </c>
      <c r="AO1068" s="365">
        <f t="shared" si="429"/>
        <v>5.8869047619047619</v>
      </c>
      <c r="AP1068" s="365">
        <f t="shared" si="430"/>
        <v>1.1502976190476191</v>
      </c>
      <c r="AQ1068" s="365">
        <f t="shared" si="431"/>
        <v>1.5297619047619049</v>
      </c>
      <c r="AR1068" s="365">
        <f t="shared" si="432"/>
        <v>2.7247023809523809</v>
      </c>
      <c r="AS1068" s="365">
        <f t="shared" si="433"/>
        <v>135.17328264303643</v>
      </c>
      <c r="AT1068" s="365">
        <f t="shared" si="434"/>
        <v>9.6596477507982215</v>
      </c>
      <c r="AU1068" s="365">
        <f t="shared" si="435"/>
        <v>144.83293039383466</v>
      </c>
      <c r="AW1068" s="365">
        <f t="shared" si="436"/>
        <v>279.80161997165106</v>
      </c>
      <c r="AX1068" s="365">
        <f t="shared" si="437"/>
        <v>-134.96868957781641</v>
      </c>
    </row>
    <row r="1069" spans="1:50" ht="16.5" customHeight="1" x14ac:dyDescent="0.3">
      <c r="A1069" s="416"/>
      <c r="B1069" s="539">
        <f>+A5</f>
        <v>2018</v>
      </c>
      <c r="C1069" s="509"/>
      <c r="D1069" s="509"/>
      <c r="E1069" s="509"/>
      <c r="F1069" s="509"/>
      <c r="G1069" s="509"/>
      <c r="H1069" s="509"/>
      <c r="I1069" s="509"/>
      <c r="J1069" s="509"/>
      <c r="K1069" s="509"/>
      <c r="L1069" s="509"/>
      <c r="M1069" s="509"/>
      <c r="N1069" s="509"/>
      <c r="O1069" s="509"/>
      <c r="P1069" s="509"/>
      <c r="R1069" s="307"/>
      <c r="AC1069" s="4">
        <v>22</v>
      </c>
      <c r="AD1069" s="365">
        <f>IF($AF$1045=1,VLOOKUP($AD$1045,$A$1075:$P$1086,12,FALSE),VLOOKUP($AD$1045,$A$1048:$S$1059,3,FALSE))</f>
        <v>0</v>
      </c>
      <c r="AE1069" s="365">
        <f t="shared" si="419"/>
        <v>19.425595238095237</v>
      </c>
      <c r="AF1069" s="365">
        <f t="shared" si="420"/>
        <v>20.352678571428573</v>
      </c>
      <c r="AG1069" s="365">
        <f t="shared" si="421"/>
        <v>34.407738095238095</v>
      </c>
      <c r="AH1069" s="365">
        <f t="shared" si="422"/>
        <v>16.448580262084075</v>
      </c>
      <c r="AI1069" s="365">
        <f t="shared" si="423"/>
        <v>6.1086309523809526</v>
      </c>
      <c r="AJ1069" s="365">
        <f t="shared" si="424"/>
        <v>5.2723214285714288</v>
      </c>
      <c r="AK1069" s="365">
        <f t="shared" si="425"/>
        <v>8.1934523809523814</v>
      </c>
      <c r="AL1069" s="365">
        <f t="shared" si="426"/>
        <v>8.2485119047619051</v>
      </c>
      <c r="AM1069" s="365">
        <f t="shared" si="427"/>
        <v>2.4895833333333335</v>
      </c>
      <c r="AN1069" s="365">
        <f t="shared" si="428"/>
        <v>2.9345238095238098</v>
      </c>
      <c r="AO1069" s="365">
        <f t="shared" si="429"/>
        <v>5.8869047619047619</v>
      </c>
      <c r="AP1069" s="365">
        <f t="shared" si="430"/>
        <v>1.1502976190476191</v>
      </c>
      <c r="AQ1069" s="365">
        <f t="shared" si="431"/>
        <v>1.5297619047619049</v>
      </c>
      <c r="AR1069" s="365">
        <f t="shared" si="432"/>
        <v>2.7247023809523809</v>
      </c>
      <c r="AS1069" s="365">
        <f t="shared" si="433"/>
        <v>135.17328264303643</v>
      </c>
      <c r="AT1069" s="365">
        <f t="shared" si="434"/>
        <v>9.6596477507982215</v>
      </c>
      <c r="AU1069" s="365">
        <f t="shared" si="435"/>
        <v>144.83293039383466</v>
      </c>
      <c r="AW1069" s="365">
        <f t="shared" si="436"/>
        <v>279.80161997165106</v>
      </c>
      <c r="AX1069" s="365">
        <f t="shared" si="437"/>
        <v>-134.96868957781641</v>
      </c>
    </row>
    <row r="1070" spans="1:50" ht="15.75" customHeight="1" x14ac:dyDescent="0.3">
      <c r="A1070" s="416"/>
      <c r="B1070" s="503" t="s">
        <v>457</v>
      </c>
      <c r="C1070" s="503"/>
      <c r="D1070" s="503"/>
      <c r="E1070" s="503"/>
      <c r="F1070" s="503"/>
      <c r="G1070" s="503"/>
      <c r="H1070" s="503"/>
      <c r="I1070" s="503"/>
      <c r="J1070" s="503"/>
      <c r="K1070" s="503"/>
      <c r="L1070" s="503"/>
      <c r="M1070" s="503"/>
      <c r="N1070" s="503"/>
      <c r="O1070" s="503"/>
      <c r="P1070" s="503"/>
      <c r="R1070" s="307"/>
      <c r="AC1070" s="4">
        <v>23</v>
      </c>
      <c r="AD1070" s="365">
        <f>IF($AF$1045=1,VLOOKUP($AD$1045,$A$1075:$P$1086,12,FALSE),IF(OR($AD$1045="JAN",$AD$1045="FEB",$AD$1045="NOV",$AD$1045="DEC"),VLOOKUP($AD$1045,$A$1048:$S$1059,3,FALSE),VLOOKUP($AD$1045,$A$1048:$S$1059,2,FALSE)))</f>
        <v>0</v>
      </c>
      <c r="AE1070" s="365">
        <f t="shared" si="419"/>
        <v>19.425595238095237</v>
      </c>
      <c r="AF1070" s="365">
        <f t="shared" si="420"/>
        <v>20.352678571428573</v>
      </c>
      <c r="AG1070" s="365">
        <f t="shared" si="421"/>
        <v>34.407738095238095</v>
      </c>
      <c r="AH1070" s="365">
        <f t="shared" si="422"/>
        <v>16.448580262084075</v>
      </c>
      <c r="AI1070" s="365">
        <f t="shared" si="423"/>
        <v>6.1086309523809526</v>
      </c>
      <c r="AJ1070" s="365">
        <f t="shared" si="424"/>
        <v>5.2723214285714288</v>
      </c>
      <c r="AK1070" s="365">
        <f t="shared" si="425"/>
        <v>8.1934523809523814</v>
      </c>
      <c r="AL1070" s="365">
        <f t="shared" si="426"/>
        <v>8.2485119047619051</v>
      </c>
      <c r="AM1070" s="365">
        <f t="shared" si="427"/>
        <v>2.4895833333333335</v>
      </c>
      <c r="AN1070" s="365">
        <f t="shared" si="428"/>
        <v>2.9345238095238098</v>
      </c>
      <c r="AO1070" s="365">
        <f t="shared" si="429"/>
        <v>5.8869047619047619</v>
      </c>
      <c r="AP1070" s="365">
        <f t="shared" si="430"/>
        <v>1.1502976190476191</v>
      </c>
      <c r="AQ1070" s="365">
        <f t="shared" si="431"/>
        <v>1.5297619047619049</v>
      </c>
      <c r="AR1070" s="365">
        <f t="shared" si="432"/>
        <v>2.7247023809523809</v>
      </c>
      <c r="AS1070" s="365">
        <f t="shared" si="433"/>
        <v>135.17328264303643</v>
      </c>
      <c r="AT1070" s="365">
        <f t="shared" si="434"/>
        <v>9.6596477507982215</v>
      </c>
      <c r="AU1070" s="365">
        <f t="shared" si="435"/>
        <v>144.83293039383466</v>
      </c>
      <c r="AW1070" s="365">
        <f t="shared" si="436"/>
        <v>279.80161997165106</v>
      </c>
      <c r="AX1070" s="365">
        <f t="shared" si="437"/>
        <v>-134.96868957781641</v>
      </c>
    </row>
    <row r="1071" spans="1:50" ht="15.75" customHeight="1" thickBot="1" x14ac:dyDescent="0.35">
      <c r="A1071" s="416"/>
      <c r="R1071" s="307"/>
      <c r="AC1071" s="4">
        <v>24</v>
      </c>
      <c r="AD1071" s="365">
        <f>IF($AF$1045=1,VLOOKUP($AD$1045,$A$1075:$P$1086,12,FALSE),VLOOKUP($AD$1045,$A$1048:$S$1059,2,FALSE))</f>
        <v>98</v>
      </c>
      <c r="AE1071" s="365">
        <f t="shared" si="419"/>
        <v>19.425595238095237</v>
      </c>
      <c r="AF1071" s="365">
        <f t="shared" si="420"/>
        <v>20.352678571428573</v>
      </c>
      <c r="AG1071" s="365">
        <f t="shared" si="421"/>
        <v>34.407738095238095</v>
      </c>
      <c r="AH1071" s="365">
        <f t="shared" si="422"/>
        <v>16.448580262084075</v>
      </c>
      <c r="AI1071" s="365">
        <f t="shared" si="423"/>
        <v>6.1086309523809526</v>
      </c>
      <c r="AJ1071" s="365">
        <f t="shared" si="424"/>
        <v>5.2723214285714288</v>
      </c>
      <c r="AK1071" s="365">
        <f t="shared" si="425"/>
        <v>8.1934523809523814</v>
      </c>
      <c r="AL1071" s="365">
        <f t="shared" si="426"/>
        <v>8.2485119047619051</v>
      </c>
      <c r="AM1071" s="365">
        <f t="shared" si="427"/>
        <v>2.4895833333333335</v>
      </c>
      <c r="AN1071" s="365">
        <f t="shared" si="428"/>
        <v>2.9345238095238098</v>
      </c>
      <c r="AO1071" s="365">
        <f t="shared" si="429"/>
        <v>5.8869047619047619</v>
      </c>
      <c r="AP1071" s="365">
        <f t="shared" si="430"/>
        <v>1.1502976190476191</v>
      </c>
      <c r="AQ1071" s="365">
        <f t="shared" si="431"/>
        <v>1.5297619047619049</v>
      </c>
      <c r="AR1071" s="365">
        <f t="shared" si="432"/>
        <v>2.7247023809523809</v>
      </c>
      <c r="AS1071" s="365">
        <f t="shared" si="433"/>
        <v>233.17328264303646</v>
      </c>
      <c r="AT1071" s="365">
        <f t="shared" si="434"/>
        <v>16.662847355546393</v>
      </c>
      <c r="AU1071" s="365">
        <f t="shared" si="435"/>
        <v>249.83612999858286</v>
      </c>
      <c r="AW1071" s="365">
        <f t="shared" si="436"/>
        <v>279.80161997165106</v>
      </c>
      <c r="AX1071" s="365">
        <f t="shared" si="437"/>
        <v>-29.965489973068202</v>
      </c>
    </row>
    <row r="1072" spans="1:50" ht="15.75" customHeight="1" x14ac:dyDescent="0.3">
      <c r="A1072" s="416"/>
      <c r="B1072" s="542" t="s">
        <v>1098</v>
      </c>
      <c r="C1072" s="543"/>
      <c r="D1072" s="543"/>
      <c r="E1072" s="543"/>
      <c r="F1072" s="543"/>
      <c r="G1072" s="543"/>
      <c r="H1072" s="543"/>
      <c r="I1072" s="543"/>
      <c r="J1072" s="543"/>
      <c r="K1072" s="543"/>
      <c r="L1072" s="544"/>
      <c r="M1072" s="545" t="s">
        <v>1099</v>
      </c>
      <c r="N1072" s="543"/>
      <c r="O1072" s="543"/>
      <c r="P1072" s="543"/>
      <c r="Q1072" s="365" t="s">
        <v>1100</v>
      </c>
      <c r="R1072" s="427" t="s">
        <v>1101</v>
      </c>
      <c r="S1072" s="365" t="s">
        <v>1243</v>
      </c>
      <c r="T1072" s="365" t="s">
        <v>1082</v>
      </c>
      <c r="AC1072" s="4" t="s">
        <v>422</v>
      </c>
      <c r="AD1072" s="365">
        <f>SUM(AD1048:AD1071)</f>
        <v>784</v>
      </c>
      <c r="AE1072" s="365">
        <f>SUM(AE1048:AE1071)</f>
        <v>466.21428571428572</v>
      </c>
      <c r="AF1072" s="365">
        <f t="shared" ref="AF1072:AW1072" si="449">SUM(AF1048:AF1071)</f>
        <v>488.46428571428561</v>
      </c>
      <c r="AG1072" s="365">
        <f t="shared" si="449"/>
        <v>825.78571428571399</v>
      </c>
      <c r="AH1072" s="365">
        <f t="shared" si="449"/>
        <v>394.76592629001783</v>
      </c>
      <c r="AI1072" s="365">
        <f t="shared" si="449"/>
        <v>146.60714285714286</v>
      </c>
      <c r="AJ1072" s="365">
        <f t="shared" si="449"/>
        <v>126.53571428571432</v>
      </c>
      <c r="AK1072" s="365">
        <f t="shared" si="449"/>
        <v>196.64285714285714</v>
      </c>
      <c r="AL1072" s="365">
        <f t="shared" si="449"/>
        <v>197.96428571428561</v>
      </c>
      <c r="AM1072" s="365">
        <f t="shared" si="449"/>
        <v>59.750000000000021</v>
      </c>
      <c r="AN1072" s="365">
        <f t="shared" si="449"/>
        <v>70.428571428571431</v>
      </c>
      <c r="AO1072" s="365">
        <f t="shared" si="449"/>
        <v>141.28571428571425</v>
      </c>
      <c r="AP1072" s="365">
        <f t="shared" si="449"/>
        <v>27.607142857142868</v>
      </c>
      <c r="AQ1072" s="365">
        <f t="shared" si="449"/>
        <v>36.714285714285715</v>
      </c>
      <c r="AR1072" s="365">
        <f t="shared" si="449"/>
        <v>65.392857142857125</v>
      </c>
      <c r="AS1072" s="365">
        <f t="shared" si="449"/>
        <v>4028.1587834328766</v>
      </c>
      <c r="AT1072" s="365">
        <f t="shared" si="449"/>
        <v>287.85714285714278</v>
      </c>
      <c r="AU1072" s="365">
        <f t="shared" si="449"/>
        <v>4316.0159262900142</v>
      </c>
      <c r="AW1072" s="365">
        <f t="shared" si="449"/>
        <v>6715.2388793196278</v>
      </c>
      <c r="AX1072" s="365">
        <f>SUMIF(AX1048:AX1071,"&gt;0")</f>
        <v>0</v>
      </c>
    </row>
    <row r="1073" spans="1:50" ht="15.75" customHeight="1" thickBot="1" x14ac:dyDescent="0.35">
      <c r="A1073" s="416" t="s">
        <v>1071</v>
      </c>
      <c r="B1073" s="431" t="s">
        <v>1102</v>
      </c>
      <c r="C1073" s="432" t="s">
        <v>1085</v>
      </c>
      <c r="D1073" s="432" t="s">
        <v>1086</v>
      </c>
      <c r="E1073" s="432" t="s">
        <v>1103</v>
      </c>
      <c r="F1073" s="432" t="s">
        <v>1085</v>
      </c>
      <c r="G1073" s="432" t="s">
        <v>1086</v>
      </c>
      <c r="H1073" s="432" t="s">
        <v>1087</v>
      </c>
      <c r="I1073" s="432" t="s">
        <v>1085</v>
      </c>
      <c r="J1073" s="432" t="s">
        <v>1086</v>
      </c>
      <c r="K1073" s="432" t="s">
        <v>1087</v>
      </c>
      <c r="L1073" s="433" t="s">
        <v>1104</v>
      </c>
      <c r="M1073" s="431" t="s">
        <v>1105</v>
      </c>
      <c r="N1073" s="432" t="s">
        <v>1085</v>
      </c>
      <c r="O1073" s="432" t="s">
        <v>1085</v>
      </c>
      <c r="P1073" s="433" t="s">
        <v>1104</v>
      </c>
      <c r="Q1073" s="434" t="s">
        <v>422</v>
      </c>
      <c r="R1073" s="435" t="s">
        <v>1106</v>
      </c>
      <c r="S1073" s="432" t="s">
        <v>1244</v>
      </c>
      <c r="T1073" s="432" t="s">
        <v>1244</v>
      </c>
      <c r="AU1073" s="365"/>
      <c r="AW1073" s="365"/>
      <c r="AX1073" s="365"/>
    </row>
    <row r="1074" spans="1:50" ht="15.75" customHeight="1" thickTop="1" thickBot="1" x14ac:dyDescent="0.35">
      <c r="A1074" s="416"/>
      <c r="B1074" s="436"/>
      <c r="C1074" s="437" t="s">
        <v>1107</v>
      </c>
      <c r="D1074" s="437" t="s">
        <v>1107</v>
      </c>
      <c r="E1074" s="437" t="s">
        <v>1107</v>
      </c>
      <c r="F1074" s="438" t="s">
        <v>1079</v>
      </c>
      <c r="G1074" s="438" t="s">
        <v>1079</v>
      </c>
      <c r="H1074" s="438" t="s">
        <v>1079</v>
      </c>
      <c r="I1074" s="438" t="s">
        <v>1108</v>
      </c>
      <c r="J1074" s="438" t="s">
        <v>1108</v>
      </c>
      <c r="K1074" s="438" t="s">
        <v>1108</v>
      </c>
      <c r="L1074" s="439" t="s">
        <v>1109</v>
      </c>
      <c r="M1074" s="440"/>
      <c r="N1074" s="437" t="s">
        <v>1107</v>
      </c>
      <c r="O1074" s="438" t="s">
        <v>1079</v>
      </c>
      <c r="P1074" s="439" t="s">
        <v>1108</v>
      </c>
      <c r="Q1074" s="434" t="s">
        <v>1108</v>
      </c>
      <c r="R1074" s="435" t="s">
        <v>1108</v>
      </c>
      <c r="S1074" s="438" t="s">
        <v>1245</v>
      </c>
      <c r="T1074" s="438" t="s">
        <v>1245</v>
      </c>
    </row>
    <row r="1075" spans="1:50" ht="15.75" customHeight="1" x14ac:dyDescent="0.3">
      <c r="A1075" s="416" t="s">
        <v>795</v>
      </c>
      <c r="B1075" s="375" t="e">
        <f ca="1">+$B$10-M1075</f>
        <v>#NAME?</v>
      </c>
      <c r="C1075" s="441">
        <v>4</v>
      </c>
      <c r="D1075" s="441">
        <v>0</v>
      </c>
      <c r="E1075" s="441" t="s">
        <v>1095</v>
      </c>
      <c r="F1075" s="365">
        <f>+I1075/(24-S1075)</f>
        <v>196</v>
      </c>
      <c r="G1075" s="365">
        <f>+J1075/S1075</f>
        <v>0</v>
      </c>
      <c r="H1075" s="365" t="s">
        <v>1095</v>
      </c>
      <c r="I1075" s="365">
        <f>+C1075*49*(24-S1075)</f>
        <v>3724</v>
      </c>
      <c r="J1075" s="365">
        <f>+D1075*49*S1075</f>
        <v>0</v>
      </c>
      <c r="K1075" s="365" t="s">
        <v>1095</v>
      </c>
      <c r="L1075" s="427">
        <f>+J1075+I1075</f>
        <v>3724</v>
      </c>
      <c r="M1075" s="375" t="e">
        <f ca="1">SUMPRODUCT(--(WEEKDAY(ROW(INDIRECT(DATE($B$1069,MonthFromText(A1075),1)&amp;":"&amp;DATE($B$1069,MonthFromText(A1075),$B$10))),1)=1))</f>
        <v>#NAME?</v>
      </c>
      <c r="N1075" s="441">
        <v>4</v>
      </c>
      <c r="O1075" s="4">
        <f>+P1075/(24-T1075)</f>
        <v>196</v>
      </c>
      <c r="P1075" s="427">
        <f>+N1075*49*(24-T1075)</f>
        <v>3724</v>
      </c>
      <c r="Q1075" s="365" t="e">
        <f ca="1">+(L1075*B1075)+(M1075*P1075)</f>
        <v>#NAME?</v>
      </c>
      <c r="R1075" s="427" t="e">
        <f ca="1">+Q1075-B968</f>
        <v>#NAME?</v>
      </c>
      <c r="S1075" s="470">
        <v>5</v>
      </c>
      <c r="T1075" s="470">
        <v>5</v>
      </c>
      <c r="AD1075" s="370"/>
      <c r="AE1075" s="368"/>
      <c r="AF1075" s="471" t="s">
        <v>1246</v>
      </c>
      <c r="AG1075" s="472" t="s">
        <v>1247</v>
      </c>
      <c r="AH1075" s="472" t="s">
        <v>1248</v>
      </c>
      <c r="AI1075" s="472" t="s">
        <v>1249</v>
      </c>
      <c r="AJ1075" s="332"/>
    </row>
    <row r="1076" spans="1:50" ht="15.75" customHeight="1" x14ac:dyDescent="0.3">
      <c r="A1076" s="416" t="s">
        <v>9</v>
      </c>
      <c r="B1076" s="375" t="e">
        <f ca="1">+$C$10-M1076</f>
        <v>#NAME?</v>
      </c>
      <c r="C1076" s="441">
        <v>2</v>
      </c>
      <c r="D1076" s="441">
        <v>0</v>
      </c>
      <c r="E1076" s="441" t="s">
        <v>1095</v>
      </c>
      <c r="F1076" s="365">
        <f t="shared" ref="F1076:F1086" si="450">+I1076/(24-S1076)</f>
        <v>98</v>
      </c>
      <c r="G1076" s="365">
        <f t="shared" ref="G1076:G1086" si="451">+J1076/S1076</f>
        <v>0</v>
      </c>
      <c r="H1076" s="365" t="s">
        <v>1095</v>
      </c>
      <c r="I1076" s="365">
        <f t="shared" ref="I1076:I1086" si="452">+C1076*49*(24-S1076)</f>
        <v>1862</v>
      </c>
      <c r="J1076" s="365">
        <f t="shared" ref="J1076:J1086" si="453">+D1076*49*S1076</f>
        <v>0</v>
      </c>
      <c r="K1076" s="365" t="s">
        <v>1095</v>
      </c>
      <c r="L1076" s="427">
        <f t="shared" ref="L1076:L1086" si="454">+J1076+I1076</f>
        <v>1862</v>
      </c>
      <c r="M1076" s="375" t="e">
        <f ca="1">SUMPRODUCT(--(WEEKDAY(ROW(INDIRECT(DATE($B$1069,MonthFromText(A1076),1)&amp;":"&amp;DATE($B$1069,MonthFromText(A1076),$C$10))),1)=1))</f>
        <v>#NAME?</v>
      </c>
      <c r="N1076" s="441">
        <f t="shared" ref="N1076:N1084" si="455">+C1076</f>
        <v>2</v>
      </c>
      <c r="O1076" s="4">
        <f t="shared" ref="O1076:O1086" si="456">+P1076/24</f>
        <v>98</v>
      </c>
      <c r="P1076" s="427">
        <f t="shared" ref="P1076:P1086" si="457">+N1076*49*24</f>
        <v>2352</v>
      </c>
      <c r="Q1076" s="365" t="e">
        <f ca="1">+(L1076*B1076)+(M1076*P1076)</f>
        <v>#NAME?</v>
      </c>
      <c r="R1076" s="427" t="e">
        <f t="shared" ref="R1076:R1086" ca="1" si="458">+Q1076-B969</f>
        <v>#NAME?</v>
      </c>
      <c r="S1076" s="470">
        <v>5</v>
      </c>
      <c r="T1076" s="470">
        <v>5</v>
      </c>
      <c r="AD1076" s="473" t="s">
        <v>410</v>
      </c>
      <c r="AE1076" s="474" t="s">
        <v>1250</v>
      </c>
      <c r="AF1076" s="4">
        <f>V1048</f>
        <v>252.19623655913978</v>
      </c>
      <c r="AG1076" s="4">
        <f>X1048</f>
        <v>11.989179389805024</v>
      </c>
      <c r="AH1076" s="4">
        <f>Y1048</f>
        <v>-0.94487912455920309</v>
      </c>
      <c r="AI1076" s="4">
        <f>Z1048</f>
        <v>28.262096774193548</v>
      </c>
      <c r="AJ1076" s="307"/>
    </row>
    <row r="1077" spans="1:50" ht="16.5" customHeight="1" x14ac:dyDescent="0.3">
      <c r="A1077" s="416" t="s">
        <v>10</v>
      </c>
      <c r="B1077" s="375" t="e">
        <f ca="1">+$D$10-M1077</f>
        <v>#NAME?</v>
      </c>
      <c r="C1077" s="441">
        <v>6</v>
      </c>
      <c r="D1077" s="441">
        <v>0</v>
      </c>
      <c r="E1077" s="441" t="s">
        <v>1095</v>
      </c>
      <c r="F1077" s="365">
        <f t="shared" si="450"/>
        <v>294</v>
      </c>
      <c r="G1077" s="365">
        <f t="shared" si="451"/>
        <v>0</v>
      </c>
      <c r="H1077" s="365" t="s">
        <v>1095</v>
      </c>
      <c r="I1077" s="365">
        <f t="shared" si="452"/>
        <v>5586</v>
      </c>
      <c r="J1077" s="365">
        <f t="shared" si="453"/>
        <v>0</v>
      </c>
      <c r="K1077" s="365" t="s">
        <v>1095</v>
      </c>
      <c r="L1077" s="427">
        <f t="shared" si="454"/>
        <v>5586</v>
      </c>
      <c r="M1077" s="375" t="e">
        <f ca="1">SUMPRODUCT(--(WEEKDAY(ROW(INDIRECT(DATE($B$1069,MonthFromText(A1077),1)&amp;":"&amp;DATE($B$1069,MonthFromText(A1077),$D$10))),1)=1))</f>
        <v>#NAME?</v>
      </c>
      <c r="N1077" s="441">
        <v>3</v>
      </c>
      <c r="O1077" s="4">
        <f t="shared" si="456"/>
        <v>147</v>
      </c>
      <c r="P1077" s="427">
        <f t="shared" si="457"/>
        <v>3528</v>
      </c>
      <c r="Q1077" s="365" t="e">
        <f t="shared" ref="Q1077:Q1086" ca="1" si="459">+(L1077*B1077)+(M1077*P1077)</f>
        <v>#NAME?</v>
      </c>
      <c r="R1077" s="427" t="e">
        <f t="shared" ca="1" si="458"/>
        <v>#NAME?</v>
      </c>
      <c r="S1077" s="470">
        <v>5</v>
      </c>
      <c r="T1077" s="470">
        <v>5</v>
      </c>
      <c r="AD1077" s="473"/>
      <c r="AE1077" s="474" t="s">
        <v>1244</v>
      </c>
      <c r="AF1077" s="4">
        <f>W1048</f>
        <v>56.196236559139777</v>
      </c>
      <c r="AG1077" s="4">
        <f>X1048</f>
        <v>11.989179389805024</v>
      </c>
      <c r="AH1077" s="4">
        <f>Y1048</f>
        <v>-0.94487912455920309</v>
      </c>
      <c r="AI1077" s="4">
        <f>Z1048</f>
        <v>28.262096774193548</v>
      </c>
      <c r="AJ1077" s="307"/>
    </row>
    <row r="1078" spans="1:50" ht="16.5" customHeight="1" x14ac:dyDescent="0.3">
      <c r="A1078" s="416" t="s">
        <v>12</v>
      </c>
      <c r="B1078" s="375" t="e">
        <f ca="1">+$F$10-M1078</f>
        <v>#NAME?</v>
      </c>
      <c r="C1078" s="441">
        <v>6</v>
      </c>
      <c r="D1078" s="441">
        <v>0</v>
      </c>
      <c r="E1078" s="441" t="s">
        <v>1095</v>
      </c>
      <c r="F1078" s="365">
        <f t="shared" si="450"/>
        <v>294</v>
      </c>
      <c r="G1078" s="365">
        <f t="shared" si="451"/>
        <v>0</v>
      </c>
      <c r="H1078" s="365" t="s">
        <v>1095</v>
      </c>
      <c r="I1078" s="365">
        <f t="shared" si="452"/>
        <v>5586</v>
      </c>
      <c r="J1078" s="365">
        <f t="shared" si="453"/>
        <v>0</v>
      </c>
      <c r="K1078" s="365" t="s">
        <v>1095</v>
      </c>
      <c r="L1078" s="427">
        <f t="shared" si="454"/>
        <v>5586</v>
      </c>
      <c r="M1078" s="375" t="e">
        <f ca="1">SUMPRODUCT(--(WEEKDAY(ROW(INDIRECT(DATE($B$1069,MonthFromText(A1078),1)&amp;":"&amp;DATE($B$1069,MonthFromText(A1078),$F$10))),1)=1))</f>
        <v>#NAME?</v>
      </c>
      <c r="N1078" s="441">
        <v>5</v>
      </c>
      <c r="O1078" s="4">
        <f t="shared" si="456"/>
        <v>245</v>
      </c>
      <c r="P1078" s="427">
        <f t="shared" si="457"/>
        <v>5880</v>
      </c>
      <c r="Q1078" s="365" t="e">
        <f t="shared" ca="1" si="459"/>
        <v>#NAME?</v>
      </c>
      <c r="R1078" s="427" t="e">
        <f t="shared" ca="1" si="458"/>
        <v>#NAME?</v>
      </c>
      <c r="S1078" s="470">
        <v>5</v>
      </c>
      <c r="T1078" s="470">
        <v>5</v>
      </c>
      <c r="AD1078" s="473" t="s">
        <v>1251</v>
      </c>
      <c r="AE1078" s="474" t="s">
        <v>7</v>
      </c>
      <c r="AJ1078" s="307"/>
    </row>
    <row r="1079" spans="1:50" ht="15.75" customHeight="1" x14ac:dyDescent="0.3">
      <c r="A1079" s="416" t="s">
        <v>13</v>
      </c>
      <c r="B1079" s="375" t="e">
        <f ca="1">+$G$10-M1079</f>
        <v>#NAME?</v>
      </c>
      <c r="C1079" s="441">
        <v>6</v>
      </c>
      <c r="D1079" s="441">
        <v>0</v>
      </c>
      <c r="E1079" s="441" t="s">
        <v>1095</v>
      </c>
      <c r="F1079" s="365">
        <f t="shared" si="450"/>
        <v>294</v>
      </c>
      <c r="G1079" s="365">
        <f t="shared" si="451"/>
        <v>0</v>
      </c>
      <c r="H1079" s="365" t="s">
        <v>1095</v>
      </c>
      <c r="I1079" s="365">
        <f t="shared" si="452"/>
        <v>5586</v>
      </c>
      <c r="J1079" s="365">
        <f t="shared" si="453"/>
        <v>0</v>
      </c>
      <c r="K1079" s="365" t="s">
        <v>1095</v>
      </c>
      <c r="L1079" s="427">
        <f t="shared" si="454"/>
        <v>5586</v>
      </c>
      <c r="M1079" s="375" t="e">
        <f ca="1">SUMPRODUCT(--(WEEKDAY(ROW(INDIRECT(DATE($B$1069,MonthFromText(A1079),1)&amp;":"&amp;DATE($B$1069,MonthFromText(A1079),$G$10))),1)=1))</f>
        <v>#NAME?</v>
      </c>
      <c r="N1079" s="441">
        <f t="shared" si="455"/>
        <v>6</v>
      </c>
      <c r="O1079" s="4">
        <f t="shared" si="456"/>
        <v>294</v>
      </c>
      <c r="P1079" s="427">
        <f t="shared" si="457"/>
        <v>7056</v>
      </c>
      <c r="Q1079" s="365" t="e">
        <f t="shared" ca="1" si="459"/>
        <v>#NAME?</v>
      </c>
      <c r="R1079" s="427" t="e">
        <f t="shared" ca="1" si="458"/>
        <v>#NAME?</v>
      </c>
      <c r="S1079" s="470">
        <v>5</v>
      </c>
      <c r="T1079" s="470">
        <v>5</v>
      </c>
      <c r="AD1079" s="473" t="s">
        <v>411</v>
      </c>
      <c r="AE1079" s="474" t="s">
        <v>1250</v>
      </c>
      <c r="AF1079" s="4">
        <f>V1049</f>
        <v>172.1860119047619</v>
      </c>
      <c r="AG1079" s="4">
        <f>X1049</f>
        <v>16.448580262084075</v>
      </c>
      <c r="AH1079" s="4">
        <f>Y1049</f>
        <v>-3.327844314063229</v>
      </c>
      <c r="AI1079" s="4">
        <f>Z1049</f>
        <v>44.538690476190474</v>
      </c>
      <c r="AJ1079" s="307"/>
    </row>
    <row r="1080" spans="1:50" ht="15.75" customHeight="1" x14ac:dyDescent="0.3">
      <c r="A1080" s="416" t="s">
        <v>14</v>
      </c>
      <c r="B1080" s="375" t="e">
        <f ca="1">+$H$10-M1080</f>
        <v>#NAME?</v>
      </c>
      <c r="C1080" s="441">
        <v>3</v>
      </c>
      <c r="D1080" s="441">
        <v>0</v>
      </c>
      <c r="E1080" s="441">
        <v>0</v>
      </c>
      <c r="F1080" s="365">
        <f t="shared" si="450"/>
        <v>147</v>
      </c>
      <c r="G1080" s="365">
        <f t="shared" si="451"/>
        <v>0</v>
      </c>
      <c r="H1080" s="365" t="s">
        <v>1095</v>
      </c>
      <c r="I1080" s="365">
        <f t="shared" si="452"/>
        <v>2205</v>
      </c>
      <c r="J1080" s="365">
        <f t="shared" si="453"/>
        <v>0</v>
      </c>
      <c r="K1080" s="365" t="s">
        <v>1095</v>
      </c>
      <c r="L1080" s="427">
        <f t="shared" si="454"/>
        <v>2205</v>
      </c>
      <c r="M1080" s="375" t="e">
        <f ca="1">SUMPRODUCT(--(WEEKDAY(ROW(INDIRECT(DATE($B$1069,MonthFromText(A1080),1)&amp;":"&amp;DATE($B$1069,MonthFromText(A1080),$H$10))),1)=1))</f>
        <v>#NAME?</v>
      </c>
      <c r="N1080" s="441">
        <f t="shared" si="455"/>
        <v>3</v>
      </c>
      <c r="O1080" s="4">
        <f t="shared" si="456"/>
        <v>147</v>
      </c>
      <c r="P1080" s="427">
        <f t="shared" si="457"/>
        <v>3528</v>
      </c>
      <c r="Q1080" s="365" t="e">
        <f ca="1">+(L1080*B1080)+(M1080*P1080)</f>
        <v>#NAME?</v>
      </c>
      <c r="R1080" s="427" t="e">
        <f t="shared" ca="1" si="458"/>
        <v>#NAME?</v>
      </c>
      <c r="S1080" s="470">
        <v>9</v>
      </c>
      <c r="T1080" s="470">
        <v>9</v>
      </c>
      <c r="AD1080" s="473"/>
      <c r="AE1080" s="474" t="s">
        <v>1244</v>
      </c>
      <c r="AF1080" s="4">
        <f>W1049</f>
        <v>74.186011904761898</v>
      </c>
      <c r="AG1080" s="4">
        <f>X1049</f>
        <v>16.448580262084075</v>
      </c>
      <c r="AH1080" s="4">
        <f>Y1049</f>
        <v>-3.327844314063229</v>
      </c>
      <c r="AI1080" s="4">
        <f>Z1049</f>
        <v>44.538690476190474</v>
      </c>
      <c r="AJ1080" s="307"/>
    </row>
    <row r="1081" spans="1:50" ht="15.75" customHeight="1" x14ac:dyDescent="0.3">
      <c r="A1081" s="416" t="s">
        <v>16</v>
      </c>
      <c r="B1081" s="375" t="e">
        <f ca="1">+$J$10-M1081</f>
        <v>#NAME?</v>
      </c>
      <c r="C1081" s="441">
        <v>3</v>
      </c>
      <c r="D1081" s="441">
        <v>0</v>
      </c>
      <c r="E1081" s="441">
        <v>0</v>
      </c>
      <c r="F1081" s="365">
        <f t="shared" si="450"/>
        <v>147</v>
      </c>
      <c r="G1081" s="365">
        <f t="shared" si="451"/>
        <v>0</v>
      </c>
      <c r="H1081" s="365" t="s">
        <v>1095</v>
      </c>
      <c r="I1081" s="365">
        <f t="shared" si="452"/>
        <v>2205</v>
      </c>
      <c r="J1081" s="365">
        <f t="shared" si="453"/>
        <v>0</v>
      </c>
      <c r="K1081" s="365" t="s">
        <v>1095</v>
      </c>
      <c r="L1081" s="427">
        <f t="shared" si="454"/>
        <v>2205</v>
      </c>
      <c r="M1081" s="375" t="e">
        <f ca="1">SUMPRODUCT(--(WEEKDAY(ROW(INDIRECT(DATE($B$1069,MonthFromText(A1081),1)&amp;":"&amp;DATE($B$1069,MonthFromText(A1081),$J$10))),1)=1))</f>
        <v>#NAME?</v>
      </c>
      <c r="N1081" s="441">
        <f t="shared" si="455"/>
        <v>3</v>
      </c>
      <c r="O1081" s="4">
        <f t="shared" si="456"/>
        <v>147</v>
      </c>
      <c r="P1081" s="427">
        <f t="shared" si="457"/>
        <v>3528</v>
      </c>
      <c r="Q1081" s="365" t="e">
        <f t="shared" ca="1" si="459"/>
        <v>#NAME?</v>
      </c>
      <c r="R1081" s="427" t="e">
        <f t="shared" ca="1" si="458"/>
        <v>#NAME?</v>
      </c>
      <c r="S1081" s="470">
        <v>9</v>
      </c>
      <c r="T1081" s="470">
        <v>9</v>
      </c>
      <c r="AD1081" s="473" t="s">
        <v>1251</v>
      </c>
      <c r="AE1081" s="474" t="s">
        <v>7</v>
      </c>
      <c r="AJ1081" s="307"/>
    </row>
    <row r="1082" spans="1:50" ht="15.75" customHeight="1" x14ac:dyDescent="0.3">
      <c r="A1082" s="416" t="s">
        <v>17</v>
      </c>
      <c r="B1082" s="375" t="e">
        <f ca="1">+$K$10-M1082</f>
        <v>#NAME?</v>
      </c>
      <c r="C1082" s="441">
        <v>3</v>
      </c>
      <c r="D1082" s="441">
        <v>0</v>
      </c>
      <c r="E1082" s="441">
        <v>0</v>
      </c>
      <c r="F1082" s="365">
        <f t="shared" si="450"/>
        <v>147</v>
      </c>
      <c r="G1082" s="365">
        <f t="shared" si="451"/>
        <v>0</v>
      </c>
      <c r="H1082" s="365" t="s">
        <v>1095</v>
      </c>
      <c r="I1082" s="365">
        <f t="shared" si="452"/>
        <v>2205</v>
      </c>
      <c r="J1082" s="365">
        <f t="shared" si="453"/>
        <v>0</v>
      </c>
      <c r="K1082" s="365" t="s">
        <v>1095</v>
      </c>
      <c r="L1082" s="427">
        <f t="shared" si="454"/>
        <v>2205</v>
      </c>
      <c r="M1082" s="375" t="e">
        <f ca="1">SUMPRODUCT(--(WEEKDAY(ROW(INDIRECT(DATE($B$1069,MonthFromText(A1082),1)&amp;":"&amp;DATE($B$1069,MonthFromText(A1082),$K$10))),1)=1))</f>
        <v>#NAME?</v>
      </c>
      <c r="N1082" s="441">
        <f t="shared" si="455"/>
        <v>3</v>
      </c>
      <c r="O1082" s="4">
        <f t="shared" si="456"/>
        <v>147</v>
      </c>
      <c r="P1082" s="427">
        <f t="shared" si="457"/>
        <v>3528</v>
      </c>
      <c r="Q1082" s="365" t="e">
        <f t="shared" ca="1" si="459"/>
        <v>#NAME?</v>
      </c>
      <c r="R1082" s="427" t="e">
        <f t="shared" ca="1" si="458"/>
        <v>#NAME?</v>
      </c>
      <c r="S1082" s="470">
        <v>9</v>
      </c>
      <c r="T1082" s="470">
        <v>9</v>
      </c>
      <c r="AD1082" s="473" t="s">
        <v>412</v>
      </c>
      <c r="AE1082" s="474" t="s">
        <v>1250</v>
      </c>
      <c r="AF1082" s="4">
        <f>V1050</f>
        <v>379.48252688172045</v>
      </c>
      <c r="AG1082" s="4">
        <f>X1050</f>
        <v>13.652098288951628</v>
      </c>
      <c r="AH1082" s="4">
        <f>Y1050</f>
        <v>-4.0497210540389421</v>
      </c>
      <c r="AI1082" s="4">
        <f>Z1050</f>
        <v>53.040322580645167</v>
      </c>
      <c r="AJ1082" s="307"/>
    </row>
    <row r="1083" spans="1:50" ht="15.75" customHeight="1" x14ac:dyDescent="0.3">
      <c r="A1083" s="416" t="s">
        <v>18</v>
      </c>
      <c r="B1083" s="375" t="e">
        <f ca="1">+$L$10-M1083</f>
        <v>#NAME?</v>
      </c>
      <c r="C1083" s="441">
        <v>5</v>
      </c>
      <c r="D1083" s="441">
        <v>0</v>
      </c>
      <c r="E1083" s="441" t="s">
        <v>1095</v>
      </c>
      <c r="F1083" s="365">
        <f t="shared" si="450"/>
        <v>245</v>
      </c>
      <c r="G1083" s="365">
        <f t="shared" si="451"/>
        <v>0</v>
      </c>
      <c r="H1083" s="365" t="s">
        <v>1095</v>
      </c>
      <c r="I1083" s="365">
        <f t="shared" si="452"/>
        <v>4410</v>
      </c>
      <c r="J1083" s="365">
        <f t="shared" si="453"/>
        <v>0</v>
      </c>
      <c r="K1083" s="365" t="s">
        <v>1095</v>
      </c>
      <c r="L1083" s="427">
        <f t="shared" si="454"/>
        <v>4410</v>
      </c>
      <c r="M1083" s="375" t="e">
        <f ca="1">SUMPRODUCT(--(WEEKDAY(ROW(INDIRECT(DATE($B$1069,MonthFromText(A1083),1)&amp;":"&amp;DATE($B$1069,MonthFromText(A1083),$L$10))),1)=1))</f>
        <v>#NAME?</v>
      </c>
      <c r="N1083" s="441">
        <f t="shared" si="455"/>
        <v>5</v>
      </c>
      <c r="O1083" s="4">
        <f t="shared" si="456"/>
        <v>245</v>
      </c>
      <c r="P1083" s="427">
        <f t="shared" si="457"/>
        <v>5880</v>
      </c>
      <c r="Q1083" s="365" t="e">
        <f t="shared" ca="1" si="459"/>
        <v>#NAME?</v>
      </c>
      <c r="R1083" s="427" t="e">
        <f t="shared" ca="1" si="458"/>
        <v>#NAME?</v>
      </c>
      <c r="S1083" s="470">
        <v>6</v>
      </c>
      <c r="T1083" s="470">
        <v>4</v>
      </c>
      <c r="AD1083" s="473"/>
      <c r="AE1083" s="474" t="s">
        <v>1244</v>
      </c>
      <c r="AF1083" s="4">
        <f>W1050</f>
        <v>85.482526881720418</v>
      </c>
      <c r="AG1083" s="4">
        <f>X1050</f>
        <v>13.652098288951628</v>
      </c>
      <c r="AH1083" s="4">
        <f>Y1050</f>
        <v>-4.0497210540389421</v>
      </c>
      <c r="AI1083" s="4">
        <f>Z1050</f>
        <v>53.040322580645167</v>
      </c>
      <c r="AJ1083" s="307"/>
    </row>
    <row r="1084" spans="1:50" ht="15.75" customHeight="1" x14ac:dyDescent="0.3">
      <c r="A1084" s="416" t="s">
        <v>20</v>
      </c>
      <c r="B1084" s="375" t="e">
        <f ca="1">+$N$10-M1084</f>
        <v>#NAME?</v>
      </c>
      <c r="C1084" s="441">
        <v>5</v>
      </c>
      <c r="D1084" s="441">
        <v>0</v>
      </c>
      <c r="E1084" s="441" t="s">
        <v>1095</v>
      </c>
      <c r="F1084" s="365">
        <f t="shared" si="450"/>
        <v>245</v>
      </c>
      <c r="G1084" s="365">
        <f t="shared" si="451"/>
        <v>0</v>
      </c>
      <c r="H1084" s="365" t="s">
        <v>1095</v>
      </c>
      <c r="I1084" s="365">
        <f t="shared" si="452"/>
        <v>4410</v>
      </c>
      <c r="J1084" s="365">
        <f t="shared" si="453"/>
        <v>0</v>
      </c>
      <c r="K1084" s="365" t="s">
        <v>1095</v>
      </c>
      <c r="L1084" s="427">
        <f t="shared" si="454"/>
        <v>4410</v>
      </c>
      <c r="M1084" s="375" t="e">
        <f ca="1">SUMPRODUCT(--(WEEKDAY(ROW(INDIRECT(DATE($B$1069,MonthFromText(A1084),1)&amp;":"&amp;DATE($B$1069,MonthFromText(A1084),$N$10))),1)=1))</f>
        <v>#NAME?</v>
      </c>
      <c r="N1084" s="441">
        <f t="shared" si="455"/>
        <v>5</v>
      </c>
      <c r="O1084" s="4">
        <f t="shared" si="456"/>
        <v>245</v>
      </c>
      <c r="P1084" s="427">
        <f t="shared" si="457"/>
        <v>5880</v>
      </c>
      <c r="Q1084" s="365" t="e">
        <f t="shared" ca="1" si="459"/>
        <v>#NAME?</v>
      </c>
      <c r="R1084" s="427" t="e">
        <f t="shared" ca="1" si="458"/>
        <v>#NAME?</v>
      </c>
      <c r="S1084" s="470">
        <v>6</v>
      </c>
      <c r="T1084" s="470">
        <v>4</v>
      </c>
      <c r="AD1084" s="473" t="s">
        <v>1251</v>
      </c>
      <c r="AE1084" s="474" t="s">
        <v>7</v>
      </c>
      <c r="AJ1084" s="307"/>
    </row>
    <row r="1085" spans="1:50" ht="15.75" customHeight="1" x14ac:dyDescent="0.3">
      <c r="A1085" s="416" t="s">
        <v>21</v>
      </c>
      <c r="B1085" s="375" t="e">
        <f ca="1">+$O$10-M1085</f>
        <v>#NAME?</v>
      </c>
      <c r="C1085" s="441">
        <v>5</v>
      </c>
      <c r="D1085" s="441">
        <v>0</v>
      </c>
      <c r="E1085" s="441" t="s">
        <v>1095</v>
      </c>
      <c r="F1085" s="365">
        <f t="shared" si="450"/>
        <v>245</v>
      </c>
      <c r="G1085" s="365">
        <f t="shared" si="451"/>
        <v>0</v>
      </c>
      <c r="H1085" s="365" t="s">
        <v>1095</v>
      </c>
      <c r="I1085" s="365">
        <f t="shared" si="452"/>
        <v>4410</v>
      </c>
      <c r="J1085" s="365">
        <f t="shared" si="453"/>
        <v>0</v>
      </c>
      <c r="K1085" s="365" t="s">
        <v>1095</v>
      </c>
      <c r="L1085" s="427">
        <f t="shared" si="454"/>
        <v>4410</v>
      </c>
      <c r="M1085" s="375" t="e">
        <f ca="1">SUMPRODUCT(--(WEEKDAY(ROW(INDIRECT(DATE($B$1069,MonthFromText(A1085),1)&amp;":"&amp;DATE($B$1069,MonthFromText(A1085),$O$10))),1)=1))</f>
        <v>#NAME?</v>
      </c>
      <c r="N1085" s="441">
        <v>3</v>
      </c>
      <c r="O1085" s="4">
        <f t="shared" si="456"/>
        <v>147</v>
      </c>
      <c r="P1085" s="427">
        <f t="shared" si="457"/>
        <v>3528</v>
      </c>
      <c r="Q1085" s="365" t="e">
        <f t="shared" ca="1" si="459"/>
        <v>#NAME?</v>
      </c>
      <c r="R1085" s="427" t="e">
        <f t="shared" ca="1" si="458"/>
        <v>#NAME?</v>
      </c>
      <c r="S1085" s="470">
        <v>6</v>
      </c>
      <c r="T1085" s="470">
        <v>4</v>
      </c>
      <c r="AD1085" s="473" t="s">
        <v>413</v>
      </c>
      <c r="AE1085" s="474" t="s">
        <v>1250</v>
      </c>
      <c r="AF1085" s="4">
        <f>V1051</f>
        <v>401.72638888888889</v>
      </c>
      <c r="AG1085" s="4">
        <f>X1051</f>
        <v>3.1383375835475373</v>
      </c>
      <c r="AH1085" s="4">
        <f>Y1051</f>
        <v>-1.4505912194396473</v>
      </c>
      <c r="AI1085" s="4">
        <f>Z1051</f>
        <v>68.540277777777774</v>
      </c>
      <c r="AJ1085" s="307"/>
    </row>
    <row r="1086" spans="1:50" ht="15.75" customHeight="1" thickBot="1" x14ac:dyDescent="0.35">
      <c r="A1086" s="416" t="s">
        <v>22</v>
      </c>
      <c r="B1086" s="382" t="e">
        <f ca="1">+$P$10-M1086</f>
        <v>#NAME?</v>
      </c>
      <c r="C1086" s="442">
        <v>5</v>
      </c>
      <c r="D1086" s="442">
        <v>0</v>
      </c>
      <c r="E1086" s="441" t="s">
        <v>1095</v>
      </c>
      <c r="F1086" s="365">
        <f t="shared" si="450"/>
        <v>245</v>
      </c>
      <c r="G1086" s="365">
        <f t="shared" si="451"/>
        <v>0</v>
      </c>
      <c r="H1086" s="365" t="s">
        <v>1095</v>
      </c>
      <c r="I1086" s="365">
        <f t="shared" si="452"/>
        <v>4410</v>
      </c>
      <c r="J1086" s="365">
        <f t="shared" si="453"/>
        <v>0</v>
      </c>
      <c r="K1086" s="365" t="s">
        <v>1095</v>
      </c>
      <c r="L1086" s="427">
        <f t="shared" si="454"/>
        <v>4410</v>
      </c>
      <c r="M1086" s="382" t="e">
        <f ca="1">SUMPRODUCT(--(WEEKDAY(ROW(INDIRECT(DATE($B$1069,MonthFromText(A1086),1)&amp;":"&amp;DATE($B$1069,MonthFromText(A1086),$P$10))),1)=1))</f>
        <v>#NAME?</v>
      </c>
      <c r="N1086" s="441">
        <v>3</v>
      </c>
      <c r="O1086" s="312">
        <f t="shared" si="456"/>
        <v>147</v>
      </c>
      <c r="P1086" s="429">
        <f t="shared" si="457"/>
        <v>3528</v>
      </c>
      <c r="Q1086" s="443" t="e">
        <f t="shared" ca="1" si="459"/>
        <v>#NAME?</v>
      </c>
      <c r="R1086" s="444" t="e">
        <f t="shared" ca="1" si="458"/>
        <v>#NAME?</v>
      </c>
      <c r="S1086" s="470">
        <v>6</v>
      </c>
      <c r="T1086" s="470">
        <v>4</v>
      </c>
      <c r="AD1086" s="473"/>
      <c r="AE1086" s="474" t="s">
        <v>1244</v>
      </c>
      <c r="AF1086" s="4">
        <f>W1051</f>
        <v>107.72638888888889</v>
      </c>
      <c r="AG1086" s="4">
        <f>X1051</f>
        <v>3.1383375835475373</v>
      </c>
      <c r="AH1086" s="4">
        <f>Y1051</f>
        <v>-1.4505912194396473</v>
      </c>
      <c r="AI1086" s="4">
        <f>Z1051</f>
        <v>68.540277777777774</v>
      </c>
      <c r="AJ1086" s="307"/>
    </row>
    <row r="1087" spans="1:50" ht="15.75" customHeight="1" thickBot="1" x14ac:dyDescent="0.35">
      <c r="A1087" s="311"/>
      <c r="B1087" s="312"/>
      <c r="C1087" s="312"/>
      <c r="D1087" s="312"/>
      <c r="E1087" s="452"/>
      <c r="F1087" s="452"/>
      <c r="G1087" s="452"/>
      <c r="H1087" s="452"/>
      <c r="I1087" s="452"/>
      <c r="J1087" s="452"/>
      <c r="K1087" s="452"/>
      <c r="L1087" s="452"/>
      <c r="M1087" s="312"/>
      <c r="N1087" s="312"/>
      <c r="O1087" s="312"/>
      <c r="P1087" s="312"/>
      <c r="Q1087" s="369" t="e">
        <f ca="1">+SUM(Q1075:Q1086)</f>
        <v>#NAME?</v>
      </c>
      <c r="R1087" s="429" t="e">
        <f ca="1">+Q1087-B981</f>
        <v>#NAME?</v>
      </c>
      <c r="AD1087" s="473" t="s">
        <v>1251</v>
      </c>
      <c r="AE1087" s="474" t="s">
        <v>7</v>
      </c>
      <c r="AJ1087" s="307"/>
    </row>
    <row r="1088" spans="1:50" ht="15.75" customHeight="1" x14ac:dyDescent="0.3">
      <c r="A1088" s="418" t="s">
        <v>1110</v>
      </c>
      <c r="J1088" s="365"/>
      <c r="AD1088" s="473" t="s">
        <v>414</v>
      </c>
      <c r="AE1088" s="474" t="s">
        <v>1250</v>
      </c>
      <c r="AF1088" s="4">
        <f>V1052</f>
        <v>404.71102150537632</v>
      </c>
      <c r="AG1088" s="4">
        <f>X1052</f>
        <v>1.1827884043524532</v>
      </c>
      <c r="AH1088" s="4">
        <f>Y1052</f>
        <v>-1.0127167351370636</v>
      </c>
      <c r="AI1088" s="4">
        <f>Z1052</f>
        <v>66.646505376344095</v>
      </c>
      <c r="AJ1088" s="307"/>
    </row>
    <row r="1089" spans="1:36" ht="15.75" customHeight="1" x14ac:dyDescent="0.3">
      <c r="A1089" s="418" t="s">
        <v>1111</v>
      </c>
      <c r="AD1089" s="473"/>
      <c r="AE1089" s="474" t="s">
        <v>1244</v>
      </c>
      <c r="AF1089" s="4">
        <f>W1052</f>
        <v>110.71102150537634</v>
      </c>
      <c r="AG1089" s="4">
        <f>X1052</f>
        <v>1.1827884043524532</v>
      </c>
      <c r="AH1089" s="4">
        <f>Y1052</f>
        <v>-1.0127167351370636</v>
      </c>
      <c r="AI1089" s="4">
        <f>Z1052</f>
        <v>66.646505376344095</v>
      </c>
      <c r="AJ1089" s="307"/>
    </row>
    <row r="1090" spans="1:36" ht="15.75" customHeight="1" x14ac:dyDescent="0.3">
      <c r="A1090" s="418" t="s">
        <v>1112</v>
      </c>
      <c r="AD1090" s="473" t="s">
        <v>1251</v>
      </c>
      <c r="AE1090" s="474" t="s">
        <v>7</v>
      </c>
      <c r="AJ1090" s="307"/>
    </row>
    <row r="1091" spans="1:36" ht="15.75" customHeight="1" x14ac:dyDescent="0.3">
      <c r="AD1091" s="473" t="s">
        <v>415</v>
      </c>
      <c r="AE1091" s="474" t="s">
        <v>1250</v>
      </c>
      <c r="AF1091" s="4">
        <f>V1053</f>
        <v>204.40833333333333</v>
      </c>
      <c r="AG1091" s="4">
        <f>X1053</f>
        <v>0</v>
      </c>
      <c r="AH1091" s="4">
        <f>Y1053</f>
        <v>-20.071341999497623</v>
      </c>
      <c r="AI1091" s="4">
        <f>Z1053</f>
        <v>66.05972222222222</v>
      </c>
      <c r="AJ1091" s="307"/>
    </row>
    <row r="1092" spans="1:36" ht="15.75" customHeight="1" x14ac:dyDescent="0.3">
      <c r="A1092" s="4" t="s">
        <v>1252</v>
      </c>
      <c r="AD1092" s="473"/>
      <c r="AE1092" s="474" t="s">
        <v>1244</v>
      </c>
      <c r="AF1092" s="4">
        <f>W1053</f>
        <v>57.408333333333331</v>
      </c>
      <c r="AG1092" s="4">
        <f>X1053</f>
        <v>0</v>
      </c>
      <c r="AH1092" s="4">
        <f>Y1053</f>
        <v>-20.071341999497623</v>
      </c>
      <c r="AI1092" s="4">
        <f>Z1053</f>
        <v>66.05972222222222</v>
      </c>
      <c r="AJ1092" s="307"/>
    </row>
    <row r="1093" spans="1:36" ht="15.75" customHeight="1" x14ac:dyDescent="0.3">
      <c r="AD1093" s="473" t="s">
        <v>1251</v>
      </c>
      <c r="AE1093" s="474" t="s">
        <v>7</v>
      </c>
      <c r="AJ1093" s="307"/>
    </row>
    <row r="1094" spans="1:36" ht="15.75" customHeight="1" x14ac:dyDescent="0.3">
      <c r="AD1094" s="473" t="s">
        <v>416</v>
      </c>
      <c r="AE1094" s="474" t="s">
        <v>1250</v>
      </c>
      <c r="AF1094" s="4">
        <f>V1054</f>
        <v>194.13575268817203</v>
      </c>
      <c r="AG1094" s="4">
        <f>X1054</f>
        <v>0</v>
      </c>
      <c r="AH1094" s="4">
        <f>Y1054</f>
        <v>-19.193317872210777</v>
      </c>
      <c r="AI1094" s="4">
        <f>Z1054</f>
        <v>63.869623655913983</v>
      </c>
      <c r="AJ1094" s="307"/>
    </row>
    <row r="1095" spans="1:36" ht="16.5" customHeight="1" x14ac:dyDescent="0.3">
      <c r="AD1095" s="473"/>
      <c r="AE1095" s="474" t="s">
        <v>1244</v>
      </c>
      <c r="AF1095" s="4">
        <f>W1054</f>
        <v>47.13575268817204</v>
      </c>
      <c r="AG1095" s="4">
        <f>X1054</f>
        <v>0</v>
      </c>
      <c r="AH1095" s="4">
        <f>Y1054</f>
        <v>-19.193317872210777</v>
      </c>
      <c r="AI1095" s="4">
        <f>Z1054</f>
        <v>63.869623655913983</v>
      </c>
      <c r="AJ1095" s="307"/>
    </row>
    <row r="1096" spans="1:36" ht="15.75" customHeight="1" x14ac:dyDescent="0.3">
      <c r="AD1096" s="473" t="s">
        <v>1251</v>
      </c>
      <c r="AE1096" s="474" t="s">
        <v>7</v>
      </c>
      <c r="AJ1096" s="307"/>
    </row>
    <row r="1097" spans="1:36" ht="16.5" customHeight="1" x14ac:dyDescent="0.3">
      <c r="AD1097" s="473" t="s">
        <v>417</v>
      </c>
      <c r="AE1097" s="474" t="s">
        <v>1250</v>
      </c>
      <c r="AF1097" s="4">
        <f>V1055</f>
        <v>162.3991935483871</v>
      </c>
      <c r="AG1097" s="4">
        <f>X1055</f>
        <v>0</v>
      </c>
      <c r="AH1097" s="4">
        <f>Y1055</f>
        <v>-22.245169094778888</v>
      </c>
      <c r="AI1097" s="4">
        <f>Z1055</f>
        <v>67.284946236559136</v>
      </c>
      <c r="AJ1097" s="307"/>
    </row>
    <row r="1098" spans="1:36" ht="15.75" customHeight="1" x14ac:dyDescent="0.3">
      <c r="AD1098" s="473"/>
      <c r="AE1098" s="474" t="s">
        <v>1244</v>
      </c>
      <c r="AF1098" s="4">
        <f>W1055</f>
        <v>15.399193548387096</v>
      </c>
      <c r="AG1098" s="4">
        <f>X1055</f>
        <v>0</v>
      </c>
      <c r="AH1098" s="4">
        <f>Y1055</f>
        <v>-22.245169094778888</v>
      </c>
      <c r="AI1098" s="4">
        <f>Z1055</f>
        <v>67.284946236559136</v>
      </c>
      <c r="AJ1098" s="307"/>
    </row>
    <row r="1099" spans="1:36" ht="15.75" customHeight="1" x14ac:dyDescent="0.3">
      <c r="AD1099" s="473" t="s">
        <v>1251</v>
      </c>
      <c r="AE1099" s="474" t="s">
        <v>7</v>
      </c>
      <c r="AJ1099" s="307"/>
    </row>
    <row r="1100" spans="1:36" ht="15.75" customHeight="1" x14ac:dyDescent="0.3">
      <c r="AD1100" s="473" t="s">
        <v>1253</v>
      </c>
      <c r="AE1100" s="474" t="s">
        <v>1250</v>
      </c>
      <c r="AF1100" s="4">
        <f>V1056</f>
        <v>350.79722222222222</v>
      </c>
      <c r="AG1100" s="4">
        <f>X1056</f>
        <v>4.3052579416601784</v>
      </c>
      <c r="AH1100" s="4">
        <f>Y1056</f>
        <v>-1.1410015071590049</v>
      </c>
      <c r="AI1100" s="4">
        <f>Z1056</f>
        <v>57.140277777777776</v>
      </c>
      <c r="AJ1100" s="307"/>
    </row>
    <row r="1101" spans="1:36" ht="15.75" customHeight="1" x14ac:dyDescent="0.3">
      <c r="AD1101" s="473"/>
      <c r="AE1101" s="474" t="s">
        <v>1244</v>
      </c>
      <c r="AF1101" s="4">
        <f>W1056</f>
        <v>105.79722222222222</v>
      </c>
      <c r="AG1101" s="4">
        <f>X1056</f>
        <v>4.3052579416601784</v>
      </c>
      <c r="AH1101" s="4">
        <f>Y1056</f>
        <v>-1.1410015071590049</v>
      </c>
      <c r="AI1101" s="4">
        <f>Z1056</f>
        <v>57.140277777777776</v>
      </c>
      <c r="AJ1101" s="307"/>
    </row>
    <row r="1102" spans="1:36" ht="15.75" customHeight="1" x14ac:dyDescent="0.3">
      <c r="I1102" s="365"/>
      <c r="J1102" s="365"/>
      <c r="AD1102" s="473" t="s">
        <v>1251</v>
      </c>
      <c r="AE1102" s="474" t="s">
        <v>7</v>
      </c>
      <c r="AJ1102" s="307"/>
    </row>
    <row r="1103" spans="1:36" ht="15.75" customHeight="1" x14ac:dyDescent="0.3">
      <c r="AD1103" s="473" t="s">
        <v>419</v>
      </c>
      <c r="AE1103" s="474" t="s">
        <v>1250</v>
      </c>
      <c r="AF1103" s="4">
        <f>V1057</f>
        <v>354.83467741935488</v>
      </c>
      <c r="AG1103" s="4">
        <f>X1057</f>
        <v>22.928397106742242</v>
      </c>
      <c r="AH1103" s="4">
        <f>Y1057</f>
        <v>0</v>
      </c>
      <c r="AI1103" s="4">
        <f>Z1057</f>
        <v>26.626344086021508</v>
      </c>
      <c r="AJ1103" s="307"/>
    </row>
    <row r="1104" spans="1:36" ht="15.75" customHeight="1" x14ac:dyDescent="0.3">
      <c r="AD1104" s="473"/>
      <c r="AE1104" s="474" t="s">
        <v>1244</v>
      </c>
      <c r="AF1104" s="4">
        <f>W1057</f>
        <v>109.83467741935485</v>
      </c>
      <c r="AG1104" s="4">
        <f>X1057</f>
        <v>22.928397106742242</v>
      </c>
      <c r="AH1104" s="4">
        <f>Y1057</f>
        <v>0</v>
      </c>
      <c r="AI1104" s="4">
        <f>Z1057</f>
        <v>26.626344086021508</v>
      </c>
      <c r="AJ1104" s="307"/>
    </row>
    <row r="1105" spans="1:36" ht="15.75" customHeight="1" x14ac:dyDescent="0.3">
      <c r="AD1105" s="473" t="s">
        <v>1251</v>
      </c>
      <c r="AE1105" s="474" t="s">
        <v>7</v>
      </c>
      <c r="AJ1105" s="307"/>
    </row>
    <row r="1106" spans="1:36" ht="15.75" customHeight="1" x14ac:dyDescent="0.3">
      <c r="AD1106" s="473" t="s">
        <v>420</v>
      </c>
      <c r="AE1106" s="474" t="s">
        <v>1250</v>
      </c>
      <c r="AF1106" s="4">
        <f>V1058</f>
        <v>355.33472222222224</v>
      </c>
      <c r="AG1106" s="4">
        <f>X1058</f>
        <v>21.466920605037654</v>
      </c>
      <c r="AH1106" s="4">
        <f>Y1058</f>
        <v>-1.8917336515113424E-2</v>
      </c>
      <c r="AI1106" s="4">
        <f>Z1058</f>
        <v>16.7</v>
      </c>
      <c r="AJ1106" s="307"/>
    </row>
    <row r="1107" spans="1:36" ht="15.75" customHeight="1" x14ac:dyDescent="0.3">
      <c r="AD1107" s="473"/>
      <c r="AE1107" s="474" t="s">
        <v>1244</v>
      </c>
      <c r="AF1107" s="4">
        <f>W1058</f>
        <v>110.33472222222221</v>
      </c>
      <c r="AG1107" s="4">
        <f>X1058</f>
        <v>21.466920605037654</v>
      </c>
      <c r="AH1107" s="4">
        <f>Y1058</f>
        <v>-1.8917336515113424E-2</v>
      </c>
      <c r="AI1107" s="4">
        <f>Z1058</f>
        <v>16.7</v>
      </c>
      <c r="AJ1107" s="307"/>
    </row>
    <row r="1108" spans="1:36" ht="15.75" customHeight="1" x14ac:dyDescent="0.3">
      <c r="AD1108" s="473" t="s">
        <v>1251</v>
      </c>
      <c r="AE1108" s="474" t="s">
        <v>7</v>
      </c>
      <c r="AJ1108" s="307"/>
    </row>
    <row r="1109" spans="1:36" ht="15.75" customHeight="1" thickBot="1" x14ac:dyDescent="0.35">
      <c r="AD1109" s="473" t="s">
        <v>421</v>
      </c>
      <c r="AE1109" s="474" t="s">
        <v>1250</v>
      </c>
      <c r="AF1109" s="4">
        <f>V1059</f>
        <v>333.93010752688173</v>
      </c>
      <c r="AG1109" s="4">
        <f>X1059</f>
        <v>20.731206096083827</v>
      </c>
      <c r="AH1109" s="4">
        <f>Y1059</f>
        <v>0</v>
      </c>
      <c r="AI1109" s="4">
        <f>Z1059</f>
        <v>14.760752688172044</v>
      </c>
      <c r="AJ1109" s="307"/>
    </row>
    <row r="1110" spans="1:36" ht="15.75" customHeight="1" x14ac:dyDescent="0.35">
      <c r="A1110" s="318"/>
      <c r="B1110" s="319"/>
      <c r="C1110" s="336"/>
      <c r="D1110" s="336"/>
      <c r="E1110" s="336"/>
      <c r="F1110" s="336"/>
      <c r="G1110" s="336"/>
      <c r="H1110" s="321" t="s">
        <v>506</v>
      </c>
      <c r="I1110" s="319"/>
      <c r="J1110" s="319"/>
      <c r="K1110" s="319"/>
      <c r="L1110" s="319"/>
      <c r="M1110" s="319"/>
      <c r="N1110" s="319"/>
      <c r="O1110" s="319"/>
      <c r="P1110" s="319"/>
      <c r="Q1110" s="361" t="str">
        <f>+Q1</f>
        <v xml:space="preserve">PRINTED:  </v>
      </c>
      <c r="R1110" s="367">
        <f ca="1">+R1</f>
        <v>44909.46975358796</v>
      </c>
      <c r="S1110" s="332"/>
      <c r="AD1110" s="473"/>
      <c r="AE1110" s="474" t="s">
        <v>1244</v>
      </c>
      <c r="AF1110" s="4">
        <f>W1059</f>
        <v>88.930107526881727</v>
      </c>
      <c r="AG1110" s="4">
        <f>X1059</f>
        <v>20.731206096083827</v>
      </c>
      <c r="AH1110" s="4">
        <f>Y1059</f>
        <v>0</v>
      </c>
      <c r="AI1110" s="4">
        <f>Z1059</f>
        <v>14.760752688172044</v>
      </c>
      <c r="AJ1110" s="307"/>
    </row>
    <row r="1111" spans="1:36" ht="15.75" customHeight="1" thickBot="1" x14ac:dyDescent="0.4">
      <c r="A1111" s="323"/>
      <c r="B1111" s="159"/>
      <c r="C1111" s="167"/>
      <c r="D1111" s="167"/>
      <c r="E1111" s="167"/>
      <c r="F1111" s="167"/>
      <c r="G1111" s="167"/>
      <c r="H1111" s="159" t="s">
        <v>424</v>
      </c>
      <c r="I1111" s="159" t="s">
        <v>7</v>
      </c>
      <c r="J1111" s="163" t="str">
        <f>+A8</f>
        <v>Revised:  3/2/2019</v>
      </c>
      <c r="K1111" s="159"/>
      <c r="L1111" s="159"/>
      <c r="M1111" s="159"/>
      <c r="N1111" s="159"/>
      <c r="O1111" s="159"/>
      <c r="P1111" s="159"/>
      <c r="Q1111" s="159"/>
      <c r="R1111" s="159"/>
      <c r="S1111" s="307"/>
      <c r="AD1111" s="475" t="s">
        <v>1251</v>
      </c>
      <c r="AE1111" s="476" t="s">
        <v>7</v>
      </c>
      <c r="AF1111" s="312"/>
      <c r="AG1111" s="312"/>
      <c r="AH1111" s="312"/>
      <c r="AI1111" s="312"/>
      <c r="AJ1111" s="313"/>
    </row>
    <row r="1112" spans="1:36" ht="15.75" customHeight="1" x14ac:dyDescent="0.35">
      <c r="A1112" s="323"/>
      <c r="B1112" s="159"/>
      <c r="C1112" s="167"/>
      <c r="D1112" s="167"/>
      <c r="E1112" s="167"/>
      <c r="F1112" s="167"/>
      <c r="G1112" s="167"/>
      <c r="H1112" s="159" t="s">
        <v>387</v>
      </c>
      <c r="I1112" s="159"/>
      <c r="J1112" s="159"/>
      <c r="K1112" s="159"/>
      <c r="L1112" s="159"/>
      <c r="M1112" s="159"/>
      <c r="N1112" s="159"/>
      <c r="O1112" s="159"/>
      <c r="P1112" s="159"/>
      <c r="Q1112" s="159"/>
      <c r="R1112" s="159"/>
      <c r="S1112" s="307"/>
    </row>
    <row r="1113" spans="1:36" ht="15.75" customHeight="1" x14ac:dyDescent="0.35">
      <c r="A1113" s="323"/>
      <c r="B1113" s="159"/>
      <c r="C1113" s="167"/>
      <c r="D1113" s="167"/>
      <c r="E1113" s="167"/>
      <c r="F1113" s="167"/>
      <c r="G1113" s="167"/>
      <c r="H1113" s="159"/>
      <c r="I1113" s="159"/>
      <c r="J1113" s="159"/>
      <c r="K1113" s="159"/>
      <c r="L1113" s="159"/>
      <c r="M1113" s="159"/>
      <c r="N1113" s="159"/>
      <c r="O1113" s="159"/>
      <c r="P1113" s="159"/>
      <c r="Q1113" s="159"/>
      <c r="R1113" s="159"/>
      <c r="S1113" s="307"/>
    </row>
    <row r="1114" spans="1:36" ht="15.75" customHeight="1" x14ac:dyDescent="0.35">
      <c r="A1114" s="323"/>
      <c r="B1114" s="159"/>
      <c r="C1114" s="167"/>
      <c r="D1114" s="167"/>
      <c r="E1114" s="167"/>
      <c r="F1114" s="167"/>
      <c r="G1114" s="167"/>
      <c r="H1114" s="159" t="s">
        <v>424</v>
      </c>
      <c r="I1114" s="446">
        <f>+A5</f>
        <v>2018</v>
      </c>
      <c r="J1114" s="159"/>
      <c r="K1114" s="159"/>
      <c r="L1114" s="159"/>
      <c r="M1114" s="159"/>
      <c r="N1114" s="159"/>
      <c r="O1114" s="159"/>
      <c r="P1114" s="159"/>
      <c r="Q1114" s="159"/>
      <c r="R1114" s="159"/>
      <c r="S1114" s="307"/>
    </row>
    <row r="1115" spans="1:36" ht="15.75" customHeight="1" x14ac:dyDescent="0.3">
      <c r="A1115" s="323"/>
      <c r="B1115" s="159"/>
      <c r="C1115" s="159"/>
      <c r="D1115" s="159"/>
      <c r="E1115" s="159"/>
      <c r="F1115" s="159"/>
      <c r="G1115" s="159"/>
      <c r="H1115" s="159"/>
      <c r="I1115" s="159"/>
      <c r="J1115" s="159"/>
      <c r="K1115" s="159"/>
      <c r="L1115" s="159"/>
      <c r="M1115" s="159"/>
      <c r="N1115" s="159"/>
      <c r="O1115" s="159"/>
      <c r="P1115" s="159"/>
      <c r="Q1115" s="159"/>
      <c r="R1115" s="159"/>
      <c r="S1115" s="307"/>
    </row>
    <row r="1116" spans="1:36" ht="15.75" customHeight="1" x14ac:dyDescent="0.3">
      <c r="A1116" s="323"/>
      <c r="B1116" s="159"/>
      <c r="C1116" s="161" t="s">
        <v>507</v>
      </c>
      <c r="D1116" s="159"/>
      <c r="E1116" s="159"/>
      <c r="F1116" s="159"/>
      <c r="G1116" s="161" t="s">
        <v>508</v>
      </c>
      <c r="H1116" s="159"/>
      <c r="I1116" s="159"/>
      <c r="J1116" s="159"/>
      <c r="K1116" s="160" t="s">
        <v>509</v>
      </c>
      <c r="L1116" s="159"/>
      <c r="M1116" s="159"/>
      <c r="N1116" s="159"/>
      <c r="O1116" s="160" t="s">
        <v>510</v>
      </c>
      <c r="P1116" s="159"/>
      <c r="Q1116" s="159"/>
      <c r="R1116" s="159"/>
      <c r="S1116" s="307"/>
    </row>
    <row r="1117" spans="1:36" ht="15.75" customHeight="1" x14ac:dyDescent="0.3">
      <c r="A1117" s="323"/>
      <c r="B1117" s="159"/>
      <c r="C1117" s="159">
        <f>+A5</f>
        <v>2018</v>
      </c>
      <c r="D1117" s="159"/>
      <c r="E1117" s="159"/>
      <c r="F1117" s="159" t="s">
        <v>511</v>
      </c>
      <c r="G1117" s="159"/>
      <c r="H1117" s="159"/>
      <c r="I1117" s="159"/>
      <c r="J1117" s="159"/>
      <c r="K1117" s="159">
        <f>+A5</f>
        <v>2018</v>
      </c>
      <c r="L1117" s="159"/>
      <c r="M1117" s="159"/>
      <c r="N1117" s="159"/>
      <c r="O1117" s="159">
        <f>+A5</f>
        <v>2018</v>
      </c>
      <c r="P1117" s="159"/>
      <c r="Q1117" s="159"/>
      <c r="R1117" s="159"/>
      <c r="S1117" s="307"/>
    </row>
    <row r="1118" spans="1:36" ht="15.75" customHeight="1" x14ac:dyDescent="0.3">
      <c r="A1118" s="323"/>
      <c r="B1118" s="159"/>
      <c r="C1118" s="159"/>
      <c r="D1118" s="159"/>
      <c r="E1118" s="159"/>
      <c r="F1118" s="159"/>
      <c r="G1118" s="159">
        <f>+A5</f>
        <v>2018</v>
      </c>
      <c r="H1118" s="159"/>
      <c r="I1118" s="159"/>
      <c r="J1118" s="159"/>
      <c r="K1118" s="159"/>
      <c r="L1118" s="159"/>
      <c r="M1118" s="159"/>
      <c r="N1118" s="159"/>
      <c r="O1118" s="159"/>
      <c r="P1118" s="159"/>
      <c r="Q1118" s="159"/>
      <c r="R1118" s="159"/>
      <c r="S1118" s="307"/>
    </row>
    <row r="1119" spans="1:36" ht="15.75" customHeight="1" x14ac:dyDescent="0.3">
      <c r="A1119" s="323"/>
      <c r="B1119" s="159"/>
      <c r="C1119" s="164" t="s">
        <v>475</v>
      </c>
      <c r="D1119" s="164" t="s">
        <v>512</v>
      </c>
      <c r="E1119" s="164" t="s">
        <v>513</v>
      </c>
      <c r="F1119" s="159"/>
      <c r="G1119" s="164" t="s">
        <v>473</v>
      </c>
      <c r="H1119" s="164" t="s">
        <v>512</v>
      </c>
      <c r="I1119" s="164" t="s">
        <v>514</v>
      </c>
      <c r="J1119" s="159"/>
      <c r="K1119" s="164" t="s">
        <v>472</v>
      </c>
      <c r="L1119" s="164" t="s">
        <v>512</v>
      </c>
      <c r="M1119" s="164" t="s">
        <v>515</v>
      </c>
      <c r="N1119" s="159"/>
      <c r="O1119" s="164" t="s">
        <v>472</v>
      </c>
      <c r="P1119" s="164" t="s">
        <v>512</v>
      </c>
      <c r="Q1119" s="164" t="s">
        <v>515</v>
      </c>
      <c r="R1119" s="159"/>
      <c r="S1119" s="307"/>
    </row>
    <row r="1120" spans="1:36" ht="15.75" customHeight="1" x14ac:dyDescent="0.3">
      <c r="A1120" s="323"/>
      <c r="B1120" s="159"/>
      <c r="C1120" s="164" t="s">
        <v>483</v>
      </c>
      <c r="D1120" s="164" t="s">
        <v>442</v>
      </c>
      <c r="E1120" s="164" t="s">
        <v>462</v>
      </c>
      <c r="F1120" s="159"/>
      <c r="G1120" s="164" t="s">
        <v>481</v>
      </c>
      <c r="H1120" s="164" t="s">
        <v>442</v>
      </c>
      <c r="I1120" s="164" t="s">
        <v>462</v>
      </c>
      <c r="J1120" s="159"/>
      <c r="K1120" s="164" t="s">
        <v>480</v>
      </c>
      <c r="L1120" s="164" t="s">
        <v>442</v>
      </c>
      <c r="M1120" s="164" t="s">
        <v>462</v>
      </c>
      <c r="N1120" s="159"/>
      <c r="O1120" s="164" t="s">
        <v>480</v>
      </c>
      <c r="P1120" s="164" t="s">
        <v>442</v>
      </c>
      <c r="Q1120" s="164" t="s">
        <v>462</v>
      </c>
      <c r="R1120" s="159"/>
      <c r="S1120" s="307"/>
    </row>
    <row r="1121" spans="1:19" ht="15.75" customHeight="1" x14ac:dyDescent="0.3">
      <c r="A1121" s="323"/>
      <c r="B1121" s="159"/>
      <c r="C1121" s="164" t="s">
        <v>442</v>
      </c>
      <c r="D1121" s="164" t="s">
        <v>439</v>
      </c>
      <c r="E1121" s="164" t="s">
        <v>463</v>
      </c>
      <c r="F1121" s="159"/>
      <c r="G1121" s="164" t="s">
        <v>486</v>
      </c>
      <c r="H1121" s="164" t="s">
        <v>439</v>
      </c>
      <c r="I1121" s="164" t="s">
        <v>463</v>
      </c>
      <c r="J1121" s="159"/>
      <c r="K1121" s="164" t="s">
        <v>442</v>
      </c>
      <c r="L1121" s="164" t="s">
        <v>439</v>
      </c>
      <c r="M1121" s="164" t="s">
        <v>463</v>
      </c>
      <c r="N1121" s="159"/>
      <c r="O1121" s="164" t="s">
        <v>442</v>
      </c>
      <c r="P1121" s="164" t="s">
        <v>439</v>
      </c>
      <c r="Q1121" s="164" t="s">
        <v>463</v>
      </c>
      <c r="R1121" s="159"/>
      <c r="S1121" s="307"/>
    </row>
    <row r="1122" spans="1:19" ht="15.75" customHeight="1" x14ac:dyDescent="0.3">
      <c r="A1122" s="323"/>
      <c r="B1122" s="159"/>
      <c r="C1122" s="164" t="s">
        <v>448</v>
      </c>
      <c r="D1122" s="164" t="s">
        <v>516</v>
      </c>
      <c r="E1122" s="164" t="s">
        <v>464</v>
      </c>
      <c r="F1122" s="159"/>
      <c r="G1122" s="164" t="s">
        <v>448</v>
      </c>
      <c r="H1122" s="164" t="s">
        <v>516</v>
      </c>
      <c r="I1122" s="164" t="s">
        <v>464</v>
      </c>
      <c r="J1122" s="159"/>
      <c r="K1122" s="164" t="s">
        <v>448</v>
      </c>
      <c r="L1122" s="164" t="s">
        <v>516</v>
      </c>
      <c r="M1122" s="164" t="s">
        <v>464</v>
      </c>
      <c r="N1122" s="159"/>
      <c r="O1122" s="164" t="s">
        <v>448</v>
      </c>
      <c r="P1122" s="164" t="s">
        <v>516</v>
      </c>
      <c r="Q1122" s="164" t="s">
        <v>464</v>
      </c>
      <c r="R1122" s="159"/>
      <c r="S1122" s="307"/>
    </row>
    <row r="1123" spans="1:19" ht="15.75" customHeight="1" x14ac:dyDescent="0.3">
      <c r="A1123" s="323"/>
      <c r="B1123" s="159"/>
      <c r="C1123" s="159" t="s">
        <v>409</v>
      </c>
      <c r="D1123" s="159" t="s">
        <v>409</v>
      </c>
      <c r="E1123" s="159" t="s">
        <v>409</v>
      </c>
      <c r="F1123" s="159"/>
      <c r="G1123" s="164" t="s">
        <v>409</v>
      </c>
      <c r="H1123" s="164" t="s">
        <v>409</v>
      </c>
      <c r="I1123" s="164" t="s">
        <v>409</v>
      </c>
      <c r="J1123" s="159"/>
      <c r="K1123" s="159" t="s">
        <v>409</v>
      </c>
      <c r="L1123" s="159" t="s">
        <v>409</v>
      </c>
      <c r="M1123" s="159" t="s">
        <v>409</v>
      </c>
      <c r="N1123" s="159"/>
      <c r="O1123" s="159" t="s">
        <v>409</v>
      </c>
      <c r="P1123" s="159" t="s">
        <v>409</v>
      </c>
      <c r="Q1123" s="159" t="s">
        <v>409</v>
      </c>
      <c r="R1123" s="159"/>
      <c r="S1123" s="307"/>
    </row>
    <row r="1124" spans="1:19" ht="15.75" customHeight="1" x14ac:dyDescent="0.3">
      <c r="A1124" s="325" t="s">
        <v>410</v>
      </c>
      <c r="B1124" s="159"/>
      <c r="C1124" s="159">
        <f t="shared" ref="C1124:C1135" si="460">(P996)</f>
        <v>0.2</v>
      </c>
      <c r="D1124" s="172">
        <v>0</v>
      </c>
      <c r="E1124" s="168">
        <f t="shared" ref="E1124:E1135" si="461">(P996*D1124/1000)</f>
        <v>0</v>
      </c>
      <c r="F1124" s="159"/>
      <c r="G1124" s="159">
        <v>0</v>
      </c>
      <c r="H1124" s="172">
        <v>0</v>
      </c>
      <c r="I1124" s="168">
        <f t="shared" ref="I1124:I1135" si="462">(G1124*H1124/1000)</f>
        <v>0</v>
      </c>
      <c r="J1124" s="159"/>
      <c r="K1124" s="447">
        <v>11848</v>
      </c>
      <c r="L1124" s="448">
        <v>0</v>
      </c>
      <c r="M1124" s="168">
        <f t="shared" ref="M1124:M1135" si="463">(K1124*L1124/1000)</f>
        <v>0</v>
      </c>
      <c r="N1124" s="159"/>
      <c r="O1124" s="447">
        <v>0</v>
      </c>
      <c r="P1124" s="172">
        <v>0</v>
      </c>
      <c r="Q1124" s="168">
        <f t="shared" ref="Q1124:Q1135" si="464">(O1124*P1124/1000)</f>
        <v>0</v>
      </c>
      <c r="R1124" s="159"/>
      <c r="S1124" s="307"/>
    </row>
    <row r="1125" spans="1:19" ht="15.75" customHeight="1" x14ac:dyDescent="0.3">
      <c r="A1125" s="325" t="s">
        <v>411</v>
      </c>
      <c r="B1125" s="159"/>
      <c r="C1125" s="159">
        <f t="shared" si="460"/>
        <v>0.25</v>
      </c>
      <c r="D1125" s="172">
        <v>0</v>
      </c>
      <c r="E1125" s="168">
        <f t="shared" si="461"/>
        <v>0</v>
      </c>
      <c r="F1125" s="159"/>
      <c r="G1125" s="159" t="e">
        <f>#REF!</f>
        <v>#REF!</v>
      </c>
      <c r="H1125" s="172">
        <v>0</v>
      </c>
      <c r="I1125" s="168" t="e">
        <f t="shared" si="462"/>
        <v>#REF!</v>
      </c>
      <c r="J1125" s="159"/>
      <c r="K1125" s="447">
        <v>11489</v>
      </c>
      <c r="L1125" s="448">
        <v>0</v>
      </c>
      <c r="M1125" s="168">
        <f t="shared" si="463"/>
        <v>0</v>
      </c>
      <c r="N1125" s="159"/>
      <c r="O1125" s="447">
        <v>0</v>
      </c>
      <c r="P1125" s="172">
        <v>0</v>
      </c>
      <c r="Q1125" s="168">
        <f t="shared" si="464"/>
        <v>0</v>
      </c>
      <c r="R1125" s="159"/>
      <c r="S1125" s="307"/>
    </row>
    <row r="1126" spans="1:19" ht="15.75" customHeight="1" x14ac:dyDescent="0.3">
      <c r="A1126" s="325" t="s">
        <v>412</v>
      </c>
      <c r="B1126" s="159"/>
      <c r="C1126" s="159">
        <f t="shared" si="460"/>
        <v>0.3</v>
      </c>
      <c r="D1126" s="172">
        <v>0</v>
      </c>
      <c r="E1126" s="168">
        <f t="shared" si="461"/>
        <v>0</v>
      </c>
      <c r="F1126" s="159">
        <f>SUM(E1124:E1126)</f>
        <v>0</v>
      </c>
      <c r="G1126" s="159" t="e">
        <f>#REF!</f>
        <v>#REF!</v>
      </c>
      <c r="H1126" s="172">
        <v>0</v>
      </c>
      <c r="I1126" s="168" t="e">
        <f t="shared" si="462"/>
        <v>#REF!</v>
      </c>
      <c r="J1126" s="159" t="e">
        <f>SUM(I1124:I1126)</f>
        <v>#REF!</v>
      </c>
      <c r="K1126" s="447">
        <v>16247</v>
      </c>
      <c r="L1126" s="448">
        <v>0</v>
      </c>
      <c r="M1126" s="168">
        <f t="shared" si="463"/>
        <v>0</v>
      </c>
      <c r="N1126" s="159">
        <f>SUM(M1124:M1126)</f>
        <v>0</v>
      </c>
      <c r="O1126" s="447">
        <v>0</v>
      </c>
      <c r="P1126" s="172">
        <v>0</v>
      </c>
      <c r="Q1126" s="168">
        <f t="shared" si="464"/>
        <v>0</v>
      </c>
      <c r="R1126" s="159">
        <f>SUM(Q1124:Q1126)</f>
        <v>0</v>
      </c>
      <c r="S1126" s="307"/>
    </row>
    <row r="1127" spans="1:19" ht="15.75" customHeight="1" x14ac:dyDescent="0.3">
      <c r="A1127" s="325" t="s">
        <v>413</v>
      </c>
      <c r="B1127" s="159"/>
      <c r="C1127" s="159">
        <f t="shared" si="460"/>
        <v>0.35</v>
      </c>
      <c r="D1127" s="172">
        <v>0</v>
      </c>
      <c r="E1127" s="168">
        <f t="shared" si="461"/>
        <v>0</v>
      </c>
      <c r="F1127" s="159"/>
      <c r="G1127" s="159" t="e">
        <f>#REF!</f>
        <v>#REF!</v>
      </c>
      <c r="H1127" s="172">
        <v>0</v>
      </c>
      <c r="I1127" s="168" t="e">
        <f t="shared" si="462"/>
        <v>#REF!</v>
      </c>
      <c r="J1127" s="159"/>
      <c r="K1127" s="447">
        <v>17740</v>
      </c>
      <c r="L1127" s="448">
        <v>0</v>
      </c>
      <c r="M1127" s="168">
        <f t="shared" si="463"/>
        <v>0</v>
      </c>
      <c r="N1127" s="159"/>
      <c r="O1127" s="447">
        <v>0</v>
      </c>
      <c r="P1127" s="172">
        <v>0</v>
      </c>
      <c r="Q1127" s="168">
        <f t="shared" si="464"/>
        <v>0</v>
      </c>
      <c r="R1127" s="159"/>
      <c r="S1127" s="307"/>
    </row>
    <row r="1128" spans="1:19" ht="15.75" customHeight="1" x14ac:dyDescent="0.3">
      <c r="A1128" s="325" t="s">
        <v>414</v>
      </c>
      <c r="B1128" s="159"/>
      <c r="C1128" s="159">
        <f t="shared" si="460"/>
        <v>0.35</v>
      </c>
      <c r="D1128" s="172">
        <v>0</v>
      </c>
      <c r="E1128" s="168">
        <f t="shared" si="461"/>
        <v>0</v>
      </c>
      <c r="F1128" s="159"/>
      <c r="G1128" s="159" t="e">
        <f>#REF!</f>
        <v>#REF!</v>
      </c>
      <c r="H1128" s="172">
        <v>0</v>
      </c>
      <c r="I1128" s="168" t="e">
        <f t="shared" si="462"/>
        <v>#REF!</v>
      </c>
      <c r="J1128" s="159"/>
      <c r="K1128" s="447">
        <v>15434</v>
      </c>
      <c r="L1128" s="448">
        <v>0</v>
      </c>
      <c r="M1128" s="168">
        <f t="shared" si="463"/>
        <v>0</v>
      </c>
      <c r="N1128" s="159"/>
      <c r="O1128" s="447">
        <v>0</v>
      </c>
      <c r="P1128" s="172">
        <v>0</v>
      </c>
      <c r="Q1128" s="168">
        <f t="shared" si="464"/>
        <v>0</v>
      </c>
      <c r="R1128" s="159"/>
      <c r="S1128" s="307"/>
    </row>
    <row r="1129" spans="1:19" ht="15.75" customHeight="1" x14ac:dyDescent="0.3">
      <c r="A1129" s="325" t="s">
        <v>415</v>
      </c>
      <c r="B1129" s="159"/>
      <c r="C1129" s="159">
        <f t="shared" si="460"/>
        <v>7.4999999999999997E-2</v>
      </c>
      <c r="D1129" s="172">
        <v>0</v>
      </c>
      <c r="E1129" s="168">
        <f t="shared" si="461"/>
        <v>0</v>
      </c>
      <c r="F1129" s="159">
        <f>SUM(E1127:E1129)</f>
        <v>0</v>
      </c>
      <c r="G1129" s="159" t="e">
        <f>#REF!</f>
        <v>#REF!</v>
      </c>
      <c r="H1129" s="172">
        <v>0</v>
      </c>
      <c r="I1129" s="168" t="e">
        <f t="shared" si="462"/>
        <v>#REF!</v>
      </c>
      <c r="J1129" s="159" t="e">
        <f>SUM(I1127:I1129)</f>
        <v>#REF!</v>
      </c>
      <c r="K1129" s="447">
        <v>14355</v>
      </c>
      <c r="L1129" s="448">
        <v>0</v>
      </c>
      <c r="M1129" s="168">
        <f t="shared" si="463"/>
        <v>0</v>
      </c>
      <c r="N1129" s="159">
        <f>SUM(M1127:M1129)</f>
        <v>0</v>
      </c>
      <c r="O1129" s="447">
        <v>0</v>
      </c>
      <c r="P1129" s="172">
        <v>0</v>
      </c>
      <c r="Q1129" s="168">
        <f t="shared" si="464"/>
        <v>0</v>
      </c>
      <c r="R1129" s="159">
        <f>SUM(Q1127:Q1129)</f>
        <v>0</v>
      </c>
      <c r="S1129" s="307"/>
    </row>
    <row r="1130" spans="1:19" ht="15.75" customHeight="1" x14ac:dyDescent="0.3">
      <c r="A1130" s="325" t="s">
        <v>416</v>
      </c>
      <c r="B1130" s="159"/>
      <c r="C1130" s="159">
        <f t="shared" si="460"/>
        <v>0.05</v>
      </c>
      <c r="D1130" s="172">
        <v>0</v>
      </c>
      <c r="E1130" s="168">
        <f t="shared" si="461"/>
        <v>0</v>
      </c>
      <c r="F1130" s="159"/>
      <c r="G1130" s="159" t="e">
        <f>#REF!</f>
        <v>#REF!</v>
      </c>
      <c r="H1130" s="172">
        <v>0</v>
      </c>
      <c r="I1130" s="168" t="e">
        <f t="shared" si="462"/>
        <v>#REF!</v>
      </c>
      <c r="J1130" s="159"/>
      <c r="K1130" s="447">
        <v>13129</v>
      </c>
      <c r="L1130" s="448">
        <v>0</v>
      </c>
      <c r="M1130" s="168">
        <f t="shared" si="463"/>
        <v>0</v>
      </c>
      <c r="N1130" s="159"/>
      <c r="O1130" s="447">
        <v>0</v>
      </c>
      <c r="P1130" s="172">
        <v>0</v>
      </c>
      <c r="Q1130" s="168">
        <f t="shared" si="464"/>
        <v>0</v>
      </c>
      <c r="R1130" s="159"/>
      <c r="S1130" s="307"/>
    </row>
    <row r="1131" spans="1:19" ht="15.75" customHeight="1" x14ac:dyDescent="0.3">
      <c r="A1131" s="325" t="s">
        <v>417</v>
      </c>
      <c r="B1131" s="159"/>
      <c r="C1131" s="159">
        <f t="shared" si="460"/>
        <v>0</v>
      </c>
      <c r="D1131" s="172">
        <v>0</v>
      </c>
      <c r="E1131" s="168">
        <f t="shared" si="461"/>
        <v>0</v>
      </c>
      <c r="F1131" s="159"/>
      <c r="G1131" s="159" t="e">
        <f>#REF!</f>
        <v>#REF!</v>
      </c>
      <c r="H1131" s="172">
        <v>0</v>
      </c>
      <c r="I1131" s="168" t="e">
        <f t="shared" si="462"/>
        <v>#REF!</v>
      </c>
      <c r="J1131" s="159"/>
      <c r="K1131" s="447">
        <v>12545</v>
      </c>
      <c r="L1131" s="448">
        <v>0</v>
      </c>
      <c r="M1131" s="168">
        <f t="shared" si="463"/>
        <v>0</v>
      </c>
      <c r="N1131" s="159"/>
      <c r="O1131" s="447">
        <v>0</v>
      </c>
      <c r="P1131" s="172">
        <v>0</v>
      </c>
      <c r="Q1131" s="168">
        <f t="shared" si="464"/>
        <v>0</v>
      </c>
      <c r="R1131" s="159"/>
      <c r="S1131" s="307"/>
    </row>
    <row r="1132" spans="1:19" ht="15.75" customHeight="1" x14ac:dyDescent="0.3">
      <c r="A1132" s="325" t="s">
        <v>418</v>
      </c>
      <c r="B1132" s="159"/>
      <c r="C1132" s="159">
        <f t="shared" si="460"/>
        <v>0.05</v>
      </c>
      <c r="D1132" s="172">
        <v>0</v>
      </c>
      <c r="E1132" s="168">
        <f t="shared" si="461"/>
        <v>0</v>
      </c>
      <c r="F1132" s="159">
        <f>SUM(E1130:E1132)</f>
        <v>0</v>
      </c>
      <c r="G1132" s="159" t="e">
        <f>#REF!</f>
        <v>#REF!</v>
      </c>
      <c r="H1132" s="172">
        <v>0</v>
      </c>
      <c r="I1132" s="168" t="e">
        <f t="shared" si="462"/>
        <v>#REF!</v>
      </c>
      <c r="J1132" s="159" t="e">
        <f>SUM(I1130:I1132)</f>
        <v>#REF!</v>
      </c>
      <c r="K1132" s="447">
        <v>9350</v>
      </c>
      <c r="L1132" s="448">
        <v>0</v>
      </c>
      <c r="M1132" s="168">
        <f t="shared" si="463"/>
        <v>0</v>
      </c>
      <c r="N1132" s="159">
        <f>SUM(M1130:M1132)</f>
        <v>0</v>
      </c>
      <c r="O1132" s="447">
        <v>0</v>
      </c>
      <c r="P1132" s="172">
        <v>0</v>
      </c>
      <c r="Q1132" s="168">
        <f t="shared" si="464"/>
        <v>0</v>
      </c>
      <c r="R1132" s="159">
        <f>SUM(Q1130:Q1132)</f>
        <v>0</v>
      </c>
      <c r="S1132" s="307"/>
    </row>
    <row r="1133" spans="1:19" ht="15.75" customHeight="1" x14ac:dyDescent="0.3">
      <c r="A1133" s="325" t="s">
        <v>419</v>
      </c>
      <c r="B1133" s="159"/>
      <c r="C1133" s="159">
        <f t="shared" si="460"/>
        <v>0.2</v>
      </c>
      <c r="D1133" s="172">
        <v>0</v>
      </c>
      <c r="E1133" s="168">
        <f t="shared" si="461"/>
        <v>0</v>
      </c>
      <c r="F1133" s="159"/>
      <c r="G1133" s="159" t="e">
        <f>#REF!</f>
        <v>#REF!</v>
      </c>
      <c r="H1133" s="172">
        <v>0</v>
      </c>
      <c r="I1133" s="168" t="e">
        <f t="shared" si="462"/>
        <v>#REF!</v>
      </c>
      <c r="J1133" s="159"/>
      <c r="K1133" s="447">
        <v>11649</v>
      </c>
      <c r="L1133" s="448">
        <v>0</v>
      </c>
      <c r="M1133" s="168">
        <f t="shared" si="463"/>
        <v>0</v>
      </c>
      <c r="N1133" s="159"/>
      <c r="O1133" s="447">
        <v>0</v>
      </c>
      <c r="P1133" s="172">
        <v>0</v>
      </c>
      <c r="Q1133" s="168">
        <f t="shared" si="464"/>
        <v>0</v>
      </c>
      <c r="R1133" s="159"/>
      <c r="S1133" s="307"/>
    </row>
    <row r="1134" spans="1:19" ht="15.75" customHeight="1" x14ac:dyDescent="0.3">
      <c r="A1134" s="325" t="s">
        <v>420</v>
      </c>
      <c r="B1134" s="159"/>
      <c r="C1134" s="159">
        <f t="shared" si="460"/>
        <v>0.2</v>
      </c>
      <c r="D1134" s="172">
        <v>0</v>
      </c>
      <c r="E1134" s="168">
        <f t="shared" si="461"/>
        <v>0</v>
      </c>
      <c r="F1134" s="159"/>
      <c r="G1134" s="159" t="e">
        <f>#REF!</f>
        <v>#REF!</v>
      </c>
      <c r="H1134" s="172">
        <v>0</v>
      </c>
      <c r="I1134" s="168" t="e">
        <f t="shared" si="462"/>
        <v>#REF!</v>
      </c>
      <c r="J1134" s="159"/>
      <c r="K1134" s="447">
        <v>8035</v>
      </c>
      <c r="L1134" s="448">
        <v>0</v>
      </c>
      <c r="M1134" s="168">
        <f t="shared" si="463"/>
        <v>0</v>
      </c>
      <c r="N1134" s="159"/>
      <c r="O1134" s="447">
        <v>0</v>
      </c>
      <c r="P1134" s="172">
        <v>0</v>
      </c>
      <c r="Q1134" s="168">
        <f t="shared" si="464"/>
        <v>0</v>
      </c>
      <c r="R1134" s="159"/>
      <c r="S1134" s="307"/>
    </row>
    <row r="1135" spans="1:19" ht="15.75" customHeight="1" x14ac:dyDescent="0.3">
      <c r="A1135" s="325" t="s">
        <v>421</v>
      </c>
      <c r="B1135" s="159"/>
      <c r="C1135" s="159">
        <f t="shared" si="460"/>
        <v>0.2</v>
      </c>
      <c r="D1135" s="172">
        <v>0</v>
      </c>
      <c r="E1135" s="168">
        <f t="shared" si="461"/>
        <v>0</v>
      </c>
      <c r="F1135" s="159">
        <f>SUM(E1133:E1135)</f>
        <v>0</v>
      </c>
      <c r="G1135" s="159" t="e">
        <f>#REF!</f>
        <v>#REF!</v>
      </c>
      <c r="H1135" s="172">
        <v>0</v>
      </c>
      <c r="I1135" s="168" t="e">
        <f t="shared" si="462"/>
        <v>#REF!</v>
      </c>
      <c r="J1135" s="159" t="e">
        <f>SUM(I1133:I1135)</f>
        <v>#REF!</v>
      </c>
      <c r="K1135" s="447">
        <v>8092</v>
      </c>
      <c r="L1135" s="448">
        <v>0</v>
      </c>
      <c r="M1135" s="168">
        <f t="shared" si="463"/>
        <v>0</v>
      </c>
      <c r="N1135" s="159">
        <f>SUM(M1133:M1135)</f>
        <v>0</v>
      </c>
      <c r="O1135" s="447">
        <v>0</v>
      </c>
      <c r="P1135" s="172">
        <v>0</v>
      </c>
      <c r="Q1135" s="168">
        <f t="shared" si="464"/>
        <v>0</v>
      </c>
      <c r="R1135" s="159">
        <f>SUM(Q1133:Q1135)</f>
        <v>0</v>
      </c>
      <c r="S1135" s="307"/>
    </row>
    <row r="1136" spans="1:19" ht="15.75" customHeight="1" x14ac:dyDescent="0.3">
      <c r="A1136" s="323"/>
      <c r="B1136" s="159"/>
      <c r="C1136" s="159"/>
      <c r="D1136" s="159"/>
      <c r="E1136" s="159"/>
      <c r="F1136" s="159"/>
      <c r="G1136" s="159"/>
      <c r="H1136" s="159"/>
      <c r="I1136" s="159"/>
      <c r="J1136" s="159"/>
      <c r="K1136" s="159"/>
      <c r="L1136" s="159"/>
      <c r="M1136" s="159"/>
      <c r="N1136" s="159"/>
      <c r="O1136" s="159"/>
      <c r="P1136" s="159"/>
      <c r="Q1136" s="159"/>
      <c r="R1136" s="159"/>
      <c r="S1136" s="307"/>
    </row>
    <row r="1137" spans="1:19" ht="15.75" customHeight="1" x14ac:dyDescent="0.3">
      <c r="A1137" s="323"/>
      <c r="B1137" s="159"/>
      <c r="C1137" s="159"/>
      <c r="D1137" s="159"/>
      <c r="E1137" s="159"/>
      <c r="F1137" s="159"/>
      <c r="G1137" s="159"/>
      <c r="H1137" s="159"/>
      <c r="I1137" s="159"/>
      <c r="J1137" s="159"/>
      <c r="K1137" s="159"/>
      <c r="L1137" s="159"/>
      <c r="M1137" s="159"/>
      <c r="N1137" s="159"/>
      <c r="O1137" s="159"/>
      <c r="P1137" s="159"/>
      <c r="Q1137" s="159"/>
      <c r="R1137" s="159"/>
      <c r="S1137" s="307"/>
    </row>
    <row r="1138" spans="1:19" ht="16.5" customHeight="1" thickBot="1" x14ac:dyDescent="0.35">
      <c r="A1138" s="326" t="s">
        <v>422</v>
      </c>
      <c r="B1138" s="327"/>
      <c r="C1138" s="327">
        <f>SUM(C1124:C1135)</f>
        <v>2.2250000000000005</v>
      </c>
      <c r="D1138" s="327"/>
      <c r="E1138" s="337">
        <f>SUM(E1124:E1135)</f>
        <v>0</v>
      </c>
      <c r="F1138" s="327"/>
      <c r="G1138" s="327" t="e">
        <f>SUM(G1124:G1135)</f>
        <v>#REF!</v>
      </c>
      <c r="H1138" s="327" t="s">
        <v>424</v>
      </c>
      <c r="I1138" s="337" t="e">
        <f>SUM(I1124:I1135)</f>
        <v>#REF!</v>
      </c>
      <c r="J1138" s="327"/>
      <c r="K1138" s="327">
        <f>SUM(K1124:K1135)</f>
        <v>149913</v>
      </c>
      <c r="L1138" s="327" t="s">
        <v>424</v>
      </c>
      <c r="M1138" s="337">
        <f>SUM(M1124:M1135)</f>
        <v>0</v>
      </c>
      <c r="N1138" s="327"/>
      <c r="O1138" s="327">
        <f>(SUM(O1124:O1135))</f>
        <v>0</v>
      </c>
      <c r="P1138" s="327" t="s">
        <v>424</v>
      </c>
      <c r="Q1138" s="337">
        <f>SUM(Q1124:Q1135)</f>
        <v>0</v>
      </c>
      <c r="R1138" s="327"/>
      <c r="S1138" s="313"/>
    </row>
  </sheetData>
  <scenarios current="0">
    <scenario name="Jan" count="1" user="Windows User" comment="Created by Windows User on 4/11/2013">
      <inputCells r="B310" val="57771.3688407242" numFmtId="37"/>
    </scenario>
  </scenarios>
  <autoFilter ref="A31:R899" xr:uid="{00000000-0009-0000-0000-000001000000}"/>
  <mergeCells count="73">
    <mergeCell ref="B1069:P1069"/>
    <mergeCell ref="B1070:P1070"/>
    <mergeCell ref="B1072:L1072"/>
    <mergeCell ref="M1072:P1072"/>
    <mergeCell ref="B1046:D1046"/>
    <mergeCell ref="T1046:U1046"/>
    <mergeCell ref="V1046:W1046"/>
    <mergeCell ref="B1065:P1065"/>
    <mergeCell ref="B1066:P1066"/>
    <mergeCell ref="B1067:P1067"/>
    <mergeCell ref="B1045:P1045"/>
    <mergeCell ref="M991:O991"/>
    <mergeCell ref="AD991:AQ991"/>
    <mergeCell ref="AD992:AQ992"/>
    <mergeCell ref="B1016:P1016"/>
    <mergeCell ref="B1017:F1017"/>
    <mergeCell ref="G1017:L1017"/>
    <mergeCell ref="M1017:R1017"/>
    <mergeCell ref="S1017:U1017"/>
    <mergeCell ref="M1018:O1018"/>
    <mergeCell ref="B1040:P1040"/>
    <mergeCell ref="B1041:P1041"/>
    <mergeCell ref="B1042:P1042"/>
    <mergeCell ref="B1044:P1044"/>
    <mergeCell ref="B989:P989"/>
    <mergeCell ref="AD989:AQ989"/>
    <mergeCell ref="B990:F990"/>
    <mergeCell ref="G990:L990"/>
    <mergeCell ref="M990:R990"/>
    <mergeCell ref="S990:U990"/>
    <mergeCell ref="B988:P988"/>
    <mergeCell ref="AD988:AQ988"/>
    <mergeCell ref="AD954:AQ954"/>
    <mergeCell ref="AD956:AQ956"/>
    <mergeCell ref="B957:P957"/>
    <mergeCell ref="AD957:AQ957"/>
    <mergeCell ref="B958:P958"/>
    <mergeCell ref="B959:P959"/>
    <mergeCell ref="B961:P961"/>
    <mergeCell ref="B962:P962"/>
    <mergeCell ref="B986:P986"/>
    <mergeCell ref="B987:P987"/>
    <mergeCell ref="AD987:AQ987"/>
    <mergeCell ref="AD953:AQ953"/>
    <mergeCell ref="B904:P904"/>
    <mergeCell ref="B905:P905"/>
    <mergeCell ref="B906:P906"/>
    <mergeCell ref="B907:P907"/>
    <mergeCell ref="B931:P931"/>
    <mergeCell ref="B932:P932"/>
    <mergeCell ref="B933:P933"/>
    <mergeCell ref="B934:P934"/>
    <mergeCell ref="B935:P935"/>
    <mergeCell ref="B936:P936"/>
    <mergeCell ref="AD952:AQ952"/>
    <mergeCell ref="B903:P903"/>
    <mergeCell ref="A838:R838"/>
    <mergeCell ref="A839:R839"/>
    <mergeCell ref="A840:R840"/>
    <mergeCell ref="A841:R841"/>
    <mergeCell ref="A843:R843"/>
    <mergeCell ref="A879:R879"/>
    <mergeCell ref="A880:R880"/>
    <mergeCell ref="A881:R881"/>
    <mergeCell ref="A882:R882"/>
    <mergeCell ref="A884:R884"/>
    <mergeCell ref="B902:P902"/>
    <mergeCell ref="A8:R8"/>
    <mergeCell ref="A2:R2"/>
    <mergeCell ref="A3:R3"/>
    <mergeCell ref="A4:R4"/>
    <mergeCell ref="A5:R5"/>
    <mergeCell ref="A6:R6"/>
  </mergeCells>
  <conditionalFormatting sqref="S996:S1007 S1009">
    <cfRule type="cellIs" dxfId="27" priority="3" operator="lessThan">
      <formula>0</formula>
    </cfRule>
    <cfRule type="cellIs" dxfId="26" priority="4" operator="greaterThan">
      <formula>0</formula>
    </cfRule>
  </conditionalFormatting>
  <conditionalFormatting sqref="S1023:S1034">
    <cfRule type="cellIs" dxfId="25" priority="1" operator="lessThan">
      <formula>0</formula>
    </cfRule>
    <cfRule type="cellIs" dxfId="24" priority="2" operator="greaterThan">
      <formula>0</formula>
    </cfRule>
  </conditionalFormatting>
  <printOptions horizontalCentered="1"/>
  <pageMargins left="0.25" right="0.25" top="0.25" bottom="0.25" header="0" footer="0"/>
  <pageSetup paperSize="17" scale="81" orientation="landscape" r:id="rId1"/>
  <headerFooter alignWithMargins="0"/>
  <rowBreaks count="5" manualBreakCount="5">
    <brk id="835" max="17" man="1"/>
    <brk id="875" max="17" man="1"/>
    <brk id="928" max="18" man="1"/>
    <brk id="956" max="18" man="1"/>
    <brk id="924" min="28" max="46"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E9939-A7CF-48C2-8C86-D8A87AED12A1}">
  <sheetPr codeName="Sheet21">
    <pageSetUpPr fitToPage="1"/>
  </sheetPr>
  <dimension ref="A1:AX1112"/>
  <sheetViews>
    <sheetView topLeftCell="A947" zoomScale="60" zoomScaleNormal="60" workbookViewId="0">
      <selection activeCell="U983" sqref="U983"/>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218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1093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338" t="s">
        <v>791</v>
      </c>
      <c r="R1" s="3">
        <f ca="1">NOW()</f>
        <v>44909.46975358796</v>
      </c>
    </row>
    <row r="2" spans="1:36" ht="19.5" customHeight="1" x14ac:dyDescent="0.35">
      <c r="A2" s="500"/>
      <c r="B2" s="500"/>
      <c r="C2" s="500"/>
      <c r="D2" s="500"/>
      <c r="E2" s="500"/>
      <c r="F2" s="500"/>
      <c r="G2" s="500"/>
      <c r="H2" s="500"/>
      <c r="I2" s="500"/>
      <c r="J2" s="500"/>
      <c r="K2" s="500"/>
      <c r="L2" s="500"/>
      <c r="M2" s="500"/>
      <c r="N2" s="500"/>
      <c r="O2" s="500"/>
      <c r="P2" s="500"/>
      <c r="Q2" s="500"/>
      <c r="R2" s="500"/>
    </row>
    <row r="3" spans="1:36" ht="19.5" customHeight="1" x14ac:dyDescent="0.35">
      <c r="A3" s="500" t="s">
        <v>2</v>
      </c>
      <c r="B3" s="500"/>
      <c r="C3" s="500"/>
      <c r="D3" s="500"/>
      <c r="E3" s="500"/>
      <c r="F3" s="500"/>
      <c r="G3" s="500"/>
      <c r="H3" s="500"/>
      <c r="I3" s="500"/>
      <c r="J3" s="500"/>
      <c r="K3" s="500"/>
      <c r="L3" s="500"/>
      <c r="M3" s="500"/>
      <c r="N3" s="500"/>
      <c r="O3" s="500"/>
      <c r="P3" s="500"/>
      <c r="Q3" s="500"/>
      <c r="R3" s="500"/>
    </row>
    <row r="4" spans="1:36" ht="19.5" customHeight="1" x14ac:dyDescent="0.35">
      <c r="A4" s="501" t="s">
        <v>3</v>
      </c>
      <c r="B4" s="501"/>
      <c r="C4" s="501"/>
      <c r="D4" s="501"/>
      <c r="E4" s="501"/>
      <c r="F4" s="501"/>
      <c r="G4" s="501"/>
      <c r="H4" s="501"/>
      <c r="I4" s="501"/>
      <c r="J4" s="501"/>
      <c r="K4" s="501"/>
      <c r="L4" s="501"/>
      <c r="M4" s="501"/>
      <c r="N4" s="501"/>
      <c r="O4" s="501"/>
      <c r="P4" s="501"/>
      <c r="Q4" s="501"/>
      <c r="R4" s="501"/>
    </row>
    <row r="5" spans="1:36" ht="19.5" customHeight="1" x14ac:dyDescent="0.35">
      <c r="A5" s="502">
        <v>2017</v>
      </c>
      <c r="B5" s="502"/>
      <c r="C5" s="502"/>
      <c r="D5" s="502"/>
      <c r="E5" s="502"/>
      <c r="F5" s="502"/>
      <c r="G5" s="502"/>
      <c r="H5" s="502"/>
      <c r="I5" s="502"/>
      <c r="J5" s="502"/>
      <c r="K5" s="502"/>
      <c r="L5" s="502"/>
      <c r="M5" s="502"/>
      <c r="N5" s="502"/>
      <c r="O5" s="502"/>
      <c r="P5" s="502"/>
      <c r="Q5" s="502"/>
      <c r="R5" s="502"/>
    </row>
    <row r="6" spans="1:36" ht="19.5" customHeight="1" x14ac:dyDescent="0.35">
      <c r="A6" s="501" t="s">
        <v>792</v>
      </c>
      <c r="B6" s="501"/>
      <c r="C6" s="501"/>
      <c r="D6" s="501"/>
      <c r="E6" s="501"/>
      <c r="F6" s="501"/>
      <c r="G6" s="501"/>
      <c r="H6" s="501"/>
      <c r="I6" s="501"/>
      <c r="J6" s="501"/>
      <c r="K6" s="501"/>
      <c r="L6" s="501"/>
      <c r="M6" s="501"/>
      <c r="N6" s="501"/>
      <c r="O6" s="501"/>
      <c r="P6" s="501"/>
      <c r="Q6" s="501"/>
      <c r="R6" s="501"/>
    </row>
    <row r="7" spans="1:36" ht="19.5" customHeight="1" x14ac:dyDescent="0.35">
      <c r="A7" s="296"/>
      <c r="B7" s="296"/>
      <c r="C7" s="296"/>
      <c r="D7" s="296"/>
      <c r="E7" s="296"/>
      <c r="F7" s="296"/>
      <c r="G7" s="296"/>
      <c r="H7" s="296"/>
      <c r="I7" s="296"/>
      <c r="J7" s="296"/>
      <c r="K7" s="296"/>
      <c r="L7" s="296"/>
      <c r="M7" s="296"/>
      <c r="N7" s="296"/>
      <c r="O7" s="296"/>
      <c r="P7" s="296"/>
      <c r="Q7" s="296"/>
      <c r="R7" s="296"/>
    </row>
    <row r="8" spans="1:36" ht="15.75" customHeight="1" x14ac:dyDescent="0.3">
      <c r="A8" s="499" t="s">
        <v>1184</v>
      </c>
      <c r="B8" s="499"/>
      <c r="C8" s="499"/>
      <c r="D8" s="499"/>
      <c r="E8" s="499"/>
      <c r="F8" s="499"/>
      <c r="G8" s="499"/>
      <c r="H8" s="499"/>
      <c r="I8" s="499"/>
      <c r="J8" s="499"/>
      <c r="K8" s="499"/>
      <c r="L8" s="499"/>
      <c r="M8" s="499"/>
      <c r="N8" s="499"/>
      <c r="O8" s="499"/>
      <c r="P8" s="499"/>
      <c r="Q8" s="499"/>
      <c r="R8" s="499"/>
    </row>
    <row r="9" spans="1:36" ht="15.75" customHeight="1" x14ac:dyDescent="0.3">
      <c r="A9" s="5"/>
      <c r="B9" s="6"/>
      <c r="C9" s="6"/>
      <c r="D9" s="6"/>
      <c r="E9" s="6"/>
      <c r="F9" s="6"/>
      <c r="G9" s="6"/>
      <c r="H9" s="6"/>
      <c r="I9" s="6"/>
      <c r="J9" s="6"/>
      <c r="K9" s="6"/>
      <c r="L9" s="6"/>
      <c r="M9" s="6"/>
      <c r="N9" s="6"/>
      <c r="O9" s="6"/>
      <c r="P9" s="6"/>
      <c r="Q9" s="6"/>
      <c r="R9" s="6"/>
    </row>
    <row r="10" spans="1:36" ht="15.75" customHeight="1" thickBot="1" x14ac:dyDescent="0.35">
      <c r="A10" s="1" t="s">
        <v>794</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297" t="s">
        <v>7</v>
      </c>
      <c r="B11" s="298" t="s">
        <v>795</v>
      </c>
      <c r="C11" s="48" t="s">
        <v>9</v>
      </c>
      <c r="D11" s="48" t="s">
        <v>10</v>
      </c>
      <c r="E11" s="32" t="s">
        <v>11</v>
      </c>
      <c r="F11" s="48" t="s">
        <v>12</v>
      </c>
      <c r="G11" s="48" t="s">
        <v>13</v>
      </c>
      <c r="H11" s="48" t="s">
        <v>14</v>
      </c>
      <c r="I11" s="32" t="s">
        <v>15</v>
      </c>
      <c r="J11" s="48" t="s">
        <v>16</v>
      </c>
      <c r="K11" s="48" t="s">
        <v>17</v>
      </c>
      <c r="L11" s="48" t="s">
        <v>18</v>
      </c>
      <c r="M11" s="32" t="s">
        <v>19</v>
      </c>
      <c r="N11" s="48" t="s">
        <v>20</v>
      </c>
      <c r="O11" s="48" t="s">
        <v>21</v>
      </c>
      <c r="P11" s="48" t="s">
        <v>22</v>
      </c>
      <c r="Q11" s="32" t="s">
        <v>23</v>
      </c>
      <c r="R11" s="49" t="s">
        <v>24</v>
      </c>
    </row>
    <row r="12" spans="1:36" ht="16.5" customHeight="1" thickBot="1" x14ac:dyDescent="0.35">
      <c r="A12" s="67"/>
      <c r="B12" s="51"/>
      <c r="C12" s="51"/>
      <c r="D12" s="51"/>
      <c r="E12" s="52"/>
      <c r="F12" s="51"/>
      <c r="G12" s="51"/>
      <c r="H12" s="51"/>
      <c r="I12" s="52"/>
      <c r="J12" s="51"/>
      <c r="K12" s="51"/>
      <c r="L12" s="51"/>
      <c r="M12" s="52"/>
      <c r="N12" s="51"/>
      <c r="O12" s="51"/>
      <c r="P12" s="51"/>
      <c r="Q12" s="52"/>
      <c r="R12" s="52"/>
    </row>
    <row r="13" spans="1:36" ht="15.75" customHeight="1" x14ac:dyDescent="0.3">
      <c r="A13" s="15" t="s">
        <v>25</v>
      </c>
      <c r="B13" s="1">
        <f>+B872</f>
        <v>44141</v>
      </c>
      <c r="C13" s="1">
        <f>+C872</f>
        <v>49345</v>
      </c>
      <c r="D13" s="1">
        <f>+D872</f>
        <v>109644</v>
      </c>
      <c r="E13" s="16">
        <f>SUM(B13:D13)</f>
        <v>203130</v>
      </c>
      <c r="F13" s="1">
        <f>+F872</f>
        <v>147631</v>
      </c>
      <c r="G13" s="1">
        <f>+G872</f>
        <v>147226</v>
      </c>
      <c r="H13" s="1">
        <f>+H872</f>
        <v>193124</v>
      </c>
      <c r="I13" s="16">
        <f t="shared" ref="I13:I19" si="0">SUM(F13:H13)</f>
        <v>487981</v>
      </c>
      <c r="J13" s="1">
        <f>+J872</f>
        <v>170239</v>
      </c>
      <c r="K13" s="1">
        <f>+K872</f>
        <v>162968</v>
      </c>
      <c r="L13" s="1">
        <f>+L872</f>
        <v>131170</v>
      </c>
      <c r="M13" s="16">
        <f t="shared" ref="M13:M20" si="1">SUM(J13:L13)</f>
        <v>464377</v>
      </c>
      <c r="N13" s="1">
        <f>+N872</f>
        <v>79636</v>
      </c>
      <c r="O13" s="1">
        <f>+O872</f>
        <v>54330</v>
      </c>
      <c r="P13" s="1">
        <f>+P872</f>
        <v>67861</v>
      </c>
      <c r="Q13" s="17">
        <f t="shared" ref="Q13:Q19" si="2">SUM(N13:P13)</f>
        <v>201827</v>
      </c>
      <c r="R13" s="16">
        <f t="shared" ref="R13:R20" si="3">+E13+I13+M13+Q13</f>
        <v>1357315</v>
      </c>
      <c r="S13" s="4">
        <f>1495413+25265</f>
        <v>1520678</v>
      </c>
      <c r="T13" s="4">
        <f>+R13-S13</f>
        <v>-163363</v>
      </c>
      <c r="U13" s="4">
        <f>+R13-1478209</f>
        <v>-120894</v>
      </c>
      <c r="V13" s="339"/>
      <c r="W13" s="339"/>
      <c r="X13" s="339"/>
      <c r="Z13" s="339"/>
      <c r="AA13" s="339"/>
      <c r="AB13" s="339"/>
      <c r="AD13" s="339"/>
      <c r="AE13" s="339"/>
      <c r="AF13" s="339"/>
      <c r="AH13" s="339"/>
      <c r="AI13" s="339"/>
      <c r="AJ13" s="339"/>
    </row>
    <row r="14" spans="1:36" ht="15.75" customHeight="1" x14ac:dyDescent="0.3">
      <c r="A14" s="15" t="s">
        <v>27</v>
      </c>
      <c r="B14" s="1">
        <f>B25+B60+B127+B305+B467+B515+B559+B617+B627+B663+B711+B721+B755+B804</f>
        <v>739</v>
      </c>
      <c r="C14" s="1">
        <f>C25+C60+C127+C305+C467+C515+C559+C617+C627+C663+C711+C721+C755+C804</f>
        <v>1283</v>
      </c>
      <c r="D14" s="1">
        <f>D25+D60+D127+D305+D467+D515+D559+D617+D627+D663+D711+D721+D755+D804</f>
        <v>2185</v>
      </c>
      <c r="E14" s="16">
        <f t="shared" ref="E14:E19" si="4">SUM(B14:D14)</f>
        <v>4207</v>
      </c>
      <c r="F14" s="1">
        <f>F25+F60+F127+F305+F467+F515+F559+F617+F627+F663+F711+F721+F755+F804</f>
        <v>2959</v>
      </c>
      <c r="G14" s="1">
        <f>G25+G60+G127+G305+G467+G515+G559+G617+G627+G663+G711+G721+G755+G804</f>
        <v>3425</v>
      </c>
      <c r="H14" s="1">
        <f>H25+H60+H127+H305+H467+H515+H559+H617+H627+H663+H711+H721+H755+H804</f>
        <v>3464</v>
      </c>
      <c r="I14" s="16">
        <f t="shared" si="0"/>
        <v>9848</v>
      </c>
      <c r="J14" s="1">
        <f>J25+J60+J127+J305+J467+J515+J559+J617+J627+J663+J711+J721+J755+J804</f>
        <v>3382</v>
      </c>
      <c r="K14" s="1">
        <f>K25+K60+K127+K305+K467+K515+K559+K617+K627+K663+K711+K721+K755+K804</f>
        <v>2663</v>
      </c>
      <c r="L14" s="1">
        <f>L25+L60+L127+L305+L467+L515+L559+L617+L627+L663+L711+L721+L755+L804</f>
        <v>2559</v>
      </c>
      <c r="M14" s="16">
        <f t="shared" si="1"/>
        <v>8604</v>
      </c>
      <c r="N14" s="1">
        <f>N25+N60+N127+N305+N467+N515+N559+N617+N627+N663+N711+N721+N755+N804</f>
        <v>2343</v>
      </c>
      <c r="O14" s="1">
        <f>O25+O60+O127+O305+O467+O515+O559+O617+O627+O663+O711+O721+O755+O804</f>
        <v>1892</v>
      </c>
      <c r="P14" s="1">
        <f>P25+P60+P127+P305+P467+P515+P559+P617+P627+P663+P711+P721+P755+P804</f>
        <v>1423</v>
      </c>
      <c r="Q14" s="17">
        <f t="shared" si="2"/>
        <v>5658</v>
      </c>
      <c r="R14" s="16">
        <f t="shared" si="3"/>
        <v>28317</v>
      </c>
    </row>
    <row r="15" spans="1:36" ht="15.75" customHeight="1" x14ac:dyDescent="0.3">
      <c r="A15" s="15" t="s">
        <v>28</v>
      </c>
      <c r="B15" s="1">
        <f>B300</f>
        <v>0</v>
      </c>
      <c r="C15" s="1">
        <f>C300</f>
        <v>960</v>
      </c>
      <c r="D15" s="1">
        <f>D300</f>
        <v>3970</v>
      </c>
      <c r="E15" s="16">
        <f t="shared" si="4"/>
        <v>4930</v>
      </c>
      <c r="F15" s="1">
        <f>F300</f>
        <v>71</v>
      </c>
      <c r="G15" s="1">
        <f>G300</f>
        <v>2230</v>
      </c>
      <c r="H15" s="1">
        <f>H300</f>
        <v>3740</v>
      </c>
      <c r="I15" s="16">
        <f t="shared" si="0"/>
        <v>6041</v>
      </c>
      <c r="J15" s="1">
        <f>J300</f>
        <v>2096</v>
      </c>
      <c r="K15" s="1">
        <f>K300</f>
        <v>985</v>
      </c>
      <c r="L15" s="1">
        <f>L300</f>
        <v>3198</v>
      </c>
      <c r="M15" s="16">
        <f t="shared" si="1"/>
        <v>6279</v>
      </c>
      <c r="N15" s="1">
        <f>N300</f>
        <v>3450</v>
      </c>
      <c r="O15" s="1">
        <f>O300</f>
        <v>5218</v>
      </c>
      <c r="P15" s="1">
        <f>P300</f>
        <v>1302</v>
      </c>
      <c r="Q15" s="17">
        <f t="shared" si="2"/>
        <v>9970</v>
      </c>
      <c r="R15" s="16">
        <f t="shared" si="3"/>
        <v>27220</v>
      </c>
    </row>
    <row r="16" spans="1:36" ht="15.75" customHeight="1" x14ac:dyDescent="0.3">
      <c r="A16" s="18" t="s">
        <v>29</v>
      </c>
      <c r="B16" s="1">
        <f>+B301</f>
        <v>0</v>
      </c>
      <c r="C16" s="1">
        <f>+C301</f>
        <v>0</v>
      </c>
      <c r="D16" s="1">
        <f>+D301</f>
        <v>0</v>
      </c>
      <c r="E16" s="16">
        <f t="shared" si="4"/>
        <v>0</v>
      </c>
      <c r="F16" s="1">
        <f>+F301</f>
        <v>0</v>
      </c>
      <c r="G16" s="1">
        <f>+G301</f>
        <v>0</v>
      </c>
      <c r="H16" s="1">
        <f>+H301</f>
        <v>0</v>
      </c>
      <c r="I16" s="16">
        <f t="shared" si="0"/>
        <v>0</v>
      </c>
      <c r="J16" s="1">
        <f>+J301</f>
        <v>0</v>
      </c>
      <c r="K16" s="1">
        <f>+K301</f>
        <v>0</v>
      </c>
      <c r="L16" s="1">
        <f>+L301</f>
        <v>0</v>
      </c>
      <c r="M16" s="16">
        <f t="shared" si="1"/>
        <v>0</v>
      </c>
      <c r="N16" s="1">
        <f>+N301</f>
        <v>0</v>
      </c>
      <c r="O16" s="1">
        <f>+O301</f>
        <v>0</v>
      </c>
      <c r="P16" s="1">
        <f>+P301</f>
        <v>0</v>
      </c>
      <c r="Q16" s="17">
        <f t="shared" si="2"/>
        <v>0</v>
      </c>
      <c r="R16" s="16">
        <f t="shared" si="3"/>
        <v>0</v>
      </c>
    </row>
    <row r="17" spans="1:20" ht="15.75" customHeight="1" x14ac:dyDescent="0.3">
      <c r="A17" s="19" t="s">
        <v>31</v>
      </c>
      <c r="B17" s="1">
        <f>B304</f>
        <v>83310</v>
      </c>
      <c r="C17" s="1">
        <f>C304</f>
        <v>16480</v>
      </c>
      <c r="D17" s="1">
        <f>D304</f>
        <v>20055</v>
      </c>
      <c r="E17" s="16">
        <f t="shared" si="4"/>
        <v>119845</v>
      </c>
      <c r="F17" s="1">
        <f>F304</f>
        <v>9498</v>
      </c>
      <c r="G17" s="1">
        <f>G304</f>
        <v>24625</v>
      </c>
      <c r="H17" s="1">
        <f>H304</f>
        <v>0</v>
      </c>
      <c r="I17" s="16">
        <f t="shared" si="0"/>
        <v>34123</v>
      </c>
      <c r="J17" s="1">
        <f>J304</f>
        <v>0</v>
      </c>
      <c r="K17" s="1">
        <f>K304</f>
        <v>0</v>
      </c>
      <c r="L17" s="1">
        <f>L304</f>
        <v>9609</v>
      </c>
      <c r="M17" s="16">
        <f t="shared" si="1"/>
        <v>9609</v>
      </c>
      <c r="N17" s="1">
        <f>N304</f>
        <v>44152</v>
      </c>
      <c r="O17" s="1">
        <f>O304</f>
        <v>65541</v>
      </c>
      <c r="P17" s="1">
        <f>P304</f>
        <v>70977</v>
      </c>
      <c r="Q17" s="17">
        <f t="shared" si="2"/>
        <v>180670</v>
      </c>
      <c r="R17" s="16">
        <f t="shared" si="3"/>
        <v>344247</v>
      </c>
    </row>
    <row r="18" spans="1:20" ht="15.75" customHeight="1" x14ac:dyDescent="0.3">
      <c r="A18" s="19" t="s">
        <v>32</v>
      </c>
      <c r="B18" s="1">
        <f>B316</f>
        <v>-3647</v>
      </c>
      <c r="C18" s="1">
        <f>C316</f>
        <v>-7866</v>
      </c>
      <c r="D18" s="1">
        <f>D316</f>
        <v>-207</v>
      </c>
      <c r="E18" s="16">
        <f t="shared" si="4"/>
        <v>-11720</v>
      </c>
      <c r="F18" s="1">
        <f>F316</f>
        <v>-6</v>
      </c>
      <c r="G18" s="1">
        <f>G316</f>
        <v>-1492</v>
      </c>
      <c r="H18" s="1">
        <f>H316</f>
        <v>-117578</v>
      </c>
      <c r="I18" s="16">
        <f t="shared" si="0"/>
        <v>-119076</v>
      </c>
      <c r="J18" s="1">
        <f>J316</f>
        <v>-100321</v>
      </c>
      <c r="K18" s="1">
        <f>K316</f>
        <v>-94421</v>
      </c>
      <c r="L18" s="1">
        <f>L316</f>
        <v>-13817</v>
      </c>
      <c r="M18" s="16">
        <f t="shared" si="1"/>
        <v>-208559</v>
      </c>
      <c r="N18" s="1">
        <f>N316</f>
        <v>0</v>
      </c>
      <c r="O18" s="1">
        <f>O316</f>
        <v>0</v>
      </c>
      <c r="P18" s="1">
        <f>P316</f>
        <v>-76</v>
      </c>
      <c r="Q18" s="17">
        <f t="shared" si="2"/>
        <v>-76</v>
      </c>
      <c r="R18" s="16">
        <f t="shared" si="3"/>
        <v>-339431</v>
      </c>
    </row>
    <row r="19" spans="1:20" ht="16.5" customHeight="1" thickBot="1" x14ac:dyDescent="0.35">
      <c r="A19" s="20" t="s">
        <v>33</v>
      </c>
      <c r="B19" s="21">
        <f>(B29)</f>
        <v>124543</v>
      </c>
      <c r="C19" s="21">
        <f>(C29)</f>
        <v>60202</v>
      </c>
      <c r="D19" s="21">
        <f>(D29)</f>
        <v>135647</v>
      </c>
      <c r="E19" s="22">
        <f t="shared" si="4"/>
        <v>320392</v>
      </c>
      <c r="F19" s="21">
        <f>(F29)</f>
        <v>160153</v>
      </c>
      <c r="G19" s="21">
        <f>(G29)</f>
        <v>176014</v>
      </c>
      <c r="H19" s="21">
        <f>(H29)</f>
        <v>82750</v>
      </c>
      <c r="I19" s="22">
        <f t="shared" si="0"/>
        <v>418917</v>
      </c>
      <c r="J19" s="21">
        <f>(J29)</f>
        <v>75396</v>
      </c>
      <c r="K19" s="21">
        <f>(K29)</f>
        <v>72195</v>
      </c>
      <c r="L19" s="21">
        <f>(L29)</f>
        <v>132719</v>
      </c>
      <c r="M19" s="22">
        <f t="shared" si="1"/>
        <v>280310</v>
      </c>
      <c r="N19" s="21">
        <f>(N29)</f>
        <v>129581</v>
      </c>
      <c r="O19" s="21">
        <f>(O29)</f>
        <v>126981</v>
      </c>
      <c r="P19" s="21">
        <f>(P29)</f>
        <v>141369</v>
      </c>
      <c r="Q19" s="23">
        <f t="shared" si="2"/>
        <v>397931</v>
      </c>
      <c r="R19" s="22">
        <f t="shared" si="3"/>
        <v>1417550</v>
      </c>
      <c r="S19" s="4">
        <v>1472000</v>
      </c>
      <c r="T19" s="4" t="s">
        <v>1185</v>
      </c>
    </row>
    <row r="20" spans="1:20" ht="16.5" customHeight="1" thickBot="1" x14ac:dyDescent="0.35">
      <c r="A20" s="20" t="s">
        <v>36</v>
      </c>
      <c r="B20" s="21">
        <v>126924</v>
      </c>
      <c r="C20" s="21">
        <v>62359</v>
      </c>
      <c r="D20" s="21">
        <v>136275</v>
      </c>
      <c r="E20" s="22">
        <f>SUM(B20:D20)</f>
        <v>325558</v>
      </c>
      <c r="F20" s="21">
        <v>159848</v>
      </c>
      <c r="G20" s="21">
        <v>174612</v>
      </c>
      <c r="H20" s="21">
        <v>79014</v>
      </c>
      <c r="I20" s="22">
        <f>SUM(F20:H20)</f>
        <v>413474</v>
      </c>
      <c r="J20" s="21">
        <v>71258</v>
      </c>
      <c r="K20" s="21">
        <v>70184</v>
      </c>
      <c r="L20" s="21">
        <v>134073</v>
      </c>
      <c r="M20" s="22">
        <f t="shared" si="1"/>
        <v>275515</v>
      </c>
      <c r="N20" s="21">
        <v>130498</v>
      </c>
      <c r="O20" s="21">
        <v>126715</v>
      </c>
      <c r="P20" s="21">
        <v>143853</v>
      </c>
      <c r="Q20" s="23">
        <f>SUM(N20:P20)</f>
        <v>401066</v>
      </c>
      <c r="R20" s="22">
        <f t="shared" si="3"/>
        <v>1415613</v>
      </c>
    </row>
    <row r="21" spans="1:20" ht="15.75" customHeight="1" x14ac:dyDescent="0.3">
      <c r="A21" s="1"/>
      <c r="B21" s="1"/>
      <c r="C21" s="1"/>
      <c r="D21" s="1"/>
      <c r="E21" s="1"/>
      <c r="F21" s="1"/>
      <c r="G21" s="1"/>
      <c r="H21" s="1"/>
      <c r="I21" s="1"/>
      <c r="J21" s="1"/>
      <c r="K21" s="1"/>
      <c r="L21" s="1"/>
      <c r="M21" s="1"/>
      <c r="N21" s="1"/>
      <c r="O21" s="1"/>
      <c r="P21" s="1"/>
      <c r="Q21" s="1"/>
      <c r="R21" s="2"/>
    </row>
    <row r="22" spans="1:20" ht="15.75" customHeight="1" thickBot="1" x14ac:dyDescent="0.35">
      <c r="A22" s="1"/>
      <c r="B22" s="1"/>
      <c r="C22" s="1"/>
      <c r="D22" s="1"/>
      <c r="E22" s="1"/>
      <c r="F22" s="27" t="s">
        <v>7</v>
      </c>
      <c r="G22" s="27" t="s">
        <v>7</v>
      </c>
      <c r="H22" s="1"/>
      <c r="I22" s="1"/>
      <c r="J22" s="1"/>
      <c r="K22" s="1"/>
      <c r="L22" s="1"/>
      <c r="M22" s="1"/>
      <c r="N22" s="27" t="s">
        <v>7</v>
      </c>
      <c r="O22" s="27" t="s">
        <v>7</v>
      </c>
      <c r="P22" s="27" t="s">
        <v>7</v>
      </c>
      <c r="Q22" s="27"/>
      <c r="R22" s="28" t="s">
        <v>7</v>
      </c>
    </row>
    <row r="23" spans="1:20" ht="16.5" customHeight="1" thickBot="1" x14ac:dyDescent="0.35">
      <c r="A23" s="29" t="s">
        <v>39</v>
      </c>
      <c r="B23" s="30" t="s">
        <v>8</v>
      </c>
      <c r="C23" s="31" t="s">
        <v>9</v>
      </c>
      <c r="D23" s="31" t="s">
        <v>10</v>
      </c>
      <c r="E23" s="32" t="s">
        <v>11</v>
      </c>
      <c r="F23" s="31" t="s">
        <v>12</v>
      </c>
      <c r="G23" s="31" t="s">
        <v>13</v>
      </c>
      <c r="H23" s="31" t="s">
        <v>14</v>
      </c>
      <c r="I23" s="33" t="s">
        <v>15</v>
      </c>
      <c r="J23" s="31" t="s">
        <v>16</v>
      </c>
      <c r="K23" s="31" t="s">
        <v>17</v>
      </c>
      <c r="L23" s="31" t="s">
        <v>18</v>
      </c>
      <c r="M23" s="33" t="s">
        <v>19</v>
      </c>
      <c r="N23" s="31" t="s">
        <v>20</v>
      </c>
      <c r="O23" s="31" t="s">
        <v>21</v>
      </c>
      <c r="P23" s="31" t="s">
        <v>22</v>
      </c>
      <c r="Q23" s="33" t="s">
        <v>23</v>
      </c>
      <c r="R23" s="34" t="s">
        <v>24</v>
      </c>
    </row>
    <row r="24" spans="1:20" ht="16.5" customHeight="1" thickBot="1" x14ac:dyDescent="0.35">
      <c r="A24" s="35"/>
      <c r="B24" s="36"/>
      <c r="C24" s="36"/>
      <c r="D24" s="36"/>
      <c r="E24" s="37"/>
      <c r="F24" s="36"/>
      <c r="G24" s="36"/>
      <c r="H24" s="36"/>
      <c r="I24" s="37"/>
      <c r="J24" s="36"/>
      <c r="K24" s="36"/>
      <c r="L24" s="36"/>
      <c r="M24" s="37"/>
      <c r="N24" s="36"/>
      <c r="O24" s="36"/>
      <c r="P24" s="36"/>
      <c r="Q24" s="37"/>
      <c r="R24" s="38"/>
    </row>
    <row r="25" spans="1:20" ht="16.5" customHeight="1" thickBot="1" x14ac:dyDescent="0.35">
      <c r="A25" s="39" t="s">
        <v>40</v>
      </c>
      <c r="B25" s="21">
        <v>97</v>
      </c>
      <c r="C25" s="21">
        <v>148</v>
      </c>
      <c r="D25" s="21">
        <v>274</v>
      </c>
      <c r="E25" s="40">
        <f>SUM(B25:D25)</f>
        <v>519</v>
      </c>
      <c r="F25" s="21">
        <v>367</v>
      </c>
      <c r="G25" s="21">
        <v>425</v>
      </c>
      <c r="H25" s="21">
        <v>417</v>
      </c>
      <c r="I25" s="40">
        <f>SUM(F25:H25)</f>
        <v>1209</v>
      </c>
      <c r="J25" s="21">
        <v>416</v>
      </c>
      <c r="K25" s="21">
        <v>334</v>
      </c>
      <c r="L25" s="21">
        <v>316</v>
      </c>
      <c r="M25" s="40">
        <f>SUM(J25:L25)</f>
        <v>1066</v>
      </c>
      <c r="N25" s="21">
        <v>285</v>
      </c>
      <c r="O25" s="21">
        <v>235</v>
      </c>
      <c r="P25" s="21">
        <v>186</v>
      </c>
      <c r="Q25" s="40">
        <f>SUM(N25:P25)</f>
        <v>706</v>
      </c>
      <c r="R25" s="22">
        <f>+E25+I25+M25+Q25</f>
        <v>3500</v>
      </c>
    </row>
    <row r="26" spans="1:20" ht="17.25" customHeight="1" thickBot="1" x14ac:dyDescent="0.35">
      <c r="A26" s="41"/>
      <c r="B26" s="36"/>
      <c r="C26" s="36"/>
      <c r="D26" s="36"/>
      <c r="E26" s="42"/>
      <c r="F26" s="36"/>
      <c r="G26" s="36"/>
      <c r="H26" s="36"/>
      <c r="I26" s="42"/>
      <c r="J26" s="36"/>
      <c r="K26" s="36"/>
      <c r="L26" s="36"/>
      <c r="M26" s="42"/>
      <c r="N26" s="36"/>
      <c r="O26" s="36"/>
      <c r="P26" s="36"/>
      <c r="Q26" s="42"/>
      <c r="R26" s="43"/>
    </row>
    <row r="27" spans="1:20" ht="15.75" customHeight="1" x14ac:dyDescent="0.3">
      <c r="A27" s="15" t="s">
        <v>41</v>
      </c>
      <c r="B27" s="1">
        <f>B25</f>
        <v>97</v>
      </c>
      <c r="C27" s="1">
        <f>C25</f>
        <v>148</v>
      </c>
      <c r="D27" s="1">
        <f>D25</f>
        <v>274</v>
      </c>
      <c r="E27" s="40">
        <f>SUM(B27:D27)</f>
        <v>519</v>
      </c>
      <c r="F27" s="1">
        <f>F25</f>
        <v>367</v>
      </c>
      <c r="G27" s="1">
        <f>G25</f>
        <v>425</v>
      </c>
      <c r="H27" s="1">
        <f>H25</f>
        <v>417</v>
      </c>
      <c r="I27" s="40">
        <f>SUM(F27:H27)</f>
        <v>1209</v>
      </c>
      <c r="J27" s="1">
        <f>J25</f>
        <v>416</v>
      </c>
      <c r="K27" s="1">
        <f>K25</f>
        <v>334</v>
      </c>
      <c r="L27" s="1">
        <f>L25</f>
        <v>316</v>
      </c>
      <c r="M27" s="40">
        <f>SUM(J27:L27)</f>
        <v>1066</v>
      </c>
      <c r="N27" s="1">
        <f>N25</f>
        <v>285</v>
      </c>
      <c r="O27" s="1">
        <f>O25</f>
        <v>235</v>
      </c>
      <c r="P27" s="1">
        <f>P25</f>
        <v>186</v>
      </c>
      <c r="Q27" s="44">
        <f>SUM(N27:P27)</f>
        <v>706</v>
      </c>
      <c r="R27" s="40">
        <f>+E27+I27+M27+Q27</f>
        <v>3500</v>
      </c>
    </row>
    <row r="28" spans="1:20" ht="15.75" customHeight="1" x14ac:dyDescent="0.3">
      <c r="A28" s="15" t="s">
        <v>42</v>
      </c>
      <c r="B28" s="1">
        <f>(B27/B10)/1.983</f>
        <v>1.5779285214647079</v>
      </c>
      <c r="C28" s="1">
        <f>(C27/C10)/1.983</f>
        <v>2.6655140119587926</v>
      </c>
      <c r="D28" s="1">
        <f>(D27/D10)/1.983</f>
        <v>4.457241390529175</v>
      </c>
      <c r="E28" s="16"/>
      <c r="F28" s="1">
        <f>(F27/F10)/1.983</f>
        <v>6.1691040511010247</v>
      </c>
      <c r="G28" s="1">
        <f>(G27/G10)/1.983</f>
        <v>6.9136043466237203</v>
      </c>
      <c r="H28" s="1">
        <f>(H27/H10)/1.983</f>
        <v>7.0095814422592033</v>
      </c>
      <c r="I28" s="16"/>
      <c r="J28" s="1">
        <f>(J27/J10)/1.983</f>
        <v>6.7671986075187478</v>
      </c>
      <c r="K28" s="1">
        <f>(K27/K10)/1.983</f>
        <v>5.433279651228994</v>
      </c>
      <c r="L28" s="1">
        <f>(L27/L10)/1.983</f>
        <v>5.3118171121196838</v>
      </c>
      <c r="M28" s="16"/>
      <c r="N28" s="1">
        <f>(N27/N10)/1.983</f>
        <v>4.6361817383241419</v>
      </c>
      <c r="O28" s="1">
        <f>(O27/O10)/1.983</f>
        <v>3.9502437384434357</v>
      </c>
      <c r="P28" s="1">
        <f>(P27/P10)/1.983</f>
        <v>3.02571860816944</v>
      </c>
      <c r="Q28" s="17"/>
      <c r="R28" s="16"/>
    </row>
    <row r="29" spans="1:20" ht="15.75" customHeight="1" x14ac:dyDescent="0.3">
      <c r="A29" s="15" t="s">
        <v>43</v>
      </c>
      <c r="B29" s="1">
        <f>B27+B64</f>
        <v>124543</v>
      </c>
      <c r="C29" s="1">
        <f>C27+C64</f>
        <v>60202</v>
      </c>
      <c r="D29" s="1">
        <f>D27+D64</f>
        <v>135647</v>
      </c>
      <c r="E29" s="16">
        <f>SUM(B29:D29)</f>
        <v>320392</v>
      </c>
      <c r="F29" s="1">
        <f>F27+F64</f>
        <v>160153</v>
      </c>
      <c r="G29" s="1">
        <f>G27+G64</f>
        <v>176014</v>
      </c>
      <c r="H29" s="1">
        <f>H27+H64</f>
        <v>82750</v>
      </c>
      <c r="I29" s="16">
        <f>SUM(F29:H29)</f>
        <v>418917</v>
      </c>
      <c r="J29" s="1">
        <f>J27+J64</f>
        <v>75396</v>
      </c>
      <c r="K29" s="1">
        <f>K27+K64</f>
        <v>72195</v>
      </c>
      <c r="L29" s="1">
        <f>L27+L64</f>
        <v>132719</v>
      </c>
      <c r="M29" s="16">
        <f>SUM(J29:L29)</f>
        <v>280310</v>
      </c>
      <c r="N29" s="1">
        <f>N27+N64</f>
        <v>129581</v>
      </c>
      <c r="O29" s="1">
        <f>O27+O64</f>
        <v>126981</v>
      </c>
      <c r="P29" s="1">
        <f>P27+P64</f>
        <v>141369</v>
      </c>
      <c r="Q29" s="17">
        <f>SUM(N29:P29)</f>
        <v>397931</v>
      </c>
      <c r="R29" s="16">
        <f>+E29+I29+M29+Q29</f>
        <v>1417550</v>
      </c>
    </row>
    <row r="30" spans="1:20" s="344" customFormat="1" ht="16.5" customHeight="1" thickBot="1" x14ac:dyDescent="0.35">
      <c r="A30" s="340" t="s">
        <v>44</v>
      </c>
      <c r="B30" s="341">
        <f>(B29/B10)/1.983</f>
        <v>2025.97888503896</v>
      </c>
      <c r="C30" s="341">
        <f>(C29/C10)/1.983</f>
        <v>1084.2518550536704</v>
      </c>
      <c r="D30" s="341">
        <f>(D29/D10)/1.983</f>
        <v>2206.6110324858068</v>
      </c>
      <c r="E30" s="342"/>
      <c r="F30" s="341">
        <f>(F29/F10)/1.983</f>
        <v>2692.0995125231129</v>
      </c>
      <c r="G30" s="341">
        <f>(G29/G10)/1.983</f>
        <v>2863.2733069803003</v>
      </c>
      <c r="H30" s="341">
        <f>(H29/H10)/1.983</f>
        <v>1390.9900823667842</v>
      </c>
      <c r="I30" s="342"/>
      <c r="J30" s="341">
        <f>(J29/J10)/1.983</f>
        <v>1226.489678395393</v>
      </c>
      <c r="K30" s="341">
        <f>(K29/K10)/1.983</f>
        <v>1174.4180371870577</v>
      </c>
      <c r="L30" s="341">
        <f>(L29/L10)/1.983</f>
        <v>2230.9463775424438</v>
      </c>
      <c r="M30" s="342"/>
      <c r="N30" s="341">
        <f>(N29/N10)/1.983</f>
        <v>2107.9335643290551</v>
      </c>
      <c r="O30" s="341">
        <f>(O29/O10)/1.983</f>
        <v>2134.4931921331313</v>
      </c>
      <c r="P30" s="341">
        <f>(P29/P10)/1.983</f>
        <v>2299.6925479478791</v>
      </c>
      <c r="Q30" s="343"/>
      <c r="R30" s="342"/>
      <c r="T30" s="345" t="s">
        <v>45</v>
      </c>
    </row>
    <row r="31" spans="1:20" ht="15.75" customHeight="1" x14ac:dyDescent="0.3">
      <c r="A31" s="2"/>
      <c r="B31" s="1"/>
      <c r="C31" s="1"/>
      <c r="D31" s="1"/>
      <c r="E31" s="1"/>
      <c r="F31" s="1"/>
      <c r="G31" s="1"/>
      <c r="H31" s="1"/>
      <c r="I31" s="1"/>
      <c r="J31" s="1"/>
      <c r="K31" s="1"/>
      <c r="L31" s="1"/>
      <c r="M31" s="1"/>
      <c r="N31" s="1"/>
      <c r="O31" s="1"/>
      <c r="P31" s="1"/>
      <c r="Q31" s="1"/>
      <c r="R31" s="2"/>
      <c r="T31" s="45" t="s">
        <v>46</v>
      </c>
    </row>
    <row r="32" spans="1:20" ht="15.75" customHeight="1" thickBot="1" x14ac:dyDescent="0.35">
      <c r="A32" s="2"/>
      <c r="B32" s="1"/>
      <c r="C32" s="1"/>
      <c r="D32" s="1"/>
      <c r="E32" s="1"/>
      <c r="F32" s="1"/>
      <c r="G32" s="1"/>
      <c r="H32" s="1"/>
      <c r="I32" s="1"/>
      <c r="J32" s="1"/>
      <c r="K32" s="1"/>
      <c r="L32" s="1"/>
      <c r="M32" s="1"/>
      <c r="N32" s="1"/>
      <c r="O32" s="1"/>
      <c r="P32" s="1"/>
      <c r="Q32" s="1"/>
      <c r="R32" s="2"/>
    </row>
    <row r="33" spans="1:18" ht="15.75" customHeight="1" thickBot="1" x14ac:dyDescent="0.35">
      <c r="A33" s="46" t="s">
        <v>47</v>
      </c>
      <c r="B33" s="47" t="s">
        <v>8</v>
      </c>
      <c r="C33" s="48" t="s">
        <v>9</v>
      </c>
      <c r="D33" s="48" t="s">
        <v>10</v>
      </c>
      <c r="E33" s="32" t="s">
        <v>11</v>
      </c>
      <c r="F33" s="48" t="s">
        <v>12</v>
      </c>
      <c r="G33" s="48" t="s">
        <v>13</v>
      </c>
      <c r="H33" s="48" t="s">
        <v>14</v>
      </c>
      <c r="I33" s="32" t="s">
        <v>15</v>
      </c>
      <c r="J33" s="48" t="s">
        <v>16</v>
      </c>
      <c r="K33" s="48" t="s">
        <v>17</v>
      </c>
      <c r="L33" s="48" t="s">
        <v>18</v>
      </c>
      <c r="M33" s="32" t="s">
        <v>19</v>
      </c>
      <c r="N33" s="48" t="s">
        <v>20</v>
      </c>
      <c r="O33" s="48" t="s">
        <v>21</v>
      </c>
      <c r="P33" s="48" t="s">
        <v>22</v>
      </c>
      <c r="Q33" s="32" t="s">
        <v>23</v>
      </c>
      <c r="R33" s="49" t="s">
        <v>24</v>
      </c>
    </row>
    <row r="34" spans="1:18" ht="16.5" customHeight="1" thickBot="1" x14ac:dyDescent="0.35">
      <c r="A34" s="42"/>
      <c r="B34" s="50"/>
      <c r="C34" s="51"/>
      <c r="D34" s="51"/>
      <c r="E34" s="52"/>
      <c r="F34" s="51"/>
      <c r="G34" s="51"/>
      <c r="H34" s="51"/>
      <c r="I34" s="52"/>
      <c r="J34" s="51"/>
      <c r="K34" s="51"/>
      <c r="L34" s="51"/>
      <c r="M34" s="52"/>
      <c r="N34" s="51"/>
      <c r="O34" s="51"/>
      <c r="P34" s="51"/>
      <c r="Q34" s="52"/>
      <c r="R34" s="53"/>
    </row>
    <row r="35" spans="1:18" ht="15.75" customHeight="1" x14ac:dyDescent="0.3">
      <c r="A35" s="54" t="s">
        <v>48</v>
      </c>
      <c r="B35" s="28"/>
      <c r="C35" s="28"/>
      <c r="D35" s="28"/>
      <c r="E35" s="55" t="s">
        <v>7</v>
      </c>
      <c r="F35" s="28"/>
      <c r="G35" s="28"/>
      <c r="H35" s="28"/>
      <c r="I35" s="55" t="s">
        <v>7</v>
      </c>
      <c r="J35" s="28"/>
      <c r="K35" s="28"/>
      <c r="L35" s="28"/>
      <c r="M35" s="55" t="s">
        <v>7</v>
      </c>
      <c r="N35" s="28"/>
      <c r="O35" s="28"/>
      <c r="P35" s="28"/>
      <c r="Q35" s="55" t="s">
        <v>7</v>
      </c>
      <c r="R35" s="55" t="s">
        <v>7</v>
      </c>
    </row>
    <row r="36" spans="1:18" ht="15.75" customHeight="1" x14ac:dyDescent="0.3">
      <c r="A36" s="18" t="s">
        <v>49</v>
      </c>
      <c r="B36" s="28" t="s">
        <v>7</v>
      </c>
      <c r="C36" s="56"/>
      <c r="D36" s="56"/>
      <c r="E36" s="55" t="s">
        <v>7</v>
      </c>
      <c r="F36" s="56"/>
      <c r="G36" s="56"/>
      <c r="H36" s="56"/>
      <c r="I36" s="55" t="s">
        <v>7</v>
      </c>
      <c r="J36" s="56"/>
      <c r="K36" s="56"/>
      <c r="L36" s="56"/>
      <c r="M36" s="55" t="s">
        <v>7</v>
      </c>
      <c r="N36" s="56"/>
      <c r="O36" s="56"/>
      <c r="P36" s="56"/>
      <c r="Q36" s="55" t="s">
        <v>7</v>
      </c>
      <c r="R36" s="55" t="s">
        <v>7</v>
      </c>
    </row>
    <row r="37" spans="1:18" ht="15.75" customHeight="1" x14ac:dyDescent="0.3">
      <c r="A37" s="18" t="s">
        <v>50</v>
      </c>
      <c r="B37" s="28"/>
      <c r="C37" s="28"/>
      <c r="D37" s="28"/>
      <c r="E37" s="55" t="s">
        <v>7</v>
      </c>
      <c r="F37" s="28"/>
      <c r="G37" s="28"/>
      <c r="H37" s="28"/>
      <c r="I37" s="55" t="s">
        <v>7</v>
      </c>
      <c r="J37" s="28"/>
      <c r="K37" s="28"/>
      <c r="L37" s="28"/>
      <c r="M37" s="55" t="s">
        <v>7</v>
      </c>
      <c r="N37" s="28"/>
      <c r="O37" s="28"/>
      <c r="P37" s="28"/>
      <c r="Q37" s="55" t="s">
        <v>7</v>
      </c>
      <c r="R37" s="55" t="s">
        <v>7</v>
      </c>
    </row>
    <row r="38" spans="1:18" ht="15.75" customHeight="1" x14ac:dyDescent="0.3">
      <c r="A38" s="61" t="s">
        <v>797</v>
      </c>
      <c r="B38" s="1"/>
      <c r="C38" s="1"/>
      <c r="D38" s="1"/>
      <c r="E38" s="55">
        <f>SUM(B38:D38)</f>
        <v>0</v>
      </c>
      <c r="F38" s="1"/>
      <c r="G38" s="1"/>
      <c r="H38" s="1"/>
      <c r="I38" s="55">
        <f>SUM(F38:H38)</f>
        <v>0</v>
      </c>
      <c r="J38" s="1"/>
      <c r="K38" s="1"/>
      <c r="L38" s="1"/>
      <c r="M38" s="55">
        <f>SUM(J38:L38)</f>
        <v>0</v>
      </c>
      <c r="N38" s="1"/>
      <c r="O38" s="1"/>
      <c r="P38" s="1"/>
      <c r="Q38" s="55">
        <f>SUM(N38:P38)</f>
        <v>0</v>
      </c>
      <c r="R38" s="55">
        <f>+E38+I38+M38+Q38</f>
        <v>0</v>
      </c>
    </row>
    <row r="39" spans="1:18" ht="15.75" customHeight="1" x14ac:dyDescent="0.3">
      <c r="A39" s="18" t="s">
        <v>1186</v>
      </c>
      <c r="B39" s="28"/>
      <c r="C39" s="28"/>
      <c r="D39" s="28"/>
      <c r="E39" s="55" t="s">
        <v>52</v>
      </c>
      <c r="F39" s="28"/>
      <c r="G39" s="28"/>
      <c r="H39" s="28"/>
      <c r="I39" s="55" t="s">
        <v>52</v>
      </c>
      <c r="J39" s="28"/>
      <c r="K39" s="28"/>
      <c r="L39" s="28"/>
      <c r="M39" s="55" t="s">
        <v>52</v>
      </c>
      <c r="N39" s="28"/>
      <c r="O39" s="28"/>
      <c r="P39" s="28"/>
      <c r="Q39" s="55" t="s">
        <v>52</v>
      </c>
      <c r="R39" s="55" t="s">
        <v>52</v>
      </c>
    </row>
    <row r="40" spans="1:18" ht="15.75" customHeight="1" thickBot="1" x14ac:dyDescent="0.35">
      <c r="A40" s="18" t="s">
        <v>53</v>
      </c>
      <c r="B40" s="56"/>
      <c r="C40" s="56"/>
      <c r="D40" s="56"/>
      <c r="E40" s="55" t="s">
        <v>7</v>
      </c>
      <c r="F40" s="56"/>
      <c r="G40" s="56"/>
      <c r="H40" s="56"/>
      <c r="I40" s="55" t="s">
        <v>7</v>
      </c>
      <c r="J40" s="56"/>
      <c r="K40" s="56"/>
      <c r="L40" s="56"/>
      <c r="M40" s="55" t="s">
        <v>7</v>
      </c>
      <c r="N40" s="56"/>
      <c r="O40" s="56"/>
      <c r="P40" s="56"/>
      <c r="Q40" s="55" t="s">
        <v>7</v>
      </c>
      <c r="R40" s="55" t="s">
        <v>7</v>
      </c>
    </row>
    <row r="41" spans="1:18" ht="16.5" customHeight="1" thickBot="1" x14ac:dyDescent="0.35">
      <c r="A41" s="57" t="s">
        <v>54</v>
      </c>
      <c r="B41" s="58">
        <f>SUM(B35:B40)</f>
        <v>0</v>
      </c>
      <c r="C41" s="58">
        <f>SUM(C35:C40)</f>
        <v>0</v>
      </c>
      <c r="D41" s="58">
        <f>SUM(D35:D40)</f>
        <v>0</v>
      </c>
      <c r="E41" s="59">
        <f>SUM(B41:D41)</f>
        <v>0</v>
      </c>
      <c r="F41" s="58">
        <f>SUM(F35:F40)</f>
        <v>0</v>
      </c>
      <c r="G41" s="58">
        <f>SUM(G35:G40)</f>
        <v>0</v>
      </c>
      <c r="H41" s="58">
        <f>SUM(H35:H40)</f>
        <v>0</v>
      </c>
      <c r="I41" s="59">
        <f>SUM(F41:H41)</f>
        <v>0</v>
      </c>
      <c r="J41" s="58">
        <f>SUM(J35:J40)</f>
        <v>0</v>
      </c>
      <c r="K41" s="58">
        <f>SUM(K35:K40)</f>
        <v>0</v>
      </c>
      <c r="L41" s="58">
        <f>SUM(L35:L40)</f>
        <v>0</v>
      </c>
      <c r="M41" s="59">
        <f>SUM(J41:L41)</f>
        <v>0</v>
      </c>
      <c r="N41" s="58">
        <f>SUM(N35:N40)</f>
        <v>0</v>
      </c>
      <c r="O41" s="58">
        <f>SUM(O35:O40)</f>
        <v>0</v>
      </c>
      <c r="P41" s="58">
        <f>SUM(P35:P40)</f>
        <v>0</v>
      </c>
      <c r="Q41" s="59">
        <f>SUM(N41:P41)</f>
        <v>0</v>
      </c>
      <c r="R41" s="59">
        <f>+E41+I41+M41+Q41</f>
        <v>0</v>
      </c>
    </row>
    <row r="42" spans="1:18" ht="15.75" customHeight="1" x14ac:dyDescent="0.3">
      <c r="A42" s="18" t="s">
        <v>55</v>
      </c>
      <c r="B42" s="56"/>
      <c r="C42" s="56"/>
      <c r="D42" s="56"/>
      <c r="E42" s="55" t="s">
        <v>7</v>
      </c>
      <c r="F42" s="56"/>
      <c r="G42" s="56"/>
      <c r="H42" s="56"/>
      <c r="I42" s="55" t="s">
        <v>7</v>
      </c>
      <c r="J42" s="56"/>
      <c r="K42" s="56"/>
      <c r="L42" s="56"/>
      <c r="M42" s="55" t="s">
        <v>7</v>
      </c>
      <c r="N42" s="56"/>
      <c r="O42" s="56"/>
      <c r="P42" s="56"/>
      <c r="Q42" s="55" t="s">
        <v>7</v>
      </c>
      <c r="R42" s="60" t="s">
        <v>7</v>
      </c>
    </row>
    <row r="43" spans="1:18" ht="15.75" customHeight="1" x14ac:dyDescent="0.3">
      <c r="A43" s="18" t="s">
        <v>56</v>
      </c>
      <c r="B43" s="56"/>
      <c r="C43" s="56"/>
      <c r="D43" s="56"/>
      <c r="E43" s="55"/>
      <c r="F43" s="56"/>
      <c r="G43" s="56"/>
      <c r="H43" s="56"/>
      <c r="I43" s="55"/>
      <c r="J43" s="56"/>
      <c r="K43" s="56"/>
      <c r="L43" s="56"/>
      <c r="M43" s="55"/>
      <c r="N43" s="56"/>
      <c r="O43" s="56"/>
      <c r="P43" s="56"/>
      <c r="Q43" s="55"/>
      <c r="R43" s="55"/>
    </row>
    <row r="44" spans="1:18" ht="15.75" customHeight="1" x14ac:dyDescent="0.3">
      <c r="A44" s="18" t="s">
        <v>57</v>
      </c>
      <c r="B44" s="56"/>
      <c r="C44" s="56"/>
      <c r="D44" s="56"/>
      <c r="E44" s="55" t="s">
        <v>7</v>
      </c>
      <c r="F44" s="56"/>
      <c r="G44" s="56"/>
      <c r="H44" s="56"/>
      <c r="I44" s="55" t="s">
        <v>7</v>
      </c>
      <c r="J44" s="56"/>
      <c r="K44" s="56"/>
      <c r="L44" s="56"/>
      <c r="M44" s="55" t="s">
        <v>7</v>
      </c>
      <c r="N44" s="56"/>
      <c r="O44" s="56"/>
      <c r="P44" s="56"/>
      <c r="Q44" s="55" t="s">
        <v>7</v>
      </c>
      <c r="R44" s="55" t="s">
        <v>7</v>
      </c>
    </row>
    <row r="45" spans="1:18" ht="15.75" customHeight="1" thickBot="1" x14ac:dyDescent="0.35">
      <c r="A45" s="18" t="s">
        <v>58</v>
      </c>
      <c r="B45" s="56"/>
      <c r="C45" s="56"/>
      <c r="D45" s="56"/>
      <c r="E45" s="55" t="s">
        <v>7</v>
      </c>
      <c r="F45" s="56"/>
      <c r="G45" s="56"/>
      <c r="H45" s="56"/>
      <c r="I45" s="55" t="s">
        <v>7</v>
      </c>
      <c r="J45" s="56"/>
      <c r="K45" s="56"/>
      <c r="L45" s="56"/>
      <c r="M45" s="55" t="s">
        <v>7</v>
      </c>
      <c r="N45" s="56"/>
      <c r="O45" s="56"/>
      <c r="P45" s="56"/>
      <c r="Q45" s="55" t="s">
        <v>7</v>
      </c>
      <c r="R45" s="55" t="s">
        <v>7</v>
      </c>
    </row>
    <row r="46" spans="1:18" ht="16.5" customHeight="1" thickBot="1" x14ac:dyDescent="0.35">
      <c r="A46" s="57" t="s">
        <v>59</v>
      </c>
      <c r="B46" s="58">
        <f>SUM(B42:B45)</f>
        <v>0</v>
      </c>
      <c r="C46" s="58">
        <f>SUM(C42:C45)</f>
        <v>0</v>
      </c>
      <c r="D46" s="58">
        <f>SUM(D42:D45)</f>
        <v>0</v>
      </c>
      <c r="E46" s="59">
        <f>SUM(B46:D46)</f>
        <v>0</v>
      </c>
      <c r="F46" s="58">
        <f>SUM(F42:F45)</f>
        <v>0</v>
      </c>
      <c r="G46" s="58">
        <f>SUM(G42:G45)</f>
        <v>0</v>
      </c>
      <c r="H46" s="58">
        <f>SUM(H42:H45)</f>
        <v>0</v>
      </c>
      <c r="I46" s="59">
        <f>SUM(F46:H46)</f>
        <v>0</v>
      </c>
      <c r="J46" s="58">
        <f>SUM(J42:J45)</f>
        <v>0</v>
      </c>
      <c r="K46" s="58">
        <f>SUM(K42:K45)</f>
        <v>0</v>
      </c>
      <c r="L46" s="58">
        <f>SUM(L42:L45)</f>
        <v>0</v>
      </c>
      <c r="M46" s="59">
        <f>SUM(J46:L46)</f>
        <v>0</v>
      </c>
      <c r="N46" s="58">
        <f>SUM(N42:N45)</f>
        <v>0</v>
      </c>
      <c r="O46" s="58">
        <f>SUM(O42:O45)</f>
        <v>0</v>
      </c>
      <c r="P46" s="58">
        <f>SUM(P42:P45)</f>
        <v>0</v>
      </c>
      <c r="Q46" s="59">
        <f>SUM(N46:P46)</f>
        <v>0</v>
      </c>
      <c r="R46" s="59">
        <f>+E46+I46+M46+Q46</f>
        <v>0</v>
      </c>
    </row>
    <row r="47" spans="1:18" ht="15.75" customHeight="1" x14ac:dyDescent="0.3">
      <c r="A47" s="18" t="s">
        <v>60</v>
      </c>
      <c r="B47" s="56"/>
      <c r="C47" s="56"/>
      <c r="D47" s="56"/>
      <c r="E47" s="55" t="s">
        <v>7</v>
      </c>
      <c r="F47" s="56"/>
      <c r="G47" s="56"/>
      <c r="H47" s="56"/>
      <c r="I47" s="55" t="s">
        <v>7</v>
      </c>
      <c r="J47" s="56"/>
      <c r="K47" s="56"/>
      <c r="L47" s="56"/>
      <c r="M47" s="55" t="s">
        <v>7</v>
      </c>
      <c r="N47" s="56"/>
      <c r="O47" s="56"/>
      <c r="P47" s="56"/>
      <c r="Q47" s="55" t="s">
        <v>7</v>
      </c>
      <c r="R47" s="55" t="s">
        <v>7</v>
      </c>
    </row>
    <row r="48" spans="1:18" ht="15.75" customHeight="1" x14ac:dyDescent="0.3">
      <c r="A48" s="18" t="s">
        <v>61</v>
      </c>
      <c r="B48" s="56"/>
      <c r="C48" s="56"/>
      <c r="D48" s="56"/>
      <c r="E48" s="55" t="s">
        <v>7</v>
      </c>
      <c r="F48" s="56"/>
      <c r="G48" s="56"/>
      <c r="H48" s="56"/>
      <c r="I48" s="55" t="s">
        <v>7</v>
      </c>
      <c r="J48" s="56"/>
      <c r="K48" s="56"/>
      <c r="L48" s="56"/>
      <c r="M48" s="55" t="s">
        <v>7</v>
      </c>
      <c r="N48" s="56"/>
      <c r="O48" s="56"/>
      <c r="P48" s="56"/>
      <c r="Q48" s="55" t="s">
        <v>7</v>
      </c>
      <c r="R48" s="55" t="s">
        <v>7</v>
      </c>
    </row>
    <row r="49" spans="1:18" ht="15.75" customHeight="1" thickBot="1" x14ac:dyDescent="0.35">
      <c r="A49" s="18" t="s">
        <v>62</v>
      </c>
      <c r="B49" s="56"/>
      <c r="C49" s="56"/>
      <c r="D49" s="56"/>
      <c r="E49" s="55"/>
      <c r="F49" s="56"/>
      <c r="G49" s="56"/>
      <c r="H49" s="56"/>
      <c r="I49" s="55"/>
      <c r="J49" s="56"/>
      <c r="K49" s="56"/>
      <c r="L49" s="56"/>
      <c r="M49" s="55"/>
      <c r="N49" s="56"/>
      <c r="O49" s="56"/>
      <c r="P49" s="56"/>
      <c r="Q49" s="55"/>
      <c r="R49" s="55"/>
    </row>
    <row r="50" spans="1:18" ht="16.5" customHeight="1" thickBot="1" x14ac:dyDescent="0.35">
      <c r="A50" s="57" t="s">
        <v>63</v>
      </c>
      <c r="B50" s="58">
        <f>SUM(B47:B49)</f>
        <v>0</v>
      </c>
      <c r="C50" s="58">
        <f>SUM(C47:C49)</f>
        <v>0</v>
      </c>
      <c r="D50" s="58">
        <f>SUM(D47:D49)</f>
        <v>0</v>
      </c>
      <c r="E50" s="59">
        <f>SUM(B50:D50)</f>
        <v>0</v>
      </c>
      <c r="F50" s="58">
        <f>SUM(F47:F49)</f>
        <v>0</v>
      </c>
      <c r="G50" s="58">
        <f>SUM(G47:G49)</f>
        <v>0</v>
      </c>
      <c r="H50" s="58">
        <f>SUM(H47:H49)</f>
        <v>0</v>
      </c>
      <c r="I50" s="59">
        <f>SUM(F50:H50)</f>
        <v>0</v>
      </c>
      <c r="J50" s="58">
        <f>SUM(J47:J49)</f>
        <v>0</v>
      </c>
      <c r="K50" s="58">
        <f>SUM(K47:K49)</f>
        <v>0</v>
      </c>
      <c r="L50" s="58">
        <f>SUM(L47:L49)</f>
        <v>0</v>
      </c>
      <c r="M50" s="59">
        <f>SUM(J50:L50)</f>
        <v>0</v>
      </c>
      <c r="N50" s="58">
        <f>SUM(N47:N49)</f>
        <v>0</v>
      </c>
      <c r="O50" s="58">
        <f>SUM(O47:O49)</f>
        <v>0</v>
      </c>
      <c r="P50" s="58">
        <f>SUM(P47:P49)</f>
        <v>0</v>
      </c>
      <c r="Q50" s="59">
        <f>SUM(N50:P50)</f>
        <v>0</v>
      </c>
      <c r="R50" s="59">
        <f>+E50+I50+M50+Q50</f>
        <v>0</v>
      </c>
    </row>
    <row r="51" spans="1:18" ht="15.75" customHeight="1" x14ac:dyDescent="0.3">
      <c r="A51" s="18" t="s">
        <v>64</v>
      </c>
      <c r="B51" s="56"/>
      <c r="C51" s="56"/>
      <c r="D51" s="56"/>
      <c r="E51" s="55" t="s">
        <v>7</v>
      </c>
      <c r="F51" s="56"/>
      <c r="G51" s="56"/>
      <c r="H51" s="56"/>
      <c r="I51" s="55" t="s">
        <v>7</v>
      </c>
      <c r="J51" s="56"/>
      <c r="K51" s="56"/>
      <c r="L51" s="56"/>
      <c r="M51" s="55" t="s">
        <v>7</v>
      </c>
      <c r="N51" s="56"/>
      <c r="O51" s="56"/>
      <c r="P51" s="56"/>
      <c r="Q51" s="55" t="s">
        <v>7</v>
      </c>
      <c r="R51" s="55" t="s">
        <v>7</v>
      </c>
    </row>
    <row r="52" spans="1:18" ht="15.75" customHeight="1" x14ac:dyDescent="0.3">
      <c r="A52" s="18" t="s">
        <v>594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67</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61" t="s">
        <v>685</v>
      </c>
      <c r="B54" s="1"/>
      <c r="C54" s="1"/>
      <c r="D54" s="1"/>
      <c r="E54" s="55">
        <f>SUM(B54:D54)</f>
        <v>0</v>
      </c>
      <c r="F54" s="1"/>
      <c r="G54" s="1"/>
      <c r="H54" s="1"/>
      <c r="I54" s="55">
        <f>SUM(F54:H54)</f>
        <v>0</v>
      </c>
      <c r="J54" s="1"/>
      <c r="K54" s="1"/>
      <c r="L54" s="1"/>
      <c r="M54" s="55">
        <f>SUM(J54:L54)</f>
        <v>0</v>
      </c>
      <c r="N54" s="1"/>
      <c r="O54" s="1"/>
      <c r="P54" s="1"/>
      <c r="Q54" s="55">
        <f>SUM(N54:P54)</f>
        <v>0</v>
      </c>
      <c r="R54" s="55">
        <f>+E54+I54+M54+Q54</f>
        <v>0</v>
      </c>
    </row>
    <row r="55" spans="1:18" ht="15.75" customHeight="1" x14ac:dyDescent="0.3">
      <c r="A55" s="18" t="s">
        <v>600</v>
      </c>
      <c r="B55" s="56"/>
      <c r="C55" s="56"/>
      <c r="D55" s="56"/>
      <c r="E55" s="55" t="s">
        <v>7</v>
      </c>
      <c r="F55" s="56"/>
      <c r="G55" s="56"/>
      <c r="H55" s="56"/>
      <c r="I55" s="55" t="s">
        <v>7</v>
      </c>
      <c r="J55" s="56"/>
      <c r="K55" s="56"/>
      <c r="L55" s="56"/>
      <c r="M55" s="55" t="s">
        <v>7</v>
      </c>
      <c r="N55" s="56"/>
      <c r="O55" s="56"/>
      <c r="P55" s="56"/>
      <c r="Q55" s="55" t="s">
        <v>7</v>
      </c>
      <c r="R55" s="55" t="s">
        <v>7</v>
      </c>
    </row>
    <row r="56" spans="1:18" ht="15.75" customHeight="1" thickBot="1" x14ac:dyDescent="0.35">
      <c r="A56" s="18" t="s">
        <v>70</v>
      </c>
      <c r="B56" s="56"/>
      <c r="C56" s="56"/>
      <c r="D56" s="56"/>
      <c r="E56" s="55" t="s">
        <v>7</v>
      </c>
      <c r="F56" s="56"/>
      <c r="G56" s="56"/>
      <c r="H56" s="56"/>
      <c r="I56" s="55" t="s">
        <v>7</v>
      </c>
      <c r="J56" s="56"/>
      <c r="K56" s="56"/>
      <c r="L56" s="56"/>
      <c r="M56" s="55" t="s">
        <v>7</v>
      </c>
      <c r="N56" s="56"/>
      <c r="O56" s="56"/>
      <c r="P56" s="56"/>
      <c r="Q56" s="55" t="s">
        <v>7</v>
      </c>
      <c r="R56" s="55" t="s">
        <v>7</v>
      </c>
    </row>
    <row r="57" spans="1:18" ht="16.5" customHeight="1" thickBot="1" x14ac:dyDescent="0.35">
      <c r="A57" s="57" t="s">
        <v>71</v>
      </c>
      <c r="B57" s="58">
        <f>SUM(B55:B56)</f>
        <v>0</v>
      </c>
      <c r="C57" s="58">
        <f>SUM(C55:C56)</f>
        <v>0</v>
      </c>
      <c r="D57" s="58">
        <f>SUM(D55:D56)</f>
        <v>0</v>
      </c>
      <c r="E57" s="60">
        <f>SUM(B57:D57)</f>
        <v>0</v>
      </c>
      <c r="F57" s="58">
        <f>SUM(F55:F56)</f>
        <v>0</v>
      </c>
      <c r="G57" s="58">
        <f>SUM(G55:G56)</f>
        <v>0</v>
      </c>
      <c r="H57" s="58">
        <f>SUM(H55:H56)</f>
        <v>0</v>
      </c>
      <c r="I57" s="60">
        <f>SUM(F57:H57)</f>
        <v>0</v>
      </c>
      <c r="J57" s="58">
        <f>SUM(J55:J56)</f>
        <v>0</v>
      </c>
      <c r="K57" s="58">
        <f>SUM(K55:K56)</f>
        <v>0</v>
      </c>
      <c r="L57" s="58">
        <f>SUM(L55:L56)</f>
        <v>0</v>
      </c>
      <c r="M57" s="60">
        <f>SUM(J57:L57)</f>
        <v>0</v>
      </c>
      <c r="N57" s="58">
        <f>SUM(N55:N56)</f>
        <v>0</v>
      </c>
      <c r="O57" s="58">
        <f>SUM(O55:O56)</f>
        <v>0</v>
      </c>
      <c r="P57" s="58">
        <f>SUM(P55:P56)</f>
        <v>0</v>
      </c>
      <c r="Q57" s="60">
        <f>SUM(N57:P57)</f>
        <v>0</v>
      </c>
      <c r="R57" s="59">
        <f>+E57+I57+M57+Q57</f>
        <v>0</v>
      </c>
    </row>
    <row r="58" spans="1:18" ht="16.5" customHeight="1" thickBot="1" x14ac:dyDescent="0.35">
      <c r="A58" s="57" t="s">
        <v>72</v>
      </c>
      <c r="B58" s="58">
        <f>SUM(B51:B56)</f>
        <v>0</v>
      </c>
      <c r="C58" s="58">
        <f>SUM(C51:C56)</f>
        <v>0</v>
      </c>
      <c r="D58" s="58">
        <f>SUM(D51:D56)</f>
        <v>0</v>
      </c>
      <c r="E58" s="60">
        <f>SUM(B58:D58)</f>
        <v>0</v>
      </c>
      <c r="F58" s="58">
        <f>SUM(F51:F56)</f>
        <v>0</v>
      </c>
      <c r="G58" s="58">
        <f>SUM(G51:G56)</f>
        <v>0</v>
      </c>
      <c r="H58" s="58">
        <f>SUM(H51:H56)</f>
        <v>0</v>
      </c>
      <c r="I58" s="60">
        <f>SUM(F58:H58)</f>
        <v>0</v>
      </c>
      <c r="J58" s="58">
        <f>SUM(J51:J56)</f>
        <v>0</v>
      </c>
      <c r="K58" s="58">
        <f>SUM(K51:K56)</f>
        <v>0</v>
      </c>
      <c r="L58" s="58">
        <f>SUM(L51:L56)</f>
        <v>0</v>
      </c>
      <c r="M58" s="60">
        <f>SUM(J58:L58)</f>
        <v>0</v>
      </c>
      <c r="N58" s="58">
        <f>SUM(N51:N56)</f>
        <v>0</v>
      </c>
      <c r="O58" s="58">
        <f>SUM(O51:O56)</f>
        <v>0</v>
      </c>
      <c r="P58" s="58">
        <f>SUM(P51:P56)</f>
        <v>0</v>
      </c>
      <c r="Q58" s="60">
        <f>SUM(N58:P58)</f>
        <v>0</v>
      </c>
      <c r="R58" s="59">
        <f>+E58+I58+M58+Q58</f>
        <v>0</v>
      </c>
    </row>
    <row r="59" spans="1:18" ht="16.5" customHeight="1" thickBot="1" x14ac:dyDescent="0.35">
      <c r="A59" s="57" t="s">
        <v>73</v>
      </c>
      <c r="B59" s="58">
        <f>+B41+B46+B50+B58</f>
        <v>0</v>
      </c>
      <c r="C59" s="58">
        <f>+C41+C46+C50+C58</f>
        <v>0</v>
      </c>
      <c r="D59" s="58">
        <f>+D41+D46+D50+D58</f>
        <v>0</v>
      </c>
      <c r="E59" s="59">
        <f>SUM(B59:D59)</f>
        <v>0</v>
      </c>
      <c r="F59" s="58">
        <f>+F41+F46+F50+F58</f>
        <v>0</v>
      </c>
      <c r="G59" s="58">
        <f>+G41+G46+G50+G58</f>
        <v>0</v>
      </c>
      <c r="H59" s="58">
        <f>+H41+H46+H50+H58</f>
        <v>0</v>
      </c>
      <c r="I59" s="59">
        <f>SUM(F59:H59)</f>
        <v>0</v>
      </c>
      <c r="J59" s="58">
        <f>+J41+J46+J50+J58</f>
        <v>0</v>
      </c>
      <c r="K59" s="58">
        <f>+K41+K46+K50+K58</f>
        <v>0</v>
      </c>
      <c r="L59" s="58">
        <f>+L41+L46+L50+L58</f>
        <v>0</v>
      </c>
      <c r="M59" s="59">
        <f>SUM(J59:L59)</f>
        <v>0</v>
      </c>
      <c r="N59" s="58">
        <f>+N41+N46+N50+N58</f>
        <v>0</v>
      </c>
      <c r="O59" s="58">
        <f>+O41+O46+O50+O58</f>
        <v>0</v>
      </c>
      <c r="P59" s="58">
        <f>+P41+P46+P50+P58</f>
        <v>0</v>
      </c>
      <c r="Q59" s="59">
        <f>SUM(N59:P59)</f>
        <v>0</v>
      </c>
      <c r="R59" s="59">
        <f>+E59+I59+M59+Q59</f>
        <v>0</v>
      </c>
    </row>
    <row r="60" spans="1:18" ht="16.5" customHeight="1" thickBot="1" x14ac:dyDescent="0.35">
      <c r="A60" s="62" t="s">
        <v>40</v>
      </c>
      <c r="B60" s="63">
        <v>96</v>
      </c>
      <c r="C60" s="63">
        <v>145</v>
      </c>
      <c r="D60" s="63">
        <v>261</v>
      </c>
      <c r="E60" s="42">
        <f>SUM(B60:D60)</f>
        <v>502</v>
      </c>
      <c r="F60" s="63">
        <v>350</v>
      </c>
      <c r="G60" s="63">
        <v>402</v>
      </c>
      <c r="H60" s="63">
        <v>396</v>
      </c>
      <c r="I60" s="42">
        <f>SUM(F60:H60)</f>
        <v>1148</v>
      </c>
      <c r="J60" s="63">
        <v>394</v>
      </c>
      <c r="K60" s="63">
        <v>318</v>
      </c>
      <c r="L60" s="63">
        <v>301</v>
      </c>
      <c r="M60" s="42">
        <f>SUM(J60:L60)</f>
        <v>1013</v>
      </c>
      <c r="N60" s="63">
        <v>272</v>
      </c>
      <c r="O60" s="63">
        <v>226</v>
      </c>
      <c r="P60" s="63">
        <v>179</v>
      </c>
      <c r="Q60" s="42">
        <f>SUM(N60:P60)</f>
        <v>677</v>
      </c>
      <c r="R60" s="42">
        <f>+E60+I60+M60+Q60</f>
        <v>3340</v>
      </c>
    </row>
    <row r="61" spans="1:18" ht="16.5" customHeight="1" thickBot="1" x14ac:dyDescent="0.35">
      <c r="A61" s="41"/>
      <c r="B61" s="36"/>
      <c r="C61" s="36"/>
      <c r="D61" s="36"/>
      <c r="E61" s="22"/>
      <c r="F61" s="36"/>
      <c r="G61" s="36"/>
      <c r="H61" s="36"/>
      <c r="I61" s="22"/>
      <c r="J61" s="36"/>
      <c r="K61" s="36"/>
      <c r="L61" s="36"/>
      <c r="M61" s="22"/>
      <c r="N61" s="36"/>
      <c r="O61" s="36"/>
      <c r="P61" s="36"/>
      <c r="Q61" s="22"/>
      <c r="R61" s="41"/>
    </row>
    <row r="62" spans="1:18" ht="15.75" customHeight="1" x14ac:dyDescent="0.3">
      <c r="A62" s="15" t="s">
        <v>41</v>
      </c>
      <c r="B62" s="1">
        <f>+B59+B60</f>
        <v>96</v>
      </c>
      <c r="C62" s="1">
        <f>+C59+C60</f>
        <v>145</v>
      </c>
      <c r="D62" s="1">
        <f>+D59+D60</f>
        <v>261</v>
      </c>
      <c r="E62" s="40">
        <f>SUM(B62:D62)</f>
        <v>502</v>
      </c>
      <c r="F62" s="1">
        <f>+F59+F60</f>
        <v>350</v>
      </c>
      <c r="G62" s="1">
        <f>+G59+G60</f>
        <v>402</v>
      </c>
      <c r="H62" s="1">
        <f>+H59+H60</f>
        <v>396</v>
      </c>
      <c r="I62" s="40">
        <f>SUM(F62:H62)</f>
        <v>1148</v>
      </c>
      <c r="J62" s="1">
        <f>+J59+J60</f>
        <v>394</v>
      </c>
      <c r="K62" s="1">
        <f>+K59+K60</f>
        <v>318</v>
      </c>
      <c r="L62" s="1">
        <f>+L59+L60</f>
        <v>301</v>
      </c>
      <c r="M62" s="40">
        <f>SUM(J62:L62)</f>
        <v>1013</v>
      </c>
      <c r="N62" s="1">
        <f>+N59+N60</f>
        <v>272</v>
      </c>
      <c r="O62" s="1">
        <f>+O59+O60</f>
        <v>226</v>
      </c>
      <c r="P62" s="1">
        <f>+P59+P60</f>
        <v>179</v>
      </c>
      <c r="Q62" s="44">
        <f>SUM(N62:P62)</f>
        <v>677</v>
      </c>
      <c r="R62" s="16">
        <f>+E62+I62+M62+Q62</f>
        <v>3340</v>
      </c>
    </row>
    <row r="63" spans="1:18" ht="15.75" customHeight="1" x14ac:dyDescent="0.3">
      <c r="A63" s="15" t="s">
        <v>42</v>
      </c>
      <c r="B63" s="1">
        <f>(B62/B10)/1.983</f>
        <v>1.5616612171197111</v>
      </c>
      <c r="C63" s="1">
        <f>(C62/C10)/1.983</f>
        <v>2.6114833225271954</v>
      </c>
      <c r="D63" s="1">
        <f>(D62/D10)/1.983</f>
        <v>4.2457664340442145</v>
      </c>
      <c r="E63" s="16"/>
      <c r="F63" s="1">
        <f>(F62/F10)/1.983</f>
        <v>5.8833417381072444</v>
      </c>
      <c r="G63" s="1">
        <f>(G62/G10)/1.983</f>
        <v>6.5394563466887892</v>
      </c>
      <c r="H63" s="1">
        <f>(H62/H10)/1.983</f>
        <v>6.6565809379727678</v>
      </c>
      <c r="I63" s="16"/>
      <c r="J63" s="1">
        <f>(J62/J10)/1.983</f>
        <v>6.4093179119288139</v>
      </c>
      <c r="K63" s="1">
        <f>(K62/K10)/1.983</f>
        <v>5.1730027817090427</v>
      </c>
      <c r="L63" s="1">
        <f>(L62/L10)/1.983</f>
        <v>5.0596738947722306</v>
      </c>
      <c r="M63" s="16"/>
      <c r="N63" s="1">
        <f>(N62/N10)/1.983</f>
        <v>4.4247067818391805</v>
      </c>
      <c r="O63" s="1">
        <f>(O62/O10)/1.983</f>
        <v>3.7989578080349635</v>
      </c>
      <c r="P63" s="1">
        <f>(P62/P10)/1.983</f>
        <v>2.9118474777544612</v>
      </c>
      <c r="Q63" s="17"/>
      <c r="R63" s="64"/>
    </row>
    <row r="64" spans="1:18" ht="15.75" customHeight="1" x14ac:dyDescent="0.3">
      <c r="A64" s="15" t="s">
        <v>74</v>
      </c>
      <c r="B64" s="1">
        <f>B62+B131</f>
        <v>124446</v>
      </c>
      <c r="C64" s="1">
        <f>C62+C131</f>
        <v>60054</v>
      </c>
      <c r="D64" s="1">
        <f>D62+D131</f>
        <v>135373</v>
      </c>
      <c r="E64" s="16">
        <f>SUM(B64:D64)</f>
        <v>319873</v>
      </c>
      <c r="F64" s="1">
        <f>F62+F131</f>
        <v>159786</v>
      </c>
      <c r="G64" s="1">
        <f>G62+G131</f>
        <v>175589</v>
      </c>
      <c r="H64" s="1">
        <f>H62+H131</f>
        <v>82333</v>
      </c>
      <c r="I64" s="16">
        <f>SUM(F64:H64)</f>
        <v>417708</v>
      </c>
      <c r="J64" s="1">
        <f>J62+J131</f>
        <v>74980</v>
      </c>
      <c r="K64" s="1">
        <f>K62+K131</f>
        <v>71861</v>
      </c>
      <c r="L64" s="1">
        <f>L62+L131</f>
        <v>132403</v>
      </c>
      <c r="M64" s="16">
        <f>SUM(J64:L64)</f>
        <v>279244</v>
      </c>
      <c r="N64" s="1">
        <f>N62+N131</f>
        <v>129296</v>
      </c>
      <c r="O64" s="1">
        <f>O62+O131</f>
        <v>126746</v>
      </c>
      <c r="P64" s="1">
        <f>P62+P131</f>
        <v>141183</v>
      </c>
      <c r="Q64" s="17">
        <f>SUM(N64:P64)</f>
        <v>397225</v>
      </c>
      <c r="R64" s="16">
        <f>+E64+I64+M64+Q64</f>
        <v>1414050</v>
      </c>
    </row>
    <row r="65" spans="1:20" ht="16.5" customHeight="1" thickBot="1" x14ac:dyDescent="0.35">
      <c r="A65" s="20" t="s">
        <v>75</v>
      </c>
      <c r="B65" s="21">
        <f>(B64/B10)/1.983</f>
        <v>2024.4009565174954</v>
      </c>
      <c r="C65" s="21">
        <f>(C64/C10)/1.983</f>
        <v>1081.5863410417116</v>
      </c>
      <c r="D65" s="21">
        <f>(D64/D10)/1.983</f>
        <v>2202.1537910952775</v>
      </c>
      <c r="E65" s="22"/>
      <c r="F65" s="21">
        <f>(F64/F10)/1.983</f>
        <v>2685.930408472012</v>
      </c>
      <c r="G65" s="21">
        <f>(G64/G10)/1.983</f>
        <v>2856.3597026336765</v>
      </c>
      <c r="H65" s="21">
        <f>(H64/H10)/1.983</f>
        <v>1383.9805009245251</v>
      </c>
      <c r="I65" s="22"/>
      <c r="J65" s="21">
        <f>(J64/J10)/1.983</f>
        <v>1219.7224797878741</v>
      </c>
      <c r="K65" s="21">
        <f>(K64/K10)/1.983</f>
        <v>1168.9847575358287</v>
      </c>
      <c r="L65" s="21">
        <f>(L64/L10)/1.983</f>
        <v>2225.6345604303242</v>
      </c>
      <c r="M65" s="22"/>
      <c r="N65" s="21">
        <f>(N64/N10)/1.983</f>
        <v>2103.2973825907306</v>
      </c>
      <c r="O65" s="21">
        <f>(O64/O10)/1.983</f>
        <v>2130.5429483946882</v>
      </c>
      <c r="P65" s="21">
        <f>(P64/P10)/1.983</f>
        <v>2296.6668293397097</v>
      </c>
      <c r="Q65" s="23"/>
      <c r="R65" s="65" t="s">
        <v>7</v>
      </c>
    </row>
    <row r="66" spans="1:20" ht="15.75" customHeight="1" x14ac:dyDescent="0.3">
      <c r="A66" s="2"/>
      <c r="B66" s="1"/>
      <c r="C66" s="1"/>
      <c r="D66" s="1"/>
      <c r="E66" s="1"/>
      <c r="F66" s="1"/>
      <c r="G66" s="1"/>
      <c r="H66" s="1"/>
      <c r="I66" s="1"/>
      <c r="J66" s="1"/>
      <c r="K66" s="1"/>
      <c r="L66" s="1"/>
      <c r="M66" s="1"/>
      <c r="N66" s="1"/>
      <c r="O66" s="1"/>
      <c r="P66" s="1"/>
      <c r="Q66" s="1"/>
      <c r="R66" s="2"/>
    </row>
    <row r="67" spans="1:20" ht="15.75" customHeight="1" thickBot="1" x14ac:dyDescent="0.35">
      <c r="A67" s="2"/>
      <c r="B67" s="1"/>
      <c r="C67" s="1"/>
      <c r="D67" s="1"/>
      <c r="E67" s="1"/>
      <c r="F67" s="1"/>
      <c r="G67" s="1"/>
      <c r="H67" s="1"/>
      <c r="I67" s="1"/>
      <c r="J67" s="1"/>
      <c r="K67" s="1"/>
      <c r="L67" s="1"/>
      <c r="M67" s="1"/>
      <c r="N67" s="1"/>
      <c r="O67" s="1"/>
      <c r="P67" s="1"/>
      <c r="Q67" s="1"/>
      <c r="R67" s="2"/>
    </row>
    <row r="68" spans="1:20" ht="16.5" customHeight="1" thickBot="1" x14ac:dyDescent="0.35">
      <c r="A68" s="29" t="s">
        <v>76</v>
      </c>
      <c r="B68" s="30" t="s">
        <v>8</v>
      </c>
      <c r="C68" s="31" t="s">
        <v>9</v>
      </c>
      <c r="D68" s="31" t="s">
        <v>10</v>
      </c>
      <c r="E68" s="32" t="s">
        <v>11</v>
      </c>
      <c r="F68" s="31" t="s">
        <v>12</v>
      </c>
      <c r="G68" s="31" t="s">
        <v>13</v>
      </c>
      <c r="H68" s="31" t="s">
        <v>14</v>
      </c>
      <c r="I68" s="33" t="s">
        <v>15</v>
      </c>
      <c r="J68" s="31" t="s">
        <v>16</v>
      </c>
      <c r="K68" s="31" t="s">
        <v>17</v>
      </c>
      <c r="L68" s="31" t="s">
        <v>18</v>
      </c>
      <c r="M68" s="33" t="s">
        <v>19</v>
      </c>
      <c r="N68" s="31" t="s">
        <v>20</v>
      </c>
      <c r="O68" s="31" t="s">
        <v>21</v>
      </c>
      <c r="P68" s="31" t="s">
        <v>22</v>
      </c>
      <c r="Q68" s="33" t="s">
        <v>23</v>
      </c>
      <c r="R68" s="34" t="s">
        <v>24</v>
      </c>
    </row>
    <row r="69" spans="1:20" ht="16.5" customHeight="1" thickBot="1" x14ac:dyDescent="0.35">
      <c r="A69" s="66"/>
      <c r="B69" s="67"/>
      <c r="C69" s="68"/>
      <c r="D69" s="68"/>
      <c r="E69" s="69"/>
      <c r="F69" s="68"/>
      <c r="G69" s="68"/>
      <c r="H69" s="68"/>
      <c r="I69" s="69"/>
      <c r="J69" s="68"/>
      <c r="K69" s="68"/>
      <c r="L69" s="68"/>
      <c r="M69" s="69"/>
      <c r="N69" s="68"/>
      <c r="O69" s="68"/>
      <c r="P69" s="70"/>
      <c r="Q69" s="69"/>
      <c r="R69" s="59"/>
    </row>
    <row r="70" spans="1:20" ht="15.75" customHeight="1" x14ac:dyDescent="0.3">
      <c r="A70" s="54" t="s">
        <v>48</v>
      </c>
      <c r="B70" s="28"/>
      <c r="C70" s="28"/>
      <c r="D70" s="28"/>
      <c r="E70" s="55" t="s">
        <v>7</v>
      </c>
      <c r="F70" s="28"/>
      <c r="G70" s="28"/>
      <c r="H70" s="28"/>
      <c r="I70" s="55" t="s">
        <v>7</v>
      </c>
      <c r="J70" s="28"/>
      <c r="K70" s="28"/>
      <c r="L70" s="28"/>
      <c r="M70" s="55" t="s">
        <v>7</v>
      </c>
      <c r="N70" s="28"/>
      <c r="O70" s="28"/>
      <c r="P70" s="28"/>
      <c r="Q70" s="55" t="s">
        <v>7</v>
      </c>
      <c r="R70" s="55" t="s">
        <v>7</v>
      </c>
    </row>
    <row r="71" spans="1:20" ht="15.75" customHeight="1" x14ac:dyDescent="0.3">
      <c r="A71" s="18" t="s">
        <v>49</v>
      </c>
      <c r="B71" s="28"/>
      <c r="C71" s="56"/>
      <c r="D71" s="56"/>
      <c r="E71" s="55" t="s">
        <v>7</v>
      </c>
      <c r="F71" s="56"/>
      <c r="G71" s="56"/>
      <c r="H71" s="56"/>
      <c r="I71" s="55" t="s">
        <v>7</v>
      </c>
      <c r="J71" s="56"/>
      <c r="K71" s="56"/>
      <c r="L71" s="56"/>
      <c r="M71" s="55" t="s">
        <v>7</v>
      </c>
      <c r="N71" s="56"/>
      <c r="O71" s="56"/>
      <c r="P71" s="56"/>
      <c r="Q71" s="55" t="s">
        <v>7</v>
      </c>
      <c r="R71" s="55" t="s">
        <v>7</v>
      </c>
    </row>
    <row r="72" spans="1:20" ht="15.75" customHeight="1" x14ac:dyDescent="0.3">
      <c r="A72" s="71" t="s">
        <v>798</v>
      </c>
      <c r="B72" s="1"/>
      <c r="C72" s="1"/>
      <c r="D72" s="1"/>
      <c r="E72" s="55">
        <f t="shared" ref="E72:E82" si="5">SUM(B72:D72)</f>
        <v>0</v>
      </c>
      <c r="F72" s="1"/>
      <c r="G72" s="1"/>
      <c r="H72" s="1"/>
      <c r="I72" s="55">
        <f t="shared" ref="I72:I82" si="6">SUM(F72:H72)</f>
        <v>0</v>
      </c>
      <c r="J72" s="1"/>
      <c r="K72" s="1"/>
      <c r="L72" s="1"/>
      <c r="M72" s="55">
        <f t="shared" ref="M72:M82" si="7">SUM(J72:L72)</f>
        <v>0</v>
      </c>
      <c r="N72" s="1"/>
      <c r="O72" s="1"/>
      <c r="P72" s="1"/>
      <c r="Q72" s="55">
        <f t="shared" ref="Q72:Q82" si="8">SUM(N72:P72)</f>
        <v>0</v>
      </c>
      <c r="R72" s="55">
        <f t="shared" ref="R72:R82" si="9">+E72+I72+M72+Q72</f>
        <v>0</v>
      </c>
    </row>
    <row r="73" spans="1:20" ht="15.75" customHeight="1" x14ac:dyDescent="0.3">
      <c r="A73" s="71" t="s">
        <v>799</v>
      </c>
      <c r="B73" s="1"/>
      <c r="C73" s="1"/>
      <c r="D73" s="1"/>
      <c r="E73" s="55">
        <f>SUM(B73:D73)</f>
        <v>0</v>
      </c>
      <c r="F73" s="1"/>
      <c r="G73" s="1"/>
      <c r="H73" s="1"/>
      <c r="I73" s="55">
        <f>SUM(F73:H73)</f>
        <v>0</v>
      </c>
      <c r="J73" s="1"/>
      <c r="K73" s="1"/>
      <c r="L73" s="1"/>
      <c r="M73" s="55">
        <f>SUM(J73:L73)</f>
        <v>0</v>
      </c>
      <c r="N73" s="1"/>
      <c r="O73" s="1"/>
      <c r="P73" s="1"/>
      <c r="Q73" s="55">
        <f>SUM(N73:P73)</f>
        <v>0</v>
      </c>
      <c r="R73" s="55">
        <f>+E73+I73+M73+Q73</f>
        <v>0</v>
      </c>
    </row>
    <row r="74" spans="1:20" ht="15.75" customHeight="1" x14ac:dyDescent="0.3">
      <c r="A74" s="71" t="s">
        <v>524</v>
      </c>
      <c r="B74" s="1"/>
      <c r="C74" s="1"/>
      <c r="D74" s="1"/>
      <c r="E74" s="55">
        <f t="shared" si="5"/>
        <v>0</v>
      </c>
      <c r="F74" s="1"/>
      <c r="G74" s="1"/>
      <c r="H74" s="1"/>
      <c r="I74" s="55">
        <f t="shared" si="6"/>
        <v>0</v>
      </c>
      <c r="J74" s="1"/>
      <c r="K74" s="1"/>
      <c r="L74" s="1"/>
      <c r="M74" s="55">
        <f t="shared" si="7"/>
        <v>0</v>
      </c>
      <c r="N74" s="1"/>
      <c r="O74" s="1"/>
      <c r="P74" s="1"/>
      <c r="Q74" s="55">
        <f t="shared" si="8"/>
        <v>0</v>
      </c>
      <c r="R74" s="55">
        <f t="shared" si="9"/>
        <v>0</v>
      </c>
    </row>
    <row r="75" spans="1:20" ht="15.75" customHeight="1" x14ac:dyDescent="0.3">
      <c r="A75" s="71" t="s">
        <v>800</v>
      </c>
      <c r="B75" s="1"/>
      <c r="C75" s="1"/>
      <c r="D75" s="1"/>
      <c r="E75" s="55">
        <f t="shared" si="5"/>
        <v>0</v>
      </c>
      <c r="F75" s="1"/>
      <c r="G75" s="1"/>
      <c r="H75" s="1"/>
      <c r="I75" s="55">
        <f t="shared" si="6"/>
        <v>0</v>
      </c>
      <c r="K75" s="1"/>
      <c r="L75" s="1"/>
      <c r="M75" s="55">
        <f t="shared" si="7"/>
        <v>0</v>
      </c>
      <c r="N75" s="1"/>
      <c r="O75" s="1"/>
      <c r="P75" s="1"/>
      <c r="Q75" s="55">
        <f t="shared" si="8"/>
        <v>0</v>
      </c>
      <c r="R75" s="55">
        <f t="shared" si="9"/>
        <v>0</v>
      </c>
      <c r="T75" s="4" t="s">
        <v>801</v>
      </c>
    </row>
    <row r="76" spans="1:20" ht="15.75" customHeight="1" x14ac:dyDescent="0.3">
      <c r="A76" s="71" t="s">
        <v>802</v>
      </c>
      <c r="B76" s="1">
        <v>22</v>
      </c>
      <c r="C76" s="1">
        <v>360</v>
      </c>
      <c r="D76" s="1">
        <v>1237</v>
      </c>
      <c r="E76" s="55">
        <f t="shared" si="5"/>
        <v>1619</v>
      </c>
      <c r="F76" s="1">
        <v>515</v>
      </c>
      <c r="G76" s="1"/>
      <c r="H76" s="1"/>
      <c r="I76" s="55">
        <f t="shared" si="6"/>
        <v>515</v>
      </c>
      <c r="J76" s="1"/>
      <c r="K76" s="1"/>
      <c r="L76" s="1"/>
      <c r="M76" s="55">
        <f t="shared" si="7"/>
        <v>0</v>
      </c>
      <c r="N76" s="1"/>
      <c r="O76" s="1"/>
      <c r="P76" s="1"/>
      <c r="Q76" s="55">
        <f t="shared" si="8"/>
        <v>0</v>
      </c>
      <c r="R76" s="55">
        <f t="shared" si="9"/>
        <v>2134</v>
      </c>
      <c r="T76" s="4" t="s">
        <v>801</v>
      </c>
    </row>
    <row r="77" spans="1:20" ht="15.75" customHeight="1" x14ac:dyDescent="0.3">
      <c r="A77" s="71" t="s">
        <v>78</v>
      </c>
      <c r="B77" s="1"/>
      <c r="C77" s="1"/>
      <c r="D77" s="1"/>
      <c r="E77" s="55">
        <f t="shared" si="5"/>
        <v>0</v>
      </c>
      <c r="F77" s="1"/>
      <c r="G77" s="1"/>
      <c r="H77" s="1"/>
      <c r="I77" s="55">
        <f t="shared" si="6"/>
        <v>0</v>
      </c>
      <c r="J77" s="1"/>
      <c r="K77" s="1"/>
      <c r="L77" s="1"/>
      <c r="M77" s="55">
        <f t="shared" si="7"/>
        <v>0</v>
      </c>
      <c r="N77" s="1"/>
      <c r="O77" s="1"/>
      <c r="P77" s="1"/>
      <c r="Q77" s="55">
        <f t="shared" si="8"/>
        <v>0</v>
      </c>
      <c r="R77" s="55">
        <f t="shared" si="9"/>
        <v>0</v>
      </c>
    </row>
    <row r="78" spans="1:20" ht="15.75" customHeight="1" x14ac:dyDescent="0.3">
      <c r="A78" s="71" t="s">
        <v>525</v>
      </c>
      <c r="B78" s="1"/>
      <c r="C78" s="1"/>
      <c r="D78" s="1"/>
      <c r="E78" s="55">
        <f t="shared" si="5"/>
        <v>0</v>
      </c>
      <c r="F78" s="1"/>
      <c r="G78" s="1"/>
      <c r="H78" s="1"/>
      <c r="I78" s="55">
        <f t="shared" si="6"/>
        <v>0</v>
      </c>
      <c r="J78" s="1"/>
      <c r="K78" s="1"/>
      <c r="L78" s="1"/>
      <c r="M78" s="55">
        <f t="shared" si="7"/>
        <v>0</v>
      </c>
      <c r="N78" s="1"/>
      <c r="O78" s="1"/>
      <c r="P78" s="1"/>
      <c r="Q78" s="55">
        <f t="shared" si="8"/>
        <v>0</v>
      </c>
      <c r="R78" s="55">
        <f t="shared" si="9"/>
        <v>0</v>
      </c>
      <c r="T78" s="4" t="s">
        <v>803</v>
      </c>
    </row>
    <row r="79" spans="1:20" ht="15.75" customHeight="1" x14ac:dyDescent="0.3">
      <c r="A79" s="72" t="s">
        <v>1187</v>
      </c>
      <c r="B79" s="1"/>
      <c r="C79" s="1"/>
      <c r="D79" s="1"/>
      <c r="E79" s="55">
        <f t="shared" si="5"/>
        <v>0</v>
      </c>
      <c r="F79" s="1"/>
      <c r="G79" s="1"/>
      <c r="H79" s="1"/>
      <c r="I79" s="55">
        <f t="shared" si="6"/>
        <v>0</v>
      </c>
      <c r="J79" s="1">
        <v>512</v>
      </c>
      <c r="K79" s="1">
        <v>512</v>
      </c>
      <c r="L79" s="1">
        <v>512</v>
      </c>
      <c r="M79" s="55">
        <f t="shared" si="7"/>
        <v>1536</v>
      </c>
      <c r="N79" s="1">
        <v>512</v>
      </c>
      <c r="O79" s="1"/>
      <c r="P79" s="1"/>
      <c r="Q79" s="55">
        <f t="shared" si="8"/>
        <v>512</v>
      </c>
      <c r="R79" s="55">
        <f t="shared" si="9"/>
        <v>2048</v>
      </c>
    </row>
    <row r="80" spans="1:20" ht="15.75" customHeight="1" x14ac:dyDescent="0.3">
      <c r="A80" s="72" t="s">
        <v>79</v>
      </c>
      <c r="B80" s="1"/>
      <c r="C80" s="1"/>
      <c r="D80" s="1"/>
      <c r="E80" s="55">
        <f t="shared" si="5"/>
        <v>0</v>
      </c>
      <c r="F80" s="1"/>
      <c r="G80" s="1"/>
      <c r="H80" s="1"/>
      <c r="I80" s="55">
        <f t="shared" si="6"/>
        <v>0</v>
      </c>
      <c r="J80" s="1"/>
      <c r="K80" s="1"/>
      <c r="L80" s="1"/>
      <c r="M80" s="55">
        <f t="shared" si="7"/>
        <v>0</v>
      </c>
      <c r="N80" s="1"/>
      <c r="O80" s="1"/>
      <c r="P80" s="1"/>
      <c r="Q80" s="55">
        <f t="shared" si="8"/>
        <v>0</v>
      </c>
      <c r="R80" s="55">
        <f t="shared" si="9"/>
        <v>0</v>
      </c>
    </row>
    <row r="81" spans="1:20" ht="15.75" customHeight="1" x14ac:dyDescent="0.3">
      <c r="A81" s="72" t="s">
        <v>804</v>
      </c>
      <c r="B81" s="1"/>
      <c r="C81" s="1"/>
      <c r="D81" s="1"/>
      <c r="E81" s="55">
        <f>SUM(B81:D81)</f>
        <v>0</v>
      </c>
      <c r="F81" s="1"/>
      <c r="G81" s="1"/>
      <c r="H81" s="1"/>
      <c r="I81" s="55">
        <f>SUM(F81:H81)</f>
        <v>0</v>
      </c>
      <c r="J81" s="1"/>
      <c r="K81" s="1"/>
      <c r="L81" s="1"/>
      <c r="M81" s="55">
        <f>SUM(J81:L81)</f>
        <v>0</v>
      </c>
      <c r="N81" s="1"/>
      <c r="O81" s="1"/>
      <c r="P81" s="1"/>
      <c r="Q81" s="55">
        <f>SUM(N81:P81)</f>
        <v>0</v>
      </c>
      <c r="R81" s="55">
        <f t="shared" si="9"/>
        <v>0</v>
      </c>
    </row>
    <row r="82" spans="1:20" ht="15.75" customHeight="1" x14ac:dyDescent="0.3">
      <c r="A82" s="72" t="s">
        <v>80</v>
      </c>
      <c r="B82" s="1"/>
      <c r="C82" s="1"/>
      <c r="D82" s="1"/>
      <c r="E82" s="55">
        <f t="shared" si="5"/>
        <v>0</v>
      </c>
      <c r="F82" s="1"/>
      <c r="G82" s="1"/>
      <c r="H82" s="1"/>
      <c r="I82" s="55">
        <f t="shared" si="6"/>
        <v>0</v>
      </c>
      <c r="J82" s="1"/>
      <c r="K82" s="1"/>
      <c r="L82" s="1"/>
      <c r="M82" s="55">
        <f t="shared" si="7"/>
        <v>0</v>
      </c>
      <c r="N82" s="1"/>
      <c r="O82" s="1"/>
      <c r="P82" s="1"/>
      <c r="Q82" s="55">
        <f t="shared" si="8"/>
        <v>0</v>
      </c>
      <c r="R82" s="55">
        <f t="shared" si="9"/>
        <v>0</v>
      </c>
      <c r="S82" s="4">
        <f>SUM(R72:R82)</f>
        <v>4182</v>
      </c>
    </row>
    <row r="83" spans="1:20" ht="15.75" customHeight="1" x14ac:dyDescent="0.3">
      <c r="A83" s="18" t="s">
        <v>50</v>
      </c>
      <c r="B83" s="28"/>
      <c r="C83" s="28"/>
      <c r="D83" s="28"/>
      <c r="E83" s="55" t="s">
        <v>7</v>
      </c>
      <c r="F83" s="28"/>
      <c r="G83" s="28"/>
      <c r="H83" s="28"/>
      <c r="I83" s="55" t="s">
        <v>7</v>
      </c>
      <c r="J83" s="28"/>
      <c r="K83" s="28"/>
      <c r="L83" s="28"/>
      <c r="M83" s="55" t="s">
        <v>7</v>
      </c>
      <c r="N83" s="28"/>
      <c r="O83" s="28"/>
      <c r="P83" s="28"/>
      <c r="Q83" s="55" t="s">
        <v>7</v>
      </c>
      <c r="R83" s="55" t="s">
        <v>7</v>
      </c>
    </row>
    <row r="84" spans="1:20" ht="15.75" customHeight="1" x14ac:dyDescent="0.3">
      <c r="A84" s="72" t="s">
        <v>83</v>
      </c>
      <c r="B84" s="1"/>
      <c r="C84" s="1"/>
      <c r="D84" s="1"/>
      <c r="E84" s="55">
        <f>SUM(B84:D84)</f>
        <v>0</v>
      </c>
      <c r="F84" s="1"/>
      <c r="G84" s="1"/>
      <c r="H84" s="1"/>
      <c r="I84" s="55">
        <f>SUM(F84:H84)</f>
        <v>0</v>
      </c>
      <c r="J84" s="1"/>
      <c r="K84" s="1"/>
      <c r="L84" s="1"/>
      <c r="M84" s="55">
        <f>SUM(J84:L84)</f>
        <v>0</v>
      </c>
      <c r="N84" s="1"/>
      <c r="O84" s="1"/>
      <c r="P84" s="1"/>
      <c r="Q84" s="55">
        <f>SUM(N84:P84)</f>
        <v>0</v>
      </c>
      <c r="R84" s="55">
        <f>+E84+I84+M84+Q84</f>
        <v>0</v>
      </c>
    </row>
    <row r="85" spans="1:20" ht="15.75" customHeight="1" x14ac:dyDescent="0.3">
      <c r="A85" s="18" t="s">
        <v>1186</v>
      </c>
      <c r="B85" s="28"/>
      <c r="C85" s="28"/>
      <c r="D85" s="28"/>
      <c r="E85" s="55" t="s">
        <v>52</v>
      </c>
      <c r="F85" s="28"/>
      <c r="G85" s="28"/>
      <c r="H85" s="28"/>
      <c r="I85" s="55" t="s">
        <v>52</v>
      </c>
      <c r="J85" s="28"/>
      <c r="K85" s="28"/>
      <c r="L85" s="28"/>
      <c r="M85" s="55" t="s">
        <v>52</v>
      </c>
      <c r="N85" s="28"/>
      <c r="O85" s="28"/>
      <c r="P85" s="28"/>
      <c r="Q85" s="55" t="s">
        <v>52</v>
      </c>
      <c r="R85" s="55" t="s">
        <v>52</v>
      </c>
    </row>
    <row r="86" spans="1:20" ht="15.75" customHeight="1" x14ac:dyDescent="0.3">
      <c r="A86" s="61" t="s">
        <v>689</v>
      </c>
      <c r="B86" s="1"/>
      <c r="C86" s="1"/>
      <c r="D86" s="1"/>
      <c r="E86" s="55">
        <f>SUM(B86:D86)</f>
        <v>0</v>
      </c>
      <c r="F86" s="1"/>
      <c r="G86" s="1"/>
      <c r="H86" s="1"/>
      <c r="I86" s="55">
        <f>SUM(F86:H86)</f>
        <v>0</v>
      </c>
      <c r="J86" s="1"/>
      <c r="K86" s="1"/>
      <c r="L86" s="1"/>
      <c r="M86" s="55">
        <f>SUM(J86:L86)</f>
        <v>0</v>
      </c>
      <c r="N86" s="1"/>
      <c r="O86" s="1"/>
      <c r="P86" s="1"/>
      <c r="Q86" s="55">
        <f>SUM(N86:P86)</f>
        <v>0</v>
      </c>
      <c r="R86" s="55">
        <f>+E86+I86+M86+Q86</f>
        <v>0</v>
      </c>
    </row>
    <row r="87" spans="1:20" ht="15.75" customHeight="1" x14ac:dyDescent="0.3">
      <c r="A87" s="61" t="s">
        <v>688</v>
      </c>
      <c r="B87" s="1"/>
      <c r="C87" s="1"/>
      <c r="D87" s="1"/>
      <c r="E87" s="55">
        <f>SUM(B87:D87)</f>
        <v>0</v>
      </c>
      <c r="F87" s="1">
        <v>1201</v>
      </c>
      <c r="G87" s="1">
        <v>1927</v>
      </c>
      <c r="H87" s="1">
        <v>1839</v>
      </c>
      <c r="I87" s="55">
        <f>SUM(F87:H87)</f>
        <v>4967</v>
      </c>
      <c r="J87" s="1">
        <v>321</v>
      </c>
      <c r="K87" s="1">
        <v>914</v>
      </c>
      <c r="L87" s="1">
        <v>715</v>
      </c>
      <c r="M87" s="55">
        <f>SUM(J87:L87)</f>
        <v>1950</v>
      </c>
      <c r="N87" s="1">
        <v>38</v>
      </c>
      <c r="O87" s="1">
        <v>480</v>
      </c>
      <c r="P87" s="1">
        <v>721</v>
      </c>
      <c r="Q87" s="55">
        <f>SUM(N87:P87)</f>
        <v>1239</v>
      </c>
      <c r="R87" s="55">
        <f>+E87+I87+M87+Q87</f>
        <v>8156</v>
      </c>
      <c r="T87" s="4" t="s">
        <v>801</v>
      </c>
    </row>
    <row r="88" spans="1:20" ht="15.75" customHeight="1" thickBot="1" x14ac:dyDescent="0.35">
      <c r="A88" s="18" t="s">
        <v>53</v>
      </c>
      <c r="B88" s="56"/>
      <c r="C88" s="56"/>
      <c r="D88" s="56"/>
      <c r="E88" s="55" t="s">
        <v>7</v>
      </c>
      <c r="F88" s="56"/>
      <c r="G88" s="56"/>
      <c r="H88" s="56"/>
      <c r="I88" s="55" t="s">
        <v>7</v>
      </c>
      <c r="J88" s="56"/>
      <c r="K88" s="56"/>
      <c r="L88" s="56"/>
      <c r="M88" s="55" t="s">
        <v>7</v>
      </c>
      <c r="N88" s="56"/>
      <c r="O88" s="56"/>
      <c r="P88" s="56"/>
      <c r="Q88" s="55" t="s">
        <v>7</v>
      </c>
      <c r="R88" s="55" t="s">
        <v>7</v>
      </c>
    </row>
    <row r="89" spans="1:20" ht="16.5" customHeight="1" thickBot="1" x14ac:dyDescent="0.35">
      <c r="A89" s="57" t="s">
        <v>54</v>
      </c>
      <c r="B89" s="58">
        <f>SUM(B70:B88)</f>
        <v>22</v>
      </c>
      <c r="C89" s="58">
        <f>SUM(C70:C88)</f>
        <v>360</v>
      </c>
      <c r="D89" s="58">
        <f>SUM(D70:D88)</f>
        <v>1237</v>
      </c>
      <c r="E89" s="59">
        <f>SUM(B89:D89)</f>
        <v>1619</v>
      </c>
      <c r="F89" s="58">
        <f>SUM(F70:F88)</f>
        <v>1716</v>
      </c>
      <c r="G89" s="58">
        <f>SUM(G70:G88)</f>
        <v>1927</v>
      </c>
      <c r="H89" s="58">
        <f>SUM(H70:H88)</f>
        <v>1839</v>
      </c>
      <c r="I89" s="59">
        <f>SUM(F89:H89)</f>
        <v>5482</v>
      </c>
      <c r="J89" s="58">
        <f>SUM(J70:J88)</f>
        <v>833</v>
      </c>
      <c r="K89" s="58">
        <f>SUM(K70:K88)</f>
        <v>1426</v>
      </c>
      <c r="L89" s="58">
        <f>SUM(L70:L88)</f>
        <v>1227</v>
      </c>
      <c r="M89" s="59">
        <f>SUM(J89:L89)</f>
        <v>3486</v>
      </c>
      <c r="N89" s="58">
        <f>SUM(N70:N88)</f>
        <v>550</v>
      </c>
      <c r="O89" s="58">
        <f>SUM(O70:O88)</f>
        <v>480</v>
      </c>
      <c r="P89" s="58">
        <f>SUM(P70:P88)</f>
        <v>721</v>
      </c>
      <c r="Q89" s="59">
        <f>SUM(N89:P89)</f>
        <v>1751</v>
      </c>
      <c r="R89" s="59">
        <f>+E89+I89+M89+Q89</f>
        <v>12338</v>
      </c>
    </row>
    <row r="90" spans="1:20" ht="15.75" customHeight="1" x14ac:dyDescent="0.3">
      <c r="A90" s="18" t="s">
        <v>55</v>
      </c>
      <c r="B90" s="56"/>
      <c r="C90" s="56"/>
      <c r="D90" s="56"/>
      <c r="E90" s="55" t="s">
        <v>7</v>
      </c>
      <c r="F90" s="56"/>
      <c r="G90" s="56"/>
      <c r="H90" s="56"/>
      <c r="I90" s="55" t="s">
        <v>7</v>
      </c>
      <c r="J90" s="56"/>
      <c r="K90" s="56"/>
      <c r="L90" s="56"/>
      <c r="M90" s="55" t="s">
        <v>7</v>
      </c>
      <c r="N90" s="56"/>
      <c r="O90" s="56"/>
      <c r="P90" s="56"/>
      <c r="Q90" s="55" t="s">
        <v>7</v>
      </c>
      <c r="R90" s="60" t="s">
        <v>7</v>
      </c>
    </row>
    <row r="91" spans="1:20" ht="15.75" customHeight="1" x14ac:dyDescent="0.3">
      <c r="A91" s="18" t="s">
        <v>56</v>
      </c>
      <c r="B91" s="56"/>
      <c r="C91" s="56"/>
      <c r="D91" s="56"/>
      <c r="E91" s="55" t="s">
        <v>7</v>
      </c>
      <c r="F91" s="56"/>
      <c r="G91" s="56"/>
      <c r="H91" s="56"/>
      <c r="I91" s="55" t="s">
        <v>7</v>
      </c>
      <c r="J91" s="56"/>
      <c r="K91" s="56"/>
      <c r="L91" s="56"/>
      <c r="M91" s="55" t="s">
        <v>7</v>
      </c>
      <c r="N91" s="56"/>
      <c r="O91" s="56"/>
      <c r="P91" s="56"/>
      <c r="Q91" s="55" t="s">
        <v>7</v>
      </c>
      <c r="R91" s="55" t="s">
        <v>7</v>
      </c>
    </row>
    <row r="92" spans="1:20" ht="15.75" customHeight="1" x14ac:dyDescent="0.3">
      <c r="A92" s="18" t="s">
        <v>57</v>
      </c>
      <c r="B92" s="56"/>
      <c r="C92" s="56"/>
      <c r="D92" s="56"/>
      <c r="E92" s="55" t="s">
        <v>7</v>
      </c>
      <c r="F92" s="56"/>
      <c r="G92" s="56"/>
      <c r="H92" s="56"/>
      <c r="I92" s="55" t="s">
        <v>7</v>
      </c>
      <c r="J92" s="56"/>
      <c r="K92" s="56"/>
      <c r="L92" s="56"/>
      <c r="M92" s="55" t="s">
        <v>7</v>
      </c>
      <c r="N92" s="56"/>
      <c r="O92" s="56"/>
      <c r="P92" s="56"/>
      <c r="Q92" s="55" t="s">
        <v>7</v>
      </c>
      <c r="R92" s="55" t="s">
        <v>7</v>
      </c>
    </row>
    <row r="93" spans="1:20" ht="15.75" customHeight="1" x14ac:dyDescent="0.3">
      <c r="A93" s="72" t="s">
        <v>81</v>
      </c>
      <c r="B93" s="1">
        <v>4</v>
      </c>
      <c r="C93" s="1">
        <v>626</v>
      </c>
      <c r="D93" s="1">
        <v>1310</v>
      </c>
      <c r="E93" s="55">
        <f>SUM(B93:D93)</f>
        <v>1940</v>
      </c>
      <c r="F93" s="1">
        <v>2942</v>
      </c>
      <c r="G93" s="1">
        <v>3707</v>
      </c>
      <c r="H93" s="1">
        <v>3592</v>
      </c>
      <c r="I93" s="55">
        <f>SUM(F93:H93)</f>
        <v>10241</v>
      </c>
      <c r="J93" s="1">
        <v>3949</v>
      </c>
      <c r="K93" s="1">
        <v>3386</v>
      </c>
      <c r="L93" s="1">
        <v>2155</v>
      </c>
      <c r="M93" s="55">
        <f>SUM(J93:L93)</f>
        <v>9490</v>
      </c>
      <c r="N93" s="1">
        <v>1632</v>
      </c>
      <c r="O93" s="1">
        <v>909</v>
      </c>
      <c r="P93" s="1">
        <v>1710</v>
      </c>
      <c r="Q93" s="55">
        <f>SUM(N93:P93)</f>
        <v>4251</v>
      </c>
      <c r="R93" s="55">
        <f>+E93+I93+M93+Q93</f>
        <v>25922</v>
      </c>
      <c r="T93" s="4" t="s">
        <v>805</v>
      </c>
    </row>
    <row r="94" spans="1:20" ht="15.75" customHeight="1" x14ac:dyDescent="0.3">
      <c r="A94" s="72" t="s">
        <v>87</v>
      </c>
      <c r="B94" s="1"/>
      <c r="C94" s="1"/>
      <c r="D94" s="1"/>
      <c r="E94" s="55">
        <f>SUM(B94:D94)</f>
        <v>0</v>
      </c>
      <c r="F94" s="1"/>
      <c r="G94" s="1"/>
      <c r="H94" s="1"/>
      <c r="I94" s="55">
        <f>SUM(F94:H94)</f>
        <v>0</v>
      </c>
      <c r="J94" s="1">
        <v>435</v>
      </c>
      <c r="K94" s="1">
        <v>235</v>
      </c>
      <c r="L94" s="1">
        <v>715</v>
      </c>
      <c r="M94" s="55">
        <f>SUM(J94:L94)</f>
        <v>1385</v>
      </c>
      <c r="N94" s="1">
        <v>715</v>
      </c>
      <c r="O94" s="1">
        <v>200</v>
      </c>
      <c r="P94" s="1"/>
      <c r="Q94" s="55">
        <f>SUM(N94:P94)</f>
        <v>915</v>
      </c>
      <c r="R94" s="55">
        <f>+E94+I94+M94+Q94</f>
        <v>2300</v>
      </c>
      <c r="T94" s="4" t="s">
        <v>801</v>
      </c>
    </row>
    <row r="95" spans="1:20" ht="15.75" customHeight="1" thickBot="1" x14ac:dyDescent="0.35">
      <c r="A95" s="18" t="s">
        <v>58</v>
      </c>
      <c r="B95" s="56"/>
      <c r="C95" s="56"/>
      <c r="D95" s="56"/>
      <c r="E95" s="55" t="s">
        <v>7</v>
      </c>
      <c r="F95" s="56"/>
      <c r="G95" s="56"/>
      <c r="H95" s="56"/>
      <c r="I95" s="55" t="s">
        <v>7</v>
      </c>
      <c r="J95" s="56"/>
      <c r="K95" s="56"/>
      <c r="L95" s="56"/>
      <c r="M95" s="55" t="s">
        <v>7</v>
      </c>
      <c r="N95" s="56"/>
      <c r="O95" s="56"/>
      <c r="P95" s="56"/>
      <c r="Q95" s="55" t="s">
        <v>7</v>
      </c>
      <c r="R95" s="55" t="s">
        <v>7</v>
      </c>
    </row>
    <row r="96" spans="1:20" ht="16.5" customHeight="1" thickBot="1" x14ac:dyDescent="0.35">
      <c r="A96" s="57" t="s">
        <v>59</v>
      </c>
      <c r="B96" s="58">
        <f>SUM(B90:B95)</f>
        <v>4</v>
      </c>
      <c r="C96" s="58">
        <f>SUM(C90:C95)</f>
        <v>626</v>
      </c>
      <c r="D96" s="58">
        <f>SUM(D90:D95)</f>
        <v>1310</v>
      </c>
      <c r="E96" s="59">
        <f>SUM(B96:D96)</f>
        <v>1940</v>
      </c>
      <c r="F96" s="58">
        <f>SUM(F90:F95)</f>
        <v>2942</v>
      </c>
      <c r="G96" s="58">
        <f>SUM(G90:G95)</f>
        <v>3707</v>
      </c>
      <c r="H96" s="58">
        <f>SUM(H90:H95)</f>
        <v>3592</v>
      </c>
      <c r="I96" s="59">
        <f>SUM(F96:H96)</f>
        <v>10241</v>
      </c>
      <c r="J96" s="58">
        <f>SUM(J90:J95)</f>
        <v>4384</v>
      </c>
      <c r="K96" s="58">
        <f>SUM(K90:K95)</f>
        <v>3621</v>
      </c>
      <c r="L96" s="58">
        <f>SUM(L90:L95)</f>
        <v>2870</v>
      </c>
      <c r="M96" s="59">
        <f>SUM(J96:L96)</f>
        <v>10875</v>
      </c>
      <c r="N96" s="58">
        <f>SUM(N90:N95)</f>
        <v>2347</v>
      </c>
      <c r="O96" s="58">
        <f>SUM(O90:O95)</f>
        <v>1109</v>
      </c>
      <c r="P96" s="58">
        <f>SUM(P90:P95)</f>
        <v>1710</v>
      </c>
      <c r="Q96" s="59">
        <f>SUM(N96:P96)</f>
        <v>5166</v>
      </c>
      <c r="R96" s="59">
        <f>+E96+I96+M96+Q96</f>
        <v>28222</v>
      </c>
    </row>
    <row r="97" spans="1:20" ht="15.75" customHeight="1" x14ac:dyDescent="0.3">
      <c r="A97" s="18" t="s">
        <v>60</v>
      </c>
      <c r="B97" s="56"/>
      <c r="C97" s="56"/>
      <c r="D97" s="56"/>
      <c r="E97" s="55" t="s">
        <v>7</v>
      </c>
      <c r="F97" s="56"/>
      <c r="G97" s="56"/>
      <c r="H97" s="56"/>
      <c r="I97" s="55" t="s">
        <v>7</v>
      </c>
      <c r="J97" s="56"/>
      <c r="K97" s="56"/>
      <c r="L97" s="56"/>
      <c r="M97" s="55" t="s">
        <v>7</v>
      </c>
      <c r="N97" s="56"/>
      <c r="O97" s="56"/>
      <c r="P97" s="56"/>
      <c r="Q97" s="55" t="s">
        <v>7</v>
      </c>
      <c r="R97" s="55" t="s">
        <v>7</v>
      </c>
    </row>
    <row r="98" spans="1:20" ht="15.75" customHeight="1" x14ac:dyDescent="0.3">
      <c r="A98" s="18" t="s">
        <v>61</v>
      </c>
      <c r="B98" s="56"/>
      <c r="C98" s="56"/>
      <c r="D98" s="56"/>
      <c r="E98" s="55" t="s">
        <v>7</v>
      </c>
      <c r="F98" s="56"/>
      <c r="G98" s="56"/>
      <c r="H98" s="56"/>
      <c r="I98" s="55" t="s">
        <v>7</v>
      </c>
      <c r="J98" s="56"/>
      <c r="K98" s="56"/>
      <c r="L98" s="56"/>
      <c r="M98" s="55" t="s">
        <v>7</v>
      </c>
      <c r="N98" s="56"/>
      <c r="O98" s="56"/>
      <c r="P98" s="56"/>
      <c r="Q98" s="55" t="s">
        <v>7</v>
      </c>
      <c r="R98" s="55" t="s">
        <v>7</v>
      </c>
    </row>
    <row r="99" spans="1:20" ht="15.75" customHeight="1" x14ac:dyDescent="0.3">
      <c r="A99" s="18" t="s">
        <v>62</v>
      </c>
      <c r="B99" s="56"/>
      <c r="C99" s="56"/>
      <c r="D99" s="56"/>
      <c r="E99" s="55"/>
      <c r="F99" s="56"/>
      <c r="G99" s="56"/>
      <c r="H99" s="56"/>
      <c r="I99" s="55"/>
      <c r="J99" s="56"/>
      <c r="K99" s="56"/>
      <c r="L99" s="56"/>
      <c r="M99" s="55"/>
      <c r="N99" s="56"/>
      <c r="O99" s="56"/>
      <c r="P99" s="56"/>
      <c r="Q99" s="55"/>
      <c r="R99" s="55"/>
    </row>
    <row r="100" spans="1:20" ht="15.75" customHeight="1" x14ac:dyDescent="0.3">
      <c r="A100" s="72" t="s">
        <v>88</v>
      </c>
      <c r="B100" s="1"/>
      <c r="C100" s="1"/>
      <c r="D100" s="1"/>
      <c r="E100" s="55">
        <f t="shared" ref="E100:E107" si="10">SUM(B100:D100)</f>
        <v>0</v>
      </c>
      <c r="F100" s="1"/>
      <c r="G100" s="1"/>
      <c r="H100" s="1"/>
      <c r="I100" s="55">
        <f t="shared" ref="I100:I107" si="11">SUM(F100:H100)</f>
        <v>0</v>
      </c>
      <c r="J100" s="1"/>
      <c r="K100" s="1"/>
      <c r="L100" s="1"/>
      <c r="M100" s="55">
        <f t="shared" ref="M100:M107" si="12">SUM(J100:L100)</f>
        <v>0</v>
      </c>
      <c r="N100" s="1"/>
      <c r="O100" s="1"/>
      <c r="P100" s="1"/>
      <c r="Q100" s="55">
        <f t="shared" ref="Q100:Q107" si="13">SUM(N100:P100)</f>
        <v>0</v>
      </c>
      <c r="R100" s="55">
        <f t="shared" ref="R100:R107" si="14">+E100+I100+M100+Q100</f>
        <v>0</v>
      </c>
    </row>
    <row r="101" spans="1:20" ht="15.75" customHeight="1" x14ac:dyDescent="0.3">
      <c r="A101" s="72" t="s">
        <v>89</v>
      </c>
      <c r="B101" s="1"/>
      <c r="C101" s="1"/>
      <c r="D101" s="1"/>
      <c r="E101" s="55">
        <f t="shared" si="10"/>
        <v>0</v>
      </c>
      <c r="F101" s="1"/>
      <c r="G101" s="1"/>
      <c r="H101" s="1"/>
      <c r="I101" s="55">
        <f t="shared" si="11"/>
        <v>0</v>
      </c>
      <c r="J101" s="1"/>
      <c r="K101" s="1"/>
      <c r="L101" s="1"/>
      <c r="M101" s="55">
        <f t="shared" si="12"/>
        <v>0</v>
      </c>
      <c r="N101" s="1"/>
      <c r="O101" s="1"/>
      <c r="P101" s="1"/>
      <c r="Q101" s="55">
        <f t="shared" si="13"/>
        <v>0</v>
      </c>
      <c r="R101" s="55">
        <f t="shared" si="14"/>
        <v>0</v>
      </c>
    </row>
    <row r="102" spans="1:20" ht="15.75" customHeight="1" x14ac:dyDescent="0.3">
      <c r="A102" s="72" t="s">
        <v>90</v>
      </c>
      <c r="B102" s="1"/>
      <c r="C102" s="1"/>
      <c r="D102" s="1"/>
      <c r="E102" s="55">
        <f>SUM(B102:D102)</f>
        <v>0</v>
      </c>
      <c r="F102" s="1"/>
      <c r="G102" s="1"/>
      <c r="H102" s="1"/>
      <c r="I102" s="55">
        <f>SUM(F102:H102)</f>
        <v>0</v>
      </c>
      <c r="J102" s="1"/>
      <c r="K102" s="1"/>
      <c r="L102" s="1"/>
      <c r="M102" s="55">
        <f>SUM(J102:L102)</f>
        <v>0</v>
      </c>
      <c r="N102" s="1"/>
      <c r="O102" s="1"/>
      <c r="P102" s="1"/>
      <c r="Q102" s="55">
        <f>SUM(N102:P102)</f>
        <v>0</v>
      </c>
      <c r="R102" s="55">
        <f>+E102+I102+M102+Q102</f>
        <v>0</v>
      </c>
    </row>
    <row r="103" spans="1:20" ht="15.75" customHeight="1" x14ac:dyDescent="0.3">
      <c r="A103" s="72" t="s">
        <v>1188</v>
      </c>
      <c r="B103" s="1"/>
      <c r="C103" s="1"/>
      <c r="D103" s="1"/>
      <c r="E103" s="55">
        <f>SUM(B103:D103)</f>
        <v>0</v>
      </c>
      <c r="F103" s="1"/>
      <c r="G103" s="1"/>
      <c r="H103" s="1"/>
      <c r="I103" s="55">
        <f>SUM(F103:H103)</f>
        <v>0</v>
      </c>
      <c r="J103" s="1"/>
      <c r="K103" s="1"/>
      <c r="L103" s="1"/>
      <c r="M103" s="55">
        <f>SUM(J103:L103)</f>
        <v>0</v>
      </c>
      <c r="N103" s="1"/>
      <c r="O103" s="1"/>
      <c r="P103" s="1"/>
      <c r="Q103" s="55">
        <f>SUM(N103:P103)</f>
        <v>0</v>
      </c>
      <c r="R103" s="55">
        <f>+E103+I103+M103+Q103</f>
        <v>0</v>
      </c>
      <c r="T103" s="4" t="s">
        <v>803</v>
      </c>
    </row>
    <row r="104" spans="1:20" ht="15.75" customHeight="1" x14ac:dyDescent="0.3">
      <c r="A104" s="72" t="s">
        <v>528</v>
      </c>
      <c r="B104" s="1"/>
      <c r="C104" s="1"/>
      <c r="D104" s="1"/>
      <c r="E104" s="55">
        <f>SUM(B104:D104)</f>
        <v>0</v>
      </c>
      <c r="F104" s="1"/>
      <c r="G104" s="1"/>
      <c r="H104" s="1"/>
      <c r="I104" s="55">
        <f>SUM(F104:H104)</f>
        <v>0</v>
      </c>
      <c r="J104" s="1"/>
      <c r="K104" s="1"/>
      <c r="L104" s="1"/>
      <c r="M104" s="55">
        <f>SUM(J104:L104)</f>
        <v>0</v>
      </c>
      <c r="N104" s="1"/>
      <c r="O104" s="1"/>
      <c r="P104" s="1"/>
      <c r="Q104" s="55">
        <f>SUM(N104:P104)</f>
        <v>0</v>
      </c>
      <c r="R104" s="55">
        <f>+E104+I104+M104+Q104</f>
        <v>0</v>
      </c>
    </row>
    <row r="105" spans="1:20" ht="15.75" customHeight="1" x14ac:dyDescent="0.3">
      <c r="A105" s="72" t="s">
        <v>94</v>
      </c>
      <c r="B105" s="1"/>
      <c r="C105" s="1"/>
      <c r="D105" s="1"/>
      <c r="E105" s="55">
        <f t="shared" si="10"/>
        <v>0</v>
      </c>
      <c r="F105" s="1"/>
      <c r="G105" s="1"/>
      <c r="H105" s="1"/>
      <c r="I105" s="55">
        <f t="shared" si="11"/>
        <v>0</v>
      </c>
      <c r="J105" s="1"/>
      <c r="K105" s="1"/>
      <c r="L105" s="1"/>
      <c r="M105" s="55">
        <f t="shared" si="12"/>
        <v>0</v>
      </c>
      <c r="N105" s="1"/>
      <c r="O105" s="1"/>
      <c r="P105" s="1"/>
      <c r="Q105" s="55">
        <f t="shared" si="13"/>
        <v>0</v>
      </c>
      <c r="R105" s="55">
        <f t="shared" si="14"/>
        <v>0</v>
      </c>
    </row>
    <row r="106" spans="1:20" ht="15.75" customHeight="1" thickBot="1" x14ac:dyDescent="0.35">
      <c r="A106" s="72" t="s">
        <v>95</v>
      </c>
      <c r="B106" s="1"/>
      <c r="C106" s="1"/>
      <c r="D106" s="1"/>
      <c r="E106" s="55">
        <f t="shared" si="10"/>
        <v>0</v>
      </c>
      <c r="F106" s="1"/>
      <c r="G106" s="1"/>
      <c r="H106" s="1"/>
      <c r="I106" s="55">
        <f t="shared" si="11"/>
        <v>0</v>
      </c>
      <c r="J106" s="1"/>
      <c r="K106" s="1"/>
      <c r="L106" s="1"/>
      <c r="M106" s="55">
        <f t="shared" si="12"/>
        <v>0</v>
      </c>
      <c r="N106" s="1"/>
      <c r="O106" s="1"/>
      <c r="P106" s="1"/>
      <c r="Q106" s="55">
        <f t="shared" si="13"/>
        <v>0</v>
      </c>
      <c r="R106" s="55">
        <f t="shared" si="14"/>
        <v>0</v>
      </c>
    </row>
    <row r="107" spans="1:20" ht="16.5" customHeight="1" thickBot="1" x14ac:dyDescent="0.35">
      <c r="A107" s="57" t="s">
        <v>63</v>
      </c>
      <c r="B107" s="58">
        <f>SUM(B97:B106)</f>
        <v>0</v>
      </c>
      <c r="C107" s="58">
        <f>SUM(C97:C106)</f>
        <v>0</v>
      </c>
      <c r="D107" s="58">
        <f>SUM(D97:D106)</f>
        <v>0</v>
      </c>
      <c r="E107" s="59">
        <f t="shared" si="10"/>
        <v>0</v>
      </c>
      <c r="F107" s="58">
        <f>SUM(F97:F106)</f>
        <v>0</v>
      </c>
      <c r="G107" s="58">
        <f>SUM(G97:G106)</f>
        <v>0</v>
      </c>
      <c r="H107" s="58">
        <f>SUM(H97:H106)</f>
        <v>0</v>
      </c>
      <c r="I107" s="59">
        <f t="shared" si="11"/>
        <v>0</v>
      </c>
      <c r="J107" s="58">
        <f>SUM(J97:J106)</f>
        <v>0</v>
      </c>
      <c r="K107" s="58">
        <f>SUM(K97:K106)</f>
        <v>0</v>
      </c>
      <c r="L107" s="58">
        <f>SUM(L97:L106)</f>
        <v>0</v>
      </c>
      <c r="M107" s="59">
        <f t="shared" si="12"/>
        <v>0</v>
      </c>
      <c r="N107" s="58">
        <f>SUM(N97:N106)</f>
        <v>0</v>
      </c>
      <c r="O107" s="58">
        <f>SUM(O97:O106)</f>
        <v>0</v>
      </c>
      <c r="P107" s="58">
        <f>SUM(P97:P106)</f>
        <v>0</v>
      </c>
      <c r="Q107" s="59">
        <f t="shared" si="13"/>
        <v>0</v>
      </c>
      <c r="R107" s="59">
        <f t="shared" si="14"/>
        <v>0</v>
      </c>
    </row>
    <row r="108" spans="1:20" ht="15.75" customHeight="1" x14ac:dyDescent="0.3">
      <c r="A108" s="18" t="s">
        <v>64</v>
      </c>
      <c r="B108" s="56"/>
      <c r="C108" s="56"/>
      <c r="D108" s="56"/>
      <c r="E108" s="55" t="s">
        <v>7</v>
      </c>
      <c r="F108" s="56"/>
      <c r="G108" s="56"/>
      <c r="H108" s="56"/>
      <c r="I108" s="55" t="s">
        <v>7</v>
      </c>
      <c r="J108" s="56"/>
      <c r="K108" s="56"/>
      <c r="L108" s="56"/>
      <c r="M108" s="55" t="s">
        <v>7</v>
      </c>
      <c r="N108" s="56"/>
      <c r="O108" s="56"/>
      <c r="P108" s="56"/>
      <c r="Q108" s="55" t="s">
        <v>7</v>
      </c>
      <c r="R108" s="55" t="s">
        <v>7</v>
      </c>
    </row>
    <row r="109" spans="1:20" ht="15.75" customHeight="1" x14ac:dyDescent="0.3">
      <c r="A109" s="18" t="s">
        <v>594</v>
      </c>
      <c r="B109" s="56"/>
      <c r="C109" s="56"/>
      <c r="D109" s="56"/>
      <c r="E109" s="55" t="s">
        <v>7</v>
      </c>
      <c r="F109" s="56"/>
      <c r="G109" s="56"/>
      <c r="H109" s="56"/>
      <c r="I109" s="55" t="s">
        <v>7</v>
      </c>
      <c r="J109" s="56"/>
      <c r="K109" s="56"/>
      <c r="L109" s="56"/>
      <c r="M109" s="55" t="s">
        <v>7</v>
      </c>
      <c r="N109" s="56"/>
      <c r="O109" s="56"/>
      <c r="P109" s="56"/>
      <c r="Q109" s="55" t="s">
        <v>7</v>
      </c>
      <c r="R109" s="55" t="s">
        <v>7</v>
      </c>
    </row>
    <row r="110" spans="1:20" ht="15.75" customHeight="1" x14ac:dyDescent="0.3">
      <c r="A110" s="61" t="s">
        <v>806</v>
      </c>
      <c r="B110" s="1"/>
      <c r="C110" s="1"/>
      <c r="D110" s="1"/>
      <c r="E110" s="55">
        <f t="shared" ref="E110:E115" si="15">SUM(B110:D110)</f>
        <v>0</v>
      </c>
      <c r="F110" s="1"/>
      <c r="G110" s="1"/>
      <c r="H110" s="1"/>
      <c r="I110" s="55">
        <f t="shared" ref="I110:I115" si="16">SUM(F110:H110)</f>
        <v>0</v>
      </c>
      <c r="J110" s="1"/>
      <c r="K110" s="1"/>
      <c r="L110" s="1"/>
      <c r="M110" s="55">
        <f t="shared" ref="M110:M115" si="17">SUM(J110:L110)</f>
        <v>0</v>
      </c>
      <c r="N110" s="1"/>
      <c r="O110" s="1"/>
      <c r="P110" s="1"/>
      <c r="Q110" s="55">
        <f t="shared" ref="Q110:Q115" si="18">SUM(N110:P110)</f>
        <v>0</v>
      </c>
      <c r="R110" s="55">
        <f t="shared" ref="R110:R115" si="19">+E110+I110+M110+Q110</f>
        <v>0</v>
      </c>
    </row>
    <row r="111" spans="1:20" ht="15.75" customHeight="1" x14ac:dyDescent="0.3">
      <c r="A111" s="61" t="s">
        <v>97</v>
      </c>
      <c r="B111" s="1"/>
      <c r="C111" s="1"/>
      <c r="D111" s="1"/>
      <c r="E111" s="55">
        <f t="shared" si="15"/>
        <v>0</v>
      </c>
      <c r="F111" s="1"/>
      <c r="G111" s="1"/>
      <c r="H111" s="1"/>
      <c r="I111" s="55">
        <f t="shared" si="16"/>
        <v>0</v>
      </c>
      <c r="J111" s="1"/>
      <c r="K111" s="1"/>
      <c r="L111" s="1"/>
      <c r="M111" s="55">
        <f t="shared" si="17"/>
        <v>0</v>
      </c>
      <c r="N111" s="1"/>
      <c r="O111" s="1"/>
      <c r="P111" s="1"/>
      <c r="Q111" s="55">
        <f t="shared" si="18"/>
        <v>0</v>
      </c>
      <c r="R111" s="55">
        <f t="shared" si="19"/>
        <v>0</v>
      </c>
    </row>
    <row r="112" spans="1:20" ht="15.75" customHeight="1" x14ac:dyDescent="0.3">
      <c r="A112" s="61" t="s">
        <v>692</v>
      </c>
      <c r="B112" s="1"/>
      <c r="C112" s="1"/>
      <c r="D112" s="1"/>
      <c r="E112" s="55">
        <f t="shared" si="15"/>
        <v>0</v>
      </c>
      <c r="F112" s="1"/>
      <c r="G112" s="1"/>
      <c r="H112" s="1"/>
      <c r="I112" s="55">
        <f t="shared" si="16"/>
        <v>0</v>
      </c>
      <c r="J112" s="1"/>
      <c r="K112" s="1"/>
      <c r="L112" s="1"/>
      <c r="M112" s="55">
        <f t="shared" si="17"/>
        <v>0</v>
      </c>
      <c r="N112" s="1"/>
      <c r="O112" s="1"/>
      <c r="P112" s="1"/>
      <c r="Q112" s="55">
        <f t="shared" si="18"/>
        <v>0</v>
      </c>
      <c r="R112" s="55">
        <f t="shared" si="19"/>
        <v>0</v>
      </c>
    </row>
    <row r="113" spans="1:20" ht="15.75" customHeight="1" x14ac:dyDescent="0.3">
      <c r="A113" s="61" t="s">
        <v>530</v>
      </c>
      <c r="B113" s="1"/>
      <c r="C113" s="1"/>
      <c r="D113" s="1"/>
      <c r="E113" s="55">
        <f t="shared" si="15"/>
        <v>0</v>
      </c>
      <c r="F113" s="1"/>
      <c r="G113" s="1"/>
      <c r="H113" s="1"/>
      <c r="I113" s="55">
        <f t="shared" si="16"/>
        <v>0</v>
      </c>
      <c r="J113" s="1"/>
      <c r="K113" s="1"/>
      <c r="L113" s="1"/>
      <c r="M113" s="55">
        <f t="shared" si="17"/>
        <v>0</v>
      </c>
      <c r="N113" s="1"/>
      <c r="O113" s="1"/>
      <c r="P113" s="1"/>
      <c r="Q113" s="55">
        <f t="shared" si="18"/>
        <v>0</v>
      </c>
      <c r="R113" s="55">
        <f t="shared" si="19"/>
        <v>0</v>
      </c>
    </row>
    <row r="114" spans="1:20" ht="15.75" customHeight="1" x14ac:dyDescent="0.3">
      <c r="A114" s="61" t="s">
        <v>597</v>
      </c>
      <c r="B114" s="1"/>
      <c r="C114" s="1"/>
      <c r="D114" s="1"/>
      <c r="E114" s="55">
        <f t="shared" si="15"/>
        <v>0</v>
      </c>
      <c r="F114" s="1"/>
      <c r="G114" s="1"/>
      <c r="H114" s="1"/>
      <c r="I114" s="55">
        <f t="shared" si="16"/>
        <v>0</v>
      </c>
      <c r="J114" s="1"/>
      <c r="K114" s="1"/>
      <c r="L114" s="1"/>
      <c r="M114" s="55">
        <f t="shared" si="17"/>
        <v>0</v>
      </c>
      <c r="N114" s="1"/>
      <c r="O114" s="1"/>
      <c r="P114" s="1"/>
      <c r="Q114" s="55">
        <f t="shared" si="18"/>
        <v>0</v>
      </c>
      <c r="R114" s="55">
        <f t="shared" si="19"/>
        <v>0</v>
      </c>
    </row>
    <row r="115" spans="1:20" ht="15.75" customHeight="1" x14ac:dyDescent="0.3">
      <c r="A115" s="61" t="s">
        <v>807</v>
      </c>
      <c r="B115" s="1"/>
      <c r="C115" s="1"/>
      <c r="D115" s="1"/>
      <c r="E115" s="55">
        <f t="shared" si="15"/>
        <v>0</v>
      </c>
      <c r="F115" s="1"/>
      <c r="G115" s="1"/>
      <c r="H115" s="1"/>
      <c r="I115" s="55">
        <f t="shared" si="16"/>
        <v>0</v>
      </c>
      <c r="J115" s="1"/>
      <c r="K115" s="1"/>
      <c r="L115" s="1"/>
      <c r="M115" s="55">
        <f t="shared" si="17"/>
        <v>0</v>
      </c>
      <c r="N115" s="1"/>
      <c r="O115" s="1"/>
      <c r="P115" s="1"/>
      <c r="Q115" s="55">
        <f t="shared" si="18"/>
        <v>0</v>
      </c>
      <c r="R115" s="55">
        <f t="shared" si="19"/>
        <v>0</v>
      </c>
    </row>
    <row r="116" spans="1:20" ht="15.75" customHeight="1" x14ac:dyDescent="0.3">
      <c r="A116" s="61" t="s">
        <v>808</v>
      </c>
      <c r="B116" s="1"/>
      <c r="C116" s="1"/>
      <c r="D116" s="1"/>
      <c r="E116" s="55">
        <f>SUM(B116:D116)</f>
        <v>0</v>
      </c>
      <c r="F116" s="1"/>
      <c r="G116" s="1"/>
      <c r="H116" s="1"/>
      <c r="I116" s="55">
        <f>SUM(F116:H116)</f>
        <v>0</v>
      </c>
      <c r="J116" s="1"/>
      <c r="K116" s="1"/>
      <c r="L116" s="1"/>
      <c r="M116" s="55">
        <f>SUM(J116:L116)</f>
        <v>0</v>
      </c>
      <c r="N116" s="1"/>
      <c r="O116" s="1"/>
      <c r="P116" s="1"/>
      <c r="Q116" s="55">
        <f>SUM(N116:P116)</f>
        <v>0</v>
      </c>
      <c r="R116" s="55">
        <f>+E116+I116+M116+Q116</f>
        <v>0</v>
      </c>
    </row>
    <row r="117" spans="1:20" ht="15.75" customHeight="1" x14ac:dyDescent="0.3">
      <c r="A117" s="346" t="s">
        <v>702</v>
      </c>
      <c r="B117" s="1"/>
      <c r="C117" s="1"/>
      <c r="D117" s="1"/>
      <c r="E117" s="55">
        <f>SUM(B117:D117)</f>
        <v>0</v>
      </c>
      <c r="F117" s="1"/>
      <c r="G117" s="1"/>
      <c r="H117" s="1"/>
      <c r="I117" s="55">
        <f>SUM(F117:H117)</f>
        <v>0</v>
      </c>
      <c r="J117" s="1"/>
      <c r="K117" s="1"/>
      <c r="L117" s="1"/>
      <c r="M117" s="55">
        <f>SUM(J117:L117)</f>
        <v>0</v>
      </c>
      <c r="N117" s="1"/>
      <c r="O117" s="1"/>
      <c r="P117" s="1"/>
      <c r="Q117" s="55">
        <f>SUM(N117:P117)</f>
        <v>0</v>
      </c>
      <c r="R117" s="55">
        <f>+E117+I117+M117+Q117</f>
        <v>0</v>
      </c>
      <c r="T117" s="4" t="s">
        <v>809</v>
      </c>
    </row>
    <row r="118" spans="1:20" ht="15.75" customHeight="1" x14ac:dyDescent="0.3">
      <c r="A118" s="18" t="s">
        <v>67</v>
      </c>
      <c r="B118" s="56"/>
      <c r="C118" s="56"/>
      <c r="D118" s="56"/>
      <c r="E118" s="55" t="s">
        <v>7</v>
      </c>
      <c r="F118" s="56"/>
      <c r="G118" s="56"/>
      <c r="H118" s="56"/>
      <c r="I118" s="55" t="s">
        <v>7</v>
      </c>
      <c r="J118" s="56"/>
      <c r="K118" s="56"/>
      <c r="L118" s="56"/>
      <c r="M118" s="55" t="s">
        <v>7</v>
      </c>
      <c r="N118" s="56"/>
      <c r="O118" s="56"/>
      <c r="P118" s="56"/>
      <c r="Q118" s="55" t="s">
        <v>7</v>
      </c>
      <c r="R118" s="55" t="s">
        <v>7</v>
      </c>
    </row>
    <row r="119" spans="1:20" ht="15.75" customHeight="1" x14ac:dyDescent="0.3">
      <c r="A119" s="61" t="s">
        <v>810</v>
      </c>
      <c r="B119" s="1"/>
      <c r="C119" s="1"/>
      <c r="D119" s="1"/>
      <c r="E119" s="55">
        <f>SUM(B119:D119)</f>
        <v>0</v>
      </c>
      <c r="F119" s="1"/>
      <c r="G119" s="1"/>
      <c r="H119" s="1"/>
      <c r="I119" s="55">
        <f>SUM(F119:H119)</f>
        <v>0</v>
      </c>
      <c r="J119" s="1"/>
      <c r="K119" s="1"/>
      <c r="L119" s="1"/>
      <c r="M119" s="55">
        <f>SUM(J119:L119)</f>
        <v>0</v>
      </c>
      <c r="N119" s="1"/>
      <c r="O119" s="1"/>
      <c r="P119" s="1"/>
      <c r="Q119" s="55">
        <f>SUM(N119:P119)</f>
        <v>0</v>
      </c>
      <c r="R119" s="55">
        <f>+E119+I119+M119+Q119</f>
        <v>0</v>
      </c>
    </row>
    <row r="120" spans="1:20" ht="15.75" customHeight="1" x14ac:dyDescent="0.3">
      <c r="A120" s="61" t="s">
        <v>695</v>
      </c>
      <c r="B120" s="1"/>
      <c r="C120" s="1"/>
      <c r="D120" s="1"/>
      <c r="E120" s="55">
        <f>SUM(B120:D120)</f>
        <v>0</v>
      </c>
      <c r="F120" s="1"/>
      <c r="G120" s="1"/>
      <c r="H120" s="1"/>
      <c r="I120" s="55">
        <f>SUM(F120:H120)</f>
        <v>0</v>
      </c>
      <c r="J120" s="1"/>
      <c r="K120" s="1"/>
      <c r="L120" s="1"/>
      <c r="M120" s="55">
        <f>SUM(J120:L120)</f>
        <v>0</v>
      </c>
      <c r="N120" s="1"/>
      <c r="O120" s="1"/>
      <c r="P120" s="1"/>
      <c r="Q120" s="55">
        <f>SUM(N120:P120)</f>
        <v>0</v>
      </c>
      <c r="R120" s="55">
        <f>+E120+I120+M120+Q120</f>
        <v>0</v>
      </c>
    </row>
    <row r="121" spans="1:20" ht="15.75" customHeight="1" x14ac:dyDescent="0.3">
      <c r="A121" s="18" t="s">
        <v>600</v>
      </c>
      <c r="B121" s="56"/>
      <c r="C121" s="56"/>
      <c r="D121" s="56"/>
      <c r="E121" s="55" t="s">
        <v>7</v>
      </c>
      <c r="F121" s="56"/>
      <c r="G121" s="56"/>
      <c r="H121" s="56"/>
      <c r="I121" s="55" t="s">
        <v>7</v>
      </c>
      <c r="J121" s="56"/>
      <c r="K121" s="56"/>
      <c r="L121" s="56"/>
      <c r="M121" s="55" t="s">
        <v>7</v>
      </c>
      <c r="N121" s="56"/>
      <c r="O121" s="56"/>
      <c r="P121" s="56"/>
      <c r="Q121" s="55" t="s">
        <v>7</v>
      </c>
      <c r="R121" s="55" t="s">
        <v>7</v>
      </c>
    </row>
    <row r="122" spans="1:20" ht="15.75" customHeight="1" x14ac:dyDescent="0.3">
      <c r="A122" s="61" t="s">
        <v>105</v>
      </c>
      <c r="B122" s="1"/>
      <c r="C122" s="1"/>
      <c r="D122" s="1"/>
      <c r="E122" s="55">
        <f>SUM(B122:D122)</f>
        <v>0</v>
      </c>
      <c r="F122" s="1"/>
      <c r="G122" s="1"/>
      <c r="H122" s="1"/>
      <c r="I122" s="55">
        <f>SUM(F122:H122)</f>
        <v>0</v>
      </c>
      <c r="J122" s="1"/>
      <c r="K122" s="1"/>
      <c r="L122" s="1"/>
      <c r="M122" s="55">
        <f>SUM(J122:L122)</f>
        <v>0</v>
      </c>
      <c r="N122" s="1"/>
      <c r="O122" s="1"/>
      <c r="P122" s="1"/>
      <c r="Q122" s="55">
        <f>SUM(N122:P122)</f>
        <v>0</v>
      </c>
      <c r="R122" s="55">
        <f>+E122+I122+M122+Q122</f>
        <v>0</v>
      </c>
      <c r="T122" s="4" t="s">
        <v>801</v>
      </c>
    </row>
    <row r="123" spans="1:20" ht="15.75" customHeight="1" thickBot="1" x14ac:dyDescent="0.35">
      <c r="A123" s="18" t="s">
        <v>70</v>
      </c>
      <c r="B123" s="56"/>
      <c r="C123" s="56"/>
      <c r="D123" s="56"/>
      <c r="E123" s="55" t="s">
        <v>7</v>
      </c>
      <c r="F123" s="56"/>
      <c r="G123" s="56"/>
      <c r="H123" s="56"/>
      <c r="I123" s="55" t="s">
        <v>7</v>
      </c>
      <c r="J123" s="56"/>
      <c r="K123" s="56"/>
      <c r="L123" s="56"/>
      <c r="M123" s="55" t="s">
        <v>7</v>
      </c>
      <c r="N123" s="56"/>
      <c r="O123" s="56"/>
      <c r="P123" s="56"/>
      <c r="Q123" s="55" t="s">
        <v>7</v>
      </c>
      <c r="R123" s="55" t="s">
        <v>7</v>
      </c>
    </row>
    <row r="124" spans="1:20" ht="16.5" customHeight="1" thickBot="1" x14ac:dyDescent="0.35">
      <c r="A124" s="57" t="s">
        <v>71</v>
      </c>
      <c r="B124" s="58">
        <f>SUM(B121:B123)</f>
        <v>0</v>
      </c>
      <c r="C124" s="58">
        <f>SUM(C121:C123)</f>
        <v>0</v>
      </c>
      <c r="D124" s="58">
        <f>SUM(D121:D123)</f>
        <v>0</v>
      </c>
      <c r="E124" s="60">
        <f>SUM(B124:D124)</f>
        <v>0</v>
      </c>
      <c r="F124" s="58">
        <f>SUM(F121:F123)</f>
        <v>0</v>
      </c>
      <c r="G124" s="58">
        <f>SUM(G121:G123)</f>
        <v>0</v>
      </c>
      <c r="H124" s="58">
        <f>SUM(H121:H123)</f>
        <v>0</v>
      </c>
      <c r="I124" s="60">
        <f>SUM(F124:H124)</f>
        <v>0</v>
      </c>
      <c r="J124" s="58">
        <f>SUM(J121:J123)</f>
        <v>0</v>
      </c>
      <c r="K124" s="58">
        <f>SUM(K121:K123)</f>
        <v>0</v>
      </c>
      <c r="L124" s="58">
        <f>SUM(L121:L123)</f>
        <v>0</v>
      </c>
      <c r="M124" s="60">
        <f>SUM(J124:L124)</f>
        <v>0</v>
      </c>
      <c r="N124" s="58">
        <f>SUM(N121:N123)</f>
        <v>0</v>
      </c>
      <c r="O124" s="58">
        <f>SUM(O121:O123)</f>
        <v>0</v>
      </c>
      <c r="P124" s="58">
        <f>SUM(P121:P123)</f>
        <v>0</v>
      </c>
      <c r="Q124" s="60">
        <f>SUM(N124:P124)</f>
        <v>0</v>
      </c>
      <c r="R124" s="59">
        <f>+E124+I124+M124+Q124</f>
        <v>0</v>
      </c>
    </row>
    <row r="125" spans="1:20" ht="16.5" customHeight="1" thickBot="1" x14ac:dyDescent="0.35">
      <c r="A125" s="57" t="s">
        <v>72</v>
      </c>
      <c r="B125" s="58">
        <f>SUM(B108:B123)</f>
        <v>0</v>
      </c>
      <c r="C125" s="58">
        <f>SUM(C108:C123)</f>
        <v>0</v>
      </c>
      <c r="D125" s="58">
        <f>SUM(D108:D123)</f>
        <v>0</v>
      </c>
      <c r="E125" s="60">
        <f>SUM(B125:D125)</f>
        <v>0</v>
      </c>
      <c r="F125" s="58">
        <f>SUM(F108:F123)</f>
        <v>0</v>
      </c>
      <c r="G125" s="58">
        <f>SUM(G108:G123)</f>
        <v>0</v>
      </c>
      <c r="H125" s="58">
        <f>SUM(H108:H123)</f>
        <v>0</v>
      </c>
      <c r="I125" s="60">
        <f>SUM(F125:H125)</f>
        <v>0</v>
      </c>
      <c r="J125" s="58">
        <f>SUM(J108:J123)</f>
        <v>0</v>
      </c>
      <c r="K125" s="58">
        <f>SUM(K108:K123)</f>
        <v>0</v>
      </c>
      <c r="L125" s="58">
        <f>SUM(L108:L123)</f>
        <v>0</v>
      </c>
      <c r="M125" s="60">
        <f>SUM(J125:L125)</f>
        <v>0</v>
      </c>
      <c r="N125" s="58">
        <f>SUM(N108:N123)</f>
        <v>0</v>
      </c>
      <c r="O125" s="58">
        <f>SUM(O108:O123)</f>
        <v>0</v>
      </c>
      <c r="P125" s="58">
        <f>SUM(P108:P123)</f>
        <v>0</v>
      </c>
      <c r="Q125" s="60">
        <f>SUM(N125:P125)</f>
        <v>0</v>
      </c>
      <c r="R125" s="59">
        <f>+E125+I125+M125+Q125</f>
        <v>0</v>
      </c>
    </row>
    <row r="126" spans="1:20" ht="16.5" customHeight="1" thickBot="1" x14ac:dyDescent="0.35">
      <c r="A126" s="57" t="s">
        <v>73</v>
      </c>
      <c r="B126" s="58">
        <f>+B89+B96+B107+B125</f>
        <v>26</v>
      </c>
      <c r="C126" s="58">
        <f>+C89+C96+C107+C125</f>
        <v>986</v>
      </c>
      <c r="D126" s="58">
        <f>+D89+D96+D107+D125</f>
        <v>2547</v>
      </c>
      <c r="E126" s="59">
        <f>SUM(B126:D126)</f>
        <v>3559</v>
      </c>
      <c r="F126" s="58">
        <f>+F89+F96+F107+F125</f>
        <v>4658</v>
      </c>
      <c r="G126" s="58">
        <f>+G89+G96+G107+G125</f>
        <v>5634</v>
      </c>
      <c r="H126" s="58">
        <f>+H89+H96+H107+H125</f>
        <v>5431</v>
      </c>
      <c r="I126" s="59">
        <f>SUM(F126:H126)</f>
        <v>15723</v>
      </c>
      <c r="J126" s="58">
        <f>+J89+J96+J107+J125</f>
        <v>5217</v>
      </c>
      <c r="K126" s="58">
        <f>+K89+K96+K107+K125</f>
        <v>5047</v>
      </c>
      <c r="L126" s="58">
        <f>+L89+L96+L107+L125</f>
        <v>4097</v>
      </c>
      <c r="M126" s="59">
        <f>SUM(J126:L126)</f>
        <v>14361</v>
      </c>
      <c r="N126" s="58">
        <f>+N89+N96+N107+N125</f>
        <v>2897</v>
      </c>
      <c r="O126" s="58">
        <f>+O89+O96+O107+O125</f>
        <v>1589</v>
      </c>
      <c r="P126" s="58">
        <f>+P89+P96+P107+P125</f>
        <v>2431</v>
      </c>
      <c r="Q126" s="59">
        <f>SUM(N126:P126)</f>
        <v>6917</v>
      </c>
      <c r="R126" s="59">
        <f>+E126+I126+M126+Q126</f>
        <v>40560</v>
      </c>
    </row>
    <row r="127" spans="1:20" ht="16.5" customHeight="1" thickBot="1" x14ac:dyDescent="0.35">
      <c r="A127" s="73" t="s">
        <v>40</v>
      </c>
      <c r="B127" s="21">
        <v>173</v>
      </c>
      <c r="C127" s="21">
        <v>260</v>
      </c>
      <c r="D127" s="21">
        <v>471</v>
      </c>
      <c r="E127" s="55">
        <f>SUM(B127:D127)</f>
        <v>904</v>
      </c>
      <c r="F127" s="21">
        <v>629</v>
      </c>
      <c r="G127" s="21">
        <v>725</v>
      </c>
      <c r="H127" s="21">
        <v>712</v>
      </c>
      <c r="I127" s="55">
        <f>SUM(F127:H127)</f>
        <v>2066</v>
      </c>
      <c r="J127" s="21">
        <v>711</v>
      </c>
      <c r="K127" s="21">
        <v>573</v>
      </c>
      <c r="L127" s="21">
        <v>542</v>
      </c>
      <c r="M127" s="55">
        <f>SUM(J127:L127)</f>
        <v>1826</v>
      </c>
      <c r="N127" s="21">
        <v>490</v>
      </c>
      <c r="O127" s="21">
        <v>407</v>
      </c>
      <c r="P127" s="21">
        <v>323</v>
      </c>
      <c r="Q127" s="55">
        <f>SUM(N127:P127)</f>
        <v>1220</v>
      </c>
      <c r="R127" s="55">
        <f>+E127+I127+M127+Q127</f>
        <v>6016</v>
      </c>
    </row>
    <row r="128" spans="1:20" ht="16.5" customHeight="1" thickBot="1" x14ac:dyDescent="0.35">
      <c r="A128" s="74"/>
      <c r="B128" s="75"/>
      <c r="C128" s="75"/>
      <c r="D128" s="75"/>
      <c r="E128" s="59" t="s">
        <v>7</v>
      </c>
      <c r="F128" s="75"/>
      <c r="G128" s="75"/>
      <c r="H128" s="75"/>
      <c r="I128" s="59" t="s">
        <v>7</v>
      </c>
      <c r="J128" s="75"/>
      <c r="K128" s="75"/>
      <c r="L128" s="75"/>
      <c r="M128" s="59" t="s">
        <v>7</v>
      </c>
      <c r="N128" s="75"/>
      <c r="O128" s="75"/>
      <c r="P128" s="75"/>
      <c r="Q128" s="59" t="s">
        <v>7</v>
      </c>
      <c r="R128" s="59" t="s">
        <v>7</v>
      </c>
    </row>
    <row r="129" spans="1:20" ht="15.75" customHeight="1" x14ac:dyDescent="0.3">
      <c r="A129" s="76" t="s">
        <v>41</v>
      </c>
      <c r="B129" s="77">
        <f>+B126+B127</f>
        <v>199</v>
      </c>
      <c r="C129" s="77">
        <f>+C126+C127</f>
        <v>1246</v>
      </c>
      <c r="D129" s="77">
        <f>+D126+D127</f>
        <v>3018</v>
      </c>
      <c r="E129" s="55">
        <f>SUM(B129:D129)</f>
        <v>4463</v>
      </c>
      <c r="F129" s="77">
        <f>+F126+F127</f>
        <v>5287</v>
      </c>
      <c r="G129" s="77">
        <f>+G126+G127</f>
        <v>6359</v>
      </c>
      <c r="H129" s="77">
        <f>+H126+H127</f>
        <v>6143</v>
      </c>
      <c r="I129" s="55">
        <f>SUM(F129:H129)</f>
        <v>17789</v>
      </c>
      <c r="J129" s="77">
        <f>+J126+J127</f>
        <v>5928</v>
      </c>
      <c r="K129" s="77">
        <f>+K126+K127</f>
        <v>5620</v>
      </c>
      <c r="L129" s="77">
        <f>+L126+L127</f>
        <v>4639</v>
      </c>
      <c r="M129" s="55">
        <f>SUM(J129:L129)</f>
        <v>16187</v>
      </c>
      <c r="N129" s="77">
        <f>+N126+N127</f>
        <v>3387</v>
      </c>
      <c r="O129" s="77">
        <f>+O126+O127</f>
        <v>1996</v>
      </c>
      <c r="P129" s="77">
        <f>+P126+P127</f>
        <v>2754</v>
      </c>
      <c r="Q129" s="55">
        <f>SUM(N129:P129)</f>
        <v>8137</v>
      </c>
      <c r="R129" s="55">
        <f>+E129+I129+M129+Q129</f>
        <v>46576</v>
      </c>
    </row>
    <row r="130" spans="1:20" ht="15.75" customHeight="1" x14ac:dyDescent="0.3">
      <c r="A130" s="78" t="s">
        <v>42</v>
      </c>
      <c r="B130" s="1">
        <f>(B129/B10)/1.983</f>
        <v>3.2371935646544006</v>
      </c>
      <c r="C130" s="1">
        <f>(C129/C10)/1.983</f>
        <v>22.440746343923347</v>
      </c>
      <c r="D130" s="1">
        <f>(D129/D10)/1.983</f>
        <v>49.094724513200916</v>
      </c>
      <c r="E130" s="55" t="s">
        <v>7</v>
      </c>
      <c r="F130" s="1">
        <f>(F129/F10)/1.983</f>
        <v>88.872079341065714</v>
      </c>
      <c r="G130" s="1">
        <f>(G129/G10)/1.983</f>
        <v>103.44378832983585</v>
      </c>
      <c r="H130" s="1">
        <f>(H129/H10)/1.983</f>
        <v>103.26105227769374</v>
      </c>
      <c r="I130" s="55" t="s">
        <v>7</v>
      </c>
      <c r="J130" s="1">
        <f>(J129/J10)/1.983</f>
        <v>96.432580157142155</v>
      </c>
      <c r="K130" s="1">
        <f>(K129/K10)/1.983</f>
        <v>91.422250418883081</v>
      </c>
      <c r="L130" s="1">
        <f>(L129/L10)/1.983</f>
        <v>77.979492351655736</v>
      </c>
      <c r="M130" s="55" t="s">
        <v>7</v>
      </c>
      <c r="N130" s="1">
        <f>(N129/N10)/1.983</f>
        <v>55.097359816504806</v>
      </c>
      <c r="O130" s="1">
        <f>(O129/O10)/1.983</f>
        <v>33.551857455034458</v>
      </c>
      <c r="P130" s="1">
        <f>(P129/P10)/1.983</f>
        <v>44.80015616612171</v>
      </c>
      <c r="Q130" s="55" t="s">
        <v>7</v>
      </c>
      <c r="R130" s="55" t="s">
        <v>7</v>
      </c>
    </row>
    <row r="131" spans="1:20" ht="15.75" customHeight="1" x14ac:dyDescent="0.3">
      <c r="A131" s="79" t="s">
        <v>106</v>
      </c>
      <c r="B131" s="1">
        <f>B129+B309</f>
        <v>124350</v>
      </c>
      <c r="C131" s="1">
        <f>C129+C309</f>
        <v>59909</v>
      </c>
      <c r="D131" s="1">
        <f>D129+D309</f>
        <v>135112</v>
      </c>
      <c r="E131" s="55">
        <f>SUM(B131:D131)</f>
        <v>319371</v>
      </c>
      <c r="F131" s="1">
        <f>F129+F309</f>
        <v>159436</v>
      </c>
      <c r="G131" s="1">
        <f>G129+G309</f>
        <v>175187</v>
      </c>
      <c r="H131" s="1">
        <f>H129+H309</f>
        <v>81937</v>
      </c>
      <c r="I131" s="55">
        <f>SUM(F131:H131)</f>
        <v>416560</v>
      </c>
      <c r="J131" s="1">
        <f>J129+J309</f>
        <v>74586</v>
      </c>
      <c r="K131" s="1">
        <f>K129+K309</f>
        <v>71543</v>
      </c>
      <c r="L131" s="1">
        <f>L129+L309</f>
        <v>132102</v>
      </c>
      <c r="M131" s="55">
        <f>SUM(J131:L131)</f>
        <v>278231</v>
      </c>
      <c r="N131" s="1">
        <f>N129+N309</f>
        <v>129024</v>
      </c>
      <c r="O131" s="1">
        <f>O129+O309</f>
        <v>126520</v>
      </c>
      <c r="P131" s="1">
        <f>P129+P309</f>
        <v>141004</v>
      </c>
      <c r="Q131" s="55">
        <f>SUM(N131:P131)</f>
        <v>396548</v>
      </c>
      <c r="R131" s="55">
        <f>+E131+I131+M131+Q131</f>
        <v>1410710</v>
      </c>
    </row>
    <row r="132" spans="1:20" ht="16.5" customHeight="1" thickBot="1" x14ac:dyDescent="0.35">
      <c r="A132" s="80" t="s">
        <v>107</v>
      </c>
      <c r="B132" s="25">
        <f>(B131/B10)/1.983</f>
        <v>2022.8392953003759</v>
      </c>
      <c r="C132" s="25">
        <f>(C131/C10)/1.983</f>
        <v>1078.9748577191845</v>
      </c>
      <c r="D132" s="25">
        <f>(D131/D10)/1.983</f>
        <v>2197.908024661233</v>
      </c>
      <c r="E132" s="81" t="s">
        <v>7</v>
      </c>
      <c r="F132" s="25">
        <f>(F131/F10)/1.983</f>
        <v>2680.047066733905</v>
      </c>
      <c r="G132" s="25">
        <f>(G131/G10)/1.983</f>
        <v>2849.8202462869876</v>
      </c>
      <c r="H132" s="25">
        <f>(H131/H10)/1.983</f>
        <v>1377.3239199865523</v>
      </c>
      <c r="I132" s="81" t="s">
        <v>7</v>
      </c>
      <c r="J132" s="25">
        <f>(J131/J10)/1.983</f>
        <v>1213.3131618759455</v>
      </c>
      <c r="K132" s="25">
        <f>(K131/K10)/1.983</f>
        <v>1163.8117547541196</v>
      </c>
      <c r="L132" s="25">
        <f>(L131/L10)/1.983</f>
        <v>2220.5748865355517</v>
      </c>
      <c r="M132" s="81" t="s">
        <v>7</v>
      </c>
      <c r="N132" s="25">
        <f>(N131/N10)/1.983</f>
        <v>2098.8726758088915</v>
      </c>
      <c r="O132" s="25">
        <f>(O131/O10)/1.983</f>
        <v>2126.7439905866531</v>
      </c>
      <c r="P132" s="25">
        <f>(P131/P10)/1.983</f>
        <v>2293.7549818619559</v>
      </c>
      <c r="Q132" s="81" t="s">
        <v>7</v>
      </c>
      <c r="R132" s="81" t="s">
        <v>7</v>
      </c>
    </row>
    <row r="133" spans="1:20" ht="15.75" customHeight="1" x14ac:dyDescent="0.3">
      <c r="A133" s="28"/>
      <c r="B133" s="1"/>
      <c r="C133" s="1"/>
      <c r="D133" s="1"/>
      <c r="E133" s="1"/>
      <c r="F133" s="1"/>
      <c r="G133" s="1"/>
      <c r="H133" s="1"/>
      <c r="I133" s="1"/>
      <c r="J133" s="1"/>
      <c r="K133" s="1"/>
      <c r="L133" s="1"/>
      <c r="M133" s="1"/>
      <c r="N133" s="1"/>
      <c r="O133" s="1"/>
      <c r="P133" s="1"/>
      <c r="Q133" s="1"/>
      <c r="R133" s="2"/>
    </row>
    <row r="134" spans="1:20" ht="15.75" customHeight="1" thickBot="1" x14ac:dyDescent="0.35">
      <c r="A134" s="28" t="s">
        <v>7</v>
      </c>
      <c r="B134" s="1"/>
      <c r="C134" s="1"/>
      <c r="D134" s="1"/>
      <c r="E134" s="1"/>
      <c r="F134" s="1"/>
      <c r="G134" s="1"/>
      <c r="H134" s="1"/>
      <c r="I134" s="1"/>
      <c r="J134" s="1"/>
      <c r="K134" s="1"/>
      <c r="L134" s="1"/>
      <c r="M134" s="1"/>
      <c r="N134" s="1"/>
      <c r="O134" s="1"/>
      <c r="P134" s="1"/>
      <c r="Q134" s="1"/>
      <c r="R134" s="2"/>
    </row>
    <row r="135" spans="1:20" ht="16.5" customHeight="1" thickBot="1" x14ac:dyDescent="0.35">
      <c r="A135" s="29" t="s">
        <v>108</v>
      </c>
      <c r="B135" s="30" t="s">
        <v>8</v>
      </c>
      <c r="C135" s="31" t="s">
        <v>9</v>
      </c>
      <c r="D135" s="31" t="s">
        <v>10</v>
      </c>
      <c r="E135" s="32" t="s">
        <v>11</v>
      </c>
      <c r="F135" s="31" t="s">
        <v>12</v>
      </c>
      <c r="G135" s="31" t="s">
        <v>13</v>
      </c>
      <c r="H135" s="31" t="s">
        <v>14</v>
      </c>
      <c r="I135" s="33" t="s">
        <v>15</v>
      </c>
      <c r="J135" s="31" t="s">
        <v>16</v>
      </c>
      <c r="K135" s="31" t="s">
        <v>17</v>
      </c>
      <c r="L135" s="31" t="s">
        <v>18</v>
      </c>
      <c r="M135" s="33" t="s">
        <v>19</v>
      </c>
      <c r="N135" s="31" t="s">
        <v>20</v>
      </c>
      <c r="O135" s="31" t="s">
        <v>21</v>
      </c>
      <c r="P135" s="31" t="s">
        <v>22</v>
      </c>
      <c r="Q135" s="33" t="s">
        <v>23</v>
      </c>
      <c r="R135" s="34" t="s">
        <v>24</v>
      </c>
    </row>
    <row r="136" spans="1:20" ht="16.5" customHeight="1" thickBot="1" x14ac:dyDescent="0.35">
      <c r="A136" s="74"/>
      <c r="B136" s="75"/>
      <c r="C136" s="75"/>
      <c r="D136" s="75"/>
      <c r="E136" s="82"/>
      <c r="F136" s="75"/>
      <c r="G136" s="75"/>
      <c r="H136" s="75"/>
      <c r="I136" s="82"/>
      <c r="J136" s="75"/>
      <c r="K136" s="75"/>
      <c r="L136" s="75"/>
      <c r="M136" s="82"/>
      <c r="N136" s="75"/>
      <c r="O136" s="75"/>
      <c r="P136" s="75"/>
      <c r="Q136" s="82"/>
      <c r="R136" s="74"/>
    </row>
    <row r="137" spans="1:20" ht="15.75" customHeight="1" x14ac:dyDescent="0.3">
      <c r="A137" s="15" t="s">
        <v>48</v>
      </c>
      <c r="B137" s="1" t="s">
        <v>7</v>
      </c>
      <c r="C137" s="1" t="s">
        <v>7</v>
      </c>
      <c r="D137" s="1" t="s">
        <v>7</v>
      </c>
      <c r="E137" s="55" t="s">
        <v>7</v>
      </c>
      <c r="F137" s="1" t="s">
        <v>7</v>
      </c>
      <c r="G137" s="1" t="s">
        <v>7</v>
      </c>
      <c r="H137" s="1" t="s">
        <v>7</v>
      </c>
      <c r="I137" s="55" t="s">
        <v>7</v>
      </c>
      <c r="J137" s="1" t="s">
        <v>7</v>
      </c>
      <c r="K137" s="1" t="s">
        <v>7</v>
      </c>
      <c r="L137" s="1" t="s">
        <v>7</v>
      </c>
      <c r="M137" s="55" t="s">
        <v>7</v>
      </c>
      <c r="N137" s="1" t="s">
        <v>7</v>
      </c>
      <c r="O137" s="1" t="s">
        <v>7</v>
      </c>
      <c r="P137" s="1" t="s">
        <v>7</v>
      </c>
      <c r="Q137" s="55" t="s">
        <v>7</v>
      </c>
      <c r="R137" s="83" t="s">
        <v>7</v>
      </c>
    </row>
    <row r="138" spans="1:20" ht="15.75" customHeight="1" x14ac:dyDescent="0.3">
      <c r="A138" s="15" t="s">
        <v>49</v>
      </c>
      <c r="B138" s="1"/>
      <c r="C138" s="1"/>
      <c r="D138" s="1"/>
      <c r="E138" s="55" t="s">
        <v>7</v>
      </c>
      <c r="F138" s="1"/>
      <c r="G138" s="1"/>
      <c r="H138" s="1"/>
      <c r="I138" s="55" t="s">
        <v>7</v>
      </c>
      <c r="J138" s="1"/>
      <c r="K138" s="1"/>
      <c r="L138" s="1"/>
      <c r="M138" s="55" t="s">
        <v>7</v>
      </c>
      <c r="N138" s="1"/>
      <c r="O138" s="1"/>
      <c r="P138" s="1"/>
      <c r="Q138" s="55" t="s">
        <v>7</v>
      </c>
      <c r="R138" s="83"/>
    </row>
    <row r="139" spans="1:20" ht="15.75" customHeight="1" x14ac:dyDescent="0.3">
      <c r="A139" s="84" t="s">
        <v>811</v>
      </c>
      <c r="B139" s="1"/>
      <c r="C139" s="1"/>
      <c r="D139" s="1"/>
      <c r="E139" s="55">
        <f t="shared" ref="E139:E144" si="20">SUM(B139:D139)</f>
        <v>0</v>
      </c>
      <c r="F139" s="1">
        <v>562</v>
      </c>
      <c r="G139" s="1">
        <v>645</v>
      </c>
      <c r="H139" s="1">
        <v>617</v>
      </c>
      <c r="I139" s="55">
        <f t="shared" ref="I139:I144" si="21">SUM(F139:H139)</f>
        <v>1824</v>
      </c>
      <c r="J139" s="1">
        <v>693</v>
      </c>
      <c r="K139" s="1">
        <v>525</v>
      </c>
      <c r="L139" s="1">
        <v>742</v>
      </c>
      <c r="M139" s="55">
        <f t="shared" ref="M139:M144" si="22">SUM(J139:L139)</f>
        <v>1960</v>
      </c>
      <c r="N139" s="1">
        <v>405</v>
      </c>
      <c r="O139" s="1"/>
      <c r="P139" s="1"/>
      <c r="Q139" s="55">
        <f t="shared" ref="Q139:Q144" si="23">SUM(N139:P139)</f>
        <v>405</v>
      </c>
      <c r="R139" s="55">
        <f>+E139+I139+M139+Q139</f>
        <v>4189</v>
      </c>
      <c r="T139" s="4" t="s">
        <v>812</v>
      </c>
    </row>
    <row r="140" spans="1:20" ht="15.75" customHeight="1" x14ac:dyDescent="0.3">
      <c r="A140" s="84" t="s">
        <v>813</v>
      </c>
      <c r="B140" s="1"/>
      <c r="C140" s="1">
        <v>368</v>
      </c>
      <c r="D140" s="1">
        <v>912</v>
      </c>
      <c r="E140" s="55">
        <f t="shared" si="20"/>
        <v>1280</v>
      </c>
      <c r="F140" s="1">
        <v>1232</v>
      </c>
      <c r="G140" s="1">
        <v>1237</v>
      </c>
      <c r="H140" s="1">
        <v>1457</v>
      </c>
      <c r="I140" s="55">
        <f t="shared" si="21"/>
        <v>3926</v>
      </c>
      <c r="J140" s="1">
        <v>1650</v>
      </c>
      <c r="K140" s="1">
        <v>1528</v>
      </c>
      <c r="L140" s="1">
        <v>1731</v>
      </c>
      <c r="M140" s="55">
        <f t="shared" si="22"/>
        <v>4909</v>
      </c>
      <c r="N140" s="1">
        <v>978</v>
      </c>
      <c r="O140" s="1"/>
      <c r="P140" s="1"/>
      <c r="Q140" s="55">
        <f t="shared" si="23"/>
        <v>978</v>
      </c>
      <c r="R140" s="55">
        <f t="shared" ref="R140:R184" si="24">+E140+I140+M140+Q140</f>
        <v>11093</v>
      </c>
      <c r="T140" s="4" t="s">
        <v>812</v>
      </c>
    </row>
    <row r="141" spans="1:20" ht="15.75" customHeight="1" x14ac:dyDescent="0.3">
      <c r="A141" s="84" t="s">
        <v>814</v>
      </c>
      <c r="B141" s="1"/>
      <c r="C141" s="1"/>
      <c r="D141" s="1"/>
      <c r="E141" s="55">
        <f t="shared" si="20"/>
        <v>0</v>
      </c>
      <c r="F141" s="1">
        <v>317</v>
      </c>
      <c r="G141" s="1">
        <v>365</v>
      </c>
      <c r="H141" s="1">
        <v>350</v>
      </c>
      <c r="I141" s="55">
        <f t="shared" si="21"/>
        <v>1032</v>
      </c>
      <c r="J141" s="1">
        <v>392</v>
      </c>
      <c r="K141" s="1">
        <v>320</v>
      </c>
      <c r="L141" s="1">
        <v>420</v>
      </c>
      <c r="M141" s="55">
        <f t="shared" si="22"/>
        <v>1132</v>
      </c>
      <c r="N141" s="1">
        <v>208</v>
      </c>
      <c r="O141" s="1"/>
      <c r="P141" s="1"/>
      <c r="Q141" s="55">
        <f t="shared" si="23"/>
        <v>208</v>
      </c>
      <c r="R141" s="55">
        <f t="shared" si="24"/>
        <v>2372</v>
      </c>
      <c r="T141" s="4" t="s">
        <v>812</v>
      </c>
    </row>
    <row r="142" spans="1:20" ht="15.75" customHeight="1" x14ac:dyDescent="0.3">
      <c r="A142" s="84" t="s">
        <v>815</v>
      </c>
      <c r="B142" s="1"/>
      <c r="C142" s="1"/>
      <c r="D142" s="1"/>
      <c r="E142" s="55">
        <f t="shared" si="20"/>
        <v>0</v>
      </c>
      <c r="F142" s="1">
        <v>433</v>
      </c>
      <c r="G142" s="1">
        <v>498</v>
      </c>
      <c r="H142" s="1">
        <v>476</v>
      </c>
      <c r="I142" s="55">
        <f t="shared" si="21"/>
        <v>1407</v>
      </c>
      <c r="J142" s="1">
        <v>534</v>
      </c>
      <c r="K142" s="1">
        <v>416</v>
      </c>
      <c r="L142" s="1">
        <v>573</v>
      </c>
      <c r="M142" s="55">
        <f t="shared" si="22"/>
        <v>1523</v>
      </c>
      <c r="N142" s="1">
        <v>301</v>
      </c>
      <c r="O142" s="1"/>
      <c r="P142" s="1"/>
      <c r="Q142" s="55">
        <f t="shared" si="23"/>
        <v>301</v>
      </c>
      <c r="R142" s="55">
        <f t="shared" si="24"/>
        <v>3231</v>
      </c>
      <c r="T142" s="4" t="s">
        <v>812</v>
      </c>
    </row>
    <row r="143" spans="1:20" ht="15.75" customHeight="1" x14ac:dyDescent="0.3">
      <c r="A143" s="71" t="s">
        <v>111</v>
      </c>
      <c r="B143" s="1"/>
      <c r="C143" s="1">
        <v>2</v>
      </c>
      <c r="D143" s="1">
        <v>21</v>
      </c>
      <c r="E143" s="55">
        <f t="shared" si="20"/>
        <v>23</v>
      </c>
      <c r="F143" s="1">
        <v>10</v>
      </c>
      <c r="G143" s="1">
        <v>28</v>
      </c>
      <c r="H143" s="1">
        <v>11</v>
      </c>
      <c r="I143" s="55">
        <f t="shared" si="21"/>
        <v>49</v>
      </c>
      <c r="J143" s="1">
        <v>7</v>
      </c>
      <c r="K143" s="1">
        <v>2</v>
      </c>
      <c r="L143" s="1">
        <v>6</v>
      </c>
      <c r="M143" s="55">
        <f t="shared" si="22"/>
        <v>15</v>
      </c>
      <c r="N143" s="1">
        <v>5</v>
      </c>
      <c r="O143" s="1">
        <v>3</v>
      </c>
      <c r="P143" s="1">
        <v>15</v>
      </c>
      <c r="Q143" s="55">
        <f t="shared" si="23"/>
        <v>23</v>
      </c>
      <c r="R143" s="55">
        <f t="shared" si="24"/>
        <v>110</v>
      </c>
      <c r="T143" s="4" t="s">
        <v>406</v>
      </c>
    </row>
    <row r="144" spans="1:20" ht="15.75" customHeight="1" x14ac:dyDescent="0.3">
      <c r="A144" s="84" t="s">
        <v>816</v>
      </c>
      <c r="B144" s="1"/>
      <c r="C144" s="1"/>
      <c r="D144" s="1"/>
      <c r="E144" s="55">
        <f t="shared" si="20"/>
        <v>0</v>
      </c>
      <c r="F144" s="1">
        <v>500</v>
      </c>
      <c r="G144" s="1"/>
      <c r="H144" s="1"/>
      <c r="I144" s="55">
        <f t="shared" si="21"/>
        <v>500</v>
      </c>
      <c r="J144" s="1"/>
      <c r="K144" s="1"/>
      <c r="L144" s="1"/>
      <c r="M144" s="55">
        <f t="shared" si="22"/>
        <v>0</v>
      </c>
      <c r="N144" s="1"/>
      <c r="O144" s="1"/>
      <c r="P144" s="1"/>
      <c r="Q144" s="55">
        <f t="shared" si="23"/>
        <v>0</v>
      </c>
      <c r="R144" s="55">
        <f t="shared" si="24"/>
        <v>500</v>
      </c>
      <c r="T144" s="4" t="s">
        <v>812</v>
      </c>
    </row>
    <row r="145" spans="1:20" ht="15.75" customHeight="1" x14ac:dyDescent="0.3">
      <c r="A145" s="84" t="s">
        <v>817</v>
      </c>
      <c r="B145" s="1"/>
      <c r="C145" s="1"/>
      <c r="D145" s="1"/>
      <c r="E145" s="55">
        <f t="shared" ref="E145:E158" si="25">SUM(B145:D145)</f>
        <v>0</v>
      </c>
      <c r="F145" s="1"/>
      <c r="G145" s="1"/>
      <c r="H145" s="1"/>
      <c r="I145" s="55">
        <f t="shared" ref="I145:I181" si="26">SUM(F145:H145)</f>
        <v>0</v>
      </c>
      <c r="J145" s="1"/>
      <c r="K145" s="1"/>
      <c r="L145" s="1"/>
      <c r="M145" s="55">
        <f t="shared" ref="M145:M181" si="27">SUM(J145:L145)</f>
        <v>0</v>
      </c>
      <c r="N145" s="1"/>
      <c r="O145" s="1"/>
      <c r="P145" s="1"/>
      <c r="Q145" s="55">
        <f t="shared" ref="Q145:Q187" si="28">SUM(N145:P145)</f>
        <v>0</v>
      </c>
      <c r="R145" s="55">
        <f t="shared" si="24"/>
        <v>0</v>
      </c>
      <c r="T145" s="4" t="s">
        <v>818</v>
      </c>
    </row>
    <row r="146" spans="1:20" ht="15.75" customHeight="1" x14ac:dyDescent="0.3">
      <c r="A146" s="84" t="s">
        <v>112</v>
      </c>
      <c r="B146" s="1"/>
      <c r="C146" s="1">
        <v>238</v>
      </c>
      <c r="D146" s="1">
        <v>2032</v>
      </c>
      <c r="E146" s="55">
        <f t="shared" si="25"/>
        <v>2270</v>
      </c>
      <c r="F146" s="1">
        <v>1704</v>
      </c>
      <c r="G146" s="1"/>
      <c r="H146" s="1"/>
      <c r="I146" s="55">
        <f t="shared" si="26"/>
        <v>1704</v>
      </c>
      <c r="J146" s="1"/>
      <c r="K146" s="1"/>
      <c r="L146" s="1"/>
      <c r="M146" s="55">
        <f t="shared" si="27"/>
        <v>0</v>
      </c>
      <c r="N146" s="1"/>
      <c r="O146" s="1"/>
      <c r="P146" s="1"/>
      <c r="Q146" s="55">
        <f t="shared" si="28"/>
        <v>0</v>
      </c>
      <c r="R146" s="55">
        <f t="shared" si="24"/>
        <v>3974</v>
      </c>
      <c r="T146" s="4" t="s">
        <v>819</v>
      </c>
    </row>
    <row r="147" spans="1:20" ht="15.75" customHeight="1" x14ac:dyDescent="0.3">
      <c r="A147" s="71" t="s">
        <v>820</v>
      </c>
      <c r="B147" s="1"/>
      <c r="C147" s="1"/>
      <c r="D147" s="1"/>
      <c r="E147" s="55">
        <f t="shared" si="25"/>
        <v>0</v>
      </c>
      <c r="F147" s="1"/>
      <c r="G147" s="1"/>
      <c r="H147" s="1">
        <v>1442</v>
      </c>
      <c r="I147" s="55">
        <f t="shared" si="26"/>
        <v>1442</v>
      </c>
      <c r="J147" s="1"/>
      <c r="K147" s="1"/>
      <c r="L147" s="1"/>
      <c r="M147" s="55">
        <f t="shared" si="27"/>
        <v>0</v>
      </c>
      <c r="N147" s="1"/>
      <c r="O147" s="1"/>
      <c r="P147" s="1"/>
      <c r="Q147" s="55">
        <f t="shared" si="28"/>
        <v>0</v>
      </c>
      <c r="R147" s="55">
        <f t="shared" si="24"/>
        <v>1442</v>
      </c>
      <c r="S147" s="4" t="s">
        <v>821</v>
      </c>
      <c r="T147" s="4" t="s">
        <v>822</v>
      </c>
    </row>
    <row r="148" spans="1:20" ht="15.75" customHeight="1" x14ac:dyDescent="0.3">
      <c r="A148" s="84" t="s">
        <v>177</v>
      </c>
      <c r="B148" s="1"/>
      <c r="C148" s="1">
        <v>546</v>
      </c>
      <c r="D148" s="1">
        <v>1385</v>
      </c>
      <c r="E148" s="55">
        <f t="shared" si="25"/>
        <v>1931</v>
      </c>
      <c r="F148" s="1">
        <v>774</v>
      </c>
      <c r="G148" s="1"/>
      <c r="H148" s="1"/>
      <c r="I148" s="55">
        <f t="shared" si="26"/>
        <v>774</v>
      </c>
      <c r="J148" s="1"/>
      <c r="K148" s="1"/>
      <c r="L148" s="1"/>
      <c r="M148" s="55">
        <f t="shared" si="27"/>
        <v>0</v>
      </c>
      <c r="N148" s="1"/>
      <c r="O148" s="1"/>
      <c r="P148" s="1"/>
      <c r="Q148" s="55">
        <f t="shared" si="28"/>
        <v>0</v>
      </c>
      <c r="R148" s="55">
        <f t="shared" si="24"/>
        <v>2705</v>
      </c>
      <c r="T148" s="4" t="s">
        <v>818</v>
      </c>
    </row>
    <row r="149" spans="1:20" ht="15.75" customHeight="1" x14ac:dyDescent="0.3">
      <c r="A149" s="84" t="s">
        <v>178</v>
      </c>
      <c r="B149" s="1"/>
      <c r="C149" s="1"/>
      <c r="D149" s="1"/>
      <c r="E149" s="55">
        <f t="shared" si="25"/>
        <v>0</v>
      </c>
      <c r="F149" s="1"/>
      <c r="G149" s="1"/>
      <c r="H149" s="1"/>
      <c r="I149" s="55">
        <f t="shared" si="26"/>
        <v>0</v>
      </c>
      <c r="J149" s="1">
        <v>157</v>
      </c>
      <c r="K149" s="1"/>
      <c r="L149" s="1"/>
      <c r="M149" s="55">
        <f t="shared" si="27"/>
        <v>157</v>
      </c>
      <c r="N149" s="1"/>
      <c r="O149" s="1"/>
      <c r="P149" s="1"/>
      <c r="Q149" s="55">
        <f t="shared" si="28"/>
        <v>0</v>
      </c>
      <c r="R149" s="55">
        <f t="shared" si="24"/>
        <v>157</v>
      </c>
      <c r="T149" s="4" t="s">
        <v>819</v>
      </c>
    </row>
    <row r="150" spans="1:20" ht="15.75" customHeight="1" x14ac:dyDescent="0.3">
      <c r="A150" s="84" t="s">
        <v>823</v>
      </c>
      <c r="B150" s="1"/>
      <c r="C150" s="1"/>
      <c r="D150" s="1"/>
      <c r="E150" s="55">
        <f t="shared" si="25"/>
        <v>0</v>
      </c>
      <c r="F150" s="1">
        <v>1000</v>
      </c>
      <c r="G150" s="1">
        <v>1000</v>
      </c>
      <c r="H150" s="1">
        <v>1000</v>
      </c>
      <c r="I150" s="55">
        <f t="shared" si="26"/>
        <v>3000</v>
      </c>
      <c r="J150" s="1"/>
      <c r="K150" s="1"/>
      <c r="L150" s="1"/>
      <c r="M150" s="55">
        <f t="shared" si="27"/>
        <v>0</v>
      </c>
      <c r="N150" s="1"/>
      <c r="O150" s="1"/>
      <c r="P150" s="1"/>
      <c r="Q150" s="55">
        <f t="shared" si="28"/>
        <v>0</v>
      </c>
      <c r="R150" s="55">
        <f t="shared" si="24"/>
        <v>3000</v>
      </c>
      <c r="T150" s="4" t="s">
        <v>812</v>
      </c>
    </row>
    <row r="151" spans="1:20" ht="15.75" customHeight="1" x14ac:dyDescent="0.3">
      <c r="A151" s="71" t="s">
        <v>114</v>
      </c>
      <c r="B151" s="1">
        <v>45</v>
      </c>
      <c r="C151" s="1">
        <v>36</v>
      </c>
      <c r="D151" s="1">
        <v>42</v>
      </c>
      <c r="E151" s="55">
        <f t="shared" si="25"/>
        <v>123</v>
      </c>
      <c r="F151" s="1">
        <v>47</v>
      </c>
      <c r="G151" s="1">
        <v>50</v>
      </c>
      <c r="H151" s="1">
        <v>60</v>
      </c>
      <c r="I151" s="55">
        <f t="shared" si="26"/>
        <v>157</v>
      </c>
      <c r="J151" s="1">
        <v>68</v>
      </c>
      <c r="K151" s="1">
        <v>67</v>
      </c>
      <c r="L151" s="1">
        <v>56</v>
      </c>
      <c r="M151" s="55">
        <f t="shared" si="27"/>
        <v>191</v>
      </c>
      <c r="N151" s="1">
        <v>56</v>
      </c>
      <c r="O151" s="1">
        <v>53</v>
      </c>
      <c r="P151" s="1">
        <v>60</v>
      </c>
      <c r="Q151" s="55">
        <f t="shared" si="28"/>
        <v>169</v>
      </c>
      <c r="R151" s="55">
        <f t="shared" si="24"/>
        <v>640</v>
      </c>
      <c r="T151" s="4" t="s">
        <v>824</v>
      </c>
    </row>
    <row r="152" spans="1:20" ht="15.75" customHeight="1" x14ac:dyDescent="0.3">
      <c r="A152" s="71" t="s">
        <v>115</v>
      </c>
      <c r="B152" s="1">
        <v>96</v>
      </c>
      <c r="C152" s="1">
        <v>116</v>
      </c>
      <c r="D152" s="1">
        <v>122</v>
      </c>
      <c r="E152" s="55">
        <f t="shared" si="25"/>
        <v>334</v>
      </c>
      <c r="F152" s="1">
        <v>147</v>
      </c>
      <c r="G152" s="1">
        <v>175</v>
      </c>
      <c r="H152" s="1">
        <v>245</v>
      </c>
      <c r="I152" s="55">
        <f t="shared" si="26"/>
        <v>567</v>
      </c>
      <c r="J152" s="1">
        <v>256</v>
      </c>
      <c r="K152" s="1">
        <v>217</v>
      </c>
      <c r="L152" s="1">
        <v>183</v>
      </c>
      <c r="M152" s="55">
        <f t="shared" si="27"/>
        <v>656</v>
      </c>
      <c r="N152" s="1">
        <v>207</v>
      </c>
      <c r="O152" s="1">
        <v>140</v>
      </c>
      <c r="P152" s="1">
        <v>139</v>
      </c>
      <c r="Q152" s="55">
        <f t="shared" si="28"/>
        <v>486</v>
      </c>
      <c r="R152" s="55">
        <f t="shared" si="24"/>
        <v>2043</v>
      </c>
      <c r="T152" s="4" t="s">
        <v>825</v>
      </c>
    </row>
    <row r="153" spans="1:20" ht="15.75" customHeight="1" x14ac:dyDescent="0.3">
      <c r="A153" s="84" t="s">
        <v>1189</v>
      </c>
      <c r="B153" s="1"/>
      <c r="C153" s="1"/>
      <c r="D153" s="1"/>
      <c r="E153" s="55">
        <f t="shared" si="25"/>
        <v>0</v>
      </c>
      <c r="F153" s="1"/>
      <c r="G153" s="1"/>
      <c r="H153" s="1"/>
      <c r="I153" s="55">
        <f t="shared" si="26"/>
        <v>0</v>
      </c>
      <c r="J153" s="1"/>
      <c r="K153" s="1"/>
      <c r="L153" s="1"/>
      <c r="M153" s="55">
        <f t="shared" si="27"/>
        <v>0</v>
      </c>
      <c r="N153" s="1">
        <v>697</v>
      </c>
      <c r="O153" s="1">
        <v>703</v>
      </c>
      <c r="P153" s="1"/>
      <c r="Q153" s="55">
        <f t="shared" si="28"/>
        <v>1400</v>
      </c>
      <c r="R153" s="55">
        <f t="shared" si="24"/>
        <v>1400</v>
      </c>
    </row>
    <row r="154" spans="1:20" ht="15.75" customHeight="1" x14ac:dyDescent="0.3">
      <c r="A154" s="71" t="s">
        <v>826</v>
      </c>
      <c r="B154" s="1"/>
      <c r="C154" s="1"/>
      <c r="D154" s="1"/>
      <c r="E154" s="55">
        <f t="shared" si="25"/>
        <v>0</v>
      </c>
      <c r="F154" s="1"/>
      <c r="G154" s="1">
        <v>451</v>
      </c>
      <c r="H154" s="1"/>
      <c r="I154" s="55">
        <f t="shared" si="26"/>
        <v>451</v>
      </c>
      <c r="J154" s="1"/>
      <c r="K154" s="1">
        <v>381</v>
      </c>
      <c r="L154" s="1">
        <f>600+663+850</f>
        <v>2113</v>
      </c>
      <c r="M154" s="55">
        <f t="shared" si="27"/>
        <v>2494</v>
      </c>
      <c r="N154" s="1">
        <v>800</v>
      </c>
      <c r="O154" s="1">
        <v>500</v>
      </c>
      <c r="P154" s="1"/>
      <c r="Q154" s="55">
        <f t="shared" si="28"/>
        <v>1300</v>
      </c>
      <c r="R154" s="55">
        <f t="shared" si="24"/>
        <v>4245</v>
      </c>
      <c r="S154" s="4" t="s">
        <v>821</v>
      </c>
    </row>
    <row r="155" spans="1:20" ht="15.75" customHeight="1" x14ac:dyDescent="0.3">
      <c r="A155" s="84" t="s">
        <v>827</v>
      </c>
      <c r="B155" s="1"/>
      <c r="C155" s="1"/>
      <c r="D155" s="1"/>
      <c r="E155" s="55">
        <f t="shared" si="25"/>
        <v>0</v>
      </c>
      <c r="F155" s="1">
        <v>121</v>
      </c>
      <c r="G155" s="1">
        <v>139</v>
      </c>
      <c r="H155" s="1">
        <v>133</v>
      </c>
      <c r="I155" s="55">
        <f t="shared" si="26"/>
        <v>393</v>
      </c>
      <c r="J155" s="1">
        <v>149</v>
      </c>
      <c r="K155" s="1">
        <v>801</v>
      </c>
      <c r="L155" s="1">
        <v>160</v>
      </c>
      <c r="M155" s="55">
        <f t="shared" si="27"/>
        <v>1110</v>
      </c>
      <c r="N155" s="1">
        <v>97</v>
      </c>
      <c r="O155" s="1"/>
      <c r="P155" s="1"/>
      <c r="Q155" s="55">
        <f t="shared" si="28"/>
        <v>97</v>
      </c>
      <c r="R155" s="55">
        <f t="shared" si="24"/>
        <v>1600</v>
      </c>
      <c r="T155" s="4" t="s">
        <v>812</v>
      </c>
    </row>
    <row r="156" spans="1:20" ht="15.75" customHeight="1" x14ac:dyDescent="0.3">
      <c r="A156" s="71" t="s">
        <v>828</v>
      </c>
      <c r="B156" s="1">
        <v>74</v>
      </c>
      <c r="C156" s="1">
        <v>96</v>
      </c>
      <c r="D156" s="1">
        <v>359</v>
      </c>
      <c r="E156" s="55">
        <f t="shared" si="25"/>
        <v>529</v>
      </c>
      <c r="F156" s="1">
        <v>412</v>
      </c>
      <c r="G156" s="1">
        <v>611</v>
      </c>
      <c r="H156" s="1">
        <v>418</v>
      </c>
      <c r="I156" s="55">
        <f t="shared" si="26"/>
        <v>1441</v>
      </c>
      <c r="J156" s="1">
        <v>398</v>
      </c>
      <c r="K156" s="1">
        <v>435</v>
      </c>
      <c r="L156" s="1">
        <v>541</v>
      </c>
      <c r="M156" s="55">
        <f t="shared" si="27"/>
        <v>1374</v>
      </c>
      <c r="N156" s="1">
        <v>542</v>
      </c>
      <c r="O156" s="1">
        <v>466</v>
      </c>
      <c r="P156" s="1">
        <v>414</v>
      </c>
      <c r="Q156" s="55">
        <f t="shared" si="28"/>
        <v>1422</v>
      </c>
      <c r="R156" s="55">
        <f t="shared" si="24"/>
        <v>4766</v>
      </c>
      <c r="T156" s="4" t="s">
        <v>829</v>
      </c>
    </row>
    <row r="157" spans="1:20" ht="15.75" customHeight="1" x14ac:dyDescent="0.3">
      <c r="A157" s="84" t="s">
        <v>830</v>
      </c>
      <c r="B157" s="1"/>
      <c r="C157" s="1"/>
      <c r="D157" s="1"/>
      <c r="E157" s="55">
        <f t="shared" si="25"/>
        <v>0</v>
      </c>
      <c r="F157" s="1"/>
      <c r="G157" s="1"/>
      <c r="H157" s="1"/>
      <c r="I157" s="55">
        <f t="shared" si="26"/>
        <v>0</v>
      </c>
      <c r="J157" s="1">
        <v>508</v>
      </c>
      <c r="K157" s="1"/>
      <c r="L157" s="1"/>
      <c r="M157" s="55">
        <f t="shared" si="27"/>
        <v>508</v>
      </c>
      <c r="N157" s="1"/>
      <c r="O157" s="1"/>
      <c r="P157" s="1"/>
      <c r="Q157" s="55">
        <f t="shared" si="28"/>
        <v>0</v>
      </c>
      <c r="R157" s="55">
        <f t="shared" si="24"/>
        <v>508</v>
      </c>
      <c r="T157" s="4" t="s">
        <v>819</v>
      </c>
    </row>
    <row r="158" spans="1:20" ht="15.75" customHeight="1" x14ac:dyDescent="0.3">
      <c r="A158" s="72" t="s">
        <v>1190</v>
      </c>
      <c r="B158" s="1"/>
      <c r="C158" s="1"/>
      <c r="D158" s="1"/>
      <c r="E158" s="55">
        <f t="shared" si="25"/>
        <v>0</v>
      </c>
      <c r="F158" s="1"/>
      <c r="G158" s="1"/>
      <c r="H158" s="1"/>
      <c r="I158" s="55">
        <f t="shared" si="26"/>
        <v>0</v>
      </c>
      <c r="J158" s="1"/>
      <c r="K158" s="1"/>
      <c r="L158" s="1">
        <v>55</v>
      </c>
      <c r="M158" s="55">
        <f t="shared" si="27"/>
        <v>55</v>
      </c>
      <c r="N158" s="1"/>
      <c r="O158" s="1"/>
      <c r="P158" s="1"/>
      <c r="Q158" s="55">
        <f t="shared" si="28"/>
        <v>0</v>
      </c>
      <c r="R158" s="55">
        <f t="shared" si="24"/>
        <v>55</v>
      </c>
    </row>
    <row r="159" spans="1:20" ht="15.75" customHeight="1" x14ac:dyDescent="0.3">
      <c r="A159" s="71" t="s">
        <v>831</v>
      </c>
      <c r="B159" s="1"/>
      <c r="C159" s="1"/>
      <c r="D159" s="1"/>
      <c r="E159" s="55">
        <f t="shared" ref="E159:E180" si="29">SUM(B159:D159)</f>
        <v>0</v>
      </c>
      <c r="F159" s="1"/>
      <c r="G159" s="1"/>
      <c r="H159" s="1"/>
      <c r="I159" s="55">
        <f t="shared" si="26"/>
        <v>0</v>
      </c>
      <c r="J159" s="1"/>
      <c r="K159" s="1">
        <v>800</v>
      </c>
      <c r="L159" s="1">
        <v>700</v>
      </c>
      <c r="M159" s="55">
        <f t="shared" si="27"/>
        <v>1500</v>
      </c>
      <c r="N159" s="1">
        <v>600</v>
      </c>
      <c r="O159" s="1">
        <v>300</v>
      </c>
      <c r="P159" s="1"/>
      <c r="Q159" s="55">
        <f t="shared" si="28"/>
        <v>900</v>
      </c>
      <c r="R159" s="55">
        <f t="shared" si="24"/>
        <v>2400</v>
      </c>
      <c r="S159" s="4" t="s">
        <v>821</v>
      </c>
      <c r="T159" s="4" t="s">
        <v>822</v>
      </c>
    </row>
    <row r="160" spans="1:20" s="123" customFormat="1" ht="15.75" customHeight="1" x14ac:dyDescent="0.3">
      <c r="A160" s="289" t="s">
        <v>697</v>
      </c>
      <c r="B160" s="1"/>
      <c r="C160" s="1"/>
      <c r="D160" s="1"/>
      <c r="E160" s="113">
        <f t="shared" si="29"/>
        <v>0</v>
      </c>
      <c r="F160" s="1"/>
      <c r="G160" s="1"/>
      <c r="H160" s="1"/>
      <c r="I160" s="113">
        <f t="shared" si="26"/>
        <v>0</v>
      </c>
      <c r="J160" s="1"/>
      <c r="K160" s="1"/>
      <c r="L160" s="1"/>
      <c r="M160" s="113">
        <f t="shared" si="27"/>
        <v>0</v>
      </c>
      <c r="N160" s="1"/>
      <c r="O160" s="1"/>
      <c r="P160" s="1"/>
      <c r="Q160" s="113">
        <f t="shared" si="28"/>
        <v>0</v>
      </c>
      <c r="R160" s="113">
        <f t="shared" si="24"/>
        <v>0</v>
      </c>
    </row>
    <row r="161" spans="1:20" ht="15.75" customHeight="1" x14ac:dyDescent="0.3">
      <c r="A161" s="71" t="s">
        <v>698</v>
      </c>
      <c r="B161" s="1"/>
      <c r="C161" s="1"/>
      <c r="D161" s="1"/>
      <c r="E161" s="55">
        <f t="shared" si="29"/>
        <v>0</v>
      </c>
      <c r="F161" s="1">
        <v>1276</v>
      </c>
      <c r="G161" s="1">
        <v>1353</v>
      </c>
      <c r="H161" s="1">
        <v>1554</v>
      </c>
      <c r="I161" s="55">
        <f t="shared" si="26"/>
        <v>4183</v>
      </c>
      <c r="J161" s="1">
        <v>1400</v>
      </c>
      <c r="K161" s="1">
        <v>1361</v>
      </c>
      <c r="L161" s="1">
        <v>1252</v>
      </c>
      <c r="M161" s="55">
        <f t="shared" si="27"/>
        <v>4013</v>
      </c>
      <c r="N161" s="1">
        <v>1256</v>
      </c>
      <c r="O161" s="1">
        <v>1133</v>
      </c>
      <c r="P161" s="1">
        <v>1125</v>
      </c>
      <c r="Q161" s="55">
        <f t="shared" si="28"/>
        <v>3514</v>
      </c>
      <c r="R161" s="55">
        <f>+E161+I161+M161+Q161</f>
        <v>11710</v>
      </c>
      <c r="T161" s="4" t="s">
        <v>832</v>
      </c>
    </row>
    <row r="162" spans="1:20" ht="15.75" customHeight="1" x14ac:dyDescent="0.3">
      <c r="A162" s="84" t="s">
        <v>833</v>
      </c>
      <c r="B162" s="1"/>
      <c r="C162" s="1"/>
      <c r="D162" s="1"/>
      <c r="E162" s="55">
        <f t="shared" si="29"/>
        <v>0</v>
      </c>
      <c r="F162" s="1"/>
      <c r="G162" s="1">
        <v>300</v>
      </c>
      <c r="H162" s="1">
        <v>500</v>
      </c>
      <c r="I162" s="55">
        <f t="shared" si="26"/>
        <v>800</v>
      </c>
      <c r="J162" s="1">
        <v>500</v>
      </c>
      <c r="K162" s="1">
        <v>500</v>
      </c>
      <c r="L162" s="1"/>
      <c r="M162" s="55">
        <f t="shared" si="27"/>
        <v>1000</v>
      </c>
      <c r="N162" s="1"/>
      <c r="O162" s="1"/>
      <c r="P162" s="1"/>
      <c r="Q162" s="55">
        <f t="shared" si="28"/>
        <v>0</v>
      </c>
      <c r="R162" s="55">
        <f t="shared" ref="R162:R168" si="30">+E162+I162+M162+Q162</f>
        <v>1800</v>
      </c>
      <c r="T162" s="4" t="s">
        <v>812</v>
      </c>
    </row>
    <row r="163" spans="1:20" ht="15.75" customHeight="1" x14ac:dyDescent="0.3">
      <c r="A163" s="84" t="s">
        <v>834</v>
      </c>
      <c r="B163" s="1"/>
      <c r="C163" s="1"/>
      <c r="D163" s="1"/>
      <c r="E163" s="55">
        <f t="shared" si="29"/>
        <v>0</v>
      </c>
      <c r="F163" s="1"/>
      <c r="G163" s="1"/>
      <c r="H163" s="1">
        <v>694</v>
      </c>
      <c r="I163" s="55">
        <f t="shared" si="26"/>
        <v>694</v>
      </c>
      <c r="J163" s="1">
        <v>1251</v>
      </c>
      <c r="K163" s="1">
        <v>294</v>
      </c>
      <c r="L163" s="1"/>
      <c r="M163" s="55">
        <f t="shared" si="27"/>
        <v>1545</v>
      </c>
      <c r="N163" s="1">
        <v>206</v>
      </c>
      <c r="O163" s="1"/>
      <c r="P163" s="1"/>
      <c r="Q163" s="55">
        <f t="shared" si="28"/>
        <v>206</v>
      </c>
      <c r="R163" s="55">
        <f t="shared" si="30"/>
        <v>2445</v>
      </c>
      <c r="T163" s="4" t="s">
        <v>819</v>
      </c>
    </row>
    <row r="164" spans="1:20" ht="15.75" customHeight="1" x14ac:dyDescent="0.3">
      <c r="A164" s="84" t="s">
        <v>1191</v>
      </c>
      <c r="B164" s="1"/>
      <c r="C164" s="1"/>
      <c r="D164" s="1"/>
      <c r="E164" s="55">
        <f t="shared" si="29"/>
        <v>0</v>
      </c>
      <c r="F164" s="1"/>
      <c r="G164" s="1"/>
      <c r="H164" s="1"/>
      <c r="I164" s="55">
        <f t="shared" si="26"/>
        <v>0</v>
      </c>
      <c r="J164" s="1"/>
      <c r="K164" s="1"/>
      <c r="L164" s="1"/>
      <c r="M164" s="55">
        <f t="shared" si="27"/>
        <v>0</v>
      </c>
      <c r="N164" s="1"/>
      <c r="O164" s="1">
        <v>300</v>
      </c>
      <c r="P164" s="1"/>
      <c r="Q164" s="55">
        <f t="shared" ref="Q164" si="31">SUM(N164:P164)</f>
        <v>300</v>
      </c>
      <c r="R164" s="55">
        <f t="shared" si="30"/>
        <v>300</v>
      </c>
    </row>
    <row r="165" spans="1:20" ht="15.75" customHeight="1" x14ac:dyDescent="0.3">
      <c r="A165" s="71" t="s">
        <v>835</v>
      </c>
      <c r="B165" s="1"/>
      <c r="C165" s="1"/>
      <c r="D165" s="1"/>
      <c r="E165" s="55">
        <f t="shared" si="29"/>
        <v>0</v>
      </c>
      <c r="F165" s="1"/>
      <c r="G165" s="1"/>
      <c r="H165" s="1"/>
      <c r="I165" s="55">
        <f t="shared" si="26"/>
        <v>0</v>
      </c>
      <c r="J165" s="1"/>
      <c r="K165" s="1"/>
      <c r="L165" s="1">
        <v>531</v>
      </c>
      <c r="M165" s="55">
        <f t="shared" si="27"/>
        <v>531</v>
      </c>
      <c r="N165" s="1"/>
      <c r="O165" s="1"/>
      <c r="P165" s="1"/>
      <c r="Q165" s="55">
        <f t="shared" si="28"/>
        <v>0</v>
      </c>
      <c r="R165" s="55">
        <f t="shared" si="30"/>
        <v>531</v>
      </c>
      <c r="S165" s="465" t="s">
        <v>821</v>
      </c>
      <c r="T165" s="4" t="s">
        <v>836</v>
      </c>
    </row>
    <row r="166" spans="1:20" ht="15.75" customHeight="1" x14ac:dyDescent="0.3">
      <c r="A166" s="84" t="s">
        <v>837</v>
      </c>
      <c r="B166" s="1"/>
      <c r="C166" s="1"/>
      <c r="D166" s="1"/>
      <c r="E166" s="55">
        <f t="shared" si="29"/>
        <v>0</v>
      </c>
      <c r="F166" s="1"/>
      <c r="G166" s="1"/>
      <c r="H166" s="1"/>
      <c r="I166" s="55">
        <f t="shared" si="26"/>
        <v>0</v>
      </c>
      <c r="J166" s="1"/>
      <c r="K166" s="1"/>
      <c r="L166" s="1"/>
      <c r="M166" s="55">
        <f t="shared" si="27"/>
        <v>0</v>
      </c>
      <c r="N166" s="1"/>
      <c r="O166" s="1"/>
      <c r="P166" s="1"/>
      <c r="Q166" s="55">
        <f t="shared" si="28"/>
        <v>0</v>
      </c>
      <c r="R166" s="55">
        <f t="shared" si="30"/>
        <v>0</v>
      </c>
      <c r="T166" s="4" t="s">
        <v>818</v>
      </c>
    </row>
    <row r="167" spans="1:20" ht="15.75" customHeight="1" x14ac:dyDescent="0.3">
      <c r="A167" s="84" t="s">
        <v>838</v>
      </c>
      <c r="B167" s="1"/>
      <c r="C167" s="1"/>
      <c r="D167" s="1"/>
      <c r="E167" s="55">
        <f t="shared" si="29"/>
        <v>0</v>
      </c>
      <c r="F167" s="1"/>
      <c r="G167" s="1">
        <v>1744</v>
      </c>
      <c r="H167" s="1"/>
      <c r="I167" s="55">
        <f t="shared" si="26"/>
        <v>1744</v>
      </c>
      <c r="J167" s="1"/>
      <c r="K167" s="1"/>
      <c r="L167" s="1"/>
      <c r="M167" s="55">
        <f t="shared" si="27"/>
        <v>0</v>
      </c>
      <c r="N167" s="1"/>
      <c r="O167" s="1"/>
      <c r="P167" s="1"/>
      <c r="Q167" s="55">
        <f t="shared" si="28"/>
        <v>0</v>
      </c>
      <c r="R167" s="55">
        <f t="shared" si="30"/>
        <v>1744</v>
      </c>
      <c r="T167" s="4" t="s">
        <v>819</v>
      </c>
    </row>
    <row r="168" spans="1:20" ht="15.75" customHeight="1" x14ac:dyDescent="0.3">
      <c r="A168" s="71" t="s">
        <v>120</v>
      </c>
      <c r="B168" s="1">
        <v>6</v>
      </c>
      <c r="C168" s="1">
        <v>16</v>
      </c>
      <c r="D168" s="1">
        <v>31</v>
      </c>
      <c r="E168" s="55">
        <f t="shared" si="29"/>
        <v>53</v>
      </c>
      <c r="F168" s="1">
        <v>61</v>
      </c>
      <c r="G168" s="1">
        <v>45</v>
      </c>
      <c r="H168" s="1">
        <v>54</v>
      </c>
      <c r="I168" s="55">
        <f t="shared" si="26"/>
        <v>160</v>
      </c>
      <c r="J168" s="1">
        <v>12</v>
      </c>
      <c r="K168" s="1"/>
      <c r="L168" s="1">
        <v>8</v>
      </c>
      <c r="M168" s="55">
        <f t="shared" si="27"/>
        <v>20</v>
      </c>
      <c r="N168" s="1">
        <v>55</v>
      </c>
      <c r="O168" s="1">
        <v>55</v>
      </c>
      <c r="P168" s="1">
        <v>23</v>
      </c>
      <c r="Q168" s="55">
        <f t="shared" si="28"/>
        <v>133</v>
      </c>
      <c r="R168" s="55">
        <f t="shared" si="30"/>
        <v>366</v>
      </c>
      <c r="T168" s="4" t="s">
        <v>406</v>
      </c>
    </row>
    <row r="169" spans="1:20" ht="15.75" customHeight="1" x14ac:dyDescent="0.3">
      <c r="A169" s="84" t="s">
        <v>839</v>
      </c>
      <c r="B169" s="1"/>
      <c r="C169" s="1"/>
      <c r="D169" s="1"/>
      <c r="E169" s="55">
        <f t="shared" si="29"/>
        <v>0</v>
      </c>
      <c r="F169" s="1"/>
      <c r="G169" s="1"/>
      <c r="H169" s="1">
        <v>2163</v>
      </c>
      <c r="I169" s="55">
        <f t="shared" si="26"/>
        <v>2163</v>
      </c>
      <c r="J169" s="1">
        <v>1102</v>
      </c>
      <c r="K169" s="1"/>
      <c r="L169" s="1">
        <v>923</v>
      </c>
      <c r="M169" s="55">
        <f t="shared" si="27"/>
        <v>2025</v>
      </c>
      <c r="N169" s="1">
        <v>954</v>
      </c>
      <c r="O169" s="1"/>
      <c r="P169" s="1"/>
      <c r="Q169" s="55">
        <f t="shared" si="28"/>
        <v>954</v>
      </c>
      <c r="R169" s="55">
        <f t="shared" si="24"/>
        <v>5142</v>
      </c>
      <c r="T169" s="4" t="s">
        <v>818</v>
      </c>
    </row>
    <row r="170" spans="1:20" ht="15.75" customHeight="1" x14ac:dyDescent="0.3">
      <c r="A170" s="84" t="s">
        <v>840</v>
      </c>
      <c r="B170" s="1"/>
      <c r="C170" s="1"/>
      <c r="D170" s="1"/>
      <c r="E170" s="55">
        <f t="shared" si="29"/>
        <v>0</v>
      </c>
      <c r="F170" s="1"/>
      <c r="G170" s="1"/>
      <c r="H170" s="1">
        <v>562</v>
      </c>
      <c r="I170" s="55">
        <f t="shared" si="26"/>
        <v>562</v>
      </c>
      <c r="J170" s="1"/>
      <c r="K170" s="1"/>
      <c r="L170" s="1"/>
      <c r="M170" s="55">
        <f t="shared" si="27"/>
        <v>0</v>
      </c>
      <c r="N170" s="1"/>
      <c r="O170" s="1"/>
      <c r="P170" s="1"/>
      <c r="Q170" s="55">
        <f t="shared" si="28"/>
        <v>0</v>
      </c>
      <c r="R170" s="55">
        <f t="shared" si="24"/>
        <v>562</v>
      </c>
      <c r="T170" s="4" t="s">
        <v>819</v>
      </c>
    </row>
    <row r="171" spans="1:20" ht="15.75" customHeight="1" x14ac:dyDescent="0.3">
      <c r="A171" s="84" t="s">
        <v>841</v>
      </c>
      <c r="B171" s="1"/>
      <c r="C171" s="1"/>
      <c r="D171" s="1"/>
      <c r="E171" s="55">
        <f t="shared" si="29"/>
        <v>0</v>
      </c>
      <c r="F171" s="1"/>
      <c r="G171" s="1"/>
      <c r="H171" s="1">
        <v>84</v>
      </c>
      <c r="I171" s="55">
        <f>SUM(F171:H171)</f>
        <v>84</v>
      </c>
      <c r="J171" s="1">
        <v>73</v>
      </c>
      <c r="K171" s="1">
        <v>64</v>
      </c>
      <c r="L171" s="1">
        <v>64</v>
      </c>
      <c r="M171" s="55">
        <f t="shared" si="27"/>
        <v>201</v>
      </c>
      <c r="N171" s="1">
        <v>105</v>
      </c>
      <c r="O171" s="1">
        <v>49</v>
      </c>
      <c r="P171" s="1">
        <v>36</v>
      </c>
      <c r="Q171" s="55">
        <f t="shared" si="28"/>
        <v>190</v>
      </c>
      <c r="R171" s="55">
        <f t="shared" si="24"/>
        <v>475</v>
      </c>
      <c r="T171" s="4" t="s">
        <v>842</v>
      </c>
    </row>
    <row r="172" spans="1:20" ht="15.75" customHeight="1" x14ac:dyDescent="0.3">
      <c r="A172" s="84" t="s">
        <v>843</v>
      </c>
      <c r="B172" s="1"/>
      <c r="C172" s="1"/>
      <c r="D172" s="1"/>
      <c r="E172" s="55">
        <f t="shared" si="29"/>
        <v>0</v>
      </c>
      <c r="F172" s="1"/>
      <c r="G172" s="1">
        <v>54</v>
      </c>
      <c r="H172" s="1">
        <v>101</v>
      </c>
      <c r="I172" s="55">
        <f t="shared" si="26"/>
        <v>155</v>
      </c>
      <c r="J172" s="1">
        <v>119</v>
      </c>
      <c r="K172" s="1">
        <v>69</v>
      </c>
      <c r="L172" s="1">
        <v>45</v>
      </c>
      <c r="M172" s="55">
        <f t="shared" si="27"/>
        <v>233</v>
      </c>
      <c r="N172" s="1">
        <v>56</v>
      </c>
      <c r="O172" s="1">
        <v>17</v>
      </c>
      <c r="P172" s="1">
        <v>1</v>
      </c>
      <c r="Q172" s="55">
        <f t="shared" si="28"/>
        <v>74</v>
      </c>
      <c r="R172" s="55">
        <f t="shared" si="24"/>
        <v>462</v>
      </c>
      <c r="T172" s="4" t="s">
        <v>406</v>
      </c>
    </row>
    <row r="173" spans="1:20" ht="15.75" customHeight="1" x14ac:dyDescent="0.3">
      <c r="A173" s="84" t="s">
        <v>844</v>
      </c>
      <c r="B173" s="1"/>
      <c r="C173" s="1"/>
      <c r="D173" s="1"/>
      <c r="E173" s="55">
        <f t="shared" si="29"/>
        <v>0</v>
      </c>
      <c r="F173" s="1"/>
      <c r="G173" s="1">
        <v>12</v>
      </c>
      <c r="H173" s="1">
        <v>20</v>
      </c>
      <c r="I173" s="55">
        <f t="shared" si="26"/>
        <v>32</v>
      </c>
      <c r="J173" s="1">
        <v>19</v>
      </c>
      <c r="K173" s="1">
        <v>29</v>
      </c>
      <c r="L173" s="1">
        <v>73</v>
      </c>
      <c r="M173" s="55">
        <f t="shared" si="27"/>
        <v>121</v>
      </c>
      <c r="N173" s="1">
        <v>47</v>
      </c>
      <c r="O173" s="1">
        <v>3</v>
      </c>
      <c r="P173" s="1">
        <v>2</v>
      </c>
      <c r="Q173" s="55">
        <f t="shared" si="28"/>
        <v>52</v>
      </c>
      <c r="R173" s="55">
        <f t="shared" si="24"/>
        <v>205</v>
      </c>
      <c r="T173" s="4" t="s">
        <v>812</v>
      </c>
    </row>
    <row r="174" spans="1:20" ht="15.75" customHeight="1" x14ac:dyDescent="0.3">
      <c r="A174" s="71" t="s">
        <v>845</v>
      </c>
      <c r="B174" s="1"/>
      <c r="C174" s="1"/>
      <c r="D174" s="1"/>
      <c r="E174" s="55">
        <f t="shared" si="29"/>
        <v>0</v>
      </c>
      <c r="F174" s="1"/>
      <c r="G174" s="1">
        <v>937</v>
      </c>
      <c r="H174" s="1">
        <v>959</v>
      </c>
      <c r="I174" s="55">
        <f t="shared" si="26"/>
        <v>1896</v>
      </c>
      <c r="J174" s="1">
        <v>968</v>
      </c>
      <c r="K174" s="1">
        <v>960</v>
      </c>
      <c r="L174" s="1">
        <v>897</v>
      </c>
      <c r="M174" s="55">
        <f t="shared" si="27"/>
        <v>2825</v>
      </c>
      <c r="N174" s="1">
        <v>865</v>
      </c>
      <c r="O174" s="1">
        <v>845</v>
      </c>
      <c r="P174" s="1">
        <v>727</v>
      </c>
      <c r="Q174" s="55">
        <f t="shared" si="28"/>
        <v>2437</v>
      </c>
      <c r="R174" s="55">
        <f t="shared" si="24"/>
        <v>7158</v>
      </c>
      <c r="T174" s="4" t="s">
        <v>832</v>
      </c>
    </row>
    <row r="175" spans="1:20" ht="15.75" customHeight="1" x14ac:dyDescent="0.3">
      <c r="A175" s="71" t="s">
        <v>846</v>
      </c>
      <c r="B175" s="1"/>
      <c r="C175" s="1"/>
      <c r="D175" s="1"/>
      <c r="E175" s="55">
        <f t="shared" si="29"/>
        <v>0</v>
      </c>
      <c r="F175" s="1"/>
      <c r="G175" s="1"/>
      <c r="H175" s="1"/>
      <c r="I175" s="55">
        <f t="shared" si="26"/>
        <v>0</v>
      </c>
      <c r="J175" s="1">
        <v>1996</v>
      </c>
      <c r="K175" s="1"/>
      <c r="L175" s="1"/>
      <c r="M175" s="55">
        <f t="shared" si="27"/>
        <v>1996</v>
      </c>
      <c r="N175" s="1"/>
      <c r="O175" s="1"/>
      <c r="P175" s="1"/>
      <c r="Q175" s="55">
        <f t="shared" si="28"/>
        <v>0</v>
      </c>
      <c r="R175" s="55">
        <f t="shared" si="24"/>
        <v>1996</v>
      </c>
      <c r="S175" s="465" t="s">
        <v>821</v>
      </c>
      <c r="T175" s="4" t="s">
        <v>822</v>
      </c>
    </row>
    <row r="176" spans="1:20" ht="15.75" customHeight="1" x14ac:dyDescent="0.3">
      <c r="A176" s="71" t="s">
        <v>847</v>
      </c>
      <c r="B176" s="1"/>
      <c r="C176" s="1"/>
      <c r="D176" s="1"/>
      <c r="E176" s="55">
        <f t="shared" si="29"/>
        <v>0</v>
      </c>
      <c r="F176" s="1"/>
      <c r="G176" s="1"/>
      <c r="H176" s="1"/>
      <c r="I176" s="55">
        <f t="shared" si="26"/>
        <v>0</v>
      </c>
      <c r="J176" s="1"/>
      <c r="K176" s="1"/>
      <c r="L176" s="1"/>
      <c r="M176" s="55">
        <f t="shared" si="27"/>
        <v>0</v>
      </c>
      <c r="N176" s="1"/>
      <c r="O176" s="1"/>
      <c r="P176" s="1"/>
      <c r="Q176" s="55">
        <f t="shared" si="28"/>
        <v>0</v>
      </c>
      <c r="R176" s="55">
        <f t="shared" si="24"/>
        <v>0</v>
      </c>
      <c r="T176" s="4" t="s">
        <v>822</v>
      </c>
    </row>
    <row r="177" spans="1:20" ht="15.75" customHeight="1" x14ac:dyDescent="0.3">
      <c r="A177" s="71" t="s">
        <v>122</v>
      </c>
      <c r="B177" s="1">
        <v>7102</v>
      </c>
      <c r="C177" s="1">
        <v>5944</v>
      </c>
      <c r="D177" s="1">
        <v>3856</v>
      </c>
      <c r="E177" s="55">
        <f t="shared" si="29"/>
        <v>16902</v>
      </c>
      <c r="F177" s="1">
        <v>1351</v>
      </c>
      <c r="G177" s="1"/>
      <c r="H177" s="1">
        <v>11904</v>
      </c>
      <c r="I177" s="55">
        <f t="shared" si="26"/>
        <v>13255</v>
      </c>
      <c r="J177" s="1">
        <v>12255</v>
      </c>
      <c r="K177" s="1">
        <v>11593</v>
      </c>
      <c r="L177" s="1">
        <v>12467</v>
      </c>
      <c r="M177" s="55">
        <f t="shared" si="27"/>
        <v>36315</v>
      </c>
      <c r="N177" s="1">
        <f>11498+1+2551+2+82</f>
        <v>14134</v>
      </c>
      <c r="O177" s="1">
        <f>8207+1+2908+2+82</f>
        <v>11200</v>
      </c>
      <c r="P177" s="1">
        <f>8949+1+2443+2+23</f>
        <v>11418</v>
      </c>
      <c r="Q177" s="55">
        <f t="shared" si="28"/>
        <v>36752</v>
      </c>
      <c r="R177" s="55">
        <f t="shared" si="24"/>
        <v>103224</v>
      </c>
      <c r="S177" s="4" t="s">
        <v>821</v>
      </c>
    </row>
    <row r="178" spans="1:20" ht="15.75" customHeight="1" x14ac:dyDescent="0.3">
      <c r="A178" s="71" t="s">
        <v>848</v>
      </c>
      <c r="B178" s="1">
        <v>1611</v>
      </c>
      <c r="C178" s="1"/>
      <c r="D178" s="1"/>
      <c r="E178" s="55">
        <f t="shared" si="29"/>
        <v>1611</v>
      </c>
      <c r="F178" s="1"/>
      <c r="G178" s="1"/>
      <c r="H178" s="1">
        <v>3075</v>
      </c>
      <c r="I178" s="55">
        <f t="shared" si="26"/>
        <v>3075</v>
      </c>
      <c r="J178" s="1">
        <v>3041</v>
      </c>
      <c r="K178" s="1">
        <f>4392+1434</f>
        <v>5826</v>
      </c>
      <c r="L178" s="1">
        <f>1581</f>
        <v>1581</v>
      </c>
      <c r="M178" s="55">
        <f t="shared" si="27"/>
        <v>10448</v>
      </c>
      <c r="N178" s="1">
        <v>239</v>
      </c>
      <c r="O178" s="1">
        <v>296</v>
      </c>
      <c r="P178" s="1">
        <f>852+611</f>
        <v>1463</v>
      </c>
      <c r="Q178" s="55">
        <f t="shared" si="28"/>
        <v>1998</v>
      </c>
      <c r="R178" s="55">
        <f>+E178+I178+M178+Q178</f>
        <v>17132</v>
      </c>
      <c r="S178" s="465"/>
      <c r="T178" s="4" t="s">
        <v>822</v>
      </c>
    </row>
    <row r="179" spans="1:20" ht="15.75" customHeight="1" x14ac:dyDescent="0.3">
      <c r="A179" s="71" t="s">
        <v>849</v>
      </c>
      <c r="B179" s="1">
        <v>25</v>
      </c>
      <c r="C179" s="1">
        <v>17</v>
      </c>
      <c r="D179" s="1"/>
      <c r="E179" s="55">
        <f t="shared" si="29"/>
        <v>42</v>
      </c>
      <c r="F179" s="1">
        <v>35</v>
      </c>
      <c r="G179" s="1">
        <v>35</v>
      </c>
      <c r="H179" s="1">
        <v>35</v>
      </c>
      <c r="I179" s="55">
        <f t="shared" si="26"/>
        <v>105</v>
      </c>
      <c r="J179" s="1">
        <v>35</v>
      </c>
      <c r="K179" s="1">
        <v>35</v>
      </c>
      <c r="L179" s="1">
        <v>35</v>
      </c>
      <c r="M179" s="55">
        <f t="shared" si="27"/>
        <v>105</v>
      </c>
      <c r="N179" s="1">
        <v>51</v>
      </c>
      <c r="O179" s="1">
        <v>35</v>
      </c>
      <c r="P179" s="1">
        <v>19</v>
      </c>
      <c r="Q179" s="55">
        <f t="shared" si="28"/>
        <v>105</v>
      </c>
      <c r="R179" s="55">
        <f t="shared" si="24"/>
        <v>357</v>
      </c>
      <c r="S179" s="4" t="s">
        <v>821</v>
      </c>
      <c r="T179" s="4" t="s">
        <v>822</v>
      </c>
    </row>
    <row r="180" spans="1:20" ht="15.75" customHeight="1" x14ac:dyDescent="0.3">
      <c r="A180" s="71" t="s">
        <v>124</v>
      </c>
      <c r="B180" s="1">
        <v>3283</v>
      </c>
      <c r="C180" s="1"/>
      <c r="D180" s="1"/>
      <c r="E180" s="55">
        <f t="shared" si="29"/>
        <v>3283</v>
      </c>
      <c r="F180" s="1"/>
      <c r="G180" s="1">
        <f>119+5994+50</f>
        <v>6163</v>
      </c>
      <c r="H180" s="1">
        <f>136+852+5835+62</f>
        <v>6885</v>
      </c>
      <c r="I180" s="55">
        <f t="shared" si="26"/>
        <v>13048</v>
      </c>
      <c r="J180" s="1">
        <f>134+605+5761+37</f>
        <v>6537</v>
      </c>
      <c r="K180" s="1">
        <f>137+516+4927+29</f>
        <v>5609</v>
      </c>
      <c r="L180" s="1">
        <f>108+460+4440+50</f>
        <v>5058</v>
      </c>
      <c r="M180" s="55">
        <f t="shared" si="27"/>
        <v>17204</v>
      </c>
      <c r="N180" s="1">
        <f>73+511+4979+70</f>
        <v>5633</v>
      </c>
      <c r="O180" s="1">
        <f>23+36+4136+22</f>
        <v>4217</v>
      </c>
      <c r="P180" s="1">
        <f>20+120+3727+19</f>
        <v>3886</v>
      </c>
      <c r="Q180" s="55">
        <f t="shared" si="28"/>
        <v>13736</v>
      </c>
      <c r="R180" s="55">
        <f>+E180+I180+M180+Q180</f>
        <v>47271</v>
      </c>
    </row>
    <row r="181" spans="1:20" ht="15.75" customHeight="1" x14ac:dyDescent="0.3">
      <c r="A181" s="71" t="s">
        <v>850</v>
      </c>
      <c r="B181" s="1"/>
      <c r="C181" s="1"/>
      <c r="D181" s="1"/>
      <c r="E181" s="55">
        <f t="shared" ref="E181:E187" si="32">SUM(B181:D181)</f>
        <v>0</v>
      </c>
      <c r="F181" s="1"/>
      <c r="G181" s="1">
        <v>56</v>
      </c>
      <c r="H181" s="1">
        <v>288</v>
      </c>
      <c r="I181" s="55">
        <f t="shared" si="26"/>
        <v>344</v>
      </c>
      <c r="J181" s="1">
        <f>289+2661</f>
        <v>2950</v>
      </c>
      <c r="K181" s="1">
        <v>183</v>
      </c>
      <c r="L181" s="1">
        <v>202</v>
      </c>
      <c r="M181" s="55">
        <f t="shared" si="27"/>
        <v>3335</v>
      </c>
      <c r="N181" s="1"/>
      <c r="O181" s="1"/>
      <c r="P181" s="1"/>
      <c r="Q181" s="55">
        <f t="shared" si="28"/>
        <v>0</v>
      </c>
      <c r="R181" s="55">
        <f t="shared" si="24"/>
        <v>3679</v>
      </c>
      <c r="S181" s="4" t="s">
        <v>821</v>
      </c>
    </row>
    <row r="182" spans="1:20" ht="15.75" customHeight="1" x14ac:dyDescent="0.3">
      <c r="A182" s="84" t="s">
        <v>851</v>
      </c>
      <c r="B182" s="1"/>
      <c r="C182" s="1"/>
      <c r="D182" s="1"/>
      <c r="E182" s="55">
        <f t="shared" si="32"/>
        <v>0</v>
      </c>
      <c r="F182" s="1"/>
      <c r="G182" s="1"/>
      <c r="H182" s="1"/>
      <c r="I182" s="55">
        <f t="shared" ref="I182:I187" si="33">SUM(F182:H182)</f>
        <v>0</v>
      </c>
      <c r="J182" s="1"/>
      <c r="K182" s="1"/>
      <c r="L182" s="1"/>
      <c r="M182" s="55">
        <f t="shared" ref="M182:M187" si="34">SUM(J182:L182)</f>
        <v>0</v>
      </c>
      <c r="N182" s="1"/>
      <c r="O182" s="1"/>
      <c r="P182" s="1"/>
      <c r="Q182" s="55">
        <f t="shared" si="28"/>
        <v>0</v>
      </c>
      <c r="R182" s="55">
        <f t="shared" si="24"/>
        <v>0</v>
      </c>
      <c r="T182" s="4" t="s">
        <v>818</v>
      </c>
    </row>
    <row r="183" spans="1:20" ht="15.75" customHeight="1" x14ac:dyDescent="0.3">
      <c r="A183" s="84" t="s">
        <v>852</v>
      </c>
      <c r="B183" s="1"/>
      <c r="C183" s="1"/>
      <c r="D183" s="1"/>
      <c r="E183" s="55">
        <f t="shared" si="32"/>
        <v>0</v>
      </c>
      <c r="F183" s="1"/>
      <c r="G183" s="1"/>
      <c r="H183" s="1"/>
      <c r="I183" s="55">
        <f t="shared" si="33"/>
        <v>0</v>
      </c>
      <c r="J183" s="1"/>
      <c r="K183" s="1"/>
      <c r="L183" s="1"/>
      <c r="M183" s="55">
        <f t="shared" si="34"/>
        <v>0</v>
      </c>
      <c r="N183" s="1"/>
      <c r="O183" s="1"/>
      <c r="P183" s="1"/>
      <c r="Q183" s="55">
        <f t="shared" si="28"/>
        <v>0</v>
      </c>
      <c r="R183" s="55">
        <f>+E183+I183+M183+Q183</f>
        <v>0</v>
      </c>
    </row>
    <row r="184" spans="1:20" ht="15.75" customHeight="1" x14ac:dyDescent="0.3">
      <c r="A184" s="84" t="s">
        <v>853</v>
      </c>
      <c r="B184" s="1"/>
      <c r="C184" s="1"/>
      <c r="D184" s="1"/>
      <c r="E184" s="55">
        <f t="shared" si="32"/>
        <v>0</v>
      </c>
      <c r="F184" s="1">
        <v>1500</v>
      </c>
      <c r="G184" s="1">
        <v>1500</v>
      </c>
      <c r="H184" s="1">
        <v>1000</v>
      </c>
      <c r="I184" s="55">
        <f t="shared" si="33"/>
        <v>4000</v>
      </c>
      <c r="J184" s="1">
        <v>725</v>
      </c>
      <c r="K184" s="1">
        <v>500</v>
      </c>
      <c r="L184" s="1"/>
      <c r="M184" s="55">
        <f t="shared" si="34"/>
        <v>1225</v>
      </c>
      <c r="N184" s="1">
        <v>500</v>
      </c>
      <c r="O184" s="1"/>
      <c r="P184" s="1"/>
      <c r="Q184" s="55">
        <f t="shared" si="28"/>
        <v>500</v>
      </c>
      <c r="R184" s="55">
        <f t="shared" si="24"/>
        <v>5725</v>
      </c>
    </row>
    <row r="185" spans="1:20" ht="15.75" customHeight="1" x14ac:dyDescent="0.3">
      <c r="A185" s="71" t="s">
        <v>854</v>
      </c>
      <c r="B185" s="1">
        <v>74</v>
      </c>
      <c r="C185" s="1">
        <v>117</v>
      </c>
      <c r="D185" s="1"/>
      <c r="E185" s="55">
        <f t="shared" si="32"/>
        <v>191</v>
      </c>
      <c r="F185" s="1">
        <v>200</v>
      </c>
      <c r="G185" s="1">
        <v>450</v>
      </c>
      <c r="H185" s="1">
        <v>450</v>
      </c>
      <c r="I185" s="55">
        <f t="shared" si="33"/>
        <v>1100</v>
      </c>
      <c r="J185" s="1">
        <v>580</v>
      </c>
      <c r="K185" s="1">
        <v>481</v>
      </c>
      <c r="L185" s="1">
        <v>469</v>
      </c>
      <c r="M185" s="55">
        <f t="shared" si="34"/>
        <v>1530</v>
      </c>
      <c r="N185" s="1">
        <v>347</v>
      </c>
      <c r="O185" s="1">
        <v>300</v>
      </c>
      <c r="P185" s="1">
        <v>237</v>
      </c>
      <c r="Q185" s="55">
        <f t="shared" si="28"/>
        <v>884</v>
      </c>
      <c r="R185" s="55">
        <f>+E185+I185+M185+Q185</f>
        <v>3705</v>
      </c>
      <c r="S185" s="4" t="s">
        <v>821</v>
      </c>
      <c r="T185" s="4" t="s">
        <v>822</v>
      </c>
    </row>
    <row r="186" spans="1:20" ht="15.75" customHeight="1" x14ac:dyDescent="0.3">
      <c r="A186" s="71" t="s">
        <v>700</v>
      </c>
      <c r="B186" s="1">
        <v>2</v>
      </c>
      <c r="C186" s="1">
        <v>2</v>
      </c>
      <c r="D186" s="1">
        <v>3</v>
      </c>
      <c r="E186" s="55">
        <f t="shared" si="32"/>
        <v>7</v>
      </c>
      <c r="F186" s="1">
        <v>3</v>
      </c>
      <c r="G186" s="1">
        <v>3</v>
      </c>
      <c r="H186" s="1">
        <v>4</v>
      </c>
      <c r="I186" s="55">
        <f t="shared" si="33"/>
        <v>10</v>
      </c>
      <c r="J186" s="1">
        <v>3</v>
      </c>
      <c r="K186" s="1">
        <v>4</v>
      </c>
      <c r="L186" s="1">
        <v>4</v>
      </c>
      <c r="M186" s="55">
        <f t="shared" si="34"/>
        <v>11</v>
      </c>
      <c r="N186" s="1">
        <v>3</v>
      </c>
      <c r="O186" s="1">
        <v>3</v>
      </c>
      <c r="P186" s="1"/>
      <c r="Q186" s="55">
        <f t="shared" si="28"/>
        <v>6</v>
      </c>
      <c r="R186" s="55">
        <f>+E186+I186+M186+Q186</f>
        <v>34</v>
      </c>
      <c r="S186" s="4">
        <f>SUM(R139:R186)</f>
        <v>266453</v>
      </c>
    </row>
    <row r="187" spans="1:20" ht="15.75" customHeight="1" x14ac:dyDescent="0.3">
      <c r="A187" s="71" t="s">
        <v>855</v>
      </c>
      <c r="B187" s="1"/>
      <c r="C187" s="1"/>
      <c r="D187" s="1"/>
      <c r="E187" s="55">
        <f t="shared" si="32"/>
        <v>0</v>
      </c>
      <c r="F187" s="1"/>
      <c r="G187" s="1"/>
      <c r="H187" s="1"/>
      <c r="I187" s="55">
        <f t="shared" si="33"/>
        <v>0</v>
      </c>
      <c r="J187" s="1">
        <v>107</v>
      </c>
      <c r="K187" s="1"/>
      <c r="L187" s="1"/>
      <c r="M187" s="55">
        <f t="shared" si="34"/>
        <v>107</v>
      </c>
      <c r="N187" s="1"/>
      <c r="O187" s="1"/>
      <c r="P187" s="1"/>
      <c r="Q187" s="55">
        <f t="shared" si="28"/>
        <v>0</v>
      </c>
      <c r="R187" s="55">
        <f>+E187+I187+M187+Q187</f>
        <v>107</v>
      </c>
      <c r="S187" s="465" t="s">
        <v>821</v>
      </c>
      <c r="T187" s="4" t="s">
        <v>822</v>
      </c>
    </row>
    <row r="188" spans="1:20" ht="15.75" customHeight="1" x14ac:dyDescent="0.3">
      <c r="A188" s="15" t="s">
        <v>50</v>
      </c>
      <c r="B188" s="1"/>
      <c r="C188" s="1"/>
      <c r="D188" s="1"/>
      <c r="E188" s="55" t="s">
        <v>7</v>
      </c>
      <c r="F188" s="1"/>
      <c r="G188" s="1"/>
      <c r="H188" s="1"/>
      <c r="I188" s="55" t="s">
        <v>7</v>
      </c>
      <c r="J188" s="1"/>
      <c r="K188" s="1"/>
      <c r="L188" s="1"/>
      <c r="M188" s="55" t="s">
        <v>7</v>
      </c>
      <c r="N188" s="1"/>
      <c r="O188" s="1"/>
      <c r="P188" s="1"/>
      <c r="Q188" s="55" t="s">
        <v>7</v>
      </c>
      <c r="R188" s="55" t="s">
        <v>7</v>
      </c>
    </row>
    <row r="189" spans="1:20" ht="15.75" customHeight="1" x14ac:dyDescent="0.3">
      <c r="A189" s="71" t="s">
        <v>701</v>
      </c>
      <c r="B189" s="1"/>
      <c r="C189" s="1"/>
      <c r="D189" s="1"/>
      <c r="E189" s="55">
        <f t="shared" ref="E189:E200" si="35">SUM(B189:D189)</f>
        <v>0</v>
      </c>
      <c r="F189" s="1"/>
      <c r="G189" s="1"/>
      <c r="H189" s="1"/>
      <c r="I189" s="55">
        <f t="shared" ref="I189:I200" si="36">SUM(F189:H189)</f>
        <v>0</v>
      </c>
      <c r="J189" s="1"/>
      <c r="K189" s="1"/>
      <c r="L189" s="1"/>
      <c r="M189" s="55">
        <f t="shared" ref="M189:M200" si="37">SUM(J189:L189)</f>
        <v>0</v>
      </c>
      <c r="N189" s="1"/>
      <c r="O189" s="1"/>
      <c r="P189" s="1"/>
      <c r="Q189" s="55">
        <f t="shared" ref="Q189:Q200" si="38">SUM(N189:P189)</f>
        <v>0</v>
      </c>
      <c r="R189" s="55">
        <f t="shared" ref="R189:R200" si="39">+E189+I189+M189+Q189</f>
        <v>0</v>
      </c>
    </row>
    <row r="190" spans="1:20" ht="15.75" customHeight="1" x14ac:dyDescent="0.3">
      <c r="A190" s="71" t="s">
        <v>127</v>
      </c>
      <c r="B190" s="1"/>
      <c r="C190" s="1"/>
      <c r="D190" s="1"/>
      <c r="E190" s="55">
        <f>SUM(B190:D190)</f>
        <v>0</v>
      </c>
      <c r="F190" s="1"/>
      <c r="G190" s="1"/>
      <c r="H190" s="1"/>
      <c r="I190" s="55">
        <f>SUM(F190:H190)</f>
        <v>0</v>
      </c>
      <c r="J190" s="1"/>
      <c r="K190" s="1"/>
      <c r="L190" s="1"/>
      <c r="M190" s="55">
        <f>SUM(J190:L190)</f>
        <v>0</v>
      </c>
      <c r="N190" s="1"/>
      <c r="O190" s="1"/>
      <c r="P190" s="1"/>
      <c r="Q190" s="55">
        <f>SUM(N190:P190)</f>
        <v>0</v>
      </c>
      <c r="R190" s="55">
        <f>+E190+I190+M190+Q190</f>
        <v>0</v>
      </c>
      <c r="T190" s="4" t="s">
        <v>406</v>
      </c>
    </row>
    <row r="191" spans="1:20" ht="15.75" customHeight="1" x14ac:dyDescent="0.3">
      <c r="A191" s="71" t="s">
        <v>128</v>
      </c>
      <c r="B191" s="1"/>
      <c r="C191" s="1"/>
      <c r="D191" s="1"/>
      <c r="E191" s="55">
        <f t="shared" si="35"/>
        <v>0</v>
      </c>
      <c r="F191" s="1"/>
      <c r="G191" s="1"/>
      <c r="H191" s="1"/>
      <c r="I191" s="55">
        <f t="shared" si="36"/>
        <v>0</v>
      </c>
      <c r="J191" s="1"/>
      <c r="K191" s="1"/>
      <c r="L191" s="1"/>
      <c r="M191" s="55">
        <f t="shared" si="37"/>
        <v>0</v>
      </c>
      <c r="N191" s="1"/>
      <c r="O191" s="1"/>
      <c r="P191" s="1"/>
      <c r="Q191" s="55">
        <f t="shared" si="38"/>
        <v>0</v>
      </c>
      <c r="R191" s="55">
        <f t="shared" si="39"/>
        <v>0</v>
      </c>
    </row>
    <row r="192" spans="1:20" ht="15.75" customHeight="1" x14ac:dyDescent="0.3">
      <c r="A192" s="71" t="s">
        <v>856</v>
      </c>
      <c r="B192" s="1"/>
      <c r="C192" s="1"/>
      <c r="D192" s="1"/>
      <c r="E192" s="55">
        <f t="shared" si="35"/>
        <v>0</v>
      </c>
      <c r="F192" s="1"/>
      <c r="G192" s="1"/>
      <c r="H192" s="1"/>
      <c r="I192" s="55">
        <f t="shared" si="36"/>
        <v>0</v>
      </c>
      <c r="J192" s="1"/>
      <c r="K192" s="1"/>
      <c r="L192" s="1"/>
      <c r="M192" s="55">
        <f t="shared" si="37"/>
        <v>0</v>
      </c>
      <c r="N192" s="1"/>
      <c r="O192" s="1"/>
      <c r="P192" s="1"/>
      <c r="Q192" s="55">
        <f t="shared" si="38"/>
        <v>0</v>
      </c>
      <c r="R192" s="55">
        <f t="shared" si="39"/>
        <v>0</v>
      </c>
      <c r="T192" s="4" t="s">
        <v>822</v>
      </c>
    </row>
    <row r="193" spans="1:20" ht="15.75" customHeight="1" x14ac:dyDescent="0.3">
      <c r="A193" s="71" t="s">
        <v>540</v>
      </c>
      <c r="B193" s="1"/>
      <c r="C193" s="1"/>
      <c r="D193" s="1"/>
      <c r="E193" s="55">
        <f t="shared" si="35"/>
        <v>0</v>
      </c>
      <c r="F193" s="1"/>
      <c r="G193" s="1"/>
      <c r="H193" s="1"/>
      <c r="I193" s="55">
        <f t="shared" si="36"/>
        <v>0</v>
      </c>
      <c r="J193" s="1"/>
      <c r="K193" s="1"/>
      <c r="L193" s="1"/>
      <c r="M193" s="55">
        <f t="shared" si="37"/>
        <v>0</v>
      </c>
      <c r="N193" s="1"/>
      <c r="O193" s="1"/>
      <c r="P193" s="1"/>
      <c r="Q193" s="55">
        <f t="shared" si="38"/>
        <v>0</v>
      </c>
      <c r="R193" s="55">
        <f t="shared" si="39"/>
        <v>0</v>
      </c>
    </row>
    <row r="194" spans="1:20" ht="15.75" customHeight="1" x14ac:dyDescent="0.3">
      <c r="A194" s="71" t="s">
        <v>132</v>
      </c>
      <c r="B194" s="1"/>
      <c r="C194" s="1"/>
      <c r="D194" s="1"/>
      <c r="E194" s="55">
        <f t="shared" si="35"/>
        <v>0</v>
      </c>
      <c r="F194" s="1"/>
      <c r="G194" s="1"/>
      <c r="H194" s="1"/>
      <c r="I194" s="55">
        <f t="shared" si="36"/>
        <v>0</v>
      </c>
      <c r="J194" s="1"/>
      <c r="K194" s="1"/>
      <c r="L194" s="1"/>
      <c r="M194" s="55">
        <f t="shared" si="37"/>
        <v>0</v>
      </c>
      <c r="N194" s="1"/>
      <c r="O194" s="1"/>
      <c r="P194" s="1"/>
      <c r="Q194" s="55">
        <f t="shared" si="38"/>
        <v>0</v>
      </c>
      <c r="R194" s="55">
        <f t="shared" si="39"/>
        <v>0</v>
      </c>
    </row>
    <row r="195" spans="1:20" ht="15.75" customHeight="1" x14ac:dyDescent="0.3">
      <c r="A195" s="84" t="s">
        <v>614</v>
      </c>
      <c r="B195" s="1"/>
      <c r="C195" s="1"/>
      <c r="D195" s="1"/>
      <c r="E195" s="55">
        <f t="shared" si="35"/>
        <v>0</v>
      </c>
      <c r="F195" s="1"/>
      <c r="G195" s="1"/>
      <c r="H195" s="1"/>
      <c r="I195" s="55">
        <f t="shared" si="36"/>
        <v>0</v>
      </c>
      <c r="J195" s="1"/>
      <c r="K195" s="1"/>
      <c r="L195" s="1"/>
      <c r="M195" s="55">
        <f t="shared" si="37"/>
        <v>0</v>
      </c>
      <c r="N195" s="1"/>
      <c r="O195" s="1"/>
      <c r="P195" s="1"/>
      <c r="Q195" s="55">
        <f t="shared" si="38"/>
        <v>0</v>
      </c>
      <c r="R195" s="55">
        <f t="shared" si="39"/>
        <v>0</v>
      </c>
      <c r="T195" s="4" t="s">
        <v>812</v>
      </c>
    </row>
    <row r="196" spans="1:20" ht="15.75" customHeight="1" x14ac:dyDescent="0.3">
      <c r="A196" s="71" t="s">
        <v>1192</v>
      </c>
      <c r="B196" s="1"/>
      <c r="C196" s="1"/>
      <c r="D196" s="1"/>
      <c r="E196" s="55">
        <f t="shared" si="35"/>
        <v>0</v>
      </c>
      <c r="F196" s="1"/>
      <c r="G196" s="1"/>
      <c r="H196" s="1"/>
      <c r="I196" s="55">
        <f t="shared" si="36"/>
        <v>0</v>
      </c>
      <c r="J196" s="1"/>
      <c r="K196" s="1"/>
      <c r="L196" s="1"/>
      <c r="M196" s="55">
        <f t="shared" si="37"/>
        <v>0</v>
      </c>
      <c r="N196" s="1"/>
      <c r="O196" s="1"/>
      <c r="P196" s="1">
        <v>59</v>
      </c>
      <c r="Q196" s="55">
        <f t="shared" si="38"/>
        <v>59</v>
      </c>
      <c r="R196" s="55">
        <f t="shared" si="39"/>
        <v>59</v>
      </c>
    </row>
    <row r="197" spans="1:20" ht="15.75" customHeight="1" x14ac:dyDescent="0.3">
      <c r="A197" s="71" t="s">
        <v>857</v>
      </c>
      <c r="B197" s="1"/>
      <c r="C197" s="1"/>
      <c r="D197" s="1"/>
      <c r="E197" s="55">
        <f t="shared" si="35"/>
        <v>0</v>
      </c>
      <c r="F197" s="1"/>
      <c r="G197" s="1"/>
      <c r="H197" s="1"/>
      <c r="I197" s="55">
        <f t="shared" si="36"/>
        <v>0</v>
      </c>
      <c r="J197" s="1"/>
      <c r="K197" s="1"/>
      <c r="L197" s="1"/>
      <c r="M197" s="55">
        <f t="shared" si="37"/>
        <v>0</v>
      </c>
      <c r="N197" s="1"/>
      <c r="O197" s="1"/>
      <c r="P197" s="1"/>
      <c r="Q197" s="55">
        <f t="shared" si="38"/>
        <v>0</v>
      </c>
      <c r="R197" s="55">
        <f t="shared" si="39"/>
        <v>0</v>
      </c>
      <c r="T197" s="4" t="s">
        <v>822</v>
      </c>
    </row>
    <row r="198" spans="1:20" ht="15.75" customHeight="1" x14ac:dyDescent="0.3">
      <c r="A198" s="71" t="s">
        <v>858</v>
      </c>
      <c r="B198" s="1"/>
      <c r="C198" s="1"/>
      <c r="D198" s="1"/>
      <c r="E198" s="55">
        <f t="shared" si="35"/>
        <v>0</v>
      </c>
      <c r="F198" s="1"/>
      <c r="G198" s="1"/>
      <c r="H198" s="1"/>
      <c r="I198" s="55">
        <f t="shared" si="36"/>
        <v>0</v>
      </c>
      <c r="J198" s="1"/>
      <c r="K198" s="1"/>
      <c r="L198" s="1"/>
      <c r="M198" s="55">
        <f t="shared" si="37"/>
        <v>0</v>
      </c>
      <c r="N198" s="1"/>
      <c r="O198" s="1"/>
      <c r="P198" s="1"/>
      <c r="Q198" s="55">
        <f t="shared" si="38"/>
        <v>0</v>
      </c>
      <c r="R198" s="55">
        <f t="shared" si="39"/>
        <v>0</v>
      </c>
      <c r="T198" s="4" t="s">
        <v>859</v>
      </c>
    </row>
    <row r="199" spans="1:20" ht="15.75" customHeight="1" x14ac:dyDescent="0.3">
      <c r="A199" s="84" t="s">
        <v>135</v>
      </c>
      <c r="B199" s="1"/>
      <c r="C199" s="1"/>
      <c r="D199" s="1"/>
      <c r="E199" s="55">
        <f>SUM(B199:D199)</f>
        <v>0</v>
      </c>
      <c r="F199" s="1"/>
      <c r="G199" s="1"/>
      <c r="H199" s="1"/>
      <c r="I199" s="55">
        <f>SUM(F199:H199)</f>
        <v>0</v>
      </c>
      <c r="J199" s="1"/>
      <c r="K199" s="1"/>
      <c r="L199" s="1"/>
      <c r="M199" s="55">
        <f>SUM(J199:L199)</f>
        <v>0</v>
      </c>
      <c r="N199" s="1"/>
      <c r="O199" s="1"/>
      <c r="P199" s="1"/>
      <c r="Q199" s="55">
        <f>SUM(N199:P199)</f>
        <v>0</v>
      </c>
      <c r="R199" s="55">
        <f>+E199+I199+M199+Q199</f>
        <v>0</v>
      </c>
    </row>
    <row r="200" spans="1:20" ht="15.75" customHeight="1" x14ac:dyDescent="0.3">
      <c r="A200" s="71" t="s">
        <v>1193</v>
      </c>
      <c r="B200" s="1"/>
      <c r="C200" s="1"/>
      <c r="D200" s="1"/>
      <c r="E200" s="55">
        <f t="shared" si="35"/>
        <v>0</v>
      </c>
      <c r="F200" s="1"/>
      <c r="G200" s="1"/>
      <c r="H200" s="1"/>
      <c r="I200" s="55">
        <f t="shared" si="36"/>
        <v>0</v>
      </c>
      <c r="J200" s="1"/>
      <c r="K200" s="1"/>
      <c r="L200" s="1"/>
      <c r="M200" s="55">
        <f t="shared" si="37"/>
        <v>0</v>
      </c>
      <c r="N200" s="1"/>
      <c r="O200" s="1"/>
      <c r="P200" s="1">
        <v>3</v>
      </c>
      <c r="Q200" s="55">
        <f t="shared" si="38"/>
        <v>3</v>
      </c>
      <c r="R200" s="55">
        <f t="shared" si="39"/>
        <v>3</v>
      </c>
    </row>
    <row r="201" spans="1:20" ht="15.75" customHeight="1" x14ac:dyDescent="0.3">
      <c r="A201" s="15" t="s">
        <v>1186</v>
      </c>
      <c r="B201" s="1"/>
      <c r="C201" s="1"/>
      <c r="D201" s="1"/>
      <c r="E201" s="55" t="s">
        <v>7</v>
      </c>
      <c r="F201" s="1"/>
      <c r="G201" s="1"/>
      <c r="H201" s="1"/>
      <c r="I201" s="55" t="s">
        <v>7</v>
      </c>
      <c r="J201" s="1"/>
      <c r="K201" s="1"/>
      <c r="L201" s="1"/>
      <c r="M201" s="55" t="s">
        <v>7</v>
      </c>
      <c r="N201" s="1"/>
      <c r="O201" s="1"/>
      <c r="P201" s="1"/>
      <c r="Q201" s="55" t="s">
        <v>7</v>
      </c>
      <c r="R201" s="55" t="s">
        <v>7</v>
      </c>
    </row>
    <row r="202" spans="1:20" ht="15.75" customHeight="1" x14ac:dyDescent="0.3">
      <c r="A202" s="85" t="s">
        <v>860</v>
      </c>
      <c r="B202" s="1"/>
      <c r="C202" s="1"/>
      <c r="D202" s="1"/>
      <c r="E202" s="55">
        <f>SUM(B202:D202)</f>
        <v>0</v>
      </c>
      <c r="F202" s="1"/>
      <c r="G202" s="1"/>
      <c r="H202" s="1"/>
      <c r="I202" s="55">
        <f>SUM(F202:H202)</f>
        <v>0</v>
      </c>
      <c r="J202" s="1"/>
      <c r="K202" s="1"/>
      <c r="L202" s="1"/>
      <c r="M202" s="55">
        <f>SUM(J202:L202)</f>
        <v>0</v>
      </c>
      <c r="N202" s="1"/>
      <c r="O202" s="1">
        <v>1789</v>
      </c>
      <c r="P202" s="1">
        <v>1154</v>
      </c>
      <c r="Q202" s="55">
        <f>SUM(N202:P202)</f>
        <v>2943</v>
      </c>
      <c r="R202" s="55">
        <f>+E202+I202+M202+Q202</f>
        <v>2943</v>
      </c>
      <c r="T202" s="4" t="s">
        <v>818</v>
      </c>
    </row>
    <row r="203" spans="1:20" ht="15.75" customHeight="1" x14ac:dyDescent="0.3">
      <c r="A203" s="85" t="s">
        <v>861</v>
      </c>
      <c r="B203" s="1"/>
      <c r="C203" s="1"/>
      <c r="D203" s="1"/>
      <c r="E203" s="55">
        <f>SUM(B203:D203)</f>
        <v>0</v>
      </c>
      <c r="F203" s="1"/>
      <c r="G203" s="1"/>
      <c r="H203" s="1"/>
      <c r="I203" s="55">
        <f>SUM(F203:H203)</f>
        <v>0</v>
      </c>
      <c r="J203" s="1"/>
      <c r="K203" s="1"/>
      <c r="L203" s="1"/>
      <c r="M203" s="55">
        <f>SUM(J203:L203)</f>
        <v>0</v>
      </c>
      <c r="N203" s="1">
        <v>43</v>
      </c>
      <c r="O203" s="1">
        <v>535</v>
      </c>
      <c r="P203" s="1">
        <v>523</v>
      </c>
      <c r="Q203" s="55">
        <f>SUM(N203:P203)</f>
        <v>1101</v>
      </c>
      <c r="R203" s="55">
        <f>+E203+I203+M203+Q203</f>
        <v>1101</v>
      </c>
      <c r="T203" s="4" t="s">
        <v>819</v>
      </c>
    </row>
    <row r="204" spans="1:20" ht="15.75" customHeight="1" x14ac:dyDescent="0.3">
      <c r="A204" s="61" t="s">
        <v>705</v>
      </c>
      <c r="B204" s="1"/>
      <c r="C204" s="1">
        <v>13</v>
      </c>
      <c r="D204" s="1">
        <v>63</v>
      </c>
      <c r="E204" s="55">
        <f>SUM(B204:D204)</f>
        <v>76</v>
      </c>
      <c r="F204" s="1">
        <v>113</v>
      </c>
      <c r="G204" s="1">
        <v>143</v>
      </c>
      <c r="H204" s="1">
        <v>175</v>
      </c>
      <c r="I204" s="55">
        <f>SUM(F204:H204)</f>
        <v>431</v>
      </c>
      <c r="J204" s="1">
        <v>146</v>
      </c>
      <c r="K204" s="1">
        <v>146</v>
      </c>
      <c r="L204" s="1">
        <v>151</v>
      </c>
      <c r="M204" s="55">
        <f>SUM(J204:L204)</f>
        <v>443</v>
      </c>
      <c r="N204" s="1">
        <v>115</v>
      </c>
      <c r="O204" s="1">
        <v>35</v>
      </c>
      <c r="P204" s="1"/>
      <c r="Q204" s="55">
        <f>SUM(N204:P204)</f>
        <v>150</v>
      </c>
      <c r="R204" s="55">
        <f>+E204+I204+M204+Q204</f>
        <v>1100</v>
      </c>
      <c r="T204" s="4" t="s">
        <v>862</v>
      </c>
    </row>
    <row r="205" spans="1:20" ht="15.75" customHeight="1" thickBot="1" x14ac:dyDescent="0.35">
      <c r="A205" s="15" t="s">
        <v>53</v>
      </c>
      <c r="B205" s="1"/>
      <c r="C205" s="1"/>
      <c r="D205" s="1"/>
      <c r="E205" s="55" t="s">
        <v>7</v>
      </c>
      <c r="F205" s="1"/>
      <c r="G205" s="1"/>
      <c r="H205" s="1"/>
      <c r="I205" s="55" t="s">
        <v>7</v>
      </c>
      <c r="J205" s="1"/>
      <c r="K205" s="1"/>
      <c r="L205" s="1"/>
      <c r="M205" s="55" t="s">
        <v>7</v>
      </c>
      <c r="N205" s="1"/>
      <c r="O205" s="1"/>
      <c r="P205" s="1"/>
      <c r="Q205" s="55" t="s">
        <v>7</v>
      </c>
      <c r="R205" s="55" t="s">
        <v>7</v>
      </c>
    </row>
    <row r="206" spans="1:20" ht="16.5" customHeight="1" thickBot="1" x14ac:dyDescent="0.35">
      <c r="A206" s="57" t="s">
        <v>54</v>
      </c>
      <c r="B206" s="86">
        <f>SUM(B137:B205)</f>
        <v>12318</v>
      </c>
      <c r="C206" s="87">
        <f>SUM(C137:C205)</f>
        <v>7511</v>
      </c>
      <c r="D206" s="87">
        <f>SUM(D137:D205)</f>
        <v>8826</v>
      </c>
      <c r="E206" s="59">
        <f>SUM(B206:D206)</f>
        <v>28655</v>
      </c>
      <c r="F206" s="87">
        <f>SUM(F137:F205)</f>
        <v>11798</v>
      </c>
      <c r="G206" s="87">
        <f t="shared" ref="G206:H206" si="40">SUM(G137:G205)</f>
        <v>17994</v>
      </c>
      <c r="H206" s="87">
        <f t="shared" si="40"/>
        <v>36716</v>
      </c>
      <c r="I206" s="59">
        <f>SUM(F206:H206)</f>
        <v>66508</v>
      </c>
      <c r="J206" s="87">
        <f>SUM(J137:J205)</f>
        <v>38631</v>
      </c>
      <c r="K206" s="87">
        <f>SUM(K137:K205)</f>
        <v>33146</v>
      </c>
      <c r="L206" s="87">
        <f>SUM(L137:L205)</f>
        <v>31040</v>
      </c>
      <c r="M206" s="59">
        <f>SUM(J206:L206)</f>
        <v>102817</v>
      </c>
      <c r="N206" s="87">
        <f>SUM(N137:N205)</f>
        <v>29505</v>
      </c>
      <c r="O206" s="87">
        <f>SUM(O137:O205)</f>
        <v>22977</v>
      </c>
      <c r="P206" s="87">
        <f>SUM(P137:P205)</f>
        <v>21304</v>
      </c>
      <c r="Q206" s="59">
        <f>SUM(N206:P206)</f>
        <v>73786</v>
      </c>
      <c r="R206" s="59">
        <f>+E206+I206+M206+Q206</f>
        <v>271766</v>
      </c>
    </row>
    <row r="207" spans="1:20" ht="15.75" customHeight="1" x14ac:dyDescent="0.3">
      <c r="A207" s="15" t="s">
        <v>55</v>
      </c>
      <c r="B207" s="1"/>
      <c r="C207" s="1"/>
      <c r="D207" s="1"/>
      <c r="E207" s="55" t="s">
        <v>7</v>
      </c>
      <c r="F207" s="1"/>
      <c r="G207" s="1"/>
      <c r="H207" s="1"/>
      <c r="I207" s="55" t="s">
        <v>7</v>
      </c>
      <c r="J207" s="1"/>
      <c r="K207" s="1"/>
      <c r="L207" s="1"/>
      <c r="M207" s="55" t="s">
        <v>7</v>
      </c>
      <c r="N207" s="1"/>
      <c r="O207" s="1"/>
      <c r="P207" s="1"/>
      <c r="Q207" s="55" t="s">
        <v>7</v>
      </c>
      <c r="R207" s="55" t="s">
        <v>7</v>
      </c>
    </row>
    <row r="208" spans="1:20" ht="15.75" customHeight="1" x14ac:dyDescent="0.3">
      <c r="A208" s="15" t="s">
        <v>56</v>
      </c>
      <c r="B208" s="1"/>
      <c r="C208" s="1"/>
      <c r="D208" s="1"/>
      <c r="E208" s="55" t="s">
        <v>7</v>
      </c>
      <c r="F208" s="1"/>
      <c r="G208" s="1"/>
      <c r="H208" s="1"/>
      <c r="I208" s="55" t="s">
        <v>7</v>
      </c>
      <c r="J208" s="1"/>
      <c r="K208" s="1"/>
      <c r="L208" s="1"/>
      <c r="M208" s="55" t="s">
        <v>7</v>
      </c>
      <c r="N208" s="1"/>
      <c r="O208" s="1"/>
      <c r="P208" s="1"/>
      <c r="Q208" s="55" t="s">
        <v>7</v>
      </c>
      <c r="R208" s="55" t="s">
        <v>7</v>
      </c>
    </row>
    <row r="209" spans="1:20" ht="15.75" customHeight="1" x14ac:dyDescent="0.3">
      <c r="A209" s="15" t="s">
        <v>57</v>
      </c>
      <c r="B209" s="1"/>
      <c r="C209" s="1"/>
      <c r="D209" s="1"/>
      <c r="E209" s="55" t="s">
        <v>7</v>
      </c>
      <c r="F209" s="1"/>
      <c r="G209" s="1"/>
      <c r="H209" s="1"/>
      <c r="I209" s="55" t="s">
        <v>7</v>
      </c>
      <c r="J209" s="1"/>
      <c r="K209" s="1"/>
      <c r="L209" s="1"/>
      <c r="M209" s="55" t="s">
        <v>7</v>
      </c>
      <c r="N209" s="1"/>
      <c r="O209" s="1"/>
      <c r="P209" s="1"/>
      <c r="Q209" s="55" t="s">
        <v>7</v>
      </c>
      <c r="R209" s="55" t="s">
        <v>7</v>
      </c>
    </row>
    <row r="210" spans="1:20" ht="15.75" customHeight="1" x14ac:dyDescent="0.3">
      <c r="A210" s="85" t="s">
        <v>616</v>
      </c>
      <c r="B210" s="1"/>
      <c r="C210" s="1"/>
      <c r="D210" s="1"/>
      <c r="E210" s="55">
        <f>SUM(B210:D210)</f>
        <v>0</v>
      </c>
      <c r="F210" s="1"/>
      <c r="G210" s="1"/>
      <c r="H210" s="1"/>
      <c r="I210" s="55">
        <f>SUM(F210:H210)</f>
        <v>0</v>
      </c>
      <c r="J210" s="1"/>
      <c r="K210" s="1"/>
      <c r="L210" s="1"/>
      <c r="M210" s="55">
        <f>SUM(J210:L210)</f>
        <v>0</v>
      </c>
      <c r="N210" s="1"/>
      <c r="O210" s="1"/>
      <c r="P210" s="1"/>
      <c r="Q210" s="55">
        <f>SUM(N210:P210)</f>
        <v>0</v>
      </c>
      <c r="R210" s="55">
        <f>+E210+I210+M210+Q210</f>
        <v>0</v>
      </c>
      <c r="T210" s="4" t="s">
        <v>812</v>
      </c>
    </row>
    <row r="211" spans="1:20" ht="15.75" customHeight="1" x14ac:dyDescent="0.3">
      <c r="A211" s="72" t="s">
        <v>863</v>
      </c>
      <c r="B211" s="1"/>
      <c r="C211" s="1"/>
      <c r="D211" s="1"/>
      <c r="E211" s="55">
        <f>SUM(B211:D211)</f>
        <v>0</v>
      </c>
      <c r="F211" s="1"/>
      <c r="G211" s="1"/>
      <c r="H211" s="1"/>
      <c r="I211" s="55">
        <f>SUM(F211:H211)</f>
        <v>0</v>
      </c>
      <c r="J211" s="1"/>
      <c r="K211" s="1"/>
      <c r="L211" s="1"/>
      <c r="M211" s="55">
        <f>SUM(J211:L211)</f>
        <v>0</v>
      </c>
      <c r="N211" s="1"/>
      <c r="O211" s="1"/>
      <c r="P211" s="1"/>
      <c r="Q211" s="55">
        <f>SUM(N211:P211)</f>
        <v>0</v>
      </c>
      <c r="R211" s="55">
        <f>+E211+I211+M211+Q211</f>
        <v>0</v>
      </c>
      <c r="S211" s="4" t="s">
        <v>821</v>
      </c>
      <c r="T211" s="4" t="s">
        <v>822</v>
      </c>
    </row>
    <row r="212" spans="1:20" ht="15.75" customHeight="1" thickBot="1" x14ac:dyDescent="0.35">
      <c r="A212" s="15" t="s">
        <v>58</v>
      </c>
      <c r="B212" s="1"/>
      <c r="C212" s="1"/>
      <c r="D212" s="1"/>
      <c r="E212" s="55" t="s">
        <v>7</v>
      </c>
      <c r="F212" s="1"/>
      <c r="G212" s="1"/>
      <c r="H212" s="1"/>
      <c r="I212" s="55" t="s">
        <v>7</v>
      </c>
      <c r="J212" s="1"/>
      <c r="K212" s="1"/>
      <c r="L212" s="1"/>
      <c r="M212" s="55" t="s">
        <v>7</v>
      </c>
      <c r="N212" s="1"/>
      <c r="O212" s="1"/>
      <c r="P212" s="1"/>
      <c r="Q212" s="55" t="s">
        <v>7</v>
      </c>
      <c r="R212" s="55" t="s">
        <v>7</v>
      </c>
    </row>
    <row r="213" spans="1:20" ht="16.5" customHeight="1" thickBot="1" x14ac:dyDescent="0.35">
      <c r="A213" s="57" t="s">
        <v>59</v>
      </c>
      <c r="B213" s="86">
        <f>SUM(B207:B212)</f>
        <v>0</v>
      </c>
      <c r="C213" s="87">
        <f>SUM(C207:C212)</f>
        <v>0</v>
      </c>
      <c r="D213" s="87">
        <f>SUM(D207:D212)</f>
        <v>0</v>
      </c>
      <c r="E213" s="59">
        <f>SUM(B213:D213)</f>
        <v>0</v>
      </c>
      <c r="F213" s="87"/>
      <c r="G213" s="87"/>
      <c r="H213" s="87"/>
      <c r="I213" s="59">
        <f>SUM(F213:H213)</f>
        <v>0</v>
      </c>
      <c r="J213" s="87">
        <f>SUM(J207:J212)</f>
        <v>0</v>
      </c>
      <c r="K213" s="87">
        <f>SUM(K207:K212)</f>
        <v>0</v>
      </c>
      <c r="L213" s="87">
        <f>SUM(L207:L212)</f>
        <v>0</v>
      </c>
      <c r="M213" s="59">
        <f>SUM(J213:L213)</f>
        <v>0</v>
      </c>
      <c r="N213" s="87">
        <f>SUM(N207:N212)</f>
        <v>0</v>
      </c>
      <c r="O213" s="87">
        <f>SUM(O207:O212)</f>
        <v>0</v>
      </c>
      <c r="P213" s="87">
        <f>SUM(P207:P212)</f>
        <v>0</v>
      </c>
      <c r="Q213" s="59">
        <f>SUM(N213:P213)</f>
        <v>0</v>
      </c>
      <c r="R213" s="59">
        <f>+E213+I213+M213+Q213</f>
        <v>0</v>
      </c>
    </row>
    <row r="214" spans="1:20" ht="15.75" customHeight="1" x14ac:dyDescent="0.3">
      <c r="A214" s="15" t="s">
        <v>60</v>
      </c>
      <c r="B214" s="1"/>
      <c r="C214" s="1"/>
      <c r="D214" s="1"/>
      <c r="E214" s="55" t="s">
        <v>7</v>
      </c>
      <c r="F214" s="1"/>
      <c r="G214" s="1"/>
      <c r="H214" s="1"/>
      <c r="I214" s="55" t="s">
        <v>7</v>
      </c>
      <c r="J214" s="1"/>
      <c r="K214" s="1"/>
      <c r="L214" s="1"/>
      <c r="M214" s="55" t="s">
        <v>7</v>
      </c>
      <c r="N214" s="1"/>
      <c r="O214" s="1"/>
      <c r="P214" s="1"/>
      <c r="Q214" s="55" t="s">
        <v>7</v>
      </c>
      <c r="R214" s="55" t="s">
        <v>7</v>
      </c>
    </row>
    <row r="215" spans="1:20" ht="15.75" customHeight="1" x14ac:dyDescent="0.3">
      <c r="A215" s="15" t="s">
        <v>61</v>
      </c>
      <c r="B215" s="1"/>
      <c r="C215" s="1"/>
      <c r="D215" s="1"/>
      <c r="E215" s="55" t="s">
        <v>7</v>
      </c>
      <c r="F215" s="1"/>
      <c r="G215" s="1"/>
      <c r="H215" s="1"/>
      <c r="I215" s="55" t="s">
        <v>7</v>
      </c>
      <c r="J215" s="1"/>
      <c r="K215" s="1"/>
      <c r="L215" s="1"/>
      <c r="M215" s="55" t="s">
        <v>7</v>
      </c>
      <c r="N215" s="1"/>
      <c r="O215" s="1"/>
      <c r="P215" s="1"/>
      <c r="Q215" s="55" t="s">
        <v>7</v>
      </c>
      <c r="R215" s="55" t="s">
        <v>7</v>
      </c>
    </row>
    <row r="216" spans="1:20" ht="15.75" customHeight="1" x14ac:dyDescent="0.3">
      <c r="A216" s="15" t="s">
        <v>62</v>
      </c>
      <c r="B216" s="1"/>
      <c r="C216" s="1"/>
      <c r="D216" s="1"/>
      <c r="E216" s="55" t="s">
        <v>7</v>
      </c>
      <c r="F216" s="1"/>
      <c r="G216" s="1"/>
      <c r="H216" s="1"/>
      <c r="I216" s="55" t="s">
        <v>7</v>
      </c>
      <c r="J216" s="1"/>
      <c r="K216" s="1"/>
      <c r="L216" s="1"/>
      <c r="M216" s="55" t="s">
        <v>7</v>
      </c>
      <c r="N216" s="1"/>
      <c r="O216" s="1"/>
      <c r="P216" s="1"/>
      <c r="Q216" s="55" t="s">
        <v>7</v>
      </c>
      <c r="R216" s="55" t="s">
        <v>7</v>
      </c>
    </row>
    <row r="217" spans="1:20" ht="15.75" customHeight="1" x14ac:dyDescent="0.3">
      <c r="A217" s="88" t="s">
        <v>142</v>
      </c>
      <c r="B217" s="1">
        <v>315</v>
      </c>
      <c r="C217" s="1">
        <v>297</v>
      </c>
      <c r="D217" s="1">
        <v>382</v>
      </c>
      <c r="E217" s="55">
        <f t="shared" ref="E217:E222" si="41">SUM(B217:D217)</f>
        <v>994</v>
      </c>
      <c r="F217" s="1">
        <v>453</v>
      </c>
      <c r="G217" s="1">
        <v>507</v>
      </c>
      <c r="H217" s="1">
        <v>479</v>
      </c>
      <c r="I217" s="55">
        <f t="shared" ref="I217:I222" si="42">SUM(F217:H217)</f>
        <v>1439</v>
      </c>
      <c r="J217" s="1">
        <v>495</v>
      </c>
      <c r="K217" s="1">
        <v>495</v>
      </c>
      <c r="L217" s="1">
        <v>479</v>
      </c>
      <c r="M217" s="55">
        <f t="shared" ref="M217:M222" si="43">SUM(J217:L217)</f>
        <v>1469</v>
      </c>
      <c r="N217" s="1">
        <v>558</v>
      </c>
      <c r="O217" s="1">
        <v>392</v>
      </c>
      <c r="P217" s="1">
        <v>312</v>
      </c>
      <c r="Q217" s="55">
        <f t="shared" ref="Q217:Q222" si="44">SUM(N217:P217)</f>
        <v>1262</v>
      </c>
      <c r="R217" s="55">
        <f t="shared" ref="R217:R278" si="45">+E217+I217+M217+Q217</f>
        <v>5164</v>
      </c>
      <c r="T217" s="4" t="s">
        <v>865</v>
      </c>
    </row>
    <row r="218" spans="1:20" ht="15.75" customHeight="1" x14ac:dyDescent="0.3">
      <c r="A218" s="88" t="s">
        <v>143</v>
      </c>
      <c r="B218" s="1"/>
      <c r="C218" s="1"/>
      <c r="D218" s="1"/>
      <c r="E218" s="55">
        <f t="shared" si="41"/>
        <v>0</v>
      </c>
      <c r="F218" s="1">
        <v>1283</v>
      </c>
      <c r="G218" s="1"/>
      <c r="H218" s="1"/>
      <c r="I218" s="55">
        <f t="shared" si="42"/>
        <v>1283</v>
      </c>
      <c r="J218" s="1"/>
      <c r="K218" s="1"/>
      <c r="L218" s="1"/>
      <c r="M218" s="55">
        <f t="shared" si="43"/>
        <v>0</v>
      </c>
      <c r="N218" s="1"/>
      <c r="O218" s="1"/>
      <c r="P218" s="1"/>
      <c r="Q218" s="55">
        <f t="shared" si="44"/>
        <v>0</v>
      </c>
      <c r="R218" s="55">
        <f t="shared" si="45"/>
        <v>1283</v>
      </c>
      <c r="T218" s="4" t="s">
        <v>812</v>
      </c>
    </row>
    <row r="219" spans="1:20" ht="15.75" customHeight="1" x14ac:dyDescent="0.3">
      <c r="A219" s="72" t="s">
        <v>1194</v>
      </c>
      <c r="B219" s="1"/>
      <c r="C219" s="1"/>
      <c r="D219" s="1"/>
      <c r="E219" s="55">
        <f t="shared" si="41"/>
        <v>0</v>
      </c>
      <c r="F219" s="1">
        <v>37</v>
      </c>
      <c r="G219" s="1">
        <v>78</v>
      </c>
      <c r="H219" s="1">
        <v>96</v>
      </c>
      <c r="I219" s="55">
        <f t="shared" si="42"/>
        <v>211</v>
      </c>
      <c r="J219" s="1">
        <v>90</v>
      </c>
      <c r="K219" s="1">
        <v>38</v>
      </c>
      <c r="L219" s="1">
        <v>21</v>
      </c>
      <c r="M219" s="55">
        <f t="shared" si="43"/>
        <v>149</v>
      </c>
      <c r="N219" s="1">
        <v>15</v>
      </c>
      <c r="O219" s="1">
        <v>15</v>
      </c>
      <c r="P219" s="1">
        <v>11</v>
      </c>
      <c r="Q219" s="55">
        <f t="shared" si="44"/>
        <v>41</v>
      </c>
      <c r="R219" s="55">
        <f t="shared" si="45"/>
        <v>401</v>
      </c>
    </row>
    <row r="220" spans="1:20" ht="15.75" customHeight="1" x14ac:dyDescent="0.3">
      <c r="A220" s="88" t="s">
        <v>145</v>
      </c>
      <c r="B220" s="1">
        <v>4</v>
      </c>
      <c r="C220" s="1">
        <v>14</v>
      </c>
      <c r="D220" s="1">
        <v>37</v>
      </c>
      <c r="E220" s="55">
        <f t="shared" si="41"/>
        <v>55</v>
      </c>
      <c r="F220" s="1">
        <v>65</v>
      </c>
      <c r="G220" s="1">
        <v>85</v>
      </c>
      <c r="H220" s="1">
        <v>211</v>
      </c>
      <c r="I220" s="55">
        <f t="shared" si="42"/>
        <v>361</v>
      </c>
      <c r="J220" s="1">
        <v>193</v>
      </c>
      <c r="K220" s="1">
        <v>128</v>
      </c>
      <c r="L220" s="1">
        <v>79</v>
      </c>
      <c r="M220" s="55">
        <f t="shared" si="43"/>
        <v>400</v>
      </c>
      <c r="N220" s="1">
        <v>63</v>
      </c>
      <c r="O220" s="1">
        <v>44</v>
      </c>
      <c r="P220" s="1">
        <v>38</v>
      </c>
      <c r="Q220" s="55">
        <f t="shared" si="44"/>
        <v>145</v>
      </c>
      <c r="R220" s="55">
        <f t="shared" si="45"/>
        <v>961</v>
      </c>
      <c r="T220" s="4" t="s">
        <v>406</v>
      </c>
    </row>
    <row r="221" spans="1:20" ht="15.75" customHeight="1" x14ac:dyDescent="0.3">
      <c r="A221" s="88" t="s">
        <v>866</v>
      </c>
      <c r="B221" s="1"/>
      <c r="C221" s="1"/>
      <c r="D221" s="1"/>
      <c r="E221" s="55">
        <f t="shared" si="41"/>
        <v>0</v>
      </c>
      <c r="F221" s="1"/>
      <c r="G221" s="1"/>
      <c r="H221" s="1"/>
      <c r="I221" s="55">
        <f t="shared" si="42"/>
        <v>0</v>
      </c>
      <c r="J221" s="1">
        <v>786</v>
      </c>
      <c r="K221" s="1"/>
      <c r="L221" s="1"/>
      <c r="M221" s="55">
        <f t="shared" si="43"/>
        <v>786</v>
      </c>
      <c r="N221" s="1">
        <v>400</v>
      </c>
      <c r="O221" s="1"/>
      <c r="P221" s="1"/>
      <c r="Q221" s="55">
        <f t="shared" si="44"/>
        <v>400</v>
      </c>
      <c r="R221" s="55">
        <f>+E221+I221+M221+Q221</f>
        <v>1186</v>
      </c>
      <c r="T221" s="4" t="s">
        <v>819</v>
      </c>
    </row>
    <row r="222" spans="1:20" ht="15.75" customHeight="1" x14ac:dyDescent="0.3">
      <c r="A222" s="72" t="s">
        <v>867</v>
      </c>
      <c r="B222" s="1"/>
      <c r="C222" s="1"/>
      <c r="D222" s="1"/>
      <c r="E222" s="55">
        <f t="shared" si="41"/>
        <v>0</v>
      </c>
      <c r="F222" s="1"/>
      <c r="G222" s="1"/>
      <c r="H222" s="1">
        <v>621</v>
      </c>
      <c r="I222" s="55">
        <f t="shared" si="42"/>
        <v>621</v>
      </c>
      <c r="J222" s="1"/>
      <c r="K222" s="1"/>
      <c r="L222" s="1"/>
      <c r="M222" s="55">
        <f t="shared" si="43"/>
        <v>0</v>
      </c>
      <c r="N222" s="1"/>
      <c r="O222" s="1"/>
      <c r="P222" s="1"/>
      <c r="Q222" s="55">
        <f t="shared" si="44"/>
        <v>0</v>
      </c>
      <c r="R222" s="55">
        <f>+E222+I222+M222+Q222</f>
        <v>621</v>
      </c>
      <c r="S222" s="465"/>
      <c r="T222" s="4" t="s">
        <v>822</v>
      </c>
    </row>
    <row r="223" spans="1:20" ht="15.75" customHeight="1" x14ac:dyDescent="0.3">
      <c r="A223" s="72" t="s">
        <v>868</v>
      </c>
      <c r="B223" s="1">
        <v>248</v>
      </c>
      <c r="C223" s="1">
        <v>454</v>
      </c>
      <c r="D223" s="1"/>
      <c r="E223" s="55">
        <f t="shared" ref="E223:E276" si="46">SUM(B223:D223)</f>
        <v>702</v>
      </c>
      <c r="F223" s="1"/>
      <c r="G223" s="1"/>
      <c r="H223" s="1"/>
      <c r="I223" s="55">
        <f t="shared" ref="I223:I276" si="47">SUM(F223:H223)</f>
        <v>0</v>
      </c>
      <c r="J223" s="1"/>
      <c r="K223" s="1"/>
      <c r="L223" s="1"/>
      <c r="M223" s="55">
        <f t="shared" ref="M223:M276" si="48">SUM(J223:L223)</f>
        <v>0</v>
      </c>
      <c r="N223" s="1"/>
      <c r="O223" s="1"/>
      <c r="P223" s="1"/>
      <c r="Q223" s="55">
        <f t="shared" ref="Q223:Q276" si="49">SUM(N223:P223)</f>
        <v>0</v>
      </c>
      <c r="R223" s="55">
        <f t="shared" si="45"/>
        <v>702</v>
      </c>
      <c r="S223" s="4" t="s">
        <v>821</v>
      </c>
    </row>
    <row r="224" spans="1:20" ht="15.75" customHeight="1" x14ac:dyDescent="0.3">
      <c r="A224" s="359" t="s">
        <v>1119</v>
      </c>
      <c r="B224" s="1">
        <v>495</v>
      </c>
      <c r="C224" s="1">
        <v>340</v>
      </c>
      <c r="D224" s="1"/>
      <c r="E224" s="55">
        <f t="shared" ref="E224" si="50">SUM(B224:D224)</f>
        <v>835</v>
      </c>
      <c r="F224" s="1"/>
      <c r="G224" s="1"/>
      <c r="H224" s="1"/>
      <c r="I224" s="55">
        <f t="shared" si="47"/>
        <v>0</v>
      </c>
      <c r="J224" s="1"/>
      <c r="K224" s="1"/>
      <c r="L224" s="1"/>
      <c r="M224" s="55">
        <f t="shared" si="48"/>
        <v>0</v>
      </c>
      <c r="N224" s="1"/>
      <c r="O224" s="1"/>
      <c r="P224" s="1"/>
      <c r="Q224" s="55">
        <f t="shared" si="49"/>
        <v>0</v>
      </c>
      <c r="R224" s="55">
        <f>+E224+I224+M224+Q224</f>
        <v>835</v>
      </c>
      <c r="T224" s="4" t="s">
        <v>919</v>
      </c>
    </row>
    <row r="225" spans="1:20" ht="15.75" customHeight="1" x14ac:dyDescent="0.3">
      <c r="A225" s="72" t="s">
        <v>148</v>
      </c>
      <c r="B225" s="1">
        <v>682</v>
      </c>
      <c r="C225" s="1"/>
      <c r="D225" s="1"/>
      <c r="E225" s="55">
        <f>SUM(B225:D225)</f>
        <v>682</v>
      </c>
      <c r="F225" s="1"/>
      <c r="G225" s="1"/>
      <c r="H225" s="1"/>
      <c r="I225" s="55">
        <f>SUM(F225:H225)</f>
        <v>0</v>
      </c>
      <c r="J225" s="1"/>
      <c r="K225" s="1"/>
      <c r="L225" s="1"/>
      <c r="M225" s="55">
        <f>SUM(J225:L225)</f>
        <v>0</v>
      </c>
      <c r="N225" s="1"/>
      <c r="O225" s="1"/>
      <c r="P225" s="1"/>
      <c r="Q225" s="55">
        <f>SUM(N225:P225)</f>
        <v>0</v>
      </c>
      <c r="R225" s="55">
        <f t="shared" si="45"/>
        <v>682</v>
      </c>
      <c r="T225" s="4" t="s">
        <v>832</v>
      </c>
    </row>
    <row r="226" spans="1:20" ht="15.75" customHeight="1" x14ac:dyDescent="0.3">
      <c r="A226" s="72" t="s">
        <v>149</v>
      </c>
      <c r="B226" s="1"/>
      <c r="C226" s="1"/>
      <c r="D226" s="1"/>
      <c r="E226" s="55">
        <f t="shared" si="46"/>
        <v>0</v>
      </c>
      <c r="F226" s="1"/>
      <c r="G226" s="1"/>
      <c r="H226" s="1"/>
      <c r="I226" s="55">
        <f t="shared" si="47"/>
        <v>0</v>
      </c>
      <c r="J226" s="1"/>
      <c r="K226" s="1"/>
      <c r="L226" s="1"/>
      <c r="M226" s="55">
        <f t="shared" si="48"/>
        <v>0</v>
      </c>
      <c r="N226" s="1"/>
      <c r="O226" s="1"/>
      <c r="P226" s="1"/>
      <c r="Q226" s="55">
        <f t="shared" si="49"/>
        <v>0</v>
      </c>
      <c r="R226" s="55">
        <f t="shared" si="45"/>
        <v>0</v>
      </c>
    </row>
    <row r="227" spans="1:20" ht="15.75" customHeight="1" x14ac:dyDescent="0.3">
      <c r="A227" s="72" t="s">
        <v>150</v>
      </c>
      <c r="B227" s="1">
        <v>1136</v>
      </c>
      <c r="C227" s="1"/>
      <c r="D227" s="1"/>
      <c r="E227" s="55">
        <f t="shared" si="46"/>
        <v>1136</v>
      </c>
      <c r="F227" s="1"/>
      <c r="G227" s="1"/>
      <c r="H227" s="1"/>
      <c r="I227" s="55">
        <f t="shared" si="47"/>
        <v>0</v>
      </c>
      <c r="J227" s="1"/>
      <c r="K227" s="1"/>
      <c r="L227" s="1"/>
      <c r="M227" s="55">
        <f t="shared" si="48"/>
        <v>0</v>
      </c>
      <c r="N227" s="1"/>
      <c r="O227" s="1"/>
      <c r="P227" s="1"/>
      <c r="Q227" s="55">
        <f t="shared" si="49"/>
        <v>0</v>
      </c>
      <c r="R227" s="55">
        <f t="shared" si="45"/>
        <v>1136</v>
      </c>
    </row>
    <row r="228" spans="1:20" ht="15.75" customHeight="1" x14ac:dyDescent="0.3">
      <c r="A228" s="72" t="s">
        <v>151</v>
      </c>
      <c r="B228" s="1">
        <v>23</v>
      </c>
      <c r="C228" s="1"/>
      <c r="D228" s="1"/>
      <c r="E228" s="55">
        <f t="shared" si="46"/>
        <v>23</v>
      </c>
      <c r="F228" s="1"/>
      <c r="G228" s="1"/>
      <c r="H228" s="1"/>
      <c r="I228" s="55">
        <f t="shared" si="47"/>
        <v>0</v>
      </c>
      <c r="J228" s="1"/>
      <c r="K228" s="1"/>
      <c r="L228" s="1"/>
      <c r="M228" s="55">
        <f t="shared" si="48"/>
        <v>0</v>
      </c>
      <c r="N228" s="1"/>
      <c r="O228" s="1"/>
      <c r="P228" s="1"/>
      <c r="Q228" s="55">
        <f t="shared" si="49"/>
        <v>0</v>
      </c>
      <c r="R228" s="55">
        <f t="shared" si="45"/>
        <v>23</v>
      </c>
    </row>
    <row r="229" spans="1:20" ht="15.75" customHeight="1" x14ac:dyDescent="0.3">
      <c r="A229" s="72" t="s">
        <v>870</v>
      </c>
      <c r="B229" s="1">
        <v>23</v>
      </c>
      <c r="C229" s="1"/>
      <c r="D229" s="1"/>
      <c r="E229" s="55">
        <f t="shared" si="46"/>
        <v>23</v>
      </c>
      <c r="F229" s="1"/>
      <c r="G229" s="1"/>
      <c r="H229" s="1"/>
      <c r="I229" s="55">
        <f t="shared" si="47"/>
        <v>0</v>
      </c>
      <c r="J229" s="1"/>
      <c r="K229" s="1"/>
      <c r="L229" s="1"/>
      <c r="M229" s="55">
        <f t="shared" si="48"/>
        <v>0</v>
      </c>
      <c r="N229" s="1"/>
      <c r="O229" s="1"/>
      <c r="P229" s="1"/>
      <c r="Q229" s="55">
        <f t="shared" si="49"/>
        <v>0</v>
      </c>
      <c r="R229" s="55">
        <f t="shared" si="45"/>
        <v>23</v>
      </c>
      <c r="S229" s="4" t="s">
        <v>821</v>
      </c>
      <c r="T229" s="4" t="s">
        <v>822</v>
      </c>
    </row>
    <row r="230" spans="1:20" ht="15.75" customHeight="1" x14ac:dyDescent="0.3">
      <c r="A230" s="72" t="s">
        <v>1195</v>
      </c>
      <c r="B230" s="1"/>
      <c r="C230" s="1"/>
      <c r="D230" s="1"/>
      <c r="E230" s="55">
        <f t="shared" si="46"/>
        <v>0</v>
      </c>
      <c r="F230" s="1"/>
      <c r="G230" s="1"/>
      <c r="H230" s="1"/>
      <c r="I230" s="55">
        <f t="shared" si="47"/>
        <v>0</v>
      </c>
      <c r="J230" s="1"/>
      <c r="K230" s="1"/>
      <c r="L230" s="1"/>
      <c r="M230" s="55">
        <f t="shared" si="48"/>
        <v>0</v>
      </c>
      <c r="N230" s="1"/>
      <c r="O230" s="1"/>
      <c r="P230" s="1"/>
      <c r="Q230" s="55">
        <f t="shared" si="49"/>
        <v>0</v>
      </c>
      <c r="R230" s="55">
        <f t="shared" si="45"/>
        <v>0</v>
      </c>
      <c r="S230" s="4" t="s">
        <v>821</v>
      </c>
      <c r="T230" s="4" t="s">
        <v>822</v>
      </c>
    </row>
    <row r="231" spans="1:20" ht="15.75" customHeight="1" x14ac:dyDescent="0.3">
      <c r="A231" s="72" t="s">
        <v>1196</v>
      </c>
      <c r="B231" s="1"/>
      <c r="C231" s="1"/>
      <c r="D231" s="1"/>
      <c r="E231" s="55">
        <f t="shared" ref="E231" si="51">SUM(B231:D231)</f>
        <v>0</v>
      </c>
      <c r="F231" s="1">
        <v>855</v>
      </c>
      <c r="G231" s="1">
        <v>2190</v>
      </c>
      <c r="H231" s="1"/>
      <c r="I231" s="55">
        <f t="shared" si="47"/>
        <v>3045</v>
      </c>
      <c r="J231" s="1"/>
      <c r="K231" s="1"/>
      <c r="L231" s="1"/>
      <c r="M231" s="55">
        <f t="shared" si="48"/>
        <v>0</v>
      </c>
      <c r="N231" s="1"/>
      <c r="O231" s="1"/>
      <c r="P231" s="1"/>
      <c r="Q231" s="55">
        <f t="shared" si="49"/>
        <v>0</v>
      </c>
      <c r="R231" s="55">
        <f t="shared" si="45"/>
        <v>3045</v>
      </c>
    </row>
    <row r="232" spans="1:20" ht="15.75" customHeight="1" x14ac:dyDescent="0.3">
      <c r="A232" s="72" t="s">
        <v>1197</v>
      </c>
      <c r="B232" s="1"/>
      <c r="C232" s="1"/>
      <c r="D232" s="1"/>
      <c r="E232" s="55">
        <f t="shared" si="46"/>
        <v>0</v>
      </c>
      <c r="F232" s="1">
        <v>255</v>
      </c>
      <c r="G232" s="1">
        <v>1000</v>
      </c>
      <c r="H232" s="1"/>
      <c r="I232" s="55">
        <f t="shared" si="47"/>
        <v>1255</v>
      </c>
      <c r="J232" s="1"/>
      <c r="K232" s="1"/>
      <c r="L232" s="1"/>
      <c r="M232" s="55">
        <f t="shared" si="48"/>
        <v>0</v>
      </c>
      <c r="N232" s="1"/>
      <c r="O232" s="1"/>
      <c r="P232" s="1"/>
      <c r="Q232" s="55">
        <f t="shared" si="49"/>
        <v>0</v>
      </c>
      <c r="R232" s="55">
        <f t="shared" si="45"/>
        <v>1255</v>
      </c>
    </row>
    <row r="233" spans="1:20" ht="15.75" customHeight="1" x14ac:dyDescent="0.3">
      <c r="A233" s="88" t="s">
        <v>872</v>
      </c>
      <c r="B233" s="1"/>
      <c r="C233" s="1"/>
      <c r="D233" s="1"/>
      <c r="E233" s="55">
        <f t="shared" si="46"/>
        <v>0</v>
      </c>
      <c r="F233" s="1"/>
      <c r="G233" s="1"/>
      <c r="H233" s="1"/>
      <c r="I233" s="55">
        <f t="shared" si="47"/>
        <v>0</v>
      </c>
      <c r="J233" s="1"/>
      <c r="K233" s="1"/>
      <c r="L233" s="1"/>
      <c r="M233" s="55">
        <f t="shared" si="48"/>
        <v>0</v>
      </c>
      <c r="N233" s="1"/>
      <c r="O233" s="1"/>
      <c r="P233" s="1"/>
      <c r="Q233" s="55">
        <f t="shared" si="49"/>
        <v>0</v>
      </c>
      <c r="R233" s="55">
        <f t="shared" si="45"/>
        <v>0</v>
      </c>
      <c r="T233" s="4" t="s">
        <v>812</v>
      </c>
    </row>
    <row r="234" spans="1:20" ht="15.75" customHeight="1" x14ac:dyDescent="0.3">
      <c r="A234" s="72" t="s">
        <v>873</v>
      </c>
      <c r="B234" s="1"/>
      <c r="C234" s="1"/>
      <c r="D234" s="1"/>
      <c r="E234" s="55">
        <f t="shared" si="46"/>
        <v>0</v>
      </c>
      <c r="F234" s="1"/>
      <c r="G234" s="1"/>
      <c r="H234" s="1"/>
      <c r="I234" s="55">
        <f t="shared" si="47"/>
        <v>0</v>
      </c>
      <c r="J234" s="1"/>
      <c r="K234" s="1"/>
      <c r="L234" s="1"/>
      <c r="M234" s="55">
        <f t="shared" si="48"/>
        <v>0</v>
      </c>
      <c r="N234" s="1"/>
      <c r="O234" s="1"/>
      <c r="P234" s="1"/>
      <c r="Q234" s="55">
        <f>SUM(N234:P234)</f>
        <v>0</v>
      </c>
      <c r="R234" s="55">
        <f>+E234+I234+M234+Q234</f>
        <v>0</v>
      </c>
      <c r="S234" s="465"/>
      <c r="T234" s="4" t="s">
        <v>822</v>
      </c>
    </row>
    <row r="235" spans="1:20" ht="15.75" customHeight="1" x14ac:dyDescent="0.3">
      <c r="A235" s="88" t="s">
        <v>874</v>
      </c>
      <c r="B235" s="1"/>
      <c r="C235" s="1">
        <v>238</v>
      </c>
      <c r="D235" s="1">
        <v>2032</v>
      </c>
      <c r="E235" s="55">
        <f t="shared" si="46"/>
        <v>2270</v>
      </c>
      <c r="F235" s="1">
        <v>3731</v>
      </c>
      <c r="G235" s="1">
        <v>999</v>
      </c>
      <c r="H235" s="1"/>
      <c r="I235" s="55">
        <f t="shared" si="47"/>
        <v>4730</v>
      </c>
      <c r="J235" s="1"/>
      <c r="K235" s="1"/>
      <c r="L235" s="1"/>
      <c r="M235" s="55">
        <f t="shared" si="48"/>
        <v>0</v>
      </c>
      <c r="N235" s="1"/>
      <c r="O235" s="1"/>
      <c r="P235" s="1"/>
      <c r="Q235" s="55">
        <f t="shared" si="49"/>
        <v>0</v>
      </c>
      <c r="R235" s="55">
        <f t="shared" si="45"/>
        <v>7000</v>
      </c>
    </row>
    <row r="236" spans="1:20" ht="15.75" customHeight="1" x14ac:dyDescent="0.3">
      <c r="A236" s="88" t="s">
        <v>875</v>
      </c>
      <c r="B236" s="1"/>
      <c r="C236" s="1"/>
      <c r="D236" s="1"/>
      <c r="E236" s="55">
        <f t="shared" si="46"/>
        <v>0</v>
      </c>
      <c r="F236" s="1"/>
      <c r="G236" s="1"/>
      <c r="H236" s="1"/>
      <c r="I236" s="55">
        <f t="shared" si="47"/>
        <v>0</v>
      </c>
      <c r="J236" s="1"/>
      <c r="K236" s="1"/>
      <c r="L236" s="1"/>
      <c r="M236" s="55">
        <f t="shared" si="48"/>
        <v>0</v>
      </c>
      <c r="N236" s="1"/>
      <c r="O236" s="1"/>
      <c r="P236" s="1"/>
      <c r="Q236" s="55">
        <f t="shared" si="49"/>
        <v>0</v>
      </c>
      <c r="R236" s="55">
        <f t="shared" si="45"/>
        <v>0</v>
      </c>
    </row>
    <row r="237" spans="1:20" ht="15.75" customHeight="1" x14ac:dyDescent="0.3">
      <c r="A237" s="88" t="s">
        <v>876</v>
      </c>
      <c r="B237" s="1"/>
      <c r="C237" s="1">
        <v>546</v>
      </c>
      <c r="D237" s="1">
        <v>1385</v>
      </c>
      <c r="E237" s="55">
        <f t="shared" si="46"/>
        <v>1931</v>
      </c>
      <c r="F237" s="1">
        <v>513</v>
      </c>
      <c r="G237" s="1">
        <v>524</v>
      </c>
      <c r="H237" s="1"/>
      <c r="I237" s="55">
        <f t="shared" si="47"/>
        <v>1037</v>
      </c>
      <c r="J237" s="1"/>
      <c r="K237" s="1"/>
      <c r="L237" s="1"/>
      <c r="M237" s="55">
        <f t="shared" si="48"/>
        <v>0</v>
      </c>
      <c r="N237" s="1"/>
      <c r="O237" s="1"/>
      <c r="P237" s="1"/>
      <c r="Q237" s="55">
        <f t="shared" si="49"/>
        <v>0</v>
      </c>
      <c r="R237" s="55">
        <f t="shared" si="45"/>
        <v>2968</v>
      </c>
    </row>
    <row r="238" spans="1:20" ht="15.75" customHeight="1" x14ac:dyDescent="0.3">
      <c r="A238" s="88" t="s">
        <v>877</v>
      </c>
      <c r="B238" s="1"/>
      <c r="C238" s="1">
        <v>280</v>
      </c>
      <c r="D238" s="1"/>
      <c r="E238" s="55">
        <f t="shared" si="46"/>
        <v>280</v>
      </c>
      <c r="F238" s="1"/>
      <c r="G238" s="1">
        <v>415</v>
      </c>
      <c r="H238" s="1"/>
      <c r="I238" s="55">
        <f t="shared" si="47"/>
        <v>415</v>
      </c>
      <c r="J238" s="1"/>
      <c r="K238" s="1"/>
      <c r="L238" s="1"/>
      <c r="M238" s="55">
        <f t="shared" si="48"/>
        <v>0</v>
      </c>
      <c r="N238" s="1"/>
      <c r="O238" s="1"/>
      <c r="P238" s="1"/>
      <c r="Q238" s="55">
        <f t="shared" si="49"/>
        <v>0</v>
      </c>
      <c r="R238" s="55">
        <f t="shared" si="45"/>
        <v>695</v>
      </c>
    </row>
    <row r="239" spans="1:20" ht="15.75" customHeight="1" x14ac:dyDescent="0.3">
      <c r="A239" s="72" t="s">
        <v>878</v>
      </c>
      <c r="B239" s="1">
        <v>694</v>
      </c>
      <c r="C239" s="1">
        <v>642</v>
      </c>
      <c r="D239" s="1">
        <v>768</v>
      </c>
      <c r="E239" s="55">
        <f t="shared" si="46"/>
        <v>2104</v>
      </c>
      <c r="F239" s="1">
        <v>863</v>
      </c>
      <c r="G239" s="1">
        <v>17</v>
      </c>
      <c r="H239" s="1"/>
      <c r="I239" s="55">
        <f t="shared" si="47"/>
        <v>880</v>
      </c>
      <c r="J239" s="1"/>
      <c r="K239" s="1"/>
      <c r="L239" s="1"/>
      <c r="M239" s="55">
        <f t="shared" si="48"/>
        <v>0</v>
      </c>
      <c r="N239" s="1"/>
      <c r="O239" s="1"/>
      <c r="P239" s="1"/>
      <c r="Q239" s="55">
        <f t="shared" si="49"/>
        <v>0</v>
      </c>
      <c r="R239" s="55">
        <f t="shared" si="45"/>
        <v>2984</v>
      </c>
    </row>
    <row r="240" spans="1:20" ht="15.75" customHeight="1" x14ac:dyDescent="0.3">
      <c r="A240" s="84" t="s">
        <v>879</v>
      </c>
      <c r="B240" s="1">
        <v>15</v>
      </c>
      <c r="C240" s="1">
        <v>20</v>
      </c>
      <c r="D240" s="1">
        <v>36</v>
      </c>
      <c r="E240" s="55">
        <f>SUM(B240:D240)</f>
        <v>71</v>
      </c>
      <c r="F240" s="1">
        <v>63</v>
      </c>
      <c r="G240" s="1">
        <v>68</v>
      </c>
      <c r="H240" s="1"/>
      <c r="I240" s="55">
        <f t="shared" si="47"/>
        <v>131</v>
      </c>
      <c r="J240" s="1"/>
      <c r="K240" s="1"/>
      <c r="L240" s="1"/>
      <c r="M240" s="55">
        <f t="shared" si="48"/>
        <v>0</v>
      </c>
      <c r="N240" s="1"/>
      <c r="O240" s="1"/>
      <c r="P240" s="1"/>
      <c r="Q240" s="55">
        <f t="shared" si="49"/>
        <v>0</v>
      </c>
      <c r="R240" s="55">
        <f t="shared" si="45"/>
        <v>202</v>
      </c>
    </row>
    <row r="241" spans="1:21" ht="15.75" customHeight="1" x14ac:dyDescent="0.3">
      <c r="A241" s="84" t="s">
        <v>880</v>
      </c>
      <c r="B241" s="1"/>
      <c r="C241" s="1"/>
      <c r="D241" s="1">
        <v>9</v>
      </c>
      <c r="E241" s="55">
        <f>SUM(B241:D241)</f>
        <v>9</v>
      </c>
      <c r="F241" s="1">
        <v>65</v>
      </c>
      <c r="G241" s="1">
        <v>65</v>
      </c>
      <c r="H241" s="1"/>
      <c r="I241" s="55">
        <f t="shared" si="47"/>
        <v>130</v>
      </c>
      <c r="J241" s="1"/>
      <c r="K241" s="1"/>
      <c r="L241" s="1"/>
      <c r="M241" s="55">
        <f t="shared" si="48"/>
        <v>0</v>
      </c>
      <c r="N241" s="1"/>
      <c r="O241" s="1"/>
      <c r="P241" s="1"/>
      <c r="Q241" s="55">
        <f t="shared" si="49"/>
        <v>0</v>
      </c>
      <c r="R241" s="55">
        <f t="shared" si="45"/>
        <v>139</v>
      </c>
    </row>
    <row r="242" spans="1:21" ht="15.75" customHeight="1" x14ac:dyDescent="0.3">
      <c r="A242" s="84" t="s">
        <v>881</v>
      </c>
      <c r="B242" s="1"/>
      <c r="C242" s="1"/>
      <c r="D242" s="1">
        <v>3</v>
      </c>
      <c r="E242" s="55">
        <f>SUM(B242:D242)</f>
        <v>3</v>
      </c>
      <c r="F242" s="1">
        <v>9</v>
      </c>
      <c r="G242" s="1"/>
      <c r="H242" s="1"/>
      <c r="I242" s="55">
        <f t="shared" si="47"/>
        <v>9</v>
      </c>
      <c r="J242" s="1"/>
      <c r="K242" s="1"/>
      <c r="L242" s="1"/>
      <c r="M242" s="55">
        <f t="shared" si="48"/>
        <v>0</v>
      </c>
      <c r="N242" s="1"/>
      <c r="O242" s="1"/>
      <c r="P242" s="1"/>
      <c r="Q242" s="55">
        <f t="shared" si="49"/>
        <v>0</v>
      </c>
      <c r="R242" s="55">
        <f t="shared" si="45"/>
        <v>12</v>
      </c>
      <c r="T242" s="4" t="s">
        <v>812</v>
      </c>
    </row>
    <row r="243" spans="1:21" ht="15.75" customHeight="1" x14ac:dyDescent="0.3">
      <c r="A243" s="72" t="s">
        <v>1198</v>
      </c>
      <c r="B243" s="1"/>
      <c r="C243" s="1"/>
      <c r="D243" s="1"/>
      <c r="E243" s="55">
        <f t="shared" ref="E243" si="52">SUM(B243:D243)</f>
        <v>0</v>
      </c>
      <c r="F243" s="1"/>
      <c r="G243" s="1"/>
      <c r="H243" s="1"/>
      <c r="I243" s="55">
        <f t="shared" ref="I243" si="53">SUM(F243:H243)</f>
        <v>0</v>
      </c>
      <c r="J243" s="1"/>
      <c r="K243" s="1"/>
      <c r="L243" s="1"/>
      <c r="M243" s="55">
        <f t="shared" ref="M243" si="54">SUM(J243:L243)</f>
        <v>0</v>
      </c>
      <c r="N243" s="1"/>
      <c r="O243" s="1"/>
      <c r="P243" s="1"/>
      <c r="Q243" s="55">
        <f t="shared" ref="Q243" si="55">SUM(N243:P243)</f>
        <v>0</v>
      </c>
      <c r="R243" s="55">
        <f t="shared" si="45"/>
        <v>0</v>
      </c>
      <c r="S243" s="466" t="s">
        <v>821</v>
      </c>
    </row>
    <row r="244" spans="1:21" ht="15.75" customHeight="1" x14ac:dyDescent="0.3">
      <c r="A244" s="72" t="s">
        <v>621</v>
      </c>
      <c r="B244" s="1"/>
      <c r="C244" s="1"/>
      <c r="D244" s="1"/>
      <c r="E244" s="55">
        <f t="shared" si="46"/>
        <v>0</v>
      </c>
      <c r="F244" s="1"/>
      <c r="G244" s="1">
        <v>10342</v>
      </c>
      <c r="H244" s="1"/>
      <c r="I244" s="55">
        <f t="shared" si="47"/>
        <v>10342</v>
      </c>
      <c r="J244" s="1"/>
      <c r="K244" s="1"/>
      <c r="L244" s="1"/>
      <c r="M244" s="55">
        <f t="shared" si="48"/>
        <v>0</v>
      </c>
      <c r="N244" s="1"/>
      <c r="O244" s="1"/>
      <c r="P244" s="1"/>
      <c r="Q244" s="55">
        <f t="shared" si="49"/>
        <v>0</v>
      </c>
      <c r="R244" s="55">
        <f t="shared" si="45"/>
        <v>10342</v>
      </c>
      <c r="S244" s="4" t="s">
        <v>821</v>
      </c>
    </row>
    <row r="245" spans="1:21" ht="15.75" customHeight="1" x14ac:dyDescent="0.3">
      <c r="A245" s="72" t="s">
        <v>622</v>
      </c>
      <c r="B245" s="1"/>
      <c r="C245" s="1"/>
      <c r="D245" s="1"/>
      <c r="E245" s="55">
        <f t="shared" si="46"/>
        <v>0</v>
      </c>
      <c r="F245" s="1">
        <f>4205+359+112</f>
        <v>4676</v>
      </c>
      <c r="G245" s="1">
        <v>621</v>
      </c>
      <c r="H245" s="1"/>
      <c r="I245" s="55">
        <f t="shared" si="47"/>
        <v>5297</v>
      </c>
      <c r="J245" s="1"/>
      <c r="K245" s="1"/>
      <c r="L245" s="1"/>
      <c r="M245" s="55">
        <f t="shared" si="48"/>
        <v>0</v>
      </c>
      <c r="N245" s="1"/>
      <c r="O245" s="1"/>
      <c r="P245" s="1"/>
      <c r="Q245" s="55">
        <f t="shared" si="49"/>
        <v>0</v>
      </c>
      <c r="R245" s="55">
        <f t="shared" si="45"/>
        <v>5297</v>
      </c>
      <c r="S245" s="4" t="s">
        <v>821</v>
      </c>
    </row>
    <row r="246" spans="1:21" ht="15.75" customHeight="1" x14ac:dyDescent="0.3">
      <c r="A246" s="72" t="s">
        <v>882</v>
      </c>
      <c r="B246" s="1"/>
      <c r="C246" s="1"/>
      <c r="D246" s="1"/>
      <c r="E246" s="55">
        <f t="shared" si="46"/>
        <v>0</v>
      </c>
      <c r="F246" s="1"/>
      <c r="G246" s="1">
        <v>233</v>
      </c>
      <c r="H246" s="1"/>
      <c r="I246" s="55">
        <f t="shared" si="47"/>
        <v>233</v>
      </c>
      <c r="J246" s="1"/>
      <c r="K246" s="1"/>
      <c r="L246" s="1"/>
      <c r="M246" s="55">
        <f t="shared" si="48"/>
        <v>0</v>
      </c>
      <c r="N246" s="1"/>
      <c r="O246" s="1"/>
      <c r="P246" s="1"/>
      <c r="Q246" s="55">
        <f>SUM(N246:P246)</f>
        <v>0</v>
      </c>
      <c r="R246" s="55">
        <f t="shared" si="45"/>
        <v>233</v>
      </c>
    </row>
    <row r="247" spans="1:21" ht="15.75" customHeight="1" x14ac:dyDescent="0.3">
      <c r="A247" s="72" t="s">
        <v>883</v>
      </c>
      <c r="B247" s="1"/>
      <c r="C247" s="1"/>
      <c r="D247" s="1"/>
      <c r="E247" s="55">
        <f t="shared" si="46"/>
        <v>0</v>
      </c>
      <c r="F247" s="1">
        <v>600</v>
      </c>
      <c r="G247" s="1">
        <f>500+149</f>
        <v>649</v>
      </c>
      <c r="H247" s="1"/>
      <c r="I247" s="55">
        <f t="shared" si="47"/>
        <v>1249</v>
      </c>
      <c r="J247" s="1"/>
      <c r="K247" s="1"/>
      <c r="L247" s="1"/>
      <c r="M247" s="55">
        <f t="shared" si="48"/>
        <v>0</v>
      </c>
      <c r="N247" s="1"/>
      <c r="O247" s="1"/>
      <c r="P247" s="1"/>
      <c r="Q247" s="55">
        <f t="shared" si="49"/>
        <v>0</v>
      </c>
      <c r="R247" s="55">
        <f t="shared" si="45"/>
        <v>1249</v>
      </c>
      <c r="S247" s="4" t="s">
        <v>821</v>
      </c>
      <c r="T247" s="4" t="s">
        <v>822</v>
      </c>
    </row>
    <row r="248" spans="1:21" ht="15.75" customHeight="1" x14ac:dyDescent="0.3">
      <c r="A248" s="72" t="s">
        <v>884</v>
      </c>
      <c r="B248" s="1"/>
      <c r="C248" s="1"/>
      <c r="D248" s="1"/>
      <c r="E248" s="55">
        <f t="shared" si="46"/>
        <v>0</v>
      </c>
      <c r="F248" s="1"/>
      <c r="G248" s="1"/>
      <c r="H248" s="1">
        <v>636</v>
      </c>
      <c r="I248" s="55">
        <f t="shared" si="47"/>
        <v>636</v>
      </c>
      <c r="J248" s="1">
        <v>800</v>
      </c>
      <c r="K248" s="1"/>
      <c r="L248" s="1"/>
      <c r="M248" s="55">
        <f t="shared" si="48"/>
        <v>800</v>
      </c>
      <c r="N248" s="1"/>
      <c r="O248" s="1"/>
      <c r="P248" s="1"/>
      <c r="Q248" s="55">
        <f t="shared" si="49"/>
        <v>0</v>
      </c>
      <c r="R248" s="55">
        <f t="shared" si="45"/>
        <v>1436</v>
      </c>
      <c r="S248" s="89" t="s">
        <v>821</v>
      </c>
      <c r="T248" s="89" t="s">
        <v>822</v>
      </c>
      <c r="U248" s="89"/>
    </row>
    <row r="249" spans="1:21" ht="15.75" customHeight="1" x14ac:dyDescent="0.3">
      <c r="A249" s="72" t="s">
        <v>161</v>
      </c>
      <c r="B249" s="1"/>
      <c r="C249" s="1"/>
      <c r="D249" s="1">
        <v>1641</v>
      </c>
      <c r="E249" s="55">
        <f>SUM(B249:D249)</f>
        <v>1641</v>
      </c>
      <c r="F249" s="1">
        <v>173</v>
      </c>
      <c r="G249" s="1"/>
      <c r="H249" s="1"/>
      <c r="I249" s="55">
        <f>SUM(F249:H249)</f>
        <v>173</v>
      </c>
      <c r="J249" s="1"/>
      <c r="K249" s="1"/>
      <c r="L249" s="1"/>
      <c r="M249" s="55">
        <f t="shared" si="48"/>
        <v>0</v>
      </c>
      <c r="N249" s="1"/>
      <c r="O249" s="1"/>
      <c r="P249" s="1"/>
      <c r="Q249" s="55">
        <f t="shared" si="49"/>
        <v>0</v>
      </c>
      <c r="R249" s="55">
        <f t="shared" si="45"/>
        <v>1814</v>
      </c>
      <c r="T249" s="4" t="s">
        <v>885</v>
      </c>
    </row>
    <row r="250" spans="1:21" ht="15.75" customHeight="1" x14ac:dyDescent="0.3">
      <c r="A250" s="84" t="s">
        <v>886</v>
      </c>
      <c r="B250" s="1"/>
      <c r="C250" s="1"/>
      <c r="D250" s="1"/>
      <c r="E250" s="55">
        <f>SUM(B250:D250)</f>
        <v>0</v>
      </c>
      <c r="F250" s="1"/>
      <c r="G250" s="1"/>
      <c r="H250" s="1"/>
      <c r="I250" s="55">
        <f>SUM(F250:H250)</f>
        <v>0</v>
      </c>
      <c r="J250" s="1"/>
      <c r="K250" s="1"/>
      <c r="L250" s="1"/>
      <c r="M250" s="55">
        <f t="shared" si="48"/>
        <v>0</v>
      </c>
      <c r="N250" s="1"/>
      <c r="O250" s="1"/>
      <c r="P250" s="1"/>
      <c r="Q250" s="55">
        <f>SUM(N250:P250)</f>
        <v>0</v>
      </c>
      <c r="R250" s="55">
        <f>+E250+I250+M250+Q250</f>
        <v>0</v>
      </c>
      <c r="T250" s="4" t="s">
        <v>819</v>
      </c>
    </row>
    <row r="251" spans="1:21" ht="15.75" customHeight="1" x14ac:dyDescent="0.3">
      <c r="A251" s="72" t="s">
        <v>162</v>
      </c>
      <c r="B251" s="1"/>
      <c r="C251" s="1"/>
      <c r="D251" s="1"/>
      <c r="E251" s="55">
        <f t="shared" si="46"/>
        <v>0</v>
      </c>
      <c r="F251" s="1"/>
      <c r="G251" s="1"/>
      <c r="H251" s="1"/>
      <c r="I251" s="55">
        <f t="shared" si="47"/>
        <v>0</v>
      </c>
      <c r="J251" s="1"/>
      <c r="K251" s="1"/>
      <c r="L251" s="1"/>
      <c r="M251" s="55">
        <f t="shared" si="48"/>
        <v>0</v>
      </c>
      <c r="N251" s="1"/>
      <c r="O251" s="1"/>
      <c r="P251" s="1"/>
      <c r="Q251" s="55">
        <f t="shared" si="49"/>
        <v>0</v>
      </c>
      <c r="R251" s="55">
        <f t="shared" si="45"/>
        <v>0</v>
      </c>
    </row>
    <row r="252" spans="1:21" ht="15.75" customHeight="1" x14ac:dyDescent="0.3">
      <c r="A252" s="72" t="s">
        <v>163</v>
      </c>
      <c r="B252" s="1"/>
      <c r="C252" s="1"/>
      <c r="D252" s="1"/>
      <c r="E252" s="55">
        <f t="shared" si="46"/>
        <v>0</v>
      </c>
      <c r="F252" s="1">
        <v>3023</v>
      </c>
      <c r="G252" s="1"/>
      <c r="H252" s="1"/>
      <c r="I252" s="55">
        <f t="shared" si="47"/>
        <v>3023</v>
      </c>
      <c r="J252" s="1"/>
      <c r="K252" s="1"/>
      <c r="L252" s="1"/>
      <c r="M252" s="55">
        <f t="shared" si="48"/>
        <v>0</v>
      </c>
      <c r="N252" s="1"/>
      <c r="O252" s="1"/>
      <c r="P252" s="1"/>
      <c r="Q252" s="55">
        <f t="shared" si="49"/>
        <v>0</v>
      </c>
      <c r="R252" s="55">
        <f t="shared" si="45"/>
        <v>3023</v>
      </c>
    </row>
    <row r="253" spans="1:21" ht="15.75" customHeight="1" x14ac:dyDescent="0.3">
      <c r="A253" s="72" t="s">
        <v>1199</v>
      </c>
      <c r="B253" s="1"/>
      <c r="C253" s="1"/>
      <c r="D253" s="1"/>
      <c r="E253" s="55">
        <f t="shared" si="46"/>
        <v>0</v>
      </c>
      <c r="F253" s="1"/>
      <c r="G253" s="1"/>
      <c r="H253" s="1"/>
      <c r="I253" s="55">
        <f t="shared" si="47"/>
        <v>0</v>
      </c>
      <c r="J253" s="1"/>
      <c r="K253" s="1"/>
      <c r="L253" s="1"/>
      <c r="M253" s="55">
        <f t="shared" si="48"/>
        <v>0</v>
      </c>
      <c r="N253" s="1"/>
      <c r="O253" s="1"/>
      <c r="P253" s="1"/>
      <c r="Q253" s="55">
        <f t="shared" si="49"/>
        <v>0</v>
      </c>
      <c r="R253" s="55">
        <f t="shared" si="45"/>
        <v>0</v>
      </c>
    </row>
    <row r="254" spans="1:21" ht="15.75" customHeight="1" x14ac:dyDescent="0.3">
      <c r="A254" s="72" t="s">
        <v>164</v>
      </c>
      <c r="B254" s="1">
        <v>60</v>
      </c>
      <c r="C254" s="1"/>
      <c r="D254" s="1"/>
      <c r="E254" s="55">
        <f t="shared" si="46"/>
        <v>60</v>
      </c>
      <c r="F254" s="1"/>
      <c r="G254" s="1"/>
      <c r="H254" s="1"/>
      <c r="I254" s="55">
        <f t="shared" si="47"/>
        <v>0</v>
      </c>
      <c r="J254" s="1"/>
      <c r="K254" s="1"/>
      <c r="L254" s="1"/>
      <c r="M254" s="55">
        <f t="shared" si="48"/>
        <v>0</v>
      </c>
      <c r="N254" s="1"/>
      <c r="O254" s="1"/>
      <c r="P254" s="1"/>
      <c r="Q254" s="55">
        <f t="shared" si="49"/>
        <v>0</v>
      </c>
      <c r="R254" s="55">
        <f t="shared" si="45"/>
        <v>60</v>
      </c>
    </row>
    <row r="255" spans="1:21" ht="15.75" customHeight="1" x14ac:dyDescent="0.3">
      <c r="A255" s="72" t="s">
        <v>887</v>
      </c>
      <c r="B255" s="1">
        <v>60</v>
      </c>
      <c r="C255" s="1"/>
      <c r="D255" s="1"/>
      <c r="E255" s="55">
        <f t="shared" si="46"/>
        <v>60</v>
      </c>
      <c r="F255" s="1"/>
      <c r="G255" s="1"/>
      <c r="H255" s="1"/>
      <c r="I255" s="55">
        <f t="shared" si="47"/>
        <v>0</v>
      </c>
      <c r="J255" s="1"/>
      <c r="K255" s="1"/>
      <c r="L255" s="1"/>
      <c r="M255" s="55">
        <f t="shared" si="48"/>
        <v>0</v>
      </c>
      <c r="N255" s="1"/>
      <c r="O255" s="1"/>
      <c r="P255" s="1"/>
      <c r="Q255" s="55">
        <f t="shared" si="49"/>
        <v>0</v>
      </c>
      <c r="R255" s="55">
        <f t="shared" si="45"/>
        <v>60</v>
      </c>
      <c r="S255" s="4" t="s">
        <v>821</v>
      </c>
      <c r="T255" s="4" t="s">
        <v>822</v>
      </c>
    </row>
    <row r="256" spans="1:21" ht="15.75" customHeight="1" x14ac:dyDescent="0.3">
      <c r="A256" s="72" t="s">
        <v>1200</v>
      </c>
      <c r="B256" s="1"/>
      <c r="C256" s="1"/>
      <c r="D256" s="1"/>
      <c r="E256" s="55">
        <f t="shared" si="46"/>
        <v>0</v>
      </c>
      <c r="F256" s="1"/>
      <c r="G256" s="1"/>
      <c r="H256" s="1"/>
      <c r="I256" s="55">
        <f t="shared" si="47"/>
        <v>0</v>
      </c>
      <c r="J256" s="1"/>
      <c r="K256" s="1"/>
      <c r="L256" s="1"/>
      <c r="M256" s="55">
        <f t="shared" si="48"/>
        <v>0</v>
      </c>
      <c r="N256" s="1"/>
      <c r="O256" s="1"/>
      <c r="P256" s="1"/>
      <c r="Q256" s="55">
        <f t="shared" si="49"/>
        <v>0</v>
      </c>
      <c r="R256" s="55">
        <f t="shared" si="45"/>
        <v>0</v>
      </c>
      <c r="T256" s="4" t="s">
        <v>822</v>
      </c>
    </row>
    <row r="257" spans="1:20" ht="15.75" customHeight="1" x14ac:dyDescent="0.3">
      <c r="A257" s="347" t="s">
        <v>1201</v>
      </c>
      <c r="B257" s="1"/>
      <c r="C257" s="1"/>
      <c r="D257" s="1"/>
      <c r="E257" s="55">
        <f t="shared" ref="E257" si="56">SUM(B257:D257)</f>
        <v>0</v>
      </c>
      <c r="F257" s="1"/>
      <c r="G257" s="1"/>
      <c r="H257" s="1">
        <v>2926</v>
      </c>
      <c r="I257" s="55">
        <f t="shared" ref="I257" si="57">SUM(F257:H257)</f>
        <v>2926</v>
      </c>
      <c r="J257" s="1">
        <v>1462</v>
      </c>
      <c r="K257" s="1">
        <v>962</v>
      </c>
      <c r="L257" s="1">
        <v>962</v>
      </c>
      <c r="M257" s="55">
        <f t="shared" ref="M257" si="58">SUM(J257:L257)</f>
        <v>3386</v>
      </c>
      <c r="N257" s="1"/>
      <c r="O257" s="1"/>
      <c r="P257" s="1"/>
      <c r="Q257" s="55">
        <f t="shared" ref="Q257" si="59">SUM(N257:P257)</f>
        <v>0</v>
      </c>
      <c r="R257" s="55">
        <f t="shared" si="45"/>
        <v>6312</v>
      </c>
      <c r="S257" s="4" t="s">
        <v>821</v>
      </c>
      <c r="T257" s="4" t="s">
        <v>822</v>
      </c>
    </row>
    <row r="258" spans="1:20" ht="15.75" customHeight="1" x14ac:dyDescent="0.3">
      <c r="A258" s="347" t="s">
        <v>890</v>
      </c>
      <c r="B258" s="1"/>
      <c r="C258" s="1"/>
      <c r="D258" s="1"/>
      <c r="E258" s="55">
        <f t="shared" si="46"/>
        <v>0</v>
      </c>
      <c r="F258" s="1"/>
      <c r="G258" s="1"/>
      <c r="H258" s="1">
        <v>3000</v>
      </c>
      <c r="I258" s="55">
        <f t="shared" si="47"/>
        <v>3000</v>
      </c>
      <c r="J258" s="1">
        <v>5000</v>
      </c>
      <c r="K258" s="1">
        <v>6951</v>
      </c>
      <c r="L258" s="1">
        <v>5000</v>
      </c>
      <c r="M258" s="55">
        <f t="shared" si="48"/>
        <v>16951</v>
      </c>
      <c r="N258" s="1"/>
      <c r="O258" s="1">
        <v>2324</v>
      </c>
      <c r="P258" s="1">
        <v>4600</v>
      </c>
      <c r="Q258" s="55">
        <f t="shared" si="49"/>
        <v>6924</v>
      </c>
      <c r="R258" s="55">
        <f>+E258+I258+M258+Q258</f>
        <v>26875</v>
      </c>
      <c r="S258" s="465" t="s">
        <v>821</v>
      </c>
      <c r="T258" s="4" t="s">
        <v>822</v>
      </c>
    </row>
    <row r="259" spans="1:20" ht="15.75" customHeight="1" x14ac:dyDescent="0.3">
      <c r="A259" s="88" t="s">
        <v>891</v>
      </c>
      <c r="B259" s="1"/>
      <c r="C259" s="1"/>
      <c r="D259" s="1"/>
      <c r="E259" s="55">
        <f t="shared" si="46"/>
        <v>0</v>
      </c>
      <c r="F259" s="1"/>
      <c r="G259" s="1"/>
      <c r="H259" s="1"/>
      <c r="I259" s="55">
        <f t="shared" si="47"/>
        <v>0</v>
      </c>
      <c r="J259" s="1"/>
      <c r="K259" s="1"/>
      <c r="L259" s="1"/>
      <c r="M259" s="55">
        <f t="shared" si="48"/>
        <v>0</v>
      </c>
      <c r="N259" s="1"/>
      <c r="O259" s="1"/>
      <c r="P259" s="1"/>
      <c r="Q259" s="55">
        <f t="shared" si="49"/>
        <v>0</v>
      </c>
      <c r="R259" s="55">
        <f t="shared" si="45"/>
        <v>0</v>
      </c>
      <c r="T259" s="4" t="s">
        <v>818</v>
      </c>
    </row>
    <row r="260" spans="1:20" ht="15.75" customHeight="1" x14ac:dyDescent="0.3">
      <c r="A260" s="88" t="s">
        <v>892</v>
      </c>
      <c r="B260" s="1"/>
      <c r="C260" s="1"/>
      <c r="D260" s="1"/>
      <c r="E260" s="55">
        <f t="shared" si="46"/>
        <v>0</v>
      </c>
      <c r="F260" s="1"/>
      <c r="G260" s="1"/>
      <c r="H260" s="1"/>
      <c r="I260" s="55">
        <f t="shared" ref="I260" si="60">SUM(F260:H260)</f>
        <v>0</v>
      </c>
      <c r="J260" s="1">
        <v>565</v>
      </c>
      <c r="K260" s="1"/>
      <c r="L260" s="1"/>
      <c r="M260" s="55">
        <f t="shared" ref="M260" si="61">SUM(J260:L260)</f>
        <v>565</v>
      </c>
      <c r="N260" s="1">
        <v>400</v>
      </c>
      <c r="O260" s="1">
        <v>480</v>
      </c>
      <c r="P260" s="1"/>
      <c r="Q260" s="55">
        <f t="shared" si="49"/>
        <v>880</v>
      </c>
      <c r="R260" s="55">
        <f t="shared" si="45"/>
        <v>1445</v>
      </c>
      <c r="T260" s="4" t="s">
        <v>819</v>
      </c>
    </row>
    <row r="261" spans="1:20" ht="15.75" customHeight="1" x14ac:dyDescent="0.3">
      <c r="A261" s="72" t="s">
        <v>893</v>
      </c>
      <c r="B261" s="1"/>
      <c r="C261" s="1"/>
      <c r="D261" s="1"/>
      <c r="E261" s="55">
        <f t="shared" si="46"/>
        <v>0</v>
      </c>
      <c r="F261" s="1"/>
      <c r="G261" s="1"/>
      <c r="H261" s="1">
        <f>500+800</f>
        <v>1300</v>
      </c>
      <c r="I261" s="55">
        <f t="shared" si="47"/>
        <v>1300</v>
      </c>
      <c r="J261" s="1">
        <f>750+550</f>
        <v>1300</v>
      </c>
      <c r="K261" s="1">
        <f>469+500</f>
        <v>969</v>
      </c>
      <c r="L261" s="1"/>
      <c r="M261" s="55">
        <f>SUM(J261:L261)</f>
        <v>2269</v>
      </c>
      <c r="N261" s="1"/>
      <c r="O261" s="1"/>
      <c r="P261" s="1"/>
      <c r="Q261" s="55">
        <f t="shared" si="49"/>
        <v>0</v>
      </c>
      <c r="R261" s="55">
        <f t="shared" si="45"/>
        <v>3569</v>
      </c>
      <c r="S261" s="4" t="s">
        <v>821</v>
      </c>
      <c r="T261" s="4" t="s">
        <v>822</v>
      </c>
    </row>
    <row r="262" spans="1:20" ht="15.75" customHeight="1" x14ac:dyDescent="0.3">
      <c r="A262" s="88" t="s">
        <v>1202</v>
      </c>
      <c r="B262" s="1"/>
      <c r="C262" s="1"/>
      <c r="D262" s="1"/>
      <c r="E262" s="55">
        <f t="shared" si="46"/>
        <v>0</v>
      </c>
      <c r="F262" s="1"/>
      <c r="G262" s="1"/>
      <c r="H262" s="1">
        <v>1105</v>
      </c>
      <c r="I262" s="55">
        <f t="shared" si="47"/>
        <v>1105</v>
      </c>
      <c r="J262" s="1"/>
      <c r="K262" s="1"/>
      <c r="L262" s="1"/>
      <c r="M262" s="55">
        <f>SUM(J262:L262)</f>
        <v>0</v>
      </c>
      <c r="N262" s="1"/>
      <c r="O262" s="1"/>
      <c r="P262" s="1"/>
      <c r="Q262" s="55">
        <f t="shared" si="49"/>
        <v>0</v>
      </c>
      <c r="R262" s="55">
        <f t="shared" si="45"/>
        <v>1105</v>
      </c>
    </row>
    <row r="263" spans="1:20" ht="15.75" customHeight="1" x14ac:dyDescent="0.3">
      <c r="A263" s="72" t="s">
        <v>894</v>
      </c>
      <c r="B263" s="1"/>
      <c r="C263" s="1"/>
      <c r="D263" s="1"/>
      <c r="E263" s="55">
        <f t="shared" si="46"/>
        <v>0</v>
      </c>
      <c r="F263" s="1">
        <v>700</v>
      </c>
      <c r="G263" s="1">
        <v>700</v>
      </c>
      <c r="H263" s="1">
        <v>164</v>
      </c>
      <c r="I263" s="55">
        <f t="shared" si="47"/>
        <v>1564</v>
      </c>
      <c r="J263" s="1"/>
      <c r="K263" s="1"/>
      <c r="L263" s="1"/>
      <c r="M263" s="55">
        <f t="shared" si="48"/>
        <v>0</v>
      </c>
      <c r="N263" s="1"/>
      <c r="O263" s="1"/>
      <c r="P263" s="1"/>
      <c r="Q263" s="55">
        <f t="shared" si="49"/>
        <v>0</v>
      </c>
      <c r="R263" s="55">
        <f t="shared" si="45"/>
        <v>1564</v>
      </c>
      <c r="T263" s="4" t="s">
        <v>822</v>
      </c>
    </row>
    <row r="264" spans="1:20" ht="15.75" customHeight="1" x14ac:dyDescent="0.3">
      <c r="A264" s="72" t="s">
        <v>170</v>
      </c>
      <c r="B264" s="1">
        <v>1062</v>
      </c>
      <c r="C264" s="1">
        <v>1730</v>
      </c>
      <c r="D264" s="1">
        <v>58</v>
      </c>
      <c r="E264" s="55">
        <f t="shared" si="46"/>
        <v>2850</v>
      </c>
      <c r="F264" s="1"/>
      <c r="G264" s="1"/>
      <c r="H264" s="1"/>
      <c r="I264" s="55">
        <f t="shared" si="47"/>
        <v>0</v>
      </c>
      <c r="J264" s="1"/>
      <c r="K264" s="1"/>
      <c r="L264" s="1"/>
      <c r="M264" s="55">
        <f t="shared" si="48"/>
        <v>0</v>
      </c>
      <c r="N264" s="1"/>
      <c r="O264" s="1"/>
      <c r="P264" s="1"/>
      <c r="Q264" s="55">
        <f t="shared" si="49"/>
        <v>0</v>
      </c>
      <c r="R264" s="55">
        <f t="shared" si="45"/>
        <v>2850</v>
      </c>
      <c r="T264" s="4" t="s">
        <v>832</v>
      </c>
    </row>
    <row r="265" spans="1:20" ht="15.75" customHeight="1" x14ac:dyDescent="0.3">
      <c r="A265" s="72" t="s">
        <v>171</v>
      </c>
      <c r="B265" s="1"/>
      <c r="C265" s="1"/>
      <c r="D265" s="1"/>
      <c r="E265" s="55">
        <f t="shared" si="46"/>
        <v>0</v>
      </c>
      <c r="F265" s="1"/>
      <c r="G265" s="1"/>
      <c r="H265" s="1"/>
      <c r="I265" s="55">
        <f t="shared" si="47"/>
        <v>0</v>
      </c>
      <c r="J265" s="1"/>
      <c r="K265" s="1"/>
      <c r="L265" s="1"/>
      <c r="M265" s="55">
        <f t="shared" si="48"/>
        <v>0</v>
      </c>
      <c r="N265" s="1"/>
      <c r="O265" s="1"/>
      <c r="P265" s="1"/>
      <c r="Q265" s="55">
        <f t="shared" si="49"/>
        <v>0</v>
      </c>
      <c r="R265" s="55">
        <f t="shared" si="45"/>
        <v>0</v>
      </c>
    </row>
    <row r="266" spans="1:20" ht="15.75" customHeight="1" x14ac:dyDescent="0.3">
      <c r="A266" s="72" t="s">
        <v>172</v>
      </c>
      <c r="B266" s="1"/>
      <c r="C266" s="1"/>
      <c r="D266" s="1"/>
      <c r="E266" s="55">
        <f t="shared" si="46"/>
        <v>0</v>
      </c>
      <c r="F266" s="1">
        <v>4750</v>
      </c>
      <c r="G266" s="1"/>
      <c r="H266" s="1"/>
      <c r="I266" s="55">
        <f>SUM(F266:H266)</f>
        <v>4750</v>
      </c>
      <c r="J266" s="1"/>
      <c r="K266" s="1"/>
      <c r="L266" s="1"/>
      <c r="M266" s="55">
        <f t="shared" si="48"/>
        <v>0</v>
      </c>
      <c r="N266" s="1"/>
      <c r="O266" s="1"/>
      <c r="P266" s="1"/>
      <c r="Q266" s="55">
        <f t="shared" si="49"/>
        <v>0</v>
      </c>
      <c r="R266" s="55">
        <f t="shared" si="45"/>
        <v>4750</v>
      </c>
      <c r="S266" s="4" t="s">
        <v>821</v>
      </c>
    </row>
    <row r="267" spans="1:20" ht="15.75" customHeight="1" x14ac:dyDescent="0.3">
      <c r="A267" s="72" t="s">
        <v>173</v>
      </c>
      <c r="B267" s="1">
        <v>95</v>
      </c>
      <c r="C267" s="1"/>
      <c r="D267" s="1"/>
      <c r="E267" s="55">
        <f t="shared" si="46"/>
        <v>95</v>
      </c>
      <c r="F267" s="1"/>
      <c r="G267" s="1"/>
      <c r="H267" s="1"/>
      <c r="I267" s="55">
        <f t="shared" si="47"/>
        <v>0</v>
      </c>
      <c r="J267" s="1"/>
      <c r="K267" s="1"/>
      <c r="L267" s="1"/>
      <c r="M267" s="55">
        <f t="shared" si="48"/>
        <v>0</v>
      </c>
      <c r="N267" s="1"/>
      <c r="O267" s="1"/>
      <c r="P267" s="1"/>
      <c r="Q267" s="55">
        <f t="shared" si="49"/>
        <v>0</v>
      </c>
      <c r="R267" s="55">
        <f t="shared" si="45"/>
        <v>95</v>
      </c>
    </row>
    <row r="268" spans="1:20" ht="15.75" customHeight="1" x14ac:dyDescent="0.3">
      <c r="A268" s="72" t="s">
        <v>895</v>
      </c>
      <c r="B268" s="1">
        <v>95</v>
      </c>
      <c r="C268" s="1"/>
      <c r="D268" s="1"/>
      <c r="E268" s="55">
        <f t="shared" si="46"/>
        <v>95</v>
      </c>
      <c r="F268" s="1"/>
      <c r="G268" s="1"/>
      <c r="H268" s="1"/>
      <c r="I268" s="55">
        <f t="shared" si="47"/>
        <v>0</v>
      </c>
      <c r="J268" s="1"/>
      <c r="K268" s="1"/>
      <c r="L268" s="1"/>
      <c r="M268" s="55">
        <f t="shared" si="48"/>
        <v>0</v>
      </c>
      <c r="N268" s="1"/>
      <c r="O268" s="1"/>
      <c r="P268" s="1"/>
      <c r="Q268" s="55">
        <f t="shared" si="49"/>
        <v>0</v>
      </c>
      <c r="R268" s="55">
        <f t="shared" si="45"/>
        <v>95</v>
      </c>
      <c r="S268" s="4" t="s">
        <v>821</v>
      </c>
      <c r="T268" s="4" t="s">
        <v>822</v>
      </c>
    </row>
    <row r="269" spans="1:20" ht="15.75" customHeight="1" x14ac:dyDescent="0.3">
      <c r="A269" s="72" t="s">
        <v>889</v>
      </c>
      <c r="B269" s="1">
        <v>1073</v>
      </c>
      <c r="C269" s="1"/>
      <c r="D269" s="1"/>
      <c r="E269" s="55">
        <f>SUM(B269:D269)</f>
        <v>1073</v>
      </c>
      <c r="F269" s="1">
        <v>1310</v>
      </c>
      <c r="G269" s="1">
        <v>2356</v>
      </c>
      <c r="H269" s="1">
        <v>301</v>
      </c>
      <c r="I269" s="55">
        <f>SUM(F269:H269)</f>
        <v>3967</v>
      </c>
      <c r="J269" s="1">
        <v>1000</v>
      </c>
      <c r="K269" s="1">
        <v>1835</v>
      </c>
      <c r="L269" s="1">
        <f>583+2200</f>
        <v>2783</v>
      </c>
      <c r="M269" s="55">
        <f>SUM(J269:L269)</f>
        <v>5618</v>
      </c>
      <c r="N269" s="1">
        <v>869</v>
      </c>
      <c r="O269" s="1">
        <v>1699</v>
      </c>
      <c r="P269" s="1">
        <v>737</v>
      </c>
      <c r="Q269" s="55">
        <f>SUM(N269:P269)</f>
        <v>3305</v>
      </c>
      <c r="R269" s="55">
        <f>+E269+I269+M269+Q269</f>
        <v>13963</v>
      </c>
      <c r="S269" s="4" t="s">
        <v>821</v>
      </c>
      <c r="T269" s="4" t="s">
        <v>822</v>
      </c>
    </row>
    <row r="270" spans="1:20" ht="15.75" customHeight="1" x14ac:dyDescent="0.3">
      <c r="A270" s="72" t="s">
        <v>1203</v>
      </c>
      <c r="B270" s="1"/>
      <c r="C270" s="1"/>
      <c r="D270" s="1"/>
      <c r="E270" s="55">
        <f>SUM(B270:D270)</f>
        <v>0</v>
      </c>
      <c r="F270" s="1"/>
      <c r="G270" s="1"/>
      <c r="H270" s="1"/>
      <c r="I270" s="55">
        <f>SUM(F270:H270)</f>
        <v>0</v>
      </c>
      <c r="J270" s="1"/>
      <c r="K270" s="1"/>
      <c r="L270" s="1"/>
      <c r="M270" s="55">
        <f>SUM(J270:L270)</f>
        <v>0</v>
      </c>
      <c r="N270" s="1"/>
      <c r="O270" s="1"/>
      <c r="P270" s="1"/>
      <c r="Q270" s="55">
        <f>SUM(N270:P270)</f>
        <v>0</v>
      </c>
      <c r="R270" s="55">
        <f>+E270+I270+M270+Q270</f>
        <v>0</v>
      </c>
      <c r="T270" s="4" t="s">
        <v>822</v>
      </c>
    </row>
    <row r="271" spans="1:20" ht="15.75" customHeight="1" x14ac:dyDescent="0.3">
      <c r="A271" s="88" t="s">
        <v>1204</v>
      </c>
      <c r="B271" s="1"/>
      <c r="C271" s="1"/>
      <c r="D271" s="1"/>
      <c r="E271" s="55">
        <f t="shared" ref="E271" si="62">SUM(B271:D271)</f>
        <v>0</v>
      </c>
      <c r="F271" s="1"/>
      <c r="G271" s="1"/>
      <c r="H271" s="1"/>
      <c r="I271" s="55">
        <f t="shared" ref="I271" si="63">SUM(F271:H271)</f>
        <v>0</v>
      </c>
      <c r="J271" s="1"/>
      <c r="K271" s="1"/>
      <c r="L271" s="1"/>
      <c r="M271" s="55">
        <f t="shared" ref="M271" si="64">SUM(J271:L271)</f>
        <v>0</v>
      </c>
      <c r="N271" s="1"/>
      <c r="O271" s="1"/>
      <c r="P271" s="1">
        <v>203</v>
      </c>
      <c r="Q271" s="55">
        <f t="shared" ref="Q271" si="65">SUM(N271:P271)</f>
        <v>203</v>
      </c>
      <c r="R271" s="55">
        <f>+E271+I271+M271+Q271</f>
        <v>203</v>
      </c>
      <c r="T271" s="4" t="s">
        <v>822</v>
      </c>
    </row>
    <row r="272" spans="1:20" ht="15.75" customHeight="1" x14ac:dyDescent="0.3">
      <c r="A272" s="72" t="s">
        <v>896</v>
      </c>
      <c r="B272" s="1"/>
      <c r="C272" s="1"/>
      <c r="D272" s="1"/>
      <c r="E272" s="55">
        <f t="shared" si="46"/>
        <v>0</v>
      </c>
      <c r="F272" s="1"/>
      <c r="G272" s="1"/>
      <c r="H272" s="1"/>
      <c r="I272" s="55">
        <f t="shared" si="47"/>
        <v>0</v>
      </c>
      <c r="J272" s="1">
        <v>2825</v>
      </c>
      <c r="K272" s="1">
        <v>2500</v>
      </c>
      <c r="L272" s="1"/>
      <c r="M272" s="55">
        <f t="shared" si="48"/>
        <v>5325</v>
      </c>
      <c r="N272" s="1"/>
      <c r="O272" s="1"/>
      <c r="P272" s="1"/>
      <c r="Q272" s="55">
        <f t="shared" si="49"/>
        <v>0</v>
      </c>
      <c r="R272" s="55">
        <f t="shared" si="45"/>
        <v>5325</v>
      </c>
      <c r="S272" s="4" t="s">
        <v>821</v>
      </c>
    </row>
    <row r="273" spans="1:20" ht="15.75" customHeight="1" x14ac:dyDescent="0.3">
      <c r="A273" s="72" t="s">
        <v>709</v>
      </c>
      <c r="B273" s="1">
        <v>4</v>
      </c>
      <c r="C273" s="1">
        <v>3719</v>
      </c>
      <c r="D273" s="1">
        <v>5141</v>
      </c>
      <c r="E273" s="55">
        <f>SUM(B273:D273)</f>
        <v>8864</v>
      </c>
      <c r="F273" s="1">
        <v>1567</v>
      </c>
      <c r="G273" s="1"/>
      <c r="H273" s="1"/>
      <c r="I273" s="55">
        <f>SUM(F273:H273)</f>
        <v>1567</v>
      </c>
      <c r="J273" s="1"/>
      <c r="K273" s="1"/>
      <c r="L273" s="1"/>
      <c r="M273" s="55">
        <f>SUM(J273:L273)</f>
        <v>0</v>
      </c>
      <c r="N273" s="1"/>
      <c r="O273" s="1"/>
      <c r="P273" s="1"/>
      <c r="Q273" s="55">
        <f>SUM(N273:P273)</f>
        <v>0</v>
      </c>
      <c r="R273" s="55">
        <f>+E273+I273+M273+Q273</f>
        <v>10431</v>
      </c>
      <c r="S273" s="4" t="s">
        <v>821</v>
      </c>
    </row>
    <row r="274" spans="1:20" ht="15.75" customHeight="1" x14ac:dyDescent="0.3">
      <c r="A274" s="72" t="s">
        <v>897</v>
      </c>
      <c r="B274" s="1">
        <v>115</v>
      </c>
      <c r="C274" s="1"/>
      <c r="D274" s="1"/>
      <c r="E274" s="55">
        <f>SUM(B274:D274)</f>
        <v>115</v>
      </c>
      <c r="F274" s="1"/>
      <c r="G274" s="1"/>
      <c r="H274" s="1"/>
      <c r="I274" s="55">
        <f>SUM(F274:H274)</f>
        <v>0</v>
      </c>
      <c r="J274" s="1"/>
      <c r="K274" s="1"/>
      <c r="L274" s="1"/>
      <c r="M274" s="55">
        <f>SUM(J274:L274)</f>
        <v>0</v>
      </c>
      <c r="N274" s="1"/>
      <c r="O274" s="1"/>
      <c r="P274" s="1"/>
      <c r="Q274" s="55">
        <f>SUM(N274:P274)</f>
        <v>0</v>
      </c>
      <c r="R274" s="55">
        <f>+E274+I274+M274+Q274</f>
        <v>115</v>
      </c>
    </row>
    <row r="275" spans="1:20" ht="15.75" customHeight="1" x14ac:dyDescent="0.3">
      <c r="A275" s="72" t="s">
        <v>1205</v>
      </c>
      <c r="B275" s="1"/>
      <c r="C275" s="1"/>
      <c r="D275" s="1"/>
      <c r="E275" s="55">
        <f t="shared" ref="E275" si="66">SUM(B275:D275)</f>
        <v>0</v>
      </c>
      <c r="F275" s="1"/>
      <c r="G275" s="1"/>
      <c r="H275" s="1"/>
      <c r="I275" s="55">
        <f t="shared" ref="I275" si="67">SUM(F275:H275)</f>
        <v>0</v>
      </c>
      <c r="J275" s="1"/>
      <c r="K275" s="1"/>
      <c r="L275" s="1"/>
      <c r="M275" s="55">
        <f t="shared" ref="M275" si="68">SUM(J275:L275)</f>
        <v>0</v>
      </c>
      <c r="N275" s="1"/>
      <c r="O275" s="1"/>
      <c r="P275" s="1"/>
      <c r="Q275" s="55">
        <f t="shared" ref="Q275" si="69">SUM(N275:P275)</f>
        <v>0</v>
      </c>
      <c r="R275" s="55">
        <f t="shared" ref="R275" si="70">+E275+I275+M275+Q275</f>
        <v>0</v>
      </c>
    </row>
    <row r="276" spans="1:20" ht="15.75" customHeight="1" x14ac:dyDescent="0.3">
      <c r="A276" s="72" t="s">
        <v>175</v>
      </c>
      <c r="B276" s="1">
        <v>500</v>
      </c>
      <c r="C276" s="1"/>
      <c r="D276" s="1"/>
      <c r="E276" s="55">
        <f t="shared" si="46"/>
        <v>500</v>
      </c>
      <c r="F276" s="1"/>
      <c r="G276" s="1"/>
      <c r="H276" s="1"/>
      <c r="I276" s="55">
        <f t="shared" si="47"/>
        <v>0</v>
      </c>
      <c r="J276" s="1"/>
      <c r="K276" s="1"/>
      <c r="L276" s="1"/>
      <c r="M276" s="55">
        <f t="shared" si="48"/>
        <v>0</v>
      </c>
      <c r="N276" s="1"/>
      <c r="O276" s="1"/>
      <c r="P276" s="1"/>
      <c r="Q276" s="55">
        <f t="shared" si="49"/>
        <v>0</v>
      </c>
      <c r="R276" s="55">
        <f t="shared" si="45"/>
        <v>500</v>
      </c>
    </row>
    <row r="277" spans="1:20" ht="15.75" customHeight="1" thickBot="1" x14ac:dyDescent="0.35">
      <c r="A277" s="72" t="s">
        <v>898</v>
      </c>
      <c r="B277" s="1"/>
      <c r="C277" s="1"/>
      <c r="D277" s="1"/>
      <c r="E277" s="55">
        <f>SUM(B277:D277)</f>
        <v>0</v>
      </c>
      <c r="F277" s="1"/>
      <c r="G277" s="1"/>
      <c r="H277" s="1"/>
      <c r="I277" s="55">
        <f>SUM(F277:H277)</f>
        <v>0</v>
      </c>
      <c r="J277" s="1"/>
      <c r="K277" s="1"/>
      <c r="L277" s="1"/>
      <c r="M277" s="55">
        <f>SUM(J277:L277)</f>
        <v>0</v>
      </c>
      <c r="N277" s="1"/>
      <c r="O277" s="1"/>
      <c r="P277" s="1"/>
      <c r="Q277" s="55">
        <f>SUM(N277:P277)</f>
        <v>0</v>
      </c>
      <c r="R277" s="55">
        <f t="shared" si="45"/>
        <v>0</v>
      </c>
      <c r="S277" s="465" t="s">
        <v>821</v>
      </c>
    </row>
    <row r="278" spans="1:20" ht="16.5" customHeight="1" thickBot="1" x14ac:dyDescent="0.35">
      <c r="A278" s="57" t="s">
        <v>63</v>
      </c>
      <c r="B278" s="86">
        <f>SUM(B214:B277)</f>
        <v>6699</v>
      </c>
      <c r="C278" s="87">
        <f>SUM(C214:C277)</f>
        <v>8280</v>
      </c>
      <c r="D278" s="87">
        <f>SUM(D214:D277)</f>
        <v>11492</v>
      </c>
      <c r="E278" s="59">
        <f t="shared" ref="E278" si="71">SUM(B278:D278)</f>
        <v>26471</v>
      </c>
      <c r="F278" s="87">
        <f>SUM(F214:F277)</f>
        <v>24991</v>
      </c>
      <c r="G278" s="87">
        <f>SUM(G214:G277)</f>
        <v>20849</v>
      </c>
      <c r="H278" s="87">
        <f>SUM(H214:H277)</f>
        <v>10839</v>
      </c>
      <c r="I278" s="59">
        <f t="shared" ref="I278" si="72">SUM(F278:H278)</f>
        <v>56679</v>
      </c>
      <c r="J278" s="87">
        <f>SUM(J214:J277)</f>
        <v>14516</v>
      </c>
      <c r="K278" s="87">
        <f>SUM(K214:K277)</f>
        <v>13878</v>
      </c>
      <c r="L278" s="87">
        <f>SUM(L214:L277)</f>
        <v>9324</v>
      </c>
      <c r="M278" s="59">
        <f t="shared" ref="M278" si="73">SUM(J278:L278)</f>
        <v>37718</v>
      </c>
      <c r="N278" s="87">
        <f>SUM(N214:N277)</f>
        <v>2305</v>
      </c>
      <c r="O278" s="87">
        <f>SUM(O214:O277)</f>
        <v>4954</v>
      </c>
      <c r="P278" s="87">
        <f>SUM(P214:P277)</f>
        <v>5901</v>
      </c>
      <c r="Q278" s="59">
        <f t="shared" ref="Q278" si="74">SUM(N278:P278)</f>
        <v>13160</v>
      </c>
      <c r="R278" s="59">
        <f t="shared" si="45"/>
        <v>134028</v>
      </c>
    </row>
    <row r="279" spans="1:20" ht="15.75" customHeight="1" x14ac:dyDescent="0.3">
      <c r="A279" s="15" t="s">
        <v>64</v>
      </c>
      <c r="B279" s="1"/>
      <c r="C279" s="1"/>
      <c r="D279" s="1"/>
      <c r="E279" s="55" t="s">
        <v>7</v>
      </c>
      <c r="F279" s="1"/>
      <c r="G279" s="1"/>
      <c r="H279" s="1"/>
      <c r="I279" s="55" t="s">
        <v>7</v>
      </c>
      <c r="J279" s="1"/>
      <c r="K279" s="1"/>
      <c r="L279" s="1"/>
      <c r="M279" s="55" t="s">
        <v>7</v>
      </c>
      <c r="N279" s="1"/>
      <c r="O279" s="1"/>
      <c r="P279" s="1"/>
      <c r="Q279" s="55" t="s">
        <v>7</v>
      </c>
      <c r="R279" s="55" t="s">
        <v>7</v>
      </c>
    </row>
    <row r="280" spans="1:20" ht="15.75" customHeight="1" x14ac:dyDescent="0.3">
      <c r="A280" s="15" t="s">
        <v>594</v>
      </c>
      <c r="B280" s="1"/>
      <c r="C280" s="1"/>
      <c r="D280" s="1"/>
      <c r="E280" s="55" t="s">
        <v>7</v>
      </c>
      <c r="F280" s="1"/>
      <c r="G280" s="1"/>
      <c r="H280" s="1"/>
      <c r="I280" s="55" t="s">
        <v>7</v>
      </c>
      <c r="J280" s="1"/>
      <c r="K280" s="1"/>
      <c r="L280" s="1"/>
      <c r="M280" s="55" t="s">
        <v>7</v>
      </c>
      <c r="N280" s="1"/>
      <c r="O280" s="1"/>
      <c r="P280" s="1"/>
      <c r="Q280" s="55" t="s">
        <v>7</v>
      </c>
      <c r="R280" s="55" t="s">
        <v>7</v>
      </c>
    </row>
    <row r="281" spans="1:20" ht="15.75" customHeight="1" x14ac:dyDescent="0.3">
      <c r="A281" s="346" t="s">
        <v>899</v>
      </c>
      <c r="B281" s="1"/>
      <c r="C281" s="1"/>
      <c r="D281" s="1"/>
      <c r="E281" s="55">
        <f>SUM(B281:D281)</f>
        <v>0</v>
      </c>
      <c r="F281" s="1"/>
      <c r="G281" s="1"/>
      <c r="H281" s="1"/>
      <c r="I281" s="55">
        <f>SUM(F281:H281)</f>
        <v>0</v>
      </c>
      <c r="J281" s="1"/>
      <c r="K281" s="1"/>
      <c r="L281" s="1"/>
      <c r="M281" s="55">
        <f>SUM(J281:L281)</f>
        <v>0</v>
      </c>
      <c r="N281" s="1"/>
      <c r="O281" s="1"/>
      <c r="P281" s="1"/>
      <c r="Q281" s="55">
        <f>SUM(N281:P281)</f>
        <v>0</v>
      </c>
      <c r="R281" s="55">
        <f>+E281+I281+M281+Q281</f>
        <v>0</v>
      </c>
      <c r="T281" s="4" t="s">
        <v>822</v>
      </c>
    </row>
    <row r="282" spans="1:20" ht="15.75" customHeight="1" x14ac:dyDescent="0.3">
      <c r="A282" s="85" t="s">
        <v>177</v>
      </c>
      <c r="B282" s="1"/>
      <c r="C282" s="1"/>
      <c r="D282" s="1"/>
      <c r="E282" s="55">
        <f>SUM(B282:D282)</f>
        <v>0</v>
      </c>
      <c r="F282" s="1"/>
      <c r="G282" s="1"/>
      <c r="H282" s="1"/>
      <c r="I282" s="55">
        <f>SUM(F282:H282)</f>
        <v>0</v>
      </c>
      <c r="J282" s="1"/>
      <c r="K282" s="1"/>
      <c r="L282" s="1"/>
      <c r="M282" s="55">
        <f>SUM(J282:L282)</f>
        <v>0</v>
      </c>
      <c r="N282" s="1"/>
      <c r="O282" s="1"/>
      <c r="P282" s="1"/>
      <c r="Q282" s="55">
        <f>SUM(N282:P282)</f>
        <v>0</v>
      </c>
      <c r="R282" s="55">
        <f>+E282+I282+M282+Q282</f>
        <v>0</v>
      </c>
      <c r="T282" s="4" t="s">
        <v>818</v>
      </c>
    </row>
    <row r="283" spans="1:20" ht="15.75" customHeight="1" x14ac:dyDescent="0.3">
      <c r="A283" s="85" t="s">
        <v>178</v>
      </c>
      <c r="B283" s="1"/>
      <c r="C283" s="1"/>
      <c r="D283" s="1"/>
      <c r="E283" s="55">
        <f>SUM(B283:D283)</f>
        <v>0</v>
      </c>
      <c r="F283" s="1"/>
      <c r="G283" s="1"/>
      <c r="H283" s="1"/>
      <c r="I283" s="55">
        <f>SUM(F283:H283)</f>
        <v>0</v>
      </c>
      <c r="J283" s="1"/>
      <c r="K283" s="1"/>
      <c r="L283" s="1"/>
      <c r="M283" s="55">
        <f>SUM(J283:L283)</f>
        <v>0</v>
      </c>
      <c r="N283" s="1"/>
      <c r="O283" s="1"/>
      <c r="P283" s="1"/>
      <c r="Q283" s="55">
        <f>SUM(N283:P283)</f>
        <v>0</v>
      </c>
      <c r="R283" s="55">
        <f>+E283+I283+M283+Q283</f>
        <v>0</v>
      </c>
      <c r="T283" s="4" t="s">
        <v>819</v>
      </c>
    </row>
    <row r="284" spans="1:20" ht="15.75" customHeight="1" x14ac:dyDescent="0.3">
      <c r="A284" s="15" t="s">
        <v>67</v>
      </c>
      <c r="B284" s="1"/>
      <c r="C284" s="1"/>
      <c r="D284" s="1"/>
      <c r="E284" s="55" t="s">
        <v>7</v>
      </c>
      <c r="F284" s="1"/>
      <c r="G284" s="1"/>
      <c r="H284" s="1"/>
      <c r="I284" s="55" t="s">
        <v>7</v>
      </c>
      <c r="J284" s="1"/>
      <c r="K284" s="1"/>
      <c r="L284" s="1"/>
      <c r="M284" s="55" t="s">
        <v>7</v>
      </c>
      <c r="N284" s="1"/>
      <c r="O284" s="1"/>
      <c r="P284" s="1"/>
      <c r="Q284" s="55" t="s">
        <v>7</v>
      </c>
      <c r="R284" s="55" t="s">
        <v>7</v>
      </c>
    </row>
    <row r="285" spans="1:20" ht="15.75" customHeight="1" x14ac:dyDescent="0.3">
      <c r="A285" s="85" t="s">
        <v>900</v>
      </c>
      <c r="B285" s="1"/>
      <c r="C285" s="1"/>
      <c r="D285" s="1"/>
      <c r="E285" s="55">
        <f>SUM(B285:D285)</f>
        <v>0</v>
      </c>
      <c r="F285" s="1"/>
      <c r="G285" s="1"/>
      <c r="H285" s="1"/>
      <c r="I285" s="55">
        <f>SUM(F285:H285)</f>
        <v>0</v>
      </c>
      <c r="J285" s="1"/>
      <c r="K285" s="1"/>
      <c r="L285" s="1"/>
      <c r="M285" s="55">
        <f>SUM(J285:L285)</f>
        <v>0</v>
      </c>
      <c r="N285" s="1"/>
      <c r="O285" s="1"/>
      <c r="P285" s="1"/>
      <c r="Q285" s="55">
        <f>SUM(N285:P285)</f>
        <v>0</v>
      </c>
      <c r="R285" s="55">
        <f>+E285+I285+M285+Q285</f>
        <v>0</v>
      </c>
    </row>
    <row r="286" spans="1:20" ht="15.75" customHeight="1" x14ac:dyDescent="0.3">
      <c r="A286" s="85" t="s">
        <v>901</v>
      </c>
      <c r="B286" s="1"/>
      <c r="C286" s="1"/>
      <c r="D286" s="1"/>
      <c r="E286" s="55">
        <f>SUM(B286:D286)</f>
        <v>0</v>
      </c>
      <c r="F286" s="1"/>
      <c r="G286" s="1"/>
      <c r="H286" s="1"/>
      <c r="I286" s="55">
        <f>SUM(F286:H286)</f>
        <v>0</v>
      </c>
      <c r="J286" s="1"/>
      <c r="K286" s="1"/>
      <c r="L286" s="1"/>
      <c r="M286" s="55">
        <f>SUM(J286:L286)</f>
        <v>0</v>
      </c>
      <c r="N286" s="1"/>
      <c r="O286" s="1"/>
      <c r="P286" s="1"/>
      <c r="Q286" s="55">
        <f>SUM(N286:P286)</f>
        <v>0</v>
      </c>
      <c r="R286" s="55">
        <f>+E286+I286+M286+Q286</f>
        <v>0</v>
      </c>
      <c r="T286" s="4">
        <f>24000-SUM(R145,R148,R166,R169,R182,R202,R236,R237,R259,R282,R285,R286)</f>
        <v>10242</v>
      </c>
    </row>
    <row r="287" spans="1:20" ht="15.75" customHeight="1" x14ac:dyDescent="0.3">
      <c r="A287" s="71" t="s">
        <v>902</v>
      </c>
      <c r="B287" s="1"/>
      <c r="C287" s="1"/>
      <c r="D287" s="1"/>
      <c r="E287" s="55">
        <f t="shared" ref="E287:E292" si="75">SUM(B287:D287)</f>
        <v>0</v>
      </c>
      <c r="F287" s="1"/>
      <c r="G287" s="1"/>
      <c r="H287" s="1"/>
      <c r="I287" s="55">
        <f t="shared" ref="I287:I292" si="76">SUM(F287:H287)</f>
        <v>0</v>
      </c>
      <c r="J287" s="1"/>
      <c r="K287" s="1"/>
      <c r="L287" s="1"/>
      <c r="M287" s="55">
        <f t="shared" ref="M287:M292" si="77">SUM(J287:L287)</f>
        <v>0</v>
      </c>
      <c r="N287" s="1"/>
      <c r="O287" s="1"/>
      <c r="P287" s="1"/>
      <c r="Q287" s="55">
        <f t="shared" ref="Q287:Q292" si="78">SUM(N287:P287)</f>
        <v>0</v>
      </c>
      <c r="R287" s="55">
        <f t="shared" ref="R287:R292" si="79">+E287+I287+M287+Q287</f>
        <v>0</v>
      </c>
      <c r="S287" s="4" t="s">
        <v>821</v>
      </c>
    </row>
    <row r="288" spans="1:20" ht="15.75" customHeight="1" x14ac:dyDescent="0.3">
      <c r="A288" s="71" t="s">
        <v>713</v>
      </c>
      <c r="B288" s="1"/>
      <c r="C288" s="1"/>
      <c r="D288" s="1"/>
      <c r="E288" s="55">
        <f t="shared" si="75"/>
        <v>0</v>
      </c>
      <c r="F288" s="1"/>
      <c r="G288" s="1"/>
      <c r="H288" s="1"/>
      <c r="I288" s="55">
        <f t="shared" si="76"/>
        <v>0</v>
      </c>
      <c r="J288" s="1"/>
      <c r="K288" s="1"/>
      <c r="L288" s="1"/>
      <c r="M288" s="55">
        <f t="shared" si="77"/>
        <v>0</v>
      </c>
      <c r="N288" s="1"/>
      <c r="O288" s="1"/>
      <c r="P288" s="1"/>
      <c r="Q288" s="55">
        <f t="shared" si="78"/>
        <v>0</v>
      </c>
      <c r="R288" s="55">
        <f t="shared" si="79"/>
        <v>0</v>
      </c>
    </row>
    <row r="289" spans="1:20" ht="15.75" customHeight="1" x14ac:dyDescent="0.3">
      <c r="A289" s="84" t="s">
        <v>903</v>
      </c>
      <c r="B289" s="1"/>
      <c r="C289" s="1"/>
      <c r="D289" s="1"/>
      <c r="E289" s="55">
        <f t="shared" si="75"/>
        <v>0</v>
      </c>
      <c r="F289" s="1"/>
      <c r="G289" s="1"/>
      <c r="H289" s="1"/>
      <c r="I289" s="55">
        <f t="shared" si="76"/>
        <v>0</v>
      </c>
      <c r="J289" s="1"/>
      <c r="K289" s="1"/>
      <c r="L289" s="1">
        <v>850</v>
      </c>
      <c r="M289" s="55">
        <f t="shared" si="77"/>
        <v>850</v>
      </c>
      <c r="N289" s="1">
        <v>1050</v>
      </c>
      <c r="O289" s="1"/>
      <c r="P289" s="1"/>
      <c r="Q289" s="55">
        <f t="shared" si="78"/>
        <v>1050</v>
      </c>
      <c r="R289" s="55">
        <f t="shared" si="79"/>
        <v>1900</v>
      </c>
    </row>
    <row r="290" spans="1:20" ht="15.75" customHeight="1" x14ac:dyDescent="0.3">
      <c r="A290" s="84" t="s">
        <v>715</v>
      </c>
      <c r="B290" s="1"/>
      <c r="C290" s="1"/>
      <c r="D290" s="1"/>
      <c r="E290" s="55">
        <f t="shared" si="75"/>
        <v>0</v>
      </c>
      <c r="F290" s="1"/>
      <c r="G290" s="1"/>
      <c r="H290" s="1"/>
      <c r="I290" s="55">
        <f t="shared" si="76"/>
        <v>0</v>
      </c>
      <c r="J290" s="1"/>
      <c r="K290" s="1"/>
      <c r="L290" s="1"/>
      <c r="M290" s="55">
        <f t="shared" si="77"/>
        <v>0</v>
      </c>
      <c r="N290" s="1"/>
      <c r="O290" s="1"/>
      <c r="P290" s="1"/>
      <c r="Q290" s="55">
        <f t="shared" si="78"/>
        <v>0</v>
      </c>
      <c r="R290" s="55">
        <f t="shared" si="79"/>
        <v>0</v>
      </c>
    </row>
    <row r="291" spans="1:20" ht="15.75" customHeight="1" x14ac:dyDescent="0.3">
      <c r="A291" s="61" t="s">
        <v>716</v>
      </c>
      <c r="B291" s="1"/>
      <c r="C291" s="1"/>
      <c r="D291" s="1"/>
      <c r="E291" s="55">
        <f t="shared" si="75"/>
        <v>0</v>
      </c>
      <c r="F291" s="1"/>
      <c r="G291" s="1"/>
      <c r="H291" s="1"/>
      <c r="I291" s="55">
        <f t="shared" si="76"/>
        <v>0</v>
      </c>
      <c r="J291" s="1"/>
      <c r="K291" s="1"/>
      <c r="L291" s="1"/>
      <c r="M291" s="55">
        <f t="shared" si="77"/>
        <v>0</v>
      </c>
      <c r="N291" s="1"/>
      <c r="O291" s="1"/>
      <c r="P291" s="1"/>
      <c r="Q291" s="55">
        <f t="shared" si="78"/>
        <v>0</v>
      </c>
      <c r="R291" s="55">
        <f t="shared" si="79"/>
        <v>0</v>
      </c>
    </row>
    <row r="292" spans="1:20" ht="15.75" customHeight="1" x14ac:dyDescent="0.3">
      <c r="A292" s="61" t="s">
        <v>717</v>
      </c>
      <c r="B292" s="1"/>
      <c r="C292" s="1"/>
      <c r="D292" s="1"/>
      <c r="E292" s="55">
        <f t="shared" si="75"/>
        <v>0</v>
      </c>
      <c r="F292" s="1"/>
      <c r="G292" s="1"/>
      <c r="H292" s="1"/>
      <c r="I292" s="55">
        <f t="shared" si="76"/>
        <v>0</v>
      </c>
      <c r="J292" s="1"/>
      <c r="K292" s="1"/>
      <c r="L292" s="1"/>
      <c r="M292" s="55">
        <f t="shared" si="77"/>
        <v>0</v>
      </c>
      <c r="N292" s="1"/>
      <c r="O292" s="1"/>
      <c r="P292" s="1"/>
      <c r="Q292" s="55">
        <f t="shared" si="78"/>
        <v>0</v>
      </c>
      <c r="R292" s="55">
        <f t="shared" si="79"/>
        <v>0</v>
      </c>
    </row>
    <row r="293" spans="1:20" ht="15.75" customHeight="1" x14ac:dyDescent="0.3">
      <c r="A293" s="15" t="s">
        <v>600</v>
      </c>
      <c r="B293" s="1"/>
      <c r="C293" s="1"/>
      <c r="D293" s="1"/>
      <c r="E293" s="55" t="s">
        <v>7</v>
      </c>
      <c r="F293" s="1"/>
      <c r="G293" s="1"/>
      <c r="H293" s="1"/>
      <c r="I293" s="55" t="s">
        <v>7</v>
      </c>
      <c r="J293" s="1"/>
      <c r="K293" s="1"/>
      <c r="L293" s="1"/>
      <c r="M293" s="55" t="s">
        <v>7</v>
      </c>
      <c r="N293" s="1"/>
      <c r="O293" s="1"/>
      <c r="P293" s="1"/>
      <c r="Q293" s="55" t="s">
        <v>7</v>
      </c>
      <c r="R293" s="55" t="s">
        <v>7</v>
      </c>
    </row>
    <row r="294" spans="1:20" ht="15.75" customHeight="1" x14ac:dyDescent="0.3">
      <c r="A294" s="85" t="s">
        <v>1206</v>
      </c>
      <c r="B294" s="1"/>
      <c r="C294" s="1"/>
      <c r="D294" s="1"/>
      <c r="E294" s="55">
        <f t="shared" ref="E294" si="80">SUM(B294:D294)</f>
        <v>0</v>
      </c>
      <c r="F294" s="1"/>
      <c r="G294" s="1"/>
      <c r="H294" s="1"/>
      <c r="I294" s="55">
        <f t="shared" ref="I294" si="81">SUM(F294:H294)</f>
        <v>0</v>
      </c>
      <c r="J294" s="1"/>
      <c r="K294" s="1"/>
      <c r="L294" s="1"/>
      <c r="M294" s="55">
        <f t="shared" ref="M294" si="82">SUM(J294:L294)</f>
        <v>0</v>
      </c>
      <c r="N294" s="1"/>
      <c r="O294" s="1"/>
      <c r="P294" s="1"/>
      <c r="Q294" s="55">
        <f t="shared" ref="Q294" si="83">SUM(N294:P294)</f>
        <v>0</v>
      </c>
      <c r="R294" s="55">
        <f t="shared" ref="R294" si="84">+E294+I294+M294+Q294</f>
        <v>0</v>
      </c>
    </row>
    <row r="295" spans="1:20" ht="15.75" customHeight="1" x14ac:dyDescent="0.3">
      <c r="A295" s="15" t="s">
        <v>70</v>
      </c>
      <c r="B295" s="1"/>
      <c r="C295" s="1"/>
      <c r="D295" s="1"/>
      <c r="E295" s="55" t="s">
        <v>7</v>
      </c>
      <c r="F295" s="1"/>
      <c r="G295" s="1"/>
      <c r="H295" s="1"/>
      <c r="I295" s="55" t="s">
        <v>7</v>
      </c>
      <c r="J295" s="1"/>
      <c r="K295" s="1"/>
      <c r="L295" s="1"/>
      <c r="M295" s="55" t="s">
        <v>7</v>
      </c>
      <c r="N295" s="1"/>
      <c r="O295" s="1"/>
      <c r="P295" s="1"/>
      <c r="Q295" s="55" t="s">
        <v>7</v>
      </c>
      <c r="R295" s="55" t="s">
        <v>7</v>
      </c>
    </row>
    <row r="296" spans="1:20" ht="15.75" customHeight="1" thickBot="1" x14ac:dyDescent="0.35">
      <c r="A296" s="71" t="s">
        <v>904</v>
      </c>
      <c r="B296" s="1"/>
      <c r="C296" s="1"/>
      <c r="D296" s="1"/>
      <c r="E296" s="55">
        <f t="shared" ref="E296" si="85">SUM(B296:D296)</f>
        <v>0</v>
      </c>
      <c r="F296" s="1"/>
      <c r="G296" s="1"/>
      <c r="H296" s="1"/>
      <c r="I296" s="55">
        <f t="shared" ref="I296:I305" si="86">SUM(F296:H296)</f>
        <v>0</v>
      </c>
      <c r="J296" s="1"/>
      <c r="K296" s="1"/>
      <c r="L296" s="1"/>
      <c r="M296" s="55">
        <f t="shared" ref="M296:M305" si="87">SUM(J296:L296)</f>
        <v>0</v>
      </c>
      <c r="N296" s="1"/>
      <c r="O296" s="1"/>
      <c r="P296" s="1"/>
      <c r="Q296" s="55">
        <f t="shared" ref="Q296:Q305" si="88">SUM(N296:P296)</f>
        <v>0</v>
      </c>
      <c r="R296" s="55">
        <f t="shared" ref="R296:R305" si="89">+E296+I296+M296+Q296</f>
        <v>0</v>
      </c>
      <c r="S296" s="4" t="s">
        <v>821</v>
      </c>
    </row>
    <row r="297" spans="1:20" ht="16.5" customHeight="1" thickBot="1" x14ac:dyDescent="0.35">
      <c r="A297" s="57" t="s">
        <v>71</v>
      </c>
      <c r="B297" s="58">
        <f>SUM(B293:B296)</f>
        <v>0</v>
      </c>
      <c r="C297" s="58">
        <f>SUM(C293:C296)</f>
        <v>0</v>
      </c>
      <c r="D297" s="58">
        <f>SUM(D293:D296)</f>
        <v>0</v>
      </c>
      <c r="E297" s="60">
        <f t="shared" ref="E297:E304" si="90">SUM(B297:D297)</f>
        <v>0</v>
      </c>
      <c r="F297" s="58">
        <f>SUM(F293:F296)</f>
        <v>0</v>
      </c>
      <c r="G297" s="58">
        <f>SUM(G293:G296)</f>
        <v>0</v>
      </c>
      <c r="H297" s="58">
        <f>SUM(H293:H296)</f>
        <v>0</v>
      </c>
      <c r="I297" s="60">
        <f t="shared" si="86"/>
        <v>0</v>
      </c>
      <c r="J297" s="58">
        <f>SUM(J293:J296)</f>
        <v>0</v>
      </c>
      <c r="K297" s="58">
        <f>SUM(K293:K296)</f>
        <v>0</v>
      </c>
      <c r="L297" s="58">
        <f>SUM(L293:L296)</f>
        <v>0</v>
      </c>
      <c r="M297" s="60">
        <f t="shared" si="87"/>
        <v>0</v>
      </c>
      <c r="N297" s="58">
        <f>SUM(N293:N296)</f>
        <v>0</v>
      </c>
      <c r="O297" s="58">
        <f>SUM(O293:O296)</f>
        <v>0</v>
      </c>
      <c r="P297" s="58">
        <f>SUM(P293:P296)</f>
        <v>0</v>
      </c>
      <c r="Q297" s="60">
        <f t="shared" si="88"/>
        <v>0</v>
      </c>
      <c r="R297" s="59">
        <f t="shared" si="89"/>
        <v>0</v>
      </c>
    </row>
    <row r="298" spans="1:20" ht="16.5" customHeight="1" thickBot="1" x14ac:dyDescent="0.35">
      <c r="A298" s="57" t="s">
        <v>72</v>
      </c>
      <c r="B298" s="86">
        <f>SUM(B279:B296)</f>
        <v>0</v>
      </c>
      <c r="C298" s="87">
        <f>SUM(C279:C296)</f>
        <v>0</v>
      </c>
      <c r="D298" s="87">
        <f>SUM(D279:D296)</f>
        <v>0</v>
      </c>
      <c r="E298" s="59">
        <f t="shared" si="90"/>
        <v>0</v>
      </c>
      <c r="F298" s="87">
        <f>SUM(F279:F296)</f>
        <v>0</v>
      </c>
      <c r="G298" s="87">
        <f>SUM(G279:G296)</f>
        <v>0</v>
      </c>
      <c r="H298" s="87">
        <f>SUM(H279:H296)</f>
        <v>0</v>
      </c>
      <c r="I298" s="59">
        <f t="shared" si="86"/>
        <v>0</v>
      </c>
      <c r="J298" s="87">
        <f>SUM(J279:J296)</f>
        <v>0</v>
      </c>
      <c r="K298" s="87">
        <f>SUM(K279:K296)</f>
        <v>0</v>
      </c>
      <c r="L298" s="87">
        <f>SUM(L279:L296)</f>
        <v>850</v>
      </c>
      <c r="M298" s="59">
        <f t="shared" si="87"/>
        <v>850</v>
      </c>
      <c r="N298" s="87">
        <f>SUM(N279:N296)</f>
        <v>1050</v>
      </c>
      <c r="O298" s="87">
        <f>SUM(O279:O296)</f>
        <v>0</v>
      </c>
      <c r="P298" s="87">
        <f>SUM(P279:P296)</f>
        <v>0</v>
      </c>
      <c r="Q298" s="59">
        <f t="shared" si="88"/>
        <v>1050</v>
      </c>
      <c r="R298" s="59">
        <f t="shared" si="89"/>
        <v>1900</v>
      </c>
    </row>
    <row r="299" spans="1:20" ht="16.5" customHeight="1" thickBot="1" x14ac:dyDescent="0.35">
      <c r="A299" s="57" t="s">
        <v>73</v>
      </c>
      <c r="B299" s="90">
        <f>+B206+B213+B278+B298</f>
        <v>19017</v>
      </c>
      <c r="C299" s="58">
        <f>+C206+C213+C278+C298</f>
        <v>15791</v>
      </c>
      <c r="D299" s="58">
        <f>+D206+D213+D278+D298</f>
        <v>20318</v>
      </c>
      <c r="E299" s="81">
        <f t="shared" si="90"/>
        <v>55126</v>
      </c>
      <c r="F299" s="58">
        <f>+F206+F213+F278+F298</f>
        <v>36789</v>
      </c>
      <c r="G299" s="58">
        <f>+G206+G213+G278+G298</f>
        <v>38843</v>
      </c>
      <c r="H299" s="58">
        <f>+H206+H213+H278+H298</f>
        <v>47555</v>
      </c>
      <c r="I299" s="81">
        <f t="shared" si="86"/>
        <v>123187</v>
      </c>
      <c r="J299" s="58">
        <f>+J206+J213+J278+J298</f>
        <v>53147</v>
      </c>
      <c r="K299" s="58">
        <f>+K206+K213+K278+K298</f>
        <v>47024</v>
      </c>
      <c r="L299" s="58">
        <f>+L206+L213+L278+L298</f>
        <v>41214</v>
      </c>
      <c r="M299" s="81">
        <f t="shared" si="87"/>
        <v>141385</v>
      </c>
      <c r="N299" s="58">
        <f>+N206+N213+N278+N298</f>
        <v>32860</v>
      </c>
      <c r="O299" s="58">
        <f>+O206+O213+O278+O298</f>
        <v>27931</v>
      </c>
      <c r="P299" s="58">
        <f>+P206+P213+P278+P298</f>
        <v>27205</v>
      </c>
      <c r="Q299" s="81">
        <f t="shared" si="88"/>
        <v>87996</v>
      </c>
      <c r="R299" s="81">
        <f t="shared" si="89"/>
        <v>407694</v>
      </c>
    </row>
    <row r="300" spans="1:20" ht="15.75" customHeight="1" x14ac:dyDescent="0.3">
      <c r="A300" s="88" t="s">
        <v>905</v>
      </c>
      <c r="B300" s="1"/>
      <c r="C300" s="1">
        <v>960</v>
      </c>
      <c r="D300" s="1">
        <v>3970</v>
      </c>
      <c r="E300" s="55">
        <f t="shared" si="90"/>
        <v>4930</v>
      </c>
      <c r="F300" s="1">
        <v>71</v>
      </c>
      <c r="G300" s="1">
        <v>2230</v>
      </c>
      <c r="H300" s="1">
        <v>3740</v>
      </c>
      <c r="I300" s="55">
        <f t="shared" si="86"/>
        <v>6041</v>
      </c>
      <c r="J300" s="1">
        <v>2096</v>
      </c>
      <c r="K300" s="1">
        <v>985</v>
      </c>
      <c r="L300" s="1">
        <v>3198</v>
      </c>
      <c r="M300" s="55">
        <f t="shared" si="87"/>
        <v>6279</v>
      </c>
      <c r="N300" s="1">
        <v>3450</v>
      </c>
      <c r="O300" s="1">
        <v>5218</v>
      </c>
      <c r="P300" s="1">
        <v>1302</v>
      </c>
      <c r="Q300" s="55">
        <f t="shared" si="88"/>
        <v>9970</v>
      </c>
      <c r="R300" s="55">
        <f t="shared" si="89"/>
        <v>27220</v>
      </c>
      <c r="T300" s="4" t="s">
        <v>812</v>
      </c>
    </row>
    <row r="301" spans="1:20" ht="15.75" customHeight="1" x14ac:dyDescent="0.3">
      <c r="A301" s="91" t="s">
        <v>193</v>
      </c>
      <c r="B301" s="1"/>
      <c r="C301" s="1"/>
      <c r="D301" s="1"/>
      <c r="E301" s="55">
        <f t="shared" si="90"/>
        <v>0</v>
      </c>
      <c r="F301" s="1"/>
      <c r="G301" s="1"/>
      <c r="H301" s="1"/>
      <c r="I301" s="55">
        <f t="shared" si="86"/>
        <v>0</v>
      </c>
      <c r="J301" s="1"/>
      <c r="K301" s="1"/>
      <c r="L301" s="1"/>
      <c r="M301" s="55">
        <f t="shared" si="87"/>
        <v>0</v>
      </c>
      <c r="N301" s="1"/>
      <c r="O301" s="1"/>
      <c r="P301" s="1"/>
      <c r="Q301" s="55">
        <f t="shared" si="88"/>
        <v>0</v>
      </c>
      <c r="R301" s="55">
        <f t="shared" si="89"/>
        <v>0</v>
      </c>
    </row>
    <row r="302" spans="1:20" ht="15.75" customHeight="1" x14ac:dyDescent="0.3">
      <c r="A302" s="71" t="s">
        <v>718</v>
      </c>
      <c r="B302" s="1"/>
      <c r="C302" s="1"/>
      <c r="D302" s="1"/>
      <c r="E302" s="55">
        <f t="shared" si="90"/>
        <v>0</v>
      </c>
      <c r="F302" s="1"/>
      <c r="G302" s="1"/>
      <c r="H302" s="1"/>
      <c r="I302" s="55">
        <f t="shared" si="86"/>
        <v>0</v>
      </c>
      <c r="J302" s="1"/>
      <c r="K302" s="1"/>
      <c r="L302" s="1"/>
      <c r="M302" s="55">
        <f t="shared" si="87"/>
        <v>0</v>
      </c>
      <c r="N302" s="1"/>
      <c r="O302" s="1"/>
      <c r="P302" s="1"/>
      <c r="Q302" s="55">
        <f t="shared" si="88"/>
        <v>0</v>
      </c>
      <c r="R302" s="55">
        <f t="shared" si="89"/>
        <v>0</v>
      </c>
    </row>
    <row r="303" spans="1:20" ht="15.75" customHeight="1" x14ac:dyDescent="0.3">
      <c r="A303" s="91" t="s">
        <v>195</v>
      </c>
      <c r="B303" s="1">
        <v>9</v>
      </c>
      <c r="C303" s="1">
        <v>214</v>
      </c>
      <c r="D303" s="1">
        <v>37</v>
      </c>
      <c r="E303" s="55">
        <f>SUM(B303:D303)</f>
        <v>260</v>
      </c>
      <c r="F303" s="1">
        <v>57</v>
      </c>
      <c r="G303" s="1">
        <v>45</v>
      </c>
      <c r="H303" s="1">
        <v>30</v>
      </c>
      <c r="I303" s="55">
        <f>SUM(F303:H303)</f>
        <v>132</v>
      </c>
      <c r="J303" s="1">
        <v>57</v>
      </c>
      <c r="K303" s="1">
        <v>62</v>
      </c>
      <c r="L303" s="1">
        <v>65</v>
      </c>
      <c r="M303" s="55">
        <f>SUM(J303:L303)</f>
        <v>184</v>
      </c>
      <c r="N303" s="1">
        <v>76</v>
      </c>
      <c r="O303" s="1">
        <v>56</v>
      </c>
      <c r="P303" s="1"/>
      <c r="Q303" s="55">
        <f>SUM(N303:P303)</f>
        <v>132</v>
      </c>
      <c r="R303" s="55">
        <f t="shared" si="89"/>
        <v>708</v>
      </c>
    </row>
    <row r="304" spans="1:20" ht="15.75" customHeight="1" x14ac:dyDescent="0.3">
      <c r="A304" s="84" t="s">
        <v>196</v>
      </c>
      <c r="B304" s="1">
        <v>83310</v>
      </c>
      <c r="C304" s="1">
        <v>16480</v>
      </c>
      <c r="D304" s="1">
        <v>20055</v>
      </c>
      <c r="E304" s="55">
        <f t="shared" si="90"/>
        <v>119845</v>
      </c>
      <c r="F304" s="1">
        <v>9498</v>
      </c>
      <c r="G304" s="1">
        <v>24625</v>
      </c>
      <c r="H304" s="1"/>
      <c r="I304" s="55">
        <f t="shared" si="86"/>
        <v>34123</v>
      </c>
      <c r="J304" s="1"/>
      <c r="K304" s="1"/>
      <c r="L304" s="1">
        <v>9609</v>
      </c>
      <c r="M304" s="55">
        <f t="shared" si="87"/>
        <v>9609</v>
      </c>
      <c r="N304" s="1">
        <v>44152</v>
      </c>
      <c r="O304" s="1">
        <v>65541</v>
      </c>
      <c r="P304" s="1">
        <v>70977</v>
      </c>
      <c r="Q304" s="55">
        <f t="shared" si="88"/>
        <v>180670</v>
      </c>
      <c r="R304" s="55">
        <f t="shared" si="89"/>
        <v>344247</v>
      </c>
    </row>
    <row r="305" spans="1:18" ht="16.5" customHeight="1" thickBot="1" x14ac:dyDescent="0.35">
      <c r="A305" s="39" t="s">
        <v>40</v>
      </c>
      <c r="B305" s="21">
        <v>104</v>
      </c>
      <c r="C305" s="21">
        <v>268</v>
      </c>
      <c r="D305" s="21">
        <v>474</v>
      </c>
      <c r="E305" s="55">
        <f>SUM(B305:D305)</f>
        <v>846</v>
      </c>
      <c r="F305" s="21">
        <v>647</v>
      </c>
      <c r="G305" s="21">
        <v>742</v>
      </c>
      <c r="H305" s="21">
        <v>781</v>
      </c>
      <c r="I305" s="55">
        <f t="shared" si="86"/>
        <v>2170</v>
      </c>
      <c r="J305" s="21">
        <v>774</v>
      </c>
      <c r="K305" s="21">
        <v>596</v>
      </c>
      <c r="L305" s="21">
        <v>546</v>
      </c>
      <c r="M305" s="55">
        <f t="shared" si="87"/>
        <v>1916</v>
      </c>
      <c r="N305" s="21">
        <v>517</v>
      </c>
      <c r="O305" s="21">
        <v>413</v>
      </c>
      <c r="P305" s="21">
        <v>302</v>
      </c>
      <c r="Q305" s="55">
        <f t="shared" si="88"/>
        <v>1232</v>
      </c>
      <c r="R305" s="55">
        <f t="shared" si="89"/>
        <v>6164</v>
      </c>
    </row>
    <row r="306" spans="1:18" ht="16.5" customHeight="1" thickBot="1" x14ac:dyDescent="0.35">
      <c r="A306" s="74"/>
      <c r="B306" s="75"/>
      <c r="C306" s="75"/>
      <c r="D306" s="75"/>
      <c r="E306" s="60"/>
      <c r="F306" s="75"/>
      <c r="G306" s="75"/>
      <c r="H306" s="75"/>
      <c r="I306" s="59"/>
      <c r="J306" s="75"/>
      <c r="K306" s="75"/>
      <c r="L306" s="75"/>
      <c r="M306" s="59"/>
      <c r="N306" s="75"/>
      <c r="O306" s="75"/>
      <c r="P306" s="75"/>
      <c r="Q306" s="59"/>
      <c r="R306" s="59" t="s">
        <v>7</v>
      </c>
    </row>
    <row r="307" spans="1:18" ht="15.75" customHeight="1" x14ac:dyDescent="0.3">
      <c r="A307" s="76" t="s">
        <v>41</v>
      </c>
      <c r="B307" s="77">
        <f>SUM(B299:B305)</f>
        <v>102440</v>
      </c>
      <c r="C307" s="77">
        <f>SUM(C299:C305)</f>
        <v>33713</v>
      </c>
      <c r="D307" s="77">
        <f>SUM(D299:D305)</f>
        <v>44854</v>
      </c>
      <c r="E307" s="60">
        <f>SUM(B307:D307)</f>
        <v>181007</v>
      </c>
      <c r="F307" s="77">
        <f>SUM(F299:F305)</f>
        <v>47062</v>
      </c>
      <c r="G307" s="77">
        <f>SUM(G299:G305)</f>
        <v>66485</v>
      </c>
      <c r="H307" s="77">
        <f>SUM(H299:H305)</f>
        <v>52106</v>
      </c>
      <c r="I307" s="60">
        <f>SUM(F307:H307)</f>
        <v>165653</v>
      </c>
      <c r="J307" s="77">
        <f>SUM(J299:J305)</f>
        <v>56074</v>
      </c>
      <c r="K307" s="77">
        <f>SUM(K299:K305)</f>
        <v>48667</v>
      </c>
      <c r="L307" s="77">
        <f>SUM(L299:L305)</f>
        <v>54632</v>
      </c>
      <c r="M307" s="60">
        <f>SUM(J307:L307)</f>
        <v>159373</v>
      </c>
      <c r="N307" s="77">
        <f>SUM(N299:N305)</f>
        <v>81055</v>
      </c>
      <c r="O307" s="77">
        <f>SUM(O299:O305)</f>
        <v>99159</v>
      </c>
      <c r="P307" s="77">
        <f>SUM(P299:P305)</f>
        <v>99786</v>
      </c>
      <c r="Q307" s="92">
        <f>SUM(N307:P307)</f>
        <v>280000</v>
      </c>
      <c r="R307" s="60">
        <f>+E307+I307+M307+Q307</f>
        <v>786033</v>
      </c>
    </row>
    <row r="308" spans="1:18" ht="15.75" customHeight="1" x14ac:dyDescent="0.3">
      <c r="A308" s="79" t="s">
        <v>42</v>
      </c>
      <c r="B308" s="1">
        <f>(B307/B10)/1.983</f>
        <v>1666.4226571014917</v>
      </c>
      <c r="C308" s="1">
        <f>(C307/C10)/1.983</f>
        <v>607.17887760247811</v>
      </c>
      <c r="D308" s="1">
        <f>(D307/D10)/1.983</f>
        <v>729.65366909049499</v>
      </c>
      <c r="E308" s="55" t="s">
        <v>7</v>
      </c>
      <c r="F308" s="1">
        <f>(F307/F10)/1.983</f>
        <v>791.09093965372324</v>
      </c>
      <c r="G308" s="1">
        <f>(G307/G10)/1.983</f>
        <v>1081.5317293771247</v>
      </c>
      <c r="H308" s="1">
        <f>(H307/H10)/1.983</f>
        <v>875.87829887376017</v>
      </c>
      <c r="I308" s="55" t="s">
        <v>7</v>
      </c>
      <c r="J308" s="1">
        <f>(J307/J10)/1.983</f>
        <v>912.17282384136115</v>
      </c>
      <c r="K308" s="1">
        <f>(K307/K10)/1.983</f>
        <v>791.68090055796858</v>
      </c>
      <c r="L308" s="1">
        <f>(L307/L10)/1.983</f>
        <v>918.33921667507138</v>
      </c>
      <c r="M308" s="55" t="s">
        <v>7</v>
      </c>
      <c r="N308" s="1">
        <f>(N307/N10)/1.983</f>
        <v>1318.546353683731</v>
      </c>
      <c r="O308" s="1">
        <f>(O307/O10)/1.983</f>
        <v>1666.8179525970752</v>
      </c>
      <c r="P308" s="1">
        <f>(P307/P10)/1.983</f>
        <v>1623.2492313698697</v>
      </c>
      <c r="Q308" s="93" t="s">
        <v>7</v>
      </c>
      <c r="R308" s="55" t="s">
        <v>7</v>
      </c>
    </row>
    <row r="309" spans="1:18" ht="15.75" customHeight="1" x14ac:dyDescent="0.3">
      <c r="A309" s="79" t="s">
        <v>197</v>
      </c>
      <c r="B309" s="1">
        <f>(+B307+B471)+B316</f>
        <v>124151</v>
      </c>
      <c r="C309" s="1">
        <f>(+C307+C471)+C316</f>
        <v>58663</v>
      </c>
      <c r="D309" s="1">
        <f>(+D307+D471)+D316</f>
        <v>132094</v>
      </c>
      <c r="E309" s="55">
        <f>SUM(B309:D309)</f>
        <v>314908</v>
      </c>
      <c r="F309" s="1">
        <f>(+F307+F471)+F316</f>
        <v>154149</v>
      </c>
      <c r="G309" s="1">
        <f>(+G307+G471)+G316</f>
        <v>168828</v>
      </c>
      <c r="H309" s="1">
        <f>(+H307+H471)+H316</f>
        <v>75794</v>
      </c>
      <c r="I309" s="55">
        <f>SUM(F309:H309)</f>
        <v>398771</v>
      </c>
      <c r="J309" s="1">
        <f>(+J307+J471)+J316</f>
        <v>68658</v>
      </c>
      <c r="K309" s="1">
        <f>(+K307+K471)+K316</f>
        <v>65923</v>
      </c>
      <c r="L309" s="1">
        <f>(+L307+L471)+L316</f>
        <v>127463</v>
      </c>
      <c r="M309" s="55">
        <f>SUM(J309:L309)</f>
        <v>262044</v>
      </c>
      <c r="N309" s="1">
        <f>(+N307+N471)+N316</f>
        <v>125637</v>
      </c>
      <c r="O309" s="1">
        <f>(+O307+O471)+O316</f>
        <v>124524</v>
      </c>
      <c r="P309" s="1">
        <f>(+P307+P471)+P316</f>
        <v>138250</v>
      </c>
      <c r="Q309" s="93">
        <f>SUM(N309:P309)</f>
        <v>388411</v>
      </c>
      <c r="R309" s="55">
        <f>+E309+I309+M309+Q309</f>
        <v>1364134</v>
      </c>
    </row>
    <row r="310" spans="1:18" ht="16.5" customHeight="1" thickBot="1" x14ac:dyDescent="0.35">
      <c r="A310" s="80" t="s">
        <v>198</v>
      </c>
      <c r="B310" s="25">
        <f>(B309/B10)/1.983</f>
        <v>2019.6021017357214</v>
      </c>
      <c r="C310" s="25">
        <f>(C309/C10)/1.983</f>
        <v>1056.5341113752611</v>
      </c>
      <c r="D310" s="25">
        <f>(D309/D10)/1.983</f>
        <v>2148.8133001480323</v>
      </c>
      <c r="E310" s="81" t="s">
        <v>7</v>
      </c>
      <c r="F310" s="25">
        <f>(F309/F10)/1.983</f>
        <v>2591.1749873928393</v>
      </c>
      <c r="G310" s="25">
        <f>(G309/G10)/1.983</f>
        <v>2746.3764579571516</v>
      </c>
      <c r="H310" s="25">
        <f>(H309/H10)/1.983</f>
        <v>1274.0628677088587</v>
      </c>
      <c r="I310" s="81" t="s">
        <v>7</v>
      </c>
      <c r="J310" s="25">
        <f>(J309/J10)/1.983</f>
        <v>1116.8805817188033</v>
      </c>
      <c r="K310" s="25">
        <f>(K309/K10)/1.983</f>
        <v>1072.3895043352366</v>
      </c>
      <c r="L310" s="25">
        <f>(L309/L10)/1.983</f>
        <v>2142.5953941838961</v>
      </c>
      <c r="M310" s="81" t="s">
        <v>7</v>
      </c>
      <c r="N310" s="25">
        <f>(N309/N10)/1.983</f>
        <v>2043.7753159923868</v>
      </c>
      <c r="O310" s="25">
        <f>(O309/O10)/1.983</f>
        <v>2093.1921331316189</v>
      </c>
      <c r="P310" s="25">
        <f>(P309/P10)/1.983</f>
        <v>2248.9548256958342</v>
      </c>
      <c r="Q310" s="94" t="s">
        <v>7</v>
      </c>
      <c r="R310" s="81" t="s">
        <v>7</v>
      </c>
    </row>
    <row r="311" spans="1:18" ht="16.5" customHeight="1" thickBot="1" x14ac:dyDescent="0.35">
      <c r="A311" s="95" t="s">
        <v>199</v>
      </c>
      <c r="B311" s="96">
        <f>+(B309-(B139+B140+B141+B142+B144+B145+B146+B148+B149+B150+B153+B155+B157++B162+B163+B164+B166+B167+B169+B170+B171+B172+B173+B182+B183+B184+B195+B199+B202+B203+B210+B217+B218+B220+B221+B233+B235+B236+B237+B238+B240+B241+B242+B250+B259+B260+B262+B271+B282+B283+B285+B286+B289+B290+B294+B300+B304+B312)-B316)/(B10*1.983)</f>
        <v>679.06235257755429</v>
      </c>
      <c r="C311" s="96">
        <f>+(C309-(C139+C140+C141+C142+C144+C145+C146+C148+C149+C150+C153+C155+C157++C162+C163+C164+C166+C167+C169+C170+C171+C172+C173+C182+C183+C184+C195+C199+C202+C203+C210+C217+C218+C220+C221+C233+C235+C236+C237+C238+C240+C241+C242+C250+C259+C260+C262+C271+C282+C283+C285+C286+C289+C290+C294+C300+C304+C312)-C316)/(C10*1.983)</f>
        <v>799.13190692313231</v>
      </c>
      <c r="D311" s="96">
        <f>+(D309-(D139+D140+D141+D142+D144+D145+D146+D148+D149+D150+D153+D155+D157++D162+D163+D164+D166+D167+D169+D170+D171+D172+D173+D182+D183+D184+D195+D199+D202+D203+D210+D217+D218+D220+D221+D233+D235+D236+D237+D238+D240+D241+D242+D250+D259+D260+D262+D271+D282+D283+D285+D286+D289+D290+D294+D300+D304+D312)-D316)/(D10*1.983)</f>
        <v>1588.404665462886</v>
      </c>
      <c r="E311" s="97"/>
      <c r="F311" s="96">
        <f>+(F309-(F139+F140+F141+F142+F144+F145+F146+F148+F149+F150+F153+F155+F157++F162+F163+F164+F166+F167+F169+F170+F171+F172+F173+F182+F183+F184+F195+F199+F202+F203+F210+F217+F218+F220+F221+F233+F235+F236+F237+F238+F240+F241+F242+F250+F259+F260+F262+F271+F282+F283+F285+F286+F289+F290+F294+F300+F304+F312)-F316)/(F10*1.983)</f>
        <v>2150.7816439737771</v>
      </c>
      <c r="G311" s="96">
        <f>+(G309-(G139+G140+G141+G142+G144+G145+G146+G148+G149+G150+G153+G155+G157++G162+G163+G164+G166+G167+G169+G170+G171+G172+G173+G182+G183+G184+G195+G199+G202+G203+G210+G217+G218+G220+G221+G233+G235+G236+G237+G238+G240+G241+G242+G250+G259+G260+G262+G271+G282+G283+G285+G286+G289+G290+G294+G300+G304+G312)-G316)/(G10*1.983)</f>
        <v>2127.8447448473312</v>
      </c>
      <c r="H311" s="96">
        <f>+(H309-(H139+H140+H141+H142+H144+H145+H146+H148+H149+H150+H153+H155+H157++H162+H163+H164+H166+H167+H169+H170+H171+H172+H173+H182+H183+H184+H195+H199+H202+H203+H210+H217+H218+H220+H221+H233+H235+H236+H237+H238+H240+H241+H242+H250+H259+H260+H262+H271+H282+H283+H285+H286+H289+H290+H294+H300+H304+H312)-H316)/(H10*1.983)</f>
        <v>2966.5826189275508</v>
      </c>
      <c r="I311" s="97"/>
      <c r="J311" s="96">
        <f>+(J309-(J139+J140+J141+J142+J144+J145+J146+J148+J149+J150+J153+J155+J157++J162+J163+J164+J166+J167+J169+J170+J171+J172+J173+J182+J183+J184+J195+J199+J202+J203+J210+J217+J218+J220+J221+J233+J235+J236+J237+J238+J240+J241+J242+J250+J259+J260+J262+J271+J282+J283+J285+J286+J289+J290+J294+J300+J304+J312)-J316)/(J10*1.983)</f>
        <v>2514.3721633888044</v>
      </c>
      <c r="K311" s="96">
        <f>+(K309-(K139+K140+K141+K142+K144+K145+K146+K148+K149+K150+K153+K155+K157++K162+K163+K164+K166+K167+K169+K170+K171+K172+K173+K182+K183+K184+K195+K199+K202+K203+K210+K217+K218+K220+K221+K233+K235+K236+K237+K238+K240+K241+K242+K250+K259+K260+K262+K271+K282+K283+K285+K286+K289+K290+K294+K300+K304+K312)-K316)/(K10*1.983)</f>
        <v>2461.1130089632843</v>
      </c>
      <c r="L311" s="96">
        <f>+(L309-(L139+L140+L141+L142+L144+L145+L146+L148+L149+L150+L153+L155+L157++L162+L163+L164+L166+L167+L169+L170+L171+L172+L173+L182+L183+L184+L195+L199+L202+L203+L210+L217+L218+L220+L221+L233+L235+L236+L237+L238+L240+L241+L242+L250+L259+L260+L262+L271+L282+L283+L285+L286+L289+L290+L294+L300+L304+L312)-L316)/(L10*1.983)</f>
        <v>2017.9189779794922</v>
      </c>
      <c r="M311" s="97"/>
      <c r="N311" s="96">
        <f>+(N309-(N139+N140+N141+N142+N144+N145+N146+N148+N149+N150+N153+N155+N157++N162+N163+N164+N166+N167+N169+N170+N171+N172+N173+N182+N183+N184+N195+N199+N202+N203+N210+N217+N218+N220+N221+N233+N235+N236+N237+N238+N240+N241+N242+N250+N259+N260+N262+N271+N282+N283+N285+N286+N289+N290+N294+N300+N304+N312)-N316)/(N10*1.983)</f>
        <v>1112.943894067314</v>
      </c>
      <c r="O311" s="96">
        <f>+(O309-(O139+O140+O141+O142+O144+O145+O146+O148+O149+O150+O153+O155+O157++O162+O163+O164+O166+O167+O169+O170+O171+O172+O173+O182+O183+O184+O195+O199+O202+O203+O210+O217+O218+O220+O221+O233+O235+O236+O237+O238+O240+O241+O242+O250+O259+O260+O262+O271+O282+O283+O285+O286+O289+O290+O294+O300+O304+O312)-O316)/(O10*1.983)</f>
        <v>782.40040342914779</v>
      </c>
      <c r="P311" s="96">
        <f>+(P309-(P139+P140+P141+P142+P144+P145+P146+P148+P149+P150+P153+P155+P157++P162+P163+P164+P166+P167+P169+P170+P171+P172+P173+P182+P183+P184+P195+P199+P202+P203+P210+P217+P218+P220+P221+P233+P235+P236+P237+P238+P240+P241+P242+P250+P259+P260+P262+P271+P282+P283+P285+P286+P289+P290+P294+P300+P304+P312)-P316)/(P10*1.983)</f>
        <v>997.75511200039034</v>
      </c>
      <c r="Q311" s="98"/>
      <c r="R311" s="97"/>
    </row>
    <row r="312" spans="1:18" ht="15.75" customHeight="1" x14ac:dyDescent="0.3">
      <c r="A312" s="299" t="s">
        <v>719</v>
      </c>
      <c r="B312" s="1">
        <v>2410</v>
      </c>
      <c r="C312" s="1">
        <v>2171</v>
      </c>
      <c r="D312" s="1">
        <v>2419</v>
      </c>
      <c r="E312" s="1"/>
      <c r="F312" s="1">
        <v>2311</v>
      </c>
      <c r="G312" s="1">
        <v>2503</v>
      </c>
      <c r="H312" s="1">
        <v>2198</v>
      </c>
      <c r="I312" s="1"/>
      <c r="J312" s="1">
        <v>2406</v>
      </c>
      <c r="K312" s="1">
        <v>2398</v>
      </c>
      <c r="L312" s="1">
        <v>2288</v>
      </c>
      <c r="M312" s="1"/>
      <c r="N312" s="1">
        <v>2551</v>
      </c>
      <c r="O312" s="1">
        <v>2908</v>
      </c>
      <c r="P312" s="1">
        <v>2443</v>
      </c>
      <c r="Q312" s="1"/>
      <c r="R312" s="2"/>
    </row>
    <row r="313" spans="1:18" ht="15.75" customHeight="1" thickBot="1" x14ac:dyDescent="0.35">
      <c r="A313" s="28"/>
      <c r="B313" s="1"/>
      <c r="C313" s="1"/>
      <c r="D313" s="1"/>
      <c r="E313" s="1"/>
      <c r="F313" s="1"/>
      <c r="G313" s="1"/>
      <c r="H313" s="1"/>
      <c r="I313" s="1"/>
      <c r="J313" s="1"/>
      <c r="K313" s="1"/>
      <c r="L313" s="1"/>
      <c r="M313" s="1"/>
      <c r="N313" s="1"/>
      <c r="O313" s="1"/>
      <c r="P313" s="1"/>
      <c r="Q313" s="1"/>
      <c r="R313" s="2"/>
    </row>
    <row r="314" spans="1:18" ht="16.5" customHeight="1" thickBot="1" x14ac:dyDescent="0.35">
      <c r="A314" s="29" t="s">
        <v>201</v>
      </c>
      <c r="B314" s="30" t="s">
        <v>8</v>
      </c>
      <c r="C314" s="31" t="s">
        <v>9</v>
      </c>
      <c r="D314" s="31" t="s">
        <v>10</v>
      </c>
      <c r="E314" s="32" t="s">
        <v>11</v>
      </c>
      <c r="F314" s="31" t="s">
        <v>12</v>
      </c>
      <c r="G314" s="31" t="s">
        <v>13</v>
      </c>
      <c r="H314" s="31" t="s">
        <v>14</v>
      </c>
      <c r="I314" s="33" t="s">
        <v>15</v>
      </c>
      <c r="J314" s="31" t="s">
        <v>16</v>
      </c>
      <c r="K314" s="31" t="s">
        <v>17</v>
      </c>
      <c r="L314" s="31" t="s">
        <v>18</v>
      </c>
      <c r="M314" s="33" t="s">
        <v>19</v>
      </c>
      <c r="N314" s="31" t="s">
        <v>20</v>
      </c>
      <c r="O314" s="31" t="s">
        <v>21</v>
      </c>
      <c r="P314" s="31" t="s">
        <v>22</v>
      </c>
      <c r="Q314" s="33" t="s">
        <v>23</v>
      </c>
      <c r="R314" s="34" t="s">
        <v>24</v>
      </c>
    </row>
    <row r="315" spans="1:18" ht="16.5" customHeight="1" thickBot="1" x14ac:dyDescent="0.35">
      <c r="A315" s="74"/>
      <c r="B315" s="75"/>
      <c r="C315" s="75"/>
      <c r="D315" s="75"/>
      <c r="E315" s="82"/>
      <c r="F315" s="75"/>
      <c r="G315" s="75"/>
      <c r="H315" s="75"/>
      <c r="I315" s="82"/>
      <c r="J315" s="75"/>
      <c r="K315" s="75"/>
      <c r="L315" s="75"/>
      <c r="M315" s="82"/>
      <c r="N315" s="75"/>
      <c r="O315" s="75"/>
      <c r="P315" s="75"/>
      <c r="Q315" s="82"/>
      <c r="R315" s="100"/>
    </row>
    <row r="316" spans="1:18" ht="15.75" customHeight="1" thickBot="1" x14ac:dyDescent="0.35">
      <c r="A316" s="71" t="s">
        <v>202</v>
      </c>
      <c r="B316" s="1">
        <v>-3647</v>
      </c>
      <c r="C316" s="1">
        <v>-7866</v>
      </c>
      <c r="D316" s="1">
        <v>-207</v>
      </c>
      <c r="E316" s="55">
        <f>SUM(B316:D316)</f>
        <v>-11720</v>
      </c>
      <c r="F316" s="1">
        <v>-6</v>
      </c>
      <c r="G316" s="1">
        <v>-1492</v>
      </c>
      <c r="H316" s="1">
        <v>-117578</v>
      </c>
      <c r="I316" s="55">
        <f>SUM(F316:H316)</f>
        <v>-119076</v>
      </c>
      <c r="J316" s="1">
        <v>-100321</v>
      </c>
      <c r="K316" s="1">
        <v>-94421</v>
      </c>
      <c r="L316" s="1">
        <v>-13817</v>
      </c>
      <c r="M316" s="55">
        <f>SUM(J316:L316)</f>
        <v>-208559</v>
      </c>
      <c r="N316" s="1"/>
      <c r="O316" s="1"/>
      <c r="P316" s="1">
        <v>-76</v>
      </c>
      <c r="Q316" s="55">
        <f>SUM(N316:P316)</f>
        <v>-76</v>
      </c>
      <c r="R316" s="55">
        <f>+E316+I316+M316+Q316</f>
        <v>-339431</v>
      </c>
    </row>
    <row r="317" spans="1:18" ht="16.5" customHeight="1" thickBot="1" x14ac:dyDescent="0.35">
      <c r="A317" s="101"/>
      <c r="B317" s="102"/>
      <c r="C317" s="102"/>
      <c r="D317" s="102"/>
      <c r="E317" s="103"/>
      <c r="F317" s="102"/>
      <c r="G317" s="102"/>
      <c r="H317" s="102"/>
      <c r="I317" s="103"/>
      <c r="J317" s="102"/>
      <c r="K317" s="102"/>
      <c r="L317" s="102"/>
      <c r="M317" s="103"/>
      <c r="N317" s="102"/>
      <c r="O317" s="102"/>
      <c r="P317" s="102"/>
      <c r="Q317" s="103"/>
      <c r="R317" s="104"/>
    </row>
    <row r="318" spans="1:18" ht="15.75" customHeight="1" x14ac:dyDescent="0.3">
      <c r="A318" s="15" t="s">
        <v>32</v>
      </c>
      <c r="B318" s="1">
        <f>B316</f>
        <v>-3647</v>
      </c>
      <c r="C318" s="1">
        <f>C316</f>
        <v>-7866</v>
      </c>
      <c r="D318" s="1">
        <f>D316</f>
        <v>-207</v>
      </c>
      <c r="E318" s="55">
        <f>SUM(B318:D318)</f>
        <v>-11720</v>
      </c>
      <c r="F318" s="1">
        <f>F316</f>
        <v>-6</v>
      </c>
      <c r="G318" s="1">
        <f>G316</f>
        <v>-1492</v>
      </c>
      <c r="H318" s="1">
        <f>H316</f>
        <v>-117578</v>
      </c>
      <c r="I318" s="55">
        <f>SUM(F318:H318)</f>
        <v>-119076</v>
      </c>
      <c r="J318" s="1">
        <f>J316</f>
        <v>-100321</v>
      </c>
      <c r="K318" s="1">
        <f>K316</f>
        <v>-94421</v>
      </c>
      <c r="L318" s="1">
        <f>L316</f>
        <v>-13817</v>
      </c>
      <c r="M318" s="55">
        <f>SUM(J318:L318)</f>
        <v>-208559</v>
      </c>
      <c r="N318" s="1">
        <f>N316</f>
        <v>0</v>
      </c>
      <c r="O318" s="1">
        <f>O316</f>
        <v>0</v>
      </c>
      <c r="P318" s="1">
        <f>P316</f>
        <v>-76</v>
      </c>
      <c r="Q318" s="55">
        <f>SUM(N318:P318)</f>
        <v>-76</v>
      </c>
      <c r="R318" s="105">
        <f>R316</f>
        <v>-339431</v>
      </c>
    </row>
    <row r="319" spans="1:18" ht="16.5" customHeight="1" thickBot="1" x14ac:dyDescent="0.35">
      <c r="A319" s="20" t="s">
        <v>42</v>
      </c>
      <c r="B319" s="21">
        <f>(B318/B10)/1.983</f>
        <v>-59.32685894620402</v>
      </c>
      <c r="C319" s="21">
        <f>(C318/C10)/1.983</f>
        <v>-141.66846768964771</v>
      </c>
      <c r="D319" s="21">
        <f>(D318/D10)/1.983</f>
        <v>-3.3673319994143771</v>
      </c>
      <c r="E319" s="81"/>
      <c r="F319" s="21">
        <f>(F318/F10)/1.983</f>
        <v>-0.10085728693898134</v>
      </c>
      <c r="G319" s="21">
        <f>(G318/G10)/1.983</f>
        <v>-24.270818082735509</v>
      </c>
      <c r="H319" s="21">
        <f>(H318/H10)/1.983</f>
        <v>-1976.4330139519247</v>
      </c>
      <c r="I319" s="81"/>
      <c r="J319" s="21">
        <f>(J318/J10)/1.983</f>
        <v>-1631.9522391944429</v>
      </c>
      <c r="K319" s="21">
        <f>(K318/K10)/1.983</f>
        <v>-1535.9751435589608</v>
      </c>
      <c r="L319" s="21">
        <f>(L318/L10)/1.983</f>
        <v>-232.25752227265085</v>
      </c>
      <c r="M319" s="81"/>
      <c r="N319" s="21">
        <f>(N318/N10)/1.983</f>
        <v>0</v>
      </c>
      <c r="O319" s="21">
        <f>(O318/O10)/1.983</f>
        <v>0</v>
      </c>
      <c r="P319" s="21">
        <f>(P318/P10)/1.983</f>
        <v>-1.2363151302197712</v>
      </c>
      <c r="Q319" s="81"/>
      <c r="R319" s="100" t="s">
        <v>7</v>
      </c>
    </row>
    <row r="320" spans="1:18" ht="15.75" customHeight="1" x14ac:dyDescent="0.3">
      <c r="A320" s="2"/>
      <c r="B320" s="1"/>
      <c r="C320" s="1"/>
      <c r="D320" s="1"/>
      <c r="E320" s="1"/>
      <c r="F320" s="1"/>
      <c r="G320" s="1"/>
      <c r="H320" s="1"/>
      <c r="I320" s="1"/>
      <c r="J320" s="1"/>
      <c r="K320" s="1"/>
      <c r="L320" s="1"/>
      <c r="M320" s="1"/>
      <c r="N320" s="1"/>
      <c r="O320" s="1"/>
      <c r="P320" s="1"/>
      <c r="Q320" s="1"/>
      <c r="R320" s="2"/>
    </row>
    <row r="321" spans="1:20" ht="16.5" customHeight="1" thickBot="1" x14ac:dyDescent="0.35">
      <c r="A321" s="106"/>
      <c r="B321" s="21"/>
      <c r="C321" s="21"/>
      <c r="D321" s="21"/>
      <c r="E321" s="21"/>
      <c r="F321" s="21"/>
      <c r="G321" s="21"/>
      <c r="H321" s="21"/>
      <c r="I321" s="21"/>
      <c r="J321" s="21"/>
      <c r="K321" s="21"/>
      <c r="L321" s="21"/>
      <c r="M321" s="21"/>
      <c r="N321" s="21"/>
      <c r="O321" s="21"/>
      <c r="P321" s="21"/>
      <c r="Q321" s="21"/>
      <c r="R321" s="106"/>
    </row>
    <row r="322" spans="1:20" ht="16.5" customHeight="1" thickBot="1" x14ac:dyDescent="0.35">
      <c r="A322" s="107" t="s">
        <v>203</v>
      </c>
      <c r="B322" s="30" t="s">
        <v>8</v>
      </c>
      <c r="C322" s="31" t="s">
        <v>9</v>
      </c>
      <c r="D322" s="31" t="s">
        <v>10</v>
      </c>
      <c r="E322" s="32" t="s">
        <v>11</v>
      </c>
      <c r="F322" s="31" t="s">
        <v>12</v>
      </c>
      <c r="G322" s="31" t="s">
        <v>13</v>
      </c>
      <c r="H322" s="31" t="s">
        <v>14</v>
      </c>
      <c r="I322" s="33" t="s">
        <v>15</v>
      </c>
      <c r="J322" s="31" t="s">
        <v>16</v>
      </c>
      <c r="K322" s="31" t="s">
        <v>17</v>
      </c>
      <c r="L322" s="31" t="s">
        <v>18</v>
      </c>
      <c r="M322" s="33" t="s">
        <v>19</v>
      </c>
      <c r="N322" s="31" t="s">
        <v>20</v>
      </c>
      <c r="O322" s="31" t="s">
        <v>21</v>
      </c>
      <c r="P322" s="31" t="s">
        <v>22</v>
      </c>
      <c r="Q322" s="33" t="s">
        <v>23</v>
      </c>
      <c r="R322" s="34" t="s">
        <v>24</v>
      </c>
    </row>
    <row r="323" spans="1:20" ht="16.5" customHeight="1" thickBot="1" x14ac:dyDescent="0.35">
      <c r="A323" s="59"/>
      <c r="B323" s="75"/>
      <c r="C323" s="75"/>
      <c r="D323" s="75"/>
      <c r="E323" s="69"/>
      <c r="F323" s="75"/>
      <c r="G323" s="75"/>
      <c r="H323" s="75"/>
      <c r="I323" s="82"/>
      <c r="J323" s="75"/>
      <c r="K323" s="75"/>
      <c r="L323" s="75"/>
      <c r="M323" s="82"/>
      <c r="N323" s="75"/>
      <c r="O323" s="75"/>
      <c r="P323" s="75"/>
      <c r="Q323" s="82"/>
      <c r="R323" s="105"/>
    </row>
    <row r="324" spans="1:20" ht="15.75" customHeight="1" x14ac:dyDescent="0.3">
      <c r="A324" s="15" t="s">
        <v>48</v>
      </c>
      <c r="B324" s="1"/>
      <c r="C324" s="1"/>
      <c r="D324" s="1"/>
      <c r="E324" s="55" t="s">
        <v>7</v>
      </c>
      <c r="F324" s="1" t="s">
        <v>7</v>
      </c>
      <c r="G324" s="1" t="s">
        <v>7</v>
      </c>
      <c r="H324" s="1" t="s">
        <v>7</v>
      </c>
      <c r="I324" s="55" t="s">
        <v>7</v>
      </c>
      <c r="J324" s="1" t="s">
        <v>7</v>
      </c>
      <c r="K324" s="1" t="s">
        <v>7</v>
      </c>
      <c r="L324" s="1" t="s">
        <v>7</v>
      </c>
      <c r="M324" s="55" t="s">
        <v>7</v>
      </c>
      <c r="N324" s="1" t="s">
        <v>7</v>
      </c>
      <c r="O324" s="1" t="s">
        <v>7</v>
      </c>
      <c r="P324" s="1" t="s">
        <v>7</v>
      </c>
      <c r="Q324" s="55" t="s">
        <v>7</v>
      </c>
      <c r="R324" s="60" t="s">
        <v>7</v>
      </c>
    </row>
    <row r="325" spans="1:20" ht="15.75" customHeight="1" x14ac:dyDescent="0.3">
      <c r="A325" s="15" t="s">
        <v>49</v>
      </c>
      <c r="B325" s="1"/>
      <c r="C325" s="1"/>
      <c r="D325" s="1"/>
      <c r="E325" s="55" t="s">
        <v>7</v>
      </c>
      <c r="F325" s="1"/>
      <c r="G325" s="1"/>
      <c r="H325" s="1"/>
      <c r="I325" s="55" t="s">
        <v>7</v>
      </c>
      <c r="J325" s="1"/>
      <c r="K325" s="1"/>
      <c r="L325" s="1"/>
      <c r="M325" s="55" t="s">
        <v>7</v>
      </c>
      <c r="N325" s="1"/>
      <c r="O325" s="1"/>
      <c r="P325" s="1"/>
      <c r="Q325" s="55" t="s">
        <v>7</v>
      </c>
      <c r="R325" s="55" t="s">
        <v>7</v>
      </c>
    </row>
    <row r="326" spans="1:20" ht="15.75" customHeight="1" x14ac:dyDescent="0.3">
      <c r="A326" s="72" t="s">
        <v>906</v>
      </c>
      <c r="B326" s="1"/>
      <c r="C326" s="1"/>
      <c r="D326" s="1"/>
      <c r="E326" s="55">
        <f t="shared" ref="E326:E355" si="91">SUM(B326:D326)</f>
        <v>0</v>
      </c>
      <c r="F326" s="1"/>
      <c r="G326" s="1"/>
      <c r="H326" s="1"/>
      <c r="I326" s="55">
        <f t="shared" ref="I326:I355" si="92">SUM(F326:H326)</f>
        <v>0</v>
      </c>
      <c r="J326" s="1"/>
      <c r="K326" s="1"/>
      <c r="L326" s="1"/>
      <c r="M326" s="55">
        <f t="shared" ref="M326:M355" si="93">SUM(J326:L326)</f>
        <v>0</v>
      </c>
      <c r="N326" s="1"/>
      <c r="O326" s="1">
        <v>32</v>
      </c>
      <c r="P326" s="1">
        <v>107</v>
      </c>
      <c r="Q326" s="55">
        <f t="shared" ref="Q326:Q355" si="94">SUM(N326:P326)</f>
        <v>139</v>
      </c>
      <c r="R326" s="55">
        <f t="shared" ref="R326:R355" si="95">+E326+I326+M326+Q326</f>
        <v>139</v>
      </c>
      <c r="T326" s="4" t="s">
        <v>907</v>
      </c>
    </row>
    <row r="327" spans="1:20" ht="15.75" customHeight="1" x14ac:dyDescent="0.3">
      <c r="A327" s="72" t="s">
        <v>908</v>
      </c>
      <c r="B327" s="1"/>
      <c r="C327" s="1"/>
      <c r="D327" s="1"/>
      <c r="E327" s="55">
        <f t="shared" si="91"/>
        <v>0</v>
      </c>
      <c r="F327" s="1"/>
      <c r="G327" s="1"/>
      <c r="H327" s="1"/>
      <c r="I327" s="55">
        <f t="shared" si="92"/>
        <v>0</v>
      </c>
      <c r="J327" s="1">
        <v>534</v>
      </c>
      <c r="K327" s="1"/>
      <c r="L327" s="1"/>
      <c r="M327" s="55">
        <f t="shared" si="93"/>
        <v>534</v>
      </c>
      <c r="N327" s="1"/>
      <c r="O327" s="1">
        <v>100</v>
      </c>
      <c r="P327" s="1"/>
      <c r="Q327" s="55">
        <f t="shared" si="94"/>
        <v>100</v>
      </c>
      <c r="R327" s="55">
        <f>+E327+I327+M327+Q327</f>
        <v>634</v>
      </c>
    </row>
    <row r="328" spans="1:20" ht="15.75" customHeight="1" x14ac:dyDescent="0.3">
      <c r="A328" s="72" t="s">
        <v>208</v>
      </c>
      <c r="B328" s="1">
        <v>45</v>
      </c>
      <c r="C328" s="1">
        <v>38</v>
      </c>
      <c r="D328" s="1">
        <v>92</v>
      </c>
      <c r="E328" s="55">
        <f t="shared" si="91"/>
        <v>175</v>
      </c>
      <c r="F328" s="1">
        <v>78</v>
      </c>
      <c r="G328" s="1">
        <v>110</v>
      </c>
      <c r="H328" s="1">
        <v>364</v>
      </c>
      <c r="I328" s="55">
        <f t="shared" si="92"/>
        <v>552</v>
      </c>
      <c r="J328" s="1">
        <v>283</v>
      </c>
      <c r="K328" s="1">
        <v>286</v>
      </c>
      <c r="L328" s="1">
        <v>199</v>
      </c>
      <c r="M328" s="55">
        <f t="shared" si="93"/>
        <v>768</v>
      </c>
      <c r="N328" s="1">
        <v>141</v>
      </c>
      <c r="O328" s="1">
        <v>74</v>
      </c>
      <c r="P328" s="1">
        <v>127</v>
      </c>
      <c r="Q328" s="55">
        <f t="shared" si="94"/>
        <v>342</v>
      </c>
      <c r="R328" s="55">
        <f t="shared" si="95"/>
        <v>1837</v>
      </c>
      <c r="T328" s="4" t="s">
        <v>209</v>
      </c>
    </row>
    <row r="329" spans="1:20" ht="15.75" customHeight="1" x14ac:dyDescent="0.3">
      <c r="A329" s="72" t="s">
        <v>909</v>
      </c>
      <c r="B329" s="1"/>
      <c r="C329" s="1"/>
      <c r="D329" s="1"/>
      <c r="E329" s="55">
        <f t="shared" si="91"/>
        <v>0</v>
      </c>
      <c r="F329" s="1"/>
      <c r="G329" s="1"/>
      <c r="H329" s="1"/>
      <c r="I329" s="55">
        <f t="shared" si="92"/>
        <v>0</v>
      </c>
      <c r="J329" s="1">
        <v>1700</v>
      </c>
      <c r="K329" s="1"/>
      <c r="L329" s="1"/>
      <c r="M329" s="55">
        <f t="shared" si="93"/>
        <v>1700</v>
      </c>
      <c r="N329" s="1"/>
      <c r="O329" s="1"/>
      <c r="P329" s="1"/>
      <c r="Q329" s="55">
        <f t="shared" si="94"/>
        <v>0</v>
      </c>
      <c r="R329" s="55">
        <f t="shared" si="95"/>
        <v>1700</v>
      </c>
      <c r="T329" s="4" t="s">
        <v>910</v>
      </c>
    </row>
    <row r="330" spans="1:20" ht="15.75" customHeight="1" x14ac:dyDescent="0.3">
      <c r="A330" s="72" t="s">
        <v>911</v>
      </c>
      <c r="B330" s="1"/>
      <c r="C330" s="1"/>
      <c r="D330" s="1"/>
      <c r="E330" s="55">
        <f t="shared" ref="E330:E335" si="96">SUM(B330:D330)</f>
        <v>0</v>
      </c>
      <c r="F330" s="1">
        <v>2300</v>
      </c>
      <c r="G330" s="1"/>
      <c r="H330" s="1"/>
      <c r="I330" s="55">
        <f t="shared" ref="I330:I335" si="97">SUM(F330:H330)</f>
        <v>2300</v>
      </c>
      <c r="J330" s="1"/>
      <c r="K330" s="1"/>
      <c r="L330" s="1"/>
      <c r="M330" s="55">
        <f t="shared" ref="M330:M335" si="98">SUM(J330:L330)</f>
        <v>0</v>
      </c>
      <c r="N330" s="1"/>
      <c r="O330" s="1"/>
      <c r="P330" s="1"/>
      <c r="Q330" s="55">
        <f>SUM(N330:P330)</f>
        <v>0</v>
      </c>
      <c r="R330" s="55">
        <f t="shared" si="95"/>
        <v>2300</v>
      </c>
      <c r="T330" s="4" t="s">
        <v>209</v>
      </c>
    </row>
    <row r="331" spans="1:20" ht="15.75" customHeight="1" x14ac:dyDescent="0.3">
      <c r="A331" s="72" t="s">
        <v>912</v>
      </c>
      <c r="B331" s="1"/>
      <c r="C331" s="1"/>
      <c r="D331" s="1"/>
      <c r="E331" s="55">
        <f t="shared" si="96"/>
        <v>0</v>
      </c>
      <c r="F331" s="1"/>
      <c r="G331" s="1"/>
      <c r="H331" s="1"/>
      <c r="I331" s="55">
        <f t="shared" si="97"/>
        <v>0</v>
      </c>
      <c r="J331" s="1">
        <v>600</v>
      </c>
      <c r="K331" s="1"/>
      <c r="L331" s="1"/>
      <c r="M331" s="55">
        <f t="shared" si="98"/>
        <v>600</v>
      </c>
      <c r="N331" s="1"/>
      <c r="O331" s="1"/>
      <c r="P331" s="1"/>
      <c r="Q331" s="55">
        <f>SUM(N331:P331)</f>
        <v>0</v>
      </c>
      <c r="R331" s="55">
        <f t="shared" si="95"/>
        <v>600</v>
      </c>
      <c r="T331" s="4" t="s">
        <v>910</v>
      </c>
    </row>
    <row r="332" spans="1:20" ht="15.75" customHeight="1" x14ac:dyDescent="0.3">
      <c r="A332" s="72" t="s">
        <v>913</v>
      </c>
      <c r="B332" s="1">
        <f>10+22</f>
        <v>32</v>
      </c>
      <c r="C332" s="1">
        <f>15+86</f>
        <v>101</v>
      </c>
      <c r="D332" s="1">
        <v>225</v>
      </c>
      <c r="E332" s="55">
        <f t="shared" si="96"/>
        <v>358</v>
      </c>
      <c r="F332" s="1">
        <v>376</v>
      </c>
      <c r="G332" s="1">
        <v>382</v>
      </c>
      <c r="H332" s="1">
        <v>399</v>
      </c>
      <c r="I332" s="55">
        <f t="shared" si="97"/>
        <v>1157</v>
      </c>
      <c r="J332" s="1">
        <v>377</v>
      </c>
      <c r="K332" s="1">
        <v>322</v>
      </c>
      <c r="L332" s="1">
        <v>250</v>
      </c>
      <c r="M332" s="55">
        <f t="shared" si="98"/>
        <v>949</v>
      </c>
      <c r="N332" s="1">
        <v>274</v>
      </c>
      <c r="O332" s="1">
        <v>284</v>
      </c>
      <c r="P332" s="1">
        <v>135</v>
      </c>
      <c r="Q332" s="55">
        <f>SUM(N332:P332)</f>
        <v>693</v>
      </c>
      <c r="R332" s="55">
        <f>+E332+I332+M332+Q332</f>
        <v>3157</v>
      </c>
      <c r="T332" s="4" t="s">
        <v>914</v>
      </c>
    </row>
    <row r="333" spans="1:20" ht="15.75" customHeight="1" x14ac:dyDescent="0.3">
      <c r="A333" s="72" t="s">
        <v>915</v>
      </c>
      <c r="B333" s="1"/>
      <c r="C333" s="1"/>
      <c r="D333" s="1"/>
      <c r="E333" s="55">
        <f t="shared" si="96"/>
        <v>0</v>
      </c>
      <c r="F333" s="1">
        <v>2400</v>
      </c>
      <c r="G333" s="1"/>
      <c r="H333" s="1"/>
      <c r="I333" s="55">
        <f t="shared" si="97"/>
        <v>2400</v>
      </c>
      <c r="J333" s="1"/>
      <c r="K333" s="1"/>
      <c r="L333" s="1"/>
      <c r="M333" s="55">
        <f t="shared" si="98"/>
        <v>0</v>
      </c>
      <c r="N333" s="1"/>
      <c r="O333" s="1"/>
      <c r="P333" s="1"/>
      <c r="Q333" s="55">
        <f>SUM(N333:P333)</f>
        <v>0</v>
      </c>
      <c r="R333" s="55">
        <f>+E333+I333+M333+Q333</f>
        <v>2400</v>
      </c>
      <c r="T333" s="4" t="s">
        <v>224</v>
      </c>
    </row>
    <row r="334" spans="1:20" ht="15.75" customHeight="1" x14ac:dyDescent="0.3">
      <c r="A334" s="72" t="s">
        <v>1207</v>
      </c>
      <c r="B334" s="1"/>
      <c r="C334" s="1"/>
      <c r="D334" s="1"/>
      <c r="E334" s="55">
        <f t="shared" si="96"/>
        <v>0</v>
      </c>
      <c r="F334" s="1"/>
      <c r="G334" s="1">
        <v>1457</v>
      </c>
      <c r="H334" s="1">
        <v>5998</v>
      </c>
      <c r="I334" s="55">
        <f t="shared" si="97"/>
        <v>7455</v>
      </c>
      <c r="J334" s="1">
        <v>3196</v>
      </c>
      <c r="K334" s="1">
        <v>4330</v>
      </c>
      <c r="L334" s="1">
        <v>6019</v>
      </c>
      <c r="M334" s="55">
        <f t="shared" si="98"/>
        <v>13545</v>
      </c>
      <c r="N334" s="1"/>
      <c r="O334" s="1"/>
      <c r="P334" s="1"/>
      <c r="Q334" s="55">
        <f t="shared" ref="Q334" si="99">SUM(N334:P334)</f>
        <v>0</v>
      </c>
      <c r="R334" s="55">
        <f>+E334+I334+M334+Q334</f>
        <v>21000</v>
      </c>
    </row>
    <row r="335" spans="1:20" ht="15.75" customHeight="1" x14ac:dyDescent="0.3">
      <c r="A335" s="72" t="s">
        <v>916</v>
      </c>
      <c r="B335" s="1"/>
      <c r="C335" s="1"/>
      <c r="D335" s="1">
        <v>315</v>
      </c>
      <c r="E335" s="55">
        <f t="shared" si="96"/>
        <v>315</v>
      </c>
      <c r="F335" s="1"/>
      <c r="G335" s="1"/>
      <c r="H335" s="1"/>
      <c r="I335" s="55">
        <f t="shared" si="97"/>
        <v>0</v>
      </c>
      <c r="J335" s="1"/>
      <c r="K335" s="1"/>
      <c r="L335" s="1"/>
      <c r="M335" s="55">
        <f t="shared" si="98"/>
        <v>0</v>
      </c>
      <c r="N335" s="1"/>
      <c r="O335" s="1"/>
      <c r="P335" s="1"/>
      <c r="Q335" s="55">
        <f>SUM(N335:P335)</f>
        <v>0</v>
      </c>
      <c r="R335" s="55">
        <f>+E335+I335+M335+Q335</f>
        <v>315</v>
      </c>
    </row>
    <row r="336" spans="1:20" ht="15.75" customHeight="1" x14ac:dyDescent="0.3">
      <c r="A336" s="72" t="s">
        <v>1208</v>
      </c>
      <c r="B336" s="1"/>
      <c r="C336" s="1"/>
      <c r="D336" s="1"/>
      <c r="E336" s="55">
        <f t="shared" ref="E336" si="100">SUM(B336:D336)</f>
        <v>0</v>
      </c>
      <c r="F336" s="1">
        <v>800</v>
      </c>
      <c r="G336" s="1"/>
      <c r="H336" s="1">
        <v>871</v>
      </c>
      <c r="I336" s="55">
        <f t="shared" ref="I336:I337" si="101">SUM(F336:H336)</f>
        <v>1671</v>
      </c>
      <c r="J336" s="1"/>
      <c r="K336" s="1"/>
      <c r="L336" s="1"/>
      <c r="M336" s="55">
        <f t="shared" ref="M336:M337" si="102">SUM(J336:L336)</f>
        <v>0</v>
      </c>
      <c r="N336" s="1"/>
      <c r="O336" s="1"/>
      <c r="P336" s="1"/>
      <c r="Q336" s="55">
        <f t="shared" ref="Q336:Q337" si="103">SUM(N336:P336)</f>
        <v>0</v>
      </c>
      <c r="R336" s="55">
        <f t="shared" ref="R336:R337" si="104">+E336+I336+M336+Q336</f>
        <v>1671</v>
      </c>
    </row>
    <row r="337" spans="1:20" ht="15.75" customHeight="1" x14ac:dyDescent="0.3">
      <c r="A337" s="72" t="s">
        <v>917</v>
      </c>
      <c r="B337" s="1"/>
      <c r="C337" s="1">
        <v>500</v>
      </c>
      <c r="D337" s="1">
        <v>330</v>
      </c>
      <c r="E337" s="55">
        <f>SUM(B337:D337)</f>
        <v>830</v>
      </c>
      <c r="F337" s="1"/>
      <c r="G337" s="1"/>
      <c r="H337" s="1"/>
      <c r="I337" s="55">
        <f t="shared" si="101"/>
        <v>0</v>
      </c>
      <c r="J337" s="1"/>
      <c r="K337" s="1"/>
      <c r="L337" s="1"/>
      <c r="M337" s="55">
        <f t="shared" si="102"/>
        <v>0</v>
      </c>
      <c r="N337" s="1"/>
      <c r="O337" s="1"/>
      <c r="P337" s="1"/>
      <c r="Q337" s="55">
        <f t="shared" si="103"/>
        <v>0</v>
      </c>
      <c r="R337" s="55">
        <f t="shared" si="104"/>
        <v>830</v>
      </c>
      <c r="T337" s="4" t="s">
        <v>241</v>
      </c>
    </row>
    <row r="338" spans="1:20" ht="15.75" customHeight="1" x14ac:dyDescent="0.3">
      <c r="A338" s="72" t="s">
        <v>918</v>
      </c>
      <c r="B338" s="1"/>
      <c r="C338" s="1"/>
      <c r="D338" s="1"/>
      <c r="E338" s="55">
        <f t="shared" si="91"/>
        <v>0</v>
      </c>
      <c r="F338" s="1"/>
      <c r="G338" s="1"/>
      <c r="H338" s="1"/>
      <c r="I338" s="55">
        <f t="shared" si="92"/>
        <v>0</v>
      </c>
      <c r="J338" s="1"/>
      <c r="K338" s="1"/>
      <c r="L338" s="1">
        <v>1128</v>
      </c>
      <c r="M338" s="55">
        <f t="shared" si="93"/>
        <v>1128</v>
      </c>
      <c r="N338" s="1">
        <v>686</v>
      </c>
      <c r="O338" s="1">
        <v>528</v>
      </c>
      <c r="P338" s="1">
        <v>1118</v>
      </c>
      <c r="Q338" s="55">
        <f t="shared" si="94"/>
        <v>2332</v>
      </c>
      <c r="R338" s="55">
        <f t="shared" si="95"/>
        <v>3460</v>
      </c>
      <c r="T338" s="4" t="s">
        <v>919</v>
      </c>
    </row>
    <row r="339" spans="1:20" ht="15.75" customHeight="1" x14ac:dyDescent="0.3">
      <c r="A339" s="72" t="s">
        <v>920</v>
      </c>
      <c r="B339" s="1"/>
      <c r="C339" s="1"/>
      <c r="D339" s="1"/>
      <c r="E339" s="55">
        <f t="shared" si="91"/>
        <v>0</v>
      </c>
      <c r="F339" s="1"/>
      <c r="G339" s="1"/>
      <c r="H339" s="1"/>
      <c r="I339" s="55">
        <f t="shared" si="92"/>
        <v>0</v>
      </c>
      <c r="J339" s="1"/>
      <c r="K339" s="1"/>
      <c r="L339" s="1"/>
      <c r="M339" s="55">
        <f t="shared" si="93"/>
        <v>0</v>
      </c>
      <c r="N339" s="1"/>
      <c r="O339" s="1"/>
      <c r="P339" s="1"/>
      <c r="Q339" s="55">
        <f t="shared" si="94"/>
        <v>0</v>
      </c>
      <c r="R339" s="55">
        <f t="shared" si="95"/>
        <v>0</v>
      </c>
      <c r="T339" s="4" t="s">
        <v>209</v>
      </c>
    </row>
    <row r="340" spans="1:20" ht="15.75" customHeight="1" x14ac:dyDescent="0.3">
      <c r="A340" s="72" t="s">
        <v>921</v>
      </c>
      <c r="B340" s="1"/>
      <c r="C340" s="1"/>
      <c r="D340" s="1"/>
      <c r="E340" s="55">
        <f t="shared" si="91"/>
        <v>0</v>
      </c>
      <c r="F340" s="1"/>
      <c r="G340" s="1"/>
      <c r="H340" s="1"/>
      <c r="I340" s="55">
        <f t="shared" si="92"/>
        <v>0</v>
      </c>
      <c r="J340" s="1"/>
      <c r="K340" s="1"/>
      <c r="L340" s="1"/>
      <c r="M340" s="55">
        <f t="shared" si="93"/>
        <v>0</v>
      </c>
      <c r="N340" s="1"/>
      <c r="O340" s="1"/>
      <c r="P340" s="1"/>
      <c r="Q340" s="55">
        <f t="shared" si="94"/>
        <v>0</v>
      </c>
      <c r="R340" s="55">
        <f t="shared" si="95"/>
        <v>0</v>
      </c>
      <c r="T340" s="4" t="s">
        <v>209</v>
      </c>
    </row>
    <row r="341" spans="1:20" ht="15.75" customHeight="1" x14ac:dyDescent="0.3">
      <c r="A341" s="72" t="s">
        <v>1209</v>
      </c>
      <c r="B341" s="1"/>
      <c r="C341" s="1"/>
      <c r="D341" s="1"/>
      <c r="E341" s="55">
        <f t="shared" si="91"/>
        <v>0</v>
      </c>
      <c r="F341" s="1"/>
      <c r="G341" s="1"/>
      <c r="H341" s="1"/>
      <c r="I341" s="55">
        <f t="shared" si="92"/>
        <v>0</v>
      </c>
      <c r="J341" s="1"/>
      <c r="K341" s="1"/>
      <c r="L341" s="1"/>
      <c r="M341" s="55">
        <f t="shared" si="93"/>
        <v>0</v>
      </c>
      <c r="N341" s="1">
        <v>2023</v>
      </c>
      <c r="O341" s="1">
        <v>828</v>
      </c>
      <c r="P341" s="1"/>
      <c r="Q341" s="55">
        <f t="shared" si="94"/>
        <v>2851</v>
      </c>
      <c r="R341" s="55">
        <f t="shared" si="95"/>
        <v>2851</v>
      </c>
    </row>
    <row r="342" spans="1:20" ht="15.75" customHeight="1" x14ac:dyDescent="0.3">
      <c r="A342" s="72" t="s">
        <v>922</v>
      </c>
      <c r="B342" s="1"/>
      <c r="C342" s="1"/>
      <c r="D342" s="1"/>
      <c r="E342" s="55">
        <f>SUM(B342:D342)</f>
        <v>0</v>
      </c>
      <c r="F342" s="1"/>
      <c r="G342" s="1"/>
      <c r="H342" s="1"/>
      <c r="I342" s="55">
        <f>SUM(F342:H342)</f>
        <v>0</v>
      </c>
      <c r="J342" s="1"/>
      <c r="K342" s="1"/>
      <c r="L342" s="1">
        <v>172</v>
      </c>
      <c r="M342" s="55">
        <f t="shared" si="93"/>
        <v>172</v>
      </c>
      <c r="N342" s="1"/>
      <c r="O342" s="1"/>
      <c r="P342" s="1"/>
      <c r="Q342" s="55">
        <f>SUM(N342:P342)</f>
        <v>0</v>
      </c>
      <c r="R342" s="55">
        <f t="shared" si="95"/>
        <v>172</v>
      </c>
      <c r="T342" s="4" t="s">
        <v>241</v>
      </c>
    </row>
    <row r="343" spans="1:20" ht="15.75" customHeight="1" x14ac:dyDescent="0.3">
      <c r="A343" s="72" t="s">
        <v>118</v>
      </c>
      <c r="B343" s="1"/>
      <c r="C343" s="1"/>
      <c r="D343" s="1"/>
      <c r="E343" s="55">
        <f t="shared" si="91"/>
        <v>0</v>
      </c>
      <c r="F343" s="1"/>
      <c r="G343" s="1"/>
      <c r="H343" s="1"/>
      <c r="I343" s="55">
        <f t="shared" si="92"/>
        <v>0</v>
      </c>
      <c r="J343" s="1"/>
      <c r="K343" s="1">
        <v>685</v>
      </c>
      <c r="L343" s="1">
        <v>1081</v>
      </c>
      <c r="M343" s="55">
        <f t="shared" si="93"/>
        <v>1766</v>
      </c>
      <c r="N343" s="1">
        <v>804</v>
      </c>
      <c r="O343" s="1">
        <v>723</v>
      </c>
      <c r="P343" s="1">
        <v>1115</v>
      </c>
      <c r="Q343" s="55">
        <f t="shared" si="94"/>
        <v>2642</v>
      </c>
      <c r="R343" s="55">
        <f t="shared" si="95"/>
        <v>4408</v>
      </c>
      <c r="T343" s="4" t="s">
        <v>919</v>
      </c>
    </row>
    <row r="344" spans="1:20" ht="15.75" customHeight="1" x14ac:dyDescent="0.3">
      <c r="A344" s="72" t="s">
        <v>1210</v>
      </c>
      <c r="B344" s="1"/>
      <c r="C344" s="1"/>
      <c r="D344" s="1"/>
      <c r="E344" s="55">
        <f t="shared" si="91"/>
        <v>0</v>
      </c>
      <c r="F344" s="1"/>
      <c r="G344" s="1"/>
      <c r="H344" s="1"/>
      <c r="I344" s="55">
        <f t="shared" si="92"/>
        <v>0</v>
      </c>
      <c r="J344" s="1"/>
      <c r="K344" s="1"/>
      <c r="L344" s="1"/>
      <c r="M344" s="55">
        <f t="shared" si="93"/>
        <v>0</v>
      </c>
      <c r="N344" s="1"/>
      <c r="O344" s="1"/>
      <c r="P344" s="1">
        <v>255</v>
      </c>
      <c r="Q344" s="55">
        <f t="shared" si="94"/>
        <v>255</v>
      </c>
      <c r="R344" s="55">
        <f t="shared" si="95"/>
        <v>255</v>
      </c>
    </row>
    <row r="345" spans="1:20" ht="15.75" customHeight="1" x14ac:dyDescent="0.3">
      <c r="A345" s="72" t="s">
        <v>923</v>
      </c>
      <c r="B345" s="1"/>
      <c r="C345" s="1"/>
      <c r="D345" s="1"/>
      <c r="E345" s="55">
        <f>SUM(B345:D345)</f>
        <v>0</v>
      </c>
      <c r="F345" s="1"/>
      <c r="G345" s="1"/>
      <c r="H345" s="1"/>
      <c r="I345" s="55">
        <f>SUM(F345:H345)</f>
        <v>0</v>
      </c>
      <c r="J345" s="1"/>
      <c r="K345" s="1"/>
      <c r="L345" s="1"/>
      <c r="M345" s="55">
        <f>SUM(J345:L345)</f>
        <v>0</v>
      </c>
      <c r="N345" s="1"/>
      <c r="O345" s="1"/>
      <c r="P345" s="1"/>
      <c r="Q345" s="55">
        <f>SUM(N345:P345)</f>
        <v>0</v>
      </c>
      <c r="R345" s="55">
        <f t="shared" si="95"/>
        <v>0</v>
      </c>
      <c r="T345" s="4" t="s">
        <v>241</v>
      </c>
    </row>
    <row r="346" spans="1:20" ht="15.75" customHeight="1" x14ac:dyDescent="0.3">
      <c r="A346" s="72" t="s">
        <v>924</v>
      </c>
      <c r="B346" s="1"/>
      <c r="C346" s="1"/>
      <c r="D346" s="1"/>
      <c r="E346" s="55">
        <f t="shared" si="91"/>
        <v>0</v>
      </c>
      <c r="F346" s="1"/>
      <c r="G346" s="1"/>
      <c r="H346" s="1"/>
      <c r="I346" s="55">
        <f t="shared" si="92"/>
        <v>0</v>
      </c>
      <c r="J346" s="1"/>
      <c r="K346" s="1"/>
      <c r="L346" s="1"/>
      <c r="M346" s="55">
        <f t="shared" si="93"/>
        <v>0</v>
      </c>
      <c r="N346" s="1"/>
      <c r="O346" s="1"/>
      <c r="P346" s="1"/>
      <c r="Q346" s="55">
        <f t="shared" si="94"/>
        <v>0</v>
      </c>
      <c r="R346" s="55">
        <f t="shared" si="95"/>
        <v>0</v>
      </c>
      <c r="S346" s="300"/>
      <c r="T346" s="4" t="s">
        <v>214</v>
      </c>
    </row>
    <row r="347" spans="1:20" ht="15.75" customHeight="1" x14ac:dyDescent="0.3">
      <c r="A347" s="72" t="s">
        <v>925</v>
      </c>
      <c r="B347" s="1">
        <v>7</v>
      </c>
      <c r="C347" s="1">
        <v>15</v>
      </c>
      <c r="D347" s="1">
        <v>37</v>
      </c>
      <c r="E347" s="55">
        <f>SUM(B347:D347)</f>
        <v>59</v>
      </c>
      <c r="F347" s="1">
        <v>66</v>
      </c>
      <c r="G347" s="1">
        <v>73</v>
      </c>
      <c r="H347" s="1">
        <v>66</v>
      </c>
      <c r="I347" s="55">
        <f>SUM(F347:H347)</f>
        <v>205</v>
      </c>
      <c r="J347" s="1">
        <v>39</v>
      </c>
      <c r="K347" s="1">
        <v>21</v>
      </c>
      <c r="L347" s="1">
        <v>2</v>
      </c>
      <c r="M347" s="55">
        <f>SUM(J347:L347)</f>
        <v>62</v>
      </c>
      <c r="N347" s="1">
        <v>4</v>
      </c>
      <c r="O347" s="1">
        <v>25</v>
      </c>
      <c r="P347" s="1">
        <v>24</v>
      </c>
      <c r="Q347" s="55">
        <f>SUM(N347:P347)</f>
        <v>53</v>
      </c>
      <c r="R347" s="55">
        <f>+E347+I347+M347+Q347</f>
        <v>379</v>
      </c>
      <c r="T347" s="4" t="s">
        <v>406</v>
      </c>
    </row>
    <row r="348" spans="1:20" ht="15.75" customHeight="1" x14ac:dyDescent="0.3">
      <c r="A348" s="72" t="s">
        <v>215</v>
      </c>
      <c r="B348" s="1">
        <v>1183</v>
      </c>
      <c r="C348" s="1">
        <v>1185</v>
      </c>
      <c r="D348" s="1">
        <v>2063</v>
      </c>
      <c r="E348" s="55">
        <f t="shared" si="91"/>
        <v>4431</v>
      </c>
      <c r="F348" s="1">
        <v>123</v>
      </c>
      <c r="G348" s="1">
        <v>1673</v>
      </c>
      <c r="H348" s="1">
        <v>5495</v>
      </c>
      <c r="I348" s="55">
        <f t="shared" si="92"/>
        <v>7291</v>
      </c>
      <c r="J348" s="1">
        <v>5229</v>
      </c>
      <c r="K348" s="1">
        <v>4808</v>
      </c>
      <c r="L348" s="1">
        <v>4788</v>
      </c>
      <c r="M348" s="55">
        <f t="shared" si="93"/>
        <v>14825</v>
      </c>
      <c r="N348" s="1">
        <v>4495</v>
      </c>
      <c r="O348" s="1">
        <v>4482</v>
      </c>
      <c r="P348" s="1">
        <v>4569</v>
      </c>
      <c r="Q348" s="55">
        <f t="shared" si="94"/>
        <v>13546</v>
      </c>
      <c r="R348" s="55">
        <f t="shared" si="95"/>
        <v>40093</v>
      </c>
      <c r="T348" s="4" t="s">
        <v>210</v>
      </c>
    </row>
    <row r="349" spans="1:20" ht="15.75" customHeight="1" x14ac:dyDescent="0.3">
      <c r="A349" s="72" t="s">
        <v>1211</v>
      </c>
      <c r="B349" s="1"/>
      <c r="C349" s="1"/>
      <c r="D349" s="1"/>
      <c r="E349" s="55">
        <f t="shared" si="91"/>
        <v>0</v>
      </c>
      <c r="F349" s="1"/>
      <c r="G349" s="1"/>
      <c r="H349" s="1"/>
      <c r="I349" s="55">
        <f t="shared" si="92"/>
        <v>0</v>
      </c>
      <c r="J349" s="1"/>
      <c r="K349" s="1"/>
      <c r="L349" s="1"/>
      <c r="M349" s="55">
        <f t="shared" si="93"/>
        <v>0</v>
      </c>
      <c r="N349" s="1"/>
      <c r="O349" s="1"/>
      <c r="P349" s="1"/>
      <c r="Q349" s="55">
        <f t="shared" si="94"/>
        <v>0</v>
      </c>
      <c r="R349" s="55">
        <f t="shared" si="95"/>
        <v>0</v>
      </c>
      <c r="T349" s="4" t="s">
        <v>256</v>
      </c>
    </row>
    <row r="350" spans="1:20" ht="15.75" customHeight="1" x14ac:dyDescent="0.3">
      <c r="A350" s="72" t="s">
        <v>1212</v>
      </c>
      <c r="B350" s="1"/>
      <c r="C350" s="1">
        <v>754</v>
      </c>
      <c r="D350" s="1">
        <v>300</v>
      </c>
      <c r="E350" s="55">
        <f t="shared" si="91"/>
        <v>1054</v>
      </c>
      <c r="F350" s="1">
        <v>454</v>
      </c>
      <c r="G350" s="1">
        <v>377</v>
      </c>
      <c r="H350" s="1"/>
      <c r="I350" s="55">
        <f t="shared" si="92"/>
        <v>831</v>
      </c>
      <c r="J350" s="1">
        <v>754</v>
      </c>
      <c r="K350" s="1">
        <v>1885</v>
      </c>
      <c r="L350" s="1"/>
      <c r="M350" s="55">
        <f t="shared" si="93"/>
        <v>2639</v>
      </c>
      <c r="N350" s="1"/>
      <c r="O350" s="1"/>
      <c r="P350" s="1"/>
      <c r="Q350" s="55">
        <f t="shared" si="94"/>
        <v>0</v>
      </c>
      <c r="R350" s="55">
        <f t="shared" si="95"/>
        <v>4524</v>
      </c>
    </row>
    <row r="351" spans="1:20" ht="15.75" customHeight="1" x14ac:dyDescent="0.3">
      <c r="A351" s="72" t="s">
        <v>720</v>
      </c>
      <c r="B351" s="1"/>
      <c r="C351" s="1"/>
      <c r="D351" s="1"/>
      <c r="E351" s="55">
        <f t="shared" si="91"/>
        <v>0</v>
      </c>
      <c r="F351" s="1"/>
      <c r="G351" s="1"/>
      <c r="H351" s="1"/>
      <c r="I351" s="55">
        <f t="shared" si="92"/>
        <v>0</v>
      </c>
      <c r="J351" s="1"/>
      <c r="K351" s="1"/>
      <c r="L351" s="1"/>
      <c r="M351" s="55">
        <f t="shared" si="93"/>
        <v>0</v>
      </c>
      <c r="N351" s="1"/>
      <c r="O351" s="1"/>
      <c r="P351" s="1"/>
      <c r="Q351" s="55">
        <f t="shared" si="94"/>
        <v>0</v>
      </c>
      <c r="R351" s="55">
        <f t="shared" si="95"/>
        <v>0</v>
      </c>
    </row>
    <row r="352" spans="1:20" ht="15.75" customHeight="1" x14ac:dyDescent="0.3">
      <c r="A352" s="72" t="s">
        <v>926</v>
      </c>
      <c r="B352" s="1"/>
      <c r="C352" s="1"/>
      <c r="D352" s="1"/>
      <c r="E352" s="55">
        <f t="shared" si="91"/>
        <v>0</v>
      </c>
      <c r="F352" s="1"/>
      <c r="G352" s="1"/>
      <c r="H352" s="1">
        <v>4927</v>
      </c>
      <c r="I352" s="55">
        <f t="shared" si="92"/>
        <v>4927</v>
      </c>
      <c r="J352" s="1">
        <v>13</v>
      </c>
      <c r="K352" s="1"/>
      <c r="L352" s="1"/>
      <c r="M352" s="55">
        <f t="shared" si="93"/>
        <v>13</v>
      </c>
      <c r="N352" s="1"/>
      <c r="O352" s="1"/>
      <c r="P352" s="1"/>
      <c r="Q352" s="55">
        <f>SUM(N352:P352)</f>
        <v>0</v>
      </c>
      <c r="R352" s="55">
        <f>+E352+I352+M352+Q352</f>
        <v>4940</v>
      </c>
      <c r="T352" s="4" t="s">
        <v>241</v>
      </c>
    </row>
    <row r="353" spans="1:20" ht="15.75" customHeight="1" x14ac:dyDescent="0.3">
      <c r="A353" s="72" t="s">
        <v>927</v>
      </c>
      <c r="B353" s="1">
        <v>20</v>
      </c>
      <c r="C353" s="1">
        <v>30</v>
      </c>
      <c r="D353" s="1">
        <v>35</v>
      </c>
      <c r="E353" s="55">
        <f>SUM(B353:D353)</f>
        <v>85</v>
      </c>
      <c r="F353" s="1">
        <v>59</v>
      </c>
      <c r="G353" s="1">
        <v>62</v>
      </c>
      <c r="H353" s="1">
        <v>60</v>
      </c>
      <c r="I353" s="55">
        <f>SUM(F353:H353)</f>
        <v>181</v>
      </c>
      <c r="J353" s="1">
        <v>76</v>
      </c>
      <c r="K353" s="1">
        <v>56</v>
      </c>
      <c r="L353" s="1">
        <v>45</v>
      </c>
      <c r="M353" s="55">
        <f>SUM(J353:L353)</f>
        <v>177</v>
      </c>
      <c r="N353" s="1">
        <v>64</v>
      </c>
      <c r="O353" s="1">
        <v>79</v>
      </c>
      <c r="P353" s="1">
        <v>38</v>
      </c>
      <c r="Q353" s="55">
        <f>SUM(N353:P353)</f>
        <v>181</v>
      </c>
      <c r="R353" s="55">
        <f>+E353+I353+M353+Q353</f>
        <v>624</v>
      </c>
      <c r="T353" s="4" t="s">
        <v>406</v>
      </c>
    </row>
    <row r="354" spans="1:20" ht="15.75" customHeight="1" x14ac:dyDescent="0.3">
      <c r="A354" s="71" t="s">
        <v>929</v>
      </c>
      <c r="B354" s="1"/>
      <c r="C354" s="1"/>
      <c r="D354" s="1"/>
      <c r="E354" s="55">
        <f>SUM(B354:D354)</f>
        <v>0</v>
      </c>
      <c r="F354" s="1">
        <v>37</v>
      </c>
      <c r="G354" s="1"/>
      <c r="H354" s="1"/>
      <c r="I354" s="55">
        <f>SUM(F354:H354)</f>
        <v>37</v>
      </c>
      <c r="J354" s="1"/>
      <c r="K354" s="1"/>
      <c r="L354" s="1"/>
      <c r="M354" s="55">
        <f>SUM(J354:L354)</f>
        <v>0</v>
      </c>
      <c r="N354" s="1"/>
      <c r="O354" s="1"/>
      <c r="P354" s="1"/>
      <c r="Q354" s="55">
        <f>SUM(N354:P354)</f>
        <v>0</v>
      </c>
      <c r="R354" s="55">
        <f t="shared" si="95"/>
        <v>37</v>
      </c>
    </row>
    <row r="355" spans="1:20" ht="15.75" customHeight="1" x14ac:dyDescent="0.3">
      <c r="A355" s="72" t="s">
        <v>930</v>
      </c>
      <c r="B355" s="1"/>
      <c r="C355" s="1"/>
      <c r="D355" s="1"/>
      <c r="E355" s="55">
        <f t="shared" si="91"/>
        <v>0</v>
      </c>
      <c r="F355" s="1"/>
      <c r="G355" s="1"/>
      <c r="H355" s="1"/>
      <c r="I355" s="55">
        <f t="shared" si="92"/>
        <v>0</v>
      </c>
      <c r="J355" s="1">
        <v>122</v>
      </c>
      <c r="K355" s="1">
        <v>128</v>
      </c>
      <c r="L355" s="1">
        <v>122</v>
      </c>
      <c r="M355" s="55">
        <f t="shared" si="93"/>
        <v>372</v>
      </c>
      <c r="N355" s="1">
        <v>123</v>
      </c>
      <c r="O355" s="1"/>
      <c r="P355" s="1"/>
      <c r="Q355" s="55">
        <f t="shared" si="94"/>
        <v>123</v>
      </c>
      <c r="R355" s="55">
        <f t="shared" si="95"/>
        <v>495</v>
      </c>
      <c r="S355" s="4">
        <f>SUM(R326:R355)</f>
        <v>98821</v>
      </c>
      <c r="T355" s="4" t="s">
        <v>214</v>
      </c>
    </row>
    <row r="356" spans="1:20" ht="15.75" customHeight="1" x14ac:dyDescent="0.3">
      <c r="A356" s="72" t="s">
        <v>931</v>
      </c>
      <c r="B356" s="1">
        <v>6</v>
      </c>
      <c r="C356" s="1">
        <v>9</v>
      </c>
      <c r="D356" s="1">
        <v>27</v>
      </c>
      <c r="E356" s="55">
        <f>SUM(B356:D356)</f>
        <v>42</v>
      </c>
      <c r="F356" s="1">
        <v>59</v>
      </c>
      <c r="G356" s="1">
        <v>74</v>
      </c>
      <c r="H356" s="1">
        <v>61</v>
      </c>
      <c r="I356" s="55">
        <f>SUM(F356:H356)</f>
        <v>194</v>
      </c>
      <c r="J356" s="1">
        <v>76</v>
      </c>
      <c r="K356" s="1">
        <v>60</v>
      </c>
      <c r="L356" s="1">
        <v>50</v>
      </c>
      <c r="M356" s="55">
        <f>SUM(J356:L356)</f>
        <v>186</v>
      </c>
      <c r="N356" s="1">
        <v>65</v>
      </c>
      <c r="O356" s="1">
        <v>48</v>
      </c>
      <c r="P356" s="1">
        <v>27</v>
      </c>
      <c r="Q356" s="55">
        <f>SUM(N356:P356)</f>
        <v>140</v>
      </c>
      <c r="R356" s="55">
        <f>+E356+I356+M356+Q356</f>
        <v>562</v>
      </c>
      <c r="T356" s="4" t="s">
        <v>406</v>
      </c>
    </row>
    <row r="357" spans="1:20" ht="15.75" customHeight="1" x14ac:dyDescent="0.3">
      <c r="A357" s="15" t="s">
        <v>50</v>
      </c>
      <c r="B357" s="1"/>
      <c r="C357" s="1"/>
      <c r="D357" s="1"/>
      <c r="E357" s="55" t="s">
        <v>7</v>
      </c>
      <c r="F357" s="1"/>
      <c r="G357" s="1"/>
      <c r="H357" s="1"/>
      <c r="I357" s="55" t="s">
        <v>7</v>
      </c>
      <c r="J357" s="1"/>
      <c r="K357" s="1"/>
      <c r="L357" s="1"/>
      <c r="M357" s="55" t="s">
        <v>7</v>
      </c>
      <c r="N357" s="1"/>
      <c r="O357" s="1"/>
      <c r="P357" s="1"/>
      <c r="Q357" s="55" t="s">
        <v>7</v>
      </c>
      <c r="R357" s="55" t="s">
        <v>7</v>
      </c>
    </row>
    <row r="358" spans="1:20" ht="15.75" customHeight="1" x14ac:dyDescent="0.3">
      <c r="A358" s="72" t="s">
        <v>217</v>
      </c>
      <c r="B358" s="1"/>
      <c r="C358" s="1"/>
      <c r="D358" s="1"/>
      <c r="E358" s="55">
        <f t="shared" ref="E358:E370" si="105">SUM(B358:D358)</f>
        <v>0</v>
      </c>
      <c r="F358" s="1"/>
      <c r="G358" s="1"/>
      <c r="H358" s="1"/>
      <c r="I358" s="55">
        <f t="shared" ref="I358:I370" si="106">SUM(F358:H358)</f>
        <v>0</v>
      </c>
      <c r="J358" s="1"/>
      <c r="K358" s="1"/>
      <c r="L358" s="1"/>
      <c r="M358" s="55">
        <f t="shared" ref="M358:M370" si="107">SUM(J358:L358)</f>
        <v>0</v>
      </c>
      <c r="N358" s="1"/>
      <c r="O358" s="1"/>
      <c r="P358" s="1"/>
      <c r="Q358" s="55">
        <f t="shared" ref="Q358:Q370" si="108">SUM(N358:P358)</f>
        <v>0</v>
      </c>
      <c r="R358" s="55">
        <f t="shared" ref="R358:R370" si="109">+E358+I358+M358+Q358</f>
        <v>0</v>
      </c>
    </row>
    <row r="359" spans="1:20" ht="15.75" customHeight="1" x14ac:dyDescent="0.3">
      <c r="A359" s="72" t="s">
        <v>932</v>
      </c>
      <c r="B359" s="1"/>
      <c r="C359" s="1"/>
      <c r="D359" s="1"/>
      <c r="E359" s="55">
        <f>SUM(B359:D359)</f>
        <v>0</v>
      </c>
      <c r="F359" s="1"/>
      <c r="G359" s="1"/>
      <c r="H359" s="1"/>
      <c r="I359" s="55">
        <f>SUM(F359:H359)</f>
        <v>0</v>
      </c>
      <c r="J359" s="1"/>
      <c r="K359" s="1"/>
      <c r="L359" s="1"/>
      <c r="M359" s="55">
        <f>SUM(J359:L359)</f>
        <v>0</v>
      </c>
      <c r="N359" s="1"/>
      <c r="O359" s="1"/>
      <c r="P359" s="1"/>
      <c r="Q359" s="55">
        <f>SUM(N359:P359)</f>
        <v>0</v>
      </c>
      <c r="R359" s="55">
        <f t="shared" si="109"/>
        <v>0</v>
      </c>
      <c r="T359" s="4" t="s">
        <v>220</v>
      </c>
    </row>
    <row r="360" spans="1:20" ht="15.75" customHeight="1" x14ac:dyDescent="0.3">
      <c r="A360" s="72" t="s">
        <v>1213</v>
      </c>
      <c r="B360" s="1"/>
      <c r="C360" s="1"/>
      <c r="D360" s="1"/>
      <c r="E360" s="55">
        <f>SUM(B360:D360)</f>
        <v>0</v>
      </c>
      <c r="F360" s="1"/>
      <c r="G360" s="1"/>
      <c r="H360" s="1"/>
      <c r="I360" s="55">
        <f>SUM(F360:H360)</f>
        <v>0</v>
      </c>
      <c r="J360" s="1"/>
      <c r="K360" s="1"/>
      <c r="L360" s="1"/>
      <c r="M360" s="55">
        <f>SUM(J360:L360)</f>
        <v>0</v>
      </c>
      <c r="N360" s="1"/>
      <c r="O360" s="1"/>
      <c r="P360" s="1">
        <v>15</v>
      </c>
      <c r="Q360" s="55">
        <f>SUM(N360:P360)</f>
        <v>15</v>
      </c>
      <c r="R360" s="55">
        <f t="shared" si="109"/>
        <v>15</v>
      </c>
    </row>
    <row r="361" spans="1:20" ht="15.75" customHeight="1" x14ac:dyDescent="0.3">
      <c r="A361" s="72" t="s">
        <v>1214</v>
      </c>
      <c r="B361" s="1"/>
      <c r="C361" s="1"/>
      <c r="D361" s="1"/>
      <c r="E361" s="55">
        <f>SUM(B361:D361)</f>
        <v>0</v>
      </c>
      <c r="F361" s="1"/>
      <c r="G361" s="1"/>
      <c r="H361" s="1"/>
      <c r="I361" s="55">
        <f>SUM(F361:H361)</f>
        <v>0</v>
      </c>
      <c r="J361" s="1"/>
      <c r="K361" s="1"/>
      <c r="L361" s="1"/>
      <c r="M361" s="55">
        <f>SUM(J361:L361)</f>
        <v>0</v>
      </c>
      <c r="N361" s="1"/>
      <c r="O361" s="1"/>
      <c r="P361" s="1">
        <v>19</v>
      </c>
      <c r="Q361" s="55">
        <f>SUM(N361:P361)</f>
        <v>19</v>
      </c>
      <c r="R361" s="55">
        <f t="shared" si="109"/>
        <v>19</v>
      </c>
    </row>
    <row r="362" spans="1:20" ht="15.75" customHeight="1" x14ac:dyDescent="0.3">
      <c r="A362" s="72" t="s">
        <v>643</v>
      </c>
      <c r="B362" s="1"/>
      <c r="C362" s="1"/>
      <c r="D362" s="1"/>
      <c r="E362" s="55">
        <f>SUM(B362:D362)</f>
        <v>0</v>
      </c>
      <c r="F362" s="1"/>
      <c r="G362" s="1"/>
      <c r="H362" s="1"/>
      <c r="I362" s="55">
        <f>SUM(F362:H362)</f>
        <v>0</v>
      </c>
      <c r="J362" s="1"/>
      <c r="K362" s="1"/>
      <c r="L362" s="1"/>
      <c r="M362" s="55">
        <f>SUM(J362:L362)</f>
        <v>0</v>
      </c>
      <c r="N362" s="1"/>
      <c r="O362" s="1"/>
      <c r="P362" s="1"/>
      <c r="Q362" s="55">
        <f>SUM(N362:P362)</f>
        <v>0</v>
      </c>
      <c r="R362" s="55">
        <f t="shared" si="109"/>
        <v>0</v>
      </c>
      <c r="T362" s="4" t="s">
        <v>256</v>
      </c>
    </row>
    <row r="363" spans="1:20" ht="15.75" customHeight="1" x14ac:dyDescent="0.3">
      <c r="A363" s="72" t="s">
        <v>924</v>
      </c>
      <c r="B363" s="1"/>
      <c r="C363" s="1"/>
      <c r="D363" s="1"/>
      <c r="E363" s="55">
        <f t="shared" si="105"/>
        <v>0</v>
      </c>
      <c r="F363" s="1"/>
      <c r="G363" s="1"/>
      <c r="H363" s="1"/>
      <c r="I363" s="55">
        <f t="shared" si="106"/>
        <v>0</v>
      </c>
      <c r="J363" s="1"/>
      <c r="K363" s="1"/>
      <c r="L363" s="1"/>
      <c r="M363" s="55">
        <f t="shared" si="107"/>
        <v>0</v>
      </c>
      <c r="N363" s="1"/>
      <c r="O363" s="1"/>
      <c r="P363" s="1"/>
      <c r="Q363" s="55">
        <f t="shared" si="108"/>
        <v>0</v>
      </c>
      <c r="R363" s="55">
        <f t="shared" si="109"/>
        <v>0</v>
      </c>
      <c r="T363" s="4" t="s">
        <v>214</v>
      </c>
    </row>
    <row r="364" spans="1:20" ht="15.75" customHeight="1" x14ac:dyDescent="0.3">
      <c r="A364" s="72" t="s">
        <v>721</v>
      </c>
      <c r="B364" s="1"/>
      <c r="C364" s="1"/>
      <c r="D364" s="1"/>
      <c r="E364" s="55">
        <f>SUM(B364:D364)</f>
        <v>0</v>
      </c>
      <c r="F364" s="1"/>
      <c r="G364" s="1"/>
      <c r="H364" s="1"/>
      <c r="I364" s="55">
        <f>SUM(F364:H364)</f>
        <v>0</v>
      </c>
      <c r="J364" s="1"/>
      <c r="K364" s="1"/>
      <c r="L364" s="1"/>
      <c r="M364" s="55">
        <f>SUM(J364:L364)</f>
        <v>0</v>
      </c>
      <c r="N364" s="1"/>
      <c r="O364" s="1"/>
      <c r="P364" s="1"/>
      <c r="Q364" s="55">
        <f>SUM(N364:P364)</f>
        <v>0</v>
      </c>
      <c r="R364" s="55">
        <f t="shared" si="109"/>
        <v>0</v>
      </c>
      <c r="T364" s="4" t="s">
        <v>218</v>
      </c>
    </row>
    <row r="365" spans="1:20" ht="15.75" customHeight="1" x14ac:dyDescent="0.3">
      <c r="A365" s="72" t="s">
        <v>222</v>
      </c>
      <c r="B365" s="1"/>
      <c r="C365" s="1"/>
      <c r="D365" s="1"/>
      <c r="E365" s="55">
        <f t="shared" si="105"/>
        <v>0</v>
      </c>
      <c r="F365" s="1"/>
      <c r="G365" s="1"/>
      <c r="H365" s="1"/>
      <c r="I365" s="55">
        <f t="shared" si="106"/>
        <v>0</v>
      </c>
      <c r="J365" s="1"/>
      <c r="K365" s="1"/>
      <c r="L365" s="1"/>
      <c r="M365" s="55">
        <f t="shared" si="107"/>
        <v>0</v>
      </c>
      <c r="N365" s="1"/>
      <c r="O365" s="1"/>
      <c r="P365" s="1"/>
      <c r="Q365" s="55">
        <f t="shared" si="108"/>
        <v>0</v>
      </c>
      <c r="R365" s="55">
        <f t="shared" si="109"/>
        <v>0</v>
      </c>
    </row>
    <row r="366" spans="1:20" ht="15.75" customHeight="1" x14ac:dyDescent="0.3">
      <c r="A366" s="72" t="s">
        <v>933</v>
      </c>
      <c r="B366" s="1"/>
      <c r="C366" s="1"/>
      <c r="D366" s="1"/>
      <c r="E366" s="55">
        <f t="shared" si="105"/>
        <v>0</v>
      </c>
      <c r="F366" s="1"/>
      <c r="G366" s="1"/>
      <c r="H366" s="1"/>
      <c r="I366" s="55">
        <f t="shared" si="106"/>
        <v>0</v>
      </c>
      <c r="J366" s="1"/>
      <c r="K366" s="1"/>
      <c r="L366" s="1"/>
      <c r="M366" s="55">
        <f t="shared" si="107"/>
        <v>0</v>
      </c>
      <c r="N366" s="1"/>
      <c r="O366" s="1"/>
      <c r="P366" s="1"/>
      <c r="Q366" s="55">
        <f t="shared" si="108"/>
        <v>0</v>
      </c>
      <c r="R366" s="55">
        <f t="shared" si="109"/>
        <v>0</v>
      </c>
      <c r="T366" s="4" t="s">
        <v>226</v>
      </c>
    </row>
    <row r="367" spans="1:20" ht="15.75" customHeight="1" x14ac:dyDescent="0.3">
      <c r="A367" s="72" t="s">
        <v>227</v>
      </c>
      <c r="B367" s="1"/>
      <c r="C367" s="1"/>
      <c r="D367" s="1"/>
      <c r="E367" s="55">
        <f t="shared" si="105"/>
        <v>0</v>
      </c>
      <c r="F367" s="1"/>
      <c r="G367" s="1"/>
      <c r="H367" s="1"/>
      <c r="I367" s="55">
        <f t="shared" si="106"/>
        <v>0</v>
      </c>
      <c r="J367" s="1"/>
      <c r="K367" s="1"/>
      <c r="L367" s="1"/>
      <c r="M367" s="55">
        <f t="shared" si="107"/>
        <v>0</v>
      </c>
      <c r="N367" s="1"/>
      <c r="O367" s="1"/>
      <c r="P367" s="1"/>
      <c r="Q367" s="55">
        <f t="shared" si="108"/>
        <v>0</v>
      </c>
      <c r="R367" s="55">
        <f t="shared" si="109"/>
        <v>0</v>
      </c>
      <c r="T367" s="4" t="s">
        <v>226</v>
      </c>
    </row>
    <row r="368" spans="1:20" ht="15.75" customHeight="1" x14ac:dyDescent="0.3">
      <c r="A368" s="72" t="s">
        <v>934</v>
      </c>
      <c r="B368" s="1"/>
      <c r="C368" s="1"/>
      <c r="D368" s="1"/>
      <c r="E368" s="55">
        <f t="shared" si="105"/>
        <v>0</v>
      </c>
      <c r="F368" s="1"/>
      <c r="G368" s="1"/>
      <c r="H368" s="1"/>
      <c r="I368" s="55">
        <f t="shared" si="106"/>
        <v>0</v>
      </c>
      <c r="J368" s="1"/>
      <c r="K368" s="1"/>
      <c r="L368" s="1"/>
      <c r="M368" s="55">
        <f t="shared" si="107"/>
        <v>0</v>
      </c>
      <c r="N368" s="1"/>
      <c r="O368" s="1"/>
      <c r="P368" s="1"/>
      <c r="Q368" s="55">
        <f t="shared" si="108"/>
        <v>0</v>
      </c>
      <c r="R368" s="55">
        <f t="shared" si="109"/>
        <v>0</v>
      </c>
      <c r="T368" s="4" t="s">
        <v>406</v>
      </c>
    </row>
    <row r="369" spans="1:39" ht="15.75" customHeight="1" x14ac:dyDescent="0.3">
      <c r="A369" s="72" t="s">
        <v>634</v>
      </c>
      <c r="B369" s="1"/>
      <c r="C369" s="1"/>
      <c r="D369" s="1"/>
      <c r="E369" s="55">
        <f>SUM(B369:D369)</f>
        <v>0</v>
      </c>
      <c r="F369" s="1"/>
      <c r="G369" s="1"/>
      <c r="H369" s="1"/>
      <c r="I369" s="55">
        <f>SUM(F369:H369)</f>
        <v>0</v>
      </c>
      <c r="J369" s="1"/>
      <c r="K369" s="1"/>
      <c r="L369" s="1"/>
      <c r="M369" s="55">
        <f>SUM(J369:L369)</f>
        <v>0</v>
      </c>
      <c r="N369" s="1"/>
      <c r="O369" s="1"/>
      <c r="P369" s="1"/>
      <c r="Q369" s="55">
        <f>SUM(N369:P369)</f>
        <v>0</v>
      </c>
      <c r="R369" s="55">
        <f>+E369+I369+M369+Q369</f>
        <v>0</v>
      </c>
      <c r="T369" s="4" t="s">
        <v>406</v>
      </c>
    </row>
    <row r="370" spans="1:39" ht="15.75" customHeight="1" x14ac:dyDescent="0.3">
      <c r="A370" s="72" t="s">
        <v>635</v>
      </c>
      <c r="B370" s="1"/>
      <c r="C370" s="1"/>
      <c r="D370" s="1"/>
      <c r="E370" s="55">
        <f t="shared" si="105"/>
        <v>0</v>
      </c>
      <c r="F370" s="1"/>
      <c r="G370" s="1"/>
      <c r="H370" s="1"/>
      <c r="I370" s="55">
        <f t="shared" si="106"/>
        <v>0</v>
      </c>
      <c r="J370" s="1"/>
      <c r="K370" s="1"/>
      <c r="L370" s="1"/>
      <c r="M370" s="55">
        <f t="shared" si="107"/>
        <v>0</v>
      </c>
      <c r="N370" s="1"/>
      <c r="O370" s="1"/>
      <c r="P370" s="1"/>
      <c r="Q370" s="55">
        <f t="shared" si="108"/>
        <v>0</v>
      </c>
      <c r="R370" s="55">
        <f t="shared" si="109"/>
        <v>0</v>
      </c>
      <c r="T370" s="4" t="s">
        <v>232</v>
      </c>
    </row>
    <row r="371" spans="1:39" ht="15.75" customHeight="1" x14ac:dyDescent="0.3">
      <c r="A371" s="15" t="s">
        <v>1186</v>
      </c>
      <c r="B371" s="1"/>
      <c r="C371" s="1"/>
      <c r="D371" s="1"/>
      <c r="E371" s="55" t="s">
        <v>7</v>
      </c>
      <c r="F371" s="1"/>
      <c r="G371" s="1"/>
      <c r="H371" s="1"/>
      <c r="I371" s="55" t="s">
        <v>7</v>
      </c>
      <c r="J371" s="1"/>
      <c r="K371" s="1"/>
      <c r="L371" s="1"/>
      <c r="M371" s="55" t="s">
        <v>7</v>
      </c>
      <c r="N371" s="1"/>
      <c r="O371" s="1"/>
      <c r="P371" s="1"/>
      <c r="Q371" s="55" t="s">
        <v>7</v>
      </c>
      <c r="R371" s="55" t="s">
        <v>7</v>
      </c>
    </row>
    <row r="372" spans="1:39" ht="15.75" customHeight="1" x14ac:dyDescent="0.3">
      <c r="A372" s="72" t="s">
        <v>722</v>
      </c>
      <c r="B372" s="1"/>
      <c r="C372" s="1"/>
      <c r="D372" s="1"/>
      <c r="E372" s="55">
        <f>SUM(B372:D372)</f>
        <v>0</v>
      </c>
      <c r="F372" s="1"/>
      <c r="G372" s="1"/>
      <c r="H372" s="1"/>
      <c r="I372" s="55">
        <f>SUM(F372:H372)</f>
        <v>0</v>
      </c>
      <c r="J372" s="1"/>
      <c r="K372" s="1"/>
      <c r="L372" s="1"/>
      <c r="M372" s="55">
        <f>SUM(J372:L372)</f>
        <v>0</v>
      </c>
      <c r="N372" s="1"/>
      <c r="O372" s="1"/>
      <c r="P372" s="1"/>
      <c r="Q372" s="55">
        <f>SUM(N372:P372)</f>
        <v>0</v>
      </c>
      <c r="R372" s="55">
        <f>+E372+I372+M372+Q372</f>
        <v>0</v>
      </c>
      <c r="T372" s="4" t="s">
        <v>209</v>
      </c>
    </row>
    <row r="373" spans="1:39" ht="15.75" customHeight="1" x14ac:dyDescent="0.3">
      <c r="A373" s="72" t="s">
        <v>723</v>
      </c>
      <c r="B373" s="1"/>
      <c r="C373" s="1"/>
      <c r="D373" s="1"/>
      <c r="E373" s="55">
        <f>SUM(B373:D373)</f>
        <v>0</v>
      </c>
      <c r="F373" s="1"/>
      <c r="G373" s="1">
        <v>3000</v>
      </c>
      <c r="H373" s="1">
        <v>3000</v>
      </c>
      <c r="I373" s="55">
        <f>SUM(F373:H373)</f>
        <v>6000</v>
      </c>
      <c r="J373" s="1">
        <v>3000</v>
      </c>
      <c r="K373" s="1"/>
      <c r="L373" s="1"/>
      <c r="M373" s="55">
        <f>SUM(J373:L373)</f>
        <v>3000</v>
      </c>
      <c r="N373" s="1"/>
      <c r="O373" s="1"/>
      <c r="P373" s="1"/>
      <c r="Q373" s="55">
        <f>SUM(N373:P373)</f>
        <v>0</v>
      </c>
      <c r="R373" s="55">
        <f>+E373+I373+M373+Q373</f>
        <v>9000</v>
      </c>
    </row>
    <row r="374" spans="1:39" ht="15.75" customHeight="1" x14ac:dyDescent="0.3">
      <c r="A374" s="72" t="s">
        <v>724</v>
      </c>
      <c r="B374" s="1"/>
      <c r="C374" s="1"/>
      <c r="D374" s="1"/>
      <c r="E374" s="55">
        <f>SUM(B374:D374)</f>
        <v>0</v>
      </c>
      <c r="F374" s="1"/>
      <c r="G374" s="1">
        <v>2685</v>
      </c>
      <c r="H374" s="1"/>
      <c r="I374" s="55">
        <f>SUM(F374:H374)</f>
        <v>2685</v>
      </c>
      <c r="J374" s="1"/>
      <c r="K374" s="1"/>
      <c r="L374" s="1"/>
      <c r="M374" s="55">
        <f>SUM(J374:L374)</f>
        <v>0</v>
      </c>
      <c r="N374" s="1"/>
      <c r="O374" s="1"/>
      <c r="P374" s="1"/>
      <c r="Q374" s="55">
        <f>SUM(N374:P374)</f>
        <v>0</v>
      </c>
      <c r="R374" s="55">
        <f>+E374+I374+M374+Q374</f>
        <v>2685</v>
      </c>
      <c r="T374" s="4" t="s">
        <v>214</v>
      </c>
    </row>
    <row r="375" spans="1:39" ht="15.75" customHeight="1" x14ac:dyDescent="0.3">
      <c r="A375" s="72" t="s">
        <v>935</v>
      </c>
      <c r="B375" s="1"/>
      <c r="C375" s="1"/>
      <c r="D375" s="1"/>
      <c r="E375" s="55">
        <f>SUM(B375:D375)</f>
        <v>0</v>
      </c>
      <c r="F375" s="1"/>
      <c r="G375" s="1"/>
      <c r="H375" s="1"/>
      <c r="I375" s="55">
        <f>SUM(F375:H375)</f>
        <v>0</v>
      </c>
      <c r="J375" s="1"/>
      <c r="K375" s="1"/>
      <c r="L375" s="1"/>
      <c r="M375" s="55">
        <f>SUM(J375:L375)</f>
        <v>0</v>
      </c>
      <c r="N375" s="1"/>
      <c r="O375" s="1"/>
      <c r="P375" s="1"/>
      <c r="Q375" s="55">
        <f>SUM(N375:P375)</f>
        <v>0</v>
      </c>
      <c r="R375" s="55">
        <f>+E375+I375+M375+Q375</f>
        <v>0</v>
      </c>
      <c r="T375" s="4" t="s">
        <v>241</v>
      </c>
    </row>
    <row r="376" spans="1:39" ht="16.5" customHeight="1" thickBot="1" x14ac:dyDescent="0.35">
      <c r="A376" s="15" t="s">
        <v>53</v>
      </c>
      <c r="B376" s="1"/>
      <c r="C376" s="1"/>
      <c r="D376" s="1"/>
      <c r="E376" s="55" t="s">
        <v>7</v>
      </c>
      <c r="F376" s="1"/>
      <c r="G376" s="1"/>
      <c r="H376" s="1"/>
      <c r="I376" s="55" t="s">
        <v>7</v>
      </c>
      <c r="J376" s="1"/>
      <c r="K376" s="1"/>
      <c r="L376" s="1"/>
      <c r="M376" s="55" t="s">
        <v>7</v>
      </c>
      <c r="N376" s="1"/>
      <c r="O376" s="1"/>
      <c r="P376" s="1"/>
      <c r="Q376" s="55" t="s">
        <v>7</v>
      </c>
      <c r="R376" s="81" t="s">
        <v>7</v>
      </c>
      <c r="V376" s="4" t="s">
        <v>936</v>
      </c>
      <c r="W376" s="4" t="s">
        <v>937</v>
      </c>
    </row>
    <row r="377" spans="1:39" ht="16.5" customHeight="1" thickBot="1" x14ac:dyDescent="0.35">
      <c r="A377" s="109" t="s">
        <v>54</v>
      </c>
      <c r="B377" s="86">
        <f>SUM(B324:B376)</f>
        <v>1293</v>
      </c>
      <c r="C377" s="87">
        <f>SUM(C324:C376)</f>
        <v>2632</v>
      </c>
      <c r="D377" s="87">
        <f>SUM(D324:D376)</f>
        <v>3424</v>
      </c>
      <c r="E377" s="59">
        <f>SUM(B377:D377)</f>
        <v>7349</v>
      </c>
      <c r="F377" s="87">
        <f>SUM(F324:F376)</f>
        <v>6752</v>
      </c>
      <c r="G377" s="87">
        <f>SUM(G324:G376)</f>
        <v>9893</v>
      </c>
      <c r="H377" s="87">
        <f>SUM(H324:H376)</f>
        <v>21241</v>
      </c>
      <c r="I377" s="59">
        <f>SUM(F377:H377)</f>
        <v>37886</v>
      </c>
      <c r="J377" s="87">
        <f>SUM(J324:J376)</f>
        <v>15999</v>
      </c>
      <c r="K377" s="87">
        <f>SUM(K324:K376)</f>
        <v>12581</v>
      </c>
      <c r="L377" s="87">
        <f>SUM(L324:L376)</f>
        <v>13856</v>
      </c>
      <c r="M377" s="59">
        <f>SUM(J377:L377)</f>
        <v>42436</v>
      </c>
      <c r="N377" s="87">
        <f>SUM(N324:N376)</f>
        <v>8679</v>
      </c>
      <c r="O377" s="87">
        <f>SUM(O324:O376)</f>
        <v>7203</v>
      </c>
      <c r="P377" s="87">
        <f>SUM(P324:P376)</f>
        <v>7549</v>
      </c>
      <c r="Q377" s="59">
        <f>SUM(N377:P377)</f>
        <v>23431</v>
      </c>
      <c r="R377" s="59">
        <f>+E377+I377+M377+Q377</f>
        <v>111102</v>
      </c>
      <c r="T377" s="89"/>
      <c r="V377" s="4" t="s">
        <v>209</v>
      </c>
      <c r="W377" s="348">
        <v>0.18</v>
      </c>
    </row>
    <row r="378" spans="1:39" ht="15.75" customHeight="1" x14ac:dyDescent="0.3">
      <c r="A378" s="15" t="s">
        <v>55</v>
      </c>
      <c r="B378" s="1"/>
      <c r="C378" s="1"/>
      <c r="D378" s="1"/>
      <c r="E378" s="55" t="s">
        <v>7</v>
      </c>
      <c r="F378" s="1"/>
      <c r="G378" s="1"/>
      <c r="H378" s="1"/>
      <c r="I378" s="55" t="s">
        <v>7</v>
      </c>
      <c r="J378" s="1"/>
      <c r="K378" s="1"/>
      <c r="L378" s="1"/>
      <c r="M378" s="55" t="s">
        <v>7</v>
      </c>
      <c r="N378" s="1"/>
      <c r="O378" s="1"/>
      <c r="P378" s="1"/>
      <c r="Q378" s="55" t="s">
        <v>7</v>
      </c>
      <c r="R378" s="55" t="s">
        <v>7</v>
      </c>
      <c r="V378" s="4" t="s">
        <v>938</v>
      </c>
      <c r="W378" s="348">
        <v>0.52</v>
      </c>
    </row>
    <row r="379" spans="1:39" ht="15.75" customHeight="1" x14ac:dyDescent="0.3">
      <c r="A379" s="15" t="s">
        <v>242</v>
      </c>
      <c r="B379" s="1"/>
      <c r="C379" s="1"/>
      <c r="D379" s="1"/>
      <c r="E379" s="55"/>
      <c r="F379" s="1"/>
      <c r="G379" s="1"/>
      <c r="H379" s="1"/>
      <c r="I379" s="55"/>
      <c r="J379" s="1"/>
      <c r="K379" s="1"/>
      <c r="L379" s="1"/>
      <c r="M379" s="55"/>
      <c r="N379" s="1"/>
      <c r="O379" s="1"/>
      <c r="P379" s="1"/>
      <c r="Q379" s="55"/>
      <c r="R379" s="55"/>
      <c r="V379" s="4" t="s">
        <v>939</v>
      </c>
      <c r="W379" s="348">
        <v>0.3</v>
      </c>
    </row>
    <row r="380" spans="1:39" ht="15.75" customHeight="1" x14ac:dyDescent="0.3">
      <c r="A380" s="15" t="s">
        <v>57</v>
      </c>
      <c r="B380" s="1"/>
      <c r="C380" s="1"/>
      <c r="D380" s="1"/>
      <c r="E380" s="55" t="s">
        <v>7</v>
      </c>
      <c r="F380" s="1"/>
      <c r="G380" s="1"/>
      <c r="H380" s="1"/>
      <c r="I380" s="55" t="s">
        <v>7</v>
      </c>
      <c r="J380" s="1"/>
      <c r="K380" s="1"/>
      <c r="L380" s="1"/>
      <c r="M380" s="55" t="s">
        <v>7</v>
      </c>
      <c r="N380" s="1"/>
      <c r="O380" s="1"/>
      <c r="P380" s="1"/>
      <c r="Q380" s="55" t="s">
        <v>7</v>
      </c>
      <c r="R380" s="55" t="s">
        <v>7</v>
      </c>
      <c r="W380" s="349">
        <f>+SUM(W377:W379)</f>
        <v>1</v>
      </c>
    </row>
    <row r="381" spans="1:39" ht="15.75" customHeight="1" x14ac:dyDescent="0.3">
      <c r="A381" s="72" t="s">
        <v>553</v>
      </c>
      <c r="B381" s="1">
        <v>9</v>
      </c>
      <c r="C381" s="1">
        <v>11</v>
      </c>
      <c r="D381" s="1">
        <v>1694</v>
      </c>
      <c r="E381" s="55">
        <f>SUM(B381:D381)</f>
        <v>1714</v>
      </c>
      <c r="F381" s="1">
        <v>1366</v>
      </c>
      <c r="G381" s="1">
        <v>1522</v>
      </c>
      <c r="H381" s="1">
        <v>4705</v>
      </c>
      <c r="I381" s="55">
        <f>SUM(F381:H381)</f>
        <v>7593</v>
      </c>
      <c r="J381" s="1">
        <v>3489</v>
      </c>
      <c r="K381" s="1">
        <v>1225</v>
      </c>
      <c r="L381" s="1">
        <v>194</v>
      </c>
      <c r="M381" s="55">
        <f>SUM(J381:L381)</f>
        <v>4908</v>
      </c>
      <c r="N381" s="1"/>
      <c r="O381" s="1"/>
      <c r="P381" s="1">
        <v>204</v>
      </c>
      <c r="Q381" s="55">
        <f>SUM(N381:P381)</f>
        <v>204</v>
      </c>
      <c r="R381" s="55">
        <f t="shared" ref="R381:R389" si="110">+E381+I381+M381+Q381</f>
        <v>14419</v>
      </c>
      <c r="T381" s="4" t="s">
        <v>209</v>
      </c>
      <c r="V381" s="351" t="s">
        <v>729</v>
      </c>
      <c r="W381" s="28" t="s">
        <v>8</v>
      </c>
      <c r="X381" s="338" t="s">
        <v>9</v>
      </c>
      <c r="Y381" s="338" t="s">
        <v>10</v>
      </c>
      <c r="Z381" s="352" t="s">
        <v>11</v>
      </c>
      <c r="AA381" s="338" t="s">
        <v>12</v>
      </c>
      <c r="AB381" s="338" t="s">
        <v>13</v>
      </c>
      <c r="AC381" s="338" t="s">
        <v>14</v>
      </c>
      <c r="AD381" s="352" t="s">
        <v>15</v>
      </c>
      <c r="AE381" s="338" t="s">
        <v>16</v>
      </c>
      <c r="AF381" s="338" t="s">
        <v>17</v>
      </c>
      <c r="AG381" s="338" t="s">
        <v>18</v>
      </c>
      <c r="AH381" s="352" t="s">
        <v>19</v>
      </c>
      <c r="AI381" s="338" t="s">
        <v>20</v>
      </c>
      <c r="AJ381" s="338" t="s">
        <v>21</v>
      </c>
      <c r="AK381" s="338" t="s">
        <v>22</v>
      </c>
      <c r="AL381" s="352" t="s">
        <v>23</v>
      </c>
      <c r="AM381" s="353" t="s">
        <v>24</v>
      </c>
    </row>
    <row r="382" spans="1:39" ht="15.75" customHeight="1" x14ac:dyDescent="0.3">
      <c r="A382" s="72" t="s">
        <v>244</v>
      </c>
      <c r="B382" s="1"/>
      <c r="C382" s="1"/>
      <c r="D382" s="1"/>
      <c r="E382" s="55">
        <f>SUM(B382:D382)</f>
        <v>0</v>
      </c>
      <c r="F382" s="1"/>
      <c r="G382" s="1"/>
      <c r="H382" s="1"/>
      <c r="I382" s="55">
        <f>SUM(F382:H382)</f>
        <v>0</v>
      </c>
      <c r="J382" s="1"/>
      <c r="K382" s="1"/>
      <c r="L382" s="1"/>
      <c r="M382" s="55">
        <f>SUM(J382:L382)</f>
        <v>0</v>
      </c>
      <c r="N382" s="1"/>
      <c r="O382" s="1"/>
      <c r="P382" s="1"/>
      <c r="Q382" s="55">
        <f>SUM(N382:P382)</f>
        <v>0</v>
      </c>
      <c r="R382" s="55">
        <f t="shared" si="110"/>
        <v>0</v>
      </c>
      <c r="T382" s="4" t="s">
        <v>214</v>
      </c>
      <c r="V382" s="306" t="s">
        <v>942</v>
      </c>
      <c r="W382" s="354">
        <v>1500</v>
      </c>
      <c r="X382" s="354">
        <v>1500</v>
      </c>
      <c r="Y382" s="354">
        <v>6800</v>
      </c>
      <c r="Z382" s="4">
        <f>+SUM(W382:Y382)</f>
        <v>9800</v>
      </c>
      <c r="AA382" s="354">
        <f>8000+1500</f>
        <v>9500</v>
      </c>
      <c r="AB382" s="354">
        <f>10000+2000</f>
        <v>12000</v>
      </c>
      <c r="AC382" s="354">
        <f>12000+1500</f>
        <v>13500</v>
      </c>
      <c r="AD382" s="4">
        <f>+SUM(AA382:AC382)</f>
        <v>35000</v>
      </c>
      <c r="AE382" s="354">
        <v>25500</v>
      </c>
      <c r="AF382" s="354">
        <v>19000</v>
      </c>
      <c r="AG382" s="354">
        <v>4000</v>
      </c>
      <c r="AH382" s="4">
        <f>+SUM(AE382:AG382)</f>
        <v>48500</v>
      </c>
      <c r="AI382" s="354">
        <v>1500</v>
      </c>
      <c r="AJ382" s="354">
        <v>1000</v>
      </c>
      <c r="AK382" s="354">
        <v>1069</v>
      </c>
      <c r="AL382" s="4">
        <f>+SUM(AI382:AK382)</f>
        <v>3569</v>
      </c>
      <c r="AM382" s="307">
        <f>+Z382+AD382+AH382+AL382</f>
        <v>96869</v>
      </c>
    </row>
    <row r="383" spans="1:39" ht="15.75" customHeight="1" x14ac:dyDescent="0.3">
      <c r="A383" s="72" t="s">
        <v>245</v>
      </c>
      <c r="B383" s="1">
        <v>78</v>
      </c>
      <c r="C383" s="1">
        <v>817</v>
      </c>
      <c r="D383" s="1">
        <v>3994</v>
      </c>
      <c r="E383" s="55">
        <f t="shared" ref="E383:E389" si="111">SUM(B383:D383)</f>
        <v>4889</v>
      </c>
      <c r="F383" s="1">
        <v>6970</v>
      </c>
      <c r="G383" s="1">
        <v>6499</v>
      </c>
      <c r="H383" s="1">
        <v>10352</v>
      </c>
      <c r="I383" s="55">
        <f t="shared" ref="I383:I389" si="112">SUM(F383:H383)</f>
        <v>23821</v>
      </c>
      <c r="J383" s="1">
        <v>1364</v>
      </c>
      <c r="K383" s="1">
        <v>1154</v>
      </c>
      <c r="L383" s="1"/>
      <c r="M383" s="55">
        <f t="shared" ref="M383:M389" si="113">SUM(J383:L383)</f>
        <v>2518</v>
      </c>
      <c r="N383" s="1"/>
      <c r="O383" s="1"/>
      <c r="P383" s="1"/>
      <c r="Q383" s="55">
        <f t="shared" ref="Q383:Q389" si="114">SUM(N383:P383)</f>
        <v>0</v>
      </c>
      <c r="R383" s="55">
        <f t="shared" si="110"/>
        <v>31228</v>
      </c>
      <c r="T383" s="4" t="s">
        <v>910</v>
      </c>
      <c r="V383" s="306" t="s">
        <v>209</v>
      </c>
      <c r="W383" s="4">
        <f>+$W$377*W382</f>
        <v>270</v>
      </c>
      <c r="X383" s="4">
        <f>+$W$377*X382</f>
        <v>270</v>
      </c>
      <c r="Y383" s="4">
        <f>+$W$377*Y382</f>
        <v>1224</v>
      </c>
      <c r="Z383" s="4">
        <f>+SUM(W383:Y383)</f>
        <v>1764</v>
      </c>
      <c r="AA383" s="4">
        <f>+$W$377*AA382</f>
        <v>1710</v>
      </c>
      <c r="AB383" s="4">
        <f>+$W$377*AB382</f>
        <v>2160</v>
      </c>
      <c r="AC383" s="4">
        <f>+$W$377*AC382</f>
        <v>2430</v>
      </c>
      <c r="AD383" s="4">
        <f>+SUM(AA383:AC383)</f>
        <v>6300</v>
      </c>
      <c r="AE383" s="4">
        <f>+$W$377*AE382</f>
        <v>4590</v>
      </c>
      <c r="AF383" s="4">
        <f>+$W$377*AF382</f>
        <v>3420</v>
      </c>
      <c r="AG383" s="4">
        <f>+$W$377*AG382</f>
        <v>720</v>
      </c>
      <c r="AH383" s="4">
        <f>+SUM(AE383:AG383)</f>
        <v>8730</v>
      </c>
      <c r="AI383" s="4">
        <f>+$W$377*AI382</f>
        <v>270</v>
      </c>
      <c r="AJ383" s="4">
        <f>+$W$377*AJ382</f>
        <v>180</v>
      </c>
      <c r="AK383" s="4">
        <f>+$W$377*AK382</f>
        <v>192.42</v>
      </c>
      <c r="AL383" s="4">
        <f>+SUM(AI383:AK383)</f>
        <v>642.41999999999996</v>
      </c>
      <c r="AM383" s="307">
        <f>+Z383+AD383+AH383+AL383</f>
        <v>17436.419999999998</v>
      </c>
    </row>
    <row r="384" spans="1:39" ht="15.75" customHeight="1" x14ac:dyDescent="0.3">
      <c r="A384" s="72" t="s">
        <v>727</v>
      </c>
      <c r="B384" s="1">
        <v>2174</v>
      </c>
      <c r="C384" s="1">
        <v>2974</v>
      </c>
      <c r="D384" s="1">
        <v>12789</v>
      </c>
      <c r="E384" s="55">
        <f t="shared" si="111"/>
        <v>17937</v>
      </c>
      <c r="F384" s="1">
        <v>12017</v>
      </c>
      <c r="G384" s="1">
        <v>11421</v>
      </c>
      <c r="H384" s="1">
        <v>18989</v>
      </c>
      <c r="I384" s="55">
        <f t="shared" si="112"/>
        <v>42427</v>
      </c>
      <c r="J384" s="1">
        <v>9024</v>
      </c>
      <c r="K384" s="1">
        <v>11429</v>
      </c>
      <c r="L384" s="1">
        <v>8341</v>
      </c>
      <c r="M384" s="55">
        <f t="shared" si="113"/>
        <v>28794</v>
      </c>
      <c r="N384" s="1">
        <v>1657</v>
      </c>
      <c r="O384" s="1">
        <v>1447</v>
      </c>
      <c r="P384" s="1">
        <v>3364</v>
      </c>
      <c r="Q384" s="55">
        <f t="shared" si="114"/>
        <v>6468</v>
      </c>
      <c r="R384" s="55">
        <f t="shared" si="110"/>
        <v>95626</v>
      </c>
      <c r="T384" s="4" t="s">
        <v>209</v>
      </c>
      <c r="V384" s="306" t="s">
        <v>938</v>
      </c>
      <c r="W384" s="4">
        <f>+$W$378*W382</f>
        <v>780</v>
      </c>
      <c r="X384" s="4">
        <f>+$W$378*X382</f>
        <v>780</v>
      </c>
      <c r="Y384" s="4">
        <f>+$W$378*Y382</f>
        <v>3536</v>
      </c>
      <c r="Z384" s="4">
        <f>+SUM(W384:Y384)</f>
        <v>5096</v>
      </c>
      <c r="AA384" s="4">
        <f>+$W$378*AA382</f>
        <v>4940</v>
      </c>
      <c r="AB384" s="4">
        <f>+$W$378*AB382</f>
        <v>6240</v>
      </c>
      <c r="AC384" s="4">
        <f>+$W$378*AC382</f>
        <v>7020</v>
      </c>
      <c r="AD384" s="4">
        <f>+SUM(AA384:AC384)</f>
        <v>18200</v>
      </c>
      <c r="AE384" s="4">
        <f>+$W$378*AE382</f>
        <v>13260</v>
      </c>
      <c r="AF384" s="4">
        <f>+$W$378*AF382</f>
        <v>9880</v>
      </c>
      <c r="AG384" s="4">
        <f>+$W$378*AG382</f>
        <v>2080</v>
      </c>
      <c r="AH384" s="4">
        <f>+SUM(AE384:AG384)</f>
        <v>25220</v>
      </c>
      <c r="AI384" s="4">
        <f>+$W$378*AI382</f>
        <v>780</v>
      </c>
      <c r="AJ384" s="4">
        <f>+$W$378*AJ382</f>
        <v>520</v>
      </c>
      <c r="AK384" s="4">
        <f>+$W$378*AK382</f>
        <v>555.88</v>
      </c>
      <c r="AL384" s="4">
        <f>+SUM(AI384:AK384)</f>
        <v>1855.88</v>
      </c>
      <c r="AM384" s="307">
        <f>+Z384+AD384+AH384+AL384</f>
        <v>50371.88</v>
      </c>
    </row>
    <row r="385" spans="1:39" ht="15.75" customHeight="1" x14ac:dyDescent="0.3">
      <c r="A385" s="72" t="s">
        <v>943</v>
      </c>
      <c r="B385" s="1"/>
      <c r="C385" s="1"/>
      <c r="D385" s="1"/>
      <c r="E385" s="55">
        <f t="shared" si="111"/>
        <v>0</v>
      </c>
      <c r="F385" s="1"/>
      <c r="G385" s="1"/>
      <c r="H385" s="1"/>
      <c r="I385" s="55">
        <f t="shared" si="112"/>
        <v>0</v>
      </c>
      <c r="J385" s="1"/>
      <c r="K385" s="1"/>
      <c r="L385" s="1"/>
      <c r="M385" s="55">
        <f t="shared" si="113"/>
        <v>0</v>
      </c>
      <c r="N385" s="1"/>
      <c r="O385" s="1"/>
      <c r="P385" s="1"/>
      <c r="Q385" s="55">
        <f t="shared" si="114"/>
        <v>0</v>
      </c>
      <c r="R385" s="55">
        <f t="shared" si="110"/>
        <v>0</v>
      </c>
      <c r="T385" s="4" t="s">
        <v>944</v>
      </c>
      <c r="V385" s="306" t="s">
        <v>939</v>
      </c>
      <c r="W385" s="4">
        <f>+$W$379*W382</f>
        <v>450</v>
      </c>
      <c r="X385" s="4">
        <f>+$W$379*X382</f>
        <v>450</v>
      </c>
      <c r="Y385" s="4">
        <f>+$W$379*Y382</f>
        <v>2040</v>
      </c>
      <c r="Z385" s="4">
        <f>+SUM(W385:Y385)</f>
        <v>2940</v>
      </c>
      <c r="AA385" s="4">
        <f>+$W$379*AA382</f>
        <v>2850</v>
      </c>
      <c r="AB385" s="4">
        <f>+$W$379*AB382</f>
        <v>3600</v>
      </c>
      <c r="AC385" s="4">
        <f>+$W$379*AC382</f>
        <v>4050</v>
      </c>
      <c r="AD385" s="4">
        <f>+SUM(AA385:AC385)</f>
        <v>10500</v>
      </c>
      <c r="AE385" s="4">
        <f>+$W$379*AE382</f>
        <v>7650</v>
      </c>
      <c r="AF385" s="4">
        <f>+$W$379*AF382</f>
        <v>5700</v>
      </c>
      <c r="AG385" s="4">
        <f>+$W$379*AG382</f>
        <v>1200</v>
      </c>
      <c r="AH385" s="4">
        <f>+SUM(AE385:AG385)</f>
        <v>14550</v>
      </c>
      <c r="AI385" s="4">
        <f>+$W$379*AI382</f>
        <v>450</v>
      </c>
      <c r="AJ385" s="4">
        <f>+$W$379*AJ382</f>
        <v>300</v>
      </c>
      <c r="AK385" s="4">
        <f>+$W$379*AK382</f>
        <v>320.7</v>
      </c>
      <c r="AL385" s="4">
        <f>+$W$379*AL382</f>
        <v>1070.7</v>
      </c>
      <c r="AM385" s="307">
        <f>+Z385+AD385+AH385+AL385</f>
        <v>29060.7</v>
      </c>
    </row>
    <row r="386" spans="1:39" ht="15.75" customHeight="1" thickBot="1" x14ac:dyDescent="0.35">
      <c r="A386" s="72" t="s">
        <v>945</v>
      </c>
      <c r="B386" s="1">
        <v>261</v>
      </c>
      <c r="C386" s="1">
        <v>984</v>
      </c>
      <c r="D386" s="1">
        <v>2255</v>
      </c>
      <c r="E386" s="55">
        <f t="shared" si="111"/>
        <v>3500</v>
      </c>
      <c r="F386" s="1"/>
      <c r="G386" s="1"/>
      <c r="H386" s="1"/>
      <c r="I386" s="55">
        <f t="shared" si="112"/>
        <v>0</v>
      </c>
      <c r="J386" s="1"/>
      <c r="K386" s="1"/>
      <c r="L386" s="1"/>
      <c r="M386" s="55">
        <f t="shared" si="113"/>
        <v>0</v>
      </c>
      <c r="N386" s="1"/>
      <c r="O386" s="1"/>
      <c r="P386" s="1"/>
      <c r="Q386" s="55">
        <f t="shared" si="114"/>
        <v>0</v>
      </c>
      <c r="R386" s="55">
        <f t="shared" si="110"/>
        <v>3500</v>
      </c>
      <c r="T386" s="4" t="s">
        <v>214</v>
      </c>
      <c r="V386" s="311"/>
      <c r="W386" s="312"/>
      <c r="X386" s="312"/>
      <c r="Y386" s="312"/>
      <c r="Z386" s="312"/>
      <c r="AA386" s="312"/>
      <c r="AB386" s="312"/>
      <c r="AC386" s="312"/>
      <c r="AD386" s="312"/>
      <c r="AE386" s="312"/>
      <c r="AF386" s="312"/>
      <c r="AG386" s="312"/>
      <c r="AH386" s="312"/>
      <c r="AI386" s="312"/>
      <c r="AJ386" s="312"/>
      <c r="AK386" s="312"/>
      <c r="AL386" s="312"/>
      <c r="AM386" s="313"/>
    </row>
    <row r="387" spans="1:39" s="355" customFormat="1" ht="15.75" customHeight="1" x14ac:dyDescent="0.3">
      <c r="A387" s="467" t="s">
        <v>1215</v>
      </c>
      <c r="B387" s="301"/>
      <c r="C387" s="301"/>
      <c r="D387" s="301"/>
      <c r="E387" s="302">
        <f t="shared" si="111"/>
        <v>0</v>
      </c>
      <c r="F387" s="301"/>
      <c r="G387" s="301"/>
      <c r="H387" s="301"/>
      <c r="I387" s="302">
        <f t="shared" si="112"/>
        <v>0</v>
      </c>
      <c r="J387" s="301"/>
      <c r="K387" s="301"/>
      <c r="L387" s="301"/>
      <c r="M387" s="302">
        <f t="shared" si="113"/>
        <v>0</v>
      </c>
      <c r="N387" s="301"/>
      <c r="O387" s="301"/>
      <c r="P387" s="301"/>
      <c r="Q387" s="302">
        <f t="shared" ref="Q387" si="115">SUM(N387:P387)</f>
        <v>0</v>
      </c>
      <c r="R387" s="302">
        <f t="shared" si="110"/>
        <v>0</v>
      </c>
    </row>
    <row r="388" spans="1:39" ht="15.75" customHeight="1" x14ac:dyDescent="0.3">
      <c r="A388" s="72" t="s">
        <v>946</v>
      </c>
      <c r="B388" s="1"/>
      <c r="C388" s="1"/>
      <c r="D388" s="1"/>
      <c r="E388" s="55">
        <f t="shared" si="111"/>
        <v>0</v>
      </c>
      <c r="F388" s="1"/>
      <c r="G388" s="1"/>
      <c r="H388" s="1"/>
      <c r="I388" s="55">
        <f t="shared" si="112"/>
        <v>0</v>
      </c>
      <c r="J388" s="1"/>
      <c r="K388" s="1"/>
      <c r="L388" s="1"/>
      <c r="M388" s="55">
        <f t="shared" si="113"/>
        <v>0</v>
      </c>
      <c r="N388" s="1"/>
      <c r="O388" s="1"/>
      <c r="P388" s="1"/>
      <c r="Q388" s="55">
        <f t="shared" si="114"/>
        <v>0</v>
      </c>
      <c r="R388" s="55">
        <f t="shared" si="110"/>
        <v>0</v>
      </c>
      <c r="T388" s="4" t="s">
        <v>224</v>
      </c>
    </row>
    <row r="389" spans="1:39" ht="15.75" customHeight="1" x14ac:dyDescent="0.3">
      <c r="A389" s="72" t="s">
        <v>252</v>
      </c>
      <c r="B389" s="1"/>
      <c r="C389" s="1"/>
      <c r="D389" s="1"/>
      <c r="E389" s="55">
        <f t="shared" si="111"/>
        <v>0</v>
      </c>
      <c r="F389" s="1"/>
      <c r="G389" s="1"/>
      <c r="H389" s="1">
        <v>1386</v>
      </c>
      <c r="I389" s="55">
        <f t="shared" si="112"/>
        <v>1386</v>
      </c>
      <c r="J389" s="1"/>
      <c r="K389" s="1"/>
      <c r="L389" s="1"/>
      <c r="M389" s="55">
        <f t="shared" si="113"/>
        <v>0</v>
      </c>
      <c r="N389" s="1"/>
      <c r="O389" s="1"/>
      <c r="P389" s="1"/>
      <c r="Q389" s="55">
        <f t="shared" si="114"/>
        <v>0</v>
      </c>
      <c r="R389" s="55">
        <f t="shared" si="110"/>
        <v>1386</v>
      </c>
    </row>
    <row r="390" spans="1:39" ht="15.75" customHeight="1" thickBot="1" x14ac:dyDescent="0.35">
      <c r="A390" s="15" t="s">
        <v>58</v>
      </c>
      <c r="B390" s="1"/>
      <c r="C390" s="1"/>
      <c r="D390" s="1"/>
      <c r="E390" s="55" t="s">
        <v>7</v>
      </c>
      <c r="F390" s="1"/>
      <c r="G390" s="1"/>
      <c r="H390" s="1"/>
      <c r="I390" s="55" t="s">
        <v>7</v>
      </c>
      <c r="J390" s="1"/>
      <c r="K390" s="1"/>
      <c r="L390" s="1"/>
      <c r="M390" s="55" t="s">
        <v>7</v>
      </c>
      <c r="N390" s="1"/>
      <c r="O390" s="1"/>
      <c r="P390" s="1"/>
      <c r="Q390" s="55" t="s">
        <v>7</v>
      </c>
      <c r="R390" s="55" t="s">
        <v>7</v>
      </c>
    </row>
    <row r="391" spans="1:39" ht="16.5" customHeight="1" thickBot="1" x14ac:dyDescent="0.35">
      <c r="A391" s="57" t="s">
        <v>59</v>
      </c>
      <c r="B391" s="86">
        <f>SUM(B378:B390)</f>
        <v>2522</v>
      </c>
      <c r="C391" s="87">
        <f>SUM(C378:C390)</f>
        <v>4786</v>
      </c>
      <c r="D391" s="87">
        <f>SUM(D378:D390)</f>
        <v>20732</v>
      </c>
      <c r="E391" s="59">
        <f>SUM(B391:D391)</f>
        <v>28040</v>
      </c>
      <c r="F391" s="87">
        <f>SUM(F378:F390)</f>
        <v>20353</v>
      </c>
      <c r="G391" s="87">
        <f>SUM(G378:G390)</f>
        <v>19442</v>
      </c>
      <c r="H391" s="87">
        <f>SUM(H378:H390)</f>
        <v>35432</v>
      </c>
      <c r="I391" s="59">
        <f>SUM(F391:H391)</f>
        <v>75227</v>
      </c>
      <c r="J391" s="87">
        <f>SUM(J378:J390)</f>
        <v>13877</v>
      </c>
      <c r="K391" s="87">
        <f>SUM(K378:K390)</f>
        <v>13808</v>
      </c>
      <c r="L391" s="87">
        <f>SUM(L378:L390)</f>
        <v>8535</v>
      </c>
      <c r="M391" s="59">
        <f>SUM(J391:L391)</f>
        <v>36220</v>
      </c>
      <c r="N391" s="87">
        <f>SUM(N378:N390)</f>
        <v>1657</v>
      </c>
      <c r="O391" s="87">
        <f>SUM(O378:O390)</f>
        <v>1447</v>
      </c>
      <c r="P391" s="87">
        <f>SUM(P378:P390)</f>
        <v>3568</v>
      </c>
      <c r="Q391" s="59">
        <f>SUM(N391:P391)</f>
        <v>6672</v>
      </c>
      <c r="R391" s="59">
        <f>+E391+I391+M391+Q391</f>
        <v>146159</v>
      </c>
    </row>
    <row r="392" spans="1:39" ht="15.75" customHeight="1" x14ac:dyDescent="0.3">
      <c r="A392" s="15" t="s">
        <v>60</v>
      </c>
      <c r="B392" s="1"/>
      <c r="C392" s="1"/>
      <c r="D392" s="1"/>
      <c r="E392" s="55" t="s">
        <v>7</v>
      </c>
      <c r="F392" s="1"/>
      <c r="G392" s="1"/>
      <c r="H392" s="1"/>
      <c r="I392" s="55" t="s">
        <v>7</v>
      </c>
      <c r="J392" s="1"/>
      <c r="K392" s="1"/>
      <c r="L392" s="1"/>
      <c r="M392" s="55" t="s">
        <v>7</v>
      </c>
      <c r="N392" s="1"/>
      <c r="O392" s="1"/>
      <c r="P392" s="1"/>
      <c r="Q392" s="55" t="s">
        <v>7</v>
      </c>
      <c r="R392" s="55" t="s">
        <v>7</v>
      </c>
    </row>
    <row r="393" spans="1:39" ht="15.75" customHeight="1" x14ac:dyDescent="0.3">
      <c r="A393" s="15" t="s">
        <v>61</v>
      </c>
      <c r="B393" s="1"/>
      <c r="C393" s="1"/>
      <c r="D393" s="1"/>
      <c r="E393" s="55" t="s">
        <v>7</v>
      </c>
      <c r="F393" s="1"/>
      <c r="G393" s="1"/>
      <c r="H393" s="1"/>
      <c r="I393" s="55" t="s">
        <v>7</v>
      </c>
      <c r="J393" s="1"/>
      <c r="K393" s="1"/>
      <c r="L393" s="1"/>
      <c r="M393" s="55" t="s">
        <v>7</v>
      </c>
      <c r="N393" s="1"/>
      <c r="O393" s="1"/>
      <c r="P393" s="1"/>
      <c r="Q393" s="55" t="s">
        <v>7</v>
      </c>
      <c r="R393" s="55" t="s">
        <v>7</v>
      </c>
    </row>
    <row r="394" spans="1:39" ht="15.75" customHeight="1" x14ac:dyDescent="0.3">
      <c r="A394" s="72" t="s">
        <v>254</v>
      </c>
      <c r="B394" s="1">
        <v>1834</v>
      </c>
      <c r="C394" s="1">
        <v>3709</v>
      </c>
      <c r="D394" s="1">
        <v>9218</v>
      </c>
      <c r="E394" s="55">
        <f>SUM(B394:D394)</f>
        <v>14761</v>
      </c>
      <c r="F394" s="1">
        <v>8500</v>
      </c>
      <c r="G394" s="1">
        <v>11938</v>
      </c>
      <c r="H394" s="1">
        <v>12889</v>
      </c>
      <c r="I394" s="55">
        <f>SUM(F394:H394)</f>
        <v>33327</v>
      </c>
      <c r="J394" s="1">
        <v>7766</v>
      </c>
      <c r="K394" s="1">
        <v>8029</v>
      </c>
      <c r="L394" s="1">
        <v>4856</v>
      </c>
      <c r="M394" s="55">
        <f>SUM(J394:L394)</f>
        <v>20651</v>
      </c>
      <c r="N394" s="1">
        <v>1985</v>
      </c>
      <c r="O394" s="1">
        <v>828</v>
      </c>
      <c r="P394" s="1">
        <v>1273</v>
      </c>
      <c r="Q394" s="55">
        <f>SUM(N394:P394)</f>
        <v>4086</v>
      </c>
      <c r="R394" s="55">
        <f>+E394+I394+M394+Q394</f>
        <v>72825</v>
      </c>
      <c r="T394" s="4" t="s">
        <v>209</v>
      </c>
    </row>
    <row r="395" spans="1:39" ht="15.75" customHeight="1" x14ac:dyDescent="0.3">
      <c r="A395" s="72" t="s">
        <v>947</v>
      </c>
      <c r="B395" s="1">
        <f>106+164</f>
        <v>270</v>
      </c>
      <c r="C395" s="1">
        <f>726+120</f>
        <v>846</v>
      </c>
      <c r="D395" s="1">
        <f>1356+134</f>
        <v>1490</v>
      </c>
      <c r="E395" s="55">
        <f>SUM(B395:D395)</f>
        <v>2606</v>
      </c>
      <c r="F395" s="1">
        <f>1783+29</f>
        <v>1812</v>
      </c>
      <c r="G395" s="1">
        <f>1859+15</f>
        <v>1874</v>
      </c>
      <c r="H395" s="1">
        <f>817+1560</f>
        <v>2377</v>
      </c>
      <c r="I395" s="55">
        <f>SUM(F395:H395)</f>
        <v>6063</v>
      </c>
      <c r="J395" s="1">
        <f>1022+511</f>
        <v>1533</v>
      </c>
      <c r="K395" s="1">
        <f>703+197</f>
        <v>900</v>
      </c>
      <c r="L395" s="1">
        <v>958</v>
      </c>
      <c r="M395" s="55">
        <f>SUM(J395:L395)</f>
        <v>3391</v>
      </c>
      <c r="N395" s="1">
        <v>331</v>
      </c>
      <c r="O395" s="1">
        <f>250+170</f>
        <v>420</v>
      </c>
      <c r="P395" s="1">
        <f>448+1701</f>
        <v>2149</v>
      </c>
      <c r="Q395" s="55">
        <f>SUM(N395:P395)</f>
        <v>2900</v>
      </c>
      <c r="R395" s="55">
        <f>+E395+I395+M395+Q395</f>
        <v>14960</v>
      </c>
      <c r="T395" s="4" t="s">
        <v>256</v>
      </c>
    </row>
    <row r="396" spans="1:39" ht="15.75" customHeight="1" x14ac:dyDescent="0.3">
      <c r="A396" s="15" t="s">
        <v>62</v>
      </c>
      <c r="B396" s="1"/>
      <c r="C396" s="1"/>
      <c r="D396" s="1"/>
      <c r="E396" s="55" t="s">
        <v>7</v>
      </c>
      <c r="F396" s="1"/>
      <c r="G396" s="1"/>
      <c r="H396" s="1"/>
      <c r="I396" s="55" t="s">
        <v>7</v>
      </c>
      <c r="J396" s="1"/>
      <c r="K396" s="1"/>
      <c r="L396" s="1"/>
      <c r="M396" s="55" t="s">
        <v>7</v>
      </c>
      <c r="N396" s="1"/>
      <c r="O396" s="1"/>
      <c r="P396" s="1"/>
      <c r="Q396" s="55" t="s">
        <v>7</v>
      </c>
      <c r="R396" s="55" t="s">
        <v>7</v>
      </c>
    </row>
    <row r="397" spans="1:39" ht="15.75" customHeight="1" x14ac:dyDescent="0.3">
      <c r="A397" s="72" t="s">
        <v>1216</v>
      </c>
      <c r="B397" s="1"/>
      <c r="C397" s="1"/>
      <c r="D397" s="1"/>
      <c r="E397" s="55">
        <f>SUM(B397:D397)</f>
        <v>0</v>
      </c>
      <c r="F397" s="1"/>
      <c r="G397" s="1"/>
      <c r="H397" s="1"/>
      <c r="I397" s="55">
        <f>SUM(F397:H397)</f>
        <v>0</v>
      </c>
      <c r="J397" s="1">
        <v>1000</v>
      </c>
      <c r="K397" s="1">
        <v>1000</v>
      </c>
      <c r="L397" s="1"/>
      <c r="M397" s="55">
        <f>SUM(J397:L397)</f>
        <v>2000</v>
      </c>
      <c r="N397" s="1"/>
      <c r="O397" s="1">
        <v>249</v>
      </c>
      <c r="P397" s="1">
        <v>557</v>
      </c>
      <c r="Q397" s="55">
        <f>SUM(N397:P397)</f>
        <v>806</v>
      </c>
      <c r="R397" s="55">
        <f t="shared" ref="R397:R438" si="116">+E397+I397+M397+Q397</f>
        <v>2806</v>
      </c>
    </row>
    <row r="398" spans="1:39" ht="15.75" customHeight="1" x14ac:dyDescent="0.3">
      <c r="A398" s="72" t="s">
        <v>1217</v>
      </c>
      <c r="B398" s="1"/>
      <c r="C398" s="1"/>
      <c r="D398" s="1"/>
      <c r="E398" s="55">
        <f t="shared" ref="E398:E401" si="117">SUM(B398:D398)</f>
        <v>0</v>
      </c>
      <c r="F398" s="1"/>
      <c r="G398" s="1"/>
      <c r="H398" s="1"/>
      <c r="I398" s="55">
        <f t="shared" ref="I398:I438" si="118">SUM(F398:H398)</f>
        <v>0</v>
      </c>
      <c r="J398" s="1"/>
      <c r="K398" s="1"/>
      <c r="L398" s="1"/>
      <c r="M398" s="55">
        <f t="shared" ref="M398:M438" si="119">SUM(J398:L398)</f>
        <v>0</v>
      </c>
      <c r="N398" s="1"/>
      <c r="O398" s="1"/>
      <c r="P398" s="1"/>
      <c r="Q398" s="55">
        <f t="shared" ref="Q398:Q439" si="120">SUM(N398:P398)</f>
        <v>0</v>
      </c>
      <c r="R398" s="55">
        <f t="shared" si="116"/>
        <v>0</v>
      </c>
    </row>
    <row r="399" spans="1:39" ht="15.75" customHeight="1" x14ac:dyDescent="0.3">
      <c r="A399" s="72" t="s">
        <v>948</v>
      </c>
      <c r="B399" s="1"/>
      <c r="C399" s="1"/>
      <c r="D399" s="1">
        <v>270</v>
      </c>
      <c r="E399" s="55">
        <f t="shared" si="117"/>
        <v>270</v>
      </c>
      <c r="F399" s="1"/>
      <c r="G399" s="1"/>
      <c r="H399" s="1"/>
      <c r="I399" s="55">
        <f t="shared" si="118"/>
        <v>0</v>
      </c>
      <c r="J399" s="1"/>
      <c r="K399" s="1"/>
      <c r="L399" s="1"/>
      <c r="M399" s="55">
        <f t="shared" si="119"/>
        <v>0</v>
      </c>
      <c r="N399" s="1"/>
      <c r="O399" s="1"/>
      <c r="P399" s="1"/>
      <c r="Q399" s="55">
        <f t="shared" si="120"/>
        <v>0</v>
      </c>
      <c r="R399" s="55">
        <f t="shared" si="116"/>
        <v>270</v>
      </c>
      <c r="T399" s="4" t="s">
        <v>241</v>
      </c>
    </row>
    <row r="400" spans="1:39" ht="15.75" customHeight="1" x14ac:dyDescent="0.3">
      <c r="A400" s="72" t="s">
        <v>949</v>
      </c>
      <c r="B400" s="1">
        <v>416</v>
      </c>
      <c r="C400" s="1"/>
      <c r="D400" s="1"/>
      <c r="E400" s="55">
        <f t="shared" si="117"/>
        <v>416</v>
      </c>
      <c r="F400" s="1"/>
      <c r="G400" s="1"/>
      <c r="H400" s="1"/>
      <c r="I400" s="55">
        <f t="shared" si="118"/>
        <v>0</v>
      </c>
      <c r="J400" s="1"/>
      <c r="K400" s="1"/>
      <c r="L400" s="1"/>
      <c r="M400" s="55">
        <f t="shared" si="119"/>
        <v>0</v>
      </c>
      <c r="N400" s="1"/>
      <c r="O400" s="1"/>
      <c r="P400" s="1"/>
      <c r="Q400" s="55">
        <f t="shared" si="120"/>
        <v>0</v>
      </c>
      <c r="R400" s="55">
        <f t="shared" si="116"/>
        <v>416</v>
      </c>
      <c r="T400" s="4" t="s">
        <v>919</v>
      </c>
    </row>
    <row r="401" spans="1:20" ht="15.75" customHeight="1" x14ac:dyDescent="0.3">
      <c r="A401" s="72" t="s">
        <v>950</v>
      </c>
      <c r="B401" s="1"/>
      <c r="C401" s="1"/>
      <c r="D401" s="1">
        <v>286</v>
      </c>
      <c r="E401" s="55">
        <f t="shared" si="117"/>
        <v>286</v>
      </c>
      <c r="F401" s="1"/>
      <c r="G401" s="1"/>
      <c r="H401" s="1"/>
      <c r="I401" s="55">
        <f t="shared" si="118"/>
        <v>0</v>
      </c>
      <c r="J401" s="1"/>
      <c r="K401" s="1"/>
      <c r="L401" s="1"/>
      <c r="M401" s="55">
        <f t="shared" si="119"/>
        <v>0</v>
      </c>
      <c r="N401" s="1"/>
      <c r="O401" s="1"/>
      <c r="P401" s="1"/>
      <c r="Q401" s="55">
        <f t="shared" si="120"/>
        <v>0</v>
      </c>
      <c r="R401" s="55">
        <f t="shared" si="116"/>
        <v>286</v>
      </c>
      <c r="T401" s="4" t="s">
        <v>241</v>
      </c>
    </row>
    <row r="402" spans="1:20" ht="15.75" customHeight="1" x14ac:dyDescent="0.3">
      <c r="A402" s="72" t="s">
        <v>149</v>
      </c>
      <c r="B402" s="1"/>
      <c r="C402" s="1"/>
      <c r="D402" s="1"/>
      <c r="E402" s="55">
        <f t="shared" ref="E402:E438" si="121">SUM(B402:D402)</f>
        <v>0</v>
      </c>
      <c r="F402" s="1">
        <v>627</v>
      </c>
      <c r="G402" s="1"/>
      <c r="H402" s="1"/>
      <c r="I402" s="55">
        <f t="shared" si="118"/>
        <v>627</v>
      </c>
      <c r="J402" s="1"/>
      <c r="K402" s="1"/>
      <c r="L402" s="1"/>
      <c r="M402" s="55">
        <f t="shared" si="119"/>
        <v>0</v>
      </c>
      <c r="N402" s="1"/>
      <c r="O402" s="1"/>
      <c r="P402" s="1"/>
      <c r="Q402" s="55">
        <f t="shared" si="120"/>
        <v>0</v>
      </c>
      <c r="R402" s="55">
        <f t="shared" si="116"/>
        <v>627</v>
      </c>
    </row>
    <row r="403" spans="1:20" ht="15.75" customHeight="1" x14ac:dyDescent="0.3">
      <c r="A403" s="72" t="s">
        <v>951</v>
      </c>
      <c r="B403" s="1"/>
      <c r="C403" s="1"/>
      <c r="D403" s="1"/>
      <c r="E403" s="55">
        <f t="shared" si="121"/>
        <v>0</v>
      </c>
      <c r="F403" s="1"/>
      <c r="G403" s="1"/>
      <c r="H403" s="1"/>
      <c r="I403" s="55">
        <f t="shared" si="118"/>
        <v>0</v>
      </c>
      <c r="J403" s="1"/>
      <c r="K403" s="1"/>
      <c r="L403" s="1"/>
      <c r="M403" s="55">
        <f t="shared" si="119"/>
        <v>0</v>
      </c>
      <c r="N403" s="1"/>
      <c r="O403" s="1"/>
      <c r="P403" s="1"/>
      <c r="Q403" s="55">
        <f t="shared" si="120"/>
        <v>0</v>
      </c>
      <c r="R403" s="55">
        <f>+E403+I403+M403+Q403</f>
        <v>0</v>
      </c>
      <c r="T403" s="4" t="s">
        <v>224</v>
      </c>
    </row>
    <row r="404" spans="1:20" ht="15.75" customHeight="1" x14ac:dyDescent="0.3">
      <c r="A404" s="72" t="s">
        <v>952</v>
      </c>
      <c r="B404" s="1"/>
      <c r="C404" s="1"/>
      <c r="D404" s="1"/>
      <c r="E404" s="55">
        <f t="shared" si="121"/>
        <v>0</v>
      </c>
      <c r="F404" s="1"/>
      <c r="G404" s="1"/>
      <c r="H404" s="1"/>
      <c r="I404" s="55">
        <f t="shared" si="118"/>
        <v>0</v>
      </c>
      <c r="J404" s="1"/>
      <c r="K404" s="1"/>
      <c r="L404" s="1">
        <v>1950</v>
      </c>
      <c r="M404" s="55">
        <f t="shared" si="119"/>
        <v>1950</v>
      </c>
      <c r="N404" s="1">
        <v>1865</v>
      </c>
      <c r="O404" s="1">
        <v>100</v>
      </c>
      <c r="P404" s="1"/>
      <c r="Q404" s="55">
        <f t="shared" si="120"/>
        <v>1965</v>
      </c>
      <c r="R404" s="55">
        <f t="shared" si="116"/>
        <v>3915</v>
      </c>
      <c r="T404" s="4" t="s">
        <v>209</v>
      </c>
    </row>
    <row r="405" spans="1:20" ht="15.75" customHeight="1" x14ac:dyDescent="0.3">
      <c r="A405" s="72" t="s">
        <v>953</v>
      </c>
      <c r="B405" s="1"/>
      <c r="C405" s="1"/>
      <c r="D405" s="1">
        <v>2200</v>
      </c>
      <c r="E405" s="55">
        <f t="shared" si="121"/>
        <v>2200</v>
      </c>
      <c r="F405" s="1">
        <v>1500</v>
      </c>
      <c r="G405" s="1">
        <v>1430</v>
      </c>
      <c r="H405" s="1">
        <v>2380</v>
      </c>
      <c r="I405" s="55">
        <f t="shared" si="118"/>
        <v>5310</v>
      </c>
      <c r="J405" s="1">
        <v>1000</v>
      </c>
      <c r="K405" s="1">
        <v>2000</v>
      </c>
      <c r="L405" s="1">
        <v>3867</v>
      </c>
      <c r="M405" s="55">
        <f t="shared" si="119"/>
        <v>6867</v>
      </c>
      <c r="N405" s="1">
        <v>2662</v>
      </c>
      <c r="O405" s="1">
        <v>1634</v>
      </c>
      <c r="P405" s="1">
        <v>3298</v>
      </c>
      <c r="Q405" s="55">
        <f t="shared" si="120"/>
        <v>7594</v>
      </c>
      <c r="R405" s="55">
        <f t="shared" si="116"/>
        <v>21971</v>
      </c>
    </row>
    <row r="406" spans="1:20" ht="15.75" customHeight="1" x14ac:dyDescent="0.3">
      <c r="A406" s="72" t="s">
        <v>641</v>
      </c>
      <c r="B406" s="1">
        <v>200</v>
      </c>
      <c r="C406" s="1">
        <v>1670</v>
      </c>
      <c r="D406" s="1">
        <v>3000</v>
      </c>
      <c r="E406" s="55">
        <f t="shared" si="121"/>
        <v>4870</v>
      </c>
      <c r="F406" s="1">
        <v>4000</v>
      </c>
      <c r="G406" s="1">
        <v>5290</v>
      </c>
      <c r="H406" s="1">
        <v>5590</v>
      </c>
      <c r="I406" s="55">
        <f t="shared" si="118"/>
        <v>14880</v>
      </c>
      <c r="J406" s="1">
        <v>4900</v>
      </c>
      <c r="K406" s="1">
        <v>2450</v>
      </c>
      <c r="L406" s="1">
        <v>3400</v>
      </c>
      <c r="M406" s="55">
        <f t="shared" si="119"/>
        <v>10750</v>
      </c>
      <c r="N406" s="1">
        <v>4400</v>
      </c>
      <c r="O406" s="1">
        <v>2100</v>
      </c>
      <c r="P406" s="1">
        <v>1000</v>
      </c>
      <c r="Q406" s="55">
        <f t="shared" si="120"/>
        <v>7500</v>
      </c>
      <c r="R406" s="55">
        <f t="shared" si="116"/>
        <v>38000</v>
      </c>
      <c r="T406" s="4" t="s">
        <v>209</v>
      </c>
    </row>
    <row r="407" spans="1:20" ht="15.75" customHeight="1" x14ac:dyDescent="0.3">
      <c r="A407" s="72" t="s">
        <v>640</v>
      </c>
      <c r="B407" s="1"/>
      <c r="C407" s="1"/>
      <c r="D407" s="1"/>
      <c r="E407" s="55">
        <f t="shared" si="121"/>
        <v>0</v>
      </c>
      <c r="F407" s="1"/>
      <c r="G407" s="1"/>
      <c r="H407" s="1"/>
      <c r="I407" s="55">
        <f t="shared" si="118"/>
        <v>0</v>
      </c>
      <c r="J407" s="1">
        <v>667</v>
      </c>
      <c r="K407" s="1">
        <v>7377</v>
      </c>
      <c r="L407" s="1">
        <v>7610</v>
      </c>
      <c r="M407" s="55">
        <f t="shared" si="119"/>
        <v>15654</v>
      </c>
      <c r="N407" s="1">
        <v>4211</v>
      </c>
      <c r="O407" s="1">
        <v>2928</v>
      </c>
      <c r="P407" s="1">
        <v>4114</v>
      </c>
      <c r="Q407" s="55">
        <f t="shared" si="120"/>
        <v>11253</v>
      </c>
      <c r="R407" s="55">
        <f t="shared" si="116"/>
        <v>26907</v>
      </c>
    </row>
    <row r="408" spans="1:20" ht="15.75" customHeight="1" x14ac:dyDescent="0.3">
      <c r="A408" s="72" t="s">
        <v>954</v>
      </c>
      <c r="B408" s="1">
        <v>232</v>
      </c>
      <c r="C408" s="1">
        <v>1930</v>
      </c>
      <c r="D408" s="1">
        <v>3557</v>
      </c>
      <c r="E408" s="55">
        <f t="shared" si="121"/>
        <v>5719</v>
      </c>
      <c r="F408" s="1">
        <v>3467</v>
      </c>
      <c r="G408" s="1">
        <v>2814</v>
      </c>
      <c r="H408" s="1"/>
      <c r="I408" s="55">
        <f t="shared" si="118"/>
        <v>6281</v>
      </c>
      <c r="J408" s="1"/>
      <c r="K408" s="1"/>
      <c r="L408" s="1"/>
      <c r="M408" s="55">
        <f t="shared" si="119"/>
        <v>0</v>
      </c>
      <c r="N408" s="1"/>
      <c r="O408" s="1"/>
      <c r="P408" s="1"/>
      <c r="Q408" s="55">
        <f t="shared" si="120"/>
        <v>0</v>
      </c>
      <c r="R408" s="55">
        <f t="shared" si="116"/>
        <v>12000</v>
      </c>
    </row>
    <row r="409" spans="1:20" ht="15.75" customHeight="1" x14ac:dyDescent="0.3">
      <c r="A409" s="72" t="s">
        <v>1218</v>
      </c>
      <c r="B409" s="1"/>
      <c r="C409" s="1"/>
      <c r="D409" s="1"/>
      <c r="E409" s="55">
        <f t="shared" si="121"/>
        <v>0</v>
      </c>
      <c r="F409" s="1"/>
      <c r="G409" s="1"/>
      <c r="H409" s="1"/>
      <c r="I409" s="55">
        <f t="shared" si="118"/>
        <v>0</v>
      </c>
      <c r="J409" s="1"/>
      <c r="K409" s="1"/>
      <c r="L409" s="1"/>
      <c r="M409" s="55">
        <f t="shared" si="119"/>
        <v>0</v>
      </c>
      <c r="N409" s="1"/>
      <c r="O409" s="1"/>
      <c r="P409" s="1"/>
      <c r="Q409" s="55">
        <f t="shared" ref="Q409" si="122">SUM(N409:P409)</f>
        <v>0</v>
      </c>
      <c r="R409" s="55">
        <f t="shared" si="116"/>
        <v>0</v>
      </c>
    </row>
    <row r="410" spans="1:20" ht="15.75" customHeight="1" x14ac:dyDescent="0.3">
      <c r="A410" s="72" t="s">
        <v>955</v>
      </c>
      <c r="B410" s="1">
        <v>99</v>
      </c>
      <c r="C410" s="1">
        <v>85</v>
      </c>
      <c r="D410" s="1">
        <v>95</v>
      </c>
      <c r="E410" s="55">
        <f t="shared" si="121"/>
        <v>279</v>
      </c>
      <c r="F410" s="1">
        <v>100</v>
      </c>
      <c r="G410" s="1">
        <v>107</v>
      </c>
      <c r="H410" s="1">
        <v>99</v>
      </c>
      <c r="I410" s="55">
        <f t="shared" si="118"/>
        <v>306</v>
      </c>
      <c r="J410" s="1">
        <v>76</v>
      </c>
      <c r="K410" s="1">
        <v>85</v>
      </c>
      <c r="L410" s="1">
        <v>86</v>
      </c>
      <c r="M410" s="55">
        <f t="shared" si="119"/>
        <v>247</v>
      </c>
      <c r="N410" s="1">
        <v>96</v>
      </c>
      <c r="O410" s="1">
        <v>72</v>
      </c>
      <c r="P410" s="1"/>
      <c r="Q410" s="55">
        <f t="shared" si="120"/>
        <v>168</v>
      </c>
      <c r="R410" s="55">
        <f t="shared" si="116"/>
        <v>1000</v>
      </c>
    </row>
    <row r="411" spans="1:20" ht="15.75" customHeight="1" x14ac:dyDescent="0.3">
      <c r="A411" s="72" t="s">
        <v>956</v>
      </c>
      <c r="B411" s="1"/>
      <c r="C411" s="1"/>
      <c r="D411" s="1"/>
      <c r="E411" s="55">
        <f t="shared" si="121"/>
        <v>0</v>
      </c>
      <c r="F411" s="1"/>
      <c r="G411" s="1"/>
      <c r="H411" s="1"/>
      <c r="I411" s="55">
        <f t="shared" si="118"/>
        <v>0</v>
      </c>
      <c r="J411" s="1"/>
      <c r="K411" s="1"/>
      <c r="L411" s="1"/>
      <c r="M411" s="55">
        <f t="shared" si="119"/>
        <v>0</v>
      </c>
      <c r="N411" s="1"/>
      <c r="O411" s="1"/>
      <c r="P411" s="1"/>
      <c r="Q411" s="55">
        <f t="shared" si="120"/>
        <v>0</v>
      </c>
      <c r="R411" s="55">
        <f t="shared" si="116"/>
        <v>0</v>
      </c>
      <c r="T411" s="4" t="s">
        <v>241</v>
      </c>
    </row>
    <row r="412" spans="1:20" ht="15.75" customHeight="1" x14ac:dyDescent="0.3">
      <c r="A412" s="72" t="s">
        <v>957</v>
      </c>
      <c r="B412" s="1">
        <v>8</v>
      </c>
      <c r="C412" s="1">
        <v>17</v>
      </c>
      <c r="D412" s="1">
        <v>24</v>
      </c>
      <c r="E412" s="55">
        <f t="shared" si="121"/>
        <v>49</v>
      </c>
      <c r="F412" s="1">
        <v>18</v>
      </c>
      <c r="G412" s="1"/>
      <c r="H412" s="1">
        <v>12</v>
      </c>
      <c r="I412" s="55">
        <f t="shared" si="118"/>
        <v>30</v>
      </c>
      <c r="J412" s="1">
        <v>36</v>
      </c>
      <c r="K412" s="1">
        <v>18</v>
      </c>
      <c r="L412" s="1">
        <v>36</v>
      </c>
      <c r="M412" s="55">
        <f t="shared" si="119"/>
        <v>90</v>
      </c>
      <c r="N412" s="1">
        <v>18</v>
      </c>
      <c r="O412" s="1">
        <v>18</v>
      </c>
      <c r="P412" s="1">
        <v>36</v>
      </c>
      <c r="Q412" s="55">
        <f t="shared" si="120"/>
        <v>72</v>
      </c>
      <c r="R412" s="55">
        <f t="shared" si="116"/>
        <v>241</v>
      </c>
      <c r="T412" s="4" t="s">
        <v>220</v>
      </c>
    </row>
    <row r="413" spans="1:20" ht="15.75" customHeight="1" x14ac:dyDescent="0.3">
      <c r="A413" s="72" t="s">
        <v>958</v>
      </c>
      <c r="B413" s="1">
        <v>418</v>
      </c>
      <c r="C413" s="1"/>
      <c r="D413" s="1">
        <v>11</v>
      </c>
      <c r="E413" s="55">
        <f t="shared" si="121"/>
        <v>429</v>
      </c>
      <c r="F413" s="1">
        <v>1009</v>
      </c>
      <c r="G413" s="1">
        <v>1091</v>
      </c>
      <c r="H413" s="1">
        <v>1097</v>
      </c>
      <c r="I413" s="55">
        <f t="shared" si="118"/>
        <v>3197</v>
      </c>
      <c r="J413" s="1">
        <v>1152</v>
      </c>
      <c r="K413" s="1">
        <v>790</v>
      </c>
      <c r="L413" s="1"/>
      <c r="M413" s="55">
        <f t="shared" si="119"/>
        <v>1942</v>
      </c>
      <c r="N413" s="1"/>
      <c r="O413" s="1"/>
      <c r="P413" s="1"/>
      <c r="Q413" s="55">
        <f t="shared" si="120"/>
        <v>0</v>
      </c>
      <c r="R413" s="55">
        <f t="shared" si="116"/>
        <v>5568</v>
      </c>
      <c r="T413" s="4" t="s">
        <v>919</v>
      </c>
    </row>
    <row r="414" spans="1:20" ht="15.75" customHeight="1" x14ac:dyDescent="0.3">
      <c r="A414" s="72" t="s">
        <v>642</v>
      </c>
      <c r="B414" s="1">
        <v>1970</v>
      </c>
      <c r="C414" s="1">
        <v>1970</v>
      </c>
      <c r="D414" s="1">
        <v>1970</v>
      </c>
      <c r="E414" s="55">
        <f t="shared" si="121"/>
        <v>5910</v>
      </c>
      <c r="F414" s="1">
        <v>1970</v>
      </c>
      <c r="G414" s="1"/>
      <c r="H414" s="1"/>
      <c r="I414" s="55">
        <f t="shared" si="118"/>
        <v>1970</v>
      </c>
      <c r="J414" s="1"/>
      <c r="K414" s="1"/>
      <c r="L414" s="1"/>
      <c r="M414" s="55">
        <f t="shared" si="119"/>
        <v>0</v>
      </c>
      <c r="N414" s="1"/>
      <c r="O414" s="1"/>
      <c r="P414" s="1"/>
      <c r="Q414" s="55">
        <f t="shared" si="120"/>
        <v>0</v>
      </c>
      <c r="R414" s="55">
        <f>+E414+I414+M414+Q414</f>
        <v>7880</v>
      </c>
    </row>
    <row r="415" spans="1:20" ht="15.75" customHeight="1" x14ac:dyDescent="0.3">
      <c r="A415" s="72" t="s">
        <v>737</v>
      </c>
      <c r="B415" s="1"/>
      <c r="C415" s="1"/>
      <c r="D415" s="1"/>
      <c r="E415" s="55">
        <f t="shared" si="121"/>
        <v>0</v>
      </c>
      <c r="F415" s="1"/>
      <c r="G415" s="1"/>
      <c r="H415" s="1"/>
      <c r="I415" s="55">
        <f t="shared" si="118"/>
        <v>0</v>
      </c>
      <c r="J415" s="1"/>
      <c r="K415" s="1"/>
      <c r="L415" s="1"/>
      <c r="M415" s="55">
        <f t="shared" si="119"/>
        <v>0</v>
      </c>
      <c r="N415" s="1"/>
      <c r="O415" s="1"/>
      <c r="P415" s="1"/>
      <c r="Q415" s="55">
        <f t="shared" si="120"/>
        <v>0</v>
      </c>
      <c r="R415" s="55">
        <f>+E415+I415+M415+Q415</f>
        <v>0</v>
      </c>
    </row>
    <row r="416" spans="1:20" ht="15.75" customHeight="1" x14ac:dyDescent="0.3">
      <c r="A416" s="72" t="s">
        <v>1219</v>
      </c>
      <c r="B416" s="1"/>
      <c r="C416" s="1"/>
      <c r="D416" s="1"/>
      <c r="E416" s="55">
        <f t="shared" si="121"/>
        <v>0</v>
      </c>
      <c r="F416" s="1"/>
      <c r="G416" s="1"/>
      <c r="H416" s="1"/>
      <c r="I416" s="55">
        <f t="shared" si="118"/>
        <v>0</v>
      </c>
      <c r="J416" s="1"/>
      <c r="K416" s="1"/>
      <c r="L416" s="1"/>
      <c r="M416" s="55">
        <f t="shared" si="119"/>
        <v>0</v>
      </c>
      <c r="N416" s="1"/>
      <c r="O416" s="1"/>
      <c r="P416" s="1"/>
      <c r="Q416" s="55">
        <f t="shared" si="120"/>
        <v>0</v>
      </c>
      <c r="R416" s="55">
        <f>+E416+I416+M416+Q416</f>
        <v>0</v>
      </c>
    </row>
    <row r="417" spans="1:20" ht="15.75" customHeight="1" x14ac:dyDescent="0.3">
      <c r="A417" s="72" t="s">
        <v>1220</v>
      </c>
      <c r="B417" s="1"/>
      <c r="C417" s="1"/>
      <c r="D417" s="1"/>
      <c r="E417" s="55">
        <f t="shared" si="121"/>
        <v>0</v>
      </c>
      <c r="F417" s="1"/>
      <c r="G417" s="1"/>
      <c r="H417" s="1"/>
      <c r="I417" s="55">
        <f t="shared" si="118"/>
        <v>0</v>
      </c>
      <c r="J417" s="1"/>
      <c r="K417" s="1"/>
      <c r="L417" s="1"/>
      <c r="M417" s="55">
        <f t="shared" si="119"/>
        <v>0</v>
      </c>
      <c r="N417" s="1"/>
      <c r="O417" s="1"/>
      <c r="P417" s="1"/>
      <c r="Q417" s="55">
        <f t="shared" si="120"/>
        <v>0</v>
      </c>
      <c r="R417" s="55">
        <f>+E417+I417+M417+Q417</f>
        <v>0</v>
      </c>
      <c r="T417" s="4" t="s">
        <v>241</v>
      </c>
    </row>
    <row r="418" spans="1:20" ht="15.75" customHeight="1" x14ac:dyDescent="0.3">
      <c r="A418" s="72" t="s">
        <v>1221</v>
      </c>
      <c r="B418" s="1"/>
      <c r="C418" s="1"/>
      <c r="D418" s="1"/>
      <c r="E418" s="55">
        <f t="shared" ref="E418" si="123">SUM(B418:D418)</f>
        <v>0</v>
      </c>
      <c r="F418" s="1"/>
      <c r="G418" s="1"/>
      <c r="H418" s="1"/>
      <c r="I418" s="55">
        <f t="shared" ref="I418" si="124">SUM(F418:H418)</f>
        <v>0</v>
      </c>
      <c r="J418" s="1"/>
      <c r="K418" s="1"/>
      <c r="L418" s="1">
        <v>496</v>
      </c>
      <c r="M418" s="55">
        <f t="shared" ref="M418" si="125">SUM(J418:L418)</f>
        <v>496</v>
      </c>
      <c r="N418" s="1">
        <v>1504</v>
      </c>
      <c r="O418" s="1"/>
      <c r="P418" s="1"/>
      <c r="Q418" s="55">
        <f t="shared" ref="Q418" si="126">SUM(N418:P418)</f>
        <v>1504</v>
      </c>
      <c r="R418" s="55">
        <f t="shared" ref="R418:R419" si="127">+E418+I418+M418+Q418</f>
        <v>2000</v>
      </c>
      <c r="T418" s="4" t="s">
        <v>822</v>
      </c>
    </row>
    <row r="419" spans="1:20" ht="16.5" customHeight="1" x14ac:dyDescent="0.3">
      <c r="A419" s="72" t="s">
        <v>961</v>
      </c>
      <c r="B419" s="1"/>
      <c r="C419" s="1"/>
      <c r="D419" s="1"/>
      <c r="E419" s="55">
        <f t="shared" si="121"/>
        <v>0</v>
      </c>
      <c r="F419" s="1"/>
      <c r="G419" s="1"/>
      <c r="H419" s="1"/>
      <c r="I419" s="55">
        <f t="shared" si="118"/>
        <v>0</v>
      </c>
      <c r="J419" s="1"/>
      <c r="K419" s="1"/>
      <c r="L419" s="1"/>
      <c r="M419" s="55">
        <f t="shared" si="119"/>
        <v>0</v>
      </c>
      <c r="N419" s="1"/>
      <c r="O419" s="1"/>
      <c r="P419" s="1"/>
      <c r="Q419" s="55">
        <f t="shared" ref="Q419" si="128">SUM(N419:P419)</f>
        <v>0</v>
      </c>
      <c r="R419" s="55">
        <f t="shared" si="127"/>
        <v>0</v>
      </c>
      <c r="T419" s="4" t="s">
        <v>944</v>
      </c>
    </row>
    <row r="420" spans="1:20" ht="15.75" customHeight="1" x14ac:dyDescent="0.3">
      <c r="A420" s="72" t="s">
        <v>1222</v>
      </c>
      <c r="B420" s="1"/>
      <c r="C420" s="1"/>
      <c r="D420" s="1">
        <v>320</v>
      </c>
      <c r="E420" s="55">
        <f t="shared" si="121"/>
        <v>320</v>
      </c>
      <c r="F420" s="1">
        <v>2533</v>
      </c>
      <c r="G420" s="1">
        <v>525</v>
      </c>
      <c r="H420" s="1">
        <v>3746</v>
      </c>
      <c r="I420" s="55">
        <f t="shared" si="118"/>
        <v>6804</v>
      </c>
      <c r="J420" s="1">
        <v>2607</v>
      </c>
      <c r="K420" s="1">
        <v>1957</v>
      </c>
      <c r="L420" s="1">
        <v>1681</v>
      </c>
      <c r="M420" s="55">
        <f t="shared" si="119"/>
        <v>6245</v>
      </c>
      <c r="N420" s="1">
        <v>564</v>
      </c>
      <c r="O420" s="1"/>
      <c r="P420" s="1"/>
      <c r="Q420" s="55">
        <f t="shared" ref="Q420" si="129">SUM(N420:P420)</f>
        <v>564</v>
      </c>
      <c r="R420" s="55">
        <f t="shared" si="116"/>
        <v>13933</v>
      </c>
      <c r="T420" s="4" t="s">
        <v>214</v>
      </c>
    </row>
    <row r="421" spans="1:20" ht="15.75" customHeight="1" x14ac:dyDescent="0.3">
      <c r="A421" s="72" t="s">
        <v>962</v>
      </c>
      <c r="B421" s="1"/>
      <c r="C421" s="1"/>
      <c r="D421" s="1"/>
      <c r="E421" s="55">
        <f t="shared" si="121"/>
        <v>0</v>
      </c>
      <c r="F421" s="1"/>
      <c r="G421" s="1"/>
      <c r="H421" s="1"/>
      <c r="I421" s="55">
        <f t="shared" si="118"/>
        <v>0</v>
      </c>
      <c r="J421" s="1"/>
      <c r="K421" s="1"/>
      <c r="L421" s="1"/>
      <c r="M421" s="55">
        <f t="shared" si="119"/>
        <v>0</v>
      </c>
      <c r="N421" s="1"/>
      <c r="O421" s="1"/>
      <c r="P421" s="1"/>
      <c r="Q421" s="55">
        <f t="shared" si="120"/>
        <v>0</v>
      </c>
      <c r="R421" s="55">
        <f t="shared" si="116"/>
        <v>0</v>
      </c>
      <c r="T421" s="4" t="s">
        <v>214</v>
      </c>
    </row>
    <row r="422" spans="1:20" ht="15.75" customHeight="1" x14ac:dyDescent="0.3">
      <c r="A422" s="72" t="s">
        <v>963</v>
      </c>
      <c r="B422" s="1"/>
      <c r="C422" s="1"/>
      <c r="D422" s="1"/>
      <c r="E422" s="55">
        <f t="shared" si="121"/>
        <v>0</v>
      </c>
      <c r="F422" s="1"/>
      <c r="G422" s="1"/>
      <c r="H422" s="1"/>
      <c r="I422" s="55">
        <f t="shared" si="118"/>
        <v>0</v>
      </c>
      <c r="J422" s="1"/>
      <c r="K422" s="1"/>
      <c r="L422" s="1"/>
      <c r="M422" s="55">
        <f t="shared" si="119"/>
        <v>0</v>
      </c>
      <c r="N422" s="1"/>
      <c r="O422" s="1"/>
      <c r="P422" s="1"/>
      <c r="Q422" s="55">
        <f t="shared" si="120"/>
        <v>0</v>
      </c>
      <c r="R422" s="55">
        <f t="shared" si="116"/>
        <v>0</v>
      </c>
      <c r="T422" s="4" t="s">
        <v>919</v>
      </c>
    </row>
    <row r="423" spans="1:20" ht="15.75" customHeight="1" x14ac:dyDescent="0.3">
      <c r="A423" s="72" t="s">
        <v>1223</v>
      </c>
      <c r="B423" s="1"/>
      <c r="C423" s="1"/>
      <c r="D423" s="1">
        <v>2000</v>
      </c>
      <c r="E423" s="55">
        <f t="shared" si="121"/>
        <v>2000</v>
      </c>
      <c r="F423" s="1">
        <v>2000</v>
      </c>
      <c r="G423" s="1">
        <v>2500</v>
      </c>
      <c r="H423" s="1">
        <v>2500</v>
      </c>
      <c r="I423" s="55">
        <f t="shared" si="118"/>
        <v>7000</v>
      </c>
      <c r="J423" s="1">
        <v>2000</v>
      </c>
      <c r="K423" s="1">
        <v>3184</v>
      </c>
      <c r="L423" s="1">
        <v>316</v>
      </c>
      <c r="M423" s="55">
        <f t="shared" si="119"/>
        <v>5500</v>
      </c>
      <c r="N423" s="1"/>
      <c r="O423" s="1"/>
      <c r="P423" s="1"/>
      <c r="Q423" s="55">
        <f t="shared" si="120"/>
        <v>0</v>
      </c>
      <c r="R423" s="55">
        <f t="shared" si="116"/>
        <v>14500</v>
      </c>
    </row>
    <row r="424" spans="1:20" ht="15.75" customHeight="1" x14ac:dyDescent="0.3">
      <c r="A424" s="72" t="s">
        <v>964</v>
      </c>
      <c r="B424" s="1"/>
      <c r="C424" s="1"/>
      <c r="D424" s="1"/>
      <c r="E424" s="55">
        <f t="shared" si="121"/>
        <v>0</v>
      </c>
      <c r="F424" s="1"/>
      <c r="G424" s="1"/>
      <c r="H424" s="1"/>
      <c r="I424" s="55">
        <f t="shared" si="118"/>
        <v>0</v>
      </c>
      <c r="J424" s="1">
        <v>648</v>
      </c>
      <c r="K424" s="1">
        <v>5875</v>
      </c>
      <c r="L424" s="1">
        <v>790</v>
      </c>
      <c r="M424" s="55">
        <f t="shared" si="119"/>
        <v>7313</v>
      </c>
      <c r="N424" s="1"/>
      <c r="O424" s="1"/>
      <c r="P424" s="1"/>
      <c r="Q424" s="55">
        <f t="shared" si="120"/>
        <v>0</v>
      </c>
      <c r="R424" s="55">
        <f t="shared" si="116"/>
        <v>7313</v>
      </c>
      <c r="T424" s="4" t="s">
        <v>241</v>
      </c>
    </row>
    <row r="425" spans="1:20" ht="15.75" customHeight="1" x14ac:dyDescent="0.3">
      <c r="A425" s="72" t="s">
        <v>965</v>
      </c>
      <c r="B425" s="1"/>
      <c r="C425" s="1"/>
      <c r="D425" s="1"/>
      <c r="E425" s="55">
        <f t="shared" si="121"/>
        <v>0</v>
      </c>
      <c r="F425" s="1">
        <v>2695</v>
      </c>
      <c r="G425" s="1">
        <v>3775</v>
      </c>
      <c r="H425" s="1"/>
      <c r="I425" s="55">
        <f t="shared" si="118"/>
        <v>6470</v>
      </c>
      <c r="J425" s="1"/>
      <c r="K425" s="1"/>
      <c r="L425" s="1"/>
      <c r="M425" s="55">
        <f t="shared" si="119"/>
        <v>0</v>
      </c>
      <c r="N425" s="1"/>
      <c r="O425" s="1"/>
      <c r="P425" s="1"/>
      <c r="Q425" s="55">
        <f>SUM(N425:P425)</f>
        <v>0</v>
      </c>
      <c r="R425" s="55">
        <f t="shared" si="116"/>
        <v>6470</v>
      </c>
    </row>
    <row r="426" spans="1:20" ht="15.75" customHeight="1" x14ac:dyDescent="0.3">
      <c r="A426" s="72" t="s">
        <v>966</v>
      </c>
      <c r="B426" s="1"/>
      <c r="C426" s="1">
        <v>39</v>
      </c>
      <c r="D426" s="1">
        <v>1915</v>
      </c>
      <c r="E426" s="55">
        <f t="shared" si="121"/>
        <v>1954</v>
      </c>
      <c r="F426" s="1"/>
      <c r="G426" s="1"/>
      <c r="H426" s="1"/>
      <c r="I426" s="55">
        <f t="shared" si="118"/>
        <v>0</v>
      </c>
      <c r="J426" s="1"/>
      <c r="K426" s="1"/>
      <c r="L426" s="1"/>
      <c r="M426" s="55">
        <f t="shared" si="119"/>
        <v>0</v>
      </c>
      <c r="N426" s="1"/>
      <c r="O426" s="1"/>
      <c r="P426" s="1"/>
      <c r="Q426" s="55">
        <f t="shared" si="120"/>
        <v>0</v>
      </c>
      <c r="R426" s="55">
        <f t="shared" si="116"/>
        <v>1954</v>
      </c>
    </row>
    <row r="427" spans="1:20" ht="15.75" customHeight="1" x14ac:dyDescent="0.3">
      <c r="A427" s="72" t="s">
        <v>967</v>
      </c>
      <c r="B427" s="1"/>
      <c r="C427" s="1"/>
      <c r="D427" s="1"/>
      <c r="E427" s="55">
        <f t="shared" si="121"/>
        <v>0</v>
      </c>
      <c r="F427" s="1"/>
      <c r="G427" s="1"/>
      <c r="H427" s="1"/>
      <c r="I427" s="55">
        <f t="shared" si="118"/>
        <v>0</v>
      </c>
      <c r="J427" s="1"/>
      <c r="K427" s="1"/>
      <c r="L427" s="1"/>
      <c r="M427" s="55">
        <f t="shared" si="119"/>
        <v>0</v>
      </c>
      <c r="N427" s="1"/>
      <c r="O427" s="1"/>
      <c r="P427" s="1"/>
      <c r="Q427" s="55">
        <f t="shared" si="120"/>
        <v>0</v>
      </c>
      <c r="R427" s="55">
        <f t="shared" si="116"/>
        <v>0</v>
      </c>
      <c r="T427" s="4" t="s">
        <v>919</v>
      </c>
    </row>
    <row r="428" spans="1:20" ht="15.75" customHeight="1" x14ac:dyDescent="0.3">
      <c r="A428" s="72" t="s">
        <v>968</v>
      </c>
      <c r="B428" s="1"/>
      <c r="C428" s="1"/>
      <c r="D428" s="1"/>
      <c r="E428" s="55">
        <f t="shared" si="121"/>
        <v>0</v>
      </c>
      <c r="F428" s="1"/>
      <c r="G428" s="1"/>
      <c r="H428" s="1">
        <v>1108</v>
      </c>
      <c r="I428" s="55">
        <f t="shared" si="118"/>
        <v>1108</v>
      </c>
      <c r="J428" s="1">
        <v>1113</v>
      </c>
      <c r="K428" s="1">
        <v>431</v>
      </c>
      <c r="L428" s="1"/>
      <c r="M428" s="55">
        <f t="shared" si="119"/>
        <v>1544</v>
      </c>
      <c r="N428" s="1"/>
      <c r="O428" s="1"/>
      <c r="P428" s="1"/>
      <c r="Q428" s="55">
        <f t="shared" si="120"/>
        <v>0</v>
      </c>
      <c r="R428" s="55">
        <f t="shared" si="116"/>
        <v>2652</v>
      </c>
      <c r="T428" s="4" t="s">
        <v>919</v>
      </c>
    </row>
    <row r="429" spans="1:20" ht="15.75" customHeight="1" x14ac:dyDescent="0.3">
      <c r="A429" s="72" t="s">
        <v>969</v>
      </c>
      <c r="B429" s="1"/>
      <c r="C429" s="1"/>
      <c r="D429" s="1"/>
      <c r="E429" s="55">
        <f t="shared" si="121"/>
        <v>0</v>
      </c>
      <c r="F429" s="1"/>
      <c r="G429" s="1"/>
      <c r="H429" s="1"/>
      <c r="I429" s="55">
        <f t="shared" si="118"/>
        <v>0</v>
      </c>
      <c r="J429" s="1"/>
      <c r="K429" s="1"/>
      <c r="L429" s="1"/>
      <c r="M429" s="55">
        <f t="shared" si="119"/>
        <v>0</v>
      </c>
      <c r="N429" s="1"/>
      <c r="O429" s="1"/>
      <c r="P429" s="1"/>
      <c r="Q429" s="55">
        <f t="shared" si="120"/>
        <v>0</v>
      </c>
      <c r="R429" s="55">
        <f t="shared" si="116"/>
        <v>0</v>
      </c>
      <c r="T429" s="4" t="s">
        <v>241</v>
      </c>
    </row>
    <row r="430" spans="1:20" ht="15.75" customHeight="1" x14ac:dyDescent="0.3">
      <c r="A430" s="72" t="s">
        <v>162</v>
      </c>
      <c r="B430" s="1"/>
      <c r="C430" s="1"/>
      <c r="D430" s="1"/>
      <c r="E430" s="55">
        <f t="shared" si="121"/>
        <v>0</v>
      </c>
      <c r="F430" s="1">
        <v>1148</v>
      </c>
      <c r="G430" s="1">
        <v>521</v>
      </c>
      <c r="H430" s="1"/>
      <c r="I430" s="55">
        <f t="shared" si="118"/>
        <v>1669</v>
      </c>
      <c r="J430" s="1"/>
      <c r="K430" s="1"/>
      <c r="L430" s="1"/>
      <c r="M430" s="55">
        <f t="shared" si="119"/>
        <v>0</v>
      </c>
      <c r="N430" s="1"/>
      <c r="O430" s="1"/>
      <c r="P430" s="1"/>
      <c r="Q430" s="55">
        <f t="shared" si="120"/>
        <v>0</v>
      </c>
      <c r="R430" s="55">
        <f t="shared" si="116"/>
        <v>1669</v>
      </c>
    </row>
    <row r="431" spans="1:20" ht="15.75" customHeight="1" x14ac:dyDescent="0.3">
      <c r="A431" s="72" t="s">
        <v>970</v>
      </c>
      <c r="B431" s="1"/>
      <c r="C431" s="1"/>
      <c r="D431" s="1"/>
      <c r="E431" s="55">
        <f t="shared" si="121"/>
        <v>0</v>
      </c>
      <c r="F431" s="1">
        <v>1337</v>
      </c>
      <c r="G431" s="1"/>
      <c r="H431" s="1"/>
      <c r="I431" s="55">
        <f t="shared" si="118"/>
        <v>1337</v>
      </c>
      <c r="J431" s="1"/>
      <c r="K431" s="1"/>
      <c r="L431" s="1"/>
      <c r="M431" s="55">
        <f t="shared" si="119"/>
        <v>0</v>
      </c>
      <c r="N431" s="1"/>
      <c r="O431" s="1"/>
      <c r="P431" s="1"/>
      <c r="Q431" s="55">
        <f t="shared" si="120"/>
        <v>0</v>
      </c>
      <c r="R431" s="55">
        <f t="shared" si="116"/>
        <v>1337</v>
      </c>
      <c r="T431" s="4" t="s">
        <v>241</v>
      </c>
    </row>
    <row r="432" spans="1:20" ht="15.75" customHeight="1" x14ac:dyDescent="0.3">
      <c r="A432" s="72" t="s">
        <v>971</v>
      </c>
      <c r="B432" s="1"/>
      <c r="C432" s="1"/>
      <c r="D432" s="1"/>
      <c r="E432" s="55">
        <f t="shared" si="121"/>
        <v>0</v>
      </c>
      <c r="F432" s="1"/>
      <c r="G432" s="1"/>
      <c r="H432" s="1"/>
      <c r="I432" s="55">
        <f t="shared" si="118"/>
        <v>0</v>
      </c>
      <c r="J432" s="1"/>
      <c r="K432" s="1">
        <v>376</v>
      </c>
      <c r="L432" s="1"/>
      <c r="M432" s="55">
        <f t="shared" si="119"/>
        <v>376</v>
      </c>
      <c r="N432" s="1"/>
      <c r="O432" s="1"/>
      <c r="P432" s="1"/>
      <c r="Q432" s="55">
        <f t="shared" si="120"/>
        <v>0</v>
      </c>
      <c r="R432" s="55">
        <f t="shared" si="116"/>
        <v>376</v>
      </c>
      <c r="T432" s="4" t="s">
        <v>919</v>
      </c>
    </row>
    <row r="433" spans="1:21" ht="15.75" customHeight="1" x14ac:dyDescent="0.3">
      <c r="A433" s="72" t="s">
        <v>1224</v>
      </c>
      <c r="B433" s="1"/>
      <c r="C433" s="1"/>
      <c r="D433" s="1"/>
      <c r="E433" s="55">
        <f t="shared" si="121"/>
        <v>0</v>
      </c>
      <c r="F433" s="1"/>
      <c r="G433" s="1"/>
      <c r="H433" s="1">
        <v>119</v>
      </c>
      <c r="I433" s="55">
        <f t="shared" si="118"/>
        <v>119</v>
      </c>
      <c r="J433" s="1"/>
      <c r="K433" s="1"/>
      <c r="L433" s="1"/>
      <c r="M433" s="55">
        <f t="shared" si="119"/>
        <v>0</v>
      </c>
      <c r="N433" s="1"/>
      <c r="O433" s="1"/>
      <c r="P433" s="1"/>
      <c r="Q433" s="55">
        <f t="shared" si="120"/>
        <v>0</v>
      </c>
      <c r="R433" s="55">
        <f>+E433+I433+M433+Q433</f>
        <v>119</v>
      </c>
    </row>
    <row r="434" spans="1:21" ht="15.75" customHeight="1" x14ac:dyDescent="0.3">
      <c r="A434" s="72" t="s">
        <v>742</v>
      </c>
      <c r="B434" s="1"/>
      <c r="C434" s="1"/>
      <c r="D434" s="1"/>
      <c r="E434" s="55">
        <f t="shared" si="121"/>
        <v>0</v>
      </c>
      <c r="F434" s="1"/>
      <c r="G434" s="1"/>
      <c r="H434" s="1"/>
      <c r="I434" s="55">
        <f t="shared" si="118"/>
        <v>0</v>
      </c>
      <c r="J434" s="1"/>
      <c r="K434" s="1"/>
      <c r="L434" s="1"/>
      <c r="M434" s="55">
        <f t="shared" si="119"/>
        <v>0</v>
      </c>
      <c r="N434" s="1"/>
      <c r="O434" s="1"/>
      <c r="P434" s="1"/>
      <c r="Q434" s="55">
        <f t="shared" si="120"/>
        <v>0</v>
      </c>
      <c r="R434" s="55">
        <f>+E434+I434+M434+Q434</f>
        <v>0</v>
      </c>
      <c r="T434" s="4" t="s">
        <v>241</v>
      </c>
    </row>
    <row r="435" spans="1:21" ht="15.75" customHeight="1" x14ac:dyDescent="0.3">
      <c r="A435" s="72" t="s">
        <v>973</v>
      </c>
      <c r="B435" s="1"/>
      <c r="C435" s="1"/>
      <c r="D435" s="1">
        <v>134</v>
      </c>
      <c r="E435" s="55">
        <f t="shared" si="121"/>
        <v>134</v>
      </c>
      <c r="F435" s="1">
        <v>1101</v>
      </c>
      <c r="G435" s="1">
        <v>1111</v>
      </c>
      <c r="H435" s="1"/>
      <c r="I435" s="55">
        <f t="shared" si="118"/>
        <v>2212</v>
      </c>
      <c r="J435" s="1"/>
      <c r="K435" s="1"/>
      <c r="L435" s="1"/>
      <c r="M435" s="55">
        <f t="shared" si="119"/>
        <v>0</v>
      </c>
      <c r="N435" s="1"/>
      <c r="O435" s="1"/>
      <c r="P435" s="1"/>
      <c r="Q435" s="55">
        <f t="shared" si="120"/>
        <v>0</v>
      </c>
      <c r="R435" s="55">
        <f t="shared" si="116"/>
        <v>2346</v>
      </c>
      <c r="T435" s="4" t="s">
        <v>919</v>
      </c>
    </row>
    <row r="436" spans="1:21" ht="15.75" customHeight="1" x14ac:dyDescent="0.3">
      <c r="A436" s="72" t="s">
        <v>974</v>
      </c>
      <c r="B436" s="1"/>
      <c r="C436" s="1"/>
      <c r="D436" s="1">
        <v>72</v>
      </c>
      <c r="E436" s="55">
        <f t="shared" si="121"/>
        <v>72</v>
      </c>
      <c r="F436" s="1">
        <v>1337</v>
      </c>
      <c r="G436" s="1"/>
      <c r="H436" s="1"/>
      <c r="I436" s="55">
        <f t="shared" si="118"/>
        <v>1337</v>
      </c>
      <c r="J436" s="1"/>
      <c r="K436" s="1"/>
      <c r="L436" s="1"/>
      <c r="M436" s="55">
        <f t="shared" si="119"/>
        <v>0</v>
      </c>
      <c r="N436" s="1"/>
      <c r="O436" s="1"/>
      <c r="P436" s="1"/>
      <c r="Q436" s="55">
        <f t="shared" si="120"/>
        <v>0</v>
      </c>
      <c r="R436" s="55">
        <f t="shared" si="116"/>
        <v>1409</v>
      </c>
      <c r="T436" s="4" t="s">
        <v>241</v>
      </c>
    </row>
    <row r="437" spans="1:21" ht="15.75" customHeight="1" x14ac:dyDescent="0.3">
      <c r="A437" s="72" t="s">
        <v>171</v>
      </c>
      <c r="B437" s="1"/>
      <c r="C437" s="1"/>
      <c r="D437" s="1"/>
      <c r="E437" s="55">
        <f t="shared" si="121"/>
        <v>0</v>
      </c>
      <c r="F437" s="1"/>
      <c r="G437" s="1">
        <v>2622</v>
      </c>
      <c r="H437" s="1"/>
      <c r="I437" s="55">
        <f t="shared" si="118"/>
        <v>2622</v>
      </c>
      <c r="J437" s="1"/>
      <c r="K437" s="1"/>
      <c r="L437" s="1"/>
      <c r="M437" s="55">
        <f t="shared" si="119"/>
        <v>0</v>
      </c>
      <c r="N437" s="1"/>
      <c r="O437" s="1"/>
      <c r="P437" s="1"/>
      <c r="Q437" s="55">
        <f t="shared" si="120"/>
        <v>0</v>
      </c>
      <c r="R437" s="55">
        <f t="shared" si="116"/>
        <v>2622</v>
      </c>
    </row>
    <row r="438" spans="1:21" ht="15.75" customHeight="1" thickBot="1" x14ac:dyDescent="0.35">
      <c r="A438" s="72" t="s">
        <v>975</v>
      </c>
      <c r="B438" s="1">
        <v>374</v>
      </c>
      <c r="C438" s="1">
        <v>1015</v>
      </c>
      <c r="D438" s="1">
        <v>2166</v>
      </c>
      <c r="E438" s="55">
        <f t="shared" si="121"/>
        <v>3555</v>
      </c>
      <c r="F438" s="1">
        <v>3571</v>
      </c>
      <c r="G438" s="1">
        <v>1375</v>
      </c>
      <c r="H438" s="1">
        <v>2000</v>
      </c>
      <c r="I438" s="55">
        <f t="shared" si="118"/>
        <v>6946</v>
      </c>
      <c r="J438" s="1">
        <v>1602</v>
      </c>
      <c r="K438" s="1">
        <v>3000</v>
      </c>
      <c r="L438" s="1">
        <v>3867</v>
      </c>
      <c r="M438" s="55">
        <f t="shared" si="119"/>
        <v>8469</v>
      </c>
      <c r="N438" s="1">
        <v>2663</v>
      </c>
      <c r="O438" s="1">
        <v>1635</v>
      </c>
      <c r="P438" s="1">
        <v>1732</v>
      </c>
      <c r="Q438" s="55">
        <f t="shared" si="120"/>
        <v>6030</v>
      </c>
      <c r="R438" s="55">
        <f t="shared" si="116"/>
        <v>25000</v>
      </c>
    </row>
    <row r="439" spans="1:21" ht="16.5" customHeight="1" thickBot="1" x14ac:dyDescent="0.35">
      <c r="A439" s="114" t="s">
        <v>63</v>
      </c>
      <c r="B439" s="90">
        <f>SUM(B392:B438)</f>
        <v>5821</v>
      </c>
      <c r="C439" s="58">
        <f>SUM(C392:C438)</f>
        <v>11281</v>
      </c>
      <c r="D439" s="58">
        <f>SUM(D392:D438)</f>
        <v>28728</v>
      </c>
      <c r="E439" s="59">
        <f t="shared" ref="E439" si="130">SUM(B439:D439)</f>
        <v>45830</v>
      </c>
      <c r="F439" s="58">
        <f>SUM(F392:F438)</f>
        <v>38725</v>
      </c>
      <c r="G439" s="58">
        <f>SUM(G392:G438)</f>
        <v>36973</v>
      </c>
      <c r="H439" s="58">
        <f>SUM(H392:H438)</f>
        <v>33917</v>
      </c>
      <c r="I439" s="59">
        <f t="shared" ref="I439" si="131">SUM(F439:H439)</f>
        <v>109615</v>
      </c>
      <c r="J439" s="58">
        <f>SUM(J392:J438)</f>
        <v>26100</v>
      </c>
      <c r="K439" s="58">
        <f>SUM(K392:K438)</f>
        <v>37472</v>
      </c>
      <c r="L439" s="58">
        <f>SUM(L392:L438)</f>
        <v>29913</v>
      </c>
      <c r="M439" s="59">
        <f t="shared" ref="M439" si="132">SUM(J439:L439)</f>
        <v>93485</v>
      </c>
      <c r="N439" s="58">
        <f>SUM(N392:N438)</f>
        <v>20299</v>
      </c>
      <c r="O439" s="58">
        <f>SUM(O392:O438)</f>
        <v>9984</v>
      </c>
      <c r="P439" s="58">
        <f>SUM(P392:P438)</f>
        <v>14159</v>
      </c>
      <c r="Q439" s="59">
        <f t="shared" si="120"/>
        <v>44442</v>
      </c>
      <c r="R439" s="59">
        <f>+E439+I439+M439+Q439</f>
        <v>293372</v>
      </c>
      <c r="T439" s="89"/>
    </row>
    <row r="440" spans="1:21" ht="15.75" customHeight="1" x14ac:dyDescent="0.3">
      <c r="A440" s="15" t="s">
        <v>64</v>
      </c>
      <c r="B440" s="1"/>
      <c r="C440" s="1"/>
      <c r="D440" s="1"/>
      <c r="E440" s="55" t="s">
        <v>7</v>
      </c>
      <c r="F440" s="1"/>
      <c r="G440" s="1"/>
      <c r="H440" s="1"/>
      <c r="I440" s="55" t="s">
        <v>7</v>
      </c>
      <c r="J440" s="1"/>
      <c r="K440" s="1"/>
      <c r="L440" s="1"/>
      <c r="M440" s="55" t="s">
        <v>7</v>
      </c>
      <c r="N440" s="1"/>
      <c r="O440" s="1"/>
      <c r="P440" s="1"/>
      <c r="Q440" s="55" t="s">
        <v>7</v>
      </c>
      <c r="R440" s="55" t="s">
        <v>7</v>
      </c>
    </row>
    <row r="441" spans="1:21" ht="15.75" customHeight="1" x14ac:dyDescent="0.3">
      <c r="A441" s="15" t="s">
        <v>594</v>
      </c>
      <c r="B441" s="1"/>
      <c r="C441" s="1"/>
      <c r="D441" s="1"/>
      <c r="E441" s="55" t="s">
        <v>7</v>
      </c>
      <c r="F441" s="1"/>
      <c r="G441" s="1"/>
      <c r="H441" s="1"/>
      <c r="I441" s="55" t="s">
        <v>7</v>
      </c>
      <c r="J441" s="1"/>
      <c r="K441" s="1"/>
      <c r="L441" s="1"/>
      <c r="M441" s="55" t="s">
        <v>7</v>
      </c>
      <c r="N441" s="1"/>
      <c r="O441" s="1"/>
      <c r="P441" s="1"/>
      <c r="Q441" s="55" t="s">
        <v>7</v>
      </c>
      <c r="R441" s="55" t="s">
        <v>7</v>
      </c>
    </row>
    <row r="442" spans="1:21" ht="15.75" customHeight="1" x14ac:dyDescent="0.3">
      <c r="A442" s="72" t="s">
        <v>976</v>
      </c>
      <c r="B442" s="1"/>
      <c r="C442" s="1"/>
      <c r="D442" s="1"/>
      <c r="E442" s="55">
        <f>SUM(B442:D442)</f>
        <v>0</v>
      </c>
      <c r="F442" s="1"/>
      <c r="G442" s="1"/>
      <c r="H442" s="1"/>
      <c r="I442" s="55">
        <f>SUM(F442:H442)</f>
        <v>0</v>
      </c>
      <c r="J442" s="1"/>
      <c r="K442" s="1"/>
      <c r="L442" s="1"/>
      <c r="M442" s="55">
        <f>SUM(J442:L442)</f>
        <v>0</v>
      </c>
      <c r="N442" s="1"/>
      <c r="O442" s="1"/>
      <c r="P442" s="1"/>
      <c r="Q442" s="55">
        <f>SUM(N442:P442)</f>
        <v>0</v>
      </c>
      <c r="R442" s="55">
        <f>+E442+I442+M442+Q442</f>
        <v>0</v>
      </c>
      <c r="U442" s="355"/>
    </row>
    <row r="443" spans="1:21" ht="15.75" customHeight="1" x14ac:dyDescent="0.3">
      <c r="A443" s="15" t="s">
        <v>67</v>
      </c>
      <c r="B443" s="1"/>
      <c r="C443" s="1"/>
      <c r="D443" s="1"/>
      <c r="E443" s="55" t="s">
        <v>7</v>
      </c>
      <c r="F443" s="1"/>
      <c r="G443" s="1"/>
      <c r="H443" s="1"/>
      <c r="I443" s="55" t="s">
        <v>7</v>
      </c>
      <c r="J443" s="1"/>
      <c r="K443" s="1"/>
      <c r="L443" s="1"/>
      <c r="M443" s="55" t="s">
        <v>7</v>
      </c>
      <c r="N443" s="1"/>
      <c r="O443" s="1"/>
      <c r="P443" s="1"/>
      <c r="Q443" s="55" t="s">
        <v>7</v>
      </c>
      <c r="R443" s="55" t="s">
        <v>7</v>
      </c>
    </row>
    <row r="444" spans="1:21" ht="15.75" customHeight="1" x14ac:dyDescent="0.3">
      <c r="A444" s="72" t="s">
        <v>744</v>
      </c>
      <c r="B444" s="1"/>
      <c r="C444" s="1"/>
      <c r="D444" s="1"/>
      <c r="E444" s="55">
        <f>SUM(B444:D444)</f>
        <v>0</v>
      </c>
      <c r="F444" s="1"/>
      <c r="G444" s="1"/>
      <c r="H444" s="1"/>
      <c r="I444" s="55">
        <f>SUM(F444:H444)</f>
        <v>0</v>
      </c>
      <c r="J444" s="1"/>
      <c r="K444" s="1"/>
      <c r="L444" s="1"/>
      <c r="M444" s="55">
        <f>SUM(J444:L444)</f>
        <v>0</v>
      </c>
      <c r="N444" s="1"/>
      <c r="O444" s="1"/>
      <c r="P444" s="1"/>
      <c r="Q444" s="55">
        <f>SUM(N444:P444)</f>
        <v>0</v>
      </c>
      <c r="R444" s="55">
        <f>+E444+I444+M444+Q444</f>
        <v>0</v>
      </c>
    </row>
    <row r="445" spans="1:21" ht="15.75" customHeight="1" x14ac:dyDescent="0.3">
      <c r="A445" s="72" t="s">
        <v>745</v>
      </c>
      <c r="B445" s="1"/>
      <c r="C445" s="1"/>
      <c r="D445" s="1"/>
      <c r="E445" s="55">
        <f>SUM(B445:D445)</f>
        <v>0</v>
      </c>
      <c r="F445" s="1"/>
      <c r="G445" s="1"/>
      <c r="H445" s="1"/>
      <c r="I445" s="55">
        <f>SUM(F445:H445)</f>
        <v>0</v>
      </c>
      <c r="J445" s="1"/>
      <c r="K445" s="1"/>
      <c r="L445" s="1"/>
      <c r="M445" s="55">
        <f>SUM(J445:L445)</f>
        <v>0</v>
      </c>
      <c r="N445" s="1"/>
      <c r="O445" s="1"/>
      <c r="P445" s="1"/>
      <c r="Q445" s="55">
        <f>SUM(N445:P445)</f>
        <v>0</v>
      </c>
      <c r="R445" s="55">
        <f>+E445+I445+M445+Q445</f>
        <v>0</v>
      </c>
    </row>
    <row r="446" spans="1:21" ht="15.75" customHeight="1" x14ac:dyDescent="0.3">
      <c r="A446" s="15" t="s">
        <v>600</v>
      </c>
      <c r="B446" s="1"/>
      <c r="C446" s="1"/>
      <c r="D446" s="1"/>
      <c r="E446" s="55" t="s">
        <v>7</v>
      </c>
      <c r="F446" s="1"/>
      <c r="G446" s="1"/>
      <c r="H446" s="1"/>
      <c r="I446" s="55" t="s">
        <v>7</v>
      </c>
      <c r="J446" s="1"/>
      <c r="K446" s="1"/>
      <c r="L446" s="1"/>
      <c r="M446" s="55" t="s">
        <v>7</v>
      </c>
      <c r="N446" s="1"/>
      <c r="O446" s="1"/>
      <c r="P446" s="1"/>
      <c r="Q446" s="55" t="s">
        <v>7</v>
      </c>
      <c r="R446" s="55" t="s">
        <v>7</v>
      </c>
    </row>
    <row r="447" spans="1:21" ht="15.75" customHeight="1" x14ac:dyDescent="0.3">
      <c r="A447" s="72" t="s">
        <v>270</v>
      </c>
      <c r="B447" s="1"/>
      <c r="C447" s="1"/>
      <c r="D447" s="1"/>
      <c r="E447" s="55">
        <f t="shared" ref="E447:E452" si="133">SUM(B447:D447)</f>
        <v>0</v>
      </c>
      <c r="F447" s="1"/>
      <c r="G447" s="1"/>
      <c r="H447" s="1"/>
      <c r="I447" s="55">
        <f t="shared" ref="I447:I452" si="134">SUM(F447:H447)</f>
        <v>0</v>
      </c>
      <c r="J447" s="1"/>
      <c r="K447" s="1"/>
      <c r="L447" s="1"/>
      <c r="M447" s="55">
        <f t="shared" ref="M447:M452" si="135">SUM(J447:L447)</f>
        <v>0</v>
      </c>
      <c r="N447" s="1"/>
      <c r="O447" s="1"/>
      <c r="P447" s="1"/>
      <c r="Q447" s="55">
        <f t="shared" ref="Q447:Q452" si="136">SUM(N447:P447)</f>
        <v>0</v>
      </c>
      <c r="R447" s="55">
        <f t="shared" ref="R447:R452" si="137">+E447+I447+M447+Q447</f>
        <v>0</v>
      </c>
      <c r="T447" s="4" t="s">
        <v>224</v>
      </c>
    </row>
    <row r="448" spans="1:21" ht="15.75" customHeight="1" x14ac:dyDescent="0.3">
      <c r="A448" s="72" t="s">
        <v>646</v>
      </c>
      <c r="B448" s="1"/>
      <c r="C448" s="1"/>
      <c r="D448" s="1"/>
      <c r="E448" s="55">
        <f t="shared" si="133"/>
        <v>0</v>
      </c>
      <c r="F448" s="1"/>
      <c r="G448" s="1">
        <v>1000</v>
      </c>
      <c r="H448" s="1"/>
      <c r="I448" s="55">
        <f t="shared" si="134"/>
        <v>1000</v>
      </c>
      <c r="J448" s="1"/>
      <c r="K448" s="1"/>
      <c r="L448" s="1"/>
      <c r="M448" s="55">
        <f t="shared" si="135"/>
        <v>0</v>
      </c>
      <c r="N448" s="1"/>
      <c r="O448" s="1"/>
      <c r="P448" s="1"/>
      <c r="Q448" s="55">
        <f t="shared" si="136"/>
        <v>0</v>
      </c>
      <c r="R448" s="55">
        <f t="shared" si="137"/>
        <v>1000</v>
      </c>
      <c r="T448" s="4" t="s">
        <v>224</v>
      </c>
    </row>
    <row r="449" spans="1:21" ht="15.75" customHeight="1" x14ac:dyDescent="0.3">
      <c r="A449" s="72" t="s">
        <v>271</v>
      </c>
      <c r="B449" s="1"/>
      <c r="C449" s="1"/>
      <c r="D449" s="1"/>
      <c r="E449" s="55">
        <f t="shared" si="133"/>
        <v>0</v>
      </c>
      <c r="F449" s="1"/>
      <c r="G449" s="1"/>
      <c r="H449" s="1"/>
      <c r="I449" s="55">
        <f t="shared" si="134"/>
        <v>0</v>
      </c>
      <c r="J449" s="1"/>
      <c r="K449" s="1"/>
      <c r="L449" s="1"/>
      <c r="M449" s="55">
        <f t="shared" si="135"/>
        <v>0</v>
      </c>
      <c r="N449" s="1"/>
      <c r="O449" s="1"/>
      <c r="P449" s="1"/>
      <c r="Q449" s="55">
        <f t="shared" si="136"/>
        <v>0</v>
      </c>
      <c r="R449" s="55">
        <f t="shared" si="137"/>
        <v>0</v>
      </c>
      <c r="T449" s="4" t="s">
        <v>214</v>
      </c>
    </row>
    <row r="450" spans="1:21" ht="15.75" customHeight="1" x14ac:dyDescent="0.3">
      <c r="A450" s="72" t="s">
        <v>647</v>
      </c>
      <c r="B450" s="1"/>
      <c r="C450" s="1"/>
      <c r="D450" s="1"/>
      <c r="E450" s="55">
        <f t="shared" si="133"/>
        <v>0</v>
      </c>
      <c r="F450" s="1"/>
      <c r="G450" s="1"/>
      <c r="H450" s="1"/>
      <c r="I450" s="55">
        <f t="shared" si="134"/>
        <v>0</v>
      </c>
      <c r="J450" s="1"/>
      <c r="K450" s="1"/>
      <c r="L450" s="1"/>
      <c r="M450" s="55">
        <f t="shared" si="135"/>
        <v>0</v>
      </c>
      <c r="N450" s="1"/>
      <c r="O450" s="1"/>
      <c r="P450" s="1"/>
      <c r="Q450" s="55">
        <f t="shared" si="136"/>
        <v>0</v>
      </c>
      <c r="R450" s="55">
        <f t="shared" si="137"/>
        <v>0</v>
      </c>
    </row>
    <row r="451" spans="1:21" ht="15.75" customHeight="1" x14ac:dyDescent="0.3">
      <c r="A451" s="72" t="s">
        <v>652</v>
      </c>
      <c r="B451" s="1"/>
      <c r="C451" s="1"/>
      <c r="D451" s="1"/>
      <c r="E451" s="55">
        <f t="shared" si="133"/>
        <v>0</v>
      </c>
      <c r="F451" s="1"/>
      <c r="G451" s="1"/>
      <c r="H451" s="1"/>
      <c r="I451" s="55">
        <f t="shared" si="134"/>
        <v>0</v>
      </c>
      <c r="J451" s="1"/>
      <c r="K451" s="1"/>
      <c r="L451" s="1"/>
      <c r="M451" s="55">
        <f t="shared" si="135"/>
        <v>0</v>
      </c>
      <c r="N451" s="1"/>
      <c r="O451" s="1"/>
      <c r="P451" s="1"/>
      <c r="Q451" s="55">
        <f t="shared" si="136"/>
        <v>0</v>
      </c>
      <c r="R451" s="55">
        <f t="shared" si="137"/>
        <v>0</v>
      </c>
    </row>
    <row r="452" spans="1:21" ht="15.75" customHeight="1" x14ac:dyDescent="0.3">
      <c r="A452" s="72" t="s">
        <v>746</v>
      </c>
      <c r="B452" s="1"/>
      <c r="C452" s="1"/>
      <c r="D452" s="1"/>
      <c r="E452" s="55">
        <f t="shared" si="133"/>
        <v>0</v>
      </c>
      <c r="F452" s="1"/>
      <c r="G452" s="1"/>
      <c r="H452" s="1"/>
      <c r="I452" s="55">
        <f t="shared" si="134"/>
        <v>0</v>
      </c>
      <c r="J452" s="1"/>
      <c r="K452" s="1"/>
      <c r="L452" s="1"/>
      <c r="M452" s="55">
        <f t="shared" si="135"/>
        <v>0</v>
      </c>
      <c r="N452" s="1"/>
      <c r="O452" s="1"/>
      <c r="P452" s="1"/>
      <c r="Q452" s="55">
        <f t="shared" si="136"/>
        <v>0</v>
      </c>
      <c r="R452" s="55">
        <f t="shared" si="137"/>
        <v>0</v>
      </c>
      <c r="T452" s="4" t="s">
        <v>224</v>
      </c>
    </row>
    <row r="453" spans="1:21" ht="15.75" customHeight="1" x14ac:dyDescent="0.3">
      <c r="A453" s="15" t="s">
        <v>70</v>
      </c>
      <c r="B453" s="1"/>
      <c r="C453" s="1"/>
      <c r="D453" s="1"/>
      <c r="E453" s="55" t="s">
        <v>7</v>
      </c>
      <c r="F453" s="1"/>
      <c r="G453" s="1"/>
      <c r="H453" s="1"/>
      <c r="I453" s="55" t="s">
        <v>7</v>
      </c>
      <c r="J453" s="1"/>
      <c r="K453" s="1"/>
      <c r="L453" s="1"/>
      <c r="M453" s="55" t="s">
        <v>7</v>
      </c>
      <c r="N453" s="1"/>
      <c r="O453" s="1"/>
      <c r="P453" s="1"/>
      <c r="Q453" s="55" t="s">
        <v>7</v>
      </c>
      <c r="R453" s="55" t="s">
        <v>7</v>
      </c>
    </row>
    <row r="454" spans="1:21" ht="15.75" customHeight="1" x14ac:dyDescent="0.3">
      <c r="A454" s="72" t="s">
        <v>977</v>
      </c>
      <c r="B454" s="1"/>
      <c r="C454" s="1"/>
      <c r="D454" s="1"/>
      <c r="E454" s="55">
        <f>SUM(B454:D454)</f>
        <v>0</v>
      </c>
      <c r="F454" s="1"/>
      <c r="G454" s="1"/>
      <c r="H454" s="1"/>
      <c r="I454" s="55">
        <f>SUM(F454:H454)</f>
        <v>0</v>
      </c>
      <c r="J454" s="1"/>
      <c r="K454" s="1"/>
      <c r="L454" s="1"/>
      <c r="M454" s="55">
        <f>SUM(J454:L454)</f>
        <v>0</v>
      </c>
      <c r="N454" s="1"/>
      <c r="O454" s="1">
        <v>1120</v>
      </c>
      <c r="P454" s="1"/>
      <c r="Q454" s="55">
        <f>SUM(N454:P454)</f>
        <v>1120</v>
      </c>
      <c r="R454" s="55">
        <f>+E454+I454+M454+Q454</f>
        <v>1120</v>
      </c>
      <c r="T454" s="4" t="s">
        <v>209</v>
      </c>
    </row>
    <row r="455" spans="1:21" ht="15.75" customHeight="1" x14ac:dyDescent="0.3">
      <c r="A455" s="72" t="s">
        <v>978</v>
      </c>
      <c r="B455" s="1"/>
      <c r="C455" s="1"/>
      <c r="D455" s="1"/>
      <c r="E455" s="55">
        <f>SUM(B455:D455)</f>
        <v>0</v>
      </c>
      <c r="F455" s="1"/>
      <c r="G455" s="1"/>
      <c r="H455" s="1"/>
      <c r="I455" s="55">
        <f>SUM(F455:H455)</f>
        <v>0</v>
      </c>
      <c r="J455" s="1"/>
      <c r="K455" s="1"/>
      <c r="L455" s="1"/>
      <c r="M455" s="55">
        <f>SUM(J455:L455)</f>
        <v>0</v>
      </c>
      <c r="N455" s="1"/>
      <c r="O455" s="1"/>
      <c r="P455" s="1"/>
      <c r="Q455" s="55">
        <f>SUM(N455:P455)</f>
        <v>0</v>
      </c>
      <c r="R455" s="55">
        <f>+E455+I455+M455+Q455</f>
        <v>0</v>
      </c>
      <c r="T455" s="4" t="s">
        <v>209</v>
      </c>
    </row>
    <row r="456" spans="1:21" ht="15.75" customHeight="1" x14ac:dyDescent="0.3">
      <c r="A456" s="72" t="s">
        <v>750</v>
      </c>
      <c r="B456" s="1"/>
      <c r="C456" s="1"/>
      <c r="D456" s="1"/>
      <c r="E456" s="55">
        <f>SUM(B456:D456)</f>
        <v>0</v>
      </c>
      <c r="F456" s="1"/>
      <c r="G456" s="1"/>
      <c r="H456" s="1"/>
      <c r="I456" s="55">
        <f>SUM(F456:H456)</f>
        <v>0</v>
      </c>
      <c r="J456" s="1"/>
      <c r="K456" s="1"/>
      <c r="L456" s="1"/>
      <c r="M456" s="55">
        <f>SUM(J456:L456)</f>
        <v>0</v>
      </c>
      <c r="N456" s="1"/>
      <c r="O456" s="1"/>
      <c r="P456" s="1"/>
      <c r="Q456" s="55">
        <f>SUM(N456:P456)</f>
        <v>0</v>
      </c>
      <c r="R456" s="55">
        <f>+E456+I456+M456+Q456</f>
        <v>0</v>
      </c>
    </row>
    <row r="457" spans="1:21" ht="15.75" customHeight="1" x14ac:dyDescent="0.3">
      <c r="A457" s="72" t="s">
        <v>751</v>
      </c>
      <c r="B457" s="1"/>
      <c r="C457" s="1"/>
      <c r="D457" s="1"/>
      <c r="E457" s="55">
        <f t="shared" ref="E457" si="138">SUM(B457:D457)</f>
        <v>0</v>
      </c>
      <c r="F457" s="1"/>
      <c r="G457" s="1"/>
      <c r="H457" s="1"/>
      <c r="I457" s="55">
        <f t="shared" ref="I457" si="139">SUM(F457:H457)</f>
        <v>0</v>
      </c>
      <c r="J457" s="1">
        <v>3800</v>
      </c>
      <c r="K457" s="1"/>
      <c r="L457" s="1"/>
      <c r="M457" s="55">
        <f t="shared" ref="M457" si="140">SUM(J457:L457)</f>
        <v>3800</v>
      </c>
      <c r="N457" s="1"/>
      <c r="O457" s="1"/>
      <c r="P457" s="1"/>
      <c r="Q457" s="55">
        <f t="shared" ref="Q457:Q467" si="141">SUM(N457:P457)</f>
        <v>0</v>
      </c>
      <c r="R457" s="55">
        <f t="shared" ref="R457:R467" si="142">+E457+I457+M457+Q457</f>
        <v>3800</v>
      </c>
    </row>
    <row r="458" spans="1:21" ht="15.75" customHeight="1" x14ac:dyDescent="0.3">
      <c r="A458" s="72" t="s">
        <v>752</v>
      </c>
      <c r="B458" s="1"/>
      <c r="C458" s="1"/>
      <c r="D458" s="1"/>
      <c r="E458" s="55">
        <f>SUM(B458:D458)</f>
        <v>0</v>
      </c>
      <c r="F458" s="1"/>
      <c r="G458" s="1"/>
      <c r="H458" s="1"/>
      <c r="I458" s="55">
        <f>SUM(F458:H458)</f>
        <v>0</v>
      </c>
      <c r="J458" s="1"/>
      <c r="K458" s="1"/>
      <c r="L458" s="1"/>
      <c r="M458" s="55">
        <f>SUM(J458:L458)</f>
        <v>0</v>
      </c>
      <c r="N458" s="1"/>
      <c r="O458" s="1"/>
      <c r="P458" s="1"/>
      <c r="Q458" s="55">
        <f>SUM(N458:P458)</f>
        <v>0</v>
      </c>
      <c r="R458" s="55">
        <f>+E458+I458+M458+Q458</f>
        <v>0</v>
      </c>
    </row>
    <row r="459" spans="1:21" ht="15.75" customHeight="1" x14ac:dyDescent="0.3">
      <c r="A459" s="72" t="s">
        <v>753</v>
      </c>
      <c r="B459" s="1">
        <v>300</v>
      </c>
      <c r="C459" s="1">
        <v>410</v>
      </c>
      <c r="D459" s="1">
        <v>710</v>
      </c>
      <c r="E459" s="55">
        <f>SUM(B459:D459)</f>
        <v>1420</v>
      </c>
      <c r="F459" s="1">
        <v>610</v>
      </c>
      <c r="G459" s="1">
        <v>740</v>
      </c>
      <c r="H459" s="1">
        <v>410</v>
      </c>
      <c r="I459" s="55">
        <f>SUM(F459:H459)</f>
        <v>1760</v>
      </c>
      <c r="J459" s="1">
        <v>310</v>
      </c>
      <c r="K459" s="1">
        <v>310</v>
      </c>
      <c r="L459" s="1"/>
      <c r="M459" s="55">
        <f>SUM(J459:L459)</f>
        <v>620</v>
      </c>
      <c r="N459" s="1"/>
      <c r="O459" s="1"/>
      <c r="P459" s="1"/>
      <c r="Q459" s="55">
        <f>SUM(N459:P459)</f>
        <v>0</v>
      </c>
      <c r="R459" s="55">
        <f>+E459+I459+M459+Q459</f>
        <v>3800</v>
      </c>
      <c r="T459" s="4" t="s">
        <v>209</v>
      </c>
      <c r="U459" s="355"/>
    </row>
    <row r="460" spans="1:21" ht="15.75" customHeight="1" x14ac:dyDescent="0.3">
      <c r="A460" s="72" t="s">
        <v>754</v>
      </c>
      <c r="B460" s="1"/>
      <c r="C460" s="1"/>
      <c r="D460" s="1"/>
      <c r="E460" s="55">
        <f>SUM(B460:D460)</f>
        <v>0</v>
      </c>
      <c r="F460" s="1"/>
      <c r="G460" s="1"/>
      <c r="H460" s="1"/>
      <c r="I460" s="55">
        <f>SUM(F460:H460)</f>
        <v>0</v>
      </c>
      <c r="J460" s="1"/>
      <c r="K460" s="1"/>
      <c r="L460" s="1"/>
      <c r="M460" s="55">
        <f>SUM(J460:L460)</f>
        <v>0</v>
      </c>
      <c r="N460" s="1"/>
      <c r="O460" s="1"/>
      <c r="P460" s="1"/>
      <c r="Q460" s="55">
        <f>SUM(N460:P460)</f>
        <v>0</v>
      </c>
      <c r="R460" s="55">
        <f>+E460+I460+M460+Q460</f>
        <v>0</v>
      </c>
    </row>
    <row r="461" spans="1:21" ht="15.75" customHeight="1" thickBot="1" x14ac:dyDescent="0.35">
      <c r="A461" s="72" t="s">
        <v>755</v>
      </c>
      <c r="B461" s="1"/>
      <c r="C461" s="1"/>
      <c r="D461" s="1"/>
      <c r="E461" s="55">
        <f>SUM(B461:D461)</f>
        <v>0</v>
      </c>
      <c r="F461" s="1"/>
      <c r="G461" s="1"/>
      <c r="H461" s="1"/>
      <c r="I461" s="55">
        <f>SUM(F461:H461)</f>
        <v>0</v>
      </c>
      <c r="J461" s="1"/>
      <c r="K461" s="1"/>
      <c r="L461" s="1"/>
      <c r="M461" s="55">
        <f>SUM(J461:L461)</f>
        <v>0</v>
      </c>
      <c r="N461" s="1">
        <v>715</v>
      </c>
      <c r="O461" s="1">
        <v>1209</v>
      </c>
      <c r="P461" s="1">
        <v>306</v>
      </c>
      <c r="Q461" s="55">
        <f>SUM(N461:P461)</f>
        <v>2230</v>
      </c>
      <c r="R461" s="55">
        <f>+E461+I461+M461+Q461</f>
        <v>2230</v>
      </c>
      <c r="T461" s="4" t="s">
        <v>214</v>
      </c>
    </row>
    <row r="462" spans="1:21" ht="16.5" customHeight="1" thickBot="1" x14ac:dyDescent="0.35">
      <c r="A462" s="57" t="s">
        <v>71</v>
      </c>
      <c r="B462" s="58">
        <f>SUM(B446:B461)</f>
        <v>300</v>
      </c>
      <c r="C462" s="58">
        <f>SUM(C446:C461)</f>
        <v>410</v>
      </c>
      <c r="D462" s="58">
        <f>SUM(D446:D461)</f>
        <v>710</v>
      </c>
      <c r="E462" s="60">
        <f t="shared" ref="E462:E467" si="143">SUM(B462:D462)</f>
        <v>1420</v>
      </c>
      <c r="F462" s="58">
        <f>SUM(F446:F461)</f>
        <v>610</v>
      </c>
      <c r="G462" s="58">
        <f>SUM(G446:G461)</f>
        <v>1740</v>
      </c>
      <c r="H462" s="58">
        <f>SUM(H446:H461)</f>
        <v>410</v>
      </c>
      <c r="I462" s="60">
        <f t="shared" ref="I462:I467" si="144">SUM(F462:H462)</f>
        <v>2760</v>
      </c>
      <c r="J462" s="58">
        <f>SUM(J446:J461)</f>
        <v>4110</v>
      </c>
      <c r="K462" s="58">
        <f>SUM(K446:K461)</f>
        <v>310</v>
      </c>
      <c r="L462" s="58">
        <f>SUM(L446:L461)</f>
        <v>0</v>
      </c>
      <c r="M462" s="60">
        <f t="shared" ref="M462:M467" si="145">SUM(J462:L462)</f>
        <v>4420</v>
      </c>
      <c r="N462" s="58">
        <f>SUM(N446:N461)</f>
        <v>715</v>
      </c>
      <c r="O462" s="58">
        <f>SUM(O446:O461)</f>
        <v>2329</v>
      </c>
      <c r="P462" s="58">
        <f>SUM(P446:P461)</f>
        <v>306</v>
      </c>
      <c r="Q462" s="60">
        <f t="shared" si="141"/>
        <v>3350</v>
      </c>
      <c r="R462" s="59">
        <f t="shared" si="142"/>
        <v>11950</v>
      </c>
    </row>
    <row r="463" spans="1:21" ht="16.5" customHeight="1" thickBot="1" x14ac:dyDescent="0.35">
      <c r="A463" s="114" t="s">
        <v>72</v>
      </c>
      <c r="B463" s="86">
        <f>SUM(B440:B461)</f>
        <v>300</v>
      </c>
      <c r="C463" s="87">
        <f>SUM(C440:C461)</f>
        <v>410</v>
      </c>
      <c r="D463" s="118">
        <f>SUM(D440:D461)</f>
        <v>710</v>
      </c>
      <c r="E463" s="60">
        <f t="shared" si="143"/>
        <v>1420</v>
      </c>
      <c r="F463" s="87">
        <f>SUM(F440:F461)</f>
        <v>610</v>
      </c>
      <c r="G463" s="87">
        <f>SUM(G440:G461)</f>
        <v>1740</v>
      </c>
      <c r="H463" s="87">
        <f>SUM(H440:H461)</f>
        <v>410</v>
      </c>
      <c r="I463" s="60">
        <f t="shared" si="144"/>
        <v>2760</v>
      </c>
      <c r="J463" s="87">
        <f>SUM(J440:J461)</f>
        <v>4110</v>
      </c>
      <c r="K463" s="87">
        <f>SUM(K440:K461)</f>
        <v>310</v>
      </c>
      <c r="L463" s="87">
        <f>SUM(L440:L461)</f>
        <v>0</v>
      </c>
      <c r="M463" s="60">
        <f t="shared" si="145"/>
        <v>4420</v>
      </c>
      <c r="N463" s="87">
        <f>SUM(N440:N461)</f>
        <v>715</v>
      </c>
      <c r="O463" s="87">
        <f>SUM(O440:O461)</f>
        <v>2329</v>
      </c>
      <c r="P463" s="87">
        <f>SUM(P440:P461)</f>
        <v>306</v>
      </c>
      <c r="Q463" s="60">
        <f t="shared" si="141"/>
        <v>3350</v>
      </c>
      <c r="R463" s="59">
        <f t="shared" si="142"/>
        <v>11950</v>
      </c>
    </row>
    <row r="464" spans="1:21" ht="16.5" customHeight="1" thickBot="1" x14ac:dyDescent="0.35">
      <c r="A464" s="57" t="s">
        <v>73</v>
      </c>
      <c r="B464" s="90">
        <f>+B377+B391+B439+B463</f>
        <v>9936</v>
      </c>
      <c r="C464" s="58">
        <f>+C377+C391+C439+C463</f>
        <v>19109</v>
      </c>
      <c r="D464" s="58">
        <f>+D377+D391+D439+D463</f>
        <v>53594</v>
      </c>
      <c r="E464" s="59">
        <f t="shared" si="143"/>
        <v>82639</v>
      </c>
      <c r="F464" s="58">
        <f>+F377+F391+F439+F463</f>
        <v>66440</v>
      </c>
      <c r="G464" s="58">
        <f>+G377+G391+G439+G463</f>
        <v>68048</v>
      </c>
      <c r="H464" s="58">
        <f>+H377+H391+H439+H463</f>
        <v>91000</v>
      </c>
      <c r="I464" s="59">
        <f t="shared" si="144"/>
        <v>225488</v>
      </c>
      <c r="J464" s="58">
        <f>+J377+J391+J439+J463</f>
        <v>60086</v>
      </c>
      <c r="K464" s="58">
        <f>+K377+K391+K439+K463</f>
        <v>64171</v>
      </c>
      <c r="L464" s="58">
        <f>+L377+L391+L439+L463</f>
        <v>52304</v>
      </c>
      <c r="M464" s="59">
        <f t="shared" si="145"/>
        <v>176561</v>
      </c>
      <c r="N464" s="58">
        <f>+N377+N391+N439+N463</f>
        <v>31350</v>
      </c>
      <c r="O464" s="58">
        <f>+O377+O391+O439+O463</f>
        <v>20963</v>
      </c>
      <c r="P464" s="58">
        <f>+P377+P391+P439+P463</f>
        <v>25582</v>
      </c>
      <c r="Q464" s="59">
        <f t="shared" si="141"/>
        <v>77895</v>
      </c>
      <c r="R464" s="81">
        <f t="shared" si="142"/>
        <v>562583</v>
      </c>
    </row>
    <row r="465" spans="1:18" ht="15.75" customHeight="1" x14ac:dyDescent="0.3">
      <c r="A465" s="71" t="s">
        <v>756</v>
      </c>
      <c r="B465" s="1"/>
      <c r="C465" s="1"/>
      <c r="D465" s="1"/>
      <c r="E465" s="55">
        <f t="shared" si="143"/>
        <v>0</v>
      </c>
      <c r="F465" s="1"/>
      <c r="G465" s="1"/>
      <c r="H465" s="1"/>
      <c r="I465" s="55">
        <f t="shared" si="144"/>
        <v>0</v>
      </c>
      <c r="J465" s="1"/>
      <c r="K465" s="1"/>
      <c r="L465" s="1"/>
      <c r="M465" s="55">
        <f t="shared" si="145"/>
        <v>0</v>
      </c>
      <c r="N465" s="1"/>
      <c r="O465" s="1"/>
      <c r="P465" s="1"/>
      <c r="Q465" s="55">
        <f t="shared" si="141"/>
        <v>0</v>
      </c>
      <c r="R465" s="55">
        <f t="shared" si="142"/>
        <v>0</v>
      </c>
    </row>
    <row r="466" spans="1:18" ht="15.75" customHeight="1" x14ac:dyDescent="0.3">
      <c r="A466" s="71" t="s">
        <v>757</v>
      </c>
      <c r="B466" s="1"/>
      <c r="C466" s="1"/>
      <c r="D466" s="1"/>
      <c r="E466" s="55">
        <f t="shared" si="143"/>
        <v>0</v>
      </c>
      <c r="F466" s="1"/>
      <c r="G466" s="1"/>
      <c r="H466" s="1"/>
      <c r="I466" s="55">
        <f t="shared" si="144"/>
        <v>0</v>
      </c>
      <c r="J466" s="1"/>
      <c r="K466" s="1"/>
      <c r="L466" s="1"/>
      <c r="M466" s="55">
        <f t="shared" si="145"/>
        <v>0</v>
      </c>
      <c r="N466" s="1"/>
      <c r="O466" s="1"/>
      <c r="P466" s="1"/>
      <c r="Q466" s="55">
        <f t="shared" si="141"/>
        <v>0</v>
      </c>
      <c r="R466" s="55">
        <f t="shared" si="142"/>
        <v>0</v>
      </c>
    </row>
    <row r="467" spans="1:18" ht="16.5" customHeight="1" thickBot="1" x14ac:dyDescent="0.35">
      <c r="A467" s="73" t="s">
        <v>40</v>
      </c>
      <c r="B467" s="21">
        <v>155</v>
      </c>
      <c r="C467" s="21">
        <v>283</v>
      </c>
      <c r="D467" s="21">
        <v>435</v>
      </c>
      <c r="E467" s="81">
        <f t="shared" si="143"/>
        <v>873</v>
      </c>
      <c r="F467" s="21">
        <v>602</v>
      </c>
      <c r="G467" s="21">
        <v>711</v>
      </c>
      <c r="H467" s="21">
        <v>722</v>
      </c>
      <c r="I467" s="81">
        <f t="shared" si="144"/>
        <v>2035</v>
      </c>
      <c r="J467" s="21">
        <v>686</v>
      </c>
      <c r="K467" s="21">
        <v>519</v>
      </c>
      <c r="L467" s="21">
        <v>531</v>
      </c>
      <c r="M467" s="81">
        <f t="shared" si="145"/>
        <v>1736</v>
      </c>
      <c r="N467" s="21">
        <v>489</v>
      </c>
      <c r="O467" s="21">
        <v>389</v>
      </c>
      <c r="P467" s="21">
        <v>275</v>
      </c>
      <c r="Q467" s="81">
        <f t="shared" si="141"/>
        <v>1153</v>
      </c>
      <c r="R467" s="55">
        <f t="shared" si="142"/>
        <v>5797</v>
      </c>
    </row>
    <row r="468" spans="1:18" ht="16.5" customHeight="1" thickBot="1" x14ac:dyDescent="0.35">
      <c r="A468" s="74"/>
      <c r="B468" s="75"/>
      <c r="C468" s="75"/>
      <c r="D468" s="75"/>
      <c r="E468" s="59"/>
      <c r="F468" s="75"/>
      <c r="G468" s="75"/>
      <c r="H468" s="75"/>
      <c r="I468" s="59"/>
      <c r="J468" s="75"/>
      <c r="K468" s="75"/>
      <c r="L468" s="75"/>
      <c r="M468" s="59"/>
      <c r="N468" s="75"/>
      <c r="O468" s="75"/>
      <c r="P468" s="75"/>
      <c r="Q468" s="59"/>
      <c r="R468" s="59" t="s">
        <v>7</v>
      </c>
    </row>
    <row r="469" spans="1:18" ht="15.75" customHeight="1" x14ac:dyDescent="0.3">
      <c r="A469" s="76" t="s">
        <v>41</v>
      </c>
      <c r="B469" s="77">
        <f>SUM(B464:B467)</f>
        <v>10091</v>
      </c>
      <c r="C469" s="77">
        <f>SUM(C464:C467)</f>
        <v>19392</v>
      </c>
      <c r="D469" s="77">
        <f>SUM(D464:D467)</f>
        <v>54029</v>
      </c>
      <c r="E469" s="60">
        <f>SUM(B469:D469)</f>
        <v>83512</v>
      </c>
      <c r="F469" s="77">
        <f>SUM(F464:F467)</f>
        <v>67042</v>
      </c>
      <c r="G469" s="77">
        <f>SUM(G464:G467)</f>
        <v>68759</v>
      </c>
      <c r="H469" s="77">
        <f>SUM(H464:H467)</f>
        <v>91722</v>
      </c>
      <c r="I469" s="60">
        <f>SUM(F469:H469)</f>
        <v>227523</v>
      </c>
      <c r="J469" s="77">
        <f>SUM(J464:J467)</f>
        <v>60772</v>
      </c>
      <c r="K469" s="77">
        <f>SUM(K464:K467)</f>
        <v>64690</v>
      </c>
      <c r="L469" s="77">
        <f>SUM(L464:L467)</f>
        <v>52835</v>
      </c>
      <c r="M469" s="60">
        <f>SUM(J469:L469)</f>
        <v>178297</v>
      </c>
      <c r="N469" s="77">
        <f>SUM(N464:N467)</f>
        <v>31839</v>
      </c>
      <c r="O469" s="77">
        <f>SUM(O464:O467)</f>
        <v>21352</v>
      </c>
      <c r="P469" s="77">
        <f>SUM(P464:P467)</f>
        <v>25857</v>
      </c>
      <c r="Q469" s="60">
        <f>SUM(N469:P469)</f>
        <v>79048</v>
      </c>
      <c r="R469" s="60">
        <f>+E469+I469+M469+Q469</f>
        <v>568380</v>
      </c>
    </row>
    <row r="470" spans="1:18" ht="15.75" customHeight="1" x14ac:dyDescent="0.3">
      <c r="A470" s="79" t="s">
        <v>42</v>
      </c>
      <c r="B470" s="1">
        <f>(B469/B10)/1.983</f>
        <v>164.15336814536462</v>
      </c>
      <c r="C470" s="1">
        <f>(C469/C10)/1.983</f>
        <v>349.25437648584392</v>
      </c>
      <c r="D470" s="1">
        <f>(D469/D10)/1.983</f>
        <v>878.90618645584232</v>
      </c>
      <c r="E470" s="55" t="s">
        <v>7</v>
      </c>
      <c r="F470" s="1">
        <f>(F469/F10)/1.983</f>
        <v>1126.9457051605311</v>
      </c>
      <c r="G470" s="1">
        <f>(G469/G10)/1.983</f>
        <v>1118.5235794576481</v>
      </c>
      <c r="H470" s="1">
        <f>(H469/H10)/1.983</f>
        <v>1541.8053454362077</v>
      </c>
      <c r="I470" s="55" t="s">
        <v>7</v>
      </c>
      <c r="J470" s="1">
        <f>(J469/J10)/1.983</f>
        <v>988.59661965415717</v>
      </c>
      <c r="K470" s="1">
        <f>(K469/K10)/1.983</f>
        <v>1052.3319180778553</v>
      </c>
      <c r="L470" s="1">
        <f>(L469/L10)/1.983</f>
        <v>888.13245923684656</v>
      </c>
      <c r="M470" s="55" t="s">
        <v>7</v>
      </c>
      <c r="N470" s="1">
        <f>(N469/N10)/1.983</f>
        <v>517.93470304035918</v>
      </c>
      <c r="O470" s="1">
        <f>(O469/O10)/1.983</f>
        <v>358.91746512018824</v>
      </c>
      <c r="P470" s="1">
        <f>(P469/P10)/1.983</f>
        <v>420.62368844858719</v>
      </c>
      <c r="Q470" s="55" t="s">
        <v>7</v>
      </c>
      <c r="R470" s="55" t="s">
        <v>7</v>
      </c>
    </row>
    <row r="471" spans="1:18" ht="15.75" customHeight="1" x14ac:dyDescent="0.3">
      <c r="A471" s="79" t="s">
        <v>289</v>
      </c>
      <c r="B471" s="1">
        <f>B469+B519</f>
        <v>25358</v>
      </c>
      <c r="C471" s="1">
        <f>C469+C519</f>
        <v>32816</v>
      </c>
      <c r="D471" s="1">
        <f>D469+D519</f>
        <v>87447</v>
      </c>
      <c r="E471" s="55">
        <f>SUM(B471:D471)</f>
        <v>145621</v>
      </c>
      <c r="F471" s="1">
        <f>F469+F519</f>
        <v>107093</v>
      </c>
      <c r="G471" s="1">
        <f>G469+G519</f>
        <v>103835</v>
      </c>
      <c r="H471" s="1">
        <f>H469+H519</f>
        <v>141266</v>
      </c>
      <c r="I471" s="55">
        <f>SUM(F471:H471)</f>
        <v>352194</v>
      </c>
      <c r="J471" s="1">
        <f>J469+J519</f>
        <v>112905</v>
      </c>
      <c r="K471" s="1">
        <f>K469+K519</f>
        <v>111677</v>
      </c>
      <c r="L471" s="1">
        <f>L469+L519</f>
        <v>86648</v>
      </c>
      <c r="M471" s="55">
        <f>SUM(J471:L471)</f>
        <v>311230</v>
      </c>
      <c r="N471" s="1">
        <f>N469+N519</f>
        <v>44582</v>
      </c>
      <c r="O471" s="1">
        <f>O469+O519</f>
        <v>25365</v>
      </c>
      <c r="P471" s="1">
        <f>P469+P519</f>
        <v>38540</v>
      </c>
      <c r="Q471" s="55">
        <f>SUM(N471:P471)</f>
        <v>108487</v>
      </c>
      <c r="R471" s="55">
        <f>+E471+I471+M471+Q471</f>
        <v>917532</v>
      </c>
    </row>
    <row r="472" spans="1:18" s="344" customFormat="1" ht="16.5" customHeight="1" thickBot="1" x14ac:dyDescent="0.35">
      <c r="A472" s="356" t="s">
        <v>290</v>
      </c>
      <c r="B472" s="357">
        <f>(B471/B10)/1.983</f>
        <v>412.50630358043367</v>
      </c>
      <c r="C472" s="357">
        <f>(C471/C10)/1.983</f>
        <v>591.02370146243061</v>
      </c>
      <c r="D472" s="357">
        <f>(D471/D10)/1.983</f>
        <v>1422.5269630569519</v>
      </c>
      <c r="E472" s="358" t="s">
        <v>7</v>
      </c>
      <c r="F472" s="357">
        <f>(F471/F10)/1.983</f>
        <v>1800.1849050260548</v>
      </c>
      <c r="G472" s="357">
        <f>(G471/G10)/1.983</f>
        <v>1689.1155466627624</v>
      </c>
      <c r="H472" s="357">
        <f>(H471/H10)/1.983</f>
        <v>2374.6175827870229</v>
      </c>
      <c r="I472" s="358" t="s">
        <v>7</v>
      </c>
      <c r="J472" s="357">
        <f>(J471/J10)/1.983</f>
        <v>1836.6599970718851</v>
      </c>
      <c r="K472" s="357">
        <f>(K471/K10)/1.983</f>
        <v>1816.6837473362289</v>
      </c>
      <c r="L472" s="357">
        <f>(L471/L10)/1.983</f>
        <v>1456.5136997814759</v>
      </c>
      <c r="M472" s="358" t="s">
        <v>7</v>
      </c>
      <c r="N472" s="357">
        <f>(N471/N10)/1.983</f>
        <v>725.22896230865581</v>
      </c>
      <c r="O472" s="357">
        <f>(O471/O10)/1.983</f>
        <v>426.3741805345436</v>
      </c>
      <c r="P472" s="357">
        <f>(P471/P10)/1.983</f>
        <v>626.94190945618402</v>
      </c>
      <c r="Q472" s="358" t="s">
        <v>7</v>
      </c>
      <c r="R472" s="358" t="s">
        <v>7</v>
      </c>
    </row>
    <row r="473" spans="1:18" ht="15.75" customHeight="1" x14ac:dyDescent="0.3">
      <c r="A473" s="120" t="s">
        <v>291</v>
      </c>
      <c r="B473" s="121">
        <f>B$474+(SUMIF($T$317:$T$450,"FLG",B$324:B$466)/B10/1.98)+(SUMIF($T$317:$T$450,"FCA",B$324:B$466)/B10/1.98)+(SUMIF($T$317:$T$450,"NSC",B$324:B$466)/B10/1.98)</f>
        <v>296.46306902907361</v>
      </c>
      <c r="C473" s="121">
        <f>C$474+(SUMIF($T$317:$T$450,"FLG",C$324:C$466)/C10/1.98)+(SUMIF($T$317:$T$450,"FCA",C$324:C$466)/C10/1.98)+(SUMIF($T$317:$T$450,"NSC",C$324:C$466)/C10/1.98)</f>
        <v>337.54854575580748</v>
      </c>
      <c r="D473" s="121">
        <f>D$474+(SUMIF($T$317:$T$450,"FLG",D$324:D$466)/D10/1.98)+(SUMIF($T$317:$T$450,"FCA",D$324:D$466)/D10/1.98)+(SUMIF($T$317:$T$450,"NSC",D$324:D$466)/D10/1.98)</f>
        <v>897.77522430394424</v>
      </c>
      <c r="E473" s="122"/>
      <c r="F473" s="121">
        <f>F$474+(SUMIF($T$317:$T$450,"FLG",F$324:F$466)/F10/1.98)+(SUMIF($T$317:$T$450,"FCA",F$324:F$466)/F10/1.98)+(SUMIF($T$317:$T$450,"NSC",F$324:F$466)/F10/1.98)</f>
        <v>1045.5287621550858</v>
      </c>
      <c r="G473" s="121">
        <f>G$474+(SUMIF($T$317:$T$450,"FLG",G$324:G$466)/G10/1.98)+(SUMIF($T$317:$T$450,"FCA",G$324:G$466)/G10/1.98)+(SUMIF($T$317:$T$450,"NSC",G$324:G$466)/G10/1.98)</f>
        <v>907.5095299291288</v>
      </c>
      <c r="H473" s="121">
        <f>H$474+(SUMIF($T$317:$T$450,"FLG",H$324:H$466)/H10/1.98)+(SUMIF($T$317:$T$450,"FCA",H$324:H$466)/H10/1.98)+(SUMIF($T$317:$T$450,"NSC",H$324:H$466)/H10/1.98)</f>
        <v>1449.9166144551923</v>
      </c>
      <c r="I473" s="45"/>
      <c r="J473" s="121">
        <f>J$474+(SUMIF($T$317:$T$450,"FLG",J$324:J$466)/J10/1.98)+(SUMIF($T$317:$T$450,"FCA",J$324:J$466)/J10/1.98)+(SUMIF($T$317:$T$450,"NSC",J$324:J$466)/J10/1.98)</f>
        <v>1094.7886951107878</v>
      </c>
      <c r="K473" s="121">
        <f>K$474+(SUMIF($T$317:$T$450,"FLG",K$324:K$466)/K10/1.98)+(SUMIF($T$317:$T$450,"FCA",K$324:K$466)/K10/1.98)+(SUMIF($T$317:$T$450,"NSC",K$324:K$466)/K10/1.98)</f>
        <v>1003.5013893756756</v>
      </c>
      <c r="L473" s="121">
        <f>L$474+(SUMIF($T$317:$T$450,"FLG",L$324:L$466)/L10/1.98)+(SUMIF($T$317:$T$450,"FCA",L$324:L$466)/L10/1.98)+(SUMIF($T$317:$T$450,"NSC",L$324:L$466)/L10/1.98)</f>
        <v>712.94353010691873</v>
      </c>
      <c r="M473" s="45"/>
      <c r="N473" s="121">
        <f>N$474+(SUMIF($T$317:$T$450,"FLG",N$324:N$466)/N10/1.98)+(SUMIF($T$317:$T$450,"FCA",N$324:N$466)/N10/1.98)+(SUMIF($T$317:$T$450,"NSC",N$324:N$466)/N10/1.98)</f>
        <v>235.41416803336671</v>
      </c>
      <c r="O473" s="121">
        <f>O$474+(SUMIF($T$317:$T$450,"FLG",O$324:O$466)/O10/1.98)+(SUMIF($T$317:$T$450,"FCA",O$324:O$466)/O10/1.98)+(SUMIF($T$317:$T$450,"NSC",O$324:O$466)/O10/1.98)</f>
        <v>93.045941003580936</v>
      </c>
      <c r="P473" s="121">
        <f>P$474+(SUMIF($T$317:$T$450,"FLG",P$324:P$466)/P10/1.98)+(SUMIF($T$317:$T$450,"FCA",P$324:P$466)/P10/1.98)+(SUMIF($T$317:$T$450,"NSC",P$324:P$466)/P10/1.98)</f>
        <v>265.27879448429934</v>
      </c>
      <c r="Q473" s="45"/>
      <c r="R473" s="45"/>
    </row>
    <row r="474" spans="1:18" ht="15.75" customHeight="1" x14ac:dyDescent="0.3">
      <c r="A474" s="120" t="s">
        <v>292</v>
      </c>
      <c r="B474" s="121">
        <f>B$475+(SUMIF($T$317:$T$450,"FCI",B$324:B$466)/B10/1.98)+(SUMIF($T$317:$T$450,"FCC",B$324:B$466)/B10/1.98)</f>
        <v>296.46306902907361</v>
      </c>
      <c r="C474" s="121">
        <f>C$475+(SUMIF($T$317:$T$450,"FCI",C$324:C$466)/C10/1.98)+(SUMIF($T$317:$T$450,"FCC",C$324:C$466)/C10/1.98)</f>
        <v>337.54854575580748</v>
      </c>
      <c r="D474" s="121">
        <f>D$475+(SUMIF($T$317:$T$450,"FCI",D$324:D$466)/D10/1.98)+(SUMIF($T$317:$T$450,"FCC",D$324:D$466)/D10/1.98)</f>
        <v>897.77522430394424</v>
      </c>
      <c r="E474" s="122"/>
      <c r="F474" s="121">
        <f>F$475+(SUMIF($T$317:$T$450,"FCI",F$324:F$466)/F10/1.98)+(SUMIF($T$317:$T$450,"FCC",F$324:F$466)/F10/1.98)</f>
        <v>1045.5287621550858</v>
      </c>
      <c r="G474" s="121">
        <f>G$475+(SUMIF($T$317:$T$450,"FCI",G$324:G$466)/G10/1.98)+(SUMIF($T$317:$T$450,"FCC",G$324:G$466)/G10/1.98)</f>
        <v>907.5095299291288</v>
      </c>
      <c r="H474" s="121">
        <f>H$475+(SUMIF($T$317:$T$450,"FCI",H$324:H$466)/H10/1.98)+(SUMIF($T$317:$T$450,"FCC",H$324:H$466)/H10/1.98)</f>
        <v>1449.9166144551923</v>
      </c>
      <c r="I474" s="45"/>
      <c r="J474" s="121">
        <f>J$475+(SUMIF($T$317:$T$450,"FCI",J$324:J$466)/J10/1.98)+(SUMIF($T$317:$T$450,"FCC",J$324:J$466)/J10/1.98)</f>
        <v>1094.7886951107878</v>
      </c>
      <c r="K474" s="121">
        <f>K$475+(SUMIF($T$317:$T$450,"FCI",K$324:K$466)/K10/1.98)+(SUMIF($T$317:$T$450,"FCC",K$324:K$466)/K10/1.98)</f>
        <v>1003.5013893756756</v>
      </c>
      <c r="L474" s="121">
        <f>L$475+(SUMIF($T$317:$T$450,"FCI",L$324:L$466)/L10/1.98)+(SUMIF($T$317:$T$450,"FCC",L$324:L$466)/L10/1.98)</f>
        <v>712.94353010691873</v>
      </c>
      <c r="M474" s="45"/>
      <c r="N474" s="121">
        <f>N$475+(SUMIF($T$317:$T$450,"FCI",N$324:N$466)/N10/1.98)+(SUMIF($T$317:$T$450,"FCC",N$324:N$466)/N10/1.98)</f>
        <v>235.41416803336671</v>
      </c>
      <c r="O474" s="121">
        <f>O$475+(SUMIF($T$317:$T$450,"FCI",O$324:O$466)/O10/1.98)+(SUMIF($T$317:$T$450,"FCC",O$324:O$466)/O10/1.98)</f>
        <v>93.045941003580936</v>
      </c>
      <c r="P474" s="121">
        <f>P$475+(SUMIF($T$317:$T$450,"FCI",P$324:P$466)/P10/1.98)+(SUMIF($T$317:$T$450,"FCC",P$324:P$466)/P10/1.98)</f>
        <v>265.27879448429934</v>
      </c>
      <c r="Q474" s="45"/>
      <c r="R474" s="45"/>
    </row>
    <row r="475" spans="1:18" ht="15.75" customHeight="1" x14ac:dyDescent="0.3">
      <c r="A475" s="120" t="s">
        <v>293</v>
      </c>
      <c r="B475" s="121">
        <f>B$476+(SUMIF($T$317:$T$450,"PIL",B$324:B$466)/B10/1.98)+(SUMIF($T$317:$T$450,"KLK",B$324:B$466)/B10/1.98)</f>
        <v>296.46306902907361</v>
      </c>
      <c r="C475" s="121">
        <f>C$476+(SUMIF($T$317:$T$450,"PIL",C$324:C$466)/C10/1.98)+(SUMIF($T$317:$T$450,"KLK",C$324:C$466)/C10/1.98)</f>
        <v>337.54854575580748</v>
      </c>
      <c r="D475" s="121">
        <f>D$476+(SUMIF($T$317:$T$450,"PIL",D$324:D$466)/D10/1.98)+(SUMIF($T$317:$T$450,"KLK",D$324:D$466)/D10/1.98)</f>
        <v>897.77522430394424</v>
      </c>
      <c r="E475" s="122"/>
      <c r="F475" s="121">
        <f>F$476+(SUMIF($T$317:$T$450,"PIL",F$324:F$466)/F10/1.98)+(SUMIF($T$317:$T$450,"KLK",F$324:F$466)/F10/1.98)</f>
        <v>1045.5287621550858</v>
      </c>
      <c r="G475" s="121">
        <f>G$476+(SUMIF($T$317:$T$450,"PIL",G$324:G$466)/G10/1.98)+(SUMIF($T$317:$T$450,"KLK",G$324:G$466)/G10/1.98)</f>
        <v>907.5095299291288</v>
      </c>
      <c r="H475" s="121">
        <f>H$476+(SUMIF($T$317:$T$450,"PIL",H$324:H$466)/H10/1.98)+(SUMIF($T$317:$T$450,"KLK",H$324:H$466)/H10/1.98)</f>
        <v>1449.9166144551923</v>
      </c>
      <c r="I475" s="45"/>
      <c r="J475" s="121">
        <f>J$476+(SUMIF($T$317:$T$450,"PIL",J$324:J$466)/J10/1.98)+(SUMIF($T$317:$T$450,"KLK",J$324:J$466)/J10/1.98)</f>
        <v>1094.7886951107878</v>
      </c>
      <c r="K475" s="121">
        <f>K$476+(SUMIF($T$317:$T$450,"PIL",K$324:K$466)/K10/1.98)+(SUMIF($T$317:$T$450,"KLK",K$324:K$466)/K10/1.98)</f>
        <v>1003.5013893756756</v>
      </c>
      <c r="L475" s="121">
        <f>L$476+(SUMIF($T$317:$T$450,"PIL",L$324:L$466)/L10/1.98)+(SUMIF($T$317:$T$450,"KLK",L$324:L$466)/L10/1.98)</f>
        <v>712.94353010691873</v>
      </c>
      <c r="M475" s="45"/>
      <c r="N475" s="121">
        <f>N$476+(SUMIF($T$317:$T$450,"PIL",N$324:N$466)/N10/1.98)+(SUMIF($T$317:$T$450,"KLK",N$324:N$466)/N10/1.98)</f>
        <v>235.41416803336671</v>
      </c>
      <c r="O475" s="121">
        <f>O$476+(SUMIF($T$317:$T$450,"PIL",O$324:O$466)/O10/1.98)+(SUMIF($T$317:$T$450,"KLK",O$324:O$466)/O10/1.98)</f>
        <v>93.045941003580936</v>
      </c>
      <c r="P475" s="121">
        <f>P$476+(SUMIF($T$317:$T$450,"PIL",P$324:P$466)/P10/1.98)+(SUMIF($T$317:$T$450,"KLK",P$324:P$466)/P10/1.98)</f>
        <v>265.27879448429934</v>
      </c>
      <c r="Q475" s="45"/>
      <c r="R475" s="45"/>
    </row>
    <row r="476" spans="1:18" ht="15.75" customHeight="1" x14ac:dyDescent="0.3">
      <c r="A476" s="120" t="s">
        <v>294</v>
      </c>
      <c r="B476" s="121">
        <f>B$477+(SUMIF($T$317:$T$450,"CGE",B$324:B$466)/B10/1.98)</f>
        <v>296.36531731841865</v>
      </c>
      <c r="C476" s="121">
        <f>C$477+(SUMIF($T$317:$T$450,"CGE",C$324:C$466)/C10/1.98)</f>
        <v>337.3862080934698</v>
      </c>
      <c r="D476" s="121">
        <f>D$477+(SUMIF($T$317:$T$450,"CGE",D$324:D$466)/D10/1.98)</f>
        <v>897.33534160599697</v>
      </c>
      <c r="E476" s="122"/>
      <c r="F476" s="121">
        <f>F$477+(SUMIF($T$317:$T$450,"CGE",F$324:F$466)/F10/1.98)</f>
        <v>1033.9799406062643</v>
      </c>
      <c r="G476" s="121">
        <f>G$477+(SUMIF($T$317:$T$450,"CGE",G$324:G$466)/G10/1.98)</f>
        <v>906.30392549771796</v>
      </c>
      <c r="H476" s="121">
        <f>H$477+(SUMIF($T$317:$T$450,"CGE",H$324:H$466)/H10/1.98)</f>
        <v>1448.8896784282563</v>
      </c>
      <c r="I476" s="45"/>
      <c r="J476" s="121">
        <f>J$477+(SUMIF($T$317:$T$450,"CGE",J$324:J$466)/J10/1.98)</f>
        <v>1093.5505067758252</v>
      </c>
      <c r="K476" s="121">
        <f>K$477+(SUMIF($T$317:$T$450,"CGE",K$324:K$466)/K10/1.98)</f>
        <v>1002.5238722691262</v>
      </c>
      <c r="L476" s="121">
        <f>L$477+(SUMIF($T$317:$T$450,"CGE",L$324:L$466)/L10/1.98)</f>
        <v>712.10177926516792</v>
      </c>
      <c r="M476" s="45"/>
      <c r="N476" s="121">
        <f>N$477+(SUMIF($T$317:$T$450,"CGE",N$324:N$466)/N10/1.98)</f>
        <v>234.35519116793822</v>
      </c>
      <c r="O476" s="121">
        <f>O$477+(SUMIF($T$317:$T$450,"CGE",O$324:O$466)/O10/1.98)</f>
        <v>92.237860195500133</v>
      </c>
      <c r="P476" s="121">
        <f>P$477+(SUMIF($T$317:$T$450,"CGE",P$324:P$466)/P10/1.98)</f>
        <v>264.83891178635213</v>
      </c>
      <c r="Q476" s="45"/>
      <c r="R476" s="45"/>
    </row>
    <row r="477" spans="1:18" ht="15.75" customHeight="1" x14ac:dyDescent="0.3">
      <c r="A477" s="120" t="s">
        <v>295</v>
      </c>
      <c r="B477" s="121">
        <f>B$478+(SUMIF($T$317:$T$450,"SRO",B$324:B$466)/B10/1.98)</f>
        <v>296.36531731841865</v>
      </c>
      <c r="C477" s="121">
        <f>C$478+(SUMIF($T$317:$T$450,"SRO",C$324:C$466)/C10/1.98)</f>
        <v>337.3862080934698</v>
      </c>
      <c r="D477" s="121">
        <f>D$478+(SUMIF($T$317:$T$450,"SRO",D$324:D$466)/D10/1.98)</f>
        <v>897.33534160599697</v>
      </c>
      <c r="E477" s="122"/>
      <c r="F477" s="121">
        <f>F$478+(SUMIF($T$317:$T$450,"SRO",F$324:F$466)/F10/1.98)</f>
        <v>1033.9799406062643</v>
      </c>
      <c r="G477" s="121">
        <f>G$478+(SUMIF($T$317:$T$450,"SRO",G$324:G$466)/G10/1.98)</f>
        <v>906.30392549771796</v>
      </c>
      <c r="H477" s="121">
        <f>H$478+(SUMIF($T$317:$T$450,"SRO",H$324:H$466)/H10/1.98)</f>
        <v>1448.8896784282563</v>
      </c>
      <c r="I477" s="45"/>
      <c r="J477" s="121">
        <f>J$478+(SUMIF($T$317:$T$450,"SRO",J$324:J$466)/J10/1.98)</f>
        <v>1093.5505067758252</v>
      </c>
      <c r="K477" s="121">
        <f>K$478+(SUMIF($T$317:$T$450,"SRO",K$324:K$466)/K10/1.98)</f>
        <v>1002.5238722691262</v>
      </c>
      <c r="L477" s="121">
        <f>L$478+(SUMIF($T$317:$T$450,"SRO",L$324:L$466)/L10/1.98)</f>
        <v>712.10177926516792</v>
      </c>
      <c r="M477" s="45"/>
      <c r="N477" s="121">
        <f>N$478+(SUMIF($T$317:$T$450,"SRO",N$324:N$466)/N10/1.98)</f>
        <v>234.35519116793822</v>
      </c>
      <c r="O477" s="121">
        <f>O$478+(SUMIF($T$317:$T$450,"SRO",O$324:O$466)/O10/1.98)</f>
        <v>92.237860195500133</v>
      </c>
      <c r="P477" s="121">
        <f>P$478+(SUMIF($T$317:$T$450,"SRO",P$324:P$466)/P10/1.98)</f>
        <v>264.83891178635213</v>
      </c>
      <c r="Q477" s="45"/>
      <c r="R477" s="45"/>
    </row>
    <row r="478" spans="1:18" ht="15.75" customHeight="1" x14ac:dyDescent="0.3">
      <c r="A478" s="120" t="s">
        <v>296</v>
      </c>
      <c r="B478" s="121">
        <f>B$519/B10/1.983</f>
        <v>248.35293543506904</v>
      </c>
      <c r="C478" s="121">
        <f>C$519/C10/1.983</f>
        <v>241.76932497658669</v>
      </c>
      <c r="D478" s="121">
        <f>D$519/D10/1.983</f>
        <v>543.62077660110936</v>
      </c>
      <c r="E478" s="123"/>
      <c r="F478" s="121">
        <f>F$519/F10/1.983</f>
        <v>673.23919986552357</v>
      </c>
      <c r="G478" s="121">
        <f>G$519/G10/1.983</f>
        <v>570.59196720511443</v>
      </c>
      <c r="H478" s="121">
        <f>H$519/H10/1.983</f>
        <v>832.81223735081528</v>
      </c>
      <c r="I478" s="1"/>
      <c r="J478" s="121">
        <f>J$519/J10/1.983</f>
        <v>848.06337741772813</v>
      </c>
      <c r="K478" s="121">
        <f>K$519/K10/1.983</f>
        <v>764.35182925837353</v>
      </c>
      <c r="L478" s="121">
        <f>L$519/L10/1.983</f>
        <v>568.38124054462924</v>
      </c>
      <c r="N478" s="121">
        <f>N$519/N10/1.983</f>
        <v>207.29425926829663</v>
      </c>
      <c r="O478" s="121">
        <f>O$519/O10/1.983</f>
        <v>67.456715414355358</v>
      </c>
      <c r="P478" s="121">
        <f>P$519/P10/1.983</f>
        <v>206.31822100759683</v>
      </c>
      <c r="R478" s="45"/>
    </row>
    <row r="479" spans="1:18" ht="15.75" customHeight="1" x14ac:dyDescent="0.3">
      <c r="A479" s="120"/>
      <c r="B479" s="121"/>
      <c r="C479" s="121"/>
      <c r="D479" s="121"/>
      <c r="E479" s="123"/>
      <c r="F479" s="121"/>
      <c r="G479" s="121"/>
      <c r="H479" s="121"/>
      <c r="I479" s="1"/>
      <c r="J479" s="121"/>
      <c r="K479" s="121"/>
      <c r="L479" s="121"/>
      <c r="N479" s="121"/>
      <c r="O479" s="121"/>
      <c r="P479" s="121"/>
      <c r="R479" s="45"/>
    </row>
    <row r="480" spans="1:18" ht="15.75" customHeight="1" thickBot="1" x14ac:dyDescent="0.35">
      <c r="A480" s="28"/>
      <c r="B480" s="1"/>
      <c r="C480" s="1"/>
      <c r="D480" s="1"/>
      <c r="E480" s="1"/>
      <c r="F480" s="1"/>
      <c r="G480" s="1"/>
      <c r="H480" s="1"/>
      <c r="I480" s="1"/>
      <c r="J480" s="1"/>
      <c r="K480" s="1"/>
      <c r="L480" s="1"/>
      <c r="M480" s="1"/>
      <c r="N480" s="1"/>
      <c r="O480" s="1"/>
      <c r="P480" s="1"/>
      <c r="Q480" s="1"/>
      <c r="R480" s="2"/>
    </row>
    <row r="481" spans="1:20" ht="16.5" customHeight="1" thickBot="1" x14ac:dyDescent="0.35">
      <c r="A481" s="29" t="s">
        <v>297</v>
      </c>
      <c r="B481" s="30" t="s">
        <v>8</v>
      </c>
      <c r="C481" s="31" t="s">
        <v>9</v>
      </c>
      <c r="D481" s="31" t="s">
        <v>10</v>
      </c>
      <c r="E481" s="32" t="s">
        <v>11</v>
      </c>
      <c r="F481" s="31" t="s">
        <v>12</v>
      </c>
      <c r="G481" s="31" t="s">
        <v>13</v>
      </c>
      <c r="H481" s="31" t="s">
        <v>14</v>
      </c>
      <c r="I481" s="33" t="s">
        <v>15</v>
      </c>
      <c r="J481" s="31" t="s">
        <v>16</v>
      </c>
      <c r="K481" s="31" t="s">
        <v>17</v>
      </c>
      <c r="L481" s="31" t="s">
        <v>18</v>
      </c>
      <c r="M481" s="33" t="s">
        <v>19</v>
      </c>
      <c r="N481" s="31" t="s">
        <v>20</v>
      </c>
      <c r="O481" s="31" t="s">
        <v>21</v>
      </c>
      <c r="P481" s="31" t="s">
        <v>22</v>
      </c>
      <c r="Q481" s="33" t="s">
        <v>23</v>
      </c>
      <c r="R481" s="34" t="s">
        <v>24</v>
      </c>
    </row>
    <row r="482" spans="1:20" ht="16.5" customHeight="1" thickBot="1" x14ac:dyDescent="0.35">
      <c r="A482" s="59"/>
      <c r="B482" s="75"/>
      <c r="C482" s="75"/>
      <c r="D482" s="75"/>
      <c r="E482" s="69"/>
      <c r="F482" s="75"/>
      <c r="G482" s="75"/>
      <c r="H482" s="75"/>
      <c r="I482" s="82"/>
      <c r="J482" s="75"/>
      <c r="K482" s="75"/>
      <c r="L482" s="75"/>
      <c r="M482" s="82"/>
      <c r="N482" s="75"/>
      <c r="O482" s="75"/>
      <c r="P482" s="75"/>
      <c r="Q482" s="82"/>
      <c r="R482" s="100"/>
    </row>
    <row r="483" spans="1:20" ht="15.75" customHeight="1" x14ac:dyDescent="0.3">
      <c r="A483" s="15" t="s">
        <v>48</v>
      </c>
      <c r="B483" s="1" t="s">
        <v>7</v>
      </c>
      <c r="C483" s="1" t="s">
        <v>7</v>
      </c>
      <c r="D483" s="1" t="s">
        <v>7</v>
      </c>
      <c r="E483" s="55" t="s">
        <v>7</v>
      </c>
      <c r="F483" s="1" t="s">
        <v>7</v>
      </c>
      <c r="G483" s="1" t="s">
        <v>7</v>
      </c>
      <c r="H483" s="1" t="s">
        <v>7</v>
      </c>
      <c r="I483" s="55" t="s">
        <v>7</v>
      </c>
      <c r="J483" s="1" t="s">
        <v>7</v>
      </c>
      <c r="K483" s="1" t="s">
        <v>7</v>
      </c>
      <c r="L483" s="1" t="s">
        <v>7</v>
      </c>
      <c r="M483" s="55" t="s">
        <v>7</v>
      </c>
      <c r="N483" s="1" t="s">
        <v>7</v>
      </c>
      <c r="O483" s="1" t="s">
        <v>7</v>
      </c>
      <c r="P483" s="1" t="s">
        <v>7</v>
      </c>
      <c r="Q483" s="55" t="s">
        <v>7</v>
      </c>
      <c r="R483" s="55" t="s">
        <v>7</v>
      </c>
    </row>
    <row r="484" spans="1:20" ht="15.75" customHeight="1" x14ac:dyDescent="0.3">
      <c r="A484" s="15" t="s">
        <v>49</v>
      </c>
      <c r="B484" s="1"/>
      <c r="C484" s="1"/>
      <c r="D484" s="1"/>
      <c r="E484" s="55" t="s">
        <v>7</v>
      </c>
      <c r="F484" s="1"/>
      <c r="G484" s="1"/>
      <c r="H484" s="1"/>
      <c r="I484" s="55" t="s">
        <v>7</v>
      </c>
      <c r="J484" s="1"/>
      <c r="K484" s="1"/>
      <c r="L484" s="1"/>
      <c r="M484" s="55" t="s">
        <v>7</v>
      </c>
      <c r="N484" s="1"/>
      <c r="O484" s="1"/>
      <c r="P484" s="1"/>
      <c r="Q484" s="55" t="s">
        <v>7</v>
      </c>
      <c r="R484" s="55" t="s">
        <v>7</v>
      </c>
    </row>
    <row r="485" spans="1:20" ht="15.75" customHeight="1" x14ac:dyDescent="0.3">
      <c r="A485" s="71" t="s">
        <v>1225</v>
      </c>
      <c r="B485" s="1"/>
      <c r="C485" s="1"/>
      <c r="D485" s="1"/>
      <c r="E485" s="55">
        <f>SUM(B485:D485)</f>
        <v>0</v>
      </c>
      <c r="F485" s="1">
        <v>12</v>
      </c>
      <c r="G485" s="1">
        <v>14</v>
      </c>
      <c r="H485" s="1">
        <v>12</v>
      </c>
      <c r="I485" s="55">
        <f>SUM(F485:H485)</f>
        <v>38</v>
      </c>
      <c r="J485" s="1">
        <v>10</v>
      </c>
      <c r="K485" s="1">
        <v>5</v>
      </c>
      <c r="L485" s="1">
        <v>7</v>
      </c>
      <c r="M485" s="55">
        <f>SUM(J485:L485)</f>
        <v>22</v>
      </c>
      <c r="N485" s="1"/>
      <c r="O485" s="1">
        <v>1</v>
      </c>
      <c r="P485" s="1">
        <v>1</v>
      </c>
      <c r="Q485" s="55">
        <f>SUM(N485:P485)</f>
        <v>2</v>
      </c>
      <c r="R485" s="55">
        <f>+E485+I485+M485+Q485</f>
        <v>62</v>
      </c>
      <c r="T485" s="4" t="s">
        <v>938</v>
      </c>
    </row>
    <row r="486" spans="1:20" ht="15.75" customHeight="1" x14ac:dyDescent="0.3">
      <c r="A486" s="71" t="s">
        <v>1226</v>
      </c>
      <c r="B486" s="1"/>
      <c r="C486" s="1"/>
      <c r="D486" s="1"/>
      <c r="E486" s="55">
        <f>SUM(B486:D486)</f>
        <v>0</v>
      </c>
      <c r="F486" s="1"/>
      <c r="G486" s="1"/>
      <c r="H486" s="1">
        <v>1600</v>
      </c>
      <c r="I486" s="55">
        <f>SUM(F486:H486)</f>
        <v>1600</v>
      </c>
      <c r="J486" s="1"/>
      <c r="K486" s="1"/>
      <c r="L486" s="1"/>
      <c r="M486" s="55">
        <f>SUM(J486:L486)</f>
        <v>0</v>
      </c>
      <c r="N486" s="1"/>
      <c r="O486" s="1"/>
      <c r="P486" s="1"/>
      <c r="Q486" s="55">
        <f>SUM(N486:P486)</f>
        <v>0</v>
      </c>
      <c r="R486" s="55">
        <f>+E486+I486+M486+Q486</f>
        <v>1600</v>
      </c>
      <c r="T486" s="4" t="s">
        <v>938</v>
      </c>
    </row>
    <row r="487" spans="1:20" ht="15.75" customHeight="1" x14ac:dyDescent="0.3">
      <c r="A487" s="71" t="s">
        <v>980</v>
      </c>
      <c r="B487" s="1"/>
      <c r="C487" s="1"/>
      <c r="D487" s="1"/>
      <c r="E487" s="55">
        <f>SUM(B487:D487)</f>
        <v>0</v>
      </c>
      <c r="F487" s="1"/>
      <c r="G487" s="1">
        <v>1000</v>
      </c>
      <c r="H487" s="1"/>
      <c r="I487" s="55">
        <f>SUM(F487:H487)</f>
        <v>1000</v>
      </c>
      <c r="J487" s="1"/>
      <c r="K487" s="1"/>
      <c r="L487" s="1"/>
      <c r="M487" s="55">
        <f>SUM(J487:L487)</f>
        <v>0</v>
      </c>
      <c r="N487" s="1"/>
      <c r="O487" s="1"/>
      <c r="P487" s="1"/>
      <c r="Q487" s="55">
        <f>SUM(N487:P487)</f>
        <v>0</v>
      </c>
      <c r="R487" s="55">
        <f>+E487+I487+M487+Q487</f>
        <v>1000</v>
      </c>
      <c r="T487" s="4" t="s">
        <v>938</v>
      </c>
    </row>
    <row r="488" spans="1:20" ht="15.75" customHeight="1" x14ac:dyDescent="0.3">
      <c r="A488" s="72" t="s">
        <v>981</v>
      </c>
      <c r="B488" s="1"/>
      <c r="C488" s="1"/>
      <c r="D488" s="1"/>
      <c r="E488" s="55">
        <f>SUM(B488:D488)</f>
        <v>0</v>
      </c>
      <c r="F488" s="1"/>
      <c r="G488" s="1"/>
      <c r="H488" s="1"/>
      <c r="I488" s="55">
        <f>SUM(F488:H488)</f>
        <v>0</v>
      </c>
      <c r="J488" s="1"/>
      <c r="K488" s="1"/>
      <c r="L488" s="1"/>
      <c r="M488" s="55">
        <f>SUM(J488:L488)</f>
        <v>0</v>
      </c>
      <c r="N488" s="1"/>
      <c r="O488" s="1"/>
      <c r="P488" s="1"/>
      <c r="Q488" s="55">
        <f>SUM(N488:P488)</f>
        <v>0</v>
      </c>
      <c r="R488" s="55">
        <f>+E488+I488+M488+Q488</f>
        <v>0</v>
      </c>
      <c r="T488" s="4" t="s">
        <v>938</v>
      </c>
    </row>
    <row r="489" spans="1:20" ht="15.75" customHeight="1" x14ac:dyDescent="0.3">
      <c r="A489" s="15" t="s">
        <v>50</v>
      </c>
      <c r="B489" s="1"/>
      <c r="C489" s="1"/>
      <c r="D489" s="1"/>
      <c r="E489" s="55" t="s">
        <v>7</v>
      </c>
      <c r="F489" s="1"/>
      <c r="G489" s="1"/>
      <c r="H489" s="1"/>
      <c r="I489" s="55" t="s">
        <v>7</v>
      </c>
      <c r="J489" s="1"/>
      <c r="K489" s="1"/>
      <c r="L489" s="1"/>
      <c r="M489" s="55" t="s">
        <v>7</v>
      </c>
      <c r="N489" s="1"/>
      <c r="O489" s="1"/>
      <c r="P489" s="1"/>
      <c r="Q489" s="55" t="s">
        <v>7</v>
      </c>
      <c r="R489" s="55" t="s">
        <v>7</v>
      </c>
    </row>
    <row r="490" spans="1:20" ht="15.75" customHeight="1" x14ac:dyDescent="0.3">
      <c r="A490" s="71" t="s">
        <v>758</v>
      </c>
      <c r="B490" s="1"/>
      <c r="C490" s="1"/>
      <c r="D490" s="1"/>
      <c r="E490" s="55">
        <f>SUM(B490:D490)</f>
        <v>0</v>
      </c>
      <c r="F490" s="1"/>
      <c r="G490" s="1"/>
      <c r="H490" s="1"/>
      <c r="I490" s="55">
        <f>SUM(F490:H490)</f>
        <v>0</v>
      </c>
      <c r="J490" s="1"/>
      <c r="K490" s="1"/>
      <c r="L490" s="1"/>
      <c r="M490" s="55">
        <f>SUM(J490:L490)</f>
        <v>0</v>
      </c>
      <c r="N490" s="1"/>
      <c r="O490" s="1"/>
      <c r="P490" s="1"/>
      <c r="Q490" s="55">
        <f>SUM(N490:P490)</f>
        <v>0</v>
      </c>
      <c r="R490" s="55">
        <f>+E490+I490+M490+Q490</f>
        <v>0</v>
      </c>
    </row>
    <row r="491" spans="1:20" ht="15.75" customHeight="1" x14ac:dyDescent="0.3">
      <c r="A491" s="71" t="s">
        <v>298</v>
      </c>
      <c r="B491" s="1"/>
      <c r="C491" s="1"/>
      <c r="D491" s="1"/>
      <c r="E491" s="55">
        <f>SUM(B491:D491)</f>
        <v>0</v>
      </c>
      <c r="F491" s="1"/>
      <c r="G491" s="1"/>
      <c r="H491" s="1"/>
      <c r="I491" s="55">
        <f>SUM(F491:H491)</f>
        <v>0</v>
      </c>
      <c r="J491" s="1"/>
      <c r="K491" s="1"/>
      <c r="L491" s="1"/>
      <c r="M491" s="55">
        <f>SUM(J491:L491)</f>
        <v>0</v>
      </c>
      <c r="N491" s="1"/>
      <c r="O491" s="1"/>
      <c r="P491" s="1"/>
      <c r="Q491" s="55">
        <f>SUM(N491:P491)</f>
        <v>0</v>
      </c>
      <c r="R491" s="55">
        <f>+E491+I491+M491+Q491</f>
        <v>0</v>
      </c>
    </row>
    <row r="492" spans="1:20" ht="15.75" customHeight="1" x14ac:dyDescent="0.3">
      <c r="A492" s="15" t="s">
        <v>1186</v>
      </c>
      <c r="B492" s="1"/>
      <c r="C492" s="1"/>
      <c r="D492" s="1"/>
      <c r="E492" s="55" t="s">
        <v>7</v>
      </c>
      <c r="F492" s="1"/>
      <c r="G492" s="1"/>
      <c r="H492" s="1"/>
      <c r="I492" s="55" t="s">
        <v>7</v>
      </c>
      <c r="J492" s="1"/>
      <c r="K492" s="1"/>
      <c r="L492" s="1"/>
      <c r="M492" s="55" t="s">
        <v>7</v>
      </c>
      <c r="N492" s="1"/>
      <c r="O492" s="1"/>
      <c r="P492" s="1"/>
      <c r="Q492" s="55" t="s">
        <v>7</v>
      </c>
      <c r="R492" s="55" t="s">
        <v>7</v>
      </c>
    </row>
    <row r="493" spans="1:20" ht="15.75" customHeight="1" thickBot="1" x14ac:dyDescent="0.35">
      <c r="A493" s="15" t="s">
        <v>53</v>
      </c>
      <c r="B493" s="1"/>
      <c r="C493" s="1"/>
      <c r="D493" s="1"/>
      <c r="E493" s="55" t="s">
        <v>7</v>
      </c>
      <c r="F493" s="1"/>
      <c r="G493" s="1"/>
      <c r="H493" s="1"/>
      <c r="I493" s="55" t="s">
        <v>7</v>
      </c>
      <c r="J493" s="1"/>
      <c r="K493" s="1"/>
      <c r="L493" s="1"/>
      <c r="M493" s="55" t="s">
        <v>7</v>
      </c>
      <c r="N493" s="1"/>
      <c r="O493" s="1"/>
      <c r="P493" s="1"/>
      <c r="Q493" s="55" t="s">
        <v>7</v>
      </c>
      <c r="R493" s="55" t="s">
        <v>7</v>
      </c>
    </row>
    <row r="494" spans="1:20" ht="16.5" customHeight="1" thickBot="1" x14ac:dyDescent="0.35">
      <c r="A494" s="109" t="s">
        <v>54</v>
      </c>
      <c r="B494" s="86">
        <f>SUM(B483:B493)</f>
        <v>0</v>
      </c>
      <c r="C494" s="87">
        <f>SUM(C483:C493)</f>
        <v>0</v>
      </c>
      <c r="D494" s="87">
        <f>SUM(D483:D493)</f>
        <v>0</v>
      </c>
      <c r="E494" s="59">
        <f>SUM(B494:D494)</f>
        <v>0</v>
      </c>
      <c r="F494" s="87">
        <f>SUM(F483:F493)</f>
        <v>12</v>
      </c>
      <c r="G494" s="87">
        <f>SUM(G483:G493)</f>
        <v>1014</v>
      </c>
      <c r="H494" s="87">
        <f>SUM(H483:H493)</f>
        <v>1612</v>
      </c>
      <c r="I494" s="59">
        <f>SUM(F494:H494)</f>
        <v>2638</v>
      </c>
      <c r="J494" s="87">
        <f>SUM(J483:J493)</f>
        <v>10</v>
      </c>
      <c r="K494" s="87">
        <f>SUM(K483:K493)</f>
        <v>5</v>
      </c>
      <c r="L494" s="87">
        <f>SUM(L483:L493)</f>
        <v>7</v>
      </c>
      <c r="M494" s="59">
        <f>SUM(J494:L494)</f>
        <v>22</v>
      </c>
      <c r="N494" s="87">
        <f>SUM(N483:N493)</f>
        <v>0</v>
      </c>
      <c r="O494" s="87">
        <f>SUM(O483:O493)</f>
        <v>1</v>
      </c>
      <c r="P494" s="87">
        <f>SUM(P483:P493)</f>
        <v>1</v>
      </c>
      <c r="Q494" s="59">
        <f>SUM(N494:P494)</f>
        <v>2</v>
      </c>
      <c r="R494" s="59">
        <f>+E494+I494+M494+Q494</f>
        <v>2662</v>
      </c>
    </row>
    <row r="495" spans="1:20" ht="15.75" customHeight="1" x14ac:dyDescent="0.3">
      <c r="A495" s="15" t="s">
        <v>55</v>
      </c>
      <c r="B495" s="1"/>
      <c r="C495" s="1"/>
      <c r="D495" s="1"/>
      <c r="E495" s="55" t="s">
        <v>7</v>
      </c>
      <c r="F495" s="1"/>
      <c r="G495" s="1"/>
      <c r="H495" s="1"/>
      <c r="I495" s="55" t="s">
        <v>7</v>
      </c>
      <c r="J495" s="1"/>
      <c r="K495" s="1"/>
      <c r="L495" s="1"/>
      <c r="M495" s="55" t="s">
        <v>7</v>
      </c>
      <c r="N495" s="1" t="s">
        <v>7</v>
      </c>
      <c r="O495" s="1"/>
      <c r="P495" s="1"/>
      <c r="Q495" s="55" t="s">
        <v>7</v>
      </c>
      <c r="R495" s="55" t="s">
        <v>7</v>
      </c>
    </row>
    <row r="496" spans="1:20" ht="15.75" customHeight="1" x14ac:dyDescent="0.3">
      <c r="A496" s="15" t="s">
        <v>57</v>
      </c>
      <c r="B496" s="1"/>
      <c r="C496" s="1"/>
      <c r="D496" s="1"/>
      <c r="E496" s="55" t="s">
        <v>7</v>
      </c>
      <c r="F496" s="1"/>
      <c r="G496" s="1"/>
      <c r="H496" s="1"/>
      <c r="I496" s="55" t="s">
        <v>7</v>
      </c>
      <c r="J496" s="1"/>
      <c r="K496" s="1"/>
      <c r="L496" s="1"/>
      <c r="M496" s="55" t="s">
        <v>7</v>
      </c>
      <c r="N496" s="1"/>
      <c r="O496" s="1"/>
      <c r="P496" s="1"/>
      <c r="Q496" s="55" t="s">
        <v>7</v>
      </c>
      <c r="R496" s="55" t="s">
        <v>7</v>
      </c>
    </row>
    <row r="497" spans="1:20" ht="15.75" customHeight="1" x14ac:dyDescent="0.3">
      <c r="A497" s="71" t="s">
        <v>565</v>
      </c>
      <c r="B497" s="1"/>
      <c r="C497" s="1">
        <v>64</v>
      </c>
      <c r="D497" s="1">
        <v>4247</v>
      </c>
      <c r="E497" s="55">
        <f>SUM(B497:D497)</f>
        <v>4311</v>
      </c>
      <c r="F497" s="1">
        <v>10259</v>
      </c>
      <c r="G497" s="1">
        <v>269</v>
      </c>
      <c r="H497" s="1">
        <v>14951</v>
      </c>
      <c r="I497" s="55">
        <f>SUM(F497:H497)</f>
        <v>25479</v>
      </c>
      <c r="J497" s="1">
        <v>15701</v>
      </c>
      <c r="K497" s="1">
        <v>14370</v>
      </c>
      <c r="L497" s="1">
        <v>6330</v>
      </c>
      <c r="M497" s="55">
        <f>SUM(J497:L497)</f>
        <v>36401</v>
      </c>
      <c r="N497" s="1"/>
      <c r="O497" s="1"/>
      <c r="P497" s="1">
        <v>50</v>
      </c>
      <c r="Q497" s="55">
        <f>SUM(N497:P497)</f>
        <v>50</v>
      </c>
      <c r="R497" s="55">
        <f>+E497+I497+M497+Q497</f>
        <v>66241</v>
      </c>
    </row>
    <row r="498" spans="1:20" ht="15.75" customHeight="1" thickBot="1" x14ac:dyDescent="0.35">
      <c r="A498" s="15" t="s">
        <v>58</v>
      </c>
      <c r="B498" s="1"/>
      <c r="C498" s="1"/>
      <c r="D498" s="1"/>
      <c r="E498" s="55" t="s">
        <v>7</v>
      </c>
      <c r="F498" s="1"/>
      <c r="G498" s="1"/>
      <c r="H498" s="1"/>
      <c r="I498" s="55" t="s">
        <v>7</v>
      </c>
      <c r="J498" s="1"/>
      <c r="K498" s="1"/>
      <c r="L498" s="1"/>
      <c r="M498" s="55" t="s">
        <v>7</v>
      </c>
      <c r="N498" s="1"/>
      <c r="O498" s="1"/>
      <c r="P498" s="1"/>
      <c r="Q498" s="55" t="s">
        <v>7</v>
      </c>
      <c r="R498" s="55" t="s">
        <v>7</v>
      </c>
    </row>
    <row r="499" spans="1:20" ht="16.5" customHeight="1" thickBot="1" x14ac:dyDescent="0.35">
      <c r="A499" s="57" t="s">
        <v>59</v>
      </c>
      <c r="B499" s="86">
        <f>SUM(B495:B498)</f>
        <v>0</v>
      </c>
      <c r="C499" s="87">
        <f>SUM(C495:C498)</f>
        <v>64</v>
      </c>
      <c r="D499" s="87">
        <f>SUM(D495:D498)</f>
        <v>4247</v>
      </c>
      <c r="E499" s="59">
        <f>SUM(B499:D499)</f>
        <v>4311</v>
      </c>
      <c r="F499" s="87">
        <f>SUM(F495:F498)</f>
        <v>10259</v>
      </c>
      <c r="G499" s="87">
        <f>SUM(G495:G498)</f>
        <v>269</v>
      </c>
      <c r="H499" s="87">
        <f>SUM(H495:H498)</f>
        <v>14951</v>
      </c>
      <c r="I499" s="59">
        <f>SUM(F499:H499)</f>
        <v>25479</v>
      </c>
      <c r="J499" s="87">
        <f>SUM(J495:J498)</f>
        <v>15701</v>
      </c>
      <c r="K499" s="87">
        <f>SUM(K495:K498)</f>
        <v>14370</v>
      </c>
      <c r="L499" s="87">
        <f>SUM(L495:L498)</f>
        <v>6330</v>
      </c>
      <c r="M499" s="59">
        <f>SUM(J499:L499)</f>
        <v>36401</v>
      </c>
      <c r="N499" s="87">
        <f>SUM(N495:N498)</f>
        <v>0</v>
      </c>
      <c r="O499" s="87">
        <f>SUM(O495:O498)</f>
        <v>0</v>
      </c>
      <c r="P499" s="87">
        <f>SUM(P495:P498)</f>
        <v>50</v>
      </c>
      <c r="Q499" s="59">
        <f>SUM(N499:P499)</f>
        <v>50</v>
      </c>
      <c r="R499" s="59">
        <f>+E499+I499+M499+Q499</f>
        <v>66241</v>
      </c>
    </row>
    <row r="500" spans="1:20" ht="15.75" customHeight="1" x14ac:dyDescent="0.3">
      <c r="A500" s="15" t="s">
        <v>60</v>
      </c>
      <c r="B500" s="1"/>
      <c r="C500" s="1"/>
      <c r="D500" s="1"/>
      <c r="E500" s="55" t="s">
        <v>7</v>
      </c>
      <c r="F500" s="1"/>
      <c r="G500" s="1"/>
      <c r="H500" s="1"/>
      <c r="I500" s="55" t="s">
        <v>7</v>
      </c>
      <c r="J500" s="1"/>
      <c r="K500" s="1"/>
      <c r="L500" s="1"/>
      <c r="M500" s="55" t="s">
        <v>7</v>
      </c>
      <c r="N500" s="1"/>
      <c r="O500" s="1"/>
      <c r="P500" s="1"/>
      <c r="Q500" s="55" t="s">
        <v>7</v>
      </c>
      <c r="R500" s="55" t="s">
        <v>7</v>
      </c>
    </row>
    <row r="501" spans="1:20" ht="15.75" customHeight="1" x14ac:dyDescent="0.3">
      <c r="A501" s="15" t="s">
        <v>61</v>
      </c>
      <c r="B501" s="1"/>
      <c r="C501" s="1"/>
      <c r="D501" s="1"/>
      <c r="E501" s="55" t="s">
        <v>7</v>
      </c>
      <c r="F501" s="1"/>
      <c r="G501" s="1"/>
      <c r="H501" s="1"/>
      <c r="I501" s="55" t="s">
        <v>7</v>
      </c>
      <c r="J501" s="1"/>
      <c r="K501" s="1"/>
      <c r="L501" s="1"/>
      <c r="M501" s="55" t="s">
        <v>7</v>
      </c>
      <c r="N501" s="1"/>
      <c r="O501" s="1"/>
      <c r="P501" s="1"/>
      <c r="Q501" s="55" t="s">
        <v>7</v>
      </c>
      <c r="R501" s="55" t="s">
        <v>7</v>
      </c>
    </row>
    <row r="502" spans="1:20" ht="15.75" customHeight="1" x14ac:dyDescent="0.3">
      <c r="A502" s="15" t="s">
        <v>62</v>
      </c>
      <c r="B502" s="1"/>
      <c r="C502" s="1"/>
      <c r="D502" s="1"/>
      <c r="E502" s="55" t="s">
        <v>7</v>
      </c>
      <c r="F502" s="1"/>
      <c r="G502" s="1"/>
      <c r="H502" s="1"/>
      <c r="I502" s="55" t="s">
        <v>7</v>
      </c>
      <c r="J502" s="1"/>
      <c r="K502" s="1"/>
      <c r="L502" s="1"/>
      <c r="M502" s="55" t="s">
        <v>7</v>
      </c>
      <c r="N502" s="1"/>
      <c r="O502" s="1"/>
      <c r="P502" s="1"/>
      <c r="Q502" s="55" t="s">
        <v>7</v>
      </c>
      <c r="R502" s="55" t="s">
        <v>7</v>
      </c>
    </row>
    <row r="503" spans="1:20" ht="15.75" customHeight="1" thickBot="1" x14ac:dyDescent="0.35">
      <c r="A503" s="359" t="s">
        <v>982</v>
      </c>
      <c r="B503" s="1"/>
      <c r="C503" s="1"/>
      <c r="D503" s="4">
        <v>2000</v>
      </c>
      <c r="E503" s="55">
        <f>SUM(B503:D503)</f>
        <v>2000</v>
      </c>
      <c r="F503" s="1"/>
      <c r="G503" s="1">
        <v>4000</v>
      </c>
      <c r="H503" s="1">
        <v>2000</v>
      </c>
      <c r="I503" s="55">
        <f>SUM(F503:H503)</f>
        <v>6000</v>
      </c>
      <c r="J503" s="1">
        <v>4500</v>
      </c>
      <c r="K503" s="1"/>
      <c r="L503" s="1"/>
      <c r="M503" s="55">
        <f>SUM(J503:L503)</f>
        <v>4500</v>
      </c>
      <c r="N503" s="1">
        <v>1233</v>
      </c>
      <c r="O503" s="1">
        <v>431</v>
      </c>
      <c r="P503" s="1"/>
      <c r="Q503" s="55">
        <f>SUM(N503:P503)</f>
        <v>1664</v>
      </c>
      <c r="R503" s="55">
        <f>+E503+I503+M503+Q503</f>
        <v>14164</v>
      </c>
      <c r="T503" s="4" t="s">
        <v>938</v>
      </c>
    </row>
    <row r="504" spans="1:20" ht="16.5" customHeight="1" thickBot="1" x14ac:dyDescent="0.35">
      <c r="A504" s="114" t="s">
        <v>63</v>
      </c>
      <c r="B504" s="86">
        <f>SUM(B500:B503)</f>
        <v>0</v>
      </c>
      <c r="C504" s="87">
        <f>SUM(C500:C503)</f>
        <v>0</v>
      </c>
      <c r="D504" s="87">
        <f>SUM(D500:D503)</f>
        <v>2000</v>
      </c>
      <c r="E504" s="59">
        <f>SUM(B504:D504)</f>
        <v>2000</v>
      </c>
      <c r="F504" s="87">
        <f>SUM(F500:F503)</f>
        <v>0</v>
      </c>
      <c r="G504" s="87">
        <f>SUM(G500:G503)</f>
        <v>4000</v>
      </c>
      <c r="H504" s="87">
        <f>SUM(H500:H503)</f>
        <v>2000</v>
      </c>
      <c r="I504" s="59">
        <f>SUM(F504:H504)</f>
        <v>6000</v>
      </c>
      <c r="J504" s="87">
        <f>SUM(J500:J503)</f>
        <v>4500</v>
      </c>
      <c r="K504" s="87">
        <f>SUM(K500:K503)</f>
        <v>0</v>
      </c>
      <c r="L504" s="87">
        <f>SUM(L500:L503)</f>
        <v>0</v>
      </c>
      <c r="M504" s="59">
        <f>SUM(J504:L504)</f>
        <v>4500</v>
      </c>
      <c r="N504" s="87">
        <f>SUM(N500:N503)</f>
        <v>1233</v>
      </c>
      <c r="O504" s="87">
        <f>SUM(O500:O503)</f>
        <v>431</v>
      </c>
      <c r="P504" s="87">
        <f>SUM(P500:P503)</f>
        <v>0</v>
      </c>
      <c r="Q504" s="59">
        <f>SUM(N504:P504)</f>
        <v>1664</v>
      </c>
      <c r="R504" s="59">
        <f>+E504+I504+M504+Q504</f>
        <v>14164</v>
      </c>
    </row>
    <row r="505" spans="1:20" ht="15.75" customHeight="1" x14ac:dyDescent="0.3">
      <c r="A505" s="15" t="s">
        <v>64</v>
      </c>
      <c r="B505" s="1"/>
      <c r="C505" s="1"/>
      <c r="D505" s="1"/>
      <c r="E505" s="55" t="s">
        <v>7</v>
      </c>
      <c r="F505" s="1"/>
      <c r="G505" s="1"/>
      <c r="H505" s="1"/>
      <c r="I505" s="55" t="s">
        <v>7</v>
      </c>
      <c r="J505" s="1"/>
      <c r="K505" s="1"/>
      <c r="L505" s="1"/>
      <c r="M505" s="55" t="s">
        <v>7</v>
      </c>
      <c r="N505" s="1"/>
      <c r="O505" s="1"/>
      <c r="P505" s="1"/>
      <c r="Q505" s="55" t="s">
        <v>7</v>
      </c>
      <c r="R505" s="55" t="s">
        <v>7</v>
      </c>
    </row>
    <row r="506" spans="1:20" ht="15.75" customHeight="1" x14ac:dyDescent="0.3">
      <c r="A506" s="15" t="s">
        <v>594</v>
      </c>
      <c r="B506" s="1"/>
      <c r="C506" s="1"/>
      <c r="D506" s="1"/>
      <c r="E506" s="55" t="s">
        <v>7</v>
      </c>
      <c r="F506" s="1"/>
      <c r="G506" s="1"/>
      <c r="H506" s="1"/>
      <c r="I506" s="55" t="s">
        <v>7</v>
      </c>
      <c r="J506" s="1"/>
      <c r="K506" s="1"/>
      <c r="L506" s="1"/>
      <c r="M506" s="55" t="s">
        <v>7</v>
      </c>
      <c r="N506" s="1"/>
      <c r="O506" s="1"/>
      <c r="P506" s="1"/>
      <c r="Q506" s="55" t="s">
        <v>7</v>
      </c>
      <c r="R506" s="55" t="s">
        <v>7</v>
      </c>
    </row>
    <row r="507" spans="1:20" ht="15.75" customHeight="1" x14ac:dyDescent="0.3">
      <c r="A507" s="15" t="s">
        <v>67</v>
      </c>
      <c r="B507" s="1"/>
      <c r="C507" s="1"/>
      <c r="D507" s="1"/>
      <c r="E507" s="55" t="s">
        <v>7</v>
      </c>
      <c r="F507" s="1"/>
      <c r="G507" s="1"/>
      <c r="H507" s="1"/>
      <c r="I507" s="55" t="s">
        <v>7</v>
      </c>
      <c r="J507" s="1"/>
      <c r="K507" s="1"/>
      <c r="L507" s="1"/>
      <c r="M507" s="55" t="s">
        <v>7</v>
      </c>
      <c r="N507" s="1"/>
      <c r="O507" s="1"/>
      <c r="P507" s="1"/>
      <c r="Q507" s="55" t="s">
        <v>7</v>
      </c>
      <c r="R507" s="55" t="s">
        <v>7</v>
      </c>
    </row>
    <row r="508" spans="1:20" ht="15.75" customHeight="1" x14ac:dyDescent="0.3">
      <c r="A508" s="15" t="s">
        <v>600</v>
      </c>
      <c r="B508" s="1"/>
      <c r="C508" s="1"/>
      <c r="D508" s="1"/>
      <c r="E508" s="55" t="s">
        <v>7</v>
      </c>
      <c r="F508" s="1"/>
      <c r="G508" s="1"/>
      <c r="H508" s="1"/>
      <c r="I508" s="55" t="s">
        <v>7</v>
      </c>
      <c r="J508" s="1"/>
      <c r="K508" s="1"/>
      <c r="L508" s="1"/>
      <c r="M508" s="55" t="s">
        <v>7</v>
      </c>
      <c r="N508" s="1"/>
      <c r="O508" s="1"/>
      <c r="P508" s="1"/>
      <c r="Q508" s="55" t="s">
        <v>7</v>
      </c>
      <c r="R508" s="55" t="s">
        <v>7</v>
      </c>
    </row>
    <row r="509" spans="1:20" ht="15.75" customHeight="1" x14ac:dyDescent="0.3">
      <c r="A509" s="15" t="s">
        <v>70</v>
      </c>
      <c r="B509" s="1"/>
      <c r="C509" s="1"/>
      <c r="D509" s="1"/>
      <c r="E509" s="55" t="s">
        <v>7</v>
      </c>
      <c r="F509" s="1"/>
      <c r="G509" s="1"/>
      <c r="H509" s="1"/>
      <c r="I509" s="55" t="s">
        <v>7</v>
      </c>
      <c r="J509" s="1"/>
      <c r="K509" s="1"/>
      <c r="L509" s="1"/>
      <c r="M509" s="55" t="s">
        <v>7</v>
      </c>
      <c r="N509" s="1"/>
      <c r="O509" s="1"/>
      <c r="P509" s="1"/>
      <c r="Q509" s="55" t="s">
        <v>7</v>
      </c>
      <c r="R509" s="55" t="s">
        <v>7</v>
      </c>
    </row>
    <row r="510" spans="1:20" ht="15.75" customHeight="1" x14ac:dyDescent="0.3">
      <c r="A510" s="71" t="s">
        <v>977</v>
      </c>
      <c r="B510" s="1"/>
      <c r="C510" s="1"/>
      <c r="D510" s="1"/>
      <c r="E510" s="55">
        <f t="shared" ref="E510:E511" si="146">SUM(B510:D510)</f>
        <v>0</v>
      </c>
      <c r="F510" s="1"/>
      <c r="G510" s="1"/>
      <c r="H510" s="1"/>
      <c r="I510" s="55">
        <f t="shared" ref="I510:I511" si="147">SUM(F510:H510)</f>
        <v>0</v>
      </c>
      <c r="J510" s="1"/>
      <c r="K510" s="1"/>
      <c r="L510" s="1"/>
      <c r="M510" s="55">
        <f t="shared" ref="M510:M511" si="148">SUM(J510:L510)</f>
        <v>0</v>
      </c>
      <c r="N510" s="1">
        <v>614</v>
      </c>
      <c r="O510" s="1"/>
      <c r="P510" s="1">
        <v>1133</v>
      </c>
      <c r="Q510" s="55">
        <f t="shared" ref="Q510:Q511" si="149">SUM(N510:P510)</f>
        <v>1747</v>
      </c>
      <c r="R510" s="55">
        <f t="shared" ref="R510:R515" si="150">+E510+I510+M510+Q510</f>
        <v>1747</v>
      </c>
      <c r="T510" s="4" t="s">
        <v>938</v>
      </c>
    </row>
    <row r="511" spans="1:20" ht="15.75" customHeight="1" thickBot="1" x14ac:dyDescent="0.35">
      <c r="A511" s="71" t="s">
        <v>983</v>
      </c>
      <c r="B511" s="1"/>
      <c r="C511" s="1"/>
      <c r="D511" s="1"/>
      <c r="E511" s="55">
        <f t="shared" si="146"/>
        <v>0</v>
      </c>
      <c r="F511" s="1"/>
      <c r="G511" s="1"/>
      <c r="H511" s="1"/>
      <c r="I511" s="55">
        <f t="shared" si="147"/>
        <v>0</v>
      </c>
      <c r="J511" s="1"/>
      <c r="K511" s="1"/>
      <c r="L511" s="1"/>
      <c r="M511" s="55">
        <f t="shared" si="148"/>
        <v>0</v>
      </c>
      <c r="N511" s="1"/>
      <c r="O511" s="1"/>
      <c r="P511" s="1"/>
      <c r="Q511" s="55">
        <f t="shared" si="149"/>
        <v>0</v>
      </c>
      <c r="R511" s="55">
        <f t="shared" si="150"/>
        <v>0</v>
      </c>
      <c r="T511" s="4" t="s">
        <v>938</v>
      </c>
    </row>
    <row r="512" spans="1:20" ht="16.5" customHeight="1" thickBot="1" x14ac:dyDescent="0.35">
      <c r="A512" s="57" t="s">
        <v>71</v>
      </c>
      <c r="B512" s="58">
        <f>SUM(B508:B511)</f>
        <v>0</v>
      </c>
      <c r="C512" s="58">
        <f>SUM(C508:C511)</f>
        <v>0</v>
      </c>
      <c r="D512" s="58">
        <f>SUM(D508:D511)</f>
        <v>0</v>
      </c>
      <c r="E512" s="60">
        <f t="shared" ref="E512:E515" si="151">SUM(B512:D512)</f>
        <v>0</v>
      </c>
      <c r="F512" s="58">
        <f>SUM(F508:F511)</f>
        <v>0</v>
      </c>
      <c r="G512" s="58">
        <f>SUM(G508:G511)</f>
        <v>0</v>
      </c>
      <c r="H512" s="58">
        <f>SUM(H508:H511)</f>
        <v>0</v>
      </c>
      <c r="I512" s="60">
        <f t="shared" ref="I512:I515" si="152">SUM(F512:H512)</f>
        <v>0</v>
      </c>
      <c r="J512" s="58">
        <f>SUM(J508:J511)</f>
        <v>0</v>
      </c>
      <c r="K512" s="58">
        <f>SUM(K508:K511)</f>
        <v>0</v>
      </c>
      <c r="L512" s="58">
        <f>SUM(L508:L511)</f>
        <v>0</v>
      </c>
      <c r="M512" s="60">
        <f t="shared" ref="M512:M515" si="153">SUM(J512:L512)</f>
        <v>0</v>
      </c>
      <c r="N512" s="58">
        <f>SUM(N508:N511)</f>
        <v>614</v>
      </c>
      <c r="O512" s="58">
        <f>SUM(O508:O511)</f>
        <v>0</v>
      </c>
      <c r="P512" s="58">
        <f>SUM(P508:P511)</f>
        <v>1133</v>
      </c>
      <c r="Q512" s="60">
        <f t="shared" ref="Q512:Q515" si="154">SUM(N512:P512)</f>
        <v>1747</v>
      </c>
      <c r="R512" s="59">
        <f t="shared" si="150"/>
        <v>1747</v>
      </c>
    </row>
    <row r="513" spans="1:20" ht="16.5" customHeight="1" thickBot="1" x14ac:dyDescent="0.35">
      <c r="A513" s="114" t="s">
        <v>72</v>
      </c>
      <c r="B513" s="86">
        <f>SUM(B505:B511)</f>
        <v>0</v>
      </c>
      <c r="C513" s="87">
        <f>SUM(C505:C511)</f>
        <v>0</v>
      </c>
      <c r="D513" s="118">
        <f>SUM(D505:D511)</f>
        <v>0</v>
      </c>
      <c r="E513" s="60">
        <f t="shared" si="151"/>
        <v>0</v>
      </c>
      <c r="F513" s="87">
        <f>SUM(F505:F511)</f>
        <v>0</v>
      </c>
      <c r="G513" s="87">
        <f>SUM(G505:G511)</f>
        <v>0</v>
      </c>
      <c r="H513" s="87">
        <f>SUM(H505:H511)</f>
        <v>0</v>
      </c>
      <c r="I513" s="60">
        <f t="shared" si="152"/>
        <v>0</v>
      </c>
      <c r="J513" s="87">
        <f>SUM(J505:J511)</f>
        <v>0</v>
      </c>
      <c r="K513" s="87">
        <f>SUM(K505:K511)</f>
        <v>0</v>
      </c>
      <c r="L513" s="87">
        <f>SUM(L505:L511)</f>
        <v>0</v>
      </c>
      <c r="M513" s="60">
        <f t="shared" si="153"/>
        <v>0</v>
      </c>
      <c r="N513" s="87">
        <f>SUM(N505:N511)</f>
        <v>614</v>
      </c>
      <c r="O513" s="87">
        <f>SUM(O505:O511)</f>
        <v>0</v>
      </c>
      <c r="P513" s="87">
        <f>SUM(P505:P511)</f>
        <v>1133</v>
      </c>
      <c r="Q513" s="60">
        <f t="shared" si="154"/>
        <v>1747</v>
      </c>
      <c r="R513" s="59">
        <f t="shared" si="150"/>
        <v>1747</v>
      </c>
    </row>
    <row r="514" spans="1:20" ht="16.5" customHeight="1" thickBot="1" x14ac:dyDescent="0.35">
      <c r="A514" s="57" t="s">
        <v>73</v>
      </c>
      <c r="B514" s="90">
        <f>+B494+B499+B504+B513</f>
        <v>0</v>
      </c>
      <c r="C514" s="58">
        <f>+C494+C499+C504+C513</f>
        <v>64</v>
      </c>
      <c r="D514" s="58">
        <f>+D494+D499+D504+D513</f>
        <v>6247</v>
      </c>
      <c r="E514" s="59">
        <f t="shared" si="151"/>
        <v>6311</v>
      </c>
      <c r="F514" s="58">
        <f>+F494+F499+F504+F513</f>
        <v>10271</v>
      </c>
      <c r="G514" s="58">
        <f>+G494+G499+G504+G513</f>
        <v>5283</v>
      </c>
      <c r="H514" s="58">
        <f>+H494+H499+H504+H513</f>
        <v>18563</v>
      </c>
      <c r="I514" s="59">
        <f t="shared" si="152"/>
        <v>34117</v>
      </c>
      <c r="J514" s="58">
        <f>+J494+J499+J504+J513</f>
        <v>20211</v>
      </c>
      <c r="K514" s="58">
        <f>+K494+K499+K504+K513</f>
        <v>14375</v>
      </c>
      <c r="L514" s="58">
        <f>+L494+L499+L504+L513</f>
        <v>6337</v>
      </c>
      <c r="M514" s="59">
        <f t="shared" si="153"/>
        <v>40923</v>
      </c>
      <c r="N514" s="58">
        <f>+N494+N499+N504+N513</f>
        <v>1847</v>
      </c>
      <c r="O514" s="58">
        <f>+O494+O499+O504+O513</f>
        <v>432</v>
      </c>
      <c r="P514" s="58">
        <f>+P494+P499+P504+P513</f>
        <v>1184</v>
      </c>
      <c r="Q514" s="59">
        <f t="shared" si="154"/>
        <v>3463</v>
      </c>
      <c r="R514" s="81">
        <f t="shared" si="150"/>
        <v>84814</v>
      </c>
    </row>
    <row r="515" spans="1:20" ht="16.5" customHeight="1" thickBot="1" x14ac:dyDescent="0.35">
      <c r="A515" s="39" t="s">
        <v>40</v>
      </c>
      <c r="B515" s="21">
        <v>9</v>
      </c>
      <c r="C515" s="21">
        <v>16</v>
      </c>
      <c r="D515" s="21">
        <v>25</v>
      </c>
      <c r="E515" s="55">
        <f t="shared" si="151"/>
        <v>50</v>
      </c>
      <c r="F515" s="21">
        <v>34</v>
      </c>
      <c r="G515" s="21">
        <v>41</v>
      </c>
      <c r="H515" s="21">
        <v>41</v>
      </c>
      <c r="I515" s="55">
        <f t="shared" si="152"/>
        <v>116</v>
      </c>
      <c r="J515" s="21">
        <v>39</v>
      </c>
      <c r="K515" s="21">
        <v>30</v>
      </c>
      <c r="L515" s="21">
        <v>30</v>
      </c>
      <c r="M515" s="55">
        <f t="shared" si="153"/>
        <v>99</v>
      </c>
      <c r="N515" s="21">
        <v>28</v>
      </c>
      <c r="O515" s="21">
        <v>22</v>
      </c>
      <c r="P515" s="21">
        <v>16</v>
      </c>
      <c r="Q515" s="55">
        <f t="shared" si="154"/>
        <v>66</v>
      </c>
      <c r="R515" s="55">
        <f t="shared" si="150"/>
        <v>331</v>
      </c>
    </row>
    <row r="516" spans="1:20" ht="16.5" customHeight="1" thickBot="1" x14ac:dyDescent="0.35">
      <c r="A516" s="74"/>
      <c r="B516" s="75"/>
      <c r="C516" s="75"/>
      <c r="D516" s="75"/>
      <c r="E516" s="59"/>
      <c r="F516" s="75"/>
      <c r="G516" s="75"/>
      <c r="H516" s="75"/>
      <c r="I516" s="59"/>
      <c r="J516" s="75"/>
      <c r="K516" s="75"/>
      <c r="L516" s="75"/>
      <c r="M516" s="59"/>
      <c r="N516" s="75"/>
      <c r="O516" s="75"/>
      <c r="P516" s="75"/>
      <c r="Q516" s="59"/>
      <c r="R516" s="59" t="s">
        <v>7</v>
      </c>
    </row>
    <row r="517" spans="1:20" ht="15.75" customHeight="1" x14ac:dyDescent="0.3">
      <c r="A517" s="76" t="s">
        <v>41</v>
      </c>
      <c r="B517" s="77">
        <f>SUM(B514:B515)</f>
        <v>9</v>
      </c>
      <c r="C517" s="77">
        <f>SUM(C514:C515)</f>
        <v>80</v>
      </c>
      <c r="D517" s="77">
        <f>SUM(D514:D515)</f>
        <v>6272</v>
      </c>
      <c r="E517" s="60">
        <f>SUM(B517:D517)</f>
        <v>6361</v>
      </c>
      <c r="F517" s="77">
        <f>SUM(F514:F515)</f>
        <v>10305</v>
      </c>
      <c r="G517" s="77">
        <f>SUM(G514:G515)</f>
        <v>5324</v>
      </c>
      <c r="H517" s="77">
        <f>SUM(H514:H515)</f>
        <v>18604</v>
      </c>
      <c r="I517" s="60">
        <f>SUM(F517:H517)</f>
        <v>34233</v>
      </c>
      <c r="J517" s="77">
        <f>SUM(J514:J515)</f>
        <v>20250</v>
      </c>
      <c r="K517" s="77">
        <f>SUM(K514:K515)</f>
        <v>14405</v>
      </c>
      <c r="L517" s="77">
        <f>SUM(L514:L515)</f>
        <v>6367</v>
      </c>
      <c r="M517" s="60">
        <f>SUM(J517:L517)</f>
        <v>41022</v>
      </c>
      <c r="N517" s="77">
        <f>SUM(N514:N515)</f>
        <v>1875</v>
      </c>
      <c r="O517" s="77">
        <f>SUM(O514:O515)</f>
        <v>454</v>
      </c>
      <c r="P517" s="77">
        <f>SUM(P514:P515)</f>
        <v>1200</v>
      </c>
      <c r="Q517" s="60">
        <f>SUM(N517:P517)</f>
        <v>3529</v>
      </c>
      <c r="R517" s="60">
        <f>+E517+I517+M517+Q517</f>
        <v>85145</v>
      </c>
    </row>
    <row r="518" spans="1:20" ht="15.75" customHeight="1" x14ac:dyDescent="0.3">
      <c r="A518" s="79" t="s">
        <v>42</v>
      </c>
      <c r="B518" s="1">
        <f>(B517/B10)/1.983</f>
        <v>0.14640573910497293</v>
      </c>
      <c r="C518" s="1">
        <f>(C517/C10)/1.983</f>
        <v>1.4408183848425906</v>
      </c>
      <c r="D518" s="1">
        <f>(D517/D10)/1.983</f>
        <v>102.02853285182111</v>
      </c>
      <c r="E518" s="55" t="s">
        <v>7</v>
      </c>
      <c r="F518" s="1">
        <f>(F517/F10)/1.983</f>
        <v>173.22239031770044</v>
      </c>
      <c r="G518" s="1">
        <f>(G517/G10)/1.983</f>
        <v>86.607128332763978</v>
      </c>
      <c r="H518" s="1">
        <f>(H517/H10)/1.983</f>
        <v>312.7248277021348</v>
      </c>
      <c r="I518" s="55" t="s">
        <v>7</v>
      </c>
      <c r="J518" s="1">
        <f>(J517/J10)/1.983</f>
        <v>329.41291298618904</v>
      </c>
      <c r="K518" s="1">
        <f>(K517/K10)/1.983</f>
        <v>234.33051908968164</v>
      </c>
      <c r="L518" s="1">
        <f>(L517/L10)/1.983</f>
        <v>107.02639099008236</v>
      </c>
      <c r="M518" s="55" t="s">
        <v>7</v>
      </c>
      <c r="N518" s="1">
        <f>(N517/N10)/1.983</f>
        <v>30.501195646869355</v>
      </c>
      <c r="O518" s="1">
        <f>(O517/O10)/1.983</f>
        <v>7.6315347117162542</v>
      </c>
      <c r="P518" s="1">
        <f>(P517/P10)/1.983</f>
        <v>19.520765213996388</v>
      </c>
      <c r="Q518" s="55" t="s">
        <v>7</v>
      </c>
      <c r="R518" s="55" t="s">
        <v>7</v>
      </c>
    </row>
    <row r="519" spans="1:20" ht="15.75" customHeight="1" x14ac:dyDescent="0.3">
      <c r="A519" s="79" t="s">
        <v>303</v>
      </c>
      <c r="B519" s="1">
        <f>B517+B563</f>
        <v>15267</v>
      </c>
      <c r="C519" s="1">
        <f>C517+C563</f>
        <v>13424</v>
      </c>
      <c r="D519" s="1">
        <f>D517+D563</f>
        <v>33418</v>
      </c>
      <c r="E519" s="55">
        <f>SUM(B519:D519)</f>
        <v>62109</v>
      </c>
      <c r="F519" s="1">
        <f>F517+F563</f>
        <v>40051</v>
      </c>
      <c r="G519" s="1">
        <f>G517+G563</f>
        <v>35076</v>
      </c>
      <c r="H519" s="1">
        <f>H517+H563</f>
        <v>49544</v>
      </c>
      <c r="I519" s="55">
        <f>SUM(F519:H519)</f>
        <v>124671</v>
      </c>
      <c r="J519" s="1">
        <f>J517+J563</f>
        <v>52133</v>
      </c>
      <c r="K519" s="1">
        <f>K517+K563</f>
        <v>46987</v>
      </c>
      <c r="L519" s="1">
        <f>L517+L563</f>
        <v>33813</v>
      </c>
      <c r="M519" s="55">
        <f>SUM(J519:L519)</f>
        <v>132933</v>
      </c>
      <c r="N519" s="1">
        <f>N517+N563</f>
        <v>12743</v>
      </c>
      <c r="O519" s="1">
        <f>O517+O563</f>
        <v>4013</v>
      </c>
      <c r="P519" s="1">
        <f>P517+P563</f>
        <v>12683</v>
      </c>
      <c r="Q519" s="55">
        <f>SUM(N519:P519)</f>
        <v>29439</v>
      </c>
      <c r="R519" s="55">
        <f>+E519+I519+M519+Q519</f>
        <v>349152</v>
      </c>
    </row>
    <row r="520" spans="1:20" ht="16.5" customHeight="1" thickBot="1" x14ac:dyDescent="0.35">
      <c r="A520" s="80" t="s">
        <v>304</v>
      </c>
      <c r="B520" s="25">
        <f>(B519/B10)/1.983</f>
        <v>248.35293543506904</v>
      </c>
      <c r="C520" s="25">
        <f>(C519/C10)/1.983</f>
        <v>241.76932497658669</v>
      </c>
      <c r="D520" s="25">
        <f>(D519/D10)/1.983</f>
        <v>543.62077660110936</v>
      </c>
      <c r="E520" s="81" t="s">
        <v>7</v>
      </c>
      <c r="F520" s="25">
        <f>(F519/F10)/1.983</f>
        <v>673.23919986552357</v>
      </c>
      <c r="G520" s="25">
        <f>(G519/G10)/1.983</f>
        <v>570.59196720511443</v>
      </c>
      <c r="H520" s="25">
        <f>(H519/H10)/1.983</f>
        <v>832.81223735081528</v>
      </c>
      <c r="I520" s="81" t="s">
        <v>7</v>
      </c>
      <c r="J520" s="25">
        <f>(J519/J10)/1.983</f>
        <v>848.06337741772813</v>
      </c>
      <c r="K520" s="25">
        <f>(K519/K10)/1.983</f>
        <v>764.35182925837353</v>
      </c>
      <c r="L520" s="25">
        <f>(L519/L10)/1.983</f>
        <v>568.38124054462924</v>
      </c>
      <c r="M520" s="81" t="s">
        <v>7</v>
      </c>
      <c r="N520" s="25">
        <f>(N519/N10)/1.983</f>
        <v>207.29425926829663</v>
      </c>
      <c r="O520" s="25">
        <f>(O519/O10)/1.983</f>
        <v>67.456715414355358</v>
      </c>
      <c r="P520" s="25">
        <f>(P519/P10)/1.983</f>
        <v>206.31822100759683</v>
      </c>
      <c r="Q520" s="81" t="s">
        <v>7</v>
      </c>
      <c r="R520" s="81" t="s">
        <v>7</v>
      </c>
    </row>
    <row r="521" spans="1:20" ht="15.75" customHeight="1" x14ac:dyDescent="0.3">
      <c r="A521" s="2"/>
      <c r="B521" s="1"/>
      <c r="C521" s="1"/>
      <c r="D521" s="1"/>
      <c r="E521" s="1"/>
      <c r="F521" s="1"/>
      <c r="G521" s="1"/>
      <c r="H521" s="1"/>
      <c r="I521" s="1"/>
      <c r="J521" s="1"/>
      <c r="K521" s="1"/>
      <c r="L521" s="1"/>
      <c r="M521" s="1"/>
      <c r="N521" s="1"/>
      <c r="O521" s="1"/>
      <c r="P521" s="1"/>
      <c r="Q521" s="1"/>
      <c r="R521" s="2"/>
    </row>
    <row r="522" spans="1:20" ht="15.75" customHeight="1" thickBot="1" x14ac:dyDescent="0.35">
      <c r="A522" s="2"/>
      <c r="B522" s="1"/>
      <c r="C522" s="1"/>
      <c r="D522" s="1"/>
      <c r="E522" s="1"/>
      <c r="F522" s="1"/>
      <c r="G522" s="1"/>
      <c r="H522" s="1"/>
      <c r="I522" s="1"/>
      <c r="J522" s="1"/>
      <c r="K522" s="1"/>
      <c r="L522" s="1"/>
      <c r="M522" s="1"/>
      <c r="N522" s="1"/>
      <c r="O522" s="1"/>
      <c r="P522" s="1"/>
      <c r="Q522" s="1"/>
      <c r="R522" s="2"/>
    </row>
    <row r="523" spans="1:20" ht="16.5" customHeight="1" thickBot="1" x14ac:dyDescent="0.35">
      <c r="A523" s="124" t="s">
        <v>305</v>
      </c>
      <c r="B523" s="30" t="s">
        <v>8</v>
      </c>
      <c r="C523" s="31" t="s">
        <v>9</v>
      </c>
      <c r="D523" s="31" t="s">
        <v>10</v>
      </c>
      <c r="E523" s="32" t="s">
        <v>11</v>
      </c>
      <c r="F523" s="31" t="s">
        <v>12</v>
      </c>
      <c r="G523" s="31" t="s">
        <v>13</v>
      </c>
      <c r="H523" s="31" t="s">
        <v>14</v>
      </c>
      <c r="I523" s="33" t="s">
        <v>15</v>
      </c>
      <c r="J523" s="31" t="s">
        <v>16</v>
      </c>
      <c r="K523" s="31" t="s">
        <v>17</v>
      </c>
      <c r="L523" s="31" t="s">
        <v>18</v>
      </c>
      <c r="M523" s="33" t="s">
        <v>19</v>
      </c>
      <c r="N523" s="31" t="s">
        <v>20</v>
      </c>
      <c r="O523" s="31" t="s">
        <v>21</v>
      </c>
      <c r="P523" s="31" t="s">
        <v>22</v>
      </c>
      <c r="Q523" s="33" t="s">
        <v>23</v>
      </c>
      <c r="R523" s="34" t="s">
        <v>24</v>
      </c>
    </row>
    <row r="524" spans="1:20" ht="16.5" customHeight="1" thickBot="1" x14ac:dyDescent="0.35">
      <c r="A524" s="59"/>
      <c r="B524" s="75"/>
      <c r="C524" s="75"/>
      <c r="D524" s="75"/>
      <c r="E524" s="69"/>
      <c r="F524" s="75"/>
      <c r="G524" s="75"/>
      <c r="H524" s="75"/>
      <c r="I524" s="82"/>
      <c r="J524" s="75"/>
      <c r="K524" s="75"/>
      <c r="L524" s="75"/>
      <c r="M524" s="82"/>
      <c r="N524" s="75"/>
      <c r="O524" s="75"/>
      <c r="P524" s="75"/>
      <c r="Q524" s="82"/>
      <c r="R524" s="100"/>
    </row>
    <row r="525" spans="1:20" ht="15.75" customHeight="1" x14ac:dyDescent="0.3">
      <c r="A525" s="15" t="s">
        <v>48</v>
      </c>
      <c r="B525" s="1" t="s">
        <v>7</v>
      </c>
      <c r="C525" s="1" t="s">
        <v>7</v>
      </c>
      <c r="D525" s="1" t="s">
        <v>7</v>
      </c>
      <c r="E525" s="55" t="s">
        <v>7</v>
      </c>
      <c r="F525" s="1"/>
      <c r="G525" s="1"/>
      <c r="H525" s="1"/>
      <c r="I525" s="55" t="s">
        <v>7</v>
      </c>
      <c r="J525" s="1" t="s">
        <v>7</v>
      </c>
      <c r="K525" s="1" t="s">
        <v>7</v>
      </c>
      <c r="L525" s="1" t="s">
        <v>7</v>
      </c>
      <c r="M525" s="55" t="s">
        <v>7</v>
      </c>
      <c r="N525" s="1" t="s">
        <v>7</v>
      </c>
      <c r="O525" s="1" t="s">
        <v>7</v>
      </c>
      <c r="P525" s="1" t="s">
        <v>7</v>
      </c>
      <c r="Q525" s="55" t="s">
        <v>7</v>
      </c>
      <c r="R525" s="55" t="s">
        <v>7</v>
      </c>
    </row>
    <row r="526" spans="1:20" ht="15.75" customHeight="1" x14ac:dyDescent="0.3">
      <c r="A526" s="15" t="s">
        <v>49</v>
      </c>
      <c r="B526" s="1"/>
      <c r="C526" s="1"/>
      <c r="D526" s="1"/>
      <c r="E526" s="55" t="s">
        <v>7</v>
      </c>
      <c r="F526" s="1"/>
      <c r="G526" s="1"/>
      <c r="H526" s="1"/>
      <c r="I526" s="55" t="s">
        <v>7</v>
      </c>
      <c r="J526" s="1"/>
      <c r="K526" s="1"/>
      <c r="L526" s="1"/>
      <c r="M526" s="55" t="s">
        <v>7</v>
      </c>
      <c r="N526" s="1"/>
      <c r="O526" s="1"/>
      <c r="P526" s="1"/>
      <c r="Q526" s="55" t="s">
        <v>7</v>
      </c>
      <c r="R526" s="55" t="s">
        <v>7</v>
      </c>
    </row>
    <row r="527" spans="1:20" ht="15.75" customHeight="1" x14ac:dyDescent="0.3">
      <c r="A527" s="15" t="s">
        <v>984</v>
      </c>
      <c r="B527" s="1"/>
      <c r="C527" s="1"/>
      <c r="D527" s="1"/>
      <c r="E527" s="55">
        <f>SUM(B527:D527)</f>
        <v>0</v>
      </c>
      <c r="F527" s="1"/>
      <c r="G527" s="1">
        <v>1400</v>
      </c>
      <c r="H527" s="1"/>
      <c r="I527" s="55">
        <f>SUM(F527:H527)</f>
        <v>1400</v>
      </c>
      <c r="J527" s="1"/>
      <c r="K527" s="1"/>
      <c r="L527" s="1"/>
      <c r="M527" s="55">
        <f>SUM(J527:L527)</f>
        <v>0</v>
      </c>
      <c r="N527" s="1"/>
      <c r="O527" s="1"/>
      <c r="P527" s="1"/>
      <c r="Q527" s="55">
        <f>SUM(N527:P527)</f>
        <v>0</v>
      </c>
      <c r="R527" s="55">
        <f>+E527+I527+M527+Q527</f>
        <v>1400</v>
      </c>
      <c r="T527" s="4" t="s">
        <v>939</v>
      </c>
    </row>
    <row r="528" spans="1:20" ht="15.75" customHeight="1" x14ac:dyDescent="0.3">
      <c r="A528" s="71" t="s">
        <v>306</v>
      </c>
      <c r="B528" s="1"/>
      <c r="C528" s="1"/>
      <c r="D528" s="1">
        <v>350</v>
      </c>
      <c r="E528" s="55">
        <f>SUM(B528:D528)</f>
        <v>350</v>
      </c>
      <c r="F528" s="1">
        <v>585</v>
      </c>
      <c r="G528" s="1">
        <v>265</v>
      </c>
      <c r="H528" s="1"/>
      <c r="I528" s="55">
        <f>SUM(F528:H528)</f>
        <v>850</v>
      </c>
      <c r="J528" s="1"/>
      <c r="K528" s="1"/>
      <c r="L528" s="1"/>
      <c r="M528" s="55">
        <f>SUM(J528:L528)</f>
        <v>0</v>
      </c>
      <c r="N528" s="1"/>
      <c r="O528" s="1"/>
      <c r="P528" s="1"/>
      <c r="Q528" s="55">
        <f>SUM(N528:P528)</f>
        <v>0</v>
      </c>
      <c r="R528" s="55">
        <f>+E528+I528+M528+Q528</f>
        <v>1200</v>
      </c>
    </row>
    <row r="529" spans="1:20" ht="15.75" customHeight="1" x14ac:dyDescent="0.3">
      <c r="A529" s="71" t="s">
        <v>656</v>
      </c>
      <c r="B529" s="1"/>
      <c r="C529" s="1"/>
      <c r="D529" s="1">
        <v>69</v>
      </c>
      <c r="E529" s="55">
        <f>SUM(B529:D529)</f>
        <v>69</v>
      </c>
      <c r="F529" s="1"/>
      <c r="G529" s="1">
        <v>763</v>
      </c>
      <c r="H529" s="1">
        <v>1250</v>
      </c>
      <c r="I529" s="55">
        <f>SUM(F529:H529)</f>
        <v>2013</v>
      </c>
      <c r="J529" s="1">
        <v>1000</v>
      </c>
      <c r="K529" s="1">
        <v>918</v>
      </c>
      <c r="L529" s="1"/>
      <c r="M529" s="55">
        <f>SUM(J529:L529)</f>
        <v>1918</v>
      </c>
      <c r="N529" s="1"/>
      <c r="O529" s="1"/>
      <c r="P529" s="1"/>
      <c r="Q529" s="55">
        <f>SUM(N529:P529)</f>
        <v>0</v>
      </c>
      <c r="R529" s="55">
        <f>+E529+I529+M529+Q529</f>
        <v>4000</v>
      </c>
    </row>
    <row r="530" spans="1:20" ht="15.75" customHeight="1" x14ac:dyDescent="0.3">
      <c r="A530" s="71" t="s">
        <v>1227</v>
      </c>
      <c r="B530" s="1"/>
      <c r="C530" s="1"/>
      <c r="D530" s="1"/>
      <c r="E530" s="55">
        <f>SUM(B530:D530)</f>
        <v>0</v>
      </c>
      <c r="F530" s="1"/>
      <c r="G530" s="1">
        <v>150</v>
      </c>
      <c r="H530" s="1">
        <v>53</v>
      </c>
      <c r="I530" s="55">
        <f>SUM(F530:H530)</f>
        <v>203</v>
      </c>
      <c r="J530" s="1">
        <v>287</v>
      </c>
      <c r="K530" s="1"/>
      <c r="L530" s="1">
        <v>911</v>
      </c>
      <c r="M530" s="55">
        <f>SUM(J530:L530)</f>
        <v>1198</v>
      </c>
      <c r="N530" s="1">
        <v>266</v>
      </c>
      <c r="O530" s="1"/>
      <c r="P530" s="1">
        <v>10</v>
      </c>
      <c r="Q530" s="55">
        <f>SUM(N530:P530)</f>
        <v>276</v>
      </c>
      <c r="R530" s="55">
        <f>+E530+I530+M530+Q530</f>
        <v>1677</v>
      </c>
    </row>
    <row r="531" spans="1:20" ht="15.75" customHeight="1" x14ac:dyDescent="0.3">
      <c r="A531" s="71" t="s">
        <v>657</v>
      </c>
      <c r="B531" s="1"/>
      <c r="C531" s="1"/>
      <c r="D531" s="1"/>
      <c r="E531" s="55">
        <f>SUM(B531:D531)</f>
        <v>0</v>
      </c>
      <c r="F531" s="1"/>
      <c r="G531" s="1"/>
      <c r="H531" s="1"/>
      <c r="I531" s="55">
        <f>SUM(F531:H531)</f>
        <v>0</v>
      </c>
      <c r="J531" s="1"/>
      <c r="K531" s="1">
        <v>423</v>
      </c>
      <c r="L531" s="1">
        <v>334</v>
      </c>
      <c r="M531" s="55">
        <f>SUM(J531:L531)</f>
        <v>757</v>
      </c>
      <c r="N531" s="1"/>
      <c r="O531" s="1"/>
      <c r="P531" s="1"/>
      <c r="Q531" s="55">
        <f>SUM(N531:P531)</f>
        <v>0</v>
      </c>
      <c r="R531" s="55">
        <f>+E531+I531+M531+Q531</f>
        <v>757</v>
      </c>
    </row>
    <row r="532" spans="1:20" ht="15.75" customHeight="1" x14ac:dyDescent="0.3">
      <c r="A532" s="15" t="s">
        <v>50</v>
      </c>
      <c r="B532" s="1"/>
      <c r="C532" s="1"/>
      <c r="D532" s="1"/>
      <c r="E532" s="55" t="s">
        <v>7</v>
      </c>
      <c r="F532" s="1"/>
      <c r="G532" s="1"/>
      <c r="H532" s="1"/>
      <c r="I532" s="55" t="s">
        <v>7</v>
      </c>
      <c r="J532" s="1"/>
      <c r="K532" s="1"/>
      <c r="L532" s="1"/>
      <c r="M532" s="55" t="s">
        <v>7</v>
      </c>
      <c r="N532" s="1"/>
      <c r="O532" s="1"/>
      <c r="P532" s="1"/>
      <c r="Q532" s="55" t="s">
        <v>7</v>
      </c>
      <c r="R532" s="55" t="s">
        <v>7</v>
      </c>
    </row>
    <row r="533" spans="1:20" ht="15.75" customHeight="1" x14ac:dyDescent="0.3">
      <c r="A533" s="15" t="s">
        <v>1186</v>
      </c>
      <c r="B533" s="1"/>
      <c r="C533" s="1"/>
      <c r="D533" s="1"/>
      <c r="E533" s="55" t="s">
        <v>7</v>
      </c>
      <c r="F533" s="1"/>
      <c r="G533" s="1"/>
      <c r="H533" s="1"/>
      <c r="I533" s="55" t="s">
        <v>7</v>
      </c>
      <c r="J533" s="1"/>
      <c r="K533" s="1"/>
      <c r="L533" s="1"/>
      <c r="M533" s="55" t="s">
        <v>7</v>
      </c>
      <c r="N533" s="1"/>
      <c r="O533" s="1"/>
      <c r="P533" s="1"/>
      <c r="Q533" s="55" t="s">
        <v>7</v>
      </c>
      <c r="R533" s="55" t="s">
        <v>7</v>
      </c>
    </row>
    <row r="534" spans="1:20" ht="15.75" customHeight="1" thickBot="1" x14ac:dyDescent="0.35">
      <c r="A534" s="15" t="s">
        <v>53</v>
      </c>
      <c r="B534" s="1"/>
      <c r="C534" s="1"/>
      <c r="D534" s="1"/>
      <c r="E534" s="55" t="s">
        <v>7</v>
      </c>
      <c r="F534" s="1"/>
      <c r="G534" s="1"/>
      <c r="H534" s="1"/>
      <c r="I534" s="55" t="s">
        <v>7</v>
      </c>
      <c r="J534" s="1"/>
      <c r="K534" s="1"/>
      <c r="L534" s="1"/>
      <c r="M534" s="55" t="s">
        <v>7</v>
      </c>
      <c r="N534" s="1"/>
      <c r="O534" s="1"/>
      <c r="P534" s="1"/>
      <c r="Q534" s="55" t="s">
        <v>7</v>
      </c>
      <c r="R534" s="55" t="s">
        <v>7</v>
      </c>
    </row>
    <row r="535" spans="1:20" ht="16.5" customHeight="1" thickBot="1" x14ac:dyDescent="0.35">
      <c r="A535" s="109" t="s">
        <v>54</v>
      </c>
      <c r="B535" s="86">
        <f>SUM(B525:B534)</f>
        <v>0</v>
      </c>
      <c r="C535" s="87">
        <f>SUM(C525:C534)</f>
        <v>0</v>
      </c>
      <c r="D535" s="87">
        <f>SUM(D525:D534)</f>
        <v>419</v>
      </c>
      <c r="E535" s="59">
        <f>SUM(B535:D535)</f>
        <v>419</v>
      </c>
      <c r="F535" s="87">
        <f>SUM(F525:F534)</f>
        <v>585</v>
      </c>
      <c r="G535" s="87">
        <f>SUM(G525:G534)</f>
        <v>2578</v>
      </c>
      <c r="H535" s="87">
        <f>SUM(H525:H534)</f>
        <v>1303</v>
      </c>
      <c r="I535" s="59">
        <f>SUM(F535:H535)</f>
        <v>4466</v>
      </c>
      <c r="J535" s="87">
        <f>SUM(J525:J534)</f>
        <v>1287</v>
      </c>
      <c r="K535" s="87">
        <f>SUM(K525:K534)</f>
        <v>1341</v>
      </c>
      <c r="L535" s="87">
        <f>SUM(L525:L534)</f>
        <v>1245</v>
      </c>
      <c r="M535" s="59">
        <f>SUM(J535:L535)</f>
        <v>3873</v>
      </c>
      <c r="N535" s="87">
        <f>SUM(N525:N534)</f>
        <v>266</v>
      </c>
      <c r="O535" s="87">
        <f>SUM(O525:O534)</f>
        <v>0</v>
      </c>
      <c r="P535" s="87">
        <f>SUM(P525:P534)</f>
        <v>10</v>
      </c>
      <c r="Q535" s="59">
        <f>SUM(N535:P535)</f>
        <v>276</v>
      </c>
      <c r="R535" s="59">
        <f>+E535+I535+M535+Q535</f>
        <v>9034</v>
      </c>
    </row>
    <row r="536" spans="1:20" ht="15.75" customHeight="1" x14ac:dyDescent="0.3">
      <c r="A536" s="15" t="s">
        <v>55</v>
      </c>
      <c r="B536" s="1"/>
      <c r="C536" s="1"/>
      <c r="D536" s="1"/>
      <c r="E536" s="60" t="s">
        <v>7</v>
      </c>
      <c r="F536" s="1"/>
      <c r="G536" s="1"/>
      <c r="H536" s="1"/>
      <c r="I536" s="60" t="s">
        <v>7</v>
      </c>
      <c r="J536" s="1"/>
      <c r="K536" s="1"/>
      <c r="L536" s="1"/>
      <c r="M536" s="60" t="s">
        <v>7</v>
      </c>
      <c r="N536" s="1"/>
      <c r="O536" s="1"/>
      <c r="P536" s="1"/>
      <c r="Q536" s="60" t="s">
        <v>7</v>
      </c>
      <c r="R536" s="125" t="s">
        <v>7</v>
      </c>
    </row>
    <row r="537" spans="1:20" ht="15.75" customHeight="1" x14ac:dyDescent="0.3">
      <c r="A537" s="15" t="s">
        <v>57</v>
      </c>
      <c r="B537" s="1"/>
      <c r="C537" s="1"/>
      <c r="D537" s="1"/>
      <c r="E537" s="55" t="s">
        <v>7</v>
      </c>
      <c r="F537" s="1"/>
      <c r="G537" s="1"/>
      <c r="H537" s="1"/>
      <c r="I537" s="55" t="s">
        <v>7</v>
      </c>
      <c r="J537" s="1"/>
      <c r="K537" s="1"/>
      <c r="L537" s="1"/>
      <c r="M537" s="55" t="s">
        <v>7</v>
      </c>
      <c r="N537" s="1"/>
      <c r="O537" s="1"/>
      <c r="P537" s="1"/>
      <c r="Q537" s="55" t="s">
        <v>7</v>
      </c>
      <c r="R537" s="125" t="s">
        <v>7</v>
      </c>
    </row>
    <row r="538" spans="1:20" ht="15.75" customHeight="1" x14ac:dyDescent="0.3">
      <c r="A538" s="71" t="s">
        <v>569</v>
      </c>
      <c r="B538" s="1">
        <v>108</v>
      </c>
      <c r="C538" s="1">
        <v>136</v>
      </c>
      <c r="D538" s="1">
        <v>2055</v>
      </c>
      <c r="E538" s="55">
        <f>SUM(B538:D538)</f>
        <v>2299</v>
      </c>
      <c r="F538" s="1">
        <v>80</v>
      </c>
      <c r="G538" s="1">
        <v>3154</v>
      </c>
      <c r="H538" s="1">
        <v>4508</v>
      </c>
      <c r="I538" s="55">
        <f>SUM(F538:H538)</f>
        <v>7742</v>
      </c>
      <c r="J538" s="1">
        <v>5734</v>
      </c>
      <c r="K538" s="1">
        <v>1104</v>
      </c>
      <c r="L538" s="1">
        <v>346</v>
      </c>
      <c r="M538" s="55">
        <f>SUM(J538:L538)</f>
        <v>7184</v>
      </c>
      <c r="N538" s="1"/>
      <c r="O538" s="1"/>
      <c r="P538" s="1"/>
      <c r="Q538" s="55">
        <f>SUM(N538:P538)</f>
        <v>0</v>
      </c>
      <c r="R538" s="55">
        <f>+E538+I538+M538+Q538</f>
        <v>17225</v>
      </c>
      <c r="S538" s="4">
        <f>+SUM(R538,R497,R381)</f>
        <v>97885</v>
      </c>
      <c r="T538" s="4" t="s">
        <v>985</v>
      </c>
    </row>
    <row r="539" spans="1:20" ht="15.75" customHeight="1" x14ac:dyDescent="0.3">
      <c r="A539" s="71" t="s">
        <v>309</v>
      </c>
      <c r="B539" s="1"/>
      <c r="C539" s="1"/>
      <c r="D539" s="1"/>
      <c r="E539" s="55">
        <f>SUM(B539:D539)</f>
        <v>0</v>
      </c>
      <c r="F539" s="1"/>
      <c r="G539" s="1"/>
      <c r="H539" s="1"/>
      <c r="I539" s="55">
        <f>SUM(F539:H539)</f>
        <v>0</v>
      </c>
      <c r="J539" s="1"/>
      <c r="K539" s="1"/>
      <c r="L539" s="1"/>
      <c r="M539" s="55">
        <f>SUM(J539:L539)</f>
        <v>0</v>
      </c>
      <c r="N539" s="1"/>
      <c r="O539" s="1"/>
      <c r="P539" s="1"/>
      <c r="Q539" s="55">
        <f>SUM(N539:P539)</f>
        <v>0</v>
      </c>
      <c r="R539" s="55">
        <f>+E539+I539+M539+Q539</f>
        <v>0</v>
      </c>
    </row>
    <row r="540" spans="1:20" ht="15.75" customHeight="1" thickBot="1" x14ac:dyDescent="0.35">
      <c r="A540" s="15" t="s">
        <v>58</v>
      </c>
      <c r="B540" s="1"/>
      <c r="C540" s="1"/>
      <c r="D540" s="1"/>
      <c r="E540" s="55" t="s">
        <v>7</v>
      </c>
      <c r="F540" s="1"/>
      <c r="G540" s="1"/>
      <c r="H540" s="1"/>
      <c r="I540" s="55" t="s">
        <v>7</v>
      </c>
      <c r="J540" s="1"/>
      <c r="K540" s="1"/>
      <c r="L540" s="1"/>
      <c r="M540" s="55" t="s">
        <v>7</v>
      </c>
      <c r="N540" s="1"/>
      <c r="O540" s="1"/>
      <c r="P540" s="1"/>
      <c r="Q540" s="55" t="s">
        <v>7</v>
      </c>
      <c r="R540" s="125" t="s">
        <v>7</v>
      </c>
    </row>
    <row r="541" spans="1:20" ht="16.5" customHeight="1" thickBot="1" x14ac:dyDescent="0.35">
      <c r="A541" s="57" t="s">
        <v>59</v>
      </c>
      <c r="B541" s="86">
        <f>SUM(B536:B540)</f>
        <v>108</v>
      </c>
      <c r="C541" s="87">
        <f>SUM(C536:C540)</f>
        <v>136</v>
      </c>
      <c r="D541" s="87">
        <f>SUM(D536:D540)</f>
        <v>2055</v>
      </c>
      <c r="E541" s="59">
        <f>SUM(B541:D541)</f>
        <v>2299</v>
      </c>
      <c r="F541" s="87">
        <f>SUM(F536:F540)</f>
        <v>80</v>
      </c>
      <c r="G541" s="87">
        <f>SUM(G536:G540)</f>
        <v>3154</v>
      </c>
      <c r="H541" s="87">
        <f>SUM(H536:H540)</f>
        <v>4508</v>
      </c>
      <c r="I541" s="59">
        <f>SUM(F541:H541)</f>
        <v>7742</v>
      </c>
      <c r="J541" s="87">
        <f>SUM(J536:J540)</f>
        <v>5734</v>
      </c>
      <c r="K541" s="87">
        <f>SUM(K536:K540)</f>
        <v>1104</v>
      </c>
      <c r="L541" s="87">
        <f>SUM(L536:L540)</f>
        <v>346</v>
      </c>
      <c r="M541" s="59">
        <f>SUM(J541:L541)</f>
        <v>7184</v>
      </c>
      <c r="N541" s="87">
        <f>SUM(N536:N540)</f>
        <v>0</v>
      </c>
      <c r="O541" s="87">
        <f>SUM(O536:O540)</f>
        <v>0</v>
      </c>
      <c r="P541" s="87">
        <f>SUM(P536:P540)</f>
        <v>0</v>
      </c>
      <c r="Q541" s="59">
        <f>SUM(N541:P541)</f>
        <v>0</v>
      </c>
      <c r="R541" s="59">
        <f>+E541+I541+M541+Q541</f>
        <v>17225</v>
      </c>
    </row>
    <row r="542" spans="1:20" ht="15.75" customHeight="1" x14ac:dyDescent="0.3">
      <c r="A542" s="15" t="s">
        <v>60</v>
      </c>
      <c r="B542" s="1"/>
      <c r="C542" s="1"/>
      <c r="D542" s="1"/>
      <c r="E542" s="55" t="s">
        <v>7</v>
      </c>
      <c r="F542" s="1"/>
      <c r="G542" s="1"/>
      <c r="H542" s="1"/>
      <c r="I542" s="55" t="s">
        <v>7</v>
      </c>
      <c r="J542" s="1"/>
      <c r="K542" s="1"/>
      <c r="L542" s="1"/>
      <c r="M542" s="55" t="s">
        <v>7</v>
      </c>
      <c r="N542" s="1"/>
      <c r="O542" s="1"/>
      <c r="P542" s="1"/>
      <c r="Q542" s="55" t="s">
        <v>7</v>
      </c>
      <c r="R542" s="55" t="s">
        <v>7</v>
      </c>
    </row>
    <row r="543" spans="1:20" ht="15.75" customHeight="1" x14ac:dyDescent="0.3">
      <c r="A543" s="15" t="s">
        <v>61</v>
      </c>
      <c r="B543" s="1"/>
      <c r="C543" s="1"/>
      <c r="D543" s="1"/>
      <c r="E543" s="55" t="s">
        <v>7</v>
      </c>
      <c r="F543" s="1"/>
      <c r="G543" s="1"/>
      <c r="H543" s="1"/>
      <c r="I543" s="55" t="s">
        <v>7</v>
      </c>
      <c r="J543" s="1"/>
      <c r="K543" s="1"/>
      <c r="L543" s="1"/>
      <c r="M543" s="55" t="s">
        <v>7</v>
      </c>
      <c r="N543" s="1"/>
      <c r="O543" s="1"/>
      <c r="P543" s="1"/>
      <c r="Q543" s="55" t="s">
        <v>7</v>
      </c>
      <c r="R543" s="55" t="s">
        <v>7</v>
      </c>
    </row>
    <row r="544" spans="1:20" ht="15.75" customHeight="1" x14ac:dyDescent="0.3">
      <c r="A544" s="15" t="s">
        <v>62</v>
      </c>
      <c r="B544" s="1"/>
      <c r="C544" s="1"/>
      <c r="D544" s="1"/>
      <c r="E544" s="55" t="s">
        <v>7</v>
      </c>
      <c r="F544" s="1"/>
      <c r="G544" s="1"/>
      <c r="H544" s="1"/>
      <c r="I544" s="55" t="s">
        <v>7</v>
      </c>
      <c r="J544" s="1"/>
      <c r="K544" s="1"/>
      <c r="L544" s="1"/>
      <c r="M544" s="55" t="s">
        <v>7</v>
      </c>
      <c r="N544" s="1"/>
      <c r="O544" s="1"/>
      <c r="P544" s="1"/>
      <c r="Q544" s="55" t="s">
        <v>7</v>
      </c>
      <c r="R544" s="55" t="s">
        <v>7</v>
      </c>
    </row>
    <row r="545" spans="1:20" ht="15.75" customHeight="1" thickBot="1" x14ac:dyDescent="0.35">
      <c r="A545" s="359" t="s">
        <v>982</v>
      </c>
      <c r="B545" s="1"/>
      <c r="C545" s="1"/>
      <c r="D545" s="1"/>
      <c r="E545" s="55">
        <f>SUM(B545:D545)</f>
        <v>0</v>
      </c>
      <c r="F545" s="1">
        <v>4000</v>
      </c>
      <c r="G545" s="1"/>
      <c r="H545" s="1"/>
      <c r="I545" s="55">
        <f>SUM(F545:H545)</f>
        <v>4000</v>
      </c>
      <c r="J545" s="1"/>
      <c r="K545" s="1">
        <v>4000</v>
      </c>
      <c r="L545" s="1">
        <v>2200</v>
      </c>
      <c r="M545" s="55">
        <f>SUM(J545:L545)</f>
        <v>6200</v>
      </c>
      <c r="N545" s="1"/>
      <c r="O545" s="1">
        <v>421</v>
      </c>
      <c r="P545" s="1"/>
      <c r="Q545" s="55">
        <f>SUM(N545:P545)</f>
        <v>421</v>
      </c>
      <c r="R545" s="55">
        <f>+E545+I545+M545+Q545</f>
        <v>10621</v>
      </c>
      <c r="T545" s="4" t="s">
        <v>939</v>
      </c>
    </row>
    <row r="546" spans="1:20" ht="16.5" customHeight="1" thickBot="1" x14ac:dyDescent="0.35">
      <c r="A546" s="114" t="s">
        <v>63</v>
      </c>
      <c r="B546" s="86">
        <f>SUM(B542:B545)</f>
        <v>0</v>
      </c>
      <c r="C546" s="87">
        <f>SUM(C542:C545)</f>
        <v>0</v>
      </c>
      <c r="D546" s="87">
        <f>SUM(D542:D545)</f>
        <v>0</v>
      </c>
      <c r="E546" s="59">
        <f>SUM(B546:D546)</f>
        <v>0</v>
      </c>
      <c r="F546" s="87">
        <f>SUM(F542:F545)</f>
        <v>4000</v>
      </c>
      <c r="G546" s="87">
        <f>SUM(G542:G545)</f>
        <v>0</v>
      </c>
      <c r="H546" s="87">
        <f>SUM(H542:H545)</f>
        <v>0</v>
      </c>
      <c r="I546" s="59">
        <f>SUM(F546:H546)</f>
        <v>4000</v>
      </c>
      <c r="J546" s="87">
        <f>SUM(J542:J545)</f>
        <v>0</v>
      </c>
      <c r="K546" s="87">
        <f>SUM(K542:K545)</f>
        <v>4000</v>
      </c>
      <c r="L546" s="87">
        <f>SUM(L542:L545)</f>
        <v>2200</v>
      </c>
      <c r="M546" s="59">
        <f>SUM(J546:L546)</f>
        <v>6200</v>
      </c>
      <c r="N546" s="87">
        <f>SUM(N542:N545)</f>
        <v>0</v>
      </c>
      <c r="O546" s="87">
        <f>SUM(O542:O545)</f>
        <v>421</v>
      </c>
      <c r="P546" s="87">
        <f>SUM(P542:P545)</f>
        <v>0</v>
      </c>
      <c r="Q546" s="59">
        <f>SUM(N546:P546)</f>
        <v>421</v>
      </c>
      <c r="R546" s="59">
        <f>+E546+I546+M546+Q546</f>
        <v>10621</v>
      </c>
    </row>
    <row r="547" spans="1:20" ht="15.75" customHeight="1" x14ac:dyDescent="0.3">
      <c r="A547" s="15" t="s">
        <v>64</v>
      </c>
      <c r="B547" s="1"/>
      <c r="C547" s="1"/>
      <c r="D547" s="1"/>
      <c r="E547" s="55" t="s">
        <v>7</v>
      </c>
      <c r="F547" s="1"/>
      <c r="G547" s="1"/>
      <c r="H547" s="1"/>
      <c r="I547" s="55" t="s">
        <v>7</v>
      </c>
      <c r="J547" s="1"/>
      <c r="K547" s="1"/>
      <c r="L547" s="1"/>
      <c r="M547" s="55" t="s">
        <v>7</v>
      </c>
      <c r="N547" s="1"/>
      <c r="O547" s="1"/>
      <c r="P547" s="1"/>
      <c r="Q547" s="55" t="s">
        <v>7</v>
      </c>
      <c r="R547" s="55" t="s">
        <v>7</v>
      </c>
    </row>
    <row r="548" spans="1:20" ht="15.75" customHeight="1" x14ac:dyDescent="0.3">
      <c r="A548" s="15" t="s">
        <v>594</v>
      </c>
      <c r="B548" s="1"/>
      <c r="C548" s="1"/>
      <c r="D548" s="1"/>
      <c r="E548" s="55" t="s">
        <v>7</v>
      </c>
      <c r="F548" s="1"/>
      <c r="G548" s="1"/>
      <c r="H548" s="1"/>
      <c r="I548" s="55" t="s">
        <v>7</v>
      </c>
      <c r="J548" s="1"/>
      <c r="K548" s="1"/>
      <c r="L548" s="1"/>
      <c r="M548" s="55" t="s">
        <v>7</v>
      </c>
      <c r="N548" s="1"/>
      <c r="O548" s="1"/>
      <c r="P548" s="1"/>
      <c r="Q548" s="55" t="s">
        <v>7</v>
      </c>
      <c r="R548" s="55" t="s">
        <v>7</v>
      </c>
    </row>
    <row r="549" spans="1:20" ht="15.75" customHeight="1" x14ac:dyDescent="0.3">
      <c r="A549" s="15" t="s">
        <v>67</v>
      </c>
      <c r="B549" s="1"/>
      <c r="C549" s="1"/>
      <c r="D549" s="1"/>
      <c r="E549" s="55" t="s">
        <v>7</v>
      </c>
      <c r="F549" s="1"/>
      <c r="G549" s="1"/>
      <c r="H549" s="1"/>
      <c r="I549" s="55" t="s">
        <v>7</v>
      </c>
      <c r="J549" s="1"/>
      <c r="K549" s="1"/>
      <c r="L549" s="1"/>
      <c r="M549" s="55" t="s">
        <v>7</v>
      </c>
      <c r="N549" s="1"/>
      <c r="O549" s="1"/>
      <c r="P549" s="1"/>
      <c r="Q549" s="55" t="s">
        <v>7</v>
      </c>
      <c r="R549" s="55" t="s">
        <v>7</v>
      </c>
    </row>
    <row r="550" spans="1:20" ht="15.75" customHeight="1" x14ac:dyDescent="0.3">
      <c r="A550" s="15" t="s">
        <v>600</v>
      </c>
      <c r="B550" s="1"/>
      <c r="C550" s="1"/>
      <c r="D550" s="1"/>
      <c r="E550" s="55" t="s">
        <v>7</v>
      </c>
      <c r="F550" s="1"/>
      <c r="G550" s="1"/>
      <c r="H550" s="1"/>
      <c r="I550" s="55" t="s">
        <v>7</v>
      </c>
      <c r="J550" s="1"/>
      <c r="K550" s="1"/>
      <c r="L550" s="1"/>
      <c r="M550" s="55" t="s">
        <v>7</v>
      </c>
      <c r="N550" s="1"/>
      <c r="O550" s="1"/>
      <c r="P550" s="1"/>
      <c r="Q550" s="55" t="s">
        <v>7</v>
      </c>
      <c r="R550" s="55" t="s">
        <v>7</v>
      </c>
    </row>
    <row r="551" spans="1:20" ht="15.75" customHeight="1" x14ac:dyDescent="0.3">
      <c r="A551" s="71" t="s">
        <v>570</v>
      </c>
      <c r="B551" s="1"/>
      <c r="C551" s="1"/>
      <c r="D551" s="1"/>
      <c r="E551" s="55">
        <f>SUM(B551:D551)</f>
        <v>0</v>
      </c>
      <c r="F551" s="1"/>
      <c r="G551" s="1"/>
      <c r="H551" s="1"/>
      <c r="I551" s="55">
        <f>SUM(F551:H551)</f>
        <v>0</v>
      </c>
      <c r="J551" s="1"/>
      <c r="K551" s="1"/>
      <c r="L551" s="1"/>
      <c r="M551" s="55">
        <f>SUM(J551:L551)</f>
        <v>0</v>
      </c>
      <c r="N551" s="1"/>
      <c r="O551" s="1"/>
      <c r="P551" s="1"/>
      <c r="Q551" s="55">
        <f>SUM(N551:P551)</f>
        <v>0</v>
      </c>
      <c r="R551" s="55">
        <f>+E551+I551+M551+Q551</f>
        <v>0</v>
      </c>
    </row>
    <row r="552" spans="1:20" ht="15.75" customHeight="1" x14ac:dyDescent="0.3">
      <c r="A552" s="15" t="s">
        <v>70</v>
      </c>
      <c r="B552" s="1"/>
      <c r="C552" s="1"/>
      <c r="D552" s="1"/>
      <c r="E552" s="55"/>
      <c r="F552" s="1"/>
      <c r="G552" s="1"/>
      <c r="H552" s="1"/>
      <c r="I552" s="55"/>
      <c r="J552" s="1"/>
      <c r="K552" s="1"/>
      <c r="L552" s="1"/>
      <c r="M552" s="55"/>
      <c r="N552" s="1"/>
      <c r="O552" s="1"/>
      <c r="P552" s="1"/>
      <c r="Q552" s="55"/>
      <c r="R552" s="55" t="s">
        <v>7</v>
      </c>
    </row>
    <row r="553" spans="1:20" ht="15.75" customHeight="1" x14ac:dyDescent="0.3">
      <c r="A553" s="71" t="s">
        <v>977</v>
      </c>
      <c r="B553" s="1"/>
      <c r="C553" s="1"/>
      <c r="D553" s="1"/>
      <c r="E553" s="55">
        <f t="shared" ref="E553:E559" si="155">SUM(B553:D553)</f>
        <v>0</v>
      </c>
      <c r="F553" s="1"/>
      <c r="G553" s="1"/>
      <c r="H553" s="1"/>
      <c r="I553" s="55">
        <f t="shared" ref="I553:I559" si="156">SUM(F553:H553)</f>
        <v>0</v>
      </c>
      <c r="J553" s="1"/>
      <c r="K553" s="1"/>
      <c r="L553" s="1"/>
      <c r="M553" s="55">
        <f t="shared" ref="M553:M559" si="157">SUM(J553:L553)</f>
        <v>0</v>
      </c>
      <c r="N553" s="1">
        <v>808</v>
      </c>
      <c r="O553" s="1"/>
      <c r="P553" s="1">
        <v>125</v>
      </c>
      <c r="Q553" s="55">
        <f t="shared" ref="Q553:Q559" si="158">SUM(N553:P553)</f>
        <v>933</v>
      </c>
      <c r="R553" s="55">
        <f t="shared" ref="R553:R559" si="159">+E553+I553+M553+Q553</f>
        <v>933</v>
      </c>
      <c r="T553" s="4" t="s">
        <v>939</v>
      </c>
    </row>
    <row r="554" spans="1:20" ht="15.75" customHeight="1" x14ac:dyDescent="0.3">
      <c r="A554" s="71" t="s">
        <v>986</v>
      </c>
      <c r="B554" s="1"/>
      <c r="C554" s="1"/>
      <c r="D554" s="1"/>
      <c r="E554" s="55">
        <f>SUM(B554:D554)</f>
        <v>0</v>
      </c>
      <c r="F554" s="1"/>
      <c r="G554" s="1"/>
      <c r="H554" s="1"/>
      <c r="I554" s="55">
        <f>SUM(F554:H554)</f>
        <v>0</v>
      </c>
      <c r="J554" s="1"/>
      <c r="K554" s="1"/>
      <c r="L554" s="1"/>
      <c r="M554" s="55">
        <f>SUM(J554:L554)</f>
        <v>0</v>
      </c>
      <c r="N554" s="1"/>
      <c r="O554" s="1"/>
      <c r="P554" s="1"/>
      <c r="Q554" s="55">
        <f>SUM(N554:P554)</f>
        <v>0</v>
      </c>
      <c r="R554" s="55">
        <f>+E554+I554+M554+Q554</f>
        <v>0</v>
      </c>
      <c r="T554" s="4" t="s">
        <v>939</v>
      </c>
    </row>
    <row r="555" spans="1:20" ht="15.75" customHeight="1" thickBot="1" x14ac:dyDescent="0.35">
      <c r="A555" s="71" t="s">
        <v>761</v>
      </c>
      <c r="B555" s="1"/>
      <c r="C555" s="1"/>
      <c r="D555" s="1"/>
      <c r="E555" s="55">
        <f t="shared" si="155"/>
        <v>0</v>
      </c>
      <c r="F555" s="1"/>
      <c r="G555" s="1"/>
      <c r="H555" s="1"/>
      <c r="I555" s="55">
        <f t="shared" si="156"/>
        <v>0</v>
      </c>
      <c r="J555" s="1"/>
      <c r="K555" s="1"/>
      <c r="L555" s="1"/>
      <c r="M555" s="55">
        <f t="shared" si="157"/>
        <v>0</v>
      </c>
      <c r="N555" s="1"/>
      <c r="O555" s="1"/>
      <c r="P555" s="1"/>
      <c r="Q555" s="55">
        <f t="shared" si="158"/>
        <v>0</v>
      </c>
      <c r="R555" s="55">
        <f t="shared" si="159"/>
        <v>0</v>
      </c>
    </row>
    <row r="556" spans="1:20" ht="16.5" customHeight="1" thickBot="1" x14ac:dyDescent="0.35">
      <c r="A556" s="57" t="s">
        <v>71</v>
      </c>
      <c r="B556" s="58">
        <f>SUM(B550:B555)</f>
        <v>0</v>
      </c>
      <c r="C556" s="58">
        <f>SUM(C550:C555)</f>
        <v>0</v>
      </c>
      <c r="D556" s="58">
        <f>SUM(D550:D555)</f>
        <v>0</v>
      </c>
      <c r="E556" s="60">
        <f t="shared" si="155"/>
        <v>0</v>
      </c>
      <c r="F556" s="58">
        <f>SUM(F550:F555)</f>
        <v>0</v>
      </c>
      <c r="G556" s="58">
        <f>SUM(G550:G555)</f>
        <v>0</v>
      </c>
      <c r="H556" s="58">
        <f>SUM(H550:H555)</f>
        <v>0</v>
      </c>
      <c r="I556" s="60">
        <f t="shared" si="156"/>
        <v>0</v>
      </c>
      <c r="J556" s="58">
        <f>SUM(J550:J555)</f>
        <v>0</v>
      </c>
      <c r="K556" s="58">
        <f>SUM(K550:K555)</f>
        <v>0</v>
      </c>
      <c r="L556" s="58">
        <f>SUM(L550:L555)</f>
        <v>0</v>
      </c>
      <c r="M556" s="60">
        <f t="shared" si="157"/>
        <v>0</v>
      </c>
      <c r="N556" s="58">
        <f>SUM(N550:N555)</f>
        <v>808</v>
      </c>
      <c r="O556" s="58">
        <f>SUM(O550:O555)</f>
        <v>0</v>
      </c>
      <c r="P556" s="58">
        <f>SUM(P550:P555)</f>
        <v>125</v>
      </c>
      <c r="Q556" s="60">
        <f t="shared" si="158"/>
        <v>933</v>
      </c>
      <c r="R556" s="59">
        <f t="shared" si="159"/>
        <v>933</v>
      </c>
    </row>
    <row r="557" spans="1:20" ht="16.5" customHeight="1" thickBot="1" x14ac:dyDescent="0.35">
      <c r="A557" s="114" t="s">
        <v>72</v>
      </c>
      <c r="B557" s="86">
        <f>SUM(B547:B555)</f>
        <v>0</v>
      </c>
      <c r="C557" s="87">
        <f>SUM(C547:C555)</f>
        <v>0</v>
      </c>
      <c r="D557" s="118">
        <f>SUM(D547:D555)</f>
        <v>0</v>
      </c>
      <c r="E557" s="60">
        <f t="shared" si="155"/>
        <v>0</v>
      </c>
      <c r="F557" s="87">
        <f>SUM(F547:F555)</f>
        <v>0</v>
      </c>
      <c r="G557" s="87">
        <f>SUM(G547:G555)</f>
        <v>0</v>
      </c>
      <c r="H557" s="87">
        <f>SUM(H547:H555)</f>
        <v>0</v>
      </c>
      <c r="I557" s="60">
        <f t="shared" si="156"/>
        <v>0</v>
      </c>
      <c r="J557" s="87">
        <f>SUM(J547:J555)</f>
        <v>0</v>
      </c>
      <c r="K557" s="87">
        <f>SUM(K547:K555)</f>
        <v>0</v>
      </c>
      <c r="L557" s="87">
        <f>SUM(L547:L555)</f>
        <v>0</v>
      </c>
      <c r="M557" s="60">
        <f t="shared" si="157"/>
        <v>0</v>
      </c>
      <c r="N557" s="87">
        <f>SUM(N547:N555)</f>
        <v>808</v>
      </c>
      <c r="O557" s="87">
        <f>SUM(O547:O555)</f>
        <v>0</v>
      </c>
      <c r="P557" s="87">
        <f>SUM(P547:P555)</f>
        <v>125</v>
      </c>
      <c r="Q557" s="60">
        <f t="shared" si="158"/>
        <v>933</v>
      </c>
      <c r="R557" s="59">
        <f t="shared" si="159"/>
        <v>933</v>
      </c>
    </row>
    <row r="558" spans="1:20" ht="16.5" customHeight="1" thickBot="1" x14ac:dyDescent="0.35">
      <c r="A558" s="57" t="s">
        <v>73</v>
      </c>
      <c r="B558" s="90">
        <f>+B535+B541+B546+B557</f>
        <v>108</v>
      </c>
      <c r="C558" s="58">
        <f>+C535+C541+C546+C557</f>
        <v>136</v>
      </c>
      <c r="D558" s="58">
        <f>+D535+D541+D546+D557</f>
        <v>2474</v>
      </c>
      <c r="E558" s="59">
        <f t="shared" si="155"/>
        <v>2718</v>
      </c>
      <c r="F558" s="58">
        <f>+F535+F541+F546+F557</f>
        <v>4665</v>
      </c>
      <c r="G558" s="58">
        <f>+G535+G541+G546+G557</f>
        <v>5732</v>
      </c>
      <c r="H558" s="58">
        <f>+H535+H541+H546+H557</f>
        <v>5811</v>
      </c>
      <c r="I558" s="59">
        <f t="shared" si="156"/>
        <v>16208</v>
      </c>
      <c r="J558" s="58">
        <f>+J535+J541+J546+J557</f>
        <v>7021</v>
      </c>
      <c r="K558" s="58">
        <f>+K535+K541+K546+K557</f>
        <v>6445</v>
      </c>
      <c r="L558" s="58">
        <f>+L535+L541+L546+L557</f>
        <v>3791</v>
      </c>
      <c r="M558" s="59">
        <f t="shared" si="157"/>
        <v>17257</v>
      </c>
      <c r="N558" s="58">
        <f>+N535+N541+N546+N557</f>
        <v>1074</v>
      </c>
      <c r="O558" s="58">
        <f>+O535+O541+O546+O557</f>
        <v>421</v>
      </c>
      <c r="P558" s="58">
        <f>+P535+P541+P546+P557</f>
        <v>135</v>
      </c>
      <c r="Q558" s="59">
        <f t="shared" si="158"/>
        <v>1630</v>
      </c>
      <c r="R558" s="81">
        <f t="shared" si="159"/>
        <v>37813</v>
      </c>
    </row>
    <row r="559" spans="1:20" ht="16.5" customHeight="1" thickBot="1" x14ac:dyDescent="0.35">
      <c r="A559" s="39" t="s">
        <v>40</v>
      </c>
      <c r="B559" s="21">
        <v>23</v>
      </c>
      <c r="C559" s="21">
        <v>43</v>
      </c>
      <c r="D559" s="21">
        <v>66</v>
      </c>
      <c r="E559" s="81">
        <f t="shared" si="155"/>
        <v>132</v>
      </c>
      <c r="F559" s="21">
        <v>91</v>
      </c>
      <c r="G559" s="21">
        <v>108</v>
      </c>
      <c r="H559" s="21">
        <v>109</v>
      </c>
      <c r="I559" s="81">
        <f t="shared" si="156"/>
        <v>308</v>
      </c>
      <c r="J559" s="21">
        <v>104</v>
      </c>
      <c r="K559" s="21">
        <v>79</v>
      </c>
      <c r="L559" s="21">
        <v>80</v>
      </c>
      <c r="M559" s="81">
        <f t="shared" si="157"/>
        <v>263</v>
      </c>
      <c r="N559" s="21">
        <v>74</v>
      </c>
      <c r="O559" s="21">
        <v>58</v>
      </c>
      <c r="P559" s="21">
        <v>42</v>
      </c>
      <c r="Q559" s="81">
        <f t="shared" si="158"/>
        <v>174</v>
      </c>
      <c r="R559" s="55">
        <f t="shared" si="159"/>
        <v>877</v>
      </c>
    </row>
    <row r="560" spans="1:20" ht="16.5" customHeight="1" thickBot="1" x14ac:dyDescent="0.35">
      <c r="A560" s="41"/>
      <c r="B560" s="36"/>
      <c r="C560" s="36"/>
      <c r="D560" s="36"/>
      <c r="E560" s="42"/>
      <c r="F560" s="36"/>
      <c r="G560" s="36"/>
      <c r="H560" s="36"/>
      <c r="I560" s="126"/>
      <c r="J560" s="36"/>
      <c r="K560" s="36"/>
      <c r="L560" s="36"/>
      <c r="M560" s="126"/>
      <c r="N560" s="36"/>
      <c r="O560" s="36"/>
      <c r="P560" s="36"/>
      <c r="Q560" s="126"/>
      <c r="R560" s="42"/>
    </row>
    <row r="561" spans="1:20" ht="15.75" customHeight="1" x14ac:dyDescent="0.3">
      <c r="A561" s="15" t="s">
        <v>314</v>
      </c>
      <c r="B561" s="77">
        <f>SUM(B558:B559)</f>
        <v>131</v>
      </c>
      <c r="C561" s="77">
        <f>SUM(C558:C559)</f>
        <v>179</v>
      </c>
      <c r="D561" s="77">
        <f>SUM(D558:D559)</f>
        <v>2540</v>
      </c>
      <c r="E561" s="60">
        <f>SUM(B561:D561)</f>
        <v>2850</v>
      </c>
      <c r="F561" s="77">
        <f>SUM(F558:F559)</f>
        <v>4756</v>
      </c>
      <c r="G561" s="77">
        <f>SUM(G558:G559)</f>
        <v>5840</v>
      </c>
      <c r="H561" s="77">
        <f>SUM(H558:H559)</f>
        <v>5920</v>
      </c>
      <c r="I561" s="60">
        <f>SUM(F561:H561)</f>
        <v>16516</v>
      </c>
      <c r="J561" s="77">
        <f>SUM(J558:J559)</f>
        <v>7125</v>
      </c>
      <c r="K561" s="77">
        <f>SUM(K558:K559)</f>
        <v>6524</v>
      </c>
      <c r="L561" s="77">
        <f>SUM(L558:L559)</f>
        <v>3871</v>
      </c>
      <c r="M561" s="60">
        <f>SUM(J561:L561)</f>
        <v>17520</v>
      </c>
      <c r="N561" s="77">
        <f>SUM(N558:N559)</f>
        <v>1148</v>
      </c>
      <c r="O561" s="77">
        <f>SUM(O558:O559)</f>
        <v>479</v>
      </c>
      <c r="P561" s="77">
        <f>SUM(P558:P559)</f>
        <v>177</v>
      </c>
      <c r="Q561" s="60">
        <f>SUM(N561:P561)</f>
        <v>1804</v>
      </c>
      <c r="R561" s="60">
        <f>+E561+I561+M561+Q561</f>
        <v>38690</v>
      </c>
    </row>
    <row r="562" spans="1:20" ht="15.75" customHeight="1" x14ac:dyDescent="0.3">
      <c r="A562" s="15" t="s">
        <v>42</v>
      </c>
      <c r="B562" s="1">
        <f>(B561/B10)/1.983</f>
        <v>2.1310168691946054</v>
      </c>
      <c r="C562" s="1">
        <f>(C561/C10)/1.983</f>
        <v>3.2238311360852965</v>
      </c>
      <c r="D562" s="1">
        <f>(D561/D10)/1.983</f>
        <v>41.318953036292356</v>
      </c>
      <c r="E562" s="55" t="s">
        <v>7</v>
      </c>
      <c r="F562" s="1">
        <f>(F561/F10)/1.983</f>
        <v>79.946209446965867</v>
      </c>
      <c r="G562" s="1">
        <f>(G561/G10)/1.983</f>
        <v>95.00105737478242</v>
      </c>
      <c r="H562" s="1">
        <f>(H561/H10)/1.983</f>
        <v>99.512523113128253</v>
      </c>
      <c r="I562" s="55" t="s">
        <v>7</v>
      </c>
      <c r="J562" s="1">
        <f>(J561/J10)/1.983</f>
        <v>115.90454345810356</v>
      </c>
      <c r="K562" s="1">
        <f>(K561/K10)/1.983</f>
        <v>106.12789354676036</v>
      </c>
      <c r="L562" s="1">
        <f>(L561/L10)/1.983</f>
        <v>65.069759623466126</v>
      </c>
      <c r="M562" s="55" t="s">
        <v>7</v>
      </c>
      <c r="N562" s="1">
        <f>(N561/N10)/1.983</f>
        <v>18.674865388056542</v>
      </c>
      <c r="O562" s="1">
        <f>(O561/O10)/1.983</f>
        <v>8.0517734072953431</v>
      </c>
      <c r="P562" s="1">
        <f>(P561/P10)/1.983</f>
        <v>2.8793128690644672</v>
      </c>
      <c r="Q562" s="55" t="s">
        <v>7</v>
      </c>
      <c r="R562" s="55" t="s">
        <v>7</v>
      </c>
    </row>
    <row r="563" spans="1:20" ht="15.75" customHeight="1" x14ac:dyDescent="0.3">
      <c r="A563" s="15" t="s">
        <v>315</v>
      </c>
      <c r="B563" s="1">
        <f>B561+B621</f>
        <v>15258</v>
      </c>
      <c r="C563" s="1">
        <f>C561+C621</f>
        <v>13344</v>
      </c>
      <c r="D563" s="1">
        <f>D561+D621</f>
        <v>27146</v>
      </c>
      <c r="E563" s="55">
        <f>SUM(B563:D563)</f>
        <v>55748</v>
      </c>
      <c r="F563" s="1">
        <f>F561+F621</f>
        <v>29746</v>
      </c>
      <c r="G563" s="1">
        <f>G561+G621</f>
        <v>29752</v>
      </c>
      <c r="H563" s="1">
        <f>H561+H621</f>
        <v>30940</v>
      </c>
      <c r="I563" s="55">
        <f>SUM(F563:H563)</f>
        <v>90438</v>
      </c>
      <c r="J563" s="1">
        <f>J561+J621</f>
        <v>31883</v>
      </c>
      <c r="K563" s="1">
        <f>K561+K621</f>
        <v>32582</v>
      </c>
      <c r="L563" s="1">
        <f>L561+L621</f>
        <v>27446</v>
      </c>
      <c r="M563" s="55">
        <f>SUM(J563:L563)</f>
        <v>91911</v>
      </c>
      <c r="N563" s="1">
        <f>N561+N621</f>
        <v>10868</v>
      </c>
      <c r="O563" s="1">
        <f>O561+O621</f>
        <v>3559</v>
      </c>
      <c r="P563" s="1">
        <f>P561+P621</f>
        <v>11483</v>
      </c>
      <c r="Q563" s="55">
        <f>SUM(N563:P563)</f>
        <v>25910</v>
      </c>
      <c r="R563" s="55">
        <f>+E563+I563+M563+Q563</f>
        <v>264007</v>
      </c>
    </row>
    <row r="564" spans="1:20" ht="16.5" customHeight="1" thickBot="1" x14ac:dyDescent="0.35">
      <c r="A564" s="20" t="s">
        <v>316</v>
      </c>
      <c r="B564" s="25">
        <f>(B563/B10)/1.983</f>
        <v>248.20652969596406</v>
      </c>
      <c r="C564" s="25">
        <f>(C563/C10)/1.983</f>
        <v>240.32850659174409</v>
      </c>
      <c r="D564" s="25">
        <f>(D563/D10)/1.983</f>
        <v>441.59224374928829</v>
      </c>
      <c r="E564" s="81" t="s">
        <v>7</v>
      </c>
      <c r="F564" s="25">
        <f>(F563/F10)/1.983</f>
        <v>500.01680954782313</v>
      </c>
      <c r="G564" s="25">
        <f>(G563/G10)/1.983</f>
        <v>483.98483887235045</v>
      </c>
      <c r="H564" s="25">
        <f>(H563/H10)/1.983</f>
        <v>520.08740964868036</v>
      </c>
      <c r="I564" s="81" t="s">
        <v>7</v>
      </c>
      <c r="J564" s="25">
        <f>(J563/J10)/1.983</f>
        <v>518.65046443153904</v>
      </c>
      <c r="K564" s="25">
        <f>(K563/K10)/1.983</f>
        <v>530.02131016869191</v>
      </c>
      <c r="L564" s="25">
        <f>(L563/L10)/1.983</f>
        <v>461.35484955454695</v>
      </c>
      <c r="M564" s="81" t="s">
        <v>7</v>
      </c>
      <c r="N564" s="25">
        <f>(N563/N10)/1.983</f>
        <v>176.79306362142728</v>
      </c>
      <c r="O564" s="25">
        <f>(O563/O10)/1.983</f>
        <v>59.825180702639102</v>
      </c>
      <c r="P564" s="25">
        <f>(P563/P10)/1.983</f>
        <v>186.79745579360045</v>
      </c>
      <c r="Q564" s="81" t="s">
        <v>7</v>
      </c>
      <c r="R564" s="81" t="s">
        <v>7</v>
      </c>
    </row>
    <row r="565" spans="1:20" ht="15.75" customHeight="1" x14ac:dyDescent="0.3">
      <c r="A565" s="2"/>
      <c r="B565" s="1"/>
      <c r="C565" s="1"/>
      <c r="D565" s="1"/>
      <c r="E565" s="1"/>
      <c r="F565" s="1"/>
      <c r="G565" s="1"/>
      <c r="H565" s="1"/>
      <c r="I565" s="1"/>
      <c r="J565" s="1"/>
      <c r="K565" s="1"/>
      <c r="L565" s="1"/>
      <c r="M565" s="1"/>
      <c r="N565" s="1"/>
      <c r="O565" s="1"/>
      <c r="P565" s="1"/>
      <c r="Q565" s="1"/>
      <c r="R565" s="2"/>
    </row>
    <row r="566" spans="1:20" ht="15.75" customHeight="1" thickBot="1" x14ac:dyDescent="0.35">
      <c r="A566" s="2"/>
      <c r="B566" s="1"/>
      <c r="C566" s="1"/>
      <c r="D566" s="1"/>
      <c r="E566" s="1"/>
      <c r="F566" s="1"/>
      <c r="G566" s="1"/>
      <c r="H566" s="1"/>
      <c r="I566" s="1"/>
      <c r="J566" s="1"/>
      <c r="K566" s="1"/>
      <c r="L566" s="1"/>
      <c r="M566" s="1"/>
      <c r="N566" s="1"/>
      <c r="O566" s="1"/>
      <c r="P566" s="1"/>
      <c r="Q566" s="1"/>
      <c r="R566" s="2"/>
    </row>
    <row r="567" spans="1:20" ht="16.5" customHeight="1" thickBot="1" x14ac:dyDescent="0.35">
      <c r="A567" s="124" t="s">
        <v>317</v>
      </c>
      <c r="B567" s="30" t="s">
        <v>8</v>
      </c>
      <c r="C567" s="31" t="s">
        <v>9</v>
      </c>
      <c r="D567" s="31" t="s">
        <v>10</v>
      </c>
      <c r="E567" s="32" t="s">
        <v>11</v>
      </c>
      <c r="F567" s="31" t="s">
        <v>12</v>
      </c>
      <c r="G567" s="31" t="s">
        <v>13</v>
      </c>
      <c r="H567" s="31" t="s">
        <v>14</v>
      </c>
      <c r="I567" s="33" t="s">
        <v>15</v>
      </c>
      <c r="J567" s="31" t="s">
        <v>16</v>
      </c>
      <c r="K567" s="31" t="s">
        <v>17</v>
      </c>
      <c r="L567" s="31" t="s">
        <v>18</v>
      </c>
      <c r="M567" s="33" t="s">
        <v>19</v>
      </c>
      <c r="N567" s="31" t="s">
        <v>20</v>
      </c>
      <c r="O567" s="31" t="s">
        <v>21</v>
      </c>
      <c r="P567" s="31" t="s">
        <v>22</v>
      </c>
      <c r="Q567" s="33" t="s">
        <v>23</v>
      </c>
      <c r="R567" s="34" t="s">
        <v>24</v>
      </c>
    </row>
    <row r="568" spans="1:20" ht="16.5" customHeight="1" thickBot="1" x14ac:dyDescent="0.35">
      <c r="A568" s="59"/>
      <c r="B568" s="75"/>
      <c r="C568" s="75"/>
      <c r="D568" s="75"/>
      <c r="E568" s="69"/>
      <c r="F568" s="75"/>
      <c r="G568" s="75"/>
      <c r="H568" s="75"/>
      <c r="I568" s="82"/>
      <c r="J568" s="75"/>
      <c r="K568" s="75"/>
      <c r="L568" s="75"/>
      <c r="M568" s="82"/>
      <c r="N568" s="75"/>
      <c r="O568" s="75"/>
      <c r="P568" s="75"/>
      <c r="Q568" s="82"/>
      <c r="R568" s="100"/>
    </row>
    <row r="569" spans="1:20" ht="15.75" customHeight="1" x14ac:dyDescent="0.3">
      <c r="A569" s="15" t="s">
        <v>48</v>
      </c>
      <c r="B569" s="1"/>
      <c r="C569" s="1"/>
      <c r="D569" s="1"/>
      <c r="E569" s="55" t="s">
        <v>7</v>
      </c>
      <c r="F569" s="1" t="s">
        <v>7</v>
      </c>
      <c r="G569" s="1" t="s">
        <v>7</v>
      </c>
      <c r="H569" s="1" t="s">
        <v>7</v>
      </c>
      <c r="I569" s="55" t="s">
        <v>7</v>
      </c>
      <c r="J569" s="1" t="s">
        <v>7</v>
      </c>
      <c r="K569" s="1" t="s">
        <v>7</v>
      </c>
      <c r="L569" s="1" t="s">
        <v>7</v>
      </c>
      <c r="M569" s="55" t="s">
        <v>7</v>
      </c>
      <c r="N569" s="1" t="s">
        <v>7</v>
      </c>
      <c r="O569" s="1" t="s">
        <v>7</v>
      </c>
      <c r="P569" s="1" t="s">
        <v>7</v>
      </c>
      <c r="Q569" s="55" t="s">
        <v>7</v>
      </c>
      <c r="R569" s="55" t="s">
        <v>7</v>
      </c>
    </row>
    <row r="570" spans="1:20" ht="15.75" customHeight="1" x14ac:dyDescent="0.3">
      <c r="A570" s="15" t="s">
        <v>49</v>
      </c>
      <c r="B570" s="1"/>
      <c r="C570" s="1"/>
      <c r="D570" s="1"/>
      <c r="E570" s="55" t="s">
        <v>7</v>
      </c>
      <c r="F570" s="1"/>
      <c r="G570" s="1"/>
      <c r="H570" s="1"/>
      <c r="I570" s="55" t="s">
        <v>7</v>
      </c>
      <c r="J570" s="1"/>
      <c r="K570" s="1"/>
      <c r="L570" s="1"/>
      <c r="M570" s="55" t="s">
        <v>7</v>
      </c>
      <c r="N570" s="1"/>
      <c r="O570" s="1"/>
      <c r="P570" s="1"/>
      <c r="Q570" s="55" t="s">
        <v>7</v>
      </c>
      <c r="R570" s="55" t="s">
        <v>7</v>
      </c>
    </row>
    <row r="571" spans="1:20" ht="15.75" customHeight="1" x14ac:dyDescent="0.3">
      <c r="A571" s="71" t="s">
        <v>762</v>
      </c>
      <c r="B571" s="1">
        <v>317</v>
      </c>
      <c r="C571" s="1">
        <v>454</v>
      </c>
      <c r="D571" s="1">
        <v>373</v>
      </c>
      <c r="E571" s="55">
        <f t="shared" ref="E571:E580" si="160">SUM(B571:D571)</f>
        <v>1144</v>
      </c>
      <c r="F571" s="1">
        <v>373</v>
      </c>
      <c r="G571" s="1">
        <v>505</v>
      </c>
      <c r="H571" s="1"/>
      <c r="I571" s="55">
        <f t="shared" ref="I571:I580" si="161">SUM(F571:H571)</f>
        <v>878</v>
      </c>
      <c r="J571" s="1">
        <v>310</v>
      </c>
      <c r="K571" s="1"/>
      <c r="L571" s="1"/>
      <c r="M571" s="55">
        <f t="shared" ref="M571:M580" si="162">SUM(J571:L571)</f>
        <v>310</v>
      </c>
      <c r="N571" s="1">
        <v>324</v>
      </c>
      <c r="O571" s="1"/>
      <c r="P571" s="1">
        <v>295</v>
      </c>
      <c r="Q571" s="55">
        <f t="shared" ref="Q571:Q580" si="163">SUM(N571:P571)</f>
        <v>619</v>
      </c>
      <c r="R571" s="55">
        <f t="shared" ref="R571:R580" si="164">+E571+I571+M571+Q571</f>
        <v>2951</v>
      </c>
    </row>
    <row r="572" spans="1:20" ht="15.75" customHeight="1" x14ac:dyDescent="0.3">
      <c r="A572" s="71" t="s">
        <v>320</v>
      </c>
      <c r="B572" s="1"/>
      <c r="C572" s="1">
        <v>500</v>
      </c>
      <c r="D572" s="1">
        <v>500</v>
      </c>
      <c r="E572" s="55">
        <f>SUM(B572:D572)</f>
        <v>1000</v>
      </c>
      <c r="F572" s="1">
        <v>200</v>
      </c>
      <c r="G572" s="1">
        <v>200</v>
      </c>
      <c r="H572" s="1">
        <v>200</v>
      </c>
      <c r="I572" s="55">
        <f>SUM(F572:H572)</f>
        <v>600</v>
      </c>
      <c r="J572" s="1">
        <v>200</v>
      </c>
      <c r="K572" s="1">
        <v>200</v>
      </c>
      <c r="L572" s="1"/>
      <c r="M572" s="55">
        <f>SUM(J572:L572)</f>
        <v>400</v>
      </c>
      <c r="N572" s="1"/>
      <c r="O572" s="1">
        <v>199</v>
      </c>
      <c r="P572" s="1"/>
      <c r="Q572" s="55">
        <f>SUM(N572:P572)</f>
        <v>199</v>
      </c>
      <c r="R572" s="55">
        <f>+E572+I572+M572+Q572</f>
        <v>2199</v>
      </c>
    </row>
    <row r="573" spans="1:20" ht="15.75" customHeight="1" x14ac:dyDescent="0.3">
      <c r="A573" s="71" t="s">
        <v>318</v>
      </c>
      <c r="B573" s="1"/>
      <c r="C573" s="1"/>
      <c r="D573" s="1">
        <v>704</v>
      </c>
      <c r="E573" s="55">
        <f t="shared" si="160"/>
        <v>704</v>
      </c>
      <c r="F573" s="1">
        <v>1672</v>
      </c>
      <c r="G573" s="1">
        <v>2055</v>
      </c>
      <c r="H573" s="1">
        <v>1370</v>
      </c>
      <c r="I573" s="55">
        <f t="shared" si="161"/>
        <v>5097</v>
      </c>
      <c r="J573" s="1"/>
      <c r="K573" s="1"/>
      <c r="L573" s="1"/>
      <c r="M573" s="55">
        <f t="shared" si="162"/>
        <v>0</v>
      </c>
      <c r="N573" s="1"/>
      <c r="O573" s="1"/>
      <c r="P573" s="1"/>
      <c r="Q573" s="55">
        <f t="shared" si="163"/>
        <v>0</v>
      </c>
      <c r="R573" s="55">
        <f t="shared" si="164"/>
        <v>5801</v>
      </c>
      <c r="T573" s="4" t="s">
        <v>987</v>
      </c>
    </row>
    <row r="574" spans="1:20" ht="15.75" customHeight="1" x14ac:dyDescent="0.3">
      <c r="A574" s="71" t="s">
        <v>763</v>
      </c>
      <c r="B574" s="1"/>
      <c r="C574" s="1"/>
      <c r="D574" s="1">
        <v>500</v>
      </c>
      <c r="E574" s="55">
        <f>SUM(B574:D574)</f>
        <v>500</v>
      </c>
      <c r="F574" s="1"/>
      <c r="G574" s="1"/>
      <c r="H574" s="1">
        <v>500</v>
      </c>
      <c r="I574" s="55">
        <f>SUM(F574:H574)</f>
        <v>500</v>
      </c>
      <c r="J574" s="1"/>
      <c r="K574" s="1"/>
      <c r="L574" s="1"/>
      <c r="M574" s="55">
        <f>SUM(J574:L574)</f>
        <v>0</v>
      </c>
      <c r="N574" s="1"/>
      <c r="O574" s="1"/>
      <c r="P574" s="1"/>
      <c r="Q574" s="55">
        <f>SUM(N574:P574)</f>
        <v>0</v>
      </c>
      <c r="R574" s="55">
        <f>+E574+I574+M574+Q574</f>
        <v>1000</v>
      </c>
      <c r="T574" s="4" t="s">
        <v>988</v>
      </c>
    </row>
    <row r="575" spans="1:20" ht="15.75" customHeight="1" x14ac:dyDescent="0.3">
      <c r="A575" s="71" t="s">
        <v>572</v>
      </c>
      <c r="B575" s="1">
        <v>9</v>
      </c>
      <c r="C575" s="1"/>
      <c r="D575" s="1">
        <v>686</v>
      </c>
      <c r="E575" s="55">
        <f t="shared" si="160"/>
        <v>695</v>
      </c>
      <c r="F575" s="1"/>
      <c r="G575" s="1"/>
      <c r="H575" s="1">
        <v>310</v>
      </c>
      <c r="I575" s="55">
        <f t="shared" si="161"/>
        <v>310</v>
      </c>
      <c r="J575" s="1">
        <v>350</v>
      </c>
      <c r="K575" s="1">
        <v>1141</v>
      </c>
      <c r="L575" s="1">
        <v>1509</v>
      </c>
      <c r="M575" s="55">
        <f t="shared" si="162"/>
        <v>3000</v>
      </c>
      <c r="N575" s="1"/>
      <c r="O575" s="1"/>
      <c r="P575" s="1"/>
      <c r="Q575" s="55">
        <f t="shared" si="163"/>
        <v>0</v>
      </c>
      <c r="R575" s="55">
        <f t="shared" si="164"/>
        <v>4005</v>
      </c>
      <c r="T575" s="4" t="s">
        <v>988</v>
      </c>
    </row>
    <row r="576" spans="1:20" ht="15.75" customHeight="1" x14ac:dyDescent="0.3">
      <c r="A576" s="71" t="s">
        <v>989</v>
      </c>
      <c r="B576" s="1">
        <v>320</v>
      </c>
      <c r="C576" s="1">
        <v>320</v>
      </c>
      <c r="D576" s="1">
        <v>320</v>
      </c>
      <c r="E576" s="55">
        <f>SUM(B576:D576)</f>
        <v>960</v>
      </c>
      <c r="F576" s="1">
        <v>320</v>
      </c>
      <c r="G576" s="1"/>
      <c r="H576" s="1">
        <v>89</v>
      </c>
      <c r="I576" s="55">
        <f>SUM(F576:H576)</f>
        <v>409</v>
      </c>
      <c r="J576" s="1">
        <v>348</v>
      </c>
      <c r="K576" s="1">
        <v>676</v>
      </c>
      <c r="L576" s="1">
        <v>682</v>
      </c>
      <c r="M576" s="55">
        <f>SUM(J576:L576)</f>
        <v>1706</v>
      </c>
      <c r="N576" s="1">
        <v>105</v>
      </c>
      <c r="O576" s="1"/>
      <c r="P576" s="1"/>
      <c r="Q576" s="55">
        <f>SUM(N576:P576)</f>
        <v>105</v>
      </c>
      <c r="R576" s="55">
        <f t="shared" si="164"/>
        <v>3180</v>
      </c>
    </row>
    <row r="577" spans="1:20" ht="15.75" customHeight="1" x14ac:dyDescent="0.3">
      <c r="A577" s="71" t="s">
        <v>319</v>
      </c>
      <c r="B577" s="1"/>
      <c r="C577" s="1"/>
      <c r="D577" s="1"/>
      <c r="E577" s="55">
        <f t="shared" si="160"/>
        <v>0</v>
      </c>
      <c r="F577" s="1"/>
      <c r="G577" s="1"/>
      <c r="H577" s="1"/>
      <c r="I577" s="55">
        <f t="shared" si="161"/>
        <v>0</v>
      </c>
      <c r="J577" s="1">
        <v>350</v>
      </c>
      <c r="K577" s="1">
        <v>1140</v>
      </c>
      <c r="L577" s="1">
        <v>1310</v>
      </c>
      <c r="M577" s="55">
        <f t="shared" si="162"/>
        <v>2800</v>
      </c>
      <c r="N577" s="1"/>
      <c r="O577" s="1"/>
      <c r="P577" s="1"/>
      <c r="Q577" s="55">
        <f t="shared" si="163"/>
        <v>0</v>
      </c>
      <c r="R577" s="55">
        <f t="shared" si="164"/>
        <v>2800</v>
      </c>
      <c r="T577" s="4" t="s">
        <v>988</v>
      </c>
    </row>
    <row r="578" spans="1:20" ht="15.75" customHeight="1" x14ac:dyDescent="0.3">
      <c r="A578" s="71" t="s">
        <v>990</v>
      </c>
      <c r="B578" s="1"/>
      <c r="C578" s="1"/>
      <c r="D578" s="1">
        <v>405</v>
      </c>
      <c r="E578" s="55">
        <f t="shared" si="160"/>
        <v>405</v>
      </c>
      <c r="F578" s="1">
        <v>654</v>
      </c>
      <c r="G578" s="1">
        <v>400</v>
      </c>
      <c r="H578" s="1">
        <v>400</v>
      </c>
      <c r="I578" s="55">
        <f t="shared" si="161"/>
        <v>1454</v>
      </c>
      <c r="J578" s="1">
        <v>400</v>
      </c>
      <c r="K578" s="1">
        <v>77</v>
      </c>
      <c r="L578" s="1"/>
      <c r="M578" s="55">
        <f t="shared" si="162"/>
        <v>477</v>
      </c>
      <c r="N578" s="1"/>
      <c r="O578" s="1"/>
      <c r="P578" s="1"/>
      <c r="Q578" s="55">
        <f>SUM(N578:P578)</f>
        <v>0</v>
      </c>
      <c r="R578" s="55">
        <f>+E578+I578+M578+Q578</f>
        <v>2336</v>
      </c>
    </row>
    <row r="579" spans="1:20" ht="15.75" customHeight="1" x14ac:dyDescent="0.3">
      <c r="A579" s="71" t="s">
        <v>321</v>
      </c>
      <c r="B579" s="1"/>
      <c r="C579" s="1"/>
      <c r="D579" s="1"/>
      <c r="E579" s="55">
        <f t="shared" si="160"/>
        <v>0</v>
      </c>
      <c r="F579" s="1"/>
      <c r="G579" s="1"/>
      <c r="H579" s="1"/>
      <c r="I579" s="55">
        <f t="shared" si="161"/>
        <v>0</v>
      </c>
      <c r="J579" s="1"/>
      <c r="K579" s="1"/>
      <c r="L579" s="1"/>
      <c r="M579" s="55">
        <f t="shared" si="162"/>
        <v>0</v>
      </c>
      <c r="N579" s="1"/>
      <c r="O579" s="1"/>
      <c r="P579" s="1"/>
      <c r="Q579" s="55">
        <f t="shared" si="163"/>
        <v>0</v>
      </c>
      <c r="R579" s="55">
        <f t="shared" si="164"/>
        <v>0</v>
      </c>
      <c r="T579" s="4" t="s">
        <v>988</v>
      </c>
    </row>
    <row r="580" spans="1:20" ht="15.75" customHeight="1" x14ac:dyDescent="0.3">
      <c r="A580" s="71" t="s">
        <v>1228</v>
      </c>
      <c r="B580" s="1"/>
      <c r="C580" s="1"/>
      <c r="D580" s="1"/>
      <c r="E580" s="55">
        <f t="shared" si="160"/>
        <v>0</v>
      </c>
      <c r="F580" s="1">
        <v>544</v>
      </c>
      <c r="G580" s="1">
        <v>458</v>
      </c>
      <c r="H580" s="1">
        <v>249</v>
      </c>
      <c r="I580" s="55">
        <f t="shared" si="161"/>
        <v>1251</v>
      </c>
      <c r="J580" s="1">
        <v>323</v>
      </c>
      <c r="K580" s="1">
        <v>139</v>
      </c>
      <c r="L580" s="1">
        <v>78</v>
      </c>
      <c r="M580" s="55">
        <f t="shared" si="162"/>
        <v>540</v>
      </c>
      <c r="N580" s="1">
        <v>37</v>
      </c>
      <c r="O580" s="1"/>
      <c r="P580" s="1"/>
      <c r="Q580" s="55">
        <f t="shared" si="163"/>
        <v>37</v>
      </c>
      <c r="R580" s="55">
        <f t="shared" si="164"/>
        <v>1828</v>
      </c>
      <c r="T580" s="4" t="s">
        <v>988</v>
      </c>
    </row>
    <row r="581" spans="1:20" ht="15.75" customHeight="1" x14ac:dyDescent="0.3">
      <c r="A581" s="71" t="s">
        <v>764</v>
      </c>
      <c r="B581" s="1"/>
      <c r="C581" s="1">
        <v>440</v>
      </c>
      <c r="D581" s="1">
        <v>900</v>
      </c>
      <c r="E581" s="55">
        <f>SUM(B581:D581)</f>
        <v>1340</v>
      </c>
      <c r="F581" s="1">
        <v>1597</v>
      </c>
      <c r="G581" s="1"/>
      <c r="H581" s="1"/>
      <c r="I581" s="55">
        <f>SUM(F581:H581)</f>
        <v>1597</v>
      </c>
      <c r="J581" s="1"/>
      <c r="K581" s="1"/>
      <c r="L581" s="1"/>
      <c r="M581" s="55">
        <f>SUM(J581:L581)</f>
        <v>0</v>
      </c>
      <c r="N581" s="1"/>
      <c r="O581" s="1"/>
      <c r="P581" s="1"/>
      <c r="Q581" s="55">
        <f>SUM(N581:P581)</f>
        <v>0</v>
      </c>
      <c r="R581" s="55">
        <f>+E581+I581+M581+Q581</f>
        <v>2937</v>
      </c>
      <c r="T581" s="4" t="s">
        <v>987</v>
      </c>
    </row>
    <row r="582" spans="1:20" ht="15.75" customHeight="1" x14ac:dyDescent="0.3">
      <c r="A582" s="15" t="s">
        <v>50</v>
      </c>
      <c r="B582" s="1"/>
      <c r="C582" s="1"/>
      <c r="D582" s="1"/>
      <c r="E582" s="55" t="s">
        <v>7</v>
      </c>
      <c r="F582" s="1"/>
      <c r="G582" s="1"/>
      <c r="H582" s="1"/>
      <c r="I582" s="55" t="s">
        <v>7</v>
      </c>
      <c r="J582" s="1"/>
      <c r="K582" s="1"/>
      <c r="L582" s="1"/>
      <c r="M582" s="55" t="s">
        <v>7</v>
      </c>
      <c r="N582" s="1"/>
      <c r="O582" s="1"/>
      <c r="P582" s="1"/>
      <c r="Q582" s="55" t="s">
        <v>7</v>
      </c>
      <c r="R582" s="55" t="s">
        <v>7</v>
      </c>
    </row>
    <row r="583" spans="1:20" ht="15.75" customHeight="1" x14ac:dyDescent="0.3">
      <c r="A583" s="71" t="s">
        <v>321</v>
      </c>
      <c r="B583" s="1"/>
      <c r="C583" s="1"/>
      <c r="D583" s="1"/>
      <c r="E583" s="55">
        <f>SUM(B583:D583)</f>
        <v>0</v>
      </c>
      <c r="F583" s="1"/>
      <c r="G583" s="1"/>
      <c r="H583" s="1"/>
      <c r="I583" s="55">
        <f>SUM(F583:H583)</f>
        <v>0</v>
      </c>
      <c r="J583" s="1"/>
      <c r="K583" s="1"/>
      <c r="L583" s="1"/>
      <c r="M583" s="55">
        <f>SUM(J583:L583)</f>
        <v>0</v>
      </c>
      <c r="N583" s="1"/>
      <c r="O583" s="1"/>
      <c r="P583" s="1"/>
      <c r="Q583" s="55">
        <f>SUM(N583:P583)</f>
        <v>0</v>
      </c>
      <c r="R583" s="55">
        <f>+E583+I583+M583+Q583</f>
        <v>0</v>
      </c>
      <c r="T583" s="4" t="s">
        <v>988</v>
      </c>
    </row>
    <row r="584" spans="1:20" ht="15.75" customHeight="1" x14ac:dyDescent="0.3">
      <c r="A584" s="15" t="s">
        <v>1186</v>
      </c>
      <c r="B584" s="1"/>
      <c r="C584" s="1"/>
      <c r="D584" s="1"/>
      <c r="E584" s="55" t="s">
        <v>7</v>
      </c>
      <c r="F584" s="1"/>
      <c r="G584" s="1"/>
      <c r="H584" s="1"/>
      <c r="I584" s="55" t="s">
        <v>7</v>
      </c>
      <c r="J584" s="1"/>
      <c r="K584" s="1"/>
      <c r="L584" s="1"/>
      <c r="M584" s="55" t="s">
        <v>7</v>
      </c>
      <c r="N584" s="1"/>
      <c r="O584" s="1"/>
      <c r="P584" s="1"/>
      <c r="Q584" s="55" t="s">
        <v>7</v>
      </c>
      <c r="R584" s="55" t="s">
        <v>7</v>
      </c>
    </row>
    <row r="585" spans="1:20" ht="15.75" customHeight="1" x14ac:dyDescent="0.3">
      <c r="A585" s="71" t="s">
        <v>326</v>
      </c>
      <c r="B585" s="1"/>
      <c r="C585" s="1"/>
      <c r="D585" s="1"/>
      <c r="E585" s="55">
        <f>SUM(B585:D585)</f>
        <v>0</v>
      </c>
      <c r="F585" s="1"/>
      <c r="G585" s="1"/>
      <c r="H585" s="1"/>
      <c r="I585" s="55">
        <f>SUM(F585:H585)</f>
        <v>0</v>
      </c>
      <c r="J585" s="1"/>
      <c r="K585" s="1"/>
      <c r="L585" s="1"/>
      <c r="M585" s="55">
        <f>SUM(J585:L585)</f>
        <v>0</v>
      </c>
      <c r="N585" s="1">
        <v>608</v>
      </c>
      <c r="O585" s="1">
        <v>966</v>
      </c>
      <c r="P585" s="1">
        <v>334</v>
      </c>
      <c r="Q585" s="55">
        <f>SUM(N585:P585)</f>
        <v>1908</v>
      </c>
      <c r="R585" s="55">
        <f>+E585+I585+M585+Q585</f>
        <v>1908</v>
      </c>
      <c r="T585" s="4" t="s">
        <v>988</v>
      </c>
    </row>
    <row r="586" spans="1:20" ht="15.75" customHeight="1" thickBot="1" x14ac:dyDescent="0.35">
      <c r="A586" s="15" t="s">
        <v>53</v>
      </c>
      <c r="B586" s="1"/>
      <c r="C586" s="1"/>
      <c r="D586" s="1"/>
      <c r="E586" s="55" t="s">
        <v>7</v>
      </c>
      <c r="F586" s="1"/>
      <c r="G586" s="1"/>
      <c r="H586" s="1"/>
      <c r="I586" s="55" t="s">
        <v>7</v>
      </c>
      <c r="J586" s="1"/>
      <c r="K586" s="1"/>
      <c r="L586" s="1"/>
      <c r="M586" s="55" t="s">
        <v>7</v>
      </c>
      <c r="N586" s="1"/>
      <c r="O586" s="1"/>
      <c r="P586" s="1"/>
      <c r="Q586" s="55" t="s">
        <v>7</v>
      </c>
      <c r="R586" s="55" t="s">
        <v>7</v>
      </c>
    </row>
    <row r="587" spans="1:20" ht="16.5" customHeight="1" thickBot="1" x14ac:dyDescent="0.35">
      <c r="A587" s="109" t="s">
        <v>54</v>
      </c>
      <c r="B587" s="86">
        <f>SUM(B569:B586)</f>
        <v>646</v>
      </c>
      <c r="C587" s="87">
        <f>SUM(C569:C586)</f>
        <v>1714</v>
      </c>
      <c r="D587" s="87">
        <f>SUM(D569:D586)</f>
        <v>4388</v>
      </c>
      <c r="E587" s="59">
        <f>SUM(B587:D587)</f>
        <v>6748</v>
      </c>
      <c r="F587" s="87">
        <f>SUM(F569:F586)</f>
        <v>5360</v>
      </c>
      <c r="G587" s="87">
        <f>SUM(G569:G586)</f>
        <v>3618</v>
      </c>
      <c r="H587" s="87">
        <f>SUM(H569:H586)</f>
        <v>3118</v>
      </c>
      <c r="I587" s="59">
        <f>SUM(F587:H587)</f>
        <v>12096</v>
      </c>
      <c r="J587" s="87">
        <f>SUM(J569:J586)</f>
        <v>2281</v>
      </c>
      <c r="K587" s="87">
        <f>SUM(K569:K586)</f>
        <v>3373</v>
      </c>
      <c r="L587" s="87">
        <f>SUM(L569:L586)</f>
        <v>3579</v>
      </c>
      <c r="M587" s="59">
        <f>SUM(J587:L587)</f>
        <v>9233</v>
      </c>
      <c r="N587" s="87">
        <f>SUM(N569:N586)</f>
        <v>1074</v>
      </c>
      <c r="O587" s="87">
        <f>SUM(O569:O586)</f>
        <v>1165</v>
      </c>
      <c r="P587" s="87">
        <f>SUM(P569:P586)</f>
        <v>629</v>
      </c>
      <c r="Q587" s="59">
        <f>SUM(N587:P587)</f>
        <v>2868</v>
      </c>
      <c r="R587" s="59">
        <f>+E587+I587+M587+Q587</f>
        <v>30945</v>
      </c>
    </row>
    <row r="588" spans="1:20" ht="15.75" customHeight="1" x14ac:dyDescent="0.3">
      <c r="A588" s="15" t="s">
        <v>55</v>
      </c>
      <c r="B588" s="1"/>
      <c r="C588" s="1"/>
      <c r="D588" s="1"/>
      <c r="E588" s="55" t="s">
        <v>7</v>
      </c>
      <c r="F588" s="1"/>
      <c r="G588" s="1"/>
      <c r="H588" s="1"/>
      <c r="I588" s="55" t="s">
        <v>7</v>
      </c>
      <c r="J588" s="1"/>
      <c r="K588" s="1"/>
      <c r="L588" s="1"/>
      <c r="M588" s="55" t="s">
        <v>7</v>
      </c>
      <c r="N588" s="1"/>
      <c r="O588" s="1"/>
      <c r="P588" s="1"/>
      <c r="Q588" s="55" t="s">
        <v>7</v>
      </c>
      <c r="R588" s="55" t="s">
        <v>7</v>
      </c>
    </row>
    <row r="589" spans="1:20" ht="15.75" customHeight="1" x14ac:dyDescent="0.3">
      <c r="A589" s="15" t="s">
        <v>57</v>
      </c>
      <c r="B589" s="1"/>
      <c r="C589" s="1"/>
      <c r="D589" s="1"/>
      <c r="E589" s="55" t="s">
        <v>7</v>
      </c>
      <c r="F589" s="1"/>
      <c r="G589" s="1"/>
      <c r="H589" s="1"/>
      <c r="I589" s="55" t="s">
        <v>7</v>
      </c>
      <c r="J589" s="1"/>
      <c r="K589" s="1"/>
      <c r="L589" s="1"/>
      <c r="M589" s="55" t="s">
        <v>7</v>
      </c>
      <c r="N589" s="1"/>
      <c r="O589" s="1"/>
      <c r="P589" s="1"/>
      <c r="Q589" s="55" t="s">
        <v>7</v>
      </c>
      <c r="R589" s="55" t="s">
        <v>7</v>
      </c>
    </row>
    <row r="590" spans="1:20" ht="15.75" customHeight="1" x14ac:dyDescent="0.3">
      <c r="A590" s="71" t="s">
        <v>324</v>
      </c>
      <c r="B590" s="1"/>
      <c r="C590" s="1"/>
      <c r="D590" s="1"/>
      <c r="E590" s="55">
        <f>SUM(B590:D590)</f>
        <v>0</v>
      </c>
      <c r="F590" s="1"/>
      <c r="G590" s="1"/>
      <c r="H590" s="1"/>
      <c r="I590" s="55">
        <f>SUM(F590:H590)</f>
        <v>0</v>
      </c>
      <c r="J590" s="1"/>
      <c r="K590" s="1"/>
      <c r="L590" s="1"/>
      <c r="M590" s="55">
        <f>SUM(J590:L590)</f>
        <v>0</v>
      </c>
      <c r="N590" s="1"/>
      <c r="O590" s="1"/>
      <c r="P590" s="1">
        <v>4</v>
      </c>
      <c r="Q590" s="55">
        <f>SUM(N590:P590)</f>
        <v>4</v>
      </c>
      <c r="R590" s="55">
        <f>+E590+I590+M590+Q590</f>
        <v>4</v>
      </c>
    </row>
    <row r="591" spans="1:20" ht="15.75" customHeight="1" x14ac:dyDescent="0.3">
      <c r="A591" s="71" t="s">
        <v>659</v>
      </c>
      <c r="B591" s="1"/>
      <c r="C591" s="1"/>
      <c r="D591" s="1"/>
      <c r="E591" s="55">
        <f>SUM(B591:D591)</f>
        <v>0</v>
      </c>
      <c r="F591" s="1"/>
      <c r="G591" s="1"/>
      <c r="H591" s="1"/>
      <c r="I591" s="55">
        <f>SUM(F591:H591)</f>
        <v>0</v>
      </c>
      <c r="J591" s="1"/>
      <c r="K591" s="1"/>
      <c r="L591" s="1"/>
      <c r="M591" s="55">
        <f>SUM(J591:L591)</f>
        <v>0</v>
      </c>
      <c r="N591" s="1"/>
      <c r="O591" s="1"/>
      <c r="P591" s="1"/>
      <c r="Q591" s="55">
        <f>SUM(N591:P591)</f>
        <v>0</v>
      </c>
      <c r="R591" s="55">
        <f>+E591+I591+M591+Q591</f>
        <v>0</v>
      </c>
    </row>
    <row r="592" spans="1:20" ht="15.75" customHeight="1" thickBot="1" x14ac:dyDescent="0.35">
      <c r="A592" s="15" t="s">
        <v>58</v>
      </c>
      <c r="B592" s="1"/>
      <c r="C592" s="1"/>
      <c r="D592" s="1"/>
      <c r="E592" s="55" t="s">
        <v>7</v>
      </c>
      <c r="F592" s="1"/>
      <c r="G592" s="1"/>
      <c r="H592" s="1"/>
      <c r="I592" s="55" t="s">
        <v>7</v>
      </c>
      <c r="J592" s="1"/>
      <c r="K592" s="1"/>
      <c r="L592" s="1"/>
      <c r="M592" s="55" t="s">
        <v>7</v>
      </c>
      <c r="N592" s="1"/>
      <c r="O592" s="1"/>
      <c r="P592" s="1"/>
      <c r="Q592" s="55" t="s">
        <v>7</v>
      </c>
      <c r="R592" s="55" t="s">
        <v>7</v>
      </c>
    </row>
    <row r="593" spans="1:20" ht="16.5" customHeight="1" thickBot="1" x14ac:dyDescent="0.35">
      <c r="A593" s="57" t="s">
        <v>59</v>
      </c>
      <c r="B593" s="86">
        <f>SUM(B588:B592)</f>
        <v>0</v>
      </c>
      <c r="C593" s="87">
        <f>SUM(C588:C592)</f>
        <v>0</v>
      </c>
      <c r="D593" s="87">
        <f>SUM(D588:D592)</f>
        <v>0</v>
      </c>
      <c r="E593" s="59">
        <f>SUM(B593:D593)</f>
        <v>0</v>
      </c>
      <c r="F593" s="87">
        <f>SUM(F588:F592)</f>
        <v>0</v>
      </c>
      <c r="G593" s="87">
        <f>SUM(G588:G592)</f>
        <v>0</v>
      </c>
      <c r="H593" s="87">
        <f>SUM(H588:H592)</f>
        <v>0</v>
      </c>
      <c r="I593" s="59">
        <f>SUM(F593:H593)</f>
        <v>0</v>
      </c>
      <c r="J593" s="87">
        <f>SUM(J588:J592)</f>
        <v>0</v>
      </c>
      <c r="K593" s="87">
        <f>SUM(K588:K592)</f>
        <v>0</v>
      </c>
      <c r="L593" s="87">
        <f>SUM(L588:L592)</f>
        <v>0</v>
      </c>
      <c r="M593" s="59">
        <f>SUM(J593:L593)</f>
        <v>0</v>
      </c>
      <c r="N593" s="87">
        <f>SUM(N588:N592)</f>
        <v>0</v>
      </c>
      <c r="O593" s="87">
        <f>SUM(O588:O592)</f>
        <v>0</v>
      </c>
      <c r="P593" s="87">
        <f>SUM(P588:P592)</f>
        <v>4</v>
      </c>
      <c r="Q593" s="59">
        <f>SUM(N593:P593)</f>
        <v>4</v>
      </c>
      <c r="R593" s="59">
        <f>+E593+I593+M593+Q593</f>
        <v>4</v>
      </c>
    </row>
    <row r="594" spans="1:20" ht="15.75" customHeight="1" x14ac:dyDescent="0.3">
      <c r="A594" s="15" t="s">
        <v>60</v>
      </c>
      <c r="B594" s="1"/>
      <c r="C594" s="1"/>
      <c r="D594" s="1"/>
      <c r="E594" s="55" t="s">
        <v>7</v>
      </c>
      <c r="F594" s="1"/>
      <c r="G594" s="1"/>
      <c r="H594" s="1"/>
      <c r="I594" s="55" t="s">
        <v>7</v>
      </c>
      <c r="J594" s="1"/>
      <c r="K594" s="1"/>
      <c r="L594" s="1"/>
      <c r="M594" s="55" t="s">
        <v>7</v>
      </c>
      <c r="N594" s="1"/>
      <c r="O594" s="1"/>
      <c r="P594" s="1"/>
      <c r="Q594" s="55" t="s">
        <v>7</v>
      </c>
      <c r="R594" s="55" t="s">
        <v>7</v>
      </c>
    </row>
    <row r="595" spans="1:20" ht="15.75" customHeight="1" x14ac:dyDescent="0.3">
      <c r="A595" s="15" t="s">
        <v>61</v>
      </c>
      <c r="B595" s="1"/>
      <c r="C595" s="1"/>
      <c r="D595" s="1"/>
      <c r="E595" s="55" t="s">
        <v>7</v>
      </c>
      <c r="F595" s="1"/>
      <c r="G595" s="1"/>
      <c r="H595" s="1"/>
      <c r="I595" s="55" t="s">
        <v>7</v>
      </c>
      <c r="J595" s="1"/>
      <c r="K595" s="1"/>
      <c r="L595" s="1"/>
      <c r="M595" s="55" t="s">
        <v>7</v>
      </c>
      <c r="N595" s="1"/>
      <c r="O595" s="1"/>
      <c r="P595" s="1"/>
      <c r="Q595" s="55" t="s">
        <v>7</v>
      </c>
      <c r="R595" s="55" t="s">
        <v>7</v>
      </c>
    </row>
    <row r="596" spans="1:20" ht="15.75" customHeight="1" x14ac:dyDescent="0.3">
      <c r="A596" s="15" t="s">
        <v>62</v>
      </c>
      <c r="B596" s="1"/>
      <c r="C596" s="1"/>
      <c r="D596" s="1"/>
      <c r="E596" s="55" t="s">
        <v>7</v>
      </c>
      <c r="F596" s="1"/>
      <c r="G596" s="1"/>
      <c r="H596" s="1"/>
      <c r="I596" s="55" t="s">
        <v>7</v>
      </c>
      <c r="J596" s="1"/>
      <c r="K596" s="1"/>
      <c r="L596" s="1"/>
      <c r="M596" s="55" t="s">
        <v>7</v>
      </c>
      <c r="N596" s="1"/>
      <c r="O596" s="1"/>
      <c r="P596" s="1"/>
      <c r="Q596" s="55" t="s">
        <v>7</v>
      </c>
      <c r="R596" s="55" t="s">
        <v>7</v>
      </c>
    </row>
    <row r="597" spans="1:20" ht="15.75" customHeight="1" x14ac:dyDescent="0.3">
      <c r="A597" s="71" t="s">
        <v>1229</v>
      </c>
      <c r="B597" s="1"/>
      <c r="C597" s="1"/>
      <c r="D597" s="1"/>
      <c r="E597" s="55">
        <f>SUM(B597:D597)</f>
        <v>0</v>
      </c>
      <c r="F597" s="1"/>
      <c r="G597" s="1"/>
      <c r="H597" s="1"/>
      <c r="I597" s="55">
        <f>SUM(F597:H597)</f>
        <v>0</v>
      </c>
      <c r="J597" s="1"/>
      <c r="K597" s="1"/>
      <c r="L597" s="1">
        <v>604</v>
      </c>
      <c r="M597" s="55">
        <f>SUM(J597:L597)</f>
        <v>604</v>
      </c>
      <c r="N597" s="1">
        <v>1477</v>
      </c>
      <c r="O597" s="1">
        <v>454</v>
      </c>
      <c r="P597" s="1"/>
      <c r="Q597" s="55">
        <f>SUM(N597:P597)</f>
        <v>1931</v>
      </c>
      <c r="R597" s="55">
        <f>+E597+I597+M597+Q597</f>
        <v>2535</v>
      </c>
      <c r="T597" s="4" t="s">
        <v>988</v>
      </c>
    </row>
    <row r="598" spans="1:20" ht="15.75" customHeight="1" x14ac:dyDescent="0.3">
      <c r="A598" s="71" t="s">
        <v>1230</v>
      </c>
      <c r="B598" s="1"/>
      <c r="C598" s="1"/>
      <c r="D598" s="1"/>
      <c r="E598" s="55">
        <f>SUM(B598:D598)</f>
        <v>0</v>
      </c>
      <c r="F598" s="1"/>
      <c r="G598" s="1">
        <v>320</v>
      </c>
      <c r="H598" s="1"/>
      <c r="I598" s="55">
        <f>SUM(F598:H598)</f>
        <v>320</v>
      </c>
      <c r="J598" s="1"/>
      <c r="K598" s="1"/>
      <c r="L598" s="1"/>
      <c r="M598" s="55">
        <f>SUM(J598:L598)</f>
        <v>0</v>
      </c>
      <c r="N598" s="1"/>
      <c r="O598" s="1"/>
      <c r="P598" s="1"/>
      <c r="Q598" s="55">
        <f>SUM(N598:P598)</f>
        <v>0</v>
      </c>
      <c r="R598" s="55">
        <f>+E598+I598+M598+Q598</f>
        <v>320</v>
      </c>
    </row>
    <row r="599" spans="1:20" ht="15.75" customHeight="1" thickBot="1" x14ac:dyDescent="0.35">
      <c r="A599" s="71" t="s">
        <v>660</v>
      </c>
      <c r="B599" s="1"/>
      <c r="C599" s="1"/>
      <c r="D599" s="1"/>
      <c r="E599" s="55">
        <f>SUM(B599:D599)</f>
        <v>0</v>
      </c>
      <c r="F599" s="1"/>
      <c r="G599" s="1"/>
      <c r="H599" s="1"/>
      <c r="I599" s="55">
        <f>SUM(F599:H599)</f>
        <v>0</v>
      </c>
      <c r="J599" s="1"/>
      <c r="K599" s="1"/>
      <c r="L599" s="1"/>
      <c r="M599" s="55">
        <f>SUM(J599:L599)</f>
        <v>0</v>
      </c>
      <c r="N599" s="1"/>
      <c r="O599" s="1"/>
      <c r="P599" s="1">
        <v>3500</v>
      </c>
      <c r="Q599" s="55">
        <f>SUM(N599:P599)</f>
        <v>3500</v>
      </c>
      <c r="R599" s="55">
        <f>+E599+I599+M599+Q599</f>
        <v>3500</v>
      </c>
      <c r="T599" s="4" t="s">
        <v>988</v>
      </c>
    </row>
    <row r="600" spans="1:20" ht="16.5" customHeight="1" thickBot="1" x14ac:dyDescent="0.35">
      <c r="A600" s="114" t="s">
        <v>63</v>
      </c>
      <c r="B600" s="86">
        <f>SUM(B594:B599)</f>
        <v>0</v>
      </c>
      <c r="C600" s="87">
        <f>SUM(C594:C599)</f>
        <v>0</v>
      </c>
      <c r="D600" s="87">
        <f>SUM(D594:D599)</f>
        <v>0</v>
      </c>
      <c r="E600" s="59">
        <f>SUM(B600:D600)</f>
        <v>0</v>
      </c>
      <c r="F600" s="87">
        <f>SUM(F594:F599)</f>
        <v>0</v>
      </c>
      <c r="G600" s="87">
        <f>SUM(G594:G599)</f>
        <v>320</v>
      </c>
      <c r="H600" s="87">
        <f>SUM(H594:H599)</f>
        <v>0</v>
      </c>
      <c r="I600" s="59">
        <f>SUM(F600:H600)</f>
        <v>320</v>
      </c>
      <c r="J600" s="87">
        <f>SUM(J594:J599)</f>
        <v>0</v>
      </c>
      <c r="K600" s="87">
        <f>SUM(K594:K599)</f>
        <v>0</v>
      </c>
      <c r="L600" s="87">
        <f>SUM(L594:L599)</f>
        <v>604</v>
      </c>
      <c r="M600" s="59">
        <f>SUM(J600:L600)</f>
        <v>604</v>
      </c>
      <c r="N600" s="87">
        <f>SUM(N594:N599)</f>
        <v>1477</v>
      </c>
      <c r="O600" s="87">
        <f>SUM(O594:O599)</f>
        <v>454</v>
      </c>
      <c r="P600" s="87">
        <f>SUM(P594:P599)</f>
        <v>3500</v>
      </c>
      <c r="Q600" s="59">
        <f>SUM(N600:P600)</f>
        <v>5431</v>
      </c>
      <c r="R600" s="59">
        <f>+E600+I600+M600+Q600</f>
        <v>6355</v>
      </c>
    </row>
    <row r="601" spans="1:20" ht="15.75" customHeight="1" x14ac:dyDescent="0.3">
      <c r="A601" s="15" t="s">
        <v>64</v>
      </c>
      <c r="B601" s="1"/>
      <c r="C601" s="1"/>
      <c r="D601" s="1"/>
      <c r="E601" s="55" t="s">
        <v>7</v>
      </c>
      <c r="F601" s="1"/>
      <c r="G601" s="1"/>
      <c r="H601" s="1"/>
      <c r="I601" s="55" t="s">
        <v>7</v>
      </c>
      <c r="J601" s="1"/>
      <c r="K601" s="1"/>
      <c r="L601" s="1"/>
      <c r="M601" s="55" t="s">
        <v>7</v>
      </c>
      <c r="N601" s="1"/>
      <c r="O601" s="1"/>
      <c r="P601" s="1"/>
      <c r="Q601" s="55" t="s">
        <v>7</v>
      </c>
      <c r="R601" s="55" t="s">
        <v>7</v>
      </c>
    </row>
    <row r="602" spans="1:20" ht="15.75" customHeight="1" x14ac:dyDescent="0.3">
      <c r="A602" s="15" t="s">
        <v>594</v>
      </c>
      <c r="B602" s="1"/>
      <c r="C602" s="1"/>
      <c r="D602" s="1"/>
      <c r="E602" s="55" t="s">
        <v>7</v>
      </c>
      <c r="F602" s="1"/>
      <c r="G602" s="1"/>
      <c r="H602" s="1"/>
      <c r="I602" s="55" t="s">
        <v>7</v>
      </c>
      <c r="J602" s="1"/>
      <c r="K602" s="1"/>
      <c r="L602" s="1"/>
      <c r="M602" s="55" t="s">
        <v>7</v>
      </c>
      <c r="N602" s="1"/>
      <c r="O602" s="1"/>
      <c r="P602" s="1"/>
      <c r="Q602" s="55" t="s">
        <v>7</v>
      </c>
      <c r="R602" s="55" t="s">
        <v>7</v>
      </c>
    </row>
    <row r="603" spans="1:20" ht="15.75" customHeight="1" x14ac:dyDescent="0.3">
      <c r="A603" s="71" t="s">
        <v>326</v>
      </c>
      <c r="B603" s="1"/>
      <c r="C603" s="1"/>
      <c r="D603" s="1"/>
      <c r="E603" s="55">
        <f>SUM(B603:D603)</f>
        <v>0</v>
      </c>
      <c r="F603" s="1"/>
      <c r="G603" s="1"/>
      <c r="H603" s="1"/>
      <c r="I603" s="55">
        <f>SUM(F603:H603)</f>
        <v>0</v>
      </c>
      <c r="J603" s="1"/>
      <c r="K603" s="1"/>
      <c r="L603" s="1"/>
      <c r="M603" s="55">
        <f>SUM(J603:L603)</f>
        <v>0</v>
      </c>
      <c r="N603" s="1"/>
      <c r="O603" s="1"/>
      <c r="P603" s="1"/>
      <c r="Q603" s="55">
        <f>SUM(N603:P603)</f>
        <v>0</v>
      </c>
      <c r="R603" s="55">
        <f>+E603+I603+M603+Q603</f>
        <v>0</v>
      </c>
      <c r="T603" s="4" t="s">
        <v>988</v>
      </c>
    </row>
    <row r="604" spans="1:20" ht="15.75" customHeight="1" x14ac:dyDescent="0.3">
      <c r="A604" s="71" t="s">
        <v>327</v>
      </c>
      <c r="B604" s="1"/>
      <c r="C604" s="1"/>
      <c r="D604" s="1"/>
      <c r="E604" s="55">
        <f>SUM(B604:D604)</f>
        <v>0</v>
      </c>
      <c r="F604" s="1"/>
      <c r="G604" s="1"/>
      <c r="H604" s="1"/>
      <c r="I604" s="55">
        <f>SUM(F604:H604)</f>
        <v>0</v>
      </c>
      <c r="J604" s="1"/>
      <c r="K604" s="1"/>
      <c r="L604" s="1"/>
      <c r="M604" s="55">
        <f>SUM(J604:L604)</f>
        <v>0</v>
      </c>
      <c r="N604" s="1"/>
      <c r="O604" s="1"/>
      <c r="P604" s="1"/>
      <c r="Q604" s="55">
        <f>SUM(N604:P604)</f>
        <v>0</v>
      </c>
      <c r="R604" s="55">
        <f>+E604+I604+M604+Q604</f>
        <v>0</v>
      </c>
      <c r="T604" s="4" t="s">
        <v>988</v>
      </c>
    </row>
    <row r="605" spans="1:20" ht="15.75" customHeight="1" x14ac:dyDescent="0.3">
      <c r="A605" s="15" t="s">
        <v>67</v>
      </c>
      <c r="B605" s="1"/>
      <c r="C605" s="1"/>
      <c r="D605" s="1"/>
      <c r="E605" s="55" t="s">
        <v>7</v>
      </c>
      <c r="F605" s="1"/>
      <c r="G605" s="1"/>
      <c r="H605" s="1"/>
      <c r="I605" s="55" t="s">
        <v>7</v>
      </c>
      <c r="J605" s="1"/>
      <c r="K605" s="1"/>
      <c r="L605" s="1"/>
      <c r="M605" s="55" t="s">
        <v>7</v>
      </c>
      <c r="N605" s="1"/>
      <c r="O605" s="1"/>
      <c r="P605" s="1"/>
      <c r="Q605" s="55" t="s">
        <v>7</v>
      </c>
      <c r="R605" s="55" t="s">
        <v>7</v>
      </c>
    </row>
    <row r="606" spans="1:20" ht="15.75" customHeight="1" x14ac:dyDescent="0.3">
      <c r="A606" s="71" t="s">
        <v>992</v>
      </c>
      <c r="B606" s="1"/>
      <c r="C606" s="1"/>
      <c r="D606" s="1"/>
      <c r="E606" s="55">
        <f>SUM(B606:D606)</f>
        <v>0</v>
      </c>
      <c r="F606" s="1"/>
      <c r="G606" s="1"/>
      <c r="H606" s="1"/>
      <c r="I606" s="55">
        <f>SUM(F606:H606)</f>
        <v>0</v>
      </c>
      <c r="J606" s="1"/>
      <c r="K606" s="1"/>
      <c r="L606" s="1"/>
      <c r="M606" s="55">
        <f>SUM(J606:L606)</f>
        <v>0</v>
      </c>
      <c r="N606" s="1"/>
      <c r="O606" s="1"/>
      <c r="P606" s="1"/>
      <c r="Q606" s="55">
        <f>SUM(N606:P606)</f>
        <v>0</v>
      </c>
      <c r="R606" s="55">
        <f>+E606+I606+M606+Q606</f>
        <v>0</v>
      </c>
    </row>
    <row r="607" spans="1:20" ht="15.75" customHeight="1" x14ac:dyDescent="0.3">
      <c r="A607" s="71" t="s">
        <v>768</v>
      </c>
      <c r="B607" s="1"/>
      <c r="C607" s="1"/>
      <c r="D607" s="1"/>
      <c r="E607" s="55">
        <f>SUM(B607:D607)</f>
        <v>0</v>
      </c>
      <c r="F607" s="1"/>
      <c r="G607" s="1"/>
      <c r="H607" s="1"/>
      <c r="I607" s="55">
        <f>SUM(F607:H607)</f>
        <v>0</v>
      </c>
      <c r="J607" s="1"/>
      <c r="K607" s="1"/>
      <c r="L607" s="1"/>
      <c r="M607" s="55">
        <f>SUM(J607:L607)</f>
        <v>0</v>
      </c>
      <c r="N607" s="1"/>
      <c r="O607" s="1"/>
      <c r="P607" s="1"/>
      <c r="Q607" s="55">
        <f>SUM(N607:P607)</f>
        <v>0</v>
      </c>
      <c r="R607" s="55">
        <f>+E607+I607+M607+Q607</f>
        <v>0</v>
      </c>
    </row>
    <row r="608" spans="1:20" ht="15.75" customHeight="1" x14ac:dyDescent="0.3">
      <c r="A608" s="71" t="s">
        <v>769</v>
      </c>
      <c r="B608" s="1"/>
      <c r="C608" s="1"/>
      <c r="D608" s="1"/>
      <c r="E608" s="55">
        <f>SUM(B608:D608)</f>
        <v>0</v>
      </c>
      <c r="F608" s="1"/>
      <c r="G608" s="1"/>
      <c r="H608" s="1"/>
      <c r="I608" s="55">
        <f>SUM(F608:H608)</f>
        <v>0</v>
      </c>
      <c r="J608" s="1"/>
      <c r="K608" s="1"/>
      <c r="L608" s="1"/>
      <c r="M608" s="55">
        <f>SUM(J608:L608)</f>
        <v>0</v>
      </c>
      <c r="N608" s="1"/>
      <c r="O608" s="1"/>
      <c r="P608" s="1">
        <v>1</v>
      </c>
      <c r="Q608" s="55">
        <f>SUM(N608:P608)</f>
        <v>1</v>
      </c>
      <c r="R608" s="55">
        <f>+E608+I608+M608+Q608</f>
        <v>1</v>
      </c>
      <c r="T608" s="4" t="s">
        <v>988</v>
      </c>
    </row>
    <row r="609" spans="1:20" ht="15.75" customHeight="1" x14ac:dyDescent="0.3">
      <c r="A609" s="71" t="s">
        <v>770</v>
      </c>
      <c r="B609" s="1"/>
      <c r="C609" s="1"/>
      <c r="D609" s="1"/>
      <c r="E609" s="55">
        <f>SUM(B609:D609)</f>
        <v>0</v>
      </c>
      <c r="F609" s="1"/>
      <c r="G609" s="1"/>
      <c r="H609" s="1"/>
      <c r="I609" s="55">
        <f>SUM(F609:H609)</f>
        <v>0</v>
      </c>
      <c r="J609" s="1"/>
      <c r="K609" s="1"/>
      <c r="L609" s="1"/>
      <c r="M609" s="55">
        <f>SUM(J609:L609)</f>
        <v>0</v>
      </c>
      <c r="N609" s="1"/>
      <c r="O609" s="1"/>
      <c r="P609" s="1"/>
      <c r="Q609" s="55">
        <f>SUM(N609:P609)</f>
        <v>0</v>
      </c>
      <c r="R609" s="55">
        <f>+E609+I609+M609+Q609</f>
        <v>0</v>
      </c>
      <c r="T609" s="4" t="s">
        <v>988</v>
      </c>
    </row>
    <row r="610" spans="1:20" ht="15.75" customHeight="1" x14ac:dyDescent="0.3">
      <c r="A610" s="15" t="s">
        <v>600</v>
      </c>
      <c r="B610" s="1"/>
      <c r="C610" s="1"/>
      <c r="D610" s="1"/>
      <c r="E610" s="55" t="s">
        <v>7</v>
      </c>
      <c r="F610" s="1"/>
      <c r="G610" s="1"/>
      <c r="H610" s="1"/>
      <c r="I610" s="55" t="s">
        <v>7</v>
      </c>
      <c r="J610" s="1"/>
      <c r="K610" s="1"/>
      <c r="L610" s="1"/>
      <c r="M610" s="55" t="s">
        <v>7</v>
      </c>
      <c r="N610" s="1"/>
      <c r="O610" s="1"/>
      <c r="P610" s="1"/>
      <c r="Q610" s="55" t="s">
        <v>7</v>
      </c>
      <c r="R610" s="55" t="s">
        <v>7</v>
      </c>
    </row>
    <row r="611" spans="1:20" ht="15.75" customHeight="1" x14ac:dyDescent="0.3">
      <c r="A611" s="15" t="s">
        <v>70</v>
      </c>
      <c r="B611" s="1"/>
      <c r="C611" s="1"/>
      <c r="D611" s="1"/>
      <c r="E611" s="55" t="s">
        <v>7</v>
      </c>
      <c r="F611" s="1"/>
      <c r="G611" s="1"/>
      <c r="H611" s="1"/>
      <c r="I611" s="55" t="s">
        <v>7</v>
      </c>
      <c r="J611" s="1"/>
      <c r="K611" s="1"/>
      <c r="L611" s="1"/>
      <c r="M611" s="55" t="s">
        <v>7</v>
      </c>
      <c r="N611" s="1"/>
      <c r="O611" s="1"/>
      <c r="P611" s="1"/>
      <c r="Q611" s="55" t="s">
        <v>7</v>
      </c>
      <c r="R611" s="55" t="s">
        <v>7</v>
      </c>
    </row>
    <row r="612" spans="1:20" ht="15.75" customHeight="1" x14ac:dyDescent="0.3">
      <c r="A612" s="71" t="s">
        <v>993</v>
      </c>
      <c r="B612" s="1"/>
      <c r="C612" s="1"/>
      <c r="D612" s="1"/>
      <c r="E612" s="55">
        <f t="shared" ref="E612:E613" si="165">SUM(B612:D612)</f>
        <v>0</v>
      </c>
      <c r="F612" s="1"/>
      <c r="G612" s="1"/>
      <c r="H612" s="1"/>
      <c r="I612" s="55">
        <f t="shared" ref="I612:I613" si="166">SUM(F612:H612)</f>
        <v>0</v>
      </c>
      <c r="J612" s="1"/>
      <c r="K612" s="1"/>
      <c r="L612" s="1"/>
      <c r="M612" s="55">
        <f t="shared" ref="M612:M613" si="167">SUM(J612:L612)</f>
        <v>0</v>
      </c>
      <c r="N612" s="1"/>
      <c r="O612" s="1"/>
      <c r="P612" s="1"/>
      <c r="Q612" s="55">
        <f t="shared" ref="Q612:Q617" si="168">SUM(N612:P612)</f>
        <v>0</v>
      </c>
      <c r="R612" s="55">
        <f t="shared" ref="R612:R617" si="169">+E612+I612+M612+Q612</f>
        <v>0</v>
      </c>
    </row>
    <row r="613" spans="1:20" ht="15.75" customHeight="1" thickBot="1" x14ac:dyDescent="0.35">
      <c r="A613" s="71" t="s">
        <v>771</v>
      </c>
      <c r="B613" s="1"/>
      <c r="C613" s="1"/>
      <c r="D613" s="1"/>
      <c r="E613" s="55">
        <f t="shared" si="165"/>
        <v>0</v>
      </c>
      <c r="F613" s="1"/>
      <c r="G613" s="1"/>
      <c r="H613" s="1">
        <v>356</v>
      </c>
      <c r="I613" s="55">
        <f t="shared" si="166"/>
        <v>356</v>
      </c>
      <c r="J613" s="1">
        <v>634</v>
      </c>
      <c r="K613" s="1">
        <v>909</v>
      </c>
      <c r="L613" s="1">
        <v>200</v>
      </c>
      <c r="M613" s="55">
        <f t="shared" si="167"/>
        <v>1743</v>
      </c>
      <c r="N613" s="1"/>
      <c r="O613" s="1"/>
      <c r="P613" s="1"/>
      <c r="Q613" s="55">
        <f t="shared" si="168"/>
        <v>0</v>
      </c>
      <c r="R613" s="55">
        <f t="shared" si="169"/>
        <v>2099</v>
      </c>
    </row>
    <row r="614" spans="1:20" ht="16.5" customHeight="1" thickBot="1" x14ac:dyDescent="0.35">
      <c r="A614" s="57" t="s">
        <v>71</v>
      </c>
      <c r="B614" s="146">
        <f>SUM(B610:B613)</f>
        <v>0</v>
      </c>
      <c r="C614" s="146">
        <f>SUM(C610:C613)</f>
        <v>0</v>
      </c>
      <c r="D614" s="146">
        <f>SUM(D610:D613)</f>
        <v>0</v>
      </c>
      <c r="E614" s="60">
        <f t="shared" ref="E614:E617" si="170">SUM(B614:D614)</f>
        <v>0</v>
      </c>
      <c r="F614" s="146">
        <f>SUM(F610:F613)</f>
        <v>0</v>
      </c>
      <c r="G614" s="146">
        <f>SUM(G610:G613)</f>
        <v>0</v>
      </c>
      <c r="H614" s="146">
        <f>SUM(H610:H613)</f>
        <v>356</v>
      </c>
      <c r="I614" s="60">
        <f t="shared" ref="I614:I617" si="171">SUM(F614:H614)</f>
        <v>356</v>
      </c>
      <c r="J614" s="146">
        <f>SUM(J610:J613)</f>
        <v>634</v>
      </c>
      <c r="K614" s="146">
        <f>SUM(K610:K613)</f>
        <v>909</v>
      </c>
      <c r="L614" s="146">
        <f>SUM(L610:L613)</f>
        <v>200</v>
      </c>
      <c r="M614" s="60">
        <f t="shared" ref="M614:M617" si="172">SUM(J614:L614)</f>
        <v>1743</v>
      </c>
      <c r="N614" s="146">
        <f>SUM(N610:N613)</f>
        <v>0</v>
      </c>
      <c r="O614" s="146">
        <f>SUM(O610:O613)</f>
        <v>0</v>
      </c>
      <c r="P614" s="146">
        <f>SUM(P610:P613)</f>
        <v>0</v>
      </c>
      <c r="Q614" s="60">
        <f t="shared" si="168"/>
        <v>0</v>
      </c>
      <c r="R614" s="59">
        <f t="shared" si="169"/>
        <v>2099</v>
      </c>
    </row>
    <row r="615" spans="1:20" ht="16.5" customHeight="1" thickBot="1" x14ac:dyDescent="0.35">
      <c r="A615" s="114" t="s">
        <v>72</v>
      </c>
      <c r="B615" s="86">
        <f>SUM(B601:B613)</f>
        <v>0</v>
      </c>
      <c r="C615" s="87">
        <f>SUM(C601:C613)</f>
        <v>0</v>
      </c>
      <c r="D615" s="118">
        <f>SUM(D601:D613)</f>
        <v>0</v>
      </c>
      <c r="E615" s="60">
        <f t="shared" si="170"/>
        <v>0</v>
      </c>
      <c r="F615" s="86">
        <f>SUM(F601:F613)</f>
        <v>0</v>
      </c>
      <c r="G615" s="87">
        <f>SUM(G601:G613)</f>
        <v>0</v>
      </c>
      <c r="H615" s="118">
        <f>SUM(H601:H613)</f>
        <v>356</v>
      </c>
      <c r="I615" s="60">
        <f t="shared" si="171"/>
        <v>356</v>
      </c>
      <c r="J615" s="86">
        <f>SUM(J601:J613)</f>
        <v>634</v>
      </c>
      <c r="K615" s="87">
        <f>SUM(K601:K613)</f>
        <v>909</v>
      </c>
      <c r="L615" s="118">
        <f>SUM(L601:L613)</f>
        <v>200</v>
      </c>
      <c r="M615" s="60">
        <f t="shared" si="172"/>
        <v>1743</v>
      </c>
      <c r="N615" s="86">
        <f>SUM(N601:N613)</f>
        <v>0</v>
      </c>
      <c r="O615" s="87">
        <f>SUM(O601:O613)</f>
        <v>0</v>
      </c>
      <c r="P615" s="118">
        <f>SUM(P601:P613)</f>
        <v>1</v>
      </c>
      <c r="Q615" s="60">
        <f t="shared" si="168"/>
        <v>1</v>
      </c>
      <c r="R615" s="59">
        <f t="shared" si="169"/>
        <v>2100</v>
      </c>
    </row>
    <row r="616" spans="1:20" ht="16.5" customHeight="1" thickBot="1" x14ac:dyDescent="0.35">
      <c r="A616" s="57" t="s">
        <v>73</v>
      </c>
      <c r="B616" s="148">
        <f>+B587+B593+B600+B615</f>
        <v>646</v>
      </c>
      <c r="C616" s="149">
        <f>+C587+C593+C600+C615</f>
        <v>1714</v>
      </c>
      <c r="D616" s="149">
        <f>+D587+D593+D600+D615</f>
        <v>4388</v>
      </c>
      <c r="E616" s="59">
        <f t="shared" si="170"/>
        <v>6748</v>
      </c>
      <c r="F616" s="58">
        <f>+F587+F593+F600+F615</f>
        <v>5360</v>
      </c>
      <c r="G616" s="58">
        <f>+G587+G593+G600+G615</f>
        <v>3938</v>
      </c>
      <c r="H616" s="58">
        <f>+H587+H593+H600+H615</f>
        <v>3474</v>
      </c>
      <c r="I616" s="59">
        <f t="shared" si="171"/>
        <v>12772</v>
      </c>
      <c r="J616" s="58">
        <f>+J587+J593+J600+J615</f>
        <v>2915</v>
      </c>
      <c r="K616" s="58">
        <f>+K587+K593+K600+K615</f>
        <v>4282</v>
      </c>
      <c r="L616" s="58">
        <f>+L587+L593+L600+L615</f>
        <v>4383</v>
      </c>
      <c r="M616" s="59">
        <f t="shared" si="172"/>
        <v>11580</v>
      </c>
      <c r="N616" s="58">
        <f>+N587+N593+N600+N615</f>
        <v>2551</v>
      </c>
      <c r="O616" s="58">
        <f>+O587+O593+O600+O615</f>
        <v>1619</v>
      </c>
      <c r="P616" s="58">
        <f>+P587+P593+P600+P615</f>
        <v>4134</v>
      </c>
      <c r="Q616" s="59">
        <f t="shared" si="168"/>
        <v>8304</v>
      </c>
      <c r="R616" s="81">
        <f t="shared" si="169"/>
        <v>39404</v>
      </c>
    </row>
    <row r="617" spans="1:20" ht="16.5" customHeight="1" thickBot="1" x14ac:dyDescent="0.35">
      <c r="A617" s="39" t="s">
        <v>40</v>
      </c>
      <c r="B617" s="21">
        <v>17</v>
      </c>
      <c r="C617" s="21">
        <v>47</v>
      </c>
      <c r="D617" s="21">
        <v>84</v>
      </c>
      <c r="E617" s="55">
        <f t="shared" si="170"/>
        <v>148</v>
      </c>
      <c r="F617" s="21">
        <v>116</v>
      </c>
      <c r="G617" s="21">
        <v>132</v>
      </c>
      <c r="H617" s="21">
        <v>138</v>
      </c>
      <c r="I617" s="55">
        <f t="shared" si="171"/>
        <v>386</v>
      </c>
      <c r="J617" s="21">
        <v>126</v>
      </c>
      <c r="K617" s="21">
        <v>95</v>
      </c>
      <c r="L617" s="21">
        <v>99</v>
      </c>
      <c r="M617" s="55">
        <f t="shared" si="172"/>
        <v>320</v>
      </c>
      <c r="N617" s="21">
        <v>91</v>
      </c>
      <c r="O617" s="21">
        <v>67</v>
      </c>
      <c r="P617" s="21">
        <v>38</v>
      </c>
      <c r="Q617" s="55">
        <f t="shared" si="168"/>
        <v>196</v>
      </c>
      <c r="R617" s="55">
        <f t="shared" si="169"/>
        <v>1050</v>
      </c>
    </row>
    <row r="618" spans="1:20" ht="16.5" customHeight="1" thickBot="1" x14ac:dyDescent="0.35">
      <c r="A618" s="41"/>
      <c r="B618" s="36"/>
      <c r="C618" s="36"/>
      <c r="D618" s="36"/>
      <c r="E618" s="42"/>
      <c r="F618" s="36"/>
      <c r="G618" s="36"/>
      <c r="H618" s="36"/>
      <c r="I618" s="42"/>
      <c r="J618" s="36"/>
      <c r="K618" s="36"/>
      <c r="L618" s="36"/>
      <c r="M618" s="42"/>
      <c r="N618" s="36"/>
      <c r="O618" s="36"/>
      <c r="P618" s="36"/>
      <c r="Q618" s="42"/>
      <c r="R618" s="42"/>
    </row>
    <row r="619" spans="1:20" ht="15.75" customHeight="1" x14ac:dyDescent="0.3">
      <c r="A619" s="76" t="s">
        <v>314</v>
      </c>
      <c r="B619" s="77">
        <f>SUM(B616:B617)</f>
        <v>663</v>
      </c>
      <c r="C619" s="77">
        <f>SUM(C616:C617)</f>
        <v>1761</v>
      </c>
      <c r="D619" s="77">
        <f>SUM(D616:D617)</f>
        <v>4472</v>
      </c>
      <c r="E619" s="60">
        <f>SUM(B619:D619)</f>
        <v>6896</v>
      </c>
      <c r="F619" s="77">
        <f>SUM(F616:F617)</f>
        <v>5476</v>
      </c>
      <c r="G619" s="77">
        <f>SUM(G616:G617)</f>
        <v>4070</v>
      </c>
      <c r="H619" s="77">
        <f>SUM(H616:H617)</f>
        <v>3612</v>
      </c>
      <c r="I619" s="60">
        <f>SUM(F619:H619)</f>
        <v>13158</v>
      </c>
      <c r="J619" s="77">
        <f>SUM(J616:J617)</f>
        <v>3041</v>
      </c>
      <c r="K619" s="77">
        <f>SUM(K616:K617)</f>
        <v>4377</v>
      </c>
      <c r="L619" s="77">
        <f>SUM(L616:L617)</f>
        <v>4482</v>
      </c>
      <c r="M619" s="60">
        <f>SUM(J619:L619)</f>
        <v>11900</v>
      </c>
      <c r="N619" s="77">
        <f>SUM(N616:N617)</f>
        <v>2642</v>
      </c>
      <c r="O619" s="77">
        <f>SUM(O616:O617)</f>
        <v>1686</v>
      </c>
      <c r="P619" s="77">
        <f>SUM(P616:P617)</f>
        <v>4172</v>
      </c>
      <c r="Q619" s="60">
        <f>SUM(N619:P619)</f>
        <v>8500</v>
      </c>
      <c r="R619" s="60">
        <f>+E619+I619+M619+Q619</f>
        <v>40454</v>
      </c>
    </row>
    <row r="620" spans="1:20" ht="15.75" customHeight="1" x14ac:dyDescent="0.3">
      <c r="A620" s="79" t="s">
        <v>42</v>
      </c>
      <c r="B620" s="1">
        <f>(B619/B10)/1.983</f>
        <v>10.785222780733005</v>
      </c>
      <c r="C620" s="1">
        <f>(C619/C10)/1.983</f>
        <v>31.716014696347525</v>
      </c>
      <c r="D620" s="1">
        <f>(D619/D10)/1.983</f>
        <v>72.747385030826536</v>
      </c>
      <c r="E620" s="55" t="s">
        <v>7</v>
      </c>
      <c r="F620" s="1">
        <f>(F619/F10)/1.983</f>
        <v>92.049083879643632</v>
      </c>
      <c r="G620" s="1">
        <f>(G619/G10)/1.983</f>
        <v>66.207928684137741</v>
      </c>
      <c r="H620" s="1">
        <f>(H619/H10)/1.983</f>
        <v>60.716086737266771</v>
      </c>
      <c r="I620" s="55" t="s">
        <v>7</v>
      </c>
      <c r="J620" s="1">
        <f>(J619/J10)/1.983</f>
        <v>49.468872513135842</v>
      </c>
      <c r="K620" s="1">
        <f>(K619/K10)/1.983</f>
        <v>71.201991118051822</v>
      </c>
      <c r="L620" s="1">
        <f>(L619/L10)/1.983</f>
        <v>75.340393343419066</v>
      </c>
      <c r="M620" s="55" t="s">
        <v>7</v>
      </c>
      <c r="N620" s="1">
        <f>(N619/N10)/1.983</f>
        <v>42.978218079482041</v>
      </c>
      <c r="O620" s="1">
        <f>(O619/O10)/1.983</f>
        <v>28.340897629853757</v>
      </c>
      <c r="P620" s="1">
        <f>(P619/P10)/1.983</f>
        <v>67.867193727327447</v>
      </c>
      <c r="Q620" s="55" t="s">
        <v>7</v>
      </c>
      <c r="R620" s="55" t="s">
        <v>7</v>
      </c>
    </row>
    <row r="621" spans="1:20" ht="15.75" customHeight="1" x14ac:dyDescent="0.3">
      <c r="A621" s="79" t="s">
        <v>332</v>
      </c>
      <c r="B621" s="1">
        <f>B619+B631</f>
        <v>15127</v>
      </c>
      <c r="C621" s="1">
        <f>C619+C631</f>
        <v>13165</v>
      </c>
      <c r="D621" s="1">
        <f>D619+D631</f>
        <v>24606</v>
      </c>
      <c r="E621" s="55">
        <f>SUM(B621:D621)</f>
        <v>52898</v>
      </c>
      <c r="F621" s="1">
        <f>F619+F631</f>
        <v>24990</v>
      </c>
      <c r="G621" s="1">
        <f>G619+G631</f>
        <v>23912</v>
      </c>
      <c r="H621" s="1">
        <f>H619+H631</f>
        <v>25020</v>
      </c>
      <c r="I621" s="55">
        <f>SUM(F621:H621)</f>
        <v>73922</v>
      </c>
      <c r="J621" s="1">
        <f>J619+J631</f>
        <v>24758</v>
      </c>
      <c r="K621" s="1">
        <f>K619+K631</f>
        <v>26058</v>
      </c>
      <c r="L621" s="1">
        <f>L619+L631</f>
        <v>23575</v>
      </c>
      <c r="M621" s="55">
        <f>SUM(J621:L621)</f>
        <v>74391</v>
      </c>
      <c r="N621" s="1">
        <f>N619+N631</f>
        <v>9720</v>
      </c>
      <c r="O621" s="1">
        <f>O619+O631</f>
        <v>3080</v>
      </c>
      <c r="P621" s="1">
        <f>P619+P631</f>
        <v>11306</v>
      </c>
      <c r="Q621" s="55">
        <f>SUM(N621:P621)</f>
        <v>24106</v>
      </c>
      <c r="R621" s="55">
        <f>+E621+I621+M621+Q621</f>
        <v>225317</v>
      </c>
    </row>
    <row r="622" spans="1:20" ht="16.5" customHeight="1" thickBot="1" x14ac:dyDescent="0.35">
      <c r="A622" s="80" t="s">
        <v>333</v>
      </c>
      <c r="B622" s="25">
        <f>(B621/B10)/1.983</f>
        <v>246.07551282676945</v>
      </c>
      <c r="C622" s="25">
        <f>(C621/C10)/1.983</f>
        <v>237.10467545565882</v>
      </c>
      <c r="D622" s="25">
        <f>(D621/D10)/1.983</f>
        <v>400.27329071299596</v>
      </c>
      <c r="E622" s="81" t="s">
        <v>7</v>
      </c>
      <c r="F622" s="25">
        <f>(F621/F10)/1.983</f>
        <v>420.07060010085729</v>
      </c>
      <c r="G622" s="25">
        <f>(G621/G10)/1.983</f>
        <v>388.98378149756803</v>
      </c>
      <c r="H622" s="25">
        <f>(H621/H10)/1.983</f>
        <v>420.5748865355522</v>
      </c>
      <c r="I622" s="81" t="s">
        <v>7</v>
      </c>
      <c r="J622" s="25">
        <f>(J621/J10)/1.983</f>
        <v>402.74592097343549</v>
      </c>
      <c r="K622" s="25">
        <f>(K621/K10)/1.983</f>
        <v>423.89341662193158</v>
      </c>
      <c r="L622" s="25">
        <f>(L621/L10)/1.983</f>
        <v>396.28508993108085</v>
      </c>
      <c r="M622" s="81" t="s">
        <v>7</v>
      </c>
      <c r="N622" s="25">
        <f>(N621/N10)/1.983</f>
        <v>158.11819823337075</v>
      </c>
      <c r="O622" s="25">
        <f>(O621/O10)/1.983</f>
        <v>51.773407295343752</v>
      </c>
      <c r="P622" s="25">
        <f>(P621/P10)/1.983</f>
        <v>183.91814292453594</v>
      </c>
      <c r="Q622" s="81" t="s">
        <v>7</v>
      </c>
      <c r="R622" s="81" t="s">
        <v>7</v>
      </c>
    </row>
    <row r="623" spans="1:20" ht="15.75" customHeight="1" x14ac:dyDescent="0.3">
      <c r="A623" s="2"/>
      <c r="B623" s="1"/>
      <c r="C623" s="1"/>
      <c r="D623" s="1"/>
      <c r="E623" s="1"/>
      <c r="F623" s="1"/>
      <c r="G623" s="1"/>
      <c r="H623" s="1"/>
      <c r="I623" s="1"/>
      <c r="J623" s="1"/>
      <c r="K623" s="1"/>
      <c r="L623" s="1"/>
      <c r="M623" s="1"/>
      <c r="N623" s="1"/>
      <c r="O623" s="1"/>
      <c r="P623" s="1"/>
      <c r="Q623" s="1"/>
      <c r="R623" s="2"/>
    </row>
    <row r="624" spans="1:20" ht="16.5" customHeight="1" thickBot="1" x14ac:dyDescent="0.35">
      <c r="A624" s="106"/>
      <c r="B624" s="21"/>
      <c r="C624" s="21"/>
      <c r="D624" s="21"/>
      <c r="E624" s="21"/>
      <c r="F624" s="21"/>
      <c r="G624" s="21"/>
      <c r="H624" s="21"/>
      <c r="I624" s="21"/>
      <c r="J624" s="21"/>
      <c r="K624" s="21"/>
      <c r="L624" s="21"/>
      <c r="M624" s="21"/>
      <c r="N624" s="21"/>
      <c r="O624" s="21"/>
      <c r="P624" s="21"/>
      <c r="Q624" s="21"/>
      <c r="R624" s="106"/>
    </row>
    <row r="625" spans="1:18" ht="16.5" customHeight="1" thickBot="1" x14ac:dyDescent="0.35">
      <c r="A625" s="124" t="s">
        <v>334</v>
      </c>
      <c r="B625" s="30" t="s">
        <v>8</v>
      </c>
      <c r="C625" s="31" t="s">
        <v>9</v>
      </c>
      <c r="D625" s="31" t="s">
        <v>10</v>
      </c>
      <c r="E625" s="32" t="s">
        <v>11</v>
      </c>
      <c r="F625" s="31" t="s">
        <v>12</v>
      </c>
      <c r="G625" s="31" t="s">
        <v>13</v>
      </c>
      <c r="H625" s="31" t="s">
        <v>14</v>
      </c>
      <c r="I625" s="33" t="s">
        <v>15</v>
      </c>
      <c r="J625" s="31" t="s">
        <v>16</v>
      </c>
      <c r="K625" s="31" t="s">
        <v>17</v>
      </c>
      <c r="L625" s="31" t="s">
        <v>18</v>
      </c>
      <c r="M625" s="33" t="s">
        <v>19</v>
      </c>
      <c r="N625" s="31" t="s">
        <v>20</v>
      </c>
      <c r="O625" s="31" t="s">
        <v>21</v>
      </c>
      <c r="P625" s="31" t="s">
        <v>22</v>
      </c>
      <c r="Q625" s="32" t="s">
        <v>23</v>
      </c>
      <c r="R625" s="49" t="s">
        <v>24</v>
      </c>
    </row>
    <row r="626" spans="1:18" ht="16.5" customHeight="1" thickBot="1" x14ac:dyDescent="0.35">
      <c r="A626" s="41"/>
      <c r="B626" s="36"/>
      <c r="C626" s="36"/>
      <c r="D626" s="36"/>
      <c r="E626" s="37"/>
      <c r="F626" s="36"/>
      <c r="G626" s="36"/>
      <c r="H626" s="36"/>
      <c r="I626" s="37"/>
      <c r="J626" s="36"/>
      <c r="K626" s="36"/>
      <c r="L626" s="36"/>
      <c r="M626" s="37"/>
      <c r="N626" s="36"/>
      <c r="O626" s="36"/>
      <c r="P626" s="36"/>
      <c r="Q626" s="127"/>
      <c r="R626" s="128"/>
    </row>
    <row r="627" spans="1:18" ht="16.5" customHeight="1" thickBot="1" x14ac:dyDescent="0.35">
      <c r="A627" s="39" t="s">
        <v>40</v>
      </c>
      <c r="B627" s="21">
        <v>20</v>
      </c>
      <c r="C627" s="21">
        <v>22</v>
      </c>
      <c r="D627" s="21">
        <v>28</v>
      </c>
      <c r="E627" s="55">
        <f>SUM(B627:D627)</f>
        <v>70</v>
      </c>
      <c r="F627" s="21">
        <v>37</v>
      </c>
      <c r="G627" s="21">
        <v>42</v>
      </c>
      <c r="H627" s="21">
        <v>44</v>
      </c>
      <c r="I627" s="55">
        <f>SUM(F627:H627)</f>
        <v>123</v>
      </c>
      <c r="J627" s="21">
        <v>39</v>
      </c>
      <c r="K627" s="21">
        <v>36</v>
      </c>
      <c r="L627" s="21">
        <v>34</v>
      </c>
      <c r="M627" s="55">
        <f>SUM(J627:L627)</f>
        <v>109</v>
      </c>
      <c r="N627" s="21">
        <v>29</v>
      </c>
      <c r="O627" s="21">
        <v>23</v>
      </c>
      <c r="P627" s="21">
        <v>19</v>
      </c>
      <c r="Q627" s="55">
        <f>SUM(N627:P627)</f>
        <v>71</v>
      </c>
      <c r="R627" s="55">
        <f>+E627+I627+M627+Q627</f>
        <v>373</v>
      </c>
    </row>
    <row r="628" spans="1:18" ht="16.5" customHeight="1" thickBot="1" x14ac:dyDescent="0.35">
      <c r="A628" s="41"/>
      <c r="B628" s="36"/>
      <c r="C628" s="36"/>
      <c r="D628" s="36"/>
      <c r="E628" s="52"/>
      <c r="F628" s="36"/>
      <c r="G628" s="36"/>
      <c r="H628" s="36"/>
      <c r="I628" s="52"/>
      <c r="J628" s="36"/>
      <c r="K628" s="36"/>
      <c r="L628" s="36"/>
      <c r="M628" s="52"/>
      <c r="N628" s="36"/>
      <c r="O628" s="36"/>
      <c r="P628" s="36"/>
      <c r="Q628" s="52"/>
      <c r="R628" s="42"/>
    </row>
    <row r="629" spans="1:18" ht="15.75" customHeight="1" x14ac:dyDescent="0.3">
      <c r="A629" s="76" t="s">
        <v>314</v>
      </c>
      <c r="B629" s="77">
        <f>B627</f>
        <v>20</v>
      </c>
      <c r="C629" s="77">
        <f>C627</f>
        <v>22</v>
      </c>
      <c r="D629" s="77">
        <f>D627</f>
        <v>28</v>
      </c>
      <c r="E629" s="60">
        <f>SUM(B629:D629)</f>
        <v>70</v>
      </c>
      <c r="F629" s="77">
        <f>F627</f>
        <v>37</v>
      </c>
      <c r="G629" s="77">
        <f>G627</f>
        <v>42</v>
      </c>
      <c r="H629" s="77">
        <f>H627</f>
        <v>44</v>
      </c>
      <c r="I629" s="60">
        <f>SUM(F629:H629)</f>
        <v>123</v>
      </c>
      <c r="J629" s="77">
        <f>J627</f>
        <v>39</v>
      </c>
      <c r="K629" s="77">
        <f>K627</f>
        <v>36</v>
      </c>
      <c r="L629" s="77">
        <f>L627</f>
        <v>34</v>
      </c>
      <c r="M629" s="60">
        <f>SUM(J629:L629)</f>
        <v>109</v>
      </c>
      <c r="N629" s="77">
        <f>N627</f>
        <v>29</v>
      </c>
      <c r="O629" s="77">
        <f>O627</f>
        <v>23</v>
      </c>
      <c r="P629" s="77">
        <f>P627</f>
        <v>19</v>
      </c>
      <c r="Q629" s="60">
        <f>SUM(N629:P629)</f>
        <v>71</v>
      </c>
      <c r="R629" s="60">
        <f>+E629+I629+M629+Q629</f>
        <v>373</v>
      </c>
    </row>
    <row r="630" spans="1:18" ht="15.75" customHeight="1" x14ac:dyDescent="0.3">
      <c r="A630" s="79" t="s">
        <v>42</v>
      </c>
      <c r="B630" s="1">
        <f>(B629/B10)/1.983</f>
        <v>0.32534608689993977</v>
      </c>
      <c r="C630" s="1">
        <f>(C629/C10)/1.983</f>
        <v>0.39622505583171236</v>
      </c>
      <c r="D630" s="1">
        <f>(D629/D10)/1.983</f>
        <v>0.45548452165991571</v>
      </c>
      <c r="E630" s="55" t="s">
        <v>7</v>
      </c>
      <c r="F630" s="1">
        <f>(F629/F10)/1.983</f>
        <v>0.62195326945705165</v>
      </c>
      <c r="G630" s="1">
        <f>(G629/G10)/1.983</f>
        <v>0.68322678248987356</v>
      </c>
      <c r="H630" s="1">
        <f>(H629/H10)/1.983</f>
        <v>0.73962010421919644</v>
      </c>
      <c r="I630" s="55" t="s">
        <v>7</v>
      </c>
      <c r="J630" s="1">
        <f>(J629/J10)/1.983</f>
        <v>0.63442486945488263</v>
      </c>
      <c r="K630" s="1">
        <f>(K629/K10)/1.983</f>
        <v>0.5856229564198917</v>
      </c>
      <c r="L630" s="1">
        <f>(L629/L10)/1.983</f>
        <v>0.57152462598756093</v>
      </c>
      <c r="M630" s="55" t="s">
        <v>7</v>
      </c>
      <c r="N630" s="1">
        <f>(N629/N10)/1.983</f>
        <v>0.47175182600491267</v>
      </c>
      <c r="O630" s="1">
        <f>(O629/O10)/1.983</f>
        <v>0.38661959993276179</v>
      </c>
      <c r="P630" s="1">
        <f>(P629/P10)/1.983</f>
        <v>0.30907878255494281</v>
      </c>
      <c r="Q630" s="55" t="s">
        <v>7</v>
      </c>
      <c r="R630" s="55" t="s">
        <v>7</v>
      </c>
    </row>
    <row r="631" spans="1:18" ht="15.75" customHeight="1" x14ac:dyDescent="0.3">
      <c r="A631" s="79" t="s">
        <v>335</v>
      </c>
      <c r="B631" s="1">
        <f>B629+B667</f>
        <v>14464</v>
      </c>
      <c r="C631" s="1">
        <f>C629+C667</f>
        <v>11404</v>
      </c>
      <c r="D631" s="1">
        <f>D629+D667</f>
        <v>20134</v>
      </c>
      <c r="E631" s="55">
        <f>SUM(B631:D631)</f>
        <v>46002</v>
      </c>
      <c r="F631" s="1">
        <f>F629+F667</f>
        <v>19514</v>
      </c>
      <c r="G631" s="1">
        <f>G629+G667</f>
        <v>19842</v>
      </c>
      <c r="H631" s="1">
        <f>H629+H667</f>
        <v>21408</v>
      </c>
      <c r="I631" s="55">
        <f>SUM(F631:H631)</f>
        <v>60764</v>
      </c>
      <c r="J631" s="1">
        <f>J629+J667</f>
        <v>21717</v>
      </c>
      <c r="K631" s="1">
        <f>K629+K667</f>
        <v>21681</v>
      </c>
      <c r="L631" s="1">
        <f>L629+L667</f>
        <v>19093</v>
      </c>
      <c r="M631" s="55">
        <f>SUM(J631:L631)</f>
        <v>62491</v>
      </c>
      <c r="N631" s="1">
        <f>N629+N667</f>
        <v>7078</v>
      </c>
      <c r="O631" s="1">
        <f>O629+O667</f>
        <v>1394</v>
      </c>
      <c r="P631" s="1">
        <f>P629+P667</f>
        <v>7134</v>
      </c>
      <c r="Q631" s="55">
        <f>SUM(N631:P631)</f>
        <v>15606</v>
      </c>
      <c r="R631" s="55">
        <f>+E631+I631+M631+Q631</f>
        <v>184863</v>
      </c>
    </row>
    <row r="632" spans="1:18" ht="16.5" customHeight="1" thickBot="1" x14ac:dyDescent="0.35">
      <c r="A632" s="80" t="s">
        <v>336</v>
      </c>
      <c r="B632" s="25">
        <f>(B631/B10)/1.983</f>
        <v>235.29029004603646</v>
      </c>
      <c r="C632" s="25">
        <f>(C631/C10)/1.983</f>
        <v>205.38866075931128</v>
      </c>
      <c r="D632" s="25">
        <f>(D631/D10)/1.983</f>
        <v>327.52590568216942</v>
      </c>
      <c r="E632" s="81" t="s">
        <v>7</v>
      </c>
      <c r="F632" s="25">
        <f>(F631/F10)/1.983</f>
        <v>328.02151622121363</v>
      </c>
      <c r="G632" s="25">
        <f>(G631/G10)/1.983</f>
        <v>322.77585281343028</v>
      </c>
      <c r="H632" s="25">
        <f>(H631/H10)/1.983</f>
        <v>359.85879979828542</v>
      </c>
      <c r="I632" s="81" t="s">
        <v>7</v>
      </c>
      <c r="J632" s="25">
        <f>(J631/J10)/1.983</f>
        <v>353.27704846029962</v>
      </c>
      <c r="K632" s="25">
        <f>(K631/K10)/1.983</f>
        <v>352.69142550387971</v>
      </c>
      <c r="L632" s="25">
        <f>(L631/L10)/1.983</f>
        <v>320.94469658766172</v>
      </c>
      <c r="M632" s="81" t="s">
        <v>7</v>
      </c>
      <c r="N632" s="25">
        <f>(N631/N10)/1.983</f>
        <v>115.13998015388869</v>
      </c>
      <c r="O632" s="25">
        <f>(O631/O10)/1.983</f>
        <v>23.432509665489999</v>
      </c>
      <c r="P632" s="25">
        <f>(P631/P10)/1.983</f>
        <v>116.05094919720852</v>
      </c>
      <c r="Q632" s="81" t="s">
        <v>7</v>
      </c>
      <c r="R632" s="81" t="s">
        <v>7</v>
      </c>
    </row>
    <row r="633" spans="1:18" ht="15.75" customHeight="1" x14ac:dyDescent="0.3">
      <c r="A633" s="28"/>
      <c r="B633" s="1"/>
      <c r="C633" s="1"/>
      <c r="D633" s="1"/>
      <c r="E633" s="1"/>
      <c r="F633" s="1"/>
      <c r="G633" s="1"/>
      <c r="H633" s="1"/>
      <c r="I633" s="1"/>
      <c r="J633" s="1"/>
      <c r="K633" s="1"/>
      <c r="L633" s="1"/>
      <c r="M633" s="1"/>
      <c r="N633" s="1"/>
      <c r="O633" s="1"/>
      <c r="P633" s="1"/>
      <c r="Q633" s="1"/>
      <c r="R633" s="2"/>
    </row>
    <row r="634" spans="1:18" ht="15.75" customHeight="1" thickBot="1" x14ac:dyDescent="0.35">
      <c r="A634" s="28"/>
      <c r="B634" s="1"/>
      <c r="C634" s="1"/>
      <c r="D634" s="1"/>
      <c r="E634" s="1"/>
      <c r="F634" s="1"/>
      <c r="G634" s="1"/>
      <c r="H634" s="1"/>
      <c r="I634" s="1"/>
      <c r="J634" s="1"/>
      <c r="K634" s="1"/>
      <c r="L634" s="1"/>
      <c r="M634" s="1"/>
      <c r="N634" s="1"/>
      <c r="O634" s="1"/>
      <c r="P634" s="1"/>
      <c r="Q634" s="1"/>
      <c r="R634" s="2"/>
    </row>
    <row r="635" spans="1:18" ht="16.5" customHeight="1" thickBot="1" x14ac:dyDescent="0.35">
      <c r="A635" s="29" t="s">
        <v>337</v>
      </c>
      <c r="B635" s="30" t="s">
        <v>8</v>
      </c>
      <c r="C635" s="31" t="s">
        <v>9</v>
      </c>
      <c r="D635" s="31" t="s">
        <v>10</v>
      </c>
      <c r="E635" s="32" t="s">
        <v>11</v>
      </c>
      <c r="F635" s="31" t="s">
        <v>12</v>
      </c>
      <c r="G635" s="31" t="s">
        <v>13</v>
      </c>
      <c r="H635" s="31" t="s">
        <v>14</v>
      </c>
      <c r="I635" s="33" t="s">
        <v>15</v>
      </c>
      <c r="J635" s="31" t="s">
        <v>16</v>
      </c>
      <c r="K635" s="31" t="s">
        <v>17</v>
      </c>
      <c r="L635" s="31" t="s">
        <v>18</v>
      </c>
      <c r="M635" s="33" t="s">
        <v>19</v>
      </c>
      <c r="N635" s="31" t="s">
        <v>20</v>
      </c>
      <c r="O635" s="31" t="s">
        <v>21</v>
      </c>
      <c r="P635" s="31" t="s">
        <v>22</v>
      </c>
      <c r="Q635" s="33" t="s">
        <v>23</v>
      </c>
      <c r="R635" s="34" t="s">
        <v>24</v>
      </c>
    </row>
    <row r="636" spans="1:18" ht="16.5" customHeight="1" thickBot="1" x14ac:dyDescent="0.35">
      <c r="A636" s="41"/>
      <c r="B636" s="36"/>
      <c r="C636" s="36"/>
      <c r="D636" s="36"/>
      <c r="E636" s="52"/>
      <c r="F636" s="36"/>
      <c r="G636" s="36"/>
      <c r="H636" s="36"/>
      <c r="I636" s="52"/>
      <c r="J636" s="36"/>
      <c r="K636" s="36"/>
      <c r="L636" s="36"/>
      <c r="M636" s="52"/>
      <c r="N636" s="36"/>
      <c r="O636" s="36"/>
      <c r="P636" s="36"/>
      <c r="Q636" s="52"/>
      <c r="R636" s="38"/>
    </row>
    <row r="637" spans="1:18" ht="15.75" customHeight="1" x14ac:dyDescent="0.3">
      <c r="A637" s="15" t="s">
        <v>48</v>
      </c>
      <c r="B637" s="1" t="s">
        <v>7</v>
      </c>
      <c r="C637" s="1" t="s">
        <v>7</v>
      </c>
      <c r="D637" s="1" t="s">
        <v>7</v>
      </c>
      <c r="E637" s="55" t="s">
        <v>7</v>
      </c>
      <c r="F637" s="1" t="s">
        <v>7</v>
      </c>
      <c r="G637" s="1" t="s">
        <v>7</v>
      </c>
      <c r="H637" s="1" t="s">
        <v>7</v>
      </c>
      <c r="I637" s="55" t="s">
        <v>7</v>
      </c>
      <c r="J637" s="1" t="s">
        <v>7</v>
      </c>
      <c r="K637" s="1" t="s">
        <v>7</v>
      </c>
      <c r="L637" s="1" t="s">
        <v>7</v>
      </c>
      <c r="M637" s="55" t="s">
        <v>7</v>
      </c>
      <c r="N637" s="1" t="s">
        <v>7</v>
      </c>
      <c r="O637" s="1" t="s">
        <v>7</v>
      </c>
      <c r="P637" s="1" t="s">
        <v>7</v>
      </c>
      <c r="Q637" s="55" t="s">
        <v>7</v>
      </c>
      <c r="R637" s="55" t="s">
        <v>7</v>
      </c>
    </row>
    <row r="638" spans="1:18" ht="15.75" customHeight="1" x14ac:dyDescent="0.3">
      <c r="A638" s="15" t="s">
        <v>49</v>
      </c>
      <c r="B638" s="1"/>
      <c r="C638" s="1"/>
      <c r="D638" s="1"/>
      <c r="E638" s="55" t="s">
        <v>7</v>
      </c>
      <c r="F638" s="1"/>
      <c r="G638" s="1"/>
      <c r="H638" s="1"/>
      <c r="I638" s="55" t="s">
        <v>7</v>
      </c>
      <c r="J638" s="1"/>
      <c r="K638" s="1"/>
      <c r="L638" s="1"/>
      <c r="M638" s="55" t="s">
        <v>7</v>
      </c>
      <c r="N638" s="1"/>
      <c r="O638" s="1"/>
      <c r="P638" s="1"/>
      <c r="Q638" s="55" t="s">
        <v>7</v>
      </c>
      <c r="R638" s="55" t="s">
        <v>7</v>
      </c>
    </row>
    <row r="639" spans="1:18" ht="15.75" customHeight="1" x14ac:dyDescent="0.3">
      <c r="A639" s="71" t="s">
        <v>994</v>
      </c>
      <c r="B639" s="1"/>
      <c r="C639" s="1">
        <v>495</v>
      </c>
      <c r="D639" s="1">
        <v>590</v>
      </c>
      <c r="E639" s="55">
        <f>SUM(B639:D639)</f>
        <v>1085</v>
      </c>
      <c r="F639" s="1">
        <v>500</v>
      </c>
      <c r="G639" s="1">
        <v>1232</v>
      </c>
      <c r="H639" s="1">
        <v>490</v>
      </c>
      <c r="I639" s="55">
        <f>SUM(F639:H639)</f>
        <v>2222</v>
      </c>
      <c r="J639" s="1">
        <v>1501</v>
      </c>
      <c r="K639" s="1">
        <v>850</v>
      </c>
      <c r="L639" s="1">
        <v>1217</v>
      </c>
      <c r="M639" s="55">
        <f>SUM(J639:L639)</f>
        <v>3568</v>
      </c>
      <c r="N639" s="1">
        <v>896</v>
      </c>
      <c r="O639" s="1">
        <v>99</v>
      </c>
      <c r="P639" s="1"/>
      <c r="Q639" s="55">
        <f>SUM(N639:P639)</f>
        <v>995</v>
      </c>
      <c r="R639" s="55">
        <f>+E639+I639+M639+Q639</f>
        <v>7870</v>
      </c>
    </row>
    <row r="640" spans="1:18" ht="15.75" customHeight="1" x14ac:dyDescent="0.3">
      <c r="A640" s="71" t="s">
        <v>995</v>
      </c>
      <c r="B640" s="1">
        <v>303</v>
      </c>
      <c r="C640" s="1"/>
      <c r="D640" s="1">
        <v>312</v>
      </c>
      <c r="E640" s="55">
        <f>SUM(B640:D640)</f>
        <v>615</v>
      </c>
      <c r="F640" s="1">
        <v>516</v>
      </c>
      <c r="G640" s="1">
        <v>765</v>
      </c>
      <c r="H640" s="1">
        <v>118</v>
      </c>
      <c r="I640" s="55">
        <f>SUM(F640:H640)</f>
        <v>1399</v>
      </c>
      <c r="J640" s="1"/>
      <c r="K640" s="1"/>
      <c r="L640" s="1"/>
      <c r="M640" s="55">
        <f>SUM(J640:L640)</f>
        <v>0</v>
      </c>
      <c r="N640" s="1"/>
      <c r="O640" s="1"/>
      <c r="P640" s="1"/>
      <c r="Q640" s="55">
        <f>SUM(N640:P640)</f>
        <v>0</v>
      </c>
      <c r="R640" s="55">
        <f>+E640+I640+M640+Q640</f>
        <v>2014</v>
      </c>
    </row>
    <row r="641" spans="1:18" ht="15.75" customHeight="1" x14ac:dyDescent="0.3">
      <c r="A641" s="71" t="s">
        <v>339</v>
      </c>
      <c r="B641" s="1"/>
      <c r="C641" s="1"/>
      <c r="D641" s="1"/>
      <c r="E641" s="55">
        <f>SUM(B641:D641)</f>
        <v>0</v>
      </c>
      <c r="F641" s="1"/>
      <c r="G641" s="1"/>
      <c r="H641" s="1"/>
      <c r="I641" s="55">
        <f>SUM(F641:H641)</f>
        <v>0</v>
      </c>
      <c r="J641" s="1"/>
      <c r="K641" s="1"/>
      <c r="L641" s="1"/>
      <c r="M641" s="55">
        <f>SUM(J641:L641)</f>
        <v>0</v>
      </c>
      <c r="N641" s="1"/>
      <c r="O641" s="1"/>
      <c r="P641" s="1"/>
      <c r="Q641" s="55">
        <f>SUM(N641:P641)</f>
        <v>0</v>
      </c>
      <c r="R641" s="55">
        <f>+E641+I641+M641+Q641</f>
        <v>0</v>
      </c>
    </row>
    <row r="642" spans="1:18" ht="15.75" customHeight="1" x14ac:dyDescent="0.3">
      <c r="A642" s="15" t="s">
        <v>50</v>
      </c>
      <c r="B642" s="1"/>
      <c r="C642" s="1"/>
      <c r="D642" s="1"/>
      <c r="E642" s="55" t="s">
        <v>7</v>
      </c>
      <c r="F642" s="1"/>
      <c r="G642" s="1"/>
      <c r="H642" s="1"/>
      <c r="I642" s="55" t="s">
        <v>7</v>
      </c>
      <c r="J642" s="1"/>
      <c r="K642" s="1"/>
      <c r="L642" s="1"/>
      <c r="M642" s="55" t="s">
        <v>7</v>
      </c>
      <c r="N642" s="1"/>
      <c r="O642" s="1"/>
      <c r="P642" s="1"/>
      <c r="Q642" s="55" t="s">
        <v>7</v>
      </c>
      <c r="R642" s="55" t="s">
        <v>7</v>
      </c>
    </row>
    <row r="643" spans="1:18" ht="15.75" customHeight="1" x14ac:dyDescent="0.3">
      <c r="A643" s="15" t="s">
        <v>1186</v>
      </c>
      <c r="B643" s="1"/>
      <c r="C643" s="1"/>
      <c r="D643" s="1"/>
      <c r="E643" s="55" t="s">
        <v>7</v>
      </c>
      <c r="F643" s="1"/>
      <c r="G643" s="1"/>
      <c r="H643" s="1"/>
      <c r="I643" s="55" t="s">
        <v>7</v>
      </c>
      <c r="J643" s="1"/>
      <c r="K643" s="1"/>
      <c r="L643" s="1"/>
      <c r="M643" s="55" t="s">
        <v>7</v>
      </c>
      <c r="N643" s="1"/>
      <c r="O643" s="1"/>
      <c r="P643" s="1"/>
      <c r="Q643" s="55" t="s">
        <v>7</v>
      </c>
      <c r="R643" s="55" t="s">
        <v>7</v>
      </c>
    </row>
    <row r="644" spans="1:18" ht="15.75" customHeight="1" thickBot="1" x14ac:dyDescent="0.35">
      <c r="A644" s="15" t="s">
        <v>53</v>
      </c>
      <c r="B644" s="1"/>
      <c r="C644" s="1"/>
      <c r="D644" s="1"/>
      <c r="E644" s="55" t="s">
        <v>7</v>
      </c>
      <c r="F644" s="1"/>
      <c r="G644" s="1"/>
      <c r="H644" s="1"/>
      <c r="I644" s="55" t="s">
        <v>7</v>
      </c>
      <c r="J644" s="1"/>
      <c r="K644" s="1"/>
      <c r="L644" s="1"/>
      <c r="M644" s="55" t="s">
        <v>7</v>
      </c>
      <c r="N644" s="1"/>
      <c r="O644" s="1"/>
      <c r="P644" s="1"/>
      <c r="Q644" s="55" t="s">
        <v>7</v>
      </c>
      <c r="R644" s="55" t="s">
        <v>7</v>
      </c>
    </row>
    <row r="645" spans="1:18" ht="16.5" customHeight="1" thickBot="1" x14ac:dyDescent="0.35">
      <c r="A645" s="109" t="s">
        <v>54</v>
      </c>
      <c r="B645" s="86">
        <f>SUM(B637:B644)</f>
        <v>303</v>
      </c>
      <c r="C645" s="87">
        <f>SUM(C637:C644)</f>
        <v>495</v>
      </c>
      <c r="D645" s="87">
        <f>SUM(D637:D644)</f>
        <v>902</v>
      </c>
      <c r="E645" s="59">
        <f>SUM(B645:D645)</f>
        <v>1700</v>
      </c>
      <c r="F645" s="87">
        <f>SUM(F637:F644)</f>
        <v>1016</v>
      </c>
      <c r="G645" s="87">
        <f>SUM(G637:G644)</f>
        <v>1997</v>
      </c>
      <c r="H645" s="87">
        <f>SUM(H637:H644)</f>
        <v>608</v>
      </c>
      <c r="I645" s="59">
        <f>SUM(F645:H645)</f>
        <v>3621</v>
      </c>
      <c r="J645" s="87">
        <f>SUM(J637:J644)</f>
        <v>1501</v>
      </c>
      <c r="K645" s="87">
        <f>SUM(K637:K644)</f>
        <v>850</v>
      </c>
      <c r="L645" s="87">
        <f>SUM(L637:L644)</f>
        <v>1217</v>
      </c>
      <c r="M645" s="59">
        <f>SUM(J645:L645)</f>
        <v>3568</v>
      </c>
      <c r="N645" s="87">
        <f>SUM(N637:N644)</f>
        <v>896</v>
      </c>
      <c r="O645" s="87">
        <f>SUM(O637:O644)</f>
        <v>99</v>
      </c>
      <c r="P645" s="87">
        <f>SUM(P637:P644)</f>
        <v>0</v>
      </c>
      <c r="Q645" s="59">
        <f>SUM(N645:P645)</f>
        <v>995</v>
      </c>
      <c r="R645" s="59">
        <f>+E645+I645+M645+Q645</f>
        <v>9884</v>
      </c>
    </row>
    <row r="646" spans="1:18" ht="15.75" customHeight="1" x14ac:dyDescent="0.3">
      <c r="A646" s="15" t="s">
        <v>55</v>
      </c>
      <c r="B646" s="1"/>
      <c r="C646" s="1"/>
      <c r="D646" s="1"/>
      <c r="E646" s="55" t="s">
        <v>7</v>
      </c>
      <c r="F646" s="1"/>
      <c r="G646" s="1"/>
      <c r="H646" s="1"/>
      <c r="I646" s="55" t="s">
        <v>7</v>
      </c>
      <c r="J646" s="1"/>
      <c r="K646" s="1"/>
      <c r="L646" s="1"/>
      <c r="M646" s="55" t="s">
        <v>7</v>
      </c>
      <c r="N646" s="1"/>
      <c r="O646" s="1"/>
      <c r="P646" s="1"/>
      <c r="Q646" s="55" t="s">
        <v>7</v>
      </c>
      <c r="R646" s="55" t="s">
        <v>7</v>
      </c>
    </row>
    <row r="647" spans="1:18" ht="15.75" customHeight="1" x14ac:dyDescent="0.3">
      <c r="A647" s="15" t="s">
        <v>57</v>
      </c>
      <c r="B647" s="1"/>
      <c r="C647" s="1"/>
      <c r="D647" s="1"/>
      <c r="E647" s="55" t="s">
        <v>7</v>
      </c>
      <c r="F647" s="1"/>
      <c r="G647" s="1"/>
      <c r="H647" s="1"/>
      <c r="I647" s="55" t="s">
        <v>7</v>
      </c>
      <c r="J647" s="1"/>
      <c r="K647" s="1"/>
      <c r="L647" s="1"/>
      <c r="M647" s="55" t="s">
        <v>7</v>
      </c>
      <c r="N647" s="1"/>
      <c r="O647" s="1"/>
      <c r="P647" s="1"/>
      <c r="Q647" s="55" t="s">
        <v>7</v>
      </c>
      <c r="R647" s="55" t="s">
        <v>7</v>
      </c>
    </row>
    <row r="648" spans="1:18" ht="15.75" customHeight="1" thickBot="1" x14ac:dyDescent="0.35">
      <c r="A648" s="15" t="s">
        <v>58</v>
      </c>
      <c r="B648" s="1"/>
      <c r="C648" s="1"/>
      <c r="D648" s="1"/>
      <c r="E648" s="55" t="s">
        <v>7</v>
      </c>
      <c r="F648" s="1"/>
      <c r="G648" s="1"/>
      <c r="H648" s="1"/>
      <c r="I648" s="55" t="s">
        <v>7</v>
      </c>
      <c r="J648" s="1"/>
      <c r="K648" s="1"/>
      <c r="L648" s="1"/>
      <c r="M648" s="55" t="s">
        <v>7</v>
      </c>
      <c r="N648" s="1"/>
      <c r="O648" s="1"/>
      <c r="P648" s="1"/>
      <c r="Q648" s="55" t="s">
        <v>7</v>
      </c>
      <c r="R648" s="55" t="s">
        <v>7</v>
      </c>
    </row>
    <row r="649" spans="1:18" ht="16.5" customHeight="1" thickBot="1" x14ac:dyDescent="0.35">
      <c r="A649" s="57" t="s">
        <v>59</v>
      </c>
      <c r="B649" s="86">
        <f>SUM(B646:B648)</f>
        <v>0</v>
      </c>
      <c r="C649" s="87">
        <f>SUM(C646:C648)</f>
        <v>0</v>
      </c>
      <c r="D649" s="87">
        <f>SUM(D646:D648)</f>
        <v>0</v>
      </c>
      <c r="E649" s="59">
        <f>SUM(B649:D649)</f>
        <v>0</v>
      </c>
      <c r="F649" s="87">
        <f>SUM(F646:F648)</f>
        <v>0</v>
      </c>
      <c r="G649" s="87">
        <f>SUM(G646:G648)</f>
        <v>0</v>
      </c>
      <c r="H649" s="87">
        <f>SUM(H646:H648)</f>
        <v>0</v>
      </c>
      <c r="I649" s="59">
        <f>SUM(F649:H649)</f>
        <v>0</v>
      </c>
      <c r="J649" s="87">
        <f>SUM(J646:J648)</f>
        <v>0</v>
      </c>
      <c r="K649" s="87">
        <f>SUM(K646:K648)</f>
        <v>0</v>
      </c>
      <c r="L649" s="87">
        <f>SUM(L646:L648)</f>
        <v>0</v>
      </c>
      <c r="M649" s="59">
        <f>SUM(J649:L649)</f>
        <v>0</v>
      </c>
      <c r="N649" s="87">
        <f>SUM(N646:N648)</f>
        <v>0</v>
      </c>
      <c r="O649" s="87">
        <f>SUM(O646:O648)</f>
        <v>0</v>
      </c>
      <c r="P649" s="87">
        <f>SUM(P646:P648)</f>
        <v>0</v>
      </c>
      <c r="Q649" s="59">
        <f>SUM(N649:P649)</f>
        <v>0</v>
      </c>
      <c r="R649" s="59">
        <f>+E649+I649+M649+Q649</f>
        <v>0</v>
      </c>
    </row>
    <row r="650" spans="1:18" ht="15.75" customHeight="1" x14ac:dyDescent="0.3">
      <c r="A650" s="15" t="s">
        <v>60</v>
      </c>
      <c r="B650" s="1"/>
      <c r="C650" s="1"/>
      <c r="D650" s="1"/>
      <c r="E650" s="55" t="s">
        <v>7</v>
      </c>
      <c r="F650" s="1"/>
      <c r="G650" s="1"/>
      <c r="H650" s="1"/>
      <c r="I650" s="55" t="s">
        <v>7</v>
      </c>
      <c r="J650" s="1"/>
      <c r="K650" s="1"/>
      <c r="L650" s="1"/>
      <c r="M650" s="55" t="s">
        <v>7</v>
      </c>
      <c r="N650" s="1"/>
      <c r="O650" s="1"/>
      <c r="P650" s="1"/>
      <c r="Q650" s="55" t="s">
        <v>7</v>
      </c>
      <c r="R650" s="55" t="s">
        <v>7</v>
      </c>
    </row>
    <row r="651" spans="1:18" ht="15.75" customHeight="1" x14ac:dyDescent="0.3">
      <c r="A651" s="15" t="s">
        <v>61</v>
      </c>
      <c r="B651" s="1"/>
      <c r="C651" s="1"/>
      <c r="D651" s="1"/>
      <c r="E651" s="55" t="s">
        <v>7</v>
      </c>
      <c r="F651" s="1"/>
      <c r="G651" s="1"/>
      <c r="H651" s="1"/>
      <c r="I651" s="55" t="s">
        <v>7</v>
      </c>
      <c r="J651" s="1"/>
      <c r="K651" s="1"/>
      <c r="L651" s="1"/>
      <c r="M651" s="55" t="s">
        <v>7</v>
      </c>
      <c r="N651" s="1"/>
      <c r="O651" s="1"/>
      <c r="P651" s="1"/>
      <c r="Q651" s="55" t="s">
        <v>7</v>
      </c>
      <c r="R651" s="55" t="s">
        <v>7</v>
      </c>
    </row>
    <row r="652" spans="1:18" ht="15.75" customHeight="1" thickBot="1" x14ac:dyDescent="0.35">
      <c r="A652" s="15" t="s">
        <v>62</v>
      </c>
      <c r="B652" s="1"/>
      <c r="C652" s="1"/>
      <c r="D652" s="1"/>
      <c r="E652" s="55" t="s">
        <v>7</v>
      </c>
      <c r="F652" s="1"/>
      <c r="G652" s="1"/>
      <c r="H652" s="1"/>
      <c r="I652" s="55" t="s">
        <v>7</v>
      </c>
      <c r="J652" s="1"/>
      <c r="K652" s="1"/>
      <c r="L652" s="1"/>
      <c r="M652" s="55" t="s">
        <v>7</v>
      </c>
      <c r="N652" s="1"/>
      <c r="O652" s="1"/>
      <c r="P652" s="1"/>
      <c r="Q652" s="55" t="s">
        <v>7</v>
      </c>
      <c r="R652" s="55" t="s">
        <v>7</v>
      </c>
    </row>
    <row r="653" spans="1:18" ht="16.5" customHeight="1" thickBot="1" x14ac:dyDescent="0.35">
      <c r="A653" s="114" t="s">
        <v>63</v>
      </c>
      <c r="B653" s="86">
        <f>SUM(B650:B652)</f>
        <v>0</v>
      </c>
      <c r="C653" s="87">
        <f>SUM(C650:C652)</f>
        <v>0</v>
      </c>
      <c r="D653" s="87">
        <f>SUM(D650:D652)</f>
        <v>0</v>
      </c>
      <c r="E653" s="59">
        <f>SUM(B653:D653)</f>
        <v>0</v>
      </c>
      <c r="F653" s="87">
        <f>SUM(F650:F652)</f>
        <v>0</v>
      </c>
      <c r="G653" s="87">
        <f>SUM(G650:G652)</f>
        <v>0</v>
      </c>
      <c r="H653" s="87">
        <f>SUM(H650:H652)</f>
        <v>0</v>
      </c>
      <c r="I653" s="59">
        <f>SUM(F653:H653)</f>
        <v>0</v>
      </c>
      <c r="J653" s="87">
        <f>SUM(J650:J652)</f>
        <v>0</v>
      </c>
      <c r="K653" s="87">
        <f>SUM(K650:K652)</f>
        <v>0</v>
      </c>
      <c r="L653" s="87">
        <f>SUM(L650:L652)</f>
        <v>0</v>
      </c>
      <c r="M653" s="59">
        <f>SUM(J653:L653)</f>
        <v>0</v>
      </c>
      <c r="N653" s="87">
        <f>SUM(N650:N652)</f>
        <v>0</v>
      </c>
      <c r="O653" s="87">
        <f>SUM(O650:O652)</f>
        <v>0</v>
      </c>
      <c r="P653" s="87">
        <f>SUM(P650:P652)</f>
        <v>0</v>
      </c>
      <c r="Q653" s="59">
        <f>SUM(N653:P653)</f>
        <v>0</v>
      </c>
      <c r="R653" s="59">
        <f>+E653+I653+M653+Q653</f>
        <v>0</v>
      </c>
    </row>
    <row r="654" spans="1:18" ht="15.75" customHeight="1" x14ac:dyDescent="0.3">
      <c r="A654" s="15" t="s">
        <v>64</v>
      </c>
      <c r="B654" s="1"/>
      <c r="C654" s="1"/>
      <c r="D654" s="1"/>
      <c r="E654" s="55" t="s">
        <v>7</v>
      </c>
      <c r="F654" s="1"/>
      <c r="G654" s="1"/>
      <c r="H654" s="1"/>
      <c r="I654" s="55" t="s">
        <v>7</v>
      </c>
      <c r="J654" s="1"/>
      <c r="K654" s="1"/>
      <c r="L654" s="1"/>
      <c r="M654" s="55" t="s">
        <v>7</v>
      </c>
      <c r="N654" s="1"/>
      <c r="O654" s="1"/>
      <c r="P654" s="1"/>
      <c r="Q654" s="55" t="s">
        <v>7</v>
      </c>
      <c r="R654" s="55" t="s">
        <v>7</v>
      </c>
    </row>
    <row r="655" spans="1:18" ht="15.75" customHeight="1" x14ac:dyDescent="0.3">
      <c r="A655" s="15" t="s">
        <v>594</v>
      </c>
      <c r="B655" s="1"/>
      <c r="C655" s="1"/>
      <c r="D655" s="1"/>
      <c r="E655" s="55" t="s">
        <v>7</v>
      </c>
      <c r="F655" s="1"/>
      <c r="G655" s="1"/>
      <c r="H655" s="1"/>
      <c r="I655" s="55" t="s">
        <v>7</v>
      </c>
      <c r="J655" s="1"/>
      <c r="K655" s="1"/>
      <c r="L655" s="1"/>
      <c r="M655" s="55" t="s">
        <v>7</v>
      </c>
      <c r="N655" s="1"/>
      <c r="O655" s="1"/>
      <c r="P655" s="1"/>
      <c r="Q655" s="55" t="s">
        <v>7</v>
      </c>
      <c r="R655" s="55" t="s">
        <v>7</v>
      </c>
    </row>
    <row r="656" spans="1:18" ht="15.75" customHeight="1" x14ac:dyDescent="0.3">
      <c r="A656" s="15" t="s">
        <v>67</v>
      </c>
      <c r="B656" s="1"/>
      <c r="C656" s="1"/>
      <c r="D656" s="1"/>
      <c r="E656" s="55" t="s">
        <v>7</v>
      </c>
      <c r="F656" s="1"/>
      <c r="G656" s="1"/>
      <c r="H656" s="1"/>
      <c r="I656" s="55" t="s">
        <v>7</v>
      </c>
      <c r="J656" s="1"/>
      <c r="K656" s="1"/>
      <c r="L656" s="1"/>
      <c r="M656" s="55" t="s">
        <v>7</v>
      </c>
      <c r="N656" s="1"/>
      <c r="O656" s="1"/>
      <c r="P656" s="1"/>
      <c r="Q656" s="55" t="s">
        <v>7</v>
      </c>
      <c r="R656" s="55" t="s">
        <v>7</v>
      </c>
    </row>
    <row r="657" spans="1:18" ht="15.75" customHeight="1" x14ac:dyDescent="0.3">
      <c r="A657" s="71" t="s">
        <v>773</v>
      </c>
      <c r="B657" s="1"/>
      <c r="C657" s="1"/>
      <c r="D657" s="1"/>
      <c r="E657" s="55">
        <f>SUM(B657:D657)</f>
        <v>0</v>
      </c>
      <c r="F657" s="1"/>
      <c r="G657" s="1"/>
      <c r="H657" s="1"/>
      <c r="I657" s="55">
        <f>SUM(F657:H657)</f>
        <v>0</v>
      </c>
      <c r="J657" s="1"/>
      <c r="K657" s="1"/>
      <c r="L657" s="1"/>
      <c r="M657" s="55">
        <f>SUM(J657:L657)</f>
        <v>0</v>
      </c>
      <c r="N657" s="1"/>
      <c r="O657" s="1"/>
      <c r="P657" s="1"/>
      <c r="Q657" s="55">
        <f>SUM(N657:P657)</f>
        <v>0</v>
      </c>
      <c r="R657" s="55">
        <f>+E657+I657+M657+Q657</f>
        <v>0</v>
      </c>
    </row>
    <row r="658" spans="1:18" ht="15.75" customHeight="1" x14ac:dyDescent="0.3">
      <c r="A658" s="15" t="s">
        <v>600</v>
      </c>
      <c r="B658" s="1"/>
      <c r="C658" s="1"/>
      <c r="D658" s="1"/>
      <c r="E658" s="55" t="s">
        <v>7</v>
      </c>
      <c r="F658" s="1"/>
      <c r="G658" s="1"/>
      <c r="H658" s="1"/>
      <c r="I658" s="55" t="s">
        <v>7</v>
      </c>
      <c r="J658" s="1"/>
      <c r="K658" s="1"/>
      <c r="L658" s="1"/>
      <c r="M658" s="55" t="s">
        <v>7</v>
      </c>
      <c r="N658" s="1"/>
      <c r="O658" s="1"/>
      <c r="P658" s="1"/>
      <c r="Q658" s="55" t="s">
        <v>7</v>
      </c>
      <c r="R658" s="55" t="s">
        <v>7</v>
      </c>
    </row>
    <row r="659" spans="1:18" ht="15.75" customHeight="1" thickBot="1" x14ac:dyDescent="0.35">
      <c r="A659" s="15" t="s">
        <v>70</v>
      </c>
      <c r="B659" s="1"/>
      <c r="C659" s="1"/>
      <c r="D659" s="1"/>
      <c r="E659" s="55" t="s">
        <v>7</v>
      </c>
      <c r="F659" s="1"/>
      <c r="G659" s="1"/>
      <c r="H659" s="1"/>
      <c r="I659" s="55" t="s">
        <v>7</v>
      </c>
      <c r="J659" s="1"/>
      <c r="K659" s="1"/>
      <c r="L659" s="1"/>
      <c r="M659" s="55" t="s">
        <v>7</v>
      </c>
      <c r="N659" s="1"/>
      <c r="O659" s="1"/>
      <c r="P659" s="1"/>
      <c r="Q659" s="55" t="s">
        <v>7</v>
      </c>
      <c r="R659" s="55" t="s">
        <v>7</v>
      </c>
    </row>
    <row r="660" spans="1:18" ht="16.5" customHeight="1" thickBot="1" x14ac:dyDescent="0.35">
      <c r="A660" s="57" t="s">
        <v>71</v>
      </c>
      <c r="B660" s="58">
        <f>SUM(B658:B659)</f>
        <v>0</v>
      </c>
      <c r="C660" s="58">
        <f>SUM(C658:C659)</f>
        <v>0</v>
      </c>
      <c r="D660" s="58">
        <f>SUM(D658:D659)</f>
        <v>0</v>
      </c>
      <c r="E660" s="60">
        <f>SUM(B660:D660)</f>
        <v>0</v>
      </c>
      <c r="F660" s="58">
        <f>SUM(F658:F659)</f>
        <v>0</v>
      </c>
      <c r="G660" s="58">
        <f>SUM(G658:G659)</f>
        <v>0</v>
      </c>
      <c r="H660" s="58">
        <f>SUM(H658:H659)</f>
        <v>0</v>
      </c>
      <c r="I660" s="60">
        <f>SUM(F660:H660)</f>
        <v>0</v>
      </c>
      <c r="J660" s="58">
        <f>SUM(J658:J659)</f>
        <v>0</v>
      </c>
      <c r="K660" s="58">
        <f>SUM(K658:K659)</f>
        <v>0</v>
      </c>
      <c r="L660" s="58">
        <f>SUM(L658:L659)</f>
        <v>0</v>
      </c>
      <c r="M660" s="60">
        <f>SUM(J660:L660)</f>
        <v>0</v>
      </c>
      <c r="N660" s="58">
        <f>SUM(N658:N659)</f>
        <v>0</v>
      </c>
      <c r="O660" s="58">
        <f>SUM(O658:O659)</f>
        <v>0</v>
      </c>
      <c r="P660" s="58">
        <f>SUM(P658:P659)</f>
        <v>0</v>
      </c>
      <c r="Q660" s="60">
        <f>SUM(N660:P660)</f>
        <v>0</v>
      </c>
      <c r="R660" s="59">
        <f>+E660+I660+M660+Q660</f>
        <v>0</v>
      </c>
    </row>
    <row r="661" spans="1:18" ht="16.5" customHeight="1" thickBot="1" x14ac:dyDescent="0.35">
      <c r="A661" s="114" t="s">
        <v>72</v>
      </c>
      <c r="B661" s="86">
        <f>SUM(B654:B659)</f>
        <v>0</v>
      </c>
      <c r="C661" s="87">
        <f>SUM(C654:C659)</f>
        <v>0</v>
      </c>
      <c r="D661" s="118">
        <f>SUM(D654:D659)</f>
        <v>0</v>
      </c>
      <c r="E661" s="60">
        <f>SUM(B661:D661)</f>
        <v>0</v>
      </c>
      <c r="F661" s="87">
        <f>SUM(F654:F659)</f>
        <v>0</v>
      </c>
      <c r="G661" s="87">
        <f>SUM(G654:G659)</f>
        <v>0</v>
      </c>
      <c r="H661" s="87">
        <f>SUM(H654:H659)</f>
        <v>0</v>
      </c>
      <c r="I661" s="60">
        <f>SUM(F661:H661)</f>
        <v>0</v>
      </c>
      <c r="J661" s="87">
        <f>SUM(J654:J659)</f>
        <v>0</v>
      </c>
      <c r="K661" s="87">
        <f>SUM(K654:K659)</f>
        <v>0</v>
      </c>
      <c r="L661" s="87">
        <f>SUM(L654:L659)</f>
        <v>0</v>
      </c>
      <c r="M661" s="60">
        <f>SUM(J661:L661)</f>
        <v>0</v>
      </c>
      <c r="N661" s="87">
        <f>SUM(N654:N659)</f>
        <v>0</v>
      </c>
      <c r="O661" s="87">
        <f>SUM(O654:O659)</f>
        <v>0</v>
      </c>
      <c r="P661" s="87">
        <f>SUM(P654:P659)</f>
        <v>0</v>
      </c>
      <c r="Q661" s="60">
        <f>SUM(N661:P661)</f>
        <v>0</v>
      </c>
      <c r="R661" s="59">
        <f>+E661+I661+M661+Q661</f>
        <v>0</v>
      </c>
    </row>
    <row r="662" spans="1:18" ht="16.5" customHeight="1" thickBot="1" x14ac:dyDescent="0.35">
      <c r="A662" s="57" t="s">
        <v>73</v>
      </c>
      <c r="B662" s="90">
        <f>+B645+B649+B653+B661</f>
        <v>303</v>
      </c>
      <c r="C662" s="58">
        <f>+C645+C649+C653+C661</f>
        <v>495</v>
      </c>
      <c r="D662" s="58">
        <f>+D645+D649+D653+D661</f>
        <v>902</v>
      </c>
      <c r="E662" s="59">
        <f>SUM(B662:D662)</f>
        <v>1700</v>
      </c>
      <c r="F662" s="58">
        <f>+F645+F649+F653+F661</f>
        <v>1016</v>
      </c>
      <c r="G662" s="58">
        <f>+G645+G649+G653+G661</f>
        <v>1997</v>
      </c>
      <c r="H662" s="58">
        <f>+H645+H649+H653+H661</f>
        <v>608</v>
      </c>
      <c r="I662" s="59">
        <f>SUM(F662:H662)</f>
        <v>3621</v>
      </c>
      <c r="J662" s="58">
        <f>+J645+J649+J653+J661</f>
        <v>1501</v>
      </c>
      <c r="K662" s="58">
        <f>+K645+K649+K653+K661</f>
        <v>850</v>
      </c>
      <c r="L662" s="58">
        <f>+L645+L649+L653+L661</f>
        <v>1217</v>
      </c>
      <c r="M662" s="59">
        <f>SUM(J662:L662)</f>
        <v>3568</v>
      </c>
      <c r="N662" s="58">
        <f>+N645+N649+N653+N661</f>
        <v>896</v>
      </c>
      <c r="O662" s="58">
        <f>+O645+O649+O653+O661</f>
        <v>99</v>
      </c>
      <c r="P662" s="58">
        <f>+P645+P649+P653+P661</f>
        <v>0</v>
      </c>
      <c r="Q662" s="59">
        <f>SUM(N662:P662)</f>
        <v>995</v>
      </c>
      <c r="R662" s="81">
        <f>+E662+I662+M662+Q662</f>
        <v>9884</v>
      </c>
    </row>
    <row r="663" spans="1:18" ht="16.5" customHeight="1" thickBot="1" x14ac:dyDescent="0.35">
      <c r="A663" s="39" t="s">
        <v>40</v>
      </c>
      <c r="B663" s="21">
        <v>10</v>
      </c>
      <c r="C663" s="21">
        <v>11</v>
      </c>
      <c r="D663" s="21">
        <v>14</v>
      </c>
      <c r="E663" s="55">
        <f>SUM(B663:D663)</f>
        <v>35</v>
      </c>
      <c r="F663" s="21">
        <v>18</v>
      </c>
      <c r="G663" s="21">
        <v>21</v>
      </c>
      <c r="H663" s="21">
        <v>22</v>
      </c>
      <c r="I663" s="55">
        <f>SUM(F663:H663)</f>
        <v>61</v>
      </c>
      <c r="J663" s="21">
        <v>19</v>
      </c>
      <c r="K663" s="21">
        <v>17</v>
      </c>
      <c r="L663" s="21">
        <v>17</v>
      </c>
      <c r="M663" s="55">
        <f>SUM(J663:L663)</f>
        <v>53</v>
      </c>
      <c r="N663" s="21">
        <v>14</v>
      </c>
      <c r="O663" s="21">
        <v>11</v>
      </c>
      <c r="P663" s="21">
        <v>9</v>
      </c>
      <c r="Q663" s="55">
        <f>SUM(N663:P663)</f>
        <v>34</v>
      </c>
      <c r="R663" s="55">
        <f>+E663+I663+M663+Q663</f>
        <v>183</v>
      </c>
    </row>
    <row r="664" spans="1:18" ht="16.5" customHeight="1" thickBot="1" x14ac:dyDescent="0.35">
      <c r="A664" s="41"/>
      <c r="B664" s="36"/>
      <c r="C664" s="36"/>
      <c r="D664" s="36"/>
      <c r="E664" s="52"/>
      <c r="F664" s="36"/>
      <c r="G664" s="36"/>
      <c r="H664" s="36"/>
      <c r="I664" s="52"/>
      <c r="J664" s="36"/>
      <c r="K664" s="36"/>
      <c r="L664" s="36"/>
      <c r="M664" s="129"/>
      <c r="N664" s="36"/>
      <c r="O664" s="36"/>
      <c r="P664" s="36"/>
      <c r="Q664" s="129"/>
      <c r="R664" s="40"/>
    </row>
    <row r="665" spans="1:18" ht="15.75" customHeight="1" x14ac:dyDescent="0.3">
      <c r="A665" s="15" t="s">
        <v>314</v>
      </c>
      <c r="B665" s="1">
        <f>SUM(B662:B663)</f>
        <v>313</v>
      </c>
      <c r="C665" s="1">
        <f>SUM(C662:C663)</f>
        <v>506</v>
      </c>
      <c r="D665" s="1">
        <f>SUM(D662:D663)</f>
        <v>916</v>
      </c>
      <c r="E665" s="55">
        <f>SUM(B665:D665)</f>
        <v>1735</v>
      </c>
      <c r="F665" s="1">
        <f>SUM(F662:F663)</f>
        <v>1034</v>
      </c>
      <c r="G665" s="1">
        <f>SUM(G662:G663)</f>
        <v>2018</v>
      </c>
      <c r="H665" s="1">
        <f>SUM(H662:H663)</f>
        <v>630</v>
      </c>
      <c r="I665" s="60">
        <f>SUM(F665:H665)</f>
        <v>3682</v>
      </c>
      <c r="J665" s="1">
        <f>SUM(J662:J663)</f>
        <v>1520</v>
      </c>
      <c r="K665" s="1">
        <f>SUM(K662:K663)</f>
        <v>867</v>
      </c>
      <c r="L665" s="1">
        <f>SUM(L662:L663)</f>
        <v>1234</v>
      </c>
      <c r="M665" s="60">
        <f>SUM(J665:L665)</f>
        <v>3621</v>
      </c>
      <c r="N665" s="1">
        <f>SUM(N662:N663)</f>
        <v>910</v>
      </c>
      <c r="O665" s="1">
        <f>SUM(O662:O663)</f>
        <v>110</v>
      </c>
      <c r="P665" s="1">
        <f>SUM(P662:P663)</f>
        <v>9</v>
      </c>
      <c r="Q665" s="60">
        <f>SUM(N665:P665)</f>
        <v>1029</v>
      </c>
      <c r="R665" s="60">
        <f>+E665+I665+M665+Q665</f>
        <v>10067</v>
      </c>
    </row>
    <row r="666" spans="1:18" ht="15.75" customHeight="1" x14ac:dyDescent="0.3">
      <c r="A666" s="15" t="s">
        <v>42</v>
      </c>
      <c r="B666" s="1">
        <f>(B665/B10)/1.983</f>
        <v>5.0916662599840583</v>
      </c>
      <c r="C666" s="1">
        <f>(C665/C10)/1.983</f>
        <v>9.113176284129386</v>
      </c>
      <c r="D666" s="1">
        <f>(D665/D10)/1.983</f>
        <v>14.900850780017242</v>
      </c>
      <c r="E666" s="55" t="s">
        <v>7</v>
      </c>
      <c r="F666" s="1">
        <f>(F665/F10)/1.983</f>
        <v>17.381072449151119</v>
      </c>
      <c r="G666" s="1">
        <f>(G665/G10)/1.983</f>
        <v>32.827420168203922</v>
      </c>
      <c r="H666" s="1">
        <f>(H665/H10)/1.983</f>
        <v>10.59001512859304</v>
      </c>
      <c r="I666" s="55" t="s">
        <v>7</v>
      </c>
      <c r="J666" s="1">
        <f>(J665/J10)/1.983</f>
        <v>24.726302604395425</v>
      </c>
      <c r="K666" s="1">
        <f>(K665/K10)/1.983</f>
        <v>14.103752867112391</v>
      </c>
      <c r="L666" s="1">
        <f>(L665/L10)/1.983</f>
        <v>20.742982013783827</v>
      </c>
      <c r="M666" s="55" t="s">
        <v>7</v>
      </c>
      <c r="N666" s="1">
        <f>(N665/N10)/1.983</f>
        <v>14.80324695394726</v>
      </c>
      <c r="O666" s="1">
        <f>(O665/O10)/1.983</f>
        <v>1.849050260547991</v>
      </c>
      <c r="P666" s="1">
        <f>(P665/P10)/1.983</f>
        <v>0.14640573910497293</v>
      </c>
      <c r="Q666" s="55" t="s">
        <v>7</v>
      </c>
      <c r="R666" s="55" t="s">
        <v>7</v>
      </c>
    </row>
    <row r="667" spans="1:18" ht="15.75" customHeight="1" x14ac:dyDescent="0.3">
      <c r="A667" s="15" t="s">
        <v>341</v>
      </c>
      <c r="B667" s="1">
        <f>B665+B715</f>
        <v>14444</v>
      </c>
      <c r="C667" s="1">
        <f>C665+C715</f>
        <v>11382</v>
      </c>
      <c r="D667" s="1">
        <f>D665+D715</f>
        <v>20106</v>
      </c>
      <c r="E667" s="55">
        <f>SUM(B667:D667)</f>
        <v>45932</v>
      </c>
      <c r="F667" s="1">
        <f>F665+F715</f>
        <v>19477</v>
      </c>
      <c r="G667" s="1">
        <f>G665+G715</f>
        <v>19800</v>
      </c>
      <c r="H667" s="1">
        <f>H665+H715</f>
        <v>21364</v>
      </c>
      <c r="I667" s="55">
        <f>SUM(F667:H667)</f>
        <v>60641</v>
      </c>
      <c r="J667" s="1">
        <f>J665+J715</f>
        <v>21678</v>
      </c>
      <c r="K667" s="1">
        <f>K665+K715</f>
        <v>21645</v>
      </c>
      <c r="L667" s="1">
        <f>L665+L715</f>
        <v>19059</v>
      </c>
      <c r="M667" s="55">
        <f>SUM(J667:L667)</f>
        <v>62382</v>
      </c>
      <c r="N667" s="1">
        <f>N665+N715</f>
        <v>7049</v>
      </c>
      <c r="O667" s="1">
        <f>O665+O715</f>
        <v>1371</v>
      </c>
      <c r="P667" s="1">
        <f>P665+P715</f>
        <v>7115</v>
      </c>
      <c r="Q667" s="55">
        <f>SUM(N667:P667)</f>
        <v>15535</v>
      </c>
      <c r="R667" s="55">
        <f>+E667+I667+M667+Q667</f>
        <v>184490</v>
      </c>
    </row>
    <row r="668" spans="1:18" ht="16.5" customHeight="1" thickBot="1" x14ac:dyDescent="0.35">
      <c r="A668" s="20" t="s">
        <v>342</v>
      </c>
      <c r="B668" s="21">
        <f>(B667/B10)/1.983</f>
        <v>234.96494395913652</v>
      </c>
      <c r="C668" s="21">
        <f>(C667/C10)/1.983</f>
        <v>204.99243570347957</v>
      </c>
      <c r="D668" s="21">
        <f>(D667/D10)/1.983</f>
        <v>327.07042116050951</v>
      </c>
      <c r="E668" s="81" t="s">
        <v>7</v>
      </c>
      <c r="F668" s="21">
        <f>(F667/F10)/1.983</f>
        <v>327.39956295175659</v>
      </c>
      <c r="G668" s="21">
        <f>(G667/G10)/1.983</f>
        <v>322.09262603094044</v>
      </c>
      <c r="H668" s="21">
        <f>(H667/H10)/1.983</f>
        <v>359.11917969406619</v>
      </c>
      <c r="I668" s="81" t="s">
        <v>7</v>
      </c>
      <c r="J668" s="21">
        <f>(J667/J10)/1.983</f>
        <v>352.64262359084472</v>
      </c>
      <c r="K668" s="21">
        <f>(K667/K10)/1.983</f>
        <v>352.10580254745986</v>
      </c>
      <c r="L668" s="21">
        <f>(L667/L10)/1.983</f>
        <v>320.37317196167419</v>
      </c>
      <c r="M668" s="81" t="s">
        <v>7</v>
      </c>
      <c r="N668" s="21">
        <f>(N667/N10)/1.983</f>
        <v>114.66822832788378</v>
      </c>
      <c r="O668" s="21">
        <f>(O667/O10)/1.983</f>
        <v>23.045890065557238</v>
      </c>
      <c r="P668" s="21">
        <f>(P667/P10)/1.983</f>
        <v>115.74187041465359</v>
      </c>
      <c r="Q668" s="81" t="s">
        <v>7</v>
      </c>
      <c r="R668" s="81" t="s">
        <v>7</v>
      </c>
    </row>
    <row r="669" spans="1:18" ht="15.75" customHeight="1" x14ac:dyDescent="0.3">
      <c r="A669" s="2"/>
      <c r="B669" s="1"/>
      <c r="C669" s="1"/>
      <c r="D669" s="1"/>
      <c r="E669" s="1"/>
      <c r="F669" s="1"/>
      <c r="G669" s="1"/>
      <c r="H669" s="1"/>
      <c r="I669" s="1"/>
      <c r="J669" s="1"/>
      <c r="K669" s="1"/>
      <c r="L669" s="1"/>
      <c r="M669" s="1"/>
      <c r="N669" s="1"/>
      <c r="O669" s="1"/>
      <c r="P669" s="1"/>
      <c r="Q669" s="1"/>
      <c r="R669" s="2"/>
    </row>
    <row r="670" spans="1:18" ht="16.5" customHeight="1" thickBot="1" x14ac:dyDescent="0.35">
      <c r="A670" s="106"/>
      <c r="B670" s="21"/>
      <c r="C670" s="21"/>
      <c r="D670" s="21"/>
      <c r="E670" s="21"/>
      <c r="F670" s="21"/>
      <c r="G670" s="21"/>
      <c r="H670" s="21"/>
      <c r="I670" s="21"/>
      <c r="J670" s="21"/>
      <c r="K670" s="21"/>
      <c r="L670" s="21"/>
      <c r="M670" s="21"/>
      <c r="N670" s="21"/>
      <c r="O670" s="21"/>
      <c r="P670" s="21"/>
      <c r="Q670" s="21"/>
      <c r="R670" s="106"/>
    </row>
    <row r="671" spans="1:18" ht="15.75" customHeight="1" thickBot="1" x14ac:dyDescent="0.35">
      <c r="A671" s="107" t="s">
        <v>343</v>
      </c>
      <c r="B671" s="47" t="s">
        <v>8</v>
      </c>
      <c r="C671" s="48" t="s">
        <v>9</v>
      </c>
      <c r="D671" s="48" t="s">
        <v>10</v>
      </c>
      <c r="E671" s="32" t="s">
        <v>11</v>
      </c>
      <c r="F671" s="48" t="s">
        <v>12</v>
      </c>
      <c r="G671" s="48" t="s">
        <v>13</v>
      </c>
      <c r="H671" s="48" t="s">
        <v>14</v>
      </c>
      <c r="I671" s="32" t="s">
        <v>15</v>
      </c>
      <c r="J671" s="48" t="s">
        <v>16</v>
      </c>
      <c r="K671" s="48" t="s">
        <v>17</v>
      </c>
      <c r="L671" s="48" t="s">
        <v>18</v>
      </c>
      <c r="M671" s="32" t="s">
        <v>19</v>
      </c>
      <c r="N671" s="48" t="s">
        <v>20</v>
      </c>
      <c r="O671" s="48" t="s">
        <v>21</v>
      </c>
      <c r="P671" s="48" t="s">
        <v>22</v>
      </c>
      <c r="Q671" s="32" t="s">
        <v>23</v>
      </c>
      <c r="R671" s="49" t="s">
        <v>24</v>
      </c>
    </row>
    <row r="672" spans="1:18" ht="16.5" customHeight="1" thickBot="1" x14ac:dyDescent="0.35">
      <c r="A672" s="130"/>
      <c r="B672" s="51"/>
      <c r="C672" s="51"/>
      <c r="D672" s="51"/>
      <c r="E672" s="52"/>
      <c r="F672" s="51"/>
      <c r="G672" s="51"/>
      <c r="H672" s="51"/>
      <c r="I672" s="52"/>
      <c r="J672" s="51"/>
      <c r="K672" s="51"/>
      <c r="L672" s="51"/>
      <c r="M672" s="52"/>
      <c r="N672" s="51"/>
      <c r="O672" s="51"/>
      <c r="P672" s="51"/>
      <c r="Q672" s="52"/>
      <c r="R672" s="53"/>
    </row>
    <row r="673" spans="1:19" ht="15.75" customHeight="1" x14ac:dyDescent="0.3">
      <c r="A673" s="15" t="s">
        <v>48</v>
      </c>
      <c r="B673" s="1" t="s">
        <v>7</v>
      </c>
      <c r="C673" s="1" t="s">
        <v>7</v>
      </c>
      <c r="D673" s="1" t="s">
        <v>7</v>
      </c>
      <c r="E673" s="55" t="s">
        <v>7</v>
      </c>
      <c r="F673" s="1" t="s">
        <v>7</v>
      </c>
      <c r="G673" s="1" t="s">
        <v>7</v>
      </c>
      <c r="H673" s="1" t="s">
        <v>7</v>
      </c>
      <c r="I673" s="55" t="s">
        <v>7</v>
      </c>
      <c r="J673" s="1" t="s">
        <v>7</v>
      </c>
      <c r="K673" s="1" t="s">
        <v>7</v>
      </c>
      <c r="L673" s="1" t="s">
        <v>7</v>
      </c>
      <c r="M673" s="55" t="s">
        <v>7</v>
      </c>
      <c r="N673" s="1" t="s">
        <v>7</v>
      </c>
      <c r="O673" s="1" t="s">
        <v>7</v>
      </c>
      <c r="P673" s="1" t="s">
        <v>7</v>
      </c>
      <c r="Q673" s="55" t="s">
        <v>7</v>
      </c>
      <c r="R673" s="55" t="s">
        <v>7</v>
      </c>
    </row>
    <row r="674" spans="1:19" ht="15.75" customHeight="1" x14ac:dyDescent="0.3">
      <c r="A674" s="15" t="s">
        <v>49</v>
      </c>
      <c r="B674" s="1"/>
      <c r="C674" s="1"/>
      <c r="D674" s="1"/>
      <c r="E674" s="55" t="s">
        <v>7</v>
      </c>
      <c r="F674" s="1"/>
      <c r="G674" s="1"/>
      <c r="H674" s="1"/>
      <c r="I674" s="55" t="s">
        <v>7</v>
      </c>
      <c r="J674" s="1"/>
      <c r="K674" s="1"/>
      <c r="L674" s="1"/>
      <c r="M674" s="55" t="s">
        <v>7</v>
      </c>
      <c r="N674" s="1"/>
      <c r="O674" s="1"/>
      <c r="P674" s="1"/>
      <c r="Q674" s="55" t="s">
        <v>7</v>
      </c>
      <c r="R674" s="55" t="s">
        <v>7</v>
      </c>
    </row>
    <row r="675" spans="1:19" ht="15.75" customHeight="1" x14ac:dyDescent="0.3">
      <c r="A675" s="71" t="s">
        <v>344</v>
      </c>
      <c r="B675" s="1">
        <v>5515</v>
      </c>
      <c r="C675" s="1">
        <v>4169</v>
      </c>
      <c r="D675" s="1">
        <v>7680</v>
      </c>
      <c r="E675" s="55">
        <f t="shared" ref="E675:E680" si="173">SUM(B675:D675)</f>
        <v>17364</v>
      </c>
      <c r="F675" s="1">
        <v>6052</v>
      </c>
      <c r="G675" s="1">
        <v>6048</v>
      </c>
      <c r="H675" s="1">
        <v>7364</v>
      </c>
      <c r="I675" s="55">
        <f t="shared" ref="I675:I680" si="174">SUM(F675:H675)</f>
        <v>19464</v>
      </c>
      <c r="J675" s="1">
        <v>7715</v>
      </c>
      <c r="K675" s="1">
        <v>7803</v>
      </c>
      <c r="L675" s="1">
        <v>6184</v>
      </c>
      <c r="M675" s="55">
        <f t="shared" ref="M675:M680" si="175">SUM(J675:L675)</f>
        <v>21702</v>
      </c>
      <c r="N675" s="1">
        <v>1059</v>
      </c>
      <c r="O675" s="1"/>
      <c r="P675" s="1"/>
      <c r="Q675" s="55">
        <f t="shared" ref="Q675:Q680" si="176">SUM(N675:P675)</f>
        <v>1059</v>
      </c>
      <c r="R675" s="55">
        <f t="shared" ref="R675:R680" si="177">+E675+I675+M675+Q675</f>
        <v>59589</v>
      </c>
    </row>
    <row r="676" spans="1:19" ht="15.75" customHeight="1" x14ac:dyDescent="0.3">
      <c r="A676" s="71" t="s">
        <v>345</v>
      </c>
      <c r="B676" s="1">
        <v>709</v>
      </c>
      <c r="C676" s="1">
        <v>37</v>
      </c>
      <c r="D676" s="1">
        <v>1325</v>
      </c>
      <c r="E676" s="55">
        <f t="shared" si="173"/>
        <v>2071</v>
      </c>
      <c r="F676" s="1">
        <v>2547</v>
      </c>
      <c r="G676" s="1">
        <v>3240</v>
      </c>
      <c r="H676" s="1">
        <v>2975</v>
      </c>
      <c r="I676" s="55">
        <f t="shared" si="174"/>
        <v>8762</v>
      </c>
      <c r="J676" s="1">
        <v>3289</v>
      </c>
      <c r="K676" s="1">
        <v>3344</v>
      </c>
      <c r="L676" s="1">
        <v>1814</v>
      </c>
      <c r="M676" s="55">
        <f t="shared" si="175"/>
        <v>8447</v>
      </c>
      <c r="N676" s="1">
        <v>1379</v>
      </c>
      <c r="O676" s="1"/>
      <c r="P676" s="1">
        <v>12</v>
      </c>
      <c r="Q676" s="55">
        <f t="shared" si="176"/>
        <v>1391</v>
      </c>
      <c r="R676" s="55">
        <f t="shared" si="177"/>
        <v>20671</v>
      </c>
    </row>
    <row r="677" spans="1:19" ht="15.75" customHeight="1" x14ac:dyDescent="0.3">
      <c r="A677" s="71" t="s">
        <v>996</v>
      </c>
      <c r="B677" s="1">
        <v>9</v>
      </c>
      <c r="C677" s="1"/>
      <c r="D677" s="1"/>
      <c r="E677" s="55">
        <f t="shared" si="173"/>
        <v>9</v>
      </c>
      <c r="F677" s="1"/>
      <c r="G677" s="1"/>
      <c r="H677" s="1"/>
      <c r="I677" s="55">
        <f t="shared" si="174"/>
        <v>0</v>
      </c>
      <c r="J677" s="1"/>
      <c r="K677" s="1"/>
      <c r="L677" s="1"/>
      <c r="M677" s="55">
        <f t="shared" si="175"/>
        <v>0</v>
      </c>
      <c r="N677" s="1"/>
      <c r="O677" s="1"/>
      <c r="P677" s="1">
        <v>300</v>
      </c>
      <c r="Q677" s="55">
        <f t="shared" si="176"/>
        <v>300</v>
      </c>
      <c r="R677" s="55">
        <f t="shared" si="177"/>
        <v>309</v>
      </c>
    </row>
    <row r="678" spans="1:19" ht="15.75" customHeight="1" x14ac:dyDescent="0.3">
      <c r="A678" s="71" t="s">
        <v>997</v>
      </c>
      <c r="B678" s="1">
        <v>3500</v>
      </c>
      <c r="C678" s="1">
        <v>3500</v>
      </c>
      <c r="D678" s="1">
        <v>4500</v>
      </c>
      <c r="E678" s="55">
        <f t="shared" si="173"/>
        <v>11500</v>
      </c>
      <c r="F678" s="1">
        <v>3500</v>
      </c>
      <c r="G678" s="1"/>
      <c r="H678" s="1">
        <v>2662</v>
      </c>
      <c r="I678" s="55">
        <f t="shared" si="174"/>
        <v>6162</v>
      </c>
      <c r="J678" s="1">
        <v>3500</v>
      </c>
      <c r="K678" s="1">
        <v>3500</v>
      </c>
      <c r="L678" s="1">
        <v>4500</v>
      </c>
      <c r="M678" s="55">
        <f t="shared" si="175"/>
        <v>11500</v>
      </c>
      <c r="N678" s="1"/>
      <c r="O678" s="1"/>
      <c r="P678" s="1">
        <v>3000</v>
      </c>
      <c r="Q678" s="55">
        <f t="shared" si="176"/>
        <v>3000</v>
      </c>
      <c r="R678" s="55">
        <f t="shared" si="177"/>
        <v>32162</v>
      </c>
      <c r="S678" s="1"/>
    </row>
    <row r="679" spans="1:19" ht="15.75" customHeight="1" x14ac:dyDescent="0.3">
      <c r="A679" s="71" t="s">
        <v>998</v>
      </c>
      <c r="B679" s="1">
        <v>250</v>
      </c>
      <c r="C679" s="1">
        <v>250</v>
      </c>
      <c r="D679" s="1">
        <v>250</v>
      </c>
      <c r="E679" s="55">
        <f t="shared" si="173"/>
        <v>750</v>
      </c>
      <c r="F679" s="1">
        <v>250</v>
      </c>
      <c r="G679" s="1">
        <v>250</v>
      </c>
      <c r="H679" s="1">
        <v>250</v>
      </c>
      <c r="I679" s="55">
        <f t="shared" si="174"/>
        <v>750</v>
      </c>
      <c r="J679" s="1">
        <v>250</v>
      </c>
      <c r="K679" s="1">
        <v>250</v>
      </c>
      <c r="L679" s="1">
        <v>300</v>
      </c>
      <c r="M679" s="55">
        <f t="shared" si="175"/>
        <v>800</v>
      </c>
      <c r="N679" s="1"/>
      <c r="O679" s="1"/>
      <c r="P679" s="1"/>
      <c r="Q679" s="55">
        <f t="shared" si="176"/>
        <v>0</v>
      </c>
      <c r="R679" s="55">
        <f t="shared" si="177"/>
        <v>2300</v>
      </c>
    </row>
    <row r="680" spans="1:19" ht="15.75" customHeight="1" x14ac:dyDescent="0.3">
      <c r="A680" s="71" t="s">
        <v>999</v>
      </c>
      <c r="B680" s="1">
        <v>100</v>
      </c>
      <c r="C680" s="1">
        <v>100</v>
      </c>
      <c r="D680" s="1">
        <v>100</v>
      </c>
      <c r="E680" s="55">
        <f t="shared" si="173"/>
        <v>300</v>
      </c>
      <c r="F680" s="1">
        <v>100</v>
      </c>
      <c r="G680" s="1">
        <v>100</v>
      </c>
      <c r="H680" s="1">
        <v>200</v>
      </c>
      <c r="I680" s="55">
        <f t="shared" si="174"/>
        <v>400</v>
      </c>
      <c r="J680" s="1">
        <v>100</v>
      </c>
      <c r="K680" s="1">
        <v>100</v>
      </c>
      <c r="L680" s="1">
        <v>100</v>
      </c>
      <c r="M680" s="55">
        <f t="shared" si="175"/>
        <v>300</v>
      </c>
      <c r="N680" s="1"/>
      <c r="O680" s="1"/>
      <c r="P680" s="1">
        <v>100</v>
      </c>
      <c r="Q680" s="55">
        <f t="shared" si="176"/>
        <v>100</v>
      </c>
      <c r="R680" s="55">
        <f t="shared" si="177"/>
        <v>1100</v>
      </c>
    </row>
    <row r="681" spans="1:19" ht="15.75" customHeight="1" x14ac:dyDescent="0.3">
      <c r="A681" s="15" t="s">
        <v>50</v>
      </c>
      <c r="B681" s="1"/>
      <c r="C681" s="1"/>
      <c r="D681" s="1"/>
      <c r="E681" s="55" t="s">
        <v>7</v>
      </c>
      <c r="F681" s="1"/>
      <c r="G681" s="1"/>
      <c r="H681" s="1"/>
      <c r="I681" s="55" t="s">
        <v>7</v>
      </c>
      <c r="J681" s="1"/>
      <c r="K681" s="1"/>
      <c r="L681" s="1"/>
      <c r="M681" s="55" t="s">
        <v>7</v>
      </c>
      <c r="N681" s="1"/>
      <c r="O681" s="1"/>
      <c r="P681" s="1"/>
      <c r="Q681" s="55" t="s">
        <v>7</v>
      </c>
      <c r="R681" s="55" t="s">
        <v>7</v>
      </c>
    </row>
    <row r="682" spans="1:19" ht="15.75" customHeight="1" x14ac:dyDescent="0.3">
      <c r="A682" s="15" t="s">
        <v>1186</v>
      </c>
      <c r="B682" s="1"/>
      <c r="C682" s="1"/>
      <c r="D682" s="1"/>
      <c r="E682" s="55" t="s">
        <v>7</v>
      </c>
      <c r="F682" s="1"/>
      <c r="G682" s="1"/>
      <c r="H682" s="1"/>
      <c r="I682" s="55" t="s">
        <v>7</v>
      </c>
      <c r="J682" s="1"/>
      <c r="K682" s="1"/>
      <c r="L682" s="1"/>
      <c r="M682" s="55" t="s">
        <v>7</v>
      </c>
      <c r="N682" s="1"/>
      <c r="O682" s="1"/>
      <c r="P682" s="1"/>
      <c r="Q682" s="55" t="s">
        <v>7</v>
      </c>
      <c r="R682" s="55" t="s">
        <v>7</v>
      </c>
    </row>
    <row r="683" spans="1:19" ht="15.75" customHeight="1" thickBot="1" x14ac:dyDescent="0.35">
      <c r="A683" s="15" t="s">
        <v>53</v>
      </c>
      <c r="B683" s="1"/>
      <c r="C683" s="1"/>
      <c r="D683" s="1"/>
      <c r="E683" s="55" t="s">
        <v>7</v>
      </c>
      <c r="F683" s="1"/>
      <c r="G683" s="1"/>
      <c r="H683" s="1"/>
      <c r="I683" s="55" t="s">
        <v>7</v>
      </c>
      <c r="J683" s="1"/>
      <c r="K683" s="1"/>
      <c r="L683" s="1"/>
      <c r="M683" s="55" t="s">
        <v>7</v>
      </c>
      <c r="N683" s="1"/>
      <c r="O683" s="1"/>
      <c r="P683" s="1"/>
      <c r="Q683" s="55" t="s">
        <v>7</v>
      </c>
      <c r="R683" s="55" t="s">
        <v>7</v>
      </c>
    </row>
    <row r="684" spans="1:19" ht="16.5" customHeight="1" thickBot="1" x14ac:dyDescent="0.35">
      <c r="A684" s="109" t="s">
        <v>54</v>
      </c>
      <c r="B684" s="86">
        <f>SUM(B673:B683)</f>
        <v>10083</v>
      </c>
      <c r="C684" s="87">
        <f>SUM(C673:C683)</f>
        <v>8056</v>
      </c>
      <c r="D684" s="87">
        <f>SUM(D673:D683)</f>
        <v>13855</v>
      </c>
      <c r="E684" s="59">
        <f>SUM(B684:D684)</f>
        <v>31994</v>
      </c>
      <c r="F684" s="87">
        <f>SUM(F673:F683)</f>
        <v>12449</v>
      </c>
      <c r="G684" s="87">
        <f>SUM(G673:G683)</f>
        <v>9638</v>
      </c>
      <c r="H684" s="87">
        <f>SUM(H673:H683)</f>
        <v>13451</v>
      </c>
      <c r="I684" s="59">
        <f>SUM(F684:H684)</f>
        <v>35538</v>
      </c>
      <c r="J684" s="87">
        <f>SUM(J673:J683)</f>
        <v>14854</v>
      </c>
      <c r="K684" s="87">
        <f>SUM(K673:K683)</f>
        <v>14997</v>
      </c>
      <c r="L684" s="87">
        <f>SUM(L673:L683)</f>
        <v>12898</v>
      </c>
      <c r="M684" s="59">
        <f>SUM(J684:L684)</f>
        <v>42749</v>
      </c>
      <c r="N684" s="87">
        <f>SUM(N673:N683)</f>
        <v>2438</v>
      </c>
      <c r="O684" s="87">
        <f>SUM(O673:O683)</f>
        <v>0</v>
      </c>
      <c r="P684" s="87">
        <f>SUM(P673:P683)</f>
        <v>3412</v>
      </c>
      <c r="Q684" s="59">
        <f>SUM(N684:P684)</f>
        <v>5850</v>
      </c>
      <c r="R684" s="59">
        <f>+E684+I684+M684+Q684</f>
        <v>116131</v>
      </c>
    </row>
    <row r="685" spans="1:19" ht="15.75" customHeight="1" x14ac:dyDescent="0.3">
      <c r="A685" s="15" t="s">
        <v>55</v>
      </c>
      <c r="B685" s="1"/>
      <c r="C685" s="1"/>
      <c r="D685" s="1"/>
      <c r="E685" s="55" t="s">
        <v>7</v>
      </c>
      <c r="F685" s="1"/>
      <c r="G685" s="1"/>
      <c r="H685" s="1"/>
      <c r="I685" s="55" t="s">
        <v>7</v>
      </c>
      <c r="J685" s="1"/>
      <c r="K685" s="1"/>
      <c r="L685" s="1"/>
      <c r="M685" s="55" t="s">
        <v>7</v>
      </c>
      <c r="N685" s="1"/>
      <c r="O685" s="1"/>
      <c r="P685" s="1"/>
      <c r="Q685" s="55" t="s">
        <v>7</v>
      </c>
      <c r="R685" s="55" t="s">
        <v>7</v>
      </c>
    </row>
    <row r="686" spans="1:19" ht="15.75" customHeight="1" x14ac:dyDescent="0.3">
      <c r="A686" s="15" t="s">
        <v>57</v>
      </c>
      <c r="B686" s="1"/>
      <c r="C686" s="1"/>
      <c r="D686" s="1"/>
      <c r="E686" s="55" t="s">
        <v>7</v>
      </c>
      <c r="F686" s="1"/>
      <c r="G686" s="1"/>
      <c r="H686" s="1"/>
      <c r="I686" s="55" t="s">
        <v>7</v>
      </c>
      <c r="J686" s="1"/>
      <c r="K686" s="1"/>
      <c r="L686" s="1"/>
      <c r="M686" s="55" t="s">
        <v>7</v>
      </c>
      <c r="N686" s="1"/>
      <c r="O686" s="1"/>
      <c r="P686" s="1"/>
      <c r="Q686" s="55" t="s">
        <v>7</v>
      </c>
      <c r="R686" s="55" t="s">
        <v>7</v>
      </c>
    </row>
    <row r="687" spans="1:19" ht="15.75" customHeight="1" thickBot="1" x14ac:dyDescent="0.35">
      <c r="A687" s="15" t="s">
        <v>58</v>
      </c>
      <c r="B687" s="1"/>
      <c r="C687" s="1"/>
      <c r="D687" s="1"/>
      <c r="E687" s="55" t="s">
        <v>7</v>
      </c>
      <c r="F687" s="1"/>
      <c r="G687" s="1"/>
      <c r="H687" s="1"/>
      <c r="I687" s="55" t="s">
        <v>7</v>
      </c>
      <c r="J687" s="1"/>
      <c r="K687" s="1"/>
      <c r="L687" s="1"/>
      <c r="M687" s="55" t="s">
        <v>7</v>
      </c>
      <c r="N687" s="1"/>
      <c r="O687" s="1"/>
      <c r="P687" s="1"/>
      <c r="Q687" s="55" t="s">
        <v>7</v>
      </c>
      <c r="R687" s="55" t="s">
        <v>7</v>
      </c>
    </row>
    <row r="688" spans="1:19" ht="16.5" customHeight="1" thickBot="1" x14ac:dyDescent="0.35">
      <c r="A688" s="57" t="s">
        <v>59</v>
      </c>
      <c r="B688" s="86">
        <f>SUM(B685:B687)</f>
        <v>0</v>
      </c>
      <c r="C688" s="87">
        <f>SUM(C685:C687)</f>
        <v>0</v>
      </c>
      <c r="D688" s="87">
        <f>SUM(D685:D687)</f>
        <v>0</v>
      </c>
      <c r="E688" s="59">
        <f>SUM(B688:D688)</f>
        <v>0</v>
      </c>
      <c r="F688" s="87">
        <f>SUM(F685:F687)</f>
        <v>0</v>
      </c>
      <c r="G688" s="87">
        <f>SUM(G685:G687)</f>
        <v>0</v>
      </c>
      <c r="H688" s="87">
        <f>SUM(H685:H687)</f>
        <v>0</v>
      </c>
      <c r="I688" s="59">
        <f>SUM(F688:H688)</f>
        <v>0</v>
      </c>
      <c r="J688" s="87">
        <f>SUM(J685:J687)</f>
        <v>0</v>
      </c>
      <c r="K688" s="87">
        <f>SUM(K685:K687)</f>
        <v>0</v>
      </c>
      <c r="L688" s="87">
        <f>SUM(L685:L687)</f>
        <v>0</v>
      </c>
      <c r="M688" s="59">
        <f>SUM(J688:L688)</f>
        <v>0</v>
      </c>
      <c r="N688" s="87">
        <f>SUM(N685:N687)</f>
        <v>0</v>
      </c>
      <c r="O688" s="87">
        <f>SUM(O685:O687)</f>
        <v>0</v>
      </c>
      <c r="P688" s="87">
        <f>SUM(P685:P687)</f>
        <v>0</v>
      </c>
      <c r="Q688" s="59">
        <f>SUM(N688:P688)</f>
        <v>0</v>
      </c>
      <c r="R688" s="59">
        <f>+E688+I688+M688+Q688</f>
        <v>0</v>
      </c>
    </row>
    <row r="689" spans="1:20" ht="15.75" customHeight="1" x14ac:dyDescent="0.3">
      <c r="A689" s="15" t="s">
        <v>60</v>
      </c>
      <c r="B689" s="1"/>
      <c r="C689" s="1"/>
      <c r="D689" s="1"/>
      <c r="E689" s="55" t="s">
        <v>7</v>
      </c>
      <c r="F689" s="1"/>
      <c r="G689" s="1"/>
      <c r="H689" s="1"/>
      <c r="I689" s="55" t="s">
        <v>7</v>
      </c>
      <c r="J689" s="1"/>
      <c r="K689" s="1"/>
      <c r="L689" s="1"/>
      <c r="M689" s="55" t="s">
        <v>7</v>
      </c>
      <c r="N689" s="1"/>
      <c r="O689" s="1"/>
      <c r="P689" s="1"/>
      <c r="Q689" s="55" t="s">
        <v>7</v>
      </c>
      <c r="R689" s="55" t="s">
        <v>7</v>
      </c>
    </row>
    <row r="690" spans="1:20" ht="15.75" customHeight="1" x14ac:dyDescent="0.3">
      <c r="A690" s="15" t="s">
        <v>61</v>
      </c>
      <c r="B690" s="1"/>
      <c r="C690" s="1"/>
      <c r="D690" s="1"/>
      <c r="E690" s="55" t="s">
        <v>7</v>
      </c>
      <c r="F690" s="1"/>
      <c r="G690" s="1"/>
      <c r="H690" s="1"/>
      <c r="I690" s="55" t="s">
        <v>7</v>
      </c>
      <c r="J690" s="1"/>
      <c r="K690" s="1"/>
      <c r="L690" s="1"/>
      <c r="M690" s="55" t="s">
        <v>7</v>
      </c>
      <c r="N690" s="1"/>
      <c r="O690" s="1"/>
      <c r="P690" s="1"/>
      <c r="Q690" s="55" t="s">
        <v>7</v>
      </c>
      <c r="R690" s="55" t="s">
        <v>7</v>
      </c>
    </row>
    <row r="691" spans="1:20" ht="15.75" customHeight="1" x14ac:dyDescent="0.3">
      <c r="A691" s="71" t="s">
        <v>346</v>
      </c>
      <c r="B691" s="1">
        <v>270</v>
      </c>
      <c r="C691" s="1">
        <v>400</v>
      </c>
      <c r="D691" s="1">
        <v>726</v>
      </c>
      <c r="E691" s="55">
        <f>SUM(B691:D691)</f>
        <v>1396</v>
      </c>
      <c r="F691" s="1">
        <v>1672</v>
      </c>
      <c r="G691" s="1">
        <v>1187</v>
      </c>
      <c r="H691" s="1">
        <v>1318</v>
      </c>
      <c r="I691" s="55">
        <f>SUM(F691:H691)</f>
        <v>4177</v>
      </c>
      <c r="J691" s="1">
        <v>956</v>
      </c>
      <c r="K691" s="1">
        <v>1699</v>
      </c>
      <c r="L691" s="1">
        <v>1054</v>
      </c>
      <c r="M691" s="55">
        <f>SUM(J691:L691)</f>
        <v>3709</v>
      </c>
      <c r="N691" s="1">
        <v>295</v>
      </c>
      <c r="O691" s="1">
        <v>193</v>
      </c>
      <c r="P691" s="1">
        <v>454</v>
      </c>
      <c r="Q691" s="55">
        <f>SUM(N691:P691)</f>
        <v>942</v>
      </c>
      <c r="R691" s="55">
        <f>+E691+I691+M691+Q691</f>
        <v>10224</v>
      </c>
      <c r="T691" s="4" t="s">
        <v>1000</v>
      </c>
    </row>
    <row r="692" spans="1:20" ht="15.75" customHeight="1" x14ac:dyDescent="0.3">
      <c r="A692" s="15" t="s">
        <v>62</v>
      </c>
      <c r="B692" s="1"/>
      <c r="C692" s="1"/>
      <c r="D692" s="1"/>
      <c r="E692" s="55" t="s">
        <v>7</v>
      </c>
      <c r="F692" s="1"/>
      <c r="G692" s="1"/>
      <c r="H692" s="1"/>
      <c r="I692" s="55" t="s">
        <v>7</v>
      </c>
      <c r="J692" s="1"/>
      <c r="K692" s="1"/>
      <c r="L692" s="1"/>
      <c r="M692" s="55" t="s">
        <v>7</v>
      </c>
      <c r="N692" s="1"/>
      <c r="O692" s="1"/>
      <c r="P692" s="1"/>
      <c r="Q692" s="55" t="s">
        <v>7</v>
      </c>
      <c r="R692" s="55" t="s">
        <v>7</v>
      </c>
    </row>
    <row r="693" spans="1:20" ht="15.75" customHeight="1" x14ac:dyDescent="0.3">
      <c r="A693" s="71" t="s">
        <v>1231</v>
      </c>
      <c r="B693" s="1"/>
      <c r="C693" s="1"/>
      <c r="D693" s="1"/>
      <c r="E693" s="55">
        <f t="shared" ref="E693:E698" si="178">SUM(B693:D693)</f>
        <v>0</v>
      </c>
      <c r="F693" s="1"/>
      <c r="G693" s="1">
        <v>3500</v>
      </c>
      <c r="H693" s="1">
        <v>838</v>
      </c>
      <c r="I693" s="55">
        <f t="shared" ref="I693:I698" si="179">SUM(F693:H693)</f>
        <v>4338</v>
      </c>
      <c r="J693" s="1"/>
      <c r="K693" s="1"/>
      <c r="L693" s="1"/>
      <c r="M693" s="55">
        <f t="shared" ref="M693:M698" si="180">SUM(J693:L693)</f>
        <v>0</v>
      </c>
      <c r="N693" s="1"/>
      <c r="O693" s="1"/>
      <c r="P693" s="1"/>
      <c r="Q693" s="55">
        <f t="shared" ref="Q693:Q698" si="181">SUM(N693:P693)</f>
        <v>0</v>
      </c>
      <c r="R693" s="55">
        <f t="shared" ref="R693:R698" si="182">+E693+I693+M693+Q693</f>
        <v>4338</v>
      </c>
      <c r="T693" s="4" t="s">
        <v>1002</v>
      </c>
    </row>
    <row r="694" spans="1:20" ht="15.75" customHeight="1" x14ac:dyDescent="0.3">
      <c r="A694" s="71" t="s">
        <v>1001</v>
      </c>
      <c r="B694" s="1"/>
      <c r="C694" s="1"/>
      <c r="D694" s="1"/>
      <c r="E694" s="55">
        <f t="shared" si="178"/>
        <v>0</v>
      </c>
      <c r="F694" s="1"/>
      <c r="G694" s="1"/>
      <c r="H694" s="1"/>
      <c r="I694" s="55">
        <f t="shared" si="179"/>
        <v>0</v>
      </c>
      <c r="J694" s="1"/>
      <c r="K694" s="1"/>
      <c r="L694" s="1"/>
      <c r="M694" s="55">
        <f t="shared" si="180"/>
        <v>0</v>
      </c>
      <c r="N694" s="1"/>
      <c r="O694" s="1"/>
      <c r="P694" s="1"/>
      <c r="Q694" s="55">
        <f t="shared" si="181"/>
        <v>0</v>
      </c>
      <c r="R694" s="55">
        <f t="shared" si="182"/>
        <v>0</v>
      </c>
    </row>
    <row r="695" spans="1:20" ht="15.75" customHeight="1" x14ac:dyDescent="0.3">
      <c r="A695" s="71" t="s">
        <v>1003</v>
      </c>
      <c r="B695" s="1">
        <v>300</v>
      </c>
      <c r="C695" s="1">
        <v>300</v>
      </c>
      <c r="D695" s="1">
        <v>170</v>
      </c>
      <c r="E695" s="55">
        <f t="shared" si="178"/>
        <v>770</v>
      </c>
      <c r="F695" s="1"/>
      <c r="G695" s="1"/>
      <c r="H695" s="1"/>
      <c r="I695" s="55">
        <f t="shared" si="179"/>
        <v>0</v>
      </c>
      <c r="J695" s="1"/>
      <c r="K695" s="1"/>
      <c r="L695" s="1"/>
      <c r="M695" s="55">
        <f t="shared" si="180"/>
        <v>0</v>
      </c>
      <c r="N695" s="1"/>
      <c r="O695" s="1"/>
      <c r="P695" s="1"/>
      <c r="Q695" s="55">
        <f t="shared" si="181"/>
        <v>0</v>
      </c>
      <c r="R695" s="55">
        <f t="shared" si="182"/>
        <v>770</v>
      </c>
      <c r="T695" s="4" t="s">
        <v>1002</v>
      </c>
    </row>
    <row r="696" spans="1:20" ht="15.75" customHeight="1" x14ac:dyDescent="0.3">
      <c r="A696" s="71" t="s">
        <v>1004</v>
      </c>
      <c r="B696" s="1"/>
      <c r="C696" s="1"/>
      <c r="D696" s="1">
        <v>130</v>
      </c>
      <c r="E696" s="55">
        <f t="shared" si="178"/>
        <v>130</v>
      </c>
      <c r="F696" s="1">
        <v>300</v>
      </c>
      <c r="G696" s="1">
        <v>300</v>
      </c>
      <c r="H696" s="1">
        <v>300</v>
      </c>
      <c r="I696" s="55">
        <f t="shared" si="179"/>
        <v>900</v>
      </c>
      <c r="J696" s="1">
        <v>300</v>
      </c>
      <c r="K696" s="1">
        <v>300</v>
      </c>
      <c r="L696" s="1">
        <v>300</v>
      </c>
      <c r="M696" s="55">
        <f t="shared" si="180"/>
        <v>900</v>
      </c>
      <c r="N696" s="1"/>
      <c r="O696" s="1"/>
      <c r="P696" s="1">
        <v>300</v>
      </c>
      <c r="Q696" s="55">
        <f t="shared" si="181"/>
        <v>300</v>
      </c>
      <c r="R696" s="55">
        <f t="shared" si="182"/>
        <v>2230</v>
      </c>
      <c r="T696" s="4" t="s">
        <v>1002</v>
      </c>
    </row>
    <row r="697" spans="1:20" ht="15.75" customHeight="1" thickBot="1" x14ac:dyDescent="0.35">
      <c r="A697" s="71" t="s">
        <v>775</v>
      </c>
      <c r="B697" s="1"/>
      <c r="C697" s="1"/>
      <c r="D697" s="1"/>
      <c r="E697" s="55">
        <f t="shared" si="178"/>
        <v>0</v>
      </c>
      <c r="F697" s="1"/>
      <c r="G697" s="1"/>
      <c r="H697" s="1"/>
      <c r="I697" s="55">
        <f t="shared" si="179"/>
        <v>0</v>
      </c>
      <c r="J697" s="1"/>
      <c r="K697" s="1"/>
      <c r="L697" s="1"/>
      <c r="M697" s="55">
        <f t="shared" si="180"/>
        <v>0</v>
      </c>
      <c r="N697" s="1"/>
      <c r="O697" s="1"/>
      <c r="P697" s="1"/>
      <c r="Q697" s="55">
        <f t="shared" si="181"/>
        <v>0</v>
      </c>
      <c r="R697" s="55">
        <f t="shared" si="182"/>
        <v>0</v>
      </c>
      <c r="T697" s="4" t="s">
        <v>1002</v>
      </c>
    </row>
    <row r="698" spans="1:20" ht="16.5" customHeight="1" thickBot="1" x14ac:dyDescent="0.35">
      <c r="A698" s="57" t="s">
        <v>63</v>
      </c>
      <c r="B698" s="86">
        <f>SUM(B689:B697)</f>
        <v>570</v>
      </c>
      <c r="C698" s="87">
        <f>SUM(C689:C697)</f>
        <v>700</v>
      </c>
      <c r="D698" s="87">
        <f>SUM(D689:D697)</f>
        <v>1026</v>
      </c>
      <c r="E698" s="59">
        <f t="shared" si="178"/>
        <v>2296</v>
      </c>
      <c r="F698" s="87">
        <f>SUM(F689:F697)</f>
        <v>1972</v>
      </c>
      <c r="G698" s="87">
        <f>SUM(G689:G697)</f>
        <v>4987</v>
      </c>
      <c r="H698" s="87">
        <f>SUM(H689:H697)</f>
        <v>2456</v>
      </c>
      <c r="I698" s="59">
        <f t="shared" si="179"/>
        <v>9415</v>
      </c>
      <c r="J698" s="87">
        <f>SUM(J689:J697)</f>
        <v>1256</v>
      </c>
      <c r="K698" s="87">
        <f>SUM(K689:K697)</f>
        <v>1999</v>
      </c>
      <c r="L698" s="87">
        <f>SUM(L689:L697)</f>
        <v>1354</v>
      </c>
      <c r="M698" s="59">
        <f t="shared" si="180"/>
        <v>4609</v>
      </c>
      <c r="N698" s="87">
        <f>SUM(N689:N697)</f>
        <v>295</v>
      </c>
      <c r="O698" s="87">
        <f>SUM(O689:O697)</f>
        <v>193</v>
      </c>
      <c r="P698" s="87">
        <f>SUM(P689:P697)</f>
        <v>754</v>
      </c>
      <c r="Q698" s="59">
        <f t="shared" si="181"/>
        <v>1242</v>
      </c>
      <c r="R698" s="118">
        <f t="shared" si="182"/>
        <v>17562</v>
      </c>
    </row>
    <row r="699" spans="1:20" ht="15.75" customHeight="1" x14ac:dyDescent="0.3">
      <c r="A699" s="15" t="s">
        <v>64</v>
      </c>
      <c r="B699" s="1"/>
      <c r="C699" s="1"/>
      <c r="D699" s="1"/>
      <c r="E699" s="55" t="s">
        <v>7</v>
      </c>
      <c r="F699" s="1"/>
      <c r="G699" s="1"/>
      <c r="H699" s="1"/>
      <c r="I699" s="55" t="s">
        <v>7</v>
      </c>
      <c r="J699" s="1"/>
      <c r="K699" s="1"/>
      <c r="L699" s="1"/>
      <c r="M699" s="55" t="s">
        <v>7</v>
      </c>
      <c r="N699" s="1"/>
      <c r="O699" s="1"/>
      <c r="P699" s="1"/>
      <c r="Q699" s="55" t="s">
        <v>7</v>
      </c>
      <c r="R699" s="55" t="s">
        <v>7</v>
      </c>
    </row>
    <row r="700" spans="1:20" ht="15.75" customHeight="1" x14ac:dyDescent="0.3">
      <c r="A700" s="15" t="s">
        <v>594</v>
      </c>
      <c r="B700" s="1"/>
      <c r="C700" s="1"/>
      <c r="D700" s="1"/>
      <c r="E700" s="55" t="s">
        <v>7</v>
      </c>
      <c r="F700" s="1"/>
      <c r="G700" s="1"/>
      <c r="H700" s="1"/>
      <c r="I700" s="55" t="s">
        <v>7</v>
      </c>
      <c r="J700" s="1"/>
      <c r="K700" s="1"/>
      <c r="L700" s="1"/>
      <c r="M700" s="55" t="s">
        <v>7</v>
      </c>
      <c r="N700" s="1"/>
      <c r="O700" s="1"/>
      <c r="P700" s="1"/>
      <c r="Q700" s="55" t="s">
        <v>7</v>
      </c>
      <c r="R700" s="55" t="s">
        <v>7</v>
      </c>
    </row>
    <row r="701" spans="1:20" ht="15.75" customHeight="1" x14ac:dyDescent="0.3">
      <c r="A701" s="15" t="s">
        <v>67</v>
      </c>
      <c r="B701" s="1"/>
      <c r="C701" s="1"/>
      <c r="D701" s="1"/>
      <c r="E701" s="55" t="s">
        <v>7</v>
      </c>
      <c r="F701" s="1"/>
      <c r="G701" s="1"/>
      <c r="H701" s="1"/>
      <c r="I701" s="55" t="s">
        <v>7</v>
      </c>
      <c r="J701" s="1"/>
      <c r="K701" s="1"/>
      <c r="L701" s="1"/>
      <c r="M701" s="55" t="s">
        <v>7</v>
      </c>
      <c r="N701" s="1"/>
      <c r="O701" s="1"/>
      <c r="P701" s="1"/>
      <c r="Q701" s="55" t="s">
        <v>7</v>
      </c>
      <c r="R701" s="55" t="s">
        <v>7</v>
      </c>
    </row>
    <row r="702" spans="1:20" ht="15.75" customHeight="1" x14ac:dyDescent="0.3">
      <c r="A702" s="71" t="s">
        <v>776</v>
      </c>
      <c r="B702" s="1"/>
      <c r="C702" s="1"/>
      <c r="D702" s="1"/>
      <c r="E702" s="55">
        <f>SUM(B702:D702)</f>
        <v>0</v>
      </c>
      <c r="F702" s="1"/>
      <c r="G702" s="1"/>
      <c r="H702" s="1"/>
      <c r="I702" s="55">
        <f>SUM(F702:H702)</f>
        <v>0</v>
      </c>
      <c r="J702" s="1"/>
      <c r="K702" s="1"/>
      <c r="L702" s="1"/>
      <c r="M702" s="55">
        <f>SUM(J702:L702)</f>
        <v>0</v>
      </c>
      <c r="N702" s="1"/>
      <c r="O702" s="1"/>
      <c r="P702" s="1"/>
      <c r="Q702" s="55">
        <f>SUM(N702:P702)</f>
        <v>0</v>
      </c>
      <c r="R702" s="55">
        <f>+E702+I702+M702+Q702</f>
        <v>0</v>
      </c>
    </row>
    <row r="703" spans="1:20" ht="15.75" customHeight="1" x14ac:dyDescent="0.3">
      <c r="A703" s="71" t="s">
        <v>777</v>
      </c>
      <c r="B703" s="1"/>
      <c r="C703" s="1"/>
      <c r="D703" s="1"/>
      <c r="E703" s="55">
        <f>SUM(B703:D703)</f>
        <v>0</v>
      </c>
      <c r="F703" s="1"/>
      <c r="G703" s="1"/>
      <c r="H703" s="1"/>
      <c r="I703" s="55">
        <f>SUM(F703:H703)</f>
        <v>0</v>
      </c>
      <c r="J703" s="1"/>
      <c r="K703" s="1"/>
      <c r="L703" s="1"/>
      <c r="M703" s="55">
        <f>SUM(J703:L703)</f>
        <v>0</v>
      </c>
      <c r="N703" s="1"/>
      <c r="O703" s="1"/>
      <c r="P703" s="1"/>
      <c r="Q703" s="55">
        <f>SUM(N703:P703)</f>
        <v>0</v>
      </c>
      <c r="R703" s="55">
        <f>+E703+I703+M703+Q703</f>
        <v>0</v>
      </c>
    </row>
    <row r="704" spans="1:20" ht="15.75" customHeight="1" x14ac:dyDescent="0.3">
      <c r="A704" s="71" t="s">
        <v>778</v>
      </c>
      <c r="B704" s="1"/>
      <c r="C704" s="1"/>
      <c r="D704" s="1"/>
      <c r="E704" s="55">
        <f>SUM(B704:D704)</f>
        <v>0</v>
      </c>
      <c r="F704" s="1"/>
      <c r="G704" s="1"/>
      <c r="H704" s="1"/>
      <c r="I704" s="55">
        <f>SUM(F704:H704)</f>
        <v>0</v>
      </c>
      <c r="J704" s="1"/>
      <c r="K704" s="1"/>
      <c r="L704" s="1"/>
      <c r="M704" s="55">
        <f>SUM(J704:L704)</f>
        <v>0</v>
      </c>
      <c r="N704" s="1"/>
      <c r="O704" s="1"/>
      <c r="P704" s="1"/>
      <c r="Q704" s="55">
        <f>SUM(N704:P704)</f>
        <v>0</v>
      </c>
      <c r="R704" s="55">
        <f>+E704+I704+M704+Q704</f>
        <v>0</v>
      </c>
    </row>
    <row r="705" spans="1:18" ht="15.75" customHeight="1" x14ac:dyDescent="0.3">
      <c r="A705" s="71" t="s">
        <v>779</v>
      </c>
      <c r="B705" s="1"/>
      <c r="C705" s="1"/>
      <c r="D705" s="1"/>
      <c r="E705" s="55">
        <f>SUM(B705:D705)</f>
        <v>0</v>
      </c>
      <c r="F705" s="1"/>
      <c r="G705" s="1"/>
      <c r="H705" s="1"/>
      <c r="I705" s="55">
        <f>SUM(F705:H705)</f>
        <v>0</v>
      </c>
      <c r="J705" s="1"/>
      <c r="K705" s="1"/>
      <c r="L705" s="1"/>
      <c r="M705" s="55">
        <f>SUM(J705:L705)</f>
        <v>0</v>
      </c>
      <c r="N705" s="1"/>
      <c r="O705" s="1"/>
      <c r="P705" s="1"/>
      <c r="Q705" s="55">
        <f>SUM(N705:P705)</f>
        <v>0</v>
      </c>
      <c r="R705" s="55">
        <f>+E705+I705+M705+Q705</f>
        <v>0</v>
      </c>
    </row>
    <row r="706" spans="1:18" ht="15.75" customHeight="1" x14ac:dyDescent="0.3">
      <c r="A706" s="15" t="s">
        <v>600</v>
      </c>
      <c r="B706" s="1"/>
      <c r="C706" s="1"/>
      <c r="D706" s="1"/>
      <c r="E706" s="55" t="s">
        <v>7</v>
      </c>
      <c r="F706" s="1"/>
      <c r="G706" s="1"/>
      <c r="H706" s="1"/>
      <c r="I706" s="55" t="s">
        <v>7</v>
      </c>
      <c r="J706" s="1"/>
      <c r="K706" s="1"/>
      <c r="L706" s="1"/>
      <c r="M706" s="55" t="s">
        <v>7</v>
      </c>
      <c r="N706" s="1"/>
      <c r="O706" s="1"/>
      <c r="P706" s="1"/>
      <c r="Q706" s="55" t="s">
        <v>7</v>
      </c>
      <c r="R706" s="55" t="s">
        <v>7</v>
      </c>
    </row>
    <row r="707" spans="1:18" ht="15.75" customHeight="1" thickBot="1" x14ac:dyDescent="0.35">
      <c r="A707" s="15" t="s">
        <v>70</v>
      </c>
      <c r="B707" s="1"/>
      <c r="C707" s="1"/>
      <c r="D707" s="1"/>
      <c r="E707" s="55" t="s">
        <v>7</v>
      </c>
      <c r="F707" s="1"/>
      <c r="G707" s="1"/>
      <c r="H707" s="1"/>
      <c r="I707" s="55" t="s">
        <v>7</v>
      </c>
      <c r="J707" s="1"/>
      <c r="K707" s="1"/>
      <c r="L707" s="1"/>
      <c r="M707" s="55" t="s">
        <v>7</v>
      </c>
      <c r="N707" s="1"/>
      <c r="O707" s="1"/>
      <c r="P707" s="1"/>
      <c r="Q707" s="55" t="s">
        <v>7</v>
      </c>
      <c r="R707" s="55" t="s">
        <v>7</v>
      </c>
    </row>
    <row r="708" spans="1:18" ht="16.5" customHeight="1" thickBot="1" x14ac:dyDescent="0.35">
      <c r="A708" s="57" t="s">
        <v>71</v>
      </c>
      <c r="B708" s="58">
        <f>SUM(B706:B707)</f>
        <v>0</v>
      </c>
      <c r="C708" s="58">
        <f>SUM(C706:C707)</f>
        <v>0</v>
      </c>
      <c r="D708" s="58">
        <f>SUM(D706:D707)</f>
        <v>0</v>
      </c>
      <c r="E708" s="60">
        <f>SUM(B708:D708)</f>
        <v>0</v>
      </c>
      <c r="F708" s="58">
        <f>SUM(F706:F707)</f>
        <v>0</v>
      </c>
      <c r="G708" s="58">
        <f>SUM(G706:G707)</f>
        <v>0</v>
      </c>
      <c r="H708" s="58">
        <f>SUM(H706:H707)</f>
        <v>0</v>
      </c>
      <c r="I708" s="60">
        <f>SUM(F708:H708)</f>
        <v>0</v>
      </c>
      <c r="J708" s="58">
        <f>SUM(J706:J707)</f>
        <v>0</v>
      </c>
      <c r="K708" s="58">
        <f>SUM(K706:K707)</f>
        <v>0</v>
      </c>
      <c r="L708" s="58">
        <f>SUM(L706:L707)</f>
        <v>0</v>
      </c>
      <c r="M708" s="60">
        <f>SUM(J708:L708)</f>
        <v>0</v>
      </c>
      <c r="N708" s="58">
        <f>SUM(N706:N707)</f>
        <v>0</v>
      </c>
      <c r="O708" s="58">
        <f>SUM(O706:O707)</f>
        <v>0</v>
      </c>
      <c r="P708" s="58">
        <f>SUM(P706:P707)</f>
        <v>0</v>
      </c>
      <c r="Q708" s="60">
        <f>SUM(N708:P708)</f>
        <v>0</v>
      </c>
      <c r="R708" s="59">
        <f>+E708+I708+M708+Q708</f>
        <v>0</v>
      </c>
    </row>
    <row r="709" spans="1:18" ht="16.5" customHeight="1" thickBot="1" x14ac:dyDescent="0.35">
      <c r="A709" s="114" t="s">
        <v>72</v>
      </c>
      <c r="B709" s="86">
        <f>SUM(B699:B707)</f>
        <v>0</v>
      </c>
      <c r="C709" s="87">
        <f>SUM(C699:C707)</f>
        <v>0</v>
      </c>
      <c r="D709" s="118">
        <f>SUM(D699:D707)</f>
        <v>0</v>
      </c>
      <c r="E709" s="60">
        <f>SUM(B709:D709)</f>
        <v>0</v>
      </c>
      <c r="F709" s="87">
        <f>SUM(F699:F707)</f>
        <v>0</v>
      </c>
      <c r="G709" s="87">
        <f>SUM(G699:G707)</f>
        <v>0</v>
      </c>
      <c r="H709" s="87">
        <f>SUM(H699:H707)</f>
        <v>0</v>
      </c>
      <c r="I709" s="60">
        <f>SUM(F709:H709)</f>
        <v>0</v>
      </c>
      <c r="J709" s="87">
        <f>SUM(J699:J707)</f>
        <v>0</v>
      </c>
      <c r="K709" s="87">
        <f>SUM(K699:K707)</f>
        <v>0</v>
      </c>
      <c r="L709" s="87">
        <f>SUM(L699:L707)</f>
        <v>0</v>
      </c>
      <c r="M709" s="60">
        <f>SUM(J709:L709)</f>
        <v>0</v>
      </c>
      <c r="N709" s="87">
        <f>SUM(N699:N707)</f>
        <v>0</v>
      </c>
      <c r="O709" s="87">
        <f>SUM(O699:O707)</f>
        <v>0</v>
      </c>
      <c r="P709" s="87">
        <f>SUM(P699:P707)</f>
        <v>0</v>
      </c>
      <c r="Q709" s="60">
        <f>SUM(N709:P709)</f>
        <v>0</v>
      </c>
      <c r="R709" s="59">
        <f>+E709+I709+M709+Q709</f>
        <v>0</v>
      </c>
    </row>
    <row r="710" spans="1:18" ht="16.5" customHeight="1" thickBot="1" x14ac:dyDescent="0.35">
      <c r="A710" s="57" t="s">
        <v>73</v>
      </c>
      <c r="B710" s="90">
        <f>+B684+B688+B698+B709</f>
        <v>10653</v>
      </c>
      <c r="C710" s="58">
        <f>+C684+C688+C698+C709</f>
        <v>8756</v>
      </c>
      <c r="D710" s="58">
        <f>+D684+D688+D698+D709</f>
        <v>14881</v>
      </c>
      <c r="E710" s="59">
        <f>SUM(B710:D710)</f>
        <v>34290</v>
      </c>
      <c r="F710" s="58">
        <f>+F684+F688+F698+F709</f>
        <v>14421</v>
      </c>
      <c r="G710" s="58">
        <f>+G684+G688+G698+G709</f>
        <v>14625</v>
      </c>
      <c r="H710" s="58">
        <f>+H684+H688+H698+H709</f>
        <v>15907</v>
      </c>
      <c r="I710" s="59">
        <f>SUM(F710:H710)</f>
        <v>44953</v>
      </c>
      <c r="J710" s="58">
        <f>+J684+J688+J698+J709</f>
        <v>16110</v>
      </c>
      <c r="K710" s="58">
        <f>+K684+K688+K698+K709</f>
        <v>16996</v>
      </c>
      <c r="L710" s="58">
        <f>+L684+L688+L698+L709</f>
        <v>14252</v>
      </c>
      <c r="M710" s="59">
        <f>SUM(J710:L710)</f>
        <v>47358</v>
      </c>
      <c r="N710" s="58">
        <f>+N684+N688+N698+N709</f>
        <v>2733</v>
      </c>
      <c r="O710" s="58">
        <f>+O684+O688+O698+O709</f>
        <v>193</v>
      </c>
      <c r="P710" s="58">
        <f>+P684+P688+P698+P709</f>
        <v>4166</v>
      </c>
      <c r="Q710" s="59">
        <f>SUM(N710:P710)</f>
        <v>7092</v>
      </c>
      <c r="R710" s="81">
        <f>+E710+I710+M710+Q710</f>
        <v>133693</v>
      </c>
    </row>
    <row r="711" spans="1:18" ht="16.5" customHeight="1" thickBot="1" x14ac:dyDescent="0.35">
      <c r="A711" s="62" t="s">
        <v>40</v>
      </c>
      <c r="B711" s="21">
        <v>22</v>
      </c>
      <c r="C711" s="21">
        <v>24</v>
      </c>
      <c r="D711" s="21">
        <v>31</v>
      </c>
      <c r="E711" s="59">
        <f>SUM(B711:D711)</f>
        <v>77</v>
      </c>
      <c r="F711" s="21">
        <v>40</v>
      </c>
      <c r="G711" s="21">
        <v>45</v>
      </c>
      <c r="H711" s="21">
        <v>48</v>
      </c>
      <c r="I711" s="59">
        <f>SUM(F711:H711)</f>
        <v>133</v>
      </c>
      <c r="J711" s="21">
        <v>42</v>
      </c>
      <c r="K711" s="21">
        <v>39</v>
      </c>
      <c r="L711" s="21">
        <v>38</v>
      </c>
      <c r="M711" s="59">
        <f>SUM(J711:L711)</f>
        <v>119</v>
      </c>
      <c r="N711" s="21">
        <v>32</v>
      </c>
      <c r="O711" s="21">
        <v>25</v>
      </c>
      <c r="P711" s="21">
        <v>21</v>
      </c>
      <c r="Q711" s="59">
        <f>SUM(N711:P711)</f>
        <v>78</v>
      </c>
      <c r="R711" s="60">
        <f>+E711+I711+M711+Q711</f>
        <v>407</v>
      </c>
    </row>
    <row r="712" spans="1:18" ht="16.5" customHeight="1" thickBot="1" x14ac:dyDescent="0.35">
      <c r="A712" s="41"/>
      <c r="B712" s="36"/>
      <c r="C712" s="36"/>
      <c r="D712" s="36"/>
      <c r="E712" s="52"/>
      <c r="F712" s="36"/>
      <c r="G712" s="36"/>
      <c r="H712" s="36"/>
      <c r="I712" s="52"/>
      <c r="J712" s="36"/>
      <c r="K712" s="36"/>
      <c r="L712" s="36"/>
      <c r="M712" s="52"/>
      <c r="N712" s="36"/>
      <c r="O712" s="36"/>
      <c r="P712" s="36"/>
      <c r="Q712" s="52"/>
      <c r="R712" s="42"/>
    </row>
    <row r="713" spans="1:18" ht="15.75" customHeight="1" x14ac:dyDescent="0.3">
      <c r="A713" s="15" t="s">
        <v>314</v>
      </c>
      <c r="B713" s="1">
        <f>+SUM(B710:B711)</f>
        <v>10675</v>
      </c>
      <c r="C713" s="1">
        <f>+SUM(C710:C711)</f>
        <v>8780</v>
      </c>
      <c r="D713" s="1">
        <f>+SUM(D710:D711)</f>
        <v>14912</v>
      </c>
      <c r="E713" s="60">
        <f>SUM(B713:D713)</f>
        <v>34367</v>
      </c>
      <c r="F713" s="1">
        <f>+SUM(F710:F711)</f>
        <v>14461</v>
      </c>
      <c r="G713" s="1">
        <f>+SUM(G710:G711)</f>
        <v>14670</v>
      </c>
      <c r="H713" s="1">
        <f>+SUM(H710:H711)</f>
        <v>15955</v>
      </c>
      <c r="I713" s="60">
        <f>SUM(F713:H713)</f>
        <v>45086</v>
      </c>
      <c r="J713" s="1">
        <f>+SUM(J710:J711)</f>
        <v>16152</v>
      </c>
      <c r="K713" s="1">
        <f>+SUM(K710:K711)</f>
        <v>17035</v>
      </c>
      <c r="L713" s="1">
        <f>+SUM(L710:L711)</f>
        <v>14290</v>
      </c>
      <c r="M713" s="60">
        <f>SUM(J713:L713)</f>
        <v>47477</v>
      </c>
      <c r="N713" s="1">
        <f>+SUM(N710:N711)</f>
        <v>2765</v>
      </c>
      <c r="O713" s="1">
        <f>+SUM(O710:O711)</f>
        <v>218</v>
      </c>
      <c r="P713" s="1">
        <f>+SUM(P710:P711)</f>
        <v>4187</v>
      </c>
      <c r="Q713" s="60">
        <f>SUM(N713:P713)</f>
        <v>7170</v>
      </c>
      <c r="R713" s="60">
        <f>+E713+I713+M713+Q713</f>
        <v>134100</v>
      </c>
    </row>
    <row r="714" spans="1:18" ht="15.75" customHeight="1" x14ac:dyDescent="0.3">
      <c r="A714" s="15" t="s">
        <v>42</v>
      </c>
      <c r="B714" s="1">
        <f>(B713/B10)/1.983</f>
        <v>173.65347388284289</v>
      </c>
      <c r="C714" s="1">
        <f>(C713/C10)/1.983</f>
        <v>158.12981773647431</v>
      </c>
      <c r="D714" s="1">
        <f>(D713/D10)/1.983</f>
        <v>242.57804239259514</v>
      </c>
      <c r="E714" s="55" t="s">
        <v>7</v>
      </c>
      <c r="F714" s="1">
        <f>(F713/F10)/1.983</f>
        <v>243.08287107076819</v>
      </c>
      <c r="G714" s="1">
        <f>(G713/G10)/1.983</f>
        <v>238.64135474110586</v>
      </c>
      <c r="H714" s="1">
        <f>(H713/H10)/1.983</f>
        <v>268.19633551857453</v>
      </c>
      <c r="I714" s="55" t="s">
        <v>7</v>
      </c>
      <c r="J714" s="1">
        <f>(J713/J10)/1.983</f>
        <v>262.74949978039137</v>
      </c>
      <c r="K714" s="1">
        <f>(K713/K10)/1.983</f>
        <v>277.11352951702372</v>
      </c>
      <c r="L714" s="1">
        <f>(L713/L10)/1.983</f>
        <v>240.20843839300721</v>
      </c>
      <c r="M714" s="55" t="s">
        <v>7</v>
      </c>
      <c r="N714" s="1">
        <f>(N713/N10)/1.983</f>
        <v>44.979096513916673</v>
      </c>
      <c r="O714" s="1">
        <f>(O713/O10)/1.983</f>
        <v>3.6644814254496554</v>
      </c>
      <c r="P714" s="1">
        <f>(P713/P10)/1.983</f>
        <v>68.111203292502395</v>
      </c>
      <c r="Q714" s="55" t="s">
        <v>7</v>
      </c>
      <c r="R714" s="55" t="s">
        <v>7</v>
      </c>
    </row>
    <row r="715" spans="1:18" ht="15.75" customHeight="1" x14ac:dyDescent="0.3">
      <c r="A715" s="15" t="s">
        <v>351</v>
      </c>
      <c r="B715" s="1">
        <f>B713+B725</f>
        <v>14131</v>
      </c>
      <c r="C715" s="1">
        <f>C713+C725</f>
        <v>10876</v>
      </c>
      <c r="D715" s="1">
        <f>D713+D725</f>
        <v>19190</v>
      </c>
      <c r="E715" s="55">
        <f>SUM(B715:D715)</f>
        <v>44197</v>
      </c>
      <c r="F715" s="1">
        <f>F713+F725</f>
        <v>18443</v>
      </c>
      <c r="G715" s="1">
        <f>G713+G725</f>
        <v>17782</v>
      </c>
      <c r="H715" s="1">
        <f>H713+H725</f>
        <v>20734</v>
      </c>
      <c r="I715" s="55">
        <f>SUM(F715:H715)</f>
        <v>56959</v>
      </c>
      <c r="J715" s="1">
        <f>J713+J725</f>
        <v>20158</v>
      </c>
      <c r="K715" s="1">
        <f>K713+K725</f>
        <v>20778</v>
      </c>
      <c r="L715" s="1">
        <f>L713+L725</f>
        <v>17825</v>
      </c>
      <c r="M715" s="55">
        <f>SUM(J715:L715)</f>
        <v>58761</v>
      </c>
      <c r="N715" s="1">
        <f>N713+N725</f>
        <v>6139</v>
      </c>
      <c r="O715" s="1">
        <f>O713+O725</f>
        <v>1261</v>
      </c>
      <c r="P715" s="1">
        <f>P713+P725</f>
        <v>7106</v>
      </c>
      <c r="Q715" s="55">
        <f>SUM(N715:P715)</f>
        <v>14506</v>
      </c>
      <c r="R715" s="55">
        <f>+E715+I715+M715+Q715</f>
        <v>174423</v>
      </c>
    </row>
    <row r="716" spans="1:18" ht="16.5" customHeight="1" thickBot="1" x14ac:dyDescent="0.35">
      <c r="A716" s="20" t="s">
        <v>352</v>
      </c>
      <c r="B716" s="21">
        <f>(B715/B10)/1.983</f>
        <v>229.87327769915245</v>
      </c>
      <c r="C716" s="21">
        <f>(C715/C10)/1.983</f>
        <v>195.87925941935018</v>
      </c>
      <c r="D716" s="21">
        <f>(D715/D10)/1.983</f>
        <v>312.16957038049225</v>
      </c>
      <c r="E716" s="81" t="s">
        <v>7</v>
      </c>
      <c r="F716" s="21">
        <f>(F715/F10)/1.983</f>
        <v>310.01849050260546</v>
      </c>
      <c r="G716" s="21">
        <f>(G715/G10)/1.983</f>
        <v>289.26520586273648</v>
      </c>
      <c r="H716" s="21">
        <f>(H715/H10)/1.983</f>
        <v>348.5291645654732</v>
      </c>
      <c r="I716" s="81" t="s">
        <v>7</v>
      </c>
      <c r="J716" s="21">
        <f>(J715/J10)/1.983</f>
        <v>327.91632098644931</v>
      </c>
      <c r="K716" s="21">
        <f>(K715/K10)/1.983</f>
        <v>338.00204968034745</v>
      </c>
      <c r="L716" s="21">
        <f>(L715/L10)/1.983</f>
        <v>299.63018994789036</v>
      </c>
      <c r="M716" s="81" t="s">
        <v>7</v>
      </c>
      <c r="N716" s="21">
        <f>(N715/N10)/1.983</f>
        <v>99.864981373936516</v>
      </c>
      <c r="O716" s="21">
        <f>(O715/O10)/1.983</f>
        <v>21.196839805009244</v>
      </c>
      <c r="P716" s="21">
        <f>(P715/P10)/1.983</f>
        <v>115.59546467554861</v>
      </c>
      <c r="Q716" s="81" t="s">
        <v>7</v>
      </c>
      <c r="R716" s="81" t="s">
        <v>7</v>
      </c>
    </row>
    <row r="717" spans="1:18" ht="15.75" customHeight="1" x14ac:dyDescent="0.3">
      <c r="A717" s="2"/>
      <c r="B717" s="1"/>
      <c r="C717" s="1"/>
      <c r="D717" s="1"/>
      <c r="E717" s="1"/>
      <c r="F717" s="1"/>
      <c r="G717" s="1"/>
      <c r="H717" s="1"/>
      <c r="I717" s="1"/>
      <c r="J717" s="1"/>
      <c r="K717" s="1"/>
      <c r="L717" s="1"/>
      <c r="M717" s="1"/>
      <c r="N717" s="1"/>
      <c r="O717" s="1"/>
      <c r="P717" s="1"/>
      <c r="Q717" s="1"/>
      <c r="R717" s="2"/>
    </row>
    <row r="718" spans="1:18" ht="15.75" customHeight="1" thickBot="1" x14ac:dyDescent="0.35">
      <c r="A718" s="2"/>
      <c r="B718" s="1"/>
      <c r="C718" s="1"/>
      <c r="D718" s="1"/>
      <c r="E718" s="1"/>
      <c r="F718" s="1"/>
      <c r="G718" s="1"/>
      <c r="H718" s="1"/>
      <c r="I718" s="1"/>
      <c r="J718" s="1"/>
      <c r="K718" s="1"/>
      <c r="L718" s="1"/>
      <c r="M718" s="1"/>
      <c r="N718" s="1"/>
      <c r="O718" s="1"/>
      <c r="P718" s="1"/>
      <c r="Q718" s="1"/>
      <c r="R718" s="2"/>
    </row>
    <row r="719" spans="1:18" ht="16.5" customHeight="1" thickBot="1" x14ac:dyDescent="0.35">
      <c r="A719" s="124" t="s">
        <v>353</v>
      </c>
      <c r="B719" s="30" t="s">
        <v>8</v>
      </c>
      <c r="C719" s="31" t="s">
        <v>9</v>
      </c>
      <c r="D719" s="31" t="s">
        <v>10</v>
      </c>
      <c r="E719" s="32" t="s">
        <v>11</v>
      </c>
      <c r="F719" s="31" t="s">
        <v>12</v>
      </c>
      <c r="G719" s="31" t="s">
        <v>13</v>
      </c>
      <c r="H719" s="31" t="s">
        <v>14</v>
      </c>
      <c r="I719" s="33" t="s">
        <v>15</v>
      </c>
      <c r="J719" s="31" t="s">
        <v>16</v>
      </c>
      <c r="K719" s="31" t="s">
        <v>17</v>
      </c>
      <c r="L719" s="31" t="s">
        <v>18</v>
      </c>
      <c r="M719" s="33" t="s">
        <v>19</v>
      </c>
      <c r="N719" s="31" t="s">
        <v>20</v>
      </c>
      <c r="O719" s="31" t="s">
        <v>21</v>
      </c>
      <c r="P719" s="31" t="s">
        <v>22</v>
      </c>
      <c r="Q719" s="33" t="s">
        <v>23</v>
      </c>
      <c r="R719" s="34" t="s">
        <v>24</v>
      </c>
    </row>
    <row r="720" spans="1:18" ht="16.5" customHeight="1" thickBot="1" x14ac:dyDescent="0.35">
      <c r="A720" s="41"/>
      <c r="B720" s="36"/>
      <c r="C720" s="36"/>
      <c r="D720" s="36"/>
      <c r="E720" s="37"/>
      <c r="F720" s="36"/>
      <c r="G720" s="36"/>
      <c r="H720" s="36"/>
      <c r="I720" s="37"/>
      <c r="J720" s="36"/>
      <c r="K720" s="36"/>
      <c r="L720" s="36"/>
      <c r="M720" s="37"/>
      <c r="N720" s="36"/>
      <c r="O720" s="36"/>
      <c r="P720" s="36"/>
      <c r="Q720" s="37"/>
      <c r="R720" s="41"/>
    </row>
    <row r="721" spans="1:18" ht="16.5" customHeight="1" thickBot="1" x14ac:dyDescent="0.35">
      <c r="A721" s="39" t="s">
        <v>40</v>
      </c>
      <c r="B721" s="21">
        <v>2</v>
      </c>
      <c r="C721" s="21">
        <v>3</v>
      </c>
      <c r="D721" s="21">
        <v>5</v>
      </c>
      <c r="E721" s="55">
        <f>SUM(B721:D721)</f>
        <v>10</v>
      </c>
      <c r="F721" s="21">
        <v>7</v>
      </c>
      <c r="G721" s="21">
        <v>8</v>
      </c>
      <c r="H721" s="21">
        <v>9</v>
      </c>
      <c r="I721" s="55">
        <f>SUM(F721:H721)</f>
        <v>24</v>
      </c>
      <c r="J721" s="21">
        <v>7</v>
      </c>
      <c r="K721" s="21">
        <v>6</v>
      </c>
      <c r="L721" s="21">
        <v>6</v>
      </c>
      <c r="M721" s="55">
        <f>SUM(J721:L721)</f>
        <v>19</v>
      </c>
      <c r="N721" s="21">
        <v>5</v>
      </c>
      <c r="O721" s="21">
        <v>3</v>
      </c>
      <c r="P721" s="21">
        <v>2</v>
      </c>
      <c r="Q721" s="55">
        <f>SUM(N721:P721)</f>
        <v>10</v>
      </c>
      <c r="R721" s="60">
        <f>+E721+I721+M721+Q721</f>
        <v>63</v>
      </c>
    </row>
    <row r="722" spans="1:18" ht="16.5" customHeight="1" thickBot="1" x14ac:dyDescent="0.35">
      <c r="A722" s="41"/>
      <c r="B722" s="36"/>
      <c r="C722" s="36"/>
      <c r="D722" s="36"/>
      <c r="E722" s="52"/>
      <c r="F722" s="36"/>
      <c r="G722" s="36"/>
      <c r="H722" s="36"/>
      <c r="I722" s="52"/>
      <c r="J722" s="36"/>
      <c r="K722" s="36"/>
      <c r="L722" s="36"/>
      <c r="M722" s="52"/>
      <c r="N722" s="36"/>
      <c r="O722" s="36"/>
      <c r="P722" s="36"/>
      <c r="Q722" s="52"/>
      <c r="R722" s="42"/>
    </row>
    <row r="723" spans="1:18" ht="15.75" customHeight="1" x14ac:dyDescent="0.3">
      <c r="A723" s="15" t="s">
        <v>314</v>
      </c>
      <c r="B723" s="1">
        <f>B721</f>
        <v>2</v>
      </c>
      <c r="C723" s="1">
        <f>C721</f>
        <v>3</v>
      </c>
      <c r="D723" s="1">
        <f>D721</f>
        <v>5</v>
      </c>
      <c r="E723" s="60">
        <f>SUM(B723:D723)</f>
        <v>10</v>
      </c>
      <c r="F723" s="1">
        <f>F721</f>
        <v>7</v>
      </c>
      <c r="G723" s="1">
        <f>G721</f>
        <v>8</v>
      </c>
      <c r="H723" s="1">
        <f>H721</f>
        <v>9</v>
      </c>
      <c r="I723" s="60">
        <f>SUM(F723:H723)</f>
        <v>24</v>
      </c>
      <c r="J723" s="1">
        <f>J721</f>
        <v>7</v>
      </c>
      <c r="K723" s="1">
        <f>K721</f>
        <v>6</v>
      </c>
      <c r="L723" s="1">
        <f>L721</f>
        <v>6</v>
      </c>
      <c r="M723" s="60">
        <f>SUM(J723:L723)</f>
        <v>19</v>
      </c>
      <c r="N723" s="1">
        <f>N721</f>
        <v>5</v>
      </c>
      <c r="O723" s="1">
        <f>O721</f>
        <v>3</v>
      </c>
      <c r="P723" s="1">
        <f>P721</f>
        <v>2</v>
      </c>
      <c r="Q723" s="60">
        <f>SUM(N723:P723)</f>
        <v>10</v>
      </c>
      <c r="R723" s="60">
        <f>+E723+I723+M723+Q723</f>
        <v>63</v>
      </c>
    </row>
    <row r="724" spans="1:18" ht="15.75" customHeight="1" x14ac:dyDescent="0.3">
      <c r="A724" s="15" t="s">
        <v>42</v>
      </c>
      <c r="B724" s="1">
        <f>(B723/B10)/1.983</f>
        <v>3.2534608689993978E-2</v>
      </c>
      <c r="C724" s="1">
        <f>(C723/C10)/1.983</f>
        <v>5.403068943159714E-2</v>
      </c>
      <c r="D724" s="1">
        <f>(D723/D10)/1.983</f>
        <v>8.1336521724984942E-2</v>
      </c>
      <c r="E724" s="55" t="s">
        <v>7</v>
      </c>
      <c r="F724" s="1">
        <f>(F723/F10)/1.983</f>
        <v>0.1176668347621449</v>
      </c>
      <c r="G724" s="1">
        <f>(G723/G10)/1.983</f>
        <v>0.13013843475997591</v>
      </c>
      <c r="H724" s="1">
        <f>(H723/H10)/1.983</f>
        <v>0.15128593040847199</v>
      </c>
      <c r="I724" s="55" t="s">
        <v>7</v>
      </c>
      <c r="J724" s="1">
        <f>(J723/J10)/1.983</f>
        <v>0.11387113041497893</v>
      </c>
      <c r="K724" s="1">
        <f>(K723/K10)/1.983</f>
        <v>9.7603826069981942E-2</v>
      </c>
      <c r="L724" s="1">
        <f>(L723/L10)/1.983</f>
        <v>0.10085728693898134</v>
      </c>
      <c r="M724" s="55" t="s">
        <v>7</v>
      </c>
      <c r="N724" s="1">
        <f>(N723/N10)/1.983</f>
        <v>8.1336521724984942E-2</v>
      </c>
      <c r="O724" s="1">
        <f>(O723/O10)/1.983</f>
        <v>5.0428643469490671E-2</v>
      </c>
      <c r="P724" s="1">
        <f>(P723/P10)/1.983</f>
        <v>3.2534608689993978E-2</v>
      </c>
      <c r="Q724" s="55" t="s">
        <v>7</v>
      </c>
      <c r="R724" s="55" t="s">
        <v>7</v>
      </c>
    </row>
    <row r="725" spans="1:18" ht="15.75" customHeight="1" x14ac:dyDescent="0.3">
      <c r="A725" s="15" t="s">
        <v>354</v>
      </c>
      <c r="B725" s="1">
        <f>B723+B759+B808-B754</f>
        <v>3456</v>
      </c>
      <c r="C725" s="1">
        <f>C723+C759+C808-C754</f>
        <v>2096</v>
      </c>
      <c r="D725" s="1">
        <f>D723+D759+D808-D754</f>
        <v>4278</v>
      </c>
      <c r="E725" s="55">
        <f>SUM(B725:D725)</f>
        <v>9830</v>
      </c>
      <c r="F725" s="1">
        <f>F723+F759+F808-F754</f>
        <v>3982</v>
      </c>
      <c r="G725" s="1">
        <f>G723+G759+G808-G754</f>
        <v>3112</v>
      </c>
      <c r="H725" s="1">
        <f>H723+H759+H808-H754</f>
        <v>4779</v>
      </c>
      <c r="I725" s="55">
        <f>SUM(F725:H725)</f>
        <v>11873</v>
      </c>
      <c r="J725" s="1">
        <f>J723+J759+J808-J754</f>
        <v>4006</v>
      </c>
      <c r="K725" s="1">
        <f>K723+K759+K808-K754</f>
        <v>3743</v>
      </c>
      <c r="L725" s="1">
        <f>L723+L759+L808-L754</f>
        <v>3535</v>
      </c>
      <c r="M725" s="55">
        <f>SUM(J725:L725)</f>
        <v>11284</v>
      </c>
      <c r="N725" s="1">
        <f>N723+N759+N808-N754</f>
        <v>3374</v>
      </c>
      <c r="O725" s="1">
        <f>O723+O759+O808-O754</f>
        <v>1043</v>
      </c>
      <c r="P725" s="1">
        <f>P723+P759+P808-P754</f>
        <v>2919</v>
      </c>
      <c r="Q725" s="55">
        <f>SUM(N725:P725)</f>
        <v>7336</v>
      </c>
      <c r="R725" s="55">
        <f>+E725+I725+M725+Q725</f>
        <v>40323</v>
      </c>
    </row>
    <row r="726" spans="1:18" ht="16.5" customHeight="1" thickBot="1" x14ac:dyDescent="0.35">
      <c r="A726" s="20" t="s">
        <v>355</v>
      </c>
      <c r="B726" s="21">
        <f>(B725/B10)/1.983</f>
        <v>56.2198038163096</v>
      </c>
      <c r="C726" s="21">
        <f>(C725/C10)/1.983</f>
        <v>37.749441682875876</v>
      </c>
      <c r="D726" s="21">
        <f>(D725/D10)/1.983</f>
        <v>69.591527987897123</v>
      </c>
      <c r="E726" s="81" t="s">
        <v>7</v>
      </c>
      <c r="F726" s="21">
        <f>(F725/F10)/1.983</f>
        <v>66.935619431837267</v>
      </c>
      <c r="G726" s="21">
        <f>(G725/G10)/1.983</f>
        <v>50.623851121630636</v>
      </c>
      <c r="H726" s="21">
        <f>(H725/H10)/1.983</f>
        <v>80.332829046898638</v>
      </c>
      <c r="I726" s="81" t="s">
        <v>7</v>
      </c>
      <c r="J726" s="21">
        <f>(J725/J10)/1.983</f>
        <v>65.166821206057932</v>
      </c>
      <c r="K726" s="21">
        <f>(K725/K10)/1.983</f>
        <v>60.888520163323726</v>
      </c>
      <c r="L726" s="21">
        <f>(L725/L10)/1.983</f>
        <v>59.421751554883166</v>
      </c>
      <c r="M726" s="81" t="s">
        <v>7</v>
      </c>
      <c r="N726" s="21">
        <f>(N725/N10)/1.983</f>
        <v>54.885884860019843</v>
      </c>
      <c r="O726" s="21">
        <f>(O725/O10)/1.983</f>
        <v>17.532358379559589</v>
      </c>
      <c r="P726" s="21">
        <f>(P725/P10)/1.983</f>
        <v>47.48426138304621</v>
      </c>
      <c r="Q726" s="81" t="s">
        <v>7</v>
      </c>
      <c r="R726" s="81" t="s">
        <v>7</v>
      </c>
    </row>
    <row r="727" spans="1:18" ht="15.75" customHeight="1" x14ac:dyDescent="0.3">
      <c r="A727" s="2"/>
      <c r="B727" s="1"/>
      <c r="C727" s="1"/>
      <c r="D727" s="1"/>
      <c r="E727" s="1"/>
      <c r="F727" s="1"/>
      <c r="G727" s="1"/>
      <c r="H727" s="1"/>
      <c r="I727" s="1"/>
      <c r="J727" s="1"/>
      <c r="K727" s="1"/>
      <c r="L727" s="1"/>
      <c r="M727" s="1"/>
      <c r="N727" s="1"/>
      <c r="O727" s="1"/>
      <c r="P727" s="1"/>
      <c r="Q727" s="1"/>
      <c r="R727" s="2"/>
    </row>
    <row r="728" spans="1:18" ht="15.75" customHeight="1" thickBot="1" x14ac:dyDescent="0.35">
      <c r="A728" s="2"/>
      <c r="B728" s="1"/>
      <c r="C728" s="1"/>
      <c r="D728" s="1"/>
      <c r="E728" s="1"/>
      <c r="F728" s="1"/>
      <c r="G728" s="1"/>
      <c r="H728" s="1"/>
      <c r="I728" s="1"/>
      <c r="J728" s="1"/>
      <c r="K728" s="1"/>
      <c r="L728" s="1"/>
      <c r="M728" s="1"/>
      <c r="N728" s="1"/>
      <c r="O728" s="1"/>
      <c r="P728" s="1"/>
      <c r="Q728" s="1"/>
      <c r="R728" s="2"/>
    </row>
    <row r="729" spans="1:18" ht="16.5" customHeight="1" thickBot="1" x14ac:dyDescent="0.35">
      <c r="A729" s="124" t="s">
        <v>356</v>
      </c>
      <c r="B729" s="30" t="s">
        <v>8</v>
      </c>
      <c r="C729" s="31" t="s">
        <v>9</v>
      </c>
      <c r="D729" s="31" t="s">
        <v>10</v>
      </c>
      <c r="E729" s="33" t="s">
        <v>11</v>
      </c>
      <c r="F729" s="31" t="s">
        <v>12</v>
      </c>
      <c r="G729" s="31" t="s">
        <v>13</v>
      </c>
      <c r="H729" s="31" t="s">
        <v>14</v>
      </c>
      <c r="I729" s="33" t="s">
        <v>15</v>
      </c>
      <c r="J729" s="31" t="s">
        <v>16</v>
      </c>
      <c r="K729" s="31" t="s">
        <v>17</v>
      </c>
      <c r="L729" s="31" t="s">
        <v>18</v>
      </c>
      <c r="M729" s="33" t="s">
        <v>19</v>
      </c>
      <c r="N729" s="31" t="s">
        <v>20</v>
      </c>
      <c r="O729" s="31" t="s">
        <v>21</v>
      </c>
      <c r="P729" s="31" t="s">
        <v>22</v>
      </c>
      <c r="Q729" s="33" t="s">
        <v>23</v>
      </c>
      <c r="R729" s="131" t="s">
        <v>24</v>
      </c>
    </row>
    <row r="730" spans="1:18" ht="16.5" customHeight="1" thickBot="1" x14ac:dyDescent="0.35">
      <c r="A730" s="41"/>
      <c r="B730" s="36"/>
      <c r="C730" s="36"/>
      <c r="D730" s="36"/>
      <c r="E730" s="132"/>
      <c r="F730" s="36"/>
      <c r="G730" s="36"/>
      <c r="H730" s="36"/>
      <c r="I730" s="132"/>
      <c r="J730" s="36"/>
      <c r="K730" s="36"/>
      <c r="L730" s="36"/>
      <c r="M730" s="132"/>
      <c r="N730" s="36"/>
      <c r="O730" s="36"/>
      <c r="P730" s="36"/>
      <c r="Q730" s="132"/>
      <c r="R730" s="38"/>
    </row>
    <row r="731" spans="1:18" ht="15.75" customHeight="1" x14ac:dyDescent="0.3">
      <c r="A731" s="15" t="s">
        <v>48</v>
      </c>
      <c r="B731" s="1" t="s">
        <v>7</v>
      </c>
      <c r="C731" s="1" t="s">
        <v>7</v>
      </c>
      <c r="D731" s="1" t="s">
        <v>7</v>
      </c>
      <c r="E731" s="55" t="s">
        <v>7</v>
      </c>
      <c r="F731" s="1" t="s">
        <v>7</v>
      </c>
      <c r="G731" s="1" t="s">
        <v>7</v>
      </c>
      <c r="H731" s="1" t="s">
        <v>7</v>
      </c>
      <c r="I731" s="55" t="s">
        <v>7</v>
      </c>
      <c r="J731" s="1" t="s">
        <v>7</v>
      </c>
      <c r="K731" s="1" t="s">
        <v>7</v>
      </c>
      <c r="L731" s="1" t="s">
        <v>7</v>
      </c>
      <c r="M731" s="55" t="s">
        <v>7</v>
      </c>
      <c r="N731" s="1" t="s">
        <v>7</v>
      </c>
      <c r="O731" s="1" t="s">
        <v>7</v>
      </c>
      <c r="P731" s="1" t="s">
        <v>7</v>
      </c>
      <c r="Q731" s="55" t="s">
        <v>7</v>
      </c>
      <c r="R731" s="55" t="s">
        <v>7</v>
      </c>
    </row>
    <row r="732" spans="1:18" ht="15.75" customHeight="1" x14ac:dyDescent="0.3">
      <c r="A732" s="15" t="s">
        <v>49</v>
      </c>
      <c r="B732" s="1"/>
      <c r="C732" s="1"/>
      <c r="D732" s="1"/>
      <c r="E732" s="55" t="s">
        <v>7</v>
      </c>
      <c r="F732" s="1"/>
      <c r="G732" s="1"/>
      <c r="H732" s="1"/>
      <c r="I732" s="55" t="s">
        <v>7</v>
      </c>
      <c r="J732" s="1"/>
      <c r="K732" s="1"/>
      <c r="L732" s="1"/>
      <c r="M732" s="55" t="s">
        <v>7</v>
      </c>
      <c r="N732" s="1"/>
      <c r="O732" s="1"/>
      <c r="P732" s="1"/>
      <c r="Q732" s="55" t="s">
        <v>7</v>
      </c>
      <c r="R732" s="55" t="s">
        <v>7</v>
      </c>
    </row>
    <row r="733" spans="1:18" ht="15.75" customHeight="1" x14ac:dyDescent="0.3">
      <c r="A733" s="71" t="s">
        <v>357</v>
      </c>
      <c r="B733" s="1"/>
      <c r="C733" s="1"/>
      <c r="D733" s="1"/>
      <c r="E733" s="55">
        <f>SUM(B733:D733)</f>
        <v>0</v>
      </c>
      <c r="F733" s="1"/>
      <c r="G733" s="1"/>
      <c r="H733" s="1"/>
      <c r="I733" s="55">
        <f>SUM(F733:H733)</f>
        <v>0</v>
      </c>
      <c r="J733" s="1"/>
      <c r="K733" s="1"/>
      <c r="L733" s="1">
        <v>47</v>
      </c>
      <c r="M733" s="55">
        <f>SUM(J733:L733)</f>
        <v>47</v>
      </c>
      <c r="N733" s="1"/>
      <c r="O733" s="1"/>
      <c r="P733" s="1"/>
      <c r="Q733" s="55">
        <f>SUM(N733:P733)</f>
        <v>0</v>
      </c>
      <c r="R733" s="55">
        <f>+E733+I733+M733+Q733</f>
        <v>47</v>
      </c>
    </row>
    <row r="734" spans="1:18" ht="15.75" customHeight="1" x14ac:dyDescent="0.3">
      <c r="A734" s="15" t="s">
        <v>50</v>
      </c>
      <c r="B734" s="1"/>
      <c r="C734" s="1"/>
      <c r="D734" s="1"/>
      <c r="E734" s="55" t="s">
        <v>7</v>
      </c>
      <c r="F734" s="1"/>
      <c r="G734" s="1"/>
      <c r="H734" s="1"/>
      <c r="I734" s="55" t="s">
        <v>7</v>
      </c>
      <c r="J734" s="1"/>
      <c r="K734" s="1"/>
      <c r="L734" s="1"/>
      <c r="M734" s="55" t="s">
        <v>7</v>
      </c>
      <c r="N734" s="1"/>
      <c r="O734" s="1"/>
      <c r="P734" s="1"/>
      <c r="Q734" s="55" t="s">
        <v>7</v>
      </c>
      <c r="R734" s="55" t="s">
        <v>7</v>
      </c>
    </row>
    <row r="735" spans="1:18" ht="15.75" customHeight="1" x14ac:dyDescent="0.3">
      <c r="A735" s="15" t="s">
        <v>1186</v>
      </c>
      <c r="B735" s="1"/>
      <c r="C735" s="1"/>
      <c r="D735" s="1"/>
      <c r="E735" s="55" t="s">
        <v>7</v>
      </c>
      <c r="F735" s="1"/>
      <c r="G735" s="1"/>
      <c r="H735" s="1"/>
      <c r="I735" s="55" t="s">
        <v>7</v>
      </c>
      <c r="J735" s="1"/>
      <c r="K735" s="1"/>
      <c r="L735" s="1"/>
      <c r="M735" s="55" t="s">
        <v>7</v>
      </c>
      <c r="N735" s="1"/>
      <c r="O735" s="1"/>
      <c r="P735" s="1"/>
      <c r="Q735" s="55" t="s">
        <v>7</v>
      </c>
      <c r="R735" s="55" t="s">
        <v>7</v>
      </c>
    </row>
    <row r="736" spans="1:18" ht="15.75" customHeight="1" thickBot="1" x14ac:dyDescent="0.35">
      <c r="A736" s="15" t="s">
        <v>53</v>
      </c>
      <c r="B736" s="1"/>
      <c r="C736" s="1"/>
      <c r="D736" s="1"/>
      <c r="E736" s="55" t="s">
        <v>7</v>
      </c>
      <c r="F736" s="1"/>
      <c r="G736" s="1"/>
      <c r="H736" s="1"/>
      <c r="I736" s="55" t="s">
        <v>7</v>
      </c>
      <c r="J736" s="1"/>
      <c r="K736" s="1"/>
      <c r="L736" s="1"/>
      <c r="M736" s="55" t="s">
        <v>7</v>
      </c>
      <c r="N736" s="1"/>
      <c r="O736" s="1"/>
      <c r="P736" s="1"/>
      <c r="Q736" s="55" t="s">
        <v>7</v>
      </c>
      <c r="R736" s="55" t="s">
        <v>7</v>
      </c>
    </row>
    <row r="737" spans="1:18" ht="16.5" customHeight="1" thickBot="1" x14ac:dyDescent="0.35">
      <c r="A737" s="57" t="s">
        <v>54</v>
      </c>
      <c r="B737" s="86">
        <f>SUM(B731:B736)</f>
        <v>0</v>
      </c>
      <c r="C737" s="87">
        <f>SUM(C731:C736)</f>
        <v>0</v>
      </c>
      <c r="D737" s="87">
        <f>SUM(D731:D736)</f>
        <v>0</v>
      </c>
      <c r="E737" s="59">
        <f>SUM(B737:D737)</f>
        <v>0</v>
      </c>
      <c r="F737" s="87">
        <f>SUM(F731:F736)</f>
        <v>0</v>
      </c>
      <c r="G737" s="87">
        <f>SUM(G731:G736)</f>
        <v>0</v>
      </c>
      <c r="H737" s="87">
        <f>SUM(H731:H736)</f>
        <v>0</v>
      </c>
      <c r="I737" s="59">
        <f>SUM(F737:H737)</f>
        <v>0</v>
      </c>
      <c r="J737" s="87">
        <f>SUM(J731:J736)</f>
        <v>0</v>
      </c>
      <c r="K737" s="87">
        <f>SUM(K731:K736)</f>
        <v>0</v>
      </c>
      <c r="L737" s="87">
        <f>SUM(L731:L736)</f>
        <v>47</v>
      </c>
      <c r="M737" s="59">
        <f>SUM(J737:L737)</f>
        <v>47</v>
      </c>
      <c r="N737" s="87">
        <f>SUM(N731:N736)</f>
        <v>0</v>
      </c>
      <c r="O737" s="87">
        <f>SUM(O731:O736)</f>
        <v>0</v>
      </c>
      <c r="P737" s="87">
        <f>SUM(P731:P736)</f>
        <v>0</v>
      </c>
      <c r="Q737" s="59">
        <f>SUM(N737:P737)</f>
        <v>0</v>
      </c>
      <c r="R737" s="59">
        <f>+E737+I737+M737+Q737</f>
        <v>47</v>
      </c>
    </row>
    <row r="738" spans="1:18" ht="15.75" customHeight="1" x14ac:dyDescent="0.3">
      <c r="A738" s="15" t="s">
        <v>55</v>
      </c>
      <c r="B738" s="1"/>
      <c r="C738" s="1"/>
      <c r="D738" s="1"/>
      <c r="E738" s="55" t="s">
        <v>7</v>
      </c>
      <c r="F738" s="1"/>
      <c r="G738" s="1"/>
      <c r="H738" s="1"/>
      <c r="I738" s="55" t="s">
        <v>7</v>
      </c>
      <c r="J738" s="1"/>
      <c r="K738" s="1"/>
      <c r="L738" s="1"/>
      <c r="M738" s="55" t="s">
        <v>7</v>
      </c>
      <c r="N738" s="1"/>
      <c r="O738" s="1"/>
      <c r="P738" s="1"/>
      <c r="Q738" s="55" t="s">
        <v>7</v>
      </c>
      <c r="R738" s="55" t="s">
        <v>7</v>
      </c>
    </row>
    <row r="739" spans="1:18" ht="15.75" customHeight="1" x14ac:dyDescent="0.3">
      <c r="A739" s="15" t="s">
        <v>57</v>
      </c>
      <c r="B739" s="1"/>
      <c r="C739" s="1"/>
      <c r="D739" s="1"/>
      <c r="E739" s="55" t="s">
        <v>7</v>
      </c>
      <c r="F739" s="1"/>
      <c r="G739" s="1"/>
      <c r="H739" s="1"/>
      <c r="I739" s="55" t="s">
        <v>7</v>
      </c>
      <c r="J739" s="1"/>
      <c r="K739" s="1"/>
      <c r="L739" s="1"/>
      <c r="M739" s="55" t="s">
        <v>7</v>
      </c>
      <c r="N739" s="1"/>
      <c r="O739" s="1"/>
      <c r="P739" s="1"/>
      <c r="Q739" s="55" t="s">
        <v>7</v>
      </c>
      <c r="R739" s="55" t="s">
        <v>7</v>
      </c>
    </row>
    <row r="740" spans="1:18" ht="15.75" customHeight="1" thickBot="1" x14ac:dyDescent="0.35">
      <c r="A740" s="15" t="s">
        <v>58</v>
      </c>
      <c r="B740" s="1"/>
      <c r="C740" s="1"/>
      <c r="D740" s="1"/>
      <c r="E740" s="55" t="s">
        <v>7</v>
      </c>
      <c r="F740" s="1"/>
      <c r="G740" s="1"/>
      <c r="H740" s="1"/>
      <c r="I740" s="55" t="s">
        <v>7</v>
      </c>
      <c r="J740" s="1"/>
      <c r="K740" s="1"/>
      <c r="L740" s="1"/>
      <c r="M740" s="55" t="s">
        <v>7</v>
      </c>
      <c r="N740" s="1"/>
      <c r="O740" s="1"/>
      <c r="P740" s="1"/>
      <c r="Q740" s="55" t="s">
        <v>7</v>
      </c>
      <c r="R740" s="55" t="s">
        <v>7</v>
      </c>
    </row>
    <row r="741" spans="1:18" ht="16.5" customHeight="1" thickBot="1" x14ac:dyDescent="0.35">
      <c r="A741" s="57" t="s">
        <v>59</v>
      </c>
      <c r="B741" s="86">
        <f>SUM(B738:B740)</f>
        <v>0</v>
      </c>
      <c r="C741" s="87">
        <f>SUM(C738:C740)</f>
        <v>0</v>
      </c>
      <c r="D741" s="87">
        <f>SUM(D738:D740)</f>
        <v>0</v>
      </c>
      <c r="E741" s="59">
        <f>SUM(B741:D741)</f>
        <v>0</v>
      </c>
      <c r="F741" s="87">
        <f>SUM(F738:F740)</f>
        <v>0</v>
      </c>
      <c r="G741" s="87">
        <f>SUM(G738:G740)</f>
        <v>0</v>
      </c>
      <c r="H741" s="87">
        <f>SUM(H738:H740)</f>
        <v>0</v>
      </c>
      <c r="I741" s="59">
        <f>SUM(F741:H741)</f>
        <v>0</v>
      </c>
      <c r="J741" s="87">
        <f>SUM(J738:J740)</f>
        <v>0</v>
      </c>
      <c r="K741" s="87">
        <f>SUM(K738:K740)</f>
        <v>0</v>
      </c>
      <c r="L741" s="87">
        <f>SUM(L738:L740)</f>
        <v>0</v>
      </c>
      <c r="M741" s="59">
        <f>SUM(J741:L741)</f>
        <v>0</v>
      </c>
      <c r="N741" s="87">
        <f>SUM(N738:N740)</f>
        <v>0</v>
      </c>
      <c r="O741" s="87">
        <f>SUM(O738:O740)</f>
        <v>0</v>
      </c>
      <c r="P741" s="87">
        <f>SUM(P738:P740)</f>
        <v>0</v>
      </c>
      <c r="Q741" s="59">
        <f>SUM(N741:P741)</f>
        <v>0</v>
      </c>
      <c r="R741" s="59">
        <f>+E741+I741+M741+Q741</f>
        <v>0</v>
      </c>
    </row>
    <row r="742" spans="1:18" ht="15.75" customHeight="1" x14ac:dyDescent="0.3">
      <c r="A742" s="15" t="s">
        <v>60</v>
      </c>
      <c r="B742" s="1"/>
      <c r="C742" s="1"/>
      <c r="D742" s="1"/>
      <c r="E742" s="55" t="s">
        <v>7</v>
      </c>
      <c r="F742" s="1"/>
      <c r="G742" s="1"/>
      <c r="H742" s="1"/>
      <c r="I742" s="55" t="s">
        <v>7</v>
      </c>
      <c r="J742" s="1"/>
      <c r="K742" s="1"/>
      <c r="L742" s="1"/>
      <c r="M742" s="55" t="s">
        <v>7</v>
      </c>
      <c r="N742" s="1"/>
      <c r="O742" s="1"/>
      <c r="P742" s="1"/>
      <c r="Q742" s="55" t="s">
        <v>7</v>
      </c>
      <c r="R742" s="55" t="s">
        <v>7</v>
      </c>
    </row>
    <row r="743" spans="1:18" ht="15.75" customHeight="1" x14ac:dyDescent="0.3">
      <c r="A743" s="15" t="s">
        <v>61</v>
      </c>
      <c r="B743" s="1"/>
      <c r="C743" s="1"/>
      <c r="D743" s="1"/>
      <c r="E743" s="55" t="s">
        <v>7</v>
      </c>
      <c r="F743" s="1"/>
      <c r="G743" s="1"/>
      <c r="H743" s="1"/>
      <c r="I743" s="55" t="s">
        <v>7</v>
      </c>
      <c r="J743" s="1"/>
      <c r="K743" s="1"/>
      <c r="L743" s="1"/>
      <c r="M743" s="55" t="s">
        <v>7</v>
      </c>
      <c r="N743" s="1"/>
      <c r="O743" s="1"/>
      <c r="P743" s="1"/>
      <c r="Q743" s="55" t="s">
        <v>7</v>
      </c>
      <c r="R743" s="55" t="s">
        <v>7</v>
      </c>
    </row>
    <row r="744" spans="1:18" ht="15.75" customHeight="1" thickBot="1" x14ac:dyDescent="0.35">
      <c r="A744" s="15" t="s">
        <v>62</v>
      </c>
      <c r="B744" s="1"/>
      <c r="C744" s="1"/>
      <c r="D744" s="1"/>
      <c r="E744" s="55" t="s">
        <v>7</v>
      </c>
      <c r="F744" s="1"/>
      <c r="G744" s="1"/>
      <c r="H744" s="1"/>
      <c r="I744" s="55" t="s">
        <v>7</v>
      </c>
      <c r="J744" s="1"/>
      <c r="K744" s="1"/>
      <c r="L744" s="1"/>
      <c r="M744" s="55" t="s">
        <v>7</v>
      </c>
      <c r="N744" s="1"/>
      <c r="O744" s="1"/>
      <c r="P744" s="1"/>
      <c r="Q744" s="55" t="s">
        <v>7</v>
      </c>
      <c r="R744" s="55" t="s">
        <v>7</v>
      </c>
    </row>
    <row r="745" spans="1:18" ht="16.5" customHeight="1" thickBot="1" x14ac:dyDescent="0.35">
      <c r="A745" s="57" t="s">
        <v>63</v>
      </c>
      <c r="B745" s="86">
        <f>SUM(B742:B744)</f>
        <v>0</v>
      </c>
      <c r="C745" s="87">
        <f>SUM(C742:C744)</f>
        <v>0</v>
      </c>
      <c r="D745" s="87">
        <f>SUM(D742:D744)</f>
        <v>0</v>
      </c>
      <c r="E745" s="59">
        <f>SUM(B745:D745)</f>
        <v>0</v>
      </c>
      <c r="F745" s="87">
        <f>SUM(F742:F744)</f>
        <v>0</v>
      </c>
      <c r="G745" s="87">
        <f>SUM(G742:G744)</f>
        <v>0</v>
      </c>
      <c r="H745" s="87">
        <f>SUM(H742:H744)</f>
        <v>0</v>
      </c>
      <c r="I745" s="59">
        <f>SUM(F745:H745)</f>
        <v>0</v>
      </c>
      <c r="J745" s="87">
        <f>SUM(J742:J744)</f>
        <v>0</v>
      </c>
      <c r="K745" s="87">
        <f>SUM(K742:K744)</f>
        <v>0</v>
      </c>
      <c r="L745" s="87">
        <f>SUM(L742:L744)</f>
        <v>0</v>
      </c>
      <c r="M745" s="59">
        <f>SUM(J745:L745)</f>
        <v>0</v>
      </c>
      <c r="N745" s="87">
        <f>SUM(N742:N744)</f>
        <v>0</v>
      </c>
      <c r="O745" s="87">
        <f>SUM(O742:O744)</f>
        <v>0</v>
      </c>
      <c r="P745" s="87">
        <f>SUM(P742:P744)</f>
        <v>0</v>
      </c>
      <c r="Q745" s="59">
        <f>SUM(N745:P745)</f>
        <v>0</v>
      </c>
      <c r="R745" s="59">
        <f>+E745+I745+M745+Q745</f>
        <v>0</v>
      </c>
    </row>
    <row r="746" spans="1:18" ht="15.75" customHeight="1" x14ac:dyDescent="0.3">
      <c r="A746" s="15" t="s">
        <v>64</v>
      </c>
      <c r="B746" s="1"/>
      <c r="C746" s="1"/>
      <c r="D746" s="1"/>
      <c r="E746" s="55" t="s">
        <v>7</v>
      </c>
      <c r="F746" s="1"/>
      <c r="G746" s="1"/>
      <c r="H746" s="1"/>
      <c r="I746" s="55" t="s">
        <v>7</v>
      </c>
      <c r="J746" s="1"/>
      <c r="K746" s="1"/>
      <c r="L746" s="1"/>
      <c r="M746" s="55" t="s">
        <v>7</v>
      </c>
      <c r="N746" s="1"/>
      <c r="O746" s="1"/>
      <c r="P746" s="1"/>
      <c r="Q746" s="55" t="s">
        <v>7</v>
      </c>
      <c r="R746" s="55" t="s">
        <v>7</v>
      </c>
    </row>
    <row r="747" spans="1:18" ht="15.75" customHeight="1" x14ac:dyDescent="0.3">
      <c r="A747" s="15" t="s">
        <v>594</v>
      </c>
      <c r="B747" s="1"/>
      <c r="C747" s="1"/>
      <c r="D747" s="1"/>
      <c r="E747" s="55" t="s">
        <v>7</v>
      </c>
      <c r="F747" s="1"/>
      <c r="G747" s="1"/>
      <c r="H747" s="1"/>
      <c r="I747" s="55" t="s">
        <v>7</v>
      </c>
      <c r="J747" s="1"/>
      <c r="K747" s="1"/>
      <c r="L747" s="1"/>
      <c r="M747" s="55" t="s">
        <v>7</v>
      </c>
      <c r="N747" s="1"/>
      <c r="O747" s="1"/>
      <c r="P747" s="1"/>
      <c r="Q747" s="55" t="s">
        <v>7</v>
      </c>
      <c r="R747" s="55" t="s">
        <v>7</v>
      </c>
    </row>
    <row r="748" spans="1:18" ht="15.75" customHeight="1" x14ac:dyDescent="0.3">
      <c r="A748" s="15" t="s">
        <v>67</v>
      </c>
      <c r="B748" s="1"/>
      <c r="C748" s="1"/>
      <c r="D748" s="1"/>
      <c r="E748" s="55" t="s">
        <v>7</v>
      </c>
      <c r="F748" s="1"/>
      <c r="G748" s="1"/>
      <c r="H748" s="1"/>
      <c r="I748" s="55" t="s">
        <v>7</v>
      </c>
      <c r="J748" s="1"/>
      <c r="K748" s="1"/>
      <c r="L748" s="1"/>
      <c r="M748" s="55" t="s">
        <v>7</v>
      </c>
      <c r="N748" s="1"/>
      <c r="O748" s="1"/>
      <c r="P748" s="1"/>
      <c r="Q748" s="55" t="s">
        <v>7</v>
      </c>
      <c r="R748" s="55" t="s">
        <v>7</v>
      </c>
    </row>
    <row r="749" spans="1:18" ht="15.75" customHeight="1" x14ac:dyDescent="0.3">
      <c r="A749" s="15" t="s">
        <v>600</v>
      </c>
      <c r="B749" s="1"/>
      <c r="C749" s="1"/>
      <c r="D749" s="1"/>
      <c r="E749" s="55" t="s">
        <v>7</v>
      </c>
      <c r="F749" s="1"/>
      <c r="G749" s="1"/>
      <c r="H749" s="1"/>
      <c r="I749" s="55" t="s">
        <v>7</v>
      </c>
      <c r="J749" s="1"/>
      <c r="K749" s="1"/>
      <c r="L749" s="1"/>
      <c r="M749" s="55" t="s">
        <v>7</v>
      </c>
      <c r="N749" s="1"/>
      <c r="O749" s="1"/>
      <c r="P749" s="1"/>
      <c r="Q749" s="55" t="s">
        <v>7</v>
      </c>
      <c r="R749" s="55" t="s">
        <v>7</v>
      </c>
    </row>
    <row r="750" spans="1:18" ht="15.75" customHeight="1" thickBot="1" x14ac:dyDescent="0.35">
      <c r="A750" s="15" t="s">
        <v>70</v>
      </c>
      <c r="B750" s="1"/>
      <c r="C750" s="1"/>
      <c r="D750" s="1"/>
      <c r="E750" s="55" t="s">
        <v>7</v>
      </c>
      <c r="F750" s="1"/>
      <c r="G750" s="1"/>
      <c r="H750" s="1"/>
      <c r="I750" s="55" t="s">
        <v>7</v>
      </c>
      <c r="J750" s="1"/>
      <c r="K750" s="1"/>
      <c r="L750" s="1"/>
      <c r="M750" s="55" t="s">
        <v>7</v>
      </c>
      <c r="N750" s="1"/>
      <c r="O750" s="1"/>
      <c r="P750" s="1"/>
      <c r="Q750" s="55" t="s">
        <v>7</v>
      </c>
      <c r="R750" s="55" t="s">
        <v>7</v>
      </c>
    </row>
    <row r="751" spans="1:18" ht="16.5" customHeight="1" thickBot="1" x14ac:dyDescent="0.35">
      <c r="A751" s="57" t="s">
        <v>71</v>
      </c>
      <c r="B751" s="58">
        <f>SUM(B749:B750)</f>
        <v>0</v>
      </c>
      <c r="C751" s="58">
        <f>SUM(C749:C750)</f>
        <v>0</v>
      </c>
      <c r="D751" s="58">
        <f>SUM(D749:D750)</f>
        <v>0</v>
      </c>
      <c r="E751" s="60">
        <f>SUM(B751:D751)</f>
        <v>0</v>
      </c>
      <c r="F751" s="58">
        <f>SUM(F749:F750)</f>
        <v>0</v>
      </c>
      <c r="G751" s="58">
        <f>SUM(G749:G750)</f>
        <v>0</v>
      </c>
      <c r="H751" s="58">
        <f>SUM(H749:H750)</f>
        <v>0</v>
      </c>
      <c r="I751" s="60">
        <f>SUM(F751:H751)</f>
        <v>0</v>
      </c>
      <c r="J751" s="58">
        <f>SUM(J749:J750)</f>
        <v>0</v>
      </c>
      <c r="K751" s="58">
        <f>SUM(K749:K750)</f>
        <v>0</v>
      </c>
      <c r="L751" s="58">
        <f>SUM(L749:L750)</f>
        <v>0</v>
      </c>
      <c r="M751" s="60">
        <f>SUM(J751:L751)</f>
        <v>0</v>
      </c>
      <c r="N751" s="58">
        <f>SUM(N749:N750)</f>
        <v>0</v>
      </c>
      <c r="O751" s="58">
        <f>SUM(O749:O750)</f>
        <v>0</v>
      </c>
      <c r="P751" s="58">
        <f>SUM(P749:P750)</f>
        <v>0</v>
      </c>
      <c r="Q751" s="60">
        <f>SUM(N751:P751)</f>
        <v>0</v>
      </c>
      <c r="R751" s="59">
        <f>+E751+I751+M751+Q751</f>
        <v>0</v>
      </c>
    </row>
    <row r="752" spans="1:18" ht="16.5" customHeight="1" thickBot="1" x14ac:dyDescent="0.35">
      <c r="A752" s="57" t="s">
        <v>72</v>
      </c>
      <c r="B752" s="86">
        <f>SUM(B746:B750)</f>
        <v>0</v>
      </c>
      <c r="C752" s="87">
        <f>SUM(C746:C750)</f>
        <v>0</v>
      </c>
      <c r="D752" s="118">
        <f>SUM(D746:D750)</f>
        <v>0</v>
      </c>
      <c r="E752" s="60">
        <f>SUM(B752:D752)</f>
        <v>0</v>
      </c>
      <c r="F752" s="87">
        <f>SUM(F746:F750)</f>
        <v>0</v>
      </c>
      <c r="G752" s="87">
        <f>SUM(G746:G750)</f>
        <v>0</v>
      </c>
      <c r="H752" s="87">
        <f>SUM(H746:H750)</f>
        <v>0</v>
      </c>
      <c r="I752" s="60">
        <f>SUM(F752:H752)</f>
        <v>0</v>
      </c>
      <c r="J752" s="87">
        <f>SUM(J746:J750)</f>
        <v>0</v>
      </c>
      <c r="K752" s="87">
        <f>SUM(K746:K750)</f>
        <v>0</v>
      </c>
      <c r="L752" s="87">
        <f>SUM(L746:L750)</f>
        <v>0</v>
      </c>
      <c r="M752" s="60">
        <f>SUM(J752:L752)</f>
        <v>0</v>
      </c>
      <c r="N752" s="87">
        <f>SUM(N746:N750)</f>
        <v>0</v>
      </c>
      <c r="O752" s="87">
        <f>SUM(O746:O750)</f>
        <v>0</v>
      </c>
      <c r="P752" s="87">
        <f>SUM(P746:P750)</f>
        <v>0</v>
      </c>
      <c r="Q752" s="60">
        <f>SUM(N752:P752)</f>
        <v>0</v>
      </c>
      <c r="R752" s="59">
        <f>+E752+I752+M752+Q752</f>
        <v>0</v>
      </c>
    </row>
    <row r="753" spans="1:20" ht="16.5" customHeight="1" thickBot="1" x14ac:dyDescent="0.35">
      <c r="A753" s="57" t="s">
        <v>73</v>
      </c>
      <c r="B753" s="90">
        <f>+B737+B741+B745+B752</f>
        <v>0</v>
      </c>
      <c r="C753" s="58">
        <f>+C737+C741+C745+C752</f>
        <v>0</v>
      </c>
      <c r="D753" s="58">
        <f>+D737+D741+D745+D752</f>
        <v>0</v>
      </c>
      <c r="E753" s="59">
        <f>SUM(B753:D753)</f>
        <v>0</v>
      </c>
      <c r="F753" s="58">
        <f>+F737+F741+F745+F752</f>
        <v>0</v>
      </c>
      <c r="G753" s="58">
        <f>+G737+G741+G745+G752</f>
        <v>0</v>
      </c>
      <c r="H753" s="58">
        <f>+H737+H741+H745+H752</f>
        <v>0</v>
      </c>
      <c r="I753" s="59">
        <f>SUM(F753:H753)</f>
        <v>0</v>
      </c>
      <c r="J753" s="58">
        <f>+J737+J741+J745+J752</f>
        <v>0</v>
      </c>
      <c r="K753" s="58">
        <f>+K737+K741+K745+K752</f>
        <v>0</v>
      </c>
      <c r="L753" s="58">
        <f>+L737+L741+L745+L752</f>
        <v>47</v>
      </c>
      <c r="M753" s="59">
        <f>SUM(J753:L753)</f>
        <v>47</v>
      </c>
      <c r="N753" s="58">
        <f>+N737+N741+N745+N752</f>
        <v>0</v>
      </c>
      <c r="O753" s="58">
        <f>+O737+O741+O745+O752</f>
        <v>0</v>
      </c>
      <c r="P753" s="58">
        <f>+P737+P741+P745+P752</f>
        <v>0</v>
      </c>
      <c r="Q753" s="59">
        <f>SUM(N753:P753)</f>
        <v>0</v>
      </c>
      <c r="R753" s="81">
        <f>+E753+I753+M753+Q753</f>
        <v>47</v>
      </c>
    </row>
    <row r="754" spans="1:20" ht="15.75" customHeight="1" x14ac:dyDescent="0.3">
      <c r="A754" s="71" t="s">
        <v>358</v>
      </c>
      <c r="B754" s="1">
        <v>243</v>
      </c>
      <c r="C754" s="1">
        <v>1092</v>
      </c>
      <c r="D754" s="1">
        <v>1211</v>
      </c>
      <c r="E754" s="55">
        <f>SUM(B754:D754)</f>
        <v>2546</v>
      </c>
      <c r="F754" s="1">
        <v>3139</v>
      </c>
      <c r="G754" s="1">
        <v>5336</v>
      </c>
      <c r="H754" s="1">
        <v>6668</v>
      </c>
      <c r="I754" s="55">
        <f>SUM(F754:H754)</f>
        <v>15143</v>
      </c>
      <c r="J754" s="1">
        <v>5553</v>
      </c>
      <c r="K754" s="1">
        <v>5238</v>
      </c>
      <c r="L754" s="1">
        <v>4980</v>
      </c>
      <c r="M754" s="55">
        <f>SUM(J754:L754)</f>
        <v>15771</v>
      </c>
      <c r="N754" s="1">
        <v>4749</v>
      </c>
      <c r="O754" s="1">
        <v>2363</v>
      </c>
      <c r="P754" s="1">
        <v>3355</v>
      </c>
      <c r="Q754" s="55">
        <f>SUM(N754:P754)</f>
        <v>10467</v>
      </c>
      <c r="R754" s="55">
        <f>+E754+I754+M754+Q754</f>
        <v>43927</v>
      </c>
    </row>
    <row r="755" spans="1:20" ht="15.75" customHeight="1" thickBot="1" x14ac:dyDescent="0.35">
      <c r="A755" s="71" t="s">
        <v>40</v>
      </c>
      <c r="B755" s="1">
        <v>0</v>
      </c>
      <c r="C755" s="1">
        <v>0</v>
      </c>
      <c r="D755" s="1">
        <v>0</v>
      </c>
      <c r="E755" s="55">
        <f>SUM(B755:D755)</f>
        <v>0</v>
      </c>
      <c r="F755" s="1">
        <v>0</v>
      </c>
      <c r="G755" s="1">
        <v>0</v>
      </c>
      <c r="H755" s="1">
        <v>0</v>
      </c>
      <c r="I755" s="55">
        <f>SUM(F755:H755)</f>
        <v>0</v>
      </c>
      <c r="J755" s="1">
        <v>0</v>
      </c>
      <c r="K755" s="1">
        <v>0</v>
      </c>
      <c r="L755" s="1">
        <v>0</v>
      </c>
      <c r="M755" s="55">
        <f>SUM(J755:L755)</f>
        <v>0</v>
      </c>
      <c r="N755" s="1">
        <v>0</v>
      </c>
      <c r="O755" s="1">
        <v>0</v>
      </c>
      <c r="P755" s="1">
        <v>0</v>
      </c>
      <c r="Q755" s="55">
        <f>SUM(N755:P755)</f>
        <v>0</v>
      </c>
      <c r="R755" s="55">
        <f>+E755+I755+M755+Q755</f>
        <v>0</v>
      </c>
    </row>
    <row r="756" spans="1:20" ht="16.5" customHeight="1" thickBot="1" x14ac:dyDescent="0.35">
      <c r="A756" s="130"/>
      <c r="B756" s="51"/>
      <c r="C756" s="51"/>
      <c r="D756" s="51"/>
      <c r="E756" s="59" t="s">
        <v>7</v>
      </c>
      <c r="F756" s="51"/>
      <c r="G756" s="51"/>
      <c r="H756" s="51"/>
      <c r="I756" s="59" t="s">
        <v>7</v>
      </c>
      <c r="J756" s="51"/>
      <c r="K756" s="51"/>
      <c r="L756" s="51"/>
      <c r="M756" s="59" t="s">
        <v>7</v>
      </c>
      <c r="N756" s="51"/>
      <c r="O756" s="51"/>
      <c r="P756" s="51"/>
      <c r="Q756" s="59"/>
      <c r="R756" s="59"/>
    </row>
    <row r="757" spans="1:20" ht="15.75" customHeight="1" x14ac:dyDescent="0.3">
      <c r="A757" s="15" t="s">
        <v>41</v>
      </c>
      <c r="B757" s="1">
        <f>SUM(B753:B755)</f>
        <v>243</v>
      </c>
      <c r="C757" s="1">
        <f>SUM(C753:C755)</f>
        <v>1092</v>
      </c>
      <c r="D757" s="1">
        <f>SUM(D753:D755)</f>
        <v>1211</v>
      </c>
      <c r="E757" s="60">
        <f>SUM(B757:D757)</f>
        <v>2546</v>
      </c>
      <c r="F757" s="1">
        <f>SUM(F753:F755)</f>
        <v>3139</v>
      </c>
      <c r="G757" s="1">
        <f>SUM(G753:G755)</f>
        <v>5336</v>
      </c>
      <c r="H757" s="1">
        <f>SUM(H753:H755)</f>
        <v>6668</v>
      </c>
      <c r="I757" s="60">
        <f>SUM(F757:H757)</f>
        <v>15143</v>
      </c>
      <c r="J757" s="1">
        <f>SUM(J753:J755)</f>
        <v>5553</v>
      </c>
      <c r="K757" s="1">
        <f>SUM(K753:K755)</f>
        <v>5238</v>
      </c>
      <c r="L757" s="1">
        <f>SUM(L753:L755)</f>
        <v>5027</v>
      </c>
      <c r="M757" s="60">
        <f>SUM(J757:L757)</f>
        <v>15818</v>
      </c>
      <c r="N757" s="1">
        <f>SUM(N753:N755)</f>
        <v>4749</v>
      </c>
      <c r="O757" s="1">
        <f>SUM(O753:O755)</f>
        <v>2363</v>
      </c>
      <c r="P757" s="1">
        <f>SUM(P753:P755)</f>
        <v>3355</v>
      </c>
      <c r="Q757" s="60">
        <f>SUM(N757:P757)</f>
        <v>10467</v>
      </c>
      <c r="R757" s="60">
        <f>+E757+I757+M757+Q757</f>
        <v>43974</v>
      </c>
    </row>
    <row r="758" spans="1:20" ht="15.75" customHeight="1" x14ac:dyDescent="0.3">
      <c r="A758" s="15" t="s">
        <v>42</v>
      </c>
      <c r="B758" s="1">
        <f>(B757/B10)/1.983</f>
        <v>3.9529549558342687</v>
      </c>
      <c r="C758" s="1">
        <f>(C757/C10)/1.983</f>
        <v>19.667170953101362</v>
      </c>
      <c r="D758" s="1">
        <f>(D757/D10)/1.983</f>
        <v>19.699705561791355</v>
      </c>
      <c r="E758" s="55" t="s">
        <v>7</v>
      </c>
      <c r="F758" s="1">
        <f>(F757/F10)/1.983</f>
        <v>52.765170616910403</v>
      </c>
      <c r="G758" s="1">
        <f>(G757/G10)/1.983</f>
        <v>86.802335984903934</v>
      </c>
      <c r="H758" s="1">
        <f>(H757/H10)/1.983</f>
        <v>112.08606488485459</v>
      </c>
      <c r="I758" s="55" t="s">
        <v>7</v>
      </c>
      <c r="J758" s="1">
        <f>(J757/J10)/1.983</f>
        <v>90.33234102776828</v>
      </c>
      <c r="K758" s="1">
        <f>(K757/K10)/1.983</f>
        <v>85.208140159094228</v>
      </c>
      <c r="L758" s="1">
        <f>(L757/L10)/1.983</f>
        <v>84.501596907043194</v>
      </c>
      <c r="M758" s="55" t="s">
        <v>7</v>
      </c>
      <c r="N758" s="1">
        <f>(N757/N10)/1.983</f>
        <v>77.253428334390705</v>
      </c>
      <c r="O758" s="1">
        <f>(O757/O10)/1.983</f>
        <v>39.720961506135481</v>
      </c>
      <c r="P758" s="1">
        <f>(P757/P10)/1.983</f>
        <v>54.576806077464894</v>
      </c>
      <c r="Q758" s="55" t="s">
        <v>7</v>
      </c>
      <c r="R758" s="55" t="s">
        <v>7</v>
      </c>
    </row>
    <row r="759" spans="1:20" ht="15.75" customHeight="1" x14ac:dyDescent="0.3">
      <c r="A759" s="15" t="s">
        <v>359</v>
      </c>
      <c r="B759" s="1">
        <f>B757</f>
        <v>243</v>
      </c>
      <c r="C759" s="1">
        <f>C757</f>
        <v>1092</v>
      </c>
      <c r="D759" s="1">
        <f>D757</f>
        <v>1211</v>
      </c>
      <c r="E759" s="55">
        <f>SUM(B759:D759)</f>
        <v>2546</v>
      </c>
      <c r="F759" s="1">
        <f>F757</f>
        <v>3139</v>
      </c>
      <c r="G759" s="1">
        <f>G757</f>
        <v>5336</v>
      </c>
      <c r="H759" s="1">
        <f>H757</f>
        <v>6668</v>
      </c>
      <c r="I759" s="55">
        <f>SUM(F759:H759)</f>
        <v>15143</v>
      </c>
      <c r="J759" s="1">
        <f>J757</f>
        <v>5553</v>
      </c>
      <c r="K759" s="1">
        <f>K757</f>
        <v>5238</v>
      </c>
      <c r="L759" s="1">
        <f>L757</f>
        <v>5027</v>
      </c>
      <c r="M759" s="55">
        <f>SUM(J759:L759)</f>
        <v>15818</v>
      </c>
      <c r="N759" s="1">
        <f>N757</f>
        <v>4749</v>
      </c>
      <c r="O759" s="1">
        <f>O757</f>
        <v>2363</v>
      </c>
      <c r="P759" s="1">
        <f>P757</f>
        <v>3355</v>
      </c>
      <c r="Q759" s="55">
        <f>SUM(N759:P759)</f>
        <v>10467</v>
      </c>
      <c r="R759" s="55">
        <f>+E759+I759+M759+Q759</f>
        <v>43974</v>
      </c>
    </row>
    <row r="760" spans="1:20" ht="16.5" customHeight="1" thickBot="1" x14ac:dyDescent="0.35">
      <c r="A760" s="20" t="s">
        <v>360</v>
      </c>
      <c r="B760" s="21">
        <f>(B759/B10)/1.983</f>
        <v>3.9529549558342687</v>
      </c>
      <c r="C760" s="21">
        <f>(C759/C10)/1.983</f>
        <v>19.667170953101362</v>
      </c>
      <c r="D760" s="21">
        <f>(D759/D10)/1.983</f>
        <v>19.699705561791355</v>
      </c>
      <c r="E760" s="81" t="s">
        <v>7</v>
      </c>
      <c r="F760" s="21">
        <f>(F759/F10)/1.983</f>
        <v>52.765170616910403</v>
      </c>
      <c r="G760" s="21">
        <f>(G759/G10)/1.983</f>
        <v>86.802335984903934</v>
      </c>
      <c r="H760" s="21">
        <f>(H759/H10)/1.983</f>
        <v>112.08606488485459</v>
      </c>
      <c r="I760" s="81" t="s">
        <v>7</v>
      </c>
      <c r="J760" s="21">
        <f>(J759/J10)/1.983</f>
        <v>90.33234102776828</v>
      </c>
      <c r="K760" s="21">
        <f>(K759/K10)/1.983</f>
        <v>85.208140159094228</v>
      </c>
      <c r="L760" s="21">
        <f>(L759/L10)/1.983</f>
        <v>84.501596907043194</v>
      </c>
      <c r="M760" s="81" t="s">
        <v>7</v>
      </c>
      <c r="N760" s="21">
        <f>(N759/N10)/1.983</f>
        <v>77.253428334390705</v>
      </c>
      <c r="O760" s="21">
        <f>(O759/O10)/1.983</f>
        <v>39.720961506135481</v>
      </c>
      <c r="P760" s="21">
        <f>(P759/P10)/1.983</f>
        <v>54.576806077464894</v>
      </c>
      <c r="Q760" s="81" t="s">
        <v>7</v>
      </c>
      <c r="R760" s="81" t="s">
        <v>7</v>
      </c>
    </row>
    <row r="761" spans="1:20" ht="15.75" customHeight="1" x14ac:dyDescent="0.3">
      <c r="A761" s="2"/>
      <c r="B761" s="1"/>
      <c r="C761" s="1"/>
      <c r="D761" s="1"/>
      <c r="E761" s="1"/>
      <c r="F761" s="1"/>
      <c r="G761" s="1"/>
      <c r="H761" s="1"/>
      <c r="I761" s="1"/>
      <c r="J761" s="1"/>
      <c r="K761" s="1"/>
      <c r="L761" s="1"/>
      <c r="M761" s="1"/>
      <c r="N761" s="1"/>
      <c r="O761" s="1"/>
      <c r="P761" s="1"/>
      <c r="Q761" s="1"/>
      <c r="R761" s="2"/>
    </row>
    <row r="762" spans="1:20" ht="15.75" customHeight="1" thickBot="1" x14ac:dyDescent="0.35">
      <c r="A762" s="2"/>
      <c r="B762" s="1"/>
      <c r="C762" s="1"/>
      <c r="D762" s="1"/>
      <c r="E762" s="1"/>
      <c r="F762" s="1"/>
      <c r="G762" s="1"/>
      <c r="H762" s="1"/>
      <c r="I762" s="1"/>
      <c r="J762" s="1"/>
      <c r="K762" s="1"/>
      <c r="L762" s="1"/>
      <c r="M762" s="1"/>
      <c r="N762" s="1"/>
      <c r="O762" s="1"/>
      <c r="P762" s="1"/>
      <c r="Q762" s="1"/>
      <c r="R762" s="2"/>
    </row>
    <row r="763" spans="1:20" ht="16.5" customHeight="1" thickBot="1" x14ac:dyDescent="0.35">
      <c r="A763" s="124" t="s">
        <v>361</v>
      </c>
      <c r="B763" s="30" t="s">
        <v>8</v>
      </c>
      <c r="C763" s="31" t="s">
        <v>9</v>
      </c>
      <c r="D763" s="31" t="s">
        <v>10</v>
      </c>
      <c r="E763" s="32" t="s">
        <v>11</v>
      </c>
      <c r="F763" s="31" t="s">
        <v>12</v>
      </c>
      <c r="G763" s="31" t="s">
        <v>13</v>
      </c>
      <c r="H763" s="31" t="s">
        <v>14</v>
      </c>
      <c r="I763" s="33" t="s">
        <v>15</v>
      </c>
      <c r="J763" s="31" t="s">
        <v>16</v>
      </c>
      <c r="K763" s="31" t="s">
        <v>17</v>
      </c>
      <c r="L763" s="31" t="s">
        <v>18</v>
      </c>
      <c r="M763" s="33" t="s">
        <v>19</v>
      </c>
      <c r="N763" s="31" t="s">
        <v>20</v>
      </c>
      <c r="O763" s="31" t="s">
        <v>21</v>
      </c>
      <c r="P763" s="31" t="s">
        <v>22</v>
      </c>
      <c r="Q763" s="33" t="s">
        <v>23</v>
      </c>
      <c r="R763" s="133" t="s">
        <v>24</v>
      </c>
    </row>
    <row r="764" spans="1:20" ht="16.5" customHeight="1" thickBot="1" x14ac:dyDescent="0.35">
      <c r="A764" s="41"/>
      <c r="B764" s="36"/>
      <c r="C764" s="36"/>
      <c r="D764" s="36"/>
      <c r="E764" s="52"/>
      <c r="F764" s="36"/>
      <c r="G764" s="36"/>
      <c r="H764" s="36"/>
      <c r="I764" s="132"/>
      <c r="J764" s="36"/>
      <c r="K764" s="36"/>
      <c r="L764" s="36"/>
      <c r="M764" s="132"/>
      <c r="N764" s="36"/>
      <c r="O764" s="36"/>
      <c r="P764" s="36"/>
      <c r="Q764" s="134"/>
      <c r="R764" s="135"/>
    </row>
    <row r="765" spans="1:20" ht="15.75" customHeight="1" x14ac:dyDescent="0.3">
      <c r="A765" s="15" t="s">
        <v>48</v>
      </c>
      <c r="B765" s="1" t="s">
        <v>7</v>
      </c>
      <c r="C765" s="1" t="s">
        <v>7</v>
      </c>
      <c r="D765" s="1" t="s">
        <v>7</v>
      </c>
      <c r="E765" s="136"/>
      <c r="F765" s="1" t="s">
        <v>7</v>
      </c>
      <c r="G765" s="1" t="s">
        <v>7</v>
      </c>
      <c r="H765" s="1" t="s">
        <v>7</v>
      </c>
      <c r="I765" s="136"/>
      <c r="J765" s="1" t="s">
        <v>7</v>
      </c>
      <c r="K765" s="1" t="s">
        <v>7</v>
      </c>
      <c r="L765" s="1" t="s">
        <v>7</v>
      </c>
      <c r="M765" s="136"/>
      <c r="N765" s="1" t="s">
        <v>7</v>
      </c>
      <c r="O765" s="1" t="s">
        <v>7</v>
      </c>
      <c r="P765" s="1" t="s">
        <v>7</v>
      </c>
      <c r="Q765" s="137"/>
      <c r="R765" s="138" t="s">
        <v>7</v>
      </c>
    </row>
    <row r="766" spans="1:20" ht="15.75" customHeight="1" x14ac:dyDescent="0.3">
      <c r="A766" s="15" t="s">
        <v>49</v>
      </c>
      <c r="B766" s="1"/>
      <c r="C766" s="1"/>
      <c r="D766" s="1"/>
      <c r="E766" s="55" t="s">
        <v>7</v>
      </c>
      <c r="F766" s="1"/>
      <c r="G766" s="1"/>
      <c r="H766" s="1"/>
      <c r="I766" s="55" t="s">
        <v>7</v>
      </c>
      <c r="J766" s="1"/>
      <c r="K766" s="1"/>
      <c r="L766" s="1"/>
      <c r="M766" s="55" t="s">
        <v>7</v>
      </c>
      <c r="N766" s="1"/>
      <c r="O766" s="1"/>
      <c r="P766" s="1"/>
      <c r="Q766" s="55" t="s">
        <v>7</v>
      </c>
      <c r="R766" s="55" t="s">
        <v>7</v>
      </c>
    </row>
    <row r="767" spans="1:20" ht="15.75" customHeight="1" x14ac:dyDescent="0.3">
      <c r="A767" s="71" t="s">
        <v>1232</v>
      </c>
      <c r="B767" s="1"/>
      <c r="C767" s="1"/>
      <c r="D767" s="1"/>
      <c r="E767" s="55">
        <f>SUM(B767:D767)</f>
        <v>0</v>
      </c>
      <c r="F767" s="1"/>
      <c r="G767" s="1"/>
      <c r="H767" s="1"/>
      <c r="I767" s="55">
        <f>SUM(F767:H767)</f>
        <v>0</v>
      </c>
      <c r="J767" s="1"/>
      <c r="K767" s="1"/>
      <c r="L767" s="1"/>
      <c r="M767" s="55">
        <f>SUM(J767:L767)</f>
        <v>0</v>
      </c>
      <c r="N767" s="1"/>
      <c r="O767" s="1"/>
      <c r="P767" s="1"/>
      <c r="Q767" s="55">
        <f>SUM(N767:P767)</f>
        <v>0</v>
      </c>
      <c r="R767" s="55">
        <f>+E767+I767+M767+Q767</f>
        <v>0</v>
      </c>
      <c r="T767" s="4" t="s">
        <v>1005</v>
      </c>
    </row>
    <row r="768" spans="1:20" ht="15.75" customHeight="1" x14ac:dyDescent="0.3">
      <c r="A768" s="71" t="s">
        <v>362</v>
      </c>
      <c r="B768" s="1"/>
      <c r="C768" s="1"/>
      <c r="D768" s="1"/>
      <c r="E768" s="55">
        <f>SUM(B768:D768)</f>
        <v>0</v>
      </c>
      <c r="F768" s="1"/>
      <c r="G768" s="1"/>
      <c r="H768" s="1"/>
      <c r="I768" s="55">
        <f>SUM(F768:H768)</f>
        <v>0</v>
      </c>
      <c r="J768" s="1"/>
      <c r="K768" s="1"/>
      <c r="L768" s="1"/>
      <c r="M768" s="55">
        <f>SUM(J768:L768)</f>
        <v>0</v>
      </c>
      <c r="N768" s="1"/>
      <c r="O768" s="1"/>
      <c r="P768" s="1"/>
      <c r="Q768" s="55">
        <f>SUM(N768:P768)</f>
        <v>0</v>
      </c>
      <c r="R768" s="55">
        <f>+E768+I768+M768+Q768</f>
        <v>0</v>
      </c>
    </row>
    <row r="769" spans="1:20" ht="15.75" customHeight="1" x14ac:dyDescent="0.3">
      <c r="A769" s="71" t="s">
        <v>368</v>
      </c>
      <c r="B769" s="1"/>
      <c r="C769" s="1"/>
      <c r="D769" s="1"/>
      <c r="E769" s="55">
        <f>SUM(B769:D769)</f>
        <v>0</v>
      </c>
      <c r="F769" s="1"/>
      <c r="G769" s="1"/>
      <c r="H769" s="1"/>
      <c r="I769" s="55">
        <f>SUM(F769:H769)</f>
        <v>0</v>
      </c>
      <c r="J769" s="1"/>
      <c r="K769" s="1"/>
      <c r="L769" s="1"/>
      <c r="M769" s="55">
        <f>SUM(J769:L769)</f>
        <v>0</v>
      </c>
      <c r="N769" s="1"/>
      <c r="O769" s="1"/>
      <c r="P769" s="1"/>
      <c r="Q769" s="55">
        <f>SUM(N769:P769)</f>
        <v>0</v>
      </c>
      <c r="R769" s="55">
        <f>+E769+I769+M769+Q769</f>
        <v>0</v>
      </c>
    </row>
    <row r="770" spans="1:20" ht="15.75" customHeight="1" x14ac:dyDescent="0.3">
      <c r="A770" s="71" t="s">
        <v>1006</v>
      </c>
      <c r="B770" s="1">
        <v>100</v>
      </c>
      <c r="C770" s="1"/>
      <c r="D770" s="1"/>
      <c r="E770" s="55">
        <f>SUM(B770:D770)</f>
        <v>100</v>
      </c>
      <c r="F770" s="1"/>
      <c r="G770" s="1"/>
      <c r="H770" s="1"/>
      <c r="I770" s="55">
        <f>SUM(F770:H770)</f>
        <v>0</v>
      </c>
      <c r="J770" s="1"/>
      <c r="K770" s="1"/>
      <c r="L770" s="1"/>
      <c r="M770" s="55">
        <f>SUM(J770:L770)</f>
        <v>0</v>
      </c>
      <c r="N770" s="1"/>
      <c r="O770" s="1"/>
      <c r="P770" s="1"/>
      <c r="Q770" s="55">
        <f>SUM(N770:P770)</f>
        <v>0</v>
      </c>
      <c r="R770" s="55">
        <f>+E770+I770+M770+Q770</f>
        <v>100</v>
      </c>
    </row>
    <row r="771" spans="1:20" ht="15.75" customHeight="1" x14ac:dyDescent="0.3">
      <c r="A771" s="71" t="s">
        <v>664</v>
      </c>
      <c r="B771" s="1">
        <v>2553</v>
      </c>
      <c r="C771" s="1">
        <v>1307</v>
      </c>
      <c r="D771" s="1">
        <v>2773</v>
      </c>
      <c r="E771" s="55">
        <f>SUM(B771:D771)</f>
        <v>6633</v>
      </c>
      <c r="F771" s="1">
        <v>2497</v>
      </c>
      <c r="G771" s="1">
        <v>1477</v>
      </c>
      <c r="H771" s="1">
        <v>2886</v>
      </c>
      <c r="I771" s="55">
        <f>SUM(F771:H771)</f>
        <v>6860</v>
      </c>
      <c r="J771" s="1">
        <v>2775</v>
      </c>
      <c r="K771" s="1">
        <v>2617</v>
      </c>
      <c r="L771" s="1">
        <v>2064</v>
      </c>
      <c r="M771" s="55">
        <f>SUM(J771:L771)</f>
        <v>7456</v>
      </c>
      <c r="N771" s="1">
        <v>2194</v>
      </c>
      <c r="O771" s="1">
        <v>516</v>
      </c>
      <c r="P771" s="1">
        <v>325</v>
      </c>
      <c r="Q771" s="55">
        <f>SUM(N771:P771)</f>
        <v>3035</v>
      </c>
      <c r="R771" s="55">
        <f>+E771+I771+M771+Q771</f>
        <v>23984</v>
      </c>
    </row>
    <row r="772" spans="1:20" ht="15.75" customHeight="1" x14ac:dyDescent="0.3">
      <c r="A772" s="15" t="s">
        <v>50</v>
      </c>
      <c r="B772" s="1"/>
      <c r="C772" s="1"/>
      <c r="D772" s="1"/>
      <c r="E772" s="55" t="s">
        <v>7</v>
      </c>
      <c r="F772" s="1"/>
      <c r="G772" s="1"/>
      <c r="H772" s="1"/>
      <c r="I772" s="55" t="s">
        <v>7</v>
      </c>
      <c r="J772" s="1"/>
      <c r="K772" s="1"/>
      <c r="L772" s="1"/>
      <c r="M772" s="55" t="s">
        <v>7</v>
      </c>
      <c r="N772" s="1"/>
      <c r="O772" s="1"/>
      <c r="P772" s="1"/>
      <c r="Q772" s="55" t="s">
        <v>7</v>
      </c>
      <c r="R772" s="55" t="s">
        <v>7</v>
      </c>
    </row>
    <row r="773" spans="1:20" ht="15.75" customHeight="1" x14ac:dyDescent="0.3">
      <c r="A773" s="15" t="s">
        <v>1186</v>
      </c>
      <c r="B773" s="1"/>
      <c r="C773" s="1"/>
      <c r="D773" s="1"/>
      <c r="E773" s="55" t="s">
        <v>7</v>
      </c>
      <c r="F773" s="1"/>
      <c r="G773" s="1"/>
      <c r="H773" s="1"/>
      <c r="I773" s="55" t="s">
        <v>7</v>
      </c>
      <c r="J773" s="1"/>
      <c r="K773" s="1"/>
      <c r="L773" s="1"/>
      <c r="M773" s="55" t="s">
        <v>7</v>
      </c>
      <c r="N773" s="1"/>
      <c r="O773" s="1"/>
      <c r="P773" s="1"/>
      <c r="Q773" s="55" t="s">
        <v>7</v>
      </c>
      <c r="R773" s="55" t="s">
        <v>7</v>
      </c>
    </row>
    <row r="774" spans="1:20" ht="15.75" customHeight="1" x14ac:dyDescent="0.3">
      <c r="A774" s="71" t="s">
        <v>366</v>
      </c>
      <c r="B774" s="1"/>
      <c r="C774" s="1"/>
      <c r="D774" s="1"/>
      <c r="E774" s="55">
        <f>SUM(B774:D774)</f>
        <v>0</v>
      </c>
      <c r="F774" s="1"/>
      <c r="G774" s="1"/>
      <c r="H774" s="1"/>
      <c r="I774" s="55">
        <f>SUM(F774:H774)</f>
        <v>0</v>
      </c>
      <c r="J774" s="1"/>
      <c r="K774" s="1"/>
      <c r="L774" s="1"/>
      <c r="M774" s="55">
        <f>SUM(J774:L774)</f>
        <v>0</v>
      </c>
      <c r="N774" s="1"/>
      <c r="O774" s="1"/>
      <c r="P774" s="1">
        <v>1490</v>
      </c>
      <c r="Q774" s="55">
        <f>SUM(N774:P774)</f>
        <v>1490</v>
      </c>
      <c r="R774" s="55">
        <f>+E774+I774+M774+Q774</f>
        <v>1490</v>
      </c>
    </row>
    <row r="775" spans="1:20" ht="15.75" customHeight="1" thickBot="1" x14ac:dyDescent="0.35">
      <c r="A775" s="15" t="s">
        <v>53</v>
      </c>
      <c r="B775" s="1"/>
      <c r="C775" s="1"/>
      <c r="D775" s="1"/>
      <c r="E775" s="55" t="s">
        <v>7</v>
      </c>
      <c r="F775" s="1"/>
      <c r="G775" s="1"/>
      <c r="H775" s="1"/>
      <c r="I775" s="55" t="s">
        <v>7</v>
      </c>
      <c r="J775" s="1"/>
      <c r="K775" s="1"/>
      <c r="L775" s="1"/>
      <c r="M775" s="55" t="s">
        <v>7</v>
      </c>
      <c r="N775" s="1"/>
      <c r="O775" s="1"/>
      <c r="P775" s="1"/>
      <c r="Q775" s="55" t="s">
        <v>7</v>
      </c>
      <c r="R775" s="55" t="s">
        <v>7</v>
      </c>
    </row>
    <row r="776" spans="1:20" ht="16.5" customHeight="1" thickBot="1" x14ac:dyDescent="0.35">
      <c r="A776" s="57" t="s">
        <v>54</v>
      </c>
      <c r="B776" s="86">
        <f>SUM(B765:B775)</f>
        <v>2653</v>
      </c>
      <c r="C776" s="87">
        <f>SUM(C765:C775)</f>
        <v>1307</v>
      </c>
      <c r="D776" s="87">
        <f>SUM(D765:D775)</f>
        <v>2773</v>
      </c>
      <c r="E776" s="59">
        <f>SUM(B776:D776)</f>
        <v>6733</v>
      </c>
      <c r="F776" s="87">
        <f>SUM(F765:F775)</f>
        <v>2497</v>
      </c>
      <c r="G776" s="87">
        <f>SUM(G765:G775)</f>
        <v>1477</v>
      </c>
      <c r="H776" s="87">
        <f>SUM(H765:H775)</f>
        <v>2886</v>
      </c>
      <c r="I776" s="59">
        <f>SUM(F776:H776)</f>
        <v>6860</v>
      </c>
      <c r="J776" s="87">
        <f>SUM(J765:J775)</f>
        <v>2775</v>
      </c>
      <c r="K776" s="87">
        <f>SUM(K765:K775)</f>
        <v>2617</v>
      </c>
      <c r="L776" s="87">
        <f>SUM(L765:L775)</f>
        <v>2064</v>
      </c>
      <c r="M776" s="59">
        <f>SUM(J776:L776)</f>
        <v>7456</v>
      </c>
      <c r="N776" s="87">
        <f>SUM(N765:N775)</f>
        <v>2194</v>
      </c>
      <c r="O776" s="87">
        <f>SUM(O765:O775)</f>
        <v>516</v>
      </c>
      <c r="P776" s="87">
        <f>SUM(P765:P775)</f>
        <v>1815</v>
      </c>
      <c r="Q776" s="59">
        <f>SUM(N776:P776)</f>
        <v>4525</v>
      </c>
      <c r="R776" s="59">
        <f>+E776+I776+M776+Q776</f>
        <v>25574</v>
      </c>
    </row>
    <row r="777" spans="1:20" ht="15.75" customHeight="1" x14ac:dyDescent="0.3">
      <c r="A777" s="15" t="s">
        <v>55</v>
      </c>
      <c r="B777" s="1"/>
      <c r="C777" s="1"/>
      <c r="D777" s="1"/>
      <c r="E777" s="55" t="s">
        <v>7</v>
      </c>
      <c r="F777" s="1"/>
      <c r="G777" s="1"/>
      <c r="H777" s="1"/>
      <c r="I777" s="55" t="s">
        <v>7</v>
      </c>
      <c r="J777" s="1"/>
      <c r="K777" s="1"/>
      <c r="L777" s="1"/>
      <c r="M777" s="55" t="s">
        <v>7</v>
      </c>
      <c r="N777" s="1"/>
      <c r="O777" s="1"/>
      <c r="P777" s="1"/>
      <c r="Q777" s="55" t="s">
        <v>7</v>
      </c>
      <c r="R777" s="55" t="s">
        <v>7</v>
      </c>
    </row>
    <row r="778" spans="1:20" ht="15.75" customHeight="1" x14ac:dyDescent="0.3">
      <c r="A778" s="15" t="s">
        <v>57</v>
      </c>
      <c r="B778" s="1"/>
      <c r="C778" s="1"/>
      <c r="D778" s="1"/>
      <c r="E778" s="55" t="s">
        <v>7</v>
      </c>
      <c r="F778" s="1"/>
      <c r="G778" s="1"/>
      <c r="H778" s="1"/>
      <c r="I778" s="55" t="s">
        <v>7</v>
      </c>
      <c r="J778" s="1"/>
      <c r="K778" s="1"/>
      <c r="L778" s="1"/>
      <c r="M778" s="55" t="s">
        <v>7</v>
      </c>
      <c r="N778" s="1"/>
      <c r="O778" s="1"/>
      <c r="P778" s="1"/>
      <c r="Q778" s="55" t="s">
        <v>7</v>
      </c>
      <c r="R778" s="55" t="s">
        <v>7</v>
      </c>
    </row>
    <row r="779" spans="1:20" ht="15.75" customHeight="1" x14ac:dyDescent="0.3">
      <c r="A779" s="71" t="s">
        <v>781</v>
      </c>
      <c r="B779" s="1"/>
      <c r="C779" s="1"/>
      <c r="D779" s="1"/>
      <c r="E779" s="55">
        <f>SUM(B779:D779)</f>
        <v>0</v>
      </c>
      <c r="F779" s="1"/>
      <c r="G779" s="1"/>
      <c r="H779" s="1"/>
      <c r="I779" s="55">
        <f>SUM(F779:H779)</f>
        <v>0</v>
      </c>
      <c r="J779" s="1"/>
      <c r="K779" s="1"/>
      <c r="L779" s="1"/>
      <c r="M779" s="55">
        <f>SUM(J779:L779)</f>
        <v>0</v>
      </c>
      <c r="N779" s="1"/>
      <c r="O779" s="1"/>
      <c r="P779" s="1"/>
      <c r="Q779" s="55">
        <f>SUM(N779:P779)</f>
        <v>0</v>
      </c>
      <c r="R779" s="55">
        <f>+E779+I779+M779+Q779</f>
        <v>0</v>
      </c>
    </row>
    <row r="780" spans="1:20" ht="15.75" customHeight="1" thickBot="1" x14ac:dyDescent="0.35">
      <c r="A780" s="15" t="s">
        <v>58</v>
      </c>
      <c r="B780" s="1"/>
      <c r="C780" s="1"/>
      <c r="D780" s="1"/>
      <c r="E780" s="55" t="s">
        <v>7</v>
      </c>
      <c r="F780" s="1"/>
      <c r="G780" s="1"/>
      <c r="H780" s="1"/>
      <c r="I780" s="55" t="s">
        <v>7</v>
      </c>
      <c r="J780" s="1"/>
      <c r="K780" s="1"/>
      <c r="L780" s="1"/>
      <c r="M780" s="55" t="s">
        <v>7</v>
      </c>
      <c r="N780" s="1"/>
      <c r="O780" s="1"/>
      <c r="P780" s="1"/>
      <c r="Q780" s="55" t="s">
        <v>7</v>
      </c>
      <c r="R780" s="55" t="s">
        <v>7</v>
      </c>
    </row>
    <row r="781" spans="1:20" ht="16.5" customHeight="1" thickBot="1" x14ac:dyDescent="0.35">
      <c r="A781" s="57" t="s">
        <v>59</v>
      </c>
      <c r="B781" s="86">
        <f>SUM(B777:B780)</f>
        <v>0</v>
      </c>
      <c r="C781" s="87">
        <f>SUM(C777:C780)</f>
        <v>0</v>
      </c>
      <c r="D781" s="87">
        <f>SUM(D777:D780)</f>
        <v>0</v>
      </c>
      <c r="E781" s="59">
        <f>SUM(B781:D781)</f>
        <v>0</v>
      </c>
      <c r="F781" s="87">
        <f>SUM(F777:F780)</f>
        <v>0</v>
      </c>
      <c r="G781" s="87">
        <f>SUM(G777:G780)</f>
        <v>0</v>
      </c>
      <c r="H781" s="87">
        <f>SUM(H777:H780)</f>
        <v>0</v>
      </c>
      <c r="I781" s="59">
        <f>SUM(F781:H781)</f>
        <v>0</v>
      </c>
      <c r="J781" s="87">
        <f>SUM(J777:J780)</f>
        <v>0</v>
      </c>
      <c r="K781" s="87">
        <f>SUM(K777:K780)</f>
        <v>0</v>
      </c>
      <c r="L781" s="87">
        <f>SUM(L777:L780)</f>
        <v>0</v>
      </c>
      <c r="M781" s="59">
        <f>SUM(J781:L781)</f>
        <v>0</v>
      </c>
      <c r="N781" s="87">
        <f>SUM(N777:N780)</f>
        <v>0</v>
      </c>
      <c r="O781" s="87">
        <f>SUM(O777:O780)</f>
        <v>0</v>
      </c>
      <c r="P781" s="87">
        <f>SUM(P777:P780)</f>
        <v>0</v>
      </c>
      <c r="Q781" s="59">
        <f>SUM(N781:P781)</f>
        <v>0</v>
      </c>
      <c r="R781" s="59">
        <f>+E781+I781+M781+Q781</f>
        <v>0</v>
      </c>
    </row>
    <row r="782" spans="1:20" ht="15.75" customHeight="1" x14ac:dyDescent="0.3">
      <c r="A782" s="15" t="s">
        <v>60</v>
      </c>
      <c r="B782" s="1"/>
      <c r="C782" s="1"/>
      <c r="D782" s="1"/>
      <c r="E782" s="55" t="s">
        <v>7</v>
      </c>
      <c r="F782" s="1"/>
      <c r="G782" s="1"/>
      <c r="H782" s="1"/>
      <c r="I782" s="55" t="s">
        <v>7</v>
      </c>
      <c r="J782" s="1" t="s">
        <v>7</v>
      </c>
      <c r="K782" s="1"/>
      <c r="L782" s="1"/>
      <c r="M782" s="55" t="s">
        <v>7</v>
      </c>
      <c r="N782" s="1"/>
      <c r="O782" s="1"/>
      <c r="P782" s="1"/>
      <c r="Q782" s="55" t="s">
        <v>7</v>
      </c>
      <c r="R782" s="55" t="s">
        <v>7</v>
      </c>
    </row>
    <row r="783" spans="1:20" ht="18" customHeight="1" x14ac:dyDescent="0.3">
      <c r="A783" s="15" t="s">
        <v>61</v>
      </c>
      <c r="B783" s="1"/>
      <c r="C783" s="1"/>
      <c r="D783" s="1"/>
      <c r="E783" s="55" t="s">
        <v>7</v>
      </c>
      <c r="F783" s="1"/>
      <c r="G783" s="1"/>
      <c r="H783" s="1"/>
      <c r="I783" s="55" t="s">
        <v>7</v>
      </c>
      <c r="J783" s="1"/>
      <c r="K783" s="1"/>
      <c r="L783" s="1"/>
      <c r="M783" s="55" t="s">
        <v>7</v>
      </c>
      <c r="N783" s="1"/>
      <c r="O783" s="1"/>
      <c r="P783" s="1"/>
      <c r="Q783" s="55" t="s">
        <v>7</v>
      </c>
      <c r="R783" s="55" t="s">
        <v>7</v>
      </c>
    </row>
    <row r="784" spans="1:20" ht="15.75" customHeight="1" x14ac:dyDescent="0.3">
      <c r="A784" s="71" t="s">
        <v>1007</v>
      </c>
      <c r="B784" s="1">
        <v>4</v>
      </c>
      <c r="C784" s="1">
        <v>4</v>
      </c>
      <c r="D784" s="1">
        <v>662</v>
      </c>
      <c r="E784" s="55">
        <f>SUM(B784:D784)</f>
        <v>670</v>
      </c>
      <c r="F784" s="1">
        <v>614</v>
      </c>
      <c r="G784" s="1">
        <v>774</v>
      </c>
      <c r="H784" s="1">
        <v>948</v>
      </c>
      <c r="I784" s="55">
        <f>SUM(F784:H784)</f>
        <v>2336</v>
      </c>
      <c r="J784" s="1">
        <v>348</v>
      </c>
      <c r="K784" s="1">
        <v>314</v>
      </c>
      <c r="L784" s="1">
        <v>540</v>
      </c>
      <c r="M784" s="55">
        <f>SUM(J784:L784)</f>
        <v>1202</v>
      </c>
      <c r="N784" s="1">
        <v>601</v>
      </c>
      <c r="O784" s="1">
        <v>223</v>
      </c>
      <c r="P784" s="1">
        <v>375</v>
      </c>
      <c r="Q784" s="55">
        <f>SUM(N784:P784)</f>
        <v>1199</v>
      </c>
      <c r="R784" s="55">
        <f>+E784+I784+M784+Q784</f>
        <v>5407</v>
      </c>
      <c r="T784" s="4" t="s">
        <v>1008</v>
      </c>
    </row>
    <row r="785" spans="1:20" ht="15.75" customHeight="1" x14ac:dyDescent="0.3">
      <c r="A785" s="71" t="s">
        <v>1009</v>
      </c>
      <c r="B785" s="1">
        <v>9</v>
      </c>
      <c r="C785" s="1">
        <v>30</v>
      </c>
      <c r="D785" s="1">
        <v>65</v>
      </c>
      <c r="E785" s="55">
        <f>SUM(B785:D785)</f>
        <v>104</v>
      </c>
      <c r="F785" s="1">
        <v>86</v>
      </c>
      <c r="G785" s="1">
        <v>88</v>
      </c>
      <c r="H785" s="1">
        <v>120</v>
      </c>
      <c r="I785" s="55">
        <f>SUM(F785:H785)</f>
        <v>294</v>
      </c>
      <c r="J785" s="1">
        <v>36</v>
      </c>
      <c r="K785" s="1">
        <v>66</v>
      </c>
      <c r="L785" s="1"/>
      <c r="M785" s="55">
        <f>SUM(J785:L785)</f>
        <v>102</v>
      </c>
      <c r="N785" s="1"/>
      <c r="O785" s="1"/>
      <c r="P785" s="1"/>
      <c r="Q785" s="55">
        <f>SUM(N785:P785)</f>
        <v>0</v>
      </c>
      <c r="R785" s="55">
        <f>+E785+I785+M785+Q785</f>
        <v>500</v>
      </c>
      <c r="T785" s="4" t="s">
        <v>1010</v>
      </c>
    </row>
    <row r="786" spans="1:20" ht="15.75" customHeight="1" x14ac:dyDescent="0.3">
      <c r="A786" s="15" t="s">
        <v>62</v>
      </c>
      <c r="B786" s="1"/>
      <c r="C786" s="1"/>
      <c r="D786" s="1"/>
      <c r="E786" s="55" t="s">
        <v>7</v>
      </c>
      <c r="F786" s="1"/>
      <c r="G786" s="1"/>
      <c r="H786" s="1"/>
      <c r="I786" s="55" t="s">
        <v>7</v>
      </c>
      <c r="J786" s="1"/>
      <c r="K786" s="1"/>
      <c r="L786" s="1"/>
      <c r="M786" s="55" t="s">
        <v>7</v>
      </c>
      <c r="N786" s="1"/>
      <c r="O786" s="1"/>
      <c r="P786" s="1"/>
      <c r="Q786" s="55" t="s">
        <v>7</v>
      </c>
      <c r="R786" s="55" t="s">
        <v>7</v>
      </c>
    </row>
    <row r="787" spans="1:20" ht="15.75" customHeight="1" x14ac:dyDescent="0.3">
      <c r="A787" s="71" t="s">
        <v>1011</v>
      </c>
      <c r="B787" s="1"/>
      <c r="C787" s="1"/>
      <c r="D787" s="1"/>
      <c r="E787" s="55">
        <f>SUM(B787:D787)</f>
        <v>0</v>
      </c>
      <c r="F787" s="1"/>
      <c r="G787" s="1"/>
      <c r="H787" s="1"/>
      <c r="I787" s="55">
        <f>SUM(F787:H787)</f>
        <v>0</v>
      </c>
      <c r="J787" s="1"/>
      <c r="K787" s="1">
        <v>6</v>
      </c>
      <c r="L787" s="1">
        <v>80</v>
      </c>
      <c r="M787" s="55">
        <f>SUM(J787:L787)</f>
        <v>86</v>
      </c>
      <c r="N787" s="1">
        <v>81</v>
      </c>
      <c r="O787" s="1">
        <v>25</v>
      </c>
      <c r="P787" s="1">
        <v>23</v>
      </c>
      <c r="Q787" s="55">
        <f>SUM(N787:P787)</f>
        <v>129</v>
      </c>
      <c r="R787" s="55">
        <f>+E787+I787+M787+Q787</f>
        <v>215</v>
      </c>
      <c r="T787" s="4" t="s">
        <v>1010</v>
      </c>
    </row>
    <row r="788" spans="1:20" ht="15.75" customHeight="1" x14ac:dyDescent="0.3">
      <c r="A788" s="71" t="s">
        <v>1012</v>
      </c>
      <c r="B788" s="1"/>
      <c r="C788" s="1"/>
      <c r="D788" s="1"/>
      <c r="E788" s="55">
        <f>SUM(B788:D788)</f>
        <v>0</v>
      </c>
      <c r="F788" s="1"/>
      <c r="G788" s="1"/>
      <c r="H788" s="1"/>
      <c r="I788" s="55">
        <f>SUM(F788:H788)</f>
        <v>0</v>
      </c>
      <c r="J788" s="1"/>
      <c r="K788" s="1"/>
      <c r="L788" s="1"/>
      <c r="M788" s="55">
        <f>SUM(J788:L788)</f>
        <v>0</v>
      </c>
      <c r="N788" s="1"/>
      <c r="O788" s="1"/>
      <c r="P788" s="1"/>
      <c r="Q788" s="55">
        <f>SUM(N788:P788)</f>
        <v>0</v>
      </c>
      <c r="R788" s="55">
        <f>+E788+I788+M788+Q788</f>
        <v>0</v>
      </c>
    </row>
    <row r="789" spans="1:20" ht="15.75" customHeight="1" x14ac:dyDescent="0.3">
      <c r="A789" s="71" t="s">
        <v>666</v>
      </c>
      <c r="B789" s="1"/>
      <c r="C789" s="1"/>
      <c r="D789" s="1"/>
      <c r="E789" s="55">
        <f>SUM(B789:D789)</f>
        <v>0</v>
      </c>
      <c r="F789" s="1"/>
      <c r="G789" s="1"/>
      <c r="H789" s="1"/>
      <c r="I789" s="55">
        <f>SUM(F789:H789)</f>
        <v>0</v>
      </c>
      <c r="J789" s="1"/>
      <c r="K789" s="1"/>
      <c r="L789" s="1"/>
      <c r="M789" s="55">
        <f>SUM(J789:L789)</f>
        <v>0</v>
      </c>
      <c r="N789" s="1"/>
      <c r="O789" s="1"/>
      <c r="P789" s="1"/>
      <c r="Q789" s="55">
        <f>SUM(N789:P789)</f>
        <v>0</v>
      </c>
      <c r="R789" s="55">
        <f>+E789+I789+M789+Q789</f>
        <v>0</v>
      </c>
      <c r="T789" s="4" t="s">
        <v>1005</v>
      </c>
    </row>
    <row r="790" spans="1:20" ht="15.75" customHeight="1" thickBot="1" x14ac:dyDescent="0.35">
      <c r="A790" s="71" t="s">
        <v>782</v>
      </c>
      <c r="B790" s="1">
        <v>777</v>
      </c>
      <c r="C790" s="1">
        <v>739</v>
      </c>
      <c r="D790" s="1">
        <v>756</v>
      </c>
      <c r="E790" s="55">
        <f>SUM(B790:D790)</f>
        <v>2272</v>
      </c>
      <c r="F790" s="1">
        <v>757</v>
      </c>
      <c r="G790" s="1">
        <v>742</v>
      </c>
      <c r="H790" s="1">
        <v>791</v>
      </c>
      <c r="I790" s="55">
        <f>SUM(F790:H790)</f>
        <v>2290</v>
      </c>
      <c r="J790" s="1">
        <v>815</v>
      </c>
      <c r="K790" s="1">
        <v>713</v>
      </c>
      <c r="L790" s="1">
        <v>779</v>
      </c>
      <c r="M790" s="55">
        <f>SUM(J790:L790)</f>
        <v>2307</v>
      </c>
      <c r="N790" s="1">
        <v>476</v>
      </c>
      <c r="O790" s="1">
        <v>263</v>
      </c>
      <c r="P790" s="1">
        <v>693</v>
      </c>
      <c r="Q790" s="55">
        <f>SUM(N790:P790)</f>
        <v>1432</v>
      </c>
      <c r="R790" s="55">
        <f>+E790+I790+M790+Q790</f>
        <v>8301</v>
      </c>
      <c r="T790" s="4" t="s">
        <v>1013</v>
      </c>
    </row>
    <row r="791" spans="1:20" ht="16.5" customHeight="1" thickBot="1" x14ac:dyDescent="0.35">
      <c r="A791" s="57" t="s">
        <v>63</v>
      </c>
      <c r="B791" s="86">
        <f>SUM(B782:B790)</f>
        <v>790</v>
      </c>
      <c r="C791" s="87">
        <f>SUM(C782:C790)</f>
        <v>773</v>
      </c>
      <c r="D791" s="87">
        <f>SUM(D782:D790)</f>
        <v>1483</v>
      </c>
      <c r="E791" s="59">
        <f>SUM(B791:D791)</f>
        <v>3046</v>
      </c>
      <c r="F791" s="87">
        <f>SUM(F782:F790)</f>
        <v>1457</v>
      </c>
      <c r="G791" s="87">
        <f>SUM(G782:G790)</f>
        <v>1604</v>
      </c>
      <c r="H791" s="87">
        <f>SUM(H782:H790)</f>
        <v>1859</v>
      </c>
      <c r="I791" s="59">
        <f>SUM(F791:H791)</f>
        <v>4920</v>
      </c>
      <c r="J791" s="87">
        <f>SUM(J782:J790)</f>
        <v>1199</v>
      </c>
      <c r="K791" s="87">
        <f>SUM(K782:K790)</f>
        <v>1099</v>
      </c>
      <c r="L791" s="87">
        <f>SUM(L782:L790)</f>
        <v>1399</v>
      </c>
      <c r="M791" s="59">
        <f>SUM(J791:L791)</f>
        <v>3697</v>
      </c>
      <c r="N791" s="87">
        <f>SUM(N782:N790)</f>
        <v>1158</v>
      </c>
      <c r="O791" s="87">
        <f>SUM(O782:O790)</f>
        <v>511</v>
      </c>
      <c r="P791" s="87">
        <f>SUM(P782:P790)</f>
        <v>1091</v>
      </c>
      <c r="Q791" s="59">
        <f>SUM(N791:P791)</f>
        <v>2760</v>
      </c>
      <c r="R791" s="59">
        <f>+E791+I791+M791+Q791</f>
        <v>14423</v>
      </c>
    </row>
    <row r="792" spans="1:20" ht="15.75" customHeight="1" x14ac:dyDescent="0.3">
      <c r="A792" s="15" t="s">
        <v>64</v>
      </c>
      <c r="B792" s="1"/>
      <c r="C792" s="1"/>
      <c r="D792" s="1"/>
      <c r="E792" s="55" t="s">
        <v>7</v>
      </c>
      <c r="F792" s="1"/>
      <c r="G792" s="1"/>
      <c r="H792" s="1"/>
      <c r="I792" s="55" t="s">
        <v>7</v>
      </c>
      <c r="J792" s="1"/>
      <c r="K792" s="1"/>
      <c r="L792" s="1"/>
      <c r="M792" s="55" t="s">
        <v>7</v>
      </c>
      <c r="N792" s="1"/>
      <c r="O792" s="1"/>
      <c r="P792" s="1"/>
      <c r="Q792" s="55" t="s">
        <v>7</v>
      </c>
      <c r="R792" s="55" t="s">
        <v>7</v>
      </c>
    </row>
    <row r="793" spans="1:20" ht="15.75" customHeight="1" x14ac:dyDescent="0.3">
      <c r="A793" s="15" t="s">
        <v>594</v>
      </c>
      <c r="B793" s="1"/>
      <c r="C793" s="1"/>
      <c r="D793" s="1"/>
      <c r="E793" s="55" t="s">
        <v>7</v>
      </c>
      <c r="F793" s="1"/>
      <c r="G793" s="1"/>
      <c r="H793" s="1"/>
      <c r="I793" s="55" t="s">
        <v>7</v>
      </c>
      <c r="J793" s="1"/>
      <c r="K793" s="1"/>
      <c r="L793" s="1"/>
      <c r="M793" s="55" t="s">
        <v>7</v>
      </c>
      <c r="N793" s="1"/>
      <c r="O793" s="1"/>
      <c r="P793" s="1"/>
      <c r="Q793" s="55" t="s">
        <v>7</v>
      </c>
      <c r="R793" s="55" t="s">
        <v>7</v>
      </c>
    </row>
    <row r="794" spans="1:20" ht="15.75" customHeight="1" x14ac:dyDescent="0.3">
      <c r="A794" s="71" t="s">
        <v>366</v>
      </c>
      <c r="B794" s="1"/>
      <c r="C794" s="1"/>
      <c r="D794" s="1"/>
      <c r="E794" s="55">
        <f>SUM(B794:D794)</f>
        <v>0</v>
      </c>
      <c r="F794" s="1"/>
      <c r="G794" s="1"/>
      <c r="H794" s="1"/>
      <c r="I794" s="55">
        <f>SUM(F794:H794)</f>
        <v>0</v>
      </c>
      <c r="J794" s="1"/>
      <c r="K794" s="1"/>
      <c r="L794" s="1"/>
      <c r="M794" s="55">
        <f>SUM(J794:L794)</f>
        <v>0</v>
      </c>
      <c r="N794" s="1"/>
      <c r="O794" s="1"/>
      <c r="P794" s="1"/>
      <c r="Q794" s="55">
        <f>SUM(N794:P794)</f>
        <v>0</v>
      </c>
      <c r="R794" s="55">
        <f>+E794+I794+M794+Q794</f>
        <v>0</v>
      </c>
    </row>
    <row r="795" spans="1:20" ht="15.75" customHeight="1" x14ac:dyDescent="0.3">
      <c r="A795" s="71" t="s">
        <v>367</v>
      </c>
      <c r="B795" s="1"/>
      <c r="C795" s="1"/>
      <c r="D795" s="1"/>
      <c r="E795" s="55">
        <f>SUM(B795:D795)</f>
        <v>0</v>
      </c>
      <c r="F795" s="1"/>
      <c r="G795" s="1"/>
      <c r="H795" s="1"/>
      <c r="I795" s="55">
        <f>SUM(F795:H795)</f>
        <v>0</v>
      </c>
      <c r="J795" s="1"/>
      <c r="K795" s="1"/>
      <c r="L795" s="1"/>
      <c r="M795" s="55">
        <f>SUM(J795:L795)</f>
        <v>0</v>
      </c>
      <c r="N795" s="1"/>
      <c r="O795" s="1"/>
      <c r="P795" s="1"/>
      <c r="Q795" s="55">
        <f>SUM(N795:P795)</f>
        <v>0</v>
      </c>
      <c r="R795" s="55">
        <f>+E795+I795+M795+Q795</f>
        <v>0</v>
      </c>
    </row>
    <row r="796" spans="1:20" ht="15.75" customHeight="1" x14ac:dyDescent="0.3">
      <c r="A796" s="15" t="s">
        <v>67</v>
      </c>
      <c r="B796" s="1"/>
      <c r="C796" s="1"/>
      <c r="D796" s="1"/>
      <c r="E796" s="55" t="s">
        <v>7</v>
      </c>
      <c r="F796" s="1"/>
      <c r="G796" s="1"/>
      <c r="H796" s="1"/>
      <c r="I796" s="55" t="s">
        <v>7</v>
      </c>
      <c r="J796" s="1"/>
      <c r="K796" s="1"/>
      <c r="L796" s="1"/>
      <c r="M796" s="55" t="s">
        <v>7</v>
      </c>
      <c r="N796" s="1"/>
      <c r="O796" s="1"/>
      <c r="P796" s="1"/>
      <c r="Q796" s="55" t="s">
        <v>7</v>
      </c>
      <c r="R796" s="55" t="s">
        <v>7</v>
      </c>
    </row>
    <row r="797" spans="1:20" ht="15.75" customHeight="1" x14ac:dyDescent="0.3">
      <c r="A797" s="71" t="s">
        <v>783</v>
      </c>
      <c r="B797" s="1"/>
      <c r="C797" s="1"/>
      <c r="D797" s="1"/>
      <c r="E797" s="55">
        <f>SUM(B797:D797)</f>
        <v>0</v>
      </c>
      <c r="F797" s="1"/>
      <c r="G797" s="1"/>
      <c r="H797" s="1"/>
      <c r="I797" s="55">
        <f>SUM(F797:H797)</f>
        <v>0</v>
      </c>
      <c r="J797" s="1"/>
      <c r="K797" s="1"/>
      <c r="L797" s="1"/>
      <c r="M797" s="55">
        <f>SUM(J797:L797)</f>
        <v>0</v>
      </c>
      <c r="N797" s="1"/>
      <c r="O797" s="1"/>
      <c r="P797" s="1"/>
      <c r="Q797" s="55">
        <f>SUM(N797:P797)</f>
        <v>0</v>
      </c>
      <c r="R797" s="55">
        <f>+E797+I797+M797+Q797</f>
        <v>0</v>
      </c>
    </row>
    <row r="798" spans="1:20" ht="15.75" customHeight="1" x14ac:dyDescent="0.3">
      <c r="A798" s="71" t="s">
        <v>784</v>
      </c>
      <c r="B798" s="1"/>
      <c r="C798" s="1"/>
      <c r="D798" s="1"/>
      <c r="E798" s="55">
        <f>SUM(B798:D798)</f>
        <v>0</v>
      </c>
      <c r="F798" s="1"/>
      <c r="G798" s="1"/>
      <c r="H798" s="1"/>
      <c r="I798" s="55">
        <f>SUM(F798:H798)</f>
        <v>0</v>
      </c>
      <c r="J798" s="1"/>
      <c r="K798" s="1"/>
      <c r="L798" s="1"/>
      <c r="M798" s="55">
        <f>SUM(J798:L798)</f>
        <v>0</v>
      </c>
      <c r="N798" s="1"/>
      <c r="O798" s="1"/>
      <c r="P798" s="1"/>
      <c r="Q798" s="55">
        <f>SUM(N798:P798)</f>
        <v>0</v>
      </c>
      <c r="R798" s="55">
        <f>+E798+I798+M798+Q798</f>
        <v>0</v>
      </c>
    </row>
    <row r="799" spans="1:20" ht="15.75" customHeight="1" x14ac:dyDescent="0.3">
      <c r="A799" s="15" t="s">
        <v>600</v>
      </c>
      <c r="B799" s="1"/>
      <c r="C799" s="1"/>
      <c r="D799" s="1"/>
      <c r="E799" s="55" t="s">
        <v>7</v>
      </c>
      <c r="F799" s="1"/>
      <c r="G799" s="1"/>
      <c r="H799" s="1"/>
      <c r="I799" s="55" t="s">
        <v>7</v>
      </c>
      <c r="J799" s="1"/>
      <c r="K799" s="1"/>
      <c r="L799" s="1"/>
      <c r="M799" s="55" t="s">
        <v>7</v>
      </c>
      <c r="N799" s="1"/>
      <c r="O799" s="1"/>
      <c r="P799" s="1"/>
      <c r="Q799" s="55" t="s">
        <v>7</v>
      </c>
      <c r="R799" s="55" t="s">
        <v>7</v>
      </c>
    </row>
    <row r="800" spans="1:20" ht="15.75" customHeight="1" thickBot="1" x14ac:dyDescent="0.35">
      <c r="A800" s="15" t="s">
        <v>70</v>
      </c>
      <c r="B800" s="1"/>
      <c r="C800" s="1"/>
      <c r="D800" s="1"/>
      <c r="E800" s="55" t="s">
        <v>7</v>
      </c>
      <c r="F800" s="1"/>
      <c r="G800" s="1"/>
      <c r="H800" s="1"/>
      <c r="I800" s="55" t="s">
        <v>7</v>
      </c>
      <c r="J800" s="1"/>
      <c r="K800" s="1"/>
      <c r="L800" s="1"/>
      <c r="M800" s="55" t="s">
        <v>7</v>
      </c>
      <c r="N800" s="1"/>
      <c r="O800" s="1"/>
      <c r="P800" s="1"/>
      <c r="Q800" s="55" t="s">
        <v>7</v>
      </c>
      <c r="R800" s="55" t="s">
        <v>7</v>
      </c>
    </row>
    <row r="801" spans="1:18" ht="16.5" customHeight="1" thickBot="1" x14ac:dyDescent="0.35">
      <c r="A801" s="57" t="s">
        <v>71</v>
      </c>
      <c r="B801" s="58">
        <f>SUM(B799:B800)</f>
        <v>0</v>
      </c>
      <c r="C801" s="58">
        <f>SUM(C799:C800)</f>
        <v>0</v>
      </c>
      <c r="D801" s="58">
        <f>SUM(D799:D800)</f>
        <v>0</v>
      </c>
      <c r="E801" s="60">
        <f>SUM(B801:D801)</f>
        <v>0</v>
      </c>
      <c r="F801" s="58">
        <f>SUM(F799:F800)</f>
        <v>0</v>
      </c>
      <c r="G801" s="58">
        <f>SUM(G799:G800)</f>
        <v>0</v>
      </c>
      <c r="H801" s="58">
        <f>SUM(H799:H800)</f>
        <v>0</v>
      </c>
      <c r="I801" s="60">
        <f>SUM(F801:H801)</f>
        <v>0</v>
      </c>
      <c r="J801" s="58">
        <f>SUM(J799:J800)</f>
        <v>0</v>
      </c>
      <c r="K801" s="58">
        <f>SUM(K799:K800)</f>
        <v>0</v>
      </c>
      <c r="L801" s="58">
        <f>SUM(L799:L800)</f>
        <v>0</v>
      </c>
      <c r="M801" s="60">
        <f>SUM(J801:L801)</f>
        <v>0</v>
      </c>
      <c r="N801" s="58">
        <f>SUM(N799:N800)</f>
        <v>0</v>
      </c>
      <c r="O801" s="58">
        <f>SUM(O799:O800)</f>
        <v>0</v>
      </c>
      <c r="P801" s="58">
        <f>SUM(P799:P800)</f>
        <v>0</v>
      </c>
      <c r="Q801" s="60">
        <f>SUM(N801:P801)</f>
        <v>0</v>
      </c>
      <c r="R801" s="59">
        <f>+E801+I801+M801+Q801</f>
        <v>0</v>
      </c>
    </row>
    <row r="802" spans="1:18" ht="16.5" customHeight="1" thickBot="1" x14ac:dyDescent="0.35">
      <c r="A802" s="57" t="s">
        <v>72</v>
      </c>
      <c r="B802" s="86">
        <f>SUM(B792:B800)</f>
        <v>0</v>
      </c>
      <c r="C802" s="87">
        <f>SUM(C792:C800)</f>
        <v>0</v>
      </c>
      <c r="D802" s="118">
        <f>SUM(D792:D800)</f>
        <v>0</v>
      </c>
      <c r="E802" s="60">
        <f>SUM(B802:D802)</f>
        <v>0</v>
      </c>
      <c r="F802" s="87">
        <f>SUM(F792:F800)</f>
        <v>0</v>
      </c>
      <c r="G802" s="87">
        <f>SUM(G792:G800)</f>
        <v>0</v>
      </c>
      <c r="H802" s="87">
        <f>SUM(H792:H800)</f>
        <v>0</v>
      </c>
      <c r="I802" s="60">
        <f>SUM(F802:H802)</f>
        <v>0</v>
      </c>
      <c r="J802" s="87">
        <f>SUM(J792:J800)</f>
        <v>0</v>
      </c>
      <c r="K802" s="87">
        <f>SUM(K792:K800)</f>
        <v>0</v>
      </c>
      <c r="L802" s="87">
        <f>SUM(L792:L800)</f>
        <v>0</v>
      </c>
      <c r="M802" s="60">
        <f>SUM(J802:L802)</f>
        <v>0</v>
      </c>
      <c r="N802" s="87">
        <f>SUM(N792:N800)</f>
        <v>0</v>
      </c>
      <c r="O802" s="87">
        <f>SUM(O792:O800)</f>
        <v>0</v>
      </c>
      <c r="P802" s="87">
        <f>SUM(P792:P800)</f>
        <v>0</v>
      </c>
      <c r="Q802" s="60">
        <f>SUM(N802:P802)</f>
        <v>0</v>
      </c>
      <c r="R802" s="59">
        <f>+E802+I802+M802+Q802</f>
        <v>0</v>
      </c>
    </row>
    <row r="803" spans="1:18" ht="16.5" customHeight="1" thickBot="1" x14ac:dyDescent="0.35">
      <c r="A803" s="57" t="s">
        <v>73</v>
      </c>
      <c r="B803" s="90">
        <f>+B776+B781+B791+B802</f>
        <v>3443</v>
      </c>
      <c r="C803" s="58">
        <f>+C776+C781+C791+C802</f>
        <v>2080</v>
      </c>
      <c r="D803" s="58">
        <f>+D776+D781+D791+D802</f>
        <v>4256</v>
      </c>
      <c r="E803" s="59">
        <f>SUM(B803:D803)</f>
        <v>9779</v>
      </c>
      <c r="F803" s="58">
        <f>+F776+F781+F791+F802</f>
        <v>3954</v>
      </c>
      <c r="G803" s="58">
        <f>+G776+G781+G791+G802</f>
        <v>3081</v>
      </c>
      <c r="H803" s="58">
        <f>+H776+H781+H791+H802</f>
        <v>4745</v>
      </c>
      <c r="I803" s="59">
        <f>SUM(F803:H803)</f>
        <v>11780</v>
      </c>
      <c r="J803" s="58">
        <f>+J776+J781+J791+J802</f>
        <v>3974</v>
      </c>
      <c r="K803" s="58">
        <f>+K776+K781+K791+K802</f>
        <v>3716</v>
      </c>
      <c r="L803" s="58">
        <f>+L776+L781+L791+L802</f>
        <v>3463</v>
      </c>
      <c r="M803" s="59">
        <f>SUM(J803:L803)</f>
        <v>11153</v>
      </c>
      <c r="N803" s="58">
        <f>+N776+N781+N791+N802</f>
        <v>3352</v>
      </c>
      <c r="O803" s="58">
        <f>+O776+O781+O791+O802</f>
        <v>1027</v>
      </c>
      <c r="P803" s="58">
        <f>+P776+P781+P791+P802</f>
        <v>2906</v>
      </c>
      <c r="Q803" s="59">
        <f>SUM(N803:P803)</f>
        <v>7285</v>
      </c>
      <c r="R803" s="81">
        <f>+E803+I803+M803+Q803</f>
        <v>39997</v>
      </c>
    </row>
    <row r="804" spans="1:18" ht="16.5" customHeight="1" thickBot="1" x14ac:dyDescent="0.35">
      <c r="A804" s="39" t="s">
        <v>40</v>
      </c>
      <c r="B804" s="21">
        <v>11</v>
      </c>
      <c r="C804" s="21">
        <v>13</v>
      </c>
      <c r="D804" s="21">
        <v>17</v>
      </c>
      <c r="E804" s="55">
        <f>SUM(B804:D804)</f>
        <v>41</v>
      </c>
      <c r="F804" s="21">
        <v>21</v>
      </c>
      <c r="G804" s="21">
        <v>23</v>
      </c>
      <c r="H804" s="21">
        <v>25</v>
      </c>
      <c r="I804" s="55">
        <f>SUM(F804:H804)</f>
        <v>69</v>
      </c>
      <c r="J804" s="21">
        <v>25</v>
      </c>
      <c r="K804" s="21">
        <v>21</v>
      </c>
      <c r="L804" s="21">
        <v>19</v>
      </c>
      <c r="M804" s="55">
        <f>SUM(J804:L804)</f>
        <v>65</v>
      </c>
      <c r="N804" s="21">
        <v>17</v>
      </c>
      <c r="O804" s="21">
        <v>13</v>
      </c>
      <c r="P804" s="21">
        <v>11</v>
      </c>
      <c r="Q804" s="55">
        <f>SUM(N804:P804)</f>
        <v>41</v>
      </c>
      <c r="R804" s="55">
        <f>+E804+I804+M804+Q804</f>
        <v>216</v>
      </c>
    </row>
    <row r="805" spans="1:18" ht="16.5" customHeight="1" thickBot="1" x14ac:dyDescent="0.35">
      <c r="A805" s="41"/>
      <c r="B805" s="36"/>
      <c r="C805" s="36"/>
      <c r="D805" s="36"/>
      <c r="E805" s="59" t="s">
        <v>7</v>
      </c>
      <c r="F805" s="36"/>
      <c r="G805" s="36"/>
      <c r="H805" s="36"/>
      <c r="I805" s="59" t="s">
        <v>7</v>
      </c>
      <c r="J805" s="36"/>
      <c r="K805" s="36"/>
      <c r="L805" s="36"/>
      <c r="M805" s="59" t="s">
        <v>7</v>
      </c>
      <c r="N805" s="36"/>
      <c r="O805" s="36"/>
      <c r="P805" s="36"/>
      <c r="Q805" s="59" t="s">
        <v>7</v>
      </c>
      <c r="R805" s="59" t="s">
        <v>7</v>
      </c>
    </row>
    <row r="806" spans="1:18" ht="15.75" customHeight="1" x14ac:dyDescent="0.3">
      <c r="A806" s="15" t="s">
        <v>41</v>
      </c>
      <c r="B806" s="1">
        <f>SUM(B803:B804)</f>
        <v>3454</v>
      </c>
      <c r="C806" s="1">
        <f>SUM(C803:C804)</f>
        <v>2093</v>
      </c>
      <c r="D806" s="1">
        <f>SUM(D803:D804)</f>
        <v>4273</v>
      </c>
      <c r="E806" s="60">
        <f>SUM(B806:D806)</f>
        <v>9820</v>
      </c>
      <c r="F806" s="1">
        <f>SUM(F803:F804)</f>
        <v>3975</v>
      </c>
      <c r="G806" s="1">
        <f>SUM(G803:G804)</f>
        <v>3104</v>
      </c>
      <c r="H806" s="1">
        <f>SUM(H803:H804)</f>
        <v>4770</v>
      </c>
      <c r="I806" s="60">
        <f>SUM(F806:H806)</f>
        <v>11849</v>
      </c>
      <c r="J806" s="1">
        <f>SUM(J803:J804)</f>
        <v>3999</v>
      </c>
      <c r="K806" s="1">
        <f>SUM(K803:K804)</f>
        <v>3737</v>
      </c>
      <c r="L806" s="1">
        <f>SUM(L803:L804)</f>
        <v>3482</v>
      </c>
      <c r="M806" s="60">
        <f>SUM(J806:L806)</f>
        <v>11218</v>
      </c>
      <c r="N806" s="1">
        <f>SUM(N803:N804)</f>
        <v>3369</v>
      </c>
      <c r="O806" s="1">
        <f>SUM(O803:O804)</f>
        <v>1040</v>
      </c>
      <c r="P806" s="1">
        <f>SUM(P803:P804)</f>
        <v>2917</v>
      </c>
      <c r="Q806" s="60">
        <f>SUM(N806:P806)</f>
        <v>7326</v>
      </c>
      <c r="R806" s="60">
        <f>+E806+I806+M806+Q806</f>
        <v>40213</v>
      </c>
    </row>
    <row r="807" spans="1:18" ht="15.75" customHeight="1" x14ac:dyDescent="0.3">
      <c r="A807" s="15" t="s">
        <v>42</v>
      </c>
      <c r="B807" s="1">
        <f>(B806/B10)/1.983</f>
        <v>56.1872692076196</v>
      </c>
      <c r="C807" s="1">
        <f>(C806/C10)/1.983</f>
        <v>37.695410993444277</v>
      </c>
      <c r="D807" s="1">
        <f>(D806/D10)/1.983</f>
        <v>69.510191466172145</v>
      </c>
      <c r="E807" s="55" t="s">
        <v>7</v>
      </c>
      <c r="F807" s="1">
        <f>(F806/F10)/1.983</f>
        <v>66.817952597075134</v>
      </c>
      <c r="G807" s="1">
        <f>(G806/G10)/1.983</f>
        <v>50.493712686870651</v>
      </c>
      <c r="H807" s="1">
        <f>(H806/H10)/1.983</f>
        <v>80.181543116490161</v>
      </c>
      <c r="I807" s="55" t="s">
        <v>7</v>
      </c>
      <c r="J807" s="1">
        <f>(J806/J10)/1.983</f>
        <v>65.052950075642968</v>
      </c>
      <c r="K807" s="1">
        <f>(K806/K10)/1.983</f>
        <v>60.790916337253748</v>
      </c>
      <c r="L807" s="1">
        <f>(L806/L10)/1.983</f>
        <v>58.530845520255504</v>
      </c>
      <c r="M807" s="55" t="s">
        <v>7</v>
      </c>
      <c r="N807" s="1">
        <f>(N806/N10)/1.983</f>
        <v>54.804548338294858</v>
      </c>
      <c r="O807" s="1">
        <f>(O806/O10)/1.983</f>
        <v>17.481929736090098</v>
      </c>
      <c r="P807" s="1">
        <f>(P806/P10)/1.983</f>
        <v>47.451726774356217</v>
      </c>
      <c r="Q807" s="55" t="s">
        <v>7</v>
      </c>
      <c r="R807" s="55" t="s">
        <v>7</v>
      </c>
    </row>
    <row r="808" spans="1:18" ht="15.75" customHeight="1" x14ac:dyDescent="0.3">
      <c r="A808" s="15" t="s">
        <v>372</v>
      </c>
      <c r="B808" s="1">
        <f>B806</f>
        <v>3454</v>
      </c>
      <c r="C808" s="1">
        <f>C806</f>
        <v>2093</v>
      </c>
      <c r="D808" s="1">
        <f>D806</f>
        <v>4273</v>
      </c>
      <c r="E808" s="55">
        <f>SUM(B808:D808)</f>
        <v>9820</v>
      </c>
      <c r="F808" s="1">
        <f>F806</f>
        <v>3975</v>
      </c>
      <c r="G808" s="1">
        <f>G806</f>
        <v>3104</v>
      </c>
      <c r="H808" s="1">
        <f>H806</f>
        <v>4770</v>
      </c>
      <c r="I808" s="55">
        <f>SUM(F808:H808)</f>
        <v>11849</v>
      </c>
      <c r="J808" s="1">
        <f>J806</f>
        <v>3999</v>
      </c>
      <c r="K808" s="1">
        <f>K806</f>
        <v>3737</v>
      </c>
      <c r="L808" s="1">
        <f>L806</f>
        <v>3482</v>
      </c>
      <c r="M808" s="55">
        <f>SUM(J808:L808)</f>
        <v>11218</v>
      </c>
      <c r="N808" s="1">
        <f>N806</f>
        <v>3369</v>
      </c>
      <c r="O808" s="1">
        <f>O806</f>
        <v>1040</v>
      </c>
      <c r="P808" s="1">
        <f>P806</f>
        <v>2917</v>
      </c>
      <c r="Q808" s="55">
        <f>SUM(N808:P808)</f>
        <v>7326</v>
      </c>
      <c r="R808" s="55">
        <f>+E808+I808+M808+Q808</f>
        <v>40213</v>
      </c>
    </row>
    <row r="809" spans="1:18" ht="16.5" customHeight="1" thickBot="1" x14ac:dyDescent="0.35">
      <c r="A809" s="20" t="s">
        <v>373</v>
      </c>
      <c r="B809" s="21">
        <f>(B808/B10)/1.983</f>
        <v>56.1872692076196</v>
      </c>
      <c r="C809" s="21">
        <f>(C808/C10)/1.983</f>
        <v>37.695410993444277</v>
      </c>
      <c r="D809" s="21">
        <f>(D808/D10)/1.983</f>
        <v>69.510191466172145</v>
      </c>
      <c r="E809" s="81" t="s">
        <v>7</v>
      </c>
      <c r="F809" s="21">
        <f>(F808/F10)/1.983</f>
        <v>66.817952597075134</v>
      </c>
      <c r="G809" s="21">
        <f>(G808/G10)/1.983</f>
        <v>50.493712686870651</v>
      </c>
      <c r="H809" s="21">
        <f>(H808/H10)/1.983</f>
        <v>80.181543116490161</v>
      </c>
      <c r="I809" s="81" t="s">
        <v>7</v>
      </c>
      <c r="J809" s="21">
        <f>(J808/J10)/1.983</f>
        <v>65.052950075642968</v>
      </c>
      <c r="K809" s="21">
        <f>(K808/K10)/1.983</f>
        <v>60.790916337253748</v>
      </c>
      <c r="L809" s="21">
        <f>(L808/L10)/1.983</f>
        <v>58.530845520255504</v>
      </c>
      <c r="M809" s="81" t="s">
        <v>7</v>
      </c>
      <c r="N809" s="21">
        <f>(N808/N10)/1.983</f>
        <v>54.804548338294858</v>
      </c>
      <c r="O809" s="21">
        <f>(O808/O10)/1.983</f>
        <v>17.481929736090098</v>
      </c>
      <c r="P809" s="21">
        <f>(P808/P10)/1.983</f>
        <v>47.451726774356217</v>
      </c>
      <c r="Q809" s="81" t="s">
        <v>7</v>
      </c>
      <c r="R809" s="81" t="s">
        <v>7</v>
      </c>
    </row>
    <row r="810" spans="1:18" ht="15.75" customHeight="1" x14ac:dyDescent="0.3">
      <c r="A810" s="28"/>
      <c r="B810" s="1"/>
      <c r="C810" s="1"/>
      <c r="D810" s="1"/>
      <c r="E810" s="2"/>
      <c r="F810" s="1"/>
      <c r="G810" s="1"/>
      <c r="H810" s="1"/>
      <c r="I810" s="2"/>
      <c r="J810" s="1"/>
      <c r="K810" s="1"/>
      <c r="L810" s="1"/>
      <c r="M810" s="2"/>
      <c r="N810" s="1"/>
      <c r="O810" s="1"/>
      <c r="P810" s="1"/>
      <c r="Q810" s="2"/>
      <c r="R810" s="2"/>
    </row>
    <row r="811" spans="1:18" ht="15.75" customHeight="1" x14ac:dyDescent="0.3">
      <c r="A811" s="28"/>
      <c r="B811" s="1"/>
      <c r="C811" s="1"/>
      <c r="D811" s="1"/>
      <c r="E811" s="1"/>
      <c r="F811" s="1"/>
      <c r="G811" s="1"/>
      <c r="H811" s="1"/>
      <c r="I811" s="1"/>
      <c r="J811" s="1"/>
      <c r="K811" s="1"/>
      <c r="L811" s="1"/>
      <c r="M811" s="1"/>
      <c r="N811" s="1"/>
      <c r="O811" s="1"/>
      <c r="P811" s="1"/>
      <c r="Q811" s="338" t="str">
        <f>+Q1</f>
        <v xml:space="preserve">PRINTED:  </v>
      </c>
      <c r="R811" s="360">
        <f ca="1">+R1</f>
        <v>44909.46975358796</v>
      </c>
    </row>
    <row r="812" spans="1:18" ht="15.75" customHeight="1" x14ac:dyDescent="0.3">
      <c r="A812" s="499" t="s">
        <v>1</v>
      </c>
      <c r="B812" s="499"/>
      <c r="C812" s="499"/>
      <c r="D812" s="499"/>
      <c r="E812" s="499"/>
      <c r="F812" s="499"/>
      <c r="G812" s="499"/>
      <c r="H812" s="499"/>
      <c r="I812" s="499"/>
      <c r="J812" s="499"/>
      <c r="K812" s="499"/>
      <c r="L812" s="499"/>
      <c r="M812" s="499"/>
      <c r="N812" s="499"/>
      <c r="O812" s="499"/>
      <c r="P812" s="499"/>
      <c r="Q812" s="499"/>
      <c r="R812" s="499"/>
    </row>
    <row r="813" spans="1:18" ht="15.75" customHeight="1" x14ac:dyDescent="0.3">
      <c r="A813" s="499" t="s">
        <v>2</v>
      </c>
      <c r="B813" s="499"/>
      <c r="C813" s="499"/>
      <c r="D813" s="499"/>
      <c r="E813" s="499"/>
      <c r="F813" s="499"/>
      <c r="G813" s="499"/>
      <c r="H813" s="499"/>
      <c r="I813" s="499"/>
      <c r="J813" s="499"/>
      <c r="K813" s="499"/>
      <c r="L813" s="499"/>
      <c r="M813" s="499"/>
      <c r="N813" s="499"/>
      <c r="O813" s="499"/>
      <c r="P813" s="499"/>
      <c r="Q813" s="499"/>
      <c r="R813" s="499"/>
    </row>
    <row r="814" spans="1:18" ht="15.75" customHeight="1" x14ac:dyDescent="0.3">
      <c r="A814" s="499" t="s">
        <v>3</v>
      </c>
      <c r="B814" s="499"/>
      <c r="C814" s="499"/>
      <c r="D814" s="499"/>
      <c r="E814" s="499"/>
      <c r="F814" s="499"/>
      <c r="G814" s="499"/>
      <c r="H814" s="499"/>
      <c r="I814" s="499"/>
      <c r="J814" s="499"/>
      <c r="K814" s="499"/>
      <c r="L814" s="499"/>
      <c r="M814" s="499"/>
      <c r="N814" s="499"/>
      <c r="O814" s="499"/>
      <c r="P814" s="499"/>
      <c r="Q814" s="499"/>
      <c r="R814" s="499"/>
    </row>
    <row r="815" spans="1:18" ht="15.75" customHeight="1" x14ac:dyDescent="0.3">
      <c r="A815" s="504">
        <f>+A5</f>
        <v>2017</v>
      </c>
      <c r="B815" s="504"/>
      <c r="C815" s="504"/>
      <c r="D815" s="504"/>
      <c r="E815" s="504"/>
      <c r="F815" s="504"/>
      <c r="G815" s="504"/>
      <c r="H815" s="504"/>
      <c r="I815" s="504"/>
      <c r="J815" s="504"/>
      <c r="K815" s="504"/>
      <c r="L815" s="504"/>
      <c r="M815" s="504"/>
      <c r="N815" s="504"/>
      <c r="O815" s="504"/>
      <c r="P815" s="504"/>
      <c r="Q815" s="504"/>
      <c r="R815" s="504"/>
    </row>
    <row r="816" spans="1:18" ht="15.75" customHeight="1" x14ac:dyDescent="0.3">
      <c r="A816" s="1"/>
      <c r="B816" s="1"/>
      <c r="C816" s="1"/>
      <c r="D816" s="5"/>
      <c r="E816" s="5"/>
      <c r="F816" s="5"/>
      <c r="G816" s="6"/>
      <c r="H816" s="5"/>
      <c r="I816" s="5"/>
      <c r="J816" s="6"/>
      <c r="K816" s="6"/>
      <c r="L816" s="6"/>
      <c r="M816" s="6"/>
      <c r="N816" s="1"/>
      <c r="O816" s="6"/>
      <c r="P816" s="6"/>
      <c r="Q816" s="6"/>
      <c r="R816" s="6"/>
    </row>
    <row r="817" spans="1:20" ht="15.75" customHeight="1" x14ac:dyDescent="0.3">
      <c r="A817" s="499" t="str">
        <f>+A8</f>
        <v>Revised:  1/18/2018</v>
      </c>
      <c r="B817" s="499"/>
      <c r="C817" s="499"/>
      <c r="D817" s="499"/>
      <c r="E817" s="499"/>
      <c r="F817" s="499"/>
      <c r="G817" s="499"/>
      <c r="H817" s="499"/>
      <c r="I817" s="499"/>
      <c r="J817" s="499"/>
      <c r="K817" s="499"/>
      <c r="L817" s="499"/>
      <c r="M817" s="499"/>
      <c r="N817" s="499"/>
      <c r="O817" s="499"/>
      <c r="P817" s="499"/>
      <c r="Q817" s="499"/>
      <c r="R817" s="499"/>
    </row>
    <row r="818" spans="1:20" ht="15.75" customHeight="1" x14ac:dyDescent="0.3">
      <c r="A818" s="314"/>
      <c r="B818" s="314"/>
      <c r="C818" s="314"/>
      <c r="D818" s="314"/>
      <c r="E818" s="314"/>
      <c r="F818" s="314"/>
      <c r="G818" s="314"/>
      <c r="H818" s="314"/>
      <c r="I818" s="314"/>
      <c r="J818" s="314"/>
      <c r="K818" s="314"/>
      <c r="L818" s="314"/>
      <c r="M818" s="314"/>
      <c r="N818" s="314"/>
      <c r="O818" s="314"/>
      <c r="P818" s="314"/>
      <c r="Q818" s="314"/>
      <c r="R818" s="314"/>
    </row>
    <row r="819" spans="1:20" ht="15.75" customHeight="1" x14ac:dyDescent="0.3">
      <c r="A819" s="314"/>
      <c r="B819" s="314"/>
      <c r="C819" s="314"/>
      <c r="D819" s="314"/>
      <c r="E819" s="314"/>
      <c r="F819" s="314"/>
      <c r="G819" s="314"/>
      <c r="H819" s="314"/>
      <c r="I819" s="314"/>
      <c r="J819" s="314"/>
      <c r="K819" s="314"/>
      <c r="L819" s="314"/>
      <c r="M819" s="314"/>
      <c r="N819" s="314"/>
      <c r="O819" s="314"/>
      <c r="P819" s="314"/>
      <c r="Q819" s="314"/>
      <c r="R819" s="314"/>
    </row>
    <row r="820" spans="1:20" ht="15.75" customHeight="1" thickBot="1" x14ac:dyDescent="0.35">
      <c r="A820" s="28"/>
      <c r="B820" s="1"/>
      <c r="C820" s="1"/>
      <c r="D820" s="1"/>
      <c r="E820" s="1"/>
      <c r="F820" s="1"/>
      <c r="G820" s="1"/>
      <c r="H820" s="1"/>
      <c r="I820" s="1"/>
      <c r="J820" s="1"/>
      <c r="K820" s="1"/>
      <c r="L820" s="1"/>
      <c r="M820" s="1"/>
      <c r="N820" s="1"/>
      <c r="O820" s="1"/>
      <c r="P820" s="1"/>
      <c r="Q820" s="1"/>
      <c r="R820" s="2"/>
    </row>
    <row r="821" spans="1:20" ht="16.5" customHeight="1" thickBot="1" x14ac:dyDescent="0.35">
      <c r="A821" s="124" t="s">
        <v>374</v>
      </c>
      <c r="B821" s="30" t="s">
        <v>8</v>
      </c>
      <c r="C821" s="31" t="s">
        <v>9</v>
      </c>
      <c r="D821" s="31" t="s">
        <v>10</v>
      </c>
      <c r="E821" s="32" t="s">
        <v>11</v>
      </c>
      <c r="F821" s="31" t="s">
        <v>12</v>
      </c>
      <c r="G821" s="31" t="s">
        <v>13</v>
      </c>
      <c r="H821" s="31" t="s">
        <v>14</v>
      </c>
      <c r="I821" s="33" t="s">
        <v>15</v>
      </c>
      <c r="J821" s="31" t="s">
        <v>16</v>
      </c>
      <c r="K821" s="31" t="s">
        <v>17</v>
      </c>
      <c r="L821" s="31" t="s">
        <v>18</v>
      </c>
      <c r="M821" s="33" t="s">
        <v>19</v>
      </c>
      <c r="N821" s="31" t="s">
        <v>20</v>
      </c>
      <c r="O821" s="31" t="s">
        <v>21</v>
      </c>
      <c r="P821" s="31" t="s">
        <v>22</v>
      </c>
      <c r="Q821" s="33" t="s">
        <v>23</v>
      </c>
      <c r="R821" s="133" t="s">
        <v>24</v>
      </c>
    </row>
    <row r="822" spans="1:20" ht="16.5" customHeight="1" thickBot="1" x14ac:dyDescent="0.35">
      <c r="A822" s="41"/>
      <c r="B822" s="36"/>
      <c r="C822" s="36"/>
      <c r="D822" s="36"/>
      <c r="E822" s="52"/>
      <c r="F822" s="36"/>
      <c r="G822" s="36"/>
      <c r="H822" s="36"/>
      <c r="I822" s="132"/>
      <c r="J822" s="36"/>
      <c r="K822" s="36"/>
      <c r="L822" s="36"/>
      <c r="M822" s="132"/>
      <c r="N822" s="36"/>
      <c r="O822" s="36"/>
      <c r="P822" s="36"/>
      <c r="Q822" s="134"/>
      <c r="R822" s="135"/>
    </row>
    <row r="823" spans="1:20" ht="15.75" customHeight="1" x14ac:dyDescent="0.3">
      <c r="A823" s="15" t="s">
        <v>48</v>
      </c>
      <c r="B823" s="1" t="s">
        <v>7</v>
      </c>
      <c r="C823" s="1" t="s">
        <v>7</v>
      </c>
      <c r="D823" s="1" t="s">
        <v>7</v>
      </c>
      <c r="E823" s="136"/>
      <c r="F823" s="1" t="s">
        <v>7</v>
      </c>
      <c r="G823" s="1" t="s">
        <v>7</v>
      </c>
      <c r="H823" s="1" t="s">
        <v>7</v>
      </c>
      <c r="I823" s="136"/>
      <c r="J823" s="1" t="s">
        <v>7</v>
      </c>
      <c r="K823" s="1" t="s">
        <v>7</v>
      </c>
      <c r="L823" s="1" t="s">
        <v>7</v>
      </c>
      <c r="M823" s="136"/>
      <c r="N823" s="1" t="s">
        <v>7</v>
      </c>
      <c r="O823" s="1" t="s">
        <v>7</v>
      </c>
      <c r="P823" s="1" t="s">
        <v>7</v>
      </c>
      <c r="Q823" s="137"/>
      <c r="R823" s="138" t="s">
        <v>7</v>
      </c>
    </row>
    <row r="824" spans="1:20" ht="15.75" customHeight="1" x14ac:dyDescent="0.3">
      <c r="A824" s="315" t="s">
        <v>49</v>
      </c>
      <c r="B824" s="1">
        <f>+SUM(B71:B82)+SUM(B138:B187)+SUM(B325:B356)+SUM(B484:B488)+SUM(B526:B531)+SUM(B570:B581)+SUM(B638:B641)+SUM(B674:B680)+SUM(B732:B733)+SUM(B766:B771)</f>
        <v>27318</v>
      </c>
      <c r="C824" s="1">
        <f>+SUM(C71:C82)+SUM(C138:C187)+SUM(C325:C356)+SUM(C484:C488)+SUM(C526:C531)+SUM(C570:C581)+SUM(C638:C641)+SUM(C674:C680)+SUM(C732:C733)+SUM(C766:C771)</f>
        <v>22062</v>
      </c>
      <c r="D824" s="1">
        <f>+SUM(D71:D82)+SUM(D138:D187)+SUM(D325:D356)+SUM(D484:D488)+SUM(D526:D531)+SUM(D570:D581)+SUM(D638:D641)+SUM(D674:D680)+SUM(D732:D733)+SUM(D766:D771)</f>
        <v>35761</v>
      </c>
      <c r="E824" s="55">
        <f t="shared" ref="E824:E830" si="183">SUM(B824:D824)</f>
        <v>85141</v>
      </c>
      <c r="F824" s="1">
        <f>+SUM(F71:F82)+SUM(F138:F187)+SUM(F325:F356)+SUM(F484:F488)+SUM(F526:F531)+SUM(F570:F581)+SUM(F638:F641)+SUM(F674:F680)+SUM(F732:F733)+SUM(F766:F771)</f>
        <v>40871</v>
      </c>
      <c r="G824" s="1">
        <f>+SUM(G71:G82)+SUM(G138:G187)+SUM(G325:G356)+SUM(G484:G488)+SUM(G526:G531)+SUM(G570:G581)+SUM(G638:G641)+SUM(G674:G680)+SUM(G732:G733)+SUM(G766:G771)</f>
        <v>42381</v>
      </c>
      <c r="H824" s="1">
        <f>+SUM(H71:H82)+SUM(H138:H187)+SUM(H325:H356)+SUM(H484:H488)+SUM(H526:H531)+SUM(H570:H581)+SUM(H638:H641)+SUM(H674:H680)+SUM(H732:H733)+SUM(H766:H771)</f>
        <v>77760</v>
      </c>
      <c r="I824" s="55">
        <f t="shared" ref="I824:I830" si="184">SUM(F824:H824)</f>
        <v>161012</v>
      </c>
      <c r="J824" s="1">
        <f>+SUM(J71:J82)+SUM(J138:J187)+SUM(J325:J356)+SUM(J484:J488)+SUM(J526:J531)+SUM(J570:J581)+SUM(J638:J641)+SUM(J674:J680)+SUM(J732:J733)+SUM(J766:J771)</f>
        <v>74704</v>
      </c>
      <c r="K824" s="1">
        <f>+SUM(K71:K82)+SUM(K138:K187)+SUM(K325:K356)+SUM(K484:K488)+SUM(K526:K531)+SUM(K570:K581)+SUM(K638:K641)+SUM(K674:K680)+SUM(K732:K733)+SUM(K766:K771)</f>
        <v>69276</v>
      </c>
      <c r="L824" s="1">
        <f>+SUM(L71:L82)+SUM(L138:L187)+SUM(L325:L356)+SUM(L484:L488)+SUM(L526:L531)+SUM(L570:L581)+SUM(L638:L641)+SUM(L674:L680)+SUM(L732:L733)+SUM(L766:L771)</f>
        <v>66314</v>
      </c>
      <c r="M824" s="55">
        <f t="shared" ref="M824:M830" si="185">SUM(J824:L824)</f>
        <v>210294</v>
      </c>
      <c r="N824" s="1">
        <f>+SUM(N71:N82)+SUM(N138:N187)+SUM(N325:N356)+SUM(N484:N488)+SUM(N526:N531)+SUM(N570:N581)+SUM(N638:N641)+SUM(N674:N680)+SUM(N732:N733)+SUM(N766:N771)</f>
        <v>44798</v>
      </c>
      <c r="O824" s="1">
        <f>+SUM(O71:O82)+SUM(O138:O187)+SUM(O325:O356)+SUM(O484:O488)+SUM(O526:O531)+SUM(O570:O581)+SUM(O638:O641)+SUM(O674:O680)+SUM(O732:O733)+SUM(O766:O771)</f>
        <v>28636</v>
      </c>
      <c r="P824" s="1">
        <f>+SUM(P71:P82)+SUM(P138:P187)+SUM(P325:P356)+SUM(P484:P488)+SUM(P526:P531)+SUM(P570:P581)+SUM(P638:P641)+SUM(P674:P680)+SUM(P732:P733)+SUM(P766:P771)</f>
        <v>31123</v>
      </c>
      <c r="Q824" s="55">
        <f t="shared" ref="Q824:Q830" si="186">SUM(N824:P824)</f>
        <v>104557</v>
      </c>
      <c r="R824" s="55">
        <f t="shared" ref="R824:R830" si="187">+E824+I824+M824+Q824</f>
        <v>561004</v>
      </c>
    </row>
    <row r="825" spans="1:20" ht="15.75" customHeight="1" x14ac:dyDescent="0.3">
      <c r="A825" s="15" t="s">
        <v>1014</v>
      </c>
      <c r="B825" s="1">
        <f>+B38+SUM(B83:B84)+SUM(B189:B200)+SUM(B358:B370)+SUM(B490:B491)+B532+SUM(B582:B583)+B642+B681+B734+SUM(B772:B772)</f>
        <v>0</v>
      </c>
      <c r="C825" s="1">
        <f>+C38+SUM(C83:C84)+SUM(C189:C200)+SUM(C358:C370)+SUM(C490:C491)+C532+SUM(C582:C583)+C642+C681+C734+SUM(C772:C772)</f>
        <v>0</v>
      </c>
      <c r="D825" s="1">
        <f>+D38+SUM(D83:D84)+SUM(D189:D200)+SUM(D358:D370)+SUM(D490:D491)+D532+SUM(D582:D583)+D642+D681+D734+SUM(D772:D772)</f>
        <v>0</v>
      </c>
      <c r="E825" s="55">
        <f t="shared" si="183"/>
        <v>0</v>
      </c>
      <c r="F825" s="1">
        <f>+F38+SUM(F83:F84)+SUM(F189:F200)+SUM(F358:F370)+SUM(F490:F491)+F532+SUM(F582:F583)+F642+F681+F734+SUM(F772:F772)</f>
        <v>0</v>
      </c>
      <c r="G825" s="1">
        <f>+G38+SUM(G83:G84)+SUM(G189:G200)+SUM(G358:G370)+SUM(G490:G491)+G532+SUM(G582:G583)+G642+G681+G734+SUM(G772:G772)</f>
        <v>0</v>
      </c>
      <c r="H825" s="1">
        <f>+H38+SUM(H83:H84)+SUM(H189:H200)+SUM(H358:H370)+SUM(H490:H491)+H532+SUM(H582:H583)+H642+H681+H734+SUM(H772:H772)</f>
        <v>0</v>
      </c>
      <c r="I825" s="55">
        <f t="shared" si="184"/>
        <v>0</v>
      </c>
      <c r="J825" s="1">
        <f>+J38+SUM(J83:J84)+SUM(J189:J200)+SUM(J358:J370)+SUM(J490:J491)+J532+SUM(J582:J583)+J642+J681+J734+SUM(J772:J772)</f>
        <v>0</v>
      </c>
      <c r="K825" s="1">
        <f>+K38+SUM(K83:K84)+SUM(K189:K200)+SUM(K358:K370)+SUM(K490:K491)+K532+SUM(K582:K583)+K642+K681+K734+SUM(K772:K772)</f>
        <v>0</v>
      </c>
      <c r="L825" s="1">
        <f>+L38+SUM(L83:L84)+SUM(L189:L200)+SUM(L358:L370)+SUM(L490:L491)+L532+SUM(L582:L583)+L642+L681+L734+SUM(L772:L772)</f>
        <v>0</v>
      </c>
      <c r="M825" s="55">
        <f t="shared" si="185"/>
        <v>0</v>
      </c>
      <c r="N825" s="1">
        <f>+N38+SUM(N83:N84)+SUM(N189:N200)+SUM(N358:N370)+SUM(N490:N491)+N532+SUM(N582:N583)+N642+N681+N734+SUM(N772:N772)</f>
        <v>0</v>
      </c>
      <c r="O825" s="1">
        <f>+O38+SUM(O83:O84)+SUM(O189:O200)+SUM(O358:O370)+SUM(O490:O491)+O532+SUM(O582:O583)+O642+O681+O734+SUM(O772:O772)</f>
        <v>0</v>
      </c>
      <c r="P825" s="1">
        <f>+P38+SUM(P83:P84)+SUM(P189:P200)+SUM(P358:P370)+SUM(P490:P491)+P532+SUM(P582:P583)+P642+P681+P734+SUM(P772:P772)</f>
        <v>96</v>
      </c>
      <c r="Q825" s="55">
        <f t="shared" si="186"/>
        <v>96</v>
      </c>
      <c r="R825" s="55">
        <f t="shared" si="187"/>
        <v>96</v>
      </c>
    </row>
    <row r="826" spans="1:20" ht="15.75" customHeight="1" x14ac:dyDescent="0.3">
      <c r="A826" s="315" t="s">
        <v>1015</v>
      </c>
      <c r="B826" s="1">
        <f>+SUM(B85:B87)+SUM(B201:B204)+SUM(B371:B375)+B492+B533+SUM(B584:B585)+B643+B682+B735+SUM(B773:B774)</f>
        <v>0</v>
      </c>
      <c r="C826" s="1">
        <f>+SUM(C85:C87)+SUM(C201:C204)+SUM(C371:C375)+C492+C533+SUM(C584:C585)+C643+C682+C735+SUM(C773:C774)</f>
        <v>13</v>
      </c>
      <c r="D826" s="1">
        <f>+SUM(D85:D87)+SUM(D201:D204)+SUM(D371:D375)+D492+D533+SUM(D584:D585)+D643+D682+D735+SUM(D773:D774)</f>
        <v>63</v>
      </c>
      <c r="E826" s="55">
        <f t="shared" si="183"/>
        <v>76</v>
      </c>
      <c r="F826" s="1">
        <f>+SUM(F85:F87)+SUM(F201:F204)+SUM(F371:F375)+F492+F533+SUM(F584:F585)+F643+F682+F735+SUM(F773:F774)</f>
        <v>1314</v>
      </c>
      <c r="G826" s="1">
        <f>+SUM(G85:G87)+SUM(G201:G204)+SUM(G371:G375)+G492+G533+SUM(G584:G585)+G643+G682+G735+SUM(G773:G774)</f>
        <v>7755</v>
      </c>
      <c r="H826" s="1">
        <f>+SUM(H85:H87)+SUM(H201:H204)+SUM(H371:H375)+H492+H533+SUM(H584:H585)+H643+H682+H735+SUM(H773:H774)</f>
        <v>5014</v>
      </c>
      <c r="I826" s="55">
        <f t="shared" si="184"/>
        <v>14083</v>
      </c>
      <c r="J826" s="1">
        <f>+SUM(J85:J87)+SUM(J201:J204)+SUM(J371:J375)+J492+J533+SUM(J584:J585)+J643+J682+J735+SUM(J773:J774)</f>
        <v>3467</v>
      </c>
      <c r="K826" s="1">
        <f>+SUM(K85:K87)+SUM(K201:K204)+SUM(K371:K375)+K492+K533+SUM(K584:K585)+K643+K682+K735+SUM(K773:K774)</f>
        <v>1060</v>
      </c>
      <c r="L826" s="1">
        <f>+SUM(L85:L87)+SUM(L201:L204)+SUM(L371:L375)+L492+L533+SUM(L584:L585)+L643+L682+L735+SUM(L773:L774)</f>
        <v>866</v>
      </c>
      <c r="M826" s="55">
        <f t="shared" si="185"/>
        <v>5393</v>
      </c>
      <c r="N826" s="1">
        <f>+SUM(N85:N87)+SUM(N201:N204)+SUM(N371:N375)+N492+N533+SUM(N584:N585)+N643+N682+N735+SUM(N773:N774)</f>
        <v>804</v>
      </c>
      <c r="O826" s="1">
        <f>+SUM(O85:O87)+SUM(O201:O204)+SUM(O371:O375)+O492+O533+SUM(O584:O585)+O643+O682+O735+SUM(O773:O774)</f>
        <v>3805</v>
      </c>
      <c r="P826" s="1">
        <f>+SUM(P85:P87)+SUM(P201:P204)+SUM(P371:P375)+P492+P533+SUM(P584:P585)+P643+P682+P735+SUM(P773:P774)</f>
        <v>4222</v>
      </c>
      <c r="Q826" s="55">
        <f t="shared" si="186"/>
        <v>8831</v>
      </c>
      <c r="R826" s="55">
        <f>+E826+I826+M826+Q826</f>
        <v>28383</v>
      </c>
    </row>
    <row r="827" spans="1:20" ht="15.75" customHeight="1" x14ac:dyDescent="0.3">
      <c r="A827" s="15" t="s">
        <v>1016</v>
      </c>
      <c r="B827" s="1">
        <f>+B302+B465+B466</f>
        <v>0</v>
      </c>
      <c r="C827" s="1">
        <f>+C302+C465+C466</f>
        <v>0</v>
      </c>
      <c r="D827" s="1">
        <f>+D302+D465+D466</f>
        <v>0</v>
      </c>
      <c r="E827" s="55">
        <f t="shared" si="183"/>
        <v>0</v>
      </c>
      <c r="F827" s="1">
        <f>+F302+F465+F466</f>
        <v>0</v>
      </c>
      <c r="G827" s="1">
        <f>+G302+G465+G466</f>
        <v>0</v>
      </c>
      <c r="H827" s="1">
        <f>+H302+H465+H466</f>
        <v>0</v>
      </c>
      <c r="I827" s="55">
        <f t="shared" si="184"/>
        <v>0</v>
      </c>
      <c r="J827" s="1">
        <f>+J302+J465+J466</f>
        <v>0</v>
      </c>
      <c r="K827" s="1">
        <f>+K302+K465+K466</f>
        <v>0</v>
      </c>
      <c r="L827" s="1">
        <f>+L302+L465+L466</f>
        <v>0</v>
      </c>
      <c r="M827" s="55">
        <f t="shared" si="185"/>
        <v>0</v>
      </c>
      <c r="N827" s="1">
        <f>+N302+N465+N466</f>
        <v>0</v>
      </c>
      <c r="O827" s="1">
        <f>+O302+O465+O466</f>
        <v>0</v>
      </c>
      <c r="P827" s="1">
        <f>+P302+P465+P466</f>
        <v>0</v>
      </c>
      <c r="Q827" s="55">
        <f t="shared" si="186"/>
        <v>0</v>
      </c>
      <c r="R827" s="55">
        <f t="shared" si="187"/>
        <v>0</v>
      </c>
    </row>
    <row r="828" spans="1:20" ht="15.75" customHeight="1" x14ac:dyDescent="0.3">
      <c r="A828" s="315" t="s">
        <v>377</v>
      </c>
      <c r="B828" s="1">
        <f>+B303</f>
        <v>9</v>
      </c>
      <c r="C828" s="1">
        <f>+C303</f>
        <v>214</v>
      </c>
      <c r="D828" s="1">
        <f>+D303</f>
        <v>37</v>
      </c>
      <c r="E828" s="55">
        <f>SUM(B828:D828)</f>
        <v>260</v>
      </c>
      <c r="F828" s="1">
        <f>+F303</f>
        <v>57</v>
      </c>
      <c r="G828" s="1">
        <f>+G303</f>
        <v>45</v>
      </c>
      <c r="H828" s="1">
        <f>+H303</f>
        <v>30</v>
      </c>
      <c r="I828" s="55">
        <f>SUM(F828:H828)</f>
        <v>132</v>
      </c>
      <c r="J828" s="1">
        <f>+J303</f>
        <v>57</v>
      </c>
      <c r="K828" s="1">
        <f>+K303</f>
        <v>62</v>
      </c>
      <c r="L828" s="1">
        <f>+L303</f>
        <v>65</v>
      </c>
      <c r="M828" s="55">
        <f>SUM(J828:L828)</f>
        <v>184</v>
      </c>
      <c r="N828" s="1">
        <f>+N303</f>
        <v>76</v>
      </c>
      <c r="O828" s="1">
        <f>+O303</f>
        <v>56</v>
      </c>
      <c r="P828" s="1">
        <v>118</v>
      </c>
      <c r="Q828" s="55">
        <f t="shared" si="186"/>
        <v>250</v>
      </c>
      <c r="R828" s="55">
        <f>+E828+I828+M828+Q828</f>
        <v>826</v>
      </c>
    </row>
    <row r="829" spans="1:20" ht="15.75" customHeight="1" thickBot="1" x14ac:dyDescent="0.35">
      <c r="A829" s="15" t="s">
        <v>53</v>
      </c>
      <c r="B829" s="1">
        <f>+B88+B493+B534+B586+B644+B683+B736+B775</f>
        <v>0</v>
      </c>
      <c r="C829" s="1">
        <f>+C88+C493+C534+C586+C644+C683+C736+C775</f>
        <v>0</v>
      </c>
      <c r="D829" s="1">
        <f>+D88+D493+D534+D586+D644+D683+D736+D775</f>
        <v>0</v>
      </c>
      <c r="E829" s="55">
        <f t="shared" si="183"/>
        <v>0</v>
      </c>
      <c r="F829" s="1">
        <f>+F88+F493+F534+F586+F644+F683+F736+F775</f>
        <v>0</v>
      </c>
      <c r="G829" s="1">
        <f>+G88+G493+G534+G586+G644+G683+G736+G775</f>
        <v>0</v>
      </c>
      <c r="H829" s="1">
        <f>+H88+H493+H534+H586+H644+H683+H736+H775</f>
        <v>0</v>
      </c>
      <c r="I829" s="55">
        <f t="shared" si="184"/>
        <v>0</v>
      </c>
      <c r="J829" s="1">
        <f>+J88+J493+J534+J586+J644+J683+J736+J775</f>
        <v>0</v>
      </c>
      <c r="K829" s="1">
        <f>+K88+K493+K534+K586+K644+K683+K736+K775</f>
        <v>0</v>
      </c>
      <c r="L829" s="1">
        <f>+L88+L493+L534+L586+L644+L683+L736+L775</f>
        <v>0</v>
      </c>
      <c r="M829" s="55">
        <f t="shared" si="185"/>
        <v>0</v>
      </c>
      <c r="N829" s="1">
        <f>+N88+N493+N534+N586+N644+N683+N736+N775</f>
        <v>0</v>
      </c>
      <c r="O829" s="1">
        <f>+O88+O493+O534+O586+O644+O683+O736+O775</f>
        <v>0</v>
      </c>
      <c r="P829" s="1">
        <f>+P88+P493+P534+P586+P644+P683+P736+P775</f>
        <v>0</v>
      </c>
      <c r="Q829" s="55">
        <f t="shared" si="186"/>
        <v>0</v>
      </c>
      <c r="R829" s="55">
        <f t="shared" si="187"/>
        <v>0</v>
      </c>
    </row>
    <row r="830" spans="1:20" ht="16.5" customHeight="1" thickBot="1" x14ac:dyDescent="0.35">
      <c r="A830" s="57" t="s">
        <v>54</v>
      </c>
      <c r="B830" s="86">
        <f>SUM(B823:B829)</f>
        <v>27327</v>
      </c>
      <c r="C830" s="87">
        <f>SUM(C823:C829)</f>
        <v>22289</v>
      </c>
      <c r="D830" s="87">
        <f>SUM(D823:D829)</f>
        <v>35861</v>
      </c>
      <c r="E830" s="59">
        <f t="shared" si="183"/>
        <v>85477</v>
      </c>
      <c r="F830" s="87">
        <f>SUM(F823:F829)</f>
        <v>42242</v>
      </c>
      <c r="G830" s="87">
        <f>SUM(G823:G829)</f>
        <v>50181</v>
      </c>
      <c r="H830" s="87">
        <f>SUM(H823:H829)</f>
        <v>82804</v>
      </c>
      <c r="I830" s="59">
        <f t="shared" si="184"/>
        <v>175227</v>
      </c>
      <c r="J830" s="87">
        <f>SUM(J823:J829)</f>
        <v>78228</v>
      </c>
      <c r="K830" s="87">
        <f>SUM(K823:K829)</f>
        <v>70398</v>
      </c>
      <c r="L830" s="87">
        <f>SUM(L823:L829)</f>
        <v>67245</v>
      </c>
      <c r="M830" s="59">
        <f t="shared" si="185"/>
        <v>215871</v>
      </c>
      <c r="N830" s="87">
        <f>SUM(N823:N829)</f>
        <v>45678</v>
      </c>
      <c r="O830" s="87">
        <f>SUM(O823:O829)</f>
        <v>32497</v>
      </c>
      <c r="P830" s="87">
        <f>SUM(P823:P829)</f>
        <v>35559</v>
      </c>
      <c r="Q830" s="59">
        <f t="shared" si="186"/>
        <v>113734</v>
      </c>
      <c r="R830" s="59">
        <f t="shared" si="187"/>
        <v>590309</v>
      </c>
      <c r="T830" s="4">
        <f>+R830-R827-R826</f>
        <v>561926</v>
      </c>
    </row>
    <row r="831" spans="1:20" ht="15.75" customHeight="1" x14ac:dyDescent="0.3">
      <c r="A831" s="15" t="s">
        <v>55</v>
      </c>
      <c r="B831" s="1"/>
      <c r="C831" s="1"/>
      <c r="D831" s="1"/>
      <c r="E831" s="55" t="s">
        <v>7</v>
      </c>
      <c r="F831" s="1"/>
      <c r="G831" s="1"/>
      <c r="H831" s="1"/>
      <c r="I831" s="55" t="s">
        <v>7</v>
      </c>
      <c r="J831" s="1"/>
      <c r="K831" s="1"/>
      <c r="L831" s="1"/>
      <c r="M831" s="55" t="s">
        <v>7</v>
      </c>
      <c r="N831" s="1"/>
      <c r="O831" s="1"/>
      <c r="P831" s="1"/>
      <c r="Q831" s="55" t="s">
        <v>7</v>
      </c>
      <c r="R831" s="55" t="s">
        <v>7</v>
      </c>
    </row>
    <row r="832" spans="1:20" ht="15.75" customHeight="1" x14ac:dyDescent="0.3">
      <c r="A832" s="15" t="s">
        <v>56</v>
      </c>
      <c r="B832" s="1">
        <f>SUM(B43:B43)+SUM(B208:B208)+SUM(B91:B91)+SUM(B379:B379)</f>
        <v>0</v>
      </c>
      <c r="C832" s="1">
        <f>SUM(C43:C43)+SUM(C208:C208)+SUM(C91:C91)+SUM(C379:C379)</f>
        <v>0</v>
      </c>
      <c r="D832" s="1">
        <f>SUM(D43:D43)+SUM(D208:D208)+SUM(D91:D91)+SUM(D379:D379)</f>
        <v>0</v>
      </c>
      <c r="E832" s="55">
        <f>SUM(B832:D832)</f>
        <v>0</v>
      </c>
      <c r="F832" s="1">
        <f>SUM(F43:F43)+SUM(F208:F208)+SUM(F91:F91)+SUM(F379:F379)</f>
        <v>0</v>
      </c>
      <c r="G832" s="1">
        <f>SUM(G43:G43)+SUM(G208:G208)+SUM(G91:G91)+SUM(G379:G379)</f>
        <v>0</v>
      </c>
      <c r="H832" s="1">
        <f>SUM(H43:H43)+SUM(H208:H208)+SUM(H91:H91)+SUM(H379:H379)</f>
        <v>0</v>
      </c>
      <c r="I832" s="55">
        <f>SUM(F832:H832)</f>
        <v>0</v>
      </c>
      <c r="J832" s="1">
        <f>SUM(J43:J43)+SUM(J208:J208)+SUM(J91:J91)+SUM(J379:J379)</f>
        <v>0</v>
      </c>
      <c r="K832" s="1">
        <f>SUM(K43:K43)+SUM(K208:K208)+SUM(K91:K91)+SUM(K379:K379)</f>
        <v>0</v>
      </c>
      <c r="L832" s="1">
        <f>SUM(L43:L43)+SUM(L208:L208)+SUM(L91:L91)+SUM(L379:L379)</f>
        <v>0</v>
      </c>
      <c r="M832" s="55">
        <f>SUM(J832:L832)</f>
        <v>0</v>
      </c>
      <c r="N832" s="1">
        <f>SUM(N43:N43)+SUM(N208:N208)+SUM(N91:N91)+SUM(N379:N379)</f>
        <v>0</v>
      </c>
      <c r="O832" s="1">
        <f>SUM(O43:O43)+SUM(O208:O208)+SUM(O91:O91)+SUM(O379:O379)</f>
        <v>0</v>
      </c>
      <c r="P832" s="1">
        <f>SUM(P43:P43)+SUM(P208:P208)+SUM(P91:P91)+SUM(P379:P379)</f>
        <v>0</v>
      </c>
      <c r="Q832" s="55">
        <f>SUM(N832:P832)</f>
        <v>0</v>
      </c>
      <c r="R832" s="55">
        <f>+E832+I832+M832+Q832</f>
        <v>0</v>
      </c>
    </row>
    <row r="833" spans="1:20" ht="15.75" customHeight="1" x14ac:dyDescent="0.3">
      <c r="A833" s="315" t="s">
        <v>57</v>
      </c>
      <c r="B833" s="1">
        <f>+SUM(B93:B94)+SUM(B209:B211)+SUM(B380:B389)+B497+SUM(B537:B539)+SUM(B589:B591)+SUM(B647:B647)+B686+B739+SUM(B778:B779)</f>
        <v>2634</v>
      </c>
      <c r="C833" s="1">
        <f>+SUM(C93:C94)+SUM(C209:C211)+SUM(C380:C389)+C497+SUM(C537:C539)+SUM(C589:C591)+SUM(C647:C647)+C686+C739+SUM(C778:C779)</f>
        <v>5612</v>
      </c>
      <c r="D833" s="1">
        <f>+SUM(D93:D94)+SUM(D209:D211)+SUM(D380:D389)+D497+SUM(D537:D539)+SUM(D589:D591)+SUM(D647:D647)+D686+D739+SUM(D778:D779)</f>
        <v>28344</v>
      </c>
      <c r="E833" s="55">
        <f>SUM(B833:D833)</f>
        <v>36590</v>
      </c>
      <c r="F833" s="1">
        <f>+SUM(F93:F94)+SUM(F209:F211)+SUM(F380:F389)+F497+SUM(F537:F539)+SUM(F589:F591)+SUM(F647:F647)+F686+F739+SUM(F778:F779)</f>
        <v>33634</v>
      </c>
      <c r="G833" s="1">
        <f>+SUM(G93:G94)+SUM(G209:G211)+SUM(G380:G389)+G497+SUM(G537:G539)+SUM(G589:G591)+SUM(G647:G647)+G686+G739+SUM(G778:G779)</f>
        <v>26572</v>
      </c>
      <c r="H833" s="1">
        <f>+SUM(H93:H94)+SUM(H209:H211)+SUM(H380:H389)+H497+SUM(H537:H539)+SUM(H589:H591)+SUM(H647:H647)+H686+H739+SUM(H778:H779)</f>
        <v>58483</v>
      </c>
      <c r="I833" s="55">
        <f>SUM(F833:H833)</f>
        <v>118689</v>
      </c>
      <c r="J833" s="1">
        <f>+SUM(J93:J94)+SUM(J209:J211)+SUM(J380:J389)+J497+SUM(J537:J539)+SUM(J589:J591)+SUM(J647:J647)+J686+J739+SUM(J778:J779)</f>
        <v>39696</v>
      </c>
      <c r="K833" s="1">
        <f>+SUM(K93:K94)+SUM(K209:K211)+SUM(K380:K389)+K497+SUM(K537:K539)+SUM(K589:K591)+SUM(K647:K647)+K686+K739+SUM(K778:K779)</f>
        <v>32903</v>
      </c>
      <c r="L833" s="1">
        <f>+SUM(L93:L94)+SUM(L209:L211)+SUM(L380:L389)+L497+SUM(L537:L539)+SUM(L589:L591)+SUM(L647:L647)+L686+L739+SUM(L778:L779)</f>
        <v>18081</v>
      </c>
      <c r="M833" s="55">
        <f>SUM(J833:L833)</f>
        <v>90680</v>
      </c>
      <c r="N833" s="1">
        <f>+SUM(N93:N94)+SUM(N209:N211)+SUM(N380:N389)+N497+SUM(N537:N539)+SUM(N589:N591)+SUM(N647:N647)+N686+N739+SUM(N778:N779)</f>
        <v>4004</v>
      </c>
      <c r="O833" s="1">
        <f>+SUM(O93:O94)+SUM(O209:O211)+SUM(O380:O389)+O497+SUM(O537:O539)+SUM(O589:O591)+SUM(O647:O647)+O686+O739+SUM(O778:O779)</f>
        <v>2556</v>
      </c>
      <c r="P833" s="1">
        <f>+SUM(P93:P94)+SUM(P209:P211)+SUM(P380:P389)+P497+SUM(P537:P539)+SUM(P589:P591)+SUM(P647:P647)+P686+P739+SUM(P778:P779)</f>
        <v>5332</v>
      </c>
      <c r="Q833" s="55">
        <f>SUM(N833:P833)</f>
        <v>11892</v>
      </c>
      <c r="R833" s="55">
        <f>+E833+I833+M833+Q833</f>
        <v>257851</v>
      </c>
    </row>
    <row r="834" spans="1:20" ht="15.75" customHeight="1" thickBot="1" x14ac:dyDescent="0.35">
      <c r="A834" s="15" t="s">
        <v>58</v>
      </c>
      <c r="B834" s="1">
        <f>+B95+B498+B540+B592+B648+B687+B740+B780</f>
        <v>0</v>
      </c>
      <c r="C834" s="1">
        <f>+C95+C498+C540+C592+C648+C687+C740+C780</f>
        <v>0</v>
      </c>
      <c r="D834" s="1">
        <f>+D95+D498+D540+D592+D648+D687+D740+D780</f>
        <v>0</v>
      </c>
      <c r="E834" s="55">
        <f>SUM(B834:D834)</f>
        <v>0</v>
      </c>
      <c r="F834" s="1">
        <f>+F95+F498+F540+F592+F648+F687+F740+F780</f>
        <v>0</v>
      </c>
      <c r="G834" s="1">
        <f>+G95+G498+G540+G592+G648+G687+G740+G780</f>
        <v>0</v>
      </c>
      <c r="H834" s="1">
        <f>+H95+H498+H540+H592+H648+H687+H740+H780</f>
        <v>0</v>
      </c>
      <c r="I834" s="55">
        <f>SUM(F834:H834)</f>
        <v>0</v>
      </c>
      <c r="J834" s="1">
        <f>+J95+J498+J540+J592+J648+J687+J740+J780</f>
        <v>0</v>
      </c>
      <c r="K834" s="1">
        <f>+K95+K498+K540+K592+K648+K687+K740+K780</f>
        <v>0</v>
      </c>
      <c r="L834" s="1">
        <f>+L95+L498+L540+L592+L648+L687+L740+L780</f>
        <v>0</v>
      </c>
      <c r="M834" s="55">
        <f>SUM(J834:L834)</f>
        <v>0</v>
      </c>
      <c r="N834" s="1">
        <f>+N95+N498+N540+N592+N648+N687+N740+N780</f>
        <v>0</v>
      </c>
      <c r="O834" s="1">
        <f>+O95+O498+O540+O592+O648+O687+O740+O780</f>
        <v>0</v>
      </c>
      <c r="P834" s="1">
        <f>+P95+P498+P540+P592+P648+P687+P740+P780</f>
        <v>0</v>
      </c>
      <c r="Q834" s="55">
        <f>SUM(N834:P834)</f>
        <v>0</v>
      </c>
      <c r="R834" s="55">
        <f>+E834+I834+M834+Q834</f>
        <v>0</v>
      </c>
    </row>
    <row r="835" spans="1:20" ht="16.5" customHeight="1" thickBot="1" x14ac:dyDescent="0.35">
      <c r="A835" s="57" t="s">
        <v>59</v>
      </c>
      <c r="B835" s="86">
        <f>SUM(B831:B834)</f>
        <v>2634</v>
      </c>
      <c r="C835" s="87">
        <f>SUM(C831:C834)</f>
        <v>5612</v>
      </c>
      <c r="D835" s="87">
        <f>SUM(D831:D834)</f>
        <v>28344</v>
      </c>
      <c r="E835" s="59">
        <f>SUM(B835:D835)</f>
        <v>36590</v>
      </c>
      <c r="F835" s="87">
        <f>SUM(F831:F834)</f>
        <v>33634</v>
      </c>
      <c r="G835" s="87">
        <f>SUM(G831:G834)</f>
        <v>26572</v>
      </c>
      <c r="H835" s="87">
        <f>SUM(H831:H834)</f>
        <v>58483</v>
      </c>
      <c r="I835" s="59">
        <f>SUM(F835:H835)</f>
        <v>118689</v>
      </c>
      <c r="J835" s="87">
        <f>SUM(J831:J834)</f>
        <v>39696</v>
      </c>
      <c r="K835" s="87">
        <f>SUM(K831:K834)</f>
        <v>32903</v>
      </c>
      <c r="L835" s="87">
        <f>SUM(L831:L834)</f>
        <v>18081</v>
      </c>
      <c r="M835" s="59">
        <f>SUM(J835:L835)</f>
        <v>90680</v>
      </c>
      <c r="N835" s="87">
        <f>SUM(N831:N834)</f>
        <v>4004</v>
      </c>
      <c r="O835" s="87">
        <f>SUM(O831:O834)</f>
        <v>2556</v>
      </c>
      <c r="P835" s="87">
        <f>SUM(P831:P834)</f>
        <v>5332</v>
      </c>
      <c r="Q835" s="59">
        <f>SUM(N835:P835)</f>
        <v>11892</v>
      </c>
      <c r="R835" s="59">
        <f>+E835+I835+M835+Q835</f>
        <v>257851</v>
      </c>
    </row>
    <row r="836" spans="1:20" ht="15.75" customHeight="1" x14ac:dyDescent="0.3">
      <c r="A836" s="15" t="s">
        <v>60</v>
      </c>
      <c r="B836" s="1"/>
      <c r="C836" s="1"/>
      <c r="D836" s="1"/>
      <c r="E836" s="55" t="s">
        <v>7</v>
      </c>
      <c r="F836" s="1"/>
      <c r="G836" s="1"/>
      <c r="H836" s="1"/>
      <c r="I836" s="55" t="s">
        <v>7</v>
      </c>
      <c r="J836" s="1"/>
      <c r="K836" s="1"/>
      <c r="L836" s="1"/>
      <c r="M836" s="55" t="s">
        <v>7</v>
      </c>
      <c r="N836" s="1"/>
      <c r="O836" s="1"/>
      <c r="P836" s="1"/>
      <c r="Q836" s="55" t="s">
        <v>7</v>
      </c>
      <c r="R836" s="55" t="s">
        <v>7</v>
      </c>
    </row>
    <row r="837" spans="1:20" ht="15.75" customHeight="1" x14ac:dyDescent="0.3">
      <c r="A837" s="315" t="s">
        <v>61</v>
      </c>
      <c r="B837" s="1">
        <f>+B48+B98+B215+SUM(B393:B395)+B501+B543+B595+B651+SUM(B690:B691)+B743+SUM(B783:B785)</f>
        <v>2387</v>
      </c>
      <c r="C837" s="1">
        <f>+C48+C98+C215+SUM(C393:C395)+C501+C543+C595+C651+SUM(C690:C691)+C743+SUM(C783:C785)</f>
        <v>4989</v>
      </c>
      <c r="D837" s="1">
        <f>+D48+D98+D215+SUM(D393:D395)+D501+D543+D595+D651+SUM(D690:D691)+D743+SUM(D783:D785)</f>
        <v>12161</v>
      </c>
      <c r="E837" s="55">
        <f>SUM(B837:D837)</f>
        <v>19537</v>
      </c>
      <c r="F837" s="1">
        <f>+F48+F98+F215+SUM(F393:F395)+F501+F543+F595+F651+SUM(F690:F691)+F743+SUM(F783:F785)</f>
        <v>12684</v>
      </c>
      <c r="G837" s="1">
        <f>+G48+G98+G215+SUM(G393:G395)+G501+G543+G595+G651+SUM(G690:G691)+G743+SUM(G783:G785)</f>
        <v>15861</v>
      </c>
      <c r="H837" s="1">
        <f>+H48+H98+H215+SUM(H393:H395)+H501+H543+H595+H651+SUM(H690:H691)+H743+SUM(H783:H785)</f>
        <v>17652</v>
      </c>
      <c r="I837" s="55">
        <f>SUM(F837:H837)</f>
        <v>46197</v>
      </c>
      <c r="J837" s="1">
        <f>+J48+J98+J215+SUM(J393:J395)+J501+J543+J595+J651+SUM(J690:J691)+J743+SUM(J783:J785)</f>
        <v>10639</v>
      </c>
      <c r="K837" s="1">
        <f>+K48+K98+K215+SUM(K393:K395)+K501+K543+K595+K651+SUM(K690:K691)+K743+SUM(K783:K785)</f>
        <v>11008</v>
      </c>
      <c r="L837" s="1">
        <f>+L48+L98+L215+SUM(L393:L395)+L501+L543+L595+L651+SUM(L690:L691)+L743+SUM(L783:L785)</f>
        <v>7408</v>
      </c>
      <c r="M837" s="55">
        <f>SUM(J837:L837)</f>
        <v>29055</v>
      </c>
      <c r="N837" s="1">
        <f>+N48+N98+N215+SUM(N393:N395)+N501+N543+N595+N651+SUM(N690:N691)+N743+SUM(N783:N785)</f>
        <v>3212</v>
      </c>
      <c r="O837" s="1">
        <f>+O48+O98+O215+SUM(O393:O395)+O501+O543+O595+O651+SUM(O690:O691)+O743+SUM(O783:O785)</f>
        <v>1664</v>
      </c>
      <c r="P837" s="1">
        <f>+P48+P98+P215+SUM(P393:P395)+P501+P543+P595+P651+SUM(P690:P691)+P743+SUM(P783:P785)</f>
        <v>4251</v>
      </c>
      <c r="Q837" s="55">
        <f>SUM(N837:P837)</f>
        <v>9127</v>
      </c>
      <c r="R837" s="55">
        <f>+E837+I837+M837+Q837</f>
        <v>103916</v>
      </c>
    </row>
    <row r="838" spans="1:20" ht="15.75" customHeight="1" thickBot="1" x14ac:dyDescent="0.35">
      <c r="A838" s="315" t="s">
        <v>62</v>
      </c>
      <c r="B838" s="1">
        <f>+B49+SUM(B99:B106)+SUM(B216:B277)+SUM(B396:B438)+SUM(B502:B503)+SUM(B544:B545)+SUM(B596:B599)+B652+SUM(B692:B697)+B744+SUM(B786:B790)</f>
        <v>11493</v>
      </c>
      <c r="C838" s="1">
        <f>+C49+SUM(C99:C106)+SUM(C216:C277)+SUM(C396:C438)+SUM(C502:C503)+SUM(C544:C545)+SUM(C596:C599)+C652+SUM(C692:C697)+C744+SUM(C786:C790)</f>
        <v>16045</v>
      </c>
      <c r="D838" s="1">
        <f>+D49+SUM(D99:D106)+SUM(D216:D277)+SUM(D396:D438)+SUM(D502:D503)+SUM(D544:D545)+SUM(D596:D599)+D652+SUM(D692:D697)+D744+SUM(D786:D790)</f>
        <v>32568</v>
      </c>
      <c r="E838" s="55">
        <f>SUM(B838:D838)</f>
        <v>60106</v>
      </c>
      <c r="F838" s="1">
        <f>+F49+SUM(F99:F106)+SUM(F216:F277)+SUM(F396:F438)+SUM(F502:F503)+SUM(F544:F545)+SUM(F596:F599)+F652+SUM(F692:F697)+F744+SUM(F786:F790)</f>
        <v>58461</v>
      </c>
      <c r="G838" s="1">
        <f>+G49+SUM(G99:G106)+SUM(G216:G277)+SUM(G396:G438)+SUM(G502:G503)+SUM(G544:G545)+SUM(G596:G599)+G652+SUM(G692:G697)+G744+SUM(G786:G790)</f>
        <v>52872</v>
      </c>
      <c r="H838" s="1">
        <f>+H49+SUM(H99:H106)+SUM(H216:H277)+SUM(H396:H438)+SUM(H502:H503)+SUM(H544:H545)+SUM(H596:H599)+H652+SUM(H692:H697)+H744+SUM(H786:H790)</f>
        <v>33419</v>
      </c>
      <c r="I838" s="55">
        <f>SUM(F838:H838)</f>
        <v>144752</v>
      </c>
      <c r="J838" s="1">
        <f>+J49+SUM(J99:J106)+SUM(J216:J277)+SUM(J396:J438)+SUM(J502:J503)+SUM(J544:J545)+SUM(J596:J599)+J652+SUM(J692:J697)+J744+SUM(J786:J790)</f>
        <v>36932</v>
      </c>
      <c r="K838" s="1">
        <f>+K49+SUM(K99:K106)+SUM(K216:K277)+SUM(K396:K438)+SUM(K502:K503)+SUM(K544:K545)+SUM(K596:K599)+K652+SUM(K692:K697)+K744+SUM(K786:K790)</f>
        <v>47440</v>
      </c>
      <c r="L838" s="1">
        <f>+L49+SUM(L99:L106)+SUM(L216:L277)+SUM(L396:L438)+SUM(L502:L503)+SUM(L544:L545)+SUM(L596:L599)+L652+SUM(L692:L697)+L744+SUM(L786:L790)</f>
        <v>37386</v>
      </c>
      <c r="M838" s="55">
        <f>SUM(J838:L838)</f>
        <v>121758</v>
      </c>
      <c r="N838" s="1">
        <f>+N49+SUM(N99:N106)+SUM(N216:N277)+SUM(N396:N438)+SUM(N502:N503)+SUM(N544:N545)+SUM(N596:N599)+N652+SUM(N692:N697)+N744+SUM(N786:N790)</f>
        <v>23555</v>
      </c>
      <c r="O838" s="1">
        <f>+O49+SUM(O99:O106)+SUM(O216:O277)+SUM(O396:O438)+SUM(O502:O503)+SUM(O544:O545)+SUM(O596:O599)+O652+SUM(O692:O697)+O744+SUM(O786:O790)</f>
        <v>15284</v>
      </c>
      <c r="P838" s="1">
        <f>+P49+SUM(P99:P106)+SUM(P216:P277)+SUM(P396:P438)+SUM(P502:P503)+SUM(P544:P545)+SUM(P596:P599)+P652+SUM(P692:P697)+P744+SUM(P786:P790)</f>
        <v>21154</v>
      </c>
      <c r="Q838" s="55">
        <f>SUM(N838:P838)</f>
        <v>59993</v>
      </c>
      <c r="R838" s="55">
        <f>+E838+I838+M838+Q838</f>
        <v>386609</v>
      </c>
    </row>
    <row r="839" spans="1:20" ht="16.5" customHeight="1" thickBot="1" x14ac:dyDescent="0.35">
      <c r="A839" s="57" t="s">
        <v>63</v>
      </c>
      <c r="B839" s="86">
        <f>SUM(B836:B838)</f>
        <v>13880</v>
      </c>
      <c r="C839" s="87">
        <f>SUM(C836:C838)</f>
        <v>21034</v>
      </c>
      <c r="D839" s="118">
        <f>SUM(D836:D838)</f>
        <v>44729</v>
      </c>
      <c r="E839" s="59">
        <f>SUM(B839:D839)</f>
        <v>79643</v>
      </c>
      <c r="F839" s="87">
        <f>SUM(F836:F838)</f>
        <v>71145</v>
      </c>
      <c r="G839" s="87">
        <f>SUM(G836:G838)</f>
        <v>68733</v>
      </c>
      <c r="H839" s="87">
        <f>SUM(H836:H838)</f>
        <v>51071</v>
      </c>
      <c r="I839" s="59">
        <f>SUM(F839:H839)</f>
        <v>190949</v>
      </c>
      <c r="J839" s="87">
        <f>SUM(J836:J838)</f>
        <v>47571</v>
      </c>
      <c r="K839" s="87">
        <f>SUM(K836:K838)</f>
        <v>58448</v>
      </c>
      <c r="L839" s="87">
        <f>SUM(L836:L838)</f>
        <v>44794</v>
      </c>
      <c r="M839" s="59">
        <f>SUM(J839:L839)</f>
        <v>150813</v>
      </c>
      <c r="N839" s="87">
        <f>SUM(N836:N838)</f>
        <v>26767</v>
      </c>
      <c r="O839" s="87">
        <f>SUM(O836:O838)</f>
        <v>16948</v>
      </c>
      <c r="P839" s="87">
        <f>SUM(P836:P838)</f>
        <v>25405</v>
      </c>
      <c r="Q839" s="59">
        <f>SUM(N839:P839)</f>
        <v>69120</v>
      </c>
      <c r="R839" s="59">
        <f>+E839+I839+M839+Q839</f>
        <v>490525</v>
      </c>
      <c r="T839" s="4">
        <v>1600000</v>
      </c>
    </row>
    <row r="840" spans="1:20" ht="20.25" customHeight="1" x14ac:dyDescent="0.3">
      <c r="A840" s="15" t="s">
        <v>1018</v>
      </c>
      <c r="B840" s="1"/>
      <c r="C840" s="1"/>
      <c r="D840" s="1"/>
      <c r="E840" s="55" t="s">
        <v>7</v>
      </c>
      <c r="F840" s="1"/>
      <c r="G840" s="1"/>
      <c r="H840" s="1"/>
      <c r="I840" s="55" t="s">
        <v>7</v>
      </c>
      <c r="J840" s="1"/>
      <c r="K840" s="1"/>
      <c r="L840" s="1"/>
      <c r="M840" s="55" t="s">
        <v>7</v>
      </c>
      <c r="N840" s="1"/>
      <c r="O840" s="1"/>
      <c r="P840" s="1"/>
      <c r="Q840" s="55" t="s">
        <v>7</v>
      </c>
      <c r="R840" s="55" t="s">
        <v>7</v>
      </c>
      <c r="T840" s="4">
        <f>+T839-28000-R824-R825-400000-R837-R838+12000</f>
        <v>132375</v>
      </c>
    </row>
    <row r="841" spans="1:20" ht="15.75" customHeight="1" x14ac:dyDescent="0.3">
      <c r="A841" s="15" t="s">
        <v>1019</v>
      </c>
      <c r="B841" s="1">
        <f>SUM(B52:B52)+SUM(B109:B117)+SUM(B280:B283)+SUM(B441:B442)+SUM(B506:B506)+B548+SUM(B602:B604)+B655+B700+B747+SUM(B793:B795)</f>
        <v>0</v>
      </c>
      <c r="C841" s="1">
        <f>SUM(C52:C52)+SUM(C109:C117)+SUM(C280:C283)+SUM(C441:C442)+SUM(C506:C506)+C548+SUM(C602:C604)+C655+C700+C747+SUM(C793:C795)</f>
        <v>0</v>
      </c>
      <c r="D841" s="1">
        <f>SUM(D52:D52)+SUM(D109:D117)+SUM(D280:D283)+SUM(D441:D442)+SUM(D506:D506)+D548+SUM(D602:D604)+D655+D700+D747+SUM(D793:D795)</f>
        <v>0</v>
      </c>
      <c r="E841" s="55">
        <f t="shared" ref="E841:E849" si="188">SUM(B841:D841)</f>
        <v>0</v>
      </c>
      <c r="F841" s="1">
        <f>SUM(F52:F52)+SUM(F109:F117)+SUM(F280:F283)+SUM(F441:F442)+SUM(F506:F506)+F548+SUM(F602:F604)+F655+F700+F747+SUM(F793:F795)</f>
        <v>0</v>
      </c>
      <c r="G841" s="1">
        <f>SUM(G52:G52)+SUM(G109:G117)+SUM(G280:G283)+SUM(G441:G442)+SUM(G506:G506)+G548+SUM(G602:G604)+G655+G700+G747+SUM(G793:G795)</f>
        <v>0</v>
      </c>
      <c r="H841" s="1">
        <f>SUM(H52:H52)+SUM(H109:H117)+SUM(H280:H283)+SUM(H441:H442)+SUM(H506:H506)+H548+SUM(H602:H604)+H655+H700+H747+SUM(H793:H795)</f>
        <v>0</v>
      </c>
      <c r="I841" s="55">
        <f t="shared" ref="I841:I849" si="189">SUM(F841:H841)</f>
        <v>0</v>
      </c>
      <c r="J841" s="1">
        <f>SUM(J52:J52)+SUM(J109:J117)+SUM(J280:J283)+SUM(J441:J442)+SUM(J506:J506)+J548+SUM(J602:J604)+J655+J700+J747+SUM(J793:J795)</f>
        <v>0</v>
      </c>
      <c r="K841" s="1">
        <f>SUM(K52:K52)+SUM(K109:K117)+SUM(K280:K283)+SUM(K441:K442)+SUM(K506:K506)+K548+SUM(K602:K604)+K655+K700+K747+SUM(K793:K795)</f>
        <v>0</v>
      </c>
      <c r="L841" s="1">
        <f>SUM(L52:L52)+SUM(L109:L117)+SUM(L280:L283)+SUM(L441:L442)+SUM(L506:L506)+L548+SUM(L602:L604)+L655+L700+L747+SUM(L793:L795)</f>
        <v>0</v>
      </c>
      <c r="M841" s="55">
        <f t="shared" ref="M841:M849" si="190">SUM(J841:L841)</f>
        <v>0</v>
      </c>
      <c r="N841" s="1">
        <f>SUM(N52:N52)+SUM(N109:N117)+SUM(N280:N283)+SUM(N441:N442)+SUM(N506:N506)+N548+SUM(N602:N604)+N655+N700+N747+SUM(N793:N795)</f>
        <v>0</v>
      </c>
      <c r="O841" s="1">
        <f>SUM(O52:O52)+SUM(O109:O117)+SUM(O280:O283)+SUM(O441:O442)+SUM(O506:O506)+O548+SUM(O602:O604)+O655+O700+O747+SUM(O793:O795)</f>
        <v>0</v>
      </c>
      <c r="P841" s="1">
        <f>SUM(P52:P52)+SUM(P109:P117)+SUM(P280:P283)+SUM(P441:P442)+SUM(P506:P506)+P548+SUM(P602:P604)+P655+P700+P747+SUM(P793:P795)</f>
        <v>0</v>
      </c>
      <c r="Q841" s="55">
        <f t="shared" ref="Q841:Q849" si="191">SUM(N841:P841)</f>
        <v>0</v>
      </c>
      <c r="R841" s="55">
        <f>+E841+I841+M841+Q841</f>
        <v>0</v>
      </c>
    </row>
    <row r="842" spans="1:20" ht="15.75" customHeight="1" x14ac:dyDescent="0.3">
      <c r="A842" s="15" t="s">
        <v>67</v>
      </c>
      <c r="B842" s="1">
        <f>SUM(B53:B54)+SUM(B118:B119)+SUM(B284:B285)+B287+B289+B291+B292+SUM(B443:B445)+B507+B549+SUM(B605:B606)+B608+SUM(B656:B657)+B702+B704+B748+SUM(B796:B797)</f>
        <v>0</v>
      </c>
      <c r="C842" s="1">
        <f>SUM(C53:C54)+SUM(C118:C119)+SUM(C284:C285)+C287+C289+C291+C292+SUM(C443:C445)+C507+C549+SUM(C605:C606)+C608+SUM(C656:C657)+C702+C704+C748+SUM(C796:C797)</f>
        <v>0</v>
      </c>
      <c r="D842" s="1">
        <f>SUM(D53:D54)+SUM(D118:D119)+SUM(D284:D285)+D287+D289+D291+D292+SUM(D443:D445)+D507+D549+SUM(D605:D606)+D608+SUM(D656:D657)+D702+D704+D748+SUM(D796:D797)</f>
        <v>0</v>
      </c>
      <c r="E842" s="55">
        <f t="shared" si="188"/>
        <v>0</v>
      </c>
      <c r="F842" s="1">
        <f>SUM(F53:F54)+SUM(F118:F119)+SUM(F284:F285)+F287+F289+F291+F292+SUM(F443:F445)+F507+F549+SUM(F605:F606)+F608+SUM(F656:F657)+F702+F704+F748+SUM(F796:F797)</f>
        <v>0</v>
      </c>
      <c r="G842" s="1">
        <f>SUM(G53:G54)+SUM(G118:G119)+SUM(G284:G285)+G287+G289+G291+G292+SUM(G443:G445)+G507+G549+SUM(G605:G606)+G608+SUM(G656:G657)+G702+G704+G748+SUM(G796:G797)</f>
        <v>0</v>
      </c>
      <c r="H842" s="1">
        <f>SUM(H53:H54)+SUM(H118:H119)+SUM(H284:H285)+H287+H289+H291+H292+SUM(H443:H445)+H507+H549+SUM(H605:H606)+H608+SUM(H656:H657)+H702+H704+H748+SUM(H796:H797)</f>
        <v>0</v>
      </c>
      <c r="I842" s="55">
        <f t="shared" si="189"/>
        <v>0</v>
      </c>
      <c r="J842" s="1">
        <f>SUM(J53:J54)+SUM(J118:J119)+SUM(J284:J285)+J287+J289+J291+J292+SUM(J443:J445)+J507+J549+SUM(J605:J606)+J608+SUM(J656:J657)+J702+J704+J748+SUM(J796:J797)</f>
        <v>0</v>
      </c>
      <c r="K842" s="1">
        <f>SUM(K53:K54)+SUM(K118:K119)+SUM(K284:K285)+K287+K289+K291+K292+SUM(K443:K445)+K507+K549+SUM(K605:K606)+K608+SUM(K656:K657)+K702+K704+K748+SUM(K796:K797)</f>
        <v>0</v>
      </c>
      <c r="L842" s="1">
        <f>SUM(L53:L54)+SUM(L118:L119)+SUM(L284:L285)+L287+L289+L291+L292+SUM(L443:L445)+L507+L549+SUM(L605:L606)+L608+SUM(L656:L657)+L702+L704+L748+SUM(L796:L797)</f>
        <v>850</v>
      </c>
      <c r="M842" s="55">
        <f t="shared" si="190"/>
        <v>850</v>
      </c>
      <c r="N842" s="1">
        <f>SUM(N53:N54)+SUM(N118:N119)+SUM(N284:N285)+N287+N289+N291+N292+SUM(N443:N445)+N507+N549+SUM(N605:N606)+N608+SUM(N656:N657)+N702+N704+N748+SUM(N796:N797)</f>
        <v>1050</v>
      </c>
      <c r="O842" s="1">
        <f>SUM(O53:O54)+SUM(O118:O119)+SUM(O284:O285)+O287+O289+O291+O292+SUM(O443:O445)+O507+O549+SUM(O605:O606)+O608+SUM(O656:O657)+O702+O704+O748+SUM(O796:O797)</f>
        <v>0</v>
      </c>
      <c r="P842" s="1">
        <f>SUM(P53:P54)+SUM(P118:P119)+SUM(P284:P285)+P287+P289+P291+P292+SUM(P443:P445)+P507+P549+SUM(P605:P606)+P608+SUM(P656:P657)+P702+P704+P748+SUM(P796:P797)</f>
        <v>1</v>
      </c>
      <c r="Q842" s="55">
        <f t="shared" si="191"/>
        <v>1051</v>
      </c>
      <c r="R842" s="55">
        <f t="shared" ref="R842:R849" si="192">+E842+I842+M842+Q842</f>
        <v>1901</v>
      </c>
    </row>
    <row r="843" spans="1:20" ht="15.75" customHeight="1" x14ac:dyDescent="0.3">
      <c r="A843" s="71" t="s">
        <v>378</v>
      </c>
      <c r="B843" s="1">
        <f>B120+B286+B288+B290+B607+B609+B703+B705+B798</f>
        <v>0</v>
      </c>
      <c r="C843" s="1">
        <f>C120+C286+C288+C290+C607+C609+C703+C705+C798</f>
        <v>0</v>
      </c>
      <c r="D843" s="1">
        <f>D120+D286+D288+D290+D607+D609+D703+D705+D798</f>
        <v>0</v>
      </c>
      <c r="E843" s="55">
        <f t="shared" si="188"/>
        <v>0</v>
      </c>
      <c r="F843" s="1">
        <f>F120+F286+F288+F290+F607+F609+F703+F705+F798</f>
        <v>0</v>
      </c>
      <c r="G843" s="1">
        <f>G120+G286+G288+G290+G607+G609+G703+G705+G798</f>
        <v>0</v>
      </c>
      <c r="H843" s="1">
        <f>H120+H286+H288+H290+H607+H609+H703+H705+H798</f>
        <v>0</v>
      </c>
      <c r="I843" s="55">
        <f t="shared" si="189"/>
        <v>0</v>
      </c>
      <c r="J843" s="1">
        <f>J120+J286+J288+J290+J607+J609+J703+J705+J798</f>
        <v>0</v>
      </c>
      <c r="K843" s="1">
        <f>K120+K286+K288+K290+K607+K609+K703+K705+K798</f>
        <v>0</v>
      </c>
      <c r="L843" s="1">
        <f>L120+L286+L288+L290+L607+L609+L703+L705+L798</f>
        <v>0</v>
      </c>
      <c r="M843" s="55">
        <f t="shared" si="190"/>
        <v>0</v>
      </c>
      <c r="N843" s="1">
        <f>N120+N286+N288+N290+N607+N609+N703+N705+N798</f>
        <v>0</v>
      </c>
      <c r="O843" s="1">
        <f>O120+O286+O288+O290+O607+O609+O703+O705+O798</f>
        <v>0</v>
      </c>
      <c r="P843" s="1">
        <f>P120+P286+P288+P290+P607+P609+P703+P705+P798</f>
        <v>0</v>
      </c>
      <c r="Q843" s="55">
        <f t="shared" si="191"/>
        <v>0</v>
      </c>
      <c r="R843" s="55">
        <f t="shared" si="192"/>
        <v>0</v>
      </c>
    </row>
    <row r="844" spans="1:20" ht="15.75" customHeight="1" x14ac:dyDescent="0.3">
      <c r="A844" s="15" t="s">
        <v>1020</v>
      </c>
      <c r="B844" s="1">
        <f>+B55+SUM(B121:B122)+SUM(B293:B294)+SUM(B446:B452)+SUM(B508:B508)+SUM(B550:B551)+B610+B658+B706+B799+B799</f>
        <v>0</v>
      </c>
      <c r="C844" s="1">
        <f>+C55+SUM(C121:C122)+SUM(C293:C294)+SUM(C446:C452)+SUM(C508:C508)+SUM(C550:C551)+C610+C658+C706+C799+C799</f>
        <v>0</v>
      </c>
      <c r="D844" s="1">
        <f>+D55+SUM(D121:D122)+SUM(D293:D294)+SUM(D446:D452)+SUM(D508:D508)+SUM(D550:D551)+D610+D658+D706+D799+D799</f>
        <v>0</v>
      </c>
      <c r="E844" s="55">
        <f t="shared" si="188"/>
        <v>0</v>
      </c>
      <c r="F844" s="1">
        <f>+F55+SUM(F121:F122)+SUM(F293:F294)+SUM(F446:F452)+SUM(F508:F508)+SUM(F550:F551)+F610+F658+F706+F799+F799</f>
        <v>0</v>
      </c>
      <c r="G844" s="1">
        <f>+G55+SUM(G121:G122)+SUM(G293:G294)+SUM(G446:G452)+SUM(G508:G508)+SUM(G550:G551)+G610+G658+G706+G799+G799</f>
        <v>1000</v>
      </c>
      <c r="H844" s="1">
        <f>+H55+SUM(H121:H122)+SUM(H293:H294)+SUM(H446:H452)+SUM(H508:H508)+SUM(H550:H551)+H610+H658+H706+H799+H799</f>
        <v>0</v>
      </c>
      <c r="I844" s="55">
        <f t="shared" si="189"/>
        <v>1000</v>
      </c>
      <c r="J844" s="1">
        <f>+J55+SUM(J121:J122)+SUM(J293:J294)+SUM(J446:J452)+SUM(J508:J508)+SUM(J550:J551)+J610+J658+J706+J799+J799</f>
        <v>0</v>
      </c>
      <c r="K844" s="1">
        <f>+K55+SUM(K121:K122)+SUM(K293:K294)+SUM(K446:K452)+SUM(K508:K508)+SUM(K550:K551)+K610+K658+K706+K799+K799</f>
        <v>0</v>
      </c>
      <c r="L844" s="1">
        <f>+L55+SUM(L121:L122)+SUM(L293:L294)+SUM(L446:L452)+SUM(L508:L508)+SUM(L550:L551)+L610+L658+L706+L799+L799</f>
        <v>0</v>
      </c>
      <c r="M844" s="55">
        <f t="shared" si="190"/>
        <v>0</v>
      </c>
      <c r="N844" s="1">
        <f>+N55+SUM(N121:N122)+SUM(N293:N294)+SUM(N446:N452)+SUM(N508:N508)+SUM(N550:N551)+N610+N658+N706+N799+N799</f>
        <v>0</v>
      </c>
      <c r="O844" s="1">
        <f>+O55+SUM(O121:O122)+SUM(O293:O294)+SUM(O446:O452)+SUM(O508:O508)+SUM(O550:O551)+O610+O658+O706+O799+O799</f>
        <v>0</v>
      </c>
      <c r="P844" s="1">
        <f>+P55+SUM(P121:P122)+SUM(P293:P294)+SUM(P446:P452)+SUM(P508:P508)+SUM(P550:P551)+P610+P658+P706+P799+P799</f>
        <v>0</v>
      </c>
      <c r="Q844" s="55">
        <f t="shared" si="191"/>
        <v>0</v>
      </c>
      <c r="R844" s="55">
        <f>+E844+I844+M844+Q844</f>
        <v>1000</v>
      </c>
    </row>
    <row r="845" spans="1:20" ht="22.5" customHeight="1" x14ac:dyDescent="0.3">
      <c r="A845" s="15" t="s">
        <v>1021</v>
      </c>
      <c r="B845" s="1">
        <f>SUM(B123:B123)+SUM(B295:B296)+B454+B456+B457+B459+B461+SUM(B509:B510)+B553+B555+B611+SUM(B612:B613)+B659+B707+B750+B800</f>
        <v>300</v>
      </c>
      <c r="C845" s="1">
        <f>SUM(C123:C123)+SUM(C295:C296)+C454+C456+C457+C459+C461+SUM(C509:C510)+C553+C555+C611+SUM(C612:C613)+C659+C707+C750+C800</f>
        <v>410</v>
      </c>
      <c r="D845" s="1">
        <f>SUM(D123:D123)+SUM(D295:D296)+D454+D456+D457+D459+D461+SUM(D509:D510)+D553+D555+D611+SUM(D612:D613)+D659+D707+D750+D800</f>
        <v>710</v>
      </c>
      <c r="E845" s="55">
        <f t="shared" si="188"/>
        <v>1420</v>
      </c>
      <c r="F845" s="1">
        <f>SUM(F123:F123)+SUM(F295:F296)+F454+F456+F457+F459+F461+SUM(F509:F510)+F553+F555+F611+SUM(F612:F613)+F659+F707+F750+F800</f>
        <v>610</v>
      </c>
      <c r="G845" s="1">
        <f>SUM(G123:G123)+SUM(G295:G296)+G454+G456+G457+G459+G461+SUM(G509:G510)+G553+G555+G611+SUM(G612:G613)+G659+G707+G750+G800</f>
        <v>740</v>
      </c>
      <c r="H845" s="1">
        <f>SUM(H123:H123)+SUM(H295:H296)+H454+H456+H457+H459+H461+SUM(H509:H510)+H553+H555+H611+SUM(H612:H613)+H659+H707+H750+H800</f>
        <v>766</v>
      </c>
      <c r="I845" s="55">
        <f t="shared" si="189"/>
        <v>2116</v>
      </c>
      <c r="J845" s="1">
        <f>SUM(J123:J123)+SUM(J295:J296)+J454+J456+J457+J459+J461+SUM(J509:J510)+J553+J555+J611+SUM(J612:J613)+J659+J707+J750+J800</f>
        <v>4744</v>
      </c>
      <c r="K845" s="1">
        <f>SUM(K123:K123)+SUM(K295:K296)+K454+K456+K457+K459+K461+SUM(K509:K510)+K553+K555+K611+SUM(K612:K613)+K659+K707+K750+K800</f>
        <v>1219</v>
      </c>
      <c r="L845" s="1">
        <f>SUM(L123:L123)+SUM(L295:L296)+L454+L456+L457+L459+L461+SUM(L509:L510)+L553+L555+L611+SUM(L612:L613)+L659+L707+L750+L800</f>
        <v>200</v>
      </c>
      <c r="M845" s="55">
        <f t="shared" si="190"/>
        <v>6163</v>
      </c>
      <c r="N845" s="1">
        <f>SUM(N123:N123)+SUM(N295:N296)+N454+N456+N457+N459+N461+SUM(N509:N510)+N553+N555+N611+SUM(N612:N613)+N659+N707+N750+N800</f>
        <v>2137</v>
      </c>
      <c r="O845" s="1">
        <f>SUM(O123:O123)+SUM(O295:O296)+O454+O456+O457+O459+O461+SUM(O509:O510)+O553+O555+O611+SUM(O612:O613)+O659+O707+O750+O800</f>
        <v>2329</v>
      </c>
      <c r="P845" s="1">
        <f>SUM(P123:P123)+SUM(P295:P296)+P454+P456+P457+P459+P461+SUM(P509:P510)+P553+P555+P611+SUM(P612:P613)+P659+P707+P750+P800</f>
        <v>1564</v>
      </c>
      <c r="Q845" s="55">
        <f t="shared" si="191"/>
        <v>6030</v>
      </c>
      <c r="R845" s="55">
        <f t="shared" si="192"/>
        <v>15729</v>
      </c>
    </row>
    <row r="846" spans="1:20" ht="15.75" customHeight="1" thickBot="1" x14ac:dyDescent="0.35">
      <c r="A846" s="71" t="s">
        <v>379</v>
      </c>
      <c r="B846" s="1">
        <f>+B455+B458+B460+B511</f>
        <v>0</v>
      </c>
      <c r="C846" s="1">
        <f>+C455+C458+C460+C511</f>
        <v>0</v>
      </c>
      <c r="D846" s="1">
        <f>+D455+D458+D460+D511</f>
        <v>0</v>
      </c>
      <c r="E846" s="55">
        <f>SUM(B846:D846)</f>
        <v>0</v>
      </c>
      <c r="F846" s="1">
        <f>+F455+F458+F460+F511</f>
        <v>0</v>
      </c>
      <c r="G846" s="1">
        <f>+G455+G458+G460+G511</f>
        <v>0</v>
      </c>
      <c r="H846" s="1">
        <f>+H455+H458+H460+H511</f>
        <v>0</v>
      </c>
      <c r="I846" s="55">
        <f>SUM(F846:H846)</f>
        <v>0</v>
      </c>
      <c r="J846" s="1">
        <f>+J455+J458+J460+J511</f>
        <v>0</v>
      </c>
      <c r="K846" s="1">
        <f>+K455+K458+K460+K511</f>
        <v>0</v>
      </c>
      <c r="L846" s="1">
        <f>+L455+L458+L460+L511</f>
        <v>0</v>
      </c>
      <c r="M846" s="55">
        <f>SUM(J846:L846)</f>
        <v>0</v>
      </c>
      <c r="N846" s="1">
        <f>+N455+N458+N460+N511</f>
        <v>0</v>
      </c>
      <c r="O846" s="1">
        <f>+O455+O458+O460+O511</f>
        <v>0</v>
      </c>
      <c r="P846" s="1">
        <f>+P455+P458+P460+P511</f>
        <v>0</v>
      </c>
      <c r="Q846" s="55">
        <f>SUM(N846:P846)</f>
        <v>0</v>
      </c>
      <c r="R846" s="55">
        <f>+E846+I846+M846+Q846</f>
        <v>0</v>
      </c>
    </row>
    <row r="847" spans="1:20" ht="16.5" customHeight="1" thickBot="1" x14ac:dyDescent="0.35">
      <c r="A847" s="57" t="s">
        <v>71</v>
      </c>
      <c r="B847" s="146">
        <f>SUM(B844:B846)</f>
        <v>300</v>
      </c>
      <c r="C847" s="146">
        <f>SUM(C844:C846)</f>
        <v>410</v>
      </c>
      <c r="D847" s="146">
        <f>SUM(D844:D846)</f>
        <v>710</v>
      </c>
      <c r="E847" s="60">
        <f t="shared" si="188"/>
        <v>1420</v>
      </c>
      <c r="F847" s="146">
        <f>SUM(F844:F846)</f>
        <v>610</v>
      </c>
      <c r="G847" s="146">
        <f>SUM(G844:G846)</f>
        <v>1740</v>
      </c>
      <c r="H847" s="146">
        <f>SUM(H844:H846)</f>
        <v>766</v>
      </c>
      <c r="I847" s="60">
        <f t="shared" si="189"/>
        <v>3116</v>
      </c>
      <c r="J847" s="146">
        <f>SUM(J844:J846)</f>
        <v>4744</v>
      </c>
      <c r="K847" s="146">
        <f>SUM(K844:K846)</f>
        <v>1219</v>
      </c>
      <c r="L847" s="146">
        <f>SUM(L844:L846)</f>
        <v>200</v>
      </c>
      <c r="M847" s="60">
        <f t="shared" si="190"/>
        <v>6163</v>
      </c>
      <c r="N847" s="146">
        <f>SUM(N844:N846)</f>
        <v>2137</v>
      </c>
      <c r="O847" s="146">
        <f>SUM(O844:O846)</f>
        <v>2329</v>
      </c>
      <c r="P847" s="146">
        <f>SUM(P844:P846)</f>
        <v>1564</v>
      </c>
      <c r="Q847" s="60">
        <f t="shared" si="191"/>
        <v>6030</v>
      </c>
      <c r="R847" s="59">
        <f t="shared" si="192"/>
        <v>16729</v>
      </c>
    </row>
    <row r="848" spans="1:20" ht="16.5" customHeight="1" thickBot="1" x14ac:dyDescent="0.35">
      <c r="A848" s="114" t="s">
        <v>72</v>
      </c>
      <c r="B848" s="86">
        <f>SUM(B840:B846)</f>
        <v>300</v>
      </c>
      <c r="C848" s="87">
        <f>SUM(C840:C846)</f>
        <v>410</v>
      </c>
      <c r="D848" s="118">
        <f>SUM(D840:D846)</f>
        <v>710</v>
      </c>
      <c r="E848" s="147">
        <f t="shared" si="188"/>
        <v>1420</v>
      </c>
      <c r="F848" s="86">
        <f>SUM(F840:F846)</f>
        <v>610</v>
      </c>
      <c r="G848" s="87">
        <f>SUM(G840:G846)</f>
        <v>1740</v>
      </c>
      <c r="H848" s="118">
        <f>SUM(H840:H846)</f>
        <v>766</v>
      </c>
      <c r="I848" s="60">
        <f t="shared" si="189"/>
        <v>3116</v>
      </c>
      <c r="J848" s="86">
        <f>SUM(J840:J846)</f>
        <v>4744</v>
      </c>
      <c r="K848" s="87">
        <f>SUM(K840:K846)</f>
        <v>1219</v>
      </c>
      <c r="L848" s="118">
        <f>SUM(L840:L846)</f>
        <v>1050</v>
      </c>
      <c r="M848" s="60">
        <f t="shared" si="190"/>
        <v>7013</v>
      </c>
      <c r="N848" s="86">
        <f>SUM(N840:N846)</f>
        <v>3187</v>
      </c>
      <c r="O848" s="87">
        <f>SUM(O840:O846)</f>
        <v>2329</v>
      </c>
      <c r="P848" s="118">
        <f>SUM(P840:P846)</f>
        <v>1565</v>
      </c>
      <c r="Q848" s="60">
        <f t="shared" si="191"/>
        <v>7081</v>
      </c>
      <c r="R848" s="59">
        <f t="shared" si="192"/>
        <v>18630</v>
      </c>
    </row>
    <row r="849" spans="1:18" ht="16.5" customHeight="1" thickBot="1" x14ac:dyDescent="0.35">
      <c r="A849" s="57" t="s">
        <v>73</v>
      </c>
      <c r="B849" s="148">
        <f>+B830+B835+B839+B848</f>
        <v>44141</v>
      </c>
      <c r="C849" s="149">
        <f>+C830+C835+C839+C848</f>
        <v>49345</v>
      </c>
      <c r="D849" s="149">
        <f>+D830+D835+D839+D848</f>
        <v>109644</v>
      </c>
      <c r="E849" s="59">
        <f t="shared" si="188"/>
        <v>203130</v>
      </c>
      <c r="F849" s="58">
        <f>+F830+F835+F839+F848</f>
        <v>147631</v>
      </c>
      <c r="G849" s="58">
        <f>+G830+G835+G839+G848</f>
        <v>147226</v>
      </c>
      <c r="H849" s="58">
        <f>+H830+H835+H839+H848</f>
        <v>193124</v>
      </c>
      <c r="I849" s="59">
        <f t="shared" si="189"/>
        <v>487981</v>
      </c>
      <c r="J849" s="58">
        <f>+J830+J835+J839+J848</f>
        <v>170239</v>
      </c>
      <c r="K849" s="58">
        <f>+K830+K835+K839+K848</f>
        <v>162968</v>
      </c>
      <c r="L849" s="58">
        <f>+L830+L835+L839+L848</f>
        <v>131170</v>
      </c>
      <c r="M849" s="59">
        <f t="shared" si="190"/>
        <v>464377</v>
      </c>
      <c r="N849" s="58">
        <f>+N830+N835+N839+N848</f>
        <v>79636</v>
      </c>
      <c r="O849" s="58">
        <f>+O830+O835+O839+O848</f>
        <v>54330</v>
      </c>
      <c r="P849" s="58">
        <f>+P830+P835+P839+P848</f>
        <v>67861</v>
      </c>
      <c r="Q849" s="59">
        <f t="shared" si="191"/>
        <v>201827</v>
      </c>
      <c r="R849" s="81">
        <f t="shared" si="192"/>
        <v>1357315</v>
      </c>
    </row>
    <row r="850" spans="1:18" ht="15.75" customHeight="1" x14ac:dyDescent="0.3">
      <c r="A850" s="1" t="s">
        <v>1022</v>
      </c>
      <c r="B850" s="1"/>
      <c r="C850" s="1"/>
      <c r="D850" s="1"/>
      <c r="E850" s="1"/>
      <c r="F850" s="1"/>
      <c r="G850" s="1"/>
      <c r="H850" s="1"/>
      <c r="I850" s="1"/>
      <c r="J850" s="1"/>
      <c r="K850" s="1"/>
      <c r="L850" s="1"/>
      <c r="M850" s="1"/>
      <c r="N850" s="1"/>
      <c r="O850" s="316"/>
      <c r="P850" s="1"/>
      <c r="Q850" s="1"/>
      <c r="R850" s="2"/>
    </row>
    <row r="851" spans="1:18" ht="15.75" customHeight="1" x14ac:dyDescent="0.3">
      <c r="A851" s="1" t="s">
        <v>1023</v>
      </c>
      <c r="B851" s="1"/>
      <c r="C851" s="1"/>
      <c r="D851" s="1"/>
      <c r="E851" s="1"/>
      <c r="F851" s="1"/>
      <c r="G851" s="1"/>
      <c r="H851" s="1"/>
      <c r="I851" s="1"/>
      <c r="J851" s="1"/>
      <c r="K851" s="1"/>
      <c r="L851" s="1"/>
      <c r="M851" s="1"/>
      <c r="N851" s="1"/>
      <c r="O851" s="316"/>
      <c r="P851" s="1"/>
      <c r="Q851" s="1"/>
      <c r="R851" s="2"/>
    </row>
    <row r="852" spans="1:18" ht="15.75" customHeight="1" x14ac:dyDescent="0.3">
      <c r="A852" s="1"/>
      <c r="B852" s="1"/>
      <c r="C852" s="1"/>
      <c r="D852" s="1"/>
      <c r="E852" s="1"/>
      <c r="F852" s="1"/>
      <c r="G852" s="1"/>
      <c r="H852" s="1"/>
      <c r="I852" s="1"/>
      <c r="J852" s="1"/>
      <c r="K852" s="1"/>
      <c r="L852" s="1"/>
      <c r="M852" s="1"/>
      <c r="N852" s="1"/>
      <c r="O852" s="316"/>
      <c r="P852" s="1"/>
      <c r="Q852" s="338" t="str">
        <f>+Q1</f>
        <v xml:space="preserve">PRINTED:  </v>
      </c>
      <c r="R852" s="360">
        <f ca="1">+R1</f>
        <v>44909.46975358796</v>
      </c>
    </row>
    <row r="853" spans="1:18" ht="15.75" customHeight="1" x14ac:dyDescent="0.3">
      <c r="A853" s="499" t="s">
        <v>1</v>
      </c>
      <c r="B853" s="499"/>
      <c r="C853" s="499"/>
      <c r="D853" s="499"/>
      <c r="E853" s="499"/>
      <c r="F853" s="499"/>
      <c r="G853" s="499"/>
      <c r="H853" s="499"/>
      <c r="I853" s="499"/>
      <c r="J853" s="499"/>
      <c r="K853" s="499"/>
      <c r="L853" s="499"/>
      <c r="M853" s="499"/>
      <c r="N853" s="499"/>
      <c r="O853" s="499"/>
      <c r="P853" s="499"/>
      <c r="Q853" s="499"/>
      <c r="R853" s="499"/>
    </row>
    <row r="854" spans="1:18" ht="15.75" customHeight="1" x14ac:dyDescent="0.3">
      <c r="A854" s="499" t="s">
        <v>2</v>
      </c>
      <c r="B854" s="499"/>
      <c r="C854" s="499"/>
      <c r="D854" s="499"/>
      <c r="E854" s="499"/>
      <c r="F854" s="499"/>
      <c r="G854" s="499"/>
      <c r="H854" s="499"/>
      <c r="I854" s="499"/>
      <c r="J854" s="499"/>
      <c r="K854" s="499"/>
      <c r="L854" s="499"/>
      <c r="M854" s="499"/>
      <c r="N854" s="499"/>
      <c r="O854" s="499"/>
      <c r="P854" s="499"/>
      <c r="Q854" s="499"/>
      <c r="R854" s="499"/>
    </row>
    <row r="855" spans="1:18" ht="15.75" customHeight="1" x14ac:dyDescent="0.3">
      <c r="A855" s="499" t="s">
        <v>3</v>
      </c>
      <c r="B855" s="499"/>
      <c r="C855" s="499"/>
      <c r="D855" s="499"/>
      <c r="E855" s="499"/>
      <c r="F855" s="499"/>
      <c r="G855" s="499"/>
      <c r="H855" s="499"/>
      <c r="I855" s="499"/>
      <c r="J855" s="499"/>
      <c r="K855" s="499"/>
      <c r="L855" s="499"/>
      <c r="M855" s="499"/>
      <c r="N855" s="499"/>
      <c r="O855" s="499"/>
      <c r="P855" s="499"/>
      <c r="Q855" s="499"/>
      <c r="R855" s="499"/>
    </row>
    <row r="856" spans="1:18" ht="15.75" customHeight="1" x14ac:dyDescent="0.3">
      <c r="A856" s="505">
        <f>+A5</f>
        <v>2017</v>
      </c>
      <c r="B856" s="505"/>
      <c r="C856" s="505"/>
      <c r="D856" s="505"/>
      <c r="E856" s="505"/>
      <c r="F856" s="505"/>
      <c r="G856" s="505"/>
      <c r="H856" s="505"/>
      <c r="I856" s="505"/>
      <c r="J856" s="505"/>
      <c r="K856" s="505"/>
      <c r="L856" s="505"/>
      <c r="M856" s="505"/>
      <c r="N856" s="505"/>
      <c r="O856" s="505"/>
      <c r="P856" s="505"/>
      <c r="Q856" s="505"/>
      <c r="R856" s="505"/>
    </row>
    <row r="857" spans="1:18" ht="15.75" customHeight="1" x14ac:dyDescent="0.3">
      <c r="A857" s="1"/>
      <c r="B857" s="1"/>
      <c r="C857" s="1"/>
      <c r="D857" s="5"/>
      <c r="E857" s="5"/>
      <c r="F857" s="5"/>
      <c r="G857" s="6"/>
      <c r="H857" s="5"/>
      <c r="I857" s="5"/>
      <c r="J857" s="6"/>
      <c r="K857" s="6"/>
      <c r="L857" s="6"/>
      <c r="M857" s="6"/>
      <c r="N857" s="1"/>
      <c r="O857" s="6"/>
      <c r="P857" s="6"/>
      <c r="Q857" s="6"/>
      <c r="R857" s="6"/>
    </row>
    <row r="858" spans="1:18" ht="15.75" customHeight="1" x14ac:dyDescent="0.3">
      <c r="A858" s="499" t="str">
        <f>+A8</f>
        <v>Revised:  1/18/2018</v>
      </c>
      <c r="B858" s="499"/>
      <c r="C858" s="499"/>
      <c r="D858" s="499"/>
      <c r="E858" s="499"/>
      <c r="F858" s="499"/>
      <c r="G858" s="499"/>
      <c r="H858" s="499"/>
      <c r="I858" s="499"/>
      <c r="J858" s="499"/>
      <c r="K858" s="499"/>
      <c r="L858" s="499"/>
      <c r="M858" s="499"/>
      <c r="N858" s="499"/>
      <c r="O858" s="499"/>
      <c r="P858" s="499"/>
      <c r="Q858" s="499"/>
      <c r="R858" s="499"/>
    </row>
    <row r="859" spans="1:18" ht="15.75" customHeight="1" x14ac:dyDescent="0.3">
      <c r="A859" s="314"/>
      <c r="B859" s="314"/>
      <c r="C859" s="314"/>
      <c r="D859" s="314"/>
      <c r="E859" s="314"/>
      <c r="F859" s="314"/>
      <c r="G859" s="314"/>
      <c r="H859" s="314"/>
      <c r="I859" s="314"/>
      <c r="J859" s="314"/>
      <c r="K859" s="314"/>
      <c r="L859" s="314"/>
      <c r="M859" s="314"/>
      <c r="N859" s="314"/>
      <c r="O859" s="314"/>
      <c r="P859" s="314"/>
      <c r="Q859" s="314"/>
      <c r="R859" s="314"/>
    </row>
    <row r="860" spans="1:18" ht="15.75" customHeight="1" x14ac:dyDescent="0.3">
      <c r="A860" s="28"/>
      <c r="B860" s="1"/>
      <c r="C860" s="1"/>
      <c r="D860" s="1"/>
      <c r="E860" s="1"/>
      <c r="F860" s="1"/>
      <c r="G860" s="1"/>
      <c r="H860" s="1"/>
      <c r="I860" s="1"/>
      <c r="J860" s="1"/>
      <c r="K860" s="1"/>
      <c r="L860" s="1"/>
      <c r="M860" s="1"/>
      <c r="N860" s="1"/>
      <c r="O860" s="1"/>
      <c r="P860" s="1"/>
      <c r="Q860" s="1"/>
      <c r="R860" s="2"/>
    </row>
    <row r="861" spans="1:18" ht="15.75" customHeight="1" thickBot="1" x14ac:dyDescent="0.35">
      <c r="A861" s="1"/>
      <c r="B861" s="1"/>
      <c r="C861" s="1"/>
      <c r="D861" s="1"/>
      <c r="E861" s="1"/>
      <c r="F861" s="1"/>
      <c r="G861" s="1"/>
      <c r="H861" s="1"/>
      <c r="I861" s="1"/>
      <c r="J861" s="1"/>
      <c r="K861" s="1"/>
      <c r="L861" s="1"/>
      <c r="M861" s="1"/>
      <c r="N861" s="1"/>
      <c r="O861" s="316"/>
      <c r="P861" s="1"/>
      <c r="Q861" s="1"/>
      <c r="R861" s="2"/>
    </row>
    <row r="862" spans="1:18" ht="15.75" customHeight="1" thickBot="1" x14ac:dyDescent="0.35">
      <c r="A862" s="107" t="s">
        <v>380</v>
      </c>
      <c r="B862" s="47" t="s">
        <v>8</v>
      </c>
      <c r="C862" s="48" t="s">
        <v>9</v>
      </c>
      <c r="D862" s="48" t="s">
        <v>10</v>
      </c>
      <c r="E862" s="32" t="s">
        <v>11</v>
      </c>
      <c r="F862" s="48" t="s">
        <v>12</v>
      </c>
      <c r="G862" s="48" t="s">
        <v>13</v>
      </c>
      <c r="H862" s="48" t="s">
        <v>14</v>
      </c>
      <c r="I862" s="32" t="s">
        <v>15</v>
      </c>
      <c r="J862" s="48" t="s">
        <v>16</v>
      </c>
      <c r="K862" s="48" t="s">
        <v>17</v>
      </c>
      <c r="L862" s="48" t="s">
        <v>18</v>
      </c>
      <c r="M862" s="32" t="s">
        <v>19</v>
      </c>
      <c r="N862" s="48" t="s">
        <v>20</v>
      </c>
      <c r="O862" s="48" t="s">
        <v>21</v>
      </c>
      <c r="P862" s="48" t="s">
        <v>22</v>
      </c>
      <c r="Q862" s="32" t="s">
        <v>23</v>
      </c>
      <c r="R862" s="151" t="s">
        <v>24</v>
      </c>
    </row>
    <row r="863" spans="1:18" ht="16.5" customHeight="1" thickBot="1" x14ac:dyDescent="0.35">
      <c r="A863" s="152"/>
      <c r="B863" s="153"/>
      <c r="C863" s="153"/>
      <c r="D863" s="153"/>
      <c r="E863" s="52"/>
      <c r="F863" s="153"/>
      <c r="G863" s="153"/>
      <c r="H863" s="153"/>
      <c r="I863" s="37"/>
      <c r="J863" s="153"/>
      <c r="K863" s="153"/>
      <c r="L863" s="153"/>
      <c r="M863" s="37"/>
      <c r="N863" s="153"/>
      <c r="O863" s="153"/>
      <c r="P863" s="153"/>
      <c r="Q863" s="127"/>
      <c r="R863" s="154"/>
    </row>
    <row r="864" spans="1:18" ht="16.5" customHeight="1" thickBot="1" x14ac:dyDescent="0.35">
      <c r="A864" s="155" t="s">
        <v>381</v>
      </c>
      <c r="B864" s="156">
        <f>+B830</f>
        <v>27327</v>
      </c>
      <c r="C864" s="156">
        <f>+C830</f>
        <v>22289</v>
      </c>
      <c r="D864" s="156">
        <f>+D830</f>
        <v>35861</v>
      </c>
      <c r="E864" s="86">
        <f>+SUM(B864:D864)</f>
        <v>85477</v>
      </c>
      <c r="F864" s="156">
        <f>+F830</f>
        <v>42242</v>
      </c>
      <c r="G864" s="156">
        <f>+G830</f>
        <v>50181</v>
      </c>
      <c r="H864" s="156">
        <f>+H830</f>
        <v>82804</v>
      </c>
      <c r="I864" s="86">
        <f>+SUM(F864:H864)</f>
        <v>175227</v>
      </c>
      <c r="J864" s="156">
        <f>+J830</f>
        <v>78228</v>
      </c>
      <c r="K864" s="156">
        <f>+K830</f>
        <v>70398</v>
      </c>
      <c r="L864" s="156">
        <f>+L830</f>
        <v>67245</v>
      </c>
      <c r="M864" s="86">
        <f>+SUM(J864:L864)</f>
        <v>215871</v>
      </c>
      <c r="N864" s="156">
        <f>+N830</f>
        <v>45678</v>
      </c>
      <c r="O864" s="156">
        <f>+O830</f>
        <v>32497</v>
      </c>
      <c r="P864" s="156">
        <f>+P830</f>
        <v>35559</v>
      </c>
      <c r="Q864" s="86">
        <f>+SUM(N864:P864)</f>
        <v>113734</v>
      </c>
      <c r="R864" s="59">
        <f>+E864+I864+M864+Q864</f>
        <v>590309</v>
      </c>
    </row>
    <row r="865" spans="1:46" ht="16.5" customHeight="1" thickBot="1" x14ac:dyDescent="0.35">
      <c r="A865" s="33"/>
      <c r="B865" s="86"/>
      <c r="C865" s="86"/>
      <c r="D865" s="86"/>
      <c r="E865" s="86"/>
      <c r="F865" s="86"/>
      <c r="G865" s="86"/>
      <c r="H865" s="86"/>
      <c r="I865" s="86"/>
      <c r="J865" s="86"/>
      <c r="K865" s="86"/>
      <c r="L865" s="86"/>
      <c r="M865" s="86"/>
      <c r="N865" s="86"/>
      <c r="O865" s="86"/>
      <c r="P865" s="86"/>
      <c r="Q865" s="86"/>
      <c r="R865" s="59"/>
    </row>
    <row r="866" spans="1:46" ht="16.5" customHeight="1" thickBot="1" x14ac:dyDescent="0.35">
      <c r="A866" s="155" t="s">
        <v>382</v>
      </c>
      <c r="B866" s="156">
        <f>+B835</f>
        <v>2634</v>
      </c>
      <c r="C866" s="156">
        <f>+C835</f>
        <v>5612</v>
      </c>
      <c r="D866" s="156">
        <f>+D835</f>
        <v>28344</v>
      </c>
      <c r="E866" s="86">
        <f>+SUM(B866:D866)</f>
        <v>36590</v>
      </c>
      <c r="F866" s="156">
        <f>+F835</f>
        <v>33634</v>
      </c>
      <c r="G866" s="156">
        <f>+G835</f>
        <v>26572</v>
      </c>
      <c r="H866" s="156">
        <f>+H835</f>
        <v>58483</v>
      </c>
      <c r="I866" s="86">
        <f>+SUM(F866:H866)</f>
        <v>118689</v>
      </c>
      <c r="J866" s="156">
        <f>+J835</f>
        <v>39696</v>
      </c>
      <c r="K866" s="156">
        <f>+K835</f>
        <v>32903</v>
      </c>
      <c r="L866" s="156">
        <f>+L835</f>
        <v>18081</v>
      </c>
      <c r="M866" s="86">
        <f>+SUM(J866:L866)</f>
        <v>90680</v>
      </c>
      <c r="N866" s="156">
        <f>+N835</f>
        <v>4004</v>
      </c>
      <c r="O866" s="156">
        <f>+O835</f>
        <v>2556</v>
      </c>
      <c r="P866" s="156">
        <f>+P835</f>
        <v>5332</v>
      </c>
      <c r="Q866" s="86">
        <f>+SUM(N866:P866)</f>
        <v>11892</v>
      </c>
      <c r="R866" s="59">
        <f>+E866+I866+M866+Q866</f>
        <v>257851</v>
      </c>
    </row>
    <row r="867" spans="1:46" ht="16.5" customHeight="1" thickBot="1" x14ac:dyDescent="0.35">
      <c r="A867" s="33"/>
      <c r="B867" s="86"/>
      <c r="C867" s="86"/>
      <c r="D867" s="86"/>
      <c r="E867" s="86"/>
      <c r="F867" s="86"/>
      <c r="G867" s="86"/>
      <c r="H867" s="86"/>
      <c r="I867" s="86"/>
      <c r="J867" s="86"/>
      <c r="K867" s="86"/>
      <c r="L867" s="86"/>
      <c r="M867" s="86"/>
      <c r="N867" s="86"/>
      <c r="O867" s="86"/>
      <c r="P867" s="86"/>
      <c r="Q867" s="86"/>
      <c r="R867" s="59"/>
      <c r="AC867" s="318"/>
      <c r="AD867" s="319"/>
      <c r="AE867" s="321" t="s">
        <v>423</v>
      </c>
      <c r="AF867" s="319"/>
      <c r="AG867" s="319"/>
      <c r="AH867" s="319"/>
      <c r="AI867" s="319"/>
      <c r="AJ867" s="319"/>
      <c r="AK867" s="319" t="s">
        <v>424</v>
      </c>
      <c r="AL867" s="319"/>
      <c r="AM867" s="319" t="s">
        <v>7</v>
      </c>
      <c r="AN867" s="329" t="str">
        <f>+A8</f>
        <v>Revised:  1/18/2018</v>
      </c>
      <c r="AO867" s="319"/>
      <c r="AP867" s="319"/>
      <c r="AQ867" s="319"/>
      <c r="AR867" s="319"/>
      <c r="AS867" s="361" t="str">
        <f>+Q1</f>
        <v xml:space="preserve">PRINTED:  </v>
      </c>
      <c r="AT867" s="362">
        <f ca="1">+R1</f>
        <v>44909.46975358796</v>
      </c>
    </row>
    <row r="868" spans="1:46" ht="16.5" customHeight="1" thickBot="1" x14ac:dyDescent="0.35">
      <c r="A868" s="155" t="s">
        <v>383</v>
      </c>
      <c r="B868" s="156">
        <f>+B839</f>
        <v>13880</v>
      </c>
      <c r="C868" s="156">
        <f>+C839</f>
        <v>21034</v>
      </c>
      <c r="D868" s="156">
        <f>+D839</f>
        <v>44729</v>
      </c>
      <c r="E868" s="86">
        <f>+SUM(B868:D868)</f>
        <v>79643</v>
      </c>
      <c r="F868" s="156">
        <f>+F839</f>
        <v>71145</v>
      </c>
      <c r="G868" s="156">
        <f>+G839</f>
        <v>68733</v>
      </c>
      <c r="H868" s="156">
        <f>+H839</f>
        <v>51071</v>
      </c>
      <c r="I868" s="86">
        <f>+SUM(F868:H868)</f>
        <v>190949</v>
      </c>
      <c r="J868" s="156">
        <f>+J839</f>
        <v>47571</v>
      </c>
      <c r="K868" s="156">
        <f>+K839</f>
        <v>58448</v>
      </c>
      <c r="L868" s="156">
        <f>+L839</f>
        <v>44794</v>
      </c>
      <c r="M868" s="86">
        <f>+SUM(J868:L868)</f>
        <v>150813</v>
      </c>
      <c r="N868" s="156">
        <f>+N839</f>
        <v>26767</v>
      </c>
      <c r="O868" s="156">
        <f>+O839</f>
        <v>16948</v>
      </c>
      <c r="P868" s="156">
        <f>+P839</f>
        <v>25405</v>
      </c>
      <c r="Q868" s="86">
        <f>+SUM(N868:P868)</f>
        <v>69120</v>
      </c>
      <c r="R868" s="59">
        <f>+E868+I868+M868+Q868</f>
        <v>490525</v>
      </c>
      <c r="AC868" s="323"/>
      <c r="AD868" s="159"/>
      <c r="AE868" s="159"/>
      <c r="AF868" s="159">
        <f>++A5</f>
        <v>2017</v>
      </c>
      <c r="AG868" s="159"/>
      <c r="AH868" s="159"/>
      <c r="AI868" s="159"/>
      <c r="AJ868" s="159"/>
      <c r="AK868" s="159"/>
      <c r="AL868" s="159"/>
      <c r="AM868" s="159"/>
      <c r="AN868" s="159"/>
      <c r="AO868" s="159"/>
      <c r="AP868" s="159"/>
      <c r="AQ868" s="159"/>
      <c r="AR868" s="159"/>
      <c r="AS868" s="159"/>
      <c r="AT868" s="324"/>
    </row>
    <row r="869" spans="1:46" ht="16.5" customHeight="1" thickBot="1" x14ac:dyDescent="0.35">
      <c r="A869" s="33"/>
      <c r="B869" s="86"/>
      <c r="C869" s="86"/>
      <c r="D869" s="86"/>
      <c r="E869" s="86"/>
      <c r="F869" s="86"/>
      <c r="G869" s="86"/>
      <c r="H869" s="86"/>
      <c r="I869" s="86"/>
      <c r="J869" s="86"/>
      <c r="K869" s="86"/>
      <c r="L869" s="86"/>
      <c r="M869" s="86"/>
      <c r="N869" s="86"/>
      <c r="O869" s="86"/>
      <c r="P869" s="86"/>
      <c r="Q869" s="86"/>
      <c r="R869" s="59"/>
      <c r="AC869" s="323"/>
      <c r="AD869" s="159"/>
      <c r="AE869" s="159"/>
      <c r="AF869" s="159"/>
      <c r="AG869" s="159"/>
      <c r="AH869" s="159"/>
      <c r="AI869" s="159"/>
      <c r="AJ869" s="159"/>
      <c r="AK869" s="159"/>
      <c r="AL869" s="159"/>
      <c r="AM869" s="159"/>
      <c r="AN869" s="159"/>
      <c r="AO869" s="159"/>
      <c r="AP869" s="159"/>
      <c r="AQ869" s="159"/>
      <c r="AR869" s="159"/>
      <c r="AS869" s="159"/>
      <c r="AT869" s="324"/>
    </row>
    <row r="870" spans="1:46" ht="16.5" customHeight="1" thickBot="1" x14ac:dyDescent="0.35">
      <c r="A870" s="155" t="s">
        <v>384</v>
      </c>
      <c r="B870" s="156">
        <f>+B848</f>
        <v>300</v>
      </c>
      <c r="C870" s="156">
        <f>+C848</f>
        <v>410</v>
      </c>
      <c r="D870" s="156">
        <f>+D848</f>
        <v>710</v>
      </c>
      <c r="E870" s="86">
        <f>+SUM(B870:D870)</f>
        <v>1420</v>
      </c>
      <c r="F870" s="156">
        <f>+F848</f>
        <v>610</v>
      </c>
      <c r="G870" s="156">
        <f>+G848</f>
        <v>1740</v>
      </c>
      <c r="H870" s="156">
        <f>+H848</f>
        <v>766</v>
      </c>
      <c r="I870" s="86">
        <f>+SUM(F870:H870)</f>
        <v>3116</v>
      </c>
      <c r="J870" s="156">
        <f>+J848</f>
        <v>4744</v>
      </c>
      <c r="K870" s="156">
        <f>+K848</f>
        <v>1219</v>
      </c>
      <c r="L870" s="156">
        <f>+L848</f>
        <v>1050</v>
      </c>
      <c r="M870" s="86">
        <f>+SUM(J870:L870)</f>
        <v>7013</v>
      </c>
      <c r="N870" s="156">
        <f>+N848</f>
        <v>3187</v>
      </c>
      <c r="O870" s="156">
        <f>+O848</f>
        <v>2329</v>
      </c>
      <c r="P870" s="156">
        <f>+P848</f>
        <v>1565</v>
      </c>
      <c r="Q870" s="86">
        <f>+SUM(N870:P870)</f>
        <v>7081</v>
      </c>
      <c r="R870" s="59">
        <f>+E870+I870+M870+Q870</f>
        <v>18630</v>
      </c>
      <c r="AC870" s="323"/>
      <c r="AD870" s="159"/>
      <c r="AE870" s="159"/>
      <c r="AF870" s="159"/>
      <c r="AG870" s="159"/>
      <c r="AH870" s="159"/>
      <c r="AI870" s="164" t="s">
        <v>425</v>
      </c>
      <c r="AJ870" s="159"/>
      <c r="AK870" s="159"/>
      <c r="AL870" s="159"/>
      <c r="AM870" s="159"/>
      <c r="AN870" s="159"/>
      <c r="AO870" s="159"/>
      <c r="AP870" s="159"/>
      <c r="AQ870" s="159"/>
      <c r="AR870" s="159"/>
      <c r="AS870" s="159"/>
      <c r="AT870" s="324"/>
    </row>
    <row r="871" spans="1:46" ht="16.5" customHeight="1" thickBot="1" x14ac:dyDescent="0.35">
      <c r="A871" s="33"/>
      <c r="B871" s="86"/>
      <c r="C871" s="86"/>
      <c r="D871" s="86"/>
      <c r="E871" s="86"/>
      <c r="F871" s="86"/>
      <c r="G871" s="86"/>
      <c r="H871" s="86"/>
      <c r="I871" s="86"/>
      <c r="J871" s="86"/>
      <c r="K871" s="86"/>
      <c r="L871" s="86"/>
      <c r="M871" s="86"/>
      <c r="N871" s="86"/>
      <c r="O871" s="86"/>
      <c r="P871" s="86"/>
      <c r="Q871" s="86"/>
      <c r="R871" s="59"/>
      <c r="AC871" s="323"/>
      <c r="AD871" s="159" t="s">
        <v>424</v>
      </c>
      <c r="AE871" s="159"/>
      <c r="AF871" s="164" t="s">
        <v>426</v>
      </c>
      <c r="AG871" s="164" t="s">
        <v>426</v>
      </c>
      <c r="AH871" s="164" t="s">
        <v>427</v>
      </c>
      <c r="AI871" s="164" t="s">
        <v>404</v>
      </c>
      <c r="AJ871" s="164" t="s">
        <v>428</v>
      </c>
      <c r="AK871" s="164" t="s">
        <v>429</v>
      </c>
      <c r="AL871" s="164" t="s">
        <v>422</v>
      </c>
      <c r="AM871" s="159" t="s">
        <v>424</v>
      </c>
      <c r="AN871" s="164" t="s">
        <v>430</v>
      </c>
      <c r="AO871" s="164" t="s">
        <v>430</v>
      </c>
      <c r="AP871" s="164" t="s">
        <v>430</v>
      </c>
      <c r="AQ871" s="159"/>
      <c r="AR871" s="159"/>
      <c r="AS871" s="159"/>
      <c r="AT871" s="324"/>
    </row>
    <row r="872" spans="1:46" ht="16.5" customHeight="1" thickBot="1" x14ac:dyDescent="0.4">
      <c r="A872" s="33" t="s">
        <v>385</v>
      </c>
      <c r="B872" s="90">
        <f t="shared" ref="B872:R872" si="193">+SUM(B864:B870)</f>
        <v>44141</v>
      </c>
      <c r="C872" s="90">
        <f t="shared" si="193"/>
        <v>49345</v>
      </c>
      <c r="D872" s="90">
        <f t="shared" si="193"/>
        <v>109644</v>
      </c>
      <c r="E872" s="90">
        <f t="shared" si="193"/>
        <v>203130</v>
      </c>
      <c r="F872" s="90">
        <f t="shared" si="193"/>
        <v>147631</v>
      </c>
      <c r="G872" s="90">
        <f t="shared" si="193"/>
        <v>147226</v>
      </c>
      <c r="H872" s="90">
        <f t="shared" si="193"/>
        <v>193124</v>
      </c>
      <c r="I872" s="90">
        <f t="shared" si="193"/>
        <v>487981</v>
      </c>
      <c r="J872" s="90">
        <f t="shared" si="193"/>
        <v>170239</v>
      </c>
      <c r="K872" s="90">
        <f t="shared" si="193"/>
        <v>162968</v>
      </c>
      <c r="L872" s="90">
        <f t="shared" si="193"/>
        <v>131170</v>
      </c>
      <c r="M872" s="90">
        <f t="shared" si="193"/>
        <v>464377</v>
      </c>
      <c r="N872" s="90">
        <f t="shared" si="193"/>
        <v>79636</v>
      </c>
      <c r="O872" s="90">
        <f t="shared" si="193"/>
        <v>54330</v>
      </c>
      <c r="P872" s="90">
        <f t="shared" si="193"/>
        <v>67861</v>
      </c>
      <c r="Q872" s="90">
        <f t="shared" si="193"/>
        <v>201827</v>
      </c>
      <c r="R872" s="157">
        <f t="shared" si="193"/>
        <v>1357315</v>
      </c>
      <c r="AC872" s="323"/>
      <c r="AD872" s="164" t="s">
        <v>394</v>
      </c>
      <c r="AE872" s="164" t="s">
        <v>431</v>
      </c>
      <c r="AF872" s="164" t="s">
        <v>432</v>
      </c>
      <c r="AG872" s="164" t="s">
        <v>432</v>
      </c>
      <c r="AH872" s="164" t="s">
        <v>433</v>
      </c>
      <c r="AI872" s="165" t="s">
        <v>434</v>
      </c>
      <c r="AJ872" s="164" t="s">
        <v>435</v>
      </c>
      <c r="AK872" s="164" t="s">
        <v>436</v>
      </c>
      <c r="AL872" s="164" t="s">
        <v>437</v>
      </c>
      <c r="AM872" s="159" t="s">
        <v>424</v>
      </c>
      <c r="AN872" s="164" t="s">
        <v>438</v>
      </c>
      <c r="AO872" s="164" t="s">
        <v>434</v>
      </c>
      <c r="AP872" s="164" t="s">
        <v>407</v>
      </c>
      <c r="AQ872" s="159"/>
      <c r="AR872" s="159"/>
      <c r="AS872" s="159"/>
      <c r="AT872" s="324"/>
    </row>
    <row r="873" spans="1:46" ht="15.75" customHeight="1" x14ac:dyDescent="0.35">
      <c r="A873" s="145"/>
      <c r="B873" s="158"/>
      <c r="C873" s="158"/>
      <c r="D873" s="158"/>
      <c r="E873" s="158"/>
      <c r="F873" s="158"/>
      <c r="G873" s="158"/>
      <c r="H873" s="317" t="s">
        <v>786</v>
      </c>
      <c r="I873" s="158"/>
      <c r="J873" s="158"/>
      <c r="K873" s="158"/>
      <c r="L873" s="158"/>
      <c r="M873" s="158"/>
      <c r="N873" s="158"/>
      <c r="O873" s="158"/>
      <c r="P873" s="158"/>
      <c r="Q873" s="158"/>
      <c r="R873" s="158"/>
      <c r="AC873" s="323"/>
      <c r="AD873" s="164" t="s">
        <v>406</v>
      </c>
      <c r="AE873" s="164" t="s">
        <v>439</v>
      </c>
      <c r="AF873" s="164" t="s">
        <v>440</v>
      </c>
      <c r="AG873" s="164" t="s">
        <v>441</v>
      </c>
      <c r="AH873" s="164" t="s">
        <v>442</v>
      </c>
      <c r="AI873" s="164" t="s">
        <v>442</v>
      </c>
      <c r="AJ873" s="164" t="s">
        <v>442</v>
      </c>
      <c r="AK873" s="164" t="s">
        <v>442</v>
      </c>
      <c r="AL873" s="164" t="s">
        <v>443</v>
      </c>
      <c r="AM873" s="159" t="s">
        <v>424</v>
      </c>
      <c r="AN873" s="164" t="s">
        <v>444</v>
      </c>
      <c r="AO873" s="164" t="s">
        <v>445</v>
      </c>
      <c r="AP873" s="164" t="s">
        <v>445</v>
      </c>
      <c r="AQ873" s="159"/>
      <c r="AR873" s="159"/>
      <c r="AS873" s="159"/>
      <c r="AT873" s="324"/>
    </row>
    <row r="874" spans="1:46" ht="15.75" customHeight="1" x14ac:dyDescent="0.35">
      <c r="A874" s="145"/>
      <c r="B874" s="158"/>
      <c r="C874" s="158"/>
      <c r="D874" s="158"/>
      <c r="E874" s="158"/>
      <c r="F874" s="158"/>
      <c r="G874" s="1"/>
      <c r="H874" s="317"/>
      <c r="I874" s="158"/>
      <c r="J874" s="158"/>
      <c r="K874" s="158"/>
      <c r="L874" s="158"/>
      <c r="M874" s="158"/>
      <c r="N874" s="158"/>
      <c r="O874" s="158"/>
      <c r="P874" s="158"/>
      <c r="Q874" s="158"/>
      <c r="R874" s="158"/>
      <c r="AC874" s="323"/>
      <c r="AD874" s="164" t="s">
        <v>446</v>
      </c>
      <c r="AE874" s="164" t="s">
        <v>447</v>
      </c>
      <c r="AF874" s="164" t="s">
        <v>448</v>
      </c>
      <c r="AG874" s="164" t="s">
        <v>448</v>
      </c>
      <c r="AH874" s="164" t="s">
        <v>448</v>
      </c>
      <c r="AI874" s="164" t="s">
        <v>448</v>
      </c>
      <c r="AJ874" s="164" t="s">
        <v>448</v>
      </c>
      <c r="AK874" s="164" t="s">
        <v>448</v>
      </c>
      <c r="AL874" s="164" t="s">
        <v>448</v>
      </c>
      <c r="AM874" s="159" t="s">
        <v>424</v>
      </c>
      <c r="AN874" s="164" t="s">
        <v>449</v>
      </c>
      <c r="AO874" s="164" t="s">
        <v>449</v>
      </c>
      <c r="AP874" s="164" t="s">
        <v>449</v>
      </c>
      <c r="AQ874" s="159"/>
      <c r="AR874" s="159"/>
      <c r="AS874" s="159"/>
      <c r="AT874" s="324"/>
    </row>
    <row r="875" spans="1:46" ht="15.75" customHeight="1" thickBot="1" x14ac:dyDescent="0.4">
      <c r="A875" s="145"/>
      <c r="B875" s="158"/>
      <c r="C875" s="158"/>
      <c r="D875" s="158"/>
      <c r="E875" s="158"/>
      <c r="F875" s="158"/>
      <c r="G875" s="158"/>
      <c r="H875" s="317"/>
      <c r="I875" s="158"/>
      <c r="J875" s="158"/>
      <c r="K875" s="158"/>
      <c r="L875" s="158"/>
      <c r="M875" s="158"/>
      <c r="N875" s="158"/>
      <c r="O875" s="158"/>
      <c r="P875" s="158"/>
      <c r="Q875" s="158"/>
      <c r="R875" s="158"/>
      <c r="AC875" s="323"/>
      <c r="AD875" s="159" t="s">
        <v>409</v>
      </c>
      <c r="AE875" s="159" t="s">
        <v>409</v>
      </c>
      <c r="AF875" s="159" t="s">
        <v>409</v>
      </c>
      <c r="AG875" s="159" t="s">
        <v>409</v>
      </c>
      <c r="AH875" s="159" t="s">
        <v>409</v>
      </c>
      <c r="AI875" s="159" t="s">
        <v>409</v>
      </c>
      <c r="AJ875" s="159" t="s">
        <v>409</v>
      </c>
      <c r="AK875" s="159" t="s">
        <v>409</v>
      </c>
      <c r="AL875" s="159" t="s">
        <v>409</v>
      </c>
      <c r="AM875" s="159" t="s">
        <v>424</v>
      </c>
      <c r="AN875" s="159" t="s">
        <v>409</v>
      </c>
      <c r="AO875" s="159" t="s">
        <v>409</v>
      </c>
      <c r="AP875" s="159" t="s">
        <v>409</v>
      </c>
      <c r="AQ875" s="159"/>
      <c r="AR875" s="159"/>
      <c r="AS875" s="159"/>
      <c r="AT875" s="324"/>
    </row>
    <row r="876" spans="1:46" ht="15.75" customHeight="1" x14ac:dyDescent="0.3">
      <c r="A876" s="363"/>
      <c r="B876" s="506" t="s">
        <v>386</v>
      </c>
      <c r="C876" s="506"/>
      <c r="D876" s="506"/>
      <c r="E876" s="506"/>
      <c r="F876" s="506"/>
      <c r="G876" s="506"/>
      <c r="H876" s="506"/>
      <c r="I876" s="506"/>
      <c r="J876" s="506"/>
      <c r="K876" s="506"/>
      <c r="L876" s="506"/>
      <c r="M876" s="506"/>
      <c r="N876" s="506"/>
      <c r="O876" s="506"/>
      <c r="P876" s="506"/>
      <c r="Q876" s="361" t="str">
        <f>+Q1</f>
        <v xml:space="preserve">PRINTED:  </v>
      </c>
      <c r="R876" s="362">
        <f ca="1">+R1</f>
        <v>44909.46975358796</v>
      </c>
      <c r="AC876" s="325" t="s">
        <v>410</v>
      </c>
      <c r="AD876" s="159">
        <f t="shared" ref="AD876:AD887" si="194">(F885)</f>
        <v>83310</v>
      </c>
      <c r="AE876" s="159">
        <f t="shared" ref="AE876:AE887" si="195">SUM($B$940:$E$940)+(T885-1526.8)/0.7702</f>
        <v>1638.1524430019012</v>
      </c>
      <c r="AF876" s="159">
        <f>(AD876*AE876/1000)</f>
        <v>136474.4800264884</v>
      </c>
      <c r="AG876" s="159">
        <f t="shared" ref="AG876:AG887" si="196">(((B885-F885)*B$940)+((C885-F885)*C$940)+((D885-F885)*D$940)+((E885-F885)*E$940))/1000</f>
        <v>58675.872000000003</v>
      </c>
      <c r="AH876" s="159">
        <f>(AF876+AG876)</f>
        <v>195150.3520264884</v>
      </c>
      <c r="AI876" s="159">
        <f t="shared" ref="AI876:AI887" si="197">SUM(H942:Q942)</f>
        <v>21628</v>
      </c>
      <c r="AJ876" s="159">
        <f>+AH876+AI876</f>
        <v>216778.3520264884</v>
      </c>
      <c r="AK876" s="159">
        <f t="shared" ref="AK876:AK883" si="198">(G970)</f>
        <v>543.06392299236506</v>
      </c>
      <c r="AL876" s="159">
        <f t="shared" ref="AL876:AL887" si="199">(AJ876-AK876)</f>
        <v>216235.28810349604</v>
      </c>
      <c r="AM876" s="159" t="s">
        <v>424</v>
      </c>
      <c r="AN876" s="159">
        <f>+B885/31/1.98</f>
        <v>2029.048550016292</v>
      </c>
      <c r="AO876" s="159">
        <f>(AD876*43560/31/24/3600)</f>
        <v>1354.9072580645161</v>
      </c>
      <c r="AP876" s="159">
        <f>+B319</f>
        <v>-59.32685894620402</v>
      </c>
      <c r="AQ876" s="159"/>
      <c r="AR876" s="159"/>
      <c r="AS876" s="159"/>
      <c r="AT876" s="324"/>
    </row>
    <row r="877" spans="1:46" ht="15.75" customHeight="1" x14ac:dyDescent="0.3">
      <c r="A877" s="325"/>
      <c r="B877" s="503" t="str">
        <f>+A8</f>
        <v>Revised:  1/18/2018</v>
      </c>
      <c r="C877" s="503"/>
      <c r="D877" s="503"/>
      <c r="E877" s="503"/>
      <c r="F877" s="503"/>
      <c r="G877" s="503"/>
      <c r="H877" s="503"/>
      <c r="I877" s="503"/>
      <c r="J877" s="503"/>
      <c r="K877" s="503"/>
      <c r="L877" s="503"/>
      <c r="M877" s="503"/>
      <c r="N877" s="503"/>
      <c r="O877" s="503"/>
      <c r="P877" s="503"/>
      <c r="Q877" s="159"/>
      <c r="R877" s="324"/>
      <c r="AC877" s="325" t="s">
        <v>411</v>
      </c>
      <c r="AD877" s="159">
        <f t="shared" si="194"/>
        <v>16480</v>
      </c>
      <c r="AE877" s="159">
        <f t="shared" si="195"/>
        <v>1642.6450272656455</v>
      </c>
      <c r="AF877" s="159">
        <f>(AD877*AE877/1000)</f>
        <v>27070.790049337837</v>
      </c>
      <c r="AG877" s="159">
        <f t="shared" si="196"/>
        <v>61954.970999999998</v>
      </c>
      <c r="AH877" s="159">
        <f t="shared" ref="AH877:AH887" si="200">(AF877+AG877)</f>
        <v>89025.761049337831</v>
      </c>
      <c r="AI877" s="159">
        <f t="shared" si="197"/>
        <v>19003</v>
      </c>
      <c r="AJ877" s="159">
        <f t="shared" ref="AJ877:AJ887" si="201">+AH877+AI877</f>
        <v>108028.76104933783</v>
      </c>
      <c r="AK877" s="159">
        <f t="shared" si="198"/>
        <v>1212.3242803315748</v>
      </c>
      <c r="AL877" s="159">
        <f t="shared" si="199"/>
        <v>106816.43676900625</v>
      </c>
      <c r="AM877" s="159" t="s">
        <v>424</v>
      </c>
      <c r="AN877" s="159">
        <f>+B886/28/1.98</f>
        <v>1085.8946608946608</v>
      </c>
      <c r="AO877" s="159">
        <f>(AD877*43560/29/24/3600)</f>
        <v>286.5057471264368</v>
      </c>
      <c r="AP877" s="159">
        <f>+C319</f>
        <v>-141.66846768964771</v>
      </c>
      <c r="AQ877" s="159"/>
      <c r="AR877" s="159"/>
      <c r="AS877" s="159"/>
      <c r="AT877" s="324"/>
    </row>
    <row r="878" spans="1:46" ht="15.75" customHeight="1" x14ac:dyDescent="0.3">
      <c r="A878" s="325"/>
      <c r="B878" s="503" t="s">
        <v>1024</v>
      </c>
      <c r="C878" s="503"/>
      <c r="D878" s="503"/>
      <c r="E878" s="503"/>
      <c r="F878" s="503"/>
      <c r="G878" s="503"/>
      <c r="H878" s="503"/>
      <c r="I878" s="503"/>
      <c r="J878" s="503"/>
      <c r="K878" s="503"/>
      <c r="L878" s="503"/>
      <c r="M878" s="503"/>
      <c r="N878" s="503"/>
      <c r="O878" s="503"/>
      <c r="P878" s="503"/>
      <c r="Q878" s="159"/>
      <c r="R878" s="324"/>
      <c r="AC878" s="325" t="s">
        <v>412</v>
      </c>
      <c r="AD878" s="159">
        <f t="shared" si="194"/>
        <v>20055</v>
      </c>
      <c r="AE878" s="159">
        <f t="shared" si="195"/>
        <v>1646.592054011945</v>
      </c>
      <c r="AF878" s="159">
        <f t="shared" ref="AF878:AF887" si="202">(AD878*AE878/1000)</f>
        <v>33022.40364320956</v>
      </c>
      <c r="AG878" s="159">
        <f t="shared" si="196"/>
        <v>163954.177</v>
      </c>
      <c r="AH878" s="159">
        <f t="shared" si="200"/>
        <v>196976.58064320957</v>
      </c>
      <c r="AI878" s="159">
        <f t="shared" si="197"/>
        <v>39346</v>
      </c>
      <c r="AJ878" s="159">
        <f t="shared" si="201"/>
        <v>236322.58064320957</v>
      </c>
      <c r="AK878" s="159">
        <f t="shared" si="198"/>
        <v>32.851695553880923</v>
      </c>
      <c r="AL878" s="159">
        <f t="shared" si="199"/>
        <v>236289.72894765568</v>
      </c>
      <c r="AM878" s="159" t="s">
        <v>424</v>
      </c>
      <c r="AN878" s="159">
        <f>+B887/31/1.98</f>
        <v>2209.9543825350279</v>
      </c>
      <c r="AO878" s="159">
        <f>(AD878*43560/31/24/3600)</f>
        <v>326.16330645161287</v>
      </c>
      <c r="AP878" s="159">
        <f>+D319</f>
        <v>-3.3673319994143771</v>
      </c>
      <c r="AQ878" s="159"/>
      <c r="AR878" s="159"/>
      <c r="AS878" s="159"/>
      <c r="AT878" s="324"/>
    </row>
    <row r="879" spans="1:46" ht="15.75" customHeight="1" x14ac:dyDescent="0.3">
      <c r="A879" s="325"/>
      <c r="B879" s="503"/>
      <c r="C879" s="503"/>
      <c r="D879" s="503"/>
      <c r="E879" s="503"/>
      <c r="F879" s="503"/>
      <c r="G879" s="503"/>
      <c r="H879" s="503"/>
      <c r="I879" s="503"/>
      <c r="J879" s="503"/>
      <c r="K879" s="503"/>
      <c r="L879" s="503"/>
      <c r="M879" s="503"/>
      <c r="N879" s="503"/>
      <c r="O879" s="503"/>
      <c r="P879" s="503"/>
      <c r="Q879" s="159"/>
      <c r="R879" s="324"/>
      <c r="AC879" s="325" t="s">
        <v>413</v>
      </c>
      <c r="AD879" s="159">
        <f t="shared" si="194"/>
        <v>9498</v>
      </c>
      <c r="AE879" s="159">
        <f t="shared" si="195"/>
        <v>1645.8271291131655</v>
      </c>
      <c r="AF879" s="159">
        <f t="shared" si="202"/>
        <v>15632.066072316846</v>
      </c>
      <c r="AG879" s="159">
        <f t="shared" si="196"/>
        <v>213382.60399999999</v>
      </c>
      <c r="AH879" s="159">
        <f t="shared" si="200"/>
        <v>229014.67007231683</v>
      </c>
      <c r="AI879" s="159">
        <f t="shared" si="197"/>
        <v>43203</v>
      </c>
      <c r="AJ879" s="159">
        <f t="shared" si="201"/>
        <v>272217.67007231683</v>
      </c>
      <c r="AK879" s="159">
        <f t="shared" si="198"/>
        <v>0.94689544695969718</v>
      </c>
      <c r="AL879" s="159">
        <f t="shared" si="199"/>
        <v>272216.72317686985</v>
      </c>
      <c r="AM879" s="159" t="s">
        <v>424</v>
      </c>
      <c r="AN879" s="159">
        <f>+B888/30/1.98</f>
        <v>2696.1784511784513</v>
      </c>
      <c r="AO879" s="159">
        <f>(AD879*43560/30/24/3600)</f>
        <v>159.61916666666667</v>
      </c>
      <c r="AP879" s="159">
        <f>+F319</f>
        <v>-0.10085728693898134</v>
      </c>
      <c r="AQ879" s="159"/>
      <c r="AR879" s="159"/>
      <c r="AS879" s="159"/>
      <c r="AT879" s="324"/>
    </row>
    <row r="880" spans="1:46" ht="15.75" customHeight="1" x14ac:dyDescent="0.3">
      <c r="A880" s="325"/>
      <c r="B880" s="509">
        <f>+A5</f>
        <v>2017</v>
      </c>
      <c r="C880" s="509"/>
      <c r="D880" s="509"/>
      <c r="E880" s="509"/>
      <c r="F880" s="509"/>
      <c r="G880" s="509"/>
      <c r="H880" s="509"/>
      <c r="I880" s="509"/>
      <c r="J880" s="509"/>
      <c r="K880" s="509"/>
      <c r="L880" s="509"/>
      <c r="M880" s="509"/>
      <c r="N880" s="509"/>
      <c r="O880" s="509"/>
      <c r="P880" s="509"/>
      <c r="Q880" s="159"/>
      <c r="R880" s="324"/>
      <c r="AC880" s="325" t="s">
        <v>414</v>
      </c>
      <c r="AD880" s="159">
        <f t="shared" si="194"/>
        <v>24625</v>
      </c>
      <c r="AE880" s="159">
        <f t="shared" si="195"/>
        <v>1642.8008309529996</v>
      </c>
      <c r="AF880" s="159">
        <f t="shared" si="202"/>
        <v>40453.970462217614</v>
      </c>
      <c r="AG880" s="159">
        <f t="shared" si="196"/>
        <v>214149.274</v>
      </c>
      <c r="AH880" s="159">
        <f t="shared" si="200"/>
        <v>254603.24446221761</v>
      </c>
      <c r="AI880" s="159">
        <f t="shared" si="197"/>
        <v>41907</v>
      </c>
      <c r="AJ880" s="159">
        <f t="shared" si="201"/>
        <v>296510.24446221761</v>
      </c>
      <c r="AK880" s="159">
        <f t="shared" si="198"/>
        <v>230.21998492841021</v>
      </c>
      <c r="AL880" s="159">
        <f t="shared" si="199"/>
        <v>296280.02447728917</v>
      </c>
      <c r="AM880" s="159" t="s">
        <v>424</v>
      </c>
      <c r="AN880" s="159">
        <f>+B889/31/1.98</f>
        <v>2867.6115998696646</v>
      </c>
      <c r="AO880" s="159">
        <f>(AD880*43560/31/24/3600)</f>
        <v>400.48723118279571</v>
      </c>
      <c r="AP880" s="159">
        <f>+G319</f>
        <v>-24.270818082735509</v>
      </c>
      <c r="AQ880" s="159"/>
      <c r="AR880" s="159"/>
      <c r="AS880" s="159"/>
      <c r="AT880" s="324"/>
    </row>
    <row r="881" spans="1:46" ht="15.75" customHeight="1" x14ac:dyDescent="0.3">
      <c r="A881" s="325"/>
      <c r="B881" s="503" t="s">
        <v>1025</v>
      </c>
      <c r="C881" s="503"/>
      <c r="D881" s="503"/>
      <c r="E881" s="503"/>
      <c r="F881" s="503"/>
      <c r="G881" s="503"/>
      <c r="H881" s="503"/>
      <c r="I881" s="503"/>
      <c r="J881" s="503"/>
      <c r="K881" s="503"/>
      <c r="L881" s="503"/>
      <c r="M881" s="503"/>
      <c r="N881" s="503"/>
      <c r="O881" s="503"/>
      <c r="P881" s="503"/>
      <c r="Q881" s="159"/>
      <c r="R881" s="324"/>
      <c r="AC881" s="325" t="s">
        <v>415</v>
      </c>
      <c r="AD881" s="159">
        <f t="shared" si="194"/>
        <v>0</v>
      </c>
      <c r="AE881" s="159">
        <f t="shared" si="195"/>
        <v>1626.3375746559338</v>
      </c>
      <c r="AF881" s="159">
        <f t="shared" si="202"/>
        <v>0</v>
      </c>
      <c r="AG881" s="159">
        <f t="shared" si="196"/>
        <v>116323.198</v>
      </c>
      <c r="AH881" s="159">
        <f t="shared" si="200"/>
        <v>116323.198</v>
      </c>
      <c r="AI881" s="159">
        <f t="shared" si="197"/>
        <v>51038</v>
      </c>
      <c r="AJ881" s="159">
        <f t="shared" si="201"/>
        <v>167361.198</v>
      </c>
      <c r="AK881" s="159">
        <f t="shared" si="198"/>
        <v>15895.624114544094</v>
      </c>
      <c r="AL881" s="159">
        <f t="shared" si="199"/>
        <v>151465.5738854559</v>
      </c>
      <c r="AM881" s="159" t="s">
        <v>424</v>
      </c>
      <c r="AN881" s="159">
        <f>+B890/30/1.98</f>
        <v>1393.0976430976432</v>
      </c>
      <c r="AO881" s="159">
        <f t="shared" ref="AO881:AO886" si="203">(AD881*43560/30/24/3600)</f>
        <v>0</v>
      </c>
      <c r="AP881" s="159">
        <f>+H319</f>
        <v>-1976.4330139519247</v>
      </c>
      <c r="AQ881" s="159"/>
      <c r="AR881" s="159"/>
      <c r="AS881" s="159"/>
      <c r="AT881" s="324"/>
    </row>
    <row r="882" spans="1:46" ht="15.75" customHeight="1" x14ac:dyDescent="0.3">
      <c r="A882" s="325"/>
      <c r="B882" s="159"/>
      <c r="C882" s="159"/>
      <c r="D882" s="159"/>
      <c r="E882" s="159"/>
      <c r="F882" s="159"/>
      <c r="G882" s="159"/>
      <c r="H882" s="159"/>
      <c r="I882" s="159"/>
      <c r="J882" s="159"/>
      <c r="K882" s="159"/>
      <c r="L882" s="159"/>
      <c r="M882" s="159"/>
      <c r="N882" s="159"/>
      <c r="O882" s="159"/>
      <c r="P882" s="159"/>
      <c r="Q882" s="159"/>
      <c r="R882" s="324"/>
      <c r="AC882" s="325" t="s">
        <v>416</v>
      </c>
      <c r="AD882" s="159">
        <f t="shared" si="194"/>
        <v>0</v>
      </c>
      <c r="AE882" s="159">
        <f t="shared" si="195"/>
        <v>1614.093965893418</v>
      </c>
      <c r="AF882" s="159">
        <f t="shared" si="202"/>
        <v>0</v>
      </c>
      <c r="AG882" s="159">
        <f t="shared" si="196"/>
        <v>105884.64200000001</v>
      </c>
      <c r="AH882" s="159">
        <f t="shared" si="200"/>
        <v>105884.64200000001</v>
      </c>
      <c r="AI882" s="159">
        <f t="shared" si="197"/>
        <v>47920</v>
      </c>
      <c r="AJ882" s="159">
        <f t="shared" si="201"/>
        <v>153804.64199999999</v>
      </c>
      <c r="AK882" s="159">
        <f t="shared" si="198"/>
        <v>12136.795650781502</v>
      </c>
      <c r="AL882" s="159">
        <f t="shared" si="199"/>
        <v>141667.84634921848</v>
      </c>
      <c r="AM882" s="159" t="s">
        <v>424</v>
      </c>
      <c r="AN882" s="159">
        <f>+B891/31/1.98</f>
        <v>1228.3479960899315</v>
      </c>
      <c r="AO882" s="159">
        <f t="shared" si="203"/>
        <v>0</v>
      </c>
      <c r="AP882" s="159">
        <f>+J319</f>
        <v>-1631.9522391944429</v>
      </c>
      <c r="AQ882" s="159"/>
      <c r="AR882" s="159"/>
      <c r="AS882" s="159"/>
      <c r="AT882" s="324"/>
    </row>
    <row r="883" spans="1:46" ht="15.75" customHeight="1" thickBot="1" x14ac:dyDescent="0.35">
      <c r="A883" s="325" t="s">
        <v>433</v>
      </c>
      <c r="B883" s="364" t="s">
        <v>390</v>
      </c>
      <c r="C883" s="364" t="s">
        <v>391</v>
      </c>
      <c r="D883" s="364" t="s">
        <v>392</v>
      </c>
      <c r="E883" s="364" t="s">
        <v>393</v>
      </c>
      <c r="F883" s="364" t="s">
        <v>394</v>
      </c>
      <c r="G883" s="364" t="s">
        <v>394</v>
      </c>
      <c r="H883" s="364" t="s">
        <v>395</v>
      </c>
      <c r="I883" s="364" t="s">
        <v>396</v>
      </c>
      <c r="J883" s="364" t="s">
        <v>397</v>
      </c>
      <c r="K883" s="364" t="s">
        <v>398</v>
      </c>
      <c r="L883" s="364" t="s">
        <v>399</v>
      </c>
      <c r="M883" s="364" t="s">
        <v>400</v>
      </c>
      <c r="N883" s="364" t="s">
        <v>401</v>
      </c>
      <c r="O883" s="364" t="s">
        <v>402</v>
      </c>
      <c r="P883" s="364" t="s">
        <v>403</v>
      </c>
      <c r="Q883" s="364" t="s">
        <v>404</v>
      </c>
      <c r="R883" s="324"/>
      <c r="T883" s="45" t="s">
        <v>1026</v>
      </c>
      <c r="AC883" s="325" t="s">
        <v>417</v>
      </c>
      <c r="AD883" s="159">
        <f t="shared" si="194"/>
        <v>0</v>
      </c>
      <c r="AE883" s="159">
        <f t="shared" si="195"/>
        <v>1600.6037637565339</v>
      </c>
      <c r="AF883" s="159">
        <f t="shared" si="202"/>
        <v>0</v>
      </c>
      <c r="AG883" s="159">
        <f t="shared" si="196"/>
        <v>101452.298</v>
      </c>
      <c r="AH883" s="159">
        <f t="shared" si="200"/>
        <v>101452.298</v>
      </c>
      <c r="AI883" s="159">
        <f t="shared" si="197"/>
        <v>47363</v>
      </c>
      <c r="AJ883" s="159">
        <f t="shared" si="201"/>
        <v>148815.29800000001</v>
      </c>
      <c r="AK883" s="159">
        <f t="shared" si="198"/>
        <v>9944.4195556750456</v>
      </c>
      <c r="AL883" s="159">
        <f t="shared" si="199"/>
        <v>138870.87844432498</v>
      </c>
      <c r="AM883" s="159" t="s">
        <v>424</v>
      </c>
      <c r="AN883" s="159">
        <f>+B892/31/1.98</f>
        <v>1176.197458455523</v>
      </c>
      <c r="AO883" s="159">
        <f t="shared" si="203"/>
        <v>0</v>
      </c>
      <c r="AP883" s="159">
        <f>+K319</f>
        <v>-1535.9751435589608</v>
      </c>
      <c r="AQ883" s="159"/>
      <c r="AR883" s="159"/>
      <c r="AS883" s="159"/>
      <c r="AT883" s="324"/>
    </row>
    <row r="884" spans="1:46" ht="15.75" customHeight="1" x14ac:dyDescent="0.3">
      <c r="A884" s="325"/>
      <c r="B884" s="159"/>
      <c r="C884" s="159"/>
      <c r="D884" s="159"/>
      <c r="E884" s="159"/>
      <c r="F884" s="164" t="s">
        <v>406</v>
      </c>
      <c r="G884" s="164" t="s">
        <v>407</v>
      </c>
      <c r="H884" s="159"/>
      <c r="I884" s="159"/>
      <c r="J884" s="159"/>
      <c r="K884" s="159"/>
      <c r="L884" s="159"/>
      <c r="M884" s="159"/>
      <c r="N884" s="159"/>
      <c r="O884" s="159"/>
      <c r="P884" s="159"/>
      <c r="Q884" s="159"/>
      <c r="R884" s="324"/>
      <c r="AC884" s="325" t="s">
        <v>418</v>
      </c>
      <c r="AD884" s="159">
        <f t="shared" si="194"/>
        <v>9609</v>
      </c>
      <c r="AE884" s="159">
        <f t="shared" si="195"/>
        <v>1598.5266164632565</v>
      </c>
      <c r="AF884" s="159">
        <f t="shared" si="202"/>
        <v>15360.242257595432</v>
      </c>
      <c r="AG884" s="159">
        <f t="shared" si="196"/>
        <v>174286.26800000001</v>
      </c>
      <c r="AH884" s="159">
        <f t="shared" si="200"/>
        <v>189646.51025759545</v>
      </c>
      <c r="AI884" s="159">
        <f t="shared" si="197"/>
        <v>39369</v>
      </c>
      <c r="AJ884" s="159">
        <f t="shared" si="201"/>
        <v>229015.51025759545</v>
      </c>
      <c r="AK884" s="159">
        <v>0</v>
      </c>
      <c r="AL884" s="159">
        <f t="shared" si="199"/>
        <v>229015.51025759545</v>
      </c>
      <c r="AM884" s="159" t="s">
        <v>424</v>
      </c>
      <c r="AN884" s="159">
        <f>+B893/30/1.98</f>
        <v>2234.3265993265991</v>
      </c>
      <c r="AO884" s="159">
        <f t="shared" si="203"/>
        <v>161.48458333333335</v>
      </c>
      <c r="AP884" s="159">
        <f>+L319</f>
        <v>-232.25752227265085</v>
      </c>
      <c r="AQ884" s="159"/>
      <c r="AR884" s="159"/>
      <c r="AS884" s="159"/>
      <c r="AT884" s="324"/>
    </row>
    <row r="885" spans="1:46" ht="15.75" customHeight="1" x14ac:dyDescent="0.3">
      <c r="A885" s="365" t="s">
        <v>795</v>
      </c>
      <c r="B885" s="159">
        <f>+B29</f>
        <v>124543</v>
      </c>
      <c r="C885" s="159">
        <f>+B64</f>
        <v>124446</v>
      </c>
      <c r="D885" s="159">
        <f>+B131</f>
        <v>124350</v>
      </c>
      <c r="E885" s="159">
        <f>+B309</f>
        <v>124151</v>
      </c>
      <c r="F885" s="159">
        <f>+B304</f>
        <v>83310</v>
      </c>
      <c r="G885" s="159">
        <f>+B316</f>
        <v>-3647</v>
      </c>
      <c r="H885" s="159">
        <f>+B471</f>
        <v>25358</v>
      </c>
      <c r="I885" s="159">
        <f>+B519</f>
        <v>15267</v>
      </c>
      <c r="J885" s="159">
        <f>+B563</f>
        <v>15258</v>
      </c>
      <c r="K885" s="159">
        <f>+B621</f>
        <v>15127</v>
      </c>
      <c r="L885" s="159">
        <f>+B631</f>
        <v>14464</v>
      </c>
      <c r="M885" s="159">
        <f>+B667</f>
        <v>14444</v>
      </c>
      <c r="N885" s="159">
        <f>+B715</f>
        <v>14131</v>
      </c>
      <c r="O885" s="159">
        <f>+B725</f>
        <v>3456</v>
      </c>
      <c r="P885" s="159">
        <f>+B759</f>
        <v>243</v>
      </c>
      <c r="Q885" s="159">
        <f>+B808</f>
        <v>3454</v>
      </c>
      <c r="R885" s="324"/>
      <c r="T885" s="366">
        <f>'[1]Lake Pleasant Forecast'!B35</f>
        <v>1690.1998116000643</v>
      </c>
      <c r="AC885" s="325" t="s">
        <v>419</v>
      </c>
      <c r="AD885" s="159">
        <f t="shared" si="194"/>
        <v>44152</v>
      </c>
      <c r="AE885" s="159">
        <f t="shared" si="195"/>
        <v>1607.0828356271095</v>
      </c>
      <c r="AF885" s="159">
        <f t="shared" si="202"/>
        <v>70955.921358608146</v>
      </c>
      <c r="AG885" s="159">
        <f t="shared" si="196"/>
        <v>120851.952</v>
      </c>
      <c r="AH885" s="159">
        <f t="shared" si="200"/>
        <v>191807.87335860817</v>
      </c>
      <c r="AI885" s="159">
        <f t="shared" si="197"/>
        <v>18454</v>
      </c>
      <c r="AJ885" s="159">
        <f t="shared" si="201"/>
        <v>210261.87335860817</v>
      </c>
      <c r="AK885" s="159">
        <v>0</v>
      </c>
      <c r="AL885" s="159">
        <f t="shared" si="199"/>
        <v>210261.87335860817</v>
      </c>
      <c r="AM885" s="159" t="s">
        <v>424</v>
      </c>
      <c r="AN885" s="159">
        <f>+B894/31/1.98</f>
        <v>2111.127403062887</v>
      </c>
      <c r="AO885" s="159">
        <f t="shared" si="203"/>
        <v>741.99888888888893</v>
      </c>
      <c r="AP885" s="159">
        <f>+N319</f>
        <v>0</v>
      </c>
      <c r="AQ885" s="159"/>
      <c r="AR885" s="159"/>
      <c r="AS885" s="159"/>
      <c r="AT885" s="324"/>
    </row>
    <row r="886" spans="1:46" ht="15.75" customHeight="1" x14ac:dyDescent="0.3">
      <c r="A886" s="365" t="s">
        <v>9</v>
      </c>
      <c r="B886" s="159">
        <f>+C29</f>
        <v>60202</v>
      </c>
      <c r="C886" s="159">
        <f>+C64</f>
        <v>60054</v>
      </c>
      <c r="D886" s="159">
        <f>+C131</f>
        <v>59909</v>
      </c>
      <c r="E886" s="159">
        <f>+C309</f>
        <v>58663</v>
      </c>
      <c r="F886" s="159">
        <f>+C304</f>
        <v>16480</v>
      </c>
      <c r="G886" s="159">
        <f>+C316</f>
        <v>-7866</v>
      </c>
      <c r="H886" s="159">
        <f>+C471</f>
        <v>32816</v>
      </c>
      <c r="I886" s="159">
        <f>+C519</f>
        <v>13424</v>
      </c>
      <c r="J886" s="159">
        <f>+C563</f>
        <v>13344</v>
      </c>
      <c r="K886" s="159">
        <f>+C621</f>
        <v>13165</v>
      </c>
      <c r="L886" s="159">
        <f>+C631</f>
        <v>11404</v>
      </c>
      <c r="M886" s="159">
        <f>+C667</f>
        <v>11382</v>
      </c>
      <c r="N886" s="159">
        <f>+C715</f>
        <v>10876</v>
      </c>
      <c r="O886" s="159">
        <f>+C725</f>
        <v>2096</v>
      </c>
      <c r="P886" s="159">
        <f>+C759</f>
        <v>1092</v>
      </c>
      <c r="Q886" s="159">
        <f>+C808</f>
        <v>2093</v>
      </c>
      <c r="R886" s="324"/>
      <c r="T886" s="366">
        <f>'[1]Lake Pleasant Forecast'!B37</f>
        <v>1693.66</v>
      </c>
      <c r="AC886" s="325" t="s">
        <v>420</v>
      </c>
      <c r="AD886" s="159">
        <f t="shared" si="194"/>
        <v>65541</v>
      </c>
      <c r="AE886" s="159">
        <f t="shared" si="195"/>
        <v>1617.5216826798235</v>
      </c>
      <c r="AF886" s="159">
        <f t="shared" si="202"/>
        <v>106013.98860451831</v>
      </c>
      <c r="AG886" s="159">
        <f t="shared" si="196"/>
        <v>86987.679000000004</v>
      </c>
      <c r="AH886" s="159">
        <f t="shared" si="200"/>
        <v>193001.6676045183</v>
      </c>
      <c r="AI886" s="159">
        <f t="shared" si="197"/>
        <v>6878</v>
      </c>
      <c r="AJ886" s="159">
        <f t="shared" si="201"/>
        <v>199879.6676045183</v>
      </c>
      <c r="AK886" s="159">
        <f>(G980)</f>
        <v>0</v>
      </c>
      <c r="AL886" s="159">
        <f t="shared" si="199"/>
        <v>199879.6676045183</v>
      </c>
      <c r="AM886" s="159" t="s">
        <v>424</v>
      </c>
      <c r="AN886" s="159">
        <f>+B895/30/1.98</f>
        <v>2137.7272727272725</v>
      </c>
      <c r="AO886" s="159">
        <f t="shared" si="203"/>
        <v>1101.4529166666666</v>
      </c>
      <c r="AP886" s="159">
        <f>+O319</f>
        <v>0</v>
      </c>
      <c r="AQ886" s="159"/>
      <c r="AR886" s="159"/>
      <c r="AS886" s="159"/>
      <c r="AT886" s="324"/>
    </row>
    <row r="887" spans="1:46" ht="15.75" customHeight="1" x14ac:dyDescent="0.3">
      <c r="A887" s="365" t="s">
        <v>10</v>
      </c>
      <c r="B887" s="159">
        <f>+D29</f>
        <v>135647</v>
      </c>
      <c r="C887" s="159">
        <f>+D64</f>
        <v>135373</v>
      </c>
      <c r="D887" s="159">
        <f>+D131</f>
        <v>135112</v>
      </c>
      <c r="E887" s="159">
        <f>+D309</f>
        <v>132094</v>
      </c>
      <c r="F887" s="159">
        <f>+D304</f>
        <v>20055</v>
      </c>
      <c r="G887" s="159">
        <f>+D316</f>
        <v>-207</v>
      </c>
      <c r="H887" s="159">
        <f>+D471</f>
        <v>87447</v>
      </c>
      <c r="I887" s="159">
        <f>+D519</f>
        <v>33418</v>
      </c>
      <c r="J887" s="159">
        <f>+D563</f>
        <v>27146</v>
      </c>
      <c r="K887" s="159">
        <f>+D621</f>
        <v>24606</v>
      </c>
      <c r="L887" s="159">
        <f>+D631</f>
        <v>20134</v>
      </c>
      <c r="M887" s="159">
        <f>+D667</f>
        <v>20106</v>
      </c>
      <c r="N887" s="159">
        <f>+D715</f>
        <v>19190</v>
      </c>
      <c r="O887" s="159">
        <f>+D725</f>
        <v>4278</v>
      </c>
      <c r="P887" s="159">
        <f>+D759</f>
        <v>1211</v>
      </c>
      <c r="Q887" s="159">
        <f>+D808</f>
        <v>4273</v>
      </c>
      <c r="R887" s="324"/>
      <c r="T887" s="366">
        <f>'[1]Lake Pleasant Forecast'!B39</f>
        <v>1696.7</v>
      </c>
      <c r="AC887" s="325" t="s">
        <v>421</v>
      </c>
      <c r="AD887" s="159">
        <f t="shared" si="194"/>
        <v>70977</v>
      </c>
      <c r="AE887" s="159">
        <f t="shared" si="195"/>
        <v>1621.0530797648637</v>
      </c>
      <c r="AF887" s="159">
        <f t="shared" si="202"/>
        <v>115057.48444247073</v>
      </c>
      <c r="AG887" s="159">
        <f t="shared" si="196"/>
        <v>99626.519</v>
      </c>
      <c r="AH887" s="159">
        <f t="shared" si="200"/>
        <v>214684.00344247074</v>
      </c>
      <c r="AI887" s="159">
        <f t="shared" si="197"/>
        <v>17917</v>
      </c>
      <c r="AJ887" s="159">
        <f t="shared" si="201"/>
        <v>232601.00344247074</v>
      </c>
      <c r="AK887" s="159">
        <f>(G981)</f>
        <v>9.8083964350448287</v>
      </c>
      <c r="AL887" s="159">
        <f t="shared" si="199"/>
        <v>232591.19504603569</v>
      </c>
      <c r="AM887" s="159" t="s">
        <v>424</v>
      </c>
      <c r="AN887" s="159">
        <f>+B896/31/1.98</f>
        <v>2303.1769305962853</v>
      </c>
      <c r="AO887" s="159">
        <f>(AD887*43560/31/24/3600)</f>
        <v>1154.3302419354839</v>
      </c>
      <c r="AP887" s="159">
        <f>+P319</f>
        <v>-1.2363151302197712</v>
      </c>
      <c r="AQ887" s="159"/>
      <c r="AR887" s="159"/>
      <c r="AS887" s="159"/>
      <c r="AT887" s="324"/>
    </row>
    <row r="888" spans="1:46" ht="15.75" customHeight="1" x14ac:dyDescent="0.3">
      <c r="A888" s="365" t="s">
        <v>12</v>
      </c>
      <c r="B888" s="159">
        <f>+F29</f>
        <v>160153</v>
      </c>
      <c r="C888" s="159">
        <f>+F64</f>
        <v>159786</v>
      </c>
      <c r="D888" s="159">
        <f>+F131</f>
        <v>159436</v>
      </c>
      <c r="E888" s="159">
        <f>+F309</f>
        <v>154149</v>
      </c>
      <c r="F888" s="159">
        <f>+F304</f>
        <v>9498</v>
      </c>
      <c r="G888" s="159">
        <f>+F316</f>
        <v>-6</v>
      </c>
      <c r="H888" s="159">
        <f>+F471</f>
        <v>107093</v>
      </c>
      <c r="I888" s="159">
        <f>+F519</f>
        <v>40051</v>
      </c>
      <c r="J888" s="159">
        <f>+F563</f>
        <v>29746</v>
      </c>
      <c r="K888" s="159">
        <f>+F621</f>
        <v>24990</v>
      </c>
      <c r="L888" s="159">
        <f>+F631</f>
        <v>19514</v>
      </c>
      <c r="M888" s="159">
        <f>+F667</f>
        <v>19477</v>
      </c>
      <c r="N888" s="159">
        <f>+F715</f>
        <v>18443</v>
      </c>
      <c r="O888" s="159">
        <f>+F725</f>
        <v>3982</v>
      </c>
      <c r="P888" s="159">
        <f>+F759</f>
        <v>3139</v>
      </c>
      <c r="Q888" s="159">
        <f>+F808</f>
        <v>3975</v>
      </c>
      <c r="R888" s="324"/>
      <c r="T888" s="366">
        <f>'[1]Lake Pleasant Forecast'!B41</f>
        <v>1696.11085484296</v>
      </c>
      <c r="AC888" s="323"/>
      <c r="AD888" s="159"/>
      <c r="AE888" s="159"/>
      <c r="AF888" s="159"/>
      <c r="AG888" s="159"/>
      <c r="AH888" s="159"/>
      <c r="AI888" s="159"/>
      <c r="AJ888" s="159"/>
      <c r="AK888" s="159"/>
      <c r="AL888" s="159"/>
      <c r="AM888" s="159" t="s">
        <v>424</v>
      </c>
      <c r="AN888" s="159"/>
      <c r="AO888" s="159"/>
      <c r="AP888" s="159"/>
      <c r="AQ888" s="159"/>
      <c r="AR888" s="159"/>
      <c r="AS888" s="159"/>
      <c r="AT888" s="324"/>
    </row>
    <row r="889" spans="1:46" ht="15.75" customHeight="1" x14ac:dyDescent="0.3">
      <c r="A889" s="365" t="s">
        <v>13</v>
      </c>
      <c r="B889" s="159">
        <f>+G29</f>
        <v>176014</v>
      </c>
      <c r="C889" s="159">
        <f>+G64</f>
        <v>175589</v>
      </c>
      <c r="D889" s="159">
        <f>+G131</f>
        <v>175187</v>
      </c>
      <c r="E889" s="159">
        <f>+G309</f>
        <v>168828</v>
      </c>
      <c r="F889" s="159">
        <f>+G304</f>
        <v>24625</v>
      </c>
      <c r="G889" s="159">
        <f>+G316</f>
        <v>-1492</v>
      </c>
      <c r="H889" s="159">
        <f>+G471</f>
        <v>103835</v>
      </c>
      <c r="I889" s="159">
        <f>+G519</f>
        <v>35076</v>
      </c>
      <c r="J889" s="159">
        <f>+G563</f>
        <v>29752</v>
      </c>
      <c r="K889" s="159">
        <f>+G621</f>
        <v>23912</v>
      </c>
      <c r="L889" s="159">
        <f>+G631</f>
        <v>19842</v>
      </c>
      <c r="M889" s="159">
        <f>+G667</f>
        <v>19800</v>
      </c>
      <c r="N889" s="159">
        <f>+G715</f>
        <v>17782</v>
      </c>
      <c r="O889" s="159">
        <f>+G725</f>
        <v>3112</v>
      </c>
      <c r="P889" s="159">
        <f>+G759</f>
        <v>5336</v>
      </c>
      <c r="Q889" s="159">
        <f>+G808</f>
        <v>3104</v>
      </c>
      <c r="R889" s="324"/>
      <c r="T889" s="366">
        <f>'[1]Lake Pleasant Forecast'!B43</f>
        <v>1693.7800000000002</v>
      </c>
      <c r="AC889" s="323" t="s">
        <v>422</v>
      </c>
      <c r="AD889" s="159">
        <f>SUM(AD876:AD887)</f>
        <v>344247</v>
      </c>
      <c r="AE889" s="159"/>
      <c r="AF889" s="159">
        <f t="shared" ref="AF889:AL889" si="204">SUM(AF876:AF887)</f>
        <v>560041.34691676288</v>
      </c>
      <c r="AG889" s="159">
        <f t="shared" si="204"/>
        <v>1517529.4540000001</v>
      </c>
      <c r="AH889" s="159">
        <f t="shared" si="204"/>
        <v>2077570.800916763</v>
      </c>
      <c r="AI889" s="159">
        <f t="shared" si="204"/>
        <v>394026</v>
      </c>
      <c r="AJ889" s="159">
        <f t="shared" si="204"/>
        <v>2471596.800916763</v>
      </c>
      <c r="AK889" s="159">
        <f t="shared" si="204"/>
        <v>40006.054496688877</v>
      </c>
      <c r="AL889" s="159">
        <f t="shared" si="204"/>
        <v>2431590.7464200738</v>
      </c>
      <c r="AM889" s="159"/>
      <c r="AN889" s="159"/>
      <c r="AO889" s="159"/>
      <c r="AP889" s="159"/>
      <c r="AQ889" s="159"/>
      <c r="AR889" s="159"/>
      <c r="AS889" s="159"/>
      <c r="AT889" s="324"/>
    </row>
    <row r="890" spans="1:46" ht="15.75" customHeight="1" x14ac:dyDescent="0.3">
      <c r="A890" s="365" t="s">
        <v>14</v>
      </c>
      <c r="B890" s="159">
        <f>+H29</f>
        <v>82750</v>
      </c>
      <c r="C890" s="159">
        <f>+H64</f>
        <v>82333</v>
      </c>
      <c r="D890" s="159">
        <f>+H131</f>
        <v>81937</v>
      </c>
      <c r="E890" s="159">
        <f>+H309</f>
        <v>75794</v>
      </c>
      <c r="F890" s="159">
        <f>+H304</f>
        <v>0</v>
      </c>
      <c r="G890" s="159">
        <f>+H316</f>
        <v>-117578</v>
      </c>
      <c r="H890" s="159">
        <f>+H471</f>
        <v>141266</v>
      </c>
      <c r="I890" s="159">
        <f>+H519</f>
        <v>49544</v>
      </c>
      <c r="J890" s="159">
        <f>+H563</f>
        <v>30940</v>
      </c>
      <c r="K890" s="159">
        <f>+H621</f>
        <v>25020</v>
      </c>
      <c r="L890" s="159">
        <f>+H631</f>
        <v>21408</v>
      </c>
      <c r="M890" s="159">
        <f>+H667</f>
        <v>21364</v>
      </c>
      <c r="N890" s="159">
        <f>+H715</f>
        <v>20734</v>
      </c>
      <c r="O890" s="159">
        <f>+H725</f>
        <v>4779</v>
      </c>
      <c r="P890" s="159">
        <f>+H759</f>
        <v>6668</v>
      </c>
      <c r="Q890" s="159">
        <f>+H808</f>
        <v>4770</v>
      </c>
      <c r="R890" s="324"/>
      <c r="T890" s="366">
        <f>'[1]Lake Pleasant Forecast'!B45</f>
        <v>1681.1000000000001</v>
      </c>
      <c r="AC890" s="323"/>
      <c r="AD890" s="159"/>
      <c r="AE890" s="159"/>
      <c r="AF890" s="159"/>
      <c r="AG890" s="159"/>
      <c r="AH890" s="159"/>
      <c r="AI890" s="159"/>
      <c r="AJ890" s="159"/>
      <c r="AK890" s="159"/>
      <c r="AL890" s="159"/>
      <c r="AM890" s="159"/>
      <c r="AN890" s="159"/>
      <c r="AO890" s="159"/>
      <c r="AP890" s="159"/>
      <c r="AQ890" s="159"/>
      <c r="AR890" s="159"/>
      <c r="AS890" s="159"/>
      <c r="AT890" s="324"/>
    </row>
    <row r="891" spans="1:46" ht="15.75" customHeight="1" x14ac:dyDescent="0.3">
      <c r="A891" s="365" t="s">
        <v>16</v>
      </c>
      <c r="B891" s="159">
        <f>+J29</f>
        <v>75396</v>
      </c>
      <c r="C891" s="159">
        <f>+J64</f>
        <v>74980</v>
      </c>
      <c r="D891" s="159">
        <f>+J131</f>
        <v>74586</v>
      </c>
      <c r="E891" s="159">
        <f>+J309</f>
        <v>68658</v>
      </c>
      <c r="F891" s="159">
        <f>+J304</f>
        <v>0</v>
      </c>
      <c r="G891" s="159">
        <f>+J316</f>
        <v>-100321</v>
      </c>
      <c r="H891" s="159">
        <f>+J471</f>
        <v>112905</v>
      </c>
      <c r="I891" s="159">
        <f>+J519</f>
        <v>52133</v>
      </c>
      <c r="J891" s="159">
        <f>+J563</f>
        <v>31883</v>
      </c>
      <c r="K891" s="159">
        <f>+J621</f>
        <v>24758</v>
      </c>
      <c r="L891" s="159">
        <f>+J631</f>
        <v>21717</v>
      </c>
      <c r="M891" s="159">
        <f>+J667</f>
        <v>21678</v>
      </c>
      <c r="N891" s="159">
        <f>+J715</f>
        <v>20158</v>
      </c>
      <c r="O891" s="159">
        <f>+J725</f>
        <v>4006</v>
      </c>
      <c r="P891" s="159">
        <f>+J759</f>
        <v>5553</v>
      </c>
      <c r="Q891" s="159">
        <f>+J808</f>
        <v>3999</v>
      </c>
      <c r="R891" s="324"/>
      <c r="T891" s="366">
        <f>'[1]Lake Pleasant Forecast'!B47</f>
        <v>1671.6699725311105</v>
      </c>
      <c r="AC891" s="323" t="s">
        <v>450</v>
      </c>
      <c r="AD891" s="159"/>
      <c r="AE891" s="159"/>
      <c r="AF891" s="159"/>
      <c r="AG891" s="159"/>
      <c r="AH891" s="159"/>
      <c r="AI891" s="159"/>
      <c r="AJ891" s="159"/>
      <c r="AK891" s="159"/>
      <c r="AL891" s="159"/>
      <c r="AM891" s="159"/>
      <c r="AN891" s="159"/>
      <c r="AO891" s="159"/>
      <c r="AP891" s="159"/>
      <c r="AQ891" s="159"/>
      <c r="AR891" s="159"/>
      <c r="AS891" s="159"/>
      <c r="AT891" s="324"/>
    </row>
    <row r="892" spans="1:46" ht="15.75" customHeight="1" x14ac:dyDescent="0.3">
      <c r="A892" s="365" t="s">
        <v>17</v>
      </c>
      <c r="B892" s="159">
        <f>+K29</f>
        <v>72195</v>
      </c>
      <c r="C892" s="159">
        <f>+K64</f>
        <v>71861</v>
      </c>
      <c r="D892" s="159">
        <f>+K131</f>
        <v>71543</v>
      </c>
      <c r="E892" s="159">
        <f>+K309</f>
        <v>65923</v>
      </c>
      <c r="F892" s="159">
        <f>+K304</f>
        <v>0</v>
      </c>
      <c r="G892" s="159">
        <f>+K316</f>
        <v>-94421</v>
      </c>
      <c r="H892" s="159">
        <f>+K471</f>
        <v>111677</v>
      </c>
      <c r="I892" s="159">
        <f>+K519</f>
        <v>46987</v>
      </c>
      <c r="J892" s="159">
        <f>+K563</f>
        <v>32582</v>
      </c>
      <c r="K892" s="159">
        <f>+K621</f>
        <v>26058</v>
      </c>
      <c r="L892" s="159">
        <f>+K631</f>
        <v>21681</v>
      </c>
      <c r="M892" s="159">
        <f>+K667</f>
        <v>21645</v>
      </c>
      <c r="N892" s="159">
        <f>+K715</f>
        <v>20778</v>
      </c>
      <c r="O892" s="159">
        <f>+K725</f>
        <v>3743</v>
      </c>
      <c r="P892" s="159">
        <f>+K759</f>
        <v>5238</v>
      </c>
      <c r="Q892" s="159">
        <f>+K808</f>
        <v>3737</v>
      </c>
      <c r="R892" s="324"/>
      <c r="T892" s="366">
        <f>'[1]Lake Pleasant Forecast'!B49</f>
        <v>1661.2798188452823</v>
      </c>
      <c r="AC892" s="323" t="s">
        <v>451</v>
      </c>
      <c r="AD892" s="159"/>
      <c r="AE892" s="159"/>
      <c r="AF892" s="159"/>
      <c r="AG892" s="159"/>
      <c r="AH892" s="159"/>
      <c r="AI892" s="159"/>
      <c r="AJ892" s="159"/>
      <c r="AK892" s="159"/>
      <c r="AL892" s="159"/>
      <c r="AM892" s="159"/>
      <c r="AN892" s="159"/>
      <c r="AO892" s="159"/>
      <c r="AP892" s="159"/>
      <c r="AQ892" s="159"/>
      <c r="AR892" s="159"/>
      <c r="AS892" s="159"/>
      <c r="AT892" s="324"/>
    </row>
    <row r="893" spans="1:46" ht="15.75" customHeight="1" x14ac:dyDescent="0.3">
      <c r="A893" s="365" t="s">
        <v>18</v>
      </c>
      <c r="B893" s="159">
        <f>+L29</f>
        <v>132719</v>
      </c>
      <c r="C893" s="159">
        <f>+L64</f>
        <v>132403</v>
      </c>
      <c r="D893" s="159">
        <f>+L131</f>
        <v>132102</v>
      </c>
      <c r="E893" s="159">
        <f>+L309</f>
        <v>127463</v>
      </c>
      <c r="F893" s="159">
        <f>+L304</f>
        <v>9609</v>
      </c>
      <c r="G893" s="159">
        <f>+L316</f>
        <v>-13817</v>
      </c>
      <c r="H893" s="159">
        <f>+L471</f>
        <v>86648</v>
      </c>
      <c r="I893" s="159">
        <f>+L519</f>
        <v>33813</v>
      </c>
      <c r="J893" s="159">
        <f>+L563</f>
        <v>27446</v>
      </c>
      <c r="K893" s="159">
        <f>+L621</f>
        <v>23575</v>
      </c>
      <c r="L893" s="159">
        <f>+L631</f>
        <v>19093</v>
      </c>
      <c r="M893" s="159">
        <f>+L667</f>
        <v>19059</v>
      </c>
      <c r="N893" s="159">
        <f>+L715</f>
        <v>17825</v>
      </c>
      <c r="O893" s="159">
        <f>+L725</f>
        <v>3535</v>
      </c>
      <c r="P893" s="159">
        <f>+L759</f>
        <v>5027</v>
      </c>
      <c r="Q893" s="159">
        <f>+L808</f>
        <v>3482</v>
      </c>
      <c r="R893" s="324"/>
      <c r="T893" s="366">
        <f>'[1]Lake Pleasant Forecast'!B51</f>
        <v>1659.68</v>
      </c>
      <c r="AC893" s="323"/>
      <c r="AD893" s="159"/>
      <c r="AE893" s="159"/>
      <c r="AF893" s="159"/>
      <c r="AG893" s="159"/>
      <c r="AH893" s="159"/>
      <c r="AI893" s="159"/>
      <c r="AJ893" s="159"/>
      <c r="AK893" s="159"/>
      <c r="AL893" s="159"/>
      <c r="AM893" s="159"/>
      <c r="AN893" s="159"/>
      <c r="AO893" s="159"/>
      <c r="AP893" s="159"/>
      <c r="AQ893" s="159"/>
      <c r="AR893" s="159"/>
      <c r="AS893" s="159"/>
      <c r="AT893" s="324"/>
    </row>
    <row r="894" spans="1:46" ht="15.75" customHeight="1" x14ac:dyDescent="0.3">
      <c r="A894" s="365" t="s">
        <v>20</v>
      </c>
      <c r="B894" s="159">
        <f>+N29</f>
        <v>129581</v>
      </c>
      <c r="C894" s="159">
        <f>+N64</f>
        <v>129296</v>
      </c>
      <c r="D894" s="159">
        <f>+N131</f>
        <v>129024</v>
      </c>
      <c r="E894" s="159">
        <f>+N309</f>
        <v>125637</v>
      </c>
      <c r="F894" s="159">
        <f>+N304</f>
        <v>44152</v>
      </c>
      <c r="G894" s="159">
        <f>+N316</f>
        <v>0</v>
      </c>
      <c r="H894" s="159">
        <f>+N471</f>
        <v>44582</v>
      </c>
      <c r="I894" s="159">
        <f>+N519</f>
        <v>12743</v>
      </c>
      <c r="J894" s="159">
        <f>+N563</f>
        <v>10868</v>
      </c>
      <c r="K894" s="159">
        <f>+N621</f>
        <v>9720</v>
      </c>
      <c r="L894" s="159">
        <f>+N631</f>
        <v>7078</v>
      </c>
      <c r="M894" s="159">
        <f>+N667</f>
        <v>7049</v>
      </c>
      <c r="N894" s="159">
        <f>+N715</f>
        <v>6139</v>
      </c>
      <c r="O894" s="159">
        <f>+N725</f>
        <v>3374</v>
      </c>
      <c r="P894" s="159">
        <f>+N759</f>
        <v>4749</v>
      </c>
      <c r="Q894" s="159">
        <f>+N808</f>
        <v>3369</v>
      </c>
      <c r="R894" s="324"/>
      <c r="T894" s="366">
        <f>'[1]Lake Pleasant Forecast'!B53</f>
        <v>1666.2699999999998</v>
      </c>
      <c r="AC894" s="323" t="s">
        <v>452</v>
      </c>
      <c r="AD894" s="159"/>
      <c r="AE894" s="159"/>
      <c r="AF894" s="159"/>
      <c r="AG894" s="159"/>
      <c r="AH894" s="159"/>
      <c r="AI894" s="159"/>
      <c r="AJ894" s="159"/>
      <c r="AK894" s="159"/>
      <c r="AL894" s="159"/>
      <c r="AM894" s="159"/>
      <c r="AN894" s="159"/>
      <c r="AO894" s="159"/>
      <c r="AP894" s="159"/>
      <c r="AQ894" s="159"/>
      <c r="AR894" s="159"/>
      <c r="AS894" s="159"/>
      <c r="AT894" s="324"/>
    </row>
    <row r="895" spans="1:46" ht="15.75" customHeight="1" x14ac:dyDescent="0.3">
      <c r="A895" s="365" t="s">
        <v>21</v>
      </c>
      <c r="B895" s="159">
        <f>+O29</f>
        <v>126981</v>
      </c>
      <c r="C895" s="159">
        <f>+O64</f>
        <v>126746</v>
      </c>
      <c r="D895" s="159">
        <f>+O131</f>
        <v>126520</v>
      </c>
      <c r="E895" s="159">
        <f>+O309</f>
        <v>124524</v>
      </c>
      <c r="F895" s="159">
        <f>+O304</f>
        <v>65541</v>
      </c>
      <c r="G895" s="159">
        <f>+O316</f>
        <v>0</v>
      </c>
      <c r="H895" s="159">
        <f>+O471</f>
        <v>25365</v>
      </c>
      <c r="I895" s="159">
        <f>+O519</f>
        <v>4013</v>
      </c>
      <c r="J895" s="159">
        <f>+O563</f>
        <v>3559</v>
      </c>
      <c r="K895" s="159">
        <f>+O621</f>
        <v>3080</v>
      </c>
      <c r="L895" s="159">
        <f>+O631</f>
        <v>1394</v>
      </c>
      <c r="M895" s="159">
        <f>+O667</f>
        <v>1371</v>
      </c>
      <c r="N895" s="159">
        <f>+O715</f>
        <v>1261</v>
      </c>
      <c r="O895" s="159">
        <f>+O725</f>
        <v>1043</v>
      </c>
      <c r="P895" s="159">
        <f>+O759</f>
        <v>2363</v>
      </c>
      <c r="Q895" s="159">
        <f>+O808</f>
        <v>1040</v>
      </c>
      <c r="R895" s="324"/>
      <c r="T895" s="366">
        <f>'[1]Lake Pleasant Forecast'!B55</f>
        <v>1674.31</v>
      </c>
      <c r="AC895" s="323"/>
      <c r="AD895" s="159"/>
      <c r="AE895" s="159"/>
      <c r="AF895" s="159"/>
      <c r="AG895" s="159"/>
      <c r="AH895" s="159"/>
      <c r="AI895" s="159"/>
      <c r="AJ895" s="159"/>
      <c r="AK895" s="159"/>
      <c r="AL895" s="159"/>
      <c r="AM895" s="159"/>
      <c r="AN895" s="159"/>
      <c r="AO895" s="159"/>
      <c r="AP895" s="159"/>
      <c r="AQ895" s="159"/>
      <c r="AR895" s="159"/>
      <c r="AS895" s="159"/>
      <c r="AT895" s="324"/>
    </row>
    <row r="896" spans="1:46" ht="15.75" customHeight="1" thickBot="1" x14ac:dyDescent="0.35">
      <c r="A896" s="365" t="s">
        <v>22</v>
      </c>
      <c r="B896" s="159">
        <f>+P29</f>
        <v>141369</v>
      </c>
      <c r="C896" s="159">
        <f>+P64</f>
        <v>141183</v>
      </c>
      <c r="D896" s="159">
        <f>+P131</f>
        <v>141004</v>
      </c>
      <c r="E896" s="159">
        <f>+P309</f>
        <v>138250</v>
      </c>
      <c r="F896" s="159">
        <f>+P304</f>
        <v>70977</v>
      </c>
      <c r="G896" s="159">
        <f>+P316</f>
        <v>-76</v>
      </c>
      <c r="H896" s="159">
        <f>+P471</f>
        <v>38540</v>
      </c>
      <c r="I896" s="159">
        <f>+P519</f>
        <v>12683</v>
      </c>
      <c r="J896" s="159">
        <f>+P563</f>
        <v>11483</v>
      </c>
      <c r="K896" s="159">
        <f>+P621</f>
        <v>11306</v>
      </c>
      <c r="L896" s="159">
        <f>+P631</f>
        <v>7134</v>
      </c>
      <c r="M896" s="159">
        <f>+P667</f>
        <v>7115</v>
      </c>
      <c r="N896" s="159">
        <f>+P715</f>
        <v>7106</v>
      </c>
      <c r="O896" s="159">
        <f>+P725</f>
        <v>2919</v>
      </c>
      <c r="P896" s="159">
        <f>+P759</f>
        <v>3355</v>
      </c>
      <c r="Q896" s="159">
        <f>+P808</f>
        <v>2917</v>
      </c>
      <c r="R896" s="324"/>
      <c r="T896" s="366">
        <f>'[1]Lake Pleasant Forecast'!B57</f>
        <v>1677.029882034898</v>
      </c>
      <c r="AC896" s="326" t="s">
        <v>453</v>
      </c>
      <c r="AD896" s="327"/>
      <c r="AE896" s="327"/>
      <c r="AF896" s="327"/>
      <c r="AG896" s="327"/>
      <c r="AH896" s="327"/>
      <c r="AI896" s="327"/>
      <c r="AJ896" s="327"/>
      <c r="AK896" s="327"/>
      <c r="AL896" s="327"/>
      <c r="AM896" s="327"/>
      <c r="AN896" s="327"/>
      <c r="AO896" s="327"/>
      <c r="AP896" s="327"/>
      <c r="AQ896" s="327"/>
      <c r="AR896" s="327"/>
      <c r="AS896" s="327"/>
      <c r="AT896" s="328"/>
    </row>
    <row r="897" spans="1:50" ht="15.75" customHeight="1" x14ac:dyDescent="0.3">
      <c r="A897" s="325"/>
      <c r="B897" s="159"/>
      <c r="C897" s="159"/>
      <c r="D897" s="159"/>
      <c r="E897" s="159"/>
      <c r="F897" s="159"/>
      <c r="G897" s="159"/>
      <c r="H897" s="159"/>
      <c r="I897" s="159"/>
      <c r="J897" s="159"/>
      <c r="K897" s="159"/>
      <c r="L897" s="159"/>
      <c r="M897" s="159"/>
      <c r="N897" s="159"/>
      <c r="O897" s="159"/>
      <c r="P897" s="159"/>
      <c r="Q897" s="159"/>
      <c r="R897" s="324"/>
    </row>
    <row r="898" spans="1:50" ht="15.75" customHeight="1" thickBot="1" x14ac:dyDescent="0.35">
      <c r="A898" s="325" t="s">
        <v>422</v>
      </c>
      <c r="B898" s="159">
        <f t="shared" ref="B898:Q898" si="205">SUM(B885:B896)</f>
        <v>1417550</v>
      </c>
      <c r="C898" s="159">
        <f t="shared" si="205"/>
        <v>1414050</v>
      </c>
      <c r="D898" s="159">
        <f t="shared" si="205"/>
        <v>1410710</v>
      </c>
      <c r="E898" s="159">
        <f t="shared" si="205"/>
        <v>1364134</v>
      </c>
      <c r="F898" s="159">
        <f t="shared" si="205"/>
        <v>344247</v>
      </c>
      <c r="G898" s="159">
        <f t="shared" si="205"/>
        <v>-339431</v>
      </c>
      <c r="H898" s="159">
        <f t="shared" si="205"/>
        <v>917532</v>
      </c>
      <c r="I898" s="159">
        <f t="shared" si="205"/>
        <v>349152</v>
      </c>
      <c r="J898" s="159">
        <f t="shared" si="205"/>
        <v>264007</v>
      </c>
      <c r="K898" s="159">
        <f t="shared" si="205"/>
        <v>225317</v>
      </c>
      <c r="L898" s="159">
        <f t="shared" si="205"/>
        <v>184863</v>
      </c>
      <c r="M898" s="159">
        <f t="shared" si="205"/>
        <v>184490</v>
      </c>
      <c r="N898" s="159">
        <f t="shared" si="205"/>
        <v>174423</v>
      </c>
      <c r="O898" s="159">
        <f t="shared" si="205"/>
        <v>40323</v>
      </c>
      <c r="P898" s="159">
        <f t="shared" si="205"/>
        <v>43974</v>
      </c>
      <c r="Q898" s="159">
        <f t="shared" si="205"/>
        <v>40213</v>
      </c>
      <c r="R898" s="324"/>
    </row>
    <row r="899" spans="1:50" ht="15.75" customHeight="1" thickBot="1" x14ac:dyDescent="0.35">
      <c r="A899" s="312"/>
      <c r="B899" s="312"/>
      <c r="C899" s="312"/>
      <c r="D899" s="312"/>
      <c r="E899" s="312"/>
      <c r="F899" s="312"/>
      <c r="G899" s="312"/>
      <c r="H899" s="312"/>
      <c r="I899" s="312"/>
      <c r="J899" s="312"/>
      <c r="K899" s="312"/>
      <c r="L899" s="312"/>
      <c r="M899" s="312"/>
      <c r="N899" s="312"/>
      <c r="O899" s="312"/>
      <c r="P899" s="312"/>
      <c r="Q899" s="312"/>
      <c r="R899" s="328"/>
      <c r="AC899" s="318"/>
      <c r="AD899" s="319"/>
      <c r="AE899" s="319"/>
      <c r="AF899" s="319"/>
      <c r="AG899" s="319"/>
      <c r="AH899" s="319"/>
      <c r="AI899" s="319"/>
      <c r="AJ899" s="319"/>
      <c r="AK899" s="319"/>
      <c r="AL899" s="319"/>
      <c r="AM899" s="319"/>
      <c r="AN899" s="319"/>
      <c r="AO899" s="319"/>
      <c r="AP899" s="319"/>
      <c r="AQ899" s="319"/>
      <c r="AR899" s="319"/>
      <c r="AS899" s="361" t="str">
        <f>+Q1</f>
        <v xml:space="preserve">PRINTED:  </v>
      </c>
      <c r="AT899" s="367">
        <f ca="1">+R1</f>
        <v>44909.46975358796</v>
      </c>
      <c r="AU899" s="332"/>
      <c r="AW899" s="161" t="s">
        <v>467</v>
      </c>
      <c r="AX899" s="159"/>
    </row>
    <row r="900" spans="1:50" ht="15.75" customHeight="1" x14ac:dyDescent="0.35">
      <c r="A900" s="368"/>
      <c r="B900" s="368"/>
      <c r="C900" s="368"/>
      <c r="D900" s="368"/>
      <c r="E900" s="368"/>
      <c r="F900" s="368"/>
      <c r="G900" s="368"/>
      <c r="H900" s="368"/>
      <c r="I900" s="368"/>
      <c r="J900" s="368"/>
      <c r="K900" s="368"/>
      <c r="L900" s="368"/>
      <c r="M900" s="368"/>
      <c r="N900" s="368"/>
      <c r="O900" s="368"/>
      <c r="P900" s="368"/>
      <c r="Q900" s="368"/>
      <c r="R900" s="319"/>
      <c r="AC900" s="323"/>
      <c r="AD900" s="159"/>
      <c r="AE900" s="161" t="s">
        <v>460</v>
      </c>
      <c r="AF900" s="159"/>
      <c r="AG900" s="159"/>
      <c r="AH900" s="159"/>
      <c r="AI900" s="159"/>
      <c r="AJ900" s="159"/>
      <c r="AK900" s="159"/>
      <c r="AL900" s="159"/>
      <c r="AM900" s="159"/>
      <c r="AN900" s="167"/>
      <c r="AO900" s="161" t="s">
        <v>461</v>
      </c>
      <c r="AP900" s="159"/>
      <c r="AQ900" s="159"/>
      <c r="AR900" s="159"/>
      <c r="AS900" s="159"/>
      <c r="AT900" s="159"/>
      <c r="AU900" s="307"/>
      <c r="AW900" s="159" t="s">
        <v>468</v>
      </c>
      <c r="AX900" s="159"/>
    </row>
    <row r="901" spans="1:50" ht="16.5" customHeight="1" x14ac:dyDescent="0.3">
      <c r="A901" s="325" t="s">
        <v>7</v>
      </c>
      <c r="B901" s="159"/>
      <c r="C901" s="159"/>
      <c r="D901" s="159"/>
      <c r="E901" s="159"/>
      <c r="F901" s="159"/>
      <c r="G901" s="159"/>
      <c r="H901" s="159"/>
      <c r="I901" s="159"/>
      <c r="J901" s="159"/>
      <c r="K901" s="159"/>
      <c r="L901" s="159"/>
      <c r="M901" s="159"/>
      <c r="N901" s="159"/>
      <c r="O901" s="159"/>
      <c r="P901" s="159"/>
      <c r="Q901" s="159"/>
      <c r="R901" s="159"/>
      <c r="AC901" s="323"/>
      <c r="AD901" s="159"/>
      <c r="AE901" s="159"/>
      <c r="AF901" s="159"/>
      <c r="AG901" s="159" t="s">
        <v>7</v>
      </c>
      <c r="AH901" s="163" t="str">
        <f>+A8</f>
        <v>Revised:  1/18/2018</v>
      </c>
      <c r="AI901" s="159"/>
      <c r="AJ901" s="159"/>
      <c r="AK901" s="159"/>
      <c r="AL901" s="159"/>
      <c r="AM901" s="159"/>
      <c r="AN901" s="159"/>
      <c r="AO901" s="159"/>
      <c r="AP901" s="159"/>
      <c r="AQ901" s="159"/>
      <c r="AR901" s="159" t="s">
        <v>7</v>
      </c>
      <c r="AS901" s="163" t="str">
        <f>+A8</f>
        <v>Revised:  1/18/2018</v>
      </c>
      <c r="AT901" s="159"/>
      <c r="AU901" s="307"/>
      <c r="AW901" s="159"/>
      <c r="AX901" s="159"/>
    </row>
    <row r="902" spans="1:50" ht="15.75" customHeight="1" x14ac:dyDescent="0.3">
      <c r="A902" s="164"/>
      <c r="B902" s="159"/>
      <c r="C902" s="159"/>
      <c r="D902" s="159"/>
      <c r="E902" s="159"/>
      <c r="F902" s="159"/>
      <c r="G902" s="159"/>
      <c r="H902" s="159"/>
      <c r="I902" s="159"/>
      <c r="J902" s="159"/>
      <c r="K902" s="159"/>
      <c r="L902" s="159"/>
      <c r="M902" s="159"/>
      <c r="N902" s="159"/>
      <c r="O902" s="159"/>
      <c r="P902" s="159"/>
      <c r="Q902" s="159"/>
      <c r="R902" s="159"/>
      <c r="AC902" s="323"/>
      <c r="AD902" s="159"/>
      <c r="AE902" s="159"/>
      <c r="AF902" s="159" t="s">
        <v>787</v>
      </c>
      <c r="AG902" s="159"/>
      <c r="AH902" s="159"/>
      <c r="AI902" s="159"/>
      <c r="AJ902" s="159"/>
      <c r="AK902" s="159"/>
      <c r="AL902" s="159"/>
      <c r="AM902" s="159"/>
      <c r="AN902" s="159"/>
      <c r="AO902" s="159"/>
      <c r="AP902" s="159" t="s">
        <v>787</v>
      </c>
      <c r="AQ902" s="159"/>
      <c r="AR902" s="159"/>
      <c r="AS902" s="159"/>
      <c r="AT902" s="159"/>
      <c r="AU902" s="307"/>
      <c r="AW902" s="159" t="s">
        <v>424</v>
      </c>
      <c r="AX902" s="164" t="s">
        <v>442</v>
      </c>
    </row>
    <row r="903" spans="1:50" ht="15.75" customHeight="1" x14ac:dyDescent="0.3">
      <c r="A903" s="365"/>
      <c r="AC903" s="323"/>
      <c r="AD903" s="159"/>
      <c r="AE903" s="159"/>
      <c r="AF903" s="159"/>
      <c r="AG903" s="159"/>
      <c r="AH903" s="159"/>
      <c r="AI903" s="159"/>
      <c r="AJ903" s="159"/>
      <c r="AK903" s="159"/>
      <c r="AL903" s="159"/>
      <c r="AM903" s="159"/>
      <c r="AN903" s="159"/>
      <c r="AO903" s="159"/>
      <c r="AP903" s="159"/>
      <c r="AQ903" s="159"/>
      <c r="AR903" s="159"/>
      <c r="AS903" s="159"/>
      <c r="AT903" s="159"/>
      <c r="AU903" s="307"/>
      <c r="AW903" s="164" t="s">
        <v>442</v>
      </c>
      <c r="AX903" s="164" t="s">
        <v>439</v>
      </c>
    </row>
    <row r="904" spans="1:50" ht="15.75" customHeight="1" thickBot="1" x14ac:dyDescent="0.35">
      <c r="A904" s="365"/>
      <c r="AC904" s="323"/>
      <c r="AD904" s="159"/>
      <c r="AE904" s="159"/>
      <c r="AF904" s="159"/>
      <c r="AG904" s="159">
        <f>+A5</f>
        <v>2017</v>
      </c>
      <c r="AH904" s="159"/>
      <c r="AI904" s="159"/>
      <c r="AJ904" s="159"/>
      <c r="AK904" s="159"/>
      <c r="AL904" s="159"/>
      <c r="AM904" s="159"/>
      <c r="AN904" s="159"/>
      <c r="AO904" s="159"/>
      <c r="AP904" s="159"/>
      <c r="AQ904" s="159"/>
      <c r="AR904" s="159">
        <f>+A5</f>
        <v>2017</v>
      </c>
      <c r="AS904" s="159"/>
      <c r="AT904" s="159"/>
      <c r="AU904" s="307"/>
      <c r="AW904" s="164" t="s">
        <v>491</v>
      </c>
      <c r="AX904" s="164" t="s">
        <v>492</v>
      </c>
    </row>
    <row r="905" spans="1:50" ht="15.75" customHeight="1" x14ac:dyDescent="0.3">
      <c r="A905" s="363"/>
      <c r="B905" s="506" t="s">
        <v>454</v>
      </c>
      <c r="C905" s="506"/>
      <c r="D905" s="506"/>
      <c r="E905" s="506"/>
      <c r="F905" s="506"/>
      <c r="G905" s="506"/>
      <c r="H905" s="506"/>
      <c r="I905" s="506"/>
      <c r="J905" s="506"/>
      <c r="K905" s="506"/>
      <c r="L905" s="506"/>
      <c r="M905" s="506"/>
      <c r="N905" s="506"/>
      <c r="O905" s="506"/>
      <c r="P905" s="506"/>
      <c r="Q905" s="361" t="str">
        <f>+Q1</f>
        <v xml:space="preserve">PRINTED:  </v>
      </c>
      <c r="R905" s="362">
        <f ca="1">+R1</f>
        <v>44909.46975358796</v>
      </c>
      <c r="AC905" s="323"/>
      <c r="AD905" s="159"/>
      <c r="AE905" s="159"/>
      <c r="AF905" s="159"/>
      <c r="AG905" s="159" t="s">
        <v>457</v>
      </c>
      <c r="AH905" s="159"/>
      <c r="AI905" s="159"/>
      <c r="AJ905" s="159"/>
      <c r="AK905" s="159"/>
      <c r="AL905" s="159"/>
      <c r="AM905" s="159"/>
      <c r="AN905" s="159"/>
      <c r="AO905" s="159"/>
      <c r="AP905" s="159"/>
      <c r="AQ905" s="159"/>
      <c r="AR905" s="159" t="s">
        <v>457</v>
      </c>
      <c r="AS905" s="159"/>
      <c r="AT905" s="159"/>
      <c r="AU905" s="307"/>
      <c r="AW905" s="164" t="s">
        <v>409</v>
      </c>
      <c r="AX905" s="164" t="s">
        <v>409</v>
      </c>
    </row>
    <row r="906" spans="1:50" ht="15.75" customHeight="1" x14ac:dyDescent="0.3">
      <c r="A906" s="325"/>
      <c r="B906" s="503" t="str">
        <f>+A8</f>
        <v>Revised:  1/18/2018</v>
      </c>
      <c r="C906" s="503"/>
      <c r="D906" s="503"/>
      <c r="E906" s="503"/>
      <c r="F906" s="503"/>
      <c r="G906" s="503"/>
      <c r="H906" s="503"/>
      <c r="I906" s="503"/>
      <c r="J906" s="503"/>
      <c r="K906" s="503"/>
      <c r="L906" s="503"/>
      <c r="M906" s="503"/>
      <c r="N906" s="503"/>
      <c r="O906" s="503"/>
      <c r="P906" s="503"/>
      <c r="Q906" s="159"/>
      <c r="R906" s="324"/>
      <c r="AC906" s="323"/>
      <c r="AD906" s="159"/>
      <c r="AE906" s="159"/>
      <c r="AF906" s="159"/>
      <c r="AG906" s="159"/>
      <c r="AH906" s="159"/>
      <c r="AI906" s="159"/>
      <c r="AJ906" s="159"/>
      <c r="AK906" s="159"/>
      <c r="AL906" s="159"/>
      <c r="AM906" s="159"/>
      <c r="AN906" s="159"/>
      <c r="AO906" s="159"/>
      <c r="AP906" s="159"/>
      <c r="AQ906" s="159"/>
      <c r="AR906" s="159"/>
      <c r="AS906" s="159"/>
      <c r="AT906" s="159"/>
      <c r="AU906" s="307"/>
      <c r="AW906" s="159">
        <f t="shared" ref="AW906:AW917" si="206">SUM(L942:Q942)</f>
        <v>8977</v>
      </c>
      <c r="AX906" s="172">
        <v>2.4700000000000002</v>
      </c>
    </row>
    <row r="907" spans="1:50" ht="15.75" customHeight="1" x14ac:dyDescent="0.3">
      <c r="A907" s="325"/>
      <c r="B907" s="503" t="s">
        <v>1024</v>
      </c>
      <c r="C907" s="503"/>
      <c r="D907" s="503"/>
      <c r="E907" s="503"/>
      <c r="F907" s="503"/>
      <c r="G907" s="503"/>
      <c r="H907" s="503"/>
      <c r="I907" s="503"/>
      <c r="J907" s="503"/>
      <c r="K907" s="503"/>
      <c r="L907" s="503"/>
      <c r="M907" s="503"/>
      <c r="N907" s="503"/>
      <c r="O907" s="503"/>
      <c r="P907" s="503"/>
      <c r="Q907" s="159"/>
      <c r="R907" s="324"/>
      <c r="AC907" s="323" t="s">
        <v>389</v>
      </c>
      <c r="AD907" s="164" t="s">
        <v>390</v>
      </c>
      <c r="AE907" s="164" t="s">
        <v>391</v>
      </c>
      <c r="AF907" s="164" t="s">
        <v>392</v>
      </c>
      <c r="AG907" s="164" t="s">
        <v>393</v>
      </c>
      <c r="AH907" s="164" t="s">
        <v>394</v>
      </c>
      <c r="AI907" s="159"/>
      <c r="AJ907" s="164" t="s">
        <v>422</v>
      </c>
      <c r="AK907" s="159"/>
      <c r="AL907" s="159"/>
      <c r="AM907" s="159"/>
      <c r="AN907" s="159" t="s">
        <v>389</v>
      </c>
      <c r="AO907" s="164" t="s">
        <v>390</v>
      </c>
      <c r="AP907" s="164" t="s">
        <v>391</v>
      </c>
      <c r="AQ907" s="164" t="s">
        <v>392</v>
      </c>
      <c r="AR907" s="164" t="s">
        <v>393</v>
      </c>
      <c r="AS907" s="164" t="s">
        <v>394</v>
      </c>
      <c r="AT907" s="164" t="s">
        <v>422</v>
      </c>
      <c r="AU907" s="307"/>
      <c r="AW907" s="159">
        <f t="shared" si="206"/>
        <v>6913</v>
      </c>
      <c r="AX907" s="172">
        <v>2.4700000000000002</v>
      </c>
    </row>
    <row r="908" spans="1:50" ht="15.75" customHeight="1" x14ac:dyDescent="0.3">
      <c r="A908" s="325"/>
      <c r="B908" s="503"/>
      <c r="C908" s="503"/>
      <c r="D908" s="503"/>
      <c r="E908" s="503"/>
      <c r="F908" s="503"/>
      <c r="G908" s="503"/>
      <c r="H908" s="503"/>
      <c r="I908" s="503"/>
      <c r="J908" s="503"/>
      <c r="K908" s="503"/>
      <c r="L908" s="503"/>
      <c r="M908" s="503"/>
      <c r="N908" s="503"/>
      <c r="O908" s="503"/>
      <c r="P908" s="503"/>
      <c r="Q908" s="159"/>
      <c r="R908" s="324"/>
      <c r="AC908" s="323" t="s">
        <v>405</v>
      </c>
      <c r="AD908" s="159"/>
      <c r="AE908" s="159"/>
      <c r="AF908" s="159"/>
      <c r="AG908" s="159"/>
      <c r="AH908" s="164" t="s">
        <v>406</v>
      </c>
      <c r="AI908" s="159"/>
      <c r="AJ908" s="164" t="s">
        <v>465</v>
      </c>
      <c r="AK908" s="159"/>
      <c r="AL908" s="159"/>
      <c r="AM908" s="159"/>
      <c r="AN908" s="159" t="s">
        <v>405</v>
      </c>
      <c r="AO908" s="159"/>
      <c r="AP908" s="159"/>
      <c r="AQ908" s="159"/>
      <c r="AR908" s="159"/>
      <c r="AS908" s="164" t="s">
        <v>406</v>
      </c>
      <c r="AT908" s="164" t="s">
        <v>465</v>
      </c>
      <c r="AU908" s="307"/>
      <c r="AW908" s="159">
        <f t="shared" si="206"/>
        <v>12332</v>
      </c>
      <c r="AX908" s="172">
        <v>2.4700000000000002</v>
      </c>
    </row>
    <row r="909" spans="1:50" ht="15.75" customHeight="1" x14ac:dyDescent="0.3">
      <c r="A909" s="325"/>
      <c r="B909" s="509">
        <f>+A5</f>
        <v>2017</v>
      </c>
      <c r="C909" s="509"/>
      <c r="D909" s="509"/>
      <c r="E909" s="509"/>
      <c r="F909" s="509"/>
      <c r="G909" s="509"/>
      <c r="H909" s="509"/>
      <c r="I909" s="509"/>
      <c r="J909" s="509"/>
      <c r="K909" s="509"/>
      <c r="L909" s="509"/>
      <c r="M909" s="509"/>
      <c r="N909" s="509"/>
      <c r="O909" s="509"/>
      <c r="P909" s="509"/>
      <c r="Q909" s="159"/>
      <c r="R909" s="324"/>
      <c r="AC909" s="323" t="s">
        <v>408</v>
      </c>
      <c r="AD909" s="159">
        <f>+$B$940</f>
        <v>957</v>
      </c>
      <c r="AE909" s="159">
        <f>+C$940</f>
        <v>122</v>
      </c>
      <c r="AF909" s="159">
        <f>+D$940</f>
        <v>128</v>
      </c>
      <c r="AG909" s="159">
        <f>+E$940</f>
        <v>219</v>
      </c>
      <c r="AH909" s="159"/>
      <c r="AI909" s="159"/>
      <c r="AJ909" s="164" t="s">
        <v>442</v>
      </c>
      <c r="AK909" s="159"/>
      <c r="AL909" s="159"/>
      <c r="AM909" s="159"/>
      <c r="AN909" s="159" t="s">
        <v>408</v>
      </c>
      <c r="AO909" s="159">
        <f>+$B$940</f>
        <v>957</v>
      </c>
      <c r="AP909" s="159">
        <f>+C$940</f>
        <v>122</v>
      </c>
      <c r="AQ909" s="159">
        <f>+D$940</f>
        <v>128</v>
      </c>
      <c r="AR909" s="159">
        <f>+E$940</f>
        <v>219</v>
      </c>
      <c r="AS909" s="159"/>
      <c r="AT909" s="164" t="s">
        <v>442</v>
      </c>
      <c r="AU909" s="307"/>
      <c r="AW909" s="159">
        <f t="shared" si="206"/>
        <v>12473</v>
      </c>
      <c r="AX909" s="172">
        <v>2.4700000000000002</v>
      </c>
    </row>
    <row r="910" spans="1:50" ht="15.75" customHeight="1" x14ac:dyDescent="0.3">
      <c r="A910" s="325"/>
      <c r="B910" s="503" t="s">
        <v>1027</v>
      </c>
      <c r="C910" s="503"/>
      <c r="D910" s="503"/>
      <c r="E910" s="503"/>
      <c r="F910" s="503"/>
      <c r="G910" s="503"/>
      <c r="H910" s="503"/>
      <c r="I910" s="503"/>
      <c r="J910" s="503"/>
      <c r="K910" s="503"/>
      <c r="L910" s="503"/>
      <c r="M910" s="503"/>
      <c r="N910" s="503"/>
      <c r="O910" s="503"/>
      <c r="P910" s="503"/>
      <c r="Q910" s="159"/>
      <c r="R910" s="324"/>
      <c r="AC910" s="323"/>
      <c r="AD910" s="159" t="s">
        <v>409</v>
      </c>
      <c r="AE910" s="159" t="s">
        <v>409</v>
      </c>
      <c r="AF910" s="159" t="s">
        <v>409</v>
      </c>
      <c r="AG910" s="159" t="s">
        <v>409</v>
      </c>
      <c r="AH910" s="159" t="s">
        <v>409</v>
      </c>
      <c r="AI910" s="159"/>
      <c r="AJ910" s="159" t="s">
        <v>459</v>
      </c>
      <c r="AK910" s="159"/>
      <c r="AL910" s="159"/>
      <c r="AM910" s="159"/>
      <c r="AN910" s="159"/>
      <c r="AO910" s="159" t="s">
        <v>409</v>
      </c>
      <c r="AP910" s="159" t="s">
        <v>409</v>
      </c>
      <c r="AQ910" s="159" t="s">
        <v>409</v>
      </c>
      <c r="AR910" s="159" t="s">
        <v>409</v>
      </c>
      <c r="AS910" s="159" t="s">
        <v>409</v>
      </c>
      <c r="AT910" s="159" t="s">
        <v>459</v>
      </c>
      <c r="AU910" s="307"/>
      <c r="AW910" s="159">
        <f t="shared" si="206"/>
        <v>12568</v>
      </c>
      <c r="AX910" s="172">
        <v>2.4700000000000002</v>
      </c>
    </row>
    <row r="911" spans="1:50" ht="15.75" customHeight="1" x14ac:dyDescent="0.3">
      <c r="A911" s="325"/>
      <c r="B911" s="159"/>
      <c r="C911" s="159"/>
      <c r="D911" s="159"/>
      <c r="E911" s="159"/>
      <c r="F911" s="159"/>
      <c r="G911" s="159"/>
      <c r="H911" s="159"/>
      <c r="I911" s="159"/>
      <c r="J911" s="159"/>
      <c r="K911" s="159"/>
      <c r="L911" s="159"/>
      <c r="M911" s="159"/>
      <c r="N911" s="159"/>
      <c r="O911" s="159"/>
      <c r="P911" s="159"/>
      <c r="Q911" s="159"/>
      <c r="R911" s="324"/>
      <c r="AC911" s="325" t="s">
        <v>410</v>
      </c>
      <c r="AD911" s="159">
        <f t="shared" ref="AD911:AD922" si="207">ROUND($F885*$AD$909/1000,0)</f>
        <v>79728</v>
      </c>
      <c r="AE911" s="159">
        <f t="shared" ref="AE911:AE922" si="208">ROUND($F885*$AE$909/1000,0)</f>
        <v>10164</v>
      </c>
      <c r="AF911" s="159">
        <f t="shared" ref="AF911:AF922" si="209">ROUND($F885*$AF$909/1000,0)</f>
        <v>10664</v>
      </c>
      <c r="AG911" s="159">
        <f t="shared" ref="AG911:AG922" si="210">ROUND($F885*$AG$909/1000,0)</f>
        <v>18245</v>
      </c>
      <c r="AH911" s="159">
        <f t="shared" ref="AH911:AH922" si="211">(F885*((T885-1526.8)/0.7702))/1000</f>
        <v>17674.420026488395</v>
      </c>
      <c r="AI911" s="159"/>
      <c r="AJ911" s="159">
        <f t="shared" ref="AJ911:AJ922" si="212">SUM(AD911:AH911)</f>
        <v>136475.4200264884</v>
      </c>
      <c r="AK911" s="159"/>
      <c r="AL911" s="159"/>
      <c r="AM911" s="159"/>
      <c r="AN911" s="164" t="s">
        <v>410</v>
      </c>
      <c r="AO911" s="159">
        <f t="shared" ref="AO911:AO922" si="213">ROUND((B885-$F885)*$AO$909/1000,0)</f>
        <v>39460</v>
      </c>
      <c r="AP911" s="159">
        <f t="shared" ref="AP911:AP922" si="214">ROUND((C885-$F885)*$AP$909/1000,0)</f>
        <v>5019</v>
      </c>
      <c r="AQ911" s="159">
        <f t="shared" ref="AQ911:AQ922" si="215">ROUND((D885-$F885)*$AQ$909/1000,0)</f>
        <v>5253</v>
      </c>
      <c r="AR911" s="159">
        <f t="shared" ref="AR911:AR922" si="216">ROUND((E885-$F885)*$AR$909/1000,0)</f>
        <v>8944</v>
      </c>
      <c r="AS911" s="159">
        <f>((F885-$F885)*(('[1]Lake Pleasant Forecast'!B35-1526.8)/0.7702))/1000</f>
        <v>0</v>
      </c>
      <c r="AT911" s="159">
        <f t="shared" ref="AT911:AT922" si="217">SUM(AN911:AR911)</f>
        <v>58676</v>
      </c>
      <c r="AU911" s="307"/>
      <c r="AW911" s="159">
        <f t="shared" si="206"/>
        <v>15168</v>
      </c>
      <c r="AX911" s="172">
        <v>2.4700000000000002</v>
      </c>
    </row>
    <row r="912" spans="1:50" ht="15.75" customHeight="1" thickBot="1" x14ac:dyDescent="0.35">
      <c r="A912" s="325" t="s">
        <v>433</v>
      </c>
      <c r="B912" s="364" t="s">
        <v>390</v>
      </c>
      <c r="C912" s="364" t="s">
        <v>391</v>
      </c>
      <c r="D912" s="364" t="s">
        <v>392</v>
      </c>
      <c r="E912" s="364" t="s">
        <v>393</v>
      </c>
      <c r="F912" s="364" t="s">
        <v>394</v>
      </c>
      <c r="G912" s="364" t="s">
        <v>394</v>
      </c>
      <c r="H912" s="364" t="s">
        <v>395</v>
      </c>
      <c r="I912" s="364" t="s">
        <v>396</v>
      </c>
      <c r="J912" s="364" t="s">
        <v>397</v>
      </c>
      <c r="K912" s="364" t="s">
        <v>398</v>
      </c>
      <c r="L912" s="364" t="s">
        <v>399</v>
      </c>
      <c r="M912" s="364" t="s">
        <v>400</v>
      </c>
      <c r="N912" s="364" t="s">
        <v>401</v>
      </c>
      <c r="O912" s="364" t="s">
        <v>402</v>
      </c>
      <c r="P912" s="364" t="s">
        <v>403</v>
      </c>
      <c r="Q912" s="364" t="s">
        <v>404</v>
      </c>
      <c r="R912" s="324"/>
      <c r="AC912" s="325" t="s">
        <v>411</v>
      </c>
      <c r="AD912" s="159">
        <f t="shared" si="207"/>
        <v>15771</v>
      </c>
      <c r="AE912" s="159">
        <f t="shared" si="208"/>
        <v>2011</v>
      </c>
      <c r="AF912" s="159">
        <f t="shared" si="209"/>
        <v>2109</v>
      </c>
      <c r="AG912" s="159">
        <f t="shared" si="210"/>
        <v>3609</v>
      </c>
      <c r="AH912" s="159">
        <f t="shared" si="211"/>
        <v>3570.3100493378374</v>
      </c>
      <c r="AI912" s="159"/>
      <c r="AJ912" s="159">
        <f t="shared" si="212"/>
        <v>27070.310049337837</v>
      </c>
      <c r="AK912" s="159"/>
      <c r="AL912" s="159"/>
      <c r="AM912" s="159"/>
      <c r="AN912" s="164" t="s">
        <v>411</v>
      </c>
      <c r="AO912" s="159">
        <f t="shared" si="213"/>
        <v>41842</v>
      </c>
      <c r="AP912" s="159">
        <f t="shared" si="214"/>
        <v>5316</v>
      </c>
      <c r="AQ912" s="159">
        <f t="shared" si="215"/>
        <v>5559</v>
      </c>
      <c r="AR912" s="159">
        <f t="shared" si="216"/>
        <v>9238</v>
      </c>
      <c r="AS912" s="159">
        <f>((F886-$F886)*(('[1]Lake Pleasant Forecast'!B37-1526.8)/0.7702))/1000</f>
        <v>0</v>
      </c>
      <c r="AT912" s="159">
        <f t="shared" si="217"/>
        <v>61955</v>
      </c>
      <c r="AU912" s="307"/>
      <c r="AW912" s="159">
        <f t="shared" si="206"/>
        <v>14219</v>
      </c>
      <c r="AX912" s="172">
        <v>2.4700000000000002</v>
      </c>
    </row>
    <row r="913" spans="1:50" ht="15.75" customHeight="1" x14ac:dyDescent="0.3">
      <c r="A913" s="325"/>
      <c r="B913" s="159"/>
      <c r="C913" s="159"/>
      <c r="D913" s="159"/>
      <c r="E913" s="159"/>
      <c r="F913" s="164" t="s">
        <v>406</v>
      </c>
      <c r="G913" s="164" t="s">
        <v>407</v>
      </c>
      <c r="H913" s="159"/>
      <c r="I913" s="159"/>
      <c r="J913" s="159"/>
      <c r="K913" s="159"/>
      <c r="L913" s="159"/>
      <c r="M913" s="159"/>
      <c r="N913" s="159"/>
      <c r="O913" s="159"/>
      <c r="P913" s="159"/>
      <c r="Q913" s="159"/>
      <c r="R913" s="324"/>
      <c r="AC913" s="325" t="s">
        <v>412</v>
      </c>
      <c r="AD913" s="159">
        <f t="shared" si="207"/>
        <v>19193</v>
      </c>
      <c r="AE913" s="159">
        <f t="shared" si="208"/>
        <v>2447</v>
      </c>
      <c r="AF913" s="159">
        <f t="shared" si="209"/>
        <v>2567</v>
      </c>
      <c r="AG913" s="159">
        <f t="shared" si="210"/>
        <v>4392</v>
      </c>
      <c r="AH913" s="159">
        <f t="shared" si="211"/>
        <v>4423.9736432095578</v>
      </c>
      <c r="AI913" s="159"/>
      <c r="AJ913" s="159">
        <f t="shared" si="212"/>
        <v>33022.97364320956</v>
      </c>
      <c r="AK913" s="159"/>
      <c r="AL913" s="159"/>
      <c r="AM913" s="159"/>
      <c r="AN913" s="164" t="s">
        <v>412</v>
      </c>
      <c r="AO913" s="159">
        <f t="shared" si="213"/>
        <v>110622</v>
      </c>
      <c r="AP913" s="159">
        <f t="shared" si="214"/>
        <v>14069</v>
      </c>
      <c r="AQ913" s="159">
        <f t="shared" si="215"/>
        <v>14727</v>
      </c>
      <c r="AR913" s="159">
        <f t="shared" si="216"/>
        <v>24537</v>
      </c>
      <c r="AS913" s="159">
        <f>((F887-$F887)*(('[1]Lake Pleasant Forecast'!B39-1526.8)/0.7702))/1000</f>
        <v>0</v>
      </c>
      <c r="AT913" s="159">
        <f t="shared" si="217"/>
        <v>163955</v>
      </c>
      <c r="AU913" s="307"/>
      <c r="AW913" s="159">
        <f t="shared" si="206"/>
        <v>14091</v>
      </c>
      <c r="AX913" s="172">
        <v>2.4700000000000002</v>
      </c>
    </row>
    <row r="914" spans="1:50" ht="15.75" customHeight="1" x14ac:dyDescent="0.3">
      <c r="A914" s="365" t="s">
        <v>795</v>
      </c>
      <c r="B914" s="159">
        <f t="shared" ref="B914:Q914" si="218">(B885/$B$10/1.983)</f>
        <v>2025.97888503896</v>
      </c>
      <c r="C914" s="159">
        <f t="shared" si="218"/>
        <v>2024.4009565174954</v>
      </c>
      <c r="D914" s="159">
        <f t="shared" si="218"/>
        <v>2022.8392953003759</v>
      </c>
      <c r="E914" s="159">
        <f t="shared" si="218"/>
        <v>2019.6021017357214</v>
      </c>
      <c r="F914" s="159">
        <f t="shared" si="218"/>
        <v>1355.2291249816992</v>
      </c>
      <c r="G914" s="159">
        <f t="shared" si="218"/>
        <v>-59.32685894620402</v>
      </c>
      <c r="H914" s="159">
        <f t="shared" si="218"/>
        <v>412.50630358043367</v>
      </c>
      <c r="I914" s="159">
        <f t="shared" si="218"/>
        <v>248.35293543506904</v>
      </c>
      <c r="J914" s="159">
        <f t="shared" si="218"/>
        <v>248.20652969596406</v>
      </c>
      <c r="K914" s="159">
        <f t="shared" si="218"/>
        <v>246.07551282676945</v>
      </c>
      <c r="L914" s="159">
        <f t="shared" si="218"/>
        <v>235.29029004603646</v>
      </c>
      <c r="M914" s="159">
        <f t="shared" si="218"/>
        <v>234.96494395913652</v>
      </c>
      <c r="N914" s="159">
        <f t="shared" si="218"/>
        <v>229.87327769915245</v>
      </c>
      <c r="O914" s="159">
        <f t="shared" si="218"/>
        <v>56.2198038163096</v>
      </c>
      <c r="P914" s="159">
        <f t="shared" si="218"/>
        <v>3.9529549558342687</v>
      </c>
      <c r="Q914" s="159">
        <f t="shared" si="218"/>
        <v>56.1872692076196</v>
      </c>
      <c r="R914" s="324"/>
      <c r="AC914" s="325" t="s">
        <v>413</v>
      </c>
      <c r="AD914" s="159">
        <f t="shared" si="207"/>
        <v>9090</v>
      </c>
      <c r="AE914" s="159">
        <f t="shared" si="208"/>
        <v>1159</v>
      </c>
      <c r="AF914" s="159">
        <f t="shared" si="209"/>
        <v>1216</v>
      </c>
      <c r="AG914" s="159">
        <f t="shared" si="210"/>
        <v>2080</v>
      </c>
      <c r="AH914" s="159">
        <f t="shared" si="211"/>
        <v>2087.9180723168452</v>
      </c>
      <c r="AI914" s="159"/>
      <c r="AJ914" s="159">
        <f t="shared" si="212"/>
        <v>15632.918072316845</v>
      </c>
      <c r="AK914" s="159"/>
      <c r="AL914" s="159"/>
      <c r="AM914" s="159"/>
      <c r="AN914" s="164" t="s">
        <v>413</v>
      </c>
      <c r="AO914" s="159">
        <f t="shared" si="213"/>
        <v>144177</v>
      </c>
      <c r="AP914" s="159">
        <f t="shared" si="214"/>
        <v>18335</v>
      </c>
      <c r="AQ914" s="159">
        <f t="shared" si="215"/>
        <v>19192</v>
      </c>
      <c r="AR914" s="159">
        <f t="shared" si="216"/>
        <v>31679</v>
      </c>
      <c r="AS914" s="159">
        <f>((F888-$F888)*(('[1]Lake Pleasant Forecast'!B41-1526.8)/0.7702))/1000</f>
        <v>0</v>
      </c>
      <c r="AT914" s="159">
        <f t="shared" si="217"/>
        <v>213383</v>
      </c>
      <c r="AU914" s="307"/>
      <c r="AW914" s="159">
        <f t="shared" si="206"/>
        <v>12562</v>
      </c>
      <c r="AX914" s="172">
        <v>2.4700000000000002</v>
      </c>
    </row>
    <row r="915" spans="1:50" ht="15.75" customHeight="1" x14ac:dyDescent="0.3">
      <c r="A915" s="365" t="s">
        <v>9</v>
      </c>
      <c r="B915" s="159">
        <f t="shared" ref="B915:Q915" si="219">(B886/$C$10/1.983)</f>
        <v>1084.2518550536704</v>
      </c>
      <c r="C915" s="159">
        <f t="shared" si="219"/>
        <v>1081.5863410417116</v>
      </c>
      <c r="D915" s="159">
        <f t="shared" si="219"/>
        <v>1078.9748577191845</v>
      </c>
      <c r="E915" s="159">
        <f t="shared" si="219"/>
        <v>1056.5341113752611</v>
      </c>
      <c r="F915" s="159">
        <f t="shared" si="219"/>
        <v>296.80858727757362</v>
      </c>
      <c r="G915" s="159">
        <f t="shared" si="219"/>
        <v>-141.66846768964771</v>
      </c>
      <c r="H915" s="159">
        <f t="shared" si="219"/>
        <v>591.02370146243061</v>
      </c>
      <c r="I915" s="159">
        <f t="shared" si="219"/>
        <v>241.76932497658669</v>
      </c>
      <c r="J915" s="159">
        <f t="shared" si="219"/>
        <v>240.32850659174409</v>
      </c>
      <c r="K915" s="159">
        <f t="shared" si="219"/>
        <v>237.10467545565882</v>
      </c>
      <c r="L915" s="159">
        <f t="shared" si="219"/>
        <v>205.38866075931128</v>
      </c>
      <c r="M915" s="159">
        <f t="shared" si="219"/>
        <v>204.99243570347957</v>
      </c>
      <c r="N915" s="159">
        <f t="shared" si="219"/>
        <v>195.87925941935018</v>
      </c>
      <c r="O915" s="159">
        <f t="shared" si="219"/>
        <v>37.749441682875876</v>
      </c>
      <c r="P915" s="159">
        <f t="shared" si="219"/>
        <v>19.667170953101362</v>
      </c>
      <c r="Q915" s="159">
        <f t="shared" si="219"/>
        <v>37.695410993444277</v>
      </c>
      <c r="R915" s="324"/>
      <c r="AC915" s="325" t="s">
        <v>414</v>
      </c>
      <c r="AD915" s="159">
        <f t="shared" si="207"/>
        <v>23566</v>
      </c>
      <c r="AE915" s="159">
        <f t="shared" si="208"/>
        <v>3004</v>
      </c>
      <c r="AF915" s="159">
        <f t="shared" si="209"/>
        <v>3152</v>
      </c>
      <c r="AG915" s="159">
        <f t="shared" si="210"/>
        <v>5393</v>
      </c>
      <c r="AH915" s="159">
        <f t="shared" si="211"/>
        <v>5338.7204622176141</v>
      </c>
      <c r="AI915" s="159"/>
      <c r="AJ915" s="159">
        <f t="shared" si="212"/>
        <v>40453.720462217614</v>
      </c>
      <c r="AK915" s="159"/>
      <c r="AL915" s="159"/>
      <c r="AM915" s="159"/>
      <c r="AN915" s="164" t="s">
        <v>414</v>
      </c>
      <c r="AO915" s="159">
        <f t="shared" si="213"/>
        <v>144879</v>
      </c>
      <c r="AP915" s="159">
        <f t="shared" si="214"/>
        <v>18418</v>
      </c>
      <c r="AQ915" s="159">
        <f t="shared" si="215"/>
        <v>19272</v>
      </c>
      <c r="AR915" s="159">
        <f t="shared" si="216"/>
        <v>31580</v>
      </c>
      <c r="AS915" s="159">
        <f>((F889-$F889)*(('[1]Lake Pleasant Forecast'!B43-1526.8)/0.7702))/1000</f>
        <v>0</v>
      </c>
      <c r="AT915" s="159">
        <f t="shared" si="217"/>
        <v>214149</v>
      </c>
      <c r="AU915" s="307"/>
      <c r="AW915" s="159">
        <f t="shared" si="206"/>
        <v>6847</v>
      </c>
      <c r="AX915" s="172">
        <v>2.4700000000000002</v>
      </c>
    </row>
    <row r="916" spans="1:50" ht="15.75" customHeight="1" x14ac:dyDescent="0.3">
      <c r="A916" s="365" t="s">
        <v>10</v>
      </c>
      <c r="B916" s="159">
        <f t="shared" ref="B916:Q916" si="220">(B887/$D$10/1.983)</f>
        <v>2206.6110324858068</v>
      </c>
      <c r="C916" s="159">
        <f t="shared" si="220"/>
        <v>2202.1537910952775</v>
      </c>
      <c r="D916" s="159">
        <f t="shared" si="220"/>
        <v>2197.908024661233</v>
      </c>
      <c r="E916" s="159">
        <f t="shared" si="220"/>
        <v>2148.8133001480323</v>
      </c>
      <c r="F916" s="159">
        <f t="shared" si="220"/>
        <v>326.24078863891458</v>
      </c>
      <c r="G916" s="159">
        <f t="shared" si="220"/>
        <v>-3.3673319994143771</v>
      </c>
      <c r="H916" s="159">
        <f t="shared" si="220"/>
        <v>1422.5269630569519</v>
      </c>
      <c r="I916" s="159">
        <f t="shared" si="220"/>
        <v>543.62077660110936</v>
      </c>
      <c r="J916" s="159">
        <f t="shared" si="220"/>
        <v>441.59224374928829</v>
      </c>
      <c r="K916" s="159">
        <f t="shared" si="220"/>
        <v>400.27329071299596</v>
      </c>
      <c r="L916" s="159">
        <f t="shared" si="220"/>
        <v>327.52590568216942</v>
      </c>
      <c r="M916" s="159">
        <f t="shared" si="220"/>
        <v>327.07042116050951</v>
      </c>
      <c r="N916" s="159">
        <f t="shared" si="220"/>
        <v>312.16957038049225</v>
      </c>
      <c r="O916" s="159">
        <f t="shared" si="220"/>
        <v>69.591527987897123</v>
      </c>
      <c r="P916" s="159">
        <f t="shared" si="220"/>
        <v>19.699705561791355</v>
      </c>
      <c r="Q916" s="159">
        <f t="shared" si="220"/>
        <v>69.510191466172145</v>
      </c>
      <c r="R916" s="324"/>
      <c r="AC916" s="325" t="s">
        <v>415</v>
      </c>
      <c r="AD916" s="159">
        <f t="shared" si="207"/>
        <v>0</v>
      </c>
      <c r="AE916" s="159">
        <f t="shared" si="208"/>
        <v>0</v>
      </c>
      <c r="AF916" s="159">
        <f t="shared" si="209"/>
        <v>0</v>
      </c>
      <c r="AG916" s="159">
        <f t="shared" si="210"/>
        <v>0</v>
      </c>
      <c r="AH916" s="159">
        <f t="shared" si="211"/>
        <v>0</v>
      </c>
      <c r="AI916" s="159"/>
      <c r="AJ916" s="159">
        <f t="shared" si="212"/>
        <v>0</v>
      </c>
      <c r="AK916" s="159"/>
      <c r="AL916" s="159"/>
      <c r="AM916" s="159"/>
      <c r="AN916" s="164" t="s">
        <v>415</v>
      </c>
      <c r="AO916" s="159">
        <f t="shared" si="213"/>
        <v>79192</v>
      </c>
      <c r="AP916" s="159">
        <f t="shared" si="214"/>
        <v>10045</v>
      </c>
      <c r="AQ916" s="159">
        <f t="shared" si="215"/>
        <v>10488</v>
      </c>
      <c r="AR916" s="159">
        <f t="shared" si="216"/>
        <v>16599</v>
      </c>
      <c r="AS916" s="159">
        <f>((F890-$F890)*(('[1]Lake Pleasant Forecast'!B45-1526.8)/0.7702))/1000</f>
        <v>0</v>
      </c>
      <c r="AT916" s="159">
        <f t="shared" si="217"/>
        <v>116324</v>
      </c>
      <c r="AU916" s="307"/>
      <c r="AW916" s="159">
        <f t="shared" si="206"/>
        <v>2085</v>
      </c>
      <c r="AX916" s="172">
        <v>2.4700000000000002</v>
      </c>
    </row>
    <row r="917" spans="1:50" ht="15.75" customHeight="1" x14ac:dyDescent="0.3">
      <c r="A917" s="365" t="s">
        <v>12</v>
      </c>
      <c r="B917" s="159">
        <f t="shared" ref="B917:Q917" si="221">(B888/$F$10/1.983)</f>
        <v>2692.0995125231129</v>
      </c>
      <c r="C917" s="159">
        <f t="shared" si="221"/>
        <v>2685.930408472012</v>
      </c>
      <c r="D917" s="159">
        <f t="shared" si="221"/>
        <v>2680.047066733905</v>
      </c>
      <c r="E917" s="159">
        <f t="shared" si="221"/>
        <v>2591.1749873928393</v>
      </c>
      <c r="F917" s="159">
        <f t="shared" si="221"/>
        <v>159.65708522440747</v>
      </c>
      <c r="G917" s="159">
        <f t="shared" si="221"/>
        <v>-0.10085728693898134</v>
      </c>
      <c r="H917" s="159">
        <f t="shared" si="221"/>
        <v>1800.1849050260548</v>
      </c>
      <c r="I917" s="159">
        <f t="shared" si="221"/>
        <v>673.23919986552357</v>
      </c>
      <c r="J917" s="159">
        <f t="shared" si="221"/>
        <v>500.01680954782313</v>
      </c>
      <c r="K917" s="159">
        <f t="shared" si="221"/>
        <v>420.07060010085729</v>
      </c>
      <c r="L917" s="159">
        <f t="shared" si="221"/>
        <v>328.02151622121363</v>
      </c>
      <c r="M917" s="159">
        <f t="shared" si="221"/>
        <v>327.39956295175659</v>
      </c>
      <c r="N917" s="159">
        <f t="shared" si="221"/>
        <v>310.01849050260546</v>
      </c>
      <c r="O917" s="159">
        <f t="shared" si="221"/>
        <v>66.935619431837267</v>
      </c>
      <c r="P917" s="159">
        <f t="shared" si="221"/>
        <v>52.765170616910403</v>
      </c>
      <c r="Q917" s="159">
        <f t="shared" si="221"/>
        <v>66.817952597075134</v>
      </c>
      <c r="R917" s="324"/>
      <c r="AC917" s="325" t="s">
        <v>416</v>
      </c>
      <c r="AD917" s="159">
        <f t="shared" si="207"/>
        <v>0</v>
      </c>
      <c r="AE917" s="159">
        <f t="shared" si="208"/>
        <v>0</v>
      </c>
      <c r="AF917" s="159">
        <f t="shared" si="209"/>
        <v>0</v>
      </c>
      <c r="AG917" s="159">
        <f t="shared" si="210"/>
        <v>0</v>
      </c>
      <c r="AH917" s="159">
        <f t="shared" si="211"/>
        <v>0</v>
      </c>
      <c r="AI917" s="159"/>
      <c r="AJ917" s="159">
        <f t="shared" si="212"/>
        <v>0</v>
      </c>
      <c r="AK917" s="159"/>
      <c r="AL917" s="159"/>
      <c r="AM917" s="159"/>
      <c r="AN917" s="164" t="s">
        <v>416</v>
      </c>
      <c r="AO917" s="159">
        <f t="shared" si="213"/>
        <v>72154</v>
      </c>
      <c r="AP917" s="159">
        <f t="shared" si="214"/>
        <v>9148</v>
      </c>
      <c r="AQ917" s="159">
        <f t="shared" si="215"/>
        <v>9547</v>
      </c>
      <c r="AR917" s="159">
        <f t="shared" si="216"/>
        <v>15036</v>
      </c>
      <c r="AS917" s="159">
        <f>((F891-$F891)*(('[1]Lake Pleasant Forecast'!B47-1526.8)/0.7702))/1000</f>
        <v>0</v>
      </c>
      <c r="AT917" s="159">
        <f t="shared" si="217"/>
        <v>105885</v>
      </c>
      <c r="AU917" s="307"/>
      <c r="AW917" s="159">
        <f t="shared" si="206"/>
        <v>6339</v>
      </c>
      <c r="AX917" s="172">
        <v>2.4700000000000002</v>
      </c>
    </row>
    <row r="918" spans="1:50" ht="15.75" customHeight="1" x14ac:dyDescent="0.3">
      <c r="A918" s="365" t="s">
        <v>13</v>
      </c>
      <c r="B918" s="159">
        <f t="shared" ref="B918:Q918" si="222">(B889/$G$10/1.983)</f>
        <v>2863.2733069803003</v>
      </c>
      <c r="C918" s="159">
        <f t="shared" si="222"/>
        <v>2856.3597026336765</v>
      </c>
      <c r="D918" s="159">
        <f t="shared" si="222"/>
        <v>2849.8202462869876</v>
      </c>
      <c r="E918" s="159">
        <f t="shared" si="222"/>
        <v>2746.3764579571516</v>
      </c>
      <c r="F918" s="159">
        <f t="shared" si="222"/>
        <v>400.58236949555089</v>
      </c>
      <c r="G918" s="159">
        <f>(G889/$G$10/1.983)</f>
        <v>-24.270818082735509</v>
      </c>
      <c r="H918" s="159">
        <f t="shared" si="222"/>
        <v>1689.1155466627624</v>
      </c>
      <c r="I918" s="159">
        <f t="shared" si="222"/>
        <v>570.59196720511443</v>
      </c>
      <c r="J918" s="159">
        <f t="shared" si="222"/>
        <v>483.98483887235045</v>
      </c>
      <c r="K918" s="159">
        <f t="shared" si="222"/>
        <v>388.98378149756803</v>
      </c>
      <c r="L918" s="159">
        <f t="shared" si="222"/>
        <v>322.77585281343028</v>
      </c>
      <c r="M918" s="159">
        <f t="shared" si="222"/>
        <v>322.09262603094044</v>
      </c>
      <c r="N918" s="159">
        <f t="shared" si="222"/>
        <v>289.26520586273648</v>
      </c>
      <c r="O918" s="159">
        <f t="shared" si="222"/>
        <v>50.623851121630636</v>
      </c>
      <c r="P918" s="159">
        <f t="shared" si="222"/>
        <v>86.802335984903934</v>
      </c>
      <c r="Q918" s="159">
        <f t="shared" si="222"/>
        <v>50.493712686870651</v>
      </c>
      <c r="R918" s="324"/>
      <c r="AC918" s="325" t="s">
        <v>417</v>
      </c>
      <c r="AD918" s="159">
        <f t="shared" si="207"/>
        <v>0</v>
      </c>
      <c r="AE918" s="159">
        <f t="shared" si="208"/>
        <v>0</v>
      </c>
      <c r="AF918" s="159">
        <f t="shared" si="209"/>
        <v>0</v>
      </c>
      <c r="AG918" s="159">
        <f t="shared" si="210"/>
        <v>0</v>
      </c>
      <c r="AH918" s="159">
        <f t="shared" si="211"/>
        <v>0</v>
      </c>
      <c r="AI918" s="159"/>
      <c r="AJ918" s="159">
        <f t="shared" si="212"/>
        <v>0</v>
      </c>
      <c r="AK918" s="159"/>
      <c r="AL918" s="159"/>
      <c r="AM918" s="159"/>
      <c r="AN918" s="164" t="s">
        <v>417</v>
      </c>
      <c r="AO918" s="159">
        <f t="shared" si="213"/>
        <v>69091</v>
      </c>
      <c r="AP918" s="159">
        <f t="shared" si="214"/>
        <v>8767</v>
      </c>
      <c r="AQ918" s="159">
        <f t="shared" si="215"/>
        <v>9158</v>
      </c>
      <c r="AR918" s="159">
        <f t="shared" si="216"/>
        <v>14437</v>
      </c>
      <c r="AS918" s="159">
        <f>((F892-$F892)*(('[1]Lake Pleasant Forecast'!B49-1526.8)/0.7702))/1000</f>
        <v>0</v>
      </c>
      <c r="AT918" s="159">
        <f t="shared" si="217"/>
        <v>101453</v>
      </c>
      <c r="AU918" s="307"/>
      <c r="AW918" s="159"/>
      <c r="AX918" s="172"/>
    </row>
    <row r="919" spans="1:50" ht="15.75" customHeight="1" x14ac:dyDescent="0.3">
      <c r="A919" s="365" t="s">
        <v>14</v>
      </c>
      <c r="B919" s="159">
        <f t="shared" ref="B919:Q919" si="223">(B890/$H$10/1.983)</f>
        <v>1390.9900823667842</v>
      </c>
      <c r="C919" s="159">
        <f t="shared" si="223"/>
        <v>1383.9805009245251</v>
      </c>
      <c r="D919" s="159">
        <f t="shared" si="223"/>
        <v>1377.3239199865523</v>
      </c>
      <c r="E919" s="159">
        <f t="shared" si="223"/>
        <v>1274.0628677088587</v>
      </c>
      <c r="F919" s="159">
        <f t="shared" si="223"/>
        <v>0</v>
      </c>
      <c r="G919" s="159">
        <f t="shared" si="223"/>
        <v>-1976.4330139519247</v>
      </c>
      <c r="H919" s="159">
        <f t="shared" si="223"/>
        <v>2374.6175827870229</v>
      </c>
      <c r="I919" s="159">
        <f t="shared" si="223"/>
        <v>832.81223735081528</v>
      </c>
      <c r="J919" s="159">
        <f t="shared" si="223"/>
        <v>520.08740964868036</v>
      </c>
      <c r="K919" s="159">
        <f t="shared" si="223"/>
        <v>420.5748865355522</v>
      </c>
      <c r="L919" s="159">
        <f t="shared" si="223"/>
        <v>359.85879979828542</v>
      </c>
      <c r="M919" s="159">
        <f t="shared" si="223"/>
        <v>359.11917969406619</v>
      </c>
      <c r="N919" s="159">
        <f t="shared" si="223"/>
        <v>348.5291645654732</v>
      </c>
      <c r="O919" s="159">
        <f t="shared" si="223"/>
        <v>80.332829046898638</v>
      </c>
      <c r="P919" s="159">
        <f t="shared" si="223"/>
        <v>112.08606488485459</v>
      </c>
      <c r="Q919" s="159">
        <f t="shared" si="223"/>
        <v>80.181543116490161</v>
      </c>
      <c r="R919" s="324"/>
      <c r="AC919" s="325" t="s">
        <v>418</v>
      </c>
      <c r="AD919" s="159">
        <f t="shared" si="207"/>
        <v>9196</v>
      </c>
      <c r="AE919" s="159">
        <f t="shared" si="208"/>
        <v>1172</v>
      </c>
      <c r="AF919" s="159">
        <f t="shared" si="209"/>
        <v>1230</v>
      </c>
      <c r="AG919" s="159">
        <f t="shared" si="210"/>
        <v>2104</v>
      </c>
      <c r="AH919" s="159">
        <f t="shared" si="211"/>
        <v>1657.8082575954311</v>
      </c>
      <c r="AI919" s="159"/>
      <c r="AJ919" s="159">
        <f t="shared" si="212"/>
        <v>15359.80825759543</v>
      </c>
      <c r="AK919" s="159"/>
      <c r="AL919" s="159"/>
      <c r="AM919" s="159"/>
      <c r="AN919" s="164" t="s">
        <v>418</v>
      </c>
      <c r="AO919" s="159">
        <f t="shared" si="213"/>
        <v>117816</v>
      </c>
      <c r="AP919" s="159">
        <f t="shared" si="214"/>
        <v>14981</v>
      </c>
      <c r="AQ919" s="159">
        <f t="shared" si="215"/>
        <v>15679</v>
      </c>
      <c r="AR919" s="159">
        <f t="shared" si="216"/>
        <v>25810</v>
      </c>
      <c r="AS919" s="159">
        <f>((F893-$F893)*(('[1]Lake Pleasant Forecast'!B51-1526.8)/0.7702))/1000</f>
        <v>0</v>
      </c>
      <c r="AT919" s="159">
        <f t="shared" si="217"/>
        <v>174286</v>
      </c>
      <c r="AU919" s="307"/>
      <c r="AW919" s="159">
        <f>(SUM(AW906:AW917))</f>
        <v>124574</v>
      </c>
      <c r="AX919" s="172"/>
    </row>
    <row r="920" spans="1:50" ht="15.75" customHeight="1" x14ac:dyDescent="0.3">
      <c r="A920" s="365" t="s">
        <v>16</v>
      </c>
      <c r="B920" s="159">
        <f t="shared" ref="B920:Q920" si="224">(B891/$J$10/1.983)</f>
        <v>1226.489678395393</v>
      </c>
      <c r="C920" s="159">
        <f t="shared" si="224"/>
        <v>1219.7224797878741</v>
      </c>
      <c r="D920" s="159">
        <f t="shared" si="224"/>
        <v>1213.3131618759455</v>
      </c>
      <c r="E920" s="159">
        <f t="shared" si="224"/>
        <v>1116.8805817188033</v>
      </c>
      <c r="F920" s="159">
        <f t="shared" si="224"/>
        <v>0</v>
      </c>
      <c r="G920" s="159">
        <f t="shared" si="224"/>
        <v>-1631.9522391944429</v>
      </c>
      <c r="H920" s="159">
        <f t="shared" si="224"/>
        <v>1836.6599970718851</v>
      </c>
      <c r="I920" s="159">
        <f t="shared" si="224"/>
        <v>848.06337741772813</v>
      </c>
      <c r="J920" s="159">
        <f t="shared" si="224"/>
        <v>518.65046443153904</v>
      </c>
      <c r="K920" s="159">
        <f t="shared" si="224"/>
        <v>402.74592097343549</v>
      </c>
      <c r="L920" s="159">
        <f t="shared" si="224"/>
        <v>353.27704846029962</v>
      </c>
      <c r="M920" s="159">
        <f t="shared" si="224"/>
        <v>352.64262359084472</v>
      </c>
      <c r="N920" s="159">
        <f t="shared" si="224"/>
        <v>327.91632098644931</v>
      </c>
      <c r="O920" s="159">
        <f t="shared" si="224"/>
        <v>65.166821206057932</v>
      </c>
      <c r="P920" s="159">
        <f t="shared" si="224"/>
        <v>90.33234102776828</v>
      </c>
      <c r="Q920" s="159">
        <f t="shared" si="224"/>
        <v>65.052950075642968</v>
      </c>
      <c r="R920" s="324"/>
      <c r="AC920" s="325" t="s">
        <v>419</v>
      </c>
      <c r="AD920" s="159">
        <f t="shared" si="207"/>
        <v>42253</v>
      </c>
      <c r="AE920" s="159">
        <f t="shared" si="208"/>
        <v>5387</v>
      </c>
      <c r="AF920" s="159">
        <f t="shared" si="209"/>
        <v>5651</v>
      </c>
      <c r="AG920" s="159">
        <f t="shared" si="210"/>
        <v>9669</v>
      </c>
      <c r="AH920" s="159">
        <f t="shared" si="211"/>
        <v>7995.1693586081419</v>
      </c>
      <c r="AI920" s="159"/>
      <c r="AJ920" s="159">
        <f t="shared" si="212"/>
        <v>70955.169358608138</v>
      </c>
      <c r="AK920" s="159"/>
      <c r="AL920" s="159"/>
      <c r="AM920" s="159"/>
      <c r="AN920" s="164" t="s">
        <v>419</v>
      </c>
      <c r="AO920" s="159">
        <f t="shared" si="213"/>
        <v>81756</v>
      </c>
      <c r="AP920" s="159">
        <f t="shared" si="214"/>
        <v>10388</v>
      </c>
      <c r="AQ920" s="159">
        <f t="shared" si="215"/>
        <v>10864</v>
      </c>
      <c r="AR920" s="159">
        <f t="shared" si="216"/>
        <v>17845</v>
      </c>
      <c r="AS920" s="159">
        <f>((F894-$F894)*(('[1]Lake Pleasant Forecast'!B53-1526.8)/0.7702))/1000</f>
        <v>0</v>
      </c>
      <c r="AT920" s="159">
        <f t="shared" si="217"/>
        <v>120853</v>
      </c>
      <c r="AU920" s="307"/>
    </row>
    <row r="921" spans="1:50" ht="15.75" customHeight="1" x14ac:dyDescent="0.3">
      <c r="A921" s="365" t="s">
        <v>17</v>
      </c>
      <c r="B921" s="159">
        <f t="shared" ref="B921:Q921" si="225">(B892/$K$10/1.983)</f>
        <v>1174.4180371870577</v>
      </c>
      <c r="C921" s="159">
        <f t="shared" si="225"/>
        <v>1168.9847575358287</v>
      </c>
      <c r="D921" s="159">
        <f t="shared" si="225"/>
        <v>1163.8117547541196</v>
      </c>
      <c r="E921" s="159">
        <f t="shared" si="225"/>
        <v>1072.3895043352366</v>
      </c>
      <c r="F921" s="159">
        <f t="shared" si="225"/>
        <v>0</v>
      </c>
      <c r="G921" s="159">
        <f t="shared" si="225"/>
        <v>-1535.9751435589608</v>
      </c>
      <c r="H921" s="159">
        <f t="shared" si="225"/>
        <v>1816.6837473362289</v>
      </c>
      <c r="I921" s="159">
        <f t="shared" si="225"/>
        <v>764.35182925837353</v>
      </c>
      <c r="J921" s="159">
        <f t="shared" si="225"/>
        <v>530.02131016869191</v>
      </c>
      <c r="K921" s="159">
        <f t="shared" si="225"/>
        <v>423.89341662193158</v>
      </c>
      <c r="L921" s="159">
        <f t="shared" si="225"/>
        <v>352.69142550387971</v>
      </c>
      <c r="M921" s="159">
        <f t="shared" si="225"/>
        <v>352.10580254745986</v>
      </c>
      <c r="N921" s="159">
        <f t="shared" si="225"/>
        <v>338.00204968034745</v>
      </c>
      <c r="O921" s="159">
        <f t="shared" si="225"/>
        <v>60.888520163323726</v>
      </c>
      <c r="P921" s="159">
        <f t="shared" si="225"/>
        <v>85.208140159094228</v>
      </c>
      <c r="Q921" s="159">
        <f t="shared" si="225"/>
        <v>60.790916337253748</v>
      </c>
      <c r="R921" s="324"/>
      <c r="AC921" s="325" t="s">
        <v>420</v>
      </c>
      <c r="AD921" s="159">
        <f t="shared" si="207"/>
        <v>62723</v>
      </c>
      <c r="AE921" s="159">
        <f t="shared" si="208"/>
        <v>7996</v>
      </c>
      <c r="AF921" s="159">
        <f t="shared" si="209"/>
        <v>8389</v>
      </c>
      <c r="AG921" s="159">
        <f t="shared" si="210"/>
        <v>14353</v>
      </c>
      <c r="AH921" s="159">
        <f t="shared" si="211"/>
        <v>12552.522604518306</v>
      </c>
      <c r="AI921" s="159"/>
      <c r="AJ921" s="159">
        <f t="shared" si="212"/>
        <v>106013.52260451831</v>
      </c>
      <c r="AK921" s="159"/>
      <c r="AL921" s="159"/>
      <c r="AM921" s="159"/>
      <c r="AN921" s="164" t="s">
        <v>420</v>
      </c>
      <c r="AO921" s="159">
        <f t="shared" si="213"/>
        <v>58798</v>
      </c>
      <c r="AP921" s="159">
        <f t="shared" si="214"/>
        <v>7467</v>
      </c>
      <c r="AQ921" s="159">
        <f t="shared" si="215"/>
        <v>7805</v>
      </c>
      <c r="AR921" s="159">
        <f t="shared" si="216"/>
        <v>12917</v>
      </c>
      <c r="AS921" s="159">
        <f>((F895-$F895)*(('[1]Lake Pleasant Forecast'!B55-1526.8)/0.7702))/1000</f>
        <v>0</v>
      </c>
      <c r="AT921" s="159">
        <f t="shared" si="217"/>
        <v>86987</v>
      </c>
      <c r="AU921" s="307"/>
    </row>
    <row r="922" spans="1:50" ht="15.75" customHeight="1" x14ac:dyDescent="0.3">
      <c r="A922" s="365" t="s">
        <v>18</v>
      </c>
      <c r="B922" s="159">
        <f t="shared" ref="B922:Q922" si="226">(B893/$L$10/1.983)</f>
        <v>2230.9463775424438</v>
      </c>
      <c r="C922" s="159">
        <f t="shared" si="226"/>
        <v>2225.6345604303242</v>
      </c>
      <c r="D922" s="159">
        <f t="shared" si="226"/>
        <v>2220.5748865355517</v>
      </c>
      <c r="E922" s="159">
        <f t="shared" si="226"/>
        <v>2142.5953941838961</v>
      </c>
      <c r="F922" s="159">
        <f t="shared" si="226"/>
        <v>161.52294503277861</v>
      </c>
      <c r="G922" s="159">
        <f t="shared" si="226"/>
        <v>-232.25752227265085</v>
      </c>
      <c r="H922" s="159">
        <f t="shared" si="226"/>
        <v>1456.5136997814759</v>
      </c>
      <c r="I922" s="159">
        <f t="shared" si="226"/>
        <v>568.38124054462924</v>
      </c>
      <c r="J922" s="159">
        <f t="shared" si="226"/>
        <v>461.35484955454695</v>
      </c>
      <c r="K922" s="159">
        <f t="shared" si="226"/>
        <v>396.28508993108085</v>
      </c>
      <c r="L922" s="159">
        <f t="shared" si="226"/>
        <v>320.94469658766172</v>
      </c>
      <c r="M922" s="159">
        <f t="shared" si="226"/>
        <v>320.37317196167419</v>
      </c>
      <c r="N922" s="159">
        <f t="shared" si="226"/>
        <v>299.63018994789036</v>
      </c>
      <c r="O922" s="159">
        <f t="shared" si="226"/>
        <v>59.421751554883166</v>
      </c>
      <c r="P922" s="159">
        <f t="shared" si="226"/>
        <v>84.501596907043194</v>
      </c>
      <c r="Q922" s="159">
        <f t="shared" si="226"/>
        <v>58.530845520255504</v>
      </c>
      <c r="R922" s="324"/>
      <c r="AC922" s="325" t="s">
        <v>421</v>
      </c>
      <c r="AD922" s="159">
        <f t="shared" si="207"/>
        <v>67925</v>
      </c>
      <c r="AE922" s="159">
        <f t="shared" si="208"/>
        <v>8659</v>
      </c>
      <c r="AF922" s="159">
        <f t="shared" si="209"/>
        <v>9085</v>
      </c>
      <c r="AG922" s="159">
        <f t="shared" si="210"/>
        <v>15544</v>
      </c>
      <c r="AH922" s="159">
        <f t="shared" si="211"/>
        <v>13844.282442470736</v>
      </c>
      <c r="AI922" s="159"/>
      <c r="AJ922" s="159">
        <f t="shared" si="212"/>
        <v>115057.28244247074</v>
      </c>
      <c r="AK922" s="159"/>
      <c r="AL922" s="159"/>
      <c r="AM922" s="159"/>
      <c r="AN922" s="164" t="s">
        <v>421</v>
      </c>
      <c r="AO922" s="159">
        <f t="shared" si="213"/>
        <v>67365</v>
      </c>
      <c r="AP922" s="159">
        <f t="shared" si="214"/>
        <v>8565</v>
      </c>
      <c r="AQ922" s="159">
        <f t="shared" si="215"/>
        <v>8963</v>
      </c>
      <c r="AR922" s="159">
        <f t="shared" si="216"/>
        <v>14733</v>
      </c>
      <c r="AS922" s="159">
        <f>((F896-$F896)*(('[1]Lake Pleasant Forecast'!B57-1526.8)/0.7702))/1000</f>
        <v>0</v>
      </c>
      <c r="AT922" s="159">
        <f t="shared" si="217"/>
        <v>99626</v>
      </c>
      <c r="AU922" s="307"/>
    </row>
    <row r="923" spans="1:50" ht="15.75" customHeight="1" x14ac:dyDescent="0.3">
      <c r="A923" s="365" t="s">
        <v>20</v>
      </c>
      <c r="B923" s="159">
        <f t="shared" ref="B923:Q923" si="227">(B894/$N$10/1.983)</f>
        <v>2107.9335643290551</v>
      </c>
      <c r="C923" s="159">
        <f t="shared" si="227"/>
        <v>2103.2973825907306</v>
      </c>
      <c r="D923" s="159">
        <f t="shared" si="227"/>
        <v>2098.8726758088915</v>
      </c>
      <c r="E923" s="159">
        <f t="shared" si="227"/>
        <v>2043.7753159923868</v>
      </c>
      <c r="F923" s="159">
        <f t="shared" si="227"/>
        <v>718.23402144030706</v>
      </c>
      <c r="G923" s="159">
        <f t="shared" si="227"/>
        <v>0</v>
      </c>
      <c r="H923" s="159">
        <f t="shared" si="227"/>
        <v>725.22896230865581</v>
      </c>
      <c r="I923" s="159">
        <f t="shared" si="227"/>
        <v>207.29425926829663</v>
      </c>
      <c r="J923" s="159">
        <f t="shared" si="227"/>
        <v>176.79306362142728</v>
      </c>
      <c r="K923" s="159">
        <f t="shared" si="227"/>
        <v>158.11819823337075</v>
      </c>
      <c r="L923" s="159">
        <f t="shared" si="227"/>
        <v>115.13998015388869</v>
      </c>
      <c r="M923" s="159">
        <f t="shared" si="227"/>
        <v>114.66822832788378</v>
      </c>
      <c r="N923" s="159">
        <f t="shared" si="227"/>
        <v>99.864981373936516</v>
      </c>
      <c r="O923" s="159">
        <f t="shared" si="227"/>
        <v>54.885884860019843</v>
      </c>
      <c r="P923" s="159">
        <f t="shared" si="227"/>
        <v>77.253428334390705</v>
      </c>
      <c r="Q923" s="159">
        <f t="shared" si="227"/>
        <v>54.804548338294858</v>
      </c>
      <c r="R923" s="324"/>
      <c r="AC923" s="323"/>
      <c r="AD923" s="159"/>
      <c r="AE923" s="159"/>
      <c r="AF923" s="159"/>
      <c r="AG923" s="159"/>
      <c r="AH923" s="159"/>
      <c r="AI923" s="159"/>
      <c r="AJ923" s="159"/>
      <c r="AK923" s="159"/>
      <c r="AL923" s="159"/>
      <c r="AM923" s="159"/>
      <c r="AN923" s="159"/>
      <c r="AO923" s="159"/>
      <c r="AP923" s="159"/>
      <c r="AQ923" s="159"/>
      <c r="AR923" s="159"/>
      <c r="AS923" s="159"/>
      <c r="AT923" s="159"/>
      <c r="AU923" s="307"/>
    </row>
    <row r="924" spans="1:50" ht="15.75" customHeight="1" thickBot="1" x14ac:dyDescent="0.35">
      <c r="A924" s="365" t="s">
        <v>21</v>
      </c>
      <c r="B924" s="159">
        <f t="shared" ref="B924:Q924" si="228">(B895/$O$10/1.983)</f>
        <v>2134.4931921331313</v>
      </c>
      <c r="C924" s="159">
        <f t="shared" si="228"/>
        <v>2130.5429483946882</v>
      </c>
      <c r="D924" s="159">
        <f t="shared" si="228"/>
        <v>2126.7439905866531</v>
      </c>
      <c r="E924" s="159">
        <f t="shared" si="228"/>
        <v>2093.1921331316189</v>
      </c>
      <c r="F924" s="159">
        <f t="shared" si="228"/>
        <v>1101.7145738779625</v>
      </c>
      <c r="G924" s="159">
        <f t="shared" si="228"/>
        <v>0</v>
      </c>
      <c r="H924" s="159">
        <f t="shared" si="228"/>
        <v>426.3741805345436</v>
      </c>
      <c r="I924" s="159">
        <f t="shared" si="228"/>
        <v>67.456715414355358</v>
      </c>
      <c r="J924" s="159">
        <f t="shared" si="228"/>
        <v>59.825180702639102</v>
      </c>
      <c r="K924" s="159">
        <f t="shared" si="228"/>
        <v>51.773407295343752</v>
      </c>
      <c r="L924" s="159">
        <f t="shared" si="228"/>
        <v>23.432509665489999</v>
      </c>
      <c r="M924" s="159">
        <f t="shared" si="228"/>
        <v>23.045890065557238</v>
      </c>
      <c r="N924" s="159">
        <f t="shared" si="228"/>
        <v>21.196839805009244</v>
      </c>
      <c r="O924" s="159">
        <f t="shared" si="228"/>
        <v>17.532358379559589</v>
      </c>
      <c r="P924" s="159">
        <f t="shared" si="228"/>
        <v>39.720961506135481</v>
      </c>
      <c r="Q924" s="159">
        <f t="shared" si="228"/>
        <v>17.481929736090098</v>
      </c>
      <c r="R924" s="324"/>
      <c r="AC924" s="330" t="s">
        <v>422</v>
      </c>
      <c r="AD924" s="327">
        <f>SUM(AD911:AD922)</f>
        <v>329445</v>
      </c>
      <c r="AE924" s="327">
        <f>SUM(AE911:AE922)</f>
        <v>41999</v>
      </c>
      <c r="AF924" s="327">
        <f>SUM(AF911:AF922)</f>
        <v>44063</v>
      </c>
      <c r="AG924" s="327">
        <f>SUM(AG911:AG922)</f>
        <v>75389</v>
      </c>
      <c r="AH924" s="327">
        <f>SUM(AH911:AH922)</f>
        <v>69145.12491676287</v>
      </c>
      <c r="AI924" s="327"/>
      <c r="AJ924" s="327">
        <f>SUM(AJ911:AJ922)</f>
        <v>560041.12491676293</v>
      </c>
      <c r="AK924" s="327"/>
      <c r="AL924" s="327"/>
      <c r="AM924" s="327"/>
      <c r="AN924" s="335" t="s">
        <v>422</v>
      </c>
      <c r="AO924" s="327">
        <f t="shared" ref="AO924:AT924" si="229">SUM(AO911:AO922)</f>
        <v>1027152</v>
      </c>
      <c r="AP924" s="327">
        <f t="shared" si="229"/>
        <v>130518</v>
      </c>
      <c r="AQ924" s="327">
        <f t="shared" si="229"/>
        <v>136507</v>
      </c>
      <c r="AR924" s="327">
        <f t="shared" si="229"/>
        <v>223355</v>
      </c>
      <c r="AS924" s="327">
        <f t="shared" si="229"/>
        <v>0</v>
      </c>
      <c r="AT924" s="327">
        <f t="shared" si="229"/>
        <v>1517532</v>
      </c>
      <c r="AU924" s="313"/>
    </row>
    <row r="925" spans="1:50" ht="15.75" customHeight="1" thickBot="1" x14ac:dyDescent="0.35">
      <c r="A925" s="369" t="s">
        <v>22</v>
      </c>
      <c r="B925" s="327">
        <f t="shared" ref="B925:Q925" si="230">(B896/$P$10/1.983)</f>
        <v>2299.6925479478791</v>
      </c>
      <c r="C925" s="327">
        <f t="shared" si="230"/>
        <v>2296.6668293397097</v>
      </c>
      <c r="D925" s="327">
        <f t="shared" si="230"/>
        <v>2293.7549818619559</v>
      </c>
      <c r="E925" s="327">
        <f t="shared" si="230"/>
        <v>2248.9548256958342</v>
      </c>
      <c r="F925" s="327">
        <f t="shared" si="230"/>
        <v>1154.6044604948513</v>
      </c>
      <c r="G925" s="327">
        <f t="shared" si="230"/>
        <v>-1.2363151302197712</v>
      </c>
      <c r="H925" s="327">
        <f t="shared" si="230"/>
        <v>626.94190945618402</v>
      </c>
      <c r="I925" s="327">
        <f t="shared" si="230"/>
        <v>206.31822100759683</v>
      </c>
      <c r="J925" s="327">
        <f t="shared" si="230"/>
        <v>186.79745579360045</v>
      </c>
      <c r="K925" s="327">
        <f t="shared" si="230"/>
        <v>183.91814292453594</v>
      </c>
      <c r="L925" s="327">
        <f t="shared" si="230"/>
        <v>116.05094919720852</v>
      </c>
      <c r="M925" s="327">
        <f t="shared" si="230"/>
        <v>115.74187041465359</v>
      </c>
      <c r="N925" s="327">
        <f t="shared" si="230"/>
        <v>115.59546467554861</v>
      </c>
      <c r="O925" s="327">
        <f t="shared" si="230"/>
        <v>47.48426138304621</v>
      </c>
      <c r="P925" s="327">
        <f t="shared" si="230"/>
        <v>54.576806077464894</v>
      </c>
      <c r="Q925" s="327">
        <f t="shared" si="230"/>
        <v>47.451726774356217</v>
      </c>
      <c r="R925" s="328"/>
    </row>
    <row r="926" spans="1:50" ht="15.75" customHeight="1" x14ac:dyDescent="0.3">
      <c r="R926" s="319"/>
      <c r="AC926" s="370"/>
      <c r="AD926" s="506" t="s">
        <v>1028</v>
      </c>
      <c r="AE926" s="517"/>
      <c r="AF926" s="517"/>
      <c r="AG926" s="517"/>
      <c r="AH926" s="517"/>
      <c r="AI926" s="517"/>
      <c r="AJ926" s="517"/>
      <c r="AK926" s="517"/>
      <c r="AL926" s="517"/>
      <c r="AM926" s="517"/>
      <c r="AN926" s="517"/>
      <c r="AO926" s="517"/>
      <c r="AP926" s="517"/>
      <c r="AQ926" s="517"/>
      <c r="AR926" s="361" t="str">
        <f>$Q$1</f>
        <v xml:space="preserve">PRINTED:  </v>
      </c>
      <c r="AS926" s="371">
        <f ca="1">$R$1</f>
        <v>44909.46975358796</v>
      </c>
    </row>
    <row r="927" spans="1:50" ht="15.75" customHeight="1" x14ac:dyDescent="0.3">
      <c r="R927" s="159"/>
      <c r="AC927" s="306"/>
      <c r="AD927" s="503" t="str">
        <f>+$A$8</f>
        <v>Revised:  1/18/2018</v>
      </c>
      <c r="AE927" s="516"/>
      <c r="AF927" s="516"/>
      <c r="AG927" s="516"/>
      <c r="AH927" s="516"/>
      <c r="AI927" s="516"/>
      <c r="AJ927" s="516"/>
      <c r="AK927" s="516"/>
      <c r="AL927" s="516"/>
      <c r="AM927" s="516"/>
      <c r="AN927" s="516"/>
      <c r="AO927" s="516"/>
      <c r="AP927" s="516"/>
      <c r="AQ927" s="516"/>
      <c r="AR927" s="365"/>
      <c r="AS927" s="307"/>
    </row>
    <row r="928" spans="1:50" ht="15.75" customHeight="1" x14ac:dyDescent="0.3">
      <c r="A928" s="365"/>
      <c r="AC928" s="306"/>
      <c r="AD928" s="503" t="s">
        <v>1024</v>
      </c>
      <c r="AE928" s="508"/>
      <c r="AF928" s="508"/>
      <c r="AG928" s="508"/>
      <c r="AH928" s="508"/>
      <c r="AI928" s="508"/>
      <c r="AJ928" s="508"/>
      <c r="AK928" s="508"/>
      <c r="AL928" s="508"/>
      <c r="AM928" s="508"/>
      <c r="AN928" s="508"/>
      <c r="AO928" s="508"/>
      <c r="AP928" s="508"/>
      <c r="AQ928" s="508"/>
      <c r="AS928" s="307"/>
    </row>
    <row r="929" spans="1:48" ht="15.75" customHeight="1" x14ac:dyDescent="0.3">
      <c r="A929" s="365"/>
      <c r="AC929" s="306"/>
      <c r="AS929" s="307"/>
    </row>
    <row r="930" spans="1:48" ht="15.75" customHeight="1" thickBot="1" x14ac:dyDescent="0.35">
      <c r="A930" s="365"/>
      <c r="AC930" s="306"/>
      <c r="AD930" s="509">
        <f>$A$5</f>
        <v>2017</v>
      </c>
      <c r="AE930" s="508"/>
      <c r="AF930" s="508"/>
      <c r="AG930" s="508"/>
      <c r="AH930" s="508"/>
      <c r="AI930" s="508"/>
      <c r="AJ930" s="508"/>
      <c r="AK930" s="508"/>
      <c r="AL930" s="508"/>
      <c r="AM930" s="508"/>
      <c r="AN930" s="508"/>
      <c r="AO930" s="508"/>
      <c r="AP930" s="508"/>
      <c r="AQ930" s="508"/>
      <c r="AS930" s="307"/>
    </row>
    <row r="931" spans="1:48" ht="15.75" customHeight="1" x14ac:dyDescent="0.3">
      <c r="A931" s="363"/>
      <c r="B931" s="506" t="s">
        <v>456</v>
      </c>
      <c r="C931" s="506"/>
      <c r="D931" s="506"/>
      <c r="E931" s="506"/>
      <c r="F931" s="506"/>
      <c r="G931" s="506"/>
      <c r="H931" s="506"/>
      <c r="I931" s="506"/>
      <c r="J931" s="506"/>
      <c r="K931" s="506"/>
      <c r="L931" s="506"/>
      <c r="M931" s="506"/>
      <c r="N931" s="506"/>
      <c r="O931" s="506"/>
      <c r="P931" s="506"/>
      <c r="Q931" s="361" t="str">
        <f>+Q1</f>
        <v xml:space="preserve">PRINTED:  </v>
      </c>
      <c r="R931" s="362">
        <f ca="1">+R1</f>
        <v>44909.46975358796</v>
      </c>
      <c r="AC931" s="306"/>
      <c r="AD931" s="503" t="s">
        <v>1029</v>
      </c>
      <c r="AE931" s="516"/>
      <c r="AF931" s="516"/>
      <c r="AG931" s="516"/>
      <c r="AH931" s="516"/>
      <c r="AI931" s="516"/>
      <c r="AJ931" s="516"/>
      <c r="AK931" s="516"/>
      <c r="AL931" s="516"/>
      <c r="AM931" s="516"/>
      <c r="AN931" s="516"/>
      <c r="AO931" s="516"/>
      <c r="AP931" s="516"/>
      <c r="AQ931" s="516"/>
      <c r="AR931" s="164"/>
      <c r="AS931" s="307"/>
    </row>
    <row r="932" spans="1:48" ht="16.5" customHeight="1" x14ac:dyDescent="0.3">
      <c r="A932" s="325"/>
      <c r="B932" s="503" t="str">
        <f>+A8</f>
        <v>Revised:  1/18/2018</v>
      </c>
      <c r="C932" s="503"/>
      <c r="D932" s="503"/>
      <c r="E932" s="503"/>
      <c r="F932" s="503"/>
      <c r="G932" s="503"/>
      <c r="H932" s="503"/>
      <c r="I932" s="503"/>
      <c r="J932" s="503"/>
      <c r="K932" s="503"/>
      <c r="L932" s="503"/>
      <c r="M932" s="503"/>
      <c r="N932" s="503"/>
      <c r="O932" s="503"/>
      <c r="P932" s="503"/>
      <c r="Q932" s="159"/>
      <c r="R932" s="324"/>
      <c r="AC932" s="306"/>
      <c r="AK932" s="372"/>
      <c r="AS932" s="307"/>
    </row>
    <row r="933" spans="1:48" ht="15.75" customHeight="1" thickBot="1" x14ac:dyDescent="0.35">
      <c r="A933" s="325"/>
      <c r="B933" s="503" t="s">
        <v>1024</v>
      </c>
      <c r="C933" s="503"/>
      <c r="D933" s="503"/>
      <c r="E933" s="503"/>
      <c r="F933" s="503"/>
      <c r="G933" s="503"/>
      <c r="H933" s="503"/>
      <c r="I933" s="503"/>
      <c r="J933" s="503"/>
      <c r="K933" s="503"/>
      <c r="L933" s="503"/>
      <c r="M933" s="503"/>
      <c r="N933" s="503"/>
      <c r="O933" s="503"/>
      <c r="P933" s="503"/>
      <c r="Q933" s="159"/>
      <c r="R933" s="324"/>
      <c r="AC933" s="306"/>
      <c r="AD933" s="364" t="s">
        <v>390</v>
      </c>
      <c r="AE933" s="364" t="s">
        <v>391</v>
      </c>
      <c r="AF933" s="364" t="s">
        <v>392</v>
      </c>
      <c r="AG933" s="364" t="s">
        <v>393</v>
      </c>
      <c r="AH933" s="364" t="s">
        <v>394</v>
      </c>
      <c r="AI933" s="364" t="s">
        <v>395</v>
      </c>
      <c r="AJ933" s="364" t="s">
        <v>396</v>
      </c>
      <c r="AK933" s="364" t="s">
        <v>397</v>
      </c>
      <c r="AL933" s="364" t="s">
        <v>398</v>
      </c>
      <c r="AM933" s="364" t="s">
        <v>399</v>
      </c>
      <c r="AN933" s="364" t="s">
        <v>400</v>
      </c>
      <c r="AO933" s="364" t="s">
        <v>401</v>
      </c>
      <c r="AP933" s="364" t="s">
        <v>402</v>
      </c>
      <c r="AQ933" s="364" t="s">
        <v>403</v>
      </c>
      <c r="AR933" s="364" t="s">
        <v>404</v>
      </c>
      <c r="AS933" s="373" t="s">
        <v>422</v>
      </c>
    </row>
    <row r="934" spans="1:48" ht="15.75" customHeight="1" x14ac:dyDescent="0.3">
      <c r="A934" s="325"/>
      <c r="B934" s="159"/>
      <c r="C934" s="159"/>
      <c r="D934" s="159"/>
      <c r="E934" s="159"/>
      <c r="F934" s="159"/>
      <c r="G934" s="159"/>
      <c r="H934" s="159"/>
      <c r="I934" s="159"/>
      <c r="J934" s="159"/>
      <c r="K934" s="159"/>
      <c r="L934" s="159"/>
      <c r="M934" s="159"/>
      <c r="N934" s="159"/>
      <c r="O934" s="159"/>
      <c r="P934" s="159"/>
      <c r="Q934" s="159"/>
      <c r="R934" s="324"/>
      <c r="AC934" s="306"/>
      <c r="AD934" s="159"/>
      <c r="AE934" s="159"/>
      <c r="AF934" s="159"/>
      <c r="AG934" s="159"/>
      <c r="AH934" s="164" t="s">
        <v>1030</v>
      </c>
      <c r="AI934" s="159"/>
      <c r="AJ934" s="159"/>
      <c r="AK934" s="159"/>
      <c r="AL934" s="159"/>
      <c r="AM934" s="159"/>
      <c r="AN934" s="159"/>
      <c r="AO934" s="159"/>
      <c r="AP934" s="159"/>
      <c r="AQ934" s="159"/>
      <c r="AR934" s="159"/>
      <c r="AS934" s="374"/>
    </row>
    <row r="935" spans="1:48" ht="15.75" customHeight="1" x14ac:dyDescent="0.3">
      <c r="A935" s="325"/>
      <c r="B935" s="509">
        <f>A5</f>
        <v>2017</v>
      </c>
      <c r="C935" s="509"/>
      <c r="D935" s="509"/>
      <c r="E935" s="509"/>
      <c r="F935" s="509"/>
      <c r="G935" s="509"/>
      <c r="H935" s="509"/>
      <c r="I935" s="509"/>
      <c r="J935" s="509"/>
      <c r="K935" s="509"/>
      <c r="L935" s="509"/>
      <c r="M935" s="509"/>
      <c r="N935" s="509"/>
      <c r="O935" s="509"/>
      <c r="P935" s="509"/>
      <c r="Q935" s="159"/>
      <c r="R935" s="324"/>
      <c r="S935" s="159"/>
      <c r="AC935" s="375" t="s">
        <v>1031</v>
      </c>
      <c r="AD935" s="376">
        <v>1.7000000000000001E-2</v>
      </c>
      <c r="AE935" s="376">
        <v>1.7000000000000001E-2</v>
      </c>
      <c r="AF935" s="376">
        <v>1.7000000000000001E-2</v>
      </c>
      <c r="AG935" s="376">
        <v>1.7000000000000001E-2</v>
      </c>
      <c r="AH935" s="376"/>
      <c r="AI935" s="376"/>
      <c r="AJ935" s="376"/>
      <c r="AK935" s="376"/>
      <c r="AL935" s="376"/>
      <c r="AM935" s="376"/>
      <c r="AN935" s="376"/>
      <c r="AO935" s="376"/>
      <c r="AP935" s="376"/>
      <c r="AQ935" s="376"/>
      <c r="AR935" s="376"/>
      <c r="AS935" s="377"/>
    </row>
    <row r="936" spans="1:48" ht="15.75" customHeight="1" x14ac:dyDescent="0.3">
      <c r="A936" s="325"/>
      <c r="B936" s="503" t="s">
        <v>1029</v>
      </c>
      <c r="C936" s="503"/>
      <c r="D936" s="503"/>
      <c r="E936" s="503"/>
      <c r="F936" s="503"/>
      <c r="G936" s="503"/>
      <c r="H936" s="503"/>
      <c r="I936" s="503"/>
      <c r="J936" s="503"/>
      <c r="K936" s="503"/>
      <c r="L936" s="503"/>
      <c r="M936" s="503"/>
      <c r="N936" s="503"/>
      <c r="O936" s="503"/>
      <c r="P936" s="503"/>
      <c r="Q936" s="159"/>
      <c r="R936" s="324"/>
      <c r="S936" s="159"/>
      <c r="AC936" s="375" t="s">
        <v>1032</v>
      </c>
      <c r="AD936" s="376"/>
      <c r="AE936" s="376">
        <v>0.03</v>
      </c>
      <c r="AF936" s="376"/>
      <c r="AG936" s="376"/>
      <c r="AH936" s="376"/>
      <c r="AI936" s="376"/>
      <c r="AJ936" s="376"/>
      <c r="AK936" s="376"/>
      <c r="AL936" s="376"/>
      <c r="AM936" s="376">
        <v>0.03</v>
      </c>
      <c r="AN936" s="376">
        <v>0.03</v>
      </c>
      <c r="AO936" s="376">
        <v>0.03</v>
      </c>
      <c r="AP936" s="376">
        <v>0.03</v>
      </c>
      <c r="AQ936" s="376">
        <v>0.03</v>
      </c>
      <c r="AR936" s="376">
        <v>0.03</v>
      </c>
      <c r="AS936" s="377"/>
    </row>
    <row r="937" spans="1:48" ht="15.75" customHeight="1" x14ac:dyDescent="0.3">
      <c r="A937" s="325"/>
      <c r="B937" s="159"/>
      <c r="C937" s="159"/>
      <c r="D937" s="159"/>
      <c r="E937" s="159"/>
      <c r="F937" s="159"/>
      <c r="G937" s="159"/>
      <c r="H937" s="159"/>
      <c r="I937" s="159"/>
      <c r="J937" s="159"/>
      <c r="K937" s="159"/>
      <c r="L937" s="159"/>
      <c r="M937" s="159"/>
      <c r="N937" s="159"/>
      <c r="O937" s="159"/>
      <c r="P937" s="159"/>
      <c r="Q937" s="159"/>
      <c r="R937" s="324"/>
      <c r="S937" s="159"/>
      <c r="AC937" s="375" t="s">
        <v>1033</v>
      </c>
      <c r="AD937" s="376"/>
      <c r="AE937" s="376"/>
      <c r="AF937" s="376">
        <v>0.03</v>
      </c>
      <c r="AG937" s="376">
        <v>0.03</v>
      </c>
      <c r="AH937" s="376"/>
      <c r="AI937" s="376"/>
      <c r="AJ937" s="376"/>
      <c r="AK937" s="376"/>
      <c r="AL937" s="376"/>
      <c r="AM937" s="376"/>
      <c r="AN937" s="376"/>
      <c r="AO937" s="376"/>
      <c r="AP937" s="376"/>
      <c r="AQ937" s="376"/>
      <c r="AR937" s="376"/>
      <c r="AS937" s="377"/>
    </row>
    <row r="938" spans="1:48" ht="15.75" customHeight="1" thickBot="1" x14ac:dyDescent="0.35">
      <c r="A938" s="325" t="s">
        <v>433</v>
      </c>
      <c r="B938" s="364" t="s">
        <v>390</v>
      </c>
      <c r="C938" s="364" t="s">
        <v>391</v>
      </c>
      <c r="D938" s="364" t="s">
        <v>392</v>
      </c>
      <c r="E938" s="364" t="s">
        <v>393</v>
      </c>
      <c r="F938" s="364" t="s">
        <v>394</v>
      </c>
      <c r="G938" s="364" t="s">
        <v>394</v>
      </c>
      <c r="H938" s="364" t="s">
        <v>395</v>
      </c>
      <c r="I938" s="364" t="s">
        <v>396</v>
      </c>
      <c r="J938" s="364" t="s">
        <v>397</v>
      </c>
      <c r="K938" s="364" t="s">
        <v>398</v>
      </c>
      <c r="L938" s="364" t="s">
        <v>399</v>
      </c>
      <c r="M938" s="364" t="s">
        <v>400</v>
      </c>
      <c r="N938" s="364" t="s">
        <v>401</v>
      </c>
      <c r="O938" s="364" t="s">
        <v>402</v>
      </c>
      <c r="P938" s="364" t="s">
        <v>403</v>
      </c>
      <c r="Q938" s="364" t="s">
        <v>404</v>
      </c>
      <c r="R938" s="373" t="s">
        <v>422</v>
      </c>
      <c r="S938" s="164"/>
      <c r="AC938" s="375" t="s">
        <v>822</v>
      </c>
      <c r="AD938" s="376"/>
      <c r="AE938" s="376"/>
      <c r="AF938" s="376"/>
      <c r="AG938" s="376"/>
      <c r="AH938" s="376"/>
      <c r="AI938" s="376">
        <v>0.03</v>
      </c>
      <c r="AJ938" s="376"/>
      <c r="AK938" s="376"/>
      <c r="AL938" s="376"/>
      <c r="AM938" s="376"/>
      <c r="AN938" s="376"/>
      <c r="AO938" s="376"/>
      <c r="AP938" s="376"/>
      <c r="AQ938" s="376"/>
      <c r="AR938" s="376"/>
      <c r="AS938" s="377"/>
    </row>
    <row r="939" spans="1:48" ht="15.75" customHeight="1" x14ac:dyDescent="0.3">
      <c r="A939" s="325"/>
      <c r="B939" s="159"/>
      <c r="C939" s="159"/>
      <c r="D939" s="159"/>
      <c r="E939" s="159"/>
      <c r="F939" s="164" t="s">
        <v>406</v>
      </c>
      <c r="G939" s="164" t="s">
        <v>407</v>
      </c>
      <c r="H939" s="159"/>
      <c r="I939" s="159"/>
      <c r="J939" s="159"/>
      <c r="K939" s="159"/>
      <c r="L939" s="159"/>
      <c r="M939" s="159"/>
      <c r="N939" s="159"/>
      <c r="O939" s="159"/>
      <c r="P939" s="159"/>
      <c r="Q939" s="159"/>
      <c r="R939" s="377" t="s">
        <v>458</v>
      </c>
      <c r="S939" s="164"/>
      <c r="AC939" s="375" t="s">
        <v>1034</v>
      </c>
      <c r="AD939" s="376">
        <v>0.03</v>
      </c>
      <c r="AE939" s="376"/>
      <c r="AF939" s="376"/>
      <c r="AG939" s="376"/>
      <c r="AH939" s="376"/>
      <c r="AI939" s="376"/>
      <c r="AJ939" s="376">
        <v>0.03</v>
      </c>
      <c r="AK939" s="376">
        <v>0.03</v>
      </c>
      <c r="AL939" s="376">
        <v>0.03</v>
      </c>
      <c r="AM939" s="376"/>
      <c r="AN939" s="376"/>
      <c r="AO939" s="376"/>
      <c r="AP939" s="376"/>
      <c r="AQ939" s="376"/>
      <c r="AR939" s="376"/>
      <c r="AS939" s="377"/>
    </row>
    <row r="940" spans="1:48" ht="15.75" customHeight="1" x14ac:dyDescent="0.3">
      <c r="A940" s="325" t="s">
        <v>1035</v>
      </c>
      <c r="B940" s="378">
        <v>957</v>
      </c>
      <c r="C940" s="378">
        <v>122</v>
      </c>
      <c r="D940" s="378">
        <v>128</v>
      </c>
      <c r="E940" s="378">
        <v>219</v>
      </c>
      <c r="F940" s="378"/>
      <c r="G940" s="378"/>
      <c r="H940" s="378">
        <v>97</v>
      </c>
      <c r="I940" s="378">
        <v>160</v>
      </c>
      <c r="J940" s="378">
        <v>250</v>
      </c>
      <c r="K940" s="378">
        <v>260</v>
      </c>
      <c r="L940" s="378">
        <v>100</v>
      </c>
      <c r="M940" s="378">
        <v>118</v>
      </c>
      <c r="N940" s="378">
        <v>250</v>
      </c>
      <c r="O940" s="378">
        <v>190</v>
      </c>
      <c r="P940" s="378">
        <v>340</v>
      </c>
      <c r="Q940" s="378">
        <v>450</v>
      </c>
      <c r="R940" s="377" t="s">
        <v>442</v>
      </c>
      <c r="S940" s="164"/>
      <c r="AC940" s="375" t="s">
        <v>422</v>
      </c>
      <c r="AD940" s="169">
        <f>SUM(AD935:AD939)</f>
        <v>4.7E-2</v>
      </c>
      <c r="AE940" s="169">
        <f t="shared" ref="AE940:AR940" si="231">SUM(AE935:AE939)</f>
        <v>4.7E-2</v>
      </c>
      <c r="AF940" s="169">
        <f t="shared" si="231"/>
        <v>4.7E-2</v>
      </c>
      <c r="AG940" s="169">
        <f t="shared" si="231"/>
        <v>4.7E-2</v>
      </c>
      <c r="AH940" s="169">
        <f t="shared" si="231"/>
        <v>0</v>
      </c>
      <c r="AI940" s="169">
        <f t="shared" si="231"/>
        <v>0.03</v>
      </c>
      <c r="AJ940" s="169">
        <f t="shared" si="231"/>
        <v>0.03</v>
      </c>
      <c r="AK940" s="169">
        <f t="shared" si="231"/>
        <v>0.03</v>
      </c>
      <c r="AL940" s="169">
        <f t="shared" si="231"/>
        <v>0.03</v>
      </c>
      <c r="AM940" s="169">
        <f t="shared" si="231"/>
        <v>0.03</v>
      </c>
      <c r="AN940" s="169">
        <f t="shared" si="231"/>
        <v>0.03</v>
      </c>
      <c r="AO940" s="169">
        <f t="shared" si="231"/>
        <v>0.03</v>
      </c>
      <c r="AP940" s="169">
        <f t="shared" si="231"/>
        <v>0.03</v>
      </c>
      <c r="AQ940" s="169">
        <f t="shared" si="231"/>
        <v>0.03</v>
      </c>
      <c r="AR940" s="169">
        <f t="shared" si="231"/>
        <v>0.03</v>
      </c>
      <c r="AS940" s="377"/>
      <c r="AU940" s="365" t="s">
        <v>1036</v>
      </c>
      <c r="AV940" s="4" t="s">
        <v>1037</v>
      </c>
    </row>
    <row r="941" spans="1:48" ht="15.75" customHeight="1" x14ac:dyDescent="0.3">
      <c r="A941" s="325"/>
      <c r="B941" s="164" t="s">
        <v>409</v>
      </c>
      <c r="C941" s="164" t="s">
        <v>409</v>
      </c>
      <c r="D941" s="164" t="s">
        <v>409</v>
      </c>
      <c r="E941" s="164" t="s">
        <v>409</v>
      </c>
      <c r="F941" s="164" t="s">
        <v>409</v>
      </c>
      <c r="G941" s="164" t="s">
        <v>409</v>
      </c>
      <c r="H941" s="164" t="s">
        <v>409</v>
      </c>
      <c r="I941" s="164" t="s">
        <v>409</v>
      </c>
      <c r="J941" s="164" t="s">
        <v>409</v>
      </c>
      <c r="K941" s="164" t="s">
        <v>409</v>
      </c>
      <c r="L941" s="164" t="s">
        <v>409</v>
      </c>
      <c r="M941" s="164" t="s">
        <v>409</v>
      </c>
      <c r="N941" s="164" t="s">
        <v>409</v>
      </c>
      <c r="O941" s="164" t="s">
        <v>409</v>
      </c>
      <c r="P941" s="164" t="s">
        <v>409</v>
      </c>
      <c r="Q941" s="164" t="s">
        <v>409</v>
      </c>
      <c r="R941" s="377" t="s">
        <v>459</v>
      </c>
      <c r="S941" s="164"/>
      <c r="T941" s="164"/>
      <c r="AC941" s="325" t="s">
        <v>409</v>
      </c>
      <c r="AD941" s="164" t="s">
        <v>409</v>
      </c>
      <c r="AE941" s="164" t="s">
        <v>409</v>
      </c>
      <c r="AF941" s="164" t="s">
        <v>409</v>
      </c>
      <c r="AG941" s="164" t="s">
        <v>409</v>
      </c>
      <c r="AH941" s="164" t="s">
        <v>409</v>
      </c>
      <c r="AI941" s="164" t="s">
        <v>409</v>
      </c>
      <c r="AJ941" s="164" t="s">
        <v>409</v>
      </c>
      <c r="AK941" s="164" t="s">
        <v>409</v>
      </c>
      <c r="AL941" s="164" t="s">
        <v>409</v>
      </c>
      <c r="AM941" s="164" t="s">
        <v>409</v>
      </c>
      <c r="AN941" s="164" t="s">
        <v>409</v>
      </c>
      <c r="AO941" s="164" t="s">
        <v>409</v>
      </c>
      <c r="AP941" s="164" t="s">
        <v>409</v>
      </c>
      <c r="AQ941" s="164" t="s">
        <v>409</v>
      </c>
      <c r="AR941" s="164" t="s">
        <v>409</v>
      </c>
      <c r="AS941" s="377" t="s">
        <v>409</v>
      </c>
    </row>
    <row r="942" spans="1:48" ht="15.75" customHeight="1" x14ac:dyDescent="0.3">
      <c r="A942" s="365" t="s">
        <v>795</v>
      </c>
      <c r="B942" s="159">
        <f>ROUND((B885*$B$940)/1000,0)</f>
        <v>119188</v>
      </c>
      <c r="C942" s="159">
        <f t="shared" ref="C942:C953" si="232">ROUND((C885*$C$940)/1000,0)</f>
        <v>15182</v>
      </c>
      <c r="D942" s="159">
        <f t="shared" ref="D942:D953" si="233">ROUND((D885*$D$940)/1000,0)</f>
        <v>15917</v>
      </c>
      <c r="E942" s="159">
        <f t="shared" ref="E942:E953" si="234">ROUND((E885*$E$940)/1000,0)</f>
        <v>27189</v>
      </c>
      <c r="F942" s="159">
        <f>(F885*((T885-1526.8)/0.7702))/1000</f>
        <v>17674.420026488395</v>
      </c>
      <c r="G942" s="159">
        <f t="shared" ref="G942:G953" si="235">(G885*((T885-1591.4)/0.6635))/1000</f>
        <v>-543.06392299236506</v>
      </c>
      <c r="H942" s="159">
        <f t="shared" ref="H942:H953" si="236">ROUND((H885*$H$940)/1000,0)</f>
        <v>2460</v>
      </c>
      <c r="I942" s="159">
        <f t="shared" ref="I942:I953" si="237">ROUND((I885*$I$940)/1000,0)</f>
        <v>2443</v>
      </c>
      <c r="J942" s="159">
        <f t="shared" ref="J942:J953" si="238">ROUND((J885*$J$940)/1000,0)</f>
        <v>3815</v>
      </c>
      <c r="K942" s="159">
        <f t="shared" ref="K942:K953" si="239">ROUND((K885*$K$940)/1000,0)</f>
        <v>3933</v>
      </c>
      <c r="L942" s="159">
        <f t="shared" ref="L942:L953" si="240">ROUND((L885*$L$940)/1000,0)</f>
        <v>1446</v>
      </c>
      <c r="M942" s="159">
        <f t="shared" ref="M942:M953" si="241">ROUND((M885*$M$940)/1000,0)</f>
        <v>1704</v>
      </c>
      <c r="N942" s="159">
        <f t="shared" ref="N942:N953" si="242">ROUND((N885*$N$940)/1000,0)</f>
        <v>3533</v>
      </c>
      <c r="O942" s="159">
        <f t="shared" ref="O942:O953" si="243">ROUND((O885*$O$940)/1000,0)</f>
        <v>657</v>
      </c>
      <c r="P942" s="159">
        <f t="shared" ref="P942:P953" si="244">ROUND((P885*$P$940)/1000,0)</f>
        <v>83</v>
      </c>
      <c r="Q942" s="159">
        <f t="shared" ref="Q942:Q953" si="245">ROUND((Q885*$Q$940)/1000,0)</f>
        <v>1554</v>
      </c>
      <c r="R942" s="379">
        <f>(SUM(B942:Q942))</f>
        <v>216235.35610349604</v>
      </c>
      <c r="S942" s="168"/>
      <c r="AC942" s="375" t="s">
        <v>795</v>
      </c>
      <c r="AD942" s="159">
        <f>ROUND(B942*$AD$940, 0)</f>
        <v>5602</v>
      </c>
      <c r="AE942" s="159">
        <f>ROUND(C942*$AE$940,0)</f>
        <v>714</v>
      </c>
      <c r="AF942" s="159">
        <f>ROUND(D942*$AF$940,0)</f>
        <v>748</v>
      </c>
      <c r="AG942" s="159">
        <f>ROUND(E942*$AG$940,0)</f>
        <v>1278</v>
      </c>
      <c r="AH942" s="159">
        <f>ROUND(F942*$AH$940,0)</f>
        <v>0</v>
      </c>
      <c r="AI942" s="159">
        <f>ROUND(H942*$AI$940,0)</f>
        <v>74</v>
      </c>
      <c r="AJ942" s="159">
        <f>ROUND(I942*$AJ$940,0)</f>
        <v>73</v>
      </c>
      <c r="AK942" s="159">
        <f>ROUND(J942*$AK$940,0)</f>
        <v>114</v>
      </c>
      <c r="AL942" s="159">
        <f>ROUND(K942*$AL$940,0)</f>
        <v>118</v>
      </c>
      <c r="AM942" s="159">
        <f>ROUND(L942*$AM$940,0)</f>
        <v>43</v>
      </c>
      <c r="AN942" s="159">
        <f>ROUND(M942*$AN$940,0)</f>
        <v>51</v>
      </c>
      <c r="AO942" s="159">
        <f>ROUND(N942*$AO$940,0)</f>
        <v>106</v>
      </c>
      <c r="AP942" s="159">
        <f>ROUND(O942*$AP$940,0)</f>
        <v>20</v>
      </c>
      <c r="AQ942" s="159">
        <f>ROUND(P942*$AQ$940,0)</f>
        <v>2</v>
      </c>
      <c r="AR942" s="159">
        <f>ROUND(Q942*$AR$940,0)</f>
        <v>47</v>
      </c>
      <c r="AS942" s="374">
        <f>SUM(AD942:AR942)</f>
        <v>8990</v>
      </c>
      <c r="AU942" s="380">
        <f>AS942/R942</f>
        <v>4.1575069692567503E-2</v>
      </c>
    </row>
    <row r="943" spans="1:48" ht="15.75" customHeight="1" x14ac:dyDescent="0.3">
      <c r="A943" s="365" t="s">
        <v>9</v>
      </c>
      <c r="B943" s="159">
        <f t="shared" ref="B943:B953" si="246">ROUND((B886*$B$940)/1000,0)</f>
        <v>57613</v>
      </c>
      <c r="C943" s="159">
        <f t="shared" si="232"/>
        <v>7327</v>
      </c>
      <c r="D943" s="159">
        <f t="shared" si="233"/>
        <v>7668</v>
      </c>
      <c r="E943" s="159">
        <f t="shared" si="234"/>
        <v>12847</v>
      </c>
      <c r="F943" s="159">
        <f t="shared" ref="F943:F953" si="247">(F886*((T886-1526.8)/0.7702))/1000</f>
        <v>3570.3100493378374</v>
      </c>
      <c r="G943" s="159">
        <f>(G886*((T886-1591.4)/0.6635))/1000</f>
        <v>-1212.3242803315748</v>
      </c>
      <c r="H943" s="159">
        <f t="shared" si="236"/>
        <v>3183</v>
      </c>
      <c r="I943" s="159">
        <f t="shared" si="237"/>
        <v>2148</v>
      </c>
      <c r="J943" s="159">
        <f t="shared" si="238"/>
        <v>3336</v>
      </c>
      <c r="K943" s="159">
        <f t="shared" si="239"/>
        <v>3423</v>
      </c>
      <c r="L943" s="159">
        <f t="shared" si="240"/>
        <v>1140</v>
      </c>
      <c r="M943" s="159">
        <f t="shared" si="241"/>
        <v>1343</v>
      </c>
      <c r="N943" s="159">
        <f t="shared" si="242"/>
        <v>2719</v>
      </c>
      <c r="O943" s="159">
        <f t="shared" si="243"/>
        <v>398</v>
      </c>
      <c r="P943" s="159">
        <f t="shared" si="244"/>
        <v>371</v>
      </c>
      <c r="Q943" s="159">
        <f t="shared" si="245"/>
        <v>942</v>
      </c>
      <c r="R943" s="379">
        <f>(SUM(B943:Q943))</f>
        <v>106815.98576900626</v>
      </c>
      <c r="S943" s="168"/>
      <c r="AC943" s="375" t="s">
        <v>9</v>
      </c>
      <c r="AD943" s="159">
        <f t="shared" ref="AD943:AD953" si="248">ROUND(B943*$AD$940, 0)</f>
        <v>2708</v>
      </c>
      <c r="AE943" s="159">
        <f t="shared" ref="AE943:AE953" si="249">ROUND(C943*$AE$940,0)</f>
        <v>344</v>
      </c>
      <c r="AF943" s="159">
        <f t="shared" ref="AF943:AF953" si="250">ROUND(D943*$AF$940,0)</f>
        <v>360</v>
      </c>
      <c r="AG943" s="159">
        <f t="shared" ref="AG943:AG953" si="251">ROUND(E943*$AG$940,0)</f>
        <v>604</v>
      </c>
      <c r="AH943" s="159">
        <f t="shared" ref="AH943:AH953" si="252">ROUND(F943*$AH$940,0)</f>
        <v>0</v>
      </c>
      <c r="AI943" s="159">
        <f t="shared" ref="AI943:AI953" si="253">ROUND(H943*$AI$940,0)</f>
        <v>95</v>
      </c>
      <c r="AJ943" s="159">
        <f t="shared" ref="AJ943:AJ953" si="254">ROUND(I943*$AJ$940,0)</f>
        <v>64</v>
      </c>
      <c r="AK943" s="159">
        <f t="shared" ref="AK943:AK953" si="255">ROUND(J943*$AK$940,0)</f>
        <v>100</v>
      </c>
      <c r="AL943" s="159">
        <f t="shared" ref="AL943:AL953" si="256">ROUND(K943*$AL$940,0)</f>
        <v>103</v>
      </c>
      <c r="AM943" s="159">
        <f t="shared" ref="AM943:AM953" si="257">ROUND(L943*$AM$940,0)</f>
        <v>34</v>
      </c>
      <c r="AN943" s="159">
        <f t="shared" ref="AN943:AN953" si="258">ROUND(M943*$AN$940,0)</f>
        <v>40</v>
      </c>
      <c r="AO943" s="159">
        <f t="shared" ref="AO943:AO953" si="259">ROUND(N943*$AO$940,0)</f>
        <v>82</v>
      </c>
      <c r="AP943" s="159">
        <f t="shared" ref="AP943:AP953" si="260">ROUND(O943*$AP$940,0)</f>
        <v>12</v>
      </c>
      <c r="AQ943" s="159">
        <f t="shared" ref="AQ943:AQ953" si="261">ROUND(P943*$AQ$940,0)</f>
        <v>11</v>
      </c>
      <c r="AR943" s="159">
        <f t="shared" ref="AR943:AR953" si="262">ROUND(Q943*$AR$940,0)</f>
        <v>28</v>
      </c>
      <c r="AS943" s="374">
        <f t="shared" ref="AS943:AS953" si="263">SUM(AD943:AR943)</f>
        <v>4585</v>
      </c>
      <c r="AU943" s="380">
        <f t="shared" ref="AU943:AU955" si="264">AS943/R943</f>
        <v>4.2924286725352527E-2</v>
      </c>
    </row>
    <row r="944" spans="1:48" ht="15.75" customHeight="1" x14ac:dyDescent="0.3">
      <c r="A944" s="365" t="s">
        <v>10</v>
      </c>
      <c r="B944" s="159">
        <f t="shared" si="246"/>
        <v>129814</v>
      </c>
      <c r="C944" s="159">
        <f t="shared" si="232"/>
        <v>16516</v>
      </c>
      <c r="D944" s="159">
        <f t="shared" si="233"/>
        <v>17294</v>
      </c>
      <c r="E944" s="159">
        <f t="shared" si="234"/>
        <v>28929</v>
      </c>
      <c r="F944" s="159">
        <f t="shared" si="247"/>
        <v>4423.9736432095578</v>
      </c>
      <c r="G944" s="159">
        <f t="shared" si="235"/>
        <v>-32.851695553880923</v>
      </c>
      <c r="H944" s="159">
        <f t="shared" si="236"/>
        <v>8482</v>
      </c>
      <c r="I944" s="159">
        <f t="shared" si="237"/>
        <v>5347</v>
      </c>
      <c r="J944" s="159">
        <f t="shared" si="238"/>
        <v>6787</v>
      </c>
      <c r="K944" s="159">
        <f t="shared" si="239"/>
        <v>6398</v>
      </c>
      <c r="L944" s="159">
        <f t="shared" si="240"/>
        <v>2013</v>
      </c>
      <c r="M944" s="159">
        <f t="shared" si="241"/>
        <v>2373</v>
      </c>
      <c r="N944" s="159">
        <f t="shared" si="242"/>
        <v>4798</v>
      </c>
      <c r="O944" s="159">
        <f t="shared" si="243"/>
        <v>813</v>
      </c>
      <c r="P944" s="159">
        <f t="shared" si="244"/>
        <v>412</v>
      </c>
      <c r="Q944" s="159">
        <f t="shared" si="245"/>
        <v>1923</v>
      </c>
      <c r="R944" s="379">
        <f t="shared" ref="R944:R953" si="265">(SUM(B944:Q944))</f>
        <v>236290.12194765566</v>
      </c>
      <c r="S944" s="168"/>
      <c r="AC944" s="375" t="s">
        <v>10</v>
      </c>
      <c r="AD944" s="159">
        <f t="shared" si="248"/>
        <v>6101</v>
      </c>
      <c r="AE944" s="159">
        <f t="shared" si="249"/>
        <v>776</v>
      </c>
      <c r="AF944" s="159">
        <f t="shared" si="250"/>
        <v>813</v>
      </c>
      <c r="AG944" s="159">
        <f t="shared" si="251"/>
        <v>1360</v>
      </c>
      <c r="AH944" s="159">
        <f t="shared" si="252"/>
        <v>0</v>
      </c>
      <c r="AI944" s="159">
        <f t="shared" si="253"/>
        <v>254</v>
      </c>
      <c r="AJ944" s="159">
        <f t="shared" si="254"/>
        <v>160</v>
      </c>
      <c r="AK944" s="159">
        <f t="shared" si="255"/>
        <v>204</v>
      </c>
      <c r="AL944" s="159">
        <f t="shared" si="256"/>
        <v>192</v>
      </c>
      <c r="AM944" s="159">
        <f t="shared" si="257"/>
        <v>60</v>
      </c>
      <c r="AN944" s="159">
        <f t="shared" si="258"/>
        <v>71</v>
      </c>
      <c r="AO944" s="159">
        <f t="shared" si="259"/>
        <v>144</v>
      </c>
      <c r="AP944" s="159">
        <f t="shared" si="260"/>
        <v>24</v>
      </c>
      <c r="AQ944" s="159">
        <f t="shared" si="261"/>
        <v>12</v>
      </c>
      <c r="AR944" s="159">
        <f t="shared" si="262"/>
        <v>58</v>
      </c>
      <c r="AS944" s="374">
        <f t="shared" si="263"/>
        <v>10229</v>
      </c>
      <c r="AU944" s="380">
        <f t="shared" si="264"/>
        <v>4.3290002627642585E-2</v>
      </c>
    </row>
    <row r="945" spans="1:47" ht="15.75" customHeight="1" x14ac:dyDescent="0.3">
      <c r="A945" s="365" t="s">
        <v>12</v>
      </c>
      <c r="B945" s="159">
        <f t="shared" si="246"/>
        <v>153266</v>
      </c>
      <c r="C945" s="159">
        <f t="shared" si="232"/>
        <v>19494</v>
      </c>
      <c r="D945" s="159">
        <f t="shared" si="233"/>
        <v>20408</v>
      </c>
      <c r="E945" s="159">
        <f t="shared" si="234"/>
        <v>33759</v>
      </c>
      <c r="F945" s="159">
        <f t="shared" si="247"/>
        <v>2087.9180723168452</v>
      </c>
      <c r="G945" s="159">
        <f t="shared" si="235"/>
        <v>-0.94689544695969718</v>
      </c>
      <c r="H945" s="159">
        <f t="shared" si="236"/>
        <v>10388</v>
      </c>
      <c r="I945" s="159">
        <f t="shared" si="237"/>
        <v>6408</v>
      </c>
      <c r="J945" s="159">
        <f t="shared" si="238"/>
        <v>7437</v>
      </c>
      <c r="K945" s="159">
        <f t="shared" si="239"/>
        <v>6497</v>
      </c>
      <c r="L945" s="159">
        <f t="shared" si="240"/>
        <v>1951</v>
      </c>
      <c r="M945" s="159">
        <f t="shared" si="241"/>
        <v>2298</v>
      </c>
      <c r="N945" s="159">
        <f t="shared" si="242"/>
        <v>4611</v>
      </c>
      <c r="O945" s="159">
        <f t="shared" si="243"/>
        <v>757</v>
      </c>
      <c r="P945" s="159">
        <f t="shared" si="244"/>
        <v>1067</v>
      </c>
      <c r="Q945" s="159">
        <f t="shared" si="245"/>
        <v>1789</v>
      </c>
      <c r="R945" s="379">
        <f t="shared" si="265"/>
        <v>272216.97117686993</v>
      </c>
      <c r="S945" s="168"/>
      <c r="AC945" s="375" t="s">
        <v>12</v>
      </c>
      <c r="AD945" s="159">
        <f t="shared" si="248"/>
        <v>7204</v>
      </c>
      <c r="AE945" s="159">
        <f t="shared" si="249"/>
        <v>916</v>
      </c>
      <c r="AF945" s="159">
        <f t="shared" si="250"/>
        <v>959</v>
      </c>
      <c r="AG945" s="159">
        <f t="shared" si="251"/>
        <v>1587</v>
      </c>
      <c r="AH945" s="159">
        <f t="shared" si="252"/>
        <v>0</v>
      </c>
      <c r="AI945" s="159">
        <f t="shared" si="253"/>
        <v>312</v>
      </c>
      <c r="AJ945" s="159">
        <f t="shared" si="254"/>
        <v>192</v>
      </c>
      <c r="AK945" s="159">
        <f t="shared" si="255"/>
        <v>223</v>
      </c>
      <c r="AL945" s="159">
        <f t="shared" si="256"/>
        <v>195</v>
      </c>
      <c r="AM945" s="159">
        <f t="shared" si="257"/>
        <v>59</v>
      </c>
      <c r="AN945" s="159">
        <f t="shared" si="258"/>
        <v>69</v>
      </c>
      <c r="AO945" s="159">
        <f t="shared" si="259"/>
        <v>138</v>
      </c>
      <c r="AP945" s="159">
        <f t="shared" si="260"/>
        <v>23</v>
      </c>
      <c r="AQ945" s="159">
        <f t="shared" si="261"/>
        <v>32</v>
      </c>
      <c r="AR945" s="159">
        <f t="shared" si="262"/>
        <v>54</v>
      </c>
      <c r="AS945" s="374">
        <f t="shared" si="263"/>
        <v>11963</v>
      </c>
      <c r="AU945" s="380">
        <f t="shared" si="264"/>
        <v>4.3946561995310628E-2</v>
      </c>
    </row>
    <row r="946" spans="1:47" ht="15.75" customHeight="1" x14ac:dyDescent="0.3">
      <c r="A946" s="365" t="s">
        <v>13</v>
      </c>
      <c r="B946" s="159">
        <f t="shared" si="246"/>
        <v>168445</v>
      </c>
      <c r="C946" s="159">
        <f t="shared" si="232"/>
        <v>21422</v>
      </c>
      <c r="D946" s="159">
        <f t="shared" si="233"/>
        <v>22424</v>
      </c>
      <c r="E946" s="159">
        <f t="shared" si="234"/>
        <v>36973</v>
      </c>
      <c r="F946" s="159">
        <f t="shared" si="247"/>
        <v>5338.7204622176141</v>
      </c>
      <c r="G946" s="159">
        <f t="shared" si="235"/>
        <v>-230.21998492841021</v>
      </c>
      <c r="H946" s="159">
        <f t="shared" si="236"/>
        <v>10072</v>
      </c>
      <c r="I946" s="159">
        <f t="shared" si="237"/>
        <v>5612</v>
      </c>
      <c r="J946" s="159">
        <f t="shared" si="238"/>
        <v>7438</v>
      </c>
      <c r="K946" s="159">
        <f t="shared" si="239"/>
        <v>6217</v>
      </c>
      <c r="L946" s="159">
        <f t="shared" si="240"/>
        <v>1984</v>
      </c>
      <c r="M946" s="159">
        <f t="shared" si="241"/>
        <v>2336</v>
      </c>
      <c r="N946" s="159">
        <f t="shared" si="242"/>
        <v>4446</v>
      </c>
      <c r="O946" s="159">
        <f t="shared" si="243"/>
        <v>591</v>
      </c>
      <c r="P946" s="159">
        <f t="shared" si="244"/>
        <v>1814</v>
      </c>
      <c r="Q946" s="159">
        <f t="shared" si="245"/>
        <v>1397</v>
      </c>
      <c r="R946" s="379">
        <f t="shared" si="265"/>
        <v>296279.5004772892</v>
      </c>
      <c r="S946" s="168"/>
      <c r="AC946" s="375" t="s">
        <v>13</v>
      </c>
      <c r="AD946" s="159">
        <f t="shared" si="248"/>
        <v>7917</v>
      </c>
      <c r="AE946" s="159">
        <f t="shared" si="249"/>
        <v>1007</v>
      </c>
      <c r="AF946" s="159">
        <f t="shared" si="250"/>
        <v>1054</v>
      </c>
      <c r="AG946" s="159">
        <f t="shared" si="251"/>
        <v>1738</v>
      </c>
      <c r="AH946" s="159">
        <f t="shared" si="252"/>
        <v>0</v>
      </c>
      <c r="AI946" s="159">
        <f t="shared" si="253"/>
        <v>302</v>
      </c>
      <c r="AJ946" s="159">
        <f t="shared" si="254"/>
        <v>168</v>
      </c>
      <c r="AK946" s="159">
        <f t="shared" si="255"/>
        <v>223</v>
      </c>
      <c r="AL946" s="159">
        <f t="shared" si="256"/>
        <v>187</v>
      </c>
      <c r="AM946" s="159">
        <f t="shared" si="257"/>
        <v>60</v>
      </c>
      <c r="AN946" s="159">
        <f t="shared" si="258"/>
        <v>70</v>
      </c>
      <c r="AO946" s="159">
        <f t="shared" si="259"/>
        <v>133</v>
      </c>
      <c r="AP946" s="159">
        <f t="shared" si="260"/>
        <v>18</v>
      </c>
      <c r="AQ946" s="159">
        <f t="shared" si="261"/>
        <v>54</v>
      </c>
      <c r="AR946" s="159">
        <f t="shared" si="262"/>
        <v>42</v>
      </c>
      <c r="AS946" s="374">
        <f t="shared" si="263"/>
        <v>12973</v>
      </c>
      <c r="AU946" s="380">
        <f t="shared" si="264"/>
        <v>4.3786357068583026E-2</v>
      </c>
    </row>
    <row r="947" spans="1:47" ht="15.75" customHeight="1" x14ac:dyDescent="0.3">
      <c r="A947" s="365" t="s">
        <v>14</v>
      </c>
      <c r="B947" s="159">
        <f t="shared" si="246"/>
        <v>79192</v>
      </c>
      <c r="C947" s="159">
        <f t="shared" si="232"/>
        <v>10045</v>
      </c>
      <c r="D947" s="159">
        <f t="shared" si="233"/>
        <v>10488</v>
      </c>
      <c r="E947" s="159">
        <f t="shared" si="234"/>
        <v>16599</v>
      </c>
      <c r="F947" s="159">
        <f t="shared" si="247"/>
        <v>0</v>
      </c>
      <c r="G947" s="159">
        <f t="shared" si="235"/>
        <v>-15895.624114544094</v>
      </c>
      <c r="H947" s="159">
        <f t="shared" si="236"/>
        <v>13703</v>
      </c>
      <c r="I947" s="159">
        <f t="shared" si="237"/>
        <v>7927</v>
      </c>
      <c r="J947" s="159">
        <f t="shared" si="238"/>
        <v>7735</v>
      </c>
      <c r="K947" s="159">
        <f t="shared" si="239"/>
        <v>6505</v>
      </c>
      <c r="L947" s="159">
        <f t="shared" si="240"/>
        <v>2141</v>
      </c>
      <c r="M947" s="159">
        <f t="shared" si="241"/>
        <v>2521</v>
      </c>
      <c r="N947" s="159">
        <f t="shared" si="242"/>
        <v>5184</v>
      </c>
      <c r="O947" s="159">
        <f t="shared" si="243"/>
        <v>908</v>
      </c>
      <c r="P947" s="159">
        <f t="shared" si="244"/>
        <v>2267</v>
      </c>
      <c r="Q947" s="159">
        <f t="shared" si="245"/>
        <v>2147</v>
      </c>
      <c r="R947" s="379">
        <f>(SUM(B947:Q947))</f>
        <v>151466.3758854559</v>
      </c>
      <c r="S947" s="168"/>
      <c r="AC947" s="375" t="s">
        <v>14</v>
      </c>
      <c r="AD947" s="159">
        <f t="shared" si="248"/>
        <v>3722</v>
      </c>
      <c r="AE947" s="159">
        <f t="shared" si="249"/>
        <v>472</v>
      </c>
      <c r="AF947" s="159">
        <f t="shared" si="250"/>
        <v>493</v>
      </c>
      <c r="AG947" s="159">
        <f t="shared" si="251"/>
        <v>780</v>
      </c>
      <c r="AH947" s="159">
        <f t="shared" si="252"/>
        <v>0</v>
      </c>
      <c r="AI947" s="159">
        <f t="shared" si="253"/>
        <v>411</v>
      </c>
      <c r="AJ947" s="159">
        <f t="shared" si="254"/>
        <v>238</v>
      </c>
      <c r="AK947" s="159">
        <f t="shared" si="255"/>
        <v>232</v>
      </c>
      <c r="AL947" s="159">
        <f t="shared" si="256"/>
        <v>195</v>
      </c>
      <c r="AM947" s="159">
        <f t="shared" si="257"/>
        <v>64</v>
      </c>
      <c r="AN947" s="159">
        <f t="shared" si="258"/>
        <v>76</v>
      </c>
      <c r="AO947" s="159">
        <f t="shared" si="259"/>
        <v>156</v>
      </c>
      <c r="AP947" s="159">
        <f t="shared" si="260"/>
        <v>27</v>
      </c>
      <c r="AQ947" s="159">
        <f t="shared" si="261"/>
        <v>68</v>
      </c>
      <c r="AR947" s="159">
        <f t="shared" si="262"/>
        <v>64</v>
      </c>
      <c r="AS947" s="374">
        <f t="shared" si="263"/>
        <v>6998</v>
      </c>
      <c r="AU947" s="380">
        <f t="shared" si="264"/>
        <v>4.6201673203643094E-2</v>
      </c>
    </row>
    <row r="948" spans="1:47" ht="15.75" customHeight="1" x14ac:dyDescent="0.3">
      <c r="A948" s="365" t="s">
        <v>16</v>
      </c>
      <c r="B948" s="159">
        <f t="shared" si="246"/>
        <v>72154</v>
      </c>
      <c r="C948" s="159">
        <f t="shared" si="232"/>
        <v>9148</v>
      </c>
      <c r="D948" s="159">
        <f t="shared" si="233"/>
        <v>9547</v>
      </c>
      <c r="E948" s="159">
        <f t="shared" si="234"/>
        <v>15036</v>
      </c>
      <c r="F948" s="159">
        <f t="shared" si="247"/>
        <v>0</v>
      </c>
      <c r="G948" s="159">
        <f t="shared" si="235"/>
        <v>-12136.795650781502</v>
      </c>
      <c r="H948" s="159">
        <f t="shared" si="236"/>
        <v>10952</v>
      </c>
      <c r="I948" s="159">
        <f t="shared" si="237"/>
        <v>8341</v>
      </c>
      <c r="J948" s="159">
        <f t="shared" si="238"/>
        <v>7971</v>
      </c>
      <c r="K948" s="159">
        <f t="shared" si="239"/>
        <v>6437</v>
      </c>
      <c r="L948" s="159">
        <f t="shared" si="240"/>
        <v>2172</v>
      </c>
      <c r="M948" s="159">
        <f t="shared" si="241"/>
        <v>2558</v>
      </c>
      <c r="N948" s="159">
        <f t="shared" si="242"/>
        <v>5040</v>
      </c>
      <c r="O948" s="159">
        <f t="shared" si="243"/>
        <v>761</v>
      </c>
      <c r="P948" s="159">
        <f t="shared" si="244"/>
        <v>1888</v>
      </c>
      <c r="Q948" s="159">
        <f t="shared" si="245"/>
        <v>1800</v>
      </c>
      <c r="R948" s="379">
        <f t="shared" si="265"/>
        <v>141668.20434921852</v>
      </c>
      <c r="S948" s="168"/>
      <c r="AC948" s="375" t="s">
        <v>16</v>
      </c>
      <c r="AD948" s="159">
        <f t="shared" si="248"/>
        <v>3391</v>
      </c>
      <c r="AE948" s="159">
        <f t="shared" si="249"/>
        <v>430</v>
      </c>
      <c r="AF948" s="159">
        <f t="shared" si="250"/>
        <v>449</v>
      </c>
      <c r="AG948" s="159">
        <f t="shared" si="251"/>
        <v>707</v>
      </c>
      <c r="AH948" s="159">
        <f t="shared" si="252"/>
        <v>0</v>
      </c>
      <c r="AI948" s="159">
        <f t="shared" si="253"/>
        <v>329</v>
      </c>
      <c r="AJ948" s="159">
        <f t="shared" si="254"/>
        <v>250</v>
      </c>
      <c r="AK948" s="159">
        <f t="shared" si="255"/>
        <v>239</v>
      </c>
      <c r="AL948" s="159">
        <f t="shared" si="256"/>
        <v>193</v>
      </c>
      <c r="AM948" s="159">
        <f t="shared" si="257"/>
        <v>65</v>
      </c>
      <c r="AN948" s="159">
        <f t="shared" si="258"/>
        <v>77</v>
      </c>
      <c r="AO948" s="159">
        <f t="shared" si="259"/>
        <v>151</v>
      </c>
      <c r="AP948" s="159">
        <f t="shared" si="260"/>
        <v>23</v>
      </c>
      <c r="AQ948" s="159">
        <f t="shared" si="261"/>
        <v>57</v>
      </c>
      <c r="AR948" s="159">
        <f t="shared" si="262"/>
        <v>54</v>
      </c>
      <c r="AS948" s="374">
        <f t="shared" si="263"/>
        <v>6415</v>
      </c>
      <c r="AU948" s="380">
        <f t="shared" si="264"/>
        <v>4.5281861441447621E-2</v>
      </c>
    </row>
    <row r="949" spans="1:47" ht="15.75" customHeight="1" x14ac:dyDescent="0.3">
      <c r="A949" s="365" t="s">
        <v>17</v>
      </c>
      <c r="B949" s="159">
        <f t="shared" si="246"/>
        <v>69091</v>
      </c>
      <c r="C949" s="159">
        <f t="shared" si="232"/>
        <v>8767</v>
      </c>
      <c r="D949" s="159">
        <f t="shared" si="233"/>
        <v>9158</v>
      </c>
      <c r="E949" s="159">
        <f t="shared" si="234"/>
        <v>14437</v>
      </c>
      <c r="F949" s="159">
        <f t="shared" si="247"/>
        <v>0</v>
      </c>
      <c r="G949" s="159">
        <f t="shared" si="235"/>
        <v>-9944.4195556750456</v>
      </c>
      <c r="H949" s="159">
        <f t="shared" si="236"/>
        <v>10833</v>
      </c>
      <c r="I949" s="159">
        <f t="shared" si="237"/>
        <v>7518</v>
      </c>
      <c r="J949" s="159">
        <f t="shared" si="238"/>
        <v>8146</v>
      </c>
      <c r="K949" s="159">
        <f t="shared" si="239"/>
        <v>6775</v>
      </c>
      <c r="L949" s="159">
        <f t="shared" si="240"/>
        <v>2168</v>
      </c>
      <c r="M949" s="159">
        <f t="shared" si="241"/>
        <v>2554</v>
      </c>
      <c r="N949" s="159">
        <f t="shared" si="242"/>
        <v>5195</v>
      </c>
      <c r="O949" s="159">
        <f t="shared" si="243"/>
        <v>711</v>
      </c>
      <c r="P949" s="159">
        <f t="shared" si="244"/>
        <v>1781</v>
      </c>
      <c r="Q949" s="159">
        <f t="shared" si="245"/>
        <v>1682</v>
      </c>
      <c r="R949" s="379">
        <f t="shared" si="265"/>
        <v>138871.58044432494</v>
      </c>
      <c r="S949" s="168"/>
      <c r="AC949" s="375" t="s">
        <v>17</v>
      </c>
      <c r="AD949" s="159">
        <f t="shared" si="248"/>
        <v>3247</v>
      </c>
      <c r="AE949" s="159">
        <f t="shared" si="249"/>
        <v>412</v>
      </c>
      <c r="AF949" s="159">
        <f t="shared" si="250"/>
        <v>430</v>
      </c>
      <c r="AG949" s="159">
        <f t="shared" si="251"/>
        <v>679</v>
      </c>
      <c r="AH949" s="159">
        <f t="shared" si="252"/>
        <v>0</v>
      </c>
      <c r="AI949" s="159">
        <f t="shared" si="253"/>
        <v>325</v>
      </c>
      <c r="AJ949" s="159">
        <f t="shared" si="254"/>
        <v>226</v>
      </c>
      <c r="AK949" s="159">
        <f t="shared" si="255"/>
        <v>244</v>
      </c>
      <c r="AL949" s="159">
        <f t="shared" si="256"/>
        <v>203</v>
      </c>
      <c r="AM949" s="159">
        <f t="shared" si="257"/>
        <v>65</v>
      </c>
      <c r="AN949" s="159">
        <f t="shared" si="258"/>
        <v>77</v>
      </c>
      <c r="AO949" s="159">
        <f t="shared" si="259"/>
        <v>156</v>
      </c>
      <c r="AP949" s="159">
        <f t="shared" si="260"/>
        <v>21</v>
      </c>
      <c r="AQ949" s="159">
        <f t="shared" si="261"/>
        <v>53</v>
      </c>
      <c r="AR949" s="159">
        <f t="shared" si="262"/>
        <v>50</v>
      </c>
      <c r="AS949" s="374">
        <f t="shared" si="263"/>
        <v>6188</v>
      </c>
      <c r="AU949" s="380">
        <f t="shared" si="264"/>
        <v>4.4559152997332194E-2</v>
      </c>
    </row>
    <row r="950" spans="1:47" ht="15.75" customHeight="1" x14ac:dyDescent="0.3">
      <c r="A950" s="365" t="s">
        <v>18</v>
      </c>
      <c r="B950" s="159">
        <f t="shared" si="246"/>
        <v>127012</v>
      </c>
      <c r="C950" s="159">
        <f t="shared" si="232"/>
        <v>16153</v>
      </c>
      <c r="D950" s="159">
        <f t="shared" si="233"/>
        <v>16909</v>
      </c>
      <c r="E950" s="159">
        <f t="shared" si="234"/>
        <v>27914</v>
      </c>
      <c r="F950" s="159">
        <f t="shared" si="247"/>
        <v>1657.8082575954311</v>
      </c>
      <c r="G950" s="159">
        <f t="shared" si="235"/>
        <v>-1421.8911228334584</v>
      </c>
      <c r="H950" s="159">
        <f t="shared" si="236"/>
        <v>8405</v>
      </c>
      <c r="I950" s="159">
        <f t="shared" si="237"/>
        <v>5410</v>
      </c>
      <c r="J950" s="159">
        <f t="shared" si="238"/>
        <v>6862</v>
      </c>
      <c r="K950" s="159">
        <f t="shared" si="239"/>
        <v>6130</v>
      </c>
      <c r="L950" s="159">
        <f t="shared" si="240"/>
        <v>1909</v>
      </c>
      <c r="M950" s="159">
        <f t="shared" si="241"/>
        <v>2249</v>
      </c>
      <c r="N950" s="159">
        <f t="shared" si="242"/>
        <v>4456</v>
      </c>
      <c r="O950" s="159">
        <f t="shared" si="243"/>
        <v>672</v>
      </c>
      <c r="P950" s="159">
        <f t="shared" si="244"/>
        <v>1709</v>
      </c>
      <c r="Q950" s="159">
        <f t="shared" si="245"/>
        <v>1567</v>
      </c>
      <c r="R950" s="379">
        <f t="shared" si="265"/>
        <v>227592.91713476198</v>
      </c>
      <c r="S950" s="168"/>
      <c r="AC950" s="375" t="s">
        <v>18</v>
      </c>
      <c r="AD950" s="159">
        <f t="shared" si="248"/>
        <v>5970</v>
      </c>
      <c r="AE950" s="159">
        <f t="shared" si="249"/>
        <v>759</v>
      </c>
      <c r="AF950" s="159">
        <f t="shared" si="250"/>
        <v>795</v>
      </c>
      <c r="AG950" s="159">
        <f t="shared" si="251"/>
        <v>1312</v>
      </c>
      <c r="AH950" s="159">
        <f t="shared" si="252"/>
        <v>0</v>
      </c>
      <c r="AI950" s="159">
        <f t="shared" si="253"/>
        <v>252</v>
      </c>
      <c r="AJ950" s="159">
        <f t="shared" si="254"/>
        <v>162</v>
      </c>
      <c r="AK950" s="159">
        <f t="shared" si="255"/>
        <v>206</v>
      </c>
      <c r="AL950" s="159">
        <f t="shared" si="256"/>
        <v>184</v>
      </c>
      <c r="AM950" s="159">
        <f t="shared" si="257"/>
        <v>57</v>
      </c>
      <c r="AN950" s="159">
        <f t="shared" si="258"/>
        <v>67</v>
      </c>
      <c r="AO950" s="159">
        <f t="shared" si="259"/>
        <v>134</v>
      </c>
      <c r="AP950" s="159">
        <f t="shared" si="260"/>
        <v>20</v>
      </c>
      <c r="AQ950" s="159">
        <f t="shared" si="261"/>
        <v>51</v>
      </c>
      <c r="AR950" s="159">
        <f t="shared" si="262"/>
        <v>47</v>
      </c>
      <c r="AS950" s="374">
        <f t="shared" si="263"/>
        <v>10016</v>
      </c>
      <c r="AU950" s="380">
        <f t="shared" si="264"/>
        <v>4.4008399409324946E-2</v>
      </c>
    </row>
    <row r="951" spans="1:47" ht="15.75" customHeight="1" x14ac:dyDescent="0.3">
      <c r="A951" s="365" t="s">
        <v>20</v>
      </c>
      <c r="B951" s="159">
        <f t="shared" si="246"/>
        <v>124009</v>
      </c>
      <c r="C951" s="159">
        <f t="shared" si="232"/>
        <v>15774</v>
      </c>
      <c r="D951" s="159">
        <f t="shared" si="233"/>
        <v>16515</v>
      </c>
      <c r="E951" s="159">
        <f t="shared" si="234"/>
        <v>27515</v>
      </c>
      <c r="F951" s="159">
        <f t="shared" si="247"/>
        <v>7995.1693586081419</v>
      </c>
      <c r="G951" s="159">
        <f t="shared" si="235"/>
        <v>0</v>
      </c>
      <c r="H951" s="159">
        <f t="shared" si="236"/>
        <v>4324</v>
      </c>
      <c r="I951" s="159">
        <f t="shared" si="237"/>
        <v>2039</v>
      </c>
      <c r="J951" s="159">
        <f t="shared" si="238"/>
        <v>2717</v>
      </c>
      <c r="K951" s="159">
        <f t="shared" si="239"/>
        <v>2527</v>
      </c>
      <c r="L951" s="159">
        <f t="shared" si="240"/>
        <v>708</v>
      </c>
      <c r="M951" s="159">
        <f t="shared" si="241"/>
        <v>832</v>
      </c>
      <c r="N951" s="159">
        <f t="shared" si="242"/>
        <v>1535</v>
      </c>
      <c r="O951" s="159">
        <f t="shared" si="243"/>
        <v>641</v>
      </c>
      <c r="P951" s="159">
        <f t="shared" si="244"/>
        <v>1615</v>
      </c>
      <c r="Q951" s="159">
        <f t="shared" si="245"/>
        <v>1516</v>
      </c>
      <c r="R951" s="379">
        <f t="shared" si="265"/>
        <v>210262.16935860814</v>
      </c>
      <c r="S951" s="168"/>
      <c r="AC951" s="375" t="s">
        <v>20</v>
      </c>
      <c r="AD951" s="159">
        <f t="shared" si="248"/>
        <v>5828</v>
      </c>
      <c r="AE951" s="159">
        <f t="shared" si="249"/>
        <v>741</v>
      </c>
      <c r="AF951" s="159">
        <f t="shared" si="250"/>
        <v>776</v>
      </c>
      <c r="AG951" s="159">
        <f t="shared" si="251"/>
        <v>1293</v>
      </c>
      <c r="AH951" s="159">
        <f t="shared" si="252"/>
        <v>0</v>
      </c>
      <c r="AI951" s="159">
        <f t="shared" si="253"/>
        <v>130</v>
      </c>
      <c r="AJ951" s="159">
        <f t="shared" si="254"/>
        <v>61</v>
      </c>
      <c r="AK951" s="159">
        <f t="shared" si="255"/>
        <v>82</v>
      </c>
      <c r="AL951" s="159">
        <f t="shared" si="256"/>
        <v>76</v>
      </c>
      <c r="AM951" s="159">
        <f t="shared" si="257"/>
        <v>21</v>
      </c>
      <c r="AN951" s="159">
        <f t="shared" si="258"/>
        <v>25</v>
      </c>
      <c r="AO951" s="159">
        <f t="shared" si="259"/>
        <v>46</v>
      </c>
      <c r="AP951" s="159">
        <f t="shared" si="260"/>
        <v>19</v>
      </c>
      <c r="AQ951" s="159">
        <f t="shared" si="261"/>
        <v>48</v>
      </c>
      <c r="AR951" s="159">
        <f t="shared" si="262"/>
        <v>45</v>
      </c>
      <c r="AS951" s="374">
        <f t="shared" si="263"/>
        <v>9191</v>
      </c>
      <c r="AU951" s="380">
        <f t="shared" si="264"/>
        <v>4.3712095371395539E-2</v>
      </c>
    </row>
    <row r="952" spans="1:47" ht="15.75" customHeight="1" x14ac:dyDescent="0.3">
      <c r="A952" s="365" t="s">
        <v>21</v>
      </c>
      <c r="B952" s="159">
        <f t="shared" si="246"/>
        <v>121521</v>
      </c>
      <c r="C952" s="159">
        <f t="shared" si="232"/>
        <v>15463</v>
      </c>
      <c r="D952" s="159">
        <f t="shared" si="233"/>
        <v>16195</v>
      </c>
      <c r="E952" s="159">
        <f t="shared" si="234"/>
        <v>27271</v>
      </c>
      <c r="F952" s="159">
        <f t="shared" si="247"/>
        <v>12552.522604518306</v>
      </c>
      <c r="G952" s="159">
        <f t="shared" si="235"/>
        <v>0</v>
      </c>
      <c r="H952" s="159">
        <f t="shared" si="236"/>
        <v>2460</v>
      </c>
      <c r="I952" s="159">
        <f t="shared" si="237"/>
        <v>642</v>
      </c>
      <c r="J952" s="159">
        <f t="shared" si="238"/>
        <v>890</v>
      </c>
      <c r="K952" s="159">
        <f t="shared" si="239"/>
        <v>801</v>
      </c>
      <c r="L952" s="159">
        <f t="shared" si="240"/>
        <v>139</v>
      </c>
      <c r="M952" s="159">
        <f t="shared" si="241"/>
        <v>162</v>
      </c>
      <c r="N952" s="159">
        <f t="shared" si="242"/>
        <v>315</v>
      </c>
      <c r="O952" s="159">
        <f t="shared" si="243"/>
        <v>198</v>
      </c>
      <c r="P952" s="159">
        <f t="shared" si="244"/>
        <v>803</v>
      </c>
      <c r="Q952" s="159">
        <f t="shared" si="245"/>
        <v>468</v>
      </c>
      <c r="R952" s="379">
        <f t="shared" si="265"/>
        <v>199880.52260451831</v>
      </c>
      <c r="S952" s="168"/>
      <c r="AC952" s="375" t="s">
        <v>21</v>
      </c>
      <c r="AD952" s="159">
        <f t="shared" si="248"/>
        <v>5711</v>
      </c>
      <c r="AE952" s="159">
        <f t="shared" si="249"/>
        <v>727</v>
      </c>
      <c r="AF952" s="159">
        <f t="shared" si="250"/>
        <v>761</v>
      </c>
      <c r="AG952" s="159">
        <f t="shared" si="251"/>
        <v>1282</v>
      </c>
      <c r="AH952" s="159">
        <f t="shared" si="252"/>
        <v>0</v>
      </c>
      <c r="AI952" s="159">
        <f t="shared" si="253"/>
        <v>74</v>
      </c>
      <c r="AJ952" s="159">
        <f t="shared" si="254"/>
        <v>19</v>
      </c>
      <c r="AK952" s="159">
        <f t="shared" si="255"/>
        <v>27</v>
      </c>
      <c r="AL952" s="159">
        <f t="shared" si="256"/>
        <v>24</v>
      </c>
      <c r="AM952" s="159">
        <f t="shared" si="257"/>
        <v>4</v>
      </c>
      <c r="AN952" s="159">
        <f t="shared" si="258"/>
        <v>5</v>
      </c>
      <c r="AO952" s="159">
        <f t="shared" si="259"/>
        <v>9</v>
      </c>
      <c r="AP952" s="159">
        <f t="shared" si="260"/>
        <v>6</v>
      </c>
      <c r="AQ952" s="159">
        <f t="shared" si="261"/>
        <v>24</v>
      </c>
      <c r="AR952" s="159">
        <f t="shared" si="262"/>
        <v>14</v>
      </c>
      <c r="AS952" s="374">
        <f t="shared" si="263"/>
        <v>8687</v>
      </c>
      <c r="AU952" s="380">
        <f t="shared" si="264"/>
        <v>4.3460963013329794E-2</v>
      </c>
    </row>
    <row r="953" spans="1:47" ht="15.75" customHeight="1" x14ac:dyDescent="0.3">
      <c r="A953" s="365" t="s">
        <v>22</v>
      </c>
      <c r="B953" s="159">
        <f t="shared" si="246"/>
        <v>135290</v>
      </c>
      <c r="C953" s="159">
        <f t="shared" si="232"/>
        <v>17224</v>
      </c>
      <c r="D953" s="159">
        <f t="shared" si="233"/>
        <v>18049</v>
      </c>
      <c r="E953" s="159">
        <f t="shared" si="234"/>
        <v>30277</v>
      </c>
      <c r="F953" s="159">
        <f t="shared" si="247"/>
        <v>13844.282442470736</v>
      </c>
      <c r="G953" s="159">
        <f t="shared" si="235"/>
        <v>-9.8083964350448287</v>
      </c>
      <c r="H953" s="159">
        <f t="shared" si="236"/>
        <v>3738</v>
      </c>
      <c r="I953" s="159">
        <f t="shared" si="237"/>
        <v>2029</v>
      </c>
      <c r="J953" s="159">
        <f t="shared" si="238"/>
        <v>2871</v>
      </c>
      <c r="K953" s="159">
        <f t="shared" si="239"/>
        <v>2940</v>
      </c>
      <c r="L953" s="159">
        <f t="shared" si="240"/>
        <v>713</v>
      </c>
      <c r="M953" s="159">
        <f t="shared" si="241"/>
        <v>840</v>
      </c>
      <c r="N953" s="159">
        <f t="shared" si="242"/>
        <v>1777</v>
      </c>
      <c r="O953" s="159">
        <f t="shared" si="243"/>
        <v>555</v>
      </c>
      <c r="P953" s="159">
        <f t="shared" si="244"/>
        <v>1141</v>
      </c>
      <c r="Q953" s="159">
        <f t="shared" si="245"/>
        <v>1313</v>
      </c>
      <c r="R953" s="379">
        <f t="shared" si="265"/>
        <v>232591.47404603567</v>
      </c>
      <c r="S953" s="168"/>
      <c r="AC953" s="375" t="s">
        <v>22</v>
      </c>
      <c r="AD953" s="159">
        <f t="shared" si="248"/>
        <v>6359</v>
      </c>
      <c r="AE953" s="159">
        <f t="shared" si="249"/>
        <v>810</v>
      </c>
      <c r="AF953" s="159">
        <f t="shared" si="250"/>
        <v>848</v>
      </c>
      <c r="AG953" s="159">
        <f t="shared" si="251"/>
        <v>1423</v>
      </c>
      <c r="AH953" s="159">
        <f t="shared" si="252"/>
        <v>0</v>
      </c>
      <c r="AI953" s="159">
        <f t="shared" si="253"/>
        <v>112</v>
      </c>
      <c r="AJ953" s="159">
        <f t="shared" si="254"/>
        <v>61</v>
      </c>
      <c r="AK953" s="159">
        <f t="shared" si="255"/>
        <v>86</v>
      </c>
      <c r="AL953" s="159">
        <f t="shared" si="256"/>
        <v>88</v>
      </c>
      <c r="AM953" s="159">
        <f t="shared" si="257"/>
        <v>21</v>
      </c>
      <c r="AN953" s="159">
        <f t="shared" si="258"/>
        <v>25</v>
      </c>
      <c r="AO953" s="159">
        <f t="shared" si="259"/>
        <v>53</v>
      </c>
      <c r="AP953" s="159">
        <f t="shared" si="260"/>
        <v>17</v>
      </c>
      <c r="AQ953" s="159">
        <f t="shared" si="261"/>
        <v>34</v>
      </c>
      <c r="AR953" s="159">
        <f t="shared" si="262"/>
        <v>39</v>
      </c>
      <c r="AS953" s="374">
        <f t="shared" si="263"/>
        <v>9976</v>
      </c>
      <c r="AU953" s="380">
        <f t="shared" si="264"/>
        <v>4.2890652122637568E-2</v>
      </c>
    </row>
    <row r="954" spans="1:47" ht="15.75" customHeight="1" x14ac:dyDescent="0.3">
      <c r="A954" s="325"/>
      <c r="B954" s="159"/>
      <c r="C954" s="159"/>
      <c r="D954" s="159"/>
      <c r="E954" s="159"/>
      <c r="F954" s="159"/>
      <c r="G954" s="159"/>
      <c r="H954" s="159"/>
      <c r="I954" s="159"/>
      <c r="J954" s="159"/>
      <c r="K954" s="159"/>
      <c r="L954" s="159"/>
      <c r="M954" s="159"/>
      <c r="N954" s="159"/>
      <c r="O954" s="159"/>
      <c r="P954" s="159"/>
      <c r="Q954" s="159"/>
      <c r="R954" s="374"/>
      <c r="S954" s="168"/>
      <c r="AC954" s="306"/>
      <c r="AD954" s="159"/>
      <c r="AE954" s="159"/>
      <c r="AF954" s="159"/>
      <c r="AG954" s="159"/>
      <c r="AH954" s="159"/>
      <c r="AI954" s="159"/>
      <c r="AJ954" s="159"/>
      <c r="AK954" s="159"/>
      <c r="AL954" s="159"/>
      <c r="AM954" s="159"/>
      <c r="AN954" s="159"/>
      <c r="AO954" s="159"/>
      <c r="AP954" s="159"/>
      <c r="AQ954" s="159"/>
      <c r="AR954" s="159"/>
      <c r="AS954" s="374"/>
    </row>
    <row r="955" spans="1:47" ht="15.75" customHeight="1" thickBot="1" x14ac:dyDescent="0.35">
      <c r="A955" s="325" t="s">
        <v>422</v>
      </c>
      <c r="B955" s="159">
        <f>SUM(B942:B953)</f>
        <v>1356595</v>
      </c>
      <c r="C955" s="159">
        <f t="shared" ref="C955:Q955" si="266">SUM(C942:C953)</f>
        <v>172515</v>
      </c>
      <c r="D955" s="159">
        <f t="shared" si="266"/>
        <v>180572</v>
      </c>
      <c r="E955" s="159">
        <f t="shared" si="266"/>
        <v>298746</v>
      </c>
      <c r="F955" s="159">
        <f t="shared" si="266"/>
        <v>69145.12491676287</v>
      </c>
      <c r="G955" s="159">
        <f t="shared" si="266"/>
        <v>-41427.945619522339</v>
      </c>
      <c r="H955" s="159">
        <f t="shared" si="266"/>
        <v>89000</v>
      </c>
      <c r="I955" s="159">
        <f t="shared" si="266"/>
        <v>55864</v>
      </c>
      <c r="J955" s="159">
        <f t="shared" si="266"/>
        <v>66005</v>
      </c>
      <c r="K955" s="159">
        <f t="shared" si="266"/>
        <v>58583</v>
      </c>
      <c r="L955" s="159">
        <f t="shared" si="266"/>
        <v>18484</v>
      </c>
      <c r="M955" s="159">
        <f t="shared" si="266"/>
        <v>21770</v>
      </c>
      <c r="N955" s="159">
        <f t="shared" si="266"/>
        <v>43609</v>
      </c>
      <c r="O955" s="159">
        <f t="shared" si="266"/>
        <v>7662</v>
      </c>
      <c r="P955" s="159">
        <f t="shared" si="266"/>
        <v>14951</v>
      </c>
      <c r="Q955" s="159">
        <f t="shared" si="266"/>
        <v>18098</v>
      </c>
      <c r="R955" s="381">
        <f>SUM(R942:R953)</f>
        <v>2430171.1792972405</v>
      </c>
      <c r="S955" s="168"/>
      <c r="AC955" s="382" t="s">
        <v>422</v>
      </c>
      <c r="AD955" s="327">
        <f>SUM(AD942:AD953)</f>
        <v>63760</v>
      </c>
      <c r="AE955" s="327">
        <f t="shared" ref="AE955:AS955" si="267">SUM(AE942:AE953)</f>
        <v>8108</v>
      </c>
      <c r="AF955" s="327">
        <f t="shared" si="267"/>
        <v>8486</v>
      </c>
      <c r="AG955" s="327">
        <f t="shared" si="267"/>
        <v>14043</v>
      </c>
      <c r="AH955" s="327">
        <f t="shared" si="267"/>
        <v>0</v>
      </c>
      <c r="AI955" s="327">
        <f t="shared" si="267"/>
        <v>2670</v>
      </c>
      <c r="AJ955" s="327">
        <f t="shared" si="267"/>
        <v>1674</v>
      </c>
      <c r="AK955" s="327">
        <f t="shared" si="267"/>
        <v>1980</v>
      </c>
      <c r="AL955" s="327">
        <f t="shared" si="267"/>
        <v>1758</v>
      </c>
      <c r="AM955" s="327">
        <f t="shared" si="267"/>
        <v>553</v>
      </c>
      <c r="AN955" s="327">
        <f t="shared" si="267"/>
        <v>653</v>
      </c>
      <c r="AO955" s="327">
        <f t="shared" si="267"/>
        <v>1308</v>
      </c>
      <c r="AP955" s="327">
        <f t="shared" si="267"/>
        <v>230</v>
      </c>
      <c r="AQ955" s="327">
        <f t="shared" si="267"/>
        <v>446</v>
      </c>
      <c r="AR955" s="327">
        <f t="shared" si="267"/>
        <v>542</v>
      </c>
      <c r="AS955" s="383">
        <f t="shared" si="267"/>
        <v>106211</v>
      </c>
      <c r="AU955" s="380">
        <f t="shared" si="264"/>
        <v>4.3705151680185017E-2</v>
      </c>
    </row>
    <row r="956" spans="1:47" ht="16.5" customHeight="1" thickBot="1" x14ac:dyDescent="0.35">
      <c r="A956" s="330" t="s">
        <v>7</v>
      </c>
      <c r="B956" s="327"/>
      <c r="C956" s="327"/>
      <c r="D956" s="327"/>
      <c r="E956" s="327"/>
      <c r="F956" s="327"/>
      <c r="G956" s="327"/>
      <c r="H956" s="327"/>
      <c r="I956" s="327"/>
      <c r="J956" s="327"/>
      <c r="K956" s="327"/>
      <c r="L956" s="327"/>
      <c r="M956" s="327"/>
      <c r="N956" s="327"/>
      <c r="O956" s="327"/>
      <c r="P956" s="327"/>
      <c r="Q956" s="327"/>
      <c r="R956" s="383"/>
      <c r="S956" s="159"/>
    </row>
    <row r="957" spans="1:47" ht="15.75" customHeight="1" x14ac:dyDescent="0.3">
      <c r="A957" s="159"/>
      <c r="B957" s="159"/>
      <c r="C957" s="159"/>
      <c r="D957" s="159"/>
      <c r="E957" s="159"/>
      <c r="F957" s="159"/>
      <c r="G957" s="159"/>
      <c r="H957" s="159"/>
      <c r="I957" s="159"/>
      <c r="J957" s="159"/>
      <c r="K957" s="159"/>
      <c r="L957" s="159"/>
      <c r="M957" s="159"/>
      <c r="N957" s="159"/>
      <c r="O957" s="159"/>
      <c r="P957" s="159"/>
      <c r="Q957" s="159"/>
      <c r="R957" s="159"/>
    </row>
    <row r="958" spans="1:47" ht="15.75" customHeight="1" x14ac:dyDescent="0.3"/>
    <row r="959" spans="1:47" ht="15.75" customHeight="1" thickBot="1" x14ac:dyDescent="0.35"/>
    <row r="960" spans="1:47" ht="15.75" customHeight="1" thickBot="1" x14ac:dyDescent="0.35">
      <c r="B960" s="519" t="s">
        <v>1038</v>
      </c>
      <c r="C960" s="506"/>
      <c r="D960" s="506"/>
      <c r="E960" s="506"/>
      <c r="F960" s="506"/>
      <c r="G960" s="506"/>
      <c r="H960" s="506"/>
      <c r="I960" s="506"/>
      <c r="J960" s="506"/>
      <c r="K960" s="506"/>
      <c r="L960" s="506"/>
      <c r="M960" s="506"/>
      <c r="N960" s="506"/>
      <c r="O960" s="506"/>
      <c r="P960" s="506"/>
      <c r="Q960" s="361" t="str">
        <f>+Q1</f>
        <v xml:space="preserve">PRINTED:  </v>
      </c>
      <c r="R960" s="367">
        <f ca="1">+R1</f>
        <v>44909.46975358796</v>
      </c>
      <c r="S960" s="319"/>
      <c r="T960" s="368"/>
      <c r="U960" s="368"/>
      <c r="V960" s="332"/>
    </row>
    <row r="961" spans="1:45" ht="15.75" customHeight="1" x14ac:dyDescent="0.3">
      <c r="B961" s="520">
        <f>+A5</f>
        <v>2017</v>
      </c>
      <c r="C961" s="509"/>
      <c r="D961" s="509"/>
      <c r="E961" s="509"/>
      <c r="F961" s="509"/>
      <c r="G961" s="509"/>
      <c r="H961" s="509"/>
      <c r="I961" s="509"/>
      <c r="J961" s="509"/>
      <c r="K961" s="509"/>
      <c r="L961" s="509"/>
      <c r="M961" s="509"/>
      <c r="N961" s="509"/>
      <c r="O961" s="509"/>
      <c r="P961" s="509"/>
      <c r="Q961" s="159"/>
      <c r="R961" s="159"/>
      <c r="S961" s="159"/>
      <c r="V961" s="307"/>
      <c r="AC961" s="370"/>
      <c r="AD961" s="506" t="s">
        <v>1039</v>
      </c>
      <c r="AE961" s="517"/>
      <c r="AF961" s="517"/>
      <c r="AG961" s="517"/>
      <c r="AH961" s="517"/>
      <c r="AI961" s="517"/>
      <c r="AJ961" s="517"/>
      <c r="AK961" s="517"/>
      <c r="AL961" s="517"/>
      <c r="AM961" s="517"/>
      <c r="AN961" s="517"/>
      <c r="AO961" s="517"/>
      <c r="AP961" s="517"/>
      <c r="AQ961" s="517"/>
      <c r="AR961" s="361" t="str">
        <f>$Q$1</f>
        <v xml:space="preserve">PRINTED:  </v>
      </c>
      <c r="AS961" s="371">
        <f ca="1">$R$1</f>
        <v>44909.46975358796</v>
      </c>
    </row>
    <row r="962" spans="1:45" ht="15.75" customHeight="1" x14ac:dyDescent="0.3">
      <c r="B962" s="518" t="str">
        <f>+A8</f>
        <v>Revised:  1/18/2018</v>
      </c>
      <c r="C962" s="503"/>
      <c r="D962" s="503"/>
      <c r="E962" s="503"/>
      <c r="F962" s="503"/>
      <c r="G962" s="503"/>
      <c r="H962" s="503"/>
      <c r="I962" s="503"/>
      <c r="J962" s="503"/>
      <c r="K962" s="503"/>
      <c r="L962" s="503"/>
      <c r="M962" s="503"/>
      <c r="N962" s="503"/>
      <c r="O962" s="503"/>
      <c r="P962" s="503"/>
      <c r="Q962" s="159"/>
      <c r="R962" s="159"/>
      <c r="S962" s="159"/>
      <c r="V962" s="307"/>
      <c r="AC962" s="306"/>
      <c r="AD962" s="503" t="str">
        <f>+$A$8</f>
        <v>Revised:  1/18/2018</v>
      </c>
      <c r="AE962" s="516"/>
      <c r="AF962" s="516"/>
      <c r="AG962" s="516"/>
      <c r="AH962" s="516"/>
      <c r="AI962" s="516"/>
      <c r="AJ962" s="516"/>
      <c r="AK962" s="516"/>
      <c r="AL962" s="516"/>
      <c r="AM962" s="516"/>
      <c r="AN962" s="516"/>
      <c r="AO962" s="516"/>
      <c r="AP962" s="516"/>
      <c r="AQ962" s="516"/>
      <c r="AR962" s="365"/>
      <c r="AS962" s="307"/>
    </row>
    <row r="963" spans="1:45" ht="15.75" customHeight="1" thickBot="1" x14ac:dyDescent="0.35">
      <c r="B963" s="521" t="s">
        <v>1040</v>
      </c>
      <c r="C963" s="522"/>
      <c r="D963" s="522"/>
      <c r="E963" s="522"/>
      <c r="F963" s="522"/>
      <c r="G963" s="522"/>
      <c r="H963" s="522"/>
      <c r="I963" s="522"/>
      <c r="J963" s="522"/>
      <c r="K963" s="522"/>
      <c r="L963" s="522"/>
      <c r="M963" s="522"/>
      <c r="N963" s="522"/>
      <c r="O963" s="522"/>
      <c r="P963" s="522"/>
      <c r="Q963" s="159"/>
      <c r="R963" s="159"/>
      <c r="S963" s="327"/>
      <c r="V963" s="307"/>
      <c r="AC963" s="306"/>
      <c r="AD963" s="503" t="s">
        <v>1024</v>
      </c>
      <c r="AE963" s="508"/>
      <c r="AF963" s="508"/>
      <c r="AG963" s="508"/>
      <c r="AH963" s="508"/>
      <c r="AI963" s="508"/>
      <c r="AJ963" s="508"/>
      <c r="AK963" s="508"/>
      <c r="AL963" s="508"/>
      <c r="AM963" s="508"/>
      <c r="AN963" s="508"/>
      <c r="AO963" s="508"/>
      <c r="AP963" s="508"/>
      <c r="AQ963" s="508"/>
      <c r="AS963" s="307"/>
    </row>
    <row r="964" spans="1:45" ht="15.75" customHeight="1" thickBot="1" x14ac:dyDescent="0.35">
      <c r="A964" s="384"/>
      <c r="B964" s="523" t="s">
        <v>1041</v>
      </c>
      <c r="C964" s="524"/>
      <c r="D964" s="524"/>
      <c r="E964" s="524"/>
      <c r="F964" s="525"/>
      <c r="G964" s="523" t="s">
        <v>1042</v>
      </c>
      <c r="H964" s="524"/>
      <c r="I964" s="524"/>
      <c r="J964" s="524"/>
      <c r="K964" s="524"/>
      <c r="L964" s="524"/>
      <c r="M964" s="526" t="s">
        <v>1043</v>
      </c>
      <c r="N964" s="527"/>
      <c r="O964" s="527"/>
      <c r="P964" s="527"/>
      <c r="Q964" s="527"/>
      <c r="R964" s="528"/>
      <c r="S964" s="523" t="s">
        <v>1044</v>
      </c>
      <c r="T964" s="529"/>
      <c r="U964" s="530"/>
      <c r="V964" s="307"/>
      <c r="AC964" s="306"/>
      <c r="AS964" s="307"/>
    </row>
    <row r="965" spans="1:45" ht="15.75" customHeight="1" x14ac:dyDescent="0.3">
      <c r="A965" s="384"/>
      <c r="B965" s="325" t="s">
        <v>428</v>
      </c>
      <c r="C965" s="164"/>
      <c r="D965" s="164" t="s">
        <v>469</v>
      </c>
      <c r="E965" s="164" t="s">
        <v>470</v>
      </c>
      <c r="F965" s="333" t="s">
        <v>1045</v>
      </c>
      <c r="G965" s="325" t="s">
        <v>471</v>
      </c>
      <c r="H965" s="164"/>
      <c r="I965" s="164"/>
      <c r="J965" s="164" t="s">
        <v>472</v>
      </c>
      <c r="K965" s="164" t="s">
        <v>1046</v>
      </c>
      <c r="L965" s="164" t="s">
        <v>1047</v>
      </c>
      <c r="M965" s="531" t="s">
        <v>1048</v>
      </c>
      <c r="N965" s="532"/>
      <c r="O965" s="533"/>
      <c r="P965" s="385"/>
      <c r="Q965" s="386"/>
      <c r="R965" s="387"/>
      <c r="S965" s="164" t="s">
        <v>1049</v>
      </c>
      <c r="T965" s="388" t="s">
        <v>486</v>
      </c>
      <c r="U965" s="389" t="s">
        <v>1050</v>
      </c>
      <c r="V965" s="307"/>
      <c r="AC965" s="306"/>
      <c r="AD965" s="509">
        <f>$A$5</f>
        <v>2017</v>
      </c>
      <c r="AE965" s="508"/>
      <c r="AF965" s="508"/>
      <c r="AG965" s="508"/>
      <c r="AH965" s="508"/>
      <c r="AI965" s="508"/>
      <c r="AJ965" s="508"/>
      <c r="AK965" s="508"/>
      <c r="AL965" s="508"/>
      <c r="AM965" s="508"/>
      <c r="AN965" s="508"/>
      <c r="AO965" s="508"/>
      <c r="AP965" s="508"/>
      <c r="AQ965" s="508"/>
      <c r="AS965" s="307"/>
    </row>
    <row r="966" spans="1:45" ht="15.75" customHeight="1" x14ac:dyDescent="0.3">
      <c r="A966" s="384"/>
      <c r="B966" s="390" t="s">
        <v>1051</v>
      </c>
      <c r="C966" s="391" t="s">
        <v>1052</v>
      </c>
      <c r="D966" s="391" t="s">
        <v>1053</v>
      </c>
      <c r="E966" s="164" t="s">
        <v>442</v>
      </c>
      <c r="F966" s="392" t="s">
        <v>1054</v>
      </c>
      <c r="G966" s="325" t="s">
        <v>429</v>
      </c>
      <c r="H966" s="164" t="s">
        <v>478</v>
      </c>
      <c r="I966" s="164" t="s">
        <v>479</v>
      </c>
      <c r="J966" s="391" t="s">
        <v>1055</v>
      </c>
      <c r="K966" s="164" t="s">
        <v>1034</v>
      </c>
      <c r="L966" s="391" t="s">
        <v>1056</v>
      </c>
      <c r="M966" s="393" t="s">
        <v>1057</v>
      </c>
      <c r="N966" s="385" t="s">
        <v>1058</v>
      </c>
      <c r="O966" s="394" t="s">
        <v>422</v>
      </c>
      <c r="P966" s="385" t="s">
        <v>1059</v>
      </c>
      <c r="Q966" s="385" t="s">
        <v>1059</v>
      </c>
      <c r="R966" s="394" t="s">
        <v>1060</v>
      </c>
      <c r="S966" s="164" t="s">
        <v>1061</v>
      </c>
      <c r="T966" s="164" t="s">
        <v>1062</v>
      </c>
      <c r="U966" s="333" t="s">
        <v>1063</v>
      </c>
      <c r="V966" s="307"/>
      <c r="AC966" s="306"/>
      <c r="AD966" s="503" t="s">
        <v>1029</v>
      </c>
      <c r="AE966" s="516"/>
      <c r="AF966" s="516"/>
      <c r="AG966" s="516"/>
      <c r="AH966" s="516"/>
      <c r="AI966" s="516"/>
      <c r="AJ966" s="516"/>
      <c r="AK966" s="516"/>
      <c r="AL966" s="516"/>
      <c r="AM966" s="516"/>
      <c r="AN966" s="516"/>
      <c r="AO966" s="516"/>
      <c r="AP966" s="516"/>
      <c r="AQ966" s="516"/>
      <c r="AR966" s="164"/>
      <c r="AS966" s="307"/>
    </row>
    <row r="967" spans="1:45" ht="15.75" customHeight="1" x14ac:dyDescent="0.3">
      <c r="A967" s="384"/>
      <c r="B967" s="395" t="s">
        <v>1064</v>
      </c>
      <c r="C967" s="169">
        <v>0</v>
      </c>
      <c r="D967" s="169"/>
      <c r="E967" s="164" t="s">
        <v>485</v>
      </c>
      <c r="F967" s="396" t="s">
        <v>1065</v>
      </c>
      <c r="G967" s="325" t="s">
        <v>1066</v>
      </c>
      <c r="H967" s="164" t="s">
        <v>442</v>
      </c>
      <c r="I967" s="164" t="s">
        <v>442</v>
      </c>
      <c r="J967" s="164" t="s">
        <v>442</v>
      </c>
      <c r="K967" s="164" t="s">
        <v>486</v>
      </c>
      <c r="L967" s="164" t="s">
        <v>1067</v>
      </c>
      <c r="M967" s="397" t="s">
        <v>434</v>
      </c>
      <c r="N967" s="386" t="s">
        <v>1068</v>
      </c>
      <c r="O967" s="394" t="s">
        <v>1069</v>
      </c>
      <c r="P967" s="386" t="s">
        <v>1070</v>
      </c>
      <c r="Q967" s="385" t="s">
        <v>1070</v>
      </c>
      <c r="R967" s="394" t="s">
        <v>1069</v>
      </c>
      <c r="S967" s="164" t="s">
        <v>442</v>
      </c>
      <c r="T967" s="164" t="s">
        <v>442</v>
      </c>
      <c r="U967" s="333" t="s">
        <v>442</v>
      </c>
      <c r="V967" s="307"/>
      <c r="AC967" s="306"/>
      <c r="AK967" s="372"/>
      <c r="AS967" s="307"/>
    </row>
    <row r="968" spans="1:45" ht="15.75" customHeight="1" thickBot="1" x14ac:dyDescent="0.35">
      <c r="A968" s="377" t="s">
        <v>1071</v>
      </c>
      <c r="B968" s="325" t="s">
        <v>491</v>
      </c>
      <c r="C968" s="164" t="s">
        <v>491</v>
      </c>
      <c r="D968" s="164" t="s">
        <v>491</v>
      </c>
      <c r="E968" s="164" t="s">
        <v>491</v>
      </c>
      <c r="F968" s="333" t="s">
        <v>491</v>
      </c>
      <c r="G968" s="325" t="s">
        <v>491</v>
      </c>
      <c r="H968" s="164" t="s">
        <v>491</v>
      </c>
      <c r="I968" s="164" t="s">
        <v>491</v>
      </c>
      <c r="J968" s="164" t="s">
        <v>491</v>
      </c>
      <c r="K968" s="164" t="s">
        <v>491</v>
      </c>
      <c r="L968" s="164" t="s">
        <v>491</v>
      </c>
      <c r="M968" s="397" t="s">
        <v>491</v>
      </c>
      <c r="N968" s="386" t="s">
        <v>491</v>
      </c>
      <c r="O968" s="394" t="s">
        <v>491</v>
      </c>
      <c r="P968" s="386" t="s">
        <v>937</v>
      </c>
      <c r="Q968" s="385" t="s">
        <v>491</v>
      </c>
      <c r="R968" s="394" t="s">
        <v>491</v>
      </c>
      <c r="S968" s="164" t="s">
        <v>491</v>
      </c>
      <c r="T968" s="164" t="s">
        <v>491</v>
      </c>
      <c r="U968" s="333" t="s">
        <v>491</v>
      </c>
      <c r="V968" s="307"/>
      <c r="AC968" s="306"/>
      <c r="AD968" s="364" t="s">
        <v>390</v>
      </c>
      <c r="AE968" s="364" t="s">
        <v>391</v>
      </c>
      <c r="AF968" s="364" t="s">
        <v>392</v>
      </c>
      <c r="AG968" s="364" t="s">
        <v>393</v>
      </c>
      <c r="AH968" s="364" t="s">
        <v>394</v>
      </c>
      <c r="AI968" s="364" t="s">
        <v>395</v>
      </c>
      <c r="AJ968" s="364" t="s">
        <v>396</v>
      </c>
      <c r="AK968" s="364" t="s">
        <v>397</v>
      </c>
      <c r="AL968" s="364" t="s">
        <v>398</v>
      </c>
      <c r="AM968" s="364" t="s">
        <v>399</v>
      </c>
      <c r="AN968" s="364" t="s">
        <v>400</v>
      </c>
      <c r="AO968" s="364" t="s">
        <v>401</v>
      </c>
      <c r="AP968" s="364" t="s">
        <v>402</v>
      </c>
      <c r="AQ968" s="364" t="s">
        <v>403</v>
      </c>
      <c r="AR968" s="364" t="s">
        <v>404</v>
      </c>
      <c r="AS968" s="373" t="s">
        <v>422</v>
      </c>
    </row>
    <row r="969" spans="1:45" ht="15.75" customHeight="1" x14ac:dyDescent="0.3">
      <c r="A969" s="377" t="s">
        <v>409</v>
      </c>
      <c r="B969" s="325" t="s">
        <v>409</v>
      </c>
      <c r="C969" s="164" t="s">
        <v>409</v>
      </c>
      <c r="D969" s="164" t="s">
        <v>409</v>
      </c>
      <c r="E969" s="164" t="s">
        <v>493</v>
      </c>
      <c r="F969" s="333" t="s">
        <v>409</v>
      </c>
      <c r="G969" s="325" t="s">
        <v>409</v>
      </c>
      <c r="H969" s="164" t="s">
        <v>494</v>
      </c>
      <c r="I969" s="164" t="s">
        <v>494</v>
      </c>
      <c r="J969" s="164" t="s">
        <v>409</v>
      </c>
      <c r="K969" s="164" t="s">
        <v>409</v>
      </c>
      <c r="L969" s="164" t="s">
        <v>409</v>
      </c>
      <c r="M969" s="397" t="s">
        <v>409</v>
      </c>
      <c r="N969" s="386" t="s">
        <v>409</v>
      </c>
      <c r="O969" s="394" t="s">
        <v>409</v>
      </c>
      <c r="P969" s="397" t="s">
        <v>409</v>
      </c>
      <c r="Q969" s="386" t="s">
        <v>409</v>
      </c>
      <c r="R969" s="394" t="s">
        <v>409</v>
      </c>
      <c r="S969" s="164" t="s">
        <v>409</v>
      </c>
      <c r="T969" s="164" t="s">
        <v>409</v>
      </c>
      <c r="U969" s="333" t="s">
        <v>409</v>
      </c>
      <c r="V969" s="307"/>
      <c r="AC969" s="306"/>
      <c r="AD969" s="159"/>
      <c r="AE969" s="159"/>
      <c r="AF969" s="159"/>
      <c r="AG969" s="159"/>
      <c r="AH969" s="164" t="s">
        <v>1030</v>
      </c>
      <c r="AI969" s="159"/>
      <c r="AJ969" s="159"/>
      <c r="AK969" s="159"/>
      <c r="AL969" s="159"/>
      <c r="AM969" s="159"/>
      <c r="AN969" s="159"/>
      <c r="AO969" s="159"/>
      <c r="AP969" s="159"/>
      <c r="AQ969" s="159"/>
      <c r="AR969" s="159"/>
      <c r="AS969" s="374"/>
    </row>
    <row r="970" spans="1:45" ht="15.75" customHeight="1" x14ac:dyDescent="0.3">
      <c r="A970" s="365" t="s">
        <v>795</v>
      </c>
      <c r="B970" s="325">
        <f>ROUND(R942-G942,0)</f>
        <v>216778</v>
      </c>
      <c r="C970" s="164">
        <f>+ROUND(B970*$C$967,0)</f>
        <v>0</v>
      </c>
      <c r="D970" s="164">
        <f>AS942</f>
        <v>8990</v>
      </c>
      <c r="E970" s="164">
        <f>+B970+C970</f>
        <v>216778</v>
      </c>
      <c r="F970" s="333">
        <f>(D970+E970)</f>
        <v>225768</v>
      </c>
      <c r="G970" s="325">
        <f>ABS(G942)</f>
        <v>543.06392299236506</v>
      </c>
      <c r="H970" s="398">
        <v>7492</v>
      </c>
      <c r="I970" s="398">
        <v>0</v>
      </c>
      <c r="J970" s="164">
        <f>(H970+I970)</f>
        <v>7492</v>
      </c>
      <c r="K970" s="398">
        <v>0</v>
      </c>
      <c r="L970" s="398">
        <v>0</v>
      </c>
      <c r="M970" s="399">
        <f>D970+E970-G970-J970-K970-L970</f>
        <v>217732.93607700765</v>
      </c>
      <c r="N970" s="400">
        <v>0</v>
      </c>
      <c r="O970" s="394">
        <f>+M970+N970</f>
        <v>217732.93607700765</v>
      </c>
      <c r="P970" s="401">
        <v>0</v>
      </c>
      <c r="Q970" s="386">
        <f>-O970*P970</f>
        <v>0</v>
      </c>
      <c r="R970" s="394">
        <v>256208</v>
      </c>
      <c r="S970" s="402">
        <f>(F970-G970-J970-K970-L970-R970)</f>
        <v>-38475.063922992354</v>
      </c>
      <c r="T970" s="164" t="str">
        <f>+IF(S970&gt;=0,ABS(S970),"")</f>
        <v/>
      </c>
      <c r="U970" s="333">
        <f>+IF(S970&lt;=0,ABS(S970),"")</f>
        <v>38475.063922992354</v>
      </c>
      <c r="V970" s="307"/>
      <c r="AC970" s="375" t="s">
        <v>1072</v>
      </c>
      <c r="AD970" s="376"/>
      <c r="AE970" s="376"/>
      <c r="AF970" s="376"/>
      <c r="AG970" s="376"/>
      <c r="AH970" s="376">
        <v>1.6E-2</v>
      </c>
      <c r="AI970" s="376">
        <v>1.6E-2</v>
      </c>
      <c r="AJ970" s="376">
        <v>1.6E-2</v>
      </c>
      <c r="AK970" s="376">
        <v>1.6E-2</v>
      </c>
      <c r="AL970" s="376">
        <v>1.6E-2</v>
      </c>
      <c r="AM970" s="376">
        <v>1.6E-2</v>
      </c>
      <c r="AN970" s="376">
        <v>1.6E-2</v>
      </c>
      <c r="AO970" s="376">
        <v>1.6E-2</v>
      </c>
      <c r="AP970" s="376">
        <v>1.6E-2</v>
      </c>
      <c r="AQ970" s="376">
        <v>1.6E-2</v>
      </c>
      <c r="AR970" s="376">
        <v>1.6E-2</v>
      </c>
      <c r="AS970" s="377"/>
    </row>
    <row r="971" spans="1:45" ht="15.75" customHeight="1" x14ac:dyDescent="0.3">
      <c r="A971" s="365" t="s">
        <v>9</v>
      </c>
      <c r="B971" s="325">
        <f>ROUND(R943-G943,0)</f>
        <v>108028</v>
      </c>
      <c r="C971" s="164">
        <f t="shared" ref="C971:C981" si="268">+ROUND(B971*$C$967,0)</f>
        <v>0</v>
      </c>
      <c r="D971" s="164">
        <f t="shared" ref="D971:D981" si="269">AS943</f>
        <v>4585</v>
      </c>
      <c r="E971" s="164">
        <f t="shared" ref="E971:E983" si="270">+B971+C971</f>
        <v>108028</v>
      </c>
      <c r="F971" s="333">
        <f t="shared" ref="F971:F981" si="271">(D971+E971)</f>
        <v>112613</v>
      </c>
      <c r="G971" s="325">
        <f t="shared" ref="G971:G981" si="272">ABS(G943)</f>
        <v>1212.3242803315748</v>
      </c>
      <c r="H971" s="398">
        <v>7912</v>
      </c>
      <c r="I971" s="398">
        <v>0</v>
      </c>
      <c r="J971" s="164">
        <f t="shared" ref="J971:J980" si="273">(H971+I971)</f>
        <v>7912</v>
      </c>
      <c r="K971" s="398">
        <v>0</v>
      </c>
      <c r="L971" s="398">
        <v>0</v>
      </c>
      <c r="M971" s="399">
        <f t="shared" ref="M971:M981" si="274">D971+E971-G971-J971-K971-L971</f>
        <v>103488.67571966842</v>
      </c>
      <c r="N971" s="400">
        <v>0</v>
      </c>
      <c r="O971" s="394">
        <f t="shared" ref="O971:O983" si="275">+M971+N971</f>
        <v>103488.67571966842</v>
      </c>
      <c r="P971" s="401">
        <v>0.35</v>
      </c>
      <c r="Q971" s="386">
        <f t="shared" ref="Q971:Q981" si="276">-O971*P971</f>
        <v>-36221.036501883944</v>
      </c>
      <c r="R971" s="394">
        <v>158822</v>
      </c>
      <c r="S971" s="402">
        <f t="shared" ref="S971:S981" si="277">(F971-G971-J971-K971-L971-R971)</f>
        <v>-55333.324280331581</v>
      </c>
      <c r="T971" s="164" t="str">
        <f>+IF(S971&gt;=0,ABS(S971),"")</f>
        <v/>
      </c>
      <c r="U971" s="333">
        <f t="shared" ref="U971:U981" si="278">+IF(S971&lt;=0,ABS(S971),"")</f>
        <v>55333.324280331581</v>
      </c>
      <c r="V971" s="307"/>
      <c r="AC971" s="375" t="s">
        <v>1032</v>
      </c>
      <c r="AD971" s="376"/>
      <c r="AE971" s="376"/>
      <c r="AF971" s="376"/>
      <c r="AG971" s="376"/>
      <c r="AH971" s="376"/>
      <c r="AI971" s="376"/>
      <c r="AJ971" s="376"/>
      <c r="AK971" s="376"/>
      <c r="AL971" s="376"/>
      <c r="AM971" s="376"/>
      <c r="AN971" s="376"/>
      <c r="AO971" s="376"/>
      <c r="AP971" s="376"/>
      <c r="AQ971" s="376"/>
      <c r="AR971" s="376"/>
      <c r="AS971" s="377"/>
    </row>
    <row r="972" spans="1:45" ht="15.75" customHeight="1" x14ac:dyDescent="0.3">
      <c r="A972" s="365" t="s">
        <v>10</v>
      </c>
      <c r="B972" s="325">
        <f t="shared" ref="B972:B981" si="279">ROUND(R944-G944,0)</f>
        <v>236323</v>
      </c>
      <c r="C972" s="164">
        <f t="shared" si="268"/>
        <v>0</v>
      </c>
      <c r="D972" s="164">
        <f t="shared" si="269"/>
        <v>10229</v>
      </c>
      <c r="E972" s="164">
        <f t="shared" si="270"/>
        <v>236323</v>
      </c>
      <c r="F972" s="333">
        <f t="shared" si="271"/>
        <v>246552</v>
      </c>
      <c r="G972" s="325">
        <f t="shared" si="272"/>
        <v>32.851695553880923</v>
      </c>
      <c r="H972" s="398">
        <v>15566</v>
      </c>
      <c r="I972" s="398">
        <v>0</v>
      </c>
      <c r="J972" s="164">
        <f t="shared" si="273"/>
        <v>15566</v>
      </c>
      <c r="K972" s="398">
        <v>0</v>
      </c>
      <c r="L972" s="398">
        <v>0</v>
      </c>
      <c r="M972" s="399">
        <f t="shared" si="274"/>
        <v>230953.14830444611</v>
      </c>
      <c r="N972" s="400">
        <v>0</v>
      </c>
      <c r="O972" s="394">
        <f t="shared" si="275"/>
        <v>230953.14830444611</v>
      </c>
      <c r="P972" s="401">
        <v>0.33</v>
      </c>
      <c r="Q972" s="386">
        <f t="shared" si="276"/>
        <v>-76214.538940467217</v>
      </c>
      <c r="R972" s="394">
        <v>321751</v>
      </c>
      <c r="S972" s="402">
        <f t="shared" si="277"/>
        <v>-90797.851695553894</v>
      </c>
      <c r="T972" s="164" t="str">
        <f t="shared" ref="T972:T981" si="280">+IF(S972&gt;=0,ABS(S972),"")</f>
        <v/>
      </c>
      <c r="U972" s="333">
        <f t="shared" si="278"/>
        <v>90797.851695553894</v>
      </c>
      <c r="V972" s="307"/>
      <c r="AC972" s="375" t="s">
        <v>1033</v>
      </c>
      <c r="AD972" s="376"/>
      <c r="AE972" s="376"/>
      <c r="AF972" s="376"/>
      <c r="AG972" s="376"/>
      <c r="AH972" s="376"/>
      <c r="AI972" s="376"/>
      <c r="AJ972" s="376"/>
      <c r="AK972" s="376"/>
      <c r="AL972" s="376"/>
      <c r="AM972" s="376"/>
      <c r="AN972" s="376"/>
      <c r="AO972" s="376"/>
      <c r="AP972" s="376"/>
      <c r="AQ972" s="376"/>
      <c r="AR972" s="376"/>
      <c r="AS972" s="377"/>
    </row>
    <row r="973" spans="1:45" ht="15.75" customHeight="1" x14ac:dyDescent="0.3">
      <c r="A973" s="365" t="s">
        <v>12</v>
      </c>
      <c r="B973" s="325">
        <f t="shared" si="279"/>
        <v>272218</v>
      </c>
      <c r="C973" s="164">
        <f t="shared" si="268"/>
        <v>0</v>
      </c>
      <c r="D973" s="164">
        <f t="shared" si="269"/>
        <v>11963</v>
      </c>
      <c r="E973" s="164">
        <f t="shared" si="270"/>
        <v>272218</v>
      </c>
      <c r="F973" s="333">
        <f t="shared" si="271"/>
        <v>284181</v>
      </c>
      <c r="G973" s="325">
        <f t="shared" si="272"/>
        <v>0.94689544695969718</v>
      </c>
      <c r="H973" s="398">
        <v>15533</v>
      </c>
      <c r="I973" s="398">
        <v>0</v>
      </c>
      <c r="J973" s="164">
        <f t="shared" si="273"/>
        <v>15533</v>
      </c>
      <c r="K973" s="398">
        <v>0</v>
      </c>
      <c r="L973" s="398">
        <v>0</v>
      </c>
      <c r="M973" s="399">
        <f t="shared" si="274"/>
        <v>268647.05310455302</v>
      </c>
      <c r="N973" s="400">
        <v>0</v>
      </c>
      <c r="O973" s="394">
        <f t="shared" si="275"/>
        <v>268647.05310455302</v>
      </c>
      <c r="P973" s="401">
        <v>0.3</v>
      </c>
      <c r="Q973" s="386">
        <f t="shared" si="276"/>
        <v>-80594.115931365901</v>
      </c>
      <c r="R973" s="394">
        <v>309288</v>
      </c>
      <c r="S973" s="402">
        <f t="shared" si="277"/>
        <v>-40640.946895446978</v>
      </c>
      <c r="T973" s="164" t="str">
        <f t="shared" si="280"/>
        <v/>
      </c>
      <c r="U973" s="333">
        <f t="shared" si="278"/>
        <v>40640.946895446978</v>
      </c>
      <c r="V973" s="307"/>
      <c r="AC973" s="375" t="s">
        <v>822</v>
      </c>
      <c r="AD973" s="376"/>
      <c r="AE973" s="376"/>
      <c r="AF973" s="376"/>
      <c r="AG973" s="376"/>
      <c r="AH973" s="376"/>
      <c r="AI973" s="376"/>
      <c r="AJ973" s="376"/>
      <c r="AK973" s="376"/>
      <c r="AL973" s="376"/>
      <c r="AM973" s="376"/>
      <c r="AN973" s="376"/>
      <c r="AO973" s="376"/>
      <c r="AP973" s="376"/>
      <c r="AQ973" s="376"/>
      <c r="AR973" s="376"/>
      <c r="AS973" s="377"/>
    </row>
    <row r="974" spans="1:45" ht="15.75" customHeight="1" x14ac:dyDescent="0.3">
      <c r="A974" s="365" t="s">
        <v>13</v>
      </c>
      <c r="B974" s="325">
        <f t="shared" si="279"/>
        <v>296510</v>
      </c>
      <c r="C974" s="164">
        <f t="shared" si="268"/>
        <v>0</v>
      </c>
      <c r="D974" s="164">
        <f t="shared" si="269"/>
        <v>12973</v>
      </c>
      <c r="E974" s="164">
        <f t="shared" si="270"/>
        <v>296510</v>
      </c>
      <c r="F974" s="333">
        <f t="shared" si="271"/>
        <v>309483</v>
      </c>
      <c r="G974" s="325">
        <f t="shared" si="272"/>
        <v>230.21998492841021</v>
      </c>
      <c r="H974" s="398">
        <v>14182</v>
      </c>
      <c r="I974" s="398">
        <v>0</v>
      </c>
      <c r="J974" s="164">
        <f t="shared" si="273"/>
        <v>14182</v>
      </c>
      <c r="K974" s="398">
        <v>0</v>
      </c>
      <c r="L974" s="398">
        <v>0</v>
      </c>
      <c r="M974" s="399">
        <f t="shared" si="274"/>
        <v>295070.78001507156</v>
      </c>
      <c r="N974" s="400">
        <v>0</v>
      </c>
      <c r="O974" s="394">
        <f t="shared" si="275"/>
        <v>295070.78001507156</v>
      </c>
      <c r="P974" s="401">
        <v>0.09</v>
      </c>
      <c r="Q974" s="386">
        <f t="shared" si="276"/>
        <v>-26556.37020135644</v>
      </c>
      <c r="R974" s="394">
        <v>318497</v>
      </c>
      <c r="S974" s="402">
        <f t="shared" si="277"/>
        <v>-23426.219984928437</v>
      </c>
      <c r="T974" s="164" t="str">
        <f t="shared" si="280"/>
        <v/>
      </c>
      <c r="U974" s="333">
        <f t="shared" si="278"/>
        <v>23426.219984928437</v>
      </c>
      <c r="V974" s="307"/>
      <c r="AC974" s="375" t="s">
        <v>1073</v>
      </c>
      <c r="AD974" s="376"/>
      <c r="AE974" s="376"/>
      <c r="AF974" s="376"/>
      <c r="AG974" s="376"/>
      <c r="AH974" s="376"/>
      <c r="AI974" s="376"/>
      <c r="AJ974" s="376">
        <v>2.5000000000000001E-2</v>
      </c>
      <c r="AK974" s="376">
        <v>2.5000000000000001E-2</v>
      </c>
      <c r="AL974" s="376">
        <v>2.5000000000000001E-2</v>
      </c>
      <c r="AM974" s="376">
        <v>2.5000000000000001E-2</v>
      </c>
      <c r="AN974" s="376">
        <v>2.5000000000000001E-2</v>
      </c>
      <c r="AO974" s="376">
        <v>2.5000000000000001E-2</v>
      </c>
      <c r="AP974" s="376">
        <v>2.5000000000000001E-2</v>
      </c>
      <c r="AQ974" s="376">
        <v>2.5000000000000001E-2</v>
      </c>
      <c r="AR974" s="376">
        <v>2.5000000000000001E-2</v>
      </c>
      <c r="AS974" s="377"/>
    </row>
    <row r="975" spans="1:45" ht="15.75" customHeight="1" x14ac:dyDescent="0.3">
      <c r="A975" s="365" t="s">
        <v>14</v>
      </c>
      <c r="B975" s="325">
        <f t="shared" si="279"/>
        <v>167362</v>
      </c>
      <c r="C975" s="164">
        <f t="shared" si="268"/>
        <v>0</v>
      </c>
      <c r="D975" s="164">
        <f t="shared" si="269"/>
        <v>6998</v>
      </c>
      <c r="E975" s="164">
        <f t="shared" si="270"/>
        <v>167362</v>
      </c>
      <c r="F975" s="333">
        <f t="shared" si="271"/>
        <v>174360</v>
      </c>
      <c r="G975" s="325">
        <f t="shared" si="272"/>
        <v>15895.624114544094</v>
      </c>
      <c r="H975" s="398">
        <v>13104</v>
      </c>
      <c r="I975" s="398">
        <v>0</v>
      </c>
      <c r="J975" s="164">
        <f t="shared" si="273"/>
        <v>13104</v>
      </c>
      <c r="K975" s="398">
        <v>0</v>
      </c>
      <c r="L975" s="398">
        <v>0</v>
      </c>
      <c r="M975" s="399">
        <f t="shared" si="274"/>
        <v>145360.3758854559</v>
      </c>
      <c r="N975" s="400">
        <v>23760</v>
      </c>
      <c r="O975" s="394">
        <f t="shared" si="275"/>
        <v>169120.3758854559</v>
      </c>
      <c r="P975" s="401">
        <v>7.0000000000000007E-2</v>
      </c>
      <c r="Q975" s="386">
        <f t="shared" si="276"/>
        <v>-11838.426311981913</v>
      </c>
      <c r="R975" s="394">
        <v>195101</v>
      </c>
      <c r="S975" s="402">
        <f t="shared" si="277"/>
        <v>-49740.624114544102</v>
      </c>
      <c r="T975" s="164" t="str">
        <f t="shared" si="280"/>
        <v/>
      </c>
      <c r="U975" s="333">
        <f t="shared" si="278"/>
        <v>49740.624114544102</v>
      </c>
      <c r="V975" s="307"/>
      <c r="AC975" s="375" t="s">
        <v>422</v>
      </c>
      <c r="AD975" s="169">
        <f>SUM(AD970:AD974)</f>
        <v>0</v>
      </c>
      <c r="AE975" s="169">
        <f t="shared" ref="AE975:AR975" si="281">SUM(AE970:AE974)</f>
        <v>0</v>
      </c>
      <c r="AF975" s="169">
        <f t="shared" si="281"/>
        <v>0</v>
      </c>
      <c r="AG975" s="169">
        <f t="shared" si="281"/>
        <v>0</v>
      </c>
      <c r="AH975" s="169">
        <f t="shared" si="281"/>
        <v>1.6E-2</v>
      </c>
      <c r="AI975" s="169">
        <f t="shared" si="281"/>
        <v>1.6E-2</v>
      </c>
      <c r="AJ975" s="169">
        <f t="shared" si="281"/>
        <v>4.1000000000000002E-2</v>
      </c>
      <c r="AK975" s="169">
        <f t="shared" si="281"/>
        <v>4.1000000000000002E-2</v>
      </c>
      <c r="AL975" s="169">
        <f t="shared" si="281"/>
        <v>4.1000000000000002E-2</v>
      </c>
      <c r="AM975" s="169">
        <f t="shared" si="281"/>
        <v>4.1000000000000002E-2</v>
      </c>
      <c r="AN975" s="169">
        <f t="shared" si="281"/>
        <v>4.1000000000000002E-2</v>
      </c>
      <c r="AO975" s="169">
        <f t="shared" si="281"/>
        <v>4.1000000000000002E-2</v>
      </c>
      <c r="AP975" s="169">
        <f t="shared" si="281"/>
        <v>4.1000000000000002E-2</v>
      </c>
      <c r="AQ975" s="169">
        <f t="shared" si="281"/>
        <v>4.1000000000000002E-2</v>
      </c>
      <c r="AR975" s="169">
        <f t="shared" si="281"/>
        <v>4.1000000000000002E-2</v>
      </c>
      <c r="AS975" s="377"/>
    </row>
    <row r="976" spans="1:45" ht="15.75" customHeight="1" x14ac:dyDescent="0.3">
      <c r="A976" s="365" t="s">
        <v>16</v>
      </c>
      <c r="B976" s="325">
        <f t="shared" si="279"/>
        <v>153805</v>
      </c>
      <c r="C976" s="164">
        <f t="shared" si="268"/>
        <v>0</v>
      </c>
      <c r="D976" s="164">
        <f t="shared" si="269"/>
        <v>6415</v>
      </c>
      <c r="E976" s="164">
        <f t="shared" si="270"/>
        <v>153805</v>
      </c>
      <c r="F976" s="333">
        <f t="shared" si="271"/>
        <v>160220</v>
      </c>
      <c r="G976" s="325">
        <f t="shared" si="272"/>
        <v>12136.795650781502</v>
      </c>
      <c r="H976" s="398">
        <v>13181</v>
      </c>
      <c r="I976" s="398">
        <v>0</v>
      </c>
      <c r="J976" s="164">
        <f t="shared" si="273"/>
        <v>13181</v>
      </c>
      <c r="K976" s="398">
        <v>0</v>
      </c>
      <c r="L976" s="398">
        <v>0</v>
      </c>
      <c r="M976" s="399">
        <f t="shared" si="274"/>
        <v>134902.20434921849</v>
      </c>
      <c r="N976" s="400">
        <v>48856</v>
      </c>
      <c r="O976" s="394">
        <f t="shared" si="275"/>
        <v>183758.20434921849</v>
      </c>
      <c r="P976" s="401">
        <v>7.4999999999999997E-2</v>
      </c>
      <c r="Q976" s="386">
        <f t="shared" si="276"/>
        <v>-13781.865326191386</v>
      </c>
      <c r="R976" s="394">
        <v>205864</v>
      </c>
      <c r="S976" s="402">
        <f t="shared" si="277"/>
        <v>-70961.795650781511</v>
      </c>
      <c r="T976" s="164" t="str">
        <f t="shared" si="280"/>
        <v/>
      </c>
      <c r="U976" s="333">
        <f t="shared" si="278"/>
        <v>70961.795650781511</v>
      </c>
      <c r="V976" s="307"/>
      <c r="AC976" s="325" t="s">
        <v>409</v>
      </c>
      <c r="AD976" s="164" t="s">
        <v>409</v>
      </c>
      <c r="AE976" s="164" t="s">
        <v>409</v>
      </c>
      <c r="AF976" s="164" t="s">
        <v>409</v>
      </c>
      <c r="AG976" s="164" t="s">
        <v>409</v>
      </c>
      <c r="AH976" s="164" t="s">
        <v>409</v>
      </c>
      <c r="AI976" s="164" t="s">
        <v>409</v>
      </c>
      <c r="AJ976" s="164" t="s">
        <v>409</v>
      </c>
      <c r="AK976" s="164" t="s">
        <v>409</v>
      </c>
      <c r="AL976" s="164" t="s">
        <v>409</v>
      </c>
      <c r="AM976" s="164" t="s">
        <v>409</v>
      </c>
      <c r="AN976" s="164" t="s">
        <v>409</v>
      </c>
      <c r="AO976" s="164" t="s">
        <v>409</v>
      </c>
      <c r="AP976" s="164" t="s">
        <v>409</v>
      </c>
      <c r="AQ976" s="164" t="s">
        <v>409</v>
      </c>
      <c r="AR976" s="164" t="s">
        <v>409</v>
      </c>
      <c r="AS976" s="377" t="s">
        <v>409</v>
      </c>
    </row>
    <row r="977" spans="1:45" ht="15.75" customHeight="1" x14ac:dyDescent="0.3">
      <c r="A977" s="365" t="s">
        <v>17</v>
      </c>
      <c r="B977" s="325">
        <f t="shared" si="279"/>
        <v>148816</v>
      </c>
      <c r="C977" s="164">
        <f t="shared" si="268"/>
        <v>0</v>
      </c>
      <c r="D977" s="164">
        <f t="shared" si="269"/>
        <v>6188</v>
      </c>
      <c r="E977" s="164">
        <f t="shared" si="270"/>
        <v>148816</v>
      </c>
      <c r="F977" s="333">
        <f t="shared" si="271"/>
        <v>155004</v>
      </c>
      <c r="G977" s="325">
        <f t="shared" si="272"/>
        <v>9944.4195556750456</v>
      </c>
      <c r="H977" s="398">
        <v>10304</v>
      </c>
      <c r="I977" s="398">
        <v>0</v>
      </c>
      <c r="J977" s="164">
        <f t="shared" si="273"/>
        <v>10304</v>
      </c>
      <c r="K977" s="398">
        <v>0</v>
      </c>
      <c r="L977" s="398">
        <v>0</v>
      </c>
      <c r="M977" s="399">
        <f t="shared" si="274"/>
        <v>134755.58044432497</v>
      </c>
      <c r="N977" s="400">
        <v>49600</v>
      </c>
      <c r="O977" s="394">
        <f t="shared" si="275"/>
        <v>184355.58044432497</v>
      </c>
      <c r="P977" s="401">
        <v>7.4999999999999997E-2</v>
      </c>
      <c r="Q977" s="386">
        <f t="shared" si="276"/>
        <v>-13826.668533324371</v>
      </c>
      <c r="R977" s="394">
        <v>201059</v>
      </c>
      <c r="S977" s="402">
        <f t="shared" si="277"/>
        <v>-66303.419555675035</v>
      </c>
      <c r="T977" s="164" t="str">
        <f t="shared" si="280"/>
        <v/>
      </c>
      <c r="U977" s="333">
        <f t="shared" si="278"/>
        <v>66303.419555675035</v>
      </c>
      <c r="V977" s="307"/>
      <c r="AC977" s="375" t="s">
        <v>795</v>
      </c>
      <c r="AD977" s="159">
        <f>ROUND(B942*$AD$975, 0)</f>
        <v>0</v>
      </c>
      <c r="AE977" s="159">
        <f>ROUND(C942*$AE$975,0)</f>
        <v>0</v>
      </c>
      <c r="AF977" s="159">
        <f>ROUND(D942*$AF$975,0)</f>
        <v>0</v>
      </c>
      <c r="AG977" s="159">
        <f>ROUND(E942*$AG$975,0)</f>
        <v>0</v>
      </c>
      <c r="AH977" s="159">
        <f>ROUND(F942*$AH$975,0)</f>
        <v>283</v>
      </c>
      <c r="AI977" s="159">
        <f>ROUND(H942*$AI$975,0)</f>
        <v>39</v>
      </c>
      <c r="AJ977" s="159">
        <f>ROUND(I942*$AJ$975,0)</f>
        <v>100</v>
      </c>
      <c r="AK977" s="159">
        <f>ROUND(J942*$AK$975,0)</f>
        <v>156</v>
      </c>
      <c r="AL977" s="159">
        <f>ROUND(K942*$AL$975,0)</f>
        <v>161</v>
      </c>
      <c r="AM977" s="159">
        <f>ROUND(L942*$AM$975,0)</f>
        <v>59</v>
      </c>
      <c r="AN977" s="159">
        <f>ROUND(M942*$AN$975,0)</f>
        <v>70</v>
      </c>
      <c r="AO977" s="159">
        <f>ROUND(N942*$AO$975,0)</f>
        <v>145</v>
      </c>
      <c r="AP977" s="159">
        <f>ROUND(O942*$AP$975,0)</f>
        <v>27</v>
      </c>
      <c r="AQ977" s="159">
        <f>ROUND(P942*$AQ$975,0)</f>
        <v>3</v>
      </c>
      <c r="AR977" s="159">
        <f>ROUND(Q942*$AR$975,0)</f>
        <v>64</v>
      </c>
      <c r="AS977" s="374">
        <f>SUM(AD977:AR977)</f>
        <v>1107</v>
      </c>
    </row>
    <row r="978" spans="1:45" ht="15.75" customHeight="1" x14ac:dyDescent="0.3">
      <c r="A978" s="365" t="s">
        <v>18</v>
      </c>
      <c r="B978" s="325">
        <f t="shared" si="279"/>
        <v>229015</v>
      </c>
      <c r="C978" s="164">
        <f t="shared" si="268"/>
        <v>0</v>
      </c>
      <c r="D978" s="164">
        <f t="shared" si="269"/>
        <v>10016</v>
      </c>
      <c r="E978" s="164">
        <f t="shared" si="270"/>
        <v>229015</v>
      </c>
      <c r="F978" s="333">
        <f t="shared" si="271"/>
        <v>239031</v>
      </c>
      <c r="G978" s="325">
        <f t="shared" si="272"/>
        <v>1421.8911228334584</v>
      </c>
      <c r="H978" s="398">
        <v>8964</v>
      </c>
      <c r="I978" s="398">
        <v>0</v>
      </c>
      <c r="J978" s="164">
        <f t="shared" si="273"/>
        <v>8964</v>
      </c>
      <c r="K978" s="398">
        <v>0</v>
      </c>
      <c r="L978" s="398">
        <v>0</v>
      </c>
      <c r="M978" s="399">
        <f t="shared" si="274"/>
        <v>228645.10887716655</v>
      </c>
      <c r="N978" s="400">
        <v>0</v>
      </c>
      <c r="O978" s="394">
        <f t="shared" si="275"/>
        <v>228645.10887716655</v>
      </c>
      <c r="P978" s="401">
        <v>7.4999999999999997E-2</v>
      </c>
      <c r="Q978" s="386">
        <f t="shared" si="276"/>
        <v>-17148.383165787491</v>
      </c>
      <c r="R978" s="394">
        <v>244687</v>
      </c>
      <c r="S978" s="402">
        <f t="shared" si="277"/>
        <v>-16041.891122833447</v>
      </c>
      <c r="T978" s="164" t="str">
        <f t="shared" si="280"/>
        <v/>
      </c>
      <c r="U978" s="333">
        <f t="shared" si="278"/>
        <v>16041.891122833447</v>
      </c>
      <c r="V978" s="307"/>
      <c r="AC978" s="375" t="s">
        <v>9</v>
      </c>
      <c r="AD978" s="159">
        <f t="shared" ref="AD978:AD988" si="282">ROUND(B943*$AD$975, 0)</f>
        <v>0</v>
      </c>
      <c r="AE978" s="159">
        <f t="shared" ref="AE978:AE988" si="283">ROUND(C943*$AE$975,0)</f>
        <v>0</v>
      </c>
      <c r="AF978" s="159">
        <f t="shared" ref="AF978:AF988" si="284">ROUND(D943*$AF$975,0)</f>
        <v>0</v>
      </c>
      <c r="AG978" s="159">
        <f t="shared" ref="AG978:AG988" si="285">ROUND(E943*$AG$975,0)</f>
        <v>0</v>
      </c>
      <c r="AH978" s="159">
        <f t="shared" ref="AH978:AH988" si="286">ROUND(F943*$AH$975,0)</f>
        <v>57</v>
      </c>
      <c r="AI978" s="159">
        <f t="shared" ref="AI978:AI988" si="287">ROUND(H943*$AI$975,0)</f>
        <v>51</v>
      </c>
      <c r="AJ978" s="159">
        <f t="shared" ref="AJ978:AJ988" si="288">ROUND(I943*$AJ$975,0)</f>
        <v>88</v>
      </c>
      <c r="AK978" s="159">
        <f t="shared" ref="AK978:AK988" si="289">ROUND(J943*$AK$975,0)</f>
        <v>137</v>
      </c>
      <c r="AL978" s="159">
        <f t="shared" ref="AL978:AL988" si="290">ROUND(K943*$AL$975,0)</f>
        <v>140</v>
      </c>
      <c r="AM978" s="159">
        <f t="shared" ref="AM978:AM988" si="291">ROUND(L943*$AM$975,0)</f>
        <v>47</v>
      </c>
      <c r="AN978" s="159">
        <f t="shared" ref="AN978:AN988" si="292">ROUND(M943*$AN$975,0)</f>
        <v>55</v>
      </c>
      <c r="AO978" s="159">
        <f t="shared" ref="AO978:AO988" si="293">ROUND(N943*$AO$975,0)</f>
        <v>111</v>
      </c>
      <c r="AP978" s="159">
        <f t="shared" ref="AP978:AP988" si="294">ROUND(O943*$AP$975,0)</f>
        <v>16</v>
      </c>
      <c r="AQ978" s="159">
        <f t="shared" ref="AQ978:AQ988" si="295">ROUND(P943*$AQ$975,0)</f>
        <v>15</v>
      </c>
      <c r="AR978" s="159">
        <f t="shared" ref="AR978:AR988" si="296">ROUND(Q943*$AR$975,0)</f>
        <v>39</v>
      </c>
      <c r="AS978" s="374">
        <f t="shared" ref="AS978:AS988" si="297">SUM(AD978:AR978)</f>
        <v>756</v>
      </c>
    </row>
    <row r="979" spans="1:45" ht="15.75" customHeight="1" x14ac:dyDescent="0.3">
      <c r="A979" s="365" t="s">
        <v>20</v>
      </c>
      <c r="B979" s="325">
        <f t="shared" si="279"/>
        <v>210262</v>
      </c>
      <c r="C979" s="164">
        <f t="shared" si="268"/>
        <v>0</v>
      </c>
      <c r="D979" s="164">
        <f t="shared" si="269"/>
        <v>9191</v>
      </c>
      <c r="E979" s="164">
        <f t="shared" si="270"/>
        <v>210262</v>
      </c>
      <c r="F979" s="333">
        <f t="shared" si="271"/>
        <v>219453</v>
      </c>
      <c r="G979" s="325">
        <f t="shared" si="272"/>
        <v>0</v>
      </c>
      <c r="H979" s="398">
        <v>7861</v>
      </c>
      <c r="I979" s="398">
        <v>0</v>
      </c>
      <c r="J979" s="164">
        <f t="shared" si="273"/>
        <v>7861</v>
      </c>
      <c r="K979" s="398">
        <v>0</v>
      </c>
      <c r="L979" s="398">
        <v>0</v>
      </c>
      <c r="M979" s="399">
        <f t="shared" si="274"/>
        <v>211592</v>
      </c>
      <c r="N979" s="400">
        <v>0</v>
      </c>
      <c r="O979" s="394">
        <f t="shared" si="275"/>
        <v>211592</v>
      </c>
      <c r="P979" s="401">
        <v>0.3</v>
      </c>
      <c r="Q979" s="386">
        <f t="shared" si="276"/>
        <v>-63477.599999999999</v>
      </c>
      <c r="R979" s="394">
        <v>207005</v>
      </c>
      <c r="S979" s="402">
        <f t="shared" si="277"/>
        <v>4587</v>
      </c>
      <c r="T979" s="164">
        <f t="shared" si="280"/>
        <v>4587</v>
      </c>
      <c r="U979" s="333" t="str">
        <f t="shared" si="278"/>
        <v/>
      </c>
      <c r="V979" s="307"/>
      <c r="AC979" s="375" t="s">
        <v>10</v>
      </c>
      <c r="AD979" s="159">
        <f t="shared" si="282"/>
        <v>0</v>
      </c>
      <c r="AE979" s="159">
        <f t="shared" si="283"/>
        <v>0</v>
      </c>
      <c r="AF979" s="159">
        <f t="shared" si="284"/>
        <v>0</v>
      </c>
      <c r="AG979" s="159">
        <f t="shared" si="285"/>
        <v>0</v>
      </c>
      <c r="AH979" s="159">
        <f t="shared" si="286"/>
        <v>71</v>
      </c>
      <c r="AI979" s="159">
        <f t="shared" si="287"/>
        <v>136</v>
      </c>
      <c r="AJ979" s="159">
        <f t="shared" si="288"/>
        <v>219</v>
      </c>
      <c r="AK979" s="159">
        <f t="shared" si="289"/>
        <v>278</v>
      </c>
      <c r="AL979" s="159">
        <f t="shared" si="290"/>
        <v>262</v>
      </c>
      <c r="AM979" s="159">
        <f t="shared" si="291"/>
        <v>83</v>
      </c>
      <c r="AN979" s="159">
        <f t="shared" si="292"/>
        <v>97</v>
      </c>
      <c r="AO979" s="159">
        <f t="shared" si="293"/>
        <v>197</v>
      </c>
      <c r="AP979" s="159">
        <f t="shared" si="294"/>
        <v>33</v>
      </c>
      <c r="AQ979" s="159">
        <f t="shared" si="295"/>
        <v>17</v>
      </c>
      <c r="AR979" s="159">
        <f t="shared" si="296"/>
        <v>79</v>
      </c>
      <c r="AS979" s="374">
        <f t="shared" si="297"/>
        <v>1472</v>
      </c>
    </row>
    <row r="980" spans="1:45" ht="15.75" customHeight="1" x14ac:dyDescent="0.3">
      <c r="A980" s="365" t="s">
        <v>21</v>
      </c>
      <c r="B980" s="325">
        <f t="shared" si="279"/>
        <v>199881</v>
      </c>
      <c r="C980" s="164">
        <f t="shared" si="268"/>
        <v>0</v>
      </c>
      <c r="D980" s="164">
        <f t="shared" si="269"/>
        <v>8687</v>
      </c>
      <c r="E980" s="164">
        <f t="shared" si="270"/>
        <v>199881</v>
      </c>
      <c r="F980" s="333">
        <f t="shared" si="271"/>
        <v>208568</v>
      </c>
      <c r="G980" s="325">
        <f t="shared" si="272"/>
        <v>0</v>
      </c>
      <c r="H980" s="398">
        <v>11207</v>
      </c>
      <c r="I980" s="398">
        <v>0</v>
      </c>
      <c r="J980" s="164">
        <f t="shared" si="273"/>
        <v>11207</v>
      </c>
      <c r="K980" s="398">
        <v>0</v>
      </c>
      <c r="L980" s="398">
        <v>0</v>
      </c>
      <c r="M980" s="399">
        <f t="shared" si="274"/>
        <v>197361</v>
      </c>
      <c r="N980" s="400">
        <v>0</v>
      </c>
      <c r="O980" s="394">
        <f t="shared" si="275"/>
        <v>197361</v>
      </c>
      <c r="P980" s="401">
        <v>0.3</v>
      </c>
      <c r="Q980" s="386">
        <f t="shared" si="276"/>
        <v>-59208.299999999996</v>
      </c>
      <c r="R980" s="394">
        <v>203927</v>
      </c>
      <c r="S980" s="402">
        <f t="shared" si="277"/>
        <v>-6566</v>
      </c>
      <c r="T980" s="164" t="str">
        <f t="shared" si="280"/>
        <v/>
      </c>
      <c r="U980" s="333">
        <f t="shared" si="278"/>
        <v>6566</v>
      </c>
      <c r="V980" s="307"/>
      <c r="AC980" s="375" t="s">
        <v>12</v>
      </c>
      <c r="AD980" s="159">
        <f t="shared" si="282"/>
        <v>0</v>
      </c>
      <c r="AE980" s="159">
        <f t="shared" si="283"/>
        <v>0</v>
      </c>
      <c r="AF980" s="159">
        <f t="shared" si="284"/>
        <v>0</v>
      </c>
      <c r="AG980" s="159">
        <f t="shared" si="285"/>
        <v>0</v>
      </c>
      <c r="AH980" s="159">
        <f t="shared" si="286"/>
        <v>33</v>
      </c>
      <c r="AI980" s="159">
        <f t="shared" si="287"/>
        <v>166</v>
      </c>
      <c r="AJ980" s="159">
        <f t="shared" si="288"/>
        <v>263</v>
      </c>
      <c r="AK980" s="159">
        <f t="shared" si="289"/>
        <v>305</v>
      </c>
      <c r="AL980" s="159">
        <f t="shared" si="290"/>
        <v>266</v>
      </c>
      <c r="AM980" s="159">
        <f t="shared" si="291"/>
        <v>80</v>
      </c>
      <c r="AN980" s="159">
        <f t="shared" si="292"/>
        <v>94</v>
      </c>
      <c r="AO980" s="159">
        <f t="shared" si="293"/>
        <v>189</v>
      </c>
      <c r="AP980" s="159">
        <f t="shared" si="294"/>
        <v>31</v>
      </c>
      <c r="AQ980" s="159">
        <f t="shared" si="295"/>
        <v>44</v>
      </c>
      <c r="AR980" s="159">
        <f t="shared" si="296"/>
        <v>73</v>
      </c>
      <c r="AS980" s="374">
        <f t="shared" si="297"/>
        <v>1544</v>
      </c>
    </row>
    <row r="981" spans="1:45" ht="15.75" customHeight="1" x14ac:dyDescent="0.3">
      <c r="A981" s="365" t="s">
        <v>22</v>
      </c>
      <c r="B981" s="325">
        <f t="shared" si="279"/>
        <v>232601</v>
      </c>
      <c r="C981" s="164">
        <f t="shared" si="268"/>
        <v>0</v>
      </c>
      <c r="D981" s="164">
        <f t="shared" si="269"/>
        <v>9976</v>
      </c>
      <c r="E981" s="164">
        <f t="shared" si="270"/>
        <v>232601</v>
      </c>
      <c r="F981" s="333">
        <f t="shared" si="271"/>
        <v>242577</v>
      </c>
      <c r="G981" s="325">
        <f t="shared" si="272"/>
        <v>9.8083964350448287</v>
      </c>
      <c r="H981" s="398">
        <v>7321</v>
      </c>
      <c r="I981" s="398">
        <v>0</v>
      </c>
      <c r="J981" s="164">
        <f>(H981+I981)</f>
        <v>7321</v>
      </c>
      <c r="K981" s="398">
        <v>0</v>
      </c>
      <c r="L981" s="398">
        <v>0</v>
      </c>
      <c r="M981" s="399">
        <f t="shared" si="274"/>
        <v>235246.19160356495</v>
      </c>
      <c r="N981" s="400">
        <v>0</v>
      </c>
      <c r="O981" s="394">
        <f t="shared" si="275"/>
        <v>235246.19160356495</v>
      </c>
      <c r="P981" s="401">
        <v>0.3</v>
      </c>
      <c r="Q981" s="386">
        <f t="shared" si="276"/>
        <v>-70573.857481069484</v>
      </c>
      <c r="R981" s="394">
        <v>210929</v>
      </c>
      <c r="S981" s="402">
        <f t="shared" si="277"/>
        <v>24317.191603564948</v>
      </c>
      <c r="T981" s="164">
        <f t="shared" si="280"/>
        <v>24317.191603564948</v>
      </c>
      <c r="U981" s="333" t="str">
        <f t="shared" si="278"/>
        <v/>
      </c>
      <c r="V981" s="307"/>
      <c r="AC981" s="375" t="s">
        <v>13</v>
      </c>
      <c r="AD981" s="159">
        <f t="shared" si="282"/>
        <v>0</v>
      </c>
      <c r="AE981" s="159">
        <f t="shared" si="283"/>
        <v>0</v>
      </c>
      <c r="AF981" s="159">
        <f t="shared" si="284"/>
        <v>0</v>
      </c>
      <c r="AG981" s="159">
        <f t="shared" si="285"/>
        <v>0</v>
      </c>
      <c r="AH981" s="159">
        <f t="shared" si="286"/>
        <v>85</v>
      </c>
      <c r="AI981" s="159">
        <f t="shared" si="287"/>
        <v>161</v>
      </c>
      <c r="AJ981" s="159">
        <f t="shared" si="288"/>
        <v>230</v>
      </c>
      <c r="AK981" s="159">
        <f t="shared" si="289"/>
        <v>305</v>
      </c>
      <c r="AL981" s="159">
        <f t="shared" si="290"/>
        <v>255</v>
      </c>
      <c r="AM981" s="159">
        <f t="shared" si="291"/>
        <v>81</v>
      </c>
      <c r="AN981" s="159">
        <f t="shared" si="292"/>
        <v>96</v>
      </c>
      <c r="AO981" s="159">
        <f t="shared" si="293"/>
        <v>182</v>
      </c>
      <c r="AP981" s="159">
        <f t="shared" si="294"/>
        <v>24</v>
      </c>
      <c r="AQ981" s="159">
        <f t="shared" si="295"/>
        <v>74</v>
      </c>
      <c r="AR981" s="159">
        <f t="shared" si="296"/>
        <v>57</v>
      </c>
      <c r="AS981" s="374">
        <f t="shared" si="297"/>
        <v>1550</v>
      </c>
    </row>
    <row r="982" spans="1:45" ht="15.75" customHeight="1" x14ac:dyDescent="0.3">
      <c r="A982" s="377" t="s">
        <v>424</v>
      </c>
      <c r="B982" s="325" t="s">
        <v>424</v>
      </c>
      <c r="C982" s="164"/>
      <c r="D982" s="164"/>
      <c r="E982" s="164" t="s">
        <v>7</v>
      </c>
      <c r="F982" s="333"/>
      <c r="G982" s="325"/>
      <c r="H982" s="164"/>
      <c r="I982" s="164" t="s">
        <v>7</v>
      </c>
      <c r="J982" s="164" t="s">
        <v>7</v>
      </c>
      <c r="K982" s="403"/>
      <c r="L982" s="164"/>
      <c r="M982" s="399"/>
      <c r="N982" s="400"/>
      <c r="O982" s="394"/>
      <c r="P982" s="401"/>
      <c r="Q982" s="400"/>
      <c r="R982" s="394"/>
      <c r="S982" s="402"/>
      <c r="T982" s="164"/>
      <c r="U982" s="333"/>
      <c r="V982" s="307"/>
      <c r="AC982" s="375" t="s">
        <v>14</v>
      </c>
      <c r="AD982" s="159">
        <f t="shared" si="282"/>
        <v>0</v>
      </c>
      <c r="AE982" s="159">
        <f t="shared" si="283"/>
        <v>0</v>
      </c>
      <c r="AF982" s="159">
        <f t="shared" si="284"/>
        <v>0</v>
      </c>
      <c r="AG982" s="159">
        <f t="shared" si="285"/>
        <v>0</v>
      </c>
      <c r="AH982" s="159">
        <f t="shared" si="286"/>
        <v>0</v>
      </c>
      <c r="AI982" s="159">
        <f t="shared" si="287"/>
        <v>219</v>
      </c>
      <c r="AJ982" s="159">
        <f t="shared" si="288"/>
        <v>325</v>
      </c>
      <c r="AK982" s="159">
        <f t="shared" si="289"/>
        <v>317</v>
      </c>
      <c r="AL982" s="159">
        <f t="shared" si="290"/>
        <v>267</v>
      </c>
      <c r="AM982" s="159">
        <f t="shared" si="291"/>
        <v>88</v>
      </c>
      <c r="AN982" s="159">
        <f t="shared" si="292"/>
        <v>103</v>
      </c>
      <c r="AO982" s="159">
        <f t="shared" si="293"/>
        <v>213</v>
      </c>
      <c r="AP982" s="159">
        <f t="shared" si="294"/>
        <v>37</v>
      </c>
      <c r="AQ982" s="159">
        <f t="shared" si="295"/>
        <v>93</v>
      </c>
      <c r="AR982" s="159">
        <f t="shared" si="296"/>
        <v>88</v>
      </c>
      <c r="AS982" s="374">
        <f t="shared" si="297"/>
        <v>1750</v>
      </c>
    </row>
    <row r="983" spans="1:45" ht="16.5" customHeight="1" thickBot="1" x14ac:dyDescent="0.35">
      <c r="A983" s="404" t="s">
        <v>422</v>
      </c>
      <c r="B983" s="330">
        <f>SUM(B970:B981)</f>
        <v>2471599</v>
      </c>
      <c r="C983" s="335">
        <f>+SUM(C970:C981)</f>
        <v>0</v>
      </c>
      <c r="D983" s="335">
        <f>SUM(D970:D981)</f>
        <v>106211</v>
      </c>
      <c r="E983" s="335">
        <f t="shared" si="270"/>
        <v>2471599</v>
      </c>
      <c r="F983" s="405">
        <f>SUM(F970:F981)</f>
        <v>2577810</v>
      </c>
      <c r="G983" s="330">
        <f>SUM(G970:G981)</f>
        <v>41427.945619522339</v>
      </c>
      <c r="H983" s="335">
        <f>SUM(H970:H981)</f>
        <v>132627</v>
      </c>
      <c r="I983" s="335">
        <f>SUM(I970:I981)</f>
        <v>0</v>
      </c>
      <c r="J983" s="335">
        <f>(H983+I983)</f>
        <v>132627</v>
      </c>
      <c r="K983" s="335">
        <f>SUM(K970:K981)</f>
        <v>0</v>
      </c>
      <c r="L983" s="335">
        <f>SUM(L970:L981)</f>
        <v>0</v>
      </c>
      <c r="M983" s="406">
        <f>SUM(M970:M981)</f>
        <v>2403755.0543804779</v>
      </c>
      <c r="N983" s="407">
        <f>SUM(N970:N981)</f>
        <v>122216</v>
      </c>
      <c r="O983" s="408">
        <f t="shared" si="275"/>
        <v>2525971.0543804779</v>
      </c>
      <c r="P983" s="409">
        <f>Q983/O983</f>
        <v>-0.18584582019629031</v>
      </c>
      <c r="Q983" s="410">
        <f>SUM(Q970:Q981)</f>
        <v>-469441.16239342815</v>
      </c>
      <c r="R983" s="408">
        <f>SUM(R970:R981)</f>
        <v>2833138</v>
      </c>
      <c r="S983" s="411">
        <f>(F983-G983-J983-K983-L983-R983)</f>
        <v>-429382.94561952213</v>
      </c>
      <c r="T983" s="335">
        <f>+SUM(T970:T981)</f>
        <v>28904.191603564948</v>
      </c>
      <c r="U983" s="405">
        <f>+SUM(U970:U981)</f>
        <v>458287.13722308737</v>
      </c>
      <c r="V983" s="307"/>
      <c r="AC983" s="375" t="s">
        <v>16</v>
      </c>
      <c r="AD983" s="159">
        <f t="shared" si="282"/>
        <v>0</v>
      </c>
      <c r="AE983" s="159">
        <f t="shared" si="283"/>
        <v>0</v>
      </c>
      <c r="AF983" s="159">
        <f t="shared" si="284"/>
        <v>0</v>
      </c>
      <c r="AG983" s="159">
        <f t="shared" si="285"/>
        <v>0</v>
      </c>
      <c r="AH983" s="159">
        <f t="shared" si="286"/>
        <v>0</v>
      </c>
      <c r="AI983" s="159">
        <f t="shared" si="287"/>
        <v>175</v>
      </c>
      <c r="AJ983" s="159">
        <f t="shared" si="288"/>
        <v>342</v>
      </c>
      <c r="AK983" s="159">
        <f t="shared" si="289"/>
        <v>327</v>
      </c>
      <c r="AL983" s="159">
        <f t="shared" si="290"/>
        <v>264</v>
      </c>
      <c r="AM983" s="159">
        <f t="shared" si="291"/>
        <v>89</v>
      </c>
      <c r="AN983" s="159">
        <f t="shared" si="292"/>
        <v>105</v>
      </c>
      <c r="AO983" s="159">
        <f t="shared" si="293"/>
        <v>207</v>
      </c>
      <c r="AP983" s="159">
        <f t="shared" si="294"/>
        <v>31</v>
      </c>
      <c r="AQ983" s="159">
        <f t="shared" si="295"/>
        <v>77</v>
      </c>
      <c r="AR983" s="159">
        <f t="shared" si="296"/>
        <v>74</v>
      </c>
      <c r="AS983" s="374">
        <f t="shared" si="297"/>
        <v>1691</v>
      </c>
    </row>
    <row r="984" spans="1:45" ht="15.75" customHeight="1" x14ac:dyDescent="0.3">
      <c r="A984" s="306"/>
      <c r="B984" s="159"/>
      <c r="C984" s="159"/>
      <c r="D984" s="159"/>
      <c r="E984" s="159"/>
      <c r="F984" s="159" t="s">
        <v>424</v>
      </c>
      <c r="G984" s="159"/>
      <c r="H984" s="159"/>
      <c r="I984" s="159"/>
      <c r="K984" s="159"/>
      <c r="L984" s="159"/>
      <c r="M984" s="173"/>
      <c r="O984" s="368"/>
      <c r="P984" s="319"/>
      <c r="V984" s="307"/>
      <c r="AC984" s="375" t="s">
        <v>17</v>
      </c>
      <c r="AD984" s="159">
        <f t="shared" si="282"/>
        <v>0</v>
      </c>
      <c r="AE984" s="159">
        <f t="shared" si="283"/>
        <v>0</v>
      </c>
      <c r="AF984" s="159">
        <f t="shared" si="284"/>
        <v>0</v>
      </c>
      <c r="AG984" s="159">
        <f t="shared" si="285"/>
        <v>0</v>
      </c>
      <c r="AH984" s="159">
        <f t="shared" si="286"/>
        <v>0</v>
      </c>
      <c r="AI984" s="159">
        <f t="shared" si="287"/>
        <v>173</v>
      </c>
      <c r="AJ984" s="159">
        <f t="shared" si="288"/>
        <v>308</v>
      </c>
      <c r="AK984" s="159">
        <f t="shared" si="289"/>
        <v>334</v>
      </c>
      <c r="AL984" s="159">
        <f t="shared" si="290"/>
        <v>278</v>
      </c>
      <c r="AM984" s="159">
        <f t="shared" si="291"/>
        <v>89</v>
      </c>
      <c r="AN984" s="159">
        <f t="shared" si="292"/>
        <v>105</v>
      </c>
      <c r="AO984" s="159">
        <f t="shared" si="293"/>
        <v>213</v>
      </c>
      <c r="AP984" s="159">
        <f t="shared" si="294"/>
        <v>29</v>
      </c>
      <c r="AQ984" s="159">
        <f t="shared" si="295"/>
        <v>73</v>
      </c>
      <c r="AR984" s="159">
        <f t="shared" si="296"/>
        <v>69</v>
      </c>
      <c r="AS984" s="374">
        <f t="shared" si="297"/>
        <v>1671</v>
      </c>
    </row>
    <row r="985" spans="1:45" ht="15.75" customHeight="1" x14ac:dyDescent="0.3">
      <c r="A985" s="323" t="s">
        <v>1074</v>
      </c>
      <c r="P985" s="159"/>
      <c r="Q985" s="159"/>
      <c r="R985" s="159"/>
      <c r="V985" s="307"/>
      <c r="AC985" s="375" t="s">
        <v>18</v>
      </c>
      <c r="AD985" s="159">
        <f t="shared" si="282"/>
        <v>0</v>
      </c>
      <c r="AE985" s="159">
        <f t="shared" si="283"/>
        <v>0</v>
      </c>
      <c r="AF985" s="159">
        <f t="shared" si="284"/>
        <v>0</v>
      </c>
      <c r="AG985" s="159">
        <f t="shared" si="285"/>
        <v>0</v>
      </c>
      <c r="AH985" s="159">
        <f t="shared" si="286"/>
        <v>27</v>
      </c>
      <c r="AI985" s="159">
        <f t="shared" si="287"/>
        <v>134</v>
      </c>
      <c r="AJ985" s="159">
        <f t="shared" si="288"/>
        <v>222</v>
      </c>
      <c r="AK985" s="159">
        <f t="shared" si="289"/>
        <v>281</v>
      </c>
      <c r="AL985" s="159">
        <f t="shared" si="290"/>
        <v>251</v>
      </c>
      <c r="AM985" s="159">
        <f t="shared" si="291"/>
        <v>78</v>
      </c>
      <c r="AN985" s="159">
        <f t="shared" si="292"/>
        <v>92</v>
      </c>
      <c r="AO985" s="159">
        <f t="shared" si="293"/>
        <v>183</v>
      </c>
      <c r="AP985" s="159">
        <f t="shared" si="294"/>
        <v>28</v>
      </c>
      <c r="AQ985" s="159">
        <f t="shared" si="295"/>
        <v>70</v>
      </c>
      <c r="AR985" s="159">
        <f t="shared" si="296"/>
        <v>64</v>
      </c>
      <c r="AS985" s="374">
        <f t="shared" si="297"/>
        <v>1430</v>
      </c>
    </row>
    <row r="986" spans="1:45" ht="15.75" customHeight="1" x14ac:dyDescent="0.3">
      <c r="A986" s="323" t="s">
        <v>498</v>
      </c>
      <c r="D986" s="159"/>
      <c r="E986" s="159"/>
      <c r="F986" s="159"/>
      <c r="G986" s="159"/>
      <c r="H986" s="159"/>
      <c r="I986" s="159"/>
      <c r="J986" s="159"/>
      <c r="K986" s="159"/>
      <c r="L986" s="159"/>
      <c r="M986" s="159"/>
      <c r="N986" s="159"/>
      <c r="O986" s="159"/>
      <c r="P986" s="159"/>
      <c r="Q986" s="159"/>
      <c r="R986" s="159"/>
      <c r="V986" s="307"/>
      <c r="AC986" s="375" t="s">
        <v>20</v>
      </c>
      <c r="AD986" s="159">
        <f t="shared" si="282"/>
        <v>0</v>
      </c>
      <c r="AE986" s="159">
        <f t="shared" si="283"/>
        <v>0</v>
      </c>
      <c r="AF986" s="159">
        <f t="shared" si="284"/>
        <v>0</v>
      </c>
      <c r="AG986" s="159">
        <f t="shared" si="285"/>
        <v>0</v>
      </c>
      <c r="AH986" s="159">
        <f t="shared" si="286"/>
        <v>128</v>
      </c>
      <c r="AI986" s="159">
        <f t="shared" si="287"/>
        <v>69</v>
      </c>
      <c r="AJ986" s="159">
        <f t="shared" si="288"/>
        <v>84</v>
      </c>
      <c r="AK986" s="159">
        <f t="shared" si="289"/>
        <v>111</v>
      </c>
      <c r="AL986" s="159">
        <f t="shared" si="290"/>
        <v>104</v>
      </c>
      <c r="AM986" s="159">
        <f t="shared" si="291"/>
        <v>29</v>
      </c>
      <c r="AN986" s="159">
        <f t="shared" si="292"/>
        <v>34</v>
      </c>
      <c r="AO986" s="159">
        <f t="shared" si="293"/>
        <v>63</v>
      </c>
      <c r="AP986" s="159">
        <f t="shared" si="294"/>
        <v>26</v>
      </c>
      <c r="AQ986" s="159">
        <f t="shared" si="295"/>
        <v>66</v>
      </c>
      <c r="AR986" s="159">
        <f t="shared" si="296"/>
        <v>62</v>
      </c>
      <c r="AS986" s="374">
        <f t="shared" si="297"/>
        <v>776</v>
      </c>
    </row>
    <row r="987" spans="1:45" ht="15.75" customHeight="1" x14ac:dyDescent="0.3">
      <c r="A987" s="323" t="s">
        <v>1075</v>
      </c>
      <c r="D987" s="159"/>
      <c r="E987" s="159"/>
      <c r="F987" s="159"/>
      <c r="G987" s="159"/>
      <c r="H987" s="159"/>
      <c r="I987" s="159"/>
      <c r="J987" s="159"/>
      <c r="K987" s="159"/>
      <c r="L987" s="159"/>
      <c r="M987" s="159"/>
      <c r="N987" s="159"/>
      <c r="O987" s="159"/>
      <c r="P987" s="159"/>
      <c r="Q987" s="159"/>
      <c r="R987" s="159"/>
      <c r="V987" s="307"/>
      <c r="AC987" s="375" t="s">
        <v>21</v>
      </c>
      <c r="AD987" s="159">
        <f t="shared" si="282"/>
        <v>0</v>
      </c>
      <c r="AE987" s="159">
        <f t="shared" si="283"/>
        <v>0</v>
      </c>
      <c r="AF987" s="159">
        <f t="shared" si="284"/>
        <v>0</v>
      </c>
      <c r="AG987" s="159">
        <f t="shared" si="285"/>
        <v>0</v>
      </c>
      <c r="AH987" s="159">
        <f t="shared" si="286"/>
        <v>201</v>
      </c>
      <c r="AI987" s="159">
        <f t="shared" si="287"/>
        <v>39</v>
      </c>
      <c r="AJ987" s="159">
        <f t="shared" si="288"/>
        <v>26</v>
      </c>
      <c r="AK987" s="159">
        <f t="shared" si="289"/>
        <v>36</v>
      </c>
      <c r="AL987" s="159">
        <f t="shared" si="290"/>
        <v>33</v>
      </c>
      <c r="AM987" s="159">
        <f t="shared" si="291"/>
        <v>6</v>
      </c>
      <c r="AN987" s="159">
        <f t="shared" si="292"/>
        <v>7</v>
      </c>
      <c r="AO987" s="159">
        <f t="shared" si="293"/>
        <v>13</v>
      </c>
      <c r="AP987" s="159">
        <f t="shared" si="294"/>
        <v>8</v>
      </c>
      <c r="AQ987" s="159">
        <f t="shared" si="295"/>
        <v>33</v>
      </c>
      <c r="AR987" s="159">
        <f t="shared" si="296"/>
        <v>19</v>
      </c>
      <c r="AS987" s="374">
        <f t="shared" si="297"/>
        <v>421</v>
      </c>
    </row>
    <row r="988" spans="1:45" ht="15.75" customHeight="1" thickBot="1" x14ac:dyDescent="0.35">
      <c r="A988" s="326" t="s">
        <v>1076</v>
      </c>
      <c r="B988" s="312"/>
      <c r="C988" s="312"/>
      <c r="D988" s="327"/>
      <c r="E988" s="327"/>
      <c r="F988" s="327"/>
      <c r="G988" s="327"/>
      <c r="H988" s="327"/>
      <c r="I988" s="327"/>
      <c r="J988" s="327"/>
      <c r="K988" s="327"/>
      <c r="L988" s="327"/>
      <c r="M988" s="327"/>
      <c r="N988" s="327"/>
      <c r="O988" s="327"/>
      <c r="P988" s="327"/>
      <c r="Q988" s="327"/>
      <c r="R988" s="327"/>
      <c r="S988" s="312"/>
      <c r="T988" s="312"/>
      <c r="U988" s="312"/>
      <c r="V988" s="313"/>
      <c r="AC988" s="375" t="s">
        <v>22</v>
      </c>
      <c r="AD988" s="159">
        <f t="shared" si="282"/>
        <v>0</v>
      </c>
      <c r="AE988" s="159">
        <f t="shared" si="283"/>
        <v>0</v>
      </c>
      <c r="AF988" s="159">
        <f t="shared" si="284"/>
        <v>0</v>
      </c>
      <c r="AG988" s="159">
        <f t="shared" si="285"/>
        <v>0</v>
      </c>
      <c r="AH988" s="159">
        <f t="shared" si="286"/>
        <v>222</v>
      </c>
      <c r="AI988" s="159">
        <f t="shared" si="287"/>
        <v>60</v>
      </c>
      <c r="AJ988" s="159">
        <f t="shared" si="288"/>
        <v>83</v>
      </c>
      <c r="AK988" s="159">
        <f t="shared" si="289"/>
        <v>118</v>
      </c>
      <c r="AL988" s="159">
        <f t="shared" si="290"/>
        <v>121</v>
      </c>
      <c r="AM988" s="159">
        <f t="shared" si="291"/>
        <v>29</v>
      </c>
      <c r="AN988" s="159">
        <f t="shared" si="292"/>
        <v>34</v>
      </c>
      <c r="AO988" s="159">
        <f t="shared" si="293"/>
        <v>73</v>
      </c>
      <c r="AP988" s="159">
        <f t="shared" si="294"/>
        <v>23</v>
      </c>
      <c r="AQ988" s="159">
        <f t="shared" si="295"/>
        <v>47</v>
      </c>
      <c r="AR988" s="159">
        <f t="shared" si="296"/>
        <v>54</v>
      </c>
      <c r="AS988" s="374">
        <f t="shared" si="297"/>
        <v>864</v>
      </c>
    </row>
    <row r="989" spans="1:45" ht="15.75" customHeight="1" thickBot="1" x14ac:dyDescent="0.35">
      <c r="A989" s="323"/>
      <c r="D989" s="159"/>
      <c r="E989" s="159"/>
      <c r="F989" s="159"/>
      <c r="G989" s="159"/>
      <c r="H989" s="159"/>
      <c r="I989" s="159"/>
      <c r="J989" s="159"/>
      <c r="K989" s="159"/>
      <c r="L989" s="159"/>
      <c r="M989" s="159"/>
      <c r="N989" s="159"/>
      <c r="O989" s="159"/>
      <c r="P989" s="159"/>
      <c r="Q989" s="159"/>
      <c r="R989" s="159"/>
      <c r="S989" s="368"/>
      <c r="V989" s="452"/>
      <c r="AC989" s="306"/>
      <c r="AD989" s="159"/>
      <c r="AE989" s="159"/>
      <c r="AF989" s="159"/>
      <c r="AG989" s="159"/>
      <c r="AH989" s="159"/>
      <c r="AI989" s="159"/>
      <c r="AJ989" s="159"/>
      <c r="AK989" s="159"/>
      <c r="AL989" s="159"/>
      <c r="AM989" s="159"/>
      <c r="AN989" s="159"/>
      <c r="AO989" s="159"/>
      <c r="AP989" s="159"/>
      <c r="AQ989" s="159"/>
      <c r="AR989" s="159"/>
      <c r="AS989" s="374"/>
    </row>
    <row r="990" spans="1:45" ht="15.75" customHeight="1" thickBot="1" x14ac:dyDescent="0.35">
      <c r="A990" s="365"/>
      <c r="B990" s="534" t="s">
        <v>1077</v>
      </c>
      <c r="C990" s="535"/>
      <c r="D990" s="535"/>
      <c r="E990" s="535"/>
      <c r="F990" s="535"/>
      <c r="G990" s="535"/>
      <c r="H990" s="535"/>
      <c r="I990" s="535"/>
      <c r="J990" s="535"/>
      <c r="K990" s="535"/>
      <c r="L990" s="535"/>
      <c r="M990" s="535"/>
      <c r="N990" s="535"/>
      <c r="O990" s="535"/>
      <c r="P990" s="535"/>
      <c r="Q990" s="319"/>
      <c r="R990" s="319"/>
      <c r="S990" s="452"/>
      <c r="T990" s="368"/>
      <c r="U990" s="368"/>
      <c r="V990" s="332"/>
      <c r="AC990" s="382" t="s">
        <v>422</v>
      </c>
      <c r="AD990" s="327">
        <f>SUM(AD977:AD988)</f>
        <v>0</v>
      </c>
      <c r="AE990" s="327">
        <f t="shared" ref="AE990:AS990" si="298">SUM(AE977:AE988)</f>
        <v>0</v>
      </c>
      <c r="AF990" s="327">
        <f t="shared" si="298"/>
        <v>0</v>
      </c>
      <c r="AG990" s="327">
        <f t="shared" si="298"/>
        <v>0</v>
      </c>
      <c r="AH990" s="327">
        <f t="shared" si="298"/>
        <v>1107</v>
      </c>
      <c r="AI990" s="327">
        <f t="shared" si="298"/>
        <v>1422</v>
      </c>
      <c r="AJ990" s="327">
        <f t="shared" si="298"/>
        <v>2290</v>
      </c>
      <c r="AK990" s="327">
        <f t="shared" si="298"/>
        <v>2705</v>
      </c>
      <c r="AL990" s="327">
        <f t="shared" si="298"/>
        <v>2402</v>
      </c>
      <c r="AM990" s="327">
        <f t="shared" si="298"/>
        <v>758</v>
      </c>
      <c r="AN990" s="327">
        <f t="shared" si="298"/>
        <v>892</v>
      </c>
      <c r="AO990" s="327">
        <f t="shared" si="298"/>
        <v>1789</v>
      </c>
      <c r="AP990" s="327">
        <f t="shared" si="298"/>
        <v>313</v>
      </c>
      <c r="AQ990" s="327">
        <f t="shared" si="298"/>
        <v>612</v>
      </c>
      <c r="AR990" s="327">
        <f t="shared" si="298"/>
        <v>742</v>
      </c>
      <c r="AS990" s="383">
        <f t="shared" si="298"/>
        <v>15032</v>
      </c>
    </row>
    <row r="991" spans="1:45" ht="15.75" customHeight="1" thickBot="1" x14ac:dyDescent="0.35">
      <c r="A991" s="365"/>
      <c r="B991" s="523" t="s">
        <v>1041</v>
      </c>
      <c r="C991" s="524"/>
      <c r="D991" s="524"/>
      <c r="E991" s="524"/>
      <c r="F991" s="525"/>
      <c r="G991" s="523" t="s">
        <v>1042</v>
      </c>
      <c r="H991" s="524"/>
      <c r="I991" s="524"/>
      <c r="J991" s="524"/>
      <c r="K991" s="524"/>
      <c r="L991" s="524"/>
      <c r="M991" s="526" t="s">
        <v>1043</v>
      </c>
      <c r="N991" s="536"/>
      <c r="O991" s="536"/>
      <c r="P991" s="527"/>
      <c r="Q991" s="527"/>
      <c r="R991" s="528"/>
      <c r="S991" s="523" t="s">
        <v>1044</v>
      </c>
      <c r="T991" s="529"/>
      <c r="U991" s="530"/>
      <c r="V991" s="307"/>
    </row>
    <row r="992" spans="1:45" ht="15.75" customHeight="1" x14ac:dyDescent="0.3">
      <c r="A992" s="377"/>
      <c r="B992" s="325" t="s">
        <v>428</v>
      </c>
      <c r="C992" s="164"/>
      <c r="D992" s="164" t="s">
        <v>469</v>
      </c>
      <c r="E992" s="164" t="s">
        <v>470</v>
      </c>
      <c r="F992" s="333" t="s">
        <v>1045</v>
      </c>
      <c r="G992" s="325" t="s">
        <v>471</v>
      </c>
      <c r="H992" s="164"/>
      <c r="I992" s="164"/>
      <c r="J992" s="164" t="s">
        <v>472</v>
      </c>
      <c r="K992" s="164" t="s">
        <v>1046</v>
      </c>
      <c r="L992" s="164" t="s">
        <v>1047</v>
      </c>
      <c r="M992" s="537" t="str">
        <f>+M965</f>
        <v>(NE)* per WAPA</v>
      </c>
      <c r="N992" s="538"/>
      <c r="O992" s="538"/>
      <c r="P992" s="412"/>
      <c r="Q992" s="386"/>
      <c r="R992" s="394"/>
      <c r="S992" s="325" t="s">
        <v>1049</v>
      </c>
      <c r="T992" s="388" t="s">
        <v>486</v>
      </c>
      <c r="U992" s="389" t="s">
        <v>1050</v>
      </c>
      <c r="V992" s="307"/>
    </row>
    <row r="993" spans="1:22" ht="15.75" customHeight="1" x14ac:dyDescent="0.3">
      <c r="A993" s="377"/>
      <c r="B993" s="390" t="s">
        <v>1051</v>
      </c>
      <c r="C993" s="391" t="s">
        <v>1052</v>
      </c>
      <c r="D993" s="391" t="s">
        <v>1053</v>
      </c>
      <c r="E993" s="164" t="s">
        <v>442</v>
      </c>
      <c r="F993" s="392" t="s">
        <v>1054</v>
      </c>
      <c r="G993" s="325" t="s">
        <v>429</v>
      </c>
      <c r="H993" s="164" t="s">
        <v>478</v>
      </c>
      <c r="I993" s="164" t="s">
        <v>479</v>
      </c>
      <c r="J993" s="391" t="s">
        <v>1055</v>
      </c>
      <c r="K993" s="164" t="s">
        <v>1034</v>
      </c>
      <c r="L993" s="391" t="s">
        <v>1056</v>
      </c>
      <c r="M993" s="393" t="s">
        <v>1057</v>
      </c>
      <c r="N993" s="385" t="s">
        <v>1058</v>
      </c>
      <c r="O993" s="386" t="s">
        <v>422</v>
      </c>
      <c r="P993" s="393" t="s">
        <v>1059</v>
      </c>
      <c r="Q993" s="385" t="s">
        <v>1059</v>
      </c>
      <c r="R993" s="394" t="s">
        <v>1060</v>
      </c>
      <c r="S993" s="325" t="s">
        <v>1061</v>
      </c>
      <c r="T993" s="164" t="s">
        <v>1062</v>
      </c>
      <c r="U993" s="333" t="s">
        <v>1063</v>
      </c>
      <c r="V993" s="307"/>
    </row>
    <row r="994" spans="1:22" ht="15.75" customHeight="1" x14ac:dyDescent="0.3">
      <c r="A994" s="377"/>
      <c r="B994" s="395" t="s">
        <v>1064</v>
      </c>
      <c r="C994" s="169">
        <v>5.0000000000000001E-3</v>
      </c>
      <c r="D994" s="169">
        <v>4.2999999999999997E-2</v>
      </c>
      <c r="E994" s="164" t="s">
        <v>485</v>
      </c>
      <c r="F994" s="396" t="s">
        <v>1065</v>
      </c>
      <c r="G994" s="325" t="s">
        <v>1066</v>
      </c>
      <c r="H994" s="164" t="s">
        <v>442</v>
      </c>
      <c r="I994" s="164" t="s">
        <v>442</v>
      </c>
      <c r="J994" s="164" t="s">
        <v>442</v>
      </c>
      <c r="K994" s="164" t="s">
        <v>486</v>
      </c>
      <c r="L994" s="164" t="s">
        <v>1067</v>
      </c>
      <c r="M994" s="397" t="s">
        <v>434</v>
      </c>
      <c r="N994" s="386" t="s">
        <v>1068</v>
      </c>
      <c r="O994" s="386" t="s">
        <v>1069</v>
      </c>
      <c r="P994" s="397" t="s">
        <v>1070</v>
      </c>
      <c r="Q994" s="385" t="s">
        <v>1070</v>
      </c>
      <c r="R994" s="394" t="s">
        <v>1069</v>
      </c>
      <c r="S994" s="325" t="s">
        <v>442</v>
      </c>
      <c r="T994" s="164" t="s">
        <v>442</v>
      </c>
      <c r="U994" s="333" t="s">
        <v>442</v>
      </c>
      <c r="V994" s="307"/>
    </row>
    <row r="995" spans="1:22" ht="15.75" customHeight="1" x14ac:dyDescent="0.3">
      <c r="A995" s="377" t="s">
        <v>1071</v>
      </c>
      <c r="B995" s="325" t="s">
        <v>1078</v>
      </c>
      <c r="C995" s="164" t="s">
        <v>1078</v>
      </c>
      <c r="D995" s="164" t="s">
        <v>1078</v>
      </c>
      <c r="E995" s="164" t="s">
        <v>1078</v>
      </c>
      <c r="F995" s="164" t="s">
        <v>1078</v>
      </c>
      <c r="G995" s="325" t="s">
        <v>1078</v>
      </c>
      <c r="H995" s="164" t="s">
        <v>1078</v>
      </c>
      <c r="I995" s="164" t="s">
        <v>1078</v>
      </c>
      <c r="J995" s="164" t="s">
        <v>1078</v>
      </c>
      <c r="K995" s="164" t="s">
        <v>1078</v>
      </c>
      <c r="L995" s="164" t="s">
        <v>1078</v>
      </c>
      <c r="M995" s="397" t="s">
        <v>1078</v>
      </c>
      <c r="N995" s="386" t="s">
        <v>1079</v>
      </c>
      <c r="O995" s="386" t="s">
        <v>1078</v>
      </c>
      <c r="P995" s="397" t="s">
        <v>937</v>
      </c>
      <c r="Q995" s="385" t="s">
        <v>491</v>
      </c>
      <c r="R995" s="394" t="s">
        <v>491</v>
      </c>
      <c r="S995" s="325" t="s">
        <v>1078</v>
      </c>
      <c r="T995" s="164" t="s">
        <v>1078</v>
      </c>
      <c r="U995" s="333" t="s">
        <v>1078</v>
      </c>
      <c r="V995" s="307"/>
    </row>
    <row r="996" spans="1:22" ht="15.75" customHeight="1" x14ac:dyDescent="0.3">
      <c r="A996" s="377" t="s">
        <v>409</v>
      </c>
      <c r="B996" s="325" t="s">
        <v>409</v>
      </c>
      <c r="C996" s="164" t="s">
        <v>409</v>
      </c>
      <c r="D996" s="164" t="s">
        <v>409</v>
      </c>
      <c r="E996" s="164" t="s">
        <v>493</v>
      </c>
      <c r="F996" s="333" t="s">
        <v>409</v>
      </c>
      <c r="G996" s="325" t="s">
        <v>409</v>
      </c>
      <c r="H996" s="164" t="s">
        <v>494</v>
      </c>
      <c r="I996" s="164" t="s">
        <v>494</v>
      </c>
      <c r="J996" s="164" t="s">
        <v>409</v>
      </c>
      <c r="K996" s="164" t="s">
        <v>409</v>
      </c>
      <c r="L996" s="164" t="s">
        <v>409</v>
      </c>
      <c r="M996" s="397" t="s">
        <v>409</v>
      </c>
      <c r="N996" s="386" t="s">
        <v>409</v>
      </c>
      <c r="O996" s="386" t="s">
        <v>409</v>
      </c>
      <c r="P996" s="397" t="s">
        <v>409</v>
      </c>
      <c r="Q996" s="386" t="s">
        <v>409</v>
      </c>
      <c r="R996" s="394" t="s">
        <v>409</v>
      </c>
      <c r="S996" s="325" t="s">
        <v>409</v>
      </c>
      <c r="T996" s="164" t="s">
        <v>409</v>
      </c>
      <c r="U996" s="333" t="s">
        <v>409</v>
      </c>
      <c r="V996" s="307"/>
    </row>
    <row r="997" spans="1:22" ht="15.75" customHeight="1" x14ac:dyDescent="0.3">
      <c r="A997" s="365" t="s">
        <v>795</v>
      </c>
      <c r="B997" s="325">
        <f>+B970/($B$10*24)</f>
        <v>291.36827956989248</v>
      </c>
      <c r="C997" s="164">
        <f t="shared" ref="C997:L997" si="299">+C970/($B$10*24)</f>
        <v>0</v>
      </c>
      <c r="D997" s="164">
        <f t="shared" si="299"/>
        <v>12.083333333333334</v>
      </c>
      <c r="E997" s="164">
        <f t="shared" si="299"/>
        <v>291.36827956989248</v>
      </c>
      <c r="F997" s="333">
        <f t="shared" si="299"/>
        <v>303.45161290322579</v>
      </c>
      <c r="G997" s="164">
        <f t="shared" si="299"/>
        <v>0.72992462767791</v>
      </c>
      <c r="H997" s="164">
        <f t="shared" si="299"/>
        <v>10.06989247311828</v>
      </c>
      <c r="I997" s="164">
        <f t="shared" si="299"/>
        <v>0</v>
      </c>
      <c r="J997" s="164">
        <f t="shared" si="299"/>
        <v>10.06989247311828</v>
      </c>
      <c r="K997" s="164">
        <f t="shared" si="299"/>
        <v>0</v>
      </c>
      <c r="L997" s="164">
        <f t="shared" si="299"/>
        <v>0</v>
      </c>
      <c r="M997" s="397">
        <f>+M970/($B$10*24)</f>
        <v>292.6517958024296</v>
      </c>
      <c r="N997" s="386">
        <f t="shared" ref="N997" si="300">+N970/($B$10*24)</f>
        <v>0</v>
      </c>
      <c r="O997" s="386">
        <f>+O970/($B$10*24)</f>
        <v>292.6517958024296</v>
      </c>
      <c r="P997" s="413">
        <f>P970</f>
        <v>0</v>
      </c>
      <c r="Q997" s="386">
        <f>-O997*P997</f>
        <v>0</v>
      </c>
      <c r="R997" s="394">
        <f>O997+Q997</f>
        <v>292.6517958024296</v>
      </c>
      <c r="S997" s="414">
        <f>+S970/($B$10*24)</f>
        <v>-51.713795595419832</v>
      </c>
      <c r="T997" s="164" t="str">
        <f>+IF(S997&gt;=0,ABS(S997),"")</f>
        <v/>
      </c>
      <c r="U997" s="333">
        <f>+IF(S997&lt;=0,ABS(S997),"")</f>
        <v>51.713795595419832</v>
      </c>
      <c r="V997" s="307"/>
    </row>
    <row r="998" spans="1:22" ht="15.75" customHeight="1" x14ac:dyDescent="0.3">
      <c r="A998" s="365" t="s">
        <v>9</v>
      </c>
      <c r="B998" s="325">
        <f>+B971/($C$10*24)</f>
        <v>160.75595238095238</v>
      </c>
      <c r="C998" s="164">
        <f t="shared" ref="C998:N998" si="301">+C971/($C$10*24)</f>
        <v>0</v>
      </c>
      <c r="D998" s="164">
        <f t="shared" si="301"/>
        <v>6.822916666666667</v>
      </c>
      <c r="E998" s="164">
        <f t="shared" si="301"/>
        <v>160.75595238095238</v>
      </c>
      <c r="F998" s="333">
        <f t="shared" si="301"/>
        <v>167.57886904761904</v>
      </c>
      <c r="G998" s="164">
        <f t="shared" si="301"/>
        <v>1.8040539885886528</v>
      </c>
      <c r="H998" s="164">
        <f t="shared" si="301"/>
        <v>11.773809523809524</v>
      </c>
      <c r="I998" s="164">
        <f t="shared" si="301"/>
        <v>0</v>
      </c>
      <c r="J998" s="164">
        <f t="shared" si="301"/>
        <v>11.773809523809524</v>
      </c>
      <c r="K998" s="164">
        <f t="shared" si="301"/>
        <v>0</v>
      </c>
      <c r="L998" s="164">
        <f t="shared" si="301"/>
        <v>0</v>
      </c>
      <c r="M998" s="397">
        <f t="shared" si="301"/>
        <v>154.00100553522086</v>
      </c>
      <c r="N998" s="386">
        <f t="shared" si="301"/>
        <v>0</v>
      </c>
      <c r="O998" s="386">
        <f t="shared" ref="O998:O1008" si="302">+O971/($B$10*24)</f>
        <v>139.09768241890916</v>
      </c>
      <c r="P998" s="413">
        <f t="shared" ref="P998:P1008" si="303">P971</f>
        <v>0.35</v>
      </c>
      <c r="Q998" s="386">
        <f t="shared" ref="Q998:Q1008" si="304">-O998*P998</f>
        <v>-48.684188846618206</v>
      </c>
      <c r="R998" s="394">
        <f t="shared" ref="R998:R1008" si="305">O998+Q998</f>
        <v>90.413493572290946</v>
      </c>
      <c r="S998" s="414">
        <f>+S971/($C$10*24)</f>
        <v>-82.341256369541043</v>
      </c>
      <c r="T998" s="164" t="str">
        <f t="shared" ref="T998:T1008" si="306">+IF(S998&gt;=0,ABS(S998),"")</f>
        <v/>
      </c>
      <c r="U998" s="333">
        <f t="shared" ref="U998:U1008" si="307">+IF(S998&lt;=0,ABS(S998),"")</f>
        <v>82.341256369541043</v>
      </c>
      <c r="V998" s="307"/>
    </row>
    <row r="999" spans="1:22" ht="15.75" customHeight="1" x14ac:dyDescent="0.3">
      <c r="A999" s="365" t="s">
        <v>10</v>
      </c>
      <c r="B999" s="325">
        <f>+B972/($D$10*24)</f>
        <v>317.63844086021504</v>
      </c>
      <c r="C999" s="164">
        <f t="shared" ref="C999:N999" si="308">+C972/($D$10*24)</f>
        <v>0</v>
      </c>
      <c r="D999" s="164">
        <f t="shared" si="308"/>
        <v>13.748655913978494</v>
      </c>
      <c r="E999" s="164">
        <f t="shared" si="308"/>
        <v>317.63844086021504</v>
      </c>
      <c r="F999" s="333">
        <f t="shared" si="308"/>
        <v>331.38709677419354</v>
      </c>
      <c r="G999" s="164">
        <f t="shared" si="308"/>
        <v>4.4155504776721671E-2</v>
      </c>
      <c r="H999" s="164">
        <f t="shared" si="308"/>
        <v>20.922043010752688</v>
      </c>
      <c r="I999" s="164">
        <f t="shared" si="308"/>
        <v>0</v>
      </c>
      <c r="J999" s="164">
        <f t="shared" si="308"/>
        <v>20.922043010752688</v>
      </c>
      <c r="K999" s="164">
        <f t="shared" si="308"/>
        <v>0</v>
      </c>
      <c r="L999" s="164">
        <f t="shared" si="308"/>
        <v>0</v>
      </c>
      <c r="M999" s="397">
        <f t="shared" si="308"/>
        <v>310.42089825866412</v>
      </c>
      <c r="N999" s="386">
        <f t="shared" si="308"/>
        <v>0</v>
      </c>
      <c r="O999" s="386">
        <f t="shared" si="302"/>
        <v>310.42089825866412</v>
      </c>
      <c r="P999" s="413">
        <f t="shared" si="303"/>
        <v>0.33</v>
      </c>
      <c r="Q999" s="386">
        <f t="shared" si="304"/>
        <v>-102.43889642535916</v>
      </c>
      <c r="R999" s="394">
        <f t="shared" si="305"/>
        <v>207.98200183330496</v>
      </c>
      <c r="S999" s="414">
        <f>+S972/($D$10*24)</f>
        <v>-122.04012324671223</v>
      </c>
      <c r="T999" s="164" t="str">
        <f t="shared" si="306"/>
        <v/>
      </c>
      <c r="U999" s="333">
        <f t="shared" si="307"/>
        <v>122.04012324671223</v>
      </c>
      <c r="V999" s="307"/>
    </row>
    <row r="1000" spans="1:22" ht="15.75" customHeight="1" x14ac:dyDescent="0.3">
      <c r="A1000" s="365" t="s">
        <v>12</v>
      </c>
      <c r="B1000" s="325">
        <f>+B973/($F$10*24)</f>
        <v>378.08055555555558</v>
      </c>
      <c r="C1000" s="164">
        <f t="shared" ref="C1000:N1000" si="309">+C973/($F$10*24)</f>
        <v>0</v>
      </c>
      <c r="D1000" s="164">
        <f t="shared" si="309"/>
        <v>16.615277777777777</v>
      </c>
      <c r="E1000" s="164">
        <f t="shared" si="309"/>
        <v>378.08055555555558</v>
      </c>
      <c r="F1000" s="333">
        <f t="shared" si="309"/>
        <v>394.69583333333333</v>
      </c>
      <c r="G1000" s="164">
        <f t="shared" si="309"/>
        <v>1.3151325652218015E-3</v>
      </c>
      <c r="H1000" s="164">
        <f t="shared" si="309"/>
        <v>21.573611111111113</v>
      </c>
      <c r="I1000" s="164">
        <f t="shared" si="309"/>
        <v>0</v>
      </c>
      <c r="J1000" s="164">
        <f t="shared" si="309"/>
        <v>21.573611111111113</v>
      </c>
      <c r="K1000" s="164">
        <f t="shared" si="309"/>
        <v>0</v>
      </c>
      <c r="L1000" s="164">
        <f t="shared" si="309"/>
        <v>0</v>
      </c>
      <c r="M1000" s="397">
        <f t="shared" si="309"/>
        <v>373.12090708965695</v>
      </c>
      <c r="N1000" s="386">
        <f t="shared" si="309"/>
        <v>0</v>
      </c>
      <c r="O1000" s="386">
        <f t="shared" si="302"/>
        <v>361.08474879644223</v>
      </c>
      <c r="P1000" s="413">
        <f t="shared" si="303"/>
        <v>0.3</v>
      </c>
      <c r="Q1000" s="386">
        <f t="shared" si="304"/>
        <v>-108.32542463893266</v>
      </c>
      <c r="R1000" s="394">
        <f t="shared" si="305"/>
        <v>252.75932415750958</v>
      </c>
      <c r="S1000" s="414">
        <f>+S973/($F$10*24)</f>
        <v>-56.445759577009689</v>
      </c>
      <c r="T1000" s="164" t="str">
        <f t="shared" si="306"/>
        <v/>
      </c>
      <c r="U1000" s="333">
        <f t="shared" si="307"/>
        <v>56.445759577009689</v>
      </c>
      <c r="V1000" s="307"/>
    </row>
    <row r="1001" spans="1:22" ht="15.75" customHeight="1" x14ac:dyDescent="0.3">
      <c r="A1001" s="365" t="s">
        <v>13</v>
      </c>
      <c r="B1001" s="325">
        <f>+B974/($G$10*24)</f>
        <v>398.53494623655916</v>
      </c>
      <c r="C1001" s="164">
        <f t="shared" ref="C1001:N1001" si="310">+C974/($G$10*24)</f>
        <v>0</v>
      </c>
      <c r="D1001" s="164">
        <f t="shared" si="310"/>
        <v>17.436827956989248</v>
      </c>
      <c r="E1001" s="164">
        <f t="shared" si="310"/>
        <v>398.53494623655916</v>
      </c>
      <c r="F1001" s="333">
        <f t="shared" si="310"/>
        <v>415.97177419354841</v>
      </c>
      <c r="G1001" s="164">
        <f t="shared" si="310"/>
        <v>0.30943546361345459</v>
      </c>
      <c r="H1001" s="164">
        <f t="shared" si="310"/>
        <v>19.061827956989248</v>
      </c>
      <c r="I1001" s="164">
        <f t="shared" si="310"/>
        <v>0</v>
      </c>
      <c r="J1001" s="164">
        <f t="shared" si="310"/>
        <v>19.061827956989248</v>
      </c>
      <c r="K1001" s="164">
        <f t="shared" si="310"/>
        <v>0</v>
      </c>
      <c r="L1001" s="164">
        <f t="shared" si="310"/>
        <v>0</v>
      </c>
      <c r="M1001" s="397">
        <f t="shared" si="310"/>
        <v>396.60051077294565</v>
      </c>
      <c r="N1001" s="386">
        <f t="shared" si="310"/>
        <v>0</v>
      </c>
      <c r="O1001" s="386">
        <f t="shared" si="302"/>
        <v>396.60051077294565</v>
      </c>
      <c r="P1001" s="413">
        <f t="shared" si="303"/>
        <v>0.09</v>
      </c>
      <c r="Q1001" s="386">
        <f t="shared" si="304"/>
        <v>-35.69404596956511</v>
      </c>
      <c r="R1001" s="394">
        <f t="shared" si="305"/>
        <v>360.90646480338057</v>
      </c>
      <c r="S1001" s="414">
        <f>+S974/($G$10*24)</f>
        <v>-31.486854818452201</v>
      </c>
      <c r="T1001" s="164" t="str">
        <f t="shared" si="306"/>
        <v/>
      </c>
      <c r="U1001" s="333">
        <f t="shared" si="307"/>
        <v>31.486854818452201</v>
      </c>
      <c r="V1001" s="307"/>
    </row>
    <row r="1002" spans="1:22" ht="15.75" customHeight="1" x14ac:dyDescent="0.3">
      <c r="A1002" s="365" t="s">
        <v>14</v>
      </c>
      <c r="B1002" s="325">
        <f>+B975/($H$10*24)</f>
        <v>232.44722222222222</v>
      </c>
      <c r="C1002" s="164">
        <f t="shared" ref="C1002:N1002" si="311">+C975/($H$10*24)</f>
        <v>0</v>
      </c>
      <c r="D1002" s="164">
        <f t="shared" si="311"/>
        <v>9.719444444444445</v>
      </c>
      <c r="E1002" s="164">
        <f t="shared" si="311"/>
        <v>232.44722222222222</v>
      </c>
      <c r="F1002" s="333">
        <f t="shared" si="311"/>
        <v>242.16666666666666</v>
      </c>
      <c r="G1002" s="164">
        <f t="shared" si="311"/>
        <v>22.077255714644576</v>
      </c>
      <c r="H1002" s="164">
        <f t="shared" si="311"/>
        <v>18.2</v>
      </c>
      <c r="I1002" s="164">
        <f t="shared" si="311"/>
        <v>0</v>
      </c>
      <c r="J1002" s="164">
        <f t="shared" si="311"/>
        <v>18.2</v>
      </c>
      <c r="K1002" s="164">
        <f t="shared" si="311"/>
        <v>0</v>
      </c>
      <c r="L1002" s="164">
        <f t="shared" si="311"/>
        <v>0</v>
      </c>
      <c r="M1002" s="397">
        <f t="shared" si="311"/>
        <v>201.88941095202208</v>
      </c>
      <c r="N1002" s="386">
        <f t="shared" si="311"/>
        <v>33</v>
      </c>
      <c r="O1002" s="386">
        <f t="shared" si="302"/>
        <v>227.3123331793762</v>
      </c>
      <c r="P1002" s="413">
        <f t="shared" si="303"/>
        <v>7.0000000000000007E-2</v>
      </c>
      <c r="Q1002" s="386">
        <f t="shared" si="304"/>
        <v>-15.911863322556336</v>
      </c>
      <c r="R1002" s="394">
        <f t="shared" si="305"/>
        <v>211.40046985681985</v>
      </c>
      <c r="S1002" s="414">
        <f>+S975/($H$10*24)</f>
        <v>-69.084200159089036</v>
      </c>
      <c r="T1002" s="164" t="str">
        <f t="shared" si="306"/>
        <v/>
      </c>
      <c r="U1002" s="333">
        <f t="shared" si="307"/>
        <v>69.084200159089036</v>
      </c>
      <c r="V1002" s="307"/>
    </row>
    <row r="1003" spans="1:22" ht="15.75" customHeight="1" x14ac:dyDescent="0.3">
      <c r="A1003" s="365" t="s">
        <v>16</v>
      </c>
      <c r="B1003" s="325">
        <f>+B976/($J$10*24)</f>
        <v>206.7271505376344</v>
      </c>
      <c r="C1003" s="164">
        <f t="shared" ref="C1003:N1003" si="312">+C976/($J$10*24)</f>
        <v>0</v>
      </c>
      <c r="D1003" s="164">
        <f t="shared" si="312"/>
        <v>8.6223118279569899</v>
      </c>
      <c r="E1003" s="164">
        <f t="shared" si="312"/>
        <v>206.7271505376344</v>
      </c>
      <c r="F1003" s="333">
        <f t="shared" si="312"/>
        <v>215.34946236559139</v>
      </c>
      <c r="G1003" s="164">
        <f t="shared" si="312"/>
        <v>16.312897380082664</v>
      </c>
      <c r="H1003" s="164">
        <f t="shared" si="312"/>
        <v>17.716397849462364</v>
      </c>
      <c r="I1003" s="164">
        <f t="shared" si="312"/>
        <v>0</v>
      </c>
      <c r="J1003" s="164">
        <f t="shared" si="312"/>
        <v>17.716397849462364</v>
      </c>
      <c r="K1003" s="164">
        <f t="shared" si="312"/>
        <v>0</v>
      </c>
      <c r="L1003" s="164">
        <f t="shared" si="312"/>
        <v>0</v>
      </c>
      <c r="M1003" s="397">
        <f t="shared" si="312"/>
        <v>181.32016713604636</v>
      </c>
      <c r="N1003" s="386">
        <f t="shared" si="312"/>
        <v>65.666666666666671</v>
      </c>
      <c r="O1003" s="386">
        <f t="shared" si="302"/>
        <v>246.98683380271302</v>
      </c>
      <c r="P1003" s="413">
        <f t="shared" si="303"/>
        <v>7.4999999999999997E-2</v>
      </c>
      <c r="Q1003" s="386">
        <f t="shared" si="304"/>
        <v>-18.524012535203475</v>
      </c>
      <c r="R1003" s="394">
        <f t="shared" si="305"/>
        <v>228.46282126750955</v>
      </c>
      <c r="S1003" s="414">
        <f>+S976/($J$10*24)</f>
        <v>-95.378757595136435</v>
      </c>
      <c r="T1003" s="164" t="str">
        <f t="shared" si="306"/>
        <v/>
      </c>
      <c r="U1003" s="333">
        <f t="shared" si="307"/>
        <v>95.378757595136435</v>
      </c>
      <c r="V1003" s="307"/>
    </row>
    <row r="1004" spans="1:22" ht="15.75" customHeight="1" x14ac:dyDescent="0.3">
      <c r="A1004" s="365" t="s">
        <v>17</v>
      </c>
      <c r="B1004" s="325">
        <f>+B977/($K$10*24)</f>
        <v>200.02150537634409</v>
      </c>
      <c r="C1004" s="164">
        <f t="shared" ref="C1004:N1004" si="313">+C977/($K$10*24)</f>
        <v>0</v>
      </c>
      <c r="D1004" s="164">
        <f t="shared" si="313"/>
        <v>8.3172043010752681</v>
      </c>
      <c r="E1004" s="164">
        <f t="shared" si="313"/>
        <v>200.02150537634409</v>
      </c>
      <c r="F1004" s="333">
        <f t="shared" si="313"/>
        <v>208.33870967741936</v>
      </c>
      <c r="G1004" s="164">
        <f t="shared" si="313"/>
        <v>13.366155316767534</v>
      </c>
      <c r="H1004" s="164">
        <f t="shared" si="313"/>
        <v>13.849462365591398</v>
      </c>
      <c r="I1004" s="164">
        <f t="shared" si="313"/>
        <v>0</v>
      </c>
      <c r="J1004" s="164">
        <f t="shared" si="313"/>
        <v>13.849462365591398</v>
      </c>
      <c r="K1004" s="164">
        <f t="shared" si="313"/>
        <v>0</v>
      </c>
      <c r="L1004" s="164">
        <f t="shared" si="313"/>
        <v>0</v>
      </c>
      <c r="M1004" s="397">
        <f t="shared" si="313"/>
        <v>181.12309199506043</v>
      </c>
      <c r="N1004" s="386">
        <f t="shared" si="313"/>
        <v>66.666666666666671</v>
      </c>
      <c r="O1004" s="386">
        <f t="shared" si="302"/>
        <v>247.78975866172709</v>
      </c>
      <c r="P1004" s="413">
        <f t="shared" si="303"/>
        <v>7.4999999999999997E-2</v>
      </c>
      <c r="Q1004" s="386">
        <f t="shared" si="304"/>
        <v>-18.584231899629533</v>
      </c>
      <c r="R1004" s="394">
        <f t="shared" si="305"/>
        <v>229.20552676209755</v>
      </c>
      <c r="S1004" s="414">
        <f>+S977/($K$10*24)</f>
        <v>-89.117499402789022</v>
      </c>
      <c r="T1004" s="164" t="str">
        <f t="shared" si="306"/>
        <v/>
      </c>
      <c r="U1004" s="333">
        <f t="shared" si="307"/>
        <v>89.117499402789022</v>
      </c>
      <c r="V1004" s="307"/>
    </row>
    <row r="1005" spans="1:22" ht="15.75" customHeight="1" x14ac:dyDescent="0.3">
      <c r="A1005" s="365" t="s">
        <v>18</v>
      </c>
      <c r="B1005" s="325">
        <f>+B978/($L$10*24)</f>
        <v>318.07638888888891</v>
      </c>
      <c r="C1005" s="164">
        <f t="shared" ref="C1005:N1005" si="314">+C978/($L$10*24)</f>
        <v>0</v>
      </c>
      <c r="D1005" s="164">
        <f t="shared" si="314"/>
        <v>13.911111111111111</v>
      </c>
      <c r="E1005" s="164">
        <f t="shared" si="314"/>
        <v>318.07638888888891</v>
      </c>
      <c r="F1005" s="333">
        <f t="shared" si="314"/>
        <v>331.98750000000001</v>
      </c>
      <c r="G1005" s="164">
        <f t="shared" si="314"/>
        <v>1.9748487817131368</v>
      </c>
      <c r="H1005" s="164">
        <f t="shared" si="314"/>
        <v>12.45</v>
      </c>
      <c r="I1005" s="164">
        <f t="shared" si="314"/>
        <v>0</v>
      </c>
      <c r="J1005" s="164">
        <f t="shared" si="314"/>
        <v>12.45</v>
      </c>
      <c r="K1005" s="164">
        <f t="shared" si="314"/>
        <v>0</v>
      </c>
      <c r="L1005" s="164">
        <f t="shared" si="314"/>
        <v>0</v>
      </c>
      <c r="M1005" s="397">
        <f t="shared" si="314"/>
        <v>317.56265121828687</v>
      </c>
      <c r="N1005" s="386">
        <f t="shared" si="314"/>
        <v>0</v>
      </c>
      <c r="O1005" s="386">
        <f t="shared" si="302"/>
        <v>307.31869472737441</v>
      </c>
      <c r="P1005" s="413">
        <f t="shared" si="303"/>
        <v>7.4999999999999997E-2</v>
      </c>
      <c r="Q1005" s="386">
        <f t="shared" si="304"/>
        <v>-23.048902104553079</v>
      </c>
      <c r="R1005" s="394">
        <f t="shared" si="305"/>
        <v>284.26979262282134</v>
      </c>
      <c r="S1005" s="414">
        <f>+S978/($L$10*24)</f>
        <v>-22.280404337268678</v>
      </c>
      <c r="T1005" s="164" t="str">
        <f t="shared" si="306"/>
        <v/>
      </c>
      <c r="U1005" s="333">
        <f t="shared" si="307"/>
        <v>22.280404337268678</v>
      </c>
      <c r="V1005" s="307"/>
    </row>
    <row r="1006" spans="1:22" ht="15.75" customHeight="1" x14ac:dyDescent="0.3">
      <c r="A1006" s="365" t="s">
        <v>20</v>
      </c>
      <c r="B1006" s="325">
        <f>+B979/($N$10*24)</f>
        <v>282.61021505376345</v>
      </c>
      <c r="C1006" s="164">
        <f t="shared" ref="C1006:N1006" si="315">+C979/($N$10*24)</f>
        <v>0</v>
      </c>
      <c r="D1006" s="164">
        <f t="shared" si="315"/>
        <v>12.353494623655914</v>
      </c>
      <c r="E1006" s="164">
        <f t="shared" si="315"/>
        <v>282.61021505376345</v>
      </c>
      <c r="F1006" s="333">
        <f t="shared" si="315"/>
        <v>294.96370967741933</v>
      </c>
      <c r="G1006" s="164">
        <f t="shared" si="315"/>
        <v>0</v>
      </c>
      <c r="H1006" s="164">
        <f t="shared" si="315"/>
        <v>10.565860215053764</v>
      </c>
      <c r="I1006" s="164">
        <f t="shared" si="315"/>
        <v>0</v>
      </c>
      <c r="J1006" s="164">
        <f t="shared" si="315"/>
        <v>10.565860215053764</v>
      </c>
      <c r="K1006" s="164">
        <f t="shared" si="315"/>
        <v>0</v>
      </c>
      <c r="L1006" s="164">
        <f t="shared" si="315"/>
        <v>0</v>
      </c>
      <c r="M1006" s="397">
        <f t="shared" si="315"/>
        <v>284.39784946236557</v>
      </c>
      <c r="N1006" s="386">
        <f t="shared" si="315"/>
        <v>0</v>
      </c>
      <c r="O1006" s="386">
        <f t="shared" si="302"/>
        <v>284.39784946236557</v>
      </c>
      <c r="P1006" s="413">
        <f t="shared" si="303"/>
        <v>0.3</v>
      </c>
      <c r="Q1006" s="386">
        <f t="shared" si="304"/>
        <v>-85.319354838709671</v>
      </c>
      <c r="R1006" s="394">
        <f t="shared" si="305"/>
        <v>199.0784946236559</v>
      </c>
      <c r="S1006" s="414">
        <f>+S979/($N$10*24)</f>
        <v>6.165322580645161</v>
      </c>
      <c r="T1006" s="164">
        <f t="shared" si="306"/>
        <v>6.165322580645161</v>
      </c>
      <c r="U1006" s="333" t="str">
        <f t="shared" si="307"/>
        <v/>
      </c>
      <c r="V1006" s="307"/>
    </row>
    <row r="1007" spans="1:22" ht="15.75" customHeight="1" x14ac:dyDescent="0.3">
      <c r="A1007" s="365" t="s">
        <v>21</v>
      </c>
      <c r="B1007" s="325">
        <f>+B980/($O$10*24)</f>
        <v>277.61250000000001</v>
      </c>
      <c r="C1007" s="164">
        <f t="shared" ref="C1007:N1007" si="316">+C980/($O$10*24)</f>
        <v>0</v>
      </c>
      <c r="D1007" s="164">
        <f t="shared" si="316"/>
        <v>12.065277777777778</v>
      </c>
      <c r="E1007" s="164">
        <f t="shared" si="316"/>
        <v>277.61250000000001</v>
      </c>
      <c r="F1007" s="333">
        <f t="shared" si="316"/>
        <v>289.67777777777781</v>
      </c>
      <c r="G1007" s="164">
        <f t="shared" si="316"/>
        <v>0</v>
      </c>
      <c r="H1007" s="164">
        <f t="shared" si="316"/>
        <v>15.565277777777778</v>
      </c>
      <c r="I1007" s="164">
        <f t="shared" si="316"/>
        <v>0</v>
      </c>
      <c r="J1007" s="164">
        <f t="shared" si="316"/>
        <v>15.565277777777778</v>
      </c>
      <c r="K1007" s="164">
        <f t="shared" si="316"/>
        <v>0</v>
      </c>
      <c r="L1007" s="164">
        <f t="shared" si="316"/>
        <v>0</v>
      </c>
      <c r="M1007" s="397">
        <f t="shared" si="316"/>
        <v>274.11250000000001</v>
      </c>
      <c r="N1007" s="386">
        <f t="shared" si="316"/>
        <v>0</v>
      </c>
      <c r="O1007" s="386">
        <f t="shared" si="302"/>
        <v>265.27016129032256</v>
      </c>
      <c r="P1007" s="413">
        <f t="shared" si="303"/>
        <v>0.3</v>
      </c>
      <c r="Q1007" s="386">
        <f t="shared" si="304"/>
        <v>-79.581048387096772</v>
      </c>
      <c r="R1007" s="394">
        <f t="shared" si="305"/>
        <v>185.6891129032258</v>
      </c>
      <c r="S1007" s="414">
        <f>+S980/($O$10*24)</f>
        <v>-9.1194444444444436</v>
      </c>
      <c r="T1007" s="164" t="str">
        <f t="shared" si="306"/>
        <v/>
      </c>
      <c r="U1007" s="333">
        <f t="shared" si="307"/>
        <v>9.1194444444444436</v>
      </c>
      <c r="V1007" s="307"/>
    </row>
    <row r="1008" spans="1:22" ht="15.75" customHeight="1" thickBot="1" x14ac:dyDescent="0.35">
      <c r="A1008" s="365" t="s">
        <v>22</v>
      </c>
      <c r="B1008" s="330">
        <f>+B981/($P$10*24)</f>
        <v>312.63575268817203</v>
      </c>
      <c r="C1008" s="335">
        <f t="shared" ref="C1008:N1008" si="317">+C981/($P$10*24)</f>
        <v>0</v>
      </c>
      <c r="D1008" s="335">
        <f t="shared" si="317"/>
        <v>13.408602150537634</v>
      </c>
      <c r="E1008" s="335">
        <f t="shared" si="317"/>
        <v>312.63575268817203</v>
      </c>
      <c r="F1008" s="405">
        <f t="shared" si="317"/>
        <v>326.04435483870969</v>
      </c>
      <c r="G1008" s="335">
        <f t="shared" si="317"/>
        <v>1.318332854172692E-2</v>
      </c>
      <c r="H1008" s="335">
        <f t="shared" si="317"/>
        <v>9.84005376344086</v>
      </c>
      <c r="I1008" s="335">
        <f t="shared" si="317"/>
        <v>0</v>
      </c>
      <c r="J1008" s="335">
        <f t="shared" si="317"/>
        <v>9.84005376344086</v>
      </c>
      <c r="K1008" s="335">
        <f t="shared" si="317"/>
        <v>0</v>
      </c>
      <c r="L1008" s="335">
        <f t="shared" si="317"/>
        <v>0</v>
      </c>
      <c r="M1008" s="406">
        <f t="shared" si="317"/>
        <v>316.19111774672706</v>
      </c>
      <c r="N1008" s="407">
        <f t="shared" si="317"/>
        <v>0</v>
      </c>
      <c r="O1008" s="408">
        <f t="shared" si="302"/>
        <v>316.19111774672706</v>
      </c>
      <c r="P1008" s="409">
        <f t="shared" si="303"/>
        <v>0.3</v>
      </c>
      <c r="Q1008" s="407">
        <f t="shared" si="304"/>
        <v>-94.857335324018109</v>
      </c>
      <c r="R1008" s="408">
        <f t="shared" si="305"/>
        <v>221.33378242270896</v>
      </c>
      <c r="S1008" s="415">
        <f>+S981/($P$10*24)</f>
        <v>32.684397316619552</v>
      </c>
      <c r="T1008" s="335">
        <f t="shared" si="306"/>
        <v>32.684397316619552</v>
      </c>
      <c r="U1008" s="405" t="str">
        <f t="shared" si="307"/>
        <v/>
      </c>
      <c r="V1008" s="307"/>
    </row>
    <row r="1009" spans="1:50" ht="15.75" customHeight="1" x14ac:dyDescent="0.3">
      <c r="A1009" s="416"/>
      <c r="V1009" s="307"/>
    </row>
    <row r="1010" spans="1:50" ht="16.5" customHeight="1" thickBot="1" x14ac:dyDescent="0.35">
      <c r="A1010" s="417"/>
      <c r="B1010" s="312"/>
      <c r="C1010" s="312"/>
      <c r="D1010" s="312"/>
      <c r="E1010" s="312"/>
      <c r="F1010" s="312"/>
      <c r="G1010" s="312"/>
      <c r="H1010" s="312"/>
      <c r="I1010" s="312"/>
      <c r="J1010" s="312"/>
      <c r="K1010" s="312"/>
      <c r="L1010" s="312"/>
      <c r="M1010" s="312"/>
      <c r="N1010" s="312"/>
      <c r="O1010" s="312"/>
      <c r="P1010" s="312"/>
      <c r="Q1010" s="312"/>
      <c r="R1010" s="312"/>
      <c r="S1010" s="312"/>
      <c r="T1010" s="312"/>
      <c r="U1010" s="312"/>
      <c r="V1010" s="313"/>
    </row>
    <row r="1011" spans="1:50" ht="15.75" customHeight="1" x14ac:dyDescent="0.3">
      <c r="A1011" s="166"/>
      <c r="B1011" s="159"/>
      <c r="C1011" s="159"/>
      <c r="D1011" s="159"/>
      <c r="E1011" s="159"/>
      <c r="F1011" s="159"/>
      <c r="G1011" s="159"/>
      <c r="H1011" s="159"/>
      <c r="I1011" s="159"/>
      <c r="J1011" s="159"/>
      <c r="K1011" s="159"/>
      <c r="L1011" s="159"/>
      <c r="M1011" s="159"/>
      <c r="N1011" s="159"/>
      <c r="O1011" s="159"/>
      <c r="P1011" s="159"/>
      <c r="Q1011" s="159"/>
      <c r="R1011" s="159"/>
    </row>
    <row r="1012" spans="1:50" ht="15.75" customHeight="1" x14ac:dyDescent="0.3">
      <c r="A1012" s="418"/>
    </row>
    <row r="1013" spans="1:50" ht="15.75" customHeight="1" thickBot="1" x14ac:dyDescent="0.35">
      <c r="A1013" s="418"/>
    </row>
    <row r="1014" spans="1:50" ht="15.75" customHeight="1" x14ac:dyDescent="0.3">
      <c r="A1014" s="419"/>
      <c r="B1014" s="506" t="s">
        <v>1080</v>
      </c>
      <c r="C1014" s="506"/>
      <c r="D1014" s="506"/>
      <c r="E1014" s="506"/>
      <c r="F1014" s="506"/>
      <c r="G1014" s="506"/>
      <c r="H1014" s="506"/>
      <c r="I1014" s="506"/>
      <c r="J1014" s="506"/>
      <c r="K1014" s="506"/>
      <c r="L1014" s="506"/>
      <c r="M1014" s="506"/>
      <c r="N1014" s="506"/>
      <c r="O1014" s="506"/>
      <c r="P1014" s="506"/>
      <c r="Q1014" s="361" t="str">
        <f>+Q1</f>
        <v xml:space="preserve">PRINTED:  </v>
      </c>
      <c r="R1014" s="367">
        <f ca="1">+R1</f>
        <v>44909.46975358796</v>
      </c>
      <c r="S1014" s="332"/>
    </row>
    <row r="1015" spans="1:50" ht="15.75" customHeight="1" x14ac:dyDescent="0.3">
      <c r="A1015" s="420"/>
      <c r="B1015" s="503" t="str">
        <f>+A8</f>
        <v>Revised:  1/18/2018</v>
      </c>
      <c r="C1015" s="503"/>
      <c r="D1015" s="503"/>
      <c r="E1015" s="503"/>
      <c r="F1015" s="503"/>
      <c r="G1015" s="503"/>
      <c r="H1015" s="503"/>
      <c r="I1015" s="503"/>
      <c r="J1015" s="503"/>
      <c r="K1015" s="503"/>
      <c r="L1015" s="503"/>
      <c r="M1015" s="503"/>
      <c r="N1015" s="503"/>
      <c r="O1015" s="503"/>
      <c r="P1015" s="503"/>
      <c r="Q1015" s="159"/>
      <c r="R1015" s="159"/>
      <c r="S1015" s="307"/>
    </row>
    <row r="1016" spans="1:50" ht="16.5" customHeight="1" x14ac:dyDescent="0.3">
      <c r="A1016" s="420"/>
      <c r="B1016" s="503" t="s">
        <v>1024</v>
      </c>
      <c r="C1016" s="503"/>
      <c r="D1016" s="503"/>
      <c r="E1016" s="503"/>
      <c r="F1016" s="503"/>
      <c r="G1016" s="503"/>
      <c r="H1016" s="503"/>
      <c r="I1016" s="503"/>
      <c r="J1016" s="503"/>
      <c r="K1016" s="503"/>
      <c r="L1016" s="503"/>
      <c r="M1016" s="503"/>
      <c r="N1016" s="503"/>
      <c r="O1016" s="503"/>
      <c r="P1016" s="503"/>
      <c r="Q1016" s="159"/>
      <c r="R1016" s="159"/>
      <c r="S1016" s="307"/>
    </row>
    <row r="1017" spans="1:50" ht="15.75" customHeight="1" x14ac:dyDescent="0.3">
      <c r="A1017" s="420"/>
      <c r="B1017" s="159"/>
      <c r="C1017" s="159"/>
      <c r="D1017" s="159"/>
      <c r="E1017" s="159"/>
      <c r="F1017" s="159"/>
      <c r="G1017" s="159"/>
      <c r="H1017" s="159"/>
      <c r="I1017" s="159"/>
      <c r="J1017" s="159"/>
      <c r="K1017" s="159"/>
      <c r="L1017" s="159"/>
      <c r="M1017" s="159"/>
      <c r="N1017" s="159"/>
      <c r="O1017" s="159"/>
      <c r="P1017" s="159"/>
      <c r="Q1017" s="159"/>
      <c r="R1017" s="159"/>
      <c r="S1017" s="307"/>
      <c r="AG1017" s="365"/>
    </row>
    <row r="1018" spans="1:50" ht="15.75" customHeight="1" x14ac:dyDescent="0.3">
      <c r="A1018" s="420"/>
      <c r="B1018" s="539">
        <f>+A5</f>
        <v>2017</v>
      </c>
      <c r="C1018" s="509"/>
      <c r="D1018" s="509"/>
      <c r="E1018" s="509"/>
      <c r="F1018" s="509"/>
      <c r="G1018" s="509"/>
      <c r="H1018" s="509"/>
      <c r="I1018" s="509"/>
      <c r="J1018" s="509"/>
      <c r="K1018" s="509"/>
      <c r="L1018" s="509"/>
      <c r="M1018" s="509"/>
      <c r="N1018" s="509"/>
      <c r="O1018" s="509"/>
      <c r="P1018" s="509"/>
      <c r="Q1018" s="159"/>
      <c r="R1018" s="159"/>
      <c r="S1018" s="307"/>
      <c r="AE1018" s="4" t="s">
        <v>1081</v>
      </c>
      <c r="AF1018" s="4" t="s">
        <v>1082</v>
      </c>
    </row>
    <row r="1019" spans="1:50" ht="15.75" customHeight="1" thickBot="1" x14ac:dyDescent="0.35">
      <c r="A1019" s="420"/>
      <c r="B1019" s="503" t="s">
        <v>457</v>
      </c>
      <c r="C1019" s="503"/>
      <c r="D1019" s="503"/>
      <c r="E1019" s="503"/>
      <c r="F1019" s="503"/>
      <c r="G1019" s="503"/>
      <c r="H1019" s="503"/>
      <c r="I1019" s="503"/>
      <c r="J1019" s="503"/>
      <c r="K1019" s="503"/>
      <c r="L1019" s="503"/>
      <c r="M1019" s="503"/>
      <c r="N1019" s="503"/>
      <c r="O1019" s="503"/>
      <c r="P1019" s="503"/>
      <c r="Q1019" s="159"/>
      <c r="R1019" s="159"/>
      <c r="S1019" s="307"/>
      <c r="V1019" s="4" t="s">
        <v>1233</v>
      </c>
      <c r="AC1019" s="4" t="s">
        <v>1083</v>
      </c>
      <c r="AD1019" s="421" t="s">
        <v>1234</v>
      </c>
      <c r="AE1019" s="4">
        <f>DAY(DATE($A$5,MONTH(CONCATENATE(1,"-",AD1019,"-",$A$5))+1,1)-1)</f>
        <v>28</v>
      </c>
      <c r="AI1019" s="468"/>
      <c r="AJ1019" s="468"/>
    </row>
    <row r="1020" spans="1:50" ht="15.75" customHeight="1" x14ac:dyDescent="0.3">
      <c r="A1020" s="420"/>
      <c r="B1020" s="546" t="s">
        <v>1084</v>
      </c>
      <c r="C1020" s="547"/>
      <c r="D1020" s="548"/>
      <c r="E1020" s="164"/>
      <c r="F1020" s="164"/>
      <c r="G1020" s="164"/>
      <c r="H1020" s="164"/>
      <c r="I1020" s="164"/>
      <c r="J1020" s="164"/>
      <c r="K1020" s="164"/>
      <c r="L1020" s="164"/>
      <c r="M1020" s="164"/>
      <c r="N1020" s="164"/>
      <c r="O1020" s="164"/>
      <c r="P1020" s="164"/>
      <c r="Q1020" s="159"/>
      <c r="R1020" s="159"/>
      <c r="S1020" s="422"/>
      <c r="T1020" s="540" t="s">
        <v>1235</v>
      </c>
      <c r="U1020" s="541"/>
      <c r="V1020" s="541" t="s">
        <v>1236</v>
      </c>
      <c r="W1020" s="541"/>
      <c r="X1020" s="469" t="s">
        <v>429</v>
      </c>
      <c r="Y1020" s="469" t="s">
        <v>1237</v>
      </c>
      <c r="Z1020" s="469" t="s">
        <v>1238</v>
      </c>
    </row>
    <row r="1021" spans="1:50" ht="15.75" customHeight="1" thickBot="1" x14ac:dyDescent="0.35">
      <c r="A1021" s="364" t="s">
        <v>1071</v>
      </c>
      <c r="B1021" s="423" t="s">
        <v>1085</v>
      </c>
      <c r="C1021" s="424" t="s">
        <v>1086</v>
      </c>
      <c r="D1021" s="425" t="s">
        <v>1087</v>
      </c>
      <c r="E1021" s="424" t="s">
        <v>391</v>
      </c>
      <c r="F1021" s="424" t="s">
        <v>392</v>
      </c>
      <c r="G1021" s="424" t="s">
        <v>393</v>
      </c>
      <c r="H1021" s="424" t="s">
        <v>1088</v>
      </c>
      <c r="I1021" s="424" t="s">
        <v>1089</v>
      </c>
      <c r="J1021" s="424" t="s">
        <v>395</v>
      </c>
      <c r="K1021" s="424" t="s">
        <v>396</v>
      </c>
      <c r="L1021" s="424" t="s">
        <v>397</v>
      </c>
      <c r="M1021" s="424" t="s">
        <v>398</v>
      </c>
      <c r="N1021" s="424" t="s">
        <v>399</v>
      </c>
      <c r="O1021" s="424" t="s">
        <v>400</v>
      </c>
      <c r="P1021" s="424" t="s">
        <v>401</v>
      </c>
      <c r="Q1021" s="424" t="s">
        <v>402</v>
      </c>
      <c r="R1021" s="424" t="s">
        <v>403</v>
      </c>
      <c r="S1021" s="425" t="s">
        <v>404</v>
      </c>
      <c r="T1021" s="424" t="s">
        <v>1239</v>
      </c>
      <c r="U1021" s="424" t="s">
        <v>1086</v>
      </c>
      <c r="V1021" s="424" t="s">
        <v>1240</v>
      </c>
      <c r="W1021" s="424" t="s">
        <v>1086</v>
      </c>
      <c r="X1021" s="424" t="s">
        <v>406</v>
      </c>
      <c r="Y1021" s="424" t="s">
        <v>1241</v>
      </c>
      <c r="Z1021" s="424" t="s">
        <v>1242</v>
      </c>
      <c r="AD1021" s="364" t="s">
        <v>390</v>
      </c>
      <c r="AE1021" s="364" t="s">
        <v>391</v>
      </c>
      <c r="AF1021" s="364" t="s">
        <v>392</v>
      </c>
      <c r="AG1021" s="364" t="s">
        <v>393</v>
      </c>
      <c r="AH1021" s="364" t="s">
        <v>394</v>
      </c>
      <c r="AI1021" s="364" t="s">
        <v>395</v>
      </c>
      <c r="AJ1021" s="364" t="s">
        <v>396</v>
      </c>
      <c r="AK1021" s="364" t="s">
        <v>397</v>
      </c>
      <c r="AL1021" s="364" t="s">
        <v>398</v>
      </c>
      <c r="AM1021" s="364" t="s">
        <v>399</v>
      </c>
      <c r="AN1021" s="364" t="s">
        <v>400</v>
      </c>
      <c r="AO1021" s="364" t="s">
        <v>401</v>
      </c>
      <c r="AP1021" s="364" t="s">
        <v>402</v>
      </c>
      <c r="AQ1021" s="364" t="s">
        <v>403</v>
      </c>
      <c r="AR1021" s="364" t="s">
        <v>404</v>
      </c>
      <c r="AS1021" s="364" t="s">
        <v>422</v>
      </c>
      <c r="AT1021" s="364" t="s">
        <v>477</v>
      </c>
      <c r="AU1021" s="364" t="s">
        <v>422</v>
      </c>
      <c r="AW1021" s="426" t="s">
        <v>1093</v>
      </c>
      <c r="AX1021" s="426" t="s">
        <v>1094</v>
      </c>
    </row>
    <row r="1022" spans="1:50" ht="15.75" customHeight="1" x14ac:dyDescent="0.3">
      <c r="A1022" s="375" t="s">
        <v>795</v>
      </c>
      <c r="B1022" s="375">
        <f>+F1049</f>
        <v>196</v>
      </c>
      <c r="C1022" s="365">
        <f t="shared" ref="B1022:C1033" si="318">+G1049</f>
        <v>0</v>
      </c>
      <c r="D1022" s="427" t="s">
        <v>1095</v>
      </c>
      <c r="E1022" s="365">
        <f>+C942/$B$10/24</f>
        <v>20.405913978494624</v>
      </c>
      <c r="F1022" s="365">
        <f t="shared" ref="F1022:S1022" si="319">+D942/$B$10/24</f>
        <v>21.393817204301076</v>
      </c>
      <c r="G1022" s="365">
        <f t="shared" si="319"/>
        <v>36.54435483870968</v>
      </c>
      <c r="H1022" s="365">
        <f t="shared" si="319"/>
        <v>23.755940895817734</v>
      </c>
      <c r="I1022" s="365">
        <f t="shared" si="319"/>
        <v>-0.72992462767791</v>
      </c>
      <c r="J1022" s="365">
        <f t="shared" si="319"/>
        <v>3.306451612903226</v>
      </c>
      <c r="K1022" s="365">
        <f t="shared" si="319"/>
        <v>3.2836021505376345</v>
      </c>
      <c r="L1022" s="365">
        <f t="shared" si="319"/>
        <v>5.127688172043011</v>
      </c>
      <c r="M1022" s="365">
        <f t="shared" si="319"/>
        <v>5.286290322580645</v>
      </c>
      <c r="N1022" s="365">
        <f t="shared" si="319"/>
        <v>1.9435483870967742</v>
      </c>
      <c r="O1022" s="365">
        <f t="shared" si="319"/>
        <v>2.2903225806451615</v>
      </c>
      <c r="P1022" s="365">
        <f t="shared" si="319"/>
        <v>4.748655913978495</v>
      </c>
      <c r="Q1022" s="365">
        <f t="shared" si="319"/>
        <v>0.88306451612903236</v>
      </c>
      <c r="R1022" s="365">
        <f t="shared" si="319"/>
        <v>0.11155913978494623</v>
      </c>
      <c r="S1022" s="427">
        <f t="shared" si="319"/>
        <v>2.088709677419355</v>
      </c>
      <c r="T1022" s="365">
        <f>+B1022+SUM(E1022:S1022)</f>
        <v>326.43999476276349</v>
      </c>
      <c r="U1022" s="365">
        <f t="shared" ref="U1022:U1033" si="320">+C1022+SUM(E1022:S1022)</f>
        <v>130.43999476276349</v>
      </c>
      <c r="V1022" s="365">
        <f>+B1022+SUM(E1022:G1022)</f>
        <v>274.3440860215054</v>
      </c>
      <c r="W1022" s="365">
        <f>+C1022+SUM(E1022:G1022)</f>
        <v>78.344086021505376</v>
      </c>
      <c r="X1022" s="365">
        <f>+H1022</f>
        <v>23.755940895817734</v>
      </c>
      <c r="Y1022" s="365">
        <f>+I1022</f>
        <v>-0.72992462767791</v>
      </c>
      <c r="Z1022" s="365">
        <f>+SUM(J1022:S1022)</f>
        <v>29.069892473118284</v>
      </c>
      <c r="AC1022" s="4">
        <v>1</v>
      </c>
      <c r="AD1022" s="365">
        <f>IF($AF$1019=1,VLOOKUP($AD$1019,$A$1049:$P$1060,12,FALSE),VLOOKUP($AD$1019,$A$1022:$S$1033,2,FALSE))</f>
        <v>98</v>
      </c>
      <c r="AE1022" s="365">
        <f>VLOOKUP($AD$1019,$A$1022:$S$1033,5,FALSE)</f>
        <v>10.90327380952381</v>
      </c>
      <c r="AF1022" s="365">
        <f>VLOOKUP($AD$1019,$A$1022:$S$1033,6,FALSE)</f>
        <v>11.410714285714285</v>
      </c>
      <c r="AG1022" s="365">
        <f>VLOOKUP($AD$1019,$A$1022:$S$1033,7,FALSE)</f>
        <v>19.117559523809522</v>
      </c>
      <c r="AH1022" s="365">
        <f>VLOOKUP($AD$1019,$A$1022:$S$1033,8,FALSE)</f>
        <v>5.3129613829432101</v>
      </c>
      <c r="AI1022" s="365">
        <f>VLOOKUP($AD$1019,$A$1022:$S$1033,10,FALSE)</f>
        <v>4.7366071428571432</v>
      </c>
      <c r="AJ1022" s="365">
        <f>VLOOKUP($AD$1019,$A$1022:$S$1033,11,FALSE)</f>
        <v>3.1964285714285712</v>
      </c>
      <c r="AK1022" s="365">
        <f>VLOOKUP($AD$1019,$A$1022:$S$1033,12,FALSE)</f>
        <v>4.9642857142857144</v>
      </c>
      <c r="AL1022" s="365">
        <f>VLOOKUP($AD$1019,$A$1022:$S$1033,13,FALSE)</f>
        <v>5.09375</v>
      </c>
      <c r="AM1022" s="365">
        <f>VLOOKUP($AD$1019,$A$1022:$S$1033,14,FALSE)</f>
        <v>1.6964285714285714</v>
      </c>
      <c r="AN1022" s="365">
        <f>VLOOKUP($AD$1019,$A$1022:$S$1033,15,FALSE)</f>
        <v>1.9985119047619049</v>
      </c>
      <c r="AO1022" s="365">
        <f>VLOOKUP($AD$1019,$A$1022:$S$1033,16,FALSE)</f>
        <v>4.0461309523809526</v>
      </c>
      <c r="AP1022" s="365">
        <f>VLOOKUP($AD$1019,$A$1022:$S$1033,17,FALSE)</f>
        <v>0.59226190476190477</v>
      </c>
      <c r="AQ1022" s="365">
        <f>VLOOKUP($AD$1019,$A$1022:$S$1033,18,FALSE)</f>
        <v>0.55208333333333337</v>
      </c>
      <c r="AR1022" s="365">
        <f>VLOOKUP($AD$1019,$A$1022:$S$1033,19,FALSE)</f>
        <v>1.4017857142857144</v>
      </c>
      <c r="AS1022" s="365">
        <f>SUM(AD1022:AR1022)</f>
        <v>173.02278281151467</v>
      </c>
      <c r="AT1022" s="365">
        <f>VLOOKUP($AD$1019,$AC$942:$AS$953,17,FALSE)/$AE$1019*(AS1022/$AS$1046)</f>
        <v>10.962262638336844</v>
      </c>
      <c r="AU1022" s="365">
        <f>AS1022+AT1022</f>
        <v>183.98504544985153</v>
      </c>
      <c r="AW1022" s="365">
        <f>VLOOKUP($AD$1019,$A$970:$O$983,15,FALSE)/$AE$1019/24</f>
        <v>154.00100553522086</v>
      </c>
      <c r="AX1022" s="365">
        <f>AU1022-AW1022</f>
        <v>29.984039914630671</v>
      </c>
    </row>
    <row r="1023" spans="1:50" ht="15.75" customHeight="1" x14ac:dyDescent="0.3">
      <c r="A1023" s="375" t="s">
        <v>9</v>
      </c>
      <c r="B1023" s="375">
        <f t="shared" si="318"/>
        <v>98</v>
      </c>
      <c r="C1023" s="365">
        <f t="shared" si="318"/>
        <v>0</v>
      </c>
      <c r="D1023" s="427" t="s">
        <v>1095</v>
      </c>
      <c r="E1023" s="365">
        <f t="shared" ref="E1023:S1023" si="321">+C943/$C$10/24</f>
        <v>10.90327380952381</v>
      </c>
      <c r="F1023" s="365">
        <f t="shared" si="321"/>
        <v>11.410714285714285</v>
      </c>
      <c r="G1023" s="365">
        <f t="shared" si="321"/>
        <v>19.117559523809522</v>
      </c>
      <c r="H1023" s="365">
        <f t="shared" si="321"/>
        <v>5.3129613829432101</v>
      </c>
      <c r="I1023" s="365">
        <f t="shared" si="321"/>
        <v>-1.8040539885886531</v>
      </c>
      <c r="J1023" s="365">
        <f t="shared" si="321"/>
        <v>4.7366071428571432</v>
      </c>
      <c r="K1023" s="365">
        <f t="shared" si="321"/>
        <v>3.1964285714285712</v>
      </c>
      <c r="L1023" s="365">
        <f t="shared" si="321"/>
        <v>4.9642857142857144</v>
      </c>
      <c r="M1023" s="365">
        <f t="shared" si="321"/>
        <v>5.09375</v>
      </c>
      <c r="N1023" s="365">
        <f t="shared" si="321"/>
        <v>1.6964285714285714</v>
      </c>
      <c r="O1023" s="365">
        <f t="shared" si="321"/>
        <v>1.9985119047619049</v>
      </c>
      <c r="P1023" s="365">
        <f t="shared" si="321"/>
        <v>4.0461309523809526</v>
      </c>
      <c r="Q1023" s="365">
        <f t="shared" si="321"/>
        <v>0.59226190476190477</v>
      </c>
      <c r="R1023" s="365">
        <f t="shared" si="321"/>
        <v>0.55208333333333337</v>
      </c>
      <c r="S1023" s="427">
        <f t="shared" si="321"/>
        <v>1.4017857142857144</v>
      </c>
      <c r="T1023" s="365">
        <f t="shared" ref="T1023:T1033" si="322">+B1023+SUM(E1023:S1023)</f>
        <v>171.21872882292595</v>
      </c>
      <c r="U1023" s="365">
        <f t="shared" si="320"/>
        <v>73.218728822925954</v>
      </c>
      <c r="V1023" s="365">
        <f t="shared" ref="V1023:V1033" si="323">+B1023+SUM(E1023:G1023)</f>
        <v>139.43154761904762</v>
      </c>
      <c r="W1023" s="365">
        <f t="shared" ref="W1023:W1033" si="324">+C1023+SUM(E1023:G1023)</f>
        <v>41.43154761904762</v>
      </c>
      <c r="X1023" s="365">
        <f t="shared" ref="X1023:Y1033" si="325">+H1023</f>
        <v>5.3129613829432101</v>
      </c>
      <c r="Y1023" s="365">
        <f t="shared" si="325"/>
        <v>-1.8040539885886531</v>
      </c>
      <c r="Z1023" s="365">
        <f t="shared" ref="Z1023:Z1033" si="326">+SUM(J1023:S1023)</f>
        <v>28.278273809523814</v>
      </c>
      <c r="AC1023" s="4">
        <v>2</v>
      </c>
      <c r="AD1023" s="365">
        <f t="shared" ref="AD1023:AD1027" si="327">IF($AF$1019=1,VLOOKUP($AD$1019,$A$1049:$P$1060,12,FALSE),VLOOKUP($AD$1019,$A$1022:$S$1033,2,FALSE))</f>
        <v>98</v>
      </c>
      <c r="AE1023" s="365">
        <f t="shared" ref="AE1023:AE1045" si="328">VLOOKUP($AD$1019,$A$1022:$S$1033,5,FALSE)</f>
        <v>10.90327380952381</v>
      </c>
      <c r="AF1023" s="365">
        <f t="shared" ref="AF1023:AF1045" si="329">VLOOKUP($AD$1019,$A$1022:$S$1033,6,FALSE)</f>
        <v>11.410714285714285</v>
      </c>
      <c r="AG1023" s="365">
        <f t="shared" ref="AG1023:AG1045" si="330">VLOOKUP($AD$1019,$A$1022:$S$1033,7,FALSE)</f>
        <v>19.117559523809522</v>
      </c>
      <c r="AH1023" s="365">
        <f t="shared" ref="AH1023:AH1045" si="331">VLOOKUP($AD$1019,$A$1022:$S$1033,8,FALSE)</f>
        <v>5.3129613829432101</v>
      </c>
      <c r="AI1023" s="365">
        <f t="shared" ref="AI1023:AI1045" si="332">VLOOKUP($AD$1019,$A$1022:$S$1033,10,FALSE)</f>
        <v>4.7366071428571432</v>
      </c>
      <c r="AJ1023" s="365">
        <f t="shared" ref="AJ1023:AJ1045" si="333">VLOOKUP($AD$1019,$A$1022:$S$1033,11,FALSE)</f>
        <v>3.1964285714285712</v>
      </c>
      <c r="AK1023" s="365">
        <f t="shared" ref="AK1023:AK1045" si="334">VLOOKUP($AD$1019,$A$1022:$S$1033,12,FALSE)</f>
        <v>4.9642857142857144</v>
      </c>
      <c r="AL1023" s="365">
        <f t="shared" ref="AL1023:AL1045" si="335">VLOOKUP($AD$1019,$A$1022:$S$1033,13,FALSE)</f>
        <v>5.09375</v>
      </c>
      <c r="AM1023" s="365">
        <f t="shared" ref="AM1023:AM1045" si="336">VLOOKUP($AD$1019,$A$1022:$S$1033,14,FALSE)</f>
        <v>1.6964285714285714</v>
      </c>
      <c r="AN1023" s="365">
        <f t="shared" ref="AN1023:AN1045" si="337">VLOOKUP($AD$1019,$A$1022:$S$1033,15,FALSE)</f>
        <v>1.9985119047619049</v>
      </c>
      <c r="AO1023" s="365">
        <f t="shared" ref="AO1023:AO1045" si="338">VLOOKUP($AD$1019,$A$1022:$S$1033,16,FALSE)</f>
        <v>4.0461309523809526</v>
      </c>
      <c r="AP1023" s="365">
        <f t="shared" ref="AP1023:AP1045" si="339">VLOOKUP($AD$1019,$A$1022:$S$1033,17,FALSE)</f>
        <v>0.59226190476190477</v>
      </c>
      <c r="AQ1023" s="365">
        <f t="shared" ref="AQ1023:AQ1045" si="340">VLOOKUP($AD$1019,$A$1022:$S$1033,18,FALSE)</f>
        <v>0.55208333333333337</v>
      </c>
      <c r="AR1023" s="365">
        <f t="shared" ref="AR1023:AR1045" si="341">VLOOKUP($AD$1019,$A$1022:$S$1033,19,FALSE)</f>
        <v>1.4017857142857144</v>
      </c>
      <c r="AS1023" s="365">
        <f t="shared" ref="AS1023:AS1045" si="342">SUM(AD1023:AR1023)</f>
        <v>173.02278281151467</v>
      </c>
      <c r="AT1023" s="365">
        <f t="shared" ref="AT1023:AT1045" si="343">VLOOKUP($AD$1019,$AC$942:$AS$953,17,FALSE)/$AE$1019*(AS1023/$AS$1046)</f>
        <v>10.962262638336844</v>
      </c>
      <c r="AU1023" s="365">
        <f t="shared" ref="AU1023:AU1045" si="344">AS1023+AT1023</f>
        <v>183.98504544985153</v>
      </c>
      <c r="AW1023" s="365">
        <f t="shared" ref="AW1023:AW1045" si="345">VLOOKUP($AD$1019,$A$970:$O$983,15,FALSE)/$AE$1019/24</f>
        <v>154.00100553522086</v>
      </c>
      <c r="AX1023" s="365">
        <f t="shared" ref="AX1023:AX1045" si="346">AU1023-AW1023</f>
        <v>29.984039914630671</v>
      </c>
    </row>
    <row r="1024" spans="1:50" ht="15.75" customHeight="1" x14ac:dyDescent="0.3">
      <c r="A1024" s="375" t="s">
        <v>10</v>
      </c>
      <c r="B1024" s="375">
        <f t="shared" si="318"/>
        <v>294</v>
      </c>
      <c r="C1024" s="365">
        <f t="shared" si="318"/>
        <v>0</v>
      </c>
      <c r="D1024" s="427" t="s">
        <v>1095</v>
      </c>
      <c r="E1024" s="365">
        <f t="shared" ref="E1024:S1024" si="347">+C944/$D$10/24</f>
        <v>22.198924731182796</v>
      </c>
      <c r="F1024" s="365">
        <f t="shared" si="347"/>
        <v>23.24462365591398</v>
      </c>
      <c r="G1024" s="365">
        <f t="shared" si="347"/>
        <v>38.883064516129032</v>
      </c>
      <c r="H1024" s="365">
        <f t="shared" si="347"/>
        <v>5.9462011333461797</v>
      </c>
      <c r="I1024" s="365">
        <f t="shared" si="347"/>
        <v>-4.4155504776721671E-2</v>
      </c>
      <c r="J1024" s="365">
        <f t="shared" si="347"/>
        <v>11.400537634408602</v>
      </c>
      <c r="K1024" s="365">
        <f t="shared" si="347"/>
        <v>7.186827956989247</v>
      </c>
      <c r="L1024" s="365">
        <f t="shared" si="347"/>
        <v>9.1223118279569899</v>
      </c>
      <c r="M1024" s="365">
        <f t="shared" si="347"/>
        <v>8.599462365591398</v>
      </c>
      <c r="N1024" s="365">
        <f t="shared" si="347"/>
        <v>2.7056451612903225</v>
      </c>
      <c r="O1024" s="365">
        <f t="shared" si="347"/>
        <v>3.189516129032258</v>
      </c>
      <c r="P1024" s="365">
        <f t="shared" si="347"/>
        <v>6.448924731182796</v>
      </c>
      <c r="Q1024" s="365">
        <f t="shared" si="347"/>
        <v>1.092741935483871</v>
      </c>
      <c r="R1024" s="365">
        <f t="shared" si="347"/>
        <v>0.55376344086021512</v>
      </c>
      <c r="S1024" s="427">
        <f t="shared" si="347"/>
        <v>2.5846774193548385</v>
      </c>
      <c r="T1024" s="365">
        <f t="shared" si="322"/>
        <v>437.11306713394583</v>
      </c>
      <c r="U1024" s="365">
        <f t="shared" si="320"/>
        <v>143.1130671339458</v>
      </c>
      <c r="V1024" s="365">
        <f t="shared" si="323"/>
        <v>378.32661290322579</v>
      </c>
      <c r="W1024" s="365">
        <f t="shared" si="324"/>
        <v>84.326612903225808</v>
      </c>
      <c r="X1024" s="365">
        <f t="shared" si="325"/>
        <v>5.9462011333461797</v>
      </c>
      <c r="Y1024" s="365">
        <f t="shared" si="325"/>
        <v>-4.4155504776721671E-2</v>
      </c>
      <c r="Z1024" s="365">
        <f t="shared" si="326"/>
        <v>52.884408602150543</v>
      </c>
      <c r="AC1024" s="4">
        <v>3</v>
      </c>
      <c r="AD1024" s="365">
        <f t="shared" si="327"/>
        <v>98</v>
      </c>
      <c r="AE1024" s="365">
        <f t="shared" si="328"/>
        <v>10.90327380952381</v>
      </c>
      <c r="AF1024" s="365">
        <f t="shared" si="329"/>
        <v>11.410714285714285</v>
      </c>
      <c r="AG1024" s="365">
        <f t="shared" si="330"/>
        <v>19.117559523809522</v>
      </c>
      <c r="AH1024" s="365">
        <f t="shared" si="331"/>
        <v>5.3129613829432101</v>
      </c>
      <c r="AI1024" s="365">
        <f t="shared" si="332"/>
        <v>4.7366071428571432</v>
      </c>
      <c r="AJ1024" s="365">
        <f t="shared" si="333"/>
        <v>3.1964285714285712</v>
      </c>
      <c r="AK1024" s="365">
        <f t="shared" si="334"/>
        <v>4.9642857142857144</v>
      </c>
      <c r="AL1024" s="365">
        <f t="shared" si="335"/>
        <v>5.09375</v>
      </c>
      <c r="AM1024" s="365">
        <f t="shared" si="336"/>
        <v>1.6964285714285714</v>
      </c>
      <c r="AN1024" s="365">
        <f t="shared" si="337"/>
        <v>1.9985119047619049</v>
      </c>
      <c r="AO1024" s="365">
        <f t="shared" si="338"/>
        <v>4.0461309523809526</v>
      </c>
      <c r="AP1024" s="365">
        <f t="shared" si="339"/>
        <v>0.59226190476190477</v>
      </c>
      <c r="AQ1024" s="365">
        <f t="shared" si="340"/>
        <v>0.55208333333333337</v>
      </c>
      <c r="AR1024" s="365">
        <f t="shared" si="341"/>
        <v>1.4017857142857144</v>
      </c>
      <c r="AS1024" s="365">
        <f t="shared" si="342"/>
        <v>173.02278281151467</v>
      </c>
      <c r="AT1024" s="365">
        <f t="shared" si="343"/>
        <v>10.962262638336844</v>
      </c>
      <c r="AU1024" s="365">
        <f t="shared" si="344"/>
        <v>183.98504544985153</v>
      </c>
      <c r="AW1024" s="365">
        <f t="shared" si="345"/>
        <v>154.00100553522086</v>
      </c>
      <c r="AX1024" s="365">
        <f t="shared" si="346"/>
        <v>29.984039914630671</v>
      </c>
    </row>
    <row r="1025" spans="1:50" ht="15.75" customHeight="1" x14ac:dyDescent="0.3">
      <c r="A1025" s="375" t="s">
        <v>12</v>
      </c>
      <c r="B1025" s="375">
        <f t="shared" si="318"/>
        <v>294</v>
      </c>
      <c r="C1025" s="365">
        <f t="shared" si="318"/>
        <v>0</v>
      </c>
      <c r="D1025" s="427" t="s">
        <v>1095</v>
      </c>
      <c r="E1025" s="365">
        <f t="shared" ref="E1025:S1025" si="348">+C945/$F$10/24</f>
        <v>27.074999999999999</v>
      </c>
      <c r="F1025" s="365">
        <f t="shared" si="348"/>
        <v>28.344444444444445</v>
      </c>
      <c r="G1025" s="365">
        <f t="shared" si="348"/>
        <v>46.887499999999996</v>
      </c>
      <c r="H1025" s="365">
        <f t="shared" si="348"/>
        <v>2.8998862115511739</v>
      </c>
      <c r="I1025" s="365">
        <f t="shared" si="348"/>
        <v>-1.3151325652218018E-3</v>
      </c>
      <c r="J1025" s="365">
        <f t="shared" si="348"/>
        <v>14.427777777777777</v>
      </c>
      <c r="K1025" s="365">
        <f t="shared" si="348"/>
        <v>8.9</v>
      </c>
      <c r="L1025" s="365">
        <f t="shared" si="348"/>
        <v>10.329166666666667</v>
      </c>
      <c r="M1025" s="365">
        <f t="shared" si="348"/>
        <v>9.0236111111111104</v>
      </c>
      <c r="N1025" s="365">
        <f t="shared" si="348"/>
        <v>2.7097222222222221</v>
      </c>
      <c r="O1025" s="365">
        <f t="shared" si="348"/>
        <v>3.1916666666666664</v>
      </c>
      <c r="P1025" s="365">
        <f t="shared" si="348"/>
        <v>6.4041666666666659</v>
      </c>
      <c r="Q1025" s="365">
        <f t="shared" si="348"/>
        <v>1.0513888888888889</v>
      </c>
      <c r="R1025" s="365">
        <f t="shared" si="348"/>
        <v>1.4819444444444445</v>
      </c>
      <c r="S1025" s="427">
        <f t="shared" si="348"/>
        <v>2.4847222222222221</v>
      </c>
      <c r="T1025" s="365">
        <f t="shared" si="322"/>
        <v>459.20968219009706</v>
      </c>
      <c r="U1025" s="365">
        <f t="shared" si="320"/>
        <v>165.20968219009706</v>
      </c>
      <c r="V1025" s="365">
        <f t="shared" si="323"/>
        <v>396.30694444444441</v>
      </c>
      <c r="W1025" s="365">
        <f t="shared" si="324"/>
        <v>102.30694444444444</v>
      </c>
      <c r="X1025" s="365">
        <f t="shared" si="325"/>
        <v>2.8998862115511739</v>
      </c>
      <c r="Y1025" s="365">
        <f t="shared" si="325"/>
        <v>-1.3151325652218018E-3</v>
      </c>
      <c r="Z1025" s="365">
        <f t="shared" si="326"/>
        <v>60.004166666666656</v>
      </c>
      <c r="AC1025" s="4">
        <v>4</v>
      </c>
      <c r="AD1025" s="365">
        <f t="shared" si="327"/>
        <v>98</v>
      </c>
      <c r="AE1025" s="365">
        <f t="shared" si="328"/>
        <v>10.90327380952381</v>
      </c>
      <c r="AF1025" s="365">
        <f t="shared" si="329"/>
        <v>11.410714285714285</v>
      </c>
      <c r="AG1025" s="365">
        <f t="shared" si="330"/>
        <v>19.117559523809522</v>
      </c>
      <c r="AH1025" s="365">
        <f t="shared" si="331"/>
        <v>5.3129613829432101</v>
      </c>
      <c r="AI1025" s="365">
        <f t="shared" si="332"/>
        <v>4.7366071428571432</v>
      </c>
      <c r="AJ1025" s="365">
        <f t="shared" si="333"/>
        <v>3.1964285714285712</v>
      </c>
      <c r="AK1025" s="365">
        <f t="shared" si="334"/>
        <v>4.9642857142857144</v>
      </c>
      <c r="AL1025" s="365">
        <f t="shared" si="335"/>
        <v>5.09375</v>
      </c>
      <c r="AM1025" s="365">
        <f t="shared" si="336"/>
        <v>1.6964285714285714</v>
      </c>
      <c r="AN1025" s="365">
        <f t="shared" si="337"/>
        <v>1.9985119047619049</v>
      </c>
      <c r="AO1025" s="365">
        <f t="shared" si="338"/>
        <v>4.0461309523809526</v>
      </c>
      <c r="AP1025" s="365">
        <f t="shared" si="339"/>
        <v>0.59226190476190477</v>
      </c>
      <c r="AQ1025" s="365">
        <f t="shared" si="340"/>
        <v>0.55208333333333337</v>
      </c>
      <c r="AR1025" s="365">
        <f t="shared" si="341"/>
        <v>1.4017857142857144</v>
      </c>
      <c r="AS1025" s="365">
        <f t="shared" si="342"/>
        <v>173.02278281151467</v>
      </c>
      <c r="AT1025" s="365">
        <f t="shared" si="343"/>
        <v>10.962262638336844</v>
      </c>
      <c r="AU1025" s="365">
        <f t="shared" si="344"/>
        <v>183.98504544985153</v>
      </c>
      <c r="AW1025" s="365">
        <f t="shared" si="345"/>
        <v>154.00100553522086</v>
      </c>
      <c r="AX1025" s="365">
        <f t="shared" si="346"/>
        <v>29.984039914630671</v>
      </c>
    </row>
    <row r="1026" spans="1:50" ht="15.75" customHeight="1" x14ac:dyDescent="0.3">
      <c r="A1026" s="375" t="s">
        <v>13</v>
      </c>
      <c r="B1026" s="375">
        <f t="shared" si="318"/>
        <v>294</v>
      </c>
      <c r="C1026" s="365">
        <f t="shared" si="318"/>
        <v>0</v>
      </c>
      <c r="D1026" s="427" t="s">
        <v>1095</v>
      </c>
      <c r="E1026" s="365">
        <f t="shared" ref="E1026:S1026" si="349">+C946/$G$10/24</f>
        <v>28.793010752688172</v>
      </c>
      <c r="F1026" s="365">
        <f t="shared" si="349"/>
        <v>30.13978494623656</v>
      </c>
      <c r="G1026" s="365">
        <f t="shared" si="349"/>
        <v>49.69489247311828</v>
      </c>
      <c r="H1026" s="365">
        <f t="shared" si="349"/>
        <v>7.1756995459914172</v>
      </c>
      <c r="I1026" s="365">
        <f t="shared" si="349"/>
        <v>-0.30943546361345459</v>
      </c>
      <c r="J1026" s="365">
        <f t="shared" si="349"/>
        <v>13.53763440860215</v>
      </c>
      <c r="K1026" s="365">
        <f t="shared" si="349"/>
        <v>7.543010752688172</v>
      </c>
      <c r="L1026" s="365">
        <f t="shared" si="349"/>
        <v>9.9973118279569899</v>
      </c>
      <c r="M1026" s="365">
        <f t="shared" si="349"/>
        <v>8.3561827956989259</v>
      </c>
      <c r="N1026" s="365">
        <f t="shared" si="349"/>
        <v>2.6666666666666665</v>
      </c>
      <c r="O1026" s="365">
        <f t="shared" si="349"/>
        <v>3.1397849462365595</v>
      </c>
      <c r="P1026" s="365">
        <f t="shared" si="349"/>
        <v>5.975806451612903</v>
      </c>
      <c r="Q1026" s="365">
        <f t="shared" si="349"/>
        <v>0.79435483870967749</v>
      </c>
      <c r="R1026" s="365">
        <f t="shared" si="349"/>
        <v>2.4381720430107525</v>
      </c>
      <c r="S1026" s="427">
        <f t="shared" si="349"/>
        <v>1.8776881720430108</v>
      </c>
      <c r="T1026" s="365">
        <f t="shared" si="322"/>
        <v>465.82056515764668</v>
      </c>
      <c r="U1026" s="365">
        <f t="shared" si="320"/>
        <v>171.82056515764671</v>
      </c>
      <c r="V1026" s="365">
        <f t="shared" si="323"/>
        <v>402.62768817204301</v>
      </c>
      <c r="W1026" s="365">
        <f t="shared" si="324"/>
        <v>108.62768817204301</v>
      </c>
      <c r="X1026" s="365">
        <f t="shared" si="325"/>
        <v>7.1756995459914172</v>
      </c>
      <c r="Y1026" s="365">
        <f t="shared" si="325"/>
        <v>-0.30943546361345459</v>
      </c>
      <c r="Z1026" s="365">
        <f t="shared" si="326"/>
        <v>56.326612903225808</v>
      </c>
      <c r="AC1026" s="4">
        <v>5</v>
      </c>
      <c r="AD1026" s="365">
        <f t="shared" si="327"/>
        <v>98</v>
      </c>
      <c r="AE1026" s="365">
        <f t="shared" si="328"/>
        <v>10.90327380952381</v>
      </c>
      <c r="AF1026" s="365">
        <f t="shared" si="329"/>
        <v>11.410714285714285</v>
      </c>
      <c r="AG1026" s="365">
        <f t="shared" si="330"/>
        <v>19.117559523809522</v>
      </c>
      <c r="AH1026" s="365">
        <f t="shared" si="331"/>
        <v>5.3129613829432101</v>
      </c>
      <c r="AI1026" s="365">
        <f t="shared" si="332"/>
        <v>4.7366071428571432</v>
      </c>
      <c r="AJ1026" s="365">
        <f t="shared" si="333"/>
        <v>3.1964285714285712</v>
      </c>
      <c r="AK1026" s="365">
        <f t="shared" si="334"/>
        <v>4.9642857142857144</v>
      </c>
      <c r="AL1026" s="365">
        <f t="shared" si="335"/>
        <v>5.09375</v>
      </c>
      <c r="AM1026" s="365">
        <f t="shared" si="336"/>
        <v>1.6964285714285714</v>
      </c>
      <c r="AN1026" s="365">
        <f t="shared" si="337"/>
        <v>1.9985119047619049</v>
      </c>
      <c r="AO1026" s="365">
        <f t="shared" si="338"/>
        <v>4.0461309523809526</v>
      </c>
      <c r="AP1026" s="365">
        <f t="shared" si="339"/>
        <v>0.59226190476190477</v>
      </c>
      <c r="AQ1026" s="365">
        <f t="shared" si="340"/>
        <v>0.55208333333333337</v>
      </c>
      <c r="AR1026" s="365">
        <f t="shared" si="341"/>
        <v>1.4017857142857144</v>
      </c>
      <c r="AS1026" s="365">
        <f t="shared" si="342"/>
        <v>173.02278281151467</v>
      </c>
      <c r="AT1026" s="365">
        <f t="shared" si="343"/>
        <v>10.962262638336844</v>
      </c>
      <c r="AU1026" s="365">
        <f t="shared" si="344"/>
        <v>183.98504544985153</v>
      </c>
      <c r="AW1026" s="365">
        <f t="shared" si="345"/>
        <v>154.00100553522086</v>
      </c>
      <c r="AX1026" s="365">
        <f t="shared" si="346"/>
        <v>29.984039914630671</v>
      </c>
    </row>
    <row r="1027" spans="1:50" ht="15.75" customHeight="1" x14ac:dyDescent="0.3">
      <c r="A1027" s="375" t="s">
        <v>14</v>
      </c>
      <c r="B1027" s="375">
        <f t="shared" si="318"/>
        <v>147</v>
      </c>
      <c r="C1027" s="365">
        <f t="shared" si="318"/>
        <v>0</v>
      </c>
      <c r="D1027" s="427" t="str">
        <f>H1054</f>
        <v>n/a</v>
      </c>
      <c r="E1027" s="365">
        <f t="shared" ref="E1027:S1027" si="350">+C947/$H$10/24</f>
        <v>13.951388888888888</v>
      </c>
      <c r="F1027" s="365">
        <f t="shared" si="350"/>
        <v>14.566666666666668</v>
      </c>
      <c r="G1027" s="365">
        <f t="shared" si="350"/>
        <v>23.054166666666664</v>
      </c>
      <c r="H1027" s="365">
        <f t="shared" si="350"/>
        <v>0</v>
      </c>
      <c r="I1027" s="365">
        <f t="shared" si="350"/>
        <v>-22.077255714644576</v>
      </c>
      <c r="J1027" s="365">
        <f t="shared" si="350"/>
        <v>19.031944444444445</v>
      </c>
      <c r="K1027" s="365">
        <f t="shared" si="350"/>
        <v>11.009722222222223</v>
      </c>
      <c r="L1027" s="365">
        <f t="shared" si="350"/>
        <v>10.743055555555555</v>
      </c>
      <c r="M1027" s="365">
        <f t="shared" si="350"/>
        <v>9.0347222222222232</v>
      </c>
      <c r="N1027" s="365">
        <f t="shared" si="350"/>
        <v>2.973611111111111</v>
      </c>
      <c r="O1027" s="365">
        <f t="shared" si="350"/>
        <v>3.5013888888888887</v>
      </c>
      <c r="P1027" s="365">
        <f t="shared" si="350"/>
        <v>7.2</v>
      </c>
      <c r="Q1027" s="365">
        <f t="shared" si="350"/>
        <v>1.2611111111111111</v>
      </c>
      <c r="R1027" s="365">
        <f t="shared" si="350"/>
        <v>3.1486111111111108</v>
      </c>
      <c r="S1027" s="427">
        <f t="shared" si="350"/>
        <v>2.9819444444444443</v>
      </c>
      <c r="T1027" s="365">
        <f t="shared" si="322"/>
        <v>247.38107761868875</v>
      </c>
      <c r="U1027" s="365">
        <f t="shared" si="320"/>
        <v>100.38107761868875</v>
      </c>
      <c r="V1027" s="365">
        <f t="shared" si="323"/>
        <v>198.57222222222222</v>
      </c>
      <c r="W1027" s="365">
        <f t="shared" si="324"/>
        <v>51.572222222222223</v>
      </c>
      <c r="X1027" s="365">
        <f t="shared" si="325"/>
        <v>0</v>
      </c>
      <c r="Y1027" s="365">
        <f t="shared" si="325"/>
        <v>-22.077255714644576</v>
      </c>
      <c r="Z1027" s="365">
        <f t="shared" si="326"/>
        <v>70.88611111111112</v>
      </c>
      <c r="AC1027" s="4">
        <v>6</v>
      </c>
      <c r="AD1027" s="365">
        <f t="shared" si="327"/>
        <v>98</v>
      </c>
      <c r="AE1027" s="365">
        <f t="shared" si="328"/>
        <v>10.90327380952381</v>
      </c>
      <c r="AF1027" s="365">
        <f t="shared" si="329"/>
        <v>11.410714285714285</v>
      </c>
      <c r="AG1027" s="365">
        <f t="shared" si="330"/>
        <v>19.117559523809522</v>
      </c>
      <c r="AH1027" s="365">
        <f t="shared" si="331"/>
        <v>5.3129613829432101</v>
      </c>
      <c r="AI1027" s="365">
        <f t="shared" si="332"/>
        <v>4.7366071428571432</v>
      </c>
      <c r="AJ1027" s="365">
        <f t="shared" si="333"/>
        <v>3.1964285714285712</v>
      </c>
      <c r="AK1027" s="365">
        <f t="shared" si="334"/>
        <v>4.9642857142857144</v>
      </c>
      <c r="AL1027" s="365">
        <f t="shared" si="335"/>
        <v>5.09375</v>
      </c>
      <c r="AM1027" s="365">
        <f t="shared" si="336"/>
        <v>1.6964285714285714</v>
      </c>
      <c r="AN1027" s="365">
        <f t="shared" si="337"/>
        <v>1.9985119047619049</v>
      </c>
      <c r="AO1027" s="365">
        <f t="shared" si="338"/>
        <v>4.0461309523809526</v>
      </c>
      <c r="AP1027" s="365">
        <f t="shared" si="339"/>
        <v>0.59226190476190477</v>
      </c>
      <c r="AQ1027" s="365">
        <f t="shared" si="340"/>
        <v>0.55208333333333337</v>
      </c>
      <c r="AR1027" s="365">
        <f t="shared" si="341"/>
        <v>1.4017857142857144</v>
      </c>
      <c r="AS1027" s="365">
        <f t="shared" si="342"/>
        <v>173.02278281151467</v>
      </c>
      <c r="AT1027" s="365">
        <f t="shared" si="343"/>
        <v>10.962262638336844</v>
      </c>
      <c r="AU1027" s="365">
        <f t="shared" si="344"/>
        <v>183.98504544985153</v>
      </c>
      <c r="AW1027" s="365">
        <f t="shared" si="345"/>
        <v>154.00100553522086</v>
      </c>
      <c r="AX1027" s="365">
        <f t="shared" si="346"/>
        <v>29.984039914630671</v>
      </c>
    </row>
    <row r="1028" spans="1:50" ht="15.75" customHeight="1" x14ac:dyDescent="0.3">
      <c r="A1028" s="375" t="s">
        <v>16</v>
      </c>
      <c r="B1028" s="375">
        <f t="shared" si="318"/>
        <v>147</v>
      </c>
      <c r="C1028" s="365">
        <f t="shared" si="318"/>
        <v>0</v>
      </c>
      <c r="D1028" s="427" t="str">
        <f>H1055</f>
        <v>n/a</v>
      </c>
      <c r="E1028" s="365">
        <f t="shared" ref="E1028:S1028" si="351">+C948/$J$10/24</f>
        <v>12.295698924731184</v>
      </c>
      <c r="F1028" s="365">
        <f t="shared" si="351"/>
        <v>12.831989247311826</v>
      </c>
      <c r="G1028" s="365">
        <f t="shared" si="351"/>
        <v>20.20967741935484</v>
      </c>
      <c r="H1028" s="365">
        <f t="shared" si="351"/>
        <v>0</v>
      </c>
      <c r="I1028" s="365">
        <f t="shared" si="351"/>
        <v>-16.312897380082664</v>
      </c>
      <c r="J1028" s="365">
        <f t="shared" si="351"/>
        <v>14.720430107526882</v>
      </c>
      <c r="K1028" s="365">
        <f t="shared" si="351"/>
        <v>11.211021505376344</v>
      </c>
      <c r="L1028" s="365">
        <f t="shared" si="351"/>
        <v>10.713709677419354</v>
      </c>
      <c r="M1028" s="365">
        <f t="shared" si="351"/>
        <v>8.6518817204301079</v>
      </c>
      <c r="N1028" s="365">
        <f t="shared" si="351"/>
        <v>2.9193548387096775</v>
      </c>
      <c r="O1028" s="365">
        <f t="shared" si="351"/>
        <v>3.4381720430107525</v>
      </c>
      <c r="P1028" s="365">
        <f t="shared" si="351"/>
        <v>6.774193548387097</v>
      </c>
      <c r="Q1028" s="365">
        <f t="shared" si="351"/>
        <v>1.0228494623655913</v>
      </c>
      <c r="R1028" s="365">
        <f t="shared" si="351"/>
        <v>2.5376344086021505</v>
      </c>
      <c r="S1028" s="427">
        <f t="shared" si="351"/>
        <v>2.4193548387096775</v>
      </c>
      <c r="T1028" s="365">
        <f t="shared" si="322"/>
        <v>240.43307036185283</v>
      </c>
      <c r="U1028" s="365">
        <f t="shared" si="320"/>
        <v>93.433070361852828</v>
      </c>
      <c r="V1028" s="365">
        <f t="shared" si="323"/>
        <v>192.33736559139786</v>
      </c>
      <c r="W1028" s="365">
        <f t="shared" si="324"/>
        <v>45.337365591397848</v>
      </c>
      <c r="X1028" s="365">
        <f t="shared" si="325"/>
        <v>0</v>
      </c>
      <c r="Y1028" s="365">
        <f t="shared" si="325"/>
        <v>-16.312897380082664</v>
      </c>
      <c r="Z1028" s="365">
        <f t="shared" si="326"/>
        <v>64.408602150537632</v>
      </c>
      <c r="AC1028" s="4">
        <v>7</v>
      </c>
      <c r="AD1028" s="365">
        <f>IF($AF$1019=1,VLOOKUP($AD$1019,$A$1049:$P$1060,12,FALSE),IF(OR($AD$1019="JAN",$AD$1019="FEB",$AD$1019="NOV",$AD$1019="DEC"),VLOOKUP($AD$1019,$A$1022:$S$1033,2,FALSE),VLOOKUP($AD$1019,$A$1022:$S$1033,3,FALSE)))</f>
        <v>98</v>
      </c>
      <c r="AE1028" s="365">
        <f t="shared" si="328"/>
        <v>10.90327380952381</v>
      </c>
      <c r="AF1028" s="365">
        <f t="shared" si="329"/>
        <v>11.410714285714285</v>
      </c>
      <c r="AG1028" s="365">
        <f t="shared" si="330"/>
        <v>19.117559523809522</v>
      </c>
      <c r="AH1028" s="365">
        <f t="shared" si="331"/>
        <v>5.3129613829432101</v>
      </c>
      <c r="AI1028" s="365">
        <f t="shared" si="332"/>
        <v>4.7366071428571432</v>
      </c>
      <c r="AJ1028" s="365">
        <f t="shared" si="333"/>
        <v>3.1964285714285712</v>
      </c>
      <c r="AK1028" s="365">
        <f t="shared" si="334"/>
        <v>4.9642857142857144</v>
      </c>
      <c r="AL1028" s="365">
        <f t="shared" si="335"/>
        <v>5.09375</v>
      </c>
      <c r="AM1028" s="365">
        <f t="shared" si="336"/>
        <v>1.6964285714285714</v>
      </c>
      <c r="AN1028" s="365">
        <f t="shared" si="337"/>
        <v>1.9985119047619049</v>
      </c>
      <c r="AO1028" s="365">
        <f t="shared" si="338"/>
        <v>4.0461309523809526</v>
      </c>
      <c r="AP1028" s="365">
        <f t="shared" si="339"/>
        <v>0.59226190476190477</v>
      </c>
      <c r="AQ1028" s="365">
        <f t="shared" si="340"/>
        <v>0.55208333333333337</v>
      </c>
      <c r="AR1028" s="365">
        <f t="shared" si="341"/>
        <v>1.4017857142857144</v>
      </c>
      <c r="AS1028" s="365">
        <f t="shared" si="342"/>
        <v>173.02278281151467</v>
      </c>
      <c r="AT1028" s="365">
        <f t="shared" si="343"/>
        <v>10.962262638336844</v>
      </c>
      <c r="AU1028" s="365">
        <f t="shared" si="344"/>
        <v>183.98504544985153</v>
      </c>
      <c r="AW1028" s="365">
        <f t="shared" si="345"/>
        <v>154.00100553522086</v>
      </c>
      <c r="AX1028" s="365">
        <f t="shared" si="346"/>
        <v>29.984039914630671</v>
      </c>
    </row>
    <row r="1029" spans="1:50" ht="15.75" customHeight="1" x14ac:dyDescent="0.3">
      <c r="A1029" s="375" t="s">
        <v>17</v>
      </c>
      <c r="B1029" s="375">
        <f t="shared" si="318"/>
        <v>147</v>
      </c>
      <c r="C1029" s="365">
        <f t="shared" si="318"/>
        <v>0</v>
      </c>
      <c r="D1029" s="427" t="str">
        <f>H1056</f>
        <v>n/a</v>
      </c>
      <c r="E1029" s="365">
        <f t="shared" ref="E1029:S1029" si="352">+C949/$K$10/24</f>
        <v>11.783602150537634</v>
      </c>
      <c r="F1029" s="365">
        <f t="shared" si="352"/>
        <v>12.309139784946238</v>
      </c>
      <c r="G1029" s="365">
        <f t="shared" si="352"/>
        <v>19.404569892473116</v>
      </c>
      <c r="H1029" s="365">
        <f t="shared" si="352"/>
        <v>0</v>
      </c>
      <c r="I1029" s="365">
        <f t="shared" si="352"/>
        <v>-13.366155316767534</v>
      </c>
      <c r="J1029" s="365">
        <f t="shared" si="352"/>
        <v>14.560483870967742</v>
      </c>
      <c r="K1029" s="365">
        <f t="shared" si="352"/>
        <v>10.10483870967742</v>
      </c>
      <c r="L1029" s="365">
        <f t="shared" si="352"/>
        <v>10.948924731182794</v>
      </c>
      <c r="M1029" s="365">
        <f t="shared" si="352"/>
        <v>9.1061827956989259</v>
      </c>
      <c r="N1029" s="365">
        <f t="shared" si="352"/>
        <v>2.913978494623656</v>
      </c>
      <c r="O1029" s="365">
        <f t="shared" si="352"/>
        <v>3.4327956989247315</v>
      </c>
      <c r="P1029" s="365">
        <f t="shared" si="352"/>
        <v>6.9825268817204309</v>
      </c>
      <c r="Q1029" s="365">
        <f t="shared" si="352"/>
        <v>0.95564516129032251</v>
      </c>
      <c r="R1029" s="365">
        <f t="shared" si="352"/>
        <v>2.3938172043010755</v>
      </c>
      <c r="S1029" s="427">
        <f t="shared" si="352"/>
        <v>2.260752688172043</v>
      </c>
      <c r="T1029" s="365">
        <f t="shared" si="322"/>
        <v>240.79110274774862</v>
      </c>
      <c r="U1029" s="365">
        <f t="shared" si="320"/>
        <v>93.791102747748624</v>
      </c>
      <c r="V1029" s="365">
        <f t="shared" si="323"/>
        <v>190.49731182795699</v>
      </c>
      <c r="W1029" s="365">
        <f t="shared" si="324"/>
        <v>43.497311827956992</v>
      </c>
      <c r="X1029" s="365">
        <f t="shared" si="325"/>
        <v>0</v>
      </c>
      <c r="Y1029" s="365">
        <f t="shared" si="325"/>
        <v>-13.366155316767534</v>
      </c>
      <c r="Z1029" s="365">
        <f t="shared" si="326"/>
        <v>63.659946236559129</v>
      </c>
      <c r="AC1029" s="4">
        <v>8</v>
      </c>
      <c r="AD1029" s="365">
        <f>IF($AF$1019=1,VLOOKUP($AD$1019,$A$1049:$P$1060,12,FALSE),VLOOKUP($AD$1019,$A$1022:$S$1033,3,FALSE))</f>
        <v>0</v>
      </c>
      <c r="AE1029" s="365">
        <f t="shared" si="328"/>
        <v>10.90327380952381</v>
      </c>
      <c r="AF1029" s="365">
        <f t="shared" si="329"/>
        <v>11.410714285714285</v>
      </c>
      <c r="AG1029" s="365">
        <f t="shared" si="330"/>
        <v>19.117559523809522</v>
      </c>
      <c r="AH1029" s="365">
        <f t="shared" si="331"/>
        <v>5.3129613829432101</v>
      </c>
      <c r="AI1029" s="365">
        <f t="shared" si="332"/>
        <v>4.7366071428571432</v>
      </c>
      <c r="AJ1029" s="365">
        <f t="shared" si="333"/>
        <v>3.1964285714285712</v>
      </c>
      <c r="AK1029" s="365">
        <f t="shared" si="334"/>
        <v>4.9642857142857144</v>
      </c>
      <c r="AL1029" s="365">
        <f t="shared" si="335"/>
        <v>5.09375</v>
      </c>
      <c r="AM1029" s="365">
        <f t="shared" si="336"/>
        <v>1.6964285714285714</v>
      </c>
      <c r="AN1029" s="365">
        <f t="shared" si="337"/>
        <v>1.9985119047619049</v>
      </c>
      <c r="AO1029" s="365">
        <f t="shared" si="338"/>
        <v>4.0461309523809526</v>
      </c>
      <c r="AP1029" s="365">
        <f t="shared" si="339"/>
        <v>0.59226190476190477</v>
      </c>
      <c r="AQ1029" s="365">
        <f t="shared" si="340"/>
        <v>0.55208333333333337</v>
      </c>
      <c r="AR1029" s="365">
        <f t="shared" si="341"/>
        <v>1.4017857142857144</v>
      </c>
      <c r="AS1029" s="365">
        <f t="shared" si="342"/>
        <v>75.022782811514617</v>
      </c>
      <c r="AT1029" s="365">
        <f t="shared" si="343"/>
        <v>4.7532436808315754</v>
      </c>
      <c r="AU1029" s="365">
        <f t="shared" si="344"/>
        <v>79.77602649234619</v>
      </c>
      <c r="AW1029" s="365">
        <f t="shared" si="345"/>
        <v>154.00100553522086</v>
      </c>
      <c r="AX1029" s="365">
        <f t="shared" si="346"/>
        <v>-74.224979042874665</v>
      </c>
    </row>
    <row r="1030" spans="1:50" ht="15.75" customHeight="1" x14ac:dyDescent="0.3">
      <c r="A1030" s="375" t="s">
        <v>18</v>
      </c>
      <c r="B1030" s="375">
        <f t="shared" si="318"/>
        <v>245</v>
      </c>
      <c r="C1030" s="365">
        <f t="shared" si="318"/>
        <v>0</v>
      </c>
      <c r="D1030" s="427" t="s">
        <v>1095</v>
      </c>
      <c r="E1030" s="365">
        <f t="shared" ref="E1030:S1030" si="353">+C950/$L$10/24</f>
        <v>22.43472222222222</v>
      </c>
      <c r="F1030" s="365">
        <f t="shared" si="353"/>
        <v>23.484722222222221</v>
      </c>
      <c r="G1030" s="365">
        <f t="shared" si="353"/>
        <v>38.769444444444446</v>
      </c>
      <c r="H1030" s="365">
        <f t="shared" si="353"/>
        <v>2.302511468882543</v>
      </c>
      <c r="I1030" s="365">
        <f t="shared" si="353"/>
        <v>-1.9748487817131366</v>
      </c>
      <c r="J1030" s="365">
        <f t="shared" si="353"/>
        <v>11.673611111111112</v>
      </c>
      <c r="K1030" s="365">
        <f t="shared" si="353"/>
        <v>7.5138888888888893</v>
      </c>
      <c r="L1030" s="365">
        <f t="shared" si="353"/>
        <v>9.530555555555555</v>
      </c>
      <c r="M1030" s="365">
        <f t="shared" si="353"/>
        <v>8.5138888888888893</v>
      </c>
      <c r="N1030" s="365">
        <f t="shared" si="353"/>
        <v>2.651388888888889</v>
      </c>
      <c r="O1030" s="365">
        <f t="shared" si="353"/>
        <v>3.1236111111111113</v>
      </c>
      <c r="P1030" s="365">
        <f t="shared" si="353"/>
        <v>6.1888888888888891</v>
      </c>
      <c r="Q1030" s="365">
        <f t="shared" si="353"/>
        <v>0.93333333333333324</v>
      </c>
      <c r="R1030" s="365">
        <f t="shared" si="353"/>
        <v>2.3736111111111113</v>
      </c>
      <c r="S1030" s="427">
        <f t="shared" si="353"/>
        <v>2.1763888888888889</v>
      </c>
      <c r="T1030" s="365">
        <f t="shared" si="322"/>
        <v>384.69571824272498</v>
      </c>
      <c r="U1030" s="365">
        <f t="shared" si="320"/>
        <v>139.69571824272495</v>
      </c>
      <c r="V1030" s="365">
        <f t="shared" si="323"/>
        <v>329.68888888888887</v>
      </c>
      <c r="W1030" s="365">
        <f t="shared" si="324"/>
        <v>84.688888888888883</v>
      </c>
      <c r="X1030" s="365">
        <f t="shared" si="325"/>
        <v>2.302511468882543</v>
      </c>
      <c r="Y1030" s="365">
        <f t="shared" si="325"/>
        <v>-1.9748487817131366</v>
      </c>
      <c r="Z1030" s="365">
        <f t="shared" si="326"/>
        <v>54.67916666666666</v>
      </c>
      <c r="AC1030" s="4">
        <v>9</v>
      </c>
      <c r="AD1030" s="365">
        <f>IF($AF$1019=1,VLOOKUP($AD$1019,$A$1049:$P$1060,12,FALSE),VLOOKUP($AD$1019,$A$1022:$S$1033,3,FALSE))</f>
        <v>0</v>
      </c>
      <c r="AE1030" s="365">
        <f t="shared" si="328"/>
        <v>10.90327380952381</v>
      </c>
      <c r="AF1030" s="365">
        <f t="shared" si="329"/>
        <v>11.410714285714285</v>
      </c>
      <c r="AG1030" s="365">
        <f t="shared" si="330"/>
        <v>19.117559523809522</v>
      </c>
      <c r="AH1030" s="365">
        <f t="shared" si="331"/>
        <v>5.3129613829432101</v>
      </c>
      <c r="AI1030" s="365">
        <f t="shared" si="332"/>
        <v>4.7366071428571432</v>
      </c>
      <c r="AJ1030" s="365">
        <f t="shared" si="333"/>
        <v>3.1964285714285712</v>
      </c>
      <c r="AK1030" s="365">
        <f t="shared" si="334"/>
        <v>4.9642857142857144</v>
      </c>
      <c r="AL1030" s="365">
        <f t="shared" si="335"/>
        <v>5.09375</v>
      </c>
      <c r="AM1030" s="365">
        <f t="shared" si="336"/>
        <v>1.6964285714285714</v>
      </c>
      <c r="AN1030" s="365">
        <f t="shared" si="337"/>
        <v>1.9985119047619049</v>
      </c>
      <c r="AO1030" s="365">
        <f t="shared" si="338"/>
        <v>4.0461309523809526</v>
      </c>
      <c r="AP1030" s="365">
        <f t="shared" si="339"/>
        <v>0.59226190476190477</v>
      </c>
      <c r="AQ1030" s="365">
        <f t="shared" si="340"/>
        <v>0.55208333333333337</v>
      </c>
      <c r="AR1030" s="365">
        <f t="shared" si="341"/>
        <v>1.4017857142857144</v>
      </c>
      <c r="AS1030" s="365">
        <f t="shared" si="342"/>
        <v>75.022782811514617</v>
      </c>
      <c r="AT1030" s="365">
        <f t="shared" si="343"/>
        <v>4.7532436808315754</v>
      </c>
      <c r="AU1030" s="365">
        <f t="shared" si="344"/>
        <v>79.77602649234619</v>
      </c>
      <c r="AW1030" s="365">
        <f t="shared" si="345"/>
        <v>154.00100553522086</v>
      </c>
      <c r="AX1030" s="365">
        <f t="shared" si="346"/>
        <v>-74.224979042874665</v>
      </c>
    </row>
    <row r="1031" spans="1:50" ht="15.75" customHeight="1" x14ac:dyDescent="0.3">
      <c r="A1031" s="375" t="s">
        <v>20</v>
      </c>
      <c r="B1031" s="375">
        <f t="shared" si="318"/>
        <v>245</v>
      </c>
      <c r="C1031" s="365">
        <f t="shared" si="318"/>
        <v>0</v>
      </c>
      <c r="D1031" s="427" t="s">
        <v>1095</v>
      </c>
      <c r="E1031" s="365">
        <f t="shared" ref="E1031:S1031" si="354">+C951/$N$10/24</f>
        <v>21.201612903225804</v>
      </c>
      <c r="F1031" s="365">
        <f t="shared" si="354"/>
        <v>22.197580645161292</v>
      </c>
      <c r="G1031" s="365">
        <f t="shared" si="354"/>
        <v>36.982526881720432</v>
      </c>
      <c r="H1031" s="365">
        <f t="shared" si="354"/>
        <v>10.746195374473309</v>
      </c>
      <c r="I1031" s="365">
        <f t="shared" si="354"/>
        <v>0</v>
      </c>
      <c r="J1031" s="365">
        <f t="shared" si="354"/>
        <v>5.811827956989247</v>
      </c>
      <c r="K1031" s="365">
        <f t="shared" si="354"/>
        <v>2.7405913978494625</v>
      </c>
      <c r="L1031" s="365">
        <f t="shared" si="354"/>
        <v>3.6518817204301075</v>
      </c>
      <c r="M1031" s="365">
        <f t="shared" si="354"/>
        <v>3.396505376344086</v>
      </c>
      <c r="N1031" s="365">
        <f t="shared" si="354"/>
        <v>0.95161290322580649</v>
      </c>
      <c r="O1031" s="365">
        <f t="shared" si="354"/>
        <v>1.1182795698924732</v>
      </c>
      <c r="P1031" s="365">
        <f t="shared" si="354"/>
        <v>2.0631720430107525</v>
      </c>
      <c r="Q1031" s="365">
        <f t="shared" si="354"/>
        <v>0.86155913978494614</v>
      </c>
      <c r="R1031" s="365">
        <f t="shared" si="354"/>
        <v>2.1706989247311825</v>
      </c>
      <c r="S1031" s="427">
        <f t="shared" si="354"/>
        <v>2.0376344086021505</v>
      </c>
      <c r="T1031" s="365">
        <f t="shared" si="322"/>
        <v>360.93167924544105</v>
      </c>
      <c r="U1031" s="365">
        <f t="shared" si="320"/>
        <v>115.93167924544103</v>
      </c>
      <c r="V1031" s="365">
        <f t="shared" si="323"/>
        <v>325.38172043010752</v>
      </c>
      <c r="W1031" s="365">
        <f t="shared" si="324"/>
        <v>80.381720430107521</v>
      </c>
      <c r="X1031" s="365">
        <f t="shared" si="325"/>
        <v>10.746195374473309</v>
      </c>
      <c r="Y1031" s="365">
        <f t="shared" si="325"/>
        <v>0</v>
      </c>
      <c r="Z1031" s="365">
        <f t="shared" si="326"/>
        <v>24.803763440860219</v>
      </c>
      <c r="AC1031" s="4">
        <v>10</v>
      </c>
      <c r="AD1031" s="365">
        <f>IF($AF$1019=1,VLOOKUP($AD$1019,$A$1049:$P$1060,12,FALSE),VLOOKUP($AD$1019,$A$1022:$S$1033,3,FALSE))</f>
        <v>0</v>
      </c>
      <c r="AE1031" s="365">
        <f t="shared" si="328"/>
        <v>10.90327380952381</v>
      </c>
      <c r="AF1031" s="365">
        <f t="shared" si="329"/>
        <v>11.410714285714285</v>
      </c>
      <c r="AG1031" s="365">
        <f t="shared" si="330"/>
        <v>19.117559523809522</v>
      </c>
      <c r="AH1031" s="365">
        <f t="shared" si="331"/>
        <v>5.3129613829432101</v>
      </c>
      <c r="AI1031" s="365">
        <f t="shared" si="332"/>
        <v>4.7366071428571432</v>
      </c>
      <c r="AJ1031" s="365">
        <f t="shared" si="333"/>
        <v>3.1964285714285712</v>
      </c>
      <c r="AK1031" s="365">
        <f t="shared" si="334"/>
        <v>4.9642857142857144</v>
      </c>
      <c r="AL1031" s="365">
        <f t="shared" si="335"/>
        <v>5.09375</v>
      </c>
      <c r="AM1031" s="365">
        <f t="shared" si="336"/>
        <v>1.6964285714285714</v>
      </c>
      <c r="AN1031" s="365">
        <f t="shared" si="337"/>
        <v>1.9985119047619049</v>
      </c>
      <c r="AO1031" s="365">
        <f t="shared" si="338"/>
        <v>4.0461309523809526</v>
      </c>
      <c r="AP1031" s="365">
        <f t="shared" si="339"/>
        <v>0.59226190476190477</v>
      </c>
      <c r="AQ1031" s="365">
        <f t="shared" si="340"/>
        <v>0.55208333333333337</v>
      </c>
      <c r="AR1031" s="365">
        <f t="shared" si="341"/>
        <v>1.4017857142857144</v>
      </c>
      <c r="AS1031" s="365">
        <f t="shared" si="342"/>
        <v>75.022782811514617</v>
      </c>
      <c r="AT1031" s="365">
        <f t="shared" si="343"/>
        <v>4.7532436808315754</v>
      </c>
      <c r="AU1031" s="365">
        <f t="shared" si="344"/>
        <v>79.77602649234619</v>
      </c>
      <c r="AW1031" s="365">
        <f t="shared" si="345"/>
        <v>154.00100553522086</v>
      </c>
      <c r="AX1031" s="365">
        <f t="shared" si="346"/>
        <v>-74.224979042874665</v>
      </c>
    </row>
    <row r="1032" spans="1:50" ht="15.75" customHeight="1" x14ac:dyDescent="0.3">
      <c r="A1032" s="375" t="s">
        <v>21</v>
      </c>
      <c r="B1032" s="375">
        <f t="shared" si="318"/>
        <v>245</v>
      </c>
      <c r="C1032" s="365">
        <f t="shared" si="318"/>
        <v>0</v>
      </c>
      <c r="D1032" s="427" t="s">
        <v>1095</v>
      </c>
      <c r="E1032" s="365">
        <f t="shared" ref="E1032:S1032" si="355">+C952/$O$10/24</f>
        <v>21.476388888888888</v>
      </c>
      <c r="F1032" s="365">
        <f t="shared" si="355"/>
        <v>22.493055555555557</v>
      </c>
      <c r="G1032" s="365">
        <f t="shared" si="355"/>
        <v>37.87638888888889</v>
      </c>
      <c r="H1032" s="365">
        <f t="shared" si="355"/>
        <v>17.434059172942092</v>
      </c>
      <c r="I1032" s="365">
        <f t="shared" si="355"/>
        <v>0</v>
      </c>
      <c r="J1032" s="365">
        <f t="shared" si="355"/>
        <v>3.4166666666666665</v>
      </c>
      <c r="K1032" s="365">
        <f t="shared" si="355"/>
        <v>0.89166666666666661</v>
      </c>
      <c r="L1032" s="365">
        <f t="shared" si="355"/>
        <v>1.2361111111111112</v>
      </c>
      <c r="M1032" s="365">
        <f t="shared" si="355"/>
        <v>1.1125</v>
      </c>
      <c r="N1032" s="365">
        <f t="shared" si="355"/>
        <v>0.19305555555555556</v>
      </c>
      <c r="O1032" s="365">
        <f t="shared" si="355"/>
        <v>0.22500000000000001</v>
      </c>
      <c r="P1032" s="365">
        <f t="shared" si="355"/>
        <v>0.4375</v>
      </c>
      <c r="Q1032" s="365">
        <f t="shared" si="355"/>
        <v>0.27499999999999997</v>
      </c>
      <c r="R1032" s="365">
        <f t="shared" si="355"/>
        <v>1.1152777777777778</v>
      </c>
      <c r="S1032" s="427">
        <f t="shared" si="355"/>
        <v>0.65</v>
      </c>
      <c r="T1032" s="365">
        <f t="shared" si="322"/>
        <v>353.83267028405322</v>
      </c>
      <c r="U1032" s="365">
        <f t="shared" si="320"/>
        <v>108.83267028405321</v>
      </c>
      <c r="V1032" s="365">
        <f t="shared" si="323"/>
        <v>326.8458333333333</v>
      </c>
      <c r="W1032" s="365">
        <f t="shared" si="324"/>
        <v>81.845833333333331</v>
      </c>
      <c r="X1032" s="365">
        <f t="shared" si="325"/>
        <v>17.434059172942092</v>
      </c>
      <c r="Y1032" s="365">
        <f t="shared" si="325"/>
        <v>0</v>
      </c>
      <c r="Z1032" s="365">
        <f t="shared" si="326"/>
        <v>9.5527777777777771</v>
      </c>
      <c r="AC1032" s="4">
        <v>11</v>
      </c>
      <c r="AD1032" s="365">
        <f>IF($AF$1019=1,VLOOKUP($AD$1019,$A$1049:$P$1060,12,FALSE),VLOOKUP($AD$1019,$A$1022:$S$1033,3,FALSE))</f>
        <v>0</v>
      </c>
      <c r="AE1032" s="365">
        <f t="shared" si="328"/>
        <v>10.90327380952381</v>
      </c>
      <c r="AF1032" s="365">
        <f t="shared" si="329"/>
        <v>11.410714285714285</v>
      </c>
      <c r="AG1032" s="365">
        <f t="shared" si="330"/>
        <v>19.117559523809522</v>
      </c>
      <c r="AH1032" s="365">
        <f t="shared" si="331"/>
        <v>5.3129613829432101</v>
      </c>
      <c r="AI1032" s="365">
        <f t="shared" si="332"/>
        <v>4.7366071428571432</v>
      </c>
      <c r="AJ1032" s="365">
        <f t="shared" si="333"/>
        <v>3.1964285714285712</v>
      </c>
      <c r="AK1032" s="365">
        <f t="shared" si="334"/>
        <v>4.9642857142857144</v>
      </c>
      <c r="AL1032" s="365">
        <f t="shared" si="335"/>
        <v>5.09375</v>
      </c>
      <c r="AM1032" s="365">
        <f t="shared" si="336"/>
        <v>1.6964285714285714</v>
      </c>
      <c r="AN1032" s="365">
        <f t="shared" si="337"/>
        <v>1.9985119047619049</v>
      </c>
      <c r="AO1032" s="365">
        <f t="shared" si="338"/>
        <v>4.0461309523809526</v>
      </c>
      <c r="AP1032" s="365">
        <f t="shared" si="339"/>
        <v>0.59226190476190477</v>
      </c>
      <c r="AQ1032" s="365">
        <f t="shared" si="340"/>
        <v>0.55208333333333337</v>
      </c>
      <c r="AR1032" s="365">
        <f t="shared" si="341"/>
        <v>1.4017857142857144</v>
      </c>
      <c r="AS1032" s="365">
        <f t="shared" si="342"/>
        <v>75.022782811514617</v>
      </c>
      <c r="AT1032" s="365">
        <f t="shared" si="343"/>
        <v>4.7532436808315754</v>
      </c>
      <c r="AU1032" s="365">
        <f t="shared" si="344"/>
        <v>79.77602649234619</v>
      </c>
      <c r="AW1032" s="365">
        <f t="shared" si="345"/>
        <v>154.00100553522086</v>
      </c>
      <c r="AX1032" s="365">
        <f t="shared" si="346"/>
        <v>-74.224979042874665</v>
      </c>
    </row>
    <row r="1033" spans="1:50" ht="15.75" customHeight="1" thickBot="1" x14ac:dyDescent="0.35">
      <c r="A1033" s="382" t="s">
        <v>22</v>
      </c>
      <c r="B1033" s="382">
        <f t="shared" si="318"/>
        <v>245</v>
      </c>
      <c r="C1033" s="369">
        <f t="shared" si="318"/>
        <v>0</v>
      </c>
      <c r="D1033" s="429" t="s">
        <v>1095</v>
      </c>
      <c r="E1033" s="369">
        <f t="shared" ref="E1033:S1033" si="356">+C953/$P$10/24</f>
        <v>23.150537634408604</v>
      </c>
      <c r="F1033" s="369">
        <f t="shared" si="356"/>
        <v>24.25940860215054</v>
      </c>
      <c r="G1033" s="369">
        <f t="shared" si="356"/>
        <v>40.69489247311828</v>
      </c>
      <c r="H1033" s="369">
        <f t="shared" si="356"/>
        <v>18.607906508697226</v>
      </c>
      <c r="I1033" s="369">
        <f t="shared" si="356"/>
        <v>-1.3183328541726921E-2</v>
      </c>
      <c r="J1033" s="369">
        <f t="shared" si="356"/>
        <v>5.024193548387097</v>
      </c>
      <c r="K1033" s="369">
        <f t="shared" si="356"/>
        <v>2.7271505376344085</v>
      </c>
      <c r="L1033" s="369">
        <f t="shared" si="356"/>
        <v>3.8588709677419355</v>
      </c>
      <c r="M1033" s="369">
        <f t="shared" si="356"/>
        <v>3.9516129032258065</v>
      </c>
      <c r="N1033" s="369">
        <f t="shared" si="356"/>
        <v>0.95833333333333337</v>
      </c>
      <c r="O1033" s="369">
        <f t="shared" si="356"/>
        <v>1.1290322580645162</v>
      </c>
      <c r="P1033" s="369">
        <f t="shared" si="356"/>
        <v>2.3884408602150535</v>
      </c>
      <c r="Q1033" s="369">
        <f t="shared" si="356"/>
        <v>0.74596774193548387</v>
      </c>
      <c r="R1033" s="369">
        <f t="shared" si="356"/>
        <v>1.5336021505376343</v>
      </c>
      <c r="S1033" s="429">
        <f t="shared" si="356"/>
        <v>1.764784946236559</v>
      </c>
      <c r="T1033" s="365">
        <f t="shared" si="322"/>
        <v>375.78155113714479</v>
      </c>
      <c r="U1033" s="365">
        <f t="shared" si="320"/>
        <v>130.78155113714476</v>
      </c>
      <c r="V1033" s="365">
        <f t="shared" si="323"/>
        <v>333.10483870967744</v>
      </c>
      <c r="W1033" s="365">
        <f t="shared" si="324"/>
        <v>88.104838709677423</v>
      </c>
      <c r="X1033" s="365">
        <f t="shared" si="325"/>
        <v>18.607906508697226</v>
      </c>
      <c r="Y1033" s="365">
        <f t="shared" si="325"/>
        <v>-1.3183328541726921E-2</v>
      </c>
      <c r="Z1033" s="365">
        <f t="shared" si="326"/>
        <v>24.081989247311828</v>
      </c>
      <c r="AC1033" s="4">
        <v>12</v>
      </c>
      <c r="AD1033" s="365">
        <f>IF($AF$1019=1,VLOOKUP($AD$1019,$A$1049:$P$1060,12,FALSE),VLOOKUP($AD$1019,$A$1022:$S$1033,3,FALSE))</f>
        <v>0</v>
      </c>
      <c r="AE1033" s="365">
        <f t="shared" si="328"/>
        <v>10.90327380952381</v>
      </c>
      <c r="AF1033" s="365">
        <f t="shared" si="329"/>
        <v>11.410714285714285</v>
      </c>
      <c r="AG1033" s="365">
        <f t="shared" si="330"/>
        <v>19.117559523809522</v>
      </c>
      <c r="AH1033" s="365">
        <f t="shared" si="331"/>
        <v>5.3129613829432101</v>
      </c>
      <c r="AI1033" s="365">
        <f t="shared" si="332"/>
        <v>4.7366071428571432</v>
      </c>
      <c r="AJ1033" s="365">
        <f t="shared" si="333"/>
        <v>3.1964285714285712</v>
      </c>
      <c r="AK1033" s="365">
        <f t="shared" si="334"/>
        <v>4.9642857142857144</v>
      </c>
      <c r="AL1033" s="365">
        <f t="shared" si="335"/>
        <v>5.09375</v>
      </c>
      <c r="AM1033" s="365">
        <f t="shared" si="336"/>
        <v>1.6964285714285714</v>
      </c>
      <c r="AN1033" s="365">
        <f t="shared" si="337"/>
        <v>1.9985119047619049</v>
      </c>
      <c r="AO1033" s="365">
        <f t="shared" si="338"/>
        <v>4.0461309523809526</v>
      </c>
      <c r="AP1033" s="365">
        <f t="shared" si="339"/>
        <v>0.59226190476190477</v>
      </c>
      <c r="AQ1033" s="365">
        <f t="shared" si="340"/>
        <v>0.55208333333333337</v>
      </c>
      <c r="AR1033" s="365">
        <f t="shared" si="341"/>
        <v>1.4017857142857144</v>
      </c>
      <c r="AS1033" s="365">
        <f t="shared" si="342"/>
        <v>75.022782811514617</v>
      </c>
      <c r="AT1033" s="365">
        <f t="shared" si="343"/>
        <v>4.7532436808315754</v>
      </c>
      <c r="AU1033" s="365">
        <f t="shared" si="344"/>
        <v>79.77602649234619</v>
      </c>
      <c r="AW1033" s="365">
        <f t="shared" si="345"/>
        <v>154.00100553522086</v>
      </c>
      <c r="AX1033" s="365">
        <f t="shared" si="346"/>
        <v>-74.224979042874665</v>
      </c>
    </row>
    <row r="1034" spans="1:50" ht="15.75" customHeight="1" x14ac:dyDescent="0.3">
      <c r="A1034" s="418"/>
      <c r="AC1034" s="4">
        <v>13</v>
      </c>
      <c r="AD1034" s="365">
        <f>IF($AF$1019=1,VLOOKUP($AD$1019,$A$1049:$P$1060,12,FALSE),IF(OR($AD$1019="JUN",$AD$1019="JUL",$AD$1019="AUG"),VLOOKUP($AD$1019,$A$1022:$S$1033,4,FALSE),VLOOKUP($AD$1019,$A$1022:$S$1033,3,FALSE)))</f>
        <v>0</v>
      </c>
      <c r="AE1034" s="365">
        <f t="shared" si="328"/>
        <v>10.90327380952381</v>
      </c>
      <c r="AF1034" s="365">
        <f t="shared" si="329"/>
        <v>11.410714285714285</v>
      </c>
      <c r="AG1034" s="365">
        <f t="shared" si="330"/>
        <v>19.117559523809522</v>
      </c>
      <c r="AH1034" s="365">
        <f t="shared" si="331"/>
        <v>5.3129613829432101</v>
      </c>
      <c r="AI1034" s="365">
        <f t="shared" si="332"/>
        <v>4.7366071428571432</v>
      </c>
      <c r="AJ1034" s="365">
        <f t="shared" si="333"/>
        <v>3.1964285714285712</v>
      </c>
      <c r="AK1034" s="365">
        <f t="shared" si="334"/>
        <v>4.9642857142857144</v>
      </c>
      <c r="AL1034" s="365">
        <f t="shared" si="335"/>
        <v>5.09375</v>
      </c>
      <c r="AM1034" s="365">
        <f t="shared" si="336"/>
        <v>1.6964285714285714</v>
      </c>
      <c r="AN1034" s="365">
        <f t="shared" si="337"/>
        <v>1.9985119047619049</v>
      </c>
      <c r="AO1034" s="365">
        <f t="shared" si="338"/>
        <v>4.0461309523809526</v>
      </c>
      <c r="AP1034" s="365">
        <f t="shared" si="339"/>
        <v>0.59226190476190477</v>
      </c>
      <c r="AQ1034" s="365">
        <f t="shared" si="340"/>
        <v>0.55208333333333337</v>
      </c>
      <c r="AR1034" s="365">
        <f t="shared" si="341"/>
        <v>1.4017857142857144</v>
      </c>
      <c r="AS1034" s="365">
        <f t="shared" si="342"/>
        <v>75.022782811514617</v>
      </c>
      <c r="AT1034" s="365">
        <f t="shared" si="343"/>
        <v>4.7532436808315754</v>
      </c>
      <c r="AU1034" s="365">
        <f t="shared" si="344"/>
        <v>79.77602649234619</v>
      </c>
      <c r="AW1034" s="365">
        <f t="shared" si="345"/>
        <v>154.00100553522086</v>
      </c>
      <c r="AX1034" s="365">
        <f t="shared" si="346"/>
        <v>-74.224979042874665</v>
      </c>
    </row>
    <row r="1035" spans="1:50" ht="27.75" customHeight="1" x14ac:dyDescent="0.3">
      <c r="A1035" s="418" t="s">
        <v>1096</v>
      </c>
      <c r="AC1035" s="4">
        <v>14</v>
      </c>
      <c r="AD1035" s="365">
        <f t="shared" ref="AD1035:AD1041" si="357">IF($AF$1019=1,VLOOKUP($AD$1019,$A$1049:$P$1060,12,FALSE),IF(OR($AD$1019="JUN",$AD$1019="JUL",$AD$1019="AUG"),VLOOKUP($AD$1019,$A$1022:$S$1033,4,FALSE),VLOOKUP($AD$1019,$A$1022:$S$1033,3,FALSE)))</f>
        <v>0</v>
      </c>
      <c r="AE1035" s="365">
        <f t="shared" si="328"/>
        <v>10.90327380952381</v>
      </c>
      <c r="AF1035" s="365">
        <f t="shared" si="329"/>
        <v>11.410714285714285</v>
      </c>
      <c r="AG1035" s="365">
        <f t="shared" si="330"/>
        <v>19.117559523809522</v>
      </c>
      <c r="AH1035" s="365">
        <f t="shared" si="331"/>
        <v>5.3129613829432101</v>
      </c>
      <c r="AI1035" s="365">
        <f t="shared" si="332"/>
        <v>4.7366071428571432</v>
      </c>
      <c r="AJ1035" s="365">
        <f t="shared" si="333"/>
        <v>3.1964285714285712</v>
      </c>
      <c r="AK1035" s="365">
        <f t="shared" si="334"/>
        <v>4.9642857142857144</v>
      </c>
      <c r="AL1035" s="365">
        <f t="shared" si="335"/>
        <v>5.09375</v>
      </c>
      <c r="AM1035" s="365">
        <f t="shared" si="336"/>
        <v>1.6964285714285714</v>
      </c>
      <c r="AN1035" s="365">
        <f t="shared" si="337"/>
        <v>1.9985119047619049</v>
      </c>
      <c r="AO1035" s="365">
        <f t="shared" si="338"/>
        <v>4.0461309523809526</v>
      </c>
      <c r="AP1035" s="365">
        <f t="shared" si="339"/>
        <v>0.59226190476190477</v>
      </c>
      <c r="AQ1035" s="365">
        <f t="shared" si="340"/>
        <v>0.55208333333333337</v>
      </c>
      <c r="AR1035" s="365">
        <f t="shared" si="341"/>
        <v>1.4017857142857144</v>
      </c>
      <c r="AS1035" s="365">
        <f t="shared" si="342"/>
        <v>75.022782811514617</v>
      </c>
      <c r="AT1035" s="365">
        <f t="shared" si="343"/>
        <v>4.7532436808315754</v>
      </c>
      <c r="AU1035" s="365">
        <f t="shared" si="344"/>
        <v>79.77602649234619</v>
      </c>
      <c r="AW1035" s="365">
        <f t="shared" si="345"/>
        <v>154.00100553522086</v>
      </c>
      <c r="AX1035" s="365">
        <f t="shared" si="346"/>
        <v>-74.224979042874665</v>
      </c>
    </row>
    <row r="1036" spans="1:50" ht="15.75" customHeight="1" x14ac:dyDescent="0.3">
      <c r="A1036" s="418"/>
      <c r="AC1036" s="4">
        <v>15</v>
      </c>
      <c r="AD1036" s="365">
        <f t="shared" si="357"/>
        <v>0</v>
      </c>
      <c r="AE1036" s="365">
        <f t="shared" si="328"/>
        <v>10.90327380952381</v>
      </c>
      <c r="AF1036" s="365">
        <f t="shared" si="329"/>
        <v>11.410714285714285</v>
      </c>
      <c r="AG1036" s="365">
        <f t="shared" si="330"/>
        <v>19.117559523809522</v>
      </c>
      <c r="AH1036" s="365">
        <f t="shared" si="331"/>
        <v>5.3129613829432101</v>
      </c>
      <c r="AI1036" s="365">
        <f t="shared" si="332"/>
        <v>4.7366071428571432</v>
      </c>
      <c r="AJ1036" s="365">
        <f t="shared" si="333"/>
        <v>3.1964285714285712</v>
      </c>
      <c r="AK1036" s="365">
        <f t="shared" si="334"/>
        <v>4.9642857142857144</v>
      </c>
      <c r="AL1036" s="365">
        <f t="shared" si="335"/>
        <v>5.09375</v>
      </c>
      <c r="AM1036" s="365">
        <f t="shared" si="336"/>
        <v>1.6964285714285714</v>
      </c>
      <c r="AN1036" s="365">
        <f t="shared" si="337"/>
        <v>1.9985119047619049</v>
      </c>
      <c r="AO1036" s="365">
        <f t="shared" si="338"/>
        <v>4.0461309523809526</v>
      </c>
      <c r="AP1036" s="365">
        <f t="shared" si="339"/>
        <v>0.59226190476190477</v>
      </c>
      <c r="AQ1036" s="365">
        <f t="shared" si="340"/>
        <v>0.55208333333333337</v>
      </c>
      <c r="AR1036" s="365">
        <f t="shared" si="341"/>
        <v>1.4017857142857144</v>
      </c>
      <c r="AS1036" s="365">
        <f t="shared" si="342"/>
        <v>75.022782811514617</v>
      </c>
      <c r="AT1036" s="365">
        <f t="shared" si="343"/>
        <v>4.7532436808315754</v>
      </c>
      <c r="AU1036" s="365">
        <f t="shared" si="344"/>
        <v>79.77602649234619</v>
      </c>
      <c r="AW1036" s="365">
        <f t="shared" si="345"/>
        <v>154.00100553522086</v>
      </c>
      <c r="AX1036" s="365">
        <f t="shared" si="346"/>
        <v>-74.224979042874665</v>
      </c>
    </row>
    <row r="1037" spans="1:50" ht="15.75" customHeight="1" x14ac:dyDescent="0.3">
      <c r="A1037" s="418"/>
      <c r="AC1037" s="4">
        <v>16</v>
      </c>
      <c r="AD1037" s="365">
        <f t="shared" si="357"/>
        <v>0</v>
      </c>
      <c r="AE1037" s="365">
        <f t="shared" si="328"/>
        <v>10.90327380952381</v>
      </c>
      <c r="AF1037" s="365">
        <f t="shared" si="329"/>
        <v>11.410714285714285</v>
      </c>
      <c r="AG1037" s="365">
        <f t="shared" si="330"/>
        <v>19.117559523809522</v>
      </c>
      <c r="AH1037" s="365">
        <f t="shared" si="331"/>
        <v>5.3129613829432101</v>
      </c>
      <c r="AI1037" s="365">
        <f t="shared" si="332"/>
        <v>4.7366071428571432</v>
      </c>
      <c r="AJ1037" s="365">
        <f t="shared" si="333"/>
        <v>3.1964285714285712</v>
      </c>
      <c r="AK1037" s="365">
        <f t="shared" si="334"/>
        <v>4.9642857142857144</v>
      </c>
      <c r="AL1037" s="365">
        <f t="shared" si="335"/>
        <v>5.09375</v>
      </c>
      <c r="AM1037" s="365">
        <f t="shared" si="336"/>
        <v>1.6964285714285714</v>
      </c>
      <c r="AN1037" s="365">
        <f t="shared" si="337"/>
        <v>1.9985119047619049</v>
      </c>
      <c r="AO1037" s="365">
        <f t="shared" si="338"/>
        <v>4.0461309523809526</v>
      </c>
      <c r="AP1037" s="365">
        <f t="shared" si="339"/>
        <v>0.59226190476190477</v>
      </c>
      <c r="AQ1037" s="365">
        <f t="shared" si="340"/>
        <v>0.55208333333333337</v>
      </c>
      <c r="AR1037" s="365">
        <f t="shared" si="341"/>
        <v>1.4017857142857144</v>
      </c>
      <c r="AS1037" s="365">
        <f t="shared" si="342"/>
        <v>75.022782811514617</v>
      </c>
      <c r="AT1037" s="365">
        <f t="shared" si="343"/>
        <v>4.7532436808315754</v>
      </c>
      <c r="AU1037" s="365">
        <f t="shared" si="344"/>
        <v>79.77602649234619</v>
      </c>
      <c r="AW1037" s="365">
        <f t="shared" si="345"/>
        <v>154.00100553522086</v>
      </c>
      <c r="AX1037" s="365">
        <f t="shared" si="346"/>
        <v>-74.224979042874665</v>
      </c>
    </row>
    <row r="1038" spans="1:50" ht="15.75" customHeight="1" thickBot="1" x14ac:dyDescent="0.35">
      <c r="A1038" s="418"/>
      <c r="AC1038" s="4">
        <v>17</v>
      </c>
      <c r="AD1038" s="365">
        <f t="shared" si="357"/>
        <v>0</v>
      </c>
      <c r="AE1038" s="365">
        <f t="shared" si="328"/>
        <v>10.90327380952381</v>
      </c>
      <c r="AF1038" s="365">
        <f t="shared" si="329"/>
        <v>11.410714285714285</v>
      </c>
      <c r="AG1038" s="365">
        <f t="shared" si="330"/>
        <v>19.117559523809522</v>
      </c>
      <c r="AH1038" s="365">
        <f t="shared" si="331"/>
        <v>5.3129613829432101</v>
      </c>
      <c r="AI1038" s="365">
        <f t="shared" si="332"/>
        <v>4.7366071428571432</v>
      </c>
      <c r="AJ1038" s="365">
        <f t="shared" si="333"/>
        <v>3.1964285714285712</v>
      </c>
      <c r="AK1038" s="365">
        <f t="shared" si="334"/>
        <v>4.9642857142857144</v>
      </c>
      <c r="AL1038" s="365">
        <f t="shared" si="335"/>
        <v>5.09375</v>
      </c>
      <c r="AM1038" s="365">
        <f t="shared" si="336"/>
        <v>1.6964285714285714</v>
      </c>
      <c r="AN1038" s="365">
        <f t="shared" si="337"/>
        <v>1.9985119047619049</v>
      </c>
      <c r="AO1038" s="365">
        <f t="shared" si="338"/>
        <v>4.0461309523809526</v>
      </c>
      <c r="AP1038" s="365">
        <f t="shared" si="339"/>
        <v>0.59226190476190477</v>
      </c>
      <c r="AQ1038" s="365">
        <f t="shared" si="340"/>
        <v>0.55208333333333337</v>
      </c>
      <c r="AR1038" s="365">
        <f t="shared" si="341"/>
        <v>1.4017857142857144</v>
      </c>
      <c r="AS1038" s="365">
        <f t="shared" si="342"/>
        <v>75.022782811514617</v>
      </c>
      <c r="AT1038" s="365">
        <f t="shared" si="343"/>
        <v>4.7532436808315754</v>
      </c>
      <c r="AU1038" s="365">
        <f t="shared" si="344"/>
        <v>79.77602649234619</v>
      </c>
      <c r="AW1038" s="365">
        <f t="shared" si="345"/>
        <v>154.00100553522086</v>
      </c>
      <c r="AX1038" s="365">
        <f t="shared" si="346"/>
        <v>-74.224979042874665</v>
      </c>
    </row>
    <row r="1039" spans="1:50" ht="15.75" customHeight="1" x14ac:dyDescent="0.3">
      <c r="A1039" s="430"/>
      <c r="B1039" s="506" t="s">
        <v>1097</v>
      </c>
      <c r="C1039" s="506"/>
      <c r="D1039" s="506"/>
      <c r="E1039" s="506"/>
      <c r="F1039" s="506"/>
      <c r="G1039" s="506"/>
      <c r="H1039" s="506"/>
      <c r="I1039" s="506"/>
      <c r="J1039" s="506"/>
      <c r="K1039" s="506"/>
      <c r="L1039" s="506"/>
      <c r="M1039" s="506"/>
      <c r="N1039" s="506"/>
      <c r="O1039" s="506"/>
      <c r="P1039" s="506"/>
      <c r="Q1039" s="361" t="str">
        <f>+Q1</f>
        <v xml:space="preserve">PRINTED:  </v>
      </c>
      <c r="R1039" s="362">
        <f ca="1">+R1</f>
        <v>44909.46975358796</v>
      </c>
      <c r="AC1039" s="4">
        <v>18</v>
      </c>
      <c r="AD1039" s="365">
        <f t="shared" si="357"/>
        <v>0</v>
      </c>
      <c r="AE1039" s="365">
        <f t="shared" si="328"/>
        <v>10.90327380952381</v>
      </c>
      <c r="AF1039" s="365">
        <f t="shared" si="329"/>
        <v>11.410714285714285</v>
      </c>
      <c r="AG1039" s="365">
        <f t="shared" si="330"/>
        <v>19.117559523809522</v>
      </c>
      <c r="AH1039" s="365">
        <f t="shared" si="331"/>
        <v>5.3129613829432101</v>
      </c>
      <c r="AI1039" s="365">
        <f t="shared" si="332"/>
        <v>4.7366071428571432</v>
      </c>
      <c r="AJ1039" s="365">
        <f t="shared" si="333"/>
        <v>3.1964285714285712</v>
      </c>
      <c r="AK1039" s="365">
        <f t="shared" si="334"/>
        <v>4.9642857142857144</v>
      </c>
      <c r="AL1039" s="365">
        <f t="shared" si="335"/>
        <v>5.09375</v>
      </c>
      <c r="AM1039" s="365">
        <f t="shared" si="336"/>
        <v>1.6964285714285714</v>
      </c>
      <c r="AN1039" s="365">
        <f t="shared" si="337"/>
        <v>1.9985119047619049</v>
      </c>
      <c r="AO1039" s="365">
        <f t="shared" si="338"/>
        <v>4.0461309523809526</v>
      </c>
      <c r="AP1039" s="365">
        <f t="shared" si="339"/>
        <v>0.59226190476190477</v>
      </c>
      <c r="AQ1039" s="365">
        <f t="shared" si="340"/>
        <v>0.55208333333333337</v>
      </c>
      <c r="AR1039" s="365">
        <f t="shared" si="341"/>
        <v>1.4017857142857144</v>
      </c>
      <c r="AS1039" s="365">
        <f t="shared" si="342"/>
        <v>75.022782811514617</v>
      </c>
      <c r="AT1039" s="365">
        <f t="shared" si="343"/>
        <v>4.7532436808315754</v>
      </c>
      <c r="AU1039" s="365">
        <f t="shared" si="344"/>
        <v>79.77602649234619</v>
      </c>
      <c r="AW1039" s="365">
        <f t="shared" si="345"/>
        <v>154.00100553522086</v>
      </c>
      <c r="AX1039" s="365">
        <f t="shared" si="346"/>
        <v>-74.224979042874665</v>
      </c>
    </row>
    <row r="1040" spans="1:50" ht="16.5" customHeight="1" x14ac:dyDescent="0.3">
      <c r="A1040" s="416"/>
      <c r="B1040" s="503" t="str">
        <f>+A8</f>
        <v>Revised:  1/18/2018</v>
      </c>
      <c r="C1040" s="503"/>
      <c r="D1040" s="503"/>
      <c r="E1040" s="503"/>
      <c r="F1040" s="503"/>
      <c r="G1040" s="503"/>
      <c r="H1040" s="503"/>
      <c r="I1040" s="503"/>
      <c r="J1040" s="503"/>
      <c r="K1040" s="503"/>
      <c r="L1040" s="503"/>
      <c r="M1040" s="503"/>
      <c r="N1040" s="503"/>
      <c r="O1040" s="503"/>
      <c r="P1040" s="503"/>
      <c r="R1040" s="307"/>
      <c r="AC1040" s="4">
        <v>19</v>
      </c>
      <c r="AD1040" s="365">
        <f t="shared" si="357"/>
        <v>0</v>
      </c>
      <c r="AE1040" s="365">
        <f t="shared" si="328"/>
        <v>10.90327380952381</v>
      </c>
      <c r="AF1040" s="365">
        <f t="shared" si="329"/>
        <v>11.410714285714285</v>
      </c>
      <c r="AG1040" s="365">
        <f t="shared" si="330"/>
        <v>19.117559523809522</v>
      </c>
      <c r="AH1040" s="365">
        <f t="shared" si="331"/>
        <v>5.3129613829432101</v>
      </c>
      <c r="AI1040" s="365">
        <f t="shared" si="332"/>
        <v>4.7366071428571432</v>
      </c>
      <c r="AJ1040" s="365">
        <f t="shared" si="333"/>
        <v>3.1964285714285712</v>
      </c>
      <c r="AK1040" s="365">
        <f t="shared" si="334"/>
        <v>4.9642857142857144</v>
      </c>
      <c r="AL1040" s="365">
        <f t="shared" si="335"/>
        <v>5.09375</v>
      </c>
      <c r="AM1040" s="365">
        <f t="shared" si="336"/>
        <v>1.6964285714285714</v>
      </c>
      <c r="AN1040" s="365">
        <f t="shared" si="337"/>
        <v>1.9985119047619049</v>
      </c>
      <c r="AO1040" s="365">
        <f t="shared" si="338"/>
        <v>4.0461309523809526</v>
      </c>
      <c r="AP1040" s="365">
        <f t="shared" si="339"/>
        <v>0.59226190476190477</v>
      </c>
      <c r="AQ1040" s="365">
        <f t="shared" si="340"/>
        <v>0.55208333333333337</v>
      </c>
      <c r="AR1040" s="365">
        <f t="shared" si="341"/>
        <v>1.4017857142857144</v>
      </c>
      <c r="AS1040" s="365">
        <f t="shared" si="342"/>
        <v>75.022782811514617</v>
      </c>
      <c r="AT1040" s="365">
        <f t="shared" si="343"/>
        <v>4.7532436808315754</v>
      </c>
      <c r="AU1040" s="365">
        <f t="shared" si="344"/>
        <v>79.77602649234619</v>
      </c>
      <c r="AW1040" s="365">
        <f t="shared" si="345"/>
        <v>154.00100553522086</v>
      </c>
      <c r="AX1040" s="365">
        <f t="shared" si="346"/>
        <v>-74.224979042874665</v>
      </c>
    </row>
    <row r="1041" spans="1:50" ht="16.5" customHeight="1" x14ac:dyDescent="0.3">
      <c r="A1041" s="416"/>
      <c r="B1041" s="503" t="s">
        <v>1024</v>
      </c>
      <c r="C1041" s="503"/>
      <c r="D1041" s="503"/>
      <c r="E1041" s="503"/>
      <c r="F1041" s="503"/>
      <c r="G1041" s="503"/>
      <c r="H1041" s="503"/>
      <c r="I1041" s="503"/>
      <c r="J1041" s="503"/>
      <c r="K1041" s="503"/>
      <c r="L1041" s="503"/>
      <c r="M1041" s="503"/>
      <c r="N1041" s="503"/>
      <c r="O1041" s="503"/>
      <c r="P1041" s="503"/>
      <c r="R1041" s="307"/>
      <c r="AC1041" s="4">
        <v>20</v>
      </c>
      <c r="AD1041" s="365">
        <f t="shared" si="357"/>
        <v>0</v>
      </c>
      <c r="AE1041" s="365">
        <f t="shared" si="328"/>
        <v>10.90327380952381</v>
      </c>
      <c r="AF1041" s="365">
        <f t="shared" si="329"/>
        <v>11.410714285714285</v>
      </c>
      <c r="AG1041" s="365">
        <f t="shared" si="330"/>
        <v>19.117559523809522</v>
      </c>
      <c r="AH1041" s="365">
        <f t="shared" si="331"/>
        <v>5.3129613829432101</v>
      </c>
      <c r="AI1041" s="365">
        <f t="shared" si="332"/>
        <v>4.7366071428571432</v>
      </c>
      <c r="AJ1041" s="365">
        <f t="shared" si="333"/>
        <v>3.1964285714285712</v>
      </c>
      <c r="AK1041" s="365">
        <f t="shared" si="334"/>
        <v>4.9642857142857144</v>
      </c>
      <c r="AL1041" s="365">
        <f t="shared" si="335"/>
        <v>5.09375</v>
      </c>
      <c r="AM1041" s="365">
        <f t="shared" si="336"/>
        <v>1.6964285714285714</v>
      </c>
      <c r="AN1041" s="365">
        <f t="shared" si="337"/>
        <v>1.9985119047619049</v>
      </c>
      <c r="AO1041" s="365">
        <f t="shared" si="338"/>
        <v>4.0461309523809526</v>
      </c>
      <c r="AP1041" s="365">
        <f t="shared" si="339"/>
        <v>0.59226190476190477</v>
      </c>
      <c r="AQ1041" s="365">
        <f t="shared" si="340"/>
        <v>0.55208333333333337</v>
      </c>
      <c r="AR1041" s="365">
        <f t="shared" si="341"/>
        <v>1.4017857142857144</v>
      </c>
      <c r="AS1041" s="365">
        <f t="shared" si="342"/>
        <v>75.022782811514617</v>
      </c>
      <c r="AT1041" s="365">
        <f t="shared" si="343"/>
        <v>4.7532436808315754</v>
      </c>
      <c r="AU1041" s="365">
        <f t="shared" si="344"/>
        <v>79.77602649234619</v>
      </c>
      <c r="AW1041" s="365">
        <f t="shared" si="345"/>
        <v>154.00100553522086</v>
      </c>
      <c r="AX1041" s="365">
        <f t="shared" si="346"/>
        <v>-74.224979042874665</v>
      </c>
    </row>
    <row r="1042" spans="1:50" ht="16.5" customHeight="1" x14ac:dyDescent="0.3">
      <c r="A1042" s="416"/>
      <c r="B1042" s="159"/>
      <c r="C1042" s="159"/>
      <c r="D1042" s="159"/>
      <c r="E1042" s="159"/>
      <c r="F1042" s="159"/>
      <c r="G1042" s="159"/>
      <c r="H1042" s="159"/>
      <c r="I1042" s="159"/>
      <c r="J1042" s="159"/>
      <c r="K1042" s="159"/>
      <c r="L1042" s="159"/>
      <c r="M1042" s="159"/>
      <c r="N1042" s="159"/>
      <c r="O1042" s="159"/>
      <c r="P1042" s="159"/>
      <c r="R1042" s="307"/>
      <c r="AC1042" s="4">
        <v>21</v>
      </c>
      <c r="AD1042" s="365">
        <f>IF($AF$1019=1,VLOOKUP($AD$1019,$A$1049:$P$1060,12,FALSE),VLOOKUP($AD$1019,$A$1022:$S$1033,3,FALSE))</f>
        <v>0</v>
      </c>
      <c r="AE1042" s="365">
        <f t="shared" si="328"/>
        <v>10.90327380952381</v>
      </c>
      <c r="AF1042" s="365">
        <f t="shared" si="329"/>
        <v>11.410714285714285</v>
      </c>
      <c r="AG1042" s="365">
        <f t="shared" si="330"/>
        <v>19.117559523809522</v>
      </c>
      <c r="AH1042" s="365">
        <f t="shared" si="331"/>
        <v>5.3129613829432101</v>
      </c>
      <c r="AI1042" s="365">
        <f t="shared" si="332"/>
        <v>4.7366071428571432</v>
      </c>
      <c r="AJ1042" s="365">
        <f t="shared" si="333"/>
        <v>3.1964285714285712</v>
      </c>
      <c r="AK1042" s="365">
        <f t="shared" si="334"/>
        <v>4.9642857142857144</v>
      </c>
      <c r="AL1042" s="365">
        <f t="shared" si="335"/>
        <v>5.09375</v>
      </c>
      <c r="AM1042" s="365">
        <f t="shared" si="336"/>
        <v>1.6964285714285714</v>
      </c>
      <c r="AN1042" s="365">
        <f t="shared" si="337"/>
        <v>1.9985119047619049</v>
      </c>
      <c r="AO1042" s="365">
        <f t="shared" si="338"/>
        <v>4.0461309523809526</v>
      </c>
      <c r="AP1042" s="365">
        <f t="shared" si="339"/>
        <v>0.59226190476190477</v>
      </c>
      <c r="AQ1042" s="365">
        <f t="shared" si="340"/>
        <v>0.55208333333333337</v>
      </c>
      <c r="AR1042" s="365">
        <f t="shared" si="341"/>
        <v>1.4017857142857144</v>
      </c>
      <c r="AS1042" s="365">
        <f t="shared" si="342"/>
        <v>75.022782811514617</v>
      </c>
      <c r="AT1042" s="365">
        <f t="shared" si="343"/>
        <v>4.7532436808315754</v>
      </c>
      <c r="AU1042" s="365">
        <f t="shared" si="344"/>
        <v>79.77602649234619</v>
      </c>
      <c r="AW1042" s="365">
        <f t="shared" si="345"/>
        <v>154.00100553522086</v>
      </c>
      <c r="AX1042" s="365">
        <f t="shared" si="346"/>
        <v>-74.224979042874665</v>
      </c>
    </row>
    <row r="1043" spans="1:50" ht="16.5" customHeight="1" x14ac:dyDescent="0.3">
      <c r="A1043" s="416"/>
      <c r="B1043" s="539">
        <f>+A5</f>
        <v>2017</v>
      </c>
      <c r="C1043" s="509"/>
      <c r="D1043" s="509"/>
      <c r="E1043" s="509"/>
      <c r="F1043" s="509"/>
      <c r="G1043" s="509"/>
      <c r="H1043" s="509"/>
      <c r="I1043" s="509"/>
      <c r="J1043" s="509"/>
      <c r="K1043" s="509"/>
      <c r="L1043" s="509"/>
      <c r="M1043" s="509"/>
      <c r="N1043" s="509"/>
      <c r="O1043" s="509"/>
      <c r="P1043" s="509"/>
      <c r="R1043" s="307"/>
      <c r="AC1043" s="4">
        <v>22</v>
      </c>
      <c r="AD1043" s="365">
        <f>IF($AF$1019=1,VLOOKUP($AD$1019,$A$1049:$P$1060,12,FALSE),VLOOKUP($AD$1019,$A$1022:$S$1033,3,FALSE))</f>
        <v>0</v>
      </c>
      <c r="AE1043" s="365">
        <f t="shared" si="328"/>
        <v>10.90327380952381</v>
      </c>
      <c r="AF1043" s="365">
        <f t="shared" si="329"/>
        <v>11.410714285714285</v>
      </c>
      <c r="AG1043" s="365">
        <f t="shared" si="330"/>
        <v>19.117559523809522</v>
      </c>
      <c r="AH1043" s="365">
        <f t="shared" si="331"/>
        <v>5.3129613829432101</v>
      </c>
      <c r="AI1043" s="365">
        <f t="shared" si="332"/>
        <v>4.7366071428571432</v>
      </c>
      <c r="AJ1043" s="365">
        <f t="shared" si="333"/>
        <v>3.1964285714285712</v>
      </c>
      <c r="AK1043" s="365">
        <f t="shared" si="334"/>
        <v>4.9642857142857144</v>
      </c>
      <c r="AL1043" s="365">
        <f t="shared" si="335"/>
        <v>5.09375</v>
      </c>
      <c r="AM1043" s="365">
        <f t="shared" si="336"/>
        <v>1.6964285714285714</v>
      </c>
      <c r="AN1043" s="365">
        <f t="shared" si="337"/>
        <v>1.9985119047619049</v>
      </c>
      <c r="AO1043" s="365">
        <f t="shared" si="338"/>
        <v>4.0461309523809526</v>
      </c>
      <c r="AP1043" s="365">
        <f t="shared" si="339"/>
        <v>0.59226190476190477</v>
      </c>
      <c r="AQ1043" s="365">
        <f t="shared" si="340"/>
        <v>0.55208333333333337</v>
      </c>
      <c r="AR1043" s="365">
        <f t="shared" si="341"/>
        <v>1.4017857142857144</v>
      </c>
      <c r="AS1043" s="365">
        <f t="shared" si="342"/>
        <v>75.022782811514617</v>
      </c>
      <c r="AT1043" s="365">
        <f t="shared" si="343"/>
        <v>4.7532436808315754</v>
      </c>
      <c r="AU1043" s="365">
        <f t="shared" si="344"/>
        <v>79.77602649234619</v>
      </c>
      <c r="AW1043" s="365">
        <f t="shared" si="345"/>
        <v>154.00100553522086</v>
      </c>
      <c r="AX1043" s="365">
        <f t="shared" si="346"/>
        <v>-74.224979042874665</v>
      </c>
    </row>
    <row r="1044" spans="1:50" ht="15.75" customHeight="1" x14ac:dyDescent="0.3">
      <c r="A1044" s="416"/>
      <c r="B1044" s="503" t="s">
        <v>457</v>
      </c>
      <c r="C1044" s="503"/>
      <c r="D1044" s="503"/>
      <c r="E1044" s="503"/>
      <c r="F1044" s="503"/>
      <c r="G1044" s="503"/>
      <c r="H1044" s="503"/>
      <c r="I1044" s="503"/>
      <c r="J1044" s="503"/>
      <c r="K1044" s="503"/>
      <c r="L1044" s="503"/>
      <c r="M1044" s="503"/>
      <c r="N1044" s="503"/>
      <c r="O1044" s="503"/>
      <c r="P1044" s="503"/>
      <c r="R1044" s="307"/>
      <c r="AC1044" s="4">
        <v>23</v>
      </c>
      <c r="AD1044" s="365">
        <f>IF($AF$1019=1,VLOOKUP($AD$1019,$A$1049:$P$1060,12,FALSE),IF(OR($AD$1019="JAN",$AD$1019="FEB",$AD$1019="NOV",$AD$1019="DEC"),VLOOKUP($AD$1019,$A$1022:$S$1033,3,FALSE),VLOOKUP($AD$1019,$A$1022:$S$1033,2,FALSE)))</f>
        <v>0</v>
      </c>
      <c r="AE1044" s="365">
        <f t="shared" si="328"/>
        <v>10.90327380952381</v>
      </c>
      <c r="AF1044" s="365">
        <f t="shared" si="329"/>
        <v>11.410714285714285</v>
      </c>
      <c r="AG1044" s="365">
        <f t="shared" si="330"/>
        <v>19.117559523809522</v>
      </c>
      <c r="AH1044" s="365">
        <f t="shared" si="331"/>
        <v>5.3129613829432101</v>
      </c>
      <c r="AI1044" s="365">
        <f t="shared" si="332"/>
        <v>4.7366071428571432</v>
      </c>
      <c r="AJ1044" s="365">
        <f t="shared" si="333"/>
        <v>3.1964285714285712</v>
      </c>
      <c r="AK1044" s="365">
        <f t="shared" si="334"/>
        <v>4.9642857142857144</v>
      </c>
      <c r="AL1044" s="365">
        <f t="shared" si="335"/>
        <v>5.09375</v>
      </c>
      <c r="AM1044" s="365">
        <f t="shared" si="336"/>
        <v>1.6964285714285714</v>
      </c>
      <c r="AN1044" s="365">
        <f t="shared" si="337"/>
        <v>1.9985119047619049</v>
      </c>
      <c r="AO1044" s="365">
        <f t="shared" si="338"/>
        <v>4.0461309523809526</v>
      </c>
      <c r="AP1044" s="365">
        <f t="shared" si="339"/>
        <v>0.59226190476190477</v>
      </c>
      <c r="AQ1044" s="365">
        <f t="shared" si="340"/>
        <v>0.55208333333333337</v>
      </c>
      <c r="AR1044" s="365">
        <f t="shared" si="341"/>
        <v>1.4017857142857144</v>
      </c>
      <c r="AS1044" s="365">
        <f t="shared" si="342"/>
        <v>75.022782811514617</v>
      </c>
      <c r="AT1044" s="365">
        <f t="shared" si="343"/>
        <v>4.7532436808315754</v>
      </c>
      <c r="AU1044" s="365">
        <f t="shared" si="344"/>
        <v>79.77602649234619</v>
      </c>
      <c r="AW1044" s="365">
        <f t="shared" si="345"/>
        <v>154.00100553522086</v>
      </c>
      <c r="AX1044" s="365">
        <f t="shared" si="346"/>
        <v>-74.224979042874665</v>
      </c>
    </row>
    <row r="1045" spans="1:50" ht="15.75" customHeight="1" thickBot="1" x14ac:dyDescent="0.35">
      <c r="A1045" s="416"/>
      <c r="R1045" s="307"/>
      <c r="AC1045" s="4">
        <v>24</v>
      </c>
      <c r="AD1045" s="365">
        <f>IF($AF$1019=1,VLOOKUP($AD$1019,$A$1049:$P$1060,12,FALSE),VLOOKUP($AD$1019,$A$1022:$S$1033,2,FALSE))</f>
        <v>98</v>
      </c>
      <c r="AE1045" s="365">
        <f t="shared" si="328"/>
        <v>10.90327380952381</v>
      </c>
      <c r="AF1045" s="365">
        <f t="shared" si="329"/>
        <v>11.410714285714285</v>
      </c>
      <c r="AG1045" s="365">
        <f t="shared" si="330"/>
        <v>19.117559523809522</v>
      </c>
      <c r="AH1045" s="365">
        <f t="shared" si="331"/>
        <v>5.3129613829432101</v>
      </c>
      <c r="AI1045" s="365">
        <f t="shared" si="332"/>
        <v>4.7366071428571432</v>
      </c>
      <c r="AJ1045" s="365">
        <f t="shared" si="333"/>
        <v>3.1964285714285712</v>
      </c>
      <c r="AK1045" s="365">
        <f t="shared" si="334"/>
        <v>4.9642857142857144</v>
      </c>
      <c r="AL1045" s="365">
        <f t="shared" si="335"/>
        <v>5.09375</v>
      </c>
      <c r="AM1045" s="365">
        <f t="shared" si="336"/>
        <v>1.6964285714285714</v>
      </c>
      <c r="AN1045" s="365">
        <f t="shared" si="337"/>
        <v>1.9985119047619049</v>
      </c>
      <c r="AO1045" s="365">
        <f t="shared" si="338"/>
        <v>4.0461309523809526</v>
      </c>
      <c r="AP1045" s="365">
        <f t="shared" si="339"/>
        <v>0.59226190476190477</v>
      </c>
      <c r="AQ1045" s="365">
        <f t="shared" si="340"/>
        <v>0.55208333333333337</v>
      </c>
      <c r="AR1045" s="365">
        <f t="shared" si="341"/>
        <v>1.4017857142857144</v>
      </c>
      <c r="AS1045" s="365">
        <f t="shared" si="342"/>
        <v>173.02278281151467</v>
      </c>
      <c r="AT1045" s="365">
        <f t="shared" si="343"/>
        <v>10.962262638336844</v>
      </c>
      <c r="AU1045" s="365">
        <f t="shared" si="344"/>
        <v>183.98504544985153</v>
      </c>
      <c r="AW1045" s="365">
        <f t="shared" si="345"/>
        <v>154.00100553522086</v>
      </c>
      <c r="AX1045" s="365">
        <f t="shared" si="346"/>
        <v>29.984039914630671</v>
      </c>
    </row>
    <row r="1046" spans="1:50" ht="15.75" customHeight="1" x14ac:dyDescent="0.3">
      <c r="A1046" s="416"/>
      <c r="B1046" s="542" t="s">
        <v>1098</v>
      </c>
      <c r="C1046" s="543"/>
      <c r="D1046" s="543"/>
      <c r="E1046" s="543"/>
      <c r="F1046" s="543"/>
      <c r="G1046" s="543"/>
      <c r="H1046" s="543"/>
      <c r="I1046" s="543"/>
      <c r="J1046" s="543"/>
      <c r="K1046" s="543"/>
      <c r="L1046" s="544"/>
      <c r="M1046" s="545" t="s">
        <v>1099</v>
      </c>
      <c r="N1046" s="543"/>
      <c r="O1046" s="543"/>
      <c r="P1046" s="543"/>
      <c r="Q1046" s="365" t="s">
        <v>1100</v>
      </c>
      <c r="R1046" s="427" t="s">
        <v>1101</v>
      </c>
      <c r="S1046" s="365" t="s">
        <v>1243</v>
      </c>
      <c r="T1046" s="365" t="s">
        <v>1082</v>
      </c>
      <c r="AC1046" s="4" t="s">
        <v>422</v>
      </c>
      <c r="AD1046" s="365">
        <f>SUM(AD1022:AD1045)</f>
        <v>784</v>
      </c>
      <c r="AE1046" s="365">
        <f>SUM(AE1022:AE1045)</f>
        <v>261.67857142857127</v>
      </c>
      <c r="AF1046" s="365">
        <f t="shared" ref="AF1046:AW1046" si="358">SUM(AF1022:AF1045)</f>
        <v>273.85714285714272</v>
      </c>
      <c r="AG1046" s="365">
        <f t="shared" si="358"/>
        <v>458.8214285714285</v>
      </c>
      <c r="AH1046" s="365">
        <f t="shared" si="358"/>
        <v>127.51107319063708</v>
      </c>
      <c r="AI1046" s="365">
        <f t="shared" si="358"/>
        <v>113.6785714285714</v>
      </c>
      <c r="AJ1046" s="365">
        <f t="shared" si="358"/>
        <v>76.71428571428568</v>
      </c>
      <c r="AK1046" s="365">
        <f t="shared" si="358"/>
        <v>119.14285714285708</v>
      </c>
      <c r="AL1046" s="365">
        <f t="shared" si="358"/>
        <v>122.25</v>
      </c>
      <c r="AM1046" s="365">
        <f t="shared" si="358"/>
        <v>40.714285714285715</v>
      </c>
      <c r="AN1046" s="365">
        <f t="shared" si="358"/>
        <v>47.964285714285715</v>
      </c>
      <c r="AO1046" s="365">
        <f t="shared" si="358"/>
        <v>97.107142857142804</v>
      </c>
      <c r="AP1046" s="365">
        <f t="shared" si="358"/>
        <v>14.214285714285719</v>
      </c>
      <c r="AQ1046" s="365">
        <f t="shared" si="358"/>
        <v>13.250000000000004</v>
      </c>
      <c r="AR1046" s="365">
        <f t="shared" si="358"/>
        <v>33.64285714285716</v>
      </c>
      <c r="AS1046" s="365">
        <f t="shared" si="358"/>
        <v>2584.5467874763517</v>
      </c>
      <c r="AT1046" s="365">
        <f t="shared" si="358"/>
        <v>163.75</v>
      </c>
      <c r="AU1046" s="365">
        <f t="shared" si="358"/>
        <v>2748.2967874763508</v>
      </c>
      <c r="AW1046" s="365">
        <f t="shared" si="358"/>
        <v>3696.0241328453008</v>
      </c>
      <c r="AX1046" s="365">
        <f>SUMIF(AX1022:AX1045,"&gt;0")</f>
        <v>239.87231931704537</v>
      </c>
    </row>
    <row r="1047" spans="1:50" ht="15.75" customHeight="1" thickBot="1" x14ac:dyDescent="0.35">
      <c r="A1047" s="416" t="s">
        <v>1071</v>
      </c>
      <c r="B1047" s="431" t="s">
        <v>1102</v>
      </c>
      <c r="C1047" s="432" t="s">
        <v>1085</v>
      </c>
      <c r="D1047" s="432" t="s">
        <v>1086</v>
      </c>
      <c r="E1047" s="432" t="s">
        <v>1103</v>
      </c>
      <c r="F1047" s="432" t="s">
        <v>1085</v>
      </c>
      <c r="G1047" s="432" t="s">
        <v>1086</v>
      </c>
      <c r="H1047" s="432" t="s">
        <v>1087</v>
      </c>
      <c r="I1047" s="432" t="s">
        <v>1085</v>
      </c>
      <c r="J1047" s="432" t="s">
        <v>1086</v>
      </c>
      <c r="K1047" s="432" t="s">
        <v>1087</v>
      </c>
      <c r="L1047" s="433" t="s">
        <v>1104</v>
      </c>
      <c r="M1047" s="431" t="s">
        <v>1105</v>
      </c>
      <c r="N1047" s="432" t="s">
        <v>1085</v>
      </c>
      <c r="O1047" s="432" t="s">
        <v>1085</v>
      </c>
      <c r="P1047" s="433" t="s">
        <v>1104</v>
      </c>
      <c r="Q1047" s="434" t="s">
        <v>422</v>
      </c>
      <c r="R1047" s="435" t="s">
        <v>1106</v>
      </c>
      <c r="S1047" s="432" t="s">
        <v>1244</v>
      </c>
      <c r="T1047" s="432" t="s">
        <v>1244</v>
      </c>
      <c r="AU1047" s="365"/>
      <c r="AW1047" s="365"/>
      <c r="AX1047" s="365"/>
    </row>
    <row r="1048" spans="1:50" ht="15.75" customHeight="1" thickTop="1" thickBot="1" x14ac:dyDescent="0.35">
      <c r="A1048" s="416"/>
      <c r="B1048" s="436"/>
      <c r="C1048" s="437" t="s">
        <v>1107</v>
      </c>
      <c r="D1048" s="437" t="s">
        <v>1107</v>
      </c>
      <c r="E1048" s="437" t="s">
        <v>1107</v>
      </c>
      <c r="F1048" s="438" t="s">
        <v>1079</v>
      </c>
      <c r="G1048" s="438" t="s">
        <v>1079</v>
      </c>
      <c r="H1048" s="438" t="s">
        <v>1079</v>
      </c>
      <c r="I1048" s="438" t="s">
        <v>1108</v>
      </c>
      <c r="J1048" s="438" t="s">
        <v>1108</v>
      </c>
      <c r="K1048" s="438" t="s">
        <v>1108</v>
      </c>
      <c r="L1048" s="439" t="s">
        <v>1109</v>
      </c>
      <c r="M1048" s="440"/>
      <c r="N1048" s="437" t="s">
        <v>1107</v>
      </c>
      <c r="O1048" s="438" t="s">
        <v>1079</v>
      </c>
      <c r="P1048" s="439" t="s">
        <v>1108</v>
      </c>
      <c r="Q1048" s="434" t="s">
        <v>1108</v>
      </c>
      <c r="R1048" s="435" t="s">
        <v>1108</v>
      </c>
      <c r="S1048" s="438" t="s">
        <v>1245</v>
      </c>
      <c r="T1048" s="438" t="s">
        <v>1245</v>
      </c>
    </row>
    <row r="1049" spans="1:50" ht="15.75" customHeight="1" x14ac:dyDescent="0.3">
      <c r="A1049" s="416" t="s">
        <v>795</v>
      </c>
      <c r="B1049" s="375" t="e">
        <f ca="1">+$B$10-M1049</f>
        <v>#NAME?</v>
      </c>
      <c r="C1049" s="441">
        <v>4</v>
      </c>
      <c r="D1049" s="441">
        <v>0</v>
      </c>
      <c r="E1049" s="441" t="s">
        <v>1095</v>
      </c>
      <c r="F1049" s="365">
        <f>+I1049/(24-S1049)</f>
        <v>196</v>
      </c>
      <c r="G1049" s="365">
        <f>+J1049/S1049</f>
        <v>0</v>
      </c>
      <c r="H1049" s="365" t="s">
        <v>1095</v>
      </c>
      <c r="I1049" s="365">
        <f>+C1049*49*(24-S1049)</f>
        <v>3724</v>
      </c>
      <c r="J1049" s="365">
        <f>+D1049*49*S1049</f>
        <v>0</v>
      </c>
      <c r="K1049" s="365" t="s">
        <v>1095</v>
      </c>
      <c r="L1049" s="427">
        <f>+J1049+I1049</f>
        <v>3724</v>
      </c>
      <c r="M1049" s="375" t="e">
        <f ca="1">SUMPRODUCT(--(WEEKDAY(ROW(INDIRECT(DATE($B$1043,MonthFromText(A1049),1)&amp;":"&amp;DATE($B$1043,MonthFromText(A1049),$B$10))),1)=1))</f>
        <v>#NAME?</v>
      </c>
      <c r="N1049" s="441">
        <v>4</v>
      </c>
      <c r="O1049" s="4">
        <f>+P1049/(24-T1049)</f>
        <v>196</v>
      </c>
      <c r="P1049" s="427">
        <f>+N1049*49*(24-T1049)</f>
        <v>3724</v>
      </c>
      <c r="Q1049" s="365" t="e">
        <f ca="1">+(L1049*B1049)+(M1049*P1049)</f>
        <v>#NAME?</v>
      </c>
      <c r="R1049" s="427" t="e">
        <f ca="1">+Q1049-B942</f>
        <v>#NAME?</v>
      </c>
      <c r="S1049" s="470">
        <v>5</v>
      </c>
      <c r="T1049" s="470">
        <v>5</v>
      </c>
      <c r="AD1049" s="370"/>
      <c r="AE1049" s="368"/>
      <c r="AF1049" s="471" t="s">
        <v>1246</v>
      </c>
      <c r="AG1049" s="472" t="s">
        <v>1247</v>
      </c>
      <c r="AH1049" s="472" t="s">
        <v>1248</v>
      </c>
      <c r="AI1049" s="472" t="s">
        <v>1249</v>
      </c>
      <c r="AJ1049" s="332"/>
    </row>
    <row r="1050" spans="1:50" ht="15.75" customHeight="1" x14ac:dyDescent="0.3">
      <c r="A1050" s="416" t="s">
        <v>9</v>
      </c>
      <c r="B1050" s="375" t="e">
        <f ca="1">+$C$10-M1050</f>
        <v>#NAME?</v>
      </c>
      <c r="C1050" s="441">
        <v>2</v>
      </c>
      <c r="D1050" s="441">
        <v>0</v>
      </c>
      <c r="E1050" s="441" t="s">
        <v>1095</v>
      </c>
      <c r="F1050" s="365">
        <f t="shared" ref="F1050:F1060" si="359">+I1050/(24-S1050)</f>
        <v>98</v>
      </c>
      <c r="G1050" s="365">
        <f t="shared" ref="G1050:G1060" si="360">+J1050/S1050</f>
        <v>0</v>
      </c>
      <c r="H1050" s="365" t="s">
        <v>1095</v>
      </c>
      <c r="I1050" s="365">
        <f t="shared" ref="I1050:I1060" si="361">+C1050*49*(24-S1050)</f>
        <v>1862</v>
      </c>
      <c r="J1050" s="365">
        <f t="shared" ref="J1050:J1060" si="362">+D1050*49*S1050</f>
        <v>0</v>
      </c>
      <c r="K1050" s="365" t="s">
        <v>1095</v>
      </c>
      <c r="L1050" s="427">
        <f t="shared" ref="L1050:L1060" si="363">+J1050+I1050</f>
        <v>1862</v>
      </c>
      <c r="M1050" s="375" t="e">
        <f ca="1">SUMPRODUCT(--(WEEKDAY(ROW(INDIRECT(DATE($B$1043,MonthFromText(A1050),1)&amp;":"&amp;DATE($B$1043,MonthFromText(A1050),$C$10))),1)=1))</f>
        <v>#NAME?</v>
      </c>
      <c r="N1050" s="441">
        <f t="shared" ref="N1050:N1058" si="364">+C1050</f>
        <v>2</v>
      </c>
      <c r="O1050" s="4">
        <f t="shared" ref="O1050:O1060" si="365">+P1050/24</f>
        <v>98</v>
      </c>
      <c r="P1050" s="427">
        <f t="shared" ref="P1050:P1060" si="366">+N1050*49*24</f>
        <v>2352</v>
      </c>
      <c r="Q1050" s="365" t="e">
        <f ca="1">+(L1050*B1050)+(M1050*P1050)</f>
        <v>#NAME?</v>
      </c>
      <c r="R1050" s="427" t="e">
        <f t="shared" ref="R1050:R1060" ca="1" si="367">+Q1050-B943</f>
        <v>#NAME?</v>
      </c>
      <c r="S1050" s="470">
        <v>5</v>
      </c>
      <c r="T1050" s="470">
        <v>5</v>
      </c>
      <c r="AD1050" s="473" t="s">
        <v>410</v>
      </c>
      <c r="AE1050" s="474" t="s">
        <v>1250</v>
      </c>
      <c r="AF1050" s="4">
        <f>V1022</f>
        <v>274.3440860215054</v>
      </c>
      <c r="AG1050" s="4">
        <f>X1022</f>
        <v>23.755940895817734</v>
      </c>
      <c r="AH1050" s="4">
        <f>Y1022</f>
        <v>-0.72992462767791</v>
      </c>
      <c r="AI1050" s="4">
        <f>Z1022</f>
        <v>29.069892473118284</v>
      </c>
      <c r="AJ1050" s="307"/>
    </row>
    <row r="1051" spans="1:50" ht="16.5" customHeight="1" x14ac:dyDescent="0.3">
      <c r="A1051" s="416" t="s">
        <v>10</v>
      </c>
      <c r="B1051" s="375" t="e">
        <f ca="1">+$D$10-M1051</f>
        <v>#NAME?</v>
      </c>
      <c r="C1051" s="441">
        <v>6</v>
      </c>
      <c r="D1051" s="441">
        <v>0</v>
      </c>
      <c r="E1051" s="441" t="s">
        <v>1095</v>
      </c>
      <c r="F1051" s="365">
        <f t="shared" si="359"/>
        <v>294</v>
      </c>
      <c r="G1051" s="365">
        <f t="shared" si="360"/>
        <v>0</v>
      </c>
      <c r="H1051" s="365" t="s">
        <v>1095</v>
      </c>
      <c r="I1051" s="365">
        <f t="shared" si="361"/>
        <v>5586</v>
      </c>
      <c r="J1051" s="365">
        <f t="shared" si="362"/>
        <v>0</v>
      </c>
      <c r="K1051" s="365" t="s">
        <v>1095</v>
      </c>
      <c r="L1051" s="427">
        <f t="shared" si="363"/>
        <v>5586</v>
      </c>
      <c r="M1051" s="375" t="e">
        <f ca="1">SUMPRODUCT(--(WEEKDAY(ROW(INDIRECT(DATE($B$1043,MonthFromText(A1051),1)&amp;":"&amp;DATE($B$1043,MonthFromText(A1051),$D$10))),1)=1))</f>
        <v>#NAME?</v>
      </c>
      <c r="N1051" s="441">
        <v>3</v>
      </c>
      <c r="O1051" s="4">
        <f t="shared" si="365"/>
        <v>147</v>
      </c>
      <c r="P1051" s="427">
        <f t="shared" si="366"/>
        <v>3528</v>
      </c>
      <c r="Q1051" s="365" t="e">
        <f t="shared" ref="Q1051:Q1060" ca="1" si="368">+(L1051*B1051)+(M1051*P1051)</f>
        <v>#NAME?</v>
      </c>
      <c r="R1051" s="427" t="e">
        <f t="shared" ca="1" si="367"/>
        <v>#NAME?</v>
      </c>
      <c r="S1051" s="470">
        <v>5</v>
      </c>
      <c r="T1051" s="470">
        <v>5</v>
      </c>
      <c r="AD1051" s="473"/>
      <c r="AE1051" s="474" t="s">
        <v>1244</v>
      </c>
      <c r="AF1051" s="4">
        <f>W1022</f>
        <v>78.344086021505376</v>
      </c>
      <c r="AG1051" s="4">
        <f>X1022</f>
        <v>23.755940895817734</v>
      </c>
      <c r="AH1051" s="4">
        <f>Y1022</f>
        <v>-0.72992462767791</v>
      </c>
      <c r="AI1051" s="4">
        <f>Z1022</f>
        <v>29.069892473118284</v>
      </c>
      <c r="AJ1051" s="307"/>
    </row>
    <row r="1052" spans="1:50" ht="16.5" customHeight="1" x14ac:dyDescent="0.3">
      <c r="A1052" s="416" t="s">
        <v>12</v>
      </c>
      <c r="B1052" s="375" t="e">
        <f ca="1">+$F$10-M1052</f>
        <v>#NAME?</v>
      </c>
      <c r="C1052" s="441">
        <v>6</v>
      </c>
      <c r="D1052" s="441">
        <v>0</v>
      </c>
      <c r="E1052" s="441" t="s">
        <v>1095</v>
      </c>
      <c r="F1052" s="365">
        <f t="shared" si="359"/>
        <v>294</v>
      </c>
      <c r="G1052" s="365">
        <f t="shared" si="360"/>
        <v>0</v>
      </c>
      <c r="H1052" s="365" t="s">
        <v>1095</v>
      </c>
      <c r="I1052" s="365">
        <f t="shared" si="361"/>
        <v>5586</v>
      </c>
      <c r="J1052" s="365">
        <f t="shared" si="362"/>
        <v>0</v>
      </c>
      <c r="K1052" s="365" t="s">
        <v>1095</v>
      </c>
      <c r="L1052" s="427">
        <f t="shared" si="363"/>
        <v>5586</v>
      </c>
      <c r="M1052" s="375" t="e">
        <f ca="1">SUMPRODUCT(--(WEEKDAY(ROW(INDIRECT(DATE($B$1043,MonthFromText(A1052),1)&amp;":"&amp;DATE($B$1043,MonthFromText(A1052),$F$10))),1)=1))</f>
        <v>#NAME?</v>
      </c>
      <c r="N1052" s="441">
        <v>5</v>
      </c>
      <c r="O1052" s="4">
        <f t="shared" si="365"/>
        <v>245</v>
      </c>
      <c r="P1052" s="427">
        <f t="shared" si="366"/>
        <v>5880</v>
      </c>
      <c r="Q1052" s="365" t="e">
        <f t="shared" ca="1" si="368"/>
        <v>#NAME?</v>
      </c>
      <c r="R1052" s="427" t="e">
        <f t="shared" ca="1" si="367"/>
        <v>#NAME?</v>
      </c>
      <c r="S1052" s="470">
        <v>5</v>
      </c>
      <c r="T1052" s="470">
        <v>5</v>
      </c>
      <c r="AD1052" s="473" t="s">
        <v>1251</v>
      </c>
      <c r="AE1052" s="474" t="s">
        <v>7</v>
      </c>
      <c r="AJ1052" s="307"/>
    </row>
    <row r="1053" spans="1:50" ht="15.75" customHeight="1" x14ac:dyDescent="0.3">
      <c r="A1053" s="416" t="s">
        <v>13</v>
      </c>
      <c r="B1053" s="375" t="e">
        <f ca="1">+$G$10-M1053</f>
        <v>#NAME?</v>
      </c>
      <c r="C1053" s="441">
        <v>6</v>
      </c>
      <c r="D1053" s="441">
        <v>0</v>
      </c>
      <c r="E1053" s="441" t="s">
        <v>1095</v>
      </c>
      <c r="F1053" s="365">
        <f t="shared" si="359"/>
        <v>294</v>
      </c>
      <c r="G1053" s="365">
        <f t="shared" si="360"/>
        <v>0</v>
      </c>
      <c r="H1053" s="365" t="s">
        <v>1095</v>
      </c>
      <c r="I1053" s="365">
        <f t="shared" si="361"/>
        <v>5586</v>
      </c>
      <c r="J1053" s="365">
        <f t="shared" si="362"/>
        <v>0</v>
      </c>
      <c r="K1053" s="365" t="s">
        <v>1095</v>
      </c>
      <c r="L1053" s="427">
        <f t="shared" si="363"/>
        <v>5586</v>
      </c>
      <c r="M1053" s="375" t="e">
        <f ca="1">SUMPRODUCT(--(WEEKDAY(ROW(INDIRECT(DATE($B$1043,MonthFromText(A1053),1)&amp;":"&amp;DATE($B$1043,MonthFromText(A1053),$G$10))),1)=1))</f>
        <v>#NAME?</v>
      </c>
      <c r="N1053" s="441">
        <f t="shared" si="364"/>
        <v>6</v>
      </c>
      <c r="O1053" s="4">
        <f t="shared" si="365"/>
        <v>294</v>
      </c>
      <c r="P1053" s="427">
        <f t="shared" si="366"/>
        <v>7056</v>
      </c>
      <c r="Q1053" s="365" t="e">
        <f t="shared" ca="1" si="368"/>
        <v>#NAME?</v>
      </c>
      <c r="R1053" s="427" t="e">
        <f t="shared" ca="1" si="367"/>
        <v>#NAME?</v>
      </c>
      <c r="S1053" s="470">
        <v>5</v>
      </c>
      <c r="T1053" s="470">
        <v>5</v>
      </c>
      <c r="AD1053" s="473" t="s">
        <v>411</v>
      </c>
      <c r="AE1053" s="474" t="s">
        <v>1250</v>
      </c>
      <c r="AF1053" s="4">
        <f>V1023</f>
        <v>139.43154761904762</v>
      </c>
      <c r="AG1053" s="4">
        <f>X1023</f>
        <v>5.3129613829432101</v>
      </c>
      <c r="AH1053" s="4">
        <f>Y1023</f>
        <v>-1.8040539885886531</v>
      </c>
      <c r="AI1053" s="4">
        <f>Z1023</f>
        <v>28.278273809523814</v>
      </c>
      <c r="AJ1053" s="307"/>
    </row>
    <row r="1054" spans="1:50" ht="15.75" customHeight="1" x14ac:dyDescent="0.3">
      <c r="A1054" s="416" t="s">
        <v>14</v>
      </c>
      <c r="B1054" s="375" t="e">
        <f ca="1">+$H$10-M1054</f>
        <v>#NAME?</v>
      </c>
      <c r="C1054" s="441">
        <v>3</v>
      </c>
      <c r="D1054" s="441">
        <v>0</v>
      </c>
      <c r="E1054" s="441">
        <v>0</v>
      </c>
      <c r="F1054" s="365">
        <f t="shared" si="359"/>
        <v>147</v>
      </c>
      <c r="G1054" s="365">
        <f t="shared" si="360"/>
        <v>0</v>
      </c>
      <c r="H1054" s="365" t="s">
        <v>1095</v>
      </c>
      <c r="I1054" s="365">
        <f t="shared" si="361"/>
        <v>2205</v>
      </c>
      <c r="J1054" s="365">
        <f t="shared" si="362"/>
        <v>0</v>
      </c>
      <c r="K1054" s="365" t="s">
        <v>1095</v>
      </c>
      <c r="L1054" s="427">
        <f t="shared" si="363"/>
        <v>2205</v>
      </c>
      <c r="M1054" s="375" t="e">
        <f ca="1">SUMPRODUCT(--(WEEKDAY(ROW(INDIRECT(DATE($B$1043,MonthFromText(A1054),1)&amp;":"&amp;DATE($B$1043,MonthFromText(A1054),$H$10))),1)=1))</f>
        <v>#NAME?</v>
      </c>
      <c r="N1054" s="441">
        <f t="shared" si="364"/>
        <v>3</v>
      </c>
      <c r="O1054" s="4">
        <f t="shared" si="365"/>
        <v>147</v>
      </c>
      <c r="P1054" s="427">
        <f t="shared" si="366"/>
        <v>3528</v>
      </c>
      <c r="Q1054" s="365" t="e">
        <f ca="1">+(L1054*B1054)+(M1054*P1054)</f>
        <v>#NAME?</v>
      </c>
      <c r="R1054" s="427" t="e">
        <f t="shared" ca="1" si="367"/>
        <v>#NAME?</v>
      </c>
      <c r="S1054" s="470">
        <v>9</v>
      </c>
      <c r="T1054" s="470">
        <v>9</v>
      </c>
      <c r="AD1054" s="473"/>
      <c r="AE1054" s="474" t="s">
        <v>1244</v>
      </c>
      <c r="AF1054" s="4">
        <f>W1023</f>
        <v>41.43154761904762</v>
      </c>
      <c r="AG1054" s="4">
        <f>X1023</f>
        <v>5.3129613829432101</v>
      </c>
      <c r="AH1054" s="4">
        <f>Y1023</f>
        <v>-1.8040539885886531</v>
      </c>
      <c r="AI1054" s="4">
        <f>Z1023</f>
        <v>28.278273809523814</v>
      </c>
      <c r="AJ1054" s="307"/>
    </row>
    <row r="1055" spans="1:50" ht="15.75" customHeight="1" x14ac:dyDescent="0.3">
      <c r="A1055" s="416" t="s">
        <v>16</v>
      </c>
      <c r="B1055" s="375" t="e">
        <f ca="1">+$J$10-M1055</f>
        <v>#NAME?</v>
      </c>
      <c r="C1055" s="441">
        <v>3</v>
      </c>
      <c r="D1055" s="441">
        <v>0</v>
      </c>
      <c r="E1055" s="441">
        <v>0</v>
      </c>
      <c r="F1055" s="365">
        <f t="shared" si="359"/>
        <v>147</v>
      </c>
      <c r="G1055" s="365">
        <f t="shared" si="360"/>
        <v>0</v>
      </c>
      <c r="H1055" s="365" t="s">
        <v>1095</v>
      </c>
      <c r="I1055" s="365">
        <f t="shared" si="361"/>
        <v>2205</v>
      </c>
      <c r="J1055" s="365">
        <f t="shared" si="362"/>
        <v>0</v>
      </c>
      <c r="K1055" s="365" t="s">
        <v>1095</v>
      </c>
      <c r="L1055" s="427">
        <f t="shared" si="363"/>
        <v>2205</v>
      </c>
      <c r="M1055" s="375" t="e">
        <f ca="1">SUMPRODUCT(--(WEEKDAY(ROW(INDIRECT(DATE($B$1043,MonthFromText(A1055),1)&amp;":"&amp;DATE($B$1043,MonthFromText(A1055),$J$10))),1)=1))</f>
        <v>#NAME?</v>
      </c>
      <c r="N1055" s="441">
        <f t="shared" si="364"/>
        <v>3</v>
      </c>
      <c r="O1055" s="4">
        <f t="shared" si="365"/>
        <v>147</v>
      </c>
      <c r="P1055" s="427">
        <f t="shared" si="366"/>
        <v>3528</v>
      </c>
      <c r="Q1055" s="365" t="e">
        <f t="shared" ca="1" si="368"/>
        <v>#NAME?</v>
      </c>
      <c r="R1055" s="427" t="e">
        <f t="shared" ca="1" si="367"/>
        <v>#NAME?</v>
      </c>
      <c r="S1055" s="470">
        <v>9</v>
      </c>
      <c r="T1055" s="470">
        <v>9</v>
      </c>
      <c r="AD1055" s="473" t="s">
        <v>1251</v>
      </c>
      <c r="AE1055" s="474" t="s">
        <v>7</v>
      </c>
      <c r="AJ1055" s="307"/>
    </row>
    <row r="1056" spans="1:50" ht="15.75" customHeight="1" x14ac:dyDescent="0.3">
      <c r="A1056" s="416" t="s">
        <v>17</v>
      </c>
      <c r="B1056" s="375" t="e">
        <f ca="1">+$K$10-M1056</f>
        <v>#NAME?</v>
      </c>
      <c r="C1056" s="441">
        <v>3</v>
      </c>
      <c r="D1056" s="441">
        <v>0</v>
      </c>
      <c r="E1056" s="441">
        <v>0</v>
      </c>
      <c r="F1056" s="365">
        <f t="shared" si="359"/>
        <v>147</v>
      </c>
      <c r="G1056" s="365">
        <f t="shared" si="360"/>
        <v>0</v>
      </c>
      <c r="H1056" s="365" t="s">
        <v>1095</v>
      </c>
      <c r="I1056" s="365">
        <f t="shared" si="361"/>
        <v>2205</v>
      </c>
      <c r="J1056" s="365">
        <f t="shared" si="362"/>
        <v>0</v>
      </c>
      <c r="K1056" s="365" t="s">
        <v>1095</v>
      </c>
      <c r="L1056" s="427">
        <f t="shared" si="363"/>
        <v>2205</v>
      </c>
      <c r="M1056" s="375" t="e">
        <f ca="1">SUMPRODUCT(--(WEEKDAY(ROW(INDIRECT(DATE($B$1043,MonthFromText(A1056),1)&amp;":"&amp;DATE($B$1043,MonthFromText(A1056),$K$10))),1)=1))</f>
        <v>#NAME?</v>
      </c>
      <c r="N1056" s="441">
        <f t="shared" si="364"/>
        <v>3</v>
      </c>
      <c r="O1056" s="4">
        <f t="shared" si="365"/>
        <v>147</v>
      </c>
      <c r="P1056" s="427">
        <f t="shared" si="366"/>
        <v>3528</v>
      </c>
      <c r="Q1056" s="365" t="e">
        <f t="shared" ca="1" si="368"/>
        <v>#NAME?</v>
      </c>
      <c r="R1056" s="427" t="e">
        <f t="shared" ca="1" si="367"/>
        <v>#NAME?</v>
      </c>
      <c r="S1056" s="470">
        <v>9</v>
      </c>
      <c r="T1056" s="470">
        <v>9</v>
      </c>
      <c r="AD1056" s="473" t="s">
        <v>412</v>
      </c>
      <c r="AE1056" s="474" t="s">
        <v>1250</v>
      </c>
      <c r="AF1056" s="4">
        <f>V1024</f>
        <v>378.32661290322579</v>
      </c>
      <c r="AG1056" s="4">
        <f>X1024</f>
        <v>5.9462011333461797</v>
      </c>
      <c r="AH1056" s="4">
        <f>Y1024</f>
        <v>-4.4155504776721671E-2</v>
      </c>
      <c r="AI1056" s="4">
        <f>Z1024</f>
        <v>52.884408602150543</v>
      </c>
      <c r="AJ1056" s="307"/>
    </row>
    <row r="1057" spans="1:36" ht="15.75" customHeight="1" x14ac:dyDescent="0.3">
      <c r="A1057" s="416" t="s">
        <v>18</v>
      </c>
      <c r="B1057" s="375" t="e">
        <f ca="1">+$L$10-M1057</f>
        <v>#NAME?</v>
      </c>
      <c r="C1057" s="441">
        <v>5</v>
      </c>
      <c r="D1057" s="441">
        <v>0</v>
      </c>
      <c r="E1057" s="441" t="s">
        <v>1095</v>
      </c>
      <c r="F1057" s="365">
        <f t="shared" si="359"/>
        <v>245</v>
      </c>
      <c r="G1057" s="365">
        <f t="shared" si="360"/>
        <v>0</v>
      </c>
      <c r="H1057" s="365" t="s">
        <v>1095</v>
      </c>
      <c r="I1057" s="365">
        <f t="shared" si="361"/>
        <v>4410</v>
      </c>
      <c r="J1057" s="365">
        <f t="shared" si="362"/>
        <v>0</v>
      </c>
      <c r="K1057" s="365" t="s">
        <v>1095</v>
      </c>
      <c r="L1057" s="427">
        <f t="shared" si="363"/>
        <v>4410</v>
      </c>
      <c r="M1057" s="375" t="e">
        <f ca="1">SUMPRODUCT(--(WEEKDAY(ROW(INDIRECT(DATE($B$1043,MonthFromText(A1057),1)&amp;":"&amp;DATE($B$1043,MonthFromText(A1057),$L$10))),1)=1))</f>
        <v>#NAME?</v>
      </c>
      <c r="N1057" s="441">
        <f t="shared" si="364"/>
        <v>5</v>
      </c>
      <c r="O1057" s="4">
        <f t="shared" si="365"/>
        <v>245</v>
      </c>
      <c r="P1057" s="427">
        <f t="shared" si="366"/>
        <v>5880</v>
      </c>
      <c r="Q1057" s="365" t="e">
        <f t="shared" ca="1" si="368"/>
        <v>#NAME?</v>
      </c>
      <c r="R1057" s="427" t="e">
        <f t="shared" ca="1" si="367"/>
        <v>#NAME?</v>
      </c>
      <c r="S1057" s="470">
        <v>6</v>
      </c>
      <c r="T1057" s="470">
        <v>4</v>
      </c>
      <c r="AD1057" s="473"/>
      <c r="AE1057" s="474" t="s">
        <v>1244</v>
      </c>
      <c r="AF1057" s="4">
        <f>W1024</f>
        <v>84.326612903225808</v>
      </c>
      <c r="AG1057" s="4">
        <f>X1024</f>
        <v>5.9462011333461797</v>
      </c>
      <c r="AH1057" s="4">
        <f>Y1024</f>
        <v>-4.4155504776721671E-2</v>
      </c>
      <c r="AI1057" s="4">
        <f>Z1024</f>
        <v>52.884408602150543</v>
      </c>
      <c r="AJ1057" s="307"/>
    </row>
    <row r="1058" spans="1:36" ht="15.75" customHeight="1" x14ac:dyDescent="0.3">
      <c r="A1058" s="416" t="s">
        <v>20</v>
      </c>
      <c r="B1058" s="375" t="e">
        <f ca="1">+$N$10-M1058</f>
        <v>#NAME?</v>
      </c>
      <c r="C1058" s="441">
        <v>5</v>
      </c>
      <c r="D1058" s="441">
        <v>0</v>
      </c>
      <c r="E1058" s="441" t="s">
        <v>1095</v>
      </c>
      <c r="F1058" s="365">
        <f t="shared" si="359"/>
        <v>245</v>
      </c>
      <c r="G1058" s="365">
        <f t="shared" si="360"/>
        <v>0</v>
      </c>
      <c r="H1058" s="365" t="s">
        <v>1095</v>
      </c>
      <c r="I1058" s="365">
        <f t="shared" si="361"/>
        <v>4410</v>
      </c>
      <c r="J1058" s="365">
        <f t="shared" si="362"/>
        <v>0</v>
      </c>
      <c r="K1058" s="365" t="s">
        <v>1095</v>
      </c>
      <c r="L1058" s="427">
        <f t="shared" si="363"/>
        <v>4410</v>
      </c>
      <c r="M1058" s="375" t="e">
        <f ca="1">SUMPRODUCT(--(WEEKDAY(ROW(INDIRECT(DATE($B$1043,MonthFromText(A1058),1)&amp;":"&amp;DATE($B$1043,MonthFromText(A1058),$N$10))),1)=1))</f>
        <v>#NAME?</v>
      </c>
      <c r="N1058" s="441">
        <f t="shared" si="364"/>
        <v>5</v>
      </c>
      <c r="O1058" s="4">
        <f t="shared" si="365"/>
        <v>245</v>
      </c>
      <c r="P1058" s="427">
        <f t="shared" si="366"/>
        <v>5880</v>
      </c>
      <c r="Q1058" s="365" t="e">
        <f t="shared" ca="1" si="368"/>
        <v>#NAME?</v>
      </c>
      <c r="R1058" s="427" t="e">
        <f t="shared" ca="1" si="367"/>
        <v>#NAME?</v>
      </c>
      <c r="S1058" s="470">
        <v>6</v>
      </c>
      <c r="T1058" s="470">
        <v>4</v>
      </c>
      <c r="AD1058" s="473" t="s">
        <v>1251</v>
      </c>
      <c r="AE1058" s="474" t="s">
        <v>7</v>
      </c>
      <c r="AJ1058" s="307"/>
    </row>
    <row r="1059" spans="1:36" ht="15.75" customHeight="1" x14ac:dyDescent="0.3">
      <c r="A1059" s="416" t="s">
        <v>21</v>
      </c>
      <c r="B1059" s="375" t="e">
        <f ca="1">+$O$10-M1059</f>
        <v>#NAME?</v>
      </c>
      <c r="C1059" s="441">
        <v>5</v>
      </c>
      <c r="D1059" s="441">
        <v>0</v>
      </c>
      <c r="E1059" s="441" t="s">
        <v>1095</v>
      </c>
      <c r="F1059" s="365">
        <f t="shared" si="359"/>
        <v>245</v>
      </c>
      <c r="G1059" s="365">
        <f t="shared" si="360"/>
        <v>0</v>
      </c>
      <c r="H1059" s="365" t="s">
        <v>1095</v>
      </c>
      <c r="I1059" s="365">
        <f t="shared" si="361"/>
        <v>4410</v>
      </c>
      <c r="J1059" s="365">
        <f t="shared" si="362"/>
        <v>0</v>
      </c>
      <c r="K1059" s="365" t="s">
        <v>1095</v>
      </c>
      <c r="L1059" s="427">
        <f t="shared" si="363"/>
        <v>4410</v>
      </c>
      <c r="M1059" s="375" t="e">
        <f ca="1">SUMPRODUCT(--(WEEKDAY(ROW(INDIRECT(DATE($B$1043,MonthFromText(A1059),1)&amp;":"&amp;DATE($B$1043,MonthFromText(A1059),$O$10))),1)=1))</f>
        <v>#NAME?</v>
      </c>
      <c r="N1059" s="441">
        <v>3</v>
      </c>
      <c r="O1059" s="4">
        <f t="shared" si="365"/>
        <v>147</v>
      </c>
      <c r="P1059" s="427">
        <f t="shared" si="366"/>
        <v>3528</v>
      </c>
      <c r="Q1059" s="365" t="e">
        <f t="shared" ca="1" si="368"/>
        <v>#NAME?</v>
      </c>
      <c r="R1059" s="427" t="e">
        <f t="shared" ca="1" si="367"/>
        <v>#NAME?</v>
      </c>
      <c r="S1059" s="470">
        <v>6</v>
      </c>
      <c r="T1059" s="470">
        <v>4</v>
      </c>
      <c r="AD1059" s="473" t="s">
        <v>413</v>
      </c>
      <c r="AE1059" s="474" t="s">
        <v>1250</v>
      </c>
      <c r="AF1059" s="4">
        <f>V1025</f>
        <v>396.30694444444441</v>
      </c>
      <c r="AG1059" s="4">
        <f>X1025</f>
        <v>2.8998862115511739</v>
      </c>
      <c r="AH1059" s="4">
        <f>Y1025</f>
        <v>-1.3151325652218018E-3</v>
      </c>
      <c r="AI1059" s="4">
        <f>Z1025</f>
        <v>60.004166666666656</v>
      </c>
      <c r="AJ1059" s="307"/>
    </row>
    <row r="1060" spans="1:36" ht="15.75" customHeight="1" thickBot="1" x14ac:dyDescent="0.35">
      <c r="A1060" s="416" t="s">
        <v>22</v>
      </c>
      <c r="B1060" s="382" t="e">
        <f ca="1">+$P$10-M1060</f>
        <v>#NAME?</v>
      </c>
      <c r="C1060" s="442">
        <v>5</v>
      </c>
      <c r="D1060" s="442">
        <v>0</v>
      </c>
      <c r="E1060" s="441" t="s">
        <v>1095</v>
      </c>
      <c r="F1060" s="365">
        <f t="shared" si="359"/>
        <v>245</v>
      </c>
      <c r="G1060" s="365">
        <f t="shared" si="360"/>
        <v>0</v>
      </c>
      <c r="H1060" s="365" t="s">
        <v>1095</v>
      </c>
      <c r="I1060" s="365">
        <f t="shared" si="361"/>
        <v>4410</v>
      </c>
      <c r="J1060" s="365">
        <f t="shared" si="362"/>
        <v>0</v>
      </c>
      <c r="K1060" s="365" t="s">
        <v>1095</v>
      </c>
      <c r="L1060" s="427">
        <f t="shared" si="363"/>
        <v>4410</v>
      </c>
      <c r="M1060" s="382" t="e">
        <f ca="1">SUMPRODUCT(--(WEEKDAY(ROW(INDIRECT(DATE($B$1043,MonthFromText(A1060),1)&amp;":"&amp;DATE($B$1043,MonthFromText(A1060),$P$10))),1)=1))</f>
        <v>#NAME?</v>
      </c>
      <c r="N1060" s="441">
        <v>3</v>
      </c>
      <c r="O1060" s="312">
        <f t="shared" si="365"/>
        <v>147</v>
      </c>
      <c r="P1060" s="429">
        <f t="shared" si="366"/>
        <v>3528</v>
      </c>
      <c r="Q1060" s="443" t="e">
        <f t="shared" ca="1" si="368"/>
        <v>#NAME?</v>
      </c>
      <c r="R1060" s="444" t="e">
        <f t="shared" ca="1" si="367"/>
        <v>#NAME?</v>
      </c>
      <c r="S1060" s="470">
        <v>6</v>
      </c>
      <c r="T1060" s="470">
        <v>4</v>
      </c>
      <c r="AD1060" s="473"/>
      <c r="AE1060" s="474" t="s">
        <v>1244</v>
      </c>
      <c r="AF1060" s="4">
        <f>W1025</f>
        <v>102.30694444444444</v>
      </c>
      <c r="AG1060" s="4">
        <f>X1025</f>
        <v>2.8998862115511739</v>
      </c>
      <c r="AH1060" s="4">
        <f>Y1025</f>
        <v>-1.3151325652218018E-3</v>
      </c>
      <c r="AI1060" s="4">
        <f>Z1025</f>
        <v>60.004166666666656</v>
      </c>
      <c r="AJ1060" s="307"/>
    </row>
    <row r="1061" spans="1:36" ht="15.75" customHeight="1" thickBot="1" x14ac:dyDescent="0.35">
      <c r="A1061" s="311"/>
      <c r="B1061" s="312"/>
      <c r="C1061" s="312"/>
      <c r="D1061" s="312"/>
      <c r="E1061" s="452"/>
      <c r="F1061" s="452"/>
      <c r="G1061" s="452"/>
      <c r="H1061" s="452"/>
      <c r="I1061" s="452"/>
      <c r="J1061" s="452"/>
      <c r="K1061" s="452"/>
      <c r="L1061" s="452"/>
      <c r="M1061" s="312"/>
      <c r="N1061" s="312"/>
      <c r="O1061" s="312"/>
      <c r="P1061" s="312"/>
      <c r="Q1061" s="369" t="e">
        <f ca="1">+SUM(Q1049:Q1060)</f>
        <v>#NAME?</v>
      </c>
      <c r="R1061" s="429" t="e">
        <f ca="1">+Q1061-B955</f>
        <v>#NAME?</v>
      </c>
      <c r="AD1061" s="473" t="s">
        <v>1251</v>
      </c>
      <c r="AE1061" s="474" t="s">
        <v>7</v>
      </c>
      <c r="AJ1061" s="307"/>
    </row>
    <row r="1062" spans="1:36" ht="15.75" customHeight="1" x14ac:dyDescent="0.3">
      <c r="A1062" s="418" t="s">
        <v>1110</v>
      </c>
      <c r="J1062" s="365"/>
      <c r="AD1062" s="473" t="s">
        <v>414</v>
      </c>
      <c r="AE1062" s="474" t="s">
        <v>1250</v>
      </c>
      <c r="AF1062" s="4">
        <f>V1026</f>
        <v>402.62768817204301</v>
      </c>
      <c r="AG1062" s="4">
        <f>X1026</f>
        <v>7.1756995459914172</v>
      </c>
      <c r="AH1062" s="4">
        <f>Y1026</f>
        <v>-0.30943546361345459</v>
      </c>
      <c r="AI1062" s="4">
        <f>Z1026</f>
        <v>56.326612903225808</v>
      </c>
      <c r="AJ1062" s="307"/>
    </row>
    <row r="1063" spans="1:36" ht="15.75" customHeight="1" x14ac:dyDescent="0.3">
      <c r="A1063" s="418" t="s">
        <v>1111</v>
      </c>
      <c r="AD1063" s="473"/>
      <c r="AE1063" s="474" t="s">
        <v>1244</v>
      </c>
      <c r="AF1063" s="4">
        <f>W1026</f>
        <v>108.62768817204301</v>
      </c>
      <c r="AG1063" s="4">
        <f>X1026</f>
        <v>7.1756995459914172</v>
      </c>
      <c r="AH1063" s="4">
        <f>Y1026</f>
        <v>-0.30943546361345459</v>
      </c>
      <c r="AI1063" s="4">
        <f>Z1026</f>
        <v>56.326612903225808</v>
      </c>
      <c r="AJ1063" s="307"/>
    </row>
    <row r="1064" spans="1:36" ht="15.75" customHeight="1" x14ac:dyDescent="0.3">
      <c r="A1064" s="418" t="s">
        <v>1112</v>
      </c>
      <c r="AD1064" s="473" t="s">
        <v>1251</v>
      </c>
      <c r="AE1064" s="474" t="s">
        <v>7</v>
      </c>
      <c r="AJ1064" s="307"/>
    </row>
    <row r="1065" spans="1:36" ht="15.75" customHeight="1" x14ac:dyDescent="0.3">
      <c r="AD1065" s="473" t="s">
        <v>415</v>
      </c>
      <c r="AE1065" s="474" t="s">
        <v>1250</v>
      </c>
      <c r="AF1065" s="4">
        <f>V1027</f>
        <v>198.57222222222222</v>
      </c>
      <c r="AG1065" s="4">
        <f>X1027</f>
        <v>0</v>
      </c>
      <c r="AH1065" s="4">
        <f>Y1027</f>
        <v>-22.077255714644576</v>
      </c>
      <c r="AI1065" s="4">
        <f>Z1027</f>
        <v>70.88611111111112</v>
      </c>
      <c r="AJ1065" s="307"/>
    </row>
    <row r="1066" spans="1:36" ht="15.75" customHeight="1" x14ac:dyDescent="0.3">
      <c r="A1066" s="4" t="s">
        <v>1252</v>
      </c>
      <c r="AD1066" s="473"/>
      <c r="AE1066" s="474" t="s">
        <v>1244</v>
      </c>
      <c r="AF1066" s="4">
        <f>W1027</f>
        <v>51.572222222222223</v>
      </c>
      <c r="AG1066" s="4">
        <f>X1027</f>
        <v>0</v>
      </c>
      <c r="AH1066" s="4">
        <f>Y1027</f>
        <v>-22.077255714644576</v>
      </c>
      <c r="AI1066" s="4">
        <f>Z1027</f>
        <v>70.88611111111112</v>
      </c>
      <c r="AJ1066" s="307"/>
    </row>
    <row r="1067" spans="1:36" ht="15.75" customHeight="1" x14ac:dyDescent="0.3">
      <c r="AD1067" s="473" t="s">
        <v>1251</v>
      </c>
      <c r="AE1067" s="474" t="s">
        <v>7</v>
      </c>
      <c r="AJ1067" s="307"/>
    </row>
    <row r="1068" spans="1:36" ht="15.75" customHeight="1" x14ac:dyDescent="0.3">
      <c r="AD1068" s="473" t="s">
        <v>416</v>
      </c>
      <c r="AE1068" s="474" t="s">
        <v>1250</v>
      </c>
      <c r="AF1068" s="4">
        <f>V1028</f>
        <v>192.33736559139786</v>
      </c>
      <c r="AG1068" s="4">
        <f>X1028</f>
        <v>0</v>
      </c>
      <c r="AH1068" s="4">
        <f>Y1028</f>
        <v>-16.312897380082664</v>
      </c>
      <c r="AI1068" s="4">
        <f>Z1028</f>
        <v>64.408602150537632</v>
      </c>
      <c r="AJ1068" s="307"/>
    </row>
    <row r="1069" spans="1:36" ht="16.5" customHeight="1" x14ac:dyDescent="0.3">
      <c r="AD1069" s="473"/>
      <c r="AE1069" s="474" t="s">
        <v>1244</v>
      </c>
      <c r="AF1069" s="4">
        <f>W1028</f>
        <v>45.337365591397848</v>
      </c>
      <c r="AG1069" s="4">
        <f>X1028</f>
        <v>0</v>
      </c>
      <c r="AH1069" s="4">
        <f>Y1028</f>
        <v>-16.312897380082664</v>
      </c>
      <c r="AI1069" s="4">
        <f>Z1028</f>
        <v>64.408602150537632</v>
      </c>
      <c r="AJ1069" s="307"/>
    </row>
    <row r="1070" spans="1:36" ht="15.75" customHeight="1" x14ac:dyDescent="0.3">
      <c r="AD1070" s="473" t="s">
        <v>1251</v>
      </c>
      <c r="AE1070" s="474" t="s">
        <v>7</v>
      </c>
      <c r="AJ1070" s="307"/>
    </row>
    <row r="1071" spans="1:36" ht="16.5" customHeight="1" x14ac:dyDescent="0.3">
      <c r="AD1071" s="473" t="s">
        <v>417</v>
      </c>
      <c r="AE1071" s="474" t="s">
        <v>1250</v>
      </c>
      <c r="AF1071" s="4">
        <f>V1029</f>
        <v>190.49731182795699</v>
      </c>
      <c r="AG1071" s="4">
        <f>X1029</f>
        <v>0</v>
      </c>
      <c r="AH1071" s="4">
        <f>Y1029</f>
        <v>-13.366155316767534</v>
      </c>
      <c r="AI1071" s="4">
        <f>Z1029</f>
        <v>63.659946236559129</v>
      </c>
      <c r="AJ1071" s="307"/>
    </row>
    <row r="1072" spans="1:36" ht="15.75" customHeight="1" x14ac:dyDescent="0.3">
      <c r="AD1072" s="473"/>
      <c r="AE1072" s="474" t="s">
        <v>1244</v>
      </c>
      <c r="AF1072" s="4">
        <f>W1029</f>
        <v>43.497311827956992</v>
      </c>
      <c r="AG1072" s="4">
        <f>X1029</f>
        <v>0</v>
      </c>
      <c r="AH1072" s="4">
        <f>Y1029</f>
        <v>-13.366155316767534</v>
      </c>
      <c r="AI1072" s="4">
        <f>Z1029</f>
        <v>63.659946236559129</v>
      </c>
      <c r="AJ1072" s="307"/>
    </row>
    <row r="1073" spans="1:36" ht="15.75" customHeight="1" x14ac:dyDescent="0.3">
      <c r="AD1073" s="473" t="s">
        <v>1251</v>
      </c>
      <c r="AE1073" s="474" t="s">
        <v>7</v>
      </c>
      <c r="AJ1073" s="307"/>
    </row>
    <row r="1074" spans="1:36" ht="15.75" customHeight="1" x14ac:dyDescent="0.3">
      <c r="AD1074" s="473" t="s">
        <v>1253</v>
      </c>
      <c r="AE1074" s="474" t="s">
        <v>1250</v>
      </c>
      <c r="AF1074" s="4">
        <f>V1030</f>
        <v>329.68888888888887</v>
      </c>
      <c r="AG1074" s="4">
        <f>X1030</f>
        <v>2.302511468882543</v>
      </c>
      <c r="AH1074" s="4">
        <f>Y1030</f>
        <v>-1.9748487817131366</v>
      </c>
      <c r="AI1074" s="4">
        <f>Z1030</f>
        <v>54.67916666666666</v>
      </c>
      <c r="AJ1074" s="307"/>
    </row>
    <row r="1075" spans="1:36" ht="15.75" customHeight="1" x14ac:dyDescent="0.3">
      <c r="AD1075" s="473"/>
      <c r="AE1075" s="474" t="s">
        <v>1244</v>
      </c>
      <c r="AF1075" s="4">
        <f>W1030</f>
        <v>84.688888888888883</v>
      </c>
      <c r="AG1075" s="4">
        <f>X1030</f>
        <v>2.302511468882543</v>
      </c>
      <c r="AH1075" s="4">
        <f>Y1030</f>
        <v>-1.9748487817131366</v>
      </c>
      <c r="AI1075" s="4">
        <f>Z1030</f>
        <v>54.67916666666666</v>
      </c>
      <c r="AJ1075" s="307"/>
    </row>
    <row r="1076" spans="1:36" ht="15.75" customHeight="1" x14ac:dyDescent="0.3">
      <c r="I1076" s="365"/>
      <c r="J1076" s="365"/>
      <c r="AD1076" s="473" t="s">
        <v>1251</v>
      </c>
      <c r="AE1076" s="474" t="s">
        <v>7</v>
      </c>
      <c r="AJ1076" s="307"/>
    </row>
    <row r="1077" spans="1:36" ht="15.75" customHeight="1" x14ac:dyDescent="0.3">
      <c r="AD1077" s="473" t="s">
        <v>419</v>
      </c>
      <c r="AE1077" s="474" t="s">
        <v>1250</v>
      </c>
      <c r="AF1077" s="4">
        <f>V1031</f>
        <v>325.38172043010752</v>
      </c>
      <c r="AG1077" s="4">
        <f>X1031</f>
        <v>10.746195374473309</v>
      </c>
      <c r="AH1077" s="4">
        <f>Y1031</f>
        <v>0</v>
      </c>
      <c r="AI1077" s="4">
        <f>Z1031</f>
        <v>24.803763440860219</v>
      </c>
      <c r="AJ1077" s="307"/>
    </row>
    <row r="1078" spans="1:36" ht="15.75" customHeight="1" x14ac:dyDescent="0.3">
      <c r="AD1078" s="473"/>
      <c r="AE1078" s="474" t="s">
        <v>1244</v>
      </c>
      <c r="AF1078" s="4">
        <f>W1031</f>
        <v>80.381720430107521</v>
      </c>
      <c r="AG1078" s="4">
        <f>X1031</f>
        <v>10.746195374473309</v>
      </c>
      <c r="AH1078" s="4">
        <f>Y1031</f>
        <v>0</v>
      </c>
      <c r="AI1078" s="4">
        <f>Z1031</f>
        <v>24.803763440860219</v>
      </c>
      <c r="AJ1078" s="307"/>
    </row>
    <row r="1079" spans="1:36" ht="15.75" customHeight="1" x14ac:dyDescent="0.3">
      <c r="AD1079" s="473" t="s">
        <v>1251</v>
      </c>
      <c r="AE1079" s="474" t="s">
        <v>7</v>
      </c>
      <c r="AJ1079" s="307"/>
    </row>
    <row r="1080" spans="1:36" ht="15.75" customHeight="1" x14ac:dyDescent="0.3">
      <c r="AD1080" s="473" t="s">
        <v>420</v>
      </c>
      <c r="AE1080" s="474" t="s">
        <v>1250</v>
      </c>
      <c r="AF1080" s="4">
        <f>V1032</f>
        <v>326.8458333333333</v>
      </c>
      <c r="AG1080" s="4">
        <f>X1032</f>
        <v>17.434059172942092</v>
      </c>
      <c r="AH1080" s="4">
        <f>Y1032</f>
        <v>0</v>
      </c>
      <c r="AI1080" s="4">
        <f>Z1032</f>
        <v>9.5527777777777771</v>
      </c>
      <c r="AJ1080" s="307"/>
    </row>
    <row r="1081" spans="1:36" ht="15.75" customHeight="1" x14ac:dyDescent="0.3">
      <c r="AD1081" s="473"/>
      <c r="AE1081" s="474" t="s">
        <v>1244</v>
      </c>
      <c r="AF1081" s="4">
        <f>W1032</f>
        <v>81.845833333333331</v>
      </c>
      <c r="AG1081" s="4">
        <f>X1032</f>
        <v>17.434059172942092</v>
      </c>
      <c r="AH1081" s="4">
        <f>Y1032</f>
        <v>0</v>
      </c>
      <c r="AI1081" s="4">
        <f>Z1032</f>
        <v>9.5527777777777771</v>
      </c>
      <c r="AJ1081" s="307"/>
    </row>
    <row r="1082" spans="1:36" ht="15.75" customHeight="1" x14ac:dyDescent="0.3">
      <c r="AD1082" s="473" t="s">
        <v>1251</v>
      </c>
      <c r="AE1082" s="474" t="s">
        <v>7</v>
      </c>
      <c r="AJ1082" s="307"/>
    </row>
    <row r="1083" spans="1:36" ht="15.75" customHeight="1" thickBot="1" x14ac:dyDescent="0.35">
      <c r="AD1083" s="473" t="s">
        <v>421</v>
      </c>
      <c r="AE1083" s="474" t="s">
        <v>1250</v>
      </c>
      <c r="AF1083" s="4">
        <f>V1033</f>
        <v>333.10483870967744</v>
      </c>
      <c r="AG1083" s="4">
        <f>X1033</f>
        <v>18.607906508697226</v>
      </c>
      <c r="AH1083" s="4">
        <f>Y1033</f>
        <v>-1.3183328541726921E-2</v>
      </c>
      <c r="AI1083" s="4">
        <f>Z1033</f>
        <v>24.081989247311828</v>
      </c>
      <c r="AJ1083" s="307"/>
    </row>
    <row r="1084" spans="1:36" ht="15.75" customHeight="1" x14ac:dyDescent="0.35">
      <c r="A1084" s="318"/>
      <c r="B1084" s="319"/>
      <c r="C1084" s="336"/>
      <c r="D1084" s="336"/>
      <c r="E1084" s="336"/>
      <c r="F1084" s="336"/>
      <c r="G1084" s="336"/>
      <c r="H1084" s="321" t="s">
        <v>506</v>
      </c>
      <c r="I1084" s="319"/>
      <c r="J1084" s="319"/>
      <c r="K1084" s="319"/>
      <c r="L1084" s="319"/>
      <c r="M1084" s="319"/>
      <c r="N1084" s="319"/>
      <c r="O1084" s="319"/>
      <c r="P1084" s="319"/>
      <c r="Q1084" s="361" t="str">
        <f>+Q1</f>
        <v xml:space="preserve">PRINTED:  </v>
      </c>
      <c r="R1084" s="367">
        <f ca="1">+R1</f>
        <v>44909.46975358796</v>
      </c>
      <c r="S1084" s="332"/>
      <c r="AD1084" s="473"/>
      <c r="AE1084" s="474" t="s">
        <v>1244</v>
      </c>
      <c r="AF1084" s="4">
        <f>W1033</f>
        <v>88.104838709677423</v>
      </c>
      <c r="AG1084" s="4">
        <f>X1033</f>
        <v>18.607906508697226</v>
      </c>
      <c r="AH1084" s="4">
        <f>Y1033</f>
        <v>-1.3183328541726921E-2</v>
      </c>
      <c r="AI1084" s="4">
        <f>Z1033</f>
        <v>24.081989247311828</v>
      </c>
      <c r="AJ1084" s="307"/>
    </row>
    <row r="1085" spans="1:36" ht="15.75" customHeight="1" thickBot="1" x14ac:dyDescent="0.4">
      <c r="A1085" s="323"/>
      <c r="B1085" s="159"/>
      <c r="C1085" s="167"/>
      <c r="D1085" s="167"/>
      <c r="E1085" s="167"/>
      <c r="F1085" s="167"/>
      <c r="G1085" s="167"/>
      <c r="H1085" s="159" t="s">
        <v>424</v>
      </c>
      <c r="I1085" s="159" t="s">
        <v>7</v>
      </c>
      <c r="J1085" s="163" t="str">
        <f>+A8</f>
        <v>Revised:  1/18/2018</v>
      </c>
      <c r="K1085" s="159"/>
      <c r="L1085" s="159"/>
      <c r="M1085" s="159"/>
      <c r="N1085" s="159"/>
      <c r="O1085" s="159"/>
      <c r="P1085" s="159"/>
      <c r="Q1085" s="159"/>
      <c r="R1085" s="159"/>
      <c r="S1085" s="307"/>
      <c r="AD1085" s="475" t="s">
        <v>1251</v>
      </c>
      <c r="AE1085" s="476" t="s">
        <v>7</v>
      </c>
      <c r="AF1085" s="312"/>
      <c r="AG1085" s="312"/>
      <c r="AH1085" s="312"/>
      <c r="AI1085" s="312"/>
      <c r="AJ1085" s="313"/>
    </row>
    <row r="1086" spans="1:36" ht="15.75" customHeight="1" x14ac:dyDescent="0.35">
      <c r="A1086" s="323"/>
      <c r="B1086" s="159"/>
      <c r="C1086" s="167"/>
      <c r="D1086" s="167"/>
      <c r="E1086" s="167"/>
      <c r="F1086" s="167"/>
      <c r="G1086" s="167"/>
      <c r="H1086" s="159" t="s">
        <v>387</v>
      </c>
      <c r="I1086" s="159"/>
      <c r="J1086" s="159"/>
      <c r="K1086" s="159"/>
      <c r="L1086" s="159"/>
      <c r="M1086" s="159"/>
      <c r="N1086" s="159"/>
      <c r="O1086" s="159"/>
      <c r="P1086" s="159"/>
      <c r="Q1086" s="159"/>
      <c r="R1086" s="159"/>
      <c r="S1086" s="307"/>
    </row>
    <row r="1087" spans="1:36" ht="15.75" customHeight="1" x14ac:dyDescent="0.35">
      <c r="A1087" s="323"/>
      <c r="B1087" s="159"/>
      <c r="C1087" s="167"/>
      <c r="D1087" s="167"/>
      <c r="E1087" s="167"/>
      <c r="F1087" s="167"/>
      <c r="G1087" s="167"/>
      <c r="H1087" s="159"/>
      <c r="I1087" s="159"/>
      <c r="J1087" s="159"/>
      <c r="K1087" s="159"/>
      <c r="L1087" s="159"/>
      <c r="M1087" s="159"/>
      <c r="N1087" s="159"/>
      <c r="O1087" s="159"/>
      <c r="P1087" s="159"/>
      <c r="Q1087" s="159"/>
      <c r="R1087" s="159"/>
      <c r="S1087" s="307"/>
    </row>
    <row r="1088" spans="1:36" ht="15.75" customHeight="1" x14ac:dyDescent="0.35">
      <c r="A1088" s="323"/>
      <c r="B1088" s="159"/>
      <c r="C1088" s="167"/>
      <c r="D1088" s="167"/>
      <c r="E1088" s="167"/>
      <c r="F1088" s="167"/>
      <c r="G1088" s="167"/>
      <c r="H1088" s="159" t="s">
        <v>424</v>
      </c>
      <c r="I1088" s="446">
        <f>+A5</f>
        <v>2017</v>
      </c>
      <c r="J1088" s="159"/>
      <c r="K1088" s="159"/>
      <c r="L1088" s="159"/>
      <c r="M1088" s="159"/>
      <c r="N1088" s="159"/>
      <c r="O1088" s="159"/>
      <c r="P1088" s="159"/>
      <c r="Q1088" s="159"/>
      <c r="R1088" s="159"/>
      <c r="S1088" s="307"/>
    </row>
    <row r="1089" spans="1:19" ht="15.75" customHeight="1" x14ac:dyDescent="0.3">
      <c r="A1089" s="323"/>
      <c r="B1089" s="159"/>
      <c r="C1089" s="159"/>
      <c r="D1089" s="159"/>
      <c r="E1089" s="159"/>
      <c r="F1089" s="159"/>
      <c r="G1089" s="159"/>
      <c r="H1089" s="159"/>
      <c r="I1089" s="159"/>
      <c r="J1089" s="159"/>
      <c r="K1089" s="159"/>
      <c r="L1089" s="159"/>
      <c r="M1089" s="159"/>
      <c r="N1089" s="159"/>
      <c r="O1089" s="159"/>
      <c r="P1089" s="159"/>
      <c r="Q1089" s="159"/>
      <c r="R1089" s="159"/>
      <c r="S1089" s="307"/>
    </row>
    <row r="1090" spans="1:19" ht="15.75" customHeight="1" x14ac:dyDescent="0.3">
      <c r="A1090" s="323"/>
      <c r="B1090" s="159"/>
      <c r="C1090" s="161" t="s">
        <v>507</v>
      </c>
      <c r="D1090" s="159"/>
      <c r="E1090" s="159"/>
      <c r="F1090" s="159"/>
      <c r="G1090" s="161" t="s">
        <v>508</v>
      </c>
      <c r="H1090" s="159"/>
      <c r="I1090" s="159"/>
      <c r="J1090" s="159"/>
      <c r="K1090" s="160" t="s">
        <v>509</v>
      </c>
      <c r="L1090" s="159"/>
      <c r="M1090" s="159"/>
      <c r="N1090" s="159"/>
      <c r="O1090" s="160" t="s">
        <v>510</v>
      </c>
      <c r="P1090" s="159"/>
      <c r="Q1090" s="159"/>
      <c r="R1090" s="159"/>
      <c r="S1090" s="307"/>
    </row>
    <row r="1091" spans="1:19" ht="15.75" customHeight="1" x14ac:dyDescent="0.3">
      <c r="A1091" s="323"/>
      <c r="B1091" s="159"/>
      <c r="C1091" s="159">
        <f>+A5</f>
        <v>2017</v>
      </c>
      <c r="D1091" s="159"/>
      <c r="E1091" s="159"/>
      <c r="F1091" s="159" t="s">
        <v>511</v>
      </c>
      <c r="G1091" s="159"/>
      <c r="H1091" s="159"/>
      <c r="I1091" s="159"/>
      <c r="J1091" s="159"/>
      <c r="K1091" s="159">
        <f>+A5</f>
        <v>2017</v>
      </c>
      <c r="L1091" s="159"/>
      <c r="M1091" s="159"/>
      <c r="N1091" s="159"/>
      <c r="O1091" s="159">
        <f>+A5</f>
        <v>2017</v>
      </c>
      <c r="P1091" s="159"/>
      <c r="Q1091" s="159"/>
      <c r="R1091" s="159"/>
      <c r="S1091" s="307"/>
    </row>
    <row r="1092" spans="1:19" ht="15.75" customHeight="1" x14ac:dyDescent="0.3">
      <c r="A1092" s="323"/>
      <c r="B1092" s="159"/>
      <c r="C1092" s="159"/>
      <c r="D1092" s="159"/>
      <c r="E1092" s="159"/>
      <c r="F1092" s="159"/>
      <c r="G1092" s="159">
        <f>+A5</f>
        <v>2017</v>
      </c>
      <c r="H1092" s="159"/>
      <c r="I1092" s="159"/>
      <c r="J1092" s="159"/>
      <c r="K1092" s="159"/>
      <c r="L1092" s="159"/>
      <c r="M1092" s="159"/>
      <c r="N1092" s="159"/>
      <c r="O1092" s="159"/>
      <c r="P1092" s="159"/>
      <c r="Q1092" s="159"/>
      <c r="R1092" s="159"/>
      <c r="S1092" s="307"/>
    </row>
    <row r="1093" spans="1:19" ht="15.75" customHeight="1" x14ac:dyDescent="0.3">
      <c r="A1093" s="323"/>
      <c r="B1093" s="159"/>
      <c r="C1093" s="164" t="s">
        <v>475</v>
      </c>
      <c r="D1093" s="164" t="s">
        <v>512</v>
      </c>
      <c r="E1093" s="164" t="s">
        <v>513</v>
      </c>
      <c r="F1093" s="159"/>
      <c r="G1093" s="164" t="s">
        <v>473</v>
      </c>
      <c r="H1093" s="164" t="s">
        <v>512</v>
      </c>
      <c r="I1093" s="164" t="s">
        <v>514</v>
      </c>
      <c r="J1093" s="159"/>
      <c r="K1093" s="164" t="s">
        <v>472</v>
      </c>
      <c r="L1093" s="164" t="s">
        <v>512</v>
      </c>
      <c r="M1093" s="164" t="s">
        <v>515</v>
      </c>
      <c r="N1093" s="159"/>
      <c r="O1093" s="164" t="s">
        <v>472</v>
      </c>
      <c r="P1093" s="164" t="s">
        <v>512</v>
      </c>
      <c r="Q1093" s="164" t="s">
        <v>515</v>
      </c>
      <c r="R1093" s="159"/>
      <c r="S1093" s="307"/>
    </row>
    <row r="1094" spans="1:19" ht="15.75" customHeight="1" x14ac:dyDescent="0.3">
      <c r="A1094" s="323"/>
      <c r="B1094" s="159"/>
      <c r="C1094" s="164" t="s">
        <v>483</v>
      </c>
      <c r="D1094" s="164" t="s">
        <v>442</v>
      </c>
      <c r="E1094" s="164" t="s">
        <v>462</v>
      </c>
      <c r="F1094" s="159"/>
      <c r="G1094" s="164" t="s">
        <v>481</v>
      </c>
      <c r="H1094" s="164" t="s">
        <v>442</v>
      </c>
      <c r="I1094" s="164" t="s">
        <v>462</v>
      </c>
      <c r="J1094" s="159"/>
      <c r="K1094" s="164" t="s">
        <v>480</v>
      </c>
      <c r="L1094" s="164" t="s">
        <v>442</v>
      </c>
      <c r="M1094" s="164" t="s">
        <v>462</v>
      </c>
      <c r="N1094" s="159"/>
      <c r="O1094" s="164" t="s">
        <v>480</v>
      </c>
      <c r="P1094" s="164" t="s">
        <v>442</v>
      </c>
      <c r="Q1094" s="164" t="s">
        <v>462</v>
      </c>
      <c r="R1094" s="159"/>
      <c r="S1094" s="307"/>
    </row>
    <row r="1095" spans="1:19" ht="15.75" customHeight="1" x14ac:dyDescent="0.3">
      <c r="A1095" s="323"/>
      <c r="B1095" s="159"/>
      <c r="C1095" s="164" t="s">
        <v>442</v>
      </c>
      <c r="D1095" s="164" t="s">
        <v>439</v>
      </c>
      <c r="E1095" s="164" t="s">
        <v>463</v>
      </c>
      <c r="F1095" s="159"/>
      <c r="G1095" s="164" t="s">
        <v>486</v>
      </c>
      <c r="H1095" s="164" t="s">
        <v>439</v>
      </c>
      <c r="I1095" s="164" t="s">
        <v>463</v>
      </c>
      <c r="J1095" s="159"/>
      <c r="K1095" s="164" t="s">
        <v>442</v>
      </c>
      <c r="L1095" s="164" t="s">
        <v>439</v>
      </c>
      <c r="M1095" s="164" t="s">
        <v>463</v>
      </c>
      <c r="N1095" s="159"/>
      <c r="O1095" s="164" t="s">
        <v>442</v>
      </c>
      <c r="P1095" s="164" t="s">
        <v>439</v>
      </c>
      <c r="Q1095" s="164" t="s">
        <v>463</v>
      </c>
      <c r="R1095" s="159"/>
      <c r="S1095" s="307"/>
    </row>
    <row r="1096" spans="1:19" ht="15.75" customHeight="1" x14ac:dyDescent="0.3">
      <c r="A1096" s="323"/>
      <c r="B1096" s="159"/>
      <c r="C1096" s="164" t="s">
        <v>448</v>
      </c>
      <c r="D1096" s="164" t="s">
        <v>516</v>
      </c>
      <c r="E1096" s="164" t="s">
        <v>464</v>
      </c>
      <c r="F1096" s="159"/>
      <c r="G1096" s="164" t="s">
        <v>448</v>
      </c>
      <c r="H1096" s="164" t="s">
        <v>516</v>
      </c>
      <c r="I1096" s="164" t="s">
        <v>464</v>
      </c>
      <c r="J1096" s="159"/>
      <c r="K1096" s="164" t="s">
        <v>448</v>
      </c>
      <c r="L1096" s="164" t="s">
        <v>516</v>
      </c>
      <c r="M1096" s="164" t="s">
        <v>464</v>
      </c>
      <c r="N1096" s="159"/>
      <c r="O1096" s="164" t="s">
        <v>448</v>
      </c>
      <c r="P1096" s="164" t="s">
        <v>516</v>
      </c>
      <c r="Q1096" s="164" t="s">
        <v>464</v>
      </c>
      <c r="R1096" s="159"/>
      <c r="S1096" s="307"/>
    </row>
    <row r="1097" spans="1:19" ht="15.75" customHeight="1" x14ac:dyDescent="0.3">
      <c r="A1097" s="323"/>
      <c r="B1097" s="159"/>
      <c r="C1097" s="159" t="s">
        <v>409</v>
      </c>
      <c r="D1097" s="159" t="s">
        <v>409</v>
      </c>
      <c r="E1097" s="159" t="s">
        <v>409</v>
      </c>
      <c r="F1097" s="159"/>
      <c r="G1097" s="164" t="s">
        <v>409</v>
      </c>
      <c r="H1097" s="164" t="s">
        <v>409</v>
      </c>
      <c r="I1097" s="164" t="s">
        <v>409</v>
      </c>
      <c r="J1097" s="159"/>
      <c r="K1097" s="159" t="s">
        <v>409</v>
      </c>
      <c r="L1097" s="159" t="s">
        <v>409</v>
      </c>
      <c r="M1097" s="159" t="s">
        <v>409</v>
      </c>
      <c r="N1097" s="159"/>
      <c r="O1097" s="159" t="s">
        <v>409</v>
      </c>
      <c r="P1097" s="159" t="s">
        <v>409</v>
      </c>
      <c r="Q1097" s="159" t="s">
        <v>409</v>
      </c>
      <c r="R1097" s="159"/>
      <c r="S1097" s="307"/>
    </row>
    <row r="1098" spans="1:19" ht="15.75" customHeight="1" x14ac:dyDescent="0.3">
      <c r="A1098" s="325" t="s">
        <v>410</v>
      </c>
      <c r="B1098" s="159"/>
      <c r="C1098" s="159">
        <f t="shared" ref="C1098:C1109" si="369">(P970)</f>
        <v>0</v>
      </c>
      <c r="D1098" s="172">
        <v>0</v>
      </c>
      <c r="E1098" s="168">
        <f t="shared" ref="E1098:E1109" si="370">(P970*D1098/1000)</f>
        <v>0</v>
      </c>
      <c r="F1098" s="159"/>
      <c r="G1098" s="159">
        <v>0</v>
      </c>
      <c r="H1098" s="172">
        <v>0</v>
      </c>
      <c r="I1098" s="168">
        <f t="shared" ref="I1098:I1109" si="371">(G1098*H1098/1000)</f>
        <v>0</v>
      </c>
      <c r="J1098" s="159"/>
      <c r="K1098" s="447">
        <v>11848</v>
      </c>
      <c r="L1098" s="448">
        <v>0</v>
      </c>
      <c r="M1098" s="168">
        <f t="shared" ref="M1098:M1109" si="372">(K1098*L1098/1000)</f>
        <v>0</v>
      </c>
      <c r="N1098" s="159"/>
      <c r="O1098" s="447">
        <v>0</v>
      </c>
      <c r="P1098" s="172">
        <v>0</v>
      </c>
      <c r="Q1098" s="168">
        <f t="shared" ref="Q1098:Q1109" si="373">(O1098*P1098/1000)</f>
        <v>0</v>
      </c>
      <c r="R1098" s="159"/>
      <c r="S1098" s="307"/>
    </row>
    <row r="1099" spans="1:19" ht="15.75" customHeight="1" x14ac:dyDescent="0.3">
      <c r="A1099" s="325" t="s">
        <v>411</v>
      </c>
      <c r="B1099" s="159"/>
      <c r="C1099" s="159">
        <f t="shared" si="369"/>
        <v>0.35</v>
      </c>
      <c r="D1099" s="172">
        <v>0</v>
      </c>
      <c r="E1099" s="168">
        <f t="shared" si="370"/>
        <v>0</v>
      </c>
      <c r="F1099" s="159"/>
      <c r="G1099" s="159" t="e">
        <f>#REF!</f>
        <v>#REF!</v>
      </c>
      <c r="H1099" s="172">
        <v>0</v>
      </c>
      <c r="I1099" s="168" t="e">
        <f t="shared" si="371"/>
        <v>#REF!</v>
      </c>
      <c r="J1099" s="159"/>
      <c r="K1099" s="447">
        <v>11489</v>
      </c>
      <c r="L1099" s="448">
        <v>0</v>
      </c>
      <c r="M1099" s="168">
        <f t="shared" si="372"/>
        <v>0</v>
      </c>
      <c r="N1099" s="159"/>
      <c r="O1099" s="447">
        <v>0</v>
      </c>
      <c r="P1099" s="172">
        <v>0</v>
      </c>
      <c r="Q1099" s="168">
        <f t="shared" si="373"/>
        <v>0</v>
      </c>
      <c r="R1099" s="159"/>
      <c r="S1099" s="307"/>
    </row>
    <row r="1100" spans="1:19" ht="15.75" customHeight="1" x14ac:dyDescent="0.3">
      <c r="A1100" s="325" t="s">
        <v>412</v>
      </c>
      <c r="B1100" s="159"/>
      <c r="C1100" s="159">
        <f t="shared" si="369"/>
        <v>0.33</v>
      </c>
      <c r="D1100" s="172">
        <v>0</v>
      </c>
      <c r="E1100" s="168">
        <f t="shared" si="370"/>
        <v>0</v>
      </c>
      <c r="F1100" s="159">
        <f>SUM(E1098:E1100)</f>
        <v>0</v>
      </c>
      <c r="G1100" s="159" t="e">
        <f>#REF!</f>
        <v>#REF!</v>
      </c>
      <c r="H1100" s="172">
        <v>0</v>
      </c>
      <c r="I1100" s="168" t="e">
        <f t="shared" si="371"/>
        <v>#REF!</v>
      </c>
      <c r="J1100" s="159" t="e">
        <f>SUM(I1098:I1100)</f>
        <v>#REF!</v>
      </c>
      <c r="K1100" s="447">
        <v>16247</v>
      </c>
      <c r="L1100" s="448">
        <v>0</v>
      </c>
      <c r="M1100" s="168">
        <f t="shared" si="372"/>
        <v>0</v>
      </c>
      <c r="N1100" s="159">
        <f>SUM(M1098:M1100)</f>
        <v>0</v>
      </c>
      <c r="O1100" s="447">
        <v>0</v>
      </c>
      <c r="P1100" s="172">
        <v>0</v>
      </c>
      <c r="Q1100" s="168">
        <f t="shared" si="373"/>
        <v>0</v>
      </c>
      <c r="R1100" s="159">
        <f>SUM(Q1098:Q1100)</f>
        <v>0</v>
      </c>
      <c r="S1100" s="307"/>
    </row>
    <row r="1101" spans="1:19" ht="15.75" customHeight="1" x14ac:dyDescent="0.3">
      <c r="A1101" s="325" t="s">
        <v>413</v>
      </c>
      <c r="B1101" s="159"/>
      <c r="C1101" s="159">
        <f t="shared" si="369"/>
        <v>0.3</v>
      </c>
      <c r="D1101" s="172">
        <v>0</v>
      </c>
      <c r="E1101" s="168">
        <f t="shared" si="370"/>
        <v>0</v>
      </c>
      <c r="F1101" s="159"/>
      <c r="G1101" s="159" t="e">
        <f>#REF!</f>
        <v>#REF!</v>
      </c>
      <c r="H1101" s="172">
        <v>0</v>
      </c>
      <c r="I1101" s="168" t="e">
        <f t="shared" si="371"/>
        <v>#REF!</v>
      </c>
      <c r="J1101" s="159"/>
      <c r="K1101" s="447">
        <v>17740</v>
      </c>
      <c r="L1101" s="448">
        <v>0</v>
      </c>
      <c r="M1101" s="168">
        <f t="shared" si="372"/>
        <v>0</v>
      </c>
      <c r="N1101" s="159"/>
      <c r="O1101" s="447">
        <v>0</v>
      </c>
      <c r="P1101" s="172">
        <v>0</v>
      </c>
      <c r="Q1101" s="168">
        <f t="shared" si="373"/>
        <v>0</v>
      </c>
      <c r="R1101" s="159"/>
      <c r="S1101" s="307"/>
    </row>
    <row r="1102" spans="1:19" ht="15.75" customHeight="1" x14ac:dyDescent="0.3">
      <c r="A1102" s="325" t="s">
        <v>414</v>
      </c>
      <c r="B1102" s="159"/>
      <c r="C1102" s="159">
        <f t="shared" si="369"/>
        <v>0.09</v>
      </c>
      <c r="D1102" s="172">
        <v>0</v>
      </c>
      <c r="E1102" s="168">
        <f t="shared" si="370"/>
        <v>0</v>
      </c>
      <c r="F1102" s="159"/>
      <c r="G1102" s="159" t="e">
        <f>#REF!</f>
        <v>#REF!</v>
      </c>
      <c r="H1102" s="172">
        <v>0</v>
      </c>
      <c r="I1102" s="168" t="e">
        <f t="shared" si="371"/>
        <v>#REF!</v>
      </c>
      <c r="J1102" s="159"/>
      <c r="K1102" s="447">
        <v>15434</v>
      </c>
      <c r="L1102" s="448">
        <v>0</v>
      </c>
      <c r="M1102" s="168">
        <f t="shared" si="372"/>
        <v>0</v>
      </c>
      <c r="N1102" s="159"/>
      <c r="O1102" s="447">
        <v>0</v>
      </c>
      <c r="P1102" s="172">
        <v>0</v>
      </c>
      <c r="Q1102" s="168">
        <f t="shared" si="373"/>
        <v>0</v>
      </c>
      <c r="R1102" s="159"/>
      <c r="S1102" s="307"/>
    </row>
    <row r="1103" spans="1:19" ht="15.75" customHeight="1" x14ac:dyDescent="0.3">
      <c r="A1103" s="325" t="s">
        <v>415</v>
      </c>
      <c r="B1103" s="159"/>
      <c r="C1103" s="159">
        <f t="shared" si="369"/>
        <v>7.0000000000000007E-2</v>
      </c>
      <c r="D1103" s="172">
        <v>0</v>
      </c>
      <c r="E1103" s="168">
        <f t="shared" si="370"/>
        <v>0</v>
      </c>
      <c r="F1103" s="159">
        <f>SUM(E1101:E1103)</f>
        <v>0</v>
      </c>
      <c r="G1103" s="159" t="e">
        <f>#REF!</f>
        <v>#REF!</v>
      </c>
      <c r="H1103" s="172">
        <v>0</v>
      </c>
      <c r="I1103" s="168" t="e">
        <f t="shared" si="371"/>
        <v>#REF!</v>
      </c>
      <c r="J1103" s="159" t="e">
        <f>SUM(I1101:I1103)</f>
        <v>#REF!</v>
      </c>
      <c r="K1103" s="447">
        <v>14355</v>
      </c>
      <c r="L1103" s="448">
        <v>0</v>
      </c>
      <c r="M1103" s="168">
        <f t="shared" si="372"/>
        <v>0</v>
      </c>
      <c r="N1103" s="159">
        <f>SUM(M1101:M1103)</f>
        <v>0</v>
      </c>
      <c r="O1103" s="447">
        <v>0</v>
      </c>
      <c r="P1103" s="172">
        <v>0</v>
      </c>
      <c r="Q1103" s="168">
        <f t="shared" si="373"/>
        <v>0</v>
      </c>
      <c r="R1103" s="159">
        <f>SUM(Q1101:Q1103)</f>
        <v>0</v>
      </c>
      <c r="S1103" s="307"/>
    </row>
    <row r="1104" spans="1:19" ht="15.75" customHeight="1" x14ac:dyDescent="0.3">
      <c r="A1104" s="325" t="s">
        <v>416</v>
      </c>
      <c r="B1104" s="159"/>
      <c r="C1104" s="159">
        <f t="shared" si="369"/>
        <v>7.4999999999999997E-2</v>
      </c>
      <c r="D1104" s="172">
        <v>0</v>
      </c>
      <c r="E1104" s="168">
        <f t="shared" si="370"/>
        <v>0</v>
      </c>
      <c r="F1104" s="159"/>
      <c r="G1104" s="159" t="e">
        <f>#REF!</f>
        <v>#REF!</v>
      </c>
      <c r="H1104" s="172">
        <v>0</v>
      </c>
      <c r="I1104" s="168" t="e">
        <f t="shared" si="371"/>
        <v>#REF!</v>
      </c>
      <c r="J1104" s="159"/>
      <c r="K1104" s="447">
        <v>13129</v>
      </c>
      <c r="L1104" s="448">
        <v>0</v>
      </c>
      <c r="M1104" s="168">
        <f t="shared" si="372"/>
        <v>0</v>
      </c>
      <c r="N1104" s="159"/>
      <c r="O1104" s="447">
        <v>0</v>
      </c>
      <c r="P1104" s="172">
        <v>0</v>
      </c>
      <c r="Q1104" s="168">
        <f t="shared" si="373"/>
        <v>0</v>
      </c>
      <c r="R1104" s="159"/>
      <c r="S1104" s="307"/>
    </row>
    <row r="1105" spans="1:19" ht="15.75" customHeight="1" x14ac:dyDescent="0.3">
      <c r="A1105" s="325" t="s">
        <v>417</v>
      </c>
      <c r="B1105" s="159"/>
      <c r="C1105" s="159">
        <f t="shared" si="369"/>
        <v>7.4999999999999997E-2</v>
      </c>
      <c r="D1105" s="172">
        <v>0</v>
      </c>
      <c r="E1105" s="168">
        <f t="shared" si="370"/>
        <v>0</v>
      </c>
      <c r="F1105" s="159"/>
      <c r="G1105" s="159" t="e">
        <f>#REF!</f>
        <v>#REF!</v>
      </c>
      <c r="H1105" s="172">
        <v>0</v>
      </c>
      <c r="I1105" s="168" t="e">
        <f t="shared" si="371"/>
        <v>#REF!</v>
      </c>
      <c r="J1105" s="159"/>
      <c r="K1105" s="447">
        <v>12545</v>
      </c>
      <c r="L1105" s="448">
        <v>0</v>
      </c>
      <c r="M1105" s="168">
        <f t="shared" si="372"/>
        <v>0</v>
      </c>
      <c r="N1105" s="159"/>
      <c r="O1105" s="447">
        <v>0</v>
      </c>
      <c r="P1105" s="172">
        <v>0</v>
      </c>
      <c r="Q1105" s="168">
        <f t="shared" si="373"/>
        <v>0</v>
      </c>
      <c r="R1105" s="159"/>
      <c r="S1105" s="307"/>
    </row>
    <row r="1106" spans="1:19" ht="15.75" customHeight="1" x14ac:dyDescent="0.3">
      <c r="A1106" s="325" t="s">
        <v>418</v>
      </c>
      <c r="B1106" s="159"/>
      <c r="C1106" s="159">
        <f t="shared" si="369"/>
        <v>7.4999999999999997E-2</v>
      </c>
      <c r="D1106" s="172">
        <v>0</v>
      </c>
      <c r="E1106" s="168">
        <f t="shared" si="370"/>
        <v>0</v>
      </c>
      <c r="F1106" s="159">
        <f>SUM(E1104:E1106)</f>
        <v>0</v>
      </c>
      <c r="G1106" s="159" t="e">
        <f>#REF!</f>
        <v>#REF!</v>
      </c>
      <c r="H1106" s="172">
        <v>0</v>
      </c>
      <c r="I1106" s="168" t="e">
        <f t="shared" si="371"/>
        <v>#REF!</v>
      </c>
      <c r="J1106" s="159" t="e">
        <f>SUM(I1104:I1106)</f>
        <v>#REF!</v>
      </c>
      <c r="K1106" s="447">
        <v>9350</v>
      </c>
      <c r="L1106" s="448">
        <v>0</v>
      </c>
      <c r="M1106" s="168">
        <f t="shared" si="372"/>
        <v>0</v>
      </c>
      <c r="N1106" s="159">
        <f>SUM(M1104:M1106)</f>
        <v>0</v>
      </c>
      <c r="O1106" s="447">
        <v>0</v>
      </c>
      <c r="P1106" s="172">
        <v>0</v>
      </c>
      <c r="Q1106" s="168">
        <f t="shared" si="373"/>
        <v>0</v>
      </c>
      <c r="R1106" s="159">
        <f>SUM(Q1104:Q1106)</f>
        <v>0</v>
      </c>
      <c r="S1106" s="307"/>
    </row>
    <row r="1107" spans="1:19" ht="15.75" customHeight="1" x14ac:dyDescent="0.3">
      <c r="A1107" s="325" t="s">
        <v>419</v>
      </c>
      <c r="B1107" s="159"/>
      <c r="C1107" s="159">
        <f t="shared" si="369"/>
        <v>0.3</v>
      </c>
      <c r="D1107" s="172">
        <v>0</v>
      </c>
      <c r="E1107" s="168">
        <f t="shared" si="370"/>
        <v>0</v>
      </c>
      <c r="F1107" s="159"/>
      <c r="G1107" s="159" t="e">
        <f>#REF!</f>
        <v>#REF!</v>
      </c>
      <c r="H1107" s="172">
        <v>0</v>
      </c>
      <c r="I1107" s="168" t="e">
        <f t="shared" si="371"/>
        <v>#REF!</v>
      </c>
      <c r="J1107" s="159"/>
      <c r="K1107" s="447">
        <v>11649</v>
      </c>
      <c r="L1107" s="448">
        <v>0</v>
      </c>
      <c r="M1107" s="168">
        <f t="shared" si="372"/>
        <v>0</v>
      </c>
      <c r="N1107" s="159"/>
      <c r="O1107" s="447">
        <v>0</v>
      </c>
      <c r="P1107" s="172">
        <v>0</v>
      </c>
      <c r="Q1107" s="168">
        <f t="shared" si="373"/>
        <v>0</v>
      </c>
      <c r="R1107" s="159"/>
      <c r="S1107" s="307"/>
    </row>
    <row r="1108" spans="1:19" ht="15.75" customHeight="1" x14ac:dyDescent="0.3">
      <c r="A1108" s="325" t="s">
        <v>420</v>
      </c>
      <c r="B1108" s="159"/>
      <c r="C1108" s="159">
        <f t="shared" si="369"/>
        <v>0.3</v>
      </c>
      <c r="D1108" s="172">
        <v>0</v>
      </c>
      <c r="E1108" s="168">
        <f t="shared" si="370"/>
        <v>0</v>
      </c>
      <c r="F1108" s="159"/>
      <c r="G1108" s="159" t="e">
        <f>#REF!</f>
        <v>#REF!</v>
      </c>
      <c r="H1108" s="172">
        <v>0</v>
      </c>
      <c r="I1108" s="168" t="e">
        <f t="shared" si="371"/>
        <v>#REF!</v>
      </c>
      <c r="J1108" s="159"/>
      <c r="K1108" s="447">
        <v>8035</v>
      </c>
      <c r="L1108" s="448">
        <v>0</v>
      </c>
      <c r="M1108" s="168">
        <f t="shared" si="372"/>
        <v>0</v>
      </c>
      <c r="N1108" s="159"/>
      <c r="O1108" s="447">
        <v>0</v>
      </c>
      <c r="P1108" s="172">
        <v>0</v>
      </c>
      <c r="Q1108" s="168">
        <f t="shared" si="373"/>
        <v>0</v>
      </c>
      <c r="R1108" s="159"/>
      <c r="S1108" s="307"/>
    </row>
    <row r="1109" spans="1:19" ht="15.75" customHeight="1" x14ac:dyDescent="0.3">
      <c r="A1109" s="325" t="s">
        <v>421</v>
      </c>
      <c r="B1109" s="159"/>
      <c r="C1109" s="159">
        <f t="shared" si="369"/>
        <v>0.3</v>
      </c>
      <c r="D1109" s="172">
        <v>0</v>
      </c>
      <c r="E1109" s="168">
        <f t="shared" si="370"/>
        <v>0</v>
      </c>
      <c r="F1109" s="159">
        <f>SUM(E1107:E1109)</f>
        <v>0</v>
      </c>
      <c r="G1109" s="159" t="e">
        <f>#REF!</f>
        <v>#REF!</v>
      </c>
      <c r="H1109" s="172">
        <v>0</v>
      </c>
      <c r="I1109" s="168" t="e">
        <f t="shared" si="371"/>
        <v>#REF!</v>
      </c>
      <c r="J1109" s="159" t="e">
        <f>SUM(I1107:I1109)</f>
        <v>#REF!</v>
      </c>
      <c r="K1109" s="447">
        <v>8092</v>
      </c>
      <c r="L1109" s="448">
        <v>0</v>
      </c>
      <c r="M1109" s="168">
        <f t="shared" si="372"/>
        <v>0</v>
      </c>
      <c r="N1109" s="159">
        <f>SUM(M1107:M1109)</f>
        <v>0</v>
      </c>
      <c r="O1109" s="447">
        <v>0</v>
      </c>
      <c r="P1109" s="172">
        <v>0</v>
      </c>
      <c r="Q1109" s="168">
        <f t="shared" si="373"/>
        <v>0</v>
      </c>
      <c r="R1109" s="159">
        <f>SUM(Q1107:Q1109)</f>
        <v>0</v>
      </c>
      <c r="S1109" s="307"/>
    </row>
    <row r="1110" spans="1:19" ht="15.75" customHeight="1" x14ac:dyDescent="0.3">
      <c r="A1110" s="323"/>
      <c r="B1110" s="159"/>
      <c r="C1110" s="159"/>
      <c r="D1110" s="159"/>
      <c r="E1110" s="159"/>
      <c r="F1110" s="159"/>
      <c r="G1110" s="159"/>
      <c r="H1110" s="159"/>
      <c r="I1110" s="159"/>
      <c r="J1110" s="159"/>
      <c r="K1110" s="159"/>
      <c r="L1110" s="159"/>
      <c r="M1110" s="159"/>
      <c r="N1110" s="159"/>
      <c r="O1110" s="159"/>
      <c r="P1110" s="159"/>
      <c r="Q1110" s="159"/>
      <c r="R1110" s="159"/>
      <c r="S1110" s="307"/>
    </row>
    <row r="1111" spans="1:19" ht="15.75" customHeight="1" x14ac:dyDescent="0.3">
      <c r="A1111" s="323"/>
      <c r="B1111" s="159"/>
      <c r="C1111" s="159"/>
      <c r="D1111" s="159"/>
      <c r="E1111" s="159"/>
      <c r="F1111" s="159"/>
      <c r="G1111" s="159"/>
      <c r="H1111" s="159"/>
      <c r="I1111" s="159"/>
      <c r="J1111" s="159"/>
      <c r="K1111" s="159"/>
      <c r="L1111" s="159"/>
      <c r="M1111" s="159"/>
      <c r="N1111" s="159"/>
      <c r="O1111" s="159"/>
      <c r="P1111" s="159"/>
      <c r="Q1111" s="159"/>
      <c r="R1111" s="159"/>
      <c r="S1111" s="307"/>
    </row>
    <row r="1112" spans="1:19" ht="16.5" customHeight="1" thickBot="1" x14ac:dyDescent="0.35">
      <c r="A1112" s="326" t="s">
        <v>422</v>
      </c>
      <c r="B1112" s="327"/>
      <c r="C1112" s="327">
        <f>SUM(C1098:C1109)</f>
        <v>2.2650000000000001</v>
      </c>
      <c r="D1112" s="327"/>
      <c r="E1112" s="337">
        <f>SUM(E1098:E1109)</f>
        <v>0</v>
      </c>
      <c r="F1112" s="327"/>
      <c r="G1112" s="327" t="e">
        <f>SUM(G1098:G1109)</f>
        <v>#REF!</v>
      </c>
      <c r="H1112" s="327" t="s">
        <v>424</v>
      </c>
      <c r="I1112" s="337" t="e">
        <f>SUM(I1098:I1109)</f>
        <v>#REF!</v>
      </c>
      <c r="J1112" s="327"/>
      <c r="K1112" s="327">
        <f>SUM(K1098:K1109)</f>
        <v>149913</v>
      </c>
      <c r="L1112" s="327" t="s">
        <v>424</v>
      </c>
      <c r="M1112" s="337">
        <f>SUM(M1098:M1109)</f>
        <v>0</v>
      </c>
      <c r="N1112" s="327"/>
      <c r="O1112" s="327">
        <f>(SUM(O1098:O1109))</f>
        <v>0</v>
      </c>
      <c r="P1112" s="327" t="s">
        <v>424</v>
      </c>
      <c r="Q1112" s="337">
        <f>SUM(Q1098:Q1109)</f>
        <v>0</v>
      </c>
      <c r="R1112" s="327"/>
      <c r="S1112" s="313"/>
    </row>
  </sheetData>
  <scenarios current="0">
    <scenario name="Jan" count="1" user="Windows User" comment="Created by Windows User on 4/11/2013">
      <inputCells r="B304" val="57771.3688407242" numFmtId="37"/>
    </scenario>
  </scenarios>
  <autoFilter ref="A31:R873" xr:uid="{00000000-0009-0000-0000-000000000000}"/>
  <mergeCells count="73">
    <mergeCell ref="B1043:P1043"/>
    <mergeCell ref="B1044:P1044"/>
    <mergeCell ref="B1046:L1046"/>
    <mergeCell ref="M1046:P1046"/>
    <mergeCell ref="B1020:D1020"/>
    <mergeCell ref="T1020:U1020"/>
    <mergeCell ref="V1020:W1020"/>
    <mergeCell ref="B1039:P1039"/>
    <mergeCell ref="B1040:P1040"/>
    <mergeCell ref="B1041:P1041"/>
    <mergeCell ref="B1019:P1019"/>
    <mergeCell ref="M965:O965"/>
    <mergeCell ref="AD965:AQ965"/>
    <mergeCell ref="AD966:AQ966"/>
    <mergeCell ref="B990:P990"/>
    <mergeCell ref="B991:F991"/>
    <mergeCell ref="G991:L991"/>
    <mergeCell ref="M991:R991"/>
    <mergeCell ref="S991:U991"/>
    <mergeCell ref="M992:O992"/>
    <mergeCell ref="B1014:P1014"/>
    <mergeCell ref="B1015:P1015"/>
    <mergeCell ref="B1016:P1016"/>
    <mergeCell ref="B1018:P1018"/>
    <mergeCell ref="B963:P963"/>
    <mergeCell ref="AD963:AQ963"/>
    <mergeCell ref="B964:F964"/>
    <mergeCell ref="G964:L964"/>
    <mergeCell ref="M964:R964"/>
    <mergeCell ref="S964:U964"/>
    <mergeCell ref="B962:P962"/>
    <mergeCell ref="AD962:AQ962"/>
    <mergeCell ref="AD928:AQ928"/>
    <mergeCell ref="AD930:AQ930"/>
    <mergeCell ref="B931:P931"/>
    <mergeCell ref="AD931:AQ931"/>
    <mergeCell ref="B932:P932"/>
    <mergeCell ref="B933:P933"/>
    <mergeCell ref="B935:P935"/>
    <mergeCell ref="B936:P936"/>
    <mergeCell ref="B960:P960"/>
    <mergeCell ref="B961:P961"/>
    <mergeCell ref="AD961:AQ961"/>
    <mergeCell ref="AD927:AQ927"/>
    <mergeCell ref="B878:P878"/>
    <mergeCell ref="B879:P879"/>
    <mergeCell ref="B880:P880"/>
    <mergeCell ref="B881:P881"/>
    <mergeCell ref="B905:P905"/>
    <mergeCell ref="B906:P906"/>
    <mergeCell ref="B907:P907"/>
    <mergeCell ref="B908:P908"/>
    <mergeCell ref="B909:P909"/>
    <mergeCell ref="B910:P910"/>
    <mergeCell ref="AD926:AQ926"/>
    <mergeCell ref="B877:P877"/>
    <mergeCell ref="A812:R812"/>
    <mergeCell ref="A813:R813"/>
    <mergeCell ref="A814:R814"/>
    <mergeCell ref="A815:R815"/>
    <mergeCell ref="A817:R817"/>
    <mergeCell ref="A853:R853"/>
    <mergeCell ref="A854:R854"/>
    <mergeCell ref="A855:R855"/>
    <mergeCell ref="A856:R856"/>
    <mergeCell ref="A858:R858"/>
    <mergeCell ref="B876:P876"/>
    <mergeCell ref="A8:R8"/>
    <mergeCell ref="A2:R2"/>
    <mergeCell ref="A3:R3"/>
    <mergeCell ref="A4:R4"/>
    <mergeCell ref="A5:R5"/>
    <mergeCell ref="A6:R6"/>
  </mergeCells>
  <conditionalFormatting sqref="S970:S981 S983">
    <cfRule type="cellIs" dxfId="23" priority="3" operator="lessThan">
      <formula>0</formula>
    </cfRule>
    <cfRule type="cellIs" dxfId="22" priority="4" operator="greaterThan">
      <formula>0</formula>
    </cfRule>
  </conditionalFormatting>
  <conditionalFormatting sqref="S997:S1008">
    <cfRule type="cellIs" dxfId="21" priority="1" operator="lessThan">
      <formula>0</formula>
    </cfRule>
    <cfRule type="cellIs" dxfId="20" priority="2" operator="greaterThan">
      <formula>0</formula>
    </cfRule>
  </conditionalFormatting>
  <printOptions horizontalCentered="1"/>
  <pageMargins left="0.25" right="0.25" top="0.25" bottom="0.25" header="0" footer="0"/>
  <pageSetup paperSize="17" scale="81" orientation="landscape" r:id="rId1"/>
  <headerFooter alignWithMargins="0"/>
  <rowBreaks count="5" manualBreakCount="5">
    <brk id="809" max="17" man="1"/>
    <brk id="849" max="17" man="1"/>
    <brk id="902" max="18" man="1"/>
    <brk id="930" max="18" man="1"/>
    <brk id="898" min="28" max="46"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D4727-C2E7-42E5-992F-B1D51BDF673F}">
  <sheetPr codeName="Sheet20">
    <pageSetUpPr fitToPage="1"/>
  </sheetPr>
  <dimension ref="A1:AX1078"/>
  <sheetViews>
    <sheetView topLeftCell="R853" zoomScale="70" zoomScaleNormal="70" workbookViewId="0">
      <selection activeCell="S937" sqref="S937"/>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2.33203125" style="4" bestFit="1" customWidth="1"/>
    <col min="20" max="20" width="11.21875" style="4" bestFit="1" customWidth="1"/>
    <col min="21" max="21" width="8.77734375" style="4"/>
    <col min="22" max="22" width="10.44140625" style="4" customWidth="1"/>
    <col min="23" max="28" width="8.77734375" style="4"/>
    <col min="29" max="29" width="13.6640625" style="4" customWidth="1"/>
    <col min="30"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338" t="s">
        <v>791</v>
      </c>
      <c r="R1" s="3">
        <f ca="1">NOW()</f>
        <v>44909.46975358796</v>
      </c>
    </row>
    <row r="2" spans="1:36" ht="19.5" customHeight="1" x14ac:dyDescent="0.35">
      <c r="A2" s="500" t="s">
        <v>1</v>
      </c>
      <c r="B2" s="500"/>
      <c r="C2" s="500"/>
      <c r="D2" s="500"/>
      <c r="E2" s="500"/>
      <c r="F2" s="500"/>
      <c r="G2" s="500"/>
      <c r="H2" s="500"/>
      <c r="I2" s="500"/>
      <c r="J2" s="500"/>
      <c r="K2" s="500"/>
      <c r="L2" s="500"/>
      <c r="M2" s="500"/>
      <c r="N2" s="500"/>
      <c r="O2" s="500"/>
      <c r="P2" s="500"/>
      <c r="Q2" s="500"/>
      <c r="R2" s="500"/>
    </row>
    <row r="3" spans="1:36" ht="19.5" customHeight="1" x14ac:dyDescent="0.35">
      <c r="A3" s="500" t="s">
        <v>2</v>
      </c>
      <c r="B3" s="500"/>
      <c r="C3" s="500"/>
      <c r="D3" s="500"/>
      <c r="E3" s="500"/>
      <c r="F3" s="500"/>
      <c r="G3" s="500"/>
      <c r="H3" s="500"/>
      <c r="I3" s="500"/>
      <c r="J3" s="500"/>
      <c r="K3" s="500"/>
      <c r="L3" s="500"/>
      <c r="M3" s="500"/>
      <c r="N3" s="500"/>
      <c r="O3" s="500"/>
      <c r="P3" s="500"/>
      <c r="Q3" s="500"/>
      <c r="R3" s="500"/>
    </row>
    <row r="4" spans="1:36" ht="19.5" customHeight="1" x14ac:dyDescent="0.35">
      <c r="A4" s="501" t="s">
        <v>3</v>
      </c>
      <c r="B4" s="501"/>
      <c r="C4" s="501"/>
      <c r="D4" s="501"/>
      <c r="E4" s="501"/>
      <c r="F4" s="501"/>
      <c r="G4" s="501"/>
      <c r="H4" s="501"/>
      <c r="I4" s="501"/>
      <c r="J4" s="501"/>
      <c r="K4" s="501"/>
      <c r="L4" s="501"/>
      <c r="M4" s="501"/>
      <c r="N4" s="501"/>
      <c r="O4" s="501"/>
      <c r="P4" s="501"/>
      <c r="Q4" s="501"/>
      <c r="R4" s="501"/>
    </row>
    <row r="5" spans="1:36" ht="19.5" customHeight="1" x14ac:dyDescent="0.35">
      <c r="A5" s="502">
        <v>2016</v>
      </c>
      <c r="B5" s="502"/>
      <c r="C5" s="502"/>
      <c r="D5" s="502"/>
      <c r="E5" s="502"/>
      <c r="F5" s="502"/>
      <c r="G5" s="502"/>
      <c r="H5" s="502"/>
      <c r="I5" s="502"/>
      <c r="J5" s="502"/>
      <c r="K5" s="502"/>
      <c r="L5" s="502"/>
      <c r="M5" s="502"/>
      <c r="N5" s="502"/>
      <c r="O5" s="502"/>
      <c r="P5" s="502"/>
      <c r="Q5" s="502"/>
      <c r="R5" s="502"/>
    </row>
    <row r="6" spans="1:36" ht="19.5" customHeight="1" x14ac:dyDescent="0.35">
      <c r="A6" s="501" t="s">
        <v>792</v>
      </c>
      <c r="B6" s="501"/>
      <c r="C6" s="501"/>
      <c r="D6" s="501"/>
      <c r="E6" s="501"/>
      <c r="F6" s="501"/>
      <c r="G6" s="501"/>
      <c r="H6" s="501"/>
      <c r="I6" s="501"/>
      <c r="J6" s="501"/>
      <c r="K6" s="501"/>
      <c r="L6" s="501"/>
      <c r="M6" s="501"/>
      <c r="N6" s="501"/>
      <c r="O6" s="501"/>
      <c r="P6" s="501"/>
      <c r="Q6" s="501"/>
      <c r="R6" s="501"/>
    </row>
    <row r="7" spans="1:36" ht="19.5" customHeight="1" x14ac:dyDescent="0.35">
      <c r="A7" s="296"/>
      <c r="B7" s="296"/>
      <c r="C7" s="296"/>
      <c r="D7" s="296"/>
      <c r="E7" s="296"/>
      <c r="F7" s="296"/>
      <c r="G7" s="296"/>
      <c r="H7" s="296"/>
      <c r="I7" s="296"/>
      <c r="J7" s="296"/>
      <c r="K7" s="296"/>
      <c r="L7" s="296"/>
      <c r="M7" s="296"/>
      <c r="N7" s="296"/>
      <c r="O7" s="296"/>
      <c r="P7" s="296"/>
      <c r="Q7" s="296"/>
      <c r="R7" s="296"/>
    </row>
    <row r="8" spans="1:36" ht="15.75" customHeight="1" x14ac:dyDescent="0.3">
      <c r="A8" s="499" t="s">
        <v>793</v>
      </c>
      <c r="B8" s="499"/>
      <c r="C8" s="499"/>
      <c r="D8" s="499"/>
      <c r="E8" s="499"/>
      <c r="F8" s="499"/>
      <c r="G8" s="499"/>
      <c r="H8" s="499"/>
      <c r="I8" s="499"/>
      <c r="J8" s="499"/>
      <c r="K8" s="499"/>
      <c r="L8" s="499"/>
      <c r="M8" s="499"/>
      <c r="N8" s="499"/>
      <c r="O8" s="499"/>
      <c r="P8" s="499"/>
      <c r="Q8" s="499"/>
      <c r="R8" s="499"/>
    </row>
    <row r="9" spans="1:36" ht="15.75" customHeight="1" x14ac:dyDescent="0.3">
      <c r="A9" s="5"/>
      <c r="B9" s="6"/>
      <c r="C9" s="6"/>
      <c r="D9" s="6"/>
      <c r="E9" s="6"/>
      <c r="F9" s="6"/>
      <c r="G9" s="6"/>
      <c r="H9" s="6"/>
      <c r="I9" s="6"/>
      <c r="J9" s="6"/>
      <c r="K9" s="6"/>
      <c r="L9" s="6"/>
      <c r="M9" s="6"/>
      <c r="N9" s="6"/>
      <c r="O9" s="6"/>
      <c r="P9" s="6"/>
      <c r="Q9" s="6"/>
      <c r="R9" s="6"/>
    </row>
    <row r="10" spans="1:36" ht="15.75" customHeight="1" thickBot="1" x14ac:dyDescent="0.35">
      <c r="A10" s="1" t="s">
        <v>794</v>
      </c>
      <c r="B10" s="1">
        <v>31</v>
      </c>
      <c r="C10" s="1">
        <v>29</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297" t="s">
        <v>7</v>
      </c>
      <c r="B11" s="298" t="s">
        <v>795</v>
      </c>
      <c r="C11" s="48" t="s">
        <v>9</v>
      </c>
      <c r="D11" s="48" t="s">
        <v>10</v>
      </c>
      <c r="E11" s="32" t="s">
        <v>11</v>
      </c>
      <c r="F11" s="48" t="s">
        <v>12</v>
      </c>
      <c r="G11" s="48" t="s">
        <v>13</v>
      </c>
      <c r="H11" s="48" t="s">
        <v>14</v>
      </c>
      <c r="I11" s="32" t="s">
        <v>15</v>
      </c>
      <c r="J11" s="48" t="s">
        <v>16</v>
      </c>
      <c r="K11" s="48" t="s">
        <v>17</v>
      </c>
      <c r="L11" s="48" t="s">
        <v>18</v>
      </c>
      <c r="M11" s="32" t="s">
        <v>19</v>
      </c>
      <c r="N11" s="48" t="s">
        <v>20</v>
      </c>
      <c r="O11" s="48" t="s">
        <v>21</v>
      </c>
      <c r="P11" s="48" t="s">
        <v>22</v>
      </c>
      <c r="Q11" s="32" t="s">
        <v>23</v>
      </c>
      <c r="R11" s="49" t="s">
        <v>24</v>
      </c>
    </row>
    <row r="12" spans="1:36" ht="16.5" customHeight="1" thickBot="1" x14ac:dyDescent="0.35">
      <c r="A12" s="67"/>
      <c r="B12" s="51"/>
      <c r="C12" s="51"/>
      <c r="D12" s="51"/>
      <c r="E12" s="52"/>
      <c r="F12" s="51"/>
      <c r="G12" s="51"/>
      <c r="H12" s="51"/>
      <c r="I12" s="52"/>
      <c r="J12" s="51"/>
      <c r="K12" s="51"/>
      <c r="L12" s="51"/>
      <c r="M12" s="52"/>
      <c r="N12" s="51"/>
      <c r="O12" s="51"/>
      <c r="P12" s="51"/>
      <c r="Q12" s="52"/>
      <c r="R12" s="52"/>
    </row>
    <row r="13" spans="1:36" ht="15.75" customHeight="1" x14ac:dyDescent="0.3">
      <c r="A13" s="15" t="s">
        <v>25</v>
      </c>
      <c r="B13" s="1">
        <f>+B838</f>
        <v>43148</v>
      </c>
      <c r="C13" s="1">
        <f>+C838</f>
        <v>77253</v>
      </c>
      <c r="D13" s="1">
        <f>+D838</f>
        <v>122146</v>
      </c>
      <c r="E13" s="16">
        <f>SUM(B13:D13)</f>
        <v>242547</v>
      </c>
      <c r="F13" s="1">
        <f>+F838</f>
        <v>138443</v>
      </c>
      <c r="G13" s="1">
        <f>+G838</f>
        <v>166029</v>
      </c>
      <c r="H13" s="1">
        <f>+H838</f>
        <v>201550</v>
      </c>
      <c r="I13" s="16">
        <f t="shared" ref="I13:I19" si="0">SUM(F13:H13)</f>
        <v>506022</v>
      </c>
      <c r="J13" s="1">
        <f>+J838</f>
        <v>193428</v>
      </c>
      <c r="K13" s="1">
        <f>+K838</f>
        <v>151816</v>
      </c>
      <c r="L13" s="1">
        <f>+L838</f>
        <v>129194</v>
      </c>
      <c r="M13" s="16">
        <f t="shared" ref="M13:M20" si="1">SUM(J13:L13)</f>
        <v>474438</v>
      </c>
      <c r="N13" s="1">
        <f>+N838</f>
        <v>88804</v>
      </c>
      <c r="O13" s="1">
        <f>+O838</f>
        <v>57369</v>
      </c>
      <c r="P13" s="1">
        <f>+P838</f>
        <v>61730</v>
      </c>
      <c r="Q13" s="17">
        <f t="shared" ref="Q13:Q19" si="2">SUM(N13:P13)</f>
        <v>207903</v>
      </c>
      <c r="R13" s="16">
        <f t="shared" ref="R13:R20" si="3">+E13+I13+M13+Q13</f>
        <v>1430910</v>
      </c>
      <c r="S13" s="4">
        <f>1495413+25265</f>
        <v>1520678</v>
      </c>
      <c r="T13" s="4">
        <f>+R13-S13</f>
        <v>-89768</v>
      </c>
      <c r="U13" s="4">
        <f>+R13-1478209</f>
        <v>-47299</v>
      </c>
      <c r="V13" s="339"/>
      <c r="W13" s="339"/>
      <c r="X13" s="339"/>
      <c r="Z13" s="339"/>
      <c r="AA13" s="339"/>
      <c r="AB13" s="339"/>
      <c r="AD13" s="339"/>
      <c r="AE13" s="339"/>
      <c r="AF13" s="339"/>
      <c r="AH13" s="339"/>
      <c r="AI13" s="339"/>
      <c r="AJ13" s="339"/>
    </row>
    <row r="14" spans="1:36" ht="15.75" customHeight="1" x14ac:dyDescent="0.3">
      <c r="A14" s="15" t="s">
        <v>27</v>
      </c>
      <c r="B14" s="1">
        <f>B25+B60+B126+B289+B439+B486+B530+B585+B595+B631+B678+B688+B722+B770</f>
        <v>739</v>
      </c>
      <c r="C14" s="1">
        <f>C25+C60+C126+C289+C439+C486+C530+C585+C595+C631+C678+C688+C722+C770</f>
        <v>1283</v>
      </c>
      <c r="D14" s="1">
        <f>D25+D60+D126+D289+D439+D486+D530+D585+D595+D631+D678+D688+D722+D770</f>
        <v>2185</v>
      </c>
      <c r="E14" s="16">
        <f t="shared" ref="E14:E19" si="4">SUM(B14:D14)</f>
        <v>4207</v>
      </c>
      <c r="F14" s="1">
        <f>F25+F60+F126+F289+F439+F486+F530+F585+F595+F631+F678+F688+F722+F770</f>
        <v>2959</v>
      </c>
      <c r="G14" s="1">
        <f>G25+G60+G126+G289+G439+G486+G530+G585+G595+G631+G678+G688+G722+G770</f>
        <v>3425</v>
      </c>
      <c r="H14" s="1">
        <f>H25+H60+H126+H289+H439+H486+H530+H585+H595+H631+H678+H688+H722+H770</f>
        <v>3464</v>
      </c>
      <c r="I14" s="16">
        <f t="shared" si="0"/>
        <v>9848</v>
      </c>
      <c r="J14" s="1">
        <f>J25+J60+J126+J289+J439+J486+J530+J585+J595+J631+J678+J688+J722+J770</f>
        <v>3382</v>
      </c>
      <c r="K14" s="1">
        <f>K25+K60+K126+K289+K439+K486+K530+K585+K595+K631+K678+K688+K722+K770</f>
        <v>2663</v>
      </c>
      <c r="L14" s="1">
        <f>L25+L60+L126+L289+L439+L486+L530+L585+L595+L631+L678+L688+L722+L770</f>
        <v>2559</v>
      </c>
      <c r="M14" s="16">
        <f t="shared" si="1"/>
        <v>8604</v>
      </c>
      <c r="N14" s="1">
        <f>N25+N60+N126+N289+N439+N486+N530+N585+N595+N631+N678+N688+N722+N770</f>
        <v>2343</v>
      </c>
      <c r="O14" s="1">
        <f>O25+O60+O126+O289+O439+O486+O530+O585+O595+O631+O678+O688+O722+O770</f>
        <v>1892</v>
      </c>
      <c r="P14" s="1">
        <f>P25+P60+P126+P289+P439+P486+P530+P585+P595+P631+P678+P688+P722+P770</f>
        <v>1423</v>
      </c>
      <c r="Q14" s="17">
        <f t="shared" si="2"/>
        <v>5658</v>
      </c>
      <c r="R14" s="16">
        <f t="shared" si="3"/>
        <v>28317</v>
      </c>
    </row>
    <row r="15" spans="1:36" ht="15.75" customHeight="1" x14ac:dyDescent="0.3">
      <c r="A15" s="15" t="s">
        <v>28</v>
      </c>
      <c r="B15" s="1">
        <f>B284</f>
        <v>0</v>
      </c>
      <c r="C15" s="1">
        <f>C284</f>
        <v>2526</v>
      </c>
      <c r="D15" s="1">
        <f>D284</f>
        <v>4089</v>
      </c>
      <c r="E15" s="16">
        <f t="shared" si="4"/>
        <v>6615</v>
      </c>
      <c r="F15" s="1">
        <f>F284</f>
        <v>1608</v>
      </c>
      <c r="G15" s="1">
        <f>G284</f>
        <v>2278</v>
      </c>
      <c r="H15" s="1">
        <f>H284</f>
        <v>3295</v>
      </c>
      <c r="I15" s="16">
        <f t="shared" si="0"/>
        <v>7181</v>
      </c>
      <c r="J15" s="1">
        <f>J284</f>
        <v>2560</v>
      </c>
      <c r="K15" s="1">
        <f>K284</f>
        <v>948</v>
      </c>
      <c r="L15" s="1">
        <f>L284</f>
        <v>2584</v>
      </c>
      <c r="M15" s="16">
        <f t="shared" si="1"/>
        <v>6092</v>
      </c>
      <c r="N15" s="1">
        <f>N284</f>
        <v>3444</v>
      </c>
      <c r="O15" s="1">
        <f>O284</f>
        <v>4424</v>
      </c>
      <c r="P15" s="1">
        <f>P284</f>
        <v>1662</v>
      </c>
      <c r="Q15" s="17">
        <f t="shared" si="2"/>
        <v>9530</v>
      </c>
      <c r="R15" s="16">
        <f t="shared" si="3"/>
        <v>29418</v>
      </c>
    </row>
    <row r="16" spans="1:36" ht="15.75" customHeight="1" x14ac:dyDescent="0.3">
      <c r="A16" s="18" t="s">
        <v>29</v>
      </c>
      <c r="B16" s="1">
        <f>+B285</f>
        <v>0</v>
      </c>
      <c r="C16" s="1">
        <f>+C285</f>
        <v>0</v>
      </c>
      <c r="D16" s="1">
        <f>+D285</f>
        <v>0</v>
      </c>
      <c r="E16" s="16">
        <f t="shared" si="4"/>
        <v>0</v>
      </c>
      <c r="F16" s="1">
        <f>+F285</f>
        <v>-4000</v>
      </c>
      <c r="G16" s="1">
        <f>+G285</f>
        <v>-6000</v>
      </c>
      <c r="H16" s="1">
        <f>+H285</f>
        <v>-4000</v>
      </c>
      <c r="I16" s="16">
        <f t="shared" si="0"/>
        <v>-14000</v>
      </c>
      <c r="J16" s="1">
        <f>+J285</f>
        <v>-2000</v>
      </c>
      <c r="K16" s="1">
        <f>+K285</f>
        <v>0</v>
      </c>
      <c r="L16" s="1">
        <f>+L285</f>
        <v>0</v>
      </c>
      <c r="M16" s="16">
        <f t="shared" si="1"/>
        <v>-2000</v>
      </c>
      <c r="N16" s="1">
        <f>+N285</f>
        <v>0</v>
      </c>
      <c r="O16" s="1">
        <f>+O285</f>
        <v>0</v>
      </c>
      <c r="P16" s="1">
        <f>+P285</f>
        <v>-11</v>
      </c>
      <c r="Q16" s="17">
        <f t="shared" si="2"/>
        <v>-11</v>
      </c>
      <c r="R16" s="16">
        <f t="shared" si="3"/>
        <v>-16011</v>
      </c>
    </row>
    <row r="17" spans="1:20" ht="15.75" customHeight="1" x14ac:dyDescent="0.3">
      <c r="A17" s="19" t="s">
        <v>31</v>
      </c>
      <c r="B17" s="1">
        <f>B288</f>
        <v>108452</v>
      </c>
      <c r="C17" s="1">
        <f>C288</f>
        <v>32889</v>
      </c>
      <c r="D17" s="1">
        <f>D288</f>
        <v>4539</v>
      </c>
      <c r="E17" s="16">
        <f t="shared" si="4"/>
        <v>145880</v>
      </c>
      <c r="F17" s="1">
        <f>F288</f>
        <v>28044</v>
      </c>
      <c r="G17" s="1">
        <f>G288</f>
        <v>12390</v>
      </c>
      <c r="H17" s="1">
        <f>H288</f>
        <v>0</v>
      </c>
      <c r="I17" s="16">
        <f t="shared" si="0"/>
        <v>40434</v>
      </c>
      <c r="J17" s="1">
        <f>J288</f>
        <v>0</v>
      </c>
      <c r="K17" s="1">
        <f>K288</f>
        <v>0</v>
      </c>
      <c r="L17" s="1">
        <f>L288</f>
        <v>19406</v>
      </c>
      <c r="M17" s="16">
        <f t="shared" si="1"/>
        <v>19406</v>
      </c>
      <c r="N17" s="1">
        <f>N288</f>
        <v>40011</v>
      </c>
      <c r="O17" s="1">
        <f>O288</f>
        <v>74729</v>
      </c>
      <c r="P17" s="1">
        <f>P288</f>
        <v>52389</v>
      </c>
      <c r="Q17" s="17">
        <f t="shared" si="2"/>
        <v>167129</v>
      </c>
      <c r="R17" s="16">
        <f t="shared" si="3"/>
        <v>372849</v>
      </c>
    </row>
    <row r="18" spans="1:20" ht="15.75" customHeight="1" x14ac:dyDescent="0.3">
      <c r="A18" s="19" t="s">
        <v>32</v>
      </c>
      <c r="B18" s="1">
        <f>B300</f>
        <v>0</v>
      </c>
      <c r="C18" s="1">
        <f>C300</f>
        <v>0</v>
      </c>
      <c r="D18" s="1">
        <f>D300</f>
        <v>-10501</v>
      </c>
      <c r="E18" s="16">
        <f t="shared" si="4"/>
        <v>-10501</v>
      </c>
      <c r="F18" s="1">
        <f>F300</f>
        <v>0</v>
      </c>
      <c r="G18" s="1">
        <f>G300</f>
        <v>0</v>
      </c>
      <c r="H18" s="1">
        <f>H300</f>
        <v>-112673</v>
      </c>
      <c r="I18" s="16">
        <f t="shared" si="0"/>
        <v>-112673</v>
      </c>
      <c r="J18" s="1">
        <f>J300</f>
        <v>-119947</v>
      </c>
      <c r="K18" s="1">
        <f>K300</f>
        <v>-87736</v>
      </c>
      <c r="L18" s="1">
        <f>L300</f>
        <v>-22496</v>
      </c>
      <c r="M18" s="16">
        <f t="shared" si="1"/>
        <v>-230179</v>
      </c>
      <c r="N18" s="1">
        <f>N300</f>
        <v>-1165</v>
      </c>
      <c r="O18" s="1">
        <f>O300</f>
        <v>0</v>
      </c>
      <c r="P18" s="1">
        <f>P300</f>
        <v>0</v>
      </c>
      <c r="Q18" s="17">
        <f t="shared" si="2"/>
        <v>-1165</v>
      </c>
      <c r="R18" s="16">
        <f t="shared" si="3"/>
        <v>-354518</v>
      </c>
    </row>
    <row r="19" spans="1:20" ht="16.5" customHeight="1" thickBot="1" x14ac:dyDescent="0.35">
      <c r="A19" s="20" t="s">
        <v>33</v>
      </c>
      <c r="B19" s="21">
        <f>(B29)</f>
        <v>152339</v>
      </c>
      <c r="C19" s="21">
        <f>(C29)</f>
        <v>113951</v>
      </c>
      <c r="D19" s="21">
        <f>(D29)</f>
        <v>122458</v>
      </c>
      <c r="E19" s="22">
        <f t="shared" si="4"/>
        <v>388748</v>
      </c>
      <c r="F19" s="21">
        <f>(F29)</f>
        <v>167054</v>
      </c>
      <c r="G19" s="21">
        <f>(G29)</f>
        <v>178122</v>
      </c>
      <c r="H19" s="21">
        <f>(H29)</f>
        <v>91636</v>
      </c>
      <c r="I19" s="22">
        <f t="shared" si="0"/>
        <v>436812</v>
      </c>
      <c r="J19" s="21">
        <f>(J29)</f>
        <v>77423</v>
      </c>
      <c r="K19" s="21">
        <f>(K29)</f>
        <v>67691</v>
      </c>
      <c r="L19" s="21">
        <f>(L29)</f>
        <v>131247</v>
      </c>
      <c r="M19" s="22">
        <f t="shared" si="1"/>
        <v>276361</v>
      </c>
      <c r="N19" s="21">
        <f>(N29)</f>
        <v>133437</v>
      </c>
      <c r="O19" s="21">
        <f>(O29)</f>
        <v>138414</v>
      </c>
      <c r="P19" s="21">
        <f>(P29)</f>
        <v>117193</v>
      </c>
      <c r="Q19" s="23">
        <f t="shared" si="2"/>
        <v>389044</v>
      </c>
      <c r="R19" s="22">
        <f>+E19+I19+M19+Q19</f>
        <v>1490965</v>
      </c>
      <c r="S19" s="4">
        <v>1491000</v>
      </c>
      <c r="T19" s="4" t="s">
        <v>796</v>
      </c>
    </row>
    <row r="20" spans="1:20" ht="16.5" customHeight="1" thickBot="1" x14ac:dyDescent="0.35">
      <c r="A20" s="20" t="s">
        <v>36</v>
      </c>
      <c r="B20" s="21">
        <v>155980</v>
      </c>
      <c r="C20" s="21">
        <v>116971</v>
      </c>
      <c r="D20" s="21">
        <v>122518</v>
      </c>
      <c r="E20" s="22">
        <f>SUM(B20:D20)</f>
        <v>395469</v>
      </c>
      <c r="F20" s="21">
        <v>168623</v>
      </c>
      <c r="G20" s="21">
        <v>176141</v>
      </c>
      <c r="H20" s="21">
        <v>88596</v>
      </c>
      <c r="I20" s="22">
        <f>SUM(F20:H20)</f>
        <v>433360</v>
      </c>
      <c r="J20" s="21">
        <v>74494</v>
      </c>
      <c r="K20" s="21">
        <v>64682</v>
      </c>
      <c r="L20" s="21">
        <v>133630</v>
      </c>
      <c r="M20" s="22">
        <f t="shared" si="1"/>
        <v>272806</v>
      </c>
      <c r="N20" s="21">
        <v>133167</v>
      </c>
      <c r="O20" s="21">
        <v>140485</v>
      </c>
      <c r="P20" s="21">
        <v>117864</v>
      </c>
      <c r="Q20" s="23">
        <f>SUM(N20:P20)</f>
        <v>391516</v>
      </c>
      <c r="R20" s="22">
        <f t="shared" si="3"/>
        <v>1493151</v>
      </c>
    </row>
    <row r="21" spans="1:20" ht="15.75" customHeight="1" x14ac:dyDescent="0.3">
      <c r="A21" s="1"/>
      <c r="B21" s="1"/>
      <c r="C21" s="1"/>
      <c r="D21" s="1"/>
      <c r="E21" s="1"/>
      <c r="F21" s="1"/>
      <c r="G21" s="1"/>
      <c r="H21" s="1"/>
      <c r="I21" s="1"/>
      <c r="J21" s="1"/>
      <c r="K21" s="1"/>
      <c r="L21" s="1"/>
      <c r="M21" s="1"/>
      <c r="N21" s="1"/>
      <c r="O21" s="1"/>
      <c r="P21" s="1"/>
      <c r="Q21" s="1"/>
      <c r="R21" s="2"/>
    </row>
    <row r="22" spans="1:20" ht="15.75" customHeight="1" thickBot="1" x14ac:dyDescent="0.35">
      <c r="A22" s="1"/>
      <c r="B22" s="1"/>
      <c r="C22" s="1"/>
      <c r="D22" s="1"/>
      <c r="E22" s="1"/>
      <c r="F22" s="27" t="s">
        <v>7</v>
      </c>
      <c r="G22" s="27" t="s">
        <v>7</v>
      </c>
      <c r="H22" s="1"/>
      <c r="I22" s="1"/>
      <c r="J22" s="1"/>
      <c r="K22" s="1"/>
      <c r="L22" s="1"/>
      <c r="M22" s="1"/>
      <c r="N22" s="27" t="s">
        <v>7</v>
      </c>
      <c r="O22" s="27" t="s">
        <v>7</v>
      </c>
      <c r="P22" s="27" t="s">
        <v>7</v>
      </c>
      <c r="Q22" s="27"/>
      <c r="R22" s="28" t="s">
        <v>7</v>
      </c>
    </row>
    <row r="23" spans="1:20" ht="16.5" customHeight="1" thickBot="1" x14ac:dyDescent="0.35">
      <c r="A23" s="29" t="s">
        <v>39</v>
      </c>
      <c r="B23" s="30" t="s">
        <v>8</v>
      </c>
      <c r="C23" s="31" t="s">
        <v>9</v>
      </c>
      <c r="D23" s="31" t="s">
        <v>10</v>
      </c>
      <c r="E23" s="32" t="s">
        <v>11</v>
      </c>
      <c r="F23" s="31" t="s">
        <v>12</v>
      </c>
      <c r="G23" s="31" t="s">
        <v>13</v>
      </c>
      <c r="H23" s="31" t="s">
        <v>14</v>
      </c>
      <c r="I23" s="33" t="s">
        <v>15</v>
      </c>
      <c r="J23" s="31" t="s">
        <v>16</v>
      </c>
      <c r="K23" s="31" t="s">
        <v>17</v>
      </c>
      <c r="L23" s="31" t="s">
        <v>18</v>
      </c>
      <c r="M23" s="33" t="s">
        <v>19</v>
      </c>
      <c r="N23" s="31" t="s">
        <v>20</v>
      </c>
      <c r="O23" s="31" t="s">
        <v>21</v>
      </c>
      <c r="P23" s="31" t="s">
        <v>22</v>
      </c>
      <c r="Q23" s="33" t="s">
        <v>23</v>
      </c>
      <c r="R23" s="34" t="s">
        <v>24</v>
      </c>
    </row>
    <row r="24" spans="1:20" ht="16.5" customHeight="1" thickBot="1" x14ac:dyDescent="0.35">
      <c r="A24" s="35"/>
      <c r="B24" s="36"/>
      <c r="C24" s="36"/>
      <c r="D24" s="36"/>
      <c r="E24" s="37"/>
      <c r="F24" s="36"/>
      <c r="G24" s="36"/>
      <c r="H24" s="36"/>
      <c r="I24" s="37"/>
      <c r="J24" s="36"/>
      <c r="K24" s="36"/>
      <c r="L24" s="36"/>
      <c r="M24" s="37"/>
      <c r="N24" s="36"/>
      <c r="O24" s="36"/>
      <c r="P24" s="36"/>
      <c r="Q24" s="37"/>
      <c r="R24" s="38"/>
    </row>
    <row r="25" spans="1:20" ht="16.5" customHeight="1" thickBot="1" x14ac:dyDescent="0.35">
      <c r="A25" s="39" t="s">
        <v>40</v>
      </c>
      <c r="B25" s="21">
        <v>97</v>
      </c>
      <c r="C25" s="21">
        <v>148</v>
      </c>
      <c r="D25" s="21">
        <v>274</v>
      </c>
      <c r="E25" s="40">
        <f>SUM(B25:D25)</f>
        <v>519</v>
      </c>
      <c r="F25" s="21">
        <v>367</v>
      </c>
      <c r="G25" s="21">
        <v>425</v>
      </c>
      <c r="H25" s="21">
        <v>417</v>
      </c>
      <c r="I25" s="40">
        <f>SUM(F25:H25)</f>
        <v>1209</v>
      </c>
      <c r="J25" s="21">
        <v>416</v>
      </c>
      <c r="K25" s="21">
        <v>334</v>
      </c>
      <c r="L25" s="21">
        <v>316</v>
      </c>
      <c r="M25" s="40">
        <f>SUM(J25:L25)</f>
        <v>1066</v>
      </c>
      <c r="N25" s="21">
        <v>285</v>
      </c>
      <c r="O25" s="21">
        <v>235</v>
      </c>
      <c r="P25" s="21">
        <v>186</v>
      </c>
      <c r="Q25" s="40">
        <f>SUM(N25:P25)</f>
        <v>706</v>
      </c>
      <c r="R25" s="22">
        <f>+E25+I25+M25+Q25</f>
        <v>3500</v>
      </c>
    </row>
    <row r="26" spans="1:20" ht="16.5" customHeight="1" thickBot="1" x14ac:dyDescent="0.35">
      <c r="A26" s="41"/>
      <c r="B26" s="36"/>
      <c r="C26" s="36"/>
      <c r="D26" s="36"/>
      <c r="E26" s="42"/>
      <c r="F26" s="36"/>
      <c r="G26" s="36"/>
      <c r="H26" s="36"/>
      <c r="I26" s="42"/>
      <c r="J26" s="36"/>
      <c r="K26" s="36"/>
      <c r="L26" s="36"/>
      <c r="M26" s="42"/>
      <c r="N26" s="36"/>
      <c r="O26" s="36"/>
      <c r="P26" s="36"/>
      <c r="Q26" s="42"/>
      <c r="R26" s="43"/>
    </row>
    <row r="27" spans="1:20" ht="15.75" customHeight="1" x14ac:dyDescent="0.3">
      <c r="A27" s="15" t="s">
        <v>41</v>
      </c>
      <c r="B27" s="1">
        <f>B25</f>
        <v>97</v>
      </c>
      <c r="C27" s="1">
        <f>C25</f>
        <v>148</v>
      </c>
      <c r="D27" s="1">
        <f>D25</f>
        <v>274</v>
      </c>
      <c r="E27" s="40">
        <f>SUM(B27:D27)</f>
        <v>519</v>
      </c>
      <c r="F27" s="1">
        <f>F25</f>
        <v>367</v>
      </c>
      <c r="G27" s="1">
        <f>G25</f>
        <v>425</v>
      </c>
      <c r="H27" s="1">
        <f>H25</f>
        <v>417</v>
      </c>
      <c r="I27" s="40">
        <f>SUM(F27:H27)</f>
        <v>1209</v>
      </c>
      <c r="J27" s="1">
        <f>J25</f>
        <v>416</v>
      </c>
      <c r="K27" s="1">
        <f>K25</f>
        <v>334</v>
      </c>
      <c r="L27" s="1">
        <f>L25</f>
        <v>316</v>
      </c>
      <c r="M27" s="40">
        <f>SUM(J27:L27)</f>
        <v>1066</v>
      </c>
      <c r="N27" s="1">
        <f>N25</f>
        <v>285</v>
      </c>
      <c r="O27" s="1">
        <f>O25</f>
        <v>235</v>
      </c>
      <c r="P27" s="1">
        <f>P25</f>
        <v>186</v>
      </c>
      <c r="Q27" s="44">
        <f>SUM(N27:P27)</f>
        <v>706</v>
      </c>
      <c r="R27" s="40">
        <f>+E27+I27+M27+Q27</f>
        <v>3500</v>
      </c>
    </row>
    <row r="28" spans="1:20" ht="15.75" customHeight="1" x14ac:dyDescent="0.3">
      <c r="A28" s="15" t="s">
        <v>42</v>
      </c>
      <c r="B28" s="1">
        <f>(B27/B10)/1.983</f>
        <v>1.5779285214647079</v>
      </c>
      <c r="C28" s="1">
        <f>(C27/C10)/1.983</f>
        <v>2.5735997356843514</v>
      </c>
      <c r="D28" s="1">
        <f>(D27/D10)/1.983</f>
        <v>4.457241390529175</v>
      </c>
      <c r="E28" s="16"/>
      <c r="F28" s="1">
        <f>(F27/F10)/1.983</f>
        <v>6.1691040511010247</v>
      </c>
      <c r="G28" s="1">
        <f>(G27/G10)/1.983</f>
        <v>6.9136043466237203</v>
      </c>
      <c r="H28" s="1">
        <f>(H27/H10)/1.983</f>
        <v>7.0095814422592033</v>
      </c>
      <c r="I28" s="16"/>
      <c r="J28" s="1">
        <f>(J27/J10)/1.983</f>
        <v>6.7671986075187478</v>
      </c>
      <c r="K28" s="1">
        <f>(K27/K10)/1.983</f>
        <v>5.433279651228994</v>
      </c>
      <c r="L28" s="1">
        <f>(L27/L10)/1.983</f>
        <v>5.3118171121196838</v>
      </c>
      <c r="M28" s="16"/>
      <c r="N28" s="1">
        <f>(N27/N10)/1.983</f>
        <v>4.6361817383241419</v>
      </c>
      <c r="O28" s="1">
        <f>(O27/O10)/1.983</f>
        <v>3.9502437384434357</v>
      </c>
      <c r="P28" s="1">
        <f>(P27/P10)/1.983</f>
        <v>3.02571860816944</v>
      </c>
      <c r="Q28" s="17"/>
      <c r="R28" s="16"/>
    </row>
    <row r="29" spans="1:20" ht="15.75" customHeight="1" x14ac:dyDescent="0.3">
      <c r="A29" s="15" t="s">
        <v>43</v>
      </c>
      <c r="B29" s="1">
        <f>B27+B64</f>
        <v>152339</v>
      </c>
      <c r="C29" s="1">
        <f>C27+C64</f>
        <v>113951</v>
      </c>
      <c r="D29" s="1">
        <f>D27+D64</f>
        <v>122458</v>
      </c>
      <c r="E29" s="16">
        <f>SUM(B29:D29)</f>
        <v>388748</v>
      </c>
      <c r="F29" s="1">
        <f>F27+F64</f>
        <v>167054</v>
      </c>
      <c r="G29" s="1">
        <f>G27+G64</f>
        <v>178122</v>
      </c>
      <c r="H29" s="1">
        <f>H27+H64</f>
        <v>91636</v>
      </c>
      <c r="I29" s="16">
        <f>SUM(F29:H29)</f>
        <v>436812</v>
      </c>
      <c r="J29" s="1">
        <f>J27+J64</f>
        <v>77423</v>
      </c>
      <c r="K29" s="1">
        <f>K27+K64</f>
        <v>67691</v>
      </c>
      <c r="L29" s="1">
        <f>L27+L64</f>
        <v>131247</v>
      </c>
      <c r="M29" s="16">
        <f>SUM(J29:L29)</f>
        <v>276361</v>
      </c>
      <c r="N29" s="1">
        <f>N27+N64</f>
        <v>133437</v>
      </c>
      <c r="O29" s="1">
        <f>O27+O64</f>
        <v>138414</v>
      </c>
      <c r="P29" s="1">
        <f>P27+P64</f>
        <v>117193</v>
      </c>
      <c r="Q29" s="17">
        <f>SUM(N29:P29)</f>
        <v>389044</v>
      </c>
      <c r="R29" s="16">
        <f>+E29+I29+M29+Q29</f>
        <v>1490965</v>
      </c>
    </row>
    <row r="30" spans="1:20" s="344" customFormat="1" ht="16.5" customHeight="1" thickBot="1" x14ac:dyDescent="0.35">
      <c r="A30" s="340" t="s">
        <v>44</v>
      </c>
      <c r="B30" s="341">
        <f>(B29/B10)/1.983</f>
        <v>2478.1448766124963</v>
      </c>
      <c r="C30" s="341">
        <f>(C29/C10)/1.983</f>
        <v>1981.515293790321</v>
      </c>
      <c r="D30" s="341">
        <f>(D29/D10)/1.983</f>
        <v>1992.0615554796416</v>
      </c>
      <c r="E30" s="342"/>
      <c r="F30" s="341">
        <f>(F29/F10)/1.983</f>
        <v>2808.1022020507644</v>
      </c>
      <c r="G30" s="341">
        <f>(G29/G10)/1.983</f>
        <v>2897.5647845395538</v>
      </c>
      <c r="H30" s="341">
        <f>(H29/H10)/1.983</f>
        <v>1540.3597243234155</v>
      </c>
      <c r="I30" s="342"/>
      <c r="J30" s="341">
        <f>(J29/J10)/1.983</f>
        <v>1259.4635043027019</v>
      </c>
      <c r="K30" s="341">
        <f>(K29/K10)/1.983</f>
        <v>1101.1500984171912</v>
      </c>
      <c r="L30" s="341">
        <f>(L29/L10)/1.983</f>
        <v>2206.2027231467468</v>
      </c>
      <c r="M30" s="342"/>
      <c r="N30" s="341">
        <f>(N29/N10)/1.983</f>
        <v>2170.660289883363</v>
      </c>
      <c r="O30" s="341">
        <f>(O29/O10)/1.983</f>
        <v>2326.6767523953604</v>
      </c>
      <c r="P30" s="341">
        <f>(P29/P10)/1.983</f>
        <v>1906.4141981032324</v>
      </c>
      <c r="Q30" s="343"/>
      <c r="R30" s="342"/>
      <c r="T30" s="345" t="s">
        <v>45</v>
      </c>
    </row>
    <row r="31" spans="1:20" ht="15.75" customHeight="1" x14ac:dyDescent="0.3">
      <c r="A31" s="2"/>
      <c r="B31" s="1"/>
      <c r="C31" s="1"/>
      <c r="D31" s="1"/>
      <c r="E31" s="1"/>
      <c r="F31" s="1"/>
      <c r="G31" s="1"/>
      <c r="H31" s="1"/>
      <c r="I31" s="1"/>
      <c r="J31" s="1"/>
      <c r="K31" s="1"/>
      <c r="L31" s="1"/>
      <c r="M31" s="1"/>
      <c r="N31" s="1"/>
      <c r="O31" s="1"/>
      <c r="P31" s="1"/>
      <c r="Q31" s="1"/>
      <c r="R31" s="2"/>
      <c r="T31" s="45" t="s">
        <v>46</v>
      </c>
    </row>
    <row r="32" spans="1:20" ht="15.75" customHeight="1" thickBot="1" x14ac:dyDescent="0.35">
      <c r="A32" s="2"/>
      <c r="B32" s="1"/>
      <c r="C32" s="1"/>
      <c r="D32" s="1"/>
      <c r="E32" s="1"/>
      <c r="F32" s="1"/>
      <c r="G32" s="1"/>
      <c r="H32" s="1"/>
      <c r="I32" s="1"/>
      <c r="J32" s="1"/>
      <c r="K32" s="1"/>
      <c r="L32" s="1"/>
      <c r="M32" s="1"/>
      <c r="N32" s="1"/>
      <c r="O32" s="1"/>
      <c r="P32" s="1"/>
      <c r="Q32" s="1"/>
      <c r="R32" s="2"/>
    </row>
    <row r="33" spans="1:18" ht="15.75" customHeight="1" thickBot="1" x14ac:dyDescent="0.35">
      <c r="A33" s="46" t="s">
        <v>47</v>
      </c>
      <c r="B33" s="47" t="s">
        <v>8</v>
      </c>
      <c r="C33" s="48" t="s">
        <v>9</v>
      </c>
      <c r="D33" s="48" t="s">
        <v>10</v>
      </c>
      <c r="E33" s="32" t="s">
        <v>11</v>
      </c>
      <c r="F33" s="48" t="s">
        <v>12</v>
      </c>
      <c r="G33" s="48" t="s">
        <v>13</v>
      </c>
      <c r="H33" s="48" t="s">
        <v>14</v>
      </c>
      <c r="I33" s="32" t="s">
        <v>15</v>
      </c>
      <c r="J33" s="48" t="s">
        <v>16</v>
      </c>
      <c r="K33" s="48" t="s">
        <v>17</v>
      </c>
      <c r="L33" s="48" t="s">
        <v>18</v>
      </c>
      <c r="M33" s="32" t="s">
        <v>19</v>
      </c>
      <c r="N33" s="48" t="s">
        <v>20</v>
      </c>
      <c r="O33" s="48" t="s">
        <v>21</v>
      </c>
      <c r="P33" s="48" t="s">
        <v>22</v>
      </c>
      <c r="Q33" s="32" t="s">
        <v>23</v>
      </c>
      <c r="R33" s="49" t="s">
        <v>24</v>
      </c>
    </row>
    <row r="34" spans="1:18" ht="16.5" customHeight="1" thickBot="1" x14ac:dyDescent="0.35">
      <c r="A34" s="42"/>
      <c r="B34" s="50"/>
      <c r="C34" s="51"/>
      <c r="D34" s="51"/>
      <c r="E34" s="52"/>
      <c r="F34" s="51"/>
      <c r="G34" s="51"/>
      <c r="H34" s="51"/>
      <c r="I34" s="52"/>
      <c r="J34" s="51"/>
      <c r="K34" s="51"/>
      <c r="L34" s="51"/>
      <c r="M34" s="52"/>
      <c r="N34" s="51"/>
      <c r="O34" s="51"/>
      <c r="P34" s="51"/>
      <c r="Q34" s="52"/>
      <c r="R34" s="53"/>
    </row>
    <row r="35" spans="1:18" ht="15.75" customHeight="1" x14ac:dyDescent="0.3">
      <c r="A35" s="54" t="s">
        <v>48</v>
      </c>
      <c r="B35" s="28"/>
      <c r="C35" s="28"/>
      <c r="D35" s="28"/>
      <c r="E35" s="55" t="s">
        <v>7</v>
      </c>
      <c r="F35" s="28"/>
      <c r="G35" s="28"/>
      <c r="H35" s="28"/>
      <c r="I35" s="55" t="s">
        <v>7</v>
      </c>
      <c r="J35" s="28"/>
      <c r="K35" s="28"/>
      <c r="L35" s="28"/>
      <c r="M35" s="55" t="s">
        <v>7</v>
      </c>
      <c r="N35" s="28"/>
      <c r="O35" s="28"/>
      <c r="P35" s="28"/>
      <c r="Q35" s="55" t="s">
        <v>7</v>
      </c>
      <c r="R35" s="55" t="s">
        <v>7</v>
      </c>
    </row>
    <row r="36" spans="1:18" ht="15.75" customHeight="1" x14ac:dyDescent="0.3">
      <c r="A36" s="18" t="s">
        <v>49</v>
      </c>
      <c r="B36" s="28" t="s">
        <v>7</v>
      </c>
      <c r="C36" s="56"/>
      <c r="D36" s="56"/>
      <c r="E36" s="55" t="s">
        <v>7</v>
      </c>
      <c r="F36" s="56"/>
      <c r="G36" s="56"/>
      <c r="H36" s="56"/>
      <c r="I36" s="55" t="s">
        <v>7</v>
      </c>
      <c r="J36" s="56"/>
      <c r="K36" s="56"/>
      <c r="L36" s="56"/>
      <c r="M36" s="55" t="s">
        <v>7</v>
      </c>
      <c r="N36" s="56"/>
      <c r="O36" s="56"/>
      <c r="P36" s="56"/>
      <c r="Q36" s="55" t="s">
        <v>7</v>
      </c>
      <c r="R36" s="55" t="s">
        <v>7</v>
      </c>
    </row>
    <row r="37" spans="1:18" ht="15.75" customHeight="1" x14ac:dyDescent="0.3">
      <c r="A37" s="18" t="s">
        <v>50</v>
      </c>
      <c r="B37" s="28"/>
      <c r="C37" s="28"/>
      <c r="D37" s="28"/>
      <c r="E37" s="55" t="s">
        <v>7</v>
      </c>
      <c r="F37" s="28"/>
      <c r="G37" s="28"/>
      <c r="H37" s="28"/>
      <c r="I37" s="55" t="s">
        <v>7</v>
      </c>
      <c r="J37" s="28"/>
      <c r="K37" s="28"/>
      <c r="L37" s="28"/>
      <c r="M37" s="55" t="s">
        <v>7</v>
      </c>
      <c r="N37" s="28"/>
      <c r="O37" s="28"/>
      <c r="P37" s="28"/>
      <c r="Q37" s="55" t="s">
        <v>7</v>
      </c>
      <c r="R37" s="55" t="s">
        <v>7</v>
      </c>
    </row>
    <row r="38" spans="1:18" ht="15.75" customHeight="1" x14ac:dyDescent="0.3">
      <c r="A38" s="61" t="s">
        <v>797</v>
      </c>
      <c r="B38" s="1"/>
      <c r="C38" s="1"/>
      <c r="D38" s="1"/>
      <c r="E38" s="55">
        <f>SUM(B38:D38)</f>
        <v>0</v>
      </c>
      <c r="F38" s="1"/>
      <c r="G38" s="1"/>
      <c r="H38" s="1"/>
      <c r="I38" s="55">
        <f>SUM(F38:H38)</f>
        <v>0</v>
      </c>
      <c r="J38" s="1"/>
      <c r="K38" s="1"/>
      <c r="L38" s="1"/>
      <c r="M38" s="55">
        <f>SUM(J38:L38)</f>
        <v>0</v>
      </c>
      <c r="N38" s="1"/>
      <c r="O38" s="1"/>
      <c r="P38" s="1"/>
      <c r="Q38" s="55">
        <f>SUM(N38:P38)</f>
        <v>0</v>
      </c>
      <c r="R38" s="55">
        <f>+E38+I38+M38+Q38</f>
        <v>0</v>
      </c>
    </row>
    <row r="39" spans="1:18" ht="15.75" customHeight="1" x14ac:dyDescent="0.3">
      <c r="A39" s="18" t="s">
        <v>51</v>
      </c>
      <c r="B39" s="28"/>
      <c r="C39" s="28"/>
      <c r="D39" s="28"/>
      <c r="E39" s="55" t="s">
        <v>52</v>
      </c>
      <c r="F39" s="28"/>
      <c r="G39" s="28"/>
      <c r="H39" s="28"/>
      <c r="I39" s="55" t="s">
        <v>52</v>
      </c>
      <c r="J39" s="28"/>
      <c r="K39" s="28"/>
      <c r="L39" s="28"/>
      <c r="M39" s="55" t="s">
        <v>52</v>
      </c>
      <c r="N39" s="28"/>
      <c r="O39" s="28"/>
      <c r="P39" s="28"/>
      <c r="Q39" s="55" t="s">
        <v>52</v>
      </c>
      <c r="R39" s="55" t="s">
        <v>52</v>
      </c>
    </row>
    <row r="40" spans="1:18" ht="15.75" customHeight="1" thickBot="1" x14ac:dyDescent="0.35">
      <c r="A40" s="18" t="s">
        <v>53</v>
      </c>
      <c r="B40" s="56"/>
      <c r="C40" s="56"/>
      <c r="D40" s="56"/>
      <c r="E40" s="55" t="s">
        <v>7</v>
      </c>
      <c r="F40" s="56"/>
      <c r="G40" s="56"/>
      <c r="H40" s="56"/>
      <c r="I40" s="55" t="s">
        <v>7</v>
      </c>
      <c r="J40" s="56"/>
      <c r="K40" s="56"/>
      <c r="L40" s="56"/>
      <c r="M40" s="55" t="s">
        <v>7</v>
      </c>
      <c r="N40" s="56"/>
      <c r="O40" s="56"/>
      <c r="P40" s="56"/>
      <c r="Q40" s="55" t="s">
        <v>7</v>
      </c>
      <c r="R40" s="55" t="s">
        <v>7</v>
      </c>
    </row>
    <row r="41" spans="1:18" ht="16.5" customHeight="1" thickBot="1" x14ac:dyDescent="0.35">
      <c r="A41" s="57" t="s">
        <v>54</v>
      </c>
      <c r="B41" s="58">
        <f>SUM(B35:B40)</f>
        <v>0</v>
      </c>
      <c r="C41" s="58">
        <f>SUM(C35:C40)</f>
        <v>0</v>
      </c>
      <c r="D41" s="58">
        <f>SUM(D35:D40)</f>
        <v>0</v>
      </c>
      <c r="E41" s="59">
        <f>SUM(B41:D41)</f>
        <v>0</v>
      </c>
      <c r="F41" s="58">
        <f>SUM(F35:F40)</f>
        <v>0</v>
      </c>
      <c r="G41" s="58">
        <f>SUM(G35:G40)</f>
        <v>0</v>
      </c>
      <c r="H41" s="58">
        <f>SUM(H35:H40)</f>
        <v>0</v>
      </c>
      <c r="I41" s="59">
        <f>SUM(F41:H41)</f>
        <v>0</v>
      </c>
      <c r="J41" s="58">
        <f>SUM(J35:J40)</f>
        <v>0</v>
      </c>
      <c r="K41" s="58">
        <f>SUM(K35:K40)</f>
        <v>0</v>
      </c>
      <c r="L41" s="58">
        <f>SUM(L35:L40)</f>
        <v>0</v>
      </c>
      <c r="M41" s="59">
        <f>SUM(J41:L41)</f>
        <v>0</v>
      </c>
      <c r="N41" s="58">
        <f>SUM(N35:N40)</f>
        <v>0</v>
      </c>
      <c r="O41" s="58">
        <f>SUM(O35:O40)</f>
        <v>0</v>
      </c>
      <c r="P41" s="58">
        <f>SUM(P35:P40)</f>
        <v>0</v>
      </c>
      <c r="Q41" s="59">
        <f>SUM(N41:P41)</f>
        <v>0</v>
      </c>
      <c r="R41" s="59">
        <f>+E41+I41+M41+Q41</f>
        <v>0</v>
      </c>
    </row>
    <row r="42" spans="1:18" ht="15.75" customHeight="1" x14ac:dyDescent="0.3">
      <c r="A42" s="18" t="s">
        <v>55</v>
      </c>
      <c r="B42" s="56"/>
      <c r="C42" s="56"/>
      <c r="D42" s="56"/>
      <c r="E42" s="55" t="s">
        <v>7</v>
      </c>
      <c r="F42" s="56"/>
      <c r="G42" s="56"/>
      <c r="H42" s="56"/>
      <c r="I42" s="55" t="s">
        <v>7</v>
      </c>
      <c r="J42" s="56"/>
      <c r="K42" s="56"/>
      <c r="L42" s="56"/>
      <c r="M42" s="55" t="s">
        <v>7</v>
      </c>
      <c r="N42" s="56"/>
      <c r="O42" s="56"/>
      <c r="P42" s="56"/>
      <c r="Q42" s="55" t="s">
        <v>7</v>
      </c>
      <c r="R42" s="60" t="s">
        <v>7</v>
      </c>
    </row>
    <row r="43" spans="1:18" ht="15.75" customHeight="1" x14ac:dyDescent="0.3">
      <c r="A43" s="18" t="s">
        <v>56</v>
      </c>
      <c r="B43" s="56"/>
      <c r="C43" s="56"/>
      <c r="D43" s="56"/>
      <c r="E43" s="55"/>
      <c r="F43" s="56"/>
      <c r="G43" s="56"/>
      <c r="H43" s="56"/>
      <c r="I43" s="55"/>
      <c r="J43" s="56"/>
      <c r="K43" s="56"/>
      <c r="L43" s="56"/>
      <c r="M43" s="55"/>
      <c r="N43" s="56"/>
      <c r="O43" s="56"/>
      <c r="P43" s="56"/>
      <c r="Q43" s="55"/>
      <c r="R43" s="55"/>
    </row>
    <row r="44" spans="1:18" ht="15.75" customHeight="1" x14ac:dyDescent="0.3">
      <c r="A44" s="18" t="s">
        <v>57</v>
      </c>
      <c r="B44" s="56"/>
      <c r="C44" s="56"/>
      <c r="D44" s="56"/>
      <c r="E44" s="55" t="s">
        <v>7</v>
      </c>
      <c r="F44" s="56"/>
      <c r="G44" s="56"/>
      <c r="H44" s="56"/>
      <c r="I44" s="55" t="s">
        <v>7</v>
      </c>
      <c r="J44" s="56"/>
      <c r="K44" s="56"/>
      <c r="L44" s="56"/>
      <c r="M44" s="55" t="s">
        <v>7</v>
      </c>
      <c r="N44" s="56"/>
      <c r="O44" s="56"/>
      <c r="P44" s="56"/>
      <c r="Q44" s="55" t="s">
        <v>7</v>
      </c>
      <c r="R44" s="55" t="s">
        <v>7</v>
      </c>
    </row>
    <row r="45" spans="1:18" ht="15.75" customHeight="1" thickBot="1" x14ac:dyDescent="0.35">
      <c r="A45" s="18" t="s">
        <v>58</v>
      </c>
      <c r="B45" s="56"/>
      <c r="C45" s="56"/>
      <c r="D45" s="56"/>
      <c r="E45" s="55" t="s">
        <v>7</v>
      </c>
      <c r="F45" s="56"/>
      <c r="G45" s="56"/>
      <c r="H45" s="56"/>
      <c r="I45" s="55" t="s">
        <v>7</v>
      </c>
      <c r="J45" s="56"/>
      <c r="K45" s="56"/>
      <c r="L45" s="56"/>
      <c r="M45" s="55" t="s">
        <v>7</v>
      </c>
      <c r="N45" s="56"/>
      <c r="O45" s="56"/>
      <c r="P45" s="56"/>
      <c r="Q45" s="55" t="s">
        <v>7</v>
      </c>
      <c r="R45" s="55" t="s">
        <v>7</v>
      </c>
    </row>
    <row r="46" spans="1:18" ht="16.5" customHeight="1" thickBot="1" x14ac:dyDescent="0.35">
      <c r="A46" s="57" t="s">
        <v>59</v>
      </c>
      <c r="B46" s="58">
        <f>SUM(B42:B45)</f>
        <v>0</v>
      </c>
      <c r="C46" s="58">
        <f>SUM(C42:C45)</f>
        <v>0</v>
      </c>
      <c r="D46" s="58">
        <f>SUM(D42:D45)</f>
        <v>0</v>
      </c>
      <c r="E46" s="59">
        <f>SUM(B46:D46)</f>
        <v>0</v>
      </c>
      <c r="F46" s="58">
        <f>SUM(F42:F45)</f>
        <v>0</v>
      </c>
      <c r="G46" s="58">
        <f>SUM(G42:G45)</f>
        <v>0</v>
      </c>
      <c r="H46" s="58">
        <f>SUM(H42:H45)</f>
        <v>0</v>
      </c>
      <c r="I46" s="59">
        <f>SUM(F46:H46)</f>
        <v>0</v>
      </c>
      <c r="J46" s="58">
        <f>SUM(J42:J45)</f>
        <v>0</v>
      </c>
      <c r="K46" s="58">
        <f>SUM(K42:K45)</f>
        <v>0</v>
      </c>
      <c r="L46" s="58">
        <f>SUM(L42:L45)</f>
        <v>0</v>
      </c>
      <c r="M46" s="59">
        <f>SUM(J46:L46)</f>
        <v>0</v>
      </c>
      <c r="N46" s="58">
        <f>SUM(N42:N45)</f>
        <v>0</v>
      </c>
      <c r="O46" s="58">
        <f>SUM(O42:O45)</f>
        <v>0</v>
      </c>
      <c r="P46" s="58">
        <f>SUM(P42:P45)</f>
        <v>0</v>
      </c>
      <c r="Q46" s="59">
        <f>SUM(N46:P46)</f>
        <v>0</v>
      </c>
      <c r="R46" s="59">
        <f>+E46+I46+M46+Q46</f>
        <v>0</v>
      </c>
    </row>
    <row r="47" spans="1:18" ht="15.75" customHeight="1" x14ac:dyDescent="0.3">
      <c r="A47" s="18" t="s">
        <v>60</v>
      </c>
      <c r="B47" s="56"/>
      <c r="C47" s="56"/>
      <c r="D47" s="56"/>
      <c r="E47" s="55" t="s">
        <v>7</v>
      </c>
      <c r="F47" s="56"/>
      <c r="G47" s="56"/>
      <c r="H47" s="56"/>
      <c r="I47" s="55" t="s">
        <v>7</v>
      </c>
      <c r="J47" s="56"/>
      <c r="K47" s="56"/>
      <c r="L47" s="56"/>
      <c r="M47" s="55" t="s">
        <v>7</v>
      </c>
      <c r="N47" s="56"/>
      <c r="O47" s="56"/>
      <c r="P47" s="56"/>
      <c r="Q47" s="55" t="s">
        <v>7</v>
      </c>
      <c r="R47" s="55" t="s">
        <v>7</v>
      </c>
    </row>
    <row r="48" spans="1:18" ht="15.75" customHeight="1" x14ac:dyDescent="0.3">
      <c r="A48" s="18" t="s">
        <v>61</v>
      </c>
      <c r="B48" s="56"/>
      <c r="C48" s="56"/>
      <c r="D48" s="56"/>
      <c r="E48" s="55" t="s">
        <v>7</v>
      </c>
      <c r="F48" s="56"/>
      <c r="G48" s="56"/>
      <c r="H48" s="56"/>
      <c r="I48" s="55" t="s">
        <v>7</v>
      </c>
      <c r="J48" s="56"/>
      <c r="K48" s="56"/>
      <c r="L48" s="56"/>
      <c r="M48" s="55" t="s">
        <v>7</v>
      </c>
      <c r="N48" s="56"/>
      <c r="O48" s="56"/>
      <c r="P48" s="56"/>
      <c r="Q48" s="55" t="s">
        <v>7</v>
      </c>
      <c r="R48" s="55" t="s">
        <v>7</v>
      </c>
    </row>
    <row r="49" spans="1:18" ht="15.75" customHeight="1" thickBot="1" x14ac:dyDescent="0.35">
      <c r="A49" s="18" t="s">
        <v>62</v>
      </c>
      <c r="B49" s="56"/>
      <c r="C49" s="56"/>
      <c r="D49" s="56"/>
      <c r="E49" s="55"/>
      <c r="F49" s="56"/>
      <c r="G49" s="56"/>
      <c r="H49" s="56"/>
      <c r="I49" s="55"/>
      <c r="J49" s="56"/>
      <c r="K49" s="56"/>
      <c r="L49" s="56"/>
      <c r="M49" s="55"/>
      <c r="N49" s="56"/>
      <c r="O49" s="56"/>
      <c r="P49" s="56"/>
      <c r="Q49" s="55"/>
      <c r="R49" s="55"/>
    </row>
    <row r="50" spans="1:18" ht="16.5" customHeight="1" thickBot="1" x14ac:dyDescent="0.35">
      <c r="A50" s="57" t="s">
        <v>63</v>
      </c>
      <c r="B50" s="58">
        <f>SUM(B47:B49)</f>
        <v>0</v>
      </c>
      <c r="C50" s="58">
        <f>SUM(C47:C49)</f>
        <v>0</v>
      </c>
      <c r="D50" s="58">
        <f>SUM(D47:D49)</f>
        <v>0</v>
      </c>
      <c r="E50" s="59">
        <f>SUM(B50:D50)</f>
        <v>0</v>
      </c>
      <c r="F50" s="58">
        <f>SUM(F47:F49)</f>
        <v>0</v>
      </c>
      <c r="G50" s="58">
        <f>SUM(G47:G49)</f>
        <v>0</v>
      </c>
      <c r="H50" s="58">
        <f>SUM(H47:H49)</f>
        <v>0</v>
      </c>
      <c r="I50" s="59">
        <f>SUM(F50:H50)</f>
        <v>0</v>
      </c>
      <c r="J50" s="58">
        <f>SUM(J47:J49)</f>
        <v>0</v>
      </c>
      <c r="K50" s="58">
        <f>SUM(K47:K49)</f>
        <v>0</v>
      </c>
      <c r="L50" s="58">
        <f>SUM(L47:L49)</f>
        <v>0</v>
      </c>
      <c r="M50" s="59">
        <f>SUM(J50:L50)</f>
        <v>0</v>
      </c>
      <c r="N50" s="58">
        <f>SUM(N47:N49)</f>
        <v>0</v>
      </c>
      <c r="O50" s="58">
        <f>SUM(O47:O49)</f>
        <v>0</v>
      </c>
      <c r="P50" s="58">
        <f>SUM(P47:P49)</f>
        <v>0</v>
      </c>
      <c r="Q50" s="59">
        <f>SUM(N50:P50)</f>
        <v>0</v>
      </c>
      <c r="R50" s="59">
        <f>+E50+I50+M50+Q50</f>
        <v>0</v>
      </c>
    </row>
    <row r="51" spans="1:18" ht="15.75" customHeight="1" x14ac:dyDescent="0.3">
      <c r="A51" s="18" t="s">
        <v>64</v>
      </c>
      <c r="B51" s="56"/>
      <c r="C51" s="56"/>
      <c r="D51" s="56"/>
      <c r="E51" s="55" t="s">
        <v>7</v>
      </c>
      <c r="F51" s="56"/>
      <c r="G51" s="56"/>
      <c r="H51" s="56"/>
      <c r="I51" s="55" t="s">
        <v>7</v>
      </c>
      <c r="J51" s="56"/>
      <c r="K51" s="56"/>
      <c r="L51" s="56"/>
      <c r="M51" s="55" t="s">
        <v>7</v>
      </c>
      <c r="N51" s="56"/>
      <c r="O51" s="56"/>
      <c r="P51" s="56"/>
      <c r="Q51" s="55" t="s">
        <v>7</v>
      </c>
      <c r="R51" s="55" t="s">
        <v>7</v>
      </c>
    </row>
    <row r="52" spans="1:18" ht="15.75" customHeight="1" x14ac:dyDescent="0.3">
      <c r="A52" s="18" t="s">
        <v>594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67</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61" t="s">
        <v>685</v>
      </c>
      <c r="B54" s="1"/>
      <c r="C54" s="1"/>
      <c r="D54" s="1"/>
      <c r="E54" s="55">
        <f>SUM(B54:D54)</f>
        <v>0</v>
      </c>
      <c r="F54" s="1"/>
      <c r="G54" s="1"/>
      <c r="H54" s="1"/>
      <c r="I54" s="55">
        <f>SUM(F54:H54)</f>
        <v>0</v>
      </c>
      <c r="J54" s="1"/>
      <c r="K54" s="1"/>
      <c r="L54" s="1"/>
      <c r="M54" s="55">
        <f>SUM(J54:L54)</f>
        <v>0</v>
      </c>
      <c r="N54" s="1"/>
      <c r="O54" s="1"/>
      <c r="P54" s="1"/>
      <c r="Q54" s="55">
        <f>SUM(N54:P54)</f>
        <v>0</v>
      </c>
      <c r="R54" s="55">
        <f>+E54+I54+M54+Q54</f>
        <v>0</v>
      </c>
    </row>
    <row r="55" spans="1:18" ht="15.75" customHeight="1" x14ac:dyDescent="0.3">
      <c r="A55" s="18" t="s">
        <v>600</v>
      </c>
      <c r="B55" s="56"/>
      <c r="C55" s="56"/>
      <c r="D55" s="56"/>
      <c r="E55" s="55" t="s">
        <v>7</v>
      </c>
      <c r="F55" s="56"/>
      <c r="G55" s="56"/>
      <c r="H55" s="56"/>
      <c r="I55" s="55" t="s">
        <v>7</v>
      </c>
      <c r="J55" s="56"/>
      <c r="K55" s="56"/>
      <c r="L55" s="56"/>
      <c r="M55" s="55" t="s">
        <v>7</v>
      </c>
      <c r="N55" s="56"/>
      <c r="O55" s="56"/>
      <c r="P55" s="56"/>
      <c r="Q55" s="55" t="s">
        <v>7</v>
      </c>
      <c r="R55" s="55" t="s">
        <v>7</v>
      </c>
    </row>
    <row r="56" spans="1:18" ht="15.75" customHeight="1" thickBot="1" x14ac:dyDescent="0.35">
      <c r="A56" s="18" t="s">
        <v>70</v>
      </c>
      <c r="B56" s="56"/>
      <c r="C56" s="56"/>
      <c r="D56" s="56"/>
      <c r="E56" s="55" t="s">
        <v>7</v>
      </c>
      <c r="F56" s="56"/>
      <c r="G56" s="56"/>
      <c r="H56" s="56"/>
      <c r="I56" s="55" t="s">
        <v>7</v>
      </c>
      <c r="J56" s="56"/>
      <c r="K56" s="56"/>
      <c r="L56" s="56"/>
      <c r="M56" s="55" t="s">
        <v>7</v>
      </c>
      <c r="N56" s="56"/>
      <c r="O56" s="56"/>
      <c r="P56" s="56"/>
      <c r="Q56" s="55" t="s">
        <v>7</v>
      </c>
      <c r="R56" s="55" t="s">
        <v>7</v>
      </c>
    </row>
    <row r="57" spans="1:18" ht="16.5" customHeight="1" thickBot="1" x14ac:dyDescent="0.35">
      <c r="A57" s="57" t="s">
        <v>71</v>
      </c>
      <c r="B57" s="58">
        <f>SUM(B55:B56)</f>
        <v>0</v>
      </c>
      <c r="C57" s="58">
        <f>SUM(C55:C56)</f>
        <v>0</v>
      </c>
      <c r="D57" s="58">
        <f>SUM(D55:D56)</f>
        <v>0</v>
      </c>
      <c r="E57" s="60">
        <f>SUM(B57:D57)</f>
        <v>0</v>
      </c>
      <c r="F57" s="58">
        <f>SUM(F55:F56)</f>
        <v>0</v>
      </c>
      <c r="G57" s="58">
        <f>SUM(G55:G56)</f>
        <v>0</v>
      </c>
      <c r="H57" s="58">
        <f>SUM(H55:H56)</f>
        <v>0</v>
      </c>
      <c r="I57" s="60">
        <f>SUM(F57:H57)</f>
        <v>0</v>
      </c>
      <c r="J57" s="58">
        <f>SUM(J55:J56)</f>
        <v>0</v>
      </c>
      <c r="K57" s="58">
        <f>SUM(K55:K56)</f>
        <v>0</v>
      </c>
      <c r="L57" s="58">
        <f>SUM(L55:L56)</f>
        <v>0</v>
      </c>
      <c r="M57" s="60">
        <f>SUM(J57:L57)</f>
        <v>0</v>
      </c>
      <c r="N57" s="58">
        <f>SUM(N55:N56)</f>
        <v>0</v>
      </c>
      <c r="O57" s="58">
        <f>SUM(O55:O56)</f>
        <v>0</v>
      </c>
      <c r="P57" s="58">
        <f>SUM(P55:P56)</f>
        <v>0</v>
      </c>
      <c r="Q57" s="60">
        <f>SUM(N57:P57)</f>
        <v>0</v>
      </c>
      <c r="R57" s="59">
        <f>+E57+I57+M57+Q57</f>
        <v>0</v>
      </c>
    </row>
    <row r="58" spans="1:18" ht="16.5" customHeight="1" thickBot="1" x14ac:dyDescent="0.35">
      <c r="A58" s="57" t="s">
        <v>72</v>
      </c>
      <c r="B58" s="58">
        <f>SUM(B51:B56)</f>
        <v>0</v>
      </c>
      <c r="C58" s="58">
        <f>SUM(C51:C56)</f>
        <v>0</v>
      </c>
      <c r="D58" s="58">
        <f>SUM(D51:D56)</f>
        <v>0</v>
      </c>
      <c r="E58" s="60">
        <f>SUM(B58:D58)</f>
        <v>0</v>
      </c>
      <c r="F58" s="58">
        <f>SUM(F51:F56)</f>
        <v>0</v>
      </c>
      <c r="G58" s="58">
        <f>SUM(G51:G56)</f>
        <v>0</v>
      </c>
      <c r="H58" s="58">
        <f>SUM(H51:H56)</f>
        <v>0</v>
      </c>
      <c r="I58" s="60">
        <f>SUM(F58:H58)</f>
        <v>0</v>
      </c>
      <c r="J58" s="58">
        <f>SUM(J51:J56)</f>
        <v>0</v>
      </c>
      <c r="K58" s="58">
        <f>SUM(K51:K56)</f>
        <v>0</v>
      </c>
      <c r="L58" s="58">
        <f>SUM(L51:L56)</f>
        <v>0</v>
      </c>
      <c r="M58" s="60">
        <f>SUM(J58:L58)</f>
        <v>0</v>
      </c>
      <c r="N58" s="58">
        <f>SUM(N51:N56)</f>
        <v>0</v>
      </c>
      <c r="O58" s="58">
        <f>SUM(O51:O56)</f>
        <v>0</v>
      </c>
      <c r="P58" s="58">
        <f>SUM(P51:P56)</f>
        <v>0</v>
      </c>
      <c r="Q58" s="60">
        <f>SUM(N58:P58)</f>
        <v>0</v>
      </c>
      <c r="R58" s="59">
        <f>+E58+I58+M58+Q58</f>
        <v>0</v>
      </c>
    </row>
    <row r="59" spans="1:18" ht="16.5" customHeight="1" thickBot="1" x14ac:dyDescent="0.35">
      <c r="A59" s="57" t="s">
        <v>73</v>
      </c>
      <c r="B59" s="58">
        <f>+B41+B46+B50+B58</f>
        <v>0</v>
      </c>
      <c r="C59" s="58">
        <f>+C41+C46+C50+C58</f>
        <v>0</v>
      </c>
      <c r="D59" s="58">
        <f>+D41+D46+D50+D58</f>
        <v>0</v>
      </c>
      <c r="E59" s="59">
        <f>SUM(B59:D59)</f>
        <v>0</v>
      </c>
      <c r="F59" s="58">
        <f>+F41+F46+F50+F58</f>
        <v>0</v>
      </c>
      <c r="G59" s="58">
        <f>+G41+G46+G50+G58</f>
        <v>0</v>
      </c>
      <c r="H59" s="58">
        <f>+H41+H46+H50+H58</f>
        <v>0</v>
      </c>
      <c r="I59" s="59">
        <f>SUM(F59:H59)</f>
        <v>0</v>
      </c>
      <c r="J59" s="58">
        <f>+J41+J46+J50+J58</f>
        <v>0</v>
      </c>
      <c r="K59" s="58">
        <f>+K41+K46+K50+K58</f>
        <v>0</v>
      </c>
      <c r="L59" s="58">
        <f>+L41+L46+L50+L58</f>
        <v>0</v>
      </c>
      <c r="M59" s="59">
        <f>SUM(J59:L59)</f>
        <v>0</v>
      </c>
      <c r="N59" s="58">
        <f>+N41+N46+N50+N58</f>
        <v>0</v>
      </c>
      <c r="O59" s="58">
        <f>+O41+O46+O50+O58</f>
        <v>0</v>
      </c>
      <c r="P59" s="58">
        <f>+P41+P46+P50+P58</f>
        <v>0</v>
      </c>
      <c r="Q59" s="59">
        <f>SUM(N59:P59)</f>
        <v>0</v>
      </c>
      <c r="R59" s="59">
        <f>+E59+I59+M59+Q59</f>
        <v>0</v>
      </c>
    </row>
    <row r="60" spans="1:18" ht="16.5" customHeight="1" thickBot="1" x14ac:dyDescent="0.35">
      <c r="A60" s="62" t="s">
        <v>40</v>
      </c>
      <c r="B60" s="63">
        <v>96</v>
      </c>
      <c r="C60" s="63">
        <v>145</v>
      </c>
      <c r="D60" s="63">
        <v>261</v>
      </c>
      <c r="E60" s="42">
        <f>SUM(B60:D60)</f>
        <v>502</v>
      </c>
      <c r="F60" s="63">
        <v>350</v>
      </c>
      <c r="G60" s="63">
        <v>402</v>
      </c>
      <c r="H60" s="63">
        <v>396</v>
      </c>
      <c r="I60" s="42">
        <f>SUM(F60:H60)</f>
        <v>1148</v>
      </c>
      <c r="J60" s="63">
        <v>394</v>
      </c>
      <c r="K60" s="63">
        <v>318</v>
      </c>
      <c r="L60" s="63">
        <v>301</v>
      </c>
      <c r="M60" s="42">
        <f>SUM(J60:L60)</f>
        <v>1013</v>
      </c>
      <c r="N60" s="63">
        <v>272</v>
      </c>
      <c r="O60" s="63">
        <v>226</v>
      </c>
      <c r="P60" s="63">
        <v>179</v>
      </c>
      <c r="Q60" s="42">
        <f>SUM(N60:P60)</f>
        <v>677</v>
      </c>
      <c r="R60" s="42">
        <f>+E60+I60+M60+Q60</f>
        <v>3340</v>
      </c>
    </row>
    <row r="61" spans="1:18" ht="16.5" customHeight="1" thickBot="1" x14ac:dyDescent="0.35">
      <c r="A61" s="41"/>
      <c r="B61" s="36"/>
      <c r="C61" s="36"/>
      <c r="D61" s="36"/>
      <c r="E61" s="22"/>
      <c r="F61" s="36"/>
      <c r="G61" s="36"/>
      <c r="H61" s="36"/>
      <c r="I61" s="22"/>
      <c r="J61" s="36"/>
      <c r="K61" s="36"/>
      <c r="L61" s="36"/>
      <c r="M61" s="22"/>
      <c r="N61" s="36"/>
      <c r="O61" s="36"/>
      <c r="P61" s="36"/>
      <c r="Q61" s="22"/>
      <c r="R61" s="41"/>
    </row>
    <row r="62" spans="1:18" ht="15.75" customHeight="1" x14ac:dyDescent="0.3">
      <c r="A62" s="15" t="s">
        <v>41</v>
      </c>
      <c r="B62" s="1">
        <f>+B59+B60</f>
        <v>96</v>
      </c>
      <c r="C62" s="1">
        <f>+C59+C60</f>
        <v>145</v>
      </c>
      <c r="D62" s="1">
        <f>+D59+D60</f>
        <v>261</v>
      </c>
      <c r="E62" s="40">
        <f>SUM(B62:D62)</f>
        <v>502</v>
      </c>
      <c r="F62" s="1">
        <f>+F59+F60</f>
        <v>350</v>
      </c>
      <c r="G62" s="1">
        <f>+G59+G60</f>
        <v>402</v>
      </c>
      <c r="H62" s="1">
        <f>+H59+H60</f>
        <v>396</v>
      </c>
      <c r="I62" s="40">
        <f>SUM(F62:H62)</f>
        <v>1148</v>
      </c>
      <c r="J62" s="1">
        <f>+J59+J60</f>
        <v>394</v>
      </c>
      <c r="K62" s="1">
        <f>+K59+K60</f>
        <v>318</v>
      </c>
      <c r="L62" s="1">
        <f>+L59+L60</f>
        <v>301</v>
      </c>
      <c r="M62" s="40">
        <f>SUM(J62:L62)</f>
        <v>1013</v>
      </c>
      <c r="N62" s="1">
        <f>+N59+N60</f>
        <v>272</v>
      </c>
      <c r="O62" s="1">
        <f>+O59+O60</f>
        <v>226</v>
      </c>
      <c r="P62" s="1">
        <f>+P59+P60</f>
        <v>179</v>
      </c>
      <c r="Q62" s="44">
        <f>SUM(N62:P62)</f>
        <v>677</v>
      </c>
      <c r="R62" s="16">
        <f>+E62+I62+M62+Q62</f>
        <v>3340</v>
      </c>
    </row>
    <row r="63" spans="1:18" ht="15.75" customHeight="1" x14ac:dyDescent="0.3">
      <c r="A63" s="15" t="s">
        <v>42</v>
      </c>
      <c r="B63" s="1">
        <f>(B62/B10)/1.983</f>
        <v>1.5616612171197111</v>
      </c>
      <c r="C63" s="1">
        <f>(C62/C10)/1.983</f>
        <v>2.5214321734745333</v>
      </c>
      <c r="D63" s="1">
        <f>(D62/D10)/1.983</f>
        <v>4.2457664340442145</v>
      </c>
      <c r="E63" s="16"/>
      <c r="F63" s="1">
        <f>(F62/F10)/1.983</f>
        <v>5.8833417381072444</v>
      </c>
      <c r="G63" s="1">
        <f>(G62/G10)/1.983</f>
        <v>6.5394563466887892</v>
      </c>
      <c r="H63" s="1">
        <f>(H62/H10)/1.983</f>
        <v>6.6565809379727678</v>
      </c>
      <c r="I63" s="16"/>
      <c r="J63" s="1">
        <f>(J62/J10)/1.983</f>
        <v>6.4093179119288139</v>
      </c>
      <c r="K63" s="1">
        <f>(K62/K10)/1.983</f>
        <v>5.1730027817090427</v>
      </c>
      <c r="L63" s="1">
        <f>(L62/L10)/1.983</f>
        <v>5.0596738947722306</v>
      </c>
      <c r="M63" s="16"/>
      <c r="N63" s="1">
        <f>(N62/N10)/1.983</f>
        <v>4.4247067818391805</v>
      </c>
      <c r="O63" s="1">
        <f>(O62/O10)/1.983</f>
        <v>3.7989578080349635</v>
      </c>
      <c r="P63" s="1">
        <f>(P62/P10)/1.983</f>
        <v>2.9118474777544612</v>
      </c>
      <c r="Q63" s="17"/>
      <c r="R63" s="64"/>
    </row>
    <row r="64" spans="1:18" ht="15.75" customHeight="1" x14ac:dyDescent="0.3">
      <c r="A64" s="15" t="s">
        <v>74</v>
      </c>
      <c r="B64" s="1">
        <f>B62+B130</f>
        <v>152242</v>
      </c>
      <c r="C64" s="1">
        <f>C62+C130</f>
        <v>113803</v>
      </c>
      <c r="D64" s="1">
        <f>D62+D130</f>
        <v>122184</v>
      </c>
      <c r="E64" s="16">
        <f>SUM(B64:D64)</f>
        <v>388229</v>
      </c>
      <c r="F64" s="1">
        <f>F62+F130</f>
        <v>166687</v>
      </c>
      <c r="G64" s="1">
        <f>G62+G130</f>
        <v>177697</v>
      </c>
      <c r="H64" s="1">
        <f>H62+H130</f>
        <v>91219</v>
      </c>
      <c r="I64" s="16">
        <f>SUM(F64:H64)</f>
        <v>435603</v>
      </c>
      <c r="J64" s="1">
        <f>J62+J130</f>
        <v>77007</v>
      </c>
      <c r="K64" s="1">
        <f>K62+K130</f>
        <v>67357</v>
      </c>
      <c r="L64" s="1">
        <f>L62+L130</f>
        <v>130931</v>
      </c>
      <c r="M64" s="16">
        <f>SUM(J64:L64)</f>
        <v>275295</v>
      </c>
      <c r="N64" s="1">
        <f>N62+N130</f>
        <v>133152</v>
      </c>
      <c r="O64" s="1">
        <f>O62+O130</f>
        <v>138179</v>
      </c>
      <c r="P64" s="1">
        <f>P62+P130</f>
        <v>117007</v>
      </c>
      <c r="Q64" s="17">
        <f>SUM(N64:P64)</f>
        <v>388338</v>
      </c>
      <c r="R64" s="16">
        <f>+E64+I64+M64+Q64</f>
        <v>1487465</v>
      </c>
    </row>
    <row r="65" spans="1:20" ht="16.5" customHeight="1" thickBot="1" x14ac:dyDescent="0.35">
      <c r="A65" s="20" t="s">
        <v>75</v>
      </c>
      <c r="B65" s="21">
        <f>(B64/B10)/1.983</f>
        <v>2476.5669480910319</v>
      </c>
      <c r="C65" s="21">
        <f>(C64/C10)/1.983</f>
        <v>1978.9416940546366</v>
      </c>
      <c r="D65" s="21">
        <f>(D64/D10)/1.983</f>
        <v>1987.6043140891122</v>
      </c>
      <c r="E65" s="22"/>
      <c r="F65" s="21">
        <f>(F64/F10)/1.983</f>
        <v>2801.9330979996639</v>
      </c>
      <c r="G65" s="21">
        <f>(G64/G10)/1.983</f>
        <v>2890.65118019293</v>
      </c>
      <c r="H65" s="21">
        <f>(H64/H10)/1.983</f>
        <v>1533.3501428811564</v>
      </c>
      <c r="I65" s="22"/>
      <c r="J65" s="21">
        <f>(J64/J10)/1.983</f>
        <v>1252.6963056951831</v>
      </c>
      <c r="K65" s="21">
        <f>(K64/K10)/1.983</f>
        <v>1095.7168187659622</v>
      </c>
      <c r="L65" s="21">
        <f>(L64/L10)/1.983</f>
        <v>2200.8909060346277</v>
      </c>
      <c r="M65" s="22"/>
      <c r="N65" s="21">
        <f>(N64/N10)/1.983</f>
        <v>2166.024108145039</v>
      </c>
      <c r="O65" s="21">
        <f>(O64/O10)/1.983</f>
        <v>2322.7265086569168</v>
      </c>
      <c r="P65" s="21">
        <f>(P64/P10)/1.983</f>
        <v>1903.3884794950627</v>
      </c>
      <c r="Q65" s="23"/>
      <c r="R65" s="65" t="s">
        <v>7</v>
      </c>
    </row>
    <row r="66" spans="1:20" ht="15.75" customHeight="1" x14ac:dyDescent="0.3">
      <c r="A66" s="2"/>
      <c r="B66" s="1"/>
      <c r="C66" s="1"/>
      <c r="D66" s="1"/>
      <c r="E66" s="1"/>
      <c r="F66" s="1"/>
      <c r="G66" s="1"/>
      <c r="H66" s="1"/>
      <c r="I66" s="1"/>
      <c r="J66" s="1"/>
      <c r="K66" s="1"/>
      <c r="L66" s="1"/>
      <c r="M66" s="1"/>
      <c r="N66" s="1"/>
      <c r="O66" s="1"/>
      <c r="P66" s="1"/>
      <c r="Q66" s="1"/>
      <c r="R66" s="2"/>
    </row>
    <row r="67" spans="1:20" ht="15.75" customHeight="1" thickBot="1" x14ac:dyDescent="0.35">
      <c r="A67" s="2"/>
      <c r="B67" s="1"/>
      <c r="C67" s="1"/>
      <c r="D67" s="1"/>
      <c r="E67" s="1"/>
      <c r="F67" s="1"/>
      <c r="G67" s="1"/>
      <c r="H67" s="1"/>
      <c r="I67" s="1"/>
      <c r="J67" s="1"/>
      <c r="K67" s="1"/>
      <c r="L67" s="1"/>
      <c r="M67" s="1"/>
      <c r="N67" s="1"/>
      <c r="O67" s="1"/>
      <c r="P67" s="1"/>
      <c r="Q67" s="1"/>
      <c r="R67" s="2"/>
    </row>
    <row r="68" spans="1:20" ht="16.5" customHeight="1" thickBot="1" x14ac:dyDescent="0.35">
      <c r="A68" s="29" t="s">
        <v>76</v>
      </c>
      <c r="B68" s="30" t="s">
        <v>8</v>
      </c>
      <c r="C68" s="31" t="s">
        <v>9</v>
      </c>
      <c r="D68" s="31" t="s">
        <v>10</v>
      </c>
      <c r="E68" s="32" t="s">
        <v>11</v>
      </c>
      <c r="F68" s="31" t="s">
        <v>12</v>
      </c>
      <c r="G68" s="31" t="s">
        <v>13</v>
      </c>
      <c r="H68" s="31" t="s">
        <v>14</v>
      </c>
      <c r="I68" s="33" t="s">
        <v>15</v>
      </c>
      <c r="J68" s="31" t="s">
        <v>16</v>
      </c>
      <c r="K68" s="31" t="s">
        <v>17</v>
      </c>
      <c r="L68" s="31" t="s">
        <v>18</v>
      </c>
      <c r="M68" s="33" t="s">
        <v>19</v>
      </c>
      <c r="N68" s="31" t="s">
        <v>20</v>
      </c>
      <c r="O68" s="31" t="s">
        <v>21</v>
      </c>
      <c r="P68" s="31" t="s">
        <v>22</v>
      </c>
      <c r="Q68" s="33" t="s">
        <v>23</v>
      </c>
      <c r="R68" s="34" t="s">
        <v>24</v>
      </c>
    </row>
    <row r="69" spans="1:20" ht="16.5" customHeight="1" thickBot="1" x14ac:dyDescent="0.35">
      <c r="A69" s="66"/>
      <c r="B69" s="67"/>
      <c r="C69" s="68"/>
      <c r="D69" s="68"/>
      <c r="E69" s="69"/>
      <c r="F69" s="68"/>
      <c r="G69" s="68"/>
      <c r="H69" s="68"/>
      <c r="I69" s="69"/>
      <c r="J69" s="68"/>
      <c r="K69" s="68"/>
      <c r="L69" s="68"/>
      <c r="M69" s="69"/>
      <c r="N69" s="68"/>
      <c r="O69" s="68"/>
      <c r="P69" s="70"/>
      <c r="Q69" s="69"/>
      <c r="R69" s="59"/>
    </row>
    <row r="70" spans="1:20" ht="15.75" customHeight="1" x14ac:dyDescent="0.3">
      <c r="A70" s="54" t="s">
        <v>48</v>
      </c>
      <c r="B70" s="28"/>
      <c r="C70" s="28"/>
      <c r="D70" s="28"/>
      <c r="E70" s="55" t="s">
        <v>7</v>
      </c>
      <c r="F70" s="28"/>
      <c r="G70" s="28"/>
      <c r="H70" s="28"/>
      <c r="I70" s="55" t="s">
        <v>7</v>
      </c>
      <c r="J70" s="28"/>
      <c r="K70" s="28"/>
      <c r="L70" s="28"/>
      <c r="M70" s="55" t="s">
        <v>7</v>
      </c>
      <c r="N70" s="28"/>
      <c r="O70" s="28"/>
      <c r="P70" s="28"/>
      <c r="Q70" s="55" t="s">
        <v>7</v>
      </c>
      <c r="R70" s="55" t="s">
        <v>7</v>
      </c>
    </row>
    <row r="71" spans="1:20" ht="15.75" customHeight="1" x14ac:dyDescent="0.3">
      <c r="A71" s="18" t="s">
        <v>49</v>
      </c>
      <c r="B71" s="28"/>
      <c r="C71" s="56"/>
      <c r="D71" s="56"/>
      <c r="E71" s="55" t="s">
        <v>7</v>
      </c>
      <c r="F71" s="56"/>
      <c r="G71" s="56"/>
      <c r="H71" s="56"/>
      <c r="I71" s="55" t="s">
        <v>7</v>
      </c>
      <c r="J71" s="56"/>
      <c r="K71" s="56"/>
      <c r="L71" s="56"/>
      <c r="M71" s="55" t="s">
        <v>7</v>
      </c>
      <c r="N71" s="56"/>
      <c r="O71" s="56"/>
      <c r="P71" s="56"/>
      <c r="Q71" s="55" t="s">
        <v>7</v>
      </c>
      <c r="R71" s="55" t="s">
        <v>7</v>
      </c>
    </row>
    <row r="72" spans="1:20" ht="15.75" customHeight="1" x14ac:dyDescent="0.3">
      <c r="A72" s="71" t="s">
        <v>798</v>
      </c>
      <c r="B72" s="1"/>
      <c r="C72" s="1"/>
      <c r="D72" s="1"/>
      <c r="E72" s="55">
        <f t="shared" ref="E72:E81" si="5">SUM(B72:D72)</f>
        <v>0</v>
      </c>
      <c r="F72" s="1"/>
      <c r="G72" s="1"/>
      <c r="H72" s="1"/>
      <c r="I72" s="55">
        <f t="shared" ref="I72:I81" si="6">SUM(F72:H72)</f>
        <v>0</v>
      </c>
      <c r="J72" s="1"/>
      <c r="K72" s="1"/>
      <c r="L72" s="1"/>
      <c r="M72" s="55">
        <f t="shared" ref="M72:M81" si="7">SUM(J72:L72)</f>
        <v>0</v>
      </c>
      <c r="N72" s="1"/>
      <c r="O72" s="1"/>
      <c r="P72" s="1"/>
      <c r="Q72" s="55">
        <f t="shared" ref="Q72:Q81" si="8">SUM(N72:P72)</f>
        <v>0</v>
      </c>
      <c r="R72" s="55">
        <f t="shared" ref="R72:R81" si="9">+E72+I72+M72+Q72</f>
        <v>0</v>
      </c>
    </row>
    <row r="73" spans="1:20" ht="15.75" customHeight="1" x14ac:dyDescent="0.3">
      <c r="A73" s="71" t="s">
        <v>799</v>
      </c>
      <c r="B73" s="1"/>
      <c r="C73" s="1"/>
      <c r="D73" s="1"/>
      <c r="E73" s="55">
        <f>SUM(B73:D73)</f>
        <v>0</v>
      </c>
      <c r="F73" s="1"/>
      <c r="G73" s="1"/>
      <c r="H73" s="1"/>
      <c r="I73" s="55">
        <f>SUM(F73:H73)</f>
        <v>0</v>
      </c>
      <c r="J73" s="1"/>
      <c r="K73" s="1"/>
      <c r="L73" s="1"/>
      <c r="M73" s="55">
        <f>SUM(J73:L73)</f>
        <v>0</v>
      </c>
      <c r="N73" s="1"/>
      <c r="O73" s="1"/>
      <c r="P73" s="1"/>
      <c r="Q73" s="55">
        <f>SUM(N73:P73)</f>
        <v>0</v>
      </c>
      <c r="R73" s="55">
        <f>+E73+I73+M73+Q73</f>
        <v>0</v>
      </c>
    </row>
    <row r="74" spans="1:20" ht="15.75" customHeight="1" x14ac:dyDescent="0.3">
      <c r="A74" s="71" t="s">
        <v>524</v>
      </c>
      <c r="B74" s="1"/>
      <c r="C74" s="1"/>
      <c r="D74" s="1"/>
      <c r="E74" s="55">
        <f t="shared" si="5"/>
        <v>0</v>
      </c>
      <c r="F74" s="1"/>
      <c r="G74" s="1"/>
      <c r="H74" s="1"/>
      <c r="I74" s="55">
        <f t="shared" si="6"/>
        <v>0</v>
      </c>
      <c r="J74" s="1"/>
      <c r="K74" s="1"/>
      <c r="L74" s="1"/>
      <c r="M74" s="55">
        <f t="shared" si="7"/>
        <v>0</v>
      </c>
      <c r="N74" s="1"/>
      <c r="O74" s="1"/>
      <c r="P74" s="1"/>
      <c r="Q74" s="55">
        <f t="shared" si="8"/>
        <v>0</v>
      </c>
      <c r="R74" s="55">
        <f t="shared" si="9"/>
        <v>0</v>
      </c>
    </row>
    <row r="75" spans="1:20" ht="15.75" customHeight="1" x14ac:dyDescent="0.3">
      <c r="A75" s="71" t="s">
        <v>800</v>
      </c>
      <c r="B75" s="1"/>
      <c r="C75" s="1"/>
      <c r="D75" s="1"/>
      <c r="E75" s="55">
        <f t="shared" si="5"/>
        <v>0</v>
      </c>
      <c r="F75" s="1"/>
      <c r="G75" s="1"/>
      <c r="H75" s="1"/>
      <c r="I75" s="55">
        <f t="shared" si="6"/>
        <v>0</v>
      </c>
      <c r="J75" s="1"/>
      <c r="K75" s="1"/>
      <c r="L75" s="1"/>
      <c r="M75" s="55">
        <f t="shared" si="7"/>
        <v>0</v>
      </c>
      <c r="N75" s="1"/>
      <c r="O75" s="1"/>
      <c r="P75" s="1"/>
      <c r="Q75" s="55">
        <f t="shared" si="8"/>
        <v>0</v>
      </c>
      <c r="R75" s="55">
        <f t="shared" si="9"/>
        <v>0</v>
      </c>
      <c r="T75" s="4" t="s">
        <v>801</v>
      </c>
    </row>
    <row r="76" spans="1:20" ht="15.75" customHeight="1" x14ac:dyDescent="0.3">
      <c r="A76" s="71" t="s">
        <v>802</v>
      </c>
      <c r="B76" s="1"/>
      <c r="C76" s="1"/>
      <c r="D76" s="1"/>
      <c r="E76" s="55">
        <f t="shared" si="5"/>
        <v>0</v>
      </c>
      <c r="F76" s="1"/>
      <c r="G76" s="1"/>
      <c r="H76" s="1"/>
      <c r="I76" s="55">
        <f t="shared" si="6"/>
        <v>0</v>
      </c>
      <c r="J76" s="1"/>
      <c r="K76" s="1"/>
      <c r="L76" s="1"/>
      <c r="M76" s="55">
        <f t="shared" si="7"/>
        <v>0</v>
      </c>
      <c r="N76" s="1"/>
      <c r="O76" s="1"/>
      <c r="P76" s="1"/>
      <c r="Q76" s="55">
        <f t="shared" si="8"/>
        <v>0</v>
      </c>
      <c r="R76" s="55">
        <f t="shared" si="9"/>
        <v>0</v>
      </c>
      <c r="T76" s="4" t="s">
        <v>801</v>
      </c>
    </row>
    <row r="77" spans="1:20" ht="15.75" customHeight="1" x14ac:dyDescent="0.3">
      <c r="A77" s="71" t="s">
        <v>78</v>
      </c>
      <c r="B77" s="1"/>
      <c r="C77" s="1"/>
      <c r="D77" s="1"/>
      <c r="E77" s="55">
        <f t="shared" si="5"/>
        <v>0</v>
      </c>
      <c r="F77" s="1"/>
      <c r="G77" s="1"/>
      <c r="H77" s="1"/>
      <c r="I77" s="55">
        <f t="shared" si="6"/>
        <v>0</v>
      </c>
      <c r="J77" s="1"/>
      <c r="K77" s="1"/>
      <c r="L77" s="1"/>
      <c r="M77" s="55">
        <f t="shared" si="7"/>
        <v>0</v>
      </c>
      <c r="N77" s="1"/>
      <c r="O77" s="1"/>
      <c r="P77" s="1"/>
      <c r="Q77" s="55">
        <f t="shared" si="8"/>
        <v>0</v>
      </c>
      <c r="R77" s="55">
        <f t="shared" si="9"/>
        <v>0</v>
      </c>
    </row>
    <row r="78" spans="1:20" ht="15.75" customHeight="1" x14ac:dyDescent="0.3">
      <c r="A78" s="71" t="s">
        <v>525</v>
      </c>
      <c r="B78" s="1"/>
      <c r="C78" s="1"/>
      <c r="D78" s="1"/>
      <c r="E78" s="55">
        <f t="shared" si="5"/>
        <v>0</v>
      </c>
      <c r="F78" s="1"/>
      <c r="G78" s="1"/>
      <c r="H78" s="1"/>
      <c r="I78" s="55">
        <f t="shared" si="6"/>
        <v>0</v>
      </c>
      <c r="J78" s="1"/>
      <c r="K78" s="1"/>
      <c r="L78" s="1"/>
      <c r="M78" s="55">
        <f t="shared" si="7"/>
        <v>0</v>
      </c>
      <c r="N78" s="1"/>
      <c r="O78" s="1"/>
      <c r="P78" s="1"/>
      <c r="Q78" s="55">
        <f t="shared" si="8"/>
        <v>0</v>
      </c>
      <c r="R78" s="55">
        <f t="shared" si="9"/>
        <v>0</v>
      </c>
      <c r="T78" s="4" t="s">
        <v>803</v>
      </c>
    </row>
    <row r="79" spans="1:20" ht="15.75" customHeight="1" x14ac:dyDescent="0.3">
      <c r="A79" s="72" t="s">
        <v>79</v>
      </c>
      <c r="B79" s="1"/>
      <c r="C79" s="1"/>
      <c r="D79" s="1"/>
      <c r="E79" s="55">
        <f t="shared" si="5"/>
        <v>0</v>
      </c>
      <c r="F79" s="1"/>
      <c r="G79" s="1"/>
      <c r="H79" s="1"/>
      <c r="I79" s="55">
        <f t="shared" si="6"/>
        <v>0</v>
      </c>
      <c r="J79" s="1"/>
      <c r="K79" s="1"/>
      <c r="L79" s="1"/>
      <c r="M79" s="55">
        <f t="shared" si="7"/>
        <v>0</v>
      </c>
      <c r="N79" s="1"/>
      <c r="O79" s="1"/>
      <c r="P79" s="1"/>
      <c r="Q79" s="55">
        <f t="shared" si="8"/>
        <v>0</v>
      </c>
      <c r="R79" s="55">
        <f t="shared" si="9"/>
        <v>0</v>
      </c>
    </row>
    <row r="80" spans="1:20" ht="15.75" customHeight="1" x14ac:dyDescent="0.3">
      <c r="A80" s="72" t="s">
        <v>804</v>
      </c>
      <c r="B80" s="1"/>
      <c r="C80" s="1"/>
      <c r="D80" s="1"/>
      <c r="E80" s="55">
        <f>SUM(B80:D80)</f>
        <v>0</v>
      </c>
      <c r="F80" s="1"/>
      <c r="G80" s="1"/>
      <c r="H80" s="1"/>
      <c r="I80" s="55">
        <f>SUM(F80:H80)</f>
        <v>0</v>
      </c>
      <c r="J80" s="1"/>
      <c r="K80" s="1"/>
      <c r="L80" s="1"/>
      <c r="M80" s="55">
        <f>SUM(J80:L80)</f>
        <v>0</v>
      </c>
      <c r="N80" s="1"/>
      <c r="O80" s="1"/>
      <c r="P80" s="1"/>
      <c r="Q80" s="55">
        <f>SUM(N80:P80)</f>
        <v>0</v>
      </c>
      <c r="R80" s="55">
        <f t="shared" si="9"/>
        <v>0</v>
      </c>
    </row>
    <row r="81" spans="1:20" ht="15.75" customHeight="1" x14ac:dyDescent="0.3">
      <c r="A81" s="72" t="s">
        <v>80</v>
      </c>
      <c r="B81" s="1"/>
      <c r="C81" s="1"/>
      <c r="D81" s="1"/>
      <c r="E81" s="55">
        <f t="shared" si="5"/>
        <v>0</v>
      </c>
      <c r="F81" s="1"/>
      <c r="G81" s="1"/>
      <c r="H81" s="1"/>
      <c r="I81" s="55">
        <f t="shared" si="6"/>
        <v>0</v>
      </c>
      <c r="J81" s="1"/>
      <c r="K81" s="1"/>
      <c r="L81" s="1"/>
      <c r="M81" s="55">
        <f t="shared" si="7"/>
        <v>0</v>
      </c>
      <c r="N81" s="1"/>
      <c r="O81" s="1"/>
      <c r="P81" s="1"/>
      <c r="Q81" s="55">
        <f t="shared" si="8"/>
        <v>0</v>
      </c>
      <c r="R81" s="55">
        <f t="shared" si="9"/>
        <v>0</v>
      </c>
      <c r="S81" s="4">
        <f>SUM(R72:R81)</f>
        <v>0</v>
      </c>
    </row>
    <row r="82" spans="1:20" ht="15.75" customHeight="1" x14ac:dyDescent="0.3">
      <c r="A82" s="18" t="s">
        <v>50</v>
      </c>
      <c r="B82" s="28"/>
      <c r="C82" s="28"/>
      <c r="D82" s="28"/>
      <c r="E82" s="55" t="s">
        <v>7</v>
      </c>
      <c r="F82" s="28"/>
      <c r="G82" s="28"/>
      <c r="H82" s="28"/>
      <c r="I82" s="55" t="s">
        <v>7</v>
      </c>
      <c r="J82" s="28"/>
      <c r="K82" s="28"/>
      <c r="L82" s="28"/>
      <c r="M82" s="55" t="s">
        <v>7</v>
      </c>
      <c r="N82" s="28"/>
      <c r="O82" s="28"/>
      <c r="P82" s="28"/>
      <c r="Q82" s="55" t="s">
        <v>7</v>
      </c>
      <c r="R82" s="55" t="s">
        <v>7</v>
      </c>
    </row>
    <row r="83" spans="1:20" ht="15.75" customHeight="1" x14ac:dyDescent="0.3">
      <c r="A83" s="72" t="s">
        <v>83</v>
      </c>
      <c r="B83" s="1"/>
      <c r="C83" s="1"/>
      <c r="D83" s="1"/>
      <c r="E83" s="55">
        <f>SUM(B83:D83)</f>
        <v>0</v>
      </c>
      <c r="F83" s="1"/>
      <c r="G83" s="1"/>
      <c r="H83" s="1"/>
      <c r="I83" s="55">
        <f>SUM(F83:H83)</f>
        <v>0</v>
      </c>
      <c r="J83" s="1"/>
      <c r="K83" s="1"/>
      <c r="L83" s="1"/>
      <c r="M83" s="55">
        <f>SUM(J83:L83)</f>
        <v>0</v>
      </c>
      <c r="N83" s="1"/>
      <c r="O83" s="1"/>
      <c r="P83" s="1"/>
      <c r="Q83" s="55">
        <f>SUM(N83:P83)</f>
        <v>0</v>
      </c>
      <c r="R83" s="55">
        <f>+E83+I83+M83+Q83</f>
        <v>0</v>
      </c>
    </row>
    <row r="84" spans="1:20" ht="15.75" customHeight="1" x14ac:dyDescent="0.3">
      <c r="A84" s="18" t="s">
        <v>51</v>
      </c>
      <c r="B84" s="28"/>
      <c r="C84" s="28"/>
      <c r="D84" s="28"/>
      <c r="E84" s="55" t="s">
        <v>52</v>
      </c>
      <c r="F84" s="28"/>
      <c r="G84" s="28"/>
      <c r="H84" s="28"/>
      <c r="I84" s="55" t="s">
        <v>52</v>
      </c>
      <c r="J84" s="28"/>
      <c r="K84" s="28"/>
      <c r="L84" s="28"/>
      <c r="M84" s="55" t="s">
        <v>52</v>
      </c>
      <c r="N84" s="28"/>
      <c r="O84" s="28"/>
      <c r="P84" s="28"/>
      <c r="Q84" s="55" t="s">
        <v>52</v>
      </c>
      <c r="R84" s="55" t="s">
        <v>52</v>
      </c>
    </row>
    <row r="85" spans="1:20" ht="15.75" customHeight="1" x14ac:dyDescent="0.3">
      <c r="A85" s="61" t="s">
        <v>689</v>
      </c>
      <c r="B85" s="1"/>
      <c r="C85" s="1"/>
      <c r="D85" s="1"/>
      <c r="E85" s="55">
        <f>SUM(B85:D85)</f>
        <v>0</v>
      </c>
      <c r="F85" s="1"/>
      <c r="G85" s="1"/>
      <c r="H85" s="1"/>
      <c r="I85" s="55">
        <f>SUM(F85:H85)</f>
        <v>0</v>
      </c>
      <c r="J85" s="1"/>
      <c r="K85" s="1"/>
      <c r="L85" s="1"/>
      <c r="M85" s="55">
        <f>SUM(J85:L85)</f>
        <v>0</v>
      </c>
      <c r="N85" s="1"/>
      <c r="O85" s="1"/>
      <c r="P85" s="1"/>
      <c r="Q85" s="55">
        <f>SUM(N85:P85)</f>
        <v>0</v>
      </c>
      <c r="R85" s="55">
        <f>+E85+I85+M85+Q85</f>
        <v>0</v>
      </c>
    </row>
    <row r="86" spans="1:20" ht="15.75" customHeight="1" x14ac:dyDescent="0.3">
      <c r="A86" s="61" t="s">
        <v>688</v>
      </c>
      <c r="B86" s="1">
        <v>188</v>
      </c>
      <c r="C86" s="1">
        <v>931</v>
      </c>
      <c r="D86" s="1">
        <v>1504</v>
      </c>
      <c r="E86" s="55">
        <f>SUM(B86:D86)</f>
        <v>2623</v>
      </c>
      <c r="F86" s="1">
        <v>1810</v>
      </c>
      <c r="G86" s="1">
        <v>1984</v>
      </c>
      <c r="H86" s="1">
        <v>2025</v>
      </c>
      <c r="I86" s="55">
        <f>SUM(F86:H86)</f>
        <v>5819</v>
      </c>
      <c r="J86" s="1">
        <v>2034</v>
      </c>
      <c r="K86" s="1">
        <v>2073</v>
      </c>
      <c r="L86" s="1">
        <v>91</v>
      </c>
      <c r="M86" s="55">
        <f>SUM(J86:L86)</f>
        <v>4198</v>
      </c>
      <c r="N86" s="1"/>
      <c r="O86" s="1"/>
      <c r="P86" s="1"/>
      <c r="Q86" s="55">
        <f>SUM(N86:P86)</f>
        <v>0</v>
      </c>
      <c r="R86" s="55">
        <f>+E86+I86+M86+Q86</f>
        <v>12640</v>
      </c>
      <c r="T86" s="4" t="s">
        <v>801</v>
      </c>
    </row>
    <row r="87" spans="1:20" ht="15.75" customHeight="1" thickBot="1" x14ac:dyDescent="0.35">
      <c r="A87" s="18" t="s">
        <v>53</v>
      </c>
      <c r="B87" s="56"/>
      <c r="C87" s="56"/>
      <c r="D87" s="56"/>
      <c r="E87" s="55" t="s">
        <v>7</v>
      </c>
      <c r="F87" s="56"/>
      <c r="G87" s="56"/>
      <c r="H87" s="56"/>
      <c r="I87" s="55" t="s">
        <v>7</v>
      </c>
      <c r="J87" s="56"/>
      <c r="K87" s="56"/>
      <c r="L87" s="56"/>
      <c r="M87" s="55" t="s">
        <v>7</v>
      </c>
      <c r="N87" s="56"/>
      <c r="O87" s="56"/>
      <c r="P87" s="56"/>
      <c r="Q87" s="55" t="s">
        <v>7</v>
      </c>
      <c r="R87" s="55" t="s">
        <v>7</v>
      </c>
    </row>
    <row r="88" spans="1:20" ht="16.5" customHeight="1" thickBot="1" x14ac:dyDescent="0.35">
      <c r="A88" s="57" t="s">
        <v>54</v>
      </c>
      <c r="B88" s="58">
        <f>SUM(B70:B87)</f>
        <v>188</v>
      </c>
      <c r="C88" s="58">
        <f>SUM(C70:C87)</f>
        <v>931</v>
      </c>
      <c r="D88" s="58">
        <f>SUM(D70:D87)</f>
        <v>1504</v>
      </c>
      <c r="E88" s="59">
        <f>SUM(B88:D88)</f>
        <v>2623</v>
      </c>
      <c r="F88" s="58">
        <f>SUM(F70:F87)</f>
        <v>1810</v>
      </c>
      <c r="G88" s="58">
        <f>SUM(G70:G87)</f>
        <v>1984</v>
      </c>
      <c r="H88" s="58">
        <f>SUM(H70:H87)</f>
        <v>2025</v>
      </c>
      <c r="I88" s="59">
        <f>SUM(F88:H88)</f>
        <v>5819</v>
      </c>
      <c r="J88" s="58">
        <f>SUM(J70:J87)</f>
        <v>2034</v>
      </c>
      <c r="K88" s="58">
        <f>SUM(K70:K87)</f>
        <v>2073</v>
      </c>
      <c r="L88" s="58">
        <f>SUM(L70:L87)</f>
        <v>91</v>
      </c>
      <c r="M88" s="59">
        <f>SUM(J88:L88)</f>
        <v>4198</v>
      </c>
      <c r="N88" s="58">
        <f>SUM(N70:N87)</f>
        <v>0</v>
      </c>
      <c r="O88" s="58">
        <f>SUM(O70:O87)</f>
        <v>0</v>
      </c>
      <c r="P88" s="58">
        <f>SUM(P70:P87)</f>
        <v>0</v>
      </c>
      <c r="Q88" s="59">
        <f>SUM(N88:P88)</f>
        <v>0</v>
      </c>
      <c r="R88" s="59">
        <f>+E88+I88+M88+Q88</f>
        <v>12640</v>
      </c>
    </row>
    <row r="89" spans="1:20" ht="15.75" customHeight="1" x14ac:dyDescent="0.3">
      <c r="A89" s="18" t="s">
        <v>55</v>
      </c>
      <c r="B89" s="56"/>
      <c r="C89" s="56"/>
      <c r="D89" s="56"/>
      <c r="E89" s="55" t="s">
        <v>7</v>
      </c>
      <c r="F89" s="56"/>
      <c r="G89" s="56"/>
      <c r="H89" s="56"/>
      <c r="I89" s="55" t="s">
        <v>7</v>
      </c>
      <c r="J89" s="56"/>
      <c r="K89" s="56"/>
      <c r="L89" s="56"/>
      <c r="M89" s="55" t="s">
        <v>7</v>
      </c>
      <c r="N89" s="56"/>
      <c r="O89" s="56"/>
      <c r="P89" s="56"/>
      <c r="Q89" s="55" t="s">
        <v>7</v>
      </c>
      <c r="R89" s="60" t="s">
        <v>7</v>
      </c>
    </row>
    <row r="90" spans="1:20" ht="15.75" customHeight="1" x14ac:dyDescent="0.3">
      <c r="A90" s="18" t="s">
        <v>56</v>
      </c>
      <c r="B90" s="56"/>
      <c r="C90" s="56"/>
      <c r="D90" s="56"/>
      <c r="E90" s="55" t="s">
        <v>7</v>
      </c>
      <c r="F90" s="56"/>
      <c r="G90" s="56"/>
      <c r="H90" s="56"/>
      <c r="I90" s="55" t="s">
        <v>7</v>
      </c>
      <c r="J90" s="56"/>
      <c r="K90" s="56"/>
      <c r="L90" s="56"/>
      <c r="M90" s="55" t="s">
        <v>7</v>
      </c>
      <c r="N90" s="56"/>
      <c r="O90" s="56"/>
      <c r="P90" s="56"/>
      <c r="Q90" s="55" t="s">
        <v>7</v>
      </c>
      <c r="R90" s="55" t="s">
        <v>7</v>
      </c>
    </row>
    <row r="91" spans="1:20" ht="15.75" customHeight="1" x14ac:dyDescent="0.3">
      <c r="A91" s="18" t="s">
        <v>57</v>
      </c>
      <c r="B91" s="56"/>
      <c r="C91" s="56"/>
      <c r="D91" s="56"/>
      <c r="E91" s="55" t="s">
        <v>7</v>
      </c>
      <c r="F91" s="56"/>
      <c r="G91" s="56"/>
      <c r="H91" s="56"/>
      <c r="I91" s="55" t="s">
        <v>7</v>
      </c>
      <c r="J91" s="56"/>
      <c r="K91" s="56"/>
      <c r="L91" s="56"/>
      <c r="M91" s="55" t="s">
        <v>7</v>
      </c>
      <c r="N91" s="56"/>
      <c r="O91" s="56"/>
      <c r="P91" s="56"/>
      <c r="Q91" s="55" t="s">
        <v>7</v>
      </c>
      <c r="R91" s="55" t="s">
        <v>7</v>
      </c>
    </row>
    <row r="92" spans="1:20" ht="15.75" customHeight="1" x14ac:dyDescent="0.3">
      <c r="A92" s="72" t="s">
        <v>81</v>
      </c>
      <c r="B92" s="1">
        <v>874</v>
      </c>
      <c r="C92" s="1">
        <v>1985</v>
      </c>
      <c r="D92" s="1">
        <v>3543</v>
      </c>
      <c r="E92" s="55">
        <f>SUM(B92:D92)</f>
        <v>6402</v>
      </c>
      <c r="F92" s="1">
        <v>4224</v>
      </c>
      <c r="G92" s="1">
        <v>4415</v>
      </c>
      <c r="H92" s="1">
        <v>5133</v>
      </c>
      <c r="I92" s="55">
        <f>SUM(F92:H92)</f>
        <v>13772</v>
      </c>
      <c r="J92" s="1">
        <v>5647</v>
      </c>
      <c r="K92" s="1">
        <v>4691</v>
      </c>
      <c r="L92" s="1">
        <v>1653</v>
      </c>
      <c r="M92" s="55">
        <f>SUM(J92:L92)</f>
        <v>11991</v>
      </c>
      <c r="N92" s="1">
        <v>943</v>
      </c>
      <c r="O92" s="1">
        <v>451</v>
      </c>
      <c r="P92" s="1">
        <v>723</v>
      </c>
      <c r="Q92" s="55">
        <f>SUM(N92:P92)</f>
        <v>2117</v>
      </c>
      <c r="R92" s="55">
        <f>+E92+I92+M92+Q92</f>
        <v>34282</v>
      </c>
      <c r="T92" s="4" t="s">
        <v>805</v>
      </c>
    </row>
    <row r="93" spans="1:20" ht="15.75" customHeight="1" x14ac:dyDescent="0.3">
      <c r="A93" s="72" t="s">
        <v>87</v>
      </c>
      <c r="B93" s="1"/>
      <c r="C93" s="1"/>
      <c r="D93" s="1"/>
      <c r="E93" s="55">
        <f>SUM(B93:D93)</f>
        <v>0</v>
      </c>
      <c r="F93" s="1"/>
      <c r="G93" s="1">
        <v>220</v>
      </c>
      <c r="H93" s="1">
        <v>319</v>
      </c>
      <c r="I93" s="55">
        <f>SUM(F93:H93)</f>
        <v>539</v>
      </c>
      <c r="J93" s="1">
        <v>220</v>
      </c>
      <c r="K93" s="1">
        <v>101</v>
      </c>
      <c r="L93" s="1">
        <v>580</v>
      </c>
      <c r="M93" s="55">
        <f>SUM(J93:L93)</f>
        <v>901</v>
      </c>
      <c r="N93" s="1">
        <v>565</v>
      </c>
      <c r="O93" s="1">
        <v>163</v>
      </c>
      <c r="P93" s="1">
        <v>93</v>
      </c>
      <c r="Q93" s="55">
        <f>SUM(N93:P93)</f>
        <v>821</v>
      </c>
      <c r="R93" s="55">
        <f>+E93+I93+M93+Q93</f>
        <v>2261</v>
      </c>
      <c r="T93" s="4" t="s">
        <v>801</v>
      </c>
    </row>
    <row r="94" spans="1:20" ht="15.75" customHeight="1" thickBot="1" x14ac:dyDescent="0.35">
      <c r="A94" s="18" t="s">
        <v>58</v>
      </c>
      <c r="B94" s="56"/>
      <c r="C94" s="56"/>
      <c r="D94" s="56"/>
      <c r="E94" s="55" t="s">
        <v>7</v>
      </c>
      <c r="F94" s="56"/>
      <c r="G94" s="56"/>
      <c r="H94" s="56"/>
      <c r="I94" s="55" t="s">
        <v>7</v>
      </c>
      <c r="J94" s="56"/>
      <c r="K94" s="56"/>
      <c r="L94" s="56"/>
      <c r="M94" s="55" t="s">
        <v>7</v>
      </c>
      <c r="N94" s="56"/>
      <c r="O94" s="56"/>
      <c r="P94" s="56"/>
      <c r="Q94" s="55" t="s">
        <v>7</v>
      </c>
      <c r="R94" s="55" t="s">
        <v>7</v>
      </c>
    </row>
    <row r="95" spans="1:20" ht="16.5" customHeight="1" thickBot="1" x14ac:dyDescent="0.35">
      <c r="A95" s="57" t="s">
        <v>59</v>
      </c>
      <c r="B95" s="58">
        <f>SUM(B89:B94)</f>
        <v>874</v>
      </c>
      <c r="C95" s="58">
        <f>SUM(C89:C94)</f>
        <v>1985</v>
      </c>
      <c r="D95" s="58">
        <f>SUM(D89:D94)</f>
        <v>3543</v>
      </c>
      <c r="E95" s="59">
        <f>SUM(B95:D95)</f>
        <v>6402</v>
      </c>
      <c r="F95" s="58">
        <f>SUM(F89:F94)</f>
        <v>4224</v>
      </c>
      <c r="G95" s="58">
        <f>SUM(G89:G94)</f>
        <v>4635</v>
      </c>
      <c r="H95" s="58">
        <f>SUM(H89:H94)</f>
        <v>5452</v>
      </c>
      <c r="I95" s="59">
        <f>SUM(F95:H95)</f>
        <v>14311</v>
      </c>
      <c r="J95" s="58">
        <f>SUM(J89:J94)</f>
        <v>5867</v>
      </c>
      <c r="K95" s="58">
        <f>SUM(K89:K94)</f>
        <v>4792</v>
      </c>
      <c r="L95" s="58">
        <f>SUM(L89:L94)</f>
        <v>2233</v>
      </c>
      <c r="M95" s="59">
        <f>SUM(J95:L95)</f>
        <v>12892</v>
      </c>
      <c r="N95" s="58">
        <f>SUM(N89:N94)</f>
        <v>1508</v>
      </c>
      <c r="O95" s="58">
        <f>SUM(O89:O94)</f>
        <v>614</v>
      </c>
      <c r="P95" s="58">
        <f>SUM(P89:P94)</f>
        <v>816</v>
      </c>
      <c r="Q95" s="59">
        <f>SUM(N95:P95)</f>
        <v>2938</v>
      </c>
      <c r="R95" s="59">
        <f>+E95+I95+M95+Q95</f>
        <v>36543</v>
      </c>
    </row>
    <row r="96" spans="1:20" ht="15.75" customHeight="1" x14ac:dyDescent="0.3">
      <c r="A96" s="18" t="s">
        <v>60</v>
      </c>
      <c r="B96" s="56"/>
      <c r="C96" s="56"/>
      <c r="D96" s="56"/>
      <c r="E96" s="55" t="s">
        <v>7</v>
      </c>
      <c r="F96" s="56"/>
      <c r="G96" s="56"/>
      <c r="H96" s="56"/>
      <c r="I96" s="55" t="s">
        <v>7</v>
      </c>
      <c r="J96" s="56"/>
      <c r="K96" s="56"/>
      <c r="L96" s="56"/>
      <c r="M96" s="55" t="s">
        <v>7</v>
      </c>
      <c r="N96" s="56"/>
      <c r="O96" s="56"/>
      <c r="P96" s="56"/>
      <c r="Q96" s="55" t="s">
        <v>7</v>
      </c>
      <c r="R96" s="55" t="s">
        <v>7</v>
      </c>
    </row>
    <row r="97" spans="1:20" ht="15.75" customHeight="1" x14ac:dyDescent="0.3">
      <c r="A97" s="18" t="s">
        <v>61</v>
      </c>
      <c r="B97" s="56"/>
      <c r="C97" s="56"/>
      <c r="D97" s="56"/>
      <c r="E97" s="55" t="s">
        <v>7</v>
      </c>
      <c r="F97" s="56"/>
      <c r="G97" s="56"/>
      <c r="H97" s="56"/>
      <c r="I97" s="55" t="s">
        <v>7</v>
      </c>
      <c r="J97" s="56"/>
      <c r="K97" s="56"/>
      <c r="L97" s="56"/>
      <c r="M97" s="55" t="s">
        <v>7</v>
      </c>
      <c r="N97" s="56"/>
      <c r="O97" s="56"/>
      <c r="P97" s="56"/>
      <c r="Q97" s="55" t="s">
        <v>7</v>
      </c>
      <c r="R97" s="55" t="s">
        <v>7</v>
      </c>
    </row>
    <row r="98" spans="1:20" ht="15.75" customHeight="1" x14ac:dyDescent="0.3">
      <c r="A98" s="18" t="s">
        <v>62</v>
      </c>
      <c r="B98" s="56"/>
      <c r="C98" s="56"/>
      <c r="D98" s="56"/>
      <c r="E98" s="55"/>
      <c r="F98" s="56"/>
      <c r="G98" s="56"/>
      <c r="H98" s="56"/>
      <c r="I98" s="55"/>
      <c r="J98" s="56"/>
      <c r="K98" s="56"/>
      <c r="L98" s="56"/>
      <c r="M98" s="55"/>
      <c r="N98" s="56"/>
      <c r="O98" s="56"/>
      <c r="P98" s="56"/>
      <c r="Q98" s="55"/>
      <c r="R98" s="55"/>
    </row>
    <row r="99" spans="1:20" ht="15.75" customHeight="1" x14ac:dyDescent="0.3">
      <c r="A99" s="72" t="s">
        <v>88</v>
      </c>
      <c r="B99" s="1"/>
      <c r="C99" s="1"/>
      <c r="D99" s="1"/>
      <c r="E99" s="55">
        <f t="shared" ref="E99:E106" si="10">SUM(B99:D99)</f>
        <v>0</v>
      </c>
      <c r="F99" s="1"/>
      <c r="G99" s="1"/>
      <c r="H99" s="1"/>
      <c r="I99" s="55">
        <f t="shared" ref="I99:I106" si="11">SUM(F99:H99)</f>
        <v>0</v>
      </c>
      <c r="J99" s="1"/>
      <c r="K99" s="1"/>
      <c r="L99" s="1"/>
      <c r="M99" s="55">
        <f t="shared" ref="M99:M106" si="12">SUM(J99:L99)</f>
        <v>0</v>
      </c>
      <c r="N99" s="1"/>
      <c r="O99" s="1"/>
      <c r="P99" s="1"/>
      <c r="Q99" s="55">
        <f t="shared" ref="Q99:Q106" si="13">SUM(N99:P99)</f>
        <v>0</v>
      </c>
      <c r="R99" s="55">
        <f t="shared" ref="R99:R106" si="14">+E99+I99+M99+Q99</f>
        <v>0</v>
      </c>
    </row>
    <row r="100" spans="1:20" ht="15.75" customHeight="1" x14ac:dyDescent="0.3">
      <c r="A100" s="72" t="s">
        <v>89</v>
      </c>
      <c r="B100" s="1"/>
      <c r="C100" s="1"/>
      <c r="D100" s="1"/>
      <c r="E100" s="55">
        <f t="shared" si="10"/>
        <v>0</v>
      </c>
      <c r="F100" s="1"/>
      <c r="G100" s="1"/>
      <c r="H100" s="1"/>
      <c r="I100" s="55">
        <f t="shared" si="11"/>
        <v>0</v>
      </c>
      <c r="J100" s="1"/>
      <c r="K100" s="1"/>
      <c r="L100" s="1"/>
      <c r="M100" s="55">
        <f t="shared" si="12"/>
        <v>0</v>
      </c>
      <c r="N100" s="1"/>
      <c r="O100" s="1"/>
      <c r="P100" s="1"/>
      <c r="Q100" s="55">
        <f t="shared" si="13"/>
        <v>0</v>
      </c>
      <c r="R100" s="55">
        <f t="shared" si="14"/>
        <v>0</v>
      </c>
    </row>
    <row r="101" spans="1:20" ht="15.75" customHeight="1" x14ac:dyDescent="0.3">
      <c r="A101" s="72" t="s">
        <v>90</v>
      </c>
      <c r="B101" s="1"/>
      <c r="C101" s="1"/>
      <c r="D101" s="1"/>
      <c r="E101" s="55">
        <f>SUM(B101:D101)</f>
        <v>0</v>
      </c>
      <c r="F101" s="1"/>
      <c r="G101" s="1"/>
      <c r="H101" s="1"/>
      <c r="I101" s="55">
        <f>SUM(F101:H101)</f>
        <v>0</v>
      </c>
      <c r="J101" s="1"/>
      <c r="K101" s="1"/>
      <c r="L101" s="1"/>
      <c r="M101" s="55">
        <f>SUM(J101:L101)</f>
        <v>0</v>
      </c>
      <c r="N101" s="1"/>
      <c r="O101" s="1"/>
      <c r="P101" s="1"/>
      <c r="Q101" s="55">
        <f>SUM(N101:P101)</f>
        <v>0</v>
      </c>
      <c r="R101" s="55">
        <f>+E101+I101+M101+Q101</f>
        <v>0</v>
      </c>
    </row>
    <row r="102" spans="1:20" ht="15.75" customHeight="1" x14ac:dyDescent="0.3">
      <c r="A102" s="72" t="s">
        <v>690</v>
      </c>
      <c r="B102" s="1"/>
      <c r="C102" s="1"/>
      <c r="D102" s="1"/>
      <c r="E102" s="55">
        <f>SUM(B102:D102)</f>
        <v>0</v>
      </c>
      <c r="F102" s="1"/>
      <c r="G102" s="1"/>
      <c r="H102" s="1"/>
      <c r="I102" s="55">
        <f>SUM(F102:H102)</f>
        <v>0</v>
      </c>
      <c r="J102" s="1"/>
      <c r="K102" s="1"/>
      <c r="L102" s="1"/>
      <c r="M102" s="55">
        <f>SUM(J102:L102)</f>
        <v>0</v>
      </c>
      <c r="N102" s="1"/>
      <c r="O102" s="1"/>
      <c r="P102" s="1"/>
      <c r="Q102" s="55">
        <f>SUM(N102:P102)</f>
        <v>0</v>
      </c>
      <c r="R102" s="55">
        <f>+E102+I102+M102+Q102</f>
        <v>0</v>
      </c>
      <c r="T102" s="4" t="s">
        <v>803</v>
      </c>
    </row>
    <row r="103" spans="1:20" ht="15.75" customHeight="1" x14ac:dyDescent="0.3">
      <c r="A103" s="72" t="s">
        <v>528</v>
      </c>
      <c r="B103" s="1"/>
      <c r="C103" s="1"/>
      <c r="D103" s="1"/>
      <c r="E103" s="55">
        <f>SUM(B103:D103)</f>
        <v>0</v>
      </c>
      <c r="F103" s="1"/>
      <c r="G103" s="1"/>
      <c r="H103" s="1"/>
      <c r="I103" s="55">
        <f>SUM(F103:H103)</f>
        <v>0</v>
      </c>
      <c r="J103" s="1"/>
      <c r="K103" s="1"/>
      <c r="L103" s="1"/>
      <c r="M103" s="55">
        <f>SUM(J103:L103)</f>
        <v>0</v>
      </c>
      <c r="N103" s="1"/>
      <c r="O103" s="1"/>
      <c r="P103" s="1"/>
      <c r="Q103" s="55">
        <f>SUM(N103:P103)</f>
        <v>0</v>
      </c>
      <c r="R103" s="55">
        <f>+E103+I103+M103+Q103</f>
        <v>0</v>
      </c>
    </row>
    <row r="104" spans="1:20" ht="15.75" customHeight="1" x14ac:dyDescent="0.3">
      <c r="A104" s="72" t="s">
        <v>94</v>
      </c>
      <c r="B104" s="1"/>
      <c r="C104" s="1"/>
      <c r="D104" s="1"/>
      <c r="E104" s="55">
        <f t="shared" si="10"/>
        <v>0</v>
      </c>
      <c r="F104" s="1"/>
      <c r="G104" s="1"/>
      <c r="H104" s="1"/>
      <c r="I104" s="55">
        <f t="shared" si="11"/>
        <v>0</v>
      </c>
      <c r="J104" s="1"/>
      <c r="K104" s="1"/>
      <c r="L104" s="1"/>
      <c r="M104" s="55">
        <f t="shared" si="12"/>
        <v>0</v>
      </c>
      <c r="N104" s="1"/>
      <c r="O104" s="1"/>
      <c r="P104" s="1"/>
      <c r="Q104" s="55">
        <f t="shared" si="13"/>
        <v>0</v>
      </c>
      <c r="R104" s="55">
        <f t="shared" si="14"/>
        <v>0</v>
      </c>
    </row>
    <row r="105" spans="1:20" ht="15.75" customHeight="1" thickBot="1" x14ac:dyDescent="0.35">
      <c r="A105" s="72" t="s">
        <v>95</v>
      </c>
      <c r="B105" s="1"/>
      <c r="C105" s="1"/>
      <c r="D105" s="1"/>
      <c r="E105" s="55">
        <f t="shared" si="10"/>
        <v>0</v>
      </c>
      <c r="F105" s="1"/>
      <c r="G105" s="1"/>
      <c r="H105" s="1"/>
      <c r="I105" s="55">
        <f t="shared" si="11"/>
        <v>0</v>
      </c>
      <c r="J105" s="1"/>
      <c r="K105" s="1"/>
      <c r="L105" s="1"/>
      <c r="M105" s="55">
        <f t="shared" si="12"/>
        <v>0</v>
      </c>
      <c r="N105" s="1"/>
      <c r="O105" s="1"/>
      <c r="P105" s="1"/>
      <c r="Q105" s="55">
        <f t="shared" si="13"/>
        <v>0</v>
      </c>
      <c r="R105" s="55">
        <f t="shared" si="14"/>
        <v>0</v>
      </c>
    </row>
    <row r="106" spans="1:20" ht="16.5" customHeight="1" thickBot="1" x14ac:dyDescent="0.35">
      <c r="A106" s="57" t="s">
        <v>63</v>
      </c>
      <c r="B106" s="58">
        <f>SUM(B96:B105)</f>
        <v>0</v>
      </c>
      <c r="C106" s="58">
        <f>SUM(C96:C105)</f>
        <v>0</v>
      </c>
      <c r="D106" s="58">
        <f>SUM(D96:D105)</f>
        <v>0</v>
      </c>
      <c r="E106" s="59">
        <f t="shared" si="10"/>
        <v>0</v>
      </c>
      <c r="F106" s="58">
        <f>SUM(F96:F105)</f>
        <v>0</v>
      </c>
      <c r="G106" s="58">
        <f>SUM(G96:G105)</f>
        <v>0</v>
      </c>
      <c r="H106" s="58">
        <f>SUM(H96:H105)</f>
        <v>0</v>
      </c>
      <c r="I106" s="59">
        <f t="shared" si="11"/>
        <v>0</v>
      </c>
      <c r="J106" s="58">
        <f>SUM(J96:J105)</f>
        <v>0</v>
      </c>
      <c r="K106" s="58">
        <f>SUM(K96:K105)</f>
        <v>0</v>
      </c>
      <c r="L106" s="58">
        <f>SUM(L96:L105)</f>
        <v>0</v>
      </c>
      <c r="M106" s="59">
        <f t="shared" si="12"/>
        <v>0</v>
      </c>
      <c r="N106" s="58">
        <f>SUM(N96:N105)</f>
        <v>0</v>
      </c>
      <c r="O106" s="58">
        <f>SUM(O96:O105)</f>
        <v>0</v>
      </c>
      <c r="P106" s="58">
        <f>SUM(P96:P105)</f>
        <v>0</v>
      </c>
      <c r="Q106" s="59">
        <f t="shared" si="13"/>
        <v>0</v>
      </c>
      <c r="R106" s="59">
        <f t="shared" si="14"/>
        <v>0</v>
      </c>
    </row>
    <row r="107" spans="1:20" ht="15.75" customHeight="1" x14ac:dyDescent="0.3">
      <c r="A107" s="18" t="s">
        <v>64</v>
      </c>
      <c r="B107" s="56"/>
      <c r="C107" s="56"/>
      <c r="D107" s="56"/>
      <c r="E107" s="55" t="s">
        <v>7</v>
      </c>
      <c r="F107" s="56"/>
      <c r="G107" s="56"/>
      <c r="H107" s="56"/>
      <c r="I107" s="55" t="s">
        <v>7</v>
      </c>
      <c r="J107" s="56"/>
      <c r="K107" s="56"/>
      <c r="L107" s="56"/>
      <c r="M107" s="55" t="s">
        <v>7</v>
      </c>
      <c r="N107" s="56"/>
      <c r="O107" s="56"/>
      <c r="P107" s="56"/>
      <c r="Q107" s="55" t="s">
        <v>7</v>
      </c>
      <c r="R107" s="55" t="s">
        <v>7</v>
      </c>
    </row>
    <row r="108" spans="1:20" ht="15.75" customHeight="1" x14ac:dyDescent="0.3">
      <c r="A108" s="18" t="s">
        <v>594</v>
      </c>
      <c r="B108" s="56"/>
      <c r="C108" s="56"/>
      <c r="D108" s="56"/>
      <c r="E108" s="55" t="s">
        <v>7</v>
      </c>
      <c r="F108" s="56"/>
      <c r="G108" s="56"/>
      <c r="H108" s="56"/>
      <c r="I108" s="55" t="s">
        <v>7</v>
      </c>
      <c r="J108" s="56"/>
      <c r="K108" s="56"/>
      <c r="L108" s="56"/>
      <c r="M108" s="55" t="s">
        <v>7</v>
      </c>
      <c r="N108" s="56"/>
      <c r="O108" s="56"/>
      <c r="P108" s="56"/>
      <c r="Q108" s="55" t="s">
        <v>7</v>
      </c>
      <c r="R108" s="55" t="s">
        <v>7</v>
      </c>
    </row>
    <row r="109" spans="1:20" ht="15.75" customHeight="1" x14ac:dyDescent="0.3">
      <c r="A109" s="61" t="s">
        <v>806</v>
      </c>
      <c r="B109" s="1"/>
      <c r="C109" s="1"/>
      <c r="D109" s="1"/>
      <c r="E109" s="55">
        <f t="shared" ref="E109:E114" si="15">SUM(B109:D109)</f>
        <v>0</v>
      </c>
      <c r="F109" s="1"/>
      <c r="G109" s="1"/>
      <c r="H109" s="1"/>
      <c r="I109" s="55">
        <f t="shared" ref="I109:I114" si="16">SUM(F109:H109)</f>
        <v>0</v>
      </c>
      <c r="J109" s="1"/>
      <c r="K109" s="1"/>
      <c r="L109" s="1"/>
      <c r="M109" s="55">
        <f t="shared" ref="M109:M114" si="17">SUM(J109:L109)</f>
        <v>0</v>
      </c>
      <c r="N109" s="1"/>
      <c r="O109" s="1"/>
      <c r="P109" s="1"/>
      <c r="Q109" s="55">
        <f t="shared" ref="Q109:Q114" si="18">SUM(N109:P109)</f>
        <v>0</v>
      </c>
      <c r="R109" s="55">
        <f t="shared" ref="R109:R114" si="19">+E109+I109+M109+Q109</f>
        <v>0</v>
      </c>
    </row>
    <row r="110" spans="1:20" ht="15.75" customHeight="1" x14ac:dyDescent="0.3">
      <c r="A110" s="61" t="s">
        <v>97</v>
      </c>
      <c r="B110" s="1"/>
      <c r="C110" s="1"/>
      <c r="D110" s="1"/>
      <c r="E110" s="55">
        <f t="shared" si="15"/>
        <v>0</v>
      </c>
      <c r="F110" s="1"/>
      <c r="G110" s="1"/>
      <c r="H110" s="1"/>
      <c r="I110" s="55">
        <f t="shared" si="16"/>
        <v>0</v>
      </c>
      <c r="J110" s="1"/>
      <c r="K110" s="1"/>
      <c r="L110" s="1"/>
      <c r="M110" s="55">
        <f t="shared" si="17"/>
        <v>0</v>
      </c>
      <c r="N110" s="1"/>
      <c r="O110" s="1"/>
      <c r="P110" s="1"/>
      <c r="Q110" s="55">
        <f t="shared" si="18"/>
        <v>0</v>
      </c>
      <c r="R110" s="55">
        <f t="shared" si="19"/>
        <v>0</v>
      </c>
    </row>
    <row r="111" spans="1:20" ht="15.75" customHeight="1" x14ac:dyDescent="0.3">
      <c r="A111" s="61" t="s">
        <v>692</v>
      </c>
      <c r="B111" s="1"/>
      <c r="C111" s="1"/>
      <c r="D111" s="1"/>
      <c r="E111" s="55">
        <f t="shared" si="15"/>
        <v>0</v>
      </c>
      <c r="F111" s="1"/>
      <c r="G111" s="1"/>
      <c r="H111" s="1"/>
      <c r="I111" s="55">
        <f t="shared" si="16"/>
        <v>0</v>
      </c>
      <c r="J111" s="1"/>
      <c r="K111" s="1"/>
      <c r="L111" s="1"/>
      <c r="M111" s="55">
        <f t="shared" si="17"/>
        <v>0</v>
      </c>
      <c r="N111" s="1"/>
      <c r="O111" s="1"/>
      <c r="P111" s="1"/>
      <c r="Q111" s="55">
        <f t="shared" si="18"/>
        <v>0</v>
      </c>
      <c r="R111" s="55">
        <f t="shared" si="19"/>
        <v>0</v>
      </c>
    </row>
    <row r="112" spans="1:20" ht="15.75" customHeight="1" x14ac:dyDescent="0.3">
      <c r="A112" s="61" t="s">
        <v>530</v>
      </c>
      <c r="B112" s="1"/>
      <c r="C112" s="1"/>
      <c r="D112" s="1"/>
      <c r="E112" s="55">
        <f t="shared" si="15"/>
        <v>0</v>
      </c>
      <c r="F112" s="1"/>
      <c r="G112" s="1"/>
      <c r="H112" s="1"/>
      <c r="I112" s="55">
        <f t="shared" si="16"/>
        <v>0</v>
      </c>
      <c r="J112" s="1"/>
      <c r="K112" s="1"/>
      <c r="L112" s="1"/>
      <c r="M112" s="55">
        <f t="shared" si="17"/>
        <v>0</v>
      </c>
      <c r="N112" s="1"/>
      <c r="O112" s="1"/>
      <c r="P112" s="1"/>
      <c r="Q112" s="55">
        <f t="shared" si="18"/>
        <v>0</v>
      </c>
      <c r="R112" s="55">
        <f t="shared" si="19"/>
        <v>0</v>
      </c>
    </row>
    <row r="113" spans="1:20" ht="15.75" customHeight="1" x14ac:dyDescent="0.3">
      <c r="A113" s="61" t="s">
        <v>597</v>
      </c>
      <c r="B113" s="1"/>
      <c r="C113" s="1"/>
      <c r="D113" s="1"/>
      <c r="E113" s="55">
        <f t="shared" si="15"/>
        <v>0</v>
      </c>
      <c r="F113" s="1"/>
      <c r="G113" s="1"/>
      <c r="H113" s="1"/>
      <c r="I113" s="55">
        <f t="shared" si="16"/>
        <v>0</v>
      </c>
      <c r="J113" s="1"/>
      <c r="K113" s="1"/>
      <c r="L113" s="1"/>
      <c r="M113" s="55">
        <f t="shared" si="17"/>
        <v>0</v>
      </c>
      <c r="N113" s="1"/>
      <c r="O113" s="1"/>
      <c r="P113" s="1"/>
      <c r="Q113" s="55">
        <f t="shared" si="18"/>
        <v>0</v>
      </c>
      <c r="R113" s="55">
        <f t="shared" si="19"/>
        <v>0</v>
      </c>
    </row>
    <row r="114" spans="1:20" ht="15.75" customHeight="1" x14ac:dyDescent="0.3">
      <c r="A114" s="61" t="s">
        <v>807</v>
      </c>
      <c r="B114" s="1"/>
      <c r="C114" s="1"/>
      <c r="D114" s="1"/>
      <c r="E114" s="55">
        <f t="shared" si="15"/>
        <v>0</v>
      </c>
      <c r="F114" s="1"/>
      <c r="G114" s="1"/>
      <c r="H114" s="1"/>
      <c r="I114" s="55">
        <f t="shared" si="16"/>
        <v>0</v>
      </c>
      <c r="J114" s="1"/>
      <c r="K114" s="1"/>
      <c r="L114" s="1"/>
      <c r="M114" s="55">
        <f t="shared" si="17"/>
        <v>0</v>
      </c>
      <c r="N114" s="1"/>
      <c r="O114" s="1"/>
      <c r="P114" s="1"/>
      <c r="Q114" s="55">
        <f t="shared" si="18"/>
        <v>0</v>
      </c>
      <c r="R114" s="55">
        <f t="shared" si="19"/>
        <v>0</v>
      </c>
    </row>
    <row r="115" spans="1:20" ht="15.75" customHeight="1" x14ac:dyDescent="0.3">
      <c r="A115" s="61" t="s">
        <v>808</v>
      </c>
      <c r="B115" s="1"/>
      <c r="C115" s="1"/>
      <c r="D115" s="1"/>
      <c r="E115" s="55">
        <f>SUM(B115:D115)</f>
        <v>0</v>
      </c>
      <c r="F115" s="1"/>
      <c r="G115" s="1"/>
      <c r="H115" s="1"/>
      <c r="I115" s="55">
        <f>SUM(F115:H115)</f>
        <v>0</v>
      </c>
      <c r="J115" s="1"/>
      <c r="K115" s="1"/>
      <c r="L115" s="1"/>
      <c r="M115" s="55">
        <f>SUM(J115:L115)</f>
        <v>0</v>
      </c>
      <c r="N115" s="1"/>
      <c r="O115" s="1"/>
      <c r="P115" s="1"/>
      <c r="Q115" s="55">
        <f>SUM(N115:P115)</f>
        <v>0</v>
      </c>
      <c r="R115" s="55">
        <f>+E115+I115+M115+Q115</f>
        <v>0</v>
      </c>
    </row>
    <row r="116" spans="1:20" ht="15.75" customHeight="1" x14ac:dyDescent="0.3">
      <c r="A116" s="346" t="s">
        <v>702</v>
      </c>
      <c r="B116" s="1"/>
      <c r="C116" s="1"/>
      <c r="D116" s="1"/>
      <c r="E116" s="55">
        <f>SUM(B116:D116)</f>
        <v>0</v>
      </c>
      <c r="F116" s="1"/>
      <c r="G116" s="1"/>
      <c r="H116" s="1"/>
      <c r="I116" s="55">
        <f>SUM(F116:H116)</f>
        <v>0</v>
      </c>
      <c r="J116" s="1"/>
      <c r="K116" s="1"/>
      <c r="L116" s="1"/>
      <c r="M116" s="55">
        <f>SUM(J116:L116)</f>
        <v>0</v>
      </c>
      <c r="N116" s="1"/>
      <c r="O116" s="1"/>
      <c r="P116" s="1"/>
      <c r="Q116" s="55">
        <f>SUM(N116:P116)</f>
        <v>0</v>
      </c>
      <c r="R116" s="55">
        <f>+E116+I116+M116+Q116</f>
        <v>0</v>
      </c>
      <c r="T116" s="4" t="s">
        <v>809</v>
      </c>
    </row>
    <row r="117" spans="1:20" ht="15.75" customHeight="1" x14ac:dyDescent="0.3">
      <c r="A117" s="18" t="s">
        <v>67</v>
      </c>
      <c r="B117" s="56"/>
      <c r="C117" s="56"/>
      <c r="D117" s="56"/>
      <c r="E117" s="55" t="s">
        <v>7</v>
      </c>
      <c r="F117" s="56"/>
      <c r="G117" s="56"/>
      <c r="H117" s="56"/>
      <c r="I117" s="55" t="s">
        <v>7</v>
      </c>
      <c r="J117" s="56"/>
      <c r="K117" s="56"/>
      <c r="L117" s="56"/>
      <c r="M117" s="55" t="s">
        <v>7</v>
      </c>
      <c r="N117" s="56"/>
      <c r="O117" s="56"/>
      <c r="P117" s="56"/>
      <c r="Q117" s="55" t="s">
        <v>7</v>
      </c>
      <c r="R117" s="55" t="s">
        <v>7</v>
      </c>
    </row>
    <row r="118" spans="1:20" ht="15.75" customHeight="1" x14ac:dyDescent="0.3">
      <c r="A118" s="61" t="s">
        <v>810</v>
      </c>
      <c r="B118" s="1"/>
      <c r="C118" s="1"/>
      <c r="D118" s="1"/>
      <c r="E118" s="55">
        <f>SUM(B118:D118)</f>
        <v>0</v>
      </c>
      <c r="F118" s="1"/>
      <c r="G118" s="1"/>
      <c r="H118" s="1"/>
      <c r="I118" s="55">
        <f>SUM(F118:H118)</f>
        <v>0</v>
      </c>
      <c r="J118" s="1"/>
      <c r="K118" s="1"/>
      <c r="L118" s="1"/>
      <c r="M118" s="55">
        <f>SUM(J118:L118)</f>
        <v>0</v>
      </c>
      <c r="N118" s="1"/>
      <c r="O118" s="1"/>
      <c r="P118" s="1"/>
      <c r="Q118" s="55">
        <f>SUM(N118:P118)</f>
        <v>0</v>
      </c>
      <c r="R118" s="55">
        <f>+E118+I118+M118+Q118</f>
        <v>0</v>
      </c>
    </row>
    <row r="119" spans="1:20" ht="15.75" customHeight="1" x14ac:dyDescent="0.3">
      <c r="A119" s="61" t="s">
        <v>695</v>
      </c>
      <c r="B119" s="1"/>
      <c r="C119" s="1"/>
      <c r="D119" s="1"/>
      <c r="E119" s="55">
        <f>SUM(B119:D119)</f>
        <v>0</v>
      </c>
      <c r="F119" s="1"/>
      <c r="G119" s="1"/>
      <c r="H119" s="1"/>
      <c r="I119" s="55">
        <f>SUM(F119:H119)</f>
        <v>0</v>
      </c>
      <c r="J119" s="1"/>
      <c r="K119" s="1"/>
      <c r="L119" s="1"/>
      <c r="M119" s="55">
        <f>SUM(J119:L119)</f>
        <v>0</v>
      </c>
      <c r="N119" s="1"/>
      <c r="O119" s="1"/>
      <c r="P119" s="1"/>
      <c r="Q119" s="55">
        <f>SUM(N119:P119)</f>
        <v>0</v>
      </c>
      <c r="R119" s="55">
        <f>+E119+I119+M119+Q119</f>
        <v>0</v>
      </c>
    </row>
    <row r="120" spans="1:20" ht="15.75" customHeight="1" x14ac:dyDescent="0.3">
      <c r="A120" s="18" t="s">
        <v>600</v>
      </c>
      <c r="B120" s="56"/>
      <c r="C120" s="56"/>
      <c r="D120" s="56"/>
      <c r="E120" s="55" t="s">
        <v>7</v>
      </c>
      <c r="F120" s="56"/>
      <c r="G120" s="56"/>
      <c r="H120" s="56"/>
      <c r="I120" s="55" t="s">
        <v>7</v>
      </c>
      <c r="J120" s="56"/>
      <c r="K120" s="56"/>
      <c r="L120" s="56"/>
      <c r="M120" s="55" t="s">
        <v>7</v>
      </c>
      <c r="N120" s="56"/>
      <c r="O120" s="56"/>
      <c r="P120" s="56"/>
      <c r="Q120" s="55" t="s">
        <v>7</v>
      </c>
      <c r="R120" s="55" t="s">
        <v>7</v>
      </c>
    </row>
    <row r="121" spans="1:20" ht="15.75" customHeight="1" x14ac:dyDescent="0.3">
      <c r="A121" s="61" t="s">
        <v>105</v>
      </c>
      <c r="B121" s="1"/>
      <c r="C121" s="1"/>
      <c r="D121" s="1"/>
      <c r="E121" s="55">
        <f>SUM(B121:D121)</f>
        <v>0</v>
      </c>
      <c r="F121" s="1"/>
      <c r="G121" s="1"/>
      <c r="H121" s="1"/>
      <c r="I121" s="55">
        <f>SUM(F121:H121)</f>
        <v>0</v>
      </c>
      <c r="J121" s="1"/>
      <c r="K121" s="1"/>
      <c r="L121" s="1">
        <v>1168</v>
      </c>
      <c r="M121" s="55">
        <f>SUM(J121:L121)</f>
        <v>1168</v>
      </c>
      <c r="N121" s="1">
        <v>629</v>
      </c>
      <c r="O121" s="1"/>
      <c r="P121" s="1">
        <v>202</v>
      </c>
      <c r="Q121" s="55">
        <f>SUM(N121:P121)</f>
        <v>831</v>
      </c>
      <c r="R121" s="55">
        <f>+E121+I121+M121+Q121</f>
        <v>1999</v>
      </c>
      <c r="T121" s="4" t="s">
        <v>801</v>
      </c>
    </row>
    <row r="122" spans="1:20" ht="15.75" customHeight="1" thickBot="1" x14ac:dyDescent="0.35">
      <c r="A122" s="18" t="s">
        <v>70</v>
      </c>
      <c r="B122" s="56"/>
      <c r="C122" s="56"/>
      <c r="D122" s="56"/>
      <c r="E122" s="55" t="s">
        <v>7</v>
      </c>
      <c r="F122" s="56"/>
      <c r="G122" s="56"/>
      <c r="H122" s="56"/>
      <c r="I122" s="55" t="s">
        <v>7</v>
      </c>
      <c r="J122" s="56"/>
      <c r="K122" s="56"/>
      <c r="L122" s="56"/>
      <c r="M122" s="55" t="s">
        <v>7</v>
      </c>
      <c r="N122" s="56"/>
      <c r="O122" s="56"/>
      <c r="P122" s="56"/>
      <c r="Q122" s="55" t="s">
        <v>7</v>
      </c>
      <c r="R122" s="55" t="s">
        <v>7</v>
      </c>
    </row>
    <row r="123" spans="1:20" ht="16.5" customHeight="1" thickBot="1" x14ac:dyDescent="0.35">
      <c r="A123" s="57" t="s">
        <v>71</v>
      </c>
      <c r="B123" s="58">
        <f>SUM(B120:B122)</f>
        <v>0</v>
      </c>
      <c r="C123" s="58">
        <f>SUM(C120:C122)</f>
        <v>0</v>
      </c>
      <c r="D123" s="58">
        <f>SUM(D120:D122)</f>
        <v>0</v>
      </c>
      <c r="E123" s="60">
        <f>SUM(B123:D123)</f>
        <v>0</v>
      </c>
      <c r="F123" s="58">
        <f>SUM(F120:F122)</f>
        <v>0</v>
      </c>
      <c r="G123" s="58">
        <f>SUM(G120:G122)</f>
        <v>0</v>
      </c>
      <c r="H123" s="58">
        <f>SUM(H120:H122)</f>
        <v>0</v>
      </c>
      <c r="I123" s="60">
        <f>SUM(F123:H123)</f>
        <v>0</v>
      </c>
      <c r="J123" s="58">
        <f>SUM(J120:J122)</f>
        <v>0</v>
      </c>
      <c r="K123" s="58">
        <f>SUM(K120:K122)</f>
        <v>0</v>
      </c>
      <c r="L123" s="58">
        <f>SUM(L120:L122)</f>
        <v>1168</v>
      </c>
      <c r="M123" s="60">
        <f>SUM(J123:L123)</f>
        <v>1168</v>
      </c>
      <c r="N123" s="58">
        <f>SUM(N120:N122)</f>
        <v>629</v>
      </c>
      <c r="O123" s="58">
        <f>SUM(O120:O122)</f>
        <v>0</v>
      </c>
      <c r="P123" s="58">
        <f>SUM(P120:P122)</f>
        <v>202</v>
      </c>
      <c r="Q123" s="60">
        <f>SUM(N123:P123)</f>
        <v>831</v>
      </c>
      <c r="R123" s="59">
        <f>+E123+I123+M123+Q123</f>
        <v>1999</v>
      </c>
    </row>
    <row r="124" spans="1:20" ht="16.5" customHeight="1" thickBot="1" x14ac:dyDescent="0.35">
      <c r="A124" s="57" t="s">
        <v>72</v>
      </c>
      <c r="B124" s="58">
        <f>SUM(B107:B122)</f>
        <v>0</v>
      </c>
      <c r="C124" s="58">
        <f>SUM(C107:C122)</f>
        <v>0</v>
      </c>
      <c r="D124" s="58">
        <f>SUM(D107:D122)</f>
        <v>0</v>
      </c>
      <c r="E124" s="60">
        <f>SUM(B124:D124)</f>
        <v>0</v>
      </c>
      <c r="F124" s="58">
        <f>SUM(F107:F122)</f>
        <v>0</v>
      </c>
      <c r="G124" s="58">
        <f>SUM(G107:G122)</f>
        <v>0</v>
      </c>
      <c r="H124" s="58">
        <f>SUM(H107:H122)</f>
        <v>0</v>
      </c>
      <c r="I124" s="60">
        <f>SUM(F124:H124)</f>
        <v>0</v>
      </c>
      <c r="J124" s="58">
        <f>SUM(J107:J122)</f>
        <v>0</v>
      </c>
      <c r="K124" s="58">
        <f>SUM(K107:K122)</f>
        <v>0</v>
      </c>
      <c r="L124" s="58">
        <f>SUM(L107:L122)</f>
        <v>1168</v>
      </c>
      <c r="M124" s="60">
        <f>SUM(J124:L124)</f>
        <v>1168</v>
      </c>
      <c r="N124" s="58">
        <f>SUM(N107:N122)</f>
        <v>629</v>
      </c>
      <c r="O124" s="58">
        <f>SUM(O107:O122)</f>
        <v>0</v>
      </c>
      <c r="P124" s="58">
        <f>SUM(P107:P122)</f>
        <v>202</v>
      </c>
      <c r="Q124" s="60">
        <f>SUM(N124:P124)</f>
        <v>831</v>
      </c>
      <c r="R124" s="59">
        <f>+E124+I124+M124+Q124</f>
        <v>1999</v>
      </c>
    </row>
    <row r="125" spans="1:20" ht="16.5" customHeight="1" thickBot="1" x14ac:dyDescent="0.35">
      <c r="A125" s="57" t="s">
        <v>73</v>
      </c>
      <c r="B125" s="58">
        <f>+B88+B95+B106+B124</f>
        <v>1062</v>
      </c>
      <c r="C125" s="58">
        <f>+C88+C95+C106+C124</f>
        <v>2916</v>
      </c>
      <c r="D125" s="58">
        <f>+D88+D95+D106+D124</f>
        <v>5047</v>
      </c>
      <c r="E125" s="59">
        <f>SUM(B125:D125)</f>
        <v>9025</v>
      </c>
      <c r="F125" s="58">
        <f>+F88+F95+F106+F124</f>
        <v>6034</v>
      </c>
      <c r="G125" s="58">
        <f>+G88+G95+G106+G124</f>
        <v>6619</v>
      </c>
      <c r="H125" s="58">
        <f>+H88+H95+H106+H124</f>
        <v>7477</v>
      </c>
      <c r="I125" s="59">
        <f>SUM(F125:H125)</f>
        <v>20130</v>
      </c>
      <c r="J125" s="58">
        <f>+J88+J95+J106+J124</f>
        <v>7901</v>
      </c>
      <c r="K125" s="58">
        <f>+K88+K95+K106+K124</f>
        <v>6865</v>
      </c>
      <c r="L125" s="58">
        <f>+L88+L95+L106+L124</f>
        <v>3492</v>
      </c>
      <c r="M125" s="59">
        <f>SUM(J125:L125)</f>
        <v>18258</v>
      </c>
      <c r="N125" s="58">
        <f>+N88+N95+N106+N124</f>
        <v>2137</v>
      </c>
      <c r="O125" s="58">
        <f>+O88+O95+O106+O124</f>
        <v>614</v>
      </c>
      <c r="P125" s="58">
        <f>+P88+P95+P106+P124</f>
        <v>1018</v>
      </c>
      <c r="Q125" s="59">
        <f>SUM(N125:P125)</f>
        <v>3769</v>
      </c>
      <c r="R125" s="59">
        <f>+E125+I125+M125+Q125</f>
        <v>51182</v>
      </c>
    </row>
    <row r="126" spans="1:20" ht="16.5" customHeight="1" thickBot="1" x14ac:dyDescent="0.35">
      <c r="A126" s="73" t="s">
        <v>40</v>
      </c>
      <c r="B126" s="21">
        <v>173</v>
      </c>
      <c r="C126" s="21">
        <v>260</v>
      </c>
      <c r="D126" s="21">
        <v>471</v>
      </c>
      <c r="E126" s="55">
        <f>SUM(B126:D126)</f>
        <v>904</v>
      </c>
      <c r="F126" s="21">
        <v>629</v>
      </c>
      <c r="G126" s="21">
        <v>725</v>
      </c>
      <c r="H126" s="21">
        <v>712</v>
      </c>
      <c r="I126" s="55">
        <f>SUM(F126:H126)</f>
        <v>2066</v>
      </c>
      <c r="J126" s="21">
        <v>711</v>
      </c>
      <c r="K126" s="21">
        <v>573</v>
      </c>
      <c r="L126" s="21">
        <v>542</v>
      </c>
      <c r="M126" s="55">
        <f>SUM(J126:L126)</f>
        <v>1826</v>
      </c>
      <c r="N126" s="21">
        <v>490</v>
      </c>
      <c r="O126" s="21">
        <v>407</v>
      </c>
      <c r="P126" s="21">
        <v>323</v>
      </c>
      <c r="Q126" s="55">
        <f>SUM(N126:P126)</f>
        <v>1220</v>
      </c>
      <c r="R126" s="55">
        <f>+E126+I126+M126+Q126</f>
        <v>6016</v>
      </c>
    </row>
    <row r="127" spans="1:20" ht="16.5" customHeight="1" thickBot="1" x14ac:dyDescent="0.35">
      <c r="A127" s="74"/>
      <c r="B127" s="75"/>
      <c r="C127" s="75"/>
      <c r="D127" s="75"/>
      <c r="E127" s="59" t="s">
        <v>7</v>
      </c>
      <c r="F127" s="75"/>
      <c r="G127" s="75"/>
      <c r="H127" s="75"/>
      <c r="I127" s="59" t="s">
        <v>7</v>
      </c>
      <c r="J127" s="75"/>
      <c r="K127" s="75"/>
      <c r="L127" s="75"/>
      <c r="M127" s="59" t="s">
        <v>7</v>
      </c>
      <c r="N127" s="75"/>
      <c r="O127" s="75"/>
      <c r="P127" s="75"/>
      <c r="Q127" s="59" t="s">
        <v>7</v>
      </c>
      <c r="R127" s="59" t="s">
        <v>7</v>
      </c>
    </row>
    <row r="128" spans="1:20" ht="15.75" customHeight="1" x14ac:dyDescent="0.3">
      <c r="A128" s="76" t="s">
        <v>41</v>
      </c>
      <c r="B128" s="77">
        <f>+B125+B126</f>
        <v>1235</v>
      </c>
      <c r="C128" s="77">
        <f>+C125+C126</f>
        <v>3176</v>
      </c>
      <c r="D128" s="77">
        <f>+D125+D126</f>
        <v>5518</v>
      </c>
      <c r="E128" s="55">
        <f>SUM(B128:D128)</f>
        <v>9929</v>
      </c>
      <c r="F128" s="77">
        <f>+F125+F126</f>
        <v>6663</v>
      </c>
      <c r="G128" s="77">
        <f>+G125+G126</f>
        <v>7344</v>
      </c>
      <c r="H128" s="77">
        <f>+H125+H126</f>
        <v>8189</v>
      </c>
      <c r="I128" s="55">
        <f>SUM(F128:H128)</f>
        <v>22196</v>
      </c>
      <c r="J128" s="77">
        <f>+J125+J126</f>
        <v>8612</v>
      </c>
      <c r="K128" s="77">
        <f>+K125+K126</f>
        <v>7438</v>
      </c>
      <c r="L128" s="77">
        <f>+L125+L126</f>
        <v>4034</v>
      </c>
      <c r="M128" s="55">
        <f>SUM(J128:L128)</f>
        <v>20084</v>
      </c>
      <c r="N128" s="77">
        <f>+N125+N126</f>
        <v>2627</v>
      </c>
      <c r="O128" s="77">
        <f>+O125+O126</f>
        <v>1021</v>
      </c>
      <c r="P128" s="77">
        <f>+P125+P126</f>
        <v>1341</v>
      </c>
      <c r="Q128" s="55">
        <f>SUM(N128:P128)</f>
        <v>4989</v>
      </c>
      <c r="R128" s="55">
        <f>+E128+I128+M128+Q128</f>
        <v>57198</v>
      </c>
    </row>
    <row r="129" spans="1:20" ht="15.75" customHeight="1" x14ac:dyDescent="0.3">
      <c r="A129" s="78" t="s">
        <v>42</v>
      </c>
      <c r="B129" s="1">
        <f>(B128/B10)/1.983</f>
        <v>20.090120866071281</v>
      </c>
      <c r="C129" s="1">
        <f>(C128/C10)/1.983</f>
        <v>55.228059192793921</v>
      </c>
      <c r="D129" s="1">
        <f>(D128/D10)/1.983</f>
        <v>89.76298537569339</v>
      </c>
      <c r="E129" s="55" t="s">
        <v>7</v>
      </c>
      <c r="F129" s="1">
        <f>(F128/F10)/1.983</f>
        <v>112.00201714573878</v>
      </c>
      <c r="G129" s="1">
        <f>(G128/G10)/1.983</f>
        <v>119.46708310965789</v>
      </c>
      <c r="H129" s="1">
        <f>(H128/H10)/1.983</f>
        <v>137.65338712388635</v>
      </c>
      <c r="I129" s="55" t="s">
        <v>7</v>
      </c>
      <c r="J129" s="1">
        <f>(J128/J10)/1.983</f>
        <v>140.09402501911407</v>
      </c>
      <c r="K129" s="1">
        <f>(K128/K10)/1.983</f>
        <v>120.99620971808761</v>
      </c>
      <c r="L129" s="1">
        <f>(L128/L10)/1.983</f>
        <v>67.809715918641785</v>
      </c>
      <c r="M129" s="55" t="s">
        <v>7</v>
      </c>
      <c r="N129" s="1">
        <f>(N128/N10)/1.983</f>
        <v>42.734208514307092</v>
      </c>
      <c r="O129" s="1">
        <f>(O128/O10)/1.983</f>
        <v>17.16254832744999</v>
      </c>
      <c r="P129" s="1">
        <f>(P128/P10)/1.983</f>
        <v>21.814455126640961</v>
      </c>
      <c r="Q129" s="55" t="s">
        <v>7</v>
      </c>
      <c r="R129" s="55" t="s">
        <v>7</v>
      </c>
    </row>
    <row r="130" spans="1:20" ht="15.75" customHeight="1" x14ac:dyDescent="0.3">
      <c r="A130" s="79" t="s">
        <v>106</v>
      </c>
      <c r="B130" s="1">
        <f>B128+B293</f>
        <v>152146</v>
      </c>
      <c r="C130" s="1">
        <f>C128+C293</f>
        <v>113658</v>
      </c>
      <c r="D130" s="1">
        <f>D128+D293</f>
        <v>121923</v>
      </c>
      <c r="E130" s="55">
        <f>SUM(B130:D130)</f>
        <v>387727</v>
      </c>
      <c r="F130" s="1">
        <f>F128+F293</f>
        <v>166337</v>
      </c>
      <c r="G130" s="1">
        <f>G128+G293</f>
        <v>177295</v>
      </c>
      <c r="H130" s="1">
        <f>H128+H293</f>
        <v>90823</v>
      </c>
      <c r="I130" s="55">
        <f>SUM(F130:H130)</f>
        <v>434455</v>
      </c>
      <c r="J130" s="1">
        <f>J128+J293</f>
        <v>76613</v>
      </c>
      <c r="K130" s="1">
        <f>K128+K293</f>
        <v>67039</v>
      </c>
      <c r="L130" s="1">
        <f>L128+L293</f>
        <v>130630</v>
      </c>
      <c r="M130" s="55">
        <f>SUM(J130:L130)</f>
        <v>274282</v>
      </c>
      <c r="N130" s="1">
        <f>N128+N293</f>
        <v>132880</v>
      </c>
      <c r="O130" s="1">
        <f>O128+O293</f>
        <v>137953</v>
      </c>
      <c r="P130" s="1">
        <f>P128+P293</f>
        <v>116828</v>
      </c>
      <c r="Q130" s="55">
        <f>SUM(N130:P130)</f>
        <v>387661</v>
      </c>
      <c r="R130" s="55">
        <f>+E130+I130+M130+Q130</f>
        <v>1484125</v>
      </c>
    </row>
    <row r="131" spans="1:20" ht="16.5" customHeight="1" thickBot="1" x14ac:dyDescent="0.35">
      <c r="A131" s="80" t="s">
        <v>107</v>
      </c>
      <c r="B131" s="25">
        <f>(B130/B10)/1.983</f>
        <v>2475.0052868739122</v>
      </c>
      <c r="C131" s="25">
        <f>(C130/C10)/1.983</f>
        <v>1976.4202618811621</v>
      </c>
      <c r="D131" s="25">
        <f>(D130/D10)/1.983</f>
        <v>1983.3585476550679</v>
      </c>
      <c r="E131" s="81" t="s">
        <v>7</v>
      </c>
      <c r="F131" s="25">
        <f>(F130/F10)/1.983</f>
        <v>2796.0497562615565</v>
      </c>
      <c r="G131" s="25">
        <f>(G130/G10)/1.983</f>
        <v>2884.1117238462411</v>
      </c>
      <c r="H131" s="25">
        <f>(H130/H10)/1.983</f>
        <v>1526.6935619431838</v>
      </c>
      <c r="I131" s="81" t="s">
        <v>7</v>
      </c>
      <c r="J131" s="25">
        <f>(J130/J10)/1.983</f>
        <v>1246.2869877832545</v>
      </c>
      <c r="K131" s="25">
        <f>(K130/K10)/1.983</f>
        <v>1090.5438159842531</v>
      </c>
      <c r="L131" s="25">
        <f>(L130/L10)/1.983</f>
        <v>2195.8312321398553</v>
      </c>
      <c r="M131" s="81" t="s">
        <v>7</v>
      </c>
      <c r="N131" s="25">
        <f>(N130/N10)/1.983</f>
        <v>2161.5994013631998</v>
      </c>
      <c r="O131" s="25">
        <f>(O130/O10)/1.983</f>
        <v>2318.9275508488822</v>
      </c>
      <c r="P131" s="25">
        <f>(P130/P10)/1.983</f>
        <v>1900.4766320173082</v>
      </c>
      <c r="Q131" s="81" t="s">
        <v>7</v>
      </c>
      <c r="R131" s="81" t="s">
        <v>7</v>
      </c>
    </row>
    <row r="132" spans="1:20" ht="15.75" customHeight="1" x14ac:dyDescent="0.3">
      <c r="A132" s="28"/>
      <c r="B132" s="1"/>
      <c r="C132" s="1"/>
      <c r="D132" s="1"/>
      <c r="E132" s="1"/>
      <c r="F132" s="1"/>
      <c r="G132" s="1"/>
      <c r="H132" s="1"/>
      <c r="I132" s="1"/>
      <c r="J132" s="1"/>
      <c r="K132" s="1"/>
      <c r="L132" s="1"/>
      <c r="M132" s="1"/>
      <c r="N132" s="1"/>
      <c r="O132" s="1"/>
      <c r="P132" s="1"/>
      <c r="Q132" s="1"/>
      <c r="R132" s="2"/>
    </row>
    <row r="133" spans="1:20" ht="15.75" customHeight="1" thickBot="1" x14ac:dyDescent="0.35">
      <c r="A133" s="28" t="s">
        <v>7</v>
      </c>
      <c r="B133" s="1"/>
      <c r="C133" s="1"/>
      <c r="D133" s="1"/>
      <c r="E133" s="1"/>
      <c r="F133" s="1"/>
      <c r="G133" s="1"/>
      <c r="H133" s="1"/>
      <c r="I133" s="1"/>
      <c r="J133" s="1"/>
      <c r="K133" s="1"/>
      <c r="L133" s="1"/>
      <c r="M133" s="1"/>
      <c r="N133" s="1"/>
      <c r="O133" s="1"/>
      <c r="P133" s="1"/>
      <c r="Q133" s="1"/>
      <c r="R133" s="2"/>
    </row>
    <row r="134" spans="1:20" ht="16.5" customHeight="1" thickBot="1" x14ac:dyDescent="0.35">
      <c r="A134" s="29" t="s">
        <v>108</v>
      </c>
      <c r="B134" s="30" t="s">
        <v>8</v>
      </c>
      <c r="C134" s="31" t="s">
        <v>9</v>
      </c>
      <c r="D134" s="31" t="s">
        <v>10</v>
      </c>
      <c r="E134" s="32" t="s">
        <v>11</v>
      </c>
      <c r="F134" s="31" t="s">
        <v>12</v>
      </c>
      <c r="G134" s="31" t="s">
        <v>13</v>
      </c>
      <c r="H134" s="31" t="s">
        <v>14</v>
      </c>
      <c r="I134" s="33" t="s">
        <v>15</v>
      </c>
      <c r="J134" s="31" t="s">
        <v>16</v>
      </c>
      <c r="K134" s="31" t="s">
        <v>17</v>
      </c>
      <c r="L134" s="31" t="s">
        <v>18</v>
      </c>
      <c r="M134" s="33" t="s">
        <v>19</v>
      </c>
      <c r="N134" s="31" t="s">
        <v>20</v>
      </c>
      <c r="O134" s="31" t="s">
        <v>21</v>
      </c>
      <c r="P134" s="31" t="s">
        <v>22</v>
      </c>
      <c r="Q134" s="33" t="s">
        <v>23</v>
      </c>
      <c r="R134" s="34" t="s">
        <v>24</v>
      </c>
    </row>
    <row r="135" spans="1:20" ht="16.5" customHeight="1" thickBot="1" x14ac:dyDescent="0.35">
      <c r="A135" s="74"/>
      <c r="B135" s="75"/>
      <c r="C135" s="75"/>
      <c r="D135" s="75"/>
      <c r="E135" s="82"/>
      <c r="F135" s="75"/>
      <c r="G135" s="75"/>
      <c r="H135" s="75"/>
      <c r="I135" s="82"/>
      <c r="J135" s="75"/>
      <c r="K135" s="75"/>
      <c r="L135" s="75"/>
      <c r="M135" s="82"/>
      <c r="N135" s="75"/>
      <c r="O135" s="75"/>
      <c r="P135" s="75"/>
      <c r="Q135" s="82"/>
      <c r="R135" s="74"/>
    </row>
    <row r="136" spans="1:20" ht="15.75" customHeight="1" x14ac:dyDescent="0.3">
      <c r="A136" s="15" t="s">
        <v>48</v>
      </c>
      <c r="B136" s="1" t="s">
        <v>7</v>
      </c>
      <c r="C136" s="1" t="s">
        <v>7</v>
      </c>
      <c r="D136" s="1" t="s">
        <v>7</v>
      </c>
      <c r="E136" s="55" t="s">
        <v>7</v>
      </c>
      <c r="F136" s="1" t="s">
        <v>7</v>
      </c>
      <c r="G136" s="1" t="s">
        <v>7</v>
      </c>
      <c r="H136" s="1" t="s">
        <v>7</v>
      </c>
      <c r="I136" s="55" t="s">
        <v>7</v>
      </c>
      <c r="J136" s="1" t="s">
        <v>7</v>
      </c>
      <c r="K136" s="1" t="s">
        <v>7</v>
      </c>
      <c r="L136" s="1" t="s">
        <v>7</v>
      </c>
      <c r="M136" s="55" t="s">
        <v>7</v>
      </c>
      <c r="N136" s="1" t="s">
        <v>7</v>
      </c>
      <c r="O136" s="1" t="s">
        <v>7</v>
      </c>
      <c r="P136" s="1" t="s">
        <v>7</v>
      </c>
      <c r="Q136" s="55" t="s">
        <v>7</v>
      </c>
      <c r="R136" s="83" t="s">
        <v>7</v>
      </c>
    </row>
    <row r="137" spans="1:20" ht="15.75" customHeight="1" x14ac:dyDescent="0.3">
      <c r="A137" s="15" t="s">
        <v>49</v>
      </c>
      <c r="B137" s="1"/>
      <c r="C137" s="1"/>
      <c r="D137" s="1"/>
      <c r="E137" s="55" t="s">
        <v>7</v>
      </c>
      <c r="F137" s="1"/>
      <c r="G137" s="1"/>
      <c r="H137" s="1"/>
      <c r="I137" s="55" t="s">
        <v>7</v>
      </c>
      <c r="J137" s="1"/>
      <c r="K137" s="1"/>
      <c r="L137" s="1"/>
      <c r="M137" s="55" t="s">
        <v>7</v>
      </c>
      <c r="N137" s="1"/>
      <c r="O137" s="1"/>
      <c r="P137" s="1"/>
      <c r="Q137" s="55" t="s">
        <v>7</v>
      </c>
      <c r="R137" s="83"/>
    </row>
    <row r="138" spans="1:20" ht="15.75" customHeight="1" x14ac:dyDescent="0.3">
      <c r="A138" s="84" t="s">
        <v>811</v>
      </c>
      <c r="B138" s="1"/>
      <c r="C138" s="1"/>
      <c r="D138" s="1">
        <v>328</v>
      </c>
      <c r="E138" s="55">
        <f t="shared" ref="E138:E143" si="20">SUM(B138:D138)</f>
        <v>328</v>
      </c>
      <c r="F138" s="1">
        <v>335</v>
      </c>
      <c r="G138" s="1">
        <v>611</v>
      </c>
      <c r="H138" s="1">
        <v>585</v>
      </c>
      <c r="I138" s="55">
        <f t="shared" ref="I138:I143" si="21">SUM(F138:H138)</f>
        <v>1531</v>
      </c>
      <c r="J138" s="1">
        <v>656</v>
      </c>
      <c r="K138" s="1">
        <v>443</v>
      </c>
      <c r="L138" s="1">
        <v>703</v>
      </c>
      <c r="M138" s="55">
        <f t="shared" ref="M138:M143" si="22">SUM(J138:L138)</f>
        <v>1802</v>
      </c>
      <c r="N138" s="1">
        <v>528</v>
      </c>
      <c r="O138" s="1"/>
      <c r="P138" s="1"/>
      <c r="Q138" s="55">
        <f t="shared" ref="Q138:Q143" si="23">SUM(N138:P138)</f>
        <v>528</v>
      </c>
      <c r="R138" s="55">
        <f t="shared" ref="R138:R180" si="24">+E138+I138+M138+Q138</f>
        <v>4189</v>
      </c>
      <c r="T138" s="4" t="s">
        <v>812</v>
      </c>
    </row>
    <row r="139" spans="1:20" ht="15.75" customHeight="1" x14ac:dyDescent="0.3">
      <c r="A139" s="84" t="s">
        <v>813</v>
      </c>
      <c r="B139" s="1"/>
      <c r="C139" s="1">
        <v>81</v>
      </c>
      <c r="D139" s="1">
        <v>869</v>
      </c>
      <c r="E139" s="55">
        <f t="shared" si="20"/>
        <v>950</v>
      </c>
      <c r="F139" s="1">
        <f>524+1085</f>
        <v>1609</v>
      </c>
      <c r="G139" s="1">
        <f>156+1183</f>
        <v>1339</v>
      </c>
      <c r="H139" s="1">
        <f>146+1549</f>
        <v>1695</v>
      </c>
      <c r="I139" s="55">
        <f t="shared" si="21"/>
        <v>4643</v>
      </c>
      <c r="J139" s="1">
        <f>173+1615</f>
        <v>1788</v>
      </c>
      <c r="K139" s="1">
        <v>1502</v>
      </c>
      <c r="L139" s="1">
        <v>1297</v>
      </c>
      <c r="M139" s="55">
        <f t="shared" si="22"/>
        <v>4587</v>
      </c>
      <c r="N139" s="1">
        <v>913</v>
      </c>
      <c r="O139" s="1"/>
      <c r="P139" s="1"/>
      <c r="Q139" s="55">
        <f t="shared" si="23"/>
        <v>913</v>
      </c>
      <c r="R139" s="55">
        <f t="shared" si="24"/>
        <v>11093</v>
      </c>
      <c r="T139" s="4" t="s">
        <v>812</v>
      </c>
    </row>
    <row r="140" spans="1:20" ht="15.75" customHeight="1" x14ac:dyDescent="0.3">
      <c r="A140" s="84" t="s">
        <v>814</v>
      </c>
      <c r="B140" s="1"/>
      <c r="C140" s="1"/>
      <c r="D140" s="1"/>
      <c r="E140" s="55">
        <f t="shared" si="20"/>
        <v>0</v>
      </c>
      <c r="F140" s="1">
        <v>358</v>
      </c>
      <c r="G140" s="1">
        <v>346</v>
      </c>
      <c r="H140" s="1">
        <v>331</v>
      </c>
      <c r="I140" s="55">
        <f t="shared" si="21"/>
        <v>1035</v>
      </c>
      <c r="J140" s="1">
        <v>371</v>
      </c>
      <c r="K140" s="1">
        <v>251</v>
      </c>
      <c r="L140" s="1">
        <v>248</v>
      </c>
      <c r="M140" s="55">
        <f t="shared" si="22"/>
        <v>870</v>
      </c>
      <c r="N140" s="1">
        <v>467</v>
      </c>
      <c r="O140" s="1"/>
      <c r="P140" s="1"/>
      <c r="Q140" s="55">
        <f t="shared" si="23"/>
        <v>467</v>
      </c>
      <c r="R140" s="55">
        <f t="shared" si="24"/>
        <v>2372</v>
      </c>
      <c r="T140" s="4" t="s">
        <v>812</v>
      </c>
    </row>
    <row r="141" spans="1:20" ht="15.75" customHeight="1" x14ac:dyDescent="0.3">
      <c r="A141" s="84" t="s">
        <v>815</v>
      </c>
      <c r="B141" s="1"/>
      <c r="C141" s="1"/>
      <c r="D141" s="1"/>
      <c r="E141" s="55">
        <f t="shared" si="20"/>
        <v>0</v>
      </c>
      <c r="F141" s="1">
        <v>488</v>
      </c>
      <c r="G141" s="1">
        <v>471</v>
      </c>
      <c r="H141" s="1">
        <v>451</v>
      </c>
      <c r="I141" s="55">
        <f t="shared" si="21"/>
        <v>1410</v>
      </c>
      <c r="J141" s="1">
        <v>506</v>
      </c>
      <c r="K141" s="1">
        <v>342</v>
      </c>
      <c r="L141" s="1">
        <v>790</v>
      </c>
      <c r="M141" s="55">
        <f t="shared" si="22"/>
        <v>1638</v>
      </c>
      <c r="N141" s="1">
        <v>183</v>
      </c>
      <c r="O141" s="1"/>
      <c r="P141" s="1"/>
      <c r="Q141" s="55">
        <f t="shared" si="23"/>
        <v>183</v>
      </c>
      <c r="R141" s="55">
        <f t="shared" si="24"/>
        <v>3231</v>
      </c>
      <c r="T141" s="4" t="s">
        <v>812</v>
      </c>
    </row>
    <row r="142" spans="1:20" ht="15.75" customHeight="1" x14ac:dyDescent="0.3">
      <c r="A142" s="71" t="s">
        <v>111</v>
      </c>
      <c r="B142" s="1"/>
      <c r="C142" s="1"/>
      <c r="D142" s="1"/>
      <c r="E142" s="55">
        <f t="shared" si="20"/>
        <v>0</v>
      </c>
      <c r="F142" s="1"/>
      <c r="G142" s="1"/>
      <c r="H142" s="1">
        <v>6</v>
      </c>
      <c r="I142" s="55">
        <f t="shared" si="21"/>
        <v>6</v>
      </c>
      <c r="J142" s="1">
        <v>7</v>
      </c>
      <c r="K142" s="1">
        <v>4</v>
      </c>
      <c r="L142" s="1">
        <v>4</v>
      </c>
      <c r="M142" s="55">
        <f t="shared" si="22"/>
        <v>15</v>
      </c>
      <c r="N142" s="1">
        <v>3</v>
      </c>
      <c r="O142" s="1">
        <v>1</v>
      </c>
      <c r="P142" s="1">
        <v>3</v>
      </c>
      <c r="Q142" s="55">
        <f t="shared" si="23"/>
        <v>7</v>
      </c>
      <c r="R142" s="55">
        <f t="shared" si="24"/>
        <v>28</v>
      </c>
      <c r="T142" s="4" t="s">
        <v>406</v>
      </c>
    </row>
    <row r="143" spans="1:20" ht="15.75" customHeight="1" x14ac:dyDescent="0.3">
      <c r="A143" s="84" t="s">
        <v>816</v>
      </c>
      <c r="B143" s="1"/>
      <c r="C143" s="1"/>
      <c r="D143" s="1">
        <v>375</v>
      </c>
      <c r="E143" s="55">
        <f t="shared" si="20"/>
        <v>375</v>
      </c>
      <c r="F143" s="1"/>
      <c r="G143" s="1"/>
      <c r="H143" s="1"/>
      <c r="I143" s="55">
        <f t="shared" si="21"/>
        <v>0</v>
      </c>
      <c r="J143" s="1"/>
      <c r="K143" s="1"/>
      <c r="L143" s="1"/>
      <c r="M143" s="55">
        <f t="shared" si="22"/>
        <v>0</v>
      </c>
      <c r="N143" s="1"/>
      <c r="O143" s="1"/>
      <c r="P143" s="1"/>
      <c r="Q143" s="55">
        <f t="shared" si="23"/>
        <v>0</v>
      </c>
      <c r="R143" s="55">
        <f t="shared" si="24"/>
        <v>375</v>
      </c>
      <c r="T143" s="4" t="s">
        <v>812</v>
      </c>
    </row>
    <row r="144" spans="1:20" ht="15.75" customHeight="1" x14ac:dyDescent="0.3">
      <c r="A144" s="84" t="s">
        <v>817</v>
      </c>
      <c r="B144" s="1"/>
      <c r="C144" s="1"/>
      <c r="D144" s="1"/>
      <c r="E144" s="55">
        <f t="shared" ref="E144:E155" si="25">SUM(B144:D144)</f>
        <v>0</v>
      </c>
      <c r="F144" s="1"/>
      <c r="G144" s="1"/>
      <c r="H144" s="1"/>
      <c r="I144" s="55">
        <f t="shared" ref="I144:I177" si="26">SUM(F144:H144)</f>
        <v>0</v>
      </c>
      <c r="J144" s="1"/>
      <c r="K144" s="1"/>
      <c r="L144" s="1"/>
      <c r="M144" s="55">
        <f t="shared" ref="M144:M177" si="27">SUM(J144:L144)</f>
        <v>0</v>
      </c>
      <c r="N144" s="1"/>
      <c r="O144" s="1"/>
      <c r="P144" s="1"/>
      <c r="Q144" s="55">
        <f t="shared" ref="Q144:Q173" si="28">SUM(N144:P144)</f>
        <v>0</v>
      </c>
      <c r="R144" s="55">
        <f t="shared" si="24"/>
        <v>0</v>
      </c>
      <c r="T144" s="4" t="s">
        <v>818</v>
      </c>
    </row>
    <row r="145" spans="1:20" ht="15.75" customHeight="1" x14ac:dyDescent="0.3">
      <c r="A145" s="84" t="s">
        <v>112</v>
      </c>
      <c r="B145" s="1"/>
      <c r="C145" s="1">
        <v>1000</v>
      </c>
      <c r="D145" s="1">
        <v>1000</v>
      </c>
      <c r="E145" s="55">
        <f t="shared" si="25"/>
        <v>2000</v>
      </c>
      <c r="F145" s="1">
        <v>1512</v>
      </c>
      <c r="G145" s="1">
        <v>1904</v>
      </c>
      <c r="H145" s="1"/>
      <c r="I145" s="55">
        <f t="shared" si="26"/>
        <v>3416</v>
      </c>
      <c r="J145" s="1"/>
      <c r="K145" s="1"/>
      <c r="L145" s="1"/>
      <c r="M145" s="55">
        <f t="shared" si="27"/>
        <v>0</v>
      </c>
      <c r="N145" s="1"/>
      <c r="O145" s="1"/>
      <c r="P145" s="1"/>
      <c r="Q145" s="55">
        <f t="shared" si="28"/>
        <v>0</v>
      </c>
      <c r="R145" s="55">
        <f t="shared" si="24"/>
        <v>5416</v>
      </c>
      <c r="T145" s="4" t="s">
        <v>819</v>
      </c>
    </row>
    <row r="146" spans="1:20" ht="15.75" customHeight="1" x14ac:dyDescent="0.3">
      <c r="A146" s="71" t="s">
        <v>820</v>
      </c>
      <c r="B146" s="1"/>
      <c r="C146" s="1"/>
      <c r="D146" s="1"/>
      <c r="E146" s="55">
        <f t="shared" si="25"/>
        <v>0</v>
      </c>
      <c r="F146" s="1"/>
      <c r="G146" s="1"/>
      <c r="H146" s="1"/>
      <c r="I146" s="55">
        <f t="shared" si="26"/>
        <v>0</v>
      </c>
      <c r="J146" s="1"/>
      <c r="K146" s="1"/>
      <c r="L146" s="1"/>
      <c r="M146" s="55">
        <f t="shared" si="27"/>
        <v>0</v>
      </c>
      <c r="N146" s="1"/>
      <c r="O146" s="1"/>
      <c r="P146" s="1"/>
      <c r="Q146" s="55">
        <f t="shared" si="28"/>
        <v>0</v>
      </c>
      <c r="R146" s="55">
        <f t="shared" si="24"/>
        <v>0</v>
      </c>
      <c r="S146" s="4" t="s">
        <v>821</v>
      </c>
      <c r="T146" s="4" t="s">
        <v>822</v>
      </c>
    </row>
    <row r="147" spans="1:20" ht="15.75" customHeight="1" x14ac:dyDescent="0.3">
      <c r="A147" s="84" t="s">
        <v>177</v>
      </c>
      <c r="B147" s="1"/>
      <c r="C147" s="1"/>
      <c r="D147" s="1">
        <v>1000</v>
      </c>
      <c r="E147" s="55">
        <f>SUM(B147:D147)</f>
        <v>1000</v>
      </c>
      <c r="F147" s="1">
        <v>318</v>
      </c>
      <c r="G147" s="1">
        <v>1055</v>
      </c>
      <c r="H147" s="1">
        <v>1247</v>
      </c>
      <c r="I147" s="55">
        <f t="shared" si="26"/>
        <v>2620</v>
      </c>
      <c r="J147" s="1"/>
      <c r="K147" s="1">
        <v>453</v>
      </c>
      <c r="L147" s="1">
        <v>279</v>
      </c>
      <c r="M147" s="55">
        <f t="shared" si="27"/>
        <v>732</v>
      </c>
      <c r="N147" s="1"/>
      <c r="O147" s="1">
        <v>487</v>
      </c>
      <c r="P147" s="1"/>
      <c r="Q147" s="55">
        <f t="shared" si="28"/>
        <v>487</v>
      </c>
      <c r="R147" s="55">
        <f t="shared" si="24"/>
        <v>4839</v>
      </c>
      <c r="T147" s="4" t="s">
        <v>818</v>
      </c>
    </row>
    <row r="148" spans="1:20" ht="15.75" customHeight="1" x14ac:dyDescent="0.3">
      <c r="A148" s="84" t="s">
        <v>178</v>
      </c>
      <c r="B148" s="1"/>
      <c r="C148" s="1"/>
      <c r="D148" s="1"/>
      <c r="E148" s="55">
        <f t="shared" si="25"/>
        <v>0</v>
      </c>
      <c r="F148" s="1"/>
      <c r="G148" s="1"/>
      <c r="H148" s="1"/>
      <c r="I148" s="55">
        <f t="shared" si="26"/>
        <v>0</v>
      </c>
      <c r="J148" s="1"/>
      <c r="K148" s="1"/>
      <c r="L148" s="1">
        <v>157</v>
      </c>
      <c r="M148" s="55">
        <f t="shared" si="27"/>
        <v>157</v>
      </c>
      <c r="N148" s="1"/>
      <c r="O148" s="1"/>
      <c r="P148" s="1"/>
      <c r="Q148" s="55">
        <f t="shared" si="28"/>
        <v>0</v>
      </c>
      <c r="R148" s="55">
        <f t="shared" si="24"/>
        <v>157</v>
      </c>
      <c r="T148" s="4" t="s">
        <v>819</v>
      </c>
    </row>
    <row r="149" spans="1:20" ht="15.75" customHeight="1" x14ac:dyDescent="0.3">
      <c r="A149" s="84" t="s">
        <v>823</v>
      </c>
      <c r="B149" s="1"/>
      <c r="C149" s="1"/>
      <c r="D149" s="1"/>
      <c r="E149" s="55">
        <f t="shared" si="25"/>
        <v>0</v>
      </c>
      <c r="F149" s="1">
        <v>1000</v>
      </c>
      <c r="G149" s="1">
        <v>1000</v>
      </c>
      <c r="H149" s="1">
        <v>1000</v>
      </c>
      <c r="I149" s="55">
        <f t="shared" si="26"/>
        <v>3000</v>
      </c>
      <c r="J149" s="1"/>
      <c r="K149" s="1"/>
      <c r="L149" s="1"/>
      <c r="M149" s="55">
        <f t="shared" si="27"/>
        <v>0</v>
      </c>
      <c r="N149" s="1"/>
      <c r="O149" s="1"/>
      <c r="P149" s="1"/>
      <c r="Q149" s="55">
        <f t="shared" si="28"/>
        <v>0</v>
      </c>
      <c r="R149" s="55">
        <f t="shared" si="24"/>
        <v>3000</v>
      </c>
      <c r="T149" s="4" t="s">
        <v>812</v>
      </c>
    </row>
    <row r="150" spans="1:20" ht="15.75" customHeight="1" x14ac:dyDescent="0.3">
      <c r="A150" s="71" t="s">
        <v>114</v>
      </c>
      <c r="B150" s="1">
        <v>36</v>
      </c>
      <c r="C150" s="1">
        <v>33</v>
      </c>
      <c r="D150" s="1">
        <v>36</v>
      </c>
      <c r="E150" s="55">
        <f t="shared" si="25"/>
        <v>105</v>
      </c>
      <c r="F150" s="1">
        <v>40</v>
      </c>
      <c r="G150" s="1">
        <v>43</v>
      </c>
      <c r="H150" s="1">
        <v>50</v>
      </c>
      <c r="I150" s="55">
        <f t="shared" si="26"/>
        <v>133</v>
      </c>
      <c r="J150" s="1">
        <v>51</v>
      </c>
      <c r="K150" s="1">
        <v>55</v>
      </c>
      <c r="L150" s="1">
        <v>52</v>
      </c>
      <c r="M150" s="55">
        <f t="shared" si="27"/>
        <v>158</v>
      </c>
      <c r="N150" s="1">
        <v>63</v>
      </c>
      <c r="O150" s="1">
        <v>32</v>
      </c>
      <c r="P150" s="1">
        <v>27</v>
      </c>
      <c r="Q150" s="55">
        <f t="shared" si="28"/>
        <v>122</v>
      </c>
      <c r="R150" s="55">
        <f t="shared" si="24"/>
        <v>518</v>
      </c>
      <c r="T150" s="4" t="s">
        <v>824</v>
      </c>
    </row>
    <row r="151" spans="1:20" ht="15.75" customHeight="1" x14ac:dyDescent="0.3">
      <c r="A151" s="71" t="s">
        <v>115</v>
      </c>
      <c r="B151" s="1">
        <v>115</v>
      </c>
      <c r="C151" s="1">
        <v>136</v>
      </c>
      <c r="D151" s="1">
        <v>141</v>
      </c>
      <c r="E151" s="55">
        <f t="shared" si="25"/>
        <v>392</v>
      </c>
      <c r="F151" s="1">
        <v>145</v>
      </c>
      <c r="G151" s="1">
        <v>162</v>
      </c>
      <c r="H151" s="1">
        <v>189</v>
      </c>
      <c r="I151" s="55">
        <f t="shared" si="26"/>
        <v>496</v>
      </c>
      <c r="J151" s="1">
        <v>205</v>
      </c>
      <c r="K151" s="1">
        <v>165</v>
      </c>
      <c r="L151" s="1">
        <v>168</v>
      </c>
      <c r="M151" s="55">
        <f t="shared" si="27"/>
        <v>538</v>
      </c>
      <c r="N151" s="1">
        <v>223</v>
      </c>
      <c r="O151" s="1">
        <v>148</v>
      </c>
      <c r="P151" s="1">
        <v>134</v>
      </c>
      <c r="Q151" s="55">
        <f t="shared" si="28"/>
        <v>505</v>
      </c>
      <c r="R151" s="55">
        <f t="shared" si="24"/>
        <v>1931</v>
      </c>
      <c r="T151" s="4" t="s">
        <v>825</v>
      </c>
    </row>
    <row r="152" spans="1:20" ht="15.75" customHeight="1" x14ac:dyDescent="0.3">
      <c r="A152" s="71" t="s">
        <v>826</v>
      </c>
      <c r="B152" s="1"/>
      <c r="C152" s="1"/>
      <c r="D152" s="1"/>
      <c r="E152" s="55">
        <f t="shared" si="25"/>
        <v>0</v>
      </c>
      <c r="F152" s="1"/>
      <c r="G152" s="1"/>
      <c r="H152" s="1"/>
      <c r="I152" s="55">
        <f t="shared" si="26"/>
        <v>0</v>
      </c>
      <c r="J152" s="1"/>
      <c r="K152" s="1"/>
      <c r="L152" s="1">
        <f>24+300</f>
        <v>324</v>
      </c>
      <c r="M152" s="55">
        <f t="shared" si="27"/>
        <v>324</v>
      </c>
      <c r="N152" s="1">
        <f>637+126</f>
        <v>763</v>
      </c>
      <c r="O152" s="1">
        <f>500+148</f>
        <v>648</v>
      </c>
      <c r="P152" s="1"/>
      <c r="Q152" s="55">
        <f t="shared" si="28"/>
        <v>1411</v>
      </c>
      <c r="R152" s="55">
        <f t="shared" si="24"/>
        <v>1735</v>
      </c>
      <c r="S152" s="4" t="s">
        <v>821</v>
      </c>
    </row>
    <row r="153" spans="1:20" ht="15.75" customHeight="1" x14ac:dyDescent="0.3">
      <c r="A153" s="84" t="s">
        <v>827</v>
      </c>
      <c r="B153" s="1"/>
      <c r="C153" s="1"/>
      <c r="D153" s="1"/>
      <c r="E153" s="55">
        <f t="shared" si="25"/>
        <v>0</v>
      </c>
      <c r="F153" s="1"/>
      <c r="G153" s="1">
        <v>63</v>
      </c>
      <c r="H153" s="1">
        <v>63</v>
      </c>
      <c r="I153" s="55">
        <f t="shared" si="26"/>
        <v>126</v>
      </c>
      <c r="J153" s="1">
        <v>62</v>
      </c>
      <c r="K153" s="1">
        <v>158</v>
      </c>
      <c r="L153" s="1">
        <v>154</v>
      </c>
      <c r="M153" s="55">
        <f t="shared" si="27"/>
        <v>374</v>
      </c>
      <c r="N153" s="1"/>
      <c r="O153" s="1"/>
      <c r="P153" s="1"/>
      <c r="Q153" s="55">
        <f t="shared" si="28"/>
        <v>0</v>
      </c>
      <c r="R153" s="55">
        <f t="shared" si="24"/>
        <v>500</v>
      </c>
      <c r="T153" s="4" t="s">
        <v>812</v>
      </c>
    </row>
    <row r="154" spans="1:20" ht="15.75" customHeight="1" x14ac:dyDescent="0.3">
      <c r="A154" s="71" t="s">
        <v>828</v>
      </c>
      <c r="B154" s="1">
        <v>370</v>
      </c>
      <c r="C154" s="1">
        <v>391</v>
      </c>
      <c r="D154" s="1">
        <v>454</v>
      </c>
      <c r="E154" s="55">
        <f t="shared" si="25"/>
        <v>1215</v>
      </c>
      <c r="F154" s="1">
        <v>458</v>
      </c>
      <c r="G154" s="1">
        <v>492</v>
      </c>
      <c r="H154" s="1">
        <v>527</v>
      </c>
      <c r="I154" s="55">
        <f t="shared" si="26"/>
        <v>1477</v>
      </c>
      <c r="J154" s="1">
        <v>490</v>
      </c>
      <c r="K154" s="1">
        <v>394</v>
      </c>
      <c r="L154" s="1">
        <v>420</v>
      </c>
      <c r="M154" s="55">
        <f t="shared" si="27"/>
        <v>1304</v>
      </c>
      <c r="N154" s="1">
        <v>354</v>
      </c>
      <c r="O154" s="1">
        <v>142</v>
      </c>
      <c r="P154" s="1">
        <v>132</v>
      </c>
      <c r="Q154" s="55">
        <f t="shared" si="28"/>
        <v>628</v>
      </c>
      <c r="R154" s="55">
        <f t="shared" si="24"/>
        <v>4624</v>
      </c>
      <c r="T154" s="4" t="s">
        <v>829</v>
      </c>
    </row>
    <row r="155" spans="1:20" ht="15.75" customHeight="1" x14ac:dyDescent="0.3">
      <c r="A155" s="84" t="s">
        <v>830</v>
      </c>
      <c r="B155" s="1"/>
      <c r="C155" s="1"/>
      <c r="D155" s="1"/>
      <c r="E155" s="55">
        <f t="shared" si="25"/>
        <v>0</v>
      </c>
      <c r="F155" s="1"/>
      <c r="G155" s="1"/>
      <c r="H155" s="1"/>
      <c r="I155" s="55">
        <f t="shared" si="26"/>
        <v>0</v>
      </c>
      <c r="J155" s="1"/>
      <c r="K155" s="1">
        <v>17</v>
      </c>
      <c r="L155" s="1">
        <v>491</v>
      </c>
      <c r="M155" s="55">
        <f t="shared" si="27"/>
        <v>508</v>
      </c>
      <c r="N155" s="1"/>
      <c r="O155" s="1"/>
      <c r="P155" s="1"/>
      <c r="Q155" s="55">
        <f t="shared" si="28"/>
        <v>0</v>
      </c>
      <c r="R155" s="55">
        <f t="shared" si="24"/>
        <v>508</v>
      </c>
      <c r="T155" s="4" t="s">
        <v>819</v>
      </c>
    </row>
    <row r="156" spans="1:20" ht="15.75" customHeight="1" x14ac:dyDescent="0.3">
      <c r="A156" s="71" t="s">
        <v>831</v>
      </c>
      <c r="B156" s="1"/>
      <c r="C156" s="1"/>
      <c r="D156" s="1"/>
      <c r="E156" s="55">
        <f t="shared" ref="E156:E176" si="29">SUM(B156:D156)</f>
        <v>0</v>
      </c>
      <c r="F156" s="1">
        <v>140</v>
      </c>
      <c r="G156" s="1">
        <v>140</v>
      </c>
      <c r="H156" s="1">
        <v>140</v>
      </c>
      <c r="I156" s="55">
        <f t="shared" si="26"/>
        <v>420</v>
      </c>
      <c r="J156" s="1">
        <f>140+719</f>
        <v>859</v>
      </c>
      <c r="K156" s="1">
        <v>140</v>
      </c>
      <c r="L156" s="1">
        <f>140+800</f>
        <v>940</v>
      </c>
      <c r="M156" s="55">
        <f t="shared" si="27"/>
        <v>1939</v>
      </c>
      <c r="N156" s="1">
        <v>140</v>
      </c>
      <c r="O156" s="1">
        <v>219</v>
      </c>
      <c r="P156" s="1"/>
      <c r="Q156" s="55">
        <f t="shared" si="28"/>
        <v>359</v>
      </c>
      <c r="R156" s="55">
        <f t="shared" si="24"/>
        <v>2718</v>
      </c>
      <c r="S156" s="4" t="s">
        <v>821</v>
      </c>
      <c r="T156" s="4" t="s">
        <v>822</v>
      </c>
    </row>
    <row r="157" spans="1:20" s="123" customFormat="1" ht="15.75" customHeight="1" x14ac:dyDescent="0.3">
      <c r="A157" s="289" t="s">
        <v>697</v>
      </c>
      <c r="B157" s="121"/>
      <c r="C157" s="121"/>
      <c r="D157" s="121"/>
      <c r="E157" s="113">
        <f t="shared" si="29"/>
        <v>0</v>
      </c>
      <c r="F157" s="121"/>
      <c r="G157" s="121"/>
      <c r="H157" s="121"/>
      <c r="I157" s="113">
        <f t="shared" si="26"/>
        <v>0</v>
      </c>
      <c r="J157" s="121"/>
      <c r="K157" s="121"/>
      <c r="L157" s="121"/>
      <c r="M157" s="113">
        <f t="shared" si="27"/>
        <v>0</v>
      </c>
      <c r="N157" s="121"/>
      <c r="O157" s="121"/>
      <c r="P157" s="121"/>
      <c r="Q157" s="113">
        <f t="shared" si="28"/>
        <v>0</v>
      </c>
      <c r="R157" s="113">
        <f t="shared" si="24"/>
        <v>0</v>
      </c>
      <c r="S157" s="4"/>
    </row>
    <row r="158" spans="1:20" ht="15.75" customHeight="1" x14ac:dyDescent="0.3">
      <c r="A158" s="71" t="s">
        <v>698</v>
      </c>
      <c r="B158" s="1"/>
      <c r="C158" s="1"/>
      <c r="D158" s="1"/>
      <c r="E158" s="55">
        <f t="shared" si="29"/>
        <v>0</v>
      </c>
      <c r="F158" s="1"/>
      <c r="G158" s="1"/>
      <c r="H158" s="1">
        <v>1473</v>
      </c>
      <c r="I158" s="55">
        <f t="shared" si="26"/>
        <v>1473</v>
      </c>
      <c r="J158" s="1">
        <v>1695</v>
      </c>
      <c r="K158" s="1">
        <v>1276</v>
      </c>
      <c r="L158" s="1">
        <v>1039</v>
      </c>
      <c r="M158" s="55">
        <f t="shared" si="27"/>
        <v>4010</v>
      </c>
      <c r="N158" s="1">
        <v>1815</v>
      </c>
      <c r="O158" s="1">
        <v>1453</v>
      </c>
      <c r="P158" s="1">
        <v>1670</v>
      </c>
      <c r="Q158" s="55">
        <f t="shared" si="28"/>
        <v>4938</v>
      </c>
      <c r="R158" s="55">
        <f>+E158+I158+M158+Q158</f>
        <v>10421</v>
      </c>
      <c r="T158" s="4" t="s">
        <v>832</v>
      </c>
    </row>
    <row r="159" spans="1:20" ht="15.75" customHeight="1" x14ac:dyDescent="0.3">
      <c r="A159" s="84" t="s">
        <v>833</v>
      </c>
      <c r="B159" s="1"/>
      <c r="C159" s="1"/>
      <c r="D159" s="1"/>
      <c r="E159" s="55">
        <f t="shared" si="29"/>
        <v>0</v>
      </c>
      <c r="F159" s="1"/>
      <c r="G159" s="1"/>
      <c r="H159" s="1"/>
      <c r="I159" s="55">
        <f t="shared" si="26"/>
        <v>0</v>
      </c>
      <c r="J159" s="1">
        <v>500</v>
      </c>
      <c r="K159" s="1">
        <v>500</v>
      </c>
      <c r="L159" s="1"/>
      <c r="M159" s="55">
        <f t="shared" si="27"/>
        <v>1000</v>
      </c>
      <c r="N159" s="1"/>
      <c r="O159" s="1"/>
      <c r="P159" s="1"/>
      <c r="Q159" s="55">
        <f t="shared" si="28"/>
        <v>0</v>
      </c>
      <c r="R159" s="55">
        <f t="shared" ref="R159:R164" si="30">+E159+I159+M159+Q159</f>
        <v>1000</v>
      </c>
      <c r="T159" s="4" t="s">
        <v>812</v>
      </c>
    </row>
    <row r="160" spans="1:20" ht="15.75" customHeight="1" x14ac:dyDescent="0.3">
      <c r="A160" s="84" t="s">
        <v>834</v>
      </c>
      <c r="B160" s="1"/>
      <c r="C160" s="1"/>
      <c r="D160" s="1">
        <v>500</v>
      </c>
      <c r="E160" s="55">
        <f t="shared" si="29"/>
        <v>500</v>
      </c>
      <c r="F160" s="1"/>
      <c r="G160" s="1"/>
      <c r="H160" s="1">
        <v>500</v>
      </c>
      <c r="I160" s="55">
        <f t="shared" si="26"/>
        <v>500</v>
      </c>
      <c r="J160" s="1"/>
      <c r="K160" s="1"/>
      <c r="L160" s="1"/>
      <c r="M160" s="55">
        <f t="shared" si="27"/>
        <v>0</v>
      </c>
      <c r="N160" s="1"/>
      <c r="O160" s="1"/>
      <c r="P160" s="1"/>
      <c r="Q160" s="55">
        <f t="shared" si="28"/>
        <v>0</v>
      </c>
      <c r="R160" s="55">
        <f t="shared" si="30"/>
        <v>1000</v>
      </c>
      <c r="T160" s="4" t="s">
        <v>819</v>
      </c>
    </row>
    <row r="161" spans="1:20" ht="15.75" customHeight="1" x14ac:dyDescent="0.3">
      <c r="A161" s="71" t="s">
        <v>835</v>
      </c>
      <c r="B161" s="1"/>
      <c r="C161" s="1"/>
      <c r="D161" s="1"/>
      <c r="E161" s="55">
        <f t="shared" si="29"/>
        <v>0</v>
      </c>
      <c r="F161" s="1"/>
      <c r="G161" s="1"/>
      <c r="H161" s="1"/>
      <c r="I161" s="55">
        <f t="shared" si="26"/>
        <v>0</v>
      </c>
      <c r="J161" s="1">
        <v>1000</v>
      </c>
      <c r="K161" s="1"/>
      <c r="L161" s="1"/>
      <c r="M161" s="55">
        <f t="shared" si="27"/>
        <v>1000</v>
      </c>
      <c r="N161" s="1"/>
      <c r="O161" s="1"/>
      <c r="P161" s="1"/>
      <c r="Q161" s="55">
        <f t="shared" si="28"/>
        <v>0</v>
      </c>
      <c r="R161" s="55">
        <f t="shared" si="30"/>
        <v>1000</v>
      </c>
      <c r="S161" s="4" t="s">
        <v>821</v>
      </c>
      <c r="T161" s="4" t="s">
        <v>836</v>
      </c>
    </row>
    <row r="162" spans="1:20" ht="15.75" customHeight="1" x14ac:dyDescent="0.3">
      <c r="A162" s="84" t="s">
        <v>837</v>
      </c>
      <c r="B162" s="1"/>
      <c r="C162" s="1"/>
      <c r="D162" s="1">
        <v>310</v>
      </c>
      <c r="E162" s="55">
        <f t="shared" si="29"/>
        <v>310</v>
      </c>
      <c r="F162" s="1">
        <v>1690</v>
      </c>
      <c r="G162" s="1"/>
      <c r="H162" s="1"/>
      <c r="I162" s="55">
        <f t="shared" si="26"/>
        <v>1690</v>
      </c>
      <c r="J162" s="1"/>
      <c r="K162" s="1"/>
      <c r="L162" s="1"/>
      <c r="M162" s="55">
        <f t="shared" si="27"/>
        <v>0</v>
      </c>
      <c r="N162" s="1"/>
      <c r="O162" s="1"/>
      <c r="P162" s="1"/>
      <c r="Q162" s="55">
        <f t="shared" si="28"/>
        <v>0</v>
      </c>
      <c r="R162" s="55">
        <f t="shared" si="30"/>
        <v>2000</v>
      </c>
      <c r="T162" s="4" t="s">
        <v>818</v>
      </c>
    </row>
    <row r="163" spans="1:20" ht="15.75" customHeight="1" x14ac:dyDescent="0.3">
      <c r="A163" s="84" t="s">
        <v>838</v>
      </c>
      <c r="B163" s="1"/>
      <c r="C163" s="1"/>
      <c r="D163" s="1"/>
      <c r="E163" s="55">
        <f t="shared" si="29"/>
        <v>0</v>
      </c>
      <c r="F163" s="1"/>
      <c r="G163" s="1"/>
      <c r="H163" s="1"/>
      <c r="I163" s="55">
        <f t="shared" si="26"/>
        <v>0</v>
      </c>
      <c r="J163" s="1"/>
      <c r="K163" s="1"/>
      <c r="L163" s="1"/>
      <c r="M163" s="55">
        <f t="shared" si="27"/>
        <v>0</v>
      </c>
      <c r="N163" s="1"/>
      <c r="O163" s="1"/>
      <c r="P163" s="1"/>
      <c r="Q163" s="55">
        <f t="shared" si="28"/>
        <v>0</v>
      </c>
      <c r="R163" s="55">
        <f t="shared" si="30"/>
        <v>0</v>
      </c>
      <c r="T163" s="4" t="s">
        <v>819</v>
      </c>
    </row>
    <row r="164" spans="1:20" ht="15.75" customHeight="1" x14ac:dyDescent="0.3">
      <c r="A164" s="71" t="s">
        <v>120</v>
      </c>
      <c r="B164" s="1">
        <v>18</v>
      </c>
      <c r="C164" s="1">
        <v>30</v>
      </c>
      <c r="D164" s="1">
        <v>35</v>
      </c>
      <c r="E164" s="55">
        <f t="shared" si="29"/>
        <v>83</v>
      </c>
      <c r="F164" s="1">
        <v>47</v>
      </c>
      <c r="G164" s="1">
        <v>79</v>
      </c>
      <c r="H164" s="1">
        <v>76</v>
      </c>
      <c r="I164" s="55">
        <f t="shared" si="26"/>
        <v>202</v>
      </c>
      <c r="J164" s="1">
        <v>80</v>
      </c>
      <c r="K164" s="1">
        <v>68</v>
      </c>
      <c r="L164" s="1">
        <v>50</v>
      </c>
      <c r="M164" s="55">
        <f t="shared" si="27"/>
        <v>198</v>
      </c>
      <c r="N164" s="1">
        <v>73</v>
      </c>
      <c r="O164" s="1">
        <v>26</v>
      </c>
      <c r="P164" s="1">
        <v>15</v>
      </c>
      <c r="Q164" s="55">
        <f t="shared" si="28"/>
        <v>114</v>
      </c>
      <c r="R164" s="55">
        <f t="shared" si="30"/>
        <v>597</v>
      </c>
      <c r="T164" s="4" t="s">
        <v>406</v>
      </c>
    </row>
    <row r="165" spans="1:20" ht="15.75" customHeight="1" x14ac:dyDescent="0.3">
      <c r="A165" s="84" t="s">
        <v>839</v>
      </c>
      <c r="B165" s="1">
        <v>300</v>
      </c>
      <c r="C165" s="1"/>
      <c r="D165" s="1">
        <v>533</v>
      </c>
      <c r="E165" s="55">
        <f t="shared" si="29"/>
        <v>833</v>
      </c>
      <c r="F165" s="1"/>
      <c r="G165" s="1">
        <v>67</v>
      </c>
      <c r="H165" s="1"/>
      <c r="I165" s="55">
        <f t="shared" si="26"/>
        <v>67</v>
      </c>
      <c r="J165" s="1"/>
      <c r="K165" s="1"/>
      <c r="L165" s="1">
        <v>750</v>
      </c>
      <c r="M165" s="55">
        <f t="shared" si="27"/>
        <v>750</v>
      </c>
      <c r="N165" s="1"/>
      <c r="O165" s="1"/>
      <c r="P165" s="1"/>
      <c r="Q165" s="55">
        <f t="shared" si="28"/>
        <v>0</v>
      </c>
      <c r="R165" s="55">
        <f t="shared" si="24"/>
        <v>1650</v>
      </c>
      <c r="T165" s="4" t="s">
        <v>818</v>
      </c>
    </row>
    <row r="166" spans="1:20" ht="15.75" customHeight="1" x14ac:dyDescent="0.3">
      <c r="A166" s="84" t="s">
        <v>840</v>
      </c>
      <c r="B166" s="1"/>
      <c r="C166" s="1"/>
      <c r="D166" s="1"/>
      <c r="E166" s="55">
        <f t="shared" si="29"/>
        <v>0</v>
      </c>
      <c r="F166" s="1"/>
      <c r="G166" s="1"/>
      <c r="H166" s="1"/>
      <c r="I166" s="55">
        <f t="shared" si="26"/>
        <v>0</v>
      </c>
      <c r="J166" s="1"/>
      <c r="K166" s="1"/>
      <c r="L166" s="1"/>
      <c r="M166" s="55">
        <f t="shared" si="27"/>
        <v>0</v>
      </c>
      <c r="N166" s="1"/>
      <c r="O166" s="1"/>
      <c r="P166" s="1">
        <v>430</v>
      </c>
      <c r="Q166" s="55">
        <f t="shared" si="28"/>
        <v>430</v>
      </c>
      <c r="R166" s="55">
        <f t="shared" si="24"/>
        <v>430</v>
      </c>
      <c r="T166" s="4" t="s">
        <v>819</v>
      </c>
    </row>
    <row r="167" spans="1:20" ht="15.75" customHeight="1" x14ac:dyDescent="0.3">
      <c r="A167" s="84" t="s">
        <v>841</v>
      </c>
      <c r="B167" s="1"/>
      <c r="C167" s="1"/>
      <c r="D167" s="1"/>
      <c r="E167" s="55">
        <f t="shared" si="29"/>
        <v>0</v>
      </c>
      <c r="F167" s="1"/>
      <c r="G167" s="1">
        <v>11</v>
      </c>
      <c r="H167" s="1">
        <v>84</v>
      </c>
      <c r="I167" s="55">
        <f t="shared" si="26"/>
        <v>95</v>
      </c>
      <c r="J167" s="1">
        <v>35</v>
      </c>
      <c r="K167" s="1">
        <v>64</v>
      </c>
      <c r="L167" s="1">
        <v>52</v>
      </c>
      <c r="M167" s="55">
        <f t="shared" si="27"/>
        <v>151</v>
      </c>
      <c r="N167" s="1">
        <v>87</v>
      </c>
      <c r="O167" s="1">
        <v>33</v>
      </c>
      <c r="P167" s="1">
        <v>19</v>
      </c>
      <c r="Q167" s="55">
        <f t="shared" si="28"/>
        <v>139</v>
      </c>
      <c r="R167" s="55">
        <f t="shared" si="24"/>
        <v>385</v>
      </c>
      <c r="T167" s="4" t="s">
        <v>842</v>
      </c>
    </row>
    <row r="168" spans="1:20" ht="15.75" customHeight="1" x14ac:dyDescent="0.3">
      <c r="A168" s="84" t="s">
        <v>843</v>
      </c>
      <c r="B168" s="1"/>
      <c r="C168" s="1"/>
      <c r="D168" s="1"/>
      <c r="E168" s="55">
        <f t="shared" si="29"/>
        <v>0</v>
      </c>
      <c r="F168" s="1"/>
      <c r="G168" s="1"/>
      <c r="H168" s="1">
        <v>38</v>
      </c>
      <c r="I168" s="55">
        <f t="shared" si="26"/>
        <v>38</v>
      </c>
      <c r="J168" s="1">
        <v>135</v>
      </c>
      <c r="K168" s="1">
        <v>86</v>
      </c>
      <c r="L168" s="1">
        <v>74</v>
      </c>
      <c r="M168" s="55">
        <f t="shared" si="27"/>
        <v>295</v>
      </c>
      <c r="N168" s="1">
        <v>76</v>
      </c>
      <c r="O168" s="1">
        <v>20</v>
      </c>
      <c r="P168" s="1">
        <v>4</v>
      </c>
      <c r="Q168" s="55">
        <f t="shared" si="28"/>
        <v>100</v>
      </c>
      <c r="R168" s="55">
        <f t="shared" si="24"/>
        <v>433</v>
      </c>
      <c r="T168" s="4" t="s">
        <v>406</v>
      </c>
    </row>
    <row r="169" spans="1:20" ht="15.75" customHeight="1" x14ac:dyDescent="0.3">
      <c r="A169" s="84" t="s">
        <v>844</v>
      </c>
      <c r="B169" s="1"/>
      <c r="C169" s="1"/>
      <c r="D169" s="1"/>
      <c r="E169" s="55">
        <f t="shared" si="29"/>
        <v>0</v>
      </c>
      <c r="F169" s="1"/>
      <c r="G169" s="1"/>
      <c r="H169" s="1"/>
      <c r="I169" s="55">
        <f t="shared" si="26"/>
        <v>0</v>
      </c>
      <c r="J169" s="1">
        <v>20</v>
      </c>
      <c r="K169" s="1">
        <v>14</v>
      </c>
      <c r="L169" s="1">
        <v>10</v>
      </c>
      <c r="M169" s="55">
        <f t="shared" si="27"/>
        <v>44</v>
      </c>
      <c r="N169" s="1"/>
      <c r="O169" s="1"/>
      <c r="P169" s="1"/>
      <c r="Q169" s="55">
        <f t="shared" si="28"/>
        <v>0</v>
      </c>
      <c r="R169" s="55">
        <f t="shared" si="24"/>
        <v>44</v>
      </c>
      <c r="T169" s="4" t="s">
        <v>812</v>
      </c>
    </row>
    <row r="170" spans="1:20" ht="15.75" customHeight="1" x14ac:dyDescent="0.3">
      <c r="A170" s="71" t="s">
        <v>845</v>
      </c>
      <c r="B170" s="1"/>
      <c r="C170" s="1"/>
      <c r="D170" s="1"/>
      <c r="E170" s="55">
        <f t="shared" si="29"/>
        <v>0</v>
      </c>
      <c r="F170" s="1"/>
      <c r="G170" s="1"/>
      <c r="H170" s="1"/>
      <c r="I170" s="55">
        <f t="shared" si="26"/>
        <v>0</v>
      </c>
      <c r="J170" s="1">
        <v>960</v>
      </c>
      <c r="K170" s="1">
        <v>958</v>
      </c>
      <c r="L170" s="1">
        <v>848</v>
      </c>
      <c r="M170" s="55">
        <f t="shared" si="27"/>
        <v>2766</v>
      </c>
      <c r="N170" s="1">
        <v>757</v>
      </c>
      <c r="O170" s="1">
        <v>707</v>
      </c>
      <c r="P170" s="1">
        <v>691</v>
      </c>
      <c r="Q170" s="55">
        <f t="shared" si="28"/>
        <v>2155</v>
      </c>
      <c r="R170" s="55">
        <f t="shared" si="24"/>
        <v>4921</v>
      </c>
      <c r="T170" s="4" t="s">
        <v>832</v>
      </c>
    </row>
    <row r="171" spans="1:20" ht="15.75" customHeight="1" x14ac:dyDescent="0.3">
      <c r="A171" s="71" t="s">
        <v>846</v>
      </c>
      <c r="B171" s="1"/>
      <c r="C171" s="1"/>
      <c r="D171" s="1"/>
      <c r="E171" s="55">
        <f t="shared" si="29"/>
        <v>0</v>
      </c>
      <c r="F171" s="1"/>
      <c r="G171" s="1"/>
      <c r="H171" s="1"/>
      <c r="I171" s="55">
        <f t="shared" si="26"/>
        <v>0</v>
      </c>
      <c r="J171" s="1">
        <v>2500</v>
      </c>
      <c r="K171" s="1">
        <v>2850</v>
      </c>
      <c r="L171" s="1">
        <v>2150</v>
      </c>
      <c r="M171" s="55">
        <f t="shared" si="27"/>
        <v>7500</v>
      </c>
      <c r="N171" s="1"/>
      <c r="O171" s="1"/>
      <c r="P171" s="1"/>
      <c r="Q171" s="55">
        <f t="shared" si="28"/>
        <v>0</v>
      </c>
      <c r="R171" s="55">
        <f t="shared" si="24"/>
        <v>7500</v>
      </c>
      <c r="S171" s="4" t="s">
        <v>821</v>
      </c>
      <c r="T171" s="4" t="s">
        <v>822</v>
      </c>
    </row>
    <row r="172" spans="1:20" ht="15.75" customHeight="1" x14ac:dyDescent="0.3">
      <c r="A172" s="71" t="s">
        <v>847</v>
      </c>
      <c r="B172" s="1"/>
      <c r="C172" s="1"/>
      <c r="D172" s="1"/>
      <c r="E172" s="55">
        <f t="shared" si="29"/>
        <v>0</v>
      </c>
      <c r="F172" s="1"/>
      <c r="G172" s="1"/>
      <c r="H172" s="1"/>
      <c r="I172" s="55">
        <f t="shared" si="26"/>
        <v>0</v>
      </c>
      <c r="J172" s="1"/>
      <c r="K172" s="1"/>
      <c r="L172" s="1"/>
      <c r="M172" s="55">
        <f t="shared" si="27"/>
        <v>0</v>
      </c>
      <c r="N172" s="1"/>
      <c r="O172" s="1"/>
      <c r="P172" s="1"/>
      <c r="Q172" s="55">
        <f t="shared" si="28"/>
        <v>0</v>
      </c>
      <c r="R172" s="55">
        <f t="shared" si="24"/>
        <v>0</v>
      </c>
      <c r="T172" s="4" t="s">
        <v>822</v>
      </c>
    </row>
    <row r="173" spans="1:20" ht="15.75" customHeight="1" x14ac:dyDescent="0.3">
      <c r="A173" s="71" t="s">
        <v>122</v>
      </c>
      <c r="B173" s="1">
        <f>5056+19</f>
        <v>5075</v>
      </c>
      <c r="C173" s="1">
        <f>2961+30</f>
        <v>2991</v>
      </c>
      <c r="D173" s="1">
        <v>60</v>
      </c>
      <c r="E173" s="55">
        <f t="shared" si="29"/>
        <v>8126</v>
      </c>
      <c r="F173" s="1">
        <f>3269+1+3+64</f>
        <v>3337</v>
      </c>
      <c r="G173" s="1">
        <f>9194+1+2+100</f>
        <v>9297</v>
      </c>
      <c r="H173" s="1">
        <f>11325+1+2+103</f>
        <v>11431</v>
      </c>
      <c r="I173" s="55">
        <f t="shared" si="26"/>
        <v>24065</v>
      </c>
      <c r="J173" s="1">
        <f>4339+7550+1+2+101</f>
        <v>11993</v>
      </c>
      <c r="K173" s="1">
        <f>10059+1+2+58</f>
        <v>10120</v>
      </c>
      <c r="L173" s="1">
        <f>9507+1+2+65</f>
        <v>9575</v>
      </c>
      <c r="M173" s="55">
        <f t="shared" si="27"/>
        <v>31688</v>
      </c>
      <c r="N173" s="1">
        <f>9930+1+2+76</f>
        <v>10009</v>
      </c>
      <c r="O173" s="1">
        <f>8123+1+2+34</f>
        <v>8160</v>
      </c>
      <c r="P173" s="1">
        <f>4082+1+1106+2+18</f>
        <v>5209</v>
      </c>
      <c r="Q173" s="55">
        <f t="shared" si="28"/>
        <v>23378</v>
      </c>
      <c r="R173" s="55">
        <f t="shared" si="24"/>
        <v>87257</v>
      </c>
      <c r="S173" s="4" t="s">
        <v>821</v>
      </c>
    </row>
    <row r="174" spans="1:20" ht="15.75" customHeight="1" x14ac:dyDescent="0.3">
      <c r="A174" s="71" t="s">
        <v>848</v>
      </c>
      <c r="B174" s="1"/>
      <c r="C174" s="1"/>
      <c r="D174" s="1"/>
      <c r="E174" s="55">
        <f t="shared" si="29"/>
        <v>0</v>
      </c>
      <c r="F174" s="1"/>
      <c r="G174" s="1"/>
      <c r="H174" s="1"/>
      <c r="I174" s="55">
        <f t="shared" si="26"/>
        <v>0</v>
      </c>
      <c r="J174" s="1">
        <f>4600+350</f>
        <v>4950</v>
      </c>
      <c r="K174" s="1">
        <f>5400+1030</f>
        <v>6430</v>
      </c>
      <c r="L174" s="1">
        <v>1030</v>
      </c>
      <c r="M174" s="55">
        <f t="shared" si="27"/>
        <v>12410</v>
      </c>
      <c r="N174" s="1">
        <v>1030</v>
      </c>
      <c r="O174" s="1">
        <v>1030</v>
      </c>
      <c r="P174" s="1">
        <v>1030</v>
      </c>
      <c r="Q174" s="55">
        <f t="shared" ref="Q174:Q183" si="31">SUM(N174:P174)</f>
        <v>3090</v>
      </c>
      <c r="R174" s="55">
        <f>+E174+I174+M174+Q174</f>
        <v>15500</v>
      </c>
      <c r="T174" s="4" t="s">
        <v>822</v>
      </c>
    </row>
    <row r="175" spans="1:20" ht="15.75" customHeight="1" x14ac:dyDescent="0.3">
      <c r="A175" s="71" t="s">
        <v>849</v>
      </c>
      <c r="B175" s="1">
        <v>30</v>
      </c>
      <c r="C175" s="1">
        <v>30</v>
      </c>
      <c r="D175" s="1">
        <v>30</v>
      </c>
      <c r="E175" s="55">
        <f t="shared" si="29"/>
        <v>90</v>
      </c>
      <c r="F175" s="1">
        <v>30</v>
      </c>
      <c r="G175" s="1">
        <v>35</v>
      </c>
      <c r="H175" s="1">
        <v>35</v>
      </c>
      <c r="I175" s="55">
        <f t="shared" si="26"/>
        <v>100</v>
      </c>
      <c r="J175" s="1">
        <v>35</v>
      </c>
      <c r="K175" s="1">
        <v>35</v>
      </c>
      <c r="L175" s="1">
        <v>35</v>
      </c>
      <c r="M175" s="55">
        <f t="shared" si="27"/>
        <v>105</v>
      </c>
      <c r="N175" s="1">
        <v>30</v>
      </c>
      <c r="O175" s="1">
        <v>30</v>
      </c>
      <c r="P175" s="1">
        <v>30</v>
      </c>
      <c r="Q175" s="55">
        <f t="shared" si="31"/>
        <v>90</v>
      </c>
      <c r="R175" s="55">
        <f t="shared" si="24"/>
        <v>385</v>
      </c>
      <c r="S175" s="4" t="s">
        <v>821</v>
      </c>
      <c r="T175" s="4" t="s">
        <v>822</v>
      </c>
    </row>
    <row r="176" spans="1:20" ht="15.75" customHeight="1" x14ac:dyDescent="0.3">
      <c r="A176" s="71" t="s">
        <v>124</v>
      </c>
      <c r="B176" s="1">
        <f>3165+88+65+10</f>
        <v>3328</v>
      </c>
      <c r="C176" s="1">
        <f>118+85+234+23</f>
        <v>460</v>
      </c>
      <c r="D176" s="1">
        <f>95+470+50</f>
        <v>615</v>
      </c>
      <c r="E176" s="55">
        <f t="shared" si="29"/>
        <v>4403</v>
      </c>
      <c r="F176" s="1">
        <f>111+583+50</f>
        <v>744</v>
      </c>
      <c r="G176" s="1">
        <f>139+471+59</f>
        <v>669</v>
      </c>
      <c r="H176" s="1">
        <f>143+734+57</f>
        <v>934</v>
      </c>
      <c r="I176" s="55">
        <f t="shared" si="26"/>
        <v>2347</v>
      </c>
      <c r="J176" s="1">
        <f>5625+743+143+54</f>
        <v>6565</v>
      </c>
      <c r="K176" s="1">
        <f>5427+455+123+36</f>
        <v>6041</v>
      </c>
      <c r="L176" s="1">
        <f>5508+459+118+30</f>
        <v>6115</v>
      </c>
      <c r="M176" s="55">
        <f t="shared" si="27"/>
        <v>18721</v>
      </c>
      <c r="N176" s="1">
        <f>6001+535+125+55</f>
        <v>6716</v>
      </c>
      <c r="O176" s="1">
        <f>4932+178+100+25</f>
        <v>5235</v>
      </c>
      <c r="P176" s="1">
        <f>3300+236+26+14</f>
        <v>3576</v>
      </c>
      <c r="Q176" s="55">
        <f t="shared" si="31"/>
        <v>15527</v>
      </c>
      <c r="R176" s="55">
        <f>+E176+I176+M176+Q176</f>
        <v>40998</v>
      </c>
    </row>
    <row r="177" spans="1:20" ht="15.75" customHeight="1" x14ac:dyDescent="0.3">
      <c r="A177" s="71" t="s">
        <v>850</v>
      </c>
      <c r="C177" s="1"/>
      <c r="D177" s="1">
        <v>2500</v>
      </c>
      <c r="E177" s="55">
        <f t="shared" ref="E177:E183" si="32">SUM(B177:D177)</f>
        <v>2500</v>
      </c>
      <c r="F177" s="1"/>
      <c r="G177" s="1"/>
      <c r="H177" s="4">
        <v>500</v>
      </c>
      <c r="I177" s="55">
        <f t="shared" si="26"/>
        <v>500</v>
      </c>
      <c r="J177" s="1">
        <v>500</v>
      </c>
      <c r="K177" s="1">
        <v>250</v>
      </c>
      <c r="L177" s="1">
        <v>250</v>
      </c>
      <c r="M177" s="55">
        <f t="shared" si="27"/>
        <v>1000</v>
      </c>
      <c r="N177" s="1">
        <f>2200+250</f>
        <v>2450</v>
      </c>
      <c r="O177" s="1"/>
      <c r="P177" s="1"/>
      <c r="Q177" s="55">
        <f t="shared" si="31"/>
        <v>2450</v>
      </c>
      <c r="R177" s="55">
        <f t="shared" si="24"/>
        <v>6450</v>
      </c>
      <c r="S177" s="4" t="s">
        <v>821</v>
      </c>
    </row>
    <row r="178" spans="1:20" ht="15.75" customHeight="1" x14ac:dyDescent="0.3">
      <c r="A178" s="84" t="s">
        <v>851</v>
      </c>
      <c r="B178" s="1"/>
      <c r="C178" s="1"/>
      <c r="D178" s="1"/>
      <c r="E178" s="55">
        <f t="shared" si="32"/>
        <v>0</v>
      </c>
      <c r="F178" s="1"/>
      <c r="G178" s="1"/>
      <c r="H178" s="1"/>
      <c r="I178" s="55">
        <f t="shared" ref="I178:I183" si="33">SUM(F178:H178)</f>
        <v>0</v>
      </c>
      <c r="J178" s="1"/>
      <c r="K178" s="1"/>
      <c r="L178" s="1">
        <v>125</v>
      </c>
      <c r="M178" s="55">
        <f t="shared" ref="M178:M183" si="34">SUM(J178:L178)</f>
        <v>125</v>
      </c>
      <c r="N178" s="1"/>
      <c r="O178" s="1"/>
      <c r="P178" s="1"/>
      <c r="Q178" s="55">
        <f t="shared" si="31"/>
        <v>0</v>
      </c>
      <c r="R178" s="55">
        <f t="shared" si="24"/>
        <v>125</v>
      </c>
      <c r="T178" s="4" t="s">
        <v>818</v>
      </c>
    </row>
    <row r="179" spans="1:20" ht="15.75" customHeight="1" x14ac:dyDescent="0.3">
      <c r="A179" s="84" t="s">
        <v>852</v>
      </c>
      <c r="B179" s="1"/>
      <c r="C179" s="1"/>
      <c r="D179" s="1">
        <v>1378</v>
      </c>
      <c r="E179" s="55">
        <f t="shared" si="32"/>
        <v>1378</v>
      </c>
      <c r="F179" s="1">
        <v>1746</v>
      </c>
      <c r="G179" s="1"/>
      <c r="H179" s="1"/>
      <c r="I179" s="55">
        <f t="shared" si="33"/>
        <v>1746</v>
      </c>
      <c r="J179" s="1"/>
      <c r="K179" s="1"/>
      <c r="L179" s="1"/>
      <c r="M179" s="55">
        <f t="shared" si="34"/>
        <v>0</v>
      </c>
      <c r="N179" s="1"/>
      <c r="O179" s="1"/>
      <c r="P179" s="1"/>
      <c r="Q179" s="55">
        <f t="shared" si="31"/>
        <v>0</v>
      </c>
      <c r="R179" s="55">
        <f>+E179+I179+M179+Q179</f>
        <v>3124</v>
      </c>
    </row>
    <row r="180" spans="1:20" ht="15.75" customHeight="1" x14ac:dyDescent="0.3">
      <c r="A180" s="84" t="s">
        <v>853</v>
      </c>
      <c r="B180" s="1"/>
      <c r="C180" s="1"/>
      <c r="D180" s="1">
        <v>500</v>
      </c>
      <c r="E180" s="55">
        <f t="shared" si="32"/>
        <v>500</v>
      </c>
      <c r="F180" s="1">
        <v>500</v>
      </c>
      <c r="G180" s="1">
        <v>500</v>
      </c>
      <c r="H180" s="1">
        <v>500</v>
      </c>
      <c r="I180" s="55">
        <f t="shared" si="33"/>
        <v>1500</v>
      </c>
      <c r="J180" s="1"/>
      <c r="K180" s="1"/>
      <c r="L180" s="1"/>
      <c r="M180" s="55">
        <f t="shared" si="34"/>
        <v>0</v>
      </c>
      <c r="N180" s="1"/>
      <c r="O180" s="1"/>
      <c r="P180" s="1"/>
      <c r="Q180" s="55">
        <f t="shared" si="31"/>
        <v>0</v>
      </c>
      <c r="R180" s="55">
        <f t="shared" si="24"/>
        <v>2000</v>
      </c>
    </row>
    <row r="181" spans="1:20" ht="15.75" customHeight="1" x14ac:dyDescent="0.3">
      <c r="A181" s="71" t="s">
        <v>854</v>
      </c>
      <c r="B181" s="1">
        <f>94+28</f>
        <v>122</v>
      </c>
      <c r="C181" s="1">
        <f>94+206</f>
        <v>300</v>
      </c>
      <c r="D181" s="1">
        <f>94+256</f>
        <v>350</v>
      </c>
      <c r="E181" s="55">
        <f t="shared" si="32"/>
        <v>772</v>
      </c>
      <c r="F181" s="1">
        <f>94+256</f>
        <v>350</v>
      </c>
      <c r="G181" s="1">
        <f>94+306</f>
        <v>400</v>
      </c>
      <c r="H181" s="1">
        <f>94+356</f>
        <v>450</v>
      </c>
      <c r="I181" s="55">
        <f t="shared" si="33"/>
        <v>1200</v>
      </c>
      <c r="J181" s="1">
        <v>493</v>
      </c>
      <c r="K181" s="1">
        <f>94+406</f>
        <v>500</v>
      </c>
      <c r="L181" s="1">
        <v>306</v>
      </c>
      <c r="M181" s="55">
        <f t="shared" si="34"/>
        <v>1299</v>
      </c>
      <c r="N181" s="1">
        <f>306+94</f>
        <v>400</v>
      </c>
      <c r="O181" s="1">
        <f>206+94</f>
        <v>300</v>
      </c>
      <c r="P181" s="1">
        <f>156+94</f>
        <v>250</v>
      </c>
      <c r="Q181" s="55">
        <f t="shared" si="31"/>
        <v>950</v>
      </c>
      <c r="R181" s="55">
        <f>+E181+I181+M181+Q181</f>
        <v>4221</v>
      </c>
      <c r="S181" s="4" t="s">
        <v>821</v>
      </c>
      <c r="T181" s="4" t="s">
        <v>822</v>
      </c>
    </row>
    <row r="182" spans="1:20" ht="15.75" customHeight="1" x14ac:dyDescent="0.3">
      <c r="A182" s="71" t="s">
        <v>700</v>
      </c>
      <c r="B182" s="1">
        <v>3</v>
      </c>
      <c r="C182" s="1">
        <v>2</v>
      </c>
      <c r="D182" s="1">
        <v>2</v>
      </c>
      <c r="E182" s="55">
        <f t="shared" si="32"/>
        <v>7</v>
      </c>
      <c r="F182" s="1">
        <v>3</v>
      </c>
      <c r="G182" s="1">
        <v>3</v>
      </c>
      <c r="H182" s="1">
        <v>3</v>
      </c>
      <c r="I182" s="55">
        <f t="shared" si="33"/>
        <v>9</v>
      </c>
      <c r="J182" s="1">
        <v>3</v>
      </c>
      <c r="K182" s="1">
        <v>3</v>
      </c>
      <c r="L182" s="1">
        <v>3</v>
      </c>
      <c r="M182" s="55">
        <f t="shared" si="34"/>
        <v>9</v>
      </c>
      <c r="N182" s="1">
        <v>3</v>
      </c>
      <c r="O182" s="1">
        <v>3</v>
      </c>
      <c r="P182" s="1">
        <v>2</v>
      </c>
      <c r="Q182" s="55">
        <f t="shared" si="31"/>
        <v>8</v>
      </c>
      <c r="R182" s="55">
        <f>+E182+I182+M182+Q182</f>
        <v>33</v>
      </c>
      <c r="S182" s="4">
        <f>SUM(R138:R182)</f>
        <v>238708</v>
      </c>
    </row>
    <row r="183" spans="1:20" ht="15.75" customHeight="1" x14ac:dyDescent="0.3">
      <c r="A183" s="71" t="s">
        <v>855</v>
      </c>
      <c r="B183" s="1"/>
      <c r="C183" s="1"/>
      <c r="D183" s="1"/>
      <c r="E183" s="55">
        <f t="shared" si="32"/>
        <v>0</v>
      </c>
      <c r="F183" s="1"/>
      <c r="G183" s="1"/>
      <c r="H183" s="1"/>
      <c r="I183" s="55">
        <f t="shared" si="33"/>
        <v>0</v>
      </c>
      <c r="J183" s="1"/>
      <c r="K183" s="1"/>
      <c r="L183" s="1"/>
      <c r="M183" s="55">
        <f t="shared" si="34"/>
        <v>0</v>
      </c>
      <c r="N183" s="1"/>
      <c r="O183" s="1"/>
      <c r="P183" s="1"/>
      <c r="Q183" s="55">
        <f t="shared" si="31"/>
        <v>0</v>
      </c>
      <c r="R183" s="55">
        <f>+E183+I183+M183+Q183</f>
        <v>0</v>
      </c>
      <c r="S183" s="4" t="s">
        <v>821</v>
      </c>
      <c r="T183" s="4" t="s">
        <v>822</v>
      </c>
    </row>
    <row r="184" spans="1:20" ht="15.75" customHeight="1" x14ac:dyDescent="0.3">
      <c r="A184" s="15" t="s">
        <v>50</v>
      </c>
      <c r="B184" s="1"/>
      <c r="C184" s="1"/>
      <c r="D184" s="1"/>
      <c r="E184" s="55" t="s">
        <v>7</v>
      </c>
      <c r="F184" s="1"/>
      <c r="G184" s="1"/>
      <c r="H184" s="1"/>
      <c r="I184" s="55" t="s">
        <v>7</v>
      </c>
      <c r="J184" s="1"/>
      <c r="K184" s="1"/>
      <c r="L184" s="1"/>
      <c r="M184" s="55" t="s">
        <v>7</v>
      </c>
      <c r="N184" s="1"/>
      <c r="O184" s="1"/>
      <c r="P184" s="1"/>
      <c r="Q184" s="55" t="s">
        <v>7</v>
      </c>
      <c r="R184" s="55" t="s">
        <v>7</v>
      </c>
    </row>
    <row r="185" spans="1:20" ht="15.75" customHeight="1" x14ac:dyDescent="0.3">
      <c r="A185" s="71" t="s">
        <v>701</v>
      </c>
      <c r="B185" s="1"/>
      <c r="C185" s="1"/>
      <c r="D185" s="1"/>
      <c r="E185" s="55">
        <f t="shared" ref="E185:E194" si="35">SUM(B185:D185)</f>
        <v>0</v>
      </c>
      <c r="F185" s="1"/>
      <c r="G185" s="1"/>
      <c r="H185" s="1"/>
      <c r="I185" s="55">
        <f t="shared" ref="I185:I194" si="36">SUM(F185:H185)</f>
        <v>0</v>
      </c>
      <c r="J185" s="1"/>
      <c r="K185" s="1"/>
      <c r="L185" s="1"/>
      <c r="M185" s="55">
        <f t="shared" ref="M185:M194" si="37">SUM(J185:L185)</f>
        <v>0</v>
      </c>
      <c r="N185" s="1"/>
      <c r="O185" s="1"/>
      <c r="P185" s="1"/>
      <c r="Q185" s="55">
        <f t="shared" ref="Q185:Q194" si="38">SUM(N185:P185)</f>
        <v>0</v>
      </c>
      <c r="R185" s="55">
        <f t="shared" ref="R185:R194" si="39">+E185+I185+M185+Q185</f>
        <v>0</v>
      </c>
    </row>
    <row r="186" spans="1:20" ht="15.75" customHeight="1" x14ac:dyDescent="0.3">
      <c r="A186" s="71" t="s">
        <v>127</v>
      </c>
      <c r="B186" s="1"/>
      <c r="C186" s="1"/>
      <c r="D186" s="1"/>
      <c r="E186" s="55">
        <f>SUM(B186:D186)</f>
        <v>0</v>
      </c>
      <c r="F186" s="1"/>
      <c r="G186" s="1"/>
      <c r="H186" s="1"/>
      <c r="I186" s="55">
        <f>SUM(F186:H186)</f>
        <v>0</v>
      </c>
      <c r="J186" s="1"/>
      <c r="K186" s="1"/>
      <c r="L186" s="1"/>
      <c r="M186" s="55">
        <f>SUM(J186:L186)</f>
        <v>0</v>
      </c>
      <c r="N186" s="1"/>
      <c r="O186" s="1"/>
      <c r="P186" s="1"/>
      <c r="Q186" s="55">
        <f>SUM(N186:P186)</f>
        <v>0</v>
      </c>
      <c r="R186" s="55">
        <f>+E186+I186+M186+Q186</f>
        <v>0</v>
      </c>
      <c r="T186" s="4" t="s">
        <v>406</v>
      </c>
    </row>
    <row r="187" spans="1:20" ht="15.75" customHeight="1" x14ac:dyDescent="0.3">
      <c r="A187" s="71" t="s">
        <v>128</v>
      </c>
      <c r="B187" s="1"/>
      <c r="C187" s="1"/>
      <c r="D187" s="1"/>
      <c r="E187" s="55">
        <f t="shared" si="35"/>
        <v>0</v>
      </c>
      <c r="F187" s="1"/>
      <c r="G187" s="1"/>
      <c r="H187" s="1"/>
      <c r="I187" s="55">
        <f t="shared" si="36"/>
        <v>0</v>
      </c>
      <c r="J187" s="1"/>
      <c r="K187" s="1"/>
      <c r="L187" s="1"/>
      <c r="M187" s="55">
        <f t="shared" si="37"/>
        <v>0</v>
      </c>
      <c r="N187" s="1"/>
      <c r="O187" s="1"/>
      <c r="P187" s="1"/>
      <c r="Q187" s="55">
        <f t="shared" si="38"/>
        <v>0</v>
      </c>
      <c r="R187" s="55">
        <f t="shared" si="39"/>
        <v>0</v>
      </c>
    </row>
    <row r="188" spans="1:20" ht="15.75" customHeight="1" x14ac:dyDescent="0.3">
      <c r="A188" s="71" t="s">
        <v>856</v>
      </c>
      <c r="B188" s="1"/>
      <c r="C188" s="1"/>
      <c r="D188" s="1"/>
      <c r="E188" s="55">
        <f t="shared" si="35"/>
        <v>0</v>
      </c>
      <c r="F188" s="1"/>
      <c r="G188" s="1"/>
      <c r="H188" s="1"/>
      <c r="I188" s="55">
        <f t="shared" si="36"/>
        <v>0</v>
      </c>
      <c r="J188" s="1"/>
      <c r="K188" s="1"/>
      <c r="L188" s="1"/>
      <c r="M188" s="55">
        <f t="shared" si="37"/>
        <v>0</v>
      </c>
      <c r="N188" s="1"/>
      <c r="O188" s="1"/>
      <c r="P188" s="1"/>
      <c r="Q188" s="55">
        <f t="shared" si="38"/>
        <v>0</v>
      </c>
      <c r="R188" s="55">
        <f t="shared" si="39"/>
        <v>0</v>
      </c>
      <c r="T188" s="4" t="s">
        <v>822</v>
      </c>
    </row>
    <row r="189" spans="1:20" ht="15.75" customHeight="1" x14ac:dyDescent="0.3">
      <c r="A189" s="71" t="s">
        <v>540</v>
      </c>
      <c r="B189" s="1"/>
      <c r="C189" s="1"/>
      <c r="D189" s="1"/>
      <c r="E189" s="55">
        <f t="shared" si="35"/>
        <v>0</v>
      </c>
      <c r="F189" s="1"/>
      <c r="G189" s="1"/>
      <c r="H189" s="1"/>
      <c r="I189" s="55">
        <f t="shared" si="36"/>
        <v>0</v>
      </c>
      <c r="J189" s="1"/>
      <c r="K189" s="1"/>
      <c r="L189" s="1"/>
      <c r="M189" s="55">
        <f t="shared" si="37"/>
        <v>0</v>
      </c>
      <c r="N189" s="1"/>
      <c r="O189" s="1"/>
      <c r="P189" s="1"/>
      <c r="Q189" s="55">
        <f t="shared" si="38"/>
        <v>0</v>
      </c>
      <c r="R189" s="55">
        <f t="shared" si="39"/>
        <v>0</v>
      </c>
    </row>
    <row r="190" spans="1:20" ht="15.75" customHeight="1" x14ac:dyDescent="0.3">
      <c r="A190" s="71" t="s">
        <v>132</v>
      </c>
      <c r="B190" s="1"/>
      <c r="C190" s="1"/>
      <c r="D190" s="1"/>
      <c r="E190" s="55">
        <f t="shared" si="35"/>
        <v>0</v>
      </c>
      <c r="F190" s="1"/>
      <c r="G190" s="1"/>
      <c r="H190" s="1"/>
      <c r="I190" s="55">
        <f t="shared" si="36"/>
        <v>0</v>
      </c>
      <c r="J190" s="1"/>
      <c r="K190" s="1"/>
      <c r="L190" s="1"/>
      <c r="M190" s="55">
        <f t="shared" si="37"/>
        <v>0</v>
      </c>
      <c r="N190" s="1"/>
      <c r="O190" s="1"/>
      <c r="P190" s="1"/>
      <c r="Q190" s="55">
        <f t="shared" si="38"/>
        <v>0</v>
      </c>
      <c r="R190" s="55">
        <f t="shared" si="39"/>
        <v>0</v>
      </c>
    </row>
    <row r="191" spans="1:20" ht="15.75" customHeight="1" x14ac:dyDescent="0.3">
      <c r="A191" s="84" t="s">
        <v>614</v>
      </c>
      <c r="B191" s="1"/>
      <c r="C191" s="1"/>
      <c r="D191" s="1"/>
      <c r="E191" s="55">
        <f t="shared" si="35"/>
        <v>0</v>
      </c>
      <c r="F191" s="1"/>
      <c r="G191" s="1"/>
      <c r="H191" s="1"/>
      <c r="I191" s="55">
        <f t="shared" si="36"/>
        <v>0</v>
      </c>
      <c r="J191" s="1"/>
      <c r="K191" s="1"/>
      <c r="L191" s="1"/>
      <c r="M191" s="55">
        <f t="shared" si="37"/>
        <v>0</v>
      </c>
      <c r="N191" s="1"/>
      <c r="O191" s="1"/>
      <c r="P191" s="1"/>
      <c r="Q191" s="55">
        <f t="shared" si="38"/>
        <v>0</v>
      </c>
      <c r="R191" s="55">
        <f t="shared" si="39"/>
        <v>0</v>
      </c>
      <c r="T191" s="4" t="s">
        <v>812</v>
      </c>
    </row>
    <row r="192" spans="1:20" ht="15.75" customHeight="1" x14ac:dyDescent="0.3">
      <c r="A192" s="71" t="s">
        <v>857</v>
      </c>
      <c r="B192" s="1"/>
      <c r="C192" s="1"/>
      <c r="D192" s="1"/>
      <c r="E192" s="55">
        <f t="shared" si="35"/>
        <v>0</v>
      </c>
      <c r="F192" s="1"/>
      <c r="G192" s="1"/>
      <c r="H192" s="1"/>
      <c r="I192" s="55">
        <f t="shared" si="36"/>
        <v>0</v>
      </c>
      <c r="J192" s="1"/>
      <c r="K192" s="1"/>
      <c r="L192" s="1"/>
      <c r="M192" s="55">
        <f t="shared" si="37"/>
        <v>0</v>
      </c>
      <c r="N192" s="1"/>
      <c r="O192" s="1"/>
      <c r="P192" s="1"/>
      <c r="Q192" s="55">
        <f t="shared" si="38"/>
        <v>0</v>
      </c>
      <c r="R192" s="55">
        <f t="shared" si="39"/>
        <v>0</v>
      </c>
      <c r="T192" s="4" t="s">
        <v>822</v>
      </c>
    </row>
    <row r="193" spans="1:20" ht="15.75" customHeight="1" x14ac:dyDescent="0.3">
      <c r="A193" s="71" t="s">
        <v>858</v>
      </c>
      <c r="B193" s="1"/>
      <c r="C193" s="1"/>
      <c r="D193" s="1"/>
      <c r="E193" s="55">
        <f t="shared" si="35"/>
        <v>0</v>
      </c>
      <c r="F193" s="1"/>
      <c r="G193" s="1"/>
      <c r="H193" s="1"/>
      <c r="I193" s="55">
        <f t="shared" si="36"/>
        <v>0</v>
      </c>
      <c r="J193" s="1"/>
      <c r="K193" s="1"/>
      <c r="L193" s="1"/>
      <c r="M193" s="55">
        <f t="shared" si="37"/>
        <v>0</v>
      </c>
      <c r="N193" s="1"/>
      <c r="O193" s="1"/>
      <c r="P193" s="1"/>
      <c r="Q193" s="55">
        <f t="shared" si="38"/>
        <v>0</v>
      </c>
      <c r="R193" s="55">
        <f t="shared" si="39"/>
        <v>0</v>
      </c>
      <c r="T193" s="4" t="s">
        <v>859</v>
      </c>
    </row>
    <row r="194" spans="1:20" ht="15.75" customHeight="1" x14ac:dyDescent="0.3">
      <c r="A194" s="84" t="s">
        <v>135</v>
      </c>
      <c r="B194" s="1"/>
      <c r="C194" s="1"/>
      <c r="D194" s="1"/>
      <c r="E194" s="55">
        <f t="shared" si="35"/>
        <v>0</v>
      </c>
      <c r="F194" s="1"/>
      <c r="G194" s="1"/>
      <c r="H194" s="1"/>
      <c r="I194" s="55">
        <f t="shared" si="36"/>
        <v>0</v>
      </c>
      <c r="J194" s="1"/>
      <c r="K194" s="1"/>
      <c r="L194" s="1"/>
      <c r="M194" s="55">
        <f t="shared" si="37"/>
        <v>0</v>
      </c>
      <c r="N194" s="1"/>
      <c r="O194" s="1"/>
      <c r="P194" s="1"/>
      <c r="Q194" s="55">
        <f t="shared" si="38"/>
        <v>0</v>
      </c>
      <c r="R194" s="55">
        <f t="shared" si="39"/>
        <v>0</v>
      </c>
    </row>
    <row r="195" spans="1:20" ht="15.75" customHeight="1" x14ac:dyDescent="0.3">
      <c r="A195" s="15" t="s">
        <v>51</v>
      </c>
      <c r="B195" s="1"/>
      <c r="C195" s="1"/>
      <c r="D195" s="1"/>
      <c r="E195" s="55" t="s">
        <v>7</v>
      </c>
      <c r="F195" s="1"/>
      <c r="G195" s="1"/>
      <c r="H195" s="1"/>
      <c r="I195" s="55" t="s">
        <v>7</v>
      </c>
      <c r="J195" s="1"/>
      <c r="K195" s="1"/>
      <c r="L195" s="1"/>
      <c r="M195" s="55" t="s">
        <v>7</v>
      </c>
      <c r="N195" s="1"/>
      <c r="O195" s="1"/>
      <c r="P195" s="1"/>
      <c r="Q195" s="55" t="s">
        <v>7</v>
      </c>
      <c r="R195" s="55" t="s">
        <v>7</v>
      </c>
    </row>
    <row r="196" spans="1:20" ht="15.75" customHeight="1" x14ac:dyDescent="0.3">
      <c r="A196" s="85" t="s">
        <v>860</v>
      </c>
      <c r="B196" s="1"/>
      <c r="C196" s="1"/>
      <c r="D196" s="1"/>
      <c r="E196" s="55">
        <f>SUM(B196:D196)</f>
        <v>0</v>
      </c>
      <c r="F196" s="1"/>
      <c r="G196" s="1"/>
      <c r="H196" s="1"/>
      <c r="I196" s="55">
        <f>SUM(F196:H196)</f>
        <v>0</v>
      </c>
      <c r="J196" s="1"/>
      <c r="K196" s="1"/>
      <c r="L196" s="1"/>
      <c r="M196" s="55">
        <f>SUM(J196:L196)</f>
        <v>0</v>
      </c>
      <c r="N196" s="1"/>
      <c r="O196" s="1"/>
      <c r="P196" s="1"/>
      <c r="Q196" s="55">
        <f>SUM(N196:P196)</f>
        <v>0</v>
      </c>
      <c r="R196" s="55">
        <f>+E196+I196+M196+Q196</f>
        <v>0</v>
      </c>
      <c r="T196" s="4" t="s">
        <v>818</v>
      </c>
    </row>
    <row r="197" spans="1:20" ht="15.75" customHeight="1" x14ac:dyDescent="0.3">
      <c r="A197" s="85" t="s">
        <v>861</v>
      </c>
      <c r="B197" s="1"/>
      <c r="C197" s="1"/>
      <c r="D197" s="1"/>
      <c r="E197" s="55">
        <f>SUM(B197:D197)</f>
        <v>0</v>
      </c>
      <c r="F197" s="1"/>
      <c r="G197" s="1"/>
      <c r="H197" s="1"/>
      <c r="I197" s="55">
        <f>SUM(F197:H197)</f>
        <v>0</v>
      </c>
      <c r="J197" s="1"/>
      <c r="K197" s="1"/>
      <c r="L197" s="1"/>
      <c r="M197" s="55">
        <f>SUM(J197:L197)</f>
        <v>0</v>
      </c>
      <c r="N197" s="1"/>
      <c r="O197" s="1"/>
      <c r="P197" s="1"/>
      <c r="Q197" s="55">
        <f>SUM(N197:P197)</f>
        <v>0</v>
      </c>
      <c r="R197" s="55">
        <f>+E197+I197+M197+Q197</f>
        <v>0</v>
      </c>
      <c r="T197" s="4" t="s">
        <v>819</v>
      </c>
    </row>
    <row r="198" spans="1:20" ht="15.75" customHeight="1" x14ac:dyDescent="0.3">
      <c r="A198" s="61" t="s">
        <v>705</v>
      </c>
      <c r="B198" s="1">
        <v>8</v>
      </c>
      <c r="C198" s="1">
        <v>25</v>
      </c>
      <c r="D198" s="1">
        <v>102</v>
      </c>
      <c r="E198" s="55">
        <f>SUM(B198:D198)</f>
        <v>135</v>
      </c>
      <c r="F198" s="1">
        <v>66</v>
      </c>
      <c r="G198" s="1">
        <v>100</v>
      </c>
      <c r="H198" s="1">
        <v>275</v>
      </c>
      <c r="I198" s="55">
        <f>SUM(F198:H198)</f>
        <v>441</v>
      </c>
      <c r="J198" s="1">
        <v>255</v>
      </c>
      <c r="K198" s="1">
        <v>162</v>
      </c>
      <c r="L198" s="1">
        <v>126</v>
      </c>
      <c r="M198" s="55">
        <f>SUM(J198:L198)</f>
        <v>543</v>
      </c>
      <c r="N198" s="1">
        <v>109</v>
      </c>
      <c r="O198" s="1">
        <v>38</v>
      </c>
      <c r="P198" s="1">
        <v>15</v>
      </c>
      <c r="Q198" s="55">
        <f>SUM(N198:P198)</f>
        <v>162</v>
      </c>
      <c r="R198" s="55">
        <f>+E198+I198+M198+Q198</f>
        <v>1281</v>
      </c>
      <c r="T198" s="4" t="s">
        <v>862</v>
      </c>
    </row>
    <row r="199" spans="1:20" ht="15.75" customHeight="1" thickBot="1" x14ac:dyDescent="0.35">
      <c r="A199" s="15" t="s">
        <v>53</v>
      </c>
      <c r="B199" s="1"/>
      <c r="C199" s="1"/>
      <c r="D199" s="1"/>
      <c r="E199" s="55" t="s">
        <v>7</v>
      </c>
      <c r="F199" s="1"/>
      <c r="G199" s="1"/>
      <c r="H199" s="1"/>
      <c r="I199" s="55" t="s">
        <v>7</v>
      </c>
      <c r="J199" s="1"/>
      <c r="K199" s="1"/>
      <c r="L199" s="1"/>
      <c r="M199" s="55" t="s">
        <v>7</v>
      </c>
      <c r="N199" s="1"/>
      <c r="O199" s="1"/>
      <c r="P199" s="1"/>
      <c r="Q199" s="55" t="s">
        <v>7</v>
      </c>
      <c r="R199" s="55" t="s">
        <v>7</v>
      </c>
    </row>
    <row r="200" spans="1:20" ht="16.5" customHeight="1" thickBot="1" x14ac:dyDescent="0.35">
      <c r="A200" s="57" t="s">
        <v>54</v>
      </c>
      <c r="B200" s="86">
        <f>SUM(B136:B199)</f>
        <v>9405</v>
      </c>
      <c r="C200" s="87">
        <f>SUM(C136:C199)</f>
        <v>5479</v>
      </c>
      <c r="D200" s="87">
        <f>SUM(D136:D199)</f>
        <v>11118</v>
      </c>
      <c r="E200" s="59">
        <f>SUM(B200:D200)</f>
        <v>26002</v>
      </c>
      <c r="F200" s="87">
        <f>SUM(F136:F199)</f>
        <v>14916</v>
      </c>
      <c r="G200" s="87">
        <f>SUM(G136:G199)</f>
        <v>18787</v>
      </c>
      <c r="H200" s="87">
        <f>SUM(H136:H199)</f>
        <v>22583</v>
      </c>
      <c r="I200" s="59">
        <f>SUM(F200:H200)</f>
        <v>56286</v>
      </c>
      <c r="J200" s="87">
        <f>SUM(J136:J199)</f>
        <v>36714</v>
      </c>
      <c r="K200" s="87">
        <f>SUM(K136:K199)</f>
        <v>33281</v>
      </c>
      <c r="L200" s="87">
        <f>SUM(L136:L199)</f>
        <v>28565</v>
      </c>
      <c r="M200" s="59">
        <f>SUM(J200:L200)</f>
        <v>98560</v>
      </c>
      <c r="N200" s="87">
        <f>SUM(N136:N199)</f>
        <v>27192</v>
      </c>
      <c r="O200" s="87">
        <f>SUM(O136:O199)</f>
        <v>18712</v>
      </c>
      <c r="P200" s="87">
        <f>SUM(P136:P199)</f>
        <v>13237</v>
      </c>
      <c r="Q200" s="59">
        <f>SUM(N200:P200)</f>
        <v>59141</v>
      </c>
      <c r="R200" s="59">
        <f>+E200+I200+M200+Q200</f>
        <v>239989</v>
      </c>
    </row>
    <row r="201" spans="1:20" ht="15.75" customHeight="1" x14ac:dyDescent="0.3">
      <c r="A201" s="15" t="s">
        <v>55</v>
      </c>
      <c r="B201" s="1"/>
      <c r="C201" s="1"/>
      <c r="D201" s="1"/>
      <c r="E201" s="55" t="s">
        <v>7</v>
      </c>
      <c r="F201" s="1"/>
      <c r="G201" s="1"/>
      <c r="H201" s="1"/>
      <c r="I201" s="55" t="s">
        <v>7</v>
      </c>
      <c r="J201" s="1"/>
      <c r="K201" s="1"/>
      <c r="L201" s="1"/>
      <c r="M201" s="55" t="s">
        <v>7</v>
      </c>
      <c r="N201" s="1"/>
      <c r="O201" s="1"/>
      <c r="P201" s="1"/>
      <c r="Q201" s="55" t="s">
        <v>7</v>
      </c>
      <c r="R201" s="55" t="s">
        <v>7</v>
      </c>
    </row>
    <row r="202" spans="1:20" ht="15.75" customHeight="1" x14ac:dyDescent="0.3">
      <c r="A202" s="15" t="s">
        <v>56</v>
      </c>
      <c r="B202" s="1"/>
      <c r="C202" s="1"/>
      <c r="D202" s="1"/>
      <c r="E202" s="55" t="s">
        <v>7</v>
      </c>
      <c r="F202" s="1"/>
      <c r="G202" s="1"/>
      <c r="H202" s="1"/>
      <c r="I202" s="55" t="s">
        <v>7</v>
      </c>
      <c r="J202" s="1"/>
      <c r="K202" s="1"/>
      <c r="L202" s="1"/>
      <c r="M202" s="55" t="s">
        <v>7</v>
      </c>
      <c r="N202" s="1"/>
      <c r="O202" s="1"/>
      <c r="P202" s="1"/>
      <c r="Q202" s="55" t="s">
        <v>7</v>
      </c>
      <c r="R202" s="55" t="s">
        <v>7</v>
      </c>
    </row>
    <row r="203" spans="1:20" ht="15.75" customHeight="1" x14ac:dyDescent="0.3">
      <c r="A203" s="15" t="s">
        <v>57</v>
      </c>
      <c r="B203" s="1"/>
      <c r="C203" s="1"/>
      <c r="D203" s="1"/>
      <c r="E203" s="55" t="s">
        <v>7</v>
      </c>
      <c r="F203" s="1"/>
      <c r="G203" s="1"/>
      <c r="H203" s="1"/>
      <c r="I203" s="55" t="s">
        <v>7</v>
      </c>
      <c r="J203" s="1"/>
      <c r="K203" s="1"/>
      <c r="L203" s="1"/>
      <c r="M203" s="55" t="s">
        <v>7</v>
      </c>
      <c r="N203" s="1"/>
      <c r="O203" s="1"/>
      <c r="P203" s="1"/>
      <c r="Q203" s="55" t="s">
        <v>7</v>
      </c>
      <c r="R203" s="55" t="s">
        <v>7</v>
      </c>
    </row>
    <row r="204" spans="1:20" ht="15.75" customHeight="1" x14ac:dyDescent="0.3">
      <c r="A204" s="85" t="s">
        <v>616</v>
      </c>
      <c r="B204" s="1"/>
      <c r="C204" s="1"/>
      <c r="D204" s="1"/>
      <c r="E204" s="55">
        <f>SUM(B204:D204)</f>
        <v>0</v>
      </c>
      <c r="F204" s="1"/>
      <c r="G204" s="1"/>
      <c r="H204" s="1"/>
      <c r="I204" s="55">
        <f>SUM(F204:H204)</f>
        <v>0</v>
      </c>
      <c r="J204" s="1"/>
      <c r="K204" s="1"/>
      <c r="L204" s="1"/>
      <c r="M204" s="55">
        <f>SUM(J204:L204)</f>
        <v>0</v>
      </c>
      <c r="N204" s="1"/>
      <c r="O204" s="1"/>
      <c r="P204" s="1"/>
      <c r="Q204" s="55">
        <f>SUM(N204:P204)</f>
        <v>0</v>
      </c>
      <c r="R204" s="55">
        <f>+E204+I204+M204+Q204</f>
        <v>0</v>
      </c>
      <c r="T204" s="4" t="s">
        <v>812</v>
      </c>
    </row>
    <row r="205" spans="1:20" ht="15.75" customHeight="1" x14ac:dyDescent="0.3">
      <c r="A205" s="72" t="s">
        <v>863</v>
      </c>
      <c r="B205" s="1"/>
      <c r="C205" s="1"/>
      <c r="D205" s="1"/>
      <c r="E205" s="55">
        <f>SUM(B205:D205)</f>
        <v>0</v>
      </c>
      <c r="F205" s="1"/>
      <c r="G205" s="1"/>
      <c r="H205" s="1"/>
      <c r="I205" s="55">
        <f>SUM(F205:H205)</f>
        <v>0</v>
      </c>
      <c r="J205" s="1"/>
      <c r="K205" s="1"/>
      <c r="L205" s="1"/>
      <c r="M205" s="55">
        <f>SUM(J205:L205)</f>
        <v>0</v>
      </c>
      <c r="N205" s="1"/>
      <c r="O205" s="1"/>
      <c r="P205" s="1"/>
      <c r="Q205" s="55">
        <f>SUM(N205:P205)</f>
        <v>0</v>
      </c>
      <c r="R205" s="55">
        <f>+E205+I205+M205+Q205</f>
        <v>0</v>
      </c>
      <c r="S205" s="4" t="s">
        <v>821</v>
      </c>
      <c r="T205" s="4" t="s">
        <v>822</v>
      </c>
    </row>
    <row r="206" spans="1:20" ht="15.75" customHeight="1" thickBot="1" x14ac:dyDescent="0.35">
      <c r="A206" s="15" t="s">
        <v>58</v>
      </c>
      <c r="B206" s="1"/>
      <c r="C206" s="1"/>
      <c r="D206" s="1"/>
      <c r="E206" s="55" t="s">
        <v>7</v>
      </c>
      <c r="F206" s="1"/>
      <c r="G206" s="1"/>
      <c r="H206" s="1"/>
      <c r="I206" s="55" t="s">
        <v>7</v>
      </c>
      <c r="J206" s="1"/>
      <c r="K206" s="1"/>
      <c r="L206" s="1"/>
      <c r="M206" s="55" t="s">
        <v>7</v>
      </c>
      <c r="N206" s="1"/>
      <c r="O206" s="1"/>
      <c r="P206" s="1"/>
      <c r="Q206" s="55" t="s">
        <v>7</v>
      </c>
      <c r="R206" s="55" t="s">
        <v>7</v>
      </c>
    </row>
    <row r="207" spans="1:20" ht="16.5" customHeight="1" thickBot="1" x14ac:dyDescent="0.35">
      <c r="A207" s="57" t="s">
        <v>59</v>
      </c>
      <c r="B207" s="86">
        <f>SUM(B201:B206)</f>
        <v>0</v>
      </c>
      <c r="C207" s="87">
        <f>SUM(C201:C206)</f>
        <v>0</v>
      </c>
      <c r="D207" s="87">
        <f>SUM(D201:D206)</f>
        <v>0</v>
      </c>
      <c r="E207" s="59">
        <f>SUM(B207:D207)</f>
        <v>0</v>
      </c>
      <c r="F207" s="87">
        <f>SUM(F201:F206)</f>
        <v>0</v>
      </c>
      <c r="G207" s="87">
        <f>SUM(G201:G206)</f>
        <v>0</v>
      </c>
      <c r="H207" s="87">
        <f>SUM(H201:H206)</f>
        <v>0</v>
      </c>
      <c r="I207" s="59">
        <f>SUM(F207:H207)</f>
        <v>0</v>
      </c>
      <c r="J207" s="87">
        <f>SUM(J201:J206)</f>
        <v>0</v>
      </c>
      <c r="K207" s="87">
        <f>SUM(K201:K206)</f>
        <v>0</v>
      </c>
      <c r="L207" s="87">
        <f>SUM(L201:L206)</f>
        <v>0</v>
      </c>
      <c r="M207" s="59">
        <f>SUM(J207:L207)</f>
        <v>0</v>
      </c>
      <c r="N207" s="87">
        <f>SUM(N201:N206)</f>
        <v>0</v>
      </c>
      <c r="O207" s="87">
        <f>SUM(O201:O206)</f>
        <v>0</v>
      </c>
      <c r="P207" s="87">
        <f>SUM(P201:P206)</f>
        <v>0</v>
      </c>
      <c r="Q207" s="59">
        <f>SUM(N207:P207)</f>
        <v>0</v>
      </c>
      <c r="R207" s="59">
        <f>+E207+I207+M207+Q207</f>
        <v>0</v>
      </c>
    </row>
    <row r="208" spans="1:20" ht="15.75" customHeight="1" x14ac:dyDescent="0.3">
      <c r="A208" s="15" t="s">
        <v>60</v>
      </c>
      <c r="B208" s="1"/>
      <c r="C208" s="1"/>
      <c r="D208" s="1"/>
      <c r="E208" s="55" t="s">
        <v>7</v>
      </c>
      <c r="F208" s="1"/>
      <c r="G208" s="1"/>
      <c r="H208" s="1"/>
      <c r="I208" s="55" t="s">
        <v>7</v>
      </c>
      <c r="J208" s="1"/>
      <c r="K208" s="1"/>
      <c r="L208" s="1"/>
      <c r="M208" s="55" t="s">
        <v>7</v>
      </c>
      <c r="N208" s="1"/>
      <c r="O208" s="1"/>
      <c r="P208" s="1"/>
      <c r="Q208" s="55" t="s">
        <v>7</v>
      </c>
      <c r="R208" s="55" t="s">
        <v>7</v>
      </c>
    </row>
    <row r="209" spans="1:20" ht="15.75" customHeight="1" x14ac:dyDescent="0.3">
      <c r="A209" s="15" t="s">
        <v>61</v>
      </c>
      <c r="B209" s="1"/>
      <c r="C209" s="1"/>
      <c r="D209" s="1"/>
      <c r="E209" s="55" t="s">
        <v>7</v>
      </c>
      <c r="F209" s="1"/>
      <c r="G209" s="1"/>
      <c r="H209" s="1"/>
      <c r="I209" s="55" t="s">
        <v>7</v>
      </c>
      <c r="J209" s="1"/>
      <c r="K209" s="1"/>
      <c r="L209" s="1"/>
      <c r="M209" s="55" t="s">
        <v>7</v>
      </c>
      <c r="N209" s="1"/>
      <c r="O209" s="1"/>
      <c r="P209" s="1"/>
      <c r="Q209" s="55" t="s">
        <v>7</v>
      </c>
      <c r="R209" s="55" t="s">
        <v>7</v>
      </c>
    </row>
    <row r="210" spans="1:20" ht="15.75" customHeight="1" x14ac:dyDescent="0.3">
      <c r="A210" s="15" t="s">
        <v>62</v>
      </c>
      <c r="B210" s="1"/>
      <c r="C210" s="1"/>
      <c r="D210" s="1"/>
      <c r="E210" s="55" t="s">
        <v>7</v>
      </c>
      <c r="F210" s="1"/>
      <c r="G210" s="1"/>
      <c r="H210" s="1"/>
      <c r="I210" s="55" t="s">
        <v>7</v>
      </c>
      <c r="J210" s="1"/>
      <c r="K210" s="1"/>
      <c r="L210" s="1"/>
      <c r="M210" s="55" t="s">
        <v>7</v>
      </c>
      <c r="N210" s="1"/>
      <c r="O210" s="1"/>
      <c r="P210" s="1"/>
      <c r="Q210" s="55" t="s">
        <v>7</v>
      </c>
      <c r="R210" s="55" t="s">
        <v>7</v>
      </c>
    </row>
    <row r="211" spans="1:20" ht="15.75" customHeight="1" x14ac:dyDescent="0.3">
      <c r="A211" s="88" t="s">
        <v>864</v>
      </c>
      <c r="B211" s="1"/>
      <c r="C211" s="1"/>
      <c r="D211" s="1"/>
      <c r="E211" s="55">
        <f t="shared" ref="E211:E216" si="40">SUM(B211:D211)</f>
        <v>0</v>
      </c>
      <c r="F211" s="1"/>
      <c r="G211" s="1"/>
      <c r="H211" s="1"/>
      <c r="I211" s="55">
        <f t="shared" ref="I211:I216" si="41">SUM(F211:H211)</f>
        <v>0</v>
      </c>
      <c r="J211" s="1"/>
      <c r="K211" s="1"/>
      <c r="L211" s="1"/>
      <c r="M211" s="55">
        <f t="shared" ref="M211:M216" si="42">SUM(J211:L211)</f>
        <v>0</v>
      </c>
      <c r="N211" s="1"/>
      <c r="O211" s="1"/>
      <c r="P211" s="1">
        <v>1000</v>
      </c>
      <c r="Q211" s="55">
        <f t="shared" ref="Q211:Q216" si="43">SUM(N211:P211)</f>
        <v>1000</v>
      </c>
      <c r="R211" s="55">
        <f t="shared" ref="R211:R263" si="44">+E211+I211+M211+Q211</f>
        <v>1000</v>
      </c>
      <c r="T211" s="4" t="s">
        <v>865</v>
      </c>
    </row>
    <row r="212" spans="1:20" ht="15.75" customHeight="1" x14ac:dyDescent="0.3">
      <c r="A212" s="88" t="s">
        <v>142</v>
      </c>
      <c r="B212" s="1">
        <v>282</v>
      </c>
      <c r="C212" s="1">
        <v>281</v>
      </c>
      <c r="D212" s="1">
        <v>348</v>
      </c>
      <c r="E212" s="55">
        <f t="shared" si="40"/>
        <v>911</v>
      </c>
      <c r="F212" s="1">
        <v>369</v>
      </c>
      <c r="G212" s="1">
        <v>452</v>
      </c>
      <c r="H212" s="1">
        <v>507</v>
      </c>
      <c r="I212" s="55">
        <f t="shared" si="41"/>
        <v>1328</v>
      </c>
      <c r="J212" s="1">
        <v>585</v>
      </c>
      <c r="K212" s="1">
        <v>452</v>
      </c>
      <c r="L212" s="1">
        <v>436</v>
      </c>
      <c r="M212" s="55">
        <f t="shared" si="42"/>
        <v>1473</v>
      </c>
      <c r="N212" s="1">
        <v>452</v>
      </c>
      <c r="O212" s="1">
        <v>334</v>
      </c>
      <c r="P212" s="1">
        <v>315</v>
      </c>
      <c r="Q212" s="55">
        <f t="shared" si="43"/>
        <v>1101</v>
      </c>
      <c r="R212" s="55">
        <f t="shared" si="44"/>
        <v>4813</v>
      </c>
    </row>
    <row r="213" spans="1:20" ht="15.75" customHeight="1" x14ac:dyDescent="0.3">
      <c r="A213" s="88" t="s">
        <v>143</v>
      </c>
      <c r="B213" s="1"/>
      <c r="C213" s="1"/>
      <c r="D213" s="1">
        <v>357</v>
      </c>
      <c r="E213" s="55">
        <f t="shared" si="40"/>
        <v>357</v>
      </c>
      <c r="F213" s="1"/>
      <c r="G213" s="1"/>
      <c r="H213" s="1"/>
      <c r="I213" s="55">
        <f t="shared" si="41"/>
        <v>0</v>
      </c>
      <c r="J213" s="1">
        <v>500</v>
      </c>
      <c r="K213" s="1">
        <v>300</v>
      </c>
      <c r="L213" s="1"/>
      <c r="M213" s="55">
        <f t="shared" si="42"/>
        <v>800</v>
      </c>
      <c r="N213" s="1"/>
      <c r="O213" s="1"/>
      <c r="P213" s="1"/>
      <c r="Q213" s="55">
        <f t="shared" si="43"/>
        <v>0</v>
      </c>
      <c r="R213" s="55">
        <f t="shared" si="44"/>
        <v>1157</v>
      </c>
      <c r="T213" s="4" t="s">
        <v>812</v>
      </c>
    </row>
    <row r="214" spans="1:20" ht="15.75" customHeight="1" x14ac:dyDescent="0.3">
      <c r="A214" s="88" t="s">
        <v>145</v>
      </c>
      <c r="B214" s="1">
        <v>2</v>
      </c>
      <c r="C214" s="1">
        <v>16</v>
      </c>
      <c r="D214" s="1">
        <v>56</v>
      </c>
      <c r="E214" s="55">
        <f t="shared" si="40"/>
        <v>74</v>
      </c>
      <c r="F214" s="1">
        <v>31</v>
      </c>
      <c r="G214" s="1">
        <v>62</v>
      </c>
      <c r="H214" s="1">
        <v>83</v>
      </c>
      <c r="I214" s="55">
        <f t="shared" si="41"/>
        <v>176</v>
      </c>
      <c r="J214" s="1">
        <v>97</v>
      </c>
      <c r="K214" s="1">
        <v>63</v>
      </c>
      <c r="L214" s="1">
        <v>55</v>
      </c>
      <c r="M214" s="55">
        <f t="shared" si="42"/>
        <v>215</v>
      </c>
      <c r="N214" s="1">
        <v>50</v>
      </c>
      <c r="O214" s="1">
        <v>14</v>
      </c>
      <c r="P214" s="1">
        <v>14</v>
      </c>
      <c r="Q214" s="55">
        <f t="shared" si="43"/>
        <v>78</v>
      </c>
      <c r="R214" s="55">
        <f t="shared" si="44"/>
        <v>543</v>
      </c>
      <c r="T214" s="4" t="s">
        <v>406</v>
      </c>
    </row>
    <row r="215" spans="1:20" ht="15.75" customHeight="1" x14ac:dyDescent="0.3">
      <c r="A215" s="88" t="s">
        <v>866</v>
      </c>
      <c r="B215" s="1"/>
      <c r="C215" s="1"/>
      <c r="D215" s="1"/>
      <c r="E215" s="55">
        <f t="shared" si="40"/>
        <v>0</v>
      </c>
      <c r="F215" s="1"/>
      <c r="G215" s="1"/>
      <c r="H215" s="1">
        <v>100</v>
      </c>
      <c r="I215" s="55">
        <f t="shared" si="41"/>
        <v>100</v>
      </c>
      <c r="J215" s="1"/>
      <c r="K215" s="1"/>
      <c r="L215" s="1"/>
      <c r="M215" s="55">
        <f t="shared" si="42"/>
        <v>0</v>
      </c>
      <c r="N215" s="1"/>
      <c r="O215" s="1"/>
      <c r="P215" s="1"/>
      <c r="Q215" s="55">
        <f t="shared" si="43"/>
        <v>0</v>
      </c>
      <c r="R215" s="55">
        <f>+E215+I215+M215+Q215</f>
        <v>100</v>
      </c>
      <c r="T215" s="4" t="s">
        <v>819</v>
      </c>
    </row>
    <row r="216" spans="1:20" ht="15.75" customHeight="1" x14ac:dyDescent="0.3">
      <c r="A216" s="72" t="s">
        <v>867</v>
      </c>
      <c r="B216" s="1"/>
      <c r="C216" s="1"/>
      <c r="D216" s="1"/>
      <c r="E216" s="55">
        <f t="shared" si="40"/>
        <v>0</v>
      </c>
      <c r="F216" s="1"/>
      <c r="G216" s="1">
        <v>500</v>
      </c>
      <c r="H216" s="1">
        <v>2182</v>
      </c>
      <c r="I216" s="55">
        <f t="shared" si="41"/>
        <v>2682</v>
      </c>
      <c r="J216" s="1">
        <v>3218</v>
      </c>
      <c r="K216" s="1"/>
      <c r="L216" s="1">
        <v>239</v>
      </c>
      <c r="M216" s="55">
        <f t="shared" si="42"/>
        <v>3457</v>
      </c>
      <c r="N216" s="1"/>
      <c r="O216" s="1"/>
      <c r="P216" s="1"/>
      <c r="Q216" s="55">
        <f t="shared" si="43"/>
        <v>0</v>
      </c>
      <c r="R216" s="55">
        <f>+E216+I216+M216+Q216</f>
        <v>6139</v>
      </c>
      <c r="T216" s="4" t="s">
        <v>822</v>
      </c>
    </row>
    <row r="217" spans="1:20" ht="15.75" customHeight="1" x14ac:dyDescent="0.3">
      <c r="A217" s="72" t="s">
        <v>868</v>
      </c>
      <c r="B217" s="1"/>
      <c r="C217" s="1"/>
      <c r="D217" s="1"/>
      <c r="E217" s="55">
        <f t="shared" ref="E217:E263" si="45">SUM(B217:D217)</f>
        <v>0</v>
      </c>
      <c r="F217" s="1"/>
      <c r="G217" s="1"/>
      <c r="H217" s="1"/>
      <c r="I217" s="55">
        <f t="shared" ref="I217:I263" si="46">SUM(F217:H217)</f>
        <v>0</v>
      </c>
      <c r="J217" s="1"/>
      <c r="K217" s="1"/>
      <c r="L217" s="1"/>
      <c r="M217" s="55">
        <f t="shared" ref="M217:M263" si="47">SUM(J217:L217)</f>
        <v>0</v>
      </c>
      <c r="N217" s="1"/>
      <c r="O217" s="1"/>
      <c r="P217" s="1"/>
      <c r="Q217" s="55">
        <f t="shared" ref="Q217:Q263" si="48">SUM(N217:P217)</f>
        <v>0</v>
      </c>
      <c r="R217" s="55">
        <f t="shared" si="44"/>
        <v>0</v>
      </c>
      <c r="S217" s="4" t="s">
        <v>821</v>
      </c>
    </row>
    <row r="218" spans="1:20" ht="15.75" customHeight="1" x14ac:dyDescent="0.3">
      <c r="A218" s="72" t="s">
        <v>148</v>
      </c>
      <c r="B218" s="1">
        <v>321</v>
      </c>
      <c r="C218" s="1">
        <v>361</v>
      </c>
      <c r="D218" s="1"/>
      <c r="E218" s="55">
        <f>SUM(B218:D218)</f>
        <v>682</v>
      </c>
      <c r="F218" s="1"/>
      <c r="G218" s="1"/>
      <c r="H218" s="1"/>
      <c r="I218" s="55">
        <f>SUM(F218:H218)</f>
        <v>0</v>
      </c>
      <c r="J218" s="1"/>
      <c r="K218" s="1"/>
      <c r="L218" s="1"/>
      <c r="M218" s="55">
        <f>SUM(J218:L218)</f>
        <v>0</v>
      </c>
      <c r="N218" s="1"/>
      <c r="O218" s="1"/>
      <c r="P218" s="1"/>
      <c r="Q218" s="55">
        <f>SUM(N218:P218)</f>
        <v>0</v>
      </c>
      <c r="R218" s="55">
        <f t="shared" si="44"/>
        <v>682</v>
      </c>
      <c r="T218" s="4" t="s">
        <v>832</v>
      </c>
    </row>
    <row r="219" spans="1:20" ht="15.75" customHeight="1" x14ac:dyDescent="0.3">
      <c r="A219" s="72" t="s">
        <v>149</v>
      </c>
      <c r="B219" s="1"/>
      <c r="C219" s="1"/>
      <c r="D219" s="1"/>
      <c r="E219" s="55">
        <f t="shared" si="45"/>
        <v>0</v>
      </c>
      <c r="F219" s="1"/>
      <c r="G219" s="1"/>
      <c r="H219" s="1"/>
      <c r="I219" s="55">
        <f t="shared" si="46"/>
        <v>0</v>
      </c>
      <c r="J219" s="1"/>
      <c r="K219" s="1"/>
      <c r="L219" s="1"/>
      <c r="M219" s="55">
        <f t="shared" si="47"/>
        <v>0</v>
      </c>
      <c r="N219" s="1"/>
      <c r="O219" s="1"/>
      <c r="P219" s="1"/>
      <c r="Q219" s="55">
        <f t="shared" si="48"/>
        <v>0</v>
      </c>
      <c r="R219" s="55">
        <f t="shared" si="44"/>
        <v>0</v>
      </c>
    </row>
    <row r="220" spans="1:20" ht="15.75" customHeight="1" x14ac:dyDescent="0.3">
      <c r="A220" s="72" t="s">
        <v>869</v>
      </c>
      <c r="B220" s="1">
        <v>1136</v>
      </c>
      <c r="C220" s="1"/>
      <c r="D220" s="1"/>
      <c r="E220" s="55">
        <f t="shared" si="45"/>
        <v>1136</v>
      </c>
      <c r="F220" s="1"/>
      <c r="G220" s="1"/>
      <c r="H220" s="1"/>
      <c r="I220" s="55">
        <f t="shared" si="46"/>
        <v>0</v>
      </c>
      <c r="J220" s="1"/>
      <c r="K220" s="1"/>
      <c r="L220" s="1"/>
      <c r="M220" s="55">
        <f t="shared" si="47"/>
        <v>0</v>
      </c>
      <c r="N220" s="1"/>
      <c r="O220" s="1"/>
      <c r="P220" s="1"/>
      <c r="Q220" s="55">
        <f t="shared" si="48"/>
        <v>0</v>
      </c>
      <c r="R220" s="55">
        <f t="shared" si="44"/>
        <v>1136</v>
      </c>
    </row>
    <row r="221" spans="1:20" ht="15.75" customHeight="1" x14ac:dyDescent="0.3">
      <c r="A221" s="72" t="s">
        <v>151</v>
      </c>
      <c r="B221" s="1">
        <v>23</v>
      </c>
      <c r="C221" s="1"/>
      <c r="D221" s="1"/>
      <c r="E221" s="55">
        <f t="shared" si="45"/>
        <v>23</v>
      </c>
      <c r="F221" s="1"/>
      <c r="G221" s="1"/>
      <c r="H221" s="1"/>
      <c r="I221" s="55">
        <f t="shared" si="46"/>
        <v>0</v>
      </c>
      <c r="J221" s="1"/>
      <c r="K221" s="1"/>
      <c r="L221" s="1"/>
      <c r="M221" s="55">
        <f t="shared" si="47"/>
        <v>0</v>
      </c>
      <c r="N221" s="1"/>
      <c r="O221" s="1"/>
      <c r="P221" s="1"/>
      <c r="Q221" s="55">
        <f t="shared" si="48"/>
        <v>0</v>
      </c>
      <c r="R221" s="55">
        <f t="shared" si="44"/>
        <v>23</v>
      </c>
    </row>
    <row r="222" spans="1:20" ht="15.75" customHeight="1" x14ac:dyDescent="0.3">
      <c r="A222" s="72" t="s">
        <v>870</v>
      </c>
      <c r="B222" s="1">
        <v>23</v>
      </c>
      <c r="C222" s="1"/>
      <c r="D222" s="1"/>
      <c r="E222" s="55">
        <f t="shared" si="45"/>
        <v>23</v>
      </c>
      <c r="F222" s="1"/>
      <c r="G222" s="1"/>
      <c r="H222" s="1"/>
      <c r="I222" s="55">
        <f t="shared" si="46"/>
        <v>0</v>
      </c>
      <c r="J222" s="1"/>
      <c r="K222" s="1"/>
      <c r="L222" s="1"/>
      <c r="M222" s="55">
        <f t="shared" si="47"/>
        <v>0</v>
      </c>
      <c r="N222" s="1"/>
      <c r="O222" s="1"/>
      <c r="P222" s="1"/>
      <c r="Q222" s="55">
        <f t="shared" si="48"/>
        <v>0</v>
      </c>
      <c r="R222" s="55">
        <f t="shared" si="44"/>
        <v>23</v>
      </c>
      <c r="S222" s="4" t="s">
        <v>821</v>
      </c>
      <c r="T222" s="4" t="s">
        <v>822</v>
      </c>
    </row>
    <row r="223" spans="1:20" ht="15.75" customHeight="1" x14ac:dyDescent="0.3">
      <c r="A223" s="72" t="s">
        <v>871</v>
      </c>
      <c r="B223" s="1"/>
      <c r="C223" s="1"/>
      <c r="D223" s="1"/>
      <c r="E223" s="55">
        <f t="shared" si="45"/>
        <v>0</v>
      </c>
      <c r="F223" s="1"/>
      <c r="G223" s="1"/>
      <c r="H223" s="1"/>
      <c r="I223" s="55">
        <f t="shared" si="46"/>
        <v>0</v>
      </c>
      <c r="J223" s="1"/>
      <c r="K223" s="1"/>
      <c r="L223" s="1"/>
      <c r="M223" s="55">
        <f t="shared" si="47"/>
        <v>0</v>
      </c>
      <c r="N223" s="1"/>
      <c r="O223" s="1"/>
      <c r="P223" s="1"/>
      <c r="Q223" s="55">
        <f t="shared" si="48"/>
        <v>0</v>
      </c>
      <c r="R223" s="55">
        <f t="shared" si="44"/>
        <v>0</v>
      </c>
      <c r="S223" s="4" t="s">
        <v>821</v>
      </c>
      <c r="T223" s="4" t="s">
        <v>822</v>
      </c>
    </row>
    <row r="224" spans="1:20" ht="15.75" customHeight="1" x14ac:dyDescent="0.3">
      <c r="A224" s="72" t="s">
        <v>153</v>
      </c>
      <c r="B224" s="1"/>
      <c r="C224" s="1"/>
      <c r="D224" s="1">
        <v>2138</v>
      </c>
      <c r="E224" s="55">
        <f t="shared" si="45"/>
        <v>2138</v>
      </c>
      <c r="F224" s="1">
        <v>2162</v>
      </c>
      <c r="G224" s="1"/>
      <c r="H224" s="1"/>
      <c r="I224" s="55">
        <f t="shared" si="46"/>
        <v>2162</v>
      </c>
      <c r="J224" s="1"/>
      <c r="K224" s="1"/>
      <c r="L224" s="1"/>
      <c r="M224" s="55">
        <f t="shared" si="47"/>
        <v>0</v>
      </c>
      <c r="N224" s="1"/>
      <c r="O224" s="1"/>
      <c r="P224" s="1"/>
      <c r="Q224" s="55">
        <f t="shared" si="48"/>
        <v>0</v>
      </c>
      <c r="R224" s="55">
        <f t="shared" si="44"/>
        <v>4300</v>
      </c>
    </row>
    <row r="225" spans="1:23" ht="15.75" customHeight="1" x14ac:dyDescent="0.3">
      <c r="A225" s="88" t="s">
        <v>872</v>
      </c>
      <c r="B225" s="1"/>
      <c r="C225" s="1"/>
      <c r="D225" s="1"/>
      <c r="E225" s="55">
        <f t="shared" si="45"/>
        <v>0</v>
      </c>
      <c r="F225" s="1"/>
      <c r="G225" s="1"/>
      <c r="H225" s="1"/>
      <c r="I225" s="55">
        <f t="shared" si="46"/>
        <v>0</v>
      </c>
      <c r="J225" s="1"/>
      <c r="K225" s="1"/>
      <c r="L225" s="1"/>
      <c r="M225" s="55">
        <f t="shared" si="47"/>
        <v>0</v>
      </c>
      <c r="N225" s="1"/>
      <c r="O225" s="1"/>
      <c r="P225" s="1"/>
      <c r="Q225" s="55">
        <f t="shared" si="48"/>
        <v>0</v>
      </c>
      <c r="R225" s="55">
        <f t="shared" si="44"/>
        <v>0</v>
      </c>
      <c r="T225" s="4" t="s">
        <v>812</v>
      </c>
    </row>
    <row r="226" spans="1:23" ht="15.75" customHeight="1" x14ac:dyDescent="0.3">
      <c r="A226" s="72" t="s">
        <v>873</v>
      </c>
      <c r="B226" s="1"/>
      <c r="C226" s="1"/>
      <c r="D226" s="1"/>
      <c r="E226" s="55">
        <f t="shared" si="45"/>
        <v>0</v>
      </c>
      <c r="F226" s="1"/>
      <c r="G226" s="1"/>
      <c r="H226" s="1">
        <v>1634</v>
      </c>
      <c r="I226" s="55">
        <f t="shared" si="46"/>
        <v>1634</v>
      </c>
      <c r="J226" s="1">
        <v>816</v>
      </c>
      <c r="K226" s="1">
        <v>1634</v>
      </c>
      <c r="L226" s="1">
        <v>1416</v>
      </c>
      <c r="M226" s="55">
        <f t="shared" si="47"/>
        <v>3866</v>
      </c>
      <c r="N226" s="1"/>
      <c r="O226" s="1"/>
      <c r="P226" s="1"/>
      <c r="Q226" s="55">
        <f>SUM(N226:P226)</f>
        <v>0</v>
      </c>
      <c r="R226" s="55">
        <f>+E226+I226+M226+Q226</f>
        <v>5500</v>
      </c>
      <c r="T226" s="4" t="s">
        <v>822</v>
      </c>
    </row>
    <row r="227" spans="1:23" ht="15.75" customHeight="1" x14ac:dyDescent="0.3">
      <c r="A227" s="88" t="s">
        <v>874</v>
      </c>
      <c r="B227" s="1"/>
      <c r="C227" s="1">
        <v>946</v>
      </c>
      <c r="D227" s="1">
        <v>1000</v>
      </c>
      <c r="E227" s="55">
        <f t="shared" si="45"/>
        <v>1946</v>
      </c>
      <c r="F227" s="1">
        <v>1512</v>
      </c>
      <c r="G227" s="1">
        <v>1542</v>
      </c>
      <c r="H227" s="1"/>
      <c r="I227" s="55">
        <f t="shared" si="46"/>
        <v>3054</v>
      </c>
      <c r="J227" s="1"/>
      <c r="K227" s="1"/>
      <c r="L227" s="1"/>
      <c r="M227" s="55">
        <f t="shared" si="47"/>
        <v>0</v>
      </c>
      <c r="N227" s="1"/>
      <c r="O227" s="1"/>
      <c r="P227" s="1"/>
      <c r="Q227" s="55">
        <f t="shared" si="48"/>
        <v>0</v>
      </c>
      <c r="R227" s="55">
        <f t="shared" si="44"/>
        <v>5000</v>
      </c>
    </row>
    <row r="228" spans="1:23" ht="15.75" customHeight="1" x14ac:dyDescent="0.3">
      <c r="A228" s="88" t="s">
        <v>875</v>
      </c>
      <c r="B228" s="1">
        <v>703</v>
      </c>
      <c r="C228" s="1">
        <v>607</v>
      </c>
      <c r="D228" s="1">
        <v>690</v>
      </c>
      <c r="E228" s="55">
        <f t="shared" si="45"/>
        <v>2000</v>
      </c>
      <c r="F228" s="1"/>
      <c r="G228" s="1"/>
      <c r="H228" s="1"/>
      <c r="I228" s="55">
        <f t="shared" si="46"/>
        <v>0</v>
      </c>
      <c r="J228" s="1"/>
      <c r="K228" s="1"/>
      <c r="L228" s="1"/>
      <c r="M228" s="55">
        <f t="shared" si="47"/>
        <v>0</v>
      </c>
      <c r="N228" s="1"/>
      <c r="O228" s="1"/>
      <c r="P228" s="1"/>
      <c r="Q228" s="55">
        <f t="shared" si="48"/>
        <v>0</v>
      </c>
      <c r="R228" s="55">
        <f t="shared" si="44"/>
        <v>2000</v>
      </c>
    </row>
    <row r="229" spans="1:23" ht="15.75" customHeight="1" x14ac:dyDescent="0.3">
      <c r="A229" s="88" t="s">
        <v>876</v>
      </c>
      <c r="B229" s="1">
        <v>229</v>
      </c>
      <c r="C229" s="1">
        <v>607</v>
      </c>
      <c r="D229" s="1">
        <v>293</v>
      </c>
      <c r="E229" s="55">
        <f t="shared" si="45"/>
        <v>1129</v>
      </c>
      <c r="F229" s="1"/>
      <c r="G229" s="1"/>
      <c r="H229" s="1"/>
      <c r="I229" s="55">
        <f t="shared" si="46"/>
        <v>0</v>
      </c>
      <c r="J229" s="1"/>
      <c r="K229" s="1"/>
      <c r="L229" s="1"/>
      <c r="M229" s="55">
        <f t="shared" si="47"/>
        <v>0</v>
      </c>
      <c r="N229" s="1"/>
      <c r="O229" s="1"/>
      <c r="P229" s="1"/>
      <c r="Q229" s="55">
        <f t="shared" si="48"/>
        <v>0</v>
      </c>
      <c r="R229" s="55">
        <f t="shared" si="44"/>
        <v>1129</v>
      </c>
      <c r="W229" s="4">
        <v>1129</v>
      </c>
    </row>
    <row r="230" spans="1:23" ht="15.75" customHeight="1" x14ac:dyDescent="0.3">
      <c r="A230" s="88" t="s">
        <v>877</v>
      </c>
      <c r="B230" s="1"/>
      <c r="C230" s="1">
        <v>280</v>
      </c>
      <c r="D230" s="1"/>
      <c r="E230" s="55">
        <f t="shared" si="45"/>
        <v>280</v>
      </c>
      <c r="F230" s="1"/>
      <c r="G230" s="1"/>
      <c r="H230" s="1"/>
      <c r="I230" s="55">
        <f t="shared" si="46"/>
        <v>0</v>
      </c>
      <c r="J230" s="1"/>
      <c r="K230" s="1"/>
      <c r="L230" s="1"/>
      <c r="M230" s="55">
        <f t="shared" si="47"/>
        <v>0</v>
      </c>
      <c r="N230" s="1"/>
      <c r="O230" s="1"/>
      <c r="P230" s="1"/>
      <c r="Q230" s="55">
        <f t="shared" si="48"/>
        <v>0</v>
      </c>
      <c r="R230" s="55">
        <f t="shared" si="44"/>
        <v>280</v>
      </c>
      <c r="W230" s="4">
        <v>280</v>
      </c>
    </row>
    <row r="231" spans="1:23" ht="15.75" customHeight="1" x14ac:dyDescent="0.3">
      <c r="A231" s="72" t="s">
        <v>878</v>
      </c>
      <c r="B231" s="1">
        <v>709</v>
      </c>
      <c r="C231" s="1">
        <v>799</v>
      </c>
      <c r="D231" s="1">
        <v>759</v>
      </c>
      <c r="E231" s="55">
        <f t="shared" si="45"/>
        <v>2267</v>
      </c>
      <c r="F231" s="1">
        <v>833</v>
      </c>
      <c r="G231" s="1">
        <v>961</v>
      </c>
      <c r="H231" s="1">
        <v>987</v>
      </c>
      <c r="I231" s="55">
        <f t="shared" si="46"/>
        <v>2781</v>
      </c>
      <c r="J231" s="1"/>
      <c r="K231" s="1"/>
      <c r="L231" s="1"/>
      <c r="M231" s="55">
        <f t="shared" si="47"/>
        <v>0</v>
      </c>
      <c r="N231" s="1"/>
      <c r="O231" s="1"/>
      <c r="P231" s="1"/>
      <c r="Q231" s="55">
        <f t="shared" si="48"/>
        <v>0</v>
      </c>
      <c r="R231" s="55">
        <f t="shared" si="44"/>
        <v>5048</v>
      </c>
      <c r="W231" s="4">
        <v>5079</v>
      </c>
    </row>
    <row r="232" spans="1:23" ht="15.75" customHeight="1" x14ac:dyDescent="0.3">
      <c r="A232" s="84" t="s">
        <v>879</v>
      </c>
      <c r="B232" s="1">
        <v>22</v>
      </c>
      <c r="C232" s="1">
        <v>33</v>
      </c>
      <c r="D232" s="1">
        <v>52</v>
      </c>
      <c r="E232" s="55">
        <f>SUM(B232:D232)</f>
        <v>107</v>
      </c>
      <c r="F232" s="1">
        <v>52</v>
      </c>
      <c r="G232" s="1">
        <v>55</v>
      </c>
      <c r="H232" s="1"/>
      <c r="I232" s="55">
        <f t="shared" si="46"/>
        <v>107</v>
      </c>
      <c r="J232" s="1">
        <v>45</v>
      </c>
      <c r="K232" s="1"/>
      <c r="L232" s="1"/>
      <c r="M232" s="55">
        <f t="shared" si="47"/>
        <v>45</v>
      </c>
      <c r="N232" s="1"/>
      <c r="O232" s="1"/>
      <c r="P232" s="1"/>
      <c r="Q232" s="55">
        <f t="shared" si="48"/>
        <v>0</v>
      </c>
      <c r="R232" s="55">
        <f t="shared" si="44"/>
        <v>259</v>
      </c>
      <c r="W232" s="4">
        <v>214</v>
      </c>
    </row>
    <row r="233" spans="1:23" ht="15.75" customHeight="1" x14ac:dyDescent="0.3">
      <c r="A233" s="84" t="s">
        <v>880</v>
      </c>
      <c r="B233" s="1"/>
      <c r="C233" s="1">
        <v>15</v>
      </c>
      <c r="D233" s="1">
        <v>26</v>
      </c>
      <c r="E233" s="55">
        <f>SUM(B233:D233)</f>
        <v>41</v>
      </c>
      <c r="F233" s="1">
        <v>43</v>
      </c>
      <c r="G233" s="1">
        <v>86</v>
      </c>
      <c r="H233" s="1">
        <v>88</v>
      </c>
      <c r="I233" s="55">
        <f t="shared" si="46"/>
        <v>217</v>
      </c>
      <c r="J233" s="1"/>
      <c r="K233" s="1"/>
      <c r="L233" s="1"/>
      <c r="M233" s="55">
        <f t="shared" si="47"/>
        <v>0</v>
      </c>
      <c r="N233" s="1"/>
      <c r="O233" s="1"/>
      <c r="P233" s="1"/>
      <c r="Q233" s="55">
        <f t="shared" si="48"/>
        <v>0</v>
      </c>
      <c r="R233" s="55">
        <f t="shared" si="44"/>
        <v>258</v>
      </c>
      <c r="W233" s="4">
        <v>258</v>
      </c>
    </row>
    <row r="234" spans="1:23" ht="15.75" customHeight="1" x14ac:dyDescent="0.3">
      <c r="A234" s="84" t="s">
        <v>881</v>
      </c>
      <c r="B234" s="1"/>
      <c r="C234" s="1"/>
      <c r="D234" s="1"/>
      <c r="E234" s="55">
        <f>SUM(B234:D234)</f>
        <v>0</v>
      </c>
      <c r="F234" s="1">
        <v>2</v>
      </c>
      <c r="G234" s="1">
        <v>7</v>
      </c>
      <c r="H234" s="1">
        <v>17</v>
      </c>
      <c r="I234" s="55">
        <f t="shared" si="46"/>
        <v>26</v>
      </c>
      <c r="J234" s="1"/>
      <c r="K234" s="1"/>
      <c r="L234" s="1"/>
      <c r="M234" s="55">
        <f t="shared" si="47"/>
        <v>0</v>
      </c>
      <c r="N234" s="1"/>
      <c r="O234" s="1"/>
      <c r="P234" s="1"/>
      <c r="Q234" s="55">
        <f t="shared" si="48"/>
        <v>0</v>
      </c>
      <c r="R234" s="55">
        <f t="shared" si="44"/>
        <v>26</v>
      </c>
      <c r="T234" s="4" t="s">
        <v>812</v>
      </c>
      <c r="W234" s="4">
        <v>40</v>
      </c>
    </row>
    <row r="235" spans="1:23" ht="15.75" customHeight="1" x14ac:dyDescent="0.3">
      <c r="A235" s="72" t="s">
        <v>621</v>
      </c>
      <c r="B235" s="1"/>
      <c r="C235" s="1"/>
      <c r="D235" s="1"/>
      <c r="E235" s="55">
        <f t="shared" si="45"/>
        <v>0</v>
      </c>
      <c r="F235" s="1"/>
      <c r="G235" s="1"/>
      <c r="H235" s="1">
        <v>1778</v>
      </c>
      <c r="I235" s="55">
        <f t="shared" si="46"/>
        <v>1778</v>
      </c>
      <c r="J235" s="1">
        <v>2347</v>
      </c>
      <c r="K235" s="1">
        <v>2473</v>
      </c>
      <c r="L235" s="1">
        <v>2359</v>
      </c>
      <c r="M235" s="55">
        <f t="shared" si="47"/>
        <v>7179</v>
      </c>
      <c r="N235" s="1">
        <v>2430</v>
      </c>
      <c r="O235" s="1">
        <v>2334</v>
      </c>
      <c r="P235" s="1">
        <v>1279</v>
      </c>
      <c r="Q235" s="55">
        <f t="shared" si="48"/>
        <v>6043</v>
      </c>
      <c r="R235" s="55">
        <f t="shared" si="44"/>
        <v>15000</v>
      </c>
      <c r="S235" s="4" t="s">
        <v>821</v>
      </c>
    </row>
    <row r="236" spans="1:23" ht="15.75" customHeight="1" x14ac:dyDescent="0.3">
      <c r="A236" s="72" t="s">
        <v>622</v>
      </c>
      <c r="B236" s="1"/>
      <c r="C236" s="1"/>
      <c r="D236" s="1"/>
      <c r="E236" s="55">
        <f t="shared" si="45"/>
        <v>0</v>
      </c>
      <c r="F236" s="1"/>
      <c r="G236" s="1">
        <v>5798</v>
      </c>
      <c r="H236" s="1">
        <v>5754</v>
      </c>
      <c r="I236" s="55">
        <f t="shared" si="46"/>
        <v>11552</v>
      </c>
      <c r="J236" s="1">
        <v>448</v>
      </c>
      <c r="K236" s="1"/>
      <c r="L236" s="1"/>
      <c r="M236" s="55">
        <f t="shared" si="47"/>
        <v>448</v>
      </c>
      <c r="N236" s="1"/>
      <c r="O236" s="1"/>
      <c r="P236" s="1"/>
      <c r="Q236" s="55">
        <f t="shared" si="48"/>
        <v>0</v>
      </c>
      <c r="R236" s="55">
        <f t="shared" si="44"/>
        <v>12000</v>
      </c>
      <c r="S236" s="4" t="s">
        <v>821</v>
      </c>
    </row>
    <row r="237" spans="1:23" ht="15.75" customHeight="1" x14ac:dyDescent="0.3">
      <c r="A237" s="72" t="s">
        <v>882</v>
      </c>
      <c r="B237" s="1"/>
      <c r="C237" s="1"/>
      <c r="D237" s="1"/>
      <c r="E237" s="55">
        <f t="shared" si="45"/>
        <v>0</v>
      </c>
      <c r="F237" s="1"/>
      <c r="G237" s="1"/>
      <c r="H237" s="1"/>
      <c r="I237" s="55">
        <f t="shared" si="46"/>
        <v>0</v>
      </c>
      <c r="J237" s="1"/>
      <c r="K237" s="1"/>
      <c r="L237" s="1"/>
      <c r="M237" s="55">
        <f t="shared" si="47"/>
        <v>0</v>
      </c>
      <c r="N237" s="1"/>
      <c r="O237" s="1"/>
      <c r="P237" s="1"/>
      <c r="Q237" s="55">
        <f>SUM(N237:P237)</f>
        <v>0</v>
      </c>
      <c r="R237" s="55">
        <f>+E237+I237+M237+Q237</f>
        <v>0</v>
      </c>
    </row>
    <row r="238" spans="1:23" ht="15.75" customHeight="1" x14ac:dyDescent="0.3">
      <c r="A238" s="72" t="s">
        <v>883</v>
      </c>
      <c r="B238" s="1">
        <v>500</v>
      </c>
      <c r="C238" s="1"/>
      <c r="D238" s="1">
        <v>400</v>
      </c>
      <c r="E238" s="55">
        <f t="shared" si="45"/>
        <v>900</v>
      </c>
      <c r="F238" s="1">
        <v>500</v>
      </c>
      <c r="G238" s="1">
        <v>610</v>
      </c>
      <c r="H238" s="1"/>
      <c r="I238" s="55">
        <f t="shared" si="46"/>
        <v>1110</v>
      </c>
      <c r="J238" s="1"/>
      <c r="K238" s="1"/>
      <c r="L238" s="1">
        <v>176</v>
      </c>
      <c r="M238" s="55">
        <f t="shared" si="47"/>
        <v>176</v>
      </c>
      <c r="N238" s="1"/>
      <c r="O238" s="1"/>
      <c r="P238" s="1"/>
      <c r="Q238" s="55">
        <f t="shared" si="48"/>
        <v>0</v>
      </c>
      <c r="R238" s="55">
        <f t="shared" si="44"/>
        <v>2186</v>
      </c>
      <c r="S238" s="4" t="s">
        <v>821</v>
      </c>
      <c r="T238" s="4" t="s">
        <v>822</v>
      </c>
    </row>
    <row r="239" spans="1:23" ht="15.75" customHeight="1" x14ac:dyDescent="0.3">
      <c r="A239" s="72" t="s">
        <v>884</v>
      </c>
      <c r="B239" s="1"/>
      <c r="C239" s="1"/>
      <c r="D239" s="1"/>
      <c r="E239" s="55">
        <f t="shared" si="45"/>
        <v>0</v>
      </c>
      <c r="F239" s="1"/>
      <c r="G239" s="1"/>
      <c r="H239" s="1"/>
      <c r="I239" s="55">
        <f t="shared" si="46"/>
        <v>0</v>
      </c>
      <c r="J239" s="1"/>
      <c r="K239" s="1">
        <v>723</v>
      </c>
      <c r="L239" s="1"/>
      <c r="M239" s="55">
        <f t="shared" si="47"/>
        <v>723</v>
      </c>
      <c r="N239" s="1">
        <v>600</v>
      </c>
      <c r="O239" s="1">
        <v>300</v>
      </c>
      <c r="P239" s="1"/>
      <c r="Q239" s="55">
        <f t="shared" si="48"/>
        <v>900</v>
      </c>
      <c r="R239" s="55">
        <f t="shared" si="44"/>
        <v>1623</v>
      </c>
      <c r="S239" s="4" t="s">
        <v>821</v>
      </c>
      <c r="T239" s="89" t="s">
        <v>822</v>
      </c>
      <c r="U239" s="89"/>
    </row>
    <row r="240" spans="1:23" ht="15.75" customHeight="1" x14ac:dyDescent="0.3">
      <c r="A240" s="72" t="s">
        <v>161</v>
      </c>
      <c r="B240" s="1"/>
      <c r="C240" s="1"/>
      <c r="D240" s="1"/>
      <c r="E240" s="55">
        <f>SUM(B240:D240)</f>
        <v>0</v>
      </c>
      <c r="F240" s="1">
        <v>544</v>
      </c>
      <c r="G240" s="1">
        <v>1225</v>
      </c>
      <c r="H240" s="1">
        <v>45</v>
      </c>
      <c r="I240" s="55">
        <f>SUM(F240:H240)</f>
        <v>1814</v>
      </c>
      <c r="J240" s="1"/>
      <c r="K240" s="1"/>
      <c r="L240" s="1"/>
      <c r="M240" s="55">
        <f t="shared" si="47"/>
        <v>0</v>
      </c>
      <c r="N240" s="1"/>
      <c r="O240" s="1"/>
      <c r="P240" s="1"/>
      <c r="Q240" s="55">
        <f t="shared" si="48"/>
        <v>0</v>
      </c>
      <c r="R240" s="55">
        <f t="shared" si="44"/>
        <v>1814</v>
      </c>
      <c r="T240" s="4" t="s">
        <v>885</v>
      </c>
    </row>
    <row r="241" spans="1:20" ht="15.75" customHeight="1" x14ac:dyDescent="0.3">
      <c r="A241" s="84" t="s">
        <v>886</v>
      </c>
      <c r="B241" s="1"/>
      <c r="C241" s="1"/>
      <c r="D241" s="1"/>
      <c r="E241" s="55">
        <f>SUM(B241:D241)</f>
        <v>0</v>
      </c>
      <c r="F241" s="1"/>
      <c r="G241" s="1"/>
      <c r="H241" s="1"/>
      <c r="I241" s="55">
        <f>SUM(F241:H241)</f>
        <v>0</v>
      </c>
      <c r="J241" s="1"/>
      <c r="K241" s="1"/>
      <c r="L241" s="1"/>
      <c r="M241" s="55">
        <f t="shared" si="47"/>
        <v>0</v>
      </c>
      <c r="N241" s="1"/>
      <c r="O241" s="1"/>
      <c r="P241" s="1"/>
      <c r="Q241" s="55">
        <f>SUM(N241:P241)</f>
        <v>0</v>
      </c>
      <c r="R241" s="55">
        <f>+E241+I241+M241+Q241</f>
        <v>0</v>
      </c>
      <c r="T241" s="4" t="s">
        <v>819</v>
      </c>
    </row>
    <row r="242" spans="1:20" ht="15.75" customHeight="1" x14ac:dyDescent="0.3">
      <c r="A242" s="72" t="s">
        <v>162</v>
      </c>
      <c r="B242" s="1"/>
      <c r="C242" s="1"/>
      <c r="E242" s="55">
        <f t="shared" si="45"/>
        <v>0</v>
      </c>
      <c r="F242" s="1"/>
      <c r="H242" s="1"/>
      <c r="I242" s="55">
        <f t="shared" si="46"/>
        <v>0</v>
      </c>
      <c r="J242" s="1"/>
      <c r="K242" s="1"/>
      <c r="L242" s="1"/>
      <c r="M242" s="55">
        <f t="shared" si="47"/>
        <v>0</v>
      </c>
      <c r="N242" s="1"/>
      <c r="O242" s="1"/>
      <c r="P242" s="1"/>
      <c r="Q242" s="55">
        <f t="shared" si="48"/>
        <v>0</v>
      </c>
      <c r="R242" s="55">
        <f t="shared" si="44"/>
        <v>0</v>
      </c>
    </row>
    <row r="243" spans="1:20" ht="15.75" customHeight="1" x14ac:dyDescent="0.3">
      <c r="A243" s="72" t="s">
        <v>163</v>
      </c>
      <c r="B243" s="1"/>
      <c r="C243" s="1"/>
      <c r="D243" s="1"/>
      <c r="E243" s="55">
        <f t="shared" si="45"/>
        <v>0</v>
      </c>
      <c r="F243" s="1">
        <v>176</v>
      </c>
      <c r="G243" s="1">
        <v>2341</v>
      </c>
      <c r="H243" s="1">
        <v>506</v>
      </c>
      <c r="I243" s="55">
        <f t="shared" si="46"/>
        <v>3023</v>
      </c>
      <c r="J243" s="1"/>
      <c r="K243" s="1"/>
      <c r="L243" s="1"/>
      <c r="M243" s="55">
        <f t="shared" si="47"/>
        <v>0</v>
      </c>
      <c r="N243" s="1"/>
      <c r="O243" s="1"/>
      <c r="P243" s="1"/>
      <c r="Q243" s="55">
        <f t="shared" si="48"/>
        <v>0</v>
      </c>
      <c r="R243" s="55">
        <f t="shared" si="44"/>
        <v>3023</v>
      </c>
    </row>
    <row r="244" spans="1:20" ht="15.75" customHeight="1" x14ac:dyDescent="0.3">
      <c r="A244" s="72" t="s">
        <v>164</v>
      </c>
      <c r="B244" s="1">
        <v>60</v>
      </c>
      <c r="C244" s="1"/>
      <c r="D244" s="1"/>
      <c r="E244" s="55">
        <f t="shared" si="45"/>
        <v>60</v>
      </c>
      <c r="F244" s="1"/>
      <c r="G244" s="1"/>
      <c r="H244" s="1"/>
      <c r="I244" s="55">
        <f t="shared" si="46"/>
        <v>0</v>
      </c>
      <c r="J244" s="1"/>
      <c r="K244" s="1"/>
      <c r="L244" s="1"/>
      <c r="M244" s="55">
        <f t="shared" si="47"/>
        <v>0</v>
      </c>
      <c r="N244" s="1"/>
      <c r="O244" s="1"/>
      <c r="P244" s="1"/>
      <c r="Q244" s="55">
        <f t="shared" si="48"/>
        <v>0</v>
      </c>
      <c r="R244" s="55">
        <f t="shared" si="44"/>
        <v>60</v>
      </c>
    </row>
    <row r="245" spans="1:20" ht="15.75" customHeight="1" x14ac:dyDescent="0.3">
      <c r="A245" s="72" t="s">
        <v>887</v>
      </c>
      <c r="B245" s="1">
        <v>60</v>
      </c>
      <c r="C245" s="1"/>
      <c r="D245" s="1"/>
      <c r="E245" s="55">
        <f t="shared" si="45"/>
        <v>60</v>
      </c>
      <c r="F245" s="1"/>
      <c r="G245" s="1"/>
      <c r="H245" s="1"/>
      <c r="I245" s="55">
        <f t="shared" si="46"/>
        <v>0</v>
      </c>
      <c r="J245" s="1"/>
      <c r="K245" s="1"/>
      <c r="L245" s="1"/>
      <c r="M245" s="55">
        <f t="shared" si="47"/>
        <v>0</v>
      </c>
      <c r="N245" s="1"/>
      <c r="O245" s="1"/>
      <c r="P245" s="1"/>
      <c r="Q245" s="55">
        <f t="shared" si="48"/>
        <v>0</v>
      </c>
      <c r="R245" s="55">
        <f t="shared" si="44"/>
        <v>60</v>
      </c>
      <c r="S245" s="4" t="s">
        <v>821</v>
      </c>
      <c r="T245" s="4" t="s">
        <v>822</v>
      </c>
    </row>
    <row r="246" spans="1:20" ht="15.75" customHeight="1" x14ac:dyDescent="0.3">
      <c r="A246" s="72" t="s">
        <v>888</v>
      </c>
      <c r="B246" s="1"/>
      <c r="C246" s="1"/>
      <c r="D246" s="1"/>
      <c r="E246" s="55">
        <f t="shared" si="45"/>
        <v>0</v>
      </c>
      <c r="F246" s="1"/>
      <c r="G246" s="1"/>
      <c r="H246" s="1"/>
      <c r="I246" s="55">
        <f t="shared" si="46"/>
        <v>0</v>
      </c>
      <c r="J246" s="1"/>
      <c r="K246" s="1"/>
      <c r="L246" s="1"/>
      <c r="M246" s="55">
        <f t="shared" si="47"/>
        <v>0</v>
      </c>
      <c r="N246" s="1"/>
      <c r="O246" s="1"/>
      <c r="P246" s="1"/>
      <c r="Q246" s="55">
        <f t="shared" si="48"/>
        <v>0</v>
      </c>
      <c r="R246" s="55">
        <f t="shared" si="44"/>
        <v>0</v>
      </c>
      <c r="T246" s="4" t="s">
        <v>822</v>
      </c>
    </row>
    <row r="247" spans="1:20" ht="15.75" customHeight="1" x14ac:dyDescent="0.3">
      <c r="A247" s="72" t="s">
        <v>889</v>
      </c>
      <c r="B247" s="1">
        <v>998</v>
      </c>
      <c r="C247" s="1">
        <v>992</v>
      </c>
      <c r="D247" s="1">
        <v>1089</v>
      </c>
      <c r="E247" s="55">
        <f t="shared" si="45"/>
        <v>3079</v>
      </c>
      <c r="F247" s="1">
        <v>1094</v>
      </c>
      <c r="G247" s="1">
        <v>1308</v>
      </c>
      <c r="H247" s="1">
        <f>319+1366</f>
        <v>1685</v>
      </c>
      <c r="I247" s="55">
        <f t="shared" si="46"/>
        <v>4087</v>
      </c>
      <c r="J247" s="1">
        <f>188+684</f>
        <v>872</v>
      </c>
      <c r="K247" s="1">
        <f>939+1366</f>
        <v>2305</v>
      </c>
      <c r="L247" s="1">
        <f>742+1184</f>
        <v>1926</v>
      </c>
      <c r="M247" s="55">
        <f t="shared" si="47"/>
        <v>5103</v>
      </c>
      <c r="N247" s="1">
        <v>773</v>
      </c>
      <c r="O247" s="1">
        <v>555</v>
      </c>
      <c r="P247" s="1">
        <v>403</v>
      </c>
      <c r="Q247" s="55">
        <f t="shared" si="48"/>
        <v>1731</v>
      </c>
      <c r="R247" s="55">
        <f t="shared" si="44"/>
        <v>14000</v>
      </c>
      <c r="S247" s="4" t="s">
        <v>821</v>
      </c>
      <c r="T247" s="4" t="s">
        <v>822</v>
      </c>
    </row>
    <row r="248" spans="1:20" ht="15.75" customHeight="1" x14ac:dyDescent="0.3">
      <c r="A248" s="347" t="s">
        <v>890</v>
      </c>
      <c r="B248" s="1"/>
      <c r="C248" s="1"/>
      <c r="D248" s="1">
        <v>2500</v>
      </c>
      <c r="E248" s="55">
        <f t="shared" si="45"/>
        <v>2500</v>
      </c>
      <c r="F248" s="1">
        <v>2000</v>
      </c>
      <c r="G248" s="1">
        <v>4500</v>
      </c>
      <c r="H248" s="1">
        <v>3000</v>
      </c>
      <c r="I248" s="55">
        <f t="shared" si="46"/>
        <v>9500</v>
      </c>
      <c r="J248" s="1">
        <v>4500</v>
      </c>
      <c r="K248" s="1">
        <v>4000</v>
      </c>
      <c r="L248" s="1">
        <v>8689</v>
      </c>
      <c r="M248" s="55">
        <f t="shared" si="47"/>
        <v>17189</v>
      </c>
      <c r="N248" s="1">
        <v>2000</v>
      </c>
      <c r="O248" s="1">
        <v>1500</v>
      </c>
      <c r="P248" s="1">
        <v>2200</v>
      </c>
      <c r="Q248" s="55">
        <f t="shared" si="48"/>
        <v>5700</v>
      </c>
      <c r="R248" s="55">
        <f t="shared" si="44"/>
        <v>34889</v>
      </c>
      <c r="S248" s="4" t="s">
        <v>821</v>
      </c>
      <c r="T248" s="4" t="s">
        <v>822</v>
      </c>
    </row>
    <row r="249" spans="1:20" ht="15.75" customHeight="1" x14ac:dyDescent="0.3">
      <c r="A249" s="88" t="s">
        <v>891</v>
      </c>
      <c r="B249" s="1"/>
      <c r="C249" s="1"/>
      <c r="D249" s="1"/>
      <c r="E249" s="55">
        <f t="shared" si="45"/>
        <v>0</v>
      </c>
      <c r="F249" s="1"/>
      <c r="G249" s="1"/>
      <c r="H249" s="1"/>
      <c r="I249" s="55">
        <f t="shared" si="46"/>
        <v>0</v>
      </c>
      <c r="J249" s="1"/>
      <c r="K249" s="1"/>
      <c r="L249" s="1"/>
      <c r="M249" s="55">
        <f t="shared" si="47"/>
        <v>0</v>
      </c>
      <c r="N249" s="1"/>
      <c r="O249" s="1"/>
      <c r="P249" s="1"/>
      <c r="Q249" s="55">
        <f t="shared" si="48"/>
        <v>0</v>
      </c>
      <c r="R249" s="55">
        <f t="shared" si="44"/>
        <v>0</v>
      </c>
      <c r="T249" s="4" t="s">
        <v>818</v>
      </c>
    </row>
    <row r="250" spans="1:20" ht="15.75" customHeight="1" x14ac:dyDescent="0.3">
      <c r="A250" s="88" t="s">
        <v>892</v>
      </c>
      <c r="B250" s="1"/>
      <c r="C250" s="1"/>
      <c r="D250" s="1"/>
      <c r="E250" s="55">
        <f t="shared" si="45"/>
        <v>0</v>
      </c>
      <c r="F250" s="1"/>
      <c r="G250" s="1"/>
      <c r="H250" s="1"/>
      <c r="I250" s="55">
        <f>SUM(F250:H250)</f>
        <v>0</v>
      </c>
      <c r="J250" s="1"/>
      <c r="K250" s="1"/>
      <c r="L250" s="1"/>
      <c r="M250" s="55">
        <f>SUM(J250:L250)</f>
        <v>0</v>
      </c>
      <c r="N250" s="1"/>
      <c r="O250" s="1"/>
      <c r="P250" s="1"/>
      <c r="Q250" s="55">
        <f t="shared" si="48"/>
        <v>0</v>
      </c>
      <c r="R250" s="55">
        <f t="shared" si="44"/>
        <v>0</v>
      </c>
      <c r="T250" s="4" t="s">
        <v>819</v>
      </c>
    </row>
    <row r="251" spans="1:20" ht="15.75" customHeight="1" x14ac:dyDescent="0.3">
      <c r="A251" s="72" t="s">
        <v>893</v>
      </c>
      <c r="B251" s="1"/>
      <c r="C251" s="1"/>
      <c r="D251" s="1"/>
      <c r="E251" s="55">
        <f t="shared" si="45"/>
        <v>0</v>
      </c>
      <c r="F251" s="1"/>
      <c r="G251" s="1">
        <v>390</v>
      </c>
      <c r="H251" s="1">
        <v>1400</v>
      </c>
      <c r="I251" s="55">
        <f t="shared" si="46"/>
        <v>1790</v>
      </c>
      <c r="J251" s="1">
        <v>500</v>
      </c>
      <c r="K251" s="1">
        <v>1000</v>
      </c>
      <c r="L251" s="1">
        <v>500</v>
      </c>
      <c r="M251" s="55">
        <f>SUM(J251:L251)</f>
        <v>2000</v>
      </c>
      <c r="N251" s="1"/>
      <c r="O251" s="1"/>
      <c r="P251" s="1"/>
      <c r="Q251" s="55">
        <f t="shared" si="48"/>
        <v>0</v>
      </c>
      <c r="R251" s="55">
        <f t="shared" si="44"/>
        <v>3790</v>
      </c>
      <c r="S251" s="4" t="s">
        <v>821</v>
      </c>
      <c r="T251" s="4" t="s">
        <v>822</v>
      </c>
    </row>
    <row r="252" spans="1:20" ht="15.75" customHeight="1" x14ac:dyDescent="0.3">
      <c r="A252" s="72" t="s">
        <v>894</v>
      </c>
      <c r="B252" s="1"/>
      <c r="C252" s="1"/>
      <c r="D252" s="1"/>
      <c r="E252" s="55">
        <f t="shared" si="45"/>
        <v>0</v>
      </c>
      <c r="F252" s="1"/>
      <c r="G252" s="1"/>
      <c r="H252" s="1"/>
      <c r="I252" s="55">
        <f t="shared" si="46"/>
        <v>0</v>
      </c>
      <c r="J252" s="1"/>
      <c r="K252" s="1"/>
      <c r="L252" s="1"/>
      <c r="M252" s="55">
        <f t="shared" si="47"/>
        <v>0</v>
      </c>
      <c r="N252" s="1"/>
      <c r="O252" s="1"/>
      <c r="P252" s="1"/>
      <c r="Q252" s="55">
        <f t="shared" si="48"/>
        <v>0</v>
      </c>
      <c r="R252" s="55">
        <f t="shared" si="44"/>
        <v>0</v>
      </c>
      <c r="T252" s="4" t="s">
        <v>822</v>
      </c>
    </row>
    <row r="253" spans="1:20" ht="15.75" customHeight="1" x14ac:dyDescent="0.3">
      <c r="A253" s="72" t="s">
        <v>170</v>
      </c>
      <c r="B253" s="1"/>
      <c r="C253" s="1">
        <v>220</v>
      </c>
      <c r="D253" s="1">
        <v>1778</v>
      </c>
      <c r="E253" s="55">
        <f t="shared" si="45"/>
        <v>1998</v>
      </c>
      <c r="F253" s="1">
        <v>852</v>
      </c>
      <c r="G253" s="1"/>
      <c r="H253" s="1"/>
      <c r="I253" s="55">
        <f t="shared" si="46"/>
        <v>852</v>
      </c>
      <c r="J253" s="1"/>
      <c r="K253" s="1"/>
      <c r="L253" s="1"/>
      <c r="M253" s="55">
        <f t="shared" si="47"/>
        <v>0</v>
      </c>
      <c r="N253" s="1"/>
      <c r="O253" s="1"/>
      <c r="P253" s="1"/>
      <c r="Q253" s="55">
        <f t="shared" si="48"/>
        <v>0</v>
      </c>
      <c r="R253" s="55">
        <f t="shared" si="44"/>
        <v>2850</v>
      </c>
      <c r="T253" s="4" t="s">
        <v>832</v>
      </c>
    </row>
    <row r="254" spans="1:20" ht="15.75" customHeight="1" x14ac:dyDescent="0.3">
      <c r="A254" s="72" t="s">
        <v>171</v>
      </c>
      <c r="B254" s="1"/>
      <c r="C254" s="1"/>
      <c r="D254" s="1"/>
      <c r="E254" s="55">
        <f t="shared" si="45"/>
        <v>0</v>
      </c>
      <c r="F254" s="1"/>
      <c r="G254" s="1"/>
      <c r="H254" s="1"/>
      <c r="I254" s="55">
        <f t="shared" si="46"/>
        <v>0</v>
      </c>
      <c r="J254" s="1"/>
      <c r="K254" s="1"/>
      <c r="L254" s="1"/>
      <c r="M254" s="55">
        <f t="shared" si="47"/>
        <v>0</v>
      </c>
      <c r="N254" s="1"/>
      <c r="O254" s="1"/>
      <c r="P254" s="1"/>
      <c r="Q254" s="55">
        <f t="shared" si="48"/>
        <v>0</v>
      </c>
      <c r="R254" s="55">
        <f t="shared" si="44"/>
        <v>0</v>
      </c>
    </row>
    <row r="255" spans="1:20" ht="15.75" customHeight="1" x14ac:dyDescent="0.3">
      <c r="A255" s="72" t="s">
        <v>172</v>
      </c>
      <c r="B255" s="1">
        <v>2313</v>
      </c>
      <c r="C255" s="1">
        <v>2188</v>
      </c>
      <c r="D255" s="1">
        <v>249</v>
      </c>
      <c r="E255" s="55">
        <f t="shared" si="45"/>
        <v>4750</v>
      </c>
      <c r="F255" s="1"/>
      <c r="G255" s="1"/>
      <c r="H255" s="1"/>
      <c r="I255" s="55">
        <f t="shared" si="46"/>
        <v>0</v>
      </c>
      <c r="J255" s="1"/>
      <c r="K255" s="1"/>
      <c r="L255" s="1"/>
      <c r="M255" s="55">
        <f t="shared" si="47"/>
        <v>0</v>
      </c>
      <c r="N255" s="1"/>
      <c r="O255" s="1"/>
      <c r="P255" s="1"/>
      <c r="Q255" s="55">
        <f t="shared" si="48"/>
        <v>0</v>
      </c>
      <c r="R255" s="55">
        <f t="shared" si="44"/>
        <v>4750</v>
      </c>
      <c r="S255" s="4" t="s">
        <v>821</v>
      </c>
    </row>
    <row r="256" spans="1:20" ht="15.75" customHeight="1" x14ac:dyDescent="0.3">
      <c r="A256" s="72" t="s">
        <v>173</v>
      </c>
      <c r="B256" s="1">
        <v>95</v>
      </c>
      <c r="C256" s="1"/>
      <c r="D256" s="1"/>
      <c r="E256" s="55">
        <f t="shared" si="45"/>
        <v>95</v>
      </c>
      <c r="F256" s="1"/>
      <c r="G256" s="1"/>
      <c r="H256" s="1"/>
      <c r="I256" s="55">
        <f t="shared" si="46"/>
        <v>0</v>
      </c>
      <c r="J256" s="1"/>
      <c r="K256" s="1"/>
      <c r="L256" s="1"/>
      <c r="M256" s="55">
        <f t="shared" si="47"/>
        <v>0</v>
      </c>
      <c r="N256" s="1"/>
      <c r="O256" s="1"/>
      <c r="P256" s="1"/>
      <c r="Q256" s="55">
        <f t="shared" si="48"/>
        <v>0</v>
      </c>
      <c r="R256" s="55">
        <f t="shared" si="44"/>
        <v>95</v>
      </c>
    </row>
    <row r="257" spans="1:20" ht="15.75" customHeight="1" x14ac:dyDescent="0.3">
      <c r="A257" s="72" t="s">
        <v>895</v>
      </c>
      <c r="B257" s="1">
        <v>95</v>
      </c>
      <c r="C257" s="1"/>
      <c r="D257" s="1"/>
      <c r="E257" s="55">
        <f t="shared" si="45"/>
        <v>95</v>
      </c>
      <c r="F257" s="1"/>
      <c r="G257" s="1"/>
      <c r="H257" s="1"/>
      <c r="I257" s="55">
        <f t="shared" si="46"/>
        <v>0</v>
      </c>
      <c r="J257" s="1"/>
      <c r="K257" s="1"/>
      <c r="L257" s="1"/>
      <c r="M257" s="55">
        <f t="shared" si="47"/>
        <v>0</v>
      </c>
      <c r="N257" s="1"/>
      <c r="O257" s="1"/>
      <c r="P257" s="1"/>
      <c r="Q257" s="55">
        <f t="shared" si="48"/>
        <v>0</v>
      </c>
      <c r="R257" s="55">
        <f t="shared" si="44"/>
        <v>95</v>
      </c>
      <c r="S257" s="4" t="s">
        <v>821</v>
      </c>
      <c r="T257" s="4" t="s">
        <v>822</v>
      </c>
    </row>
    <row r="258" spans="1:20" ht="15.75" customHeight="1" x14ac:dyDescent="0.3">
      <c r="A258" s="72" t="s">
        <v>896</v>
      </c>
      <c r="B258" s="1">
        <v>619</v>
      </c>
      <c r="C258" s="1">
        <v>178</v>
      </c>
      <c r="D258" s="1">
        <v>276</v>
      </c>
      <c r="E258" s="55">
        <f t="shared" si="45"/>
        <v>1073</v>
      </c>
      <c r="F258" s="1">
        <v>368</v>
      </c>
      <c r="G258" s="1">
        <v>737</v>
      </c>
      <c r="H258" s="1">
        <v>822</v>
      </c>
      <c r="I258" s="55">
        <f t="shared" si="46"/>
        <v>1927</v>
      </c>
      <c r="J258" s="1"/>
      <c r="K258" s="1"/>
      <c r="L258" s="1"/>
      <c r="M258" s="55">
        <f t="shared" si="47"/>
        <v>0</v>
      </c>
      <c r="N258" s="1"/>
      <c r="O258" s="1"/>
      <c r="P258" s="1"/>
      <c r="Q258" s="55">
        <f t="shared" si="48"/>
        <v>0</v>
      </c>
      <c r="R258" s="55">
        <f t="shared" si="44"/>
        <v>3000</v>
      </c>
      <c r="S258" s="4" t="s">
        <v>821</v>
      </c>
    </row>
    <row r="259" spans="1:20" ht="15.75" customHeight="1" x14ac:dyDescent="0.3">
      <c r="A259" s="72" t="s">
        <v>709</v>
      </c>
      <c r="B259" s="1">
        <v>441</v>
      </c>
      <c r="C259" s="1">
        <v>3289</v>
      </c>
      <c r="D259" s="1">
        <v>4215</v>
      </c>
      <c r="E259" s="55">
        <f>SUM(B259:D259)</f>
        <v>7945</v>
      </c>
      <c r="F259" s="1">
        <v>4375</v>
      </c>
      <c r="G259" s="1">
        <v>180</v>
      </c>
      <c r="H259" s="1"/>
      <c r="I259" s="55">
        <f>SUM(F259:H259)</f>
        <v>4555</v>
      </c>
      <c r="J259" s="1"/>
      <c r="K259" s="1"/>
      <c r="L259" s="1"/>
      <c r="M259" s="55">
        <f>SUM(J259:L259)</f>
        <v>0</v>
      </c>
      <c r="N259" s="1"/>
      <c r="O259" s="1"/>
      <c r="P259" s="1"/>
      <c r="Q259" s="55">
        <f>SUM(N259:P259)</f>
        <v>0</v>
      </c>
      <c r="R259" s="55">
        <f>+E259+I259+M259+Q259</f>
        <v>12500</v>
      </c>
      <c r="S259" s="4" t="s">
        <v>821</v>
      </c>
    </row>
    <row r="260" spans="1:20" ht="15.75" customHeight="1" x14ac:dyDescent="0.3">
      <c r="A260" s="72" t="s">
        <v>897</v>
      </c>
      <c r="B260" s="1"/>
      <c r="C260" s="1"/>
      <c r="D260" s="1"/>
      <c r="E260" s="55">
        <f>SUM(B260:D260)</f>
        <v>0</v>
      </c>
      <c r="F260" s="1"/>
      <c r="G260" s="1"/>
      <c r="H260" s="1"/>
      <c r="I260" s="55">
        <f>SUM(F260:H260)</f>
        <v>0</v>
      </c>
      <c r="J260" s="1"/>
      <c r="K260" s="1"/>
      <c r="L260" s="1"/>
      <c r="M260" s="55">
        <f>SUM(J260:L260)</f>
        <v>0</v>
      </c>
      <c r="N260" s="1"/>
      <c r="O260" s="1"/>
      <c r="P260" s="1"/>
      <c r="Q260" s="55">
        <f>SUM(N260:P260)</f>
        <v>0</v>
      </c>
      <c r="R260" s="55">
        <f>+E260+I260+M260+Q260</f>
        <v>0</v>
      </c>
    </row>
    <row r="261" spans="1:20" ht="15.75" customHeight="1" x14ac:dyDescent="0.3">
      <c r="A261" s="72" t="s">
        <v>175</v>
      </c>
      <c r="B261" s="1">
        <v>500</v>
      </c>
      <c r="C261" s="1"/>
      <c r="D261" s="1"/>
      <c r="E261" s="55">
        <f t="shared" si="45"/>
        <v>500</v>
      </c>
      <c r="F261" s="1"/>
      <c r="G261" s="1"/>
      <c r="H261" s="1"/>
      <c r="I261" s="55">
        <f t="shared" si="46"/>
        <v>0</v>
      </c>
      <c r="J261" s="1"/>
      <c r="K261" s="1"/>
      <c r="L261" s="1"/>
      <c r="M261" s="55">
        <f t="shared" si="47"/>
        <v>0</v>
      </c>
      <c r="N261" s="1"/>
      <c r="O261" s="1"/>
      <c r="P261" s="1"/>
      <c r="Q261" s="55">
        <f t="shared" si="48"/>
        <v>0</v>
      </c>
      <c r="R261" s="55">
        <f t="shared" si="44"/>
        <v>500</v>
      </c>
    </row>
    <row r="262" spans="1:20" ht="15.75" customHeight="1" thickBot="1" x14ac:dyDescent="0.35">
      <c r="A262" s="72" t="s">
        <v>898</v>
      </c>
      <c r="B262" s="1"/>
      <c r="C262" s="1"/>
      <c r="D262" s="1"/>
      <c r="E262" s="55">
        <f>SUM(B262:D262)</f>
        <v>0</v>
      </c>
      <c r="F262" s="1"/>
      <c r="G262" s="1"/>
      <c r="H262" s="1"/>
      <c r="I262" s="55">
        <f>SUM(F262:H262)</f>
        <v>0</v>
      </c>
      <c r="J262" s="1"/>
      <c r="K262" s="1"/>
      <c r="L262" s="1"/>
      <c r="M262" s="55">
        <f>SUM(J262:L262)</f>
        <v>0</v>
      </c>
      <c r="N262" s="1"/>
      <c r="O262" s="1"/>
      <c r="P262" s="1"/>
      <c r="Q262" s="55">
        <f>SUM(N262:P262)</f>
        <v>0</v>
      </c>
      <c r="R262" s="55">
        <f t="shared" si="44"/>
        <v>0</v>
      </c>
      <c r="S262" s="4" t="s">
        <v>821</v>
      </c>
    </row>
    <row r="263" spans="1:20" ht="16.5" customHeight="1" thickBot="1" x14ac:dyDescent="0.35">
      <c r="A263" s="57" t="s">
        <v>63</v>
      </c>
      <c r="B263" s="86">
        <f>SUM(B208:B262)</f>
        <v>9131</v>
      </c>
      <c r="C263" s="87">
        <f>SUM(C208:C262)</f>
        <v>10812</v>
      </c>
      <c r="D263" s="87">
        <f>SUM(D208:D262)</f>
        <v>16226</v>
      </c>
      <c r="E263" s="59">
        <f t="shared" si="45"/>
        <v>36169</v>
      </c>
      <c r="F263" s="87">
        <f>SUM(F208:F262)</f>
        <v>14913</v>
      </c>
      <c r="G263" s="87">
        <f>SUM(G208:G262)</f>
        <v>20754</v>
      </c>
      <c r="H263" s="87">
        <f>SUM(H208:H262)</f>
        <v>20588</v>
      </c>
      <c r="I263" s="59">
        <f t="shared" si="46"/>
        <v>56255</v>
      </c>
      <c r="J263" s="87">
        <f>SUM(J208:J262)</f>
        <v>13928</v>
      </c>
      <c r="K263" s="87">
        <f>SUM(K208:K262)</f>
        <v>12950</v>
      </c>
      <c r="L263" s="87">
        <f>SUM(L208:L262)</f>
        <v>15796</v>
      </c>
      <c r="M263" s="59">
        <f t="shared" si="47"/>
        <v>42674</v>
      </c>
      <c r="N263" s="87">
        <f>SUM(N208:N262)</f>
        <v>6305</v>
      </c>
      <c r="O263" s="87">
        <f>SUM(O208:O262)</f>
        <v>5037</v>
      </c>
      <c r="P263" s="87">
        <f>SUM(P208:P262)</f>
        <v>5211</v>
      </c>
      <c r="Q263" s="59">
        <f t="shared" si="48"/>
        <v>16553</v>
      </c>
      <c r="R263" s="59">
        <f t="shared" si="44"/>
        <v>151651</v>
      </c>
    </row>
    <row r="264" spans="1:20" ht="15.75" customHeight="1" x14ac:dyDescent="0.3">
      <c r="A264" s="15" t="s">
        <v>64</v>
      </c>
      <c r="B264" s="1"/>
      <c r="C264" s="1"/>
      <c r="D264" s="1"/>
      <c r="E264" s="55" t="s">
        <v>7</v>
      </c>
      <c r="F264" s="1"/>
      <c r="G264" s="1"/>
      <c r="H264" s="1"/>
      <c r="I264" s="55" t="s">
        <v>7</v>
      </c>
      <c r="J264" s="1"/>
      <c r="K264" s="1"/>
      <c r="L264" s="1"/>
      <c r="M264" s="55" t="s">
        <v>7</v>
      </c>
      <c r="N264" s="1"/>
      <c r="O264" s="1"/>
      <c r="P264" s="1"/>
      <c r="Q264" s="55" t="s">
        <v>7</v>
      </c>
      <c r="R264" s="55" t="s">
        <v>7</v>
      </c>
    </row>
    <row r="265" spans="1:20" ht="15.75" customHeight="1" x14ac:dyDescent="0.3">
      <c r="A265" s="15" t="s">
        <v>594</v>
      </c>
      <c r="B265" s="1"/>
      <c r="C265" s="1"/>
      <c r="D265" s="1"/>
      <c r="E265" s="55" t="s">
        <v>7</v>
      </c>
      <c r="F265" s="1"/>
      <c r="G265" s="1"/>
      <c r="H265" s="1"/>
      <c r="I265" s="55" t="s">
        <v>7</v>
      </c>
      <c r="J265" s="1"/>
      <c r="K265" s="1"/>
      <c r="L265" s="1"/>
      <c r="M265" s="55" t="s">
        <v>7</v>
      </c>
      <c r="N265" s="1"/>
      <c r="O265" s="1"/>
      <c r="P265" s="1"/>
      <c r="Q265" s="55" t="s">
        <v>7</v>
      </c>
      <c r="R265" s="55" t="s">
        <v>7</v>
      </c>
    </row>
    <row r="266" spans="1:20" ht="15.75" customHeight="1" x14ac:dyDescent="0.3">
      <c r="A266" s="346" t="s">
        <v>899</v>
      </c>
      <c r="B266" s="1"/>
      <c r="C266" s="1"/>
      <c r="D266" s="1"/>
      <c r="E266" s="55">
        <f>SUM(B266:D266)</f>
        <v>0</v>
      </c>
      <c r="F266" s="1"/>
      <c r="G266" s="1"/>
      <c r="H266" s="1"/>
      <c r="I266" s="55">
        <f>SUM(F266:H266)</f>
        <v>0</v>
      </c>
      <c r="J266" s="1"/>
      <c r="K266" s="1"/>
      <c r="L266" s="1"/>
      <c r="M266" s="55">
        <f>SUM(J266:L266)</f>
        <v>0</v>
      </c>
      <c r="N266" s="1"/>
      <c r="O266" s="1"/>
      <c r="P266" s="1"/>
      <c r="Q266" s="55">
        <f>SUM(N266:P266)</f>
        <v>0</v>
      </c>
      <c r="R266" s="55">
        <f>+E266+I266+M266+Q266</f>
        <v>0</v>
      </c>
      <c r="T266" s="4" t="s">
        <v>822</v>
      </c>
    </row>
    <row r="267" spans="1:20" ht="15.75" customHeight="1" x14ac:dyDescent="0.3">
      <c r="A267" s="85" t="s">
        <v>177</v>
      </c>
      <c r="B267" s="1"/>
      <c r="C267" s="1"/>
      <c r="D267" s="1"/>
      <c r="E267" s="55">
        <f>SUM(B267:D267)</f>
        <v>0</v>
      </c>
      <c r="F267" s="1"/>
      <c r="G267" s="1"/>
      <c r="H267" s="1"/>
      <c r="I267" s="55">
        <f>SUM(F267:H267)</f>
        <v>0</v>
      </c>
      <c r="J267" s="1"/>
      <c r="K267" s="1">
        <v>279</v>
      </c>
      <c r="L267" s="1"/>
      <c r="M267" s="55">
        <f>SUM(J267:L267)</f>
        <v>279</v>
      </c>
      <c r="N267" s="1"/>
      <c r="O267" s="1">
        <v>11</v>
      </c>
      <c r="P267" s="1">
        <v>475</v>
      </c>
      <c r="Q267" s="55">
        <f>SUM(N267:P267)</f>
        <v>486</v>
      </c>
      <c r="R267" s="55">
        <f>+E267+I267+M267+Q267</f>
        <v>765</v>
      </c>
      <c r="T267" s="4" t="s">
        <v>818</v>
      </c>
    </row>
    <row r="268" spans="1:20" ht="15.75" customHeight="1" x14ac:dyDescent="0.3">
      <c r="A268" s="85" t="s">
        <v>178</v>
      </c>
      <c r="B268" s="1"/>
      <c r="C268" s="1"/>
      <c r="D268" s="1"/>
      <c r="E268" s="55">
        <f>SUM(B268:D268)</f>
        <v>0</v>
      </c>
      <c r="F268" s="1"/>
      <c r="G268" s="1">
        <v>659</v>
      </c>
      <c r="H268" s="1">
        <v>1870</v>
      </c>
      <c r="I268" s="55">
        <f>SUM(F268:H268)</f>
        <v>2529</v>
      </c>
      <c r="J268" s="1">
        <v>1978</v>
      </c>
      <c r="K268" s="1"/>
      <c r="L268" s="1">
        <v>114</v>
      </c>
      <c r="M268" s="55">
        <f>SUM(J268:L268)</f>
        <v>2092</v>
      </c>
      <c r="N268" s="1">
        <v>18</v>
      </c>
      <c r="O268" s="1"/>
      <c r="P268" s="1">
        <v>360</v>
      </c>
      <c r="Q268" s="55">
        <f>SUM(N268:P268)</f>
        <v>378</v>
      </c>
      <c r="R268" s="55">
        <f>+E268+I268+M268+Q268</f>
        <v>4999</v>
      </c>
      <c r="T268" s="4" t="s">
        <v>819</v>
      </c>
    </row>
    <row r="269" spans="1:20" ht="15.75" customHeight="1" x14ac:dyDescent="0.3">
      <c r="A269" s="15" t="s">
        <v>67</v>
      </c>
      <c r="B269" s="1"/>
      <c r="C269" s="1"/>
      <c r="D269" s="1"/>
      <c r="E269" s="55" t="s">
        <v>7</v>
      </c>
      <c r="F269" s="1"/>
      <c r="G269" s="1"/>
      <c r="H269" s="1"/>
      <c r="I269" s="55" t="s">
        <v>7</v>
      </c>
      <c r="J269" s="1"/>
      <c r="K269" s="1"/>
      <c r="L269" s="1"/>
      <c r="M269" s="55" t="s">
        <v>7</v>
      </c>
      <c r="N269" s="1"/>
      <c r="O269" s="1"/>
      <c r="P269" s="1"/>
      <c r="Q269" s="55" t="s">
        <v>7</v>
      </c>
      <c r="R269" s="55" t="s">
        <v>7</v>
      </c>
    </row>
    <row r="270" spans="1:20" ht="15.75" customHeight="1" x14ac:dyDescent="0.3">
      <c r="A270" s="85" t="s">
        <v>900</v>
      </c>
      <c r="B270" s="1"/>
      <c r="C270" s="1"/>
      <c r="D270" s="1"/>
      <c r="E270" s="55">
        <f>SUM(B270:D270)</f>
        <v>0</v>
      </c>
      <c r="F270" s="1">
        <v>318</v>
      </c>
      <c r="G270" s="1">
        <v>1056</v>
      </c>
      <c r="H270" s="1">
        <v>1247</v>
      </c>
      <c r="I270" s="55">
        <f>SUM(F270:H270)</f>
        <v>2621</v>
      </c>
      <c r="J270" s="1">
        <v>2176</v>
      </c>
      <c r="K270" s="1">
        <v>731</v>
      </c>
      <c r="L270" s="1">
        <v>226</v>
      </c>
      <c r="M270" s="55">
        <f>SUM(J270:L270)</f>
        <v>3133</v>
      </c>
      <c r="N270" s="1"/>
      <c r="O270" s="1"/>
      <c r="P270" s="1"/>
      <c r="Q270" s="55">
        <f>SUM(N270:P270)</f>
        <v>0</v>
      </c>
      <c r="R270" s="55">
        <f>+E270+I270+M270+Q270</f>
        <v>5754</v>
      </c>
    </row>
    <row r="271" spans="1:20" ht="15.75" customHeight="1" x14ac:dyDescent="0.3">
      <c r="A271" s="85" t="s">
        <v>901</v>
      </c>
      <c r="B271" s="1"/>
      <c r="C271" s="1"/>
      <c r="D271" s="1"/>
      <c r="E271" s="55">
        <f>SUM(B271:D271)</f>
        <v>0</v>
      </c>
      <c r="F271" s="1"/>
      <c r="G271" s="1"/>
      <c r="H271" s="1"/>
      <c r="I271" s="55">
        <f>SUM(F271:H271)</f>
        <v>0</v>
      </c>
      <c r="J271" s="1"/>
      <c r="K271" s="1"/>
      <c r="L271" s="1"/>
      <c r="M271" s="55">
        <f>SUM(J271:L271)</f>
        <v>0</v>
      </c>
      <c r="N271" s="1"/>
      <c r="O271" s="1"/>
      <c r="P271" s="1"/>
      <c r="Q271" s="55">
        <f>SUM(N271:P271)</f>
        <v>0</v>
      </c>
      <c r="R271" s="55">
        <f>+E271+I271+M271+Q271</f>
        <v>0</v>
      </c>
      <c r="T271" s="4">
        <f>24000-SUM(R144,R147,R162,R165,R178,R196,R228,R229,R249,R267,R270,R271)</f>
        <v>5738</v>
      </c>
    </row>
    <row r="272" spans="1:20" ht="15.75" customHeight="1" x14ac:dyDescent="0.3">
      <c r="A272" s="71" t="s">
        <v>902</v>
      </c>
      <c r="B272" s="1"/>
      <c r="C272" s="1">
        <v>500</v>
      </c>
      <c r="D272" s="1"/>
      <c r="E272" s="55">
        <f t="shared" ref="E272:E277" si="49">SUM(B272:D272)</f>
        <v>500</v>
      </c>
      <c r="F272" s="1"/>
      <c r="G272" s="1"/>
      <c r="H272" s="1">
        <v>2000</v>
      </c>
      <c r="I272" s="55">
        <f t="shared" ref="I272:I277" si="50">SUM(F272:H272)</f>
        <v>2000</v>
      </c>
      <c r="J272" s="1">
        <v>1600</v>
      </c>
      <c r="K272" s="1">
        <v>1600</v>
      </c>
      <c r="L272" s="1">
        <v>1600</v>
      </c>
      <c r="M272" s="55">
        <f t="shared" ref="M272:M277" si="51">SUM(J272:L272)</f>
        <v>4800</v>
      </c>
      <c r="N272" s="1">
        <v>1600</v>
      </c>
      <c r="O272" s="1">
        <v>1220</v>
      </c>
      <c r="P272" s="1"/>
      <c r="Q272" s="55">
        <f t="shared" ref="Q272:Q277" si="52">SUM(N272:P272)</f>
        <v>2820</v>
      </c>
      <c r="R272" s="55">
        <f t="shared" ref="R272:R277" si="53">+E272+I272+M272+Q272</f>
        <v>10120</v>
      </c>
      <c r="S272" s="4" t="s">
        <v>821</v>
      </c>
    </row>
    <row r="273" spans="1:20" ht="15.75" customHeight="1" x14ac:dyDescent="0.3">
      <c r="A273" s="71" t="s">
        <v>713</v>
      </c>
      <c r="B273" s="1"/>
      <c r="C273" s="1"/>
      <c r="D273" s="1"/>
      <c r="E273" s="55">
        <f t="shared" si="49"/>
        <v>0</v>
      </c>
      <c r="F273" s="1"/>
      <c r="G273" s="1"/>
      <c r="H273" s="1"/>
      <c r="I273" s="55">
        <f t="shared" si="50"/>
        <v>0</v>
      </c>
      <c r="J273" s="1"/>
      <c r="K273" s="1"/>
      <c r="L273" s="1"/>
      <c r="M273" s="55">
        <f t="shared" si="51"/>
        <v>0</v>
      </c>
      <c r="N273" s="1"/>
      <c r="O273" s="1"/>
      <c r="P273" s="1"/>
      <c r="Q273" s="55">
        <f t="shared" si="52"/>
        <v>0</v>
      </c>
      <c r="R273" s="55">
        <f t="shared" si="53"/>
        <v>0</v>
      </c>
    </row>
    <row r="274" spans="1:20" ht="15.75" customHeight="1" x14ac:dyDescent="0.3">
      <c r="A274" s="84" t="s">
        <v>903</v>
      </c>
      <c r="B274" s="1"/>
      <c r="C274" s="1"/>
      <c r="D274" s="1">
        <v>1000</v>
      </c>
      <c r="E274" s="55">
        <f t="shared" si="49"/>
        <v>1000</v>
      </c>
      <c r="F274" s="1"/>
      <c r="G274" s="1"/>
      <c r="H274" s="1">
        <v>1870</v>
      </c>
      <c r="I274" s="55">
        <f t="shared" si="50"/>
        <v>1870</v>
      </c>
      <c r="J274" s="1">
        <v>1977</v>
      </c>
      <c r="K274" s="1"/>
      <c r="L274" s="1">
        <v>60</v>
      </c>
      <c r="M274" s="55">
        <f t="shared" si="51"/>
        <v>2037</v>
      </c>
      <c r="N274" s="1"/>
      <c r="O274" s="1"/>
      <c r="P274" s="1"/>
      <c r="Q274" s="55">
        <f t="shared" si="52"/>
        <v>0</v>
      </c>
      <c r="R274" s="55">
        <f t="shared" si="53"/>
        <v>4907</v>
      </c>
    </row>
    <row r="275" spans="1:20" ht="15.75" customHeight="1" x14ac:dyDescent="0.3">
      <c r="A275" s="84" t="s">
        <v>715</v>
      </c>
      <c r="B275" s="1"/>
      <c r="C275" s="1"/>
      <c r="D275" s="1"/>
      <c r="E275" s="55">
        <f t="shared" si="49"/>
        <v>0</v>
      </c>
      <c r="F275" s="1"/>
      <c r="G275" s="1"/>
      <c r="H275" s="1"/>
      <c r="I275" s="55">
        <f t="shared" si="50"/>
        <v>0</v>
      </c>
      <c r="J275" s="1"/>
      <c r="K275" s="1"/>
      <c r="L275" s="1"/>
      <c r="M275" s="55">
        <f t="shared" si="51"/>
        <v>0</v>
      </c>
      <c r="N275" s="1"/>
      <c r="O275" s="1"/>
      <c r="P275" s="1"/>
      <c r="Q275" s="55">
        <f t="shared" si="52"/>
        <v>0</v>
      </c>
      <c r="R275" s="55">
        <f t="shared" si="53"/>
        <v>0</v>
      </c>
    </row>
    <row r="276" spans="1:20" ht="15.75" customHeight="1" x14ac:dyDescent="0.3">
      <c r="A276" s="61" t="s">
        <v>716</v>
      </c>
      <c r="B276" s="1"/>
      <c r="C276" s="1"/>
      <c r="D276" s="1"/>
      <c r="E276" s="55">
        <f t="shared" si="49"/>
        <v>0</v>
      </c>
      <c r="F276" s="1"/>
      <c r="G276" s="1"/>
      <c r="H276" s="1"/>
      <c r="I276" s="55">
        <f t="shared" si="50"/>
        <v>0</v>
      </c>
      <c r="J276" s="1"/>
      <c r="K276" s="1"/>
      <c r="L276" s="1"/>
      <c r="M276" s="55">
        <f t="shared" si="51"/>
        <v>0</v>
      </c>
      <c r="N276" s="1"/>
      <c r="O276" s="1"/>
      <c r="P276" s="1"/>
      <c r="Q276" s="55">
        <f t="shared" si="52"/>
        <v>0</v>
      </c>
      <c r="R276" s="55">
        <f t="shared" si="53"/>
        <v>0</v>
      </c>
    </row>
    <row r="277" spans="1:20" ht="15.75" customHeight="1" x14ac:dyDescent="0.3">
      <c r="A277" s="61" t="s">
        <v>717</v>
      </c>
      <c r="B277" s="1"/>
      <c r="C277" s="1"/>
      <c r="D277" s="1"/>
      <c r="E277" s="55">
        <f t="shared" si="49"/>
        <v>0</v>
      </c>
      <c r="F277" s="1"/>
      <c r="G277" s="1"/>
      <c r="H277" s="1"/>
      <c r="I277" s="55">
        <f t="shared" si="50"/>
        <v>0</v>
      </c>
      <c r="J277" s="1"/>
      <c r="K277" s="1"/>
      <c r="L277" s="1"/>
      <c r="M277" s="55">
        <f t="shared" si="51"/>
        <v>0</v>
      </c>
      <c r="N277" s="1"/>
      <c r="O277" s="1"/>
      <c r="P277" s="1"/>
      <c r="Q277" s="55">
        <f t="shared" si="52"/>
        <v>0</v>
      </c>
      <c r="R277" s="55">
        <f t="shared" si="53"/>
        <v>0</v>
      </c>
    </row>
    <row r="278" spans="1:20" ht="15.75" customHeight="1" x14ac:dyDescent="0.3">
      <c r="A278" s="15" t="s">
        <v>600</v>
      </c>
      <c r="B278" s="1"/>
      <c r="C278" s="1"/>
      <c r="D278" s="1"/>
      <c r="E278" s="55" t="s">
        <v>7</v>
      </c>
      <c r="F278" s="1"/>
      <c r="G278" s="1"/>
      <c r="H278" s="1"/>
      <c r="I278" s="55" t="s">
        <v>7</v>
      </c>
      <c r="J278" s="1"/>
      <c r="K278" s="1"/>
      <c r="L278" s="1"/>
      <c r="M278" s="55" t="s">
        <v>7</v>
      </c>
      <c r="N278" s="1"/>
      <c r="O278" s="1"/>
      <c r="P278" s="1"/>
      <c r="Q278" s="55" t="s">
        <v>7</v>
      </c>
      <c r="R278" s="55" t="s">
        <v>7</v>
      </c>
    </row>
    <row r="279" spans="1:20" ht="15.75" customHeight="1" x14ac:dyDescent="0.3">
      <c r="A279" s="15" t="s">
        <v>70</v>
      </c>
      <c r="B279" s="1"/>
      <c r="C279" s="1"/>
      <c r="D279" s="1"/>
      <c r="E279" s="55" t="s">
        <v>7</v>
      </c>
      <c r="F279" s="1"/>
      <c r="G279" s="1"/>
      <c r="H279" s="1"/>
      <c r="I279" s="55" t="s">
        <v>7</v>
      </c>
      <c r="J279" s="1"/>
      <c r="K279" s="1"/>
      <c r="L279" s="1"/>
      <c r="M279" s="55" t="s">
        <v>7</v>
      </c>
      <c r="N279" s="1"/>
      <c r="O279" s="1"/>
      <c r="P279" s="1"/>
      <c r="Q279" s="55" t="s">
        <v>7</v>
      </c>
      <c r="R279" s="55" t="s">
        <v>7</v>
      </c>
    </row>
    <row r="280" spans="1:20" ht="15.75" customHeight="1" thickBot="1" x14ac:dyDescent="0.35">
      <c r="A280" s="71" t="s">
        <v>904</v>
      </c>
      <c r="B280" s="1"/>
      <c r="C280" s="1"/>
      <c r="D280" s="1"/>
      <c r="E280" s="55">
        <f>SUM(B280:D280)</f>
        <v>0</v>
      </c>
      <c r="F280" s="1"/>
      <c r="G280" s="1"/>
      <c r="H280" s="1"/>
      <c r="I280" s="55">
        <f>SUM(F280:H280)</f>
        <v>0</v>
      </c>
      <c r="J280" s="1"/>
      <c r="K280" s="1"/>
      <c r="L280" s="1"/>
      <c r="M280" s="55">
        <f>SUM(J280:L280)</f>
        <v>0</v>
      </c>
      <c r="N280" s="1"/>
      <c r="O280" s="1"/>
      <c r="P280" s="1"/>
      <c r="Q280" s="55">
        <f>SUM(N280:P280)</f>
        <v>0</v>
      </c>
      <c r="R280" s="55">
        <f>+E280+I280+M280+Q280</f>
        <v>0</v>
      </c>
      <c r="S280" s="4" t="s">
        <v>821</v>
      </c>
    </row>
    <row r="281" spans="1:20" ht="16.5" customHeight="1" thickBot="1" x14ac:dyDescent="0.35">
      <c r="A281" s="57" t="s">
        <v>71</v>
      </c>
      <c r="B281" s="58">
        <f>SUM(B278:B280)</f>
        <v>0</v>
      </c>
      <c r="C281" s="58">
        <f>SUM(C278:C280)</f>
        <v>0</v>
      </c>
      <c r="D281" s="58">
        <f>SUM(D278:D280)</f>
        <v>0</v>
      </c>
      <c r="E281" s="60">
        <f t="shared" ref="E281:E289" si="54">SUM(B281:D281)</f>
        <v>0</v>
      </c>
      <c r="F281" s="58">
        <f>SUM(F278:F280)</f>
        <v>0</v>
      </c>
      <c r="G281" s="58">
        <f>SUM(G278:G280)</f>
        <v>0</v>
      </c>
      <c r="H281" s="58">
        <f>SUM(H278:H280)</f>
        <v>0</v>
      </c>
      <c r="I281" s="60">
        <f t="shared" ref="I281:I289" si="55">SUM(F281:H281)</f>
        <v>0</v>
      </c>
      <c r="J281" s="58">
        <f>SUM(J278:J280)</f>
        <v>0</v>
      </c>
      <c r="K281" s="58">
        <f>SUM(K278:K280)</f>
        <v>0</v>
      </c>
      <c r="L281" s="58">
        <f>SUM(L278:L280)</f>
        <v>0</v>
      </c>
      <c r="M281" s="60">
        <f t="shared" ref="M281:M289" si="56">SUM(J281:L281)</f>
        <v>0</v>
      </c>
      <c r="N281" s="58">
        <f>SUM(N278:N280)</f>
        <v>0</v>
      </c>
      <c r="O281" s="58">
        <f>SUM(O278:O280)</f>
        <v>0</v>
      </c>
      <c r="P281" s="58">
        <f>SUM(P278:P280)</f>
        <v>0</v>
      </c>
      <c r="Q281" s="60">
        <f t="shared" ref="Q281:Q289" si="57">SUM(N281:P281)</f>
        <v>0</v>
      </c>
      <c r="R281" s="59">
        <f t="shared" ref="R281:R289" si="58">+E281+I281+M281+Q281</f>
        <v>0</v>
      </c>
    </row>
    <row r="282" spans="1:20" ht="16.5" customHeight="1" thickBot="1" x14ac:dyDescent="0.35">
      <c r="A282" s="57" t="s">
        <v>72</v>
      </c>
      <c r="B282" s="86">
        <f>SUM(B264:B280)</f>
        <v>0</v>
      </c>
      <c r="C282" s="87">
        <f>SUM(C264:C280)</f>
        <v>500</v>
      </c>
      <c r="D282" s="87">
        <f>SUM(D264:D280)</f>
        <v>1000</v>
      </c>
      <c r="E282" s="59">
        <f t="shared" si="54"/>
        <v>1500</v>
      </c>
      <c r="F282" s="87">
        <f>SUM(F264:F280)</f>
        <v>318</v>
      </c>
      <c r="G282" s="87">
        <f>SUM(G264:G280)</f>
        <v>1715</v>
      </c>
      <c r="H282" s="87">
        <f>SUM(H264:H280)</f>
        <v>6987</v>
      </c>
      <c r="I282" s="59">
        <f t="shared" si="55"/>
        <v>9020</v>
      </c>
      <c r="J282" s="87">
        <f>SUM(J264:J280)</f>
        <v>7731</v>
      </c>
      <c r="K282" s="87">
        <f>SUM(K264:K280)</f>
        <v>2610</v>
      </c>
      <c r="L282" s="87">
        <f>SUM(L264:L280)</f>
        <v>2000</v>
      </c>
      <c r="M282" s="59">
        <f t="shared" si="56"/>
        <v>12341</v>
      </c>
      <c r="N282" s="87">
        <f>SUM(N264:N280)</f>
        <v>1618</v>
      </c>
      <c r="O282" s="87">
        <f>SUM(O264:O280)</f>
        <v>1231</v>
      </c>
      <c r="P282" s="87">
        <f>SUM(P264:P280)</f>
        <v>835</v>
      </c>
      <c r="Q282" s="59">
        <f t="shared" si="57"/>
        <v>3684</v>
      </c>
      <c r="R282" s="59">
        <f t="shared" si="58"/>
        <v>26545</v>
      </c>
    </row>
    <row r="283" spans="1:20" ht="16.5" customHeight="1" thickBot="1" x14ac:dyDescent="0.35">
      <c r="A283" s="57" t="s">
        <v>73</v>
      </c>
      <c r="B283" s="90">
        <f>+B200+B207+B263+B282</f>
        <v>18536</v>
      </c>
      <c r="C283" s="58">
        <f>+C200+C207+C263+C282</f>
        <v>16791</v>
      </c>
      <c r="D283" s="58">
        <f>+D200+D207+D263+D282</f>
        <v>28344</v>
      </c>
      <c r="E283" s="81">
        <f t="shared" si="54"/>
        <v>63671</v>
      </c>
      <c r="F283" s="58">
        <f>+F200+F207+F263+F282</f>
        <v>30147</v>
      </c>
      <c r="G283" s="58">
        <f>+G200+G207+G263+G282</f>
        <v>41256</v>
      </c>
      <c r="H283" s="58">
        <f>+H200+H207+H263+H282</f>
        <v>50158</v>
      </c>
      <c r="I283" s="81">
        <f t="shared" si="55"/>
        <v>121561</v>
      </c>
      <c r="J283" s="58">
        <f>+J200+J207+J263+J282</f>
        <v>58373</v>
      </c>
      <c r="K283" s="58">
        <f>+K200+K207+K263+K282</f>
        <v>48841</v>
      </c>
      <c r="L283" s="58">
        <f>+L200+L207+L263+L282</f>
        <v>46361</v>
      </c>
      <c r="M283" s="81">
        <f t="shared" si="56"/>
        <v>153575</v>
      </c>
      <c r="N283" s="58">
        <f>+N200+N207+N263+N282</f>
        <v>35115</v>
      </c>
      <c r="O283" s="58">
        <f>+O200+O207+O263+O282</f>
        <v>24980</v>
      </c>
      <c r="P283" s="58">
        <f>+P200+P207+P263+P282</f>
        <v>19283</v>
      </c>
      <c r="Q283" s="81">
        <f t="shared" si="57"/>
        <v>79378</v>
      </c>
      <c r="R283" s="81">
        <f t="shared" si="58"/>
        <v>418185</v>
      </c>
    </row>
    <row r="284" spans="1:20" ht="15.75" customHeight="1" x14ac:dyDescent="0.3">
      <c r="A284" s="88" t="s">
        <v>905</v>
      </c>
      <c r="B284" s="1"/>
      <c r="C284" s="1">
        <v>2526</v>
      </c>
      <c r="D284" s="1">
        <v>4089</v>
      </c>
      <c r="E284" s="55">
        <f t="shared" si="54"/>
        <v>6615</v>
      </c>
      <c r="F284" s="1">
        <v>1608</v>
      </c>
      <c r="G284" s="1">
        <v>2278</v>
      </c>
      <c r="H284" s="1">
        <v>3295</v>
      </c>
      <c r="I284" s="55">
        <f t="shared" si="55"/>
        <v>7181</v>
      </c>
      <c r="J284" s="1">
        <v>2560</v>
      </c>
      <c r="K284" s="1">
        <v>948</v>
      </c>
      <c r="L284" s="1">
        <v>2584</v>
      </c>
      <c r="M284" s="55">
        <f t="shared" si="56"/>
        <v>6092</v>
      </c>
      <c r="N284" s="1">
        <v>3444</v>
      </c>
      <c r="O284" s="1">
        <v>4424</v>
      </c>
      <c r="P284" s="1">
        <v>1662</v>
      </c>
      <c r="Q284" s="55">
        <f t="shared" si="57"/>
        <v>9530</v>
      </c>
      <c r="R284" s="55">
        <f t="shared" si="58"/>
        <v>29418</v>
      </c>
      <c r="T284" s="4" t="s">
        <v>812</v>
      </c>
    </row>
    <row r="285" spans="1:20" ht="15.75" customHeight="1" x14ac:dyDescent="0.3">
      <c r="A285" s="91" t="s">
        <v>193</v>
      </c>
      <c r="B285" s="1"/>
      <c r="C285" s="1"/>
      <c r="D285" s="1"/>
      <c r="E285" s="55">
        <f t="shared" si="54"/>
        <v>0</v>
      </c>
      <c r="F285" s="1">
        <v>-4000</v>
      </c>
      <c r="G285" s="1">
        <v>-6000</v>
      </c>
      <c r="H285" s="1">
        <v>-4000</v>
      </c>
      <c r="I285" s="55">
        <f t="shared" si="55"/>
        <v>-14000</v>
      </c>
      <c r="J285" s="1">
        <v>-2000</v>
      </c>
      <c r="K285" s="1"/>
      <c r="L285" s="1"/>
      <c r="M285" s="55">
        <f t="shared" si="56"/>
        <v>-2000</v>
      </c>
      <c r="N285" s="1"/>
      <c r="O285" s="1"/>
      <c r="P285" s="1">
        <v>-11</v>
      </c>
      <c r="Q285" s="55">
        <f t="shared" si="57"/>
        <v>-11</v>
      </c>
      <c r="R285" s="55">
        <f t="shared" si="58"/>
        <v>-16011</v>
      </c>
    </row>
    <row r="286" spans="1:20" ht="15.75" customHeight="1" x14ac:dyDescent="0.3">
      <c r="A286" s="71" t="s">
        <v>718</v>
      </c>
      <c r="B286" s="1"/>
      <c r="C286" s="1"/>
      <c r="D286" s="1"/>
      <c r="E286" s="55">
        <f t="shared" si="54"/>
        <v>0</v>
      </c>
      <c r="F286" s="1"/>
      <c r="G286" s="1"/>
      <c r="H286" s="1"/>
      <c r="I286" s="55">
        <f t="shared" si="55"/>
        <v>0</v>
      </c>
      <c r="J286" s="1"/>
      <c r="K286" s="1"/>
      <c r="L286" s="1"/>
      <c r="M286" s="55">
        <f t="shared" si="56"/>
        <v>0</v>
      </c>
      <c r="N286" s="1"/>
      <c r="O286" s="1"/>
      <c r="P286" s="1"/>
      <c r="Q286" s="55">
        <f t="shared" si="57"/>
        <v>0</v>
      </c>
      <c r="R286" s="55">
        <f t="shared" si="58"/>
        <v>0</v>
      </c>
    </row>
    <row r="287" spans="1:20" ht="15.75" customHeight="1" x14ac:dyDescent="0.3">
      <c r="A287" s="91" t="s">
        <v>195</v>
      </c>
      <c r="B287" s="1">
        <v>9</v>
      </c>
      <c r="C287" s="1">
        <v>39</v>
      </c>
      <c r="D287" s="1">
        <v>42</v>
      </c>
      <c r="E287" s="55">
        <f>SUM(B287:D287)</f>
        <v>90</v>
      </c>
      <c r="F287" s="1">
        <v>42</v>
      </c>
      <c r="G287" s="1">
        <v>61</v>
      </c>
      <c r="H287" s="1">
        <v>52</v>
      </c>
      <c r="I287" s="55">
        <f>SUM(F287:H287)</f>
        <v>155</v>
      </c>
      <c r="J287" s="1">
        <v>42</v>
      </c>
      <c r="K287" s="1">
        <v>55</v>
      </c>
      <c r="L287" s="1">
        <v>86</v>
      </c>
      <c r="M287" s="55">
        <f>SUM(J287:L287)</f>
        <v>183</v>
      </c>
      <c r="N287" s="1">
        <v>74</v>
      </c>
      <c r="O287" s="1">
        <v>41</v>
      </c>
      <c r="P287" s="1">
        <v>34</v>
      </c>
      <c r="Q287" s="55">
        <f>SUM(N287:P287)</f>
        <v>149</v>
      </c>
      <c r="R287" s="55">
        <f t="shared" si="58"/>
        <v>577</v>
      </c>
    </row>
    <row r="288" spans="1:20" ht="15.75" customHeight="1" x14ac:dyDescent="0.3">
      <c r="A288" s="84" t="s">
        <v>196</v>
      </c>
      <c r="B288" s="1">
        <v>108452</v>
      </c>
      <c r="C288" s="1">
        <v>32889</v>
      </c>
      <c r="D288" s="1">
        <v>4539</v>
      </c>
      <c r="E288" s="55">
        <f t="shared" si="54"/>
        <v>145880</v>
      </c>
      <c r="F288" s="1">
        <v>28044</v>
      </c>
      <c r="G288" s="1">
        <v>12390</v>
      </c>
      <c r="H288" s="1"/>
      <c r="I288" s="55">
        <f t="shared" si="55"/>
        <v>40434</v>
      </c>
      <c r="J288" s="1"/>
      <c r="K288" s="1"/>
      <c r="L288" s="1">
        <v>19406</v>
      </c>
      <c r="M288" s="55">
        <f t="shared" si="56"/>
        <v>19406</v>
      </c>
      <c r="N288" s="1">
        <v>40011</v>
      </c>
      <c r="O288" s="1">
        <v>74729</v>
      </c>
      <c r="P288" s="1">
        <v>52389</v>
      </c>
      <c r="Q288" s="55">
        <f t="shared" si="57"/>
        <v>167129</v>
      </c>
      <c r="R288" s="55">
        <f t="shared" si="58"/>
        <v>372849</v>
      </c>
    </row>
    <row r="289" spans="1:18" ht="16.5" customHeight="1" thickBot="1" x14ac:dyDescent="0.35">
      <c r="A289" s="39" t="s">
        <v>40</v>
      </c>
      <c r="B289" s="21">
        <v>104</v>
      </c>
      <c r="C289" s="21">
        <v>268</v>
      </c>
      <c r="D289" s="21">
        <v>474</v>
      </c>
      <c r="E289" s="55">
        <f t="shared" si="54"/>
        <v>846</v>
      </c>
      <c r="F289" s="21">
        <v>647</v>
      </c>
      <c r="G289" s="21">
        <v>742</v>
      </c>
      <c r="H289" s="21">
        <v>781</v>
      </c>
      <c r="I289" s="55">
        <f t="shared" si="55"/>
        <v>2170</v>
      </c>
      <c r="J289" s="21">
        <v>774</v>
      </c>
      <c r="K289" s="21">
        <v>596</v>
      </c>
      <c r="L289" s="21">
        <v>546</v>
      </c>
      <c r="M289" s="55">
        <f t="shared" si="56"/>
        <v>1916</v>
      </c>
      <c r="N289" s="21">
        <v>517</v>
      </c>
      <c r="O289" s="21">
        <v>413</v>
      </c>
      <c r="P289" s="21">
        <v>302</v>
      </c>
      <c r="Q289" s="55">
        <f t="shared" si="57"/>
        <v>1232</v>
      </c>
      <c r="R289" s="55">
        <f t="shared" si="58"/>
        <v>6164</v>
      </c>
    </row>
    <row r="290" spans="1:18" ht="16.5" customHeight="1" thickBot="1" x14ac:dyDescent="0.35">
      <c r="A290" s="74"/>
      <c r="B290" s="75"/>
      <c r="C290" s="75"/>
      <c r="D290" s="75"/>
      <c r="E290" s="60"/>
      <c r="F290" s="75"/>
      <c r="G290" s="75"/>
      <c r="H290" s="75"/>
      <c r="I290" s="59"/>
      <c r="J290" s="75"/>
      <c r="K290" s="75"/>
      <c r="L290" s="75"/>
      <c r="M290" s="59"/>
      <c r="N290" s="75"/>
      <c r="O290" s="75"/>
      <c r="P290" s="75"/>
      <c r="Q290" s="59"/>
      <c r="R290" s="59" t="s">
        <v>7</v>
      </c>
    </row>
    <row r="291" spans="1:18" ht="15.75" customHeight="1" x14ac:dyDescent="0.3">
      <c r="A291" s="76" t="s">
        <v>41</v>
      </c>
      <c r="B291" s="77">
        <f>SUM(B283:B289)</f>
        <v>127101</v>
      </c>
      <c r="C291" s="77">
        <f>SUM(C283:C289)</f>
        <v>52513</v>
      </c>
      <c r="D291" s="77">
        <f>SUM(D283:D289)</f>
        <v>37488</v>
      </c>
      <c r="E291" s="60">
        <f>SUM(B291:D291)</f>
        <v>217102</v>
      </c>
      <c r="F291" s="77">
        <f>SUM(F283:F289)</f>
        <v>56488</v>
      </c>
      <c r="G291" s="77">
        <f>SUM(G283:G289)</f>
        <v>50727</v>
      </c>
      <c r="H291" s="77">
        <f>SUM(H283:H289)</f>
        <v>50286</v>
      </c>
      <c r="I291" s="60">
        <f>SUM(F291:H291)</f>
        <v>157501</v>
      </c>
      <c r="J291" s="77">
        <f>SUM(J283:J289)</f>
        <v>59749</v>
      </c>
      <c r="K291" s="77">
        <f>SUM(K283:K289)</f>
        <v>50440</v>
      </c>
      <c r="L291" s="77">
        <f>SUM(L283:L289)</f>
        <v>68983</v>
      </c>
      <c r="M291" s="60">
        <f>SUM(J291:L291)</f>
        <v>179172</v>
      </c>
      <c r="N291" s="77">
        <f>SUM(N283:N289)</f>
        <v>79161</v>
      </c>
      <c r="O291" s="77">
        <f>SUM(O283:O289)</f>
        <v>104587</v>
      </c>
      <c r="P291" s="77">
        <f>SUM(P283:P289)</f>
        <v>73659</v>
      </c>
      <c r="Q291" s="92">
        <f>SUM(N291:P291)</f>
        <v>257407</v>
      </c>
      <c r="R291" s="60">
        <f>+E291+I291+M291+Q291</f>
        <v>811182</v>
      </c>
    </row>
    <row r="292" spans="1:18" ht="15.75" customHeight="1" x14ac:dyDescent="0.3">
      <c r="A292" s="79" t="s">
        <v>42</v>
      </c>
      <c r="B292" s="1">
        <f>(B291/B10)/1.983</f>
        <v>2067.5906495534623</v>
      </c>
      <c r="C292" s="1">
        <f>(C291/C10)/1.983</f>
        <v>913.1583981080563</v>
      </c>
      <c r="D292" s="1">
        <f>(D291/D10)/1.983</f>
        <v>609.82870528524711</v>
      </c>
      <c r="E292" s="55" t="s">
        <v>7</v>
      </c>
      <c r="F292" s="1">
        <f>(F291/F10)/1.983</f>
        <v>949.53773743486295</v>
      </c>
      <c r="G292" s="1">
        <f>(G291/G10)/1.983</f>
        <v>825.19154750866221</v>
      </c>
      <c r="H292" s="1">
        <f>(H291/H10)/1.983</f>
        <v>845.28492183560263</v>
      </c>
      <c r="I292" s="55" t="s">
        <v>7</v>
      </c>
      <c r="J292" s="1">
        <f>(J291/J10)/1.983</f>
        <v>971.9551673092252</v>
      </c>
      <c r="K292" s="1">
        <f>(K291/K10)/1.983</f>
        <v>820.52283116164813</v>
      </c>
      <c r="L292" s="1">
        <f>(L291/L10)/1.983</f>
        <v>1159.5730374852917</v>
      </c>
      <c r="M292" s="55" t="s">
        <v>7</v>
      </c>
      <c r="N292" s="1">
        <f>(N291/N10)/1.983</f>
        <v>1287.7360792543066</v>
      </c>
      <c r="O292" s="1">
        <f>(O291/O10)/1.983</f>
        <v>1758.0601781812068</v>
      </c>
      <c r="P292" s="1">
        <f>(P291/P10)/1.983</f>
        <v>1198.2333707481332</v>
      </c>
      <c r="Q292" s="93" t="s">
        <v>7</v>
      </c>
      <c r="R292" s="55" t="s">
        <v>7</v>
      </c>
    </row>
    <row r="293" spans="1:18" ht="15.75" customHeight="1" x14ac:dyDescent="0.3">
      <c r="A293" s="79" t="s">
        <v>197</v>
      </c>
      <c r="B293" s="1">
        <f>(+B291+B443)+B300</f>
        <v>150911</v>
      </c>
      <c r="C293" s="1">
        <f>(+C291+C443)+C300</f>
        <v>110482</v>
      </c>
      <c r="D293" s="1">
        <f>(+D291+D443)+D300</f>
        <v>116405</v>
      </c>
      <c r="E293" s="55">
        <f>SUM(B293:D293)</f>
        <v>377798</v>
      </c>
      <c r="F293" s="1">
        <f>(+F291+F443)+F300</f>
        <v>159674</v>
      </c>
      <c r="G293" s="1">
        <f>(+G291+G443)+G300</f>
        <v>169951</v>
      </c>
      <c r="H293" s="1">
        <f>(+H291+H443)+H300</f>
        <v>82634</v>
      </c>
      <c r="I293" s="55">
        <f>SUM(F293:H293)</f>
        <v>412259</v>
      </c>
      <c r="J293" s="1">
        <f>(+J291+J443)+J300</f>
        <v>68001</v>
      </c>
      <c r="K293" s="1">
        <f>(+K291+K443)+K300</f>
        <v>59601</v>
      </c>
      <c r="L293" s="1">
        <f>(+L291+L443)+L300</f>
        <v>126596</v>
      </c>
      <c r="M293" s="55">
        <f>SUM(J293:L293)</f>
        <v>254198</v>
      </c>
      <c r="N293" s="1">
        <f>(+N291+N443)+N300</f>
        <v>130253</v>
      </c>
      <c r="O293" s="1">
        <f>(+O291+O443)+O300</f>
        <v>136932</v>
      </c>
      <c r="P293" s="1">
        <f>(+P291+P443)+P300</f>
        <v>115487</v>
      </c>
      <c r="Q293" s="93">
        <f>SUM(N293:P293)</f>
        <v>382672</v>
      </c>
      <c r="R293" s="55">
        <f>+E293+I293+M293+Q293</f>
        <v>1426927</v>
      </c>
    </row>
    <row r="294" spans="1:18" ht="16.5" customHeight="1" thickBot="1" x14ac:dyDescent="0.35">
      <c r="A294" s="80" t="s">
        <v>198</v>
      </c>
      <c r="B294" s="25">
        <f>(B293/B10)/1.983</f>
        <v>2454.9151660078405</v>
      </c>
      <c r="C294" s="25">
        <f>(C293/C10)/1.983</f>
        <v>1921.1922026883683</v>
      </c>
      <c r="D294" s="25">
        <f>(D293/D10)/1.983</f>
        <v>1893.5955622793747</v>
      </c>
      <c r="E294" s="81" t="s">
        <v>7</v>
      </c>
      <c r="F294" s="25">
        <f>(F293/F10)/1.983</f>
        <v>2684.0477391158174</v>
      </c>
      <c r="G294" s="25">
        <f>(G293/G10)/1.983</f>
        <v>2764.6446407365834</v>
      </c>
      <c r="H294" s="25">
        <f>(H293/H10)/1.983</f>
        <v>1389.0401748192974</v>
      </c>
      <c r="I294" s="81" t="s">
        <v>7</v>
      </c>
      <c r="J294" s="25">
        <f>(J293/J10)/1.983</f>
        <v>1106.1929627641402</v>
      </c>
      <c r="K294" s="25">
        <f>(K293/K10)/1.983</f>
        <v>969.54760626616553</v>
      </c>
      <c r="L294" s="25">
        <f>(L293/L10)/1.983</f>
        <v>2128.0215162212135</v>
      </c>
      <c r="M294" s="81" t="s">
        <v>7</v>
      </c>
      <c r="N294" s="25">
        <f>(N293/N10)/1.983</f>
        <v>2118.865192848893</v>
      </c>
      <c r="O294" s="25">
        <f>(O293/O10)/1.983</f>
        <v>2301.7650025214321</v>
      </c>
      <c r="P294" s="25">
        <f>(P293/P10)/1.983</f>
        <v>1878.6621768906673</v>
      </c>
      <c r="Q294" s="94" t="s">
        <v>7</v>
      </c>
      <c r="R294" s="81" t="s">
        <v>7</v>
      </c>
    </row>
    <row r="295" spans="1:18" ht="16.5" customHeight="1" thickBot="1" x14ac:dyDescent="0.35">
      <c r="A295" s="95" t="s">
        <v>199</v>
      </c>
      <c r="B295" s="96">
        <f>+(B293-(B138+B139+B140+B141+B143+B144+B145+B147+B148+B149+B153+B155++B159+B160+B162+B163+B165+B166+B167+B168+B169+B178+B179+B180+B191+B194+B196+B197+B204+B211+B212+B213+B214+B215+B225+B227+B228+B229+B230+B232+B233+B234+B241+B249+B250+B267+B268+B270+B271+B274+B275+B284+B288+B296)-B300)/(B10*1.983)</f>
        <v>636.42574788931722</v>
      </c>
      <c r="C295" s="96">
        <f t="shared" ref="C295:D295" si="59">+(C293-(C138+C139+C140+C141+C143+C144+C145+C147+C148+C149+C153+C155++C159+C160+C162+C163+C165+C166+C167+C168+C169+C178+C179+C180+C191+C194+C196+C197+C204+C211+C212+C213+C214+C215+C225+C227+C228+C229+C230+C232+C233+C234+C241+C249+C250+C267+C268+C270+C271+C274+C275+C284+C288+C296)-C300)/(C10*1.983)</f>
        <v>1179.0216843166918</v>
      </c>
      <c r="D295" s="96">
        <f t="shared" si="59"/>
        <v>1680.6728157077089</v>
      </c>
      <c r="E295" s="97"/>
      <c r="F295" s="96">
        <f>+(F293-(F138+F139+F140+F141+F143+F144+F145+F147+F148+F149+F153+F155++F159+F160+F162+F163+F165+F166+F167+F168+F169+F178+F179+F180+F191+F194+F196+F197+F204+F211+F212+F213+F214+F215+F225+F227+F228+F229+F230+F232+F233+F234+F241+F249+F250+F267+F268+F270+F271+F274+F275+F284+F288+F296)-F300)/(F10*1.983)</f>
        <v>1947.2348293830896</v>
      </c>
      <c r="G295" s="96">
        <f t="shared" ref="G295:H295" si="60">+(G293-(G138+G139+G140+G141+G143+G144+G145+G147+G148+G149+G153+G155++G159+G160+G162+G163+G165+G166+G167+G168+G169+G178+G179+G180+G191+G194+G196+G197+G204+G211+G212+G213+G214+G215+G225+G227+G228+G229+G230+G232+G233+G234+G241+G249+G250+G267+G268+G270+G271+G274+G275+G284+G288+G296)-G300)/(G10*1.983)</f>
        <v>2296.9271062092298</v>
      </c>
      <c r="H295" s="96">
        <f t="shared" si="60"/>
        <v>2974.2477727349133</v>
      </c>
      <c r="I295" s="97"/>
      <c r="J295" s="96">
        <f>+(J293-(J138+J139+J140+J141+J143+J144+J145+J147+J148+J149+J153+J155++J159+J160+J162+J163+J165+J166+J167+J168+J169+J178+J179+J180+J191+J194+J196+J197+J204+J211+J212+J213+J214+J215+J225+J227+J228+J229+J230+J232+J233+J234+J241+J249+J250+J267+J268+J270+J271+J274+J275+J284+J288+J296)-J300)/(J10*1.983)</f>
        <v>2785.9222748198395</v>
      </c>
      <c r="K295" s="96">
        <f t="shared" ref="K295:L295" si="61">+(K293-(K138+K139+K140+K141+K143+K144+K145+K147+K148+K149+K153+K155++K159+K160+K162+K163+K165+K166+K167+K168+K169+K178+K179+K180+K191+K194+K196+K197+K204+K211+K212+K213+K214+K215+K225+K227+K228+K229+K230+K232+K233+K234+K241+K249+K250+K267+K268+K270+K271+K274+K275+K284+K288+K296)-K300)/(K10*1.983)</f>
        <v>2243.8468921315048</v>
      </c>
      <c r="L295" s="96">
        <f t="shared" si="61"/>
        <v>1991.6456547318876</v>
      </c>
      <c r="M295" s="97"/>
      <c r="N295" s="96">
        <f>+(N293-(N138+N139+N140+N141+N143+N144+N145+N147+N148+N149+N153+N155++N159+N160+N162+N163+N165+N166+N167+N168+N169+N178+N179+N180+N191+N194+N196+N197+N204+N211+N212+N213+N214+N215+N225+N227+N228+N229+N230+N232+N233+N234+N241+N249+N250+N267+N268+N270+N271+N274+N275+N284+N288+N296)-N300)/(N10*1.983)</f>
        <v>1341.9224700274915</v>
      </c>
      <c r="O295" s="96">
        <f t="shared" ref="O295:P295" si="62">+(O293-(O138+O139+O140+O141+O143+O144+O145+O147+O148+O149+O153+O155++O159+O160+O162+O163+O165+O166+O167+O168+O169+O178+O179+O180+O191+O194+O196+O197+O204+O211+O212+O213+O214+O215+O225+O227+O228+O229+O230+O232+O233+O234+O241+O249+O250+O267+O268+O270+O271+O274+O275+O284+O288+O296)-O300)/(O10*1.983)</f>
        <v>915.81778450159686</v>
      </c>
      <c r="P295" s="96">
        <f t="shared" si="62"/>
        <v>922.69776975257423</v>
      </c>
      <c r="Q295" s="98"/>
      <c r="R295" s="97"/>
    </row>
    <row r="296" spans="1:18" ht="15.75" customHeight="1" x14ac:dyDescent="0.3">
      <c r="A296" s="299" t="s">
        <v>719</v>
      </c>
      <c r="B296" s="1">
        <v>1798</v>
      </c>
      <c r="C296" s="1">
        <v>3399</v>
      </c>
      <c r="D296" s="1">
        <v>4347</v>
      </c>
      <c r="E296" s="1"/>
      <c r="F296" s="1">
        <v>2298</v>
      </c>
      <c r="G296" s="1">
        <v>2798</v>
      </c>
      <c r="H296" s="1">
        <v>2798</v>
      </c>
      <c r="I296" s="1"/>
      <c r="J296" s="1">
        <v>2698</v>
      </c>
      <c r="K296" s="1">
        <v>2798</v>
      </c>
      <c r="L296" s="1">
        <v>2598</v>
      </c>
      <c r="M296" s="1"/>
      <c r="N296" s="1">
        <v>2697</v>
      </c>
      <c r="O296" s="1">
        <v>2398</v>
      </c>
      <c r="P296" s="1">
        <v>2098</v>
      </c>
      <c r="Q296" s="1"/>
      <c r="R296" s="2"/>
    </row>
    <row r="297" spans="1:18" ht="15.75" customHeight="1" thickBot="1" x14ac:dyDescent="0.35">
      <c r="A297" s="28"/>
      <c r="B297" s="1"/>
      <c r="C297" s="1"/>
      <c r="D297" s="1"/>
      <c r="E297" s="1"/>
      <c r="F297" s="1"/>
      <c r="G297" s="1"/>
      <c r="H297" s="1"/>
      <c r="I297" s="1"/>
      <c r="J297" s="1"/>
      <c r="K297" s="1"/>
      <c r="L297" s="1"/>
      <c r="M297" s="1"/>
      <c r="N297" s="1"/>
      <c r="O297" s="1"/>
      <c r="P297" s="1"/>
      <c r="Q297" s="1"/>
      <c r="R297" s="2"/>
    </row>
    <row r="298" spans="1:18" ht="16.5" customHeight="1" thickBot="1" x14ac:dyDescent="0.35">
      <c r="A298" s="29" t="s">
        <v>201</v>
      </c>
      <c r="B298" s="30" t="s">
        <v>8</v>
      </c>
      <c r="C298" s="31" t="s">
        <v>9</v>
      </c>
      <c r="D298" s="31" t="s">
        <v>10</v>
      </c>
      <c r="E298" s="32" t="s">
        <v>11</v>
      </c>
      <c r="F298" s="31" t="s">
        <v>12</v>
      </c>
      <c r="G298" s="31" t="s">
        <v>13</v>
      </c>
      <c r="H298" s="31" t="s">
        <v>14</v>
      </c>
      <c r="I298" s="33" t="s">
        <v>15</v>
      </c>
      <c r="J298" s="31" t="s">
        <v>16</v>
      </c>
      <c r="K298" s="31" t="s">
        <v>17</v>
      </c>
      <c r="L298" s="31" t="s">
        <v>18</v>
      </c>
      <c r="M298" s="33" t="s">
        <v>19</v>
      </c>
      <c r="N298" s="31" t="s">
        <v>20</v>
      </c>
      <c r="O298" s="31" t="s">
        <v>21</v>
      </c>
      <c r="P298" s="31" t="s">
        <v>22</v>
      </c>
      <c r="Q298" s="33" t="s">
        <v>23</v>
      </c>
      <c r="R298" s="34" t="s">
        <v>24</v>
      </c>
    </row>
    <row r="299" spans="1:18" ht="16.5" customHeight="1" thickBot="1" x14ac:dyDescent="0.35">
      <c r="A299" s="74"/>
      <c r="B299" s="75"/>
      <c r="C299" s="75"/>
      <c r="D299" s="75"/>
      <c r="E299" s="82"/>
      <c r="F299" s="75"/>
      <c r="G299" s="75"/>
      <c r="H299" s="75"/>
      <c r="I299" s="82"/>
      <c r="J299" s="75"/>
      <c r="K299" s="75"/>
      <c r="L299" s="75"/>
      <c r="M299" s="82"/>
      <c r="N299" s="75"/>
      <c r="O299" s="75"/>
      <c r="P299" s="75"/>
      <c r="Q299" s="82"/>
      <c r="R299" s="100"/>
    </row>
    <row r="300" spans="1:18" ht="15.75" customHeight="1" thickBot="1" x14ac:dyDescent="0.35">
      <c r="A300" s="71" t="s">
        <v>202</v>
      </c>
      <c r="B300" s="1"/>
      <c r="C300" s="1"/>
      <c r="D300" s="1">
        <v>-10501</v>
      </c>
      <c r="E300" s="55">
        <f>SUM(B300:D300)</f>
        <v>-10501</v>
      </c>
      <c r="F300" s="1"/>
      <c r="G300" s="1"/>
      <c r="H300" s="1">
        <v>-112673</v>
      </c>
      <c r="I300" s="55">
        <f>SUM(F300:H300)</f>
        <v>-112673</v>
      </c>
      <c r="J300" s="1">
        <v>-119947</v>
      </c>
      <c r="K300" s="1">
        <v>-87736</v>
      </c>
      <c r="L300" s="1">
        <v>-22496</v>
      </c>
      <c r="M300" s="55">
        <f>SUM(J300:L300)</f>
        <v>-230179</v>
      </c>
      <c r="N300" s="1">
        <v>-1165</v>
      </c>
      <c r="O300" s="1"/>
      <c r="P300" s="1"/>
      <c r="Q300" s="55">
        <f>SUM(N300:P300)</f>
        <v>-1165</v>
      </c>
      <c r="R300" s="55">
        <f>+E300+I300+M300+Q300</f>
        <v>-354518</v>
      </c>
    </row>
    <row r="301" spans="1:18" ht="16.5" customHeight="1" thickBot="1" x14ac:dyDescent="0.35">
      <c r="A301" s="101"/>
      <c r="B301" s="102"/>
      <c r="C301" s="102"/>
      <c r="D301" s="102"/>
      <c r="E301" s="103"/>
      <c r="F301" s="102"/>
      <c r="G301" s="102"/>
      <c r="H301" s="102"/>
      <c r="I301" s="103"/>
      <c r="J301" s="102"/>
      <c r="K301" s="102"/>
      <c r="L301" s="102"/>
      <c r="M301" s="103"/>
      <c r="N301" s="102"/>
      <c r="O301" s="102"/>
      <c r="P301" s="102"/>
      <c r="Q301" s="103"/>
      <c r="R301" s="104"/>
    </row>
    <row r="302" spans="1:18" ht="15.75" customHeight="1" x14ac:dyDescent="0.3">
      <c r="A302" s="15" t="s">
        <v>32</v>
      </c>
      <c r="B302" s="1">
        <f>B300</f>
        <v>0</v>
      </c>
      <c r="C302" s="1">
        <f>C300</f>
        <v>0</v>
      </c>
      <c r="D302" s="1">
        <f>D300</f>
        <v>-10501</v>
      </c>
      <c r="E302" s="55">
        <f>SUM(B302:D302)</f>
        <v>-10501</v>
      </c>
      <c r="F302" s="1">
        <f>F300</f>
        <v>0</v>
      </c>
      <c r="G302" s="1">
        <f>G300</f>
        <v>0</v>
      </c>
      <c r="H302" s="1">
        <f>H300</f>
        <v>-112673</v>
      </c>
      <c r="I302" s="55">
        <f>SUM(F302:H302)</f>
        <v>-112673</v>
      </c>
      <c r="J302" s="1">
        <f>J300</f>
        <v>-119947</v>
      </c>
      <c r="K302" s="1">
        <f>K300</f>
        <v>-87736</v>
      </c>
      <c r="L302" s="1">
        <f>L300</f>
        <v>-22496</v>
      </c>
      <c r="M302" s="55">
        <f>SUM(J302:L302)</f>
        <v>-230179</v>
      </c>
      <c r="N302" s="1">
        <f>N300</f>
        <v>-1165</v>
      </c>
      <c r="O302" s="1">
        <f>O300</f>
        <v>0</v>
      </c>
      <c r="P302" s="1">
        <f>P300</f>
        <v>0</v>
      </c>
      <c r="Q302" s="55">
        <f>SUM(N302:P302)</f>
        <v>-1165</v>
      </c>
      <c r="R302" s="105">
        <f>R300</f>
        <v>-354518</v>
      </c>
    </row>
    <row r="303" spans="1:18" ht="16.5" customHeight="1" thickBot="1" x14ac:dyDescent="0.35">
      <c r="A303" s="20" t="s">
        <v>42</v>
      </c>
      <c r="B303" s="21">
        <f>(B302/B10)/1.983</f>
        <v>0</v>
      </c>
      <c r="C303" s="21">
        <f>(C302/C10)/1.983</f>
        <v>0</v>
      </c>
      <c r="D303" s="21">
        <f>(D302/D10)/1.983</f>
        <v>-170.8229629268134</v>
      </c>
      <c r="E303" s="81"/>
      <c r="F303" s="21">
        <f>(F302/F10)/1.983</f>
        <v>0</v>
      </c>
      <c r="G303" s="21">
        <f>(G302/G10)/1.983</f>
        <v>0</v>
      </c>
      <c r="H303" s="21">
        <f>(H302/H10)/1.983</f>
        <v>-1893.9821818793075</v>
      </c>
      <c r="I303" s="81"/>
      <c r="J303" s="21">
        <f>(J302/J10)/1.983</f>
        <v>-1951.2143542693541</v>
      </c>
      <c r="K303" s="21">
        <f>(K302/K10)/1.983</f>
        <v>-1427.2282140126558</v>
      </c>
      <c r="L303" s="21">
        <f>(L302/L10)/1.983</f>
        <v>-378.14758782988736</v>
      </c>
      <c r="M303" s="81"/>
      <c r="N303" s="21">
        <f>(N302/N10)/1.983</f>
        <v>-18.951409561921491</v>
      </c>
      <c r="O303" s="21">
        <f>(O302/O10)/1.983</f>
        <v>0</v>
      </c>
      <c r="P303" s="21">
        <f>(P302/P10)/1.983</f>
        <v>0</v>
      </c>
      <c r="Q303" s="81"/>
      <c r="R303" s="100" t="s">
        <v>7</v>
      </c>
    </row>
    <row r="304" spans="1:18" ht="15.75" customHeight="1" x14ac:dyDescent="0.3">
      <c r="A304" s="2"/>
      <c r="B304" s="1"/>
      <c r="C304" s="1"/>
      <c r="D304" s="1"/>
      <c r="E304" s="1"/>
      <c r="F304" s="1"/>
      <c r="G304" s="1"/>
      <c r="H304" s="1"/>
      <c r="I304" s="1"/>
      <c r="J304" s="1"/>
      <c r="K304" s="1"/>
      <c r="L304" s="1"/>
      <c r="M304" s="1"/>
      <c r="N304" s="1"/>
      <c r="O304" s="1"/>
      <c r="P304" s="1"/>
      <c r="Q304" s="1"/>
      <c r="R304" s="2"/>
    </row>
    <row r="305" spans="1:20" ht="16.5" customHeight="1" thickBot="1" x14ac:dyDescent="0.35">
      <c r="A305" s="106"/>
      <c r="B305" s="21"/>
      <c r="C305" s="21"/>
      <c r="D305" s="21"/>
      <c r="E305" s="21"/>
      <c r="F305" s="21"/>
      <c r="G305" s="21"/>
      <c r="H305" s="21"/>
      <c r="I305" s="21"/>
      <c r="J305" s="21"/>
      <c r="K305" s="21"/>
      <c r="L305" s="21"/>
      <c r="M305" s="21"/>
      <c r="N305" s="21"/>
      <c r="O305" s="21"/>
      <c r="P305" s="21"/>
      <c r="Q305" s="21"/>
      <c r="R305" s="106"/>
    </row>
    <row r="306" spans="1:20" ht="16.5" customHeight="1" thickBot="1" x14ac:dyDescent="0.35">
      <c r="A306" s="107" t="s">
        <v>203</v>
      </c>
      <c r="B306" s="30" t="s">
        <v>8</v>
      </c>
      <c r="C306" s="31" t="s">
        <v>9</v>
      </c>
      <c r="D306" s="31" t="s">
        <v>10</v>
      </c>
      <c r="E306" s="32" t="s">
        <v>11</v>
      </c>
      <c r="F306" s="31" t="s">
        <v>12</v>
      </c>
      <c r="G306" s="31" t="s">
        <v>13</v>
      </c>
      <c r="H306" s="31" t="s">
        <v>14</v>
      </c>
      <c r="I306" s="33" t="s">
        <v>15</v>
      </c>
      <c r="J306" s="31" t="s">
        <v>16</v>
      </c>
      <c r="K306" s="31" t="s">
        <v>17</v>
      </c>
      <c r="L306" s="31" t="s">
        <v>18</v>
      </c>
      <c r="M306" s="33" t="s">
        <v>19</v>
      </c>
      <c r="N306" s="31" t="s">
        <v>20</v>
      </c>
      <c r="O306" s="31" t="s">
        <v>21</v>
      </c>
      <c r="P306" s="31" t="s">
        <v>22</v>
      </c>
      <c r="Q306" s="33" t="s">
        <v>23</v>
      </c>
      <c r="R306" s="34" t="s">
        <v>24</v>
      </c>
    </row>
    <row r="307" spans="1:20" ht="16.5" customHeight="1" thickBot="1" x14ac:dyDescent="0.35">
      <c r="A307" s="59"/>
      <c r="B307" s="75"/>
      <c r="C307" s="75"/>
      <c r="D307" s="75"/>
      <c r="E307" s="69"/>
      <c r="F307" s="75"/>
      <c r="G307" s="75"/>
      <c r="H307" s="75"/>
      <c r="I307" s="82"/>
      <c r="J307" s="75"/>
      <c r="K307" s="75"/>
      <c r="L307" s="75"/>
      <c r="M307" s="82"/>
      <c r="N307" s="75"/>
      <c r="O307" s="75"/>
      <c r="P307" s="75"/>
      <c r="Q307" s="82"/>
      <c r="R307" s="105"/>
    </row>
    <row r="308" spans="1:20" ht="15.75" customHeight="1" x14ac:dyDescent="0.3">
      <c r="A308" s="15" t="s">
        <v>48</v>
      </c>
      <c r="B308" s="1" t="s">
        <v>7</v>
      </c>
      <c r="C308" s="1" t="s">
        <v>7</v>
      </c>
      <c r="D308" s="1" t="s">
        <v>7</v>
      </c>
      <c r="E308" s="55" t="s">
        <v>7</v>
      </c>
      <c r="F308" s="1" t="s">
        <v>7</v>
      </c>
      <c r="G308" s="1" t="s">
        <v>7</v>
      </c>
      <c r="H308" s="1" t="s">
        <v>7</v>
      </c>
      <c r="I308" s="55" t="s">
        <v>7</v>
      </c>
      <c r="J308" s="1" t="s">
        <v>7</v>
      </c>
      <c r="K308" s="1" t="s">
        <v>7</v>
      </c>
      <c r="L308" s="1" t="s">
        <v>7</v>
      </c>
      <c r="M308" s="55" t="s">
        <v>7</v>
      </c>
      <c r="N308" s="1" t="s">
        <v>7</v>
      </c>
      <c r="O308" s="1" t="s">
        <v>7</v>
      </c>
      <c r="P308" s="1" t="s">
        <v>7</v>
      </c>
      <c r="Q308" s="55" t="s">
        <v>7</v>
      </c>
      <c r="R308" s="60" t="s">
        <v>7</v>
      </c>
    </row>
    <row r="309" spans="1:20" ht="15.75" customHeight="1" x14ac:dyDescent="0.3">
      <c r="A309" s="15" t="s">
        <v>49</v>
      </c>
      <c r="B309" s="1"/>
      <c r="C309" s="1"/>
      <c r="D309" s="1"/>
      <c r="E309" s="55" t="s">
        <v>7</v>
      </c>
      <c r="F309" s="1"/>
      <c r="G309" s="1"/>
      <c r="H309" s="1"/>
      <c r="I309" s="55" t="s">
        <v>7</v>
      </c>
      <c r="J309" s="1"/>
      <c r="K309" s="1"/>
      <c r="L309" s="1"/>
      <c r="M309" s="55" t="s">
        <v>7</v>
      </c>
      <c r="N309" s="1"/>
      <c r="O309" s="1"/>
      <c r="P309" s="1"/>
      <c r="Q309" s="55" t="s">
        <v>7</v>
      </c>
      <c r="R309" s="55" t="s">
        <v>7</v>
      </c>
    </row>
    <row r="310" spans="1:20" ht="15.75" customHeight="1" x14ac:dyDescent="0.3">
      <c r="A310" s="72" t="s">
        <v>906</v>
      </c>
      <c r="B310" s="1">
        <v>1</v>
      </c>
      <c r="C310" s="108">
        <v>1</v>
      </c>
      <c r="D310" s="1">
        <v>1</v>
      </c>
      <c r="E310" s="55">
        <f t="shared" ref="E310:E334" si="63">SUM(B310:D310)</f>
        <v>3</v>
      </c>
      <c r="F310" s="1">
        <v>1</v>
      </c>
      <c r="G310" s="1">
        <v>1</v>
      </c>
      <c r="H310" s="1">
        <v>1</v>
      </c>
      <c r="I310" s="55">
        <f t="shared" ref="I310:I334" si="64">SUM(F310:H310)</f>
        <v>3</v>
      </c>
      <c r="J310" s="1">
        <v>51</v>
      </c>
      <c r="K310" s="1">
        <v>1</v>
      </c>
      <c r="L310" s="1">
        <v>91</v>
      </c>
      <c r="M310" s="55">
        <f t="shared" ref="M310:M334" si="65">SUM(J310:L310)</f>
        <v>143</v>
      </c>
      <c r="N310" s="1">
        <v>109</v>
      </c>
      <c r="O310" s="1">
        <v>95</v>
      </c>
      <c r="P310" s="1">
        <v>101</v>
      </c>
      <c r="Q310" s="55">
        <f t="shared" ref="Q310:Q334" si="66">SUM(N310:P310)</f>
        <v>305</v>
      </c>
      <c r="R310" s="55">
        <f t="shared" ref="R310:R334" si="67">+E310+I310+M310+Q310</f>
        <v>454</v>
      </c>
      <c r="T310" s="4" t="s">
        <v>907</v>
      </c>
    </row>
    <row r="311" spans="1:20" ht="15.75" customHeight="1" x14ac:dyDescent="0.3">
      <c r="A311" s="72" t="s">
        <v>908</v>
      </c>
      <c r="B311" s="1"/>
      <c r="C311" s="108"/>
      <c r="D311" s="1"/>
      <c r="E311" s="55">
        <f t="shared" si="63"/>
        <v>0</v>
      </c>
      <c r="F311" s="1"/>
      <c r="G311" s="1"/>
      <c r="H311" s="1"/>
      <c r="I311" s="55">
        <f t="shared" si="64"/>
        <v>0</v>
      </c>
      <c r="J311" s="1"/>
      <c r="K311" s="1"/>
      <c r="L311" s="1">
        <v>250</v>
      </c>
      <c r="M311" s="55">
        <f t="shared" si="65"/>
        <v>250</v>
      </c>
      <c r="N311" s="1"/>
      <c r="O311" s="1"/>
      <c r="P311" s="1"/>
      <c r="Q311" s="55">
        <f t="shared" si="66"/>
        <v>0</v>
      </c>
      <c r="R311" s="55">
        <f t="shared" si="67"/>
        <v>250</v>
      </c>
    </row>
    <row r="312" spans="1:20" ht="15.75" customHeight="1" x14ac:dyDescent="0.3">
      <c r="A312" s="72" t="s">
        <v>208</v>
      </c>
      <c r="B312" s="1">
        <v>31</v>
      </c>
      <c r="C312" s="1">
        <v>54</v>
      </c>
      <c r="D312" s="1">
        <v>188</v>
      </c>
      <c r="E312" s="55">
        <f t="shared" si="63"/>
        <v>273</v>
      </c>
      <c r="F312" s="1">
        <v>157</v>
      </c>
      <c r="G312" s="1">
        <v>271</v>
      </c>
      <c r="H312" s="1">
        <v>273</v>
      </c>
      <c r="I312" s="55">
        <f t="shared" si="64"/>
        <v>701</v>
      </c>
      <c r="J312" s="1">
        <v>318</v>
      </c>
      <c r="K312" s="1">
        <v>193</v>
      </c>
      <c r="L312" s="1">
        <v>152</v>
      </c>
      <c r="M312" s="55">
        <f t="shared" si="65"/>
        <v>663</v>
      </c>
      <c r="N312" s="1">
        <v>137</v>
      </c>
      <c r="O312" s="1">
        <v>85</v>
      </c>
      <c r="P312" s="1">
        <v>57</v>
      </c>
      <c r="Q312" s="55">
        <f t="shared" si="66"/>
        <v>279</v>
      </c>
      <c r="R312" s="55">
        <f t="shared" si="67"/>
        <v>1916</v>
      </c>
      <c r="T312" s="4" t="s">
        <v>209</v>
      </c>
    </row>
    <row r="313" spans="1:20" ht="15.75" customHeight="1" x14ac:dyDescent="0.3">
      <c r="A313" s="72" t="s">
        <v>909</v>
      </c>
      <c r="B313" s="1"/>
      <c r="C313" s="1"/>
      <c r="D313" s="1"/>
      <c r="E313" s="55">
        <f t="shared" si="63"/>
        <v>0</v>
      </c>
      <c r="F313" s="1"/>
      <c r="G313" s="1"/>
      <c r="H313" s="1"/>
      <c r="I313" s="55">
        <f t="shared" si="64"/>
        <v>0</v>
      </c>
      <c r="J313" s="1"/>
      <c r="K313" s="1"/>
      <c r="L313" s="1"/>
      <c r="M313" s="55">
        <f t="shared" si="65"/>
        <v>0</v>
      </c>
      <c r="N313" s="1"/>
      <c r="O313" s="1">
        <v>400</v>
      </c>
      <c r="P313" s="1"/>
      <c r="Q313" s="55">
        <f t="shared" si="66"/>
        <v>400</v>
      </c>
      <c r="R313" s="55">
        <f t="shared" si="67"/>
        <v>400</v>
      </c>
      <c r="T313" s="4" t="s">
        <v>910</v>
      </c>
    </row>
    <row r="314" spans="1:20" ht="15.75" customHeight="1" x14ac:dyDescent="0.3">
      <c r="A314" s="72" t="s">
        <v>911</v>
      </c>
      <c r="B314" s="1"/>
      <c r="C314" s="1"/>
      <c r="D314" s="1"/>
      <c r="E314" s="55">
        <f>SUM(B314:D314)</f>
        <v>0</v>
      </c>
      <c r="F314" s="1">
        <v>2500</v>
      </c>
      <c r="G314" s="1"/>
      <c r="H314" s="1"/>
      <c r="I314" s="55">
        <f>SUM(F314:H314)</f>
        <v>2500</v>
      </c>
      <c r="J314" s="1"/>
      <c r="K314" s="1"/>
      <c r="L314" s="1"/>
      <c r="M314" s="55">
        <f>SUM(J314:L314)</f>
        <v>0</v>
      </c>
      <c r="N314" s="1"/>
      <c r="O314" s="1"/>
      <c r="P314" s="1"/>
      <c r="Q314" s="55">
        <f>SUM(N314:P314)</f>
        <v>0</v>
      </c>
      <c r="R314" s="55">
        <f t="shared" si="67"/>
        <v>2500</v>
      </c>
      <c r="T314" s="4" t="s">
        <v>209</v>
      </c>
    </row>
    <row r="315" spans="1:20" ht="15.75" customHeight="1" x14ac:dyDescent="0.3">
      <c r="A315" s="72" t="s">
        <v>912</v>
      </c>
      <c r="B315" s="1"/>
      <c r="C315" s="1"/>
      <c r="D315" s="1"/>
      <c r="E315" s="55">
        <f>SUM(B315:D315)</f>
        <v>0</v>
      </c>
      <c r="F315" s="1"/>
      <c r="G315" s="1"/>
      <c r="H315" s="1"/>
      <c r="I315" s="55">
        <f>SUM(F315:H315)</f>
        <v>0</v>
      </c>
      <c r="J315" s="1"/>
      <c r="K315" s="1"/>
      <c r="L315" s="1"/>
      <c r="M315" s="55">
        <f>SUM(J315:L315)</f>
        <v>0</v>
      </c>
      <c r="N315" s="1"/>
      <c r="O315" s="1">
        <v>600</v>
      </c>
      <c r="P315" s="1"/>
      <c r="Q315" s="55">
        <f>SUM(N315:P315)</f>
        <v>600</v>
      </c>
      <c r="R315" s="55">
        <f t="shared" si="67"/>
        <v>600</v>
      </c>
      <c r="T315" s="4" t="s">
        <v>910</v>
      </c>
    </row>
    <row r="316" spans="1:20" ht="15.75" customHeight="1" x14ac:dyDescent="0.3">
      <c r="A316" s="72" t="s">
        <v>913</v>
      </c>
      <c r="B316" s="1">
        <v>103</v>
      </c>
      <c r="C316" s="1">
        <v>193</v>
      </c>
      <c r="D316" s="1">
        <v>208</v>
      </c>
      <c r="E316" s="55">
        <f>SUM(B316:D316)</f>
        <v>504</v>
      </c>
      <c r="F316" s="1">
        <v>241</v>
      </c>
      <c r="G316" s="1">
        <v>390</v>
      </c>
      <c r="H316" s="1">
        <v>429</v>
      </c>
      <c r="I316" s="55">
        <f>SUM(F316:H316)</f>
        <v>1060</v>
      </c>
      <c r="J316" s="1">
        <v>395</v>
      </c>
      <c r="K316" s="1">
        <v>320</v>
      </c>
      <c r="L316" s="1">
        <v>295</v>
      </c>
      <c r="M316" s="55">
        <f>SUM(J316:L316)</f>
        <v>1010</v>
      </c>
      <c r="N316" s="1">
        <v>458</v>
      </c>
      <c r="O316" s="1">
        <v>156</v>
      </c>
      <c r="P316" s="1">
        <v>106</v>
      </c>
      <c r="Q316" s="55">
        <f>SUM(N316:P316)</f>
        <v>720</v>
      </c>
      <c r="R316" s="55">
        <f>+E316+I316+M316+Q316</f>
        <v>3294</v>
      </c>
      <c r="T316" s="4" t="s">
        <v>914</v>
      </c>
    </row>
    <row r="317" spans="1:20" ht="15.75" customHeight="1" x14ac:dyDescent="0.3">
      <c r="A317" s="72" t="s">
        <v>915</v>
      </c>
      <c r="B317" s="1"/>
      <c r="C317" s="1"/>
      <c r="D317" s="1"/>
      <c r="E317" s="55">
        <f>SUM(B317:D317)</f>
        <v>0</v>
      </c>
      <c r="F317" s="1"/>
      <c r="G317" s="1"/>
      <c r="H317" s="1"/>
      <c r="I317" s="55">
        <f>SUM(F317:H317)</f>
        <v>0</v>
      </c>
      <c r="J317" s="1"/>
      <c r="K317" s="1"/>
      <c r="L317" s="1">
        <v>529</v>
      </c>
      <c r="M317" s="55">
        <f>SUM(J317:L317)</f>
        <v>529</v>
      </c>
      <c r="N317" s="1">
        <v>1071</v>
      </c>
      <c r="O317" s="1"/>
      <c r="P317" s="1"/>
      <c r="Q317" s="55">
        <f>SUM(N317:P317)</f>
        <v>1071</v>
      </c>
      <c r="R317" s="55">
        <f>+E317+I317+M317+Q317</f>
        <v>1600</v>
      </c>
      <c r="T317" s="4" t="s">
        <v>224</v>
      </c>
    </row>
    <row r="318" spans="1:20" ht="15.75" customHeight="1" x14ac:dyDescent="0.3">
      <c r="A318" s="72" t="s">
        <v>916</v>
      </c>
      <c r="B318" s="1"/>
      <c r="C318" s="1"/>
      <c r="D318" s="1"/>
      <c r="E318" s="55">
        <f>SUM(B318:D318)</f>
        <v>0</v>
      </c>
      <c r="F318" s="1"/>
      <c r="G318" s="1">
        <v>315</v>
      </c>
      <c r="H318" s="1"/>
      <c r="I318" s="55">
        <f>SUM(F318:H318)</f>
        <v>315</v>
      </c>
      <c r="J318" s="1"/>
      <c r="K318" s="1"/>
      <c r="L318" s="1"/>
      <c r="M318" s="55">
        <f>SUM(J318:L318)</f>
        <v>0</v>
      </c>
      <c r="N318" s="1"/>
      <c r="O318" s="1"/>
      <c r="P318" s="1"/>
      <c r="Q318" s="55">
        <f>SUM(N318:P318)</f>
        <v>0</v>
      </c>
      <c r="R318" s="55">
        <f>+E318+I318+M318+Q318</f>
        <v>315</v>
      </c>
    </row>
    <row r="319" spans="1:20" ht="15.75" customHeight="1" x14ac:dyDescent="0.3">
      <c r="A319" s="72" t="s">
        <v>917</v>
      </c>
      <c r="B319" s="1">
        <v>28</v>
      </c>
      <c r="C319" s="1">
        <v>1000</v>
      </c>
      <c r="D319" s="1">
        <v>1900</v>
      </c>
      <c r="E319" s="55">
        <f t="shared" si="63"/>
        <v>2928</v>
      </c>
      <c r="F319" s="1"/>
      <c r="G319" s="1"/>
      <c r="H319" s="1"/>
      <c r="I319" s="55">
        <f t="shared" si="64"/>
        <v>0</v>
      </c>
      <c r="J319" s="1"/>
      <c r="K319" s="1"/>
      <c r="L319" s="1"/>
      <c r="M319" s="55">
        <f t="shared" si="65"/>
        <v>0</v>
      </c>
      <c r="N319" s="1"/>
      <c r="O319" s="1"/>
      <c r="P319" s="1"/>
      <c r="Q319" s="55">
        <f t="shared" si="66"/>
        <v>0</v>
      </c>
      <c r="R319" s="55">
        <f t="shared" si="67"/>
        <v>2928</v>
      </c>
      <c r="T319" s="4" t="s">
        <v>241</v>
      </c>
    </row>
    <row r="320" spans="1:20" ht="15.75" customHeight="1" x14ac:dyDescent="0.3">
      <c r="A320" s="72" t="s">
        <v>918</v>
      </c>
      <c r="B320" s="1"/>
      <c r="C320" s="1"/>
      <c r="D320" s="1"/>
      <c r="E320" s="55">
        <f t="shared" si="63"/>
        <v>0</v>
      </c>
      <c r="F320" s="1"/>
      <c r="G320" s="1"/>
      <c r="H320" s="1">
        <v>1118</v>
      </c>
      <c r="I320" s="55">
        <f t="shared" si="64"/>
        <v>1118</v>
      </c>
      <c r="J320" s="1">
        <v>1153</v>
      </c>
      <c r="K320" s="1">
        <v>1154</v>
      </c>
      <c r="L320" s="1">
        <v>1125</v>
      </c>
      <c r="M320" s="55">
        <f t="shared" si="65"/>
        <v>3432</v>
      </c>
      <c r="N320" s="1">
        <v>390</v>
      </c>
      <c r="O320" s="1">
        <v>610</v>
      </c>
      <c r="P320" s="1">
        <v>1143</v>
      </c>
      <c r="Q320" s="55">
        <f t="shared" si="66"/>
        <v>2143</v>
      </c>
      <c r="R320" s="55">
        <f t="shared" si="67"/>
        <v>6693</v>
      </c>
      <c r="T320" s="4" t="s">
        <v>919</v>
      </c>
    </row>
    <row r="321" spans="1:20" ht="15.75" customHeight="1" x14ac:dyDescent="0.3">
      <c r="A321" s="72" t="s">
        <v>920</v>
      </c>
      <c r="B321" s="1">
        <v>16</v>
      </c>
      <c r="C321" s="1">
        <v>28</v>
      </c>
      <c r="D321" s="1">
        <v>46</v>
      </c>
      <c r="E321" s="55">
        <f t="shared" si="63"/>
        <v>90</v>
      </c>
      <c r="F321" s="1">
        <v>27</v>
      </c>
      <c r="G321" s="1">
        <v>8</v>
      </c>
      <c r="H321" s="1">
        <f>1600+21</f>
        <v>1621</v>
      </c>
      <c r="I321" s="55">
        <f t="shared" si="64"/>
        <v>1656</v>
      </c>
      <c r="J321" s="1">
        <v>11</v>
      </c>
      <c r="K321" s="1">
        <v>14</v>
      </c>
      <c r="L321" s="1">
        <v>11</v>
      </c>
      <c r="M321" s="55">
        <f t="shared" si="65"/>
        <v>36</v>
      </c>
      <c r="N321" s="1"/>
      <c r="O321" s="1"/>
      <c r="P321" s="1">
        <v>10</v>
      </c>
      <c r="Q321" s="55">
        <f t="shared" si="66"/>
        <v>10</v>
      </c>
      <c r="R321" s="55">
        <f t="shared" si="67"/>
        <v>1792</v>
      </c>
      <c r="T321" s="4" t="s">
        <v>209</v>
      </c>
    </row>
    <row r="322" spans="1:20" ht="15.75" customHeight="1" x14ac:dyDescent="0.3">
      <c r="A322" s="72" t="s">
        <v>921</v>
      </c>
      <c r="B322" s="1"/>
      <c r="C322" s="1"/>
      <c r="D322" s="1"/>
      <c r="E322" s="55">
        <f t="shared" si="63"/>
        <v>0</v>
      </c>
      <c r="F322" s="1"/>
      <c r="G322" s="1"/>
      <c r="H322" s="1">
        <v>2048</v>
      </c>
      <c r="I322" s="55">
        <f t="shared" si="64"/>
        <v>2048</v>
      </c>
      <c r="J322" s="1"/>
      <c r="K322" s="1"/>
      <c r="L322" s="1"/>
      <c r="M322" s="55">
        <f t="shared" si="65"/>
        <v>0</v>
      </c>
      <c r="N322" s="1"/>
      <c r="O322" s="1"/>
      <c r="P322" s="1"/>
      <c r="Q322" s="55">
        <f t="shared" si="66"/>
        <v>0</v>
      </c>
      <c r="R322" s="55">
        <f t="shared" si="67"/>
        <v>2048</v>
      </c>
      <c r="T322" s="4" t="s">
        <v>209</v>
      </c>
    </row>
    <row r="323" spans="1:20" ht="15.75" customHeight="1" x14ac:dyDescent="0.3">
      <c r="A323" s="72" t="s">
        <v>922</v>
      </c>
      <c r="B323" s="1">
        <v>1000</v>
      </c>
      <c r="C323" s="1"/>
      <c r="D323" s="1"/>
      <c r="E323" s="55">
        <f>SUM(B323:D323)</f>
        <v>1000</v>
      </c>
      <c r="F323" s="1"/>
      <c r="G323" s="1"/>
      <c r="H323" s="1"/>
      <c r="I323" s="55">
        <f>SUM(F323:H323)</f>
        <v>0</v>
      </c>
      <c r="J323" s="1"/>
      <c r="K323" s="1"/>
      <c r="L323" s="1"/>
      <c r="M323" s="55">
        <f>SUM(J323:L323)</f>
        <v>0</v>
      </c>
      <c r="N323" s="1"/>
      <c r="O323" s="1"/>
      <c r="P323" s="1"/>
      <c r="Q323" s="55">
        <f>SUM(N323:P323)</f>
        <v>0</v>
      </c>
      <c r="R323" s="55">
        <f t="shared" si="67"/>
        <v>1000</v>
      </c>
      <c r="T323" s="4" t="s">
        <v>241</v>
      </c>
    </row>
    <row r="324" spans="1:20" ht="15.75" customHeight="1" x14ac:dyDescent="0.3">
      <c r="A324" s="72" t="s">
        <v>118</v>
      </c>
      <c r="B324" s="1"/>
      <c r="C324" s="1"/>
      <c r="D324" s="1"/>
      <c r="E324" s="55">
        <f t="shared" si="63"/>
        <v>0</v>
      </c>
      <c r="F324" s="1">
        <v>1000</v>
      </c>
      <c r="G324" s="1">
        <v>1000</v>
      </c>
      <c r="H324" s="1"/>
      <c r="I324" s="55">
        <f t="shared" si="64"/>
        <v>2000</v>
      </c>
      <c r="J324" s="1"/>
      <c r="K324" s="1"/>
      <c r="L324" s="1"/>
      <c r="M324" s="55">
        <f t="shared" si="65"/>
        <v>0</v>
      </c>
      <c r="N324" s="1"/>
      <c r="O324" s="1">
        <v>140</v>
      </c>
      <c r="P324" s="1">
        <v>1134</v>
      </c>
      <c r="Q324" s="55">
        <f t="shared" si="66"/>
        <v>1274</v>
      </c>
      <c r="R324" s="55">
        <f t="shared" si="67"/>
        <v>3274</v>
      </c>
      <c r="T324" s="4" t="s">
        <v>919</v>
      </c>
    </row>
    <row r="325" spans="1:20" ht="15.75" customHeight="1" x14ac:dyDescent="0.3">
      <c r="A325" s="72" t="s">
        <v>923</v>
      </c>
      <c r="B325" s="1"/>
      <c r="C325" s="1"/>
      <c r="D325" s="1"/>
      <c r="E325" s="55">
        <f>SUM(B325:D325)</f>
        <v>0</v>
      </c>
      <c r="F325" s="1"/>
      <c r="G325" s="1"/>
      <c r="H325" s="1"/>
      <c r="I325" s="55">
        <f>SUM(F325:H325)</f>
        <v>0</v>
      </c>
      <c r="J325" s="1"/>
      <c r="K325" s="1"/>
      <c r="L325" s="1"/>
      <c r="M325" s="55">
        <f>SUM(J325:L325)</f>
        <v>0</v>
      </c>
      <c r="N325" s="1"/>
      <c r="O325" s="1"/>
      <c r="P325" s="1"/>
      <c r="Q325" s="55">
        <f>SUM(N325:P325)</f>
        <v>0</v>
      </c>
      <c r="R325" s="55">
        <f t="shared" si="67"/>
        <v>0</v>
      </c>
      <c r="T325" s="4" t="s">
        <v>241</v>
      </c>
    </row>
    <row r="326" spans="1:20" ht="15.75" customHeight="1" x14ac:dyDescent="0.3">
      <c r="A326" s="72" t="s">
        <v>924</v>
      </c>
      <c r="B326" s="1"/>
      <c r="C326" s="1"/>
      <c r="D326" s="1"/>
      <c r="E326" s="55">
        <f t="shared" si="63"/>
        <v>0</v>
      </c>
      <c r="F326" s="1"/>
      <c r="G326" s="1"/>
      <c r="H326" s="1"/>
      <c r="I326" s="55">
        <f t="shared" si="64"/>
        <v>0</v>
      </c>
      <c r="J326" s="1"/>
      <c r="K326" s="1"/>
      <c r="L326" s="1"/>
      <c r="M326" s="55">
        <f t="shared" si="65"/>
        <v>0</v>
      </c>
      <c r="N326" s="1"/>
      <c r="O326" s="1"/>
      <c r="P326" s="1"/>
      <c r="Q326" s="55">
        <f t="shared" si="66"/>
        <v>0</v>
      </c>
      <c r="R326" s="55">
        <f t="shared" si="67"/>
        <v>0</v>
      </c>
      <c r="T326" s="4" t="s">
        <v>214</v>
      </c>
    </row>
    <row r="327" spans="1:20" ht="15.75" customHeight="1" x14ac:dyDescent="0.3">
      <c r="A327" s="72" t="s">
        <v>925</v>
      </c>
      <c r="B327" s="1">
        <v>15</v>
      </c>
      <c r="C327" s="1">
        <v>35</v>
      </c>
      <c r="D327" s="1">
        <v>42</v>
      </c>
      <c r="E327" s="55">
        <f>SUM(B327:D327)</f>
        <v>92</v>
      </c>
      <c r="F327" s="1">
        <v>47</v>
      </c>
      <c r="G327" s="1">
        <v>74</v>
      </c>
      <c r="H327" s="1">
        <v>76</v>
      </c>
      <c r="I327" s="55">
        <f>SUM(F327:H327)</f>
        <v>197</v>
      </c>
      <c r="J327" s="1">
        <v>69</v>
      </c>
      <c r="K327" s="1">
        <v>59</v>
      </c>
      <c r="L327" s="1">
        <v>30</v>
      </c>
      <c r="M327" s="55">
        <f>SUM(J327:L327)</f>
        <v>158</v>
      </c>
      <c r="N327" s="1">
        <v>51</v>
      </c>
      <c r="O327" s="1">
        <v>29</v>
      </c>
      <c r="P327" s="1">
        <v>19</v>
      </c>
      <c r="Q327" s="55">
        <f>SUM(N327:P327)</f>
        <v>99</v>
      </c>
      <c r="R327" s="55">
        <f>+E327+I327+M327+Q327</f>
        <v>546</v>
      </c>
      <c r="T327" s="4" t="s">
        <v>406</v>
      </c>
    </row>
    <row r="328" spans="1:20" ht="15.75" customHeight="1" x14ac:dyDescent="0.3">
      <c r="A328" s="72" t="s">
        <v>215</v>
      </c>
      <c r="B328" s="1">
        <v>1298</v>
      </c>
      <c r="C328" s="1">
        <v>1070</v>
      </c>
      <c r="D328" s="1">
        <v>1936</v>
      </c>
      <c r="E328" s="55">
        <f t="shared" si="63"/>
        <v>4304</v>
      </c>
      <c r="F328" s="1">
        <v>620</v>
      </c>
      <c r="G328" s="1">
        <v>1846</v>
      </c>
      <c r="H328" s="1">
        <v>5165</v>
      </c>
      <c r="I328" s="55">
        <f t="shared" si="64"/>
        <v>7631</v>
      </c>
      <c r="J328" s="1">
        <v>5277</v>
      </c>
      <c r="K328" s="1">
        <v>4806</v>
      </c>
      <c r="L328" s="1">
        <v>4340</v>
      </c>
      <c r="M328" s="55">
        <f t="shared" si="65"/>
        <v>14423</v>
      </c>
      <c r="N328" s="1">
        <v>4493</v>
      </c>
      <c r="O328" s="1">
        <v>3836</v>
      </c>
      <c r="P328" s="1">
        <v>3434</v>
      </c>
      <c r="Q328" s="55">
        <f t="shared" si="66"/>
        <v>11763</v>
      </c>
      <c r="R328" s="55">
        <f t="shared" si="67"/>
        <v>38121</v>
      </c>
      <c r="T328" s="4" t="s">
        <v>210</v>
      </c>
    </row>
    <row r="329" spans="1:20" ht="15.75" customHeight="1" x14ac:dyDescent="0.3">
      <c r="A329" s="72" t="s">
        <v>720</v>
      </c>
      <c r="B329" s="1"/>
      <c r="C329" s="1"/>
      <c r="D329" s="1"/>
      <c r="E329" s="55">
        <f t="shared" si="63"/>
        <v>0</v>
      </c>
      <c r="F329" s="1"/>
      <c r="G329" s="1"/>
      <c r="H329" s="1"/>
      <c r="I329" s="55">
        <f t="shared" si="64"/>
        <v>0</v>
      </c>
      <c r="J329" s="1"/>
      <c r="K329" s="1"/>
      <c r="L329" s="1"/>
      <c r="M329" s="55">
        <f t="shared" si="65"/>
        <v>0</v>
      </c>
      <c r="N329" s="1"/>
      <c r="O329" s="1"/>
      <c r="P329" s="1"/>
      <c r="Q329" s="55">
        <f t="shared" si="66"/>
        <v>0</v>
      </c>
      <c r="R329" s="55">
        <f t="shared" si="67"/>
        <v>0</v>
      </c>
    </row>
    <row r="330" spans="1:20" ht="15.75" customHeight="1" x14ac:dyDescent="0.3">
      <c r="A330" s="72" t="s">
        <v>926</v>
      </c>
      <c r="B330" s="1">
        <v>1000</v>
      </c>
      <c r="C330" s="1">
        <v>2344</v>
      </c>
      <c r="D330" s="1">
        <v>4028</v>
      </c>
      <c r="E330" s="55">
        <f t="shared" si="63"/>
        <v>7372</v>
      </c>
      <c r="F330" s="1"/>
      <c r="G330" s="1"/>
      <c r="H330" s="1"/>
      <c r="I330" s="55">
        <f t="shared" si="64"/>
        <v>0</v>
      </c>
      <c r="J330" s="1"/>
      <c r="K330" s="1"/>
      <c r="L330" s="1"/>
      <c r="M330" s="55">
        <f t="shared" si="65"/>
        <v>0</v>
      </c>
      <c r="N330" s="1"/>
      <c r="O330" s="1"/>
      <c r="P330" s="1"/>
      <c r="Q330" s="55">
        <f>SUM(N330:P330)</f>
        <v>0</v>
      </c>
      <c r="R330" s="55">
        <f>+E330+I330+M330+Q330</f>
        <v>7372</v>
      </c>
      <c r="T330" s="4" t="s">
        <v>241</v>
      </c>
    </row>
    <row r="331" spans="1:20" ht="15.75" customHeight="1" x14ac:dyDescent="0.3">
      <c r="A331" s="72" t="s">
        <v>927</v>
      </c>
      <c r="B331" s="1">
        <v>44</v>
      </c>
      <c r="C331" s="1">
        <v>40</v>
      </c>
      <c r="D331" s="1">
        <v>55</v>
      </c>
      <c r="E331" s="55">
        <f>SUM(B331:D331)</f>
        <v>139</v>
      </c>
      <c r="F331" s="1">
        <v>46</v>
      </c>
      <c r="G331" s="1">
        <v>83</v>
      </c>
      <c r="H331" s="1">
        <v>74</v>
      </c>
      <c r="I331" s="55">
        <f>SUM(F331:H331)</f>
        <v>203</v>
      </c>
      <c r="J331" s="1">
        <v>57</v>
      </c>
      <c r="K331" s="1">
        <v>59</v>
      </c>
      <c r="L331" s="1">
        <v>45</v>
      </c>
      <c r="M331" s="55">
        <f>SUM(J331:L331)</f>
        <v>161</v>
      </c>
      <c r="N331" s="1">
        <v>76</v>
      </c>
      <c r="O331" s="1">
        <v>40</v>
      </c>
      <c r="P331" s="1">
        <v>23</v>
      </c>
      <c r="Q331" s="55">
        <f>SUM(N331:P331)</f>
        <v>139</v>
      </c>
      <c r="R331" s="55">
        <f>+E331+I331+M331+Q331</f>
        <v>642</v>
      </c>
      <c r="T331" s="4" t="s">
        <v>406</v>
      </c>
    </row>
    <row r="332" spans="1:20" ht="15.75" customHeight="1" x14ac:dyDescent="0.3">
      <c r="A332" s="72" t="s">
        <v>928</v>
      </c>
      <c r="B332" s="1"/>
      <c r="C332" s="1"/>
      <c r="D332" s="1"/>
      <c r="E332" s="55">
        <f>SUM(B332:D332)</f>
        <v>0</v>
      </c>
      <c r="F332" s="1"/>
      <c r="G332" s="1"/>
      <c r="H332" s="1"/>
      <c r="I332" s="55">
        <f>SUM(F332:H332)</f>
        <v>0</v>
      </c>
      <c r="J332" s="1"/>
      <c r="K332" s="1"/>
      <c r="L332" s="1"/>
      <c r="M332" s="55">
        <f>SUM(J332:L332)</f>
        <v>0</v>
      </c>
      <c r="N332" s="1"/>
      <c r="O332" s="1">
        <v>4817</v>
      </c>
      <c r="P332" s="1">
        <v>183</v>
      </c>
      <c r="Q332" s="55">
        <f>SUM(N332:P332)</f>
        <v>5000</v>
      </c>
      <c r="R332" s="55">
        <f>+E332+I332+M332+Q332</f>
        <v>5000</v>
      </c>
      <c r="T332" s="4" t="s">
        <v>406</v>
      </c>
    </row>
    <row r="333" spans="1:20" ht="15.75" customHeight="1" x14ac:dyDescent="0.3">
      <c r="A333" s="71" t="s">
        <v>929</v>
      </c>
      <c r="B333" s="1"/>
      <c r="C333" s="1"/>
      <c r="D333" s="1"/>
      <c r="E333" s="55">
        <f>SUM(B333:D333)</f>
        <v>0</v>
      </c>
      <c r="F333" s="1"/>
      <c r="G333" s="1"/>
      <c r="H333" s="1"/>
      <c r="I333" s="55">
        <f>SUM(F333:H333)</f>
        <v>0</v>
      </c>
      <c r="J333" s="1"/>
      <c r="K333" s="1"/>
      <c r="L333" s="1">
        <v>37</v>
      </c>
      <c r="M333" s="55">
        <f>SUM(J333:L333)</f>
        <v>37</v>
      </c>
      <c r="N333" s="1"/>
      <c r="O333" s="1"/>
      <c r="P333" s="1">
        <v>1</v>
      </c>
      <c r="Q333" s="55">
        <f>SUM(N333:P333)</f>
        <v>1</v>
      </c>
      <c r="R333" s="55">
        <f t="shared" si="67"/>
        <v>38</v>
      </c>
    </row>
    <row r="334" spans="1:20" ht="15.75" customHeight="1" x14ac:dyDescent="0.3">
      <c r="A334" s="72" t="s">
        <v>930</v>
      </c>
      <c r="B334" s="1"/>
      <c r="C334" s="1"/>
      <c r="D334" s="1">
        <v>25</v>
      </c>
      <c r="E334" s="55">
        <f t="shared" si="63"/>
        <v>25</v>
      </c>
      <c r="F334" s="1">
        <v>29</v>
      </c>
      <c r="G334" s="1">
        <v>121</v>
      </c>
      <c r="H334" s="1">
        <v>112</v>
      </c>
      <c r="I334" s="55">
        <f t="shared" si="64"/>
        <v>262</v>
      </c>
      <c r="J334" s="1">
        <v>172</v>
      </c>
      <c r="K334" s="1">
        <v>36</v>
      </c>
      <c r="L334" s="1"/>
      <c r="M334" s="55">
        <f t="shared" si="65"/>
        <v>208</v>
      </c>
      <c r="N334" s="1"/>
      <c r="O334" s="1"/>
      <c r="P334" s="1"/>
      <c r="Q334" s="55">
        <f t="shared" si="66"/>
        <v>0</v>
      </c>
      <c r="R334" s="55">
        <f t="shared" si="67"/>
        <v>495</v>
      </c>
      <c r="S334" s="4">
        <f>SUM(R310:R334)</f>
        <v>81278</v>
      </c>
      <c r="T334" s="4" t="s">
        <v>214</v>
      </c>
    </row>
    <row r="335" spans="1:20" ht="15.75" customHeight="1" x14ac:dyDescent="0.3">
      <c r="A335" s="72" t="s">
        <v>931</v>
      </c>
      <c r="B335" s="1">
        <v>11</v>
      </c>
      <c r="C335" s="1">
        <v>25</v>
      </c>
      <c r="D335" s="1">
        <v>37</v>
      </c>
      <c r="E335" s="55">
        <f>SUM(B335:D335)</f>
        <v>73</v>
      </c>
      <c r="F335" s="1">
        <v>38</v>
      </c>
      <c r="G335" s="1">
        <v>70</v>
      </c>
      <c r="H335" s="1">
        <v>73</v>
      </c>
      <c r="I335" s="55">
        <f>SUM(F335:H335)</f>
        <v>181</v>
      </c>
      <c r="J335" s="1">
        <v>73</v>
      </c>
      <c r="K335" s="1">
        <v>48</v>
      </c>
      <c r="L335" s="1">
        <v>41</v>
      </c>
      <c r="M335" s="55">
        <f>SUM(J335:L335)</f>
        <v>162</v>
      </c>
      <c r="N335" s="1">
        <v>65</v>
      </c>
      <c r="O335" s="1">
        <v>32</v>
      </c>
      <c r="P335" s="1">
        <v>12</v>
      </c>
      <c r="Q335" s="55">
        <f>SUM(N335:P335)</f>
        <v>109</v>
      </c>
      <c r="R335" s="55">
        <f>+E335+I335+M335+Q335</f>
        <v>525</v>
      </c>
      <c r="T335" s="4" t="s">
        <v>406</v>
      </c>
    </row>
    <row r="336" spans="1:20" ht="15.75" customHeight="1" x14ac:dyDescent="0.3">
      <c r="A336" s="15" t="s">
        <v>50</v>
      </c>
      <c r="B336" s="1"/>
      <c r="C336" s="1"/>
      <c r="D336" s="1"/>
      <c r="E336" s="55" t="s">
        <v>7</v>
      </c>
      <c r="F336" s="1"/>
      <c r="G336" s="1"/>
      <c r="H336" s="1"/>
      <c r="I336" s="55" t="s">
        <v>7</v>
      </c>
      <c r="J336" s="1"/>
      <c r="K336" s="1"/>
      <c r="L336" s="1"/>
      <c r="M336" s="55" t="s">
        <v>7</v>
      </c>
      <c r="N336" s="1"/>
      <c r="O336" s="1"/>
      <c r="P336" s="1"/>
      <c r="Q336" s="55" t="s">
        <v>7</v>
      </c>
      <c r="R336" s="55" t="s">
        <v>7</v>
      </c>
    </row>
    <row r="337" spans="1:20" ht="15.75" customHeight="1" x14ac:dyDescent="0.3">
      <c r="A337" s="72" t="s">
        <v>217</v>
      </c>
      <c r="B337" s="1"/>
      <c r="C337" s="1"/>
      <c r="D337" s="1"/>
      <c r="E337" s="55">
        <f t="shared" ref="E337:E347" si="68">SUM(B337:D337)</f>
        <v>0</v>
      </c>
      <c r="F337" s="1"/>
      <c r="G337" s="1"/>
      <c r="H337" s="1"/>
      <c r="I337" s="55">
        <f t="shared" ref="I337:I347" si="69">SUM(F337:H337)</f>
        <v>0</v>
      </c>
      <c r="J337" s="1"/>
      <c r="K337" s="1"/>
      <c r="L337" s="1"/>
      <c r="M337" s="55">
        <f t="shared" ref="M337:M347" si="70">SUM(J337:L337)</f>
        <v>0</v>
      </c>
      <c r="N337" s="1"/>
      <c r="O337" s="1"/>
      <c r="P337" s="1"/>
      <c r="Q337" s="55">
        <f t="shared" ref="Q337:Q347" si="71">SUM(N337:P337)</f>
        <v>0</v>
      </c>
      <c r="R337" s="55">
        <f t="shared" ref="R337:R347" si="72">+E337+I337+M337+Q337</f>
        <v>0</v>
      </c>
    </row>
    <row r="338" spans="1:20" ht="15.75" customHeight="1" x14ac:dyDescent="0.3">
      <c r="A338" s="72" t="s">
        <v>932</v>
      </c>
      <c r="B338" s="1"/>
      <c r="C338" s="1"/>
      <c r="D338" s="1"/>
      <c r="E338" s="55">
        <f>SUM(B338:D338)</f>
        <v>0</v>
      </c>
      <c r="F338" s="1"/>
      <c r="G338" s="1"/>
      <c r="H338" s="1"/>
      <c r="I338" s="55">
        <f>SUM(F338:H338)</f>
        <v>0</v>
      </c>
      <c r="J338" s="1"/>
      <c r="K338" s="1"/>
      <c r="L338" s="1"/>
      <c r="M338" s="55">
        <f>SUM(J338:L338)</f>
        <v>0</v>
      </c>
      <c r="N338" s="1"/>
      <c r="O338" s="1"/>
      <c r="P338" s="1"/>
      <c r="Q338" s="55">
        <f>SUM(N338:P338)</f>
        <v>0</v>
      </c>
      <c r="R338" s="55">
        <f>+E338+I338+M338+Q338</f>
        <v>0</v>
      </c>
      <c r="T338" s="4" t="s">
        <v>220</v>
      </c>
    </row>
    <row r="339" spans="1:20" ht="15.75" customHeight="1" x14ac:dyDescent="0.3">
      <c r="A339" s="72" t="s">
        <v>643</v>
      </c>
      <c r="B339" s="1"/>
      <c r="C339" s="1"/>
      <c r="D339" s="1"/>
      <c r="E339" s="55">
        <f>SUM(B339:D339)</f>
        <v>0</v>
      </c>
      <c r="F339" s="1"/>
      <c r="G339" s="1"/>
      <c r="H339" s="1"/>
      <c r="I339" s="55">
        <f>SUM(F339:H339)</f>
        <v>0</v>
      </c>
      <c r="J339" s="1"/>
      <c r="K339" s="1"/>
      <c r="L339" s="1"/>
      <c r="M339" s="55">
        <f>SUM(J339:L339)</f>
        <v>0</v>
      </c>
      <c r="N339" s="1"/>
      <c r="O339" s="1"/>
      <c r="P339" s="1"/>
      <c r="Q339" s="55">
        <f>SUM(N339:P339)</f>
        <v>0</v>
      </c>
      <c r="R339" s="55">
        <f>+E339+I339+M339+Q339</f>
        <v>0</v>
      </c>
      <c r="T339" s="4" t="s">
        <v>256</v>
      </c>
    </row>
    <row r="340" spans="1:20" ht="15.75" customHeight="1" x14ac:dyDescent="0.3">
      <c r="A340" s="72" t="s">
        <v>924</v>
      </c>
      <c r="B340" s="1"/>
      <c r="C340" s="1"/>
      <c r="D340" s="1"/>
      <c r="E340" s="55">
        <f t="shared" si="68"/>
        <v>0</v>
      </c>
      <c r="F340" s="1"/>
      <c r="G340" s="1"/>
      <c r="H340" s="1"/>
      <c r="I340" s="55">
        <f t="shared" si="69"/>
        <v>0</v>
      </c>
      <c r="J340" s="1"/>
      <c r="K340" s="1"/>
      <c r="L340" s="1"/>
      <c r="M340" s="55">
        <f t="shared" si="70"/>
        <v>0</v>
      </c>
      <c r="N340" s="1"/>
      <c r="O340" s="1"/>
      <c r="P340" s="1"/>
      <c r="Q340" s="55">
        <f t="shared" si="71"/>
        <v>0</v>
      </c>
      <c r="R340" s="55">
        <f>+E340+I340+M340+Q340</f>
        <v>0</v>
      </c>
      <c r="T340" s="4" t="s">
        <v>214</v>
      </c>
    </row>
    <row r="341" spans="1:20" ht="15.75" customHeight="1" x14ac:dyDescent="0.3">
      <c r="A341" s="72" t="s">
        <v>721</v>
      </c>
      <c r="B341" s="1"/>
      <c r="C341" s="1"/>
      <c r="D341" s="1"/>
      <c r="E341" s="55">
        <f>SUM(B341:D341)</f>
        <v>0</v>
      </c>
      <c r="F341" s="1"/>
      <c r="G341" s="1"/>
      <c r="H341" s="1"/>
      <c r="I341" s="55">
        <f>SUM(F341:H341)</f>
        <v>0</v>
      </c>
      <c r="J341" s="1"/>
      <c r="K341" s="1"/>
      <c r="L341" s="1"/>
      <c r="M341" s="55">
        <f>SUM(J341:L341)</f>
        <v>0</v>
      </c>
      <c r="N341" s="1"/>
      <c r="O341" s="1"/>
      <c r="P341" s="1"/>
      <c r="Q341" s="55">
        <f>SUM(N341:P341)</f>
        <v>0</v>
      </c>
      <c r="R341" s="55">
        <f>+E341+I341+M341+Q341</f>
        <v>0</v>
      </c>
      <c r="T341" s="4" t="s">
        <v>218</v>
      </c>
    </row>
    <row r="342" spans="1:20" ht="15.75" customHeight="1" x14ac:dyDescent="0.3">
      <c r="A342" s="72" t="s">
        <v>222</v>
      </c>
      <c r="B342" s="1"/>
      <c r="C342" s="1"/>
      <c r="D342" s="1"/>
      <c r="E342" s="55">
        <f t="shared" si="68"/>
        <v>0</v>
      </c>
      <c r="F342" s="1"/>
      <c r="G342" s="1"/>
      <c r="H342" s="1"/>
      <c r="I342" s="55">
        <f t="shared" si="69"/>
        <v>0</v>
      </c>
      <c r="J342" s="1"/>
      <c r="K342" s="1"/>
      <c r="L342" s="1"/>
      <c r="M342" s="55">
        <f t="shared" si="70"/>
        <v>0</v>
      </c>
      <c r="N342" s="1"/>
      <c r="O342" s="1"/>
      <c r="P342" s="1"/>
      <c r="Q342" s="55">
        <f t="shared" si="71"/>
        <v>0</v>
      </c>
      <c r="R342" s="55">
        <f t="shared" si="72"/>
        <v>0</v>
      </c>
    </row>
    <row r="343" spans="1:20" ht="15.75" customHeight="1" x14ac:dyDescent="0.3">
      <c r="A343" s="72" t="s">
        <v>933</v>
      </c>
      <c r="B343" s="1"/>
      <c r="C343" s="1"/>
      <c r="D343" s="1"/>
      <c r="E343" s="55">
        <f t="shared" si="68"/>
        <v>0</v>
      </c>
      <c r="F343" s="1"/>
      <c r="G343" s="1"/>
      <c r="H343" s="1"/>
      <c r="I343" s="55">
        <f t="shared" si="69"/>
        <v>0</v>
      </c>
      <c r="J343" s="1"/>
      <c r="K343" s="1"/>
      <c r="L343" s="1"/>
      <c r="M343" s="55">
        <f t="shared" si="70"/>
        <v>0</v>
      </c>
      <c r="N343" s="1"/>
      <c r="O343" s="1"/>
      <c r="P343" s="1"/>
      <c r="Q343" s="55">
        <f t="shared" si="71"/>
        <v>0</v>
      </c>
      <c r="R343" s="55">
        <f t="shared" si="72"/>
        <v>0</v>
      </c>
      <c r="T343" s="4" t="s">
        <v>226</v>
      </c>
    </row>
    <row r="344" spans="1:20" ht="15.75" customHeight="1" x14ac:dyDescent="0.3">
      <c r="A344" s="72" t="s">
        <v>227</v>
      </c>
      <c r="B344" s="1"/>
      <c r="C344" s="1"/>
      <c r="D344" s="1"/>
      <c r="E344" s="55">
        <f t="shared" si="68"/>
        <v>0</v>
      </c>
      <c r="F344" s="1"/>
      <c r="G344" s="1"/>
      <c r="H344" s="1"/>
      <c r="I344" s="55">
        <f t="shared" si="69"/>
        <v>0</v>
      </c>
      <c r="J344" s="1"/>
      <c r="K344" s="1"/>
      <c r="L344" s="1"/>
      <c r="M344" s="55">
        <f t="shared" si="70"/>
        <v>0</v>
      </c>
      <c r="N344" s="1"/>
      <c r="O344" s="1"/>
      <c r="P344" s="1"/>
      <c r="Q344" s="55">
        <f t="shared" si="71"/>
        <v>0</v>
      </c>
      <c r="R344" s="55">
        <f t="shared" si="72"/>
        <v>0</v>
      </c>
      <c r="T344" s="4" t="s">
        <v>226</v>
      </c>
    </row>
    <row r="345" spans="1:20" ht="15.75" customHeight="1" x14ac:dyDescent="0.3">
      <c r="A345" s="72" t="s">
        <v>934</v>
      </c>
      <c r="B345" s="1"/>
      <c r="C345" s="1"/>
      <c r="D345" s="1"/>
      <c r="E345" s="55">
        <f t="shared" si="68"/>
        <v>0</v>
      </c>
      <c r="F345" s="1"/>
      <c r="G345" s="1"/>
      <c r="H345" s="1"/>
      <c r="I345" s="55">
        <f t="shared" si="69"/>
        <v>0</v>
      </c>
      <c r="J345" s="1"/>
      <c r="K345" s="1"/>
      <c r="L345" s="1"/>
      <c r="M345" s="55">
        <f t="shared" si="70"/>
        <v>0</v>
      </c>
      <c r="N345" s="1"/>
      <c r="O345" s="1"/>
      <c r="P345" s="1"/>
      <c r="Q345" s="55">
        <f t="shared" si="71"/>
        <v>0</v>
      </c>
      <c r="R345" s="55">
        <f t="shared" si="72"/>
        <v>0</v>
      </c>
      <c r="T345" s="4" t="s">
        <v>406</v>
      </c>
    </row>
    <row r="346" spans="1:20" ht="15.75" customHeight="1" x14ac:dyDescent="0.3">
      <c r="A346" s="72" t="s">
        <v>634</v>
      </c>
      <c r="B346" s="1"/>
      <c r="C346" s="1"/>
      <c r="D346" s="1"/>
      <c r="E346" s="55">
        <f>SUM(B346:D346)</f>
        <v>0</v>
      </c>
      <c r="F346" s="1"/>
      <c r="G346" s="1"/>
      <c r="H346" s="1"/>
      <c r="I346" s="55">
        <f>SUM(F346:H346)</f>
        <v>0</v>
      </c>
      <c r="J346" s="1"/>
      <c r="K346" s="1"/>
      <c r="L346" s="1"/>
      <c r="M346" s="55">
        <f>SUM(J346:L346)</f>
        <v>0</v>
      </c>
      <c r="N346" s="1"/>
      <c r="O346" s="1"/>
      <c r="P346" s="1"/>
      <c r="Q346" s="55">
        <f>SUM(N346:P346)</f>
        <v>0</v>
      </c>
      <c r="R346" s="55">
        <f>+E346+I346+M346+Q346</f>
        <v>0</v>
      </c>
      <c r="T346" s="4" t="s">
        <v>406</v>
      </c>
    </row>
    <row r="347" spans="1:20" ht="15.75" customHeight="1" x14ac:dyDescent="0.3">
      <c r="A347" s="72" t="s">
        <v>635</v>
      </c>
      <c r="B347" s="1"/>
      <c r="C347" s="1"/>
      <c r="D347" s="1"/>
      <c r="E347" s="55">
        <f t="shared" si="68"/>
        <v>0</v>
      </c>
      <c r="F347" s="1"/>
      <c r="G347" s="1"/>
      <c r="H347" s="1"/>
      <c r="I347" s="55">
        <f t="shared" si="69"/>
        <v>0</v>
      </c>
      <c r="J347" s="1"/>
      <c r="K347" s="1"/>
      <c r="L347" s="1"/>
      <c r="M347" s="55">
        <f t="shared" si="70"/>
        <v>0</v>
      </c>
      <c r="N347" s="1"/>
      <c r="O347" s="1"/>
      <c r="P347" s="1"/>
      <c r="Q347" s="55">
        <f t="shared" si="71"/>
        <v>0</v>
      </c>
      <c r="R347" s="55">
        <f t="shared" si="72"/>
        <v>0</v>
      </c>
      <c r="T347" s="4" t="s">
        <v>232</v>
      </c>
    </row>
    <row r="348" spans="1:20" ht="15.75" customHeight="1" x14ac:dyDescent="0.3">
      <c r="A348" s="15" t="s">
        <v>51</v>
      </c>
      <c r="B348" s="1"/>
      <c r="C348" s="1"/>
      <c r="D348" s="1"/>
      <c r="E348" s="55" t="s">
        <v>7</v>
      </c>
      <c r="F348" s="1"/>
      <c r="G348" s="1"/>
      <c r="H348" s="1"/>
      <c r="I348" s="55" t="s">
        <v>7</v>
      </c>
      <c r="J348" s="1"/>
      <c r="K348" s="1"/>
      <c r="L348" s="1"/>
      <c r="M348" s="55" t="s">
        <v>7</v>
      </c>
      <c r="N348" s="1"/>
      <c r="O348" s="1"/>
      <c r="P348" s="1"/>
      <c r="Q348" s="55" t="s">
        <v>7</v>
      </c>
      <c r="R348" s="55" t="s">
        <v>7</v>
      </c>
    </row>
    <row r="349" spans="1:20" ht="15.75" customHeight="1" x14ac:dyDescent="0.3">
      <c r="A349" s="72" t="s">
        <v>722</v>
      </c>
      <c r="B349" s="1"/>
      <c r="C349" s="1"/>
      <c r="D349" s="1"/>
      <c r="E349" s="55">
        <f>SUM(B349:D349)</f>
        <v>0</v>
      </c>
      <c r="F349" s="1"/>
      <c r="G349" s="1"/>
      <c r="H349" s="1"/>
      <c r="I349" s="55">
        <f>SUM(F349:H349)</f>
        <v>0</v>
      </c>
      <c r="J349" s="1"/>
      <c r="K349" s="1"/>
      <c r="L349" s="1">
        <v>160</v>
      </c>
      <c r="M349" s="55">
        <f>SUM(J349:L349)</f>
        <v>160</v>
      </c>
      <c r="N349" s="1"/>
      <c r="O349" s="1"/>
      <c r="P349" s="1"/>
      <c r="Q349" s="55">
        <f>SUM(N349:P349)</f>
        <v>0</v>
      </c>
      <c r="R349" s="55">
        <f>+E349+I349+M349+Q349</f>
        <v>160</v>
      </c>
      <c r="T349" s="4" t="s">
        <v>209</v>
      </c>
    </row>
    <row r="350" spans="1:20" ht="15.75" customHeight="1" x14ac:dyDescent="0.3">
      <c r="A350" s="72" t="s">
        <v>723</v>
      </c>
      <c r="B350" s="1"/>
      <c r="C350" s="1"/>
      <c r="D350" s="1"/>
      <c r="E350" s="55">
        <f>SUM(B350:D350)</f>
        <v>0</v>
      </c>
      <c r="F350" s="1"/>
      <c r="G350" s="1">
        <v>3000</v>
      </c>
      <c r="H350" s="1">
        <v>3000</v>
      </c>
      <c r="I350" s="55">
        <f>SUM(F350:H350)</f>
        <v>6000</v>
      </c>
      <c r="J350" s="1"/>
      <c r="K350" s="1">
        <v>3000</v>
      </c>
      <c r="L350" s="1"/>
      <c r="M350" s="55">
        <f>SUM(J350:L350)</f>
        <v>3000</v>
      </c>
      <c r="N350" s="1"/>
      <c r="O350" s="1"/>
      <c r="P350" s="1"/>
      <c r="Q350" s="55">
        <f>SUM(N350:P350)</f>
        <v>0</v>
      </c>
      <c r="R350" s="55">
        <f>+E350+I350+M350+Q350</f>
        <v>9000</v>
      </c>
    </row>
    <row r="351" spans="1:20" ht="15.75" customHeight="1" x14ac:dyDescent="0.3">
      <c r="A351" s="72" t="s">
        <v>724</v>
      </c>
      <c r="B351" s="1"/>
      <c r="C351" s="1"/>
      <c r="D351" s="1"/>
      <c r="E351" s="55">
        <f>SUM(B351:D351)</f>
        <v>0</v>
      </c>
      <c r="F351" s="1"/>
      <c r="G351" s="1">
        <v>2685</v>
      </c>
      <c r="H351" s="1"/>
      <c r="I351" s="55">
        <f>SUM(F351:H351)</f>
        <v>2685</v>
      </c>
      <c r="J351" s="1"/>
      <c r="K351" s="1"/>
      <c r="L351" s="1"/>
      <c r="M351" s="55">
        <f>SUM(J351:L351)</f>
        <v>0</v>
      </c>
      <c r="N351" s="1"/>
      <c r="O351" s="1"/>
      <c r="P351" s="1"/>
      <c r="Q351" s="55">
        <f>SUM(N351:P351)</f>
        <v>0</v>
      </c>
      <c r="R351" s="55">
        <f>+E351+I351+M351+Q351</f>
        <v>2685</v>
      </c>
      <c r="T351" s="4" t="s">
        <v>214</v>
      </c>
    </row>
    <row r="352" spans="1:20" ht="15.75" customHeight="1" x14ac:dyDescent="0.3">
      <c r="A352" s="72" t="s">
        <v>935</v>
      </c>
      <c r="B352" s="1">
        <v>699</v>
      </c>
      <c r="C352" s="1">
        <v>1000</v>
      </c>
      <c r="D352" s="1"/>
      <c r="E352" s="55">
        <f>SUM(B352:D352)</f>
        <v>1699</v>
      </c>
      <c r="F352" s="1">
        <v>2915</v>
      </c>
      <c r="G352" s="1">
        <v>941</v>
      </c>
      <c r="H352" s="1"/>
      <c r="I352" s="55">
        <f>SUM(F352:H352)</f>
        <v>3856</v>
      </c>
      <c r="J352" s="1"/>
      <c r="K352" s="1"/>
      <c r="L352" s="1"/>
      <c r="M352" s="55">
        <f>SUM(J352:L352)</f>
        <v>0</v>
      </c>
      <c r="N352" s="1"/>
      <c r="O352" s="1"/>
      <c r="P352" s="1"/>
      <c r="Q352" s="55">
        <f>SUM(N352:P352)</f>
        <v>0</v>
      </c>
      <c r="R352" s="55">
        <f>+E352+I352+M352+Q352</f>
        <v>5555</v>
      </c>
      <c r="T352" s="4" t="s">
        <v>241</v>
      </c>
    </row>
    <row r="353" spans="1:39" ht="16.5" customHeight="1" thickBot="1" x14ac:dyDescent="0.35">
      <c r="A353" s="15" t="s">
        <v>53</v>
      </c>
      <c r="B353" s="1"/>
      <c r="C353" s="1"/>
      <c r="D353" s="1"/>
      <c r="E353" s="55" t="s">
        <v>7</v>
      </c>
      <c r="F353" s="1"/>
      <c r="G353" s="1"/>
      <c r="H353" s="1"/>
      <c r="I353" s="55" t="s">
        <v>7</v>
      </c>
      <c r="J353" s="1"/>
      <c r="K353" s="1"/>
      <c r="L353" s="1"/>
      <c r="M353" s="55" t="s">
        <v>7</v>
      </c>
      <c r="N353" s="1"/>
      <c r="O353" s="1"/>
      <c r="P353" s="1"/>
      <c r="Q353" s="55" t="s">
        <v>7</v>
      </c>
      <c r="R353" s="81" t="s">
        <v>7</v>
      </c>
      <c r="V353" s="4" t="s">
        <v>936</v>
      </c>
      <c r="W353" s="4" t="s">
        <v>937</v>
      </c>
    </row>
    <row r="354" spans="1:39" ht="16.5" customHeight="1" thickBot="1" x14ac:dyDescent="0.35">
      <c r="A354" s="109" t="s">
        <v>54</v>
      </c>
      <c r="B354" s="86">
        <f>SUM(B308:B353)</f>
        <v>4246</v>
      </c>
      <c r="C354" s="87">
        <f>SUM(C308:C353)</f>
        <v>5790</v>
      </c>
      <c r="D354" s="87">
        <f>SUM(D308:D353)</f>
        <v>8466</v>
      </c>
      <c r="E354" s="59">
        <f>SUM(B354:D354)</f>
        <v>18502</v>
      </c>
      <c r="F354" s="87">
        <f>SUM(F308:F353)</f>
        <v>7621</v>
      </c>
      <c r="G354" s="87">
        <f>SUM(G308:G353)</f>
        <v>10805</v>
      </c>
      <c r="H354" s="87">
        <f>SUM(H308:H353)</f>
        <v>13990</v>
      </c>
      <c r="I354" s="59">
        <f>SUM(F354:H354)</f>
        <v>32416</v>
      </c>
      <c r="J354" s="87">
        <f>SUM(J308:J353)</f>
        <v>7576</v>
      </c>
      <c r="K354" s="87">
        <f>SUM(K308:K353)</f>
        <v>9690</v>
      </c>
      <c r="L354" s="87">
        <f>SUM(L308:L353)</f>
        <v>7106</v>
      </c>
      <c r="M354" s="59">
        <f>SUM(J354:L354)</f>
        <v>24372</v>
      </c>
      <c r="N354" s="87">
        <f>SUM(N308:N353)</f>
        <v>6850</v>
      </c>
      <c r="O354" s="87">
        <f>SUM(O308:O353)</f>
        <v>10840</v>
      </c>
      <c r="P354" s="87">
        <f>SUM(P308:P353)</f>
        <v>6223</v>
      </c>
      <c r="Q354" s="59">
        <f>SUM(N354:P354)</f>
        <v>23913</v>
      </c>
      <c r="R354" s="59">
        <f>+E354+I354+M354+Q354</f>
        <v>99203</v>
      </c>
      <c r="T354" s="89"/>
      <c r="V354" s="4" t="s">
        <v>209</v>
      </c>
      <c r="W354" s="348">
        <v>0.18</v>
      </c>
    </row>
    <row r="355" spans="1:39" ht="15.75" customHeight="1" x14ac:dyDescent="0.3">
      <c r="A355" s="15" t="s">
        <v>55</v>
      </c>
      <c r="B355" s="1"/>
      <c r="C355" s="1"/>
      <c r="D355" s="1"/>
      <c r="E355" s="55" t="s">
        <v>7</v>
      </c>
      <c r="F355" s="1"/>
      <c r="G355" s="1"/>
      <c r="H355" s="1"/>
      <c r="I355" s="55" t="s">
        <v>7</v>
      </c>
      <c r="J355" s="1"/>
      <c r="K355" s="1"/>
      <c r="L355" s="1"/>
      <c r="M355" s="55" t="s">
        <v>7</v>
      </c>
      <c r="N355" s="1"/>
      <c r="O355" s="1"/>
      <c r="P355" s="1"/>
      <c r="Q355" s="55" t="s">
        <v>7</v>
      </c>
      <c r="R355" s="55" t="s">
        <v>7</v>
      </c>
      <c r="V355" s="4" t="s">
        <v>938</v>
      </c>
      <c r="W355" s="348">
        <v>0.52</v>
      </c>
    </row>
    <row r="356" spans="1:39" ht="15.75" customHeight="1" x14ac:dyDescent="0.3">
      <c r="A356" s="15" t="s">
        <v>242</v>
      </c>
      <c r="B356" s="1"/>
      <c r="C356" s="1"/>
      <c r="D356" s="1"/>
      <c r="E356" s="55"/>
      <c r="F356" s="1"/>
      <c r="G356" s="1"/>
      <c r="H356" s="1"/>
      <c r="I356" s="55"/>
      <c r="J356" s="1"/>
      <c r="K356" s="1"/>
      <c r="L356" s="1"/>
      <c r="M356" s="55"/>
      <c r="N356" s="1"/>
      <c r="O356" s="1"/>
      <c r="P356" s="1"/>
      <c r="Q356" s="55"/>
      <c r="R356" s="55"/>
      <c r="V356" s="4" t="s">
        <v>939</v>
      </c>
      <c r="W356" s="348">
        <v>0.3</v>
      </c>
    </row>
    <row r="357" spans="1:39" ht="15.75" customHeight="1" thickBot="1" x14ac:dyDescent="0.35">
      <c r="A357" s="15" t="s">
        <v>57</v>
      </c>
      <c r="B357" s="1"/>
      <c r="C357" s="1"/>
      <c r="D357" s="1"/>
      <c r="E357" s="55" t="s">
        <v>7</v>
      </c>
      <c r="F357" s="1"/>
      <c r="G357" s="1"/>
      <c r="H357" s="1"/>
      <c r="I357" s="55" t="s">
        <v>7</v>
      </c>
      <c r="J357" s="1"/>
      <c r="K357" s="1"/>
      <c r="L357" s="1"/>
      <c r="M357" s="55" t="s">
        <v>7</v>
      </c>
      <c r="N357" s="1"/>
      <c r="O357" s="1"/>
      <c r="P357" s="1"/>
      <c r="Q357" s="55" t="s">
        <v>7</v>
      </c>
      <c r="R357" s="55" t="s">
        <v>7</v>
      </c>
      <c r="W357" s="349">
        <f>+SUM(W354:W356)</f>
        <v>1</v>
      </c>
    </row>
    <row r="358" spans="1:39" s="123" customFormat="1" ht="15.75" customHeight="1" x14ac:dyDescent="0.3">
      <c r="A358" s="350" t="s">
        <v>940</v>
      </c>
      <c r="B358" s="121"/>
      <c r="C358" s="121"/>
      <c r="D358" s="121"/>
      <c r="E358" s="113">
        <f>SUM(B358:D358)</f>
        <v>0</v>
      </c>
      <c r="F358" s="121"/>
      <c r="G358" s="121"/>
      <c r="H358" s="121"/>
      <c r="I358" s="113">
        <f>SUM(F358:H358)</f>
        <v>0</v>
      </c>
      <c r="J358" s="121"/>
      <c r="K358" s="121"/>
      <c r="L358" s="121"/>
      <c r="M358" s="113">
        <f>SUM(J358:L358)</f>
        <v>0</v>
      </c>
      <c r="N358" s="121"/>
      <c r="O358" s="121"/>
      <c r="P358" s="121"/>
      <c r="Q358" s="113">
        <f>SUM(N358:P358)</f>
        <v>0</v>
      </c>
      <c r="R358" s="113">
        <f t="shared" ref="R358:R368" si="73">+E358+I358+M358+Q358</f>
        <v>0</v>
      </c>
      <c r="S358" s="4"/>
      <c r="V358" s="549" t="s">
        <v>941</v>
      </c>
      <c r="W358" s="550"/>
      <c r="X358" s="550"/>
      <c r="Y358" s="550"/>
      <c r="Z358" s="550"/>
      <c r="AA358" s="550"/>
      <c r="AB358" s="550"/>
      <c r="AC358" s="550"/>
      <c r="AD358" s="550"/>
      <c r="AE358" s="550"/>
      <c r="AF358" s="550"/>
      <c r="AG358" s="550"/>
      <c r="AH358" s="550"/>
      <c r="AI358" s="550"/>
      <c r="AJ358" s="550"/>
      <c r="AK358" s="550"/>
      <c r="AL358" s="550"/>
      <c r="AM358" s="551"/>
    </row>
    <row r="359" spans="1:39" ht="15.75" customHeight="1" x14ac:dyDescent="0.3">
      <c r="A359" s="72" t="s">
        <v>553</v>
      </c>
      <c r="B359" s="1">
        <v>50</v>
      </c>
      <c r="C359" s="1">
        <v>46</v>
      </c>
      <c r="D359" s="1">
        <v>1730</v>
      </c>
      <c r="E359" s="55">
        <f>SUM(B359:D359)</f>
        <v>1826</v>
      </c>
      <c r="F359" s="1">
        <v>1534</v>
      </c>
      <c r="G359" s="1">
        <v>1098</v>
      </c>
      <c r="H359" s="1">
        <v>3563</v>
      </c>
      <c r="I359" s="55">
        <f>SUM(F359:H359)</f>
        <v>6195</v>
      </c>
      <c r="J359" s="1">
        <v>2715</v>
      </c>
      <c r="K359" s="1">
        <v>2510</v>
      </c>
      <c r="L359" s="1">
        <v>579</v>
      </c>
      <c r="M359" s="55">
        <f>SUM(J359:L359)</f>
        <v>5804</v>
      </c>
      <c r="N359" s="1"/>
      <c r="O359" s="1"/>
      <c r="P359" s="1"/>
      <c r="Q359" s="55">
        <f>SUM(N359:P359)</f>
        <v>0</v>
      </c>
      <c r="R359" s="55">
        <f t="shared" si="73"/>
        <v>13825</v>
      </c>
      <c r="T359" s="4" t="s">
        <v>209</v>
      </c>
      <c r="V359" s="351" t="s">
        <v>729</v>
      </c>
      <c r="W359" s="28" t="s">
        <v>8</v>
      </c>
      <c r="X359" s="338" t="s">
        <v>9</v>
      </c>
      <c r="Y359" s="338" t="s">
        <v>10</v>
      </c>
      <c r="Z359" s="352" t="s">
        <v>11</v>
      </c>
      <c r="AA359" s="338" t="s">
        <v>12</v>
      </c>
      <c r="AB359" s="338" t="s">
        <v>13</v>
      </c>
      <c r="AC359" s="338" t="s">
        <v>14</v>
      </c>
      <c r="AD359" s="352" t="s">
        <v>15</v>
      </c>
      <c r="AE359" s="338" t="s">
        <v>16</v>
      </c>
      <c r="AF359" s="338" t="s">
        <v>17</v>
      </c>
      <c r="AG359" s="338" t="s">
        <v>18</v>
      </c>
      <c r="AH359" s="352" t="s">
        <v>19</v>
      </c>
      <c r="AI359" s="338" t="s">
        <v>20</v>
      </c>
      <c r="AJ359" s="338" t="s">
        <v>21</v>
      </c>
      <c r="AK359" s="338" t="s">
        <v>22</v>
      </c>
      <c r="AL359" s="352" t="s">
        <v>23</v>
      </c>
      <c r="AM359" s="353" t="s">
        <v>24</v>
      </c>
    </row>
    <row r="360" spans="1:39" ht="15.75" customHeight="1" x14ac:dyDescent="0.3">
      <c r="A360" s="72" t="s">
        <v>244</v>
      </c>
      <c r="B360" s="1"/>
      <c r="C360" s="1"/>
      <c r="D360" s="1"/>
      <c r="E360" s="55">
        <f>SUM(B360:D360)</f>
        <v>0</v>
      </c>
      <c r="F360" s="1"/>
      <c r="G360" s="1"/>
      <c r="H360" s="1"/>
      <c r="I360" s="55">
        <f>SUM(F360:H360)</f>
        <v>0</v>
      </c>
      <c r="J360" s="1"/>
      <c r="K360" s="1"/>
      <c r="L360" s="1"/>
      <c r="M360" s="55">
        <f>SUM(J360:L360)</f>
        <v>0</v>
      </c>
      <c r="N360" s="1"/>
      <c r="O360" s="1"/>
      <c r="P360" s="1"/>
      <c r="Q360" s="55">
        <f>SUM(N360:P360)</f>
        <v>0</v>
      </c>
      <c r="R360" s="55">
        <f t="shared" si="73"/>
        <v>0</v>
      </c>
      <c r="T360" s="4" t="s">
        <v>214</v>
      </c>
      <c r="V360" s="306" t="s">
        <v>942</v>
      </c>
      <c r="W360" s="354">
        <v>1500</v>
      </c>
      <c r="X360" s="354">
        <v>1500</v>
      </c>
      <c r="Y360" s="354">
        <v>6800</v>
      </c>
      <c r="Z360" s="4">
        <f>+SUM(W360:Y360)</f>
        <v>9800</v>
      </c>
      <c r="AA360" s="354">
        <f>8000+1500</f>
        <v>9500</v>
      </c>
      <c r="AB360" s="354">
        <f>10000+2000</f>
        <v>12000</v>
      </c>
      <c r="AC360" s="354">
        <f>12000+1500</f>
        <v>13500</v>
      </c>
      <c r="AD360" s="4">
        <f>+SUM(AA360:AC360)</f>
        <v>35000</v>
      </c>
      <c r="AE360" s="354">
        <v>25500</v>
      </c>
      <c r="AF360" s="354">
        <v>19000</v>
      </c>
      <c r="AG360" s="354">
        <v>4000</v>
      </c>
      <c r="AH360" s="4">
        <f>+SUM(AE360:AG360)</f>
        <v>48500</v>
      </c>
      <c r="AI360" s="354">
        <v>1500</v>
      </c>
      <c r="AJ360" s="354">
        <v>1000</v>
      </c>
      <c r="AK360" s="354">
        <v>1069</v>
      </c>
      <c r="AL360" s="4">
        <f>+SUM(AI360:AK360)</f>
        <v>3569</v>
      </c>
      <c r="AM360" s="307">
        <f>+Z360+AD360+AH360+AL360</f>
        <v>96869</v>
      </c>
    </row>
    <row r="361" spans="1:39" ht="15.75" customHeight="1" x14ac:dyDescent="0.3">
      <c r="A361" s="72" t="s">
        <v>245</v>
      </c>
      <c r="B361" s="1">
        <v>398</v>
      </c>
      <c r="C361" s="1">
        <v>1986</v>
      </c>
      <c r="D361" s="1">
        <v>5759</v>
      </c>
      <c r="E361" s="55">
        <f t="shared" ref="E361:E366" si="74">SUM(B361:D361)</f>
        <v>8143</v>
      </c>
      <c r="F361" s="1">
        <v>6811</v>
      </c>
      <c r="G361" s="1">
        <v>8736</v>
      </c>
      <c r="H361" s="1">
        <v>8912</v>
      </c>
      <c r="I361" s="55">
        <f t="shared" ref="I361:I366" si="75">SUM(F361:H361)</f>
        <v>24459</v>
      </c>
      <c r="J361" s="1"/>
      <c r="K361" s="1">
        <v>2949</v>
      </c>
      <c r="L361" s="1">
        <v>2000</v>
      </c>
      <c r="M361" s="55">
        <f t="shared" ref="M361:M366" si="76">SUM(J361:L361)</f>
        <v>4949</v>
      </c>
      <c r="N361" s="1"/>
      <c r="O361" s="1"/>
      <c r="P361" s="1"/>
      <c r="Q361" s="55">
        <f t="shared" ref="Q361:Q368" si="77">SUM(N361:P361)</f>
        <v>0</v>
      </c>
      <c r="R361" s="55">
        <f t="shared" si="73"/>
        <v>37551</v>
      </c>
      <c r="T361" s="4" t="s">
        <v>910</v>
      </c>
      <c r="V361" s="306" t="s">
        <v>209</v>
      </c>
      <c r="W361" s="4">
        <f>+$W$354*W360</f>
        <v>270</v>
      </c>
      <c r="X361" s="4">
        <f>+$W$354*X360</f>
        <v>270</v>
      </c>
      <c r="Y361" s="4">
        <f>+$W$354*Y360</f>
        <v>1224</v>
      </c>
      <c r="Z361" s="4">
        <f>+SUM(W361:Y361)</f>
        <v>1764</v>
      </c>
      <c r="AA361" s="4">
        <f>+$W$354*AA360</f>
        <v>1710</v>
      </c>
      <c r="AB361" s="4">
        <f>+$W$354*AB360</f>
        <v>2160</v>
      </c>
      <c r="AC361" s="4">
        <f>+$W$354*AC360</f>
        <v>2430</v>
      </c>
      <c r="AD361" s="4">
        <f>+SUM(AA361:AC361)</f>
        <v>6300</v>
      </c>
      <c r="AE361" s="4">
        <f>+$W$354*AE360</f>
        <v>4590</v>
      </c>
      <c r="AF361" s="4">
        <f>+$W$354*AF360</f>
        <v>3420</v>
      </c>
      <c r="AG361" s="4">
        <f>+$W$354*AG360</f>
        <v>720</v>
      </c>
      <c r="AH361" s="4">
        <f>+SUM(AE361:AG361)</f>
        <v>8730</v>
      </c>
      <c r="AI361" s="4">
        <f>+$W$354*AI360</f>
        <v>270</v>
      </c>
      <c r="AJ361" s="4">
        <f>+$W$354*AJ360</f>
        <v>180</v>
      </c>
      <c r="AK361" s="4">
        <f>+$W$354*AK360</f>
        <v>192.42</v>
      </c>
      <c r="AL361" s="4">
        <f>+SUM(AI361:AK361)</f>
        <v>642.41999999999996</v>
      </c>
      <c r="AM361" s="307">
        <f>+Z361+AD361+AH361+AL361</f>
        <v>17436.419999999998</v>
      </c>
    </row>
    <row r="362" spans="1:39" ht="15.75" customHeight="1" x14ac:dyDescent="0.3">
      <c r="A362" s="72" t="s">
        <v>727</v>
      </c>
      <c r="B362" s="1">
        <v>131</v>
      </c>
      <c r="C362" s="1">
        <v>7941</v>
      </c>
      <c r="D362" s="1">
        <v>7347</v>
      </c>
      <c r="E362" s="55">
        <f t="shared" si="74"/>
        <v>15419</v>
      </c>
      <c r="F362" s="1">
        <v>8951</v>
      </c>
      <c r="G362" s="1">
        <v>18383</v>
      </c>
      <c r="H362" s="1">
        <v>20410</v>
      </c>
      <c r="I362" s="55">
        <f t="shared" si="75"/>
        <v>47744</v>
      </c>
      <c r="J362" s="1">
        <v>10201</v>
      </c>
      <c r="K362" s="1">
        <v>8306</v>
      </c>
      <c r="L362" s="1">
        <v>6170</v>
      </c>
      <c r="M362" s="55">
        <f t="shared" si="76"/>
        <v>24677</v>
      </c>
      <c r="N362" s="1">
        <v>8043</v>
      </c>
      <c r="O362" s="1">
        <v>1594</v>
      </c>
      <c r="P362" s="1">
        <v>3472</v>
      </c>
      <c r="Q362" s="55">
        <f t="shared" si="77"/>
        <v>13109</v>
      </c>
      <c r="R362" s="55">
        <f t="shared" si="73"/>
        <v>100949</v>
      </c>
      <c r="T362" s="4" t="s">
        <v>209</v>
      </c>
      <c r="V362" s="306" t="s">
        <v>938</v>
      </c>
      <c r="W362" s="4">
        <f>+$W$355*W360</f>
        <v>780</v>
      </c>
      <c r="X362" s="4">
        <f>+$W$355*X360</f>
        <v>780</v>
      </c>
      <c r="Y362" s="4">
        <f>+$W$355*Y360</f>
        <v>3536</v>
      </c>
      <c r="Z362" s="4">
        <f>+SUM(W362:Y362)</f>
        <v>5096</v>
      </c>
      <c r="AA362" s="4">
        <f>+$W$355*AA360</f>
        <v>4940</v>
      </c>
      <c r="AB362" s="4">
        <f>+$W$355*AB360</f>
        <v>6240</v>
      </c>
      <c r="AC362" s="4">
        <f>+$W$355*AC360</f>
        <v>7020</v>
      </c>
      <c r="AD362" s="4">
        <f>+SUM(AA362:AC362)</f>
        <v>18200</v>
      </c>
      <c r="AE362" s="4">
        <f>+$W$355*AE360</f>
        <v>13260</v>
      </c>
      <c r="AF362" s="4">
        <f>+$W$355*AF360</f>
        <v>9880</v>
      </c>
      <c r="AG362" s="4">
        <f>+$W$355*AG360</f>
        <v>2080</v>
      </c>
      <c r="AH362" s="4">
        <f>+SUM(AE362:AG362)</f>
        <v>25220</v>
      </c>
      <c r="AI362" s="4">
        <f>+$W$355*AI360</f>
        <v>780</v>
      </c>
      <c r="AJ362" s="4">
        <f>+$W$355*AJ360</f>
        <v>520</v>
      </c>
      <c r="AK362" s="4">
        <f>+$W$355*AK360</f>
        <v>555.88</v>
      </c>
      <c r="AL362" s="4">
        <f>+SUM(AI362:AK362)</f>
        <v>1855.88</v>
      </c>
      <c r="AM362" s="307">
        <f>+Z362+AD362+AH362+AL362</f>
        <v>50371.88</v>
      </c>
    </row>
    <row r="363" spans="1:39" ht="15.75" customHeight="1" x14ac:dyDescent="0.3">
      <c r="A363" s="72" t="s">
        <v>943</v>
      </c>
      <c r="B363" s="1"/>
      <c r="C363" s="1"/>
      <c r="D363" s="1"/>
      <c r="E363" s="55">
        <f t="shared" si="74"/>
        <v>0</v>
      </c>
      <c r="F363" s="1"/>
      <c r="G363" s="1"/>
      <c r="H363" s="1"/>
      <c r="I363" s="55">
        <f t="shared" si="75"/>
        <v>0</v>
      </c>
      <c r="J363" s="1"/>
      <c r="K363" s="1"/>
      <c r="L363" s="1"/>
      <c r="M363" s="55">
        <f t="shared" si="76"/>
        <v>0</v>
      </c>
      <c r="N363" s="1"/>
      <c r="O363" s="1"/>
      <c r="P363" s="1"/>
      <c r="Q363" s="55">
        <f t="shared" si="77"/>
        <v>0</v>
      </c>
      <c r="R363" s="55">
        <f t="shared" si="73"/>
        <v>0</v>
      </c>
      <c r="T363" s="4" t="s">
        <v>944</v>
      </c>
      <c r="V363" s="306" t="s">
        <v>939</v>
      </c>
      <c r="W363" s="4">
        <f>+$W$356*W360</f>
        <v>450</v>
      </c>
      <c r="X363" s="4">
        <f>+$W$356*X360</f>
        <v>450</v>
      </c>
      <c r="Y363" s="4">
        <f>+$W$356*Y360</f>
        <v>2040</v>
      </c>
      <c r="Z363" s="4">
        <f>+SUM(W363:Y363)</f>
        <v>2940</v>
      </c>
      <c r="AA363" s="4">
        <f>+$W$356*AA360</f>
        <v>2850</v>
      </c>
      <c r="AB363" s="4">
        <f>+$W$356*AB360</f>
        <v>3600</v>
      </c>
      <c r="AC363" s="4">
        <f>+$W$356*AC360</f>
        <v>4050</v>
      </c>
      <c r="AD363" s="4">
        <f>+SUM(AA363:AC363)</f>
        <v>10500</v>
      </c>
      <c r="AE363" s="4">
        <f>+$W$356*AE360</f>
        <v>7650</v>
      </c>
      <c r="AF363" s="4">
        <f>+$W$356*AF360</f>
        <v>5700</v>
      </c>
      <c r="AG363" s="4">
        <f>+$W$356*AG360</f>
        <v>1200</v>
      </c>
      <c r="AH363" s="4">
        <f>+SUM(AE363:AG363)</f>
        <v>14550</v>
      </c>
      <c r="AI363" s="4">
        <f>+$W$356*AI360</f>
        <v>450</v>
      </c>
      <c r="AJ363" s="4">
        <f>+$W$356*AJ360</f>
        <v>300</v>
      </c>
      <c r="AK363" s="4">
        <f>+$W$356*AK360</f>
        <v>320.7</v>
      </c>
      <c r="AL363" s="4">
        <f>+$W$356*AL360</f>
        <v>1070.7</v>
      </c>
      <c r="AM363" s="307">
        <f>+Z363+AD363+AH363+AL363</f>
        <v>29060.7</v>
      </c>
    </row>
    <row r="364" spans="1:39" ht="15.75" customHeight="1" thickBot="1" x14ac:dyDescent="0.35">
      <c r="A364" s="72" t="s">
        <v>945</v>
      </c>
      <c r="B364" s="1">
        <v>372</v>
      </c>
      <c r="C364" s="1">
        <v>2044</v>
      </c>
      <c r="D364" s="1">
        <v>2126</v>
      </c>
      <c r="E364" s="55">
        <f t="shared" si="74"/>
        <v>4542</v>
      </c>
      <c r="F364" s="1"/>
      <c r="G364" s="1"/>
      <c r="H364" s="1"/>
      <c r="I364" s="55">
        <f t="shared" si="75"/>
        <v>0</v>
      </c>
      <c r="J364" s="1"/>
      <c r="K364" s="1"/>
      <c r="L364" s="1"/>
      <c r="M364" s="55">
        <f t="shared" si="76"/>
        <v>0</v>
      </c>
      <c r="N364" s="1"/>
      <c r="O364" s="1"/>
      <c r="P364" s="1">
        <v>56</v>
      </c>
      <c r="Q364" s="55">
        <f t="shared" si="77"/>
        <v>56</v>
      </c>
      <c r="R364" s="55">
        <f t="shared" si="73"/>
        <v>4598</v>
      </c>
      <c r="T364" s="4" t="s">
        <v>214</v>
      </c>
      <c r="V364" s="311"/>
      <c r="W364" s="312"/>
      <c r="X364" s="312"/>
      <c r="Y364" s="312"/>
      <c r="Z364" s="312"/>
      <c r="AA364" s="312"/>
      <c r="AB364" s="312"/>
      <c r="AC364" s="312"/>
      <c r="AD364" s="312"/>
      <c r="AE364" s="312"/>
      <c r="AF364" s="312"/>
      <c r="AG364" s="312"/>
      <c r="AH364" s="312"/>
      <c r="AI364" s="312"/>
      <c r="AJ364" s="312"/>
      <c r="AK364" s="312"/>
      <c r="AL364" s="312"/>
      <c r="AM364" s="313"/>
    </row>
    <row r="365" spans="1:39" ht="15.75" customHeight="1" x14ac:dyDescent="0.3">
      <c r="A365" s="72" t="s">
        <v>946</v>
      </c>
      <c r="B365" s="1"/>
      <c r="C365" s="1"/>
      <c r="D365" s="1"/>
      <c r="E365" s="55">
        <f t="shared" si="74"/>
        <v>0</v>
      </c>
      <c r="F365" s="1"/>
      <c r="G365" s="1"/>
      <c r="H365" s="1"/>
      <c r="I365" s="55">
        <f t="shared" si="75"/>
        <v>0</v>
      </c>
      <c r="J365" s="1"/>
      <c r="K365" s="1"/>
      <c r="L365" s="1"/>
      <c r="M365" s="55">
        <f t="shared" si="76"/>
        <v>0</v>
      </c>
      <c r="N365" s="1"/>
      <c r="O365" s="1"/>
      <c r="P365" s="1"/>
      <c r="Q365" s="55">
        <f t="shared" si="77"/>
        <v>0</v>
      </c>
      <c r="R365" s="55">
        <f t="shared" si="73"/>
        <v>0</v>
      </c>
      <c r="T365" s="4" t="s">
        <v>224</v>
      </c>
    </row>
    <row r="366" spans="1:39" ht="15.75" customHeight="1" x14ac:dyDescent="0.3">
      <c r="A366" s="72" t="s">
        <v>252</v>
      </c>
      <c r="B366" s="1"/>
      <c r="C366" s="1"/>
      <c r="D366" s="1"/>
      <c r="E366" s="55">
        <f t="shared" si="74"/>
        <v>0</v>
      </c>
      <c r="F366" s="1"/>
      <c r="G366" s="1"/>
      <c r="H366" s="1">
        <v>142</v>
      </c>
      <c r="I366" s="55">
        <f t="shared" si="75"/>
        <v>142</v>
      </c>
      <c r="J366" s="1">
        <v>1872</v>
      </c>
      <c r="K366" s="1">
        <v>2328</v>
      </c>
      <c r="L366" s="1">
        <v>1752</v>
      </c>
      <c r="M366" s="55">
        <f t="shared" si="76"/>
        <v>5952</v>
      </c>
      <c r="N366" s="1">
        <v>51</v>
      </c>
      <c r="O366" s="1">
        <v>177</v>
      </c>
      <c r="P366" s="1">
        <v>713</v>
      </c>
      <c r="Q366" s="55">
        <f t="shared" si="77"/>
        <v>941</v>
      </c>
      <c r="R366" s="55">
        <f t="shared" si="73"/>
        <v>7035</v>
      </c>
    </row>
    <row r="367" spans="1:39" ht="15.75" customHeight="1" x14ac:dyDescent="0.3">
      <c r="A367" s="15" t="s">
        <v>58</v>
      </c>
      <c r="B367" s="1"/>
      <c r="C367" s="1"/>
      <c r="D367" s="1"/>
      <c r="E367" s="55" t="s">
        <v>7</v>
      </c>
      <c r="F367" s="1"/>
      <c r="G367" s="1"/>
      <c r="H367" s="1"/>
      <c r="I367" s="55" t="s">
        <v>7</v>
      </c>
      <c r="J367" s="1"/>
      <c r="K367" s="1"/>
      <c r="L367" s="1"/>
      <c r="M367" s="55" t="s">
        <v>7</v>
      </c>
      <c r="N367" s="1"/>
      <c r="O367" s="1"/>
      <c r="P367" s="1"/>
      <c r="Q367" s="55" t="s">
        <v>7</v>
      </c>
      <c r="R367" s="55" t="s">
        <v>7</v>
      </c>
    </row>
    <row r="368" spans="1:39" ht="15.75" customHeight="1" thickBot="1" x14ac:dyDescent="0.35">
      <c r="A368" s="72" t="s">
        <v>946</v>
      </c>
      <c r="B368" s="1"/>
      <c r="C368" s="1"/>
      <c r="D368" s="1"/>
      <c r="E368" s="55"/>
      <c r="F368" s="1"/>
      <c r="G368" s="1"/>
      <c r="H368" s="1"/>
      <c r="I368" s="55"/>
      <c r="J368" s="1"/>
      <c r="K368" s="1"/>
      <c r="L368" s="1"/>
      <c r="M368" s="55"/>
      <c r="N368" s="1"/>
      <c r="O368" s="1"/>
      <c r="P368" s="1">
        <v>41</v>
      </c>
      <c r="Q368" s="55">
        <f t="shared" si="77"/>
        <v>41</v>
      </c>
      <c r="R368" s="55">
        <f t="shared" si="73"/>
        <v>41</v>
      </c>
    </row>
    <row r="369" spans="1:20" ht="16.5" customHeight="1" thickBot="1" x14ac:dyDescent="0.35">
      <c r="A369" s="57" t="s">
        <v>59</v>
      </c>
      <c r="B369" s="86">
        <f>SUM(B355:B368)</f>
        <v>951</v>
      </c>
      <c r="C369" s="87">
        <f t="shared" ref="C369:D369" si="78">SUM(C355:C368)</f>
        <v>12017</v>
      </c>
      <c r="D369" s="87">
        <f t="shared" si="78"/>
        <v>16962</v>
      </c>
      <c r="E369" s="59">
        <f>SUM(B369:D369)</f>
        <v>29930</v>
      </c>
      <c r="F369" s="87">
        <f t="shared" ref="F369:H369" si="79">SUM(F355:F368)</f>
        <v>17296</v>
      </c>
      <c r="G369" s="87">
        <f t="shared" si="79"/>
        <v>28217</v>
      </c>
      <c r="H369" s="87">
        <f t="shared" si="79"/>
        <v>33027</v>
      </c>
      <c r="I369" s="59">
        <f>SUM(F369:H369)</f>
        <v>78540</v>
      </c>
      <c r="J369" s="87">
        <f t="shared" ref="J369:L369" si="80">SUM(J355:J368)</f>
        <v>14788</v>
      </c>
      <c r="K369" s="87">
        <f t="shared" si="80"/>
        <v>16093</v>
      </c>
      <c r="L369" s="87">
        <f t="shared" si="80"/>
        <v>10501</v>
      </c>
      <c r="M369" s="59">
        <f>SUM(J369:L369)</f>
        <v>41382</v>
      </c>
      <c r="N369" s="87">
        <f t="shared" ref="N369:P369" si="81">SUM(N355:N368)</f>
        <v>8094</v>
      </c>
      <c r="O369" s="87">
        <f t="shared" si="81"/>
        <v>1771</v>
      </c>
      <c r="P369" s="87">
        <f t="shared" si="81"/>
        <v>4282</v>
      </c>
      <c r="Q369" s="59">
        <f>SUM(N369:P369)</f>
        <v>14147</v>
      </c>
      <c r="R369" s="59">
        <f>+E369+I369+M369+Q369</f>
        <v>163999</v>
      </c>
    </row>
    <row r="370" spans="1:20" ht="15.75" customHeight="1" x14ac:dyDescent="0.3">
      <c r="A370" s="15" t="s">
        <v>60</v>
      </c>
      <c r="B370" s="1"/>
      <c r="C370" s="1"/>
      <c r="D370" s="1"/>
      <c r="E370" s="55" t="s">
        <v>7</v>
      </c>
      <c r="F370" s="1"/>
      <c r="G370" s="1"/>
      <c r="H370" s="1"/>
      <c r="I370" s="55" t="s">
        <v>7</v>
      </c>
      <c r="J370" s="1"/>
      <c r="K370" s="1"/>
      <c r="L370" s="1"/>
      <c r="M370" s="55" t="s">
        <v>7</v>
      </c>
      <c r="N370" s="1"/>
      <c r="O370" s="1"/>
      <c r="P370" s="1"/>
      <c r="Q370" s="55" t="s">
        <v>7</v>
      </c>
      <c r="R370" s="55" t="s">
        <v>7</v>
      </c>
    </row>
    <row r="371" spans="1:20" ht="15.75" customHeight="1" x14ac:dyDescent="0.3">
      <c r="A371" s="15" t="s">
        <v>61</v>
      </c>
      <c r="B371" s="1"/>
      <c r="C371" s="1"/>
      <c r="D371" s="1"/>
      <c r="E371" s="55" t="s">
        <v>7</v>
      </c>
      <c r="F371" s="1"/>
      <c r="G371" s="1"/>
      <c r="H371" s="1"/>
      <c r="I371" s="55" t="s">
        <v>7</v>
      </c>
      <c r="J371" s="1"/>
      <c r="K371" s="1"/>
      <c r="L371" s="1"/>
      <c r="M371" s="55" t="s">
        <v>7</v>
      </c>
      <c r="N371" s="1"/>
      <c r="O371" s="1"/>
      <c r="P371" s="1"/>
      <c r="Q371" s="55" t="s">
        <v>7</v>
      </c>
      <c r="R371" s="55" t="s">
        <v>7</v>
      </c>
    </row>
    <row r="372" spans="1:20" ht="15.75" customHeight="1" x14ac:dyDescent="0.3">
      <c r="A372" s="72" t="s">
        <v>254</v>
      </c>
      <c r="B372" s="1">
        <v>1381</v>
      </c>
      <c r="C372" s="1">
        <v>5497</v>
      </c>
      <c r="D372" s="1">
        <v>7533</v>
      </c>
      <c r="E372" s="55">
        <f>SUM(B372:D372)</f>
        <v>14411</v>
      </c>
      <c r="F372" s="1">
        <v>9399</v>
      </c>
      <c r="G372" s="1">
        <v>12770</v>
      </c>
      <c r="H372" s="1">
        <v>12598</v>
      </c>
      <c r="I372" s="55">
        <f>SUM(F372:H372)</f>
        <v>34767</v>
      </c>
      <c r="J372" s="1">
        <v>10262</v>
      </c>
      <c r="K372" s="1">
        <v>6731</v>
      </c>
      <c r="L372" s="1">
        <v>3206</v>
      </c>
      <c r="M372" s="55">
        <f>SUM(J372:L372)</f>
        <v>20199</v>
      </c>
      <c r="N372" s="1">
        <v>2522</v>
      </c>
      <c r="O372" s="1">
        <v>737</v>
      </c>
      <c r="P372" s="1">
        <v>1272</v>
      </c>
      <c r="Q372" s="55">
        <f>SUM(N372:P372)</f>
        <v>4531</v>
      </c>
      <c r="R372" s="55">
        <f>+E372+I372+M372+Q372</f>
        <v>73908</v>
      </c>
      <c r="T372" s="4" t="s">
        <v>209</v>
      </c>
    </row>
    <row r="373" spans="1:20" ht="15.75" customHeight="1" x14ac:dyDescent="0.3">
      <c r="A373" s="72" t="s">
        <v>947</v>
      </c>
      <c r="B373" s="1">
        <f>80+1932</f>
        <v>2012</v>
      </c>
      <c r="C373" s="1">
        <f>548+1477</f>
        <v>2025</v>
      </c>
      <c r="D373" s="1">
        <f>437+192</f>
        <v>629</v>
      </c>
      <c r="E373" s="55">
        <f>SUM(B373:D373)</f>
        <v>4666</v>
      </c>
      <c r="F373" s="1">
        <v>597</v>
      </c>
      <c r="G373" s="1">
        <f>603+118</f>
        <v>721</v>
      </c>
      <c r="H373" s="1">
        <f>9151</f>
        <v>9151</v>
      </c>
      <c r="I373" s="55">
        <f>SUM(F373:H373)</f>
        <v>10469</v>
      </c>
      <c r="J373" s="1">
        <v>14635</v>
      </c>
      <c r="K373" s="1">
        <v>10711</v>
      </c>
      <c r="L373" s="1">
        <v>7874</v>
      </c>
      <c r="M373" s="55">
        <f>SUM(J373:L373)</f>
        <v>33220</v>
      </c>
      <c r="N373" s="1">
        <f>630+5461</f>
        <v>6091</v>
      </c>
      <c r="O373" s="1"/>
      <c r="P373" s="1">
        <v>3647</v>
      </c>
      <c r="Q373" s="55">
        <f>SUM(N373:P373)</f>
        <v>9738</v>
      </c>
      <c r="R373" s="55">
        <f>+E373+I373+M373+Q373</f>
        <v>58093</v>
      </c>
      <c r="T373" s="4" t="s">
        <v>256</v>
      </c>
    </row>
    <row r="374" spans="1:20" ht="15.75" customHeight="1" x14ac:dyDescent="0.3">
      <c r="A374" s="15" t="s">
        <v>62</v>
      </c>
      <c r="B374" s="1"/>
      <c r="C374" s="1"/>
      <c r="D374" s="1"/>
      <c r="E374" s="55" t="s">
        <v>7</v>
      </c>
      <c r="F374" s="1"/>
      <c r="G374" s="1"/>
      <c r="H374" s="1"/>
      <c r="I374" s="55" t="s">
        <v>7</v>
      </c>
      <c r="J374" s="1"/>
      <c r="K374" s="1"/>
      <c r="L374" s="1"/>
      <c r="M374" s="55" t="s">
        <v>7</v>
      </c>
      <c r="N374" s="1"/>
      <c r="O374" s="1"/>
      <c r="P374" s="1"/>
      <c r="Q374" s="55" t="s">
        <v>7</v>
      </c>
      <c r="R374" s="55" t="s">
        <v>7</v>
      </c>
    </row>
    <row r="375" spans="1:20" ht="15.75" customHeight="1" x14ac:dyDescent="0.3">
      <c r="A375" s="72" t="s">
        <v>948</v>
      </c>
      <c r="B375" s="1">
        <v>972</v>
      </c>
      <c r="C375" s="1"/>
      <c r="D375" s="1"/>
      <c r="E375" s="55">
        <f t="shared" ref="E375:E411" si="82">SUM(B375:D375)</f>
        <v>972</v>
      </c>
      <c r="F375" s="1"/>
      <c r="G375" s="1"/>
      <c r="H375" s="1"/>
      <c r="I375" s="55">
        <f t="shared" ref="I375:I411" si="83">SUM(F375:H375)</f>
        <v>0</v>
      </c>
      <c r="J375" s="1"/>
      <c r="K375" s="1"/>
      <c r="L375" s="1"/>
      <c r="M375" s="55">
        <f t="shared" ref="M375:M411" si="84">SUM(J375:L375)</f>
        <v>0</v>
      </c>
      <c r="N375" s="1"/>
      <c r="O375" s="1"/>
      <c r="P375" s="1"/>
      <c r="Q375" s="55">
        <f t="shared" ref="Q375:Q411" si="85">SUM(N375:P375)</f>
        <v>0</v>
      </c>
      <c r="R375" s="55">
        <f>+E375+I375+M375+Q375</f>
        <v>972</v>
      </c>
      <c r="T375" s="4" t="s">
        <v>241</v>
      </c>
    </row>
    <row r="376" spans="1:20" ht="15.75" customHeight="1" x14ac:dyDescent="0.3">
      <c r="A376" s="72" t="s">
        <v>949</v>
      </c>
      <c r="B376" s="1">
        <v>466</v>
      </c>
      <c r="C376" s="1">
        <v>985</v>
      </c>
      <c r="D376" s="1">
        <v>86</v>
      </c>
      <c r="E376" s="55">
        <f t="shared" si="82"/>
        <v>1537</v>
      </c>
      <c r="F376" s="1"/>
      <c r="G376" s="1"/>
      <c r="H376" s="1"/>
      <c r="I376" s="55">
        <f t="shared" si="83"/>
        <v>0</v>
      </c>
      <c r="J376" s="1"/>
      <c r="K376" s="1"/>
      <c r="L376" s="1"/>
      <c r="M376" s="55">
        <f t="shared" si="84"/>
        <v>0</v>
      </c>
      <c r="N376" s="1"/>
      <c r="O376" s="1"/>
      <c r="P376" s="1"/>
      <c r="Q376" s="55">
        <f t="shared" si="85"/>
        <v>0</v>
      </c>
      <c r="R376" s="55">
        <f>+E376+I376+M376+Q376</f>
        <v>1537</v>
      </c>
      <c r="T376" s="4" t="s">
        <v>919</v>
      </c>
    </row>
    <row r="377" spans="1:20" ht="15.75" customHeight="1" x14ac:dyDescent="0.3">
      <c r="A377" s="72" t="s">
        <v>950</v>
      </c>
      <c r="B377" s="1"/>
      <c r="C377" s="1"/>
      <c r="D377" s="1"/>
      <c r="E377" s="55">
        <f t="shared" si="82"/>
        <v>0</v>
      </c>
      <c r="F377" s="1"/>
      <c r="G377" s="1"/>
      <c r="H377" s="1"/>
      <c r="I377" s="55">
        <f t="shared" si="83"/>
        <v>0</v>
      </c>
      <c r="J377" s="1"/>
      <c r="K377" s="1"/>
      <c r="L377" s="1"/>
      <c r="M377" s="55">
        <f t="shared" si="84"/>
        <v>0</v>
      </c>
      <c r="N377" s="1"/>
      <c r="O377" s="1"/>
      <c r="P377" s="1"/>
      <c r="Q377" s="55">
        <f t="shared" si="85"/>
        <v>0</v>
      </c>
      <c r="R377" s="55">
        <f>+E377+I377+M377+Q377</f>
        <v>0</v>
      </c>
      <c r="T377" s="4" t="s">
        <v>241</v>
      </c>
    </row>
    <row r="378" spans="1:20" ht="15.75" customHeight="1" x14ac:dyDescent="0.3">
      <c r="A378" s="72" t="s">
        <v>149</v>
      </c>
      <c r="B378" s="1"/>
      <c r="C378" s="1"/>
      <c r="D378" s="1"/>
      <c r="E378" s="55">
        <f t="shared" si="82"/>
        <v>0</v>
      </c>
      <c r="F378" s="1">
        <v>627</v>
      </c>
      <c r="G378" s="1"/>
      <c r="H378" s="1"/>
      <c r="I378" s="55">
        <f t="shared" si="83"/>
        <v>627</v>
      </c>
      <c r="J378" s="1"/>
      <c r="K378" s="1"/>
      <c r="L378" s="1"/>
      <c r="M378" s="55">
        <f t="shared" si="84"/>
        <v>0</v>
      </c>
      <c r="N378" s="1"/>
      <c r="O378" s="1"/>
      <c r="P378" s="1"/>
      <c r="Q378" s="55">
        <f t="shared" si="85"/>
        <v>0</v>
      </c>
      <c r="R378" s="55">
        <f t="shared" ref="R378:R410" si="86">+E378+I378+M378+Q378</f>
        <v>627</v>
      </c>
    </row>
    <row r="379" spans="1:20" ht="15.75" customHeight="1" x14ac:dyDescent="0.3">
      <c r="A379" s="72" t="s">
        <v>951</v>
      </c>
      <c r="B379" s="1"/>
      <c r="C379" s="1"/>
      <c r="D379" s="1">
        <v>2230</v>
      </c>
      <c r="E379" s="55">
        <f t="shared" si="82"/>
        <v>2230</v>
      </c>
      <c r="F379" s="1">
        <v>4272</v>
      </c>
      <c r="G379" s="1">
        <v>6818</v>
      </c>
      <c r="H379" s="1">
        <v>6143</v>
      </c>
      <c r="I379" s="55">
        <f t="shared" si="83"/>
        <v>17233</v>
      </c>
      <c r="J379" s="1">
        <v>2002</v>
      </c>
      <c r="K379" s="1">
        <v>2926</v>
      </c>
      <c r="L379" s="1">
        <v>4109</v>
      </c>
      <c r="M379" s="55">
        <f t="shared" si="84"/>
        <v>9037</v>
      </c>
      <c r="N379" s="1"/>
      <c r="O379" s="1">
        <v>1905</v>
      </c>
      <c r="P379" s="1">
        <v>1095</v>
      </c>
      <c r="Q379" s="55">
        <f t="shared" si="85"/>
        <v>3000</v>
      </c>
      <c r="R379" s="55">
        <f>+E379+I379+M379+Q379</f>
        <v>31500</v>
      </c>
      <c r="T379" s="4" t="s">
        <v>224</v>
      </c>
    </row>
    <row r="380" spans="1:20" ht="15.75" customHeight="1" x14ac:dyDescent="0.3">
      <c r="A380" s="72" t="s">
        <v>952</v>
      </c>
      <c r="B380" s="1"/>
      <c r="C380" s="1"/>
      <c r="D380" s="1"/>
      <c r="E380" s="55">
        <f t="shared" si="82"/>
        <v>0</v>
      </c>
      <c r="F380" s="1"/>
      <c r="G380" s="1"/>
      <c r="H380" s="1"/>
      <c r="I380" s="55">
        <f t="shared" si="83"/>
        <v>0</v>
      </c>
      <c r="J380" s="1"/>
      <c r="K380" s="1"/>
      <c r="L380" s="1"/>
      <c r="M380" s="55">
        <f t="shared" si="84"/>
        <v>0</v>
      </c>
      <c r="N380" s="1"/>
      <c r="O380" s="1">
        <v>46</v>
      </c>
      <c r="P380" s="1">
        <v>822</v>
      </c>
      <c r="Q380" s="55">
        <f t="shared" si="85"/>
        <v>868</v>
      </c>
      <c r="R380" s="55">
        <f t="shared" si="86"/>
        <v>868</v>
      </c>
      <c r="T380" s="4" t="s">
        <v>209</v>
      </c>
    </row>
    <row r="381" spans="1:20" ht="15.75" customHeight="1" x14ac:dyDescent="0.3">
      <c r="A381" s="72" t="s">
        <v>953</v>
      </c>
      <c r="B381" s="1">
        <v>473</v>
      </c>
      <c r="C381" s="1">
        <v>3000</v>
      </c>
      <c r="D381" s="1">
        <v>4500</v>
      </c>
      <c r="E381" s="55">
        <f t="shared" si="82"/>
        <v>7973</v>
      </c>
      <c r="F381" s="1">
        <v>1166</v>
      </c>
      <c r="G381" s="1">
        <v>3820</v>
      </c>
      <c r="H381" s="1">
        <v>3046</v>
      </c>
      <c r="I381" s="55">
        <f t="shared" si="83"/>
        <v>8032</v>
      </c>
      <c r="J381" s="1">
        <v>6382</v>
      </c>
      <c r="K381" s="1">
        <v>2500</v>
      </c>
      <c r="L381" s="1">
        <v>3577</v>
      </c>
      <c r="M381" s="55">
        <f t="shared" si="84"/>
        <v>12459</v>
      </c>
      <c r="N381" s="1">
        <v>4000</v>
      </c>
      <c r="O381" s="1"/>
      <c r="P381" s="1">
        <v>2406</v>
      </c>
      <c r="Q381" s="55">
        <f t="shared" si="85"/>
        <v>6406</v>
      </c>
      <c r="R381" s="55">
        <f t="shared" si="86"/>
        <v>34870</v>
      </c>
    </row>
    <row r="382" spans="1:20" ht="15.75" customHeight="1" x14ac:dyDescent="0.3">
      <c r="A382" s="72" t="s">
        <v>641</v>
      </c>
      <c r="B382" s="1">
        <v>100</v>
      </c>
      <c r="C382" s="1">
        <v>1760</v>
      </c>
      <c r="D382" s="1">
        <v>3470</v>
      </c>
      <c r="E382" s="55">
        <f t="shared" si="82"/>
        <v>5330</v>
      </c>
      <c r="F382" s="1">
        <v>4910</v>
      </c>
      <c r="G382" s="1">
        <v>6100</v>
      </c>
      <c r="H382" s="1">
        <v>7790</v>
      </c>
      <c r="I382" s="55">
        <f t="shared" si="83"/>
        <v>18800</v>
      </c>
      <c r="J382" s="1">
        <v>2650</v>
      </c>
      <c r="K382" s="1">
        <v>1220</v>
      </c>
      <c r="L382" s="1">
        <v>2500</v>
      </c>
      <c r="M382" s="55">
        <f t="shared" si="84"/>
        <v>6370</v>
      </c>
      <c r="N382" s="1">
        <v>2500</v>
      </c>
      <c r="O382" s="1">
        <v>1500</v>
      </c>
      <c r="P382" s="1">
        <v>500</v>
      </c>
      <c r="Q382" s="55">
        <f t="shared" si="85"/>
        <v>4500</v>
      </c>
      <c r="R382" s="55">
        <f t="shared" si="86"/>
        <v>35000</v>
      </c>
      <c r="T382" s="4" t="s">
        <v>209</v>
      </c>
    </row>
    <row r="383" spans="1:20" ht="15.75" customHeight="1" x14ac:dyDescent="0.3">
      <c r="A383" s="72" t="s">
        <v>640</v>
      </c>
      <c r="B383" s="1"/>
      <c r="C383" s="1"/>
      <c r="D383" s="1"/>
      <c r="E383" s="55">
        <f t="shared" si="82"/>
        <v>0</v>
      </c>
      <c r="F383" s="1"/>
      <c r="G383" s="1"/>
      <c r="H383" s="1"/>
      <c r="I383" s="55">
        <f t="shared" si="83"/>
        <v>0</v>
      </c>
      <c r="J383" s="1">
        <v>5726</v>
      </c>
      <c r="K383" s="1">
        <v>4540</v>
      </c>
      <c r="L383" s="1">
        <v>2258</v>
      </c>
      <c r="M383" s="55">
        <f t="shared" si="84"/>
        <v>12524</v>
      </c>
      <c r="N383" s="1">
        <v>2521</v>
      </c>
      <c r="O383" s="1">
        <v>146</v>
      </c>
      <c r="P383" s="1">
        <v>2760</v>
      </c>
      <c r="Q383" s="55">
        <f t="shared" si="85"/>
        <v>5427</v>
      </c>
      <c r="R383" s="55">
        <f t="shared" si="86"/>
        <v>17951</v>
      </c>
    </row>
    <row r="384" spans="1:20" ht="15.75" customHeight="1" x14ac:dyDescent="0.3">
      <c r="A384" s="72" t="s">
        <v>954</v>
      </c>
      <c r="B384" s="1">
        <v>798</v>
      </c>
      <c r="C384" s="1">
        <v>3052</v>
      </c>
      <c r="D384" s="1">
        <v>2650</v>
      </c>
      <c r="E384" s="55">
        <f t="shared" si="82"/>
        <v>6500</v>
      </c>
      <c r="F384" s="1"/>
      <c r="G384" s="1"/>
      <c r="H384" s="1"/>
      <c r="I384" s="55">
        <f t="shared" si="83"/>
        <v>0</v>
      </c>
      <c r="J384" s="1"/>
      <c r="K384" s="1"/>
      <c r="L384" s="1"/>
      <c r="M384" s="55">
        <f t="shared" si="84"/>
        <v>0</v>
      </c>
      <c r="N384" s="1"/>
      <c r="O384" s="1"/>
      <c r="P384" s="1"/>
      <c r="Q384" s="55">
        <f t="shared" si="85"/>
        <v>0</v>
      </c>
      <c r="R384" s="55">
        <f t="shared" si="86"/>
        <v>6500</v>
      </c>
    </row>
    <row r="385" spans="1:20" ht="15.75" customHeight="1" x14ac:dyDescent="0.3">
      <c r="A385" s="72" t="s">
        <v>955</v>
      </c>
      <c r="B385" s="1">
        <v>100</v>
      </c>
      <c r="C385" s="1">
        <v>102</v>
      </c>
      <c r="D385" s="1">
        <v>120</v>
      </c>
      <c r="E385" s="55">
        <f t="shared" si="82"/>
        <v>322</v>
      </c>
      <c r="F385" s="1">
        <v>103</v>
      </c>
      <c r="G385" s="1">
        <v>110</v>
      </c>
      <c r="H385" s="1">
        <v>127</v>
      </c>
      <c r="I385" s="55">
        <f t="shared" si="83"/>
        <v>340</v>
      </c>
      <c r="J385" s="1">
        <v>124</v>
      </c>
      <c r="K385" s="1">
        <v>158</v>
      </c>
      <c r="L385" s="1">
        <v>56</v>
      </c>
      <c r="M385" s="55">
        <f t="shared" si="84"/>
        <v>338</v>
      </c>
      <c r="N385" s="1"/>
      <c r="O385" s="1"/>
      <c r="P385" s="1"/>
      <c r="Q385" s="55">
        <f t="shared" si="85"/>
        <v>0</v>
      </c>
      <c r="R385" s="55">
        <f t="shared" si="86"/>
        <v>1000</v>
      </c>
    </row>
    <row r="386" spans="1:20" ht="15.75" customHeight="1" x14ac:dyDescent="0.3">
      <c r="A386" s="72" t="s">
        <v>956</v>
      </c>
      <c r="B386" s="1"/>
      <c r="C386" s="1"/>
      <c r="D386" s="1"/>
      <c r="E386" s="55">
        <f t="shared" si="82"/>
        <v>0</v>
      </c>
      <c r="F386" s="1"/>
      <c r="G386" s="1"/>
      <c r="H386" s="1"/>
      <c r="I386" s="55">
        <f t="shared" si="83"/>
        <v>0</v>
      </c>
      <c r="J386" s="1"/>
      <c r="K386" s="1"/>
      <c r="L386" s="1"/>
      <c r="M386" s="55">
        <f t="shared" si="84"/>
        <v>0</v>
      </c>
      <c r="N386" s="1"/>
      <c r="O386" s="1"/>
      <c r="P386" s="1"/>
      <c r="Q386" s="55">
        <f t="shared" si="85"/>
        <v>0</v>
      </c>
      <c r="R386" s="55">
        <f t="shared" si="86"/>
        <v>0</v>
      </c>
      <c r="T386" s="4" t="s">
        <v>241</v>
      </c>
    </row>
    <row r="387" spans="1:20" ht="15.75" customHeight="1" x14ac:dyDescent="0.3">
      <c r="A387" s="72" t="s">
        <v>957</v>
      </c>
      <c r="B387" s="1"/>
      <c r="C387" s="1">
        <v>30</v>
      </c>
      <c r="D387" s="1"/>
      <c r="E387" s="55">
        <f t="shared" si="82"/>
        <v>30</v>
      </c>
      <c r="F387" s="1">
        <v>12</v>
      </c>
      <c r="G387" s="1">
        <v>13</v>
      </c>
      <c r="H387" s="1">
        <v>12</v>
      </c>
      <c r="I387" s="55">
        <f t="shared" si="83"/>
        <v>37</v>
      </c>
      <c r="J387" s="1">
        <v>12</v>
      </c>
      <c r="K387" s="1">
        <v>24</v>
      </c>
      <c r="L387" s="1">
        <v>12</v>
      </c>
      <c r="M387" s="55">
        <f t="shared" si="84"/>
        <v>48</v>
      </c>
      <c r="N387" s="1">
        <v>12</v>
      </c>
      <c r="O387" s="1">
        <v>24</v>
      </c>
      <c r="P387" s="1">
        <v>8</v>
      </c>
      <c r="Q387" s="55">
        <f t="shared" si="85"/>
        <v>44</v>
      </c>
      <c r="R387" s="55">
        <f t="shared" si="86"/>
        <v>159</v>
      </c>
      <c r="T387" s="4" t="s">
        <v>220</v>
      </c>
    </row>
    <row r="388" spans="1:20" ht="15.75" customHeight="1" x14ac:dyDescent="0.3">
      <c r="A388" s="72" t="s">
        <v>958</v>
      </c>
      <c r="B388" s="1">
        <v>519</v>
      </c>
      <c r="C388" s="1">
        <v>947</v>
      </c>
      <c r="D388" s="1">
        <v>1113</v>
      </c>
      <c r="E388" s="55">
        <f t="shared" si="82"/>
        <v>2579</v>
      </c>
      <c r="F388" s="1">
        <v>1117</v>
      </c>
      <c r="G388" s="1">
        <v>1156</v>
      </c>
      <c r="H388" s="1">
        <v>230</v>
      </c>
      <c r="I388" s="55">
        <f t="shared" si="83"/>
        <v>2503</v>
      </c>
      <c r="J388" s="1"/>
      <c r="K388" s="1"/>
      <c r="L388" s="1"/>
      <c r="M388" s="55">
        <f t="shared" si="84"/>
        <v>0</v>
      </c>
      <c r="N388" s="1"/>
      <c r="O388" s="1"/>
      <c r="P388" s="1"/>
      <c r="Q388" s="55">
        <f t="shared" si="85"/>
        <v>0</v>
      </c>
      <c r="R388" s="55">
        <f t="shared" si="86"/>
        <v>5082</v>
      </c>
      <c r="T388" s="4" t="s">
        <v>919</v>
      </c>
    </row>
    <row r="389" spans="1:20" ht="15.75" customHeight="1" x14ac:dyDescent="0.3">
      <c r="A389" s="72" t="s">
        <v>642</v>
      </c>
      <c r="B389" s="1">
        <v>2553</v>
      </c>
      <c r="C389" s="1">
        <v>2600</v>
      </c>
      <c r="D389" s="1">
        <v>2030</v>
      </c>
      <c r="E389" s="55">
        <f t="shared" si="82"/>
        <v>7183</v>
      </c>
      <c r="F389" s="1">
        <v>939</v>
      </c>
      <c r="G389" s="1"/>
      <c r="H389" s="1"/>
      <c r="I389" s="55">
        <f t="shared" si="83"/>
        <v>939</v>
      </c>
      <c r="J389" s="1"/>
      <c r="K389" s="1"/>
      <c r="L389" s="1"/>
      <c r="M389" s="55">
        <f t="shared" si="84"/>
        <v>0</v>
      </c>
      <c r="N389" s="1"/>
      <c r="O389" s="1"/>
      <c r="P389" s="1"/>
      <c r="Q389" s="55">
        <f t="shared" si="85"/>
        <v>0</v>
      </c>
      <c r="R389" s="55">
        <f>+E389+I389+M389+Q389</f>
        <v>8122</v>
      </c>
    </row>
    <row r="390" spans="1:20" ht="15.75" customHeight="1" x14ac:dyDescent="0.3">
      <c r="A390" s="72" t="s">
        <v>737</v>
      </c>
      <c r="B390" s="1"/>
      <c r="C390" s="1"/>
      <c r="D390" s="1"/>
      <c r="E390" s="55">
        <f t="shared" si="82"/>
        <v>0</v>
      </c>
      <c r="F390" s="1"/>
      <c r="G390" s="1"/>
      <c r="H390" s="1"/>
      <c r="I390" s="55">
        <f t="shared" si="83"/>
        <v>0</v>
      </c>
      <c r="J390" s="1"/>
      <c r="K390" s="1"/>
      <c r="L390" s="1"/>
      <c r="M390" s="55">
        <f t="shared" si="84"/>
        <v>0</v>
      </c>
      <c r="N390" s="1"/>
      <c r="O390" s="1"/>
      <c r="P390" s="1"/>
      <c r="Q390" s="55">
        <f t="shared" si="85"/>
        <v>0</v>
      </c>
      <c r="R390" s="55">
        <f>+E390+I390+M390+Q390</f>
        <v>0</v>
      </c>
    </row>
    <row r="391" spans="1:20" ht="15.75" customHeight="1" x14ac:dyDescent="0.3">
      <c r="A391" s="72" t="s">
        <v>959</v>
      </c>
      <c r="B391" s="1"/>
      <c r="C391" s="1"/>
      <c r="D391" s="1"/>
      <c r="E391" s="55">
        <f t="shared" si="82"/>
        <v>0</v>
      </c>
      <c r="F391" s="1"/>
      <c r="G391" s="1"/>
      <c r="H391" s="1"/>
      <c r="I391" s="55">
        <f t="shared" si="83"/>
        <v>0</v>
      </c>
      <c r="J391" s="1"/>
      <c r="K391" s="1"/>
      <c r="L391" s="1"/>
      <c r="M391" s="55">
        <f t="shared" si="84"/>
        <v>0</v>
      </c>
      <c r="N391" s="1"/>
      <c r="O391" s="1"/>
      <c r="P391" s="1"/>
      <c r="Q391" s="55">
        <f t="shared" si="85"/>
        <v>0</v>
      </c>
      <c r="R391" s="55">
        <f>+E391+I391+M391+Q391</f>
        <v>0</v>
      </c>
    </row>
    <row r="392" spans="1:20" ht="15.75" customHeight="1" x14ac:dyDescent="0.3">
      <c r="A392" s="72" t="s">
        <v>960</v>
      </c>
      <c r="B392" s="1"/>
      <c r="C392" s="1"/>
      <c r="D392" s="1"/>
      <c r="E392" s="55">
        <f t="shared" si="82"/>
        <v>0</v>
      </c>
      <c r="F392" s="1"/>
      <c r="G392" s="1"/>
      <c r="H392" s="1"/>
      <c r="I392" s="55">
        <f t="shared" si="83"/>
        <v>0</v>
      </c>
      <c r="J392" s="1"/>
      <c r="K392" s="1"/>
      <c r="L392" s="1"/>
      <c r="M392" s="55">
        <f t="shared" si="84"/>
        <v>0</v>
      </c>
      <c r="N392" s="1"/>
      <c r="O392" s="1"/>
      <c r="P392" s="1"/>
      <c r="Q392" s="55">
        <f t="shared" si="85"/>
        <v>0</v>
      </c>
      <c r="R392" s="55">
        <f>+E392+I392+M392+Q392</f>
        <v>0</v>
      </c>
      <c r="T392" s="4" t="s">
        <v>241</v>
      </c>
    </row>
    <row r="393" spans="1:20" ht="15.75" customHeight="1" x14ac:dyDescent="0.3">
      <c r="A393" s="72" t="s">
        <v>961</v>
      </c>
      <c r="B393" s="1"/>
      <c r="C393" s="1"/>
      <c r="D393" s="1"/>
      <c r="E393" s="55">
        <f t="shared" si="82"/>
        <v>0</v>
      </c>
      <c r="F393" s="1">
        <v>2144</v>
      </c>
      <c r="G393" s="1">
        <v>2385</v>
      </c>
      <c r="H393" s="1">
        <v>1471</v>
      </c>
      <c r="I393" s="55">
        <f t="shared" si="83"/>
        <v>6000</v>
      </c>
      <c r="J393" s="1"/>
      <c r="K393" s="1"/>
      <c r="L393" s="1"/>
      <c r="M393" s="55">
        <f t="shared" si="84"/>
        <v>0</v>
      </c>
      <c r="N393" s="1"/>
      <c r="O393" s="1"/>
      <c r="P393" s="1"/>
      <c r="Q393" s="55">
        <f t="shared" si="85"/>
        <v>0</v>
      </c>
      <c r="R393" s="55">
        <f t="shared" si="86"/>
        <v>6000</v>
      </c>
      <c r="T393" s="4" t="s">
        <v>944</v>
      </c>
    </row>
    <row r="394" spans="1:20" ht="15.75" customHeight="1" x14ac:dyDescent="0.3">
      <c r="A394" s="72" t="s">
        <v>962</v>
      </c>
      <c r="B394" s="1"/>
      <c r="C394" s="1"/>
      <c r="D394" s="1">
        <v>1275</v>
      </c>
      <c r="E394" s="55">
        <f t="shared" si="82"/>
        <v>1275</v>
      </c>
      <c r="F394" s="1">
        <f>1790+96</f>
        <v>1886</v>
      </c>
      <c r="G394" s="1">
        <f>68+121</f>
        <v>189</v>
      </c>
      <c r="H394" s="1">
        <f>3137+114</f>
        <v>3251</v>
      </c>
      <c r="I394" s="55">
        <f t="shared" si="83"/>
        <v>5326</v>
      </c>
      <c r="J394" s="1">
        <f>3154+13</f>
        <v>3167</v>
      </c>
      <c r="K394" s="1">
        <v>1232</v>
      </c>
      <c r="L394" s="1"/>
      <c r="M394" s="55">
        <f t="shared" si="84"/>
        <v>4399</v>
      </c>
      <c r="N394" s="1"/>
      <c r="O394" s="1"/>
      <c r="P394" s="1"/>
      <c r="Q394" s="55">
        <f t="shared" si="85"/>
        <v>0</v>
      </c>
      <c r="R394" s="55">
        <f t="shared" si="86"/>
        <v>11000</v>
      </c>
      <c r="T394" s="4" t="s">
        <v>214</v>
      </c>
    </row>
    <row r="395" spans="1:20" ht="15.75" customHeight="1" x14ac:dyDescent="0.3">
      <c r="A395" s="72" t="s">
        <v>963</v>
      </c>
      <c r="B395" s="1"/>
      <c r="C395" s="1"/>
      <c r="D395" s="1"/>
      <c r="E395" s="55">
        <f t="shared" si="82"/>
        <v>0</v>
      </c>
      <c r="F395" s="1"/>
      <c r="G395" s="1"/>
      <c r="H395" s="1"/>
      <c r="I395" s="55">
        <f t="shared" si="83"/>
        <v>0</v>
      </c>
      <c r="J395" s="1"/>
      <c r="K395" s="1"/>
      <c r="L395" s="1"/>
      <c r="M395" s="55">
        <f t="shared" si="84"/>
        <v>0</v>
      </c>
      <c r="N395" s="1"/>
      <c r="O395" s="1"/>
      <c r="P395" s="1"/>
      <c r="Q395" s="55">
        <f t="shared" si="85"/>
        <v>0</v>
      </c>
      <c r="R395" s="55">
        <f>+E395+I395+M395+Q395</f>
        <v>0</v>
      </c>
      <c r="T395" s="4" t="s">
        <v>919</v>
      </c>
    </row>
    <row r="396" spans="1:20" ht="15.75" customHeight="1" x14ac:dyDescent="0.3">
      <c r="A396" s="72" t="s">
        <v>964</v>
      </c>
      <c r="B396" s="1"/>
      <c r="C396" s="1"/>
      <c r="D396" s="1"/>
      <c r="E396" s="55">
        <f t="shared" si="82"/>
        <v>0</v>
      </c>
      <c r="F396" s="1"/>
      <c r="G396" s="1"/>
      <c r="H396" s="1"/>
      <c r="I396" s="55">
        <f t="shared" si="83"/>
        <v>0</v>
      </c>
      <c r="J396" s="1"/>
      <c r="K396" s="1"/>
      <c r="L396" s="1"/>
      <c r="M396" s="55">
        <f t="shared" si="84"/>
        <v>0</v>
      </c>
      <c r="N396" s="1"/>
      <c r="O396" s="1"/>
      <c r="P396" s="1"/>
      <c r="Q396" s="55">
        <f t="shared" si="85"/>
        <v>0</v>
      </c>
      <c r="R396" s="55">
        <f>+E396+I396+M396+Q396</f>
        <v>0</v>
      </c>
      <c r="T396" s="4" t="s">
        <v>241</v>
      </c>
    </row>
    <row r="397" spans="1:20" ht="15.75" customHeight="1" x14ac:dyDescent="0.3">
      <c r="A397" s="72" t="s">
        <v>965</v>
      </c>
      <c r="B397" s="1"/>
      <c r="C397" s="1"/>
      <c r="D397" s="1"/>
      <c r="E397" s="55">
        <f t="shared" si="82"/>
        <v>0</v>
      </c>
      <c r="F397" s="1"/>
      <c r="G397" s="1"/>
      <c r="H397" s="1"/>
      <c r="I397" s="55">
        <f t="shared" si="83"/>
        <v>0</v>
      </c>
      <c r="J397" s="1"/>
      <c r="K397" s="1"/>
      <c r="L397" s="1"/>
      <c r="M397" s="55">
        <f t="shared" si="84"/>
        <v>0</v>
      </c>
      <c r="N397" s="1"/>
      <c r="O397" s="1"/>
      <c r="P397" s="1"/>
      <c r="Q397" s="55">
        <f>SUM(N397:P397)</f>
        <v>0</v>
      </c>
      <c r="R397" s="55">
        <f>+E397+I397+M397+Q397</f>
        <v>0</v>
      </c>
    </row>
    <row r="398" spans="1:20" ht="15.75" customHeight="1" x14ac:dyDescent="0.3">
      <c r="A398" s="72" t="s">
        <v>966</v>
      </c>
      <c r="B398" s="1"/>
      <c r="C398" s="1"/>
      <c r="D398" s="1"/>
      <c r="E398" s="55">
        <f t="shared" si="82"/>
        <v>0</v>
      </c>
      <c r="F398" s="1"/>
      <c r="G398" s="1"/>
      <c r="H398" s="1"/>
      <c r="I398" s="55">
        <f t="shared" si="83"/>
        <v>0</v>
      </c>
      <c r="J398" s="1"/>
      <c r="K398" s="1"/>
      <c r="L398" s="1"/>
      <c r="M398" s="55">
        <f t="shared" si="84"/>
        <v>0</v>
      </c>
      <c r="N398" s="1"/>
      <c r="O398" s="1"/>
      <c r="P398" s="1"/>
      <c r="Q398" s="55">
        <f t="shared" si="85"/>
        <v>0</v>
      </c>
      <c r="R398" s="55">
        <f>+E398+I398+M398+Q398</f>
        <v>0</v>
      </c>
    </row>
    <row r="399" spans="1:20" ht="15.75" customHeight="1" x14ac:dyDescent="0.3">
      <c r="A399" s="72" t="s">
        <v>967</v>
      </c>
      <c r="B399" s="1"/>
      <c r="C399" s="1"/>
      <c r="D399" s="1"/>
      <c r="E399" s="55">
        <f t="shared" si="82"/>
        <v>0</v>
      </c>
      <c r="F399" s="1"/>
      <c r="G399" s="1"/>
      <c r="H399" s="1"/>
      <c r="I399" s="55">
        <f t="shared" si="83"/>
        <v>0</v>
      </c>
      <c r="J399" s="1"/>
      <c r="K399" s="1"/>
      <c r="L399" s="1"/>
      <c r="M399" s="55">
        <f t="shared" si="84"/>
        <v>0</v>
      </c>
      <c r="N399" s="1">
        <v>400</v>
      </c>
      <c r="O399" s="1"/>
      <c r="P399" s="1"/>
      <c r="Q399" s="55">
        <f t="shared" si="85"/>
        <v>400</v>
      </c>
      <c r="R399" s="55">
        <f>+E399+I399+M399+Q399</f>
        <v>400</v>
      </c>
      <c r="T399" s="4" t="s">
        <v>919</v>
      </c>
    </row>
    <row r="400" spans="1:20" ht="15.75" customHeight="1" x14ac:dyDescent="0.3">
      <c r="A400" s="72" t="s">
        <v>968</v>
      </c>
      <c r="B400" s="1"/>
      <c r="C400" s="1"/>
      <c r="D400" s="1"/>
      <c r="E400" s="55">
        <f t="shared" si="82"/>
        <v>0</v>
      </c>
      <c r="F400" s="1"/>
      <c r="G400" s="1"/>
      <c r="H400" s="1"/>
      <c r="I400" s="55">
        <f t="shared" si="83"/>
        <v>0</v>
      </c>
      <c r="J400" s="1"/>
      <c r="K400" s="1"/>
      <c r="L400" s="1">
        <v>1064</v>
      </c>
      <c r="M400" s="55">
        <f t="shared" si="84"/>
        <v>1064</v>
      </c>
      <c r="N400" s="1">
        <v>561</v>
      </c>
      <c r="O400" s="1">
        <v>834</v>
      </c>
      <c r="P400" s="1">
        <v>6</v>
      </c>
      <c r="Q400" s="55">
        <f t="shared" si="85"/>
        <v>1401</v>
      </c>
      <c r="R400" s="55">
        <f t="shared" si="86"/>
        <v>2465</v>
      </c>
      <c r="T400" s="4" t="s">
        <v>919</v>
      </c>
    </row>
    <row r="401" spans="1:21" ht="15.75" customHeight="1" x14ac:dyDescent="0.3">
      <c r="A401" s="72" t="s">
        <v>969</v>
      </c>
      <c r="B401" s="1"/>
      <c r="C401" s="1"/>
      <c r="D401" s="1"/>
      <c r="E401" s="55">
        <f t="shared" si="82"/>
        <v>0</v>
      </c>
      <c r="F401" s="1"/>
      <c r="G401" s="1"/>
      <c r="H401" s="1"/>
      <c r="I401" s="55">
        <f t="shared" si="83"/>
        <v>0</v>
      </c>
      <c r="J401" s="1"/>
      <c r="K401" s="1"/>
      <c r="L401" s="1"/>
      <c r="M401" s="55">
        <f t="shared" si="84"/>
        <v>0</v>
      </c>
      <c r="N401" s="1"/>
      <c r="O401" s="1"/>
      <c r="P401" s="1"/>
      <c r="Q401" s="55">
        <f t="shared" si="85"/>
        <v>0</v>
      </c>
      <c r="R401" s="55">
        <f t="shared" si="86"/>
        <v>0</v>
      </c>
      <c r="T401" s="4" t="s">
        <v>241</v>
      </c>
    </row>
    <row r="402" spans="1:21" ht="15.75" customHeight="1" x14ac:dyDescent="0.3">
      <c r="A402" s="72" t="s">
        <v>162</v>
      </c>
      <c r="B402" s="1"/>
      <c r="C402" s="1"/>
      <c r="D402" s="1"/>
      <c r="E402" s="55">
        <f t="shared" si="82"/>
        <v>0</v>
      </c>
      <c r="F402" s="4">
        <v>1669</v>
      </c>
      <c r="G402" s="1"/>
      <c r="H402" s="1"/>
      <c r="I402" s="55">
        <f t="shared" si="83"/>
        <v>1669</v>
      </c>
      <c r="J402" s="1"/>
      <c r="K402" s="1"/>
      <c r="L402" s="1"/>
      <c r="M402" s="55">
        <f t="shared" si="84"/>
        <v>0</v>
      </c>
      <c r="N402" s="1"/>
      <c r="O402" s="1"/>
      <c r="P402" s="1"/>
      <c r="Q402" s="55">
        <f t="shared" si="85"/>
        <v>0</v>
      </c>
      <c r="R402" s="55">
        <f t="shared" si="86"/>
        <v>1669</v>
      </c>
    </row>
    <row r="403" spans="1:21" ht="15.75" customHeight="1" x14ac:dyDescent="0.3">
      <c r="A403" s="72" t="s">
        <v>970</v>
      </c>
      <c r="B403" s="1"/>
      <c r="C403" s="1"/>
      <c r="D403" s="1"/>
      <c r="E403" s="55">
        <f t="shared" si="82"/>
        <v>0</v>
      </c>
      <c r="F403" s="1"/>
      <c r="G403" s="1"/>
      <c r="H403" s="1"/>
      <c r="I403" s="55">
        <f t="shared" si="83"/>
        <v>0</v>
      </c>
      <c r="J403" s="1"/>
      <c r="K403" s="1"/>
      <c r="L403" s="1"/>
      <c r="M403" s="55">
        <f t="shared" si="84"/>
        <v>0</v>
      </c>
      <c r="N403" s="1"/>
      <c r="O403" s="1"/>
      <c r="P403" s="1"/>
      <c r="Q403" s="55">
        <f t="shared" si="85"/>
        <v>0</v>
      </c>
      <c r="R403" s="55">
        <f t="shared" si="86"/>
        <v>0</v>
      </c>
      <c r="T403" s="4" t="s">
        <v>241</v>
      </c>
    </row>
    <row r="404" spans="1:21" ht="15.75" customHeight="1" x14ac:dyDescent="0.3">
      <c r="A404" s="72" t="s">
        <v>971</v>
      </c>
      <c r="B404" s="1"/>
      <c r="C404" s="1"/>
      <c r="D404" s="1"/>
      <c r="E404" s="55">
        <f t="shared" si="82"/>
        <v>0</v>
      </c>
      <c r="F404" s="1"/>
      <c r="G404" s="1"/>
      <c r="H404" s="1"/>
      <c r="I404" s="55">
        <f t="shared" si="83"/>
        <v>0</v>
      </c>
      <c r="J404" s="1"/>
      <c r="K404" s="1"/>
      <c r="L404" s="1"/>
      <c r="M404" s="55">
        <f t="shared" si="84"/>
        <v>0</v>
      </c>
      <c r="N404" s="1">
        <v>274</v>
      </c>
      <c r="O404" s="1"/>
      <c r="P404" s="1"/>
      <c r="Q404" s="55">
        <f t="shared" si="85"/>
        <v>274</v>
      </c>
      <c r="R404" s="55">
        <f t="shared" si="86"/>
        <v>274</v>
      </c>
      <c r="T404" s="4" t="s">
        <v>919</v>
      </c>
    </row>
    <row r="405" spans="1:21" ht="15.75" customHeight="1" x14ac:dyDescent="0.3">
      <c r="A405" s="72" t="s">
        <v>742</v>
      </c>
      <c r="B405" s="1"/>
      <c r="C405" s="1"/>
      <c r="D405" s="1"/>
      <c r="E405" s="55">
        <f t="shared" si="82"/>
        <v>0</v>
      </c>
      <c r="F405" s="1"/>
      <c r="G405" s="1"/>
      <c r="H405" s="1"/>
      <c r="I405" s="55">
        <f t="shared" si="83"/>
        <v>0</v>
      </c>
      <c r="J405" s="1"/>
      <c r="K405" s="1"/>
      <c r="L405" s="1"/>
      <c r="M405" s="55">
        <f t="shared" si="84"/>
        <v>0</v>
      </c>
      <c r="N405" s="1"/>
      <c r="O405" s="1"/>
      <c r="P405" s="1"/>
      <c r="Q405" s="55">
        <f t="shared" si="85"/>
        <v>0</v>
      </c>
      <c r="R405" s="55">
        <f>+E405+I405+M405+Q405</f>
        <v>0</v>
      </c>
      <c r="T405" s="4" t="s">
        <v>241</v>
      </c>
    </row>
    <row r="406" spans="1:21" ht="15.75" customHeight="1" x14ac:dyDescent="0.3">
      <c r="A406" s="72" t="s">
        <v>972</v>
      </c>
      <c r="B406" s="1"/>
      <c r="C406" s="1"/>
      <c r="D406" s="1"/>
      <c r="E406" s="55">
        <f t="shared" si="82"/>
        <v>0</v>
      </c>
      <c r="F406" s="1"/>
      <c r="G406" s="1"/>
      <c r="H406" s="1"/>
      <c r="I406" s="55">
        <f t="shared" si="83"/>
        <v>0</v>
      </c>
      <c r="J406" s="1"/>
      <c r="K406" s="1"/>
      <c r="L406" s="1"/>
      <c r="M406" s="55">
        <f t="shared" si="84"/>
        <v>0</v>
      </c>
      <c r="N406" s="1"/>
      <c r="O406" s="1"/>
      <c r="P406" s="1"/>
      <c r="Q406" s="55">
        <f t="shared" ref="Q406" si="87">SUM(N406:P406)</f>
        <v>0</v>
      </c>
      <c r="R406" s="55">
        <f>+E406+I406+M406+Q406</f>
        <v>0</v>
      </c>
    </row>
    <row r="407" spans="1:21" ht="15.75" customHeight="1" x14ac:dyDescent="0.3">
      <c r="A407" s="72" t="s">
        <v>973</v>
      </c>
      <c r="B407" s="1"/>
      <c r="C407" s="1"/>
      <c r="D407" s="1">
        <v>1050</v>
      </c>
      <c r="E407" s="55">
        <f t="shared" si="82"/>
        <v>1050</v>
      </c>
      <c r="F407" s="1">
        <v>1098</v>
      </c>
      <c r="G407" s="1">
        <v>1135</v>
      </c>
      <c r="H407" s="1">
        <v>867</v>
      </c>
      <c r="I407" s="55">
        <f t="shared" si="83"/>
        <v>3100</v>
      </c>
      <c r="J407" s="1">
        <v>1129</v>
      </c>
      <c r="K407" s="1">
        <v>1125</v>
      </c>
      <c r="L407" s="1">
        <v>20</v>
      </c>
      <c r="M407" s="55">
        <f t="shared" si="84"/>
        <v>2274</v>
      </c>
      <c r="N407" s="1"/>
      <c r="O407" s="1"/>
      <c r="P407" s="1"/>
      <c r="Q407" s="55">
        <f t="shared" si="85"/>
        <v>0</v>
      </c>
      <c r="R407" s="55">
        <f t="shared" si="86"/>
        <v>6424</v>
      </c>
      <c r="T407" s="4" t="s">
        <v>919</v>
      </c>
    </row>
    <row r="408" spans="1:21" ht="15.75" customHeight="1" x14ac:dyDescent="0.3">
      <c r="A408" s="72" t="s">
        <v>974</v>
      </c>
      <c r="B408" s="1"/>
      <c r="C408" s="1"/>
      <c r="D408" s="1"/>
      <c r="E408" s="55">
        <f t="shared" si="82"/>
        <v>0</v>
      </c>
      <c r="F408" s="1"/>
      <c r="G408" s="1"/>
      <c r="H408" s="1"/>
      <c r="I408" s="55">
        <f t="shared" si="83"/>
        <v>0</v>
      </c>
      <c r="J408" s="1"/>
      <c r="K408" s="1"/>
      <c r="L408" s="1"/>
      <c r="M408" s="55">
        <f t="shared" si="84"/>
        <v>0</v>
      </c>
      <c r="N408" s="1"/>
      <c r="O408" s="1"/>
      <c r="P408" s="1"/>
      <c r="Q408" s="55">
        <f t="shared" si="85"/>
        <v>0</v>
      </c>
      <c r="R408" s="55">
        <f t="shared" si="86"/>
        <v>0</v>
      </c>
      <c r="T408" s="4" t="s">
        <v>241</v>
      </c>
    </row>
    <row r="409" spans="1:21" ht="15.75" customHeight="1" x14ac:dyDescent="0.3">
      <c r="A409" s="72" t="s">
        <v>171</v>
      </c>
      <c r="B409" s="1"/>
      <c r="C409" s="1"/>
      <c r="D409" s="1"/>
      <c r="E409" s="55">
        <f t="shared" si="82"/>
        <v>0</v>
      </c>
      <c r="F409" s="1">
        <v>15</v>
      </c>
      <c r="G409" s="1">
        <v>2607</v>
      </c>
      <c r="H409" s="1"/>
      <c r="I409" s="55">
        <f t="shared" si="83"/>
        <v>2622</v>
      </c>
      <c r="J409" s="1"/>
      <c r="K409" s="1"/>
      <c r="L409" s="1"/>
      <c r="M409" s="55">
        <f t="shared" si="84"/>
        <v>0</v>
      </c>
      <c r="N409" s="1"/>
      <c r="O409" s="1"/>
      <c r="P409" s="1"/>
      <c r="Q409" s="55">
        <f t="shared" si="85"/>
        <v>0</v>
      </c>
      <c r="R409" s="55">
        <f t="shared" si="86"/>
        <v>2622</v>
      </c>
    </row>
    <row r="410" spans="1:21" ht="15.75" customHeight="1" thickBot="1" x14ac:dyDescent="0.35">
      <c r="A410" s="72" t="s">
        <v>975</v>
      </c>
      <c r="B410" s="1"/>
      <c r="C410" s="1">
        <v>1129</v>
      </c>
      <c r="D410" s="1">
        <v>4138</v>
      </c>
      <c r="E410" s="55">
        <f t="shared" si="82"/>
        <v>5267</v>
      </c>
      <c r="F410" s="1">
        <v>4256</v>
      </c>
      <c r="G410" s="1">
        <v>1767</v>
      </c>
      <c r="H410" s="1">
        <v>3297</v>
      </c>
      <c r="I410" s="55">
        <f t="shared" si="83"/>
        <v>9320</v>
      </c>
      <c r="J410" s="1">
        <v>3054</v>
      </c>
      <c r="K410" s="1">
        <v>2045</v>
      </c>
      <c r="L410" s="1">
        <v>1921</v>
      </c>
      <c r="M410" s="55">
        <f t="shared" si="84"/>
        <v>7020</v>
      </c>
      <c r="N410" s="1">
        <v>1492</v>
      </c>
      <c r="O410" s="1"/>
      <c r="P410" s="1">
        <v>1901</v>
      </c>
      <c r="Q410" s="55">
        <f t="shared" si="85"/>
        <v>3393</v>
      </c>
      <c r="R410" s="55">
        <f t="shared" si="86"/>
        <v>25000</v>
      </c>
    </row>
    <row r="411" spans="1:21" ht="16.5" customHeight="1" thickBot="1" x14ac:dyDescent="0.35">
      <c r="A411" s="114" t="s">
        <v>63</v>
      </c>
      <c r="B411" s="90">
        <f>SUM(B370:B410)</f>
        <v>9374</v>
      </c>
      <c r="C411" s="58">
        <f>SUM(C370:C410)</f>
        <v>21127</v>
      </c>
      <c r="D411" s="58">
        <f>SUM(D370:D410)</f>
        <v>30824</v>
      </c>
      <c r="E411" s="59">
        <f t="shared" si="82"/>
        <v>61325</v>
      </c>
      <c r="F411" s="58">
        <f>SUM(F370:F410)</f>
        <v>34210</v>
      </c>
      <c r="G411" s="58">
        <f>SUM(G370:G410)</f>
        <v>39591</v>
      </c>
      <c r="H411" s="58">
        <f>SUM(H370:H410)</f>
        <v>47983</v>
      </c>
      <c r="I411" s="59">
        <f t="shared" si="83"/>
        <v>121784</v>
      </c>
      <c r="J411" s="58">
        <f>SUM(J370:J410)</f>
        <v>49143</v>
      </c>
      <c r="K411" s="58">
        <f>SUM(K370:K410)</f>
        <v>33212</v>
      </c>
      <c r="L411" s="58">
        <f>SUM(L370:L410)</f>
        <v>26597</v>
      </c>
      <c r="M411" s="59">
        <f t="shared" si="84"/>
        <v>108952</v>
      </c>
      <c r="N411" s="58">
        <f>SUM(N370:N410)</f>
        <v>20373</v>
      </c>
      <c r="O411" s="58">
        <f>SUM(O370:O410)</f>
        <v>5192</v>
      </c>
      <c r="P411" s="58">
        <f>SUM(P370:P410)</f>
        <v>14417</v>
      </c>
      <c r="Q411" s="59">
        <f t="shared" si="85"/>
        <v>39982</v>
      </c>
      <c r="R411" s="59">
        <f>+E411+I411+M411+Q411</f>
        <v>332043</v>
      </c>
      <c r="T411" s="89"/>
    </row>
    <row r="412" spans="1:21" ht="15.75" customHeight="1" x14ac:dyDescent="0.3">
      <c r="A412" s="15" t="s">
        <v>64</v>
      </c>
      <c r="B412" s="1"/>
      <c r="C412" s="1"/>
      <c r="D412" s="1"/>
      <c r="E412" s="55" t="s">
        <v>7</v>
      </c>
      <c r="F412" s="1"/>
      <c r="G412" s="1"/>
      <c r="H412" s="1"/>
      <c r="I412" s="55" t="s">
        <v>7</v>
      </c>
      <c r="J412" s="1"/>
      <c r="K412" s="1"/>
      <c r="L412" s="1"/>
      <c r="M412" s="55" t="s">
        <v>7</v>
      </c>
      <c r="N412" s="1"/>
      <c r="O412" s="1"/>
      <c r="P412" s="1"/>
      <c r="Q412" s="55" t="s">
        <v>7</v>
      </c>
      <c r="R412" s="55" t="s">
        <v>7</v>
      </c>
    </row>
    <row r="413" spans="1:21" ht="15.75" customHeight="1" x14ac:dyDescent="0.3">
      <c r="A413" s="15" t="s">
        <v>594</v>
      </c>
      <c r="B413" s="1"/>
      <c r="C413" s="1"/>
      <c r="D413" s="1"/>
      <c r="E413" s="55" t="s">
        <v>7</v>
      </c>
      <c r="F413" s="1"/>
      <c r="G413" s="1"/>
      <c r="H413" s="1"/>
      <c r="I413" s="55" t="s">
        <v>7</v>
      </c>
      <c r="J413" s="1"/>
      <c r="K413" s="1"/>
      <c r="L413" s="1"/>
      <c r="M413" s="55" t="s">
        <v>7</v>
      </c>
      <c r="N413" s="1"/>
      <c r="O413" s="1"/>
      <c r="P413" s="1"/>
      <c r="Q413" s="55" t="s">
        <v>7</v>
      </c>
      <c r="R413" s="55" t="s">
        <v>7</v>
      </c>
    </row>
    <row r="414" spans="1:21" ht="15.75" customHeight="1" x14ac:dyDescent="0.3">
      <c r="A414" s="72" t="s">
        <v>976</v>
      </c>
      <c r="B414" s="1"/>
      <c r="C414" s="1"/>
      <c r="D414" s="1"/>
      <c r="E414" s="55">
        <f>SUM(B414:D414)</f>
        <v>0</v>
      </c>
      <c r="F414" s="1"/>
      <c r="G414" s="1"/>
      <c r="H414" s="1"/>
      <c r="I414" s="55">
        <f>SUM(F414:H414)</f>
        <v>0</v>
      </c>
      <c r="J414" s="1"/>
      <c r="K414" s="1"/>
      <c r="L414" s="1"/>
      <c r="M414" s="55">
        <f>SUM(J414:L414)</f>
        <v>0</v>
      </c>
      <c r="N414" s="1"/>
      <c r="O414" s="1"/>
      <c r="P414" s="1"/>
      <c r="Q414" s="55">
        <f>SUM(N414:P414)</f>
        <v>0</v>
      </c>
      <c r="R414" s="55">
        <f>+E414+I414+M414+Q414</f>
        <v>0</v>
      </c>
      <c r="U414" s="355"/>
    </row>
    <row r="415" spans="1:21" ht="15.75" customHeight="1" x14ac:dyDescent="0.3">
      <c r="A415" s="15" t="s">
        <v>67</v>
      </c>
      <c r="B415" s="1"/>
      <c r="C415" s="1"/>
      <c r="D415" s="1"/>
      <c r="E415" s="55" t="s">
        <v>7</v>
      </c>
      <c r="F415" s="1"/>
      <c r="G415" s="1"/>
      <c r="H415" s="1"/>
      <c r="I415" s="55" t="s">
        <v>7</v>
      </c>
      <c r="J415" s="1"/>
      <c r="K415" s="1"/>
      <c r="L415" s="1"/>
      <c r="M415" s="55" t="s">
        <v>7</v>
      </c>
      <c r="N415" s="1"/>
      <c r="O415" s="1"/>
      <c r="P415" s="1"/>
      <c r="Q415" s="55" t="s">
        <v>7</v>
      </c>
      <c r="R415" s="55" t="s">
        <v>7</v>
      </c>
    </row>
    <row r="416" spans="1:21" ht="15.75" customHeight="1" x14ac:dyDescent="0.3">
      <c r="A416" s="72" t="s">
        <v>744</v>
      </c>
      <c r="B416" s="1"/>
      <c r="C416" s="1"/>
      <c r="D416" s="1"/>
      <c r="E416" s="55">
        <f>SUM(B416:D416)</f>
        <v>0</v>
      </c>
      <c r="F416" s="1"/>
      <c r="G416" s="1"/>
      <c r="H416" s="1"/>
      <c r="I416" s="55">
        <f>SUM(F416:H416)</f>
        <v>0</v>
      </c>
      <c r="J416" s="1"/>
      <c r="K416" s="1"/>
      <c r="L416" s="1"/>
      <c r="M416" s="55">
        <f>SUM(J416:L416)</f>
        <v>0</v>
      </c>
      <c r="N416" s="1"/>
      <c r="O416" s="1"/>
      <c r="P416" s="1"/>
      <c r="Q416" s="55">
        <f>SUM(N416:P416)</f>
        <v>0</v>
      </c>
      <c r="R416" s="55">
        <f>+E416+I416+M416+Q416</f>
        <v>0</v>
      </c>
    </row>
    <row r="417" spans="1:21" ht="15.75" customHeight="1" x14ac:dyDescent="0.3">
      <c r="A417" s="72" t="s">
        <v>745</v>
      </c>
      <c r="B417" s="1"/>
      <c r="C417" s="1"/>
      <c r="D417" s="1"/>
      <c r="E417" s="55">
        <f>SUM(B417:D417)</f>
        <v>0</v>
      </c>
      <c r="F417" s="1">
        <v>2915</v>
      </c>
      <c r="G417" s="1">
        <v>2230</v>
      </c>
      <c r="H417" s="1"/>
      <c r="I417" s="55">
        <f>SUM(F417:H417)</f>
        <v>5145</v>
      </c>
      <c r="J417" s="1">
        <v>2029</v>
      </c>
      <c r="K417" s="1"/>
      <c r="L417" s="1"/>
      <c r="M417" s="55">
        <f>SUM(J417:L417)</f>
        <v>2029</v>
      </c>
      <c r="N417" s="1"/>
      <c r="O417" s="1"/>
      <c r="P417" s="1"/>
      <c r="Q417" s="55">
        <f>SUM(N417:P417)</f>
        <v>0</v>
      </c>
      <c r="R417" s="55">
        <f>+E417+I417+M417+Q417</f>
        <v>7174</v>
      </c>
    </row>
    <row r="418" spans="1:21" ht="15.75" customHeight="1" x14ac:dyDescent="0.3">
      <c r="A418" s="15" t="s">
        <v>600</v>
      </c>
      <c r="B418" s="1"/>
      <c r="C418" s="1"/>
      <c r="D418" s="1"/>
      <c r="E418" s="55" t="s">
        <v>7</v>
      </c>
      <c r="F418" s="1"/>
      <c r="G418" s="1"/>
      <c r="H418" s="1"/>
      <c r="I418" s="55" t="s">
        <v>7</v>
      </c>
      <c r="J418" s="1"/>
      <c r="K418" s="1"/>
      <c r="L418" s="1"/>
      <c r="M418" s="55" t="s">
        <v>7</v>
      </c>
      <c r="N418" s="1"/>
      <c r="O418" s="1"/>
      <c r="P418" s="1"/>
      <c r="Q418" s="55" t="s">
        <v>7</v>
      </c>
      <c r="R418" s="55" t="s">
        <v>7</v>
      </c>
    </row>
    <row r="419" spans="1:21" ht="15.75" customHeight="1" x14ac:dyDescent="0.3">
      <c r="A419" s="72" t="s">
        <v>270</v>
      </c>
      <c r="B419" s="1"/>
      <c r="C419" s="1"/>
      <c r="D419" s="1"/>
      <c r="E419" s="55">
        <f t="shared" ref="E419:E424" si="88">SUM(B419:D419)</f>
        <v>0</v>
      </c>
      <c r="F419" s="1"/>
      <c r="G419" s="1"/>
      <c r="H419" s="1"/>
      <c r="I419" s="55">
        <f t="shared" ref="I419:I424" si="89">SUM(F419:H419)</f>
        <v>0</v>
      </c>
      <c r="J419" s="1"/>
      <c r="K419" s="1"/>
      <c r="L419" s="1"/>
      <c r="M419" s="55">
        <f t="shared" ref="M419:M424" si="90">SUM(J419:L419)</f>
        <v>0</v>
      </c>
      <c r="N419" s="1"/>
      <c r="O419" s="1"/>
      <c r="P419" s="1"/>
      <c r="Q419" s="55">
        <f t="shared" ref="Q419:Q424" si="91">SUM(N419:P419)</f>
        <v>0</v>
      </c>
      <c r="R419" s="55">
        <f t="shared" ref="R419:R424" si="92">+E419+I419+M419+Q419</f>
        <v>0</v>
      </c>
      <c r="T419" s="4" t="s">
        <v>224</v>
      </c>
    </row>
    <row r="420" spans="1:21" ht="15.75" customHeight="1" x14ac:dyDescent="0.3">
      <c r="A420" s="72" t="s">
        <v>646</v>
      </c>
      <c r="B420" s="1"/>
      <c r="C420" s="1"/>
      <c r="D420" s="1"/>
      <c r="E420" s="55">
        <f t="shared" si="88"/>
        <v>0</v>
      </c>
      <c r="F420" s="1"/>
      <c r="G420" s="1"/>
      <c r="H420" s="1"/>
      <c r="I420" s="55">
        <f t="shared" si="89"/>
        <v>0</v>
      </c>
      <c r="J420" s="1"/>
      <c r="K420" s="1"/>
      <c r="L420" s="1"/>
      <c r="M420" s="55">
        <f t="shared" si="90"/>
        <v>0</v>
      </c>
      <c r="N420" s="1">
        <v>3792</v>
      </c>
      <c r="O420" s="1">
        <v>1208</v>
      </c>
      <c r="P420" s="1"/>
      <c r="Q420" s="55">
        <f t="shared" si="91"/>
        <v>5000</v>
      </c>
      <c r="R420" s="55">
        <f t="shared" si="92"/>
        <v>5000</v>
      </c>
      <c r="T420" s="4" t="s">
        <v>224</v>
      </c>
    </row>
    <row r="421" spans="1:21" ht="15.75" customHeight="1" x14ac:dyDescent="0.3">
      <c r="A421" s="72" t="s">
        <v>271</v>
      </c>
      <c r="B421" s="1"/>
      <c r="C421" s="1"/>
      <c r="D421" s="1"/>
      <c r="E421" s="55">
        <f t="shared" si="88"/>
        <v>0</v>
      </c>
      <c r="F421" s="1"/>
      <c r="G421" s="1"/>
      <c r="H421" s="1">
        <v>1000</v>
      </c>
      <c r="I421" s="55">
        <f t="shared" si="89"/>
        <v>1000</v>
      </c>
      <c r="J421" s="1"/>
      <c r="K421" s="1"/>
      <c r="L421" s="1"/>
      <c r="M421" s="55">
        <f t="shared" si="90"/>
        <v>0</v>
      </c>
      <c r="N421" s="1"/>
      <c r="O421" s="1"/>
      <c r="P421" s="1"/>
      <c r="Q421" s="55">
        <f t="shared" si="91"/>
        <v>0</v>
      </c>
      <c r="R421" s="55">
        <f t="shared" si="92"/>
        <v>1000</v>
      </c>
      <c r="T421" s="4" t="s">
        <v>214</v>
      </c>
    </row>
    <row r="422" spans="1:21" ht="15.75" customHeight="1" x14ac:dyDescent="0.3">
      <c r="A422" s="72" t="s">
        <v>647</v>
      </c>
      <c r="B422" s="1"/>
      <c r="C422" s="1"/>
      <c r="D422" s="1"/>
      <c r="E422" s="55">
        <f t="shared" si="88"/>
        <v>0</v>
      </c>
      <c r="F422" s="1"/>
      <c r="G422" s="1"/>
      <c r="H422" s="1"/>
      <c r="I422" s="55">
        <f t="shared" si="89"/>
        <v>0</v>
      </c>
      <c r="J422" s="1"/>
      <c r="K422" s="1"/>
      <c r="L422" s="1"/>
      <c r="M422" s="55">
        <f t="shared" si="90"/>
        <v>0</v>
      </c>
      <c r="N422" s="1"/>
      <c r="O422" s="1"/>
      <c r="P422" s="1"/>
      <c r="Q422" s="55">
        <f t="shared" si="91"/>
        <v>0</v>
      </c>
      <c r="R422" s="55">
        <f t="shared" si="92"/>
        <v>0</v>
      </c>
    </row>
    <row r="423" spans="1:21" ht="15.75" customHeight="1" x14ac:dyDescent="0.3">
      <c r="A423" s="72" t="s">
        <v>652</v>
      </c>
      <c r="B423" s="1"/>
      <c r="C423" s="1"/>
      <c r="D423" s="1"/>
      <c r="E423" s="55">
        <f t="shared" si="88"/>
        <v>0</v>
      </c>
      <c r="F423" s="1"/>
      <c r="G423" s="1"/>
      <c r="H423" s="1"/>
      <c r="I423" s="55">
        <f t="shared" si="89"/>
        <v>0</v>
      </c>
      <c r="J423" s="1"/>
      <c r="K423" s="1"/>
      <c r="L423" s="1"/>
      <c r="M423" s="55">
        <f t="shared" si="90"/>
        <v>0</v>
      </c>
      <c r="N423" s="1"/>
      <c r="O423" s="1"/>
      <c r="P423" s="1"/>
      <c r="Q423" s="55">
        <f t="shared" si="91"/>
        <v>0</v>
      </c>
      <c r="R423" s="55">
        <f t="shared" si="92"/>
        <v>0</v>
      </c>
    </row>
    <row r="424" spans="1:21" ht="15.75" customHeight="1" x14ac:dyDescent="0.3">
      <c r="A424" s="72" t="s">
        <v>746</v>
      </c>
      <c r="B424" s="1"/>
      <c r="C424" s="1"/>
      <c r="D424" s="1"/>
      <c r="E424" s="55">
        <f t="shared" si="88"/>
        <v>0</v>
      </c>
      <c r="F424" s="1"/>
      <c r="G424" s="1"/>
      <c r="H424" s="1"/>
      <c r="I424" s="55">
        <f t="shared" si="89"/>
        <v>0</v>
      </c>
      <c r="J424" s="1"/>
      <c r="K424" s="1"/>
      <c r="L424" s="1"/>
      <c r="M424" s="55">
        <f t="shared" si="90"/>
        <v>0</v>
      </c>
      <c r="N424" s="1"/>
      <c r="O424" s="1"/>
      <c r="P424" s="1"/>
      <c r="Q424" s="55">
        <f t="shared" si="91"/>
        <v>0</v>
      </c>
      <c r="R424" s="55">
        <f t="shared" si="92"/>
        <v>0</v>
      </c>
      <c r="T424" s="4" t="s">
        <v>224</v>
      </c>
    </row>
    <row r="425" spans="1:21" ht="15.75" customHeight="1" x14ac:dyDescent="0.3">
      <c r="A425" s="15" t="s">
        <v>70</v>
      </c>
      <c r="B425" s="1"/>
      <c r="C425" s="1"/>
      <c r="D425" s="1"/>
      <c r="E425" s="55" t="s">
        <v>7</v>
      </c>
      <c r="F425" s="1"/>
      <c r="G425" s="1"/>
      <c r="H425" s="1"/>
      <c r="I425" s="55" t="s">
        <v>7</v>
      </c>
      <c r="J425" s="1"/>
      <c r="K425" s="1"/>
      <c r="L425" s="1"/>
      <c r="M425" s="55" t="s">
        <v>7</v>
      </c>
      <c r="N425" s="1"/>
      <c r="O425" s="1"/>
      <c r="P425" s="1"/>
      <c r="Q425" s="55" t="s">
        <v>7</v>
      </c>
      <c r="R425" s="55" t="s">
        <v>7</v>
      </c>
    </row>
    <row r="426" spans="1:21" ht="15.75" customHeight="1" x14ac:dyDescent="0.3">
      <c r="A426" s="72" t="s">
        <v>977</v>
      </c>
      <c r="B426" s="1"/>
      <c r="C426" s="1"/>
      <c r="D426" s="1"/>
      <c r="E426" s="55">
        <f>SUM(B426:D426)</f>
        <v>0</v>
      </c>
      <c r="F426" s="1"/>
      <c r="G426" s="1"/>
      <c r="H426" s="1"/>
      <c r="I426" s="55">
        <f>SUM(F426:H426)</f>
        <v>0</v>
      </c>
      <c r="J426" s="1"/>
      <c r="K426" s="1"/>
      <c r="L426" s="1"/>
      <c r="M426" s="55">
        <f>SUM(J426:L426)</f>
        <v>0</v>
      </c>
      <c r="N426" s="1"/>
      <c r="O426" s="1"/>
      <c r="P426" s="1"/>
      <c r="Q426" s="55">
        <f>SUM(N426:P426)</f>
        <v>0</v>
      </c>
      <c r="R426" s="55">
        <f>+E426+I426+M426+Q426</f>
        <v>0</v>
      </c>
      <c r="T426" s="4" t="s">
        <v>209</v>
      </c>
    </row>
    <row r="427" spans="1:21" ht="15.75" customHeight="1" x14ac:dyDescent="0.3">
      <c r="A427" s="72" t="s">
        <v>978</v>
      </c>
      <c r="B427" s="1"/>
      <c r="C427" s="1"/>
      <c r="D427" s="1"/>
      <c r="E427" s="55">
        <f>SUM(B427:D427)</f>
        <v>0</v>
      </c>
      <c r="F427" s="1"/>
      <c r="G427" s="1"/>
      <c r="H427" s="1"/>
      <c r="I427" s="55">
        <f>SUM(F427:H427)</f>
        <v>0</v>
      </c>
      <c r="J427" s="1"/>
      <c r="K427" s="1"/>
      <c r="L427" s="1"/>
      <c r="M427" s="55">
        <f>SUM(J427:L427)</f>
        <v>0</v>
      </c>
      <c r="N427" s="1"/>
      <c r="O427" s="1"/>
      <c r="P427" s="1"/>
      <c r="Q427" s="55">
        <f>SUM(N427:P427)</f>
        <v>0</v>
      </c>
      <c r="R427" s="55">
        <f>+E427+I427+M427+Q427</f>
        <v>0</v>
      </c>
      <c r="T427" s="4" t="s">
        <v>209</v>
      </c>
    </row>
    <row r="428" spans="1:21" ht="15.75" customHeight="1" x14ac:dyDescent="0.3">
      <c r="A428" s="72" t="s">
        <v>750</v>
      </c>
      <c r="B428" s="1"/>
      <c r="C428" s="1"/>
      <c r="D428" s="1"/>
      <c r="E428" s="55">
        <f>SUM(B428:D428)</f>
        <v>0</v>
      </c>
      <c r="F428" s="1"/>
      <c r="G428" s="1"/>
      <c r="H428" s="1"/>
      <c r="I428" s="55">
        <f>SUM(F428:H428)</f>
        <v>0</v>
      </c>
      <c r="J428" s="1"/>
      <c r="K428" s="1"/>
      <c r="L428" s="1"/>
      <c r="M428" s="55">
        <f>SUM(J428:L428)</f>
        <v>0</v>
      </c>
      <c r="N428" s="1"/>
      <c r="O428" s="1"/>
      <c r="P428" s="1"/>
      <c r="Q428" s="55">
        <f>SUM(N428:P428)</f>
        <v>0</v>
      </c>
      <c r="R428" s="55">
        <f>+E428+I428+M428+Q428</f>
        <v>0</v>
      </c>
    </row>
    <row r="429" spans="1:21" ht="15.75" customHeight="1" x14ac:dyDescent="0.3">
      <c r="A429" s="72" t="s">
        <v>751</v>
      </c>
      <c r="B429" s="1"/>
      <c r="C429" s="1"/>
      <c r="D429" s="1"/>
      <c r="E429" s="55">
        <f t="shared" ref="E429:E439" si="93">SUM(B429:D429)</f>
        <v>0</v>
      </c>
      <c r="F429" s="1"/>
      <c r="G429" s="1"/>
      <c r="H429" s="1">
        <v>2381</v>
      </c>
      <c r="I429" s="55">
        <f t="shared" ref="I429:I439" si="94">SUM(F429:H429)</f>
        <v>2381</v>
      </c>
      <c r="J429" s="1">
        <v>3459</v>
      </c>
      <c r="K429" s="1"/>
      <c r="L429" s="1"/>
      <c r="M429" s="55">
        <f t="shared" ref="M429:M439" si="95">SUM(J429:L429)</f>
        <v>3459</v>
      </c>
      <c r="N429" s="1"/>
      <c r="O429" s="1"/>
      <c r="P429" s="1"/>
      <c r="Q429" s="55">
        <f t="shared" ref="Q429:Q439" si="96">SUM(N429:P429)</f>
        <v>0</v>
      </c>
      <c r="R429" s="55">
        <f t="shared" ref="R429:R439" si="97">+E429+I429+M429+Q429</f>
        <v>5840</v>
      </c>
    </row>
    <row r="430" spans="1:21" ht="15.75" customHeight="1" x14ac:dyDescent="0.3">
      <c r="A430" s="72" t="s">
        <v>752</v>
      </c>
      <c r="B430" s="1"/>
      <c r="C430" s="1"/>
      <c r="D430" s="1"/>
      <c r="E430" s="55">
        <f>SUM(B430:D430)</f>
        <v>0</v>
      </c>
      <c r="F430" s="1"/>
      <c r="G430" s="1"/>
      <c r="H430" s="1"/>
      <c r="I430" s="55">
        <f>SUM(F430:H430)</f>
        <v>0</v>
      </c>
      <c r="J430" s="1"/>
      <c r="K430" s="1"/>
      <c r="L430" s="1"/>
      <c r="M430" s="55">
        <f>SUM(J430:L430)</f>
        <v>0</v>
      </c>
      <c r="N430" s="1"/>
      <c r="O430" s="1"/>
      <c r="P430" s="1"/>
      <c r="Q430" s="55">
        <f>SUM(N430:P430)</f>
        <v>0</v>
      </c>
      <c r="R430" s="55">
        <f>+E430+I430+M430+Q430</f>
        <v>0</v>
      </c>
    </row>
    <row r="431" spans="1:21" ht="15.75" customHeight="1" x14ac:dyDescent="0.3">
      <c r="A431" s="72" t="s">
        <v>753</v>
      </c>
      <c r="B431" s="1"/>
      <c r="C431" s="1">
        <v>700</v>
      </c>
      <c r="D431" s="1">
        <v>1090</v>
      </c>
      <c r="E431" s="55">
        <f>SUM(B431:D431)</f>
        <v>1790</v>
      </c>
      <c r="F431" s="1">
        <v>1200</v>
      </c>
      <c r="G431" s="1">
        <v>1260</v>
      </c>
      <c r="H431" s="1">
        <v>510</v>
      </c>
      <c r="I431" s="55">
        <f>SUM(F431:H431)</f>
        <v>2970</v>
      </c>
      <c r="J431" s="1">
        <v>510</v>
      </c>
      <c r="K431" s="1">
        <v>310</v>
      </c>
      <c r="L431" s="1">
        <v>200</v>
      </c>
      <c r="M431" s="55">
        <f>SUM(J431:L431)</f>
        <v>1020</v>
      </c>
      <c r="N431" s="1">
        <v>60</v>
      </c>
      <c r="O431" s="1"/>
      <c r="P431" s="1"/>
      <c r="Q431" s="55">
        <f>SUM(N431:P431)</f>
        <v>60</v>
      </c>
      <c r="R431" s="55">
        <f>+E431+I431+M431+Q431</f>
        <v>5840</v>
      </c>
      <c r="T431" s="4" t="s">
        <v>209</v>
      </c>
      <c r="U431" s="355"/>
    </row>
    <row r="432" spans="1:21" ht="15.75" customHeight="1" x14ac:dyDescent="0.3">
      <c r="A432" s="72" t="s">
        <v>754</v>
      </c>
      <c r="B432" s="1"/>
      <c r="C432" s="1"/>
      <c r="D432" s="1"/>
      <c r="E432" s="55">
        <f>SUM(B432:D432)</f>
        <v>0</v>
      </c>
      <c r="F432" s="1"/>
      <c r="G432" s="1"/>
      <c r="H432" s="1"/>
      <c r="I432" s="55">
        <f>SUM(F432:H432)</f>
        <v>0</v>
      </c>
      <c r="J432" s="1"/>
      <c r="K432" s="1"/>
      <c r="L432" s="1"/>
      <c r="M432" s="55">
        <f>SUM(J432:L432)</f>
        <v>0</v>
      </c>
      <c r="N432" s="1"/>
      <c r="O432" s="1"/>
      <c r="P432" s="1"/>
      <c r="Q432" s="55">
        <f>SUM(N432:P432)</f>
        <v>0</v>
      </c>
      <c r="R432" s="55">
        <f>+E432+I432+M432+Q432</f>
        <v>0</v>
      </c>
    </row>
    <row r="433" spans="1:20" ht="15.75" customHeight="1" thickBot="1" x14ac:dyDescent="0.35">
      <c r="A433" s="72" t="s">
        <v>755</v>
      </c>
      <c r="B433" s="1"/>
      <c r="C433" s="1"/>
      <c r="D433" s="1"/>
      <c r="E433" s="55">
        <f>SUM(B433:D433)</f>
        <v>0</v>
      </c>
      <c r="F433" s="1"/>
      <c r="G433" s="1"/>
      <c r="H433" s="1"/>
      <c r="I433" s="55">
        <f>SUM(F433:H433)</f>
        <v>0</v>
      </c>
      <c r="J433" s="1"/>
      <c r="K433" s="1">
        <v>1118</v>
      </c>
      <c r="L433" s="1">
        <v>1769</v>
      </c>
      <c r="M433" s="55">
        <f>SUM(J433:L433)</f>
        <v>2887</v>
      </c>
      <c r="N433" s="1">
        <v>1540</v>
      </c>
      <c r="O433" s="1">
        <v>952</v>
      </c>
      <c r="P433" s="1">
        <v>654</v>
      </c>
      <c r="Q433" s="55">
        <f>SUM(N433:P433)</f>
        <v>3146</v>
      </c>
      <c r="R433" s="55">
        <f>+E433+I433+M433+Q433</f>
        <v>6033</v>
      </c>
      <c r="T433" s="4" t="s">
        <v>214</v>
      </c>
    </row>
    <row r="434" spans="1:20" ht="16.5" customHeight="1" thickBot="1" x14ac:dyDescent="0.35">
      <c r="A434" s="57" t="s">
        <v>71</v>
      </c>
      <c r="B434" s="58">
        <f>SUM(B418:B433)</f>
        <v>0</v>
      </c>
      <c r="C434" s="58">
        <f>SUM(C418:C433)</f>
        <v>700</v>
      </c>
      <c r="D434" s="58">
        <f>SUM(D418:D433)</f>
        <v>1090</v>
      </c>
      <c r="E434" s="60">
        <f t="shared" si="93"/>
        <v>1790</v>
      </c>
      <c r="F434" s="58">
        <f>SUM(F418:F433)</f>
        <v>1200</v>
      </c>
      <c r="G434" s="58">
        <f>SUM(G418:G433)</f>
        <v>1260</v>
      </c>
      <c r="H434" s="58">
        <f>SUM(H418:H433)</f>
        <v>3891</v>
      </c>
      <c r="I434" s="60">
        <f t="shared" si="94"/>
        <v>6351</v>
      </c>
      <c r="J434" s="58">
        <f>SUM(J418:J433)</f>
        <v>3969</v>
      </c>
      <c r="K434" s="58">
        <f>SUM(K418:K433)</f>
        <v>1428</v>
      </c>
      <c r="L434" s="58">
        <f>SUM(L418:L433)</f>
        <v>1969</v>
      </c>
      <c r="M434" s="60">
        <f t="shared" si="95"/>
        <v>7366</v>
      </c>
      <c r="N434" s="58">
        <f>SUM(N418:N433)</f>
        <v>5392</v>
      </c>
      <c r="O434" s="58">
        <f>SUM(O418:O433)</f>
        <v>2160</v>
      </c>
      <c r="P434" s="58">
        <f>SUM(P418:P433)</f>
        <v>654</v>
      </c>
      <c r="Q434" s="60">
        <f t="shared" si="96"/>
        <v>8206</v>
      </c>
      <c r="R434" s="59">
        <f t="shared" si="97"/>
        <v>23713</v>
      </c>
    </row>
    <row r="435" spans="1:20" ht="16.5" customHeight="1" thickBot="1" x14ac:dyDescent="0.35">
      <c r="A435" s="114" t="s">
        <v>72</v>
      </c>
      <c r="B435" s="86">
        <f>SUM(B412:B433)</f>
        <v>0</v>
      </c>
      <c r="C435" s="87">
        <f>SUM(C412:C433)</f>
        <v>700</v>
      </c>
      <c r="D435" s="118">
        <f>SUM(D412:D433)</f>
        <v>1090</v>
      </c>
      <c r="E435" s="60">
        <f t="shared" si="93"/>
        <v>1790</v>
      </c>
      <c r="F435" s="87">
        <f>SUM(F412:F433)</f>
        <v>4115</v>
      </c>
      <c r="G435" s="87">
        <f>SUM(G412:G433)</f>
        <v>3490</v>
      </c>
      <c r="H435" s="87">
        <f>SUM(H412:H433)</f>
        <v>3891</v>
      </c>
      <c r="I435" s="60">
        <f t="shared" si="94"/>
        <v>11496</v>
      </c>
      <c r="J435" s="87">
        <f>SUM(J412:J433)</f>
        <v>5998</v>
      </c>
      <c r="K435" s="87">
        <f>SUM(K412:K433)</f>
        <v>1428</v>
      </c>
      <c r="L435" s="87">
        <f>SUM(L412:L433)</f>
        <v>1969</v>
      </c>
      <c r="M435" s="60">
        <f t="shared" si="95"/>
        <v>9395</v>
      </c>
      <c r="N435" s="87">
        <f>SUM(N412:N433)</f>
        <v>5392</v>
      </c>
      <c r="O435" s="87">
        <f>SUM(O412:O433)</f>
        <v>2160</v>
      </c>
      <c r="P435" s="87">
        <f>SUM(P412:P433)</f>
        <v>654</v>
      </c>
      <c r="Q435" s="60">
        <f t="shared" si="96"/>
        <v>8206</v>
      </c>
      <c r="R435" s="59">
        <f t="shared" si="97"/>
        <v>30887</v>
      </c>
    </row>
    <row r="436" spans="1:20" ht="16.5" customHeight="1" thickBot="1" x14ac:dyDescent="0.35">
      <c r="A436" s="57" t="s">
        <v>73</v>
      </c>
      <c r="B436" s="90">
        <f>+B354+B369+B411+B435</f>
        <v>14571</v>
      </c>
      <c r="C436" s="58">
        <f>+C354+C369+C411+C435</f>
        <v>39634</v>
      </c>
      <c r="D436" s="58">
        <f>+D354+D369+D411+D435</f>
        <v>57342</v>
      </c>
      <c r="E436" s="59">
        <f t="shared" si="93"/>
        <v>111547</v>
      </c>
      <c r="F436" s="58">
        <f>+F354+F369+F411+F435</f>
        <v>63242</v>
      </c>
      <c r="G436" s="58">
        <f>+G354+G369+G411+G435</f>
        <v>82103</v>
      </c>
      <c r="H436" s="58">
        <f>+H354+H369+H411+H435</f>
        <v>98891</v>
      </c>
      <c r="I436" s="59">
        <f t="shared" si="94"/>
        <v>244236</v>
      </c>
      <c r="J436" s="58">
        <f>+J354+J369+J411+J435</f>
        <v>77505</v>
      </c>
      <c r="K436" s="58">
        <f>+K354+K369+K411+K435</f>
        <v>60423</v>
      </c>
      <c r="L436" s="58">
        <f>+L354+L369+L411+L435</f>
        <v>46173</v>
      </c>
      <c r="M436" s="59">
        <f t="shared" si="95"/>
        <v>184101</v>
      </c>
      <c r="N436" s="58">
        <f>+N354+N369+N411+N435</f>
        <v>40709</v>
      </c>
      <c r="O436" s="58">
        <f>+O354+O369+O411+O435</f>
        <v>19963</v>
      </c>
      <c r="P436" s="58">
        <f>+P354+P369+P411+P435</f>
        <v>25576</v>
      </c>
      <c r="Q436" s="59">
        <f t="shared" si="96"/>
        <v>86248</v>
      </c>
      <c r="R436" s="81">
        <f t="shared" si="97"/>
        <v>626132</v>
      </c>
    </row>
    <row r="437" spans="1:20" ht="15.75" customHeight="1" x14ac:dyDescent="0.3">
      <c r="A437" s="71" t="s">
        <v>756</v>
      </c>
      <c r="B437" s="1"/>
      <c r="C437" s="1"/>
      <c r="D437" s="1"/>
      <c r="E437" s="55">
        <f t="shared" si="93"/>
        <v>0</v>
      </c>
      <c r="F437" s="1"/>
      <c r="G437" s="1"/>
      <c r="H437" s="1"/>
      <c r="I437" s="55">
        <f t="shared" si="94"/>
        <v>0</v>
      </c>
      <c r="J437" s="1"/>
      <c r="K437" s="1"/>
      <c r="L437" s="1"/>
      <c r="M437" s="55">
        <f t="shared" si="95"/>
        <v>0</v>
      </c>
      <c r="N437" s="1"/>
      <c r="O437" s="1"/>
      <c r="P437" s="1"/>
      <c r="Q437" s="55">
        <f t="shared" si="96"/>
        <v>0</v>
      </c>
      <c r="R437" s="55">
        <f t="shared" si="97"/>
        <v>0</v>
      </c>
    </row>
    <row r="438" spans="1:20" ht="15.75" customHeight="1" x14ac:dyDescent="0.3">
      <c r="A438" s="71" t="s">
        <v>757</v>
      </c>
      <c r="B438" s="1"/>
      <c r="C438" s="1"/>
      <c r="D438" s="1"/>
      <c r="E438" s="55">
        <f t="shared" si="93"/>
        <v>0</v>
      </c>
      <c r="F438" s="1"/>
      <c r="G438" s="1"/>
      <c r="H438" s="1"/>
      <c r="I438" s="55">
        <f t="shared" si="94"/>
        <v>0</v>
      </c>
      <c r="J438" s="1"/>
      <c r="K438" s="1"/>
      <c r="L438" s="1"/>
      <c r="M438" s="55">
        <f t="shared" si="95"/>
        <v>0</v>
      </c>
      <c r="N438" s="1"/>
      <c r="O438" s="1"/>
      <c r="P438" s="1"/>
      <c r="Q438" s="55">
        <f t="shared" si="96"/>
        <v>0</v>
      </c>
      <c r="R438" s="55">
        <f t="shared" si="97"/>
        <v>0</v>
      </c>
    </row>
    <row r="439" spans="1:20" ht="16.5" customHeight="1" thickBot="1" x14ac:dyDescent="0.35">
      <c r="A439" s="73" t="s">
        <v>40</v>
      </c>
      <c r="B439" s="21">
        <v>155</v>
      </c>
      <c r="C439" s="21">
        <v>283</v>
      </c>
      <c r="D439" s="21">
        <v>435</v>
      </c>
      <c r="E439" s="81">
        <f t="shared" si="93"/>
        <v>873</v>
      </c>
      <c r="F439" s="21">
        <v>602</v>
      </c>
      <c r="G439" s="21">
        <v>711</v>
      </c>
      <c r="H439" s="21">
        <v>722</v>
      </c>
      <c r="I439" s="81">
        <f t="shared" si="94"/>
        <v>2035</v>
      </c>
      <c r="J439" s="21">
        <v>686</v>
      </c>
      <c r="K439" s="21">
        <v>519</v>
      </c>
      <c r="L439" s="21">
        <v>531</v>
      </c>
      <c r="M439" s="81">
        <f t="shared" si="95"/>
        <v>1736</v>
      </c>
      <c r="N439" s="21">
        <v>489</v>
      </c>
      <c r="O439" s="21">
        <v>389</v>
      </c>
      <c r="P439" s="21">
        <v>275</v>
      </c>
      <c r="Q439" s="81">
        <f t="shared" si="96"/>
        <v>1153</v>
      </c>
      <c r="R439" s="55">
        <f t="shared" si="97"/>
        <v>5797</v>
      </c>
    </row>
    <row r="440" spans="1:20" ht="16.5" customHeight="1" thickBot="1" x14ac:dyDescent="0.35">
      <c r="A440" s="74"/>
      <c r="B440" s="75"/>
      <c r="C440" s="75"/>
      <c r="D440" s="75"/>
      <c r="E440" s="59"/>
      <c r="F440" s="75"/>
      <c r="G440" s="75"/>
      <c r="H440" s="75"/>
      <c r="I440" s="59"/>
      <c r="J440" s="75"/>
      <c r="K440" s="75"/>
      <c r="L440" s="75"/>
      <c r="M440" s="59"/>
      <c r="N440" s="75"/>
      <c r="O440" s="75"/>
      <c r="P440" s="75"/>
      <c r="Q440" s="59"/>
      <c r="R440" s="59" t="s">
        <v>7</v>
      </c>
    </row>
    <row r="441" spans="1:20" ht="15.75" customHeight="1" x14ac:dyDescent="0.3">
      <c r="A441" s="76" t="s">
        <v>41</v>
      </c>
      <c r="B441" s="77">
        <f>SUM(B436:B439)</f>
        <v>14726</v>
      </c>
      <c r="C441" s="77">
        <f>SUM(C436:C439)</f>
        <v>39917</v>
      </c>
      <c r="D441" s="77">
        <f>SUM(D436:D439)</f>
        <v>57777</v>
      </c>
      <c r="E441" s="60">
        <f>SUM(B441:D441)</f>
        <v>112420</v>
      </c>
      <c r="F441" s="77">
        <f>SUM(F436:F439)</f>
        <v>63844</v>
      </c>
      <c r="G441" s="77">
        <f>SUM(G436:G439)</f>
        <v>82814</v>
      </c>
      <c r="H441" s="77">
        <f>SUM(H436:H439)</f>
        <v>99613</v>
      </c>
      <c r="I441" s="60">
        <f>SUM(F441:H441)</f>
        <v>246271</v>
      </c>
      <c r="J441" s="77">
        <f>SUM(J436:J439)</f>
        <v>78191</v>
      </c>
      <c r="K441" s="77">
        <f>SUM(K436:K439)</f>
        <v>60942</v>
      </c>
      <c r="L441" s="77">
        <f>SUM(L436:L439)</f>
        <v>46704</v>
      </c>
      <c r="M441" s="60">
        <f>SUM(J441:L441)</f>
        <v>185837</v>
      </c>
      <c r="N441" s="77">
        <f>SUM(N436:N439)</f>
        <v>41198</v>
      </c>
      <c r="O441" s="77">
        <f>SUM(O436:O439)</f>
        <v>20352</v>
      </c>
      <c r="P441" s="77">
        <f>SUM(P436:P439)</f>
        <v>25851</v>
      </c>
      <c r="Q441" s="60">
        <f>SUM(N441:P441)</f>
        <v>87401</v>
      </c>
      <c r="R441" s="60">
        <f>+E441+I441+M441+Q441</f>
        <v>631929</v>
      </c>
    </row>
    <row r="442" spans="1:20" ht="15.75" customHeight="1" x14ac:dyDescent="0.3">
      <c r="A442" s="79" t="s">
        <v>42</v>
      </c>
      <c r="B442" s="1">
        <f>(B441/B10)/1.983</f>
        <v>239.55232378442568</v>
      </c>
      <c r="C442" s="1">
        <f>(C441/C10)/1.983</f>
        <v>694.12419357643421</v>
      </c>
      <c r="D442" s="1">
        <f>(D441/D10)/1.983</f>
        <v>939.87604314089106</v>
      </c>
      <c r="E442" s="55" t="s">
        <v>7</v>
      </c>
      <c r="F442" s="1">
        <f>(F441/F10)/1.983</f>
        <v>1073.1887712220539</v>
      </c>
      <c r="G442" s="1">
        <f>(G441/G10)/1.983</f>
        <v>1347.1605420265807</v>
      </c>
      <c r="H442" s="1">
        <f>(H441/H10)/1.983</f>
        <v>1674.4494873087913</v>
      </c>
      <c r="I442" s="55" t="s">
        <v>7</v>
      </c>
      <c r="J442" s="1">
        <f>(J441/J10)/1.983</f>
        <v>1271.9567940396598</v>
      </c>
      <c r="K442" s="1">
        <f>(K441/K10)/1.983</f>
        <v>991.36206139280648</v>
      </c>
      <c r="L442" s="1">
        <f>(L441/L10)/1.983</f>
        <v>785.07312153303064</v>
      </c>
      <c r="M442" s="55" t="s">
        <v>7</v>
      </c>
      <c r="N442" s="1">
        <f>(N441/N10)/1.983</f>
        <v>670.18040440518598</v>
      </c>
      <c r="O442" s="1">
        <f>(O441/O10)/1.983</f>
        <v>342.1079172970247</v>
      </c>
      <c r="P442" s="1">
        <f>(P441/P10)/1.983</f>
        <v>420.52608462251715</v>
      </c>
      <c r="Q442" s="55" t="s">
        <v>7</v>
      </c>
      <c r="R442" s="55" t="s">
        <v>7</v>
      </c>
    </row>
    <row r="443" spans="1:20" ht="15.75" customHeight="1" x14ac:dyDescent="0.3">
      <c r="A443" s="79" t="s">
        <v>289</v>
      </c>
      <c r="B443" s="1">
        <f>B441+B490</f>
        <v>23810</v>
      </c>
      <c r="C443" s="1">
        <f>C441+C490</f>
        <v>57969</v>
      </c>
      <c r="D443" s="1">
        <f>D441+D490</f>
        <v>89418</v>
      </c>
      <c r="E443" s="55">
        <f>SUM(B443:D443)</f>
        <v>171197</v>
      </c>
      <c r="F443" s="1">
        <f>F441+F490</f>
        <v>103186</v>
      </c>
      <c r="G443" s="1">
        <f>G441+G490</f>
        <v>119224</v>
      </c>
      <c r="H443" s="1">
        <f>H441+H490</f>
        <v>145021</v>
      </c>
      <c r="I443" s="55">
        <f>SUM(F443:H443)</f>
        <v>367431</v>
      </c>
      <c r="J443" s="1">
        <f>J441+J490</f>
        <v>128199</v>
      </c>
      <c r="K443" s="1">
        <f>K441+K490</f>
        <v>96897</v>
      </c>
      <c r="L443" s="1">
        <f>L441+L490</f>
        <v>80109</v>
      </c>
      <c r="M443" s="55">
        <f>SUM(J443:L443)</f>
        <v>305205</v>
      </c>
      <c r="N443" s="1">
        <f>N441+N490</f>
        <v>52257</v>
      </c>
      <c r="O443" s="1">
        <f>O441+O490</f>
        <v>32345</v>
      </c>
      <c r="P443" s="1">
        <f>P441+P490</f>
        <v>41828</v>
      </c>
      <c r="Q443" s="55">
        <f>SUM(N443:P443)</f>
        <v>126430</v>
      </c>
      <c r="R443" s="55">
        <f>+E443+I443+M443+Q443</f>
        <v>970263</v>
      </c>
    </row>
    <row r="444" spans="1:20" s="344" customFormat="1" ht="16.5" customHeight="1" thickBot="1" x14ac:dyDescent="0.35">
      <c r="A444" s="356" t="s">
        <v>290</v>
      </c>
      <c r="B444" s="357">
        <f>(B443/B10)/1.983</f>
        <v>387.32451645437834</v>
      </c>
      <c r="C444" s="357">
        <f>(C443/C10)/1.983</f>
        <v>1008.0338045803119</v>
      </c>
      <c r="D444" s="357">
        <f>(D443/D10)/1.983</f>
        <v>1454.589819920941</v>
      </c>
      <c r="E444" s="358" t="s">
        <v>7</v>
      </c>
      <c r="F444" s="357">
        <f>(F443/F10)/1.983</f>
        <v>1734.5100016809547</v>
      </c>
      <c r="G444" s="357">
        <f>(G443/G10)/1.983</f>
        <v>1939.453093227921</v>
      </c>
      <c r="H444" s="357">
        <f>(H443/H10)/1.983</f>
        <v>2437.7374348630024</v>
      </c>
      <c r="I444" s="358" t="s">
        <v>7</v>
      </c>
      <c r="J444" s="357">
        <f>(J443/J10)/1.983</f>
        <v>2085.452149724269</v>
      </c>
      <c r="K444" s="357">
        <f>(K443/K10)/1.983</f>
        <v>1576.2529891171732</v>
      </c>
      <c r="L444" s="357">
        <f>(L443/L10)/1.983</f>
        <v>1346.5960665658095</v>
      </c>
      <c r="M444" s="358" t="s">
        <v>7</v>
      </c>
      <c r="N444" s="357">
        <f>(N443/N10)/1.983</f>
        <v>850.08052315650775</v>
      </c>
      <c r="O444" s="357">
        <f>(O443/O10)/1.983</f>
        <v>543.70482434022529</v>
      </c>
      <c r="P444" s="357">
        <f>(P443/P10)/1.983</f>
        <v>680.42880614253409</v>
      </c>
      <c r="Q444" s="358" t="s">
        <v>7</v>
      </c>
      <c r="R444" s="358" t="s">
        <v>7</v>
      </c>
      <c r="S444" s="4"/>
    </row>
    <row r="445" spans="1:20" ht="15.75" customHeight="1" x14ac:dyDescent="0.3">
      <c r="A445" s="120" t="s">
        <v>291</v>
      </c>
      <c r="B445" s="121">
        <f>B$446+(SUMIF($T$301:$T$422,"FLG",B$308:B$438)/B10/1.98)+(SUMIF($T$301:$T$422,"FCA",B$308:B$438)/B10/1.98)+(SUMIF($T$301:$T$422,"NSC",B$308:B$438)/B10/1.98)</f>
        <v>226.72299097558965</v>
      </c>
      <c r="C445" s="121">
        <f>C$446+(SUMIF($T$301:$T$422,"FLG",C$308:C$438)/C10/1.98)+(SUMIF($T$301:$T$422,"FCA",C$308:C$438)/C10/1.98)+(SUMIF($T$301:$T$422,"NSC",C$308:C$438)/C10/1.98)</f>
        <v>605.53273883390216</v>
      </c>
      <c r="D445" s="121">
        <f>D$446+(SUMIF($T$301:$T$422,"FLG",D$308:D$438)/D10/1.98)+(SUMIF($T$301:$T$422,"FCA",D$308:D$438)/D10/1.98)+(SUMIF($T$301:$T$422,"NSC",D$308:D$438)/D10/1.98)</f>
        <v>944.47917267447792</v>
      </c>
      <c r="E445" s="122"/>
      <c r="F445" s="121">
        <f>F$446+(SUMIF($T$301:$T$422,"FLG",F$308:F$438)/F10/1.98)+(SUMIF($T$301:$T$422,"FCA",F$308:F$438)/F10/1.98)+(SUMIF($T$301:$T$422,"NSC",F$308:F$438)/F10/1.98)</f>
        <v>1083.0720722097424</v>
      </c>
      <c r="G445" s="121">
        <f>G$446+(SUMIF($T$301:$T$422,"FLG",G$308:G$438)/G10/1.98)+(SUMIF($T$301:$T$422,"FCA",G$308:G$438)/G10/1.98)+(SUMIF($T$301:$T$422,"NSC",G$308:G$438)/G10/1.98)</f>
        <v>1196.5773345183818</v>
      </c>
      <c r="H445" s="121">
        <f>H$446+(SUMIF($T$301:$T$422,"FLG",H$308:H$438)/H10/1.98)+(SUMIF($T$301:$T$422,"FCA",H$308:H$438)/H10/1.98)+(SUMIF($T$301:$T$422,"NSC",H$308:H$438)/H10/1.98)</f>
        <v>1594.2812135474767</v>
      </c>
      <c r="I445" s="45"/>
      <c r="J445" s="121">
        <f>J$446+(SUMIF($T$301:$T$422,"FLG",J$308:J$438)/J10/1.98)+(SUMIF($T$301:$T$422,"FCA",J$308:J$438)/J10/1.98)+(SUMIF($T$301:$T$422,"NSC",J$308:J$438)/J10/1.98)</f>
        <v>1255.4797154109049</v>
      </c>
      <c r="K445" s="121">
        <f>K$446+(SUMIF($T$301:$T$422,"FLG",K$308:K$438)/K10/1.98)+(SUMIF($T$301:$T$422,"FCA",K$308:K$438)/K10/1.98)+(SUMIF($T$301:$T$422,"NSC",K$308:K$438)/K10/1.98)</f>
        <v>1031.6651212727538</v>
      </c>
      <c r="L445" s="121">
        <f>L$446+(SUMIF($T$301:$T$422,"FLG",L$308:L$438)/L10/1.98)+(SUMIF($T$301:$T$422,"FCA",L$308:L$438)/L10/1.98)+(SUMIF($T$301:$T$422,"NSC",L$308:L$438)/L10/1.98)</f>
        <v>910.42866893850248</v>
      </c>
      <c r="M445" s="45"/>
      <c r="N445" s="121">
        <f>N$446+(SUMIF($T$301:$T$422,"FLG",N$308:N$438)/N10/1.98)+(SUMIF($T$301:$T$422,"FCA",N$308:N$438)/N10/1.98)+(SUMIF($T$301:$T$422,"NSC",N$308:N$438)/N10/1.98)</f>
        <v>385.99330871547943</v>
      </c>
      <c r="O445" s="121">
        <f>O$446+(SUMIF($T$301:$T$422,"FLG",O$308:O$438)/O10/1.98)+(SUMIF($T$301:$T$422,"FCA",O$308:O$438)/O10/1.98)+(SUMIF($T$301:$T$422,"NSC",O$308:O$438)/O10/1.98)</f>
        <v>332.2198026660962</v>
      </c>
      <c r="P445" s="121">
        <f>P$446+(SUMIF($T$301:$T$422,"FLG",P$308:P$438)/P10/1.98)+(SUMIF($T$301:$T$422,"FCA",P$308:P$438)/P10/1.98)+(SUMIF($T$301:$T$422,"NSC",P$308:P$438)/P10/1.98)</f>
        <v>428.7525097246438</v>
      </c>
      <c r="Q445" s="45"/>
      <c r="R445" s="45"/>
    </row>
    <row r="446" spans="1:20" ht="15.75" customHeight="1" x14ac:dyDescent="0.3">
      <c r="A446" s="120" t="s">
        <v>292</v>
      </c>
      <c r="B446" s="121">
        <f>B$447+(SUMIF($T$301:$T$422,"FCI",B$308:B$438)/B10/1.98)+(SUMIF($T$301:$T$422,"FCC",B$308:B$438)/B10/1.98)</f>
        <v>226.72299097558965</v>
      </c>
      <c r="C446" s="121">
        <f>C$447+(SUMIF($T$301:$T$422,"FCI",C$308:C$438)/C10/1.98)+(SUMIF($T$301:$T$422,"FCC",C$308:C$438)/C10/1.98)</f>
        <v>605.53273883390216</v>
      </c>
      <c r="D446" s="121">
        <f>D$447+(SUMIF($T$301:$T$422,"FCI",D$308:D$438)/D10/1.98)+(SUMIF($T$301:$T$422,"FCC",D$308:D$438)/D10/1.98)</f>
        <v>944.47917267447792</v>
      </c>
      <c r="E446" s="122"/>
      <c r="F446" s="121">
        <f>F$447+(SUMIF($T$301:$T$422,"FCI",F$308:F$438)/F10/1.98)+(SUMIF($T$301:$T$422,"FCC",F$308:F$438)/F10/1.98)</f>
        <v>1083.0720722097424</v>
      </c>
      <c r="G446" s="121">
        <f>G$447+(SUMIF($T$301:$T$422,"FCI",G$308:G$438)/G10/1.98)+(SUMIF($T$301:$T$422,"FCC",G$308:G$438)/G10/1.98)</f>
        <v>1196.5773345183818</v>
      </c>
      <c r="H446" s="121">
        <f>H$447+(SUMIF($T$301:$T$422,"FCI",H$308:H$438)/H10/1.98)+(SUMIF($T$301:$T$422,"FCC",H$308:H$438)/H10/1.98)</f>
        <v>1594.2812135474767</v>
      </c>
      <c r="I446" s="45"/>
      <c r="J446" s="121">
        <f>J$447+(SUMIF($T$301:$T$422,"FCI",J$308:J$438)/J10/1.98)+(SUMIF($T$301:$T$422,"FCC",J$308:J$438)/J10/1.98)</f>
        <v>1255.4797154109049</v>
      </c>
      <c r="K446" s="121">
        <f>K$447+(SUMIF($T$301:$T$422,"FCI",K$308:K$438)/K10/1.98)+(SUMIF($T$301:$T$422,"FCC",K$308:K$438)/K10/1.98)</f>
        <v>1031.6651212727538</v>
      </c>
      <c r="L446" s="121">
        <f>L$447+(SUMIF($T$301:$T$422,"FCI",L$308:L$438)/L10/1.98)+(SUMIF($T$301:$T$422,"FCC",L$308:L$438)/L10/1.98)</f>
        <v>910.42866893850248</v>
      </c>
      <c r="M446" s="45"/>
      <c r="N446" s="121">
        <f>N$447+(SUMIF($T$301:$T$422,"FCI",N$308:N$438)/N10/1.98)+(SUMIF($T$301:$T$422,"FCC",N$308:N$438)/N10/1.98)</f>
        <v>385.99330871547943</v>
      </c>
      <c r="O446" s="121">
        <f>O$447+(SUMIF($T$301:$T$422,"FCI",O$308:O$438)/O10/1.98)+(SUMIF($T$301:$T$422,"FCC",O$308:O$438)/O10/1.98)</f>
        <v>332.2198026660962</v>
      </c>
      <c r="P446" s="121">
        <f>P$447+(SUMIF($T$301:$T$422,"FCI",P$308:P$438)/P10/1.98)+(SUMIF($T$301:$T$422,"FCC",P$308:P$438)/P10/1.98)</f>
        <v>428.7525097246438</v>
      </c>
      <c r="Q446" s="45"/>
      <c r="R446" s="45"/>
    </row>
    <row r="447" spans="1:20" ht="15.75" customHeight="1" x14ac:dyDescent="0.3">
      <c r="A447" s="120" t="s">
        <v>293</v>
      </c>
      <c r="B447" s="121">
        <f>B$448+(SUMIF($T$301:$T$422,"PIL",B$308:B$438)/B10/1.98)+(SUMIF($T$301:$T$422,"KLK",B$308:B$438)/B10/1.98)</f>
        <v>226.72299097558965</v>
      </c>
      <c r="C447" s="121">
        <f>C$448+(SUMIF($T$301:$T$422,"PIL",C$308:C$438)/C10/1.98)+(SUMIF($T$301:$T$422,"KLK",C$308:C$438)/C10/1.98)</f>
        <v>605.53273883390216</v>
      </c>
      <c r="D447" s="121">
        <f>D$448+(SUMIF($T$301:$T$422,"PIL",D$308:D$438)/D10/1.98)+(SUMIF($T$301:$T$422,"KLK",D$308:D$438)/D10/1.98)</f>
        <v>944.47917267447792</v>
      </c>
      <c r="E447" s="122"/>
      <c r="F447" s="121">
        <f>F$448+(SUMIF($T$301:$T$422,"PIL",F$308:F$438)/F10/1.98)+(SUMIF($T$301:$T$422,"KLK",F$308:F$438)/F10/1.98)</f>
        <v>1083.0720722097424</v>
      </c>
      <c r="G447" s="121">
        <f>G$448+(SUMIF($T$301:$T$422,"PIL",G$308:G$438)/G10/1.98)+(SUMIF($T$301:$T$422,"KLK",G$308:G$438)/G10/1.98)</f>
        <v>1196.5773345183818</v>
      </c>
      <c r="H447" s="121">
        <f>H$448+(SUMIF($T$301:$T$422,"PIL",H$308:H$438)/H10/1.98)+(SUMIF($T$301:$T$422,"KLK",H$308:H$438)/H10/1.98)</f>
        <v>1594.2812135474767</v>
      </c>
      <c r="I447" s="45"/>
      <c r="J447" s="121">
        <f>J$448+(SUMIF($T$301:$T$422,"PIL",J$308:J$438)/J10/1.98)+(SUMIF($T$301:$T$422,"KLK",J$308:J$438)/J10/1.98)</f>
        <v>1255.4797154109049</v>
      </c>
      <c r="K447" s="121">
        <f>K$448+(SUMIF($T$301:$T$422,"PIL",K$308:K$438)/K10/1.98)+(SUMIF($T$301:$T$422,"KLK",K$308:K$438)/K10/1.98)</f>
        <v>1031.6651212727538</v>
      </c>
      <c r="L447" s="121">
        <f>L$448+(SUMIF($T$301:$T$422,"PIL",L$308:L$438)/L10/1.98)+(SUMIF($T$301:$T$422,"KLK",L$308:L$438)/L10/1.98)</f>
        <v>910.42866893850248</v>
      </c>
      <c r="M447" s="45"/>
      <c r="N447" s="121">
        <f>N$448+(SUMIF($T$301:$T$422,"PIL",N$308:N$438)/N10/1.98)+(SUMIF($T$301:$T$422,"KLK",N$308:N$438)/N10/1.98)</f>
        <v>385.99330871547943</v>
      </c>
      <c r="O447" s="121">
        <f>O$448+(SUMIF($T$301:$T$422,"PIL",O$308:O$438)/O10/1.98)+(SUMIF($T$301:$T$422,"KLK",O$308:O$438)/O10/1.98)</f>
        <v>332.2198026660962</v>
      </c>
      <c r="P447" s="121">
        <f>P$448+(SUMIF($T$301:$T$422,"PIL",P$308:P$438)/P10/1.98)+(SUMIF($T$301:$T$422,"KLK",P$308:P$438)/P10/1.98)</f>
        <v>428.7525097246438</v>
      </c>
      <c r="Q447" s="45"/>
      <c r="R447" s="45"/>
    </row>
    <row r="448" spans="1:20" ht="15.75" customHeight="1" x14ac:dyDescent="0.3">
      <c r="A448" s="120" t="s">
        <v>294</v>
      </c>
      <c r="B448" s="121">
        <f>B$449+(SUMIF($T$301:$T$422,"CGE",B$308:B$438)/B10/1.98)</f>
        <v>226.72299097558965</v>
      </c>
      <c r="C448" s="121">
        <f>C$449+(SUMIF($T$301:$T$422,"CGE",C$308:C$438)/C10/1.98)</f>
        <v>605.53273883390216</v>
      </c>
      <c r="D448" s="121">
        <f>D$449+(SUMIF($T$301:$T$422,"CGE",D$308:D$438)/D10/1.98)</f>
        <v>944.47917267447792</v>
      </c>
      <c r="E448" s="122"/>
      <c r="F448" s="121">
        <f>F$449+(SUMIF($T$301:$T$422,"CGE",F$308:F$438)/F10/1.98)</f>
        <v>1083.0720722097424</v>
      </c>
      <c r="G448" s="121">
        <f>G$449+(SUMIF($T$301:$T$422,"CGE",G$308:G$438)/G10/1.98)</f>
        <v>1196.5773345183818</v>
      </c>
      <c r="H448" s="121">
        <f>H$449+(SUMIF($T$301:$T$422,"CGE",H$308:H$438)/H10/1.98)</f>
        <v>1594.2812135474767</v>
      </c>
      <c r="I448" s="45"/>
      <c r="J448" s="121">
        <f>J$449+(SUMIF($T$301:$T$422,"CGE",J$308:J$438)/J10/1.98)</f>
        <v>1255.4797154109049</v>
      </c>
      <c r="K448" s="121">
        <f>K$449+(SUMIF($T$301:$T$422,"CGE",K$308:K$438)/K10/1.98)</f>
        <v>1031.6651212727538</v>
      </c>
      <c r="L448" s="121">
        <f>L$449+(SUMIF($T$301:$T$422,"CGE",L$308:L$438)/L10/1.98)</f>
        <v>910.42866893850248</v>
      </c>
      <c r="M448" s="45"/>
      <c r="N448" s="121">
        <f>N$449+(SUMIF($T$301:$T$422,"CGE",N$308:N$438)/N10/1.98)</f>
        <v>385.99330871547943</v>
      </c>
      <c r="O448" s="121">
        <f>O$449+(SUMIF($T$301:$T$422,"CGE",O$308:O$438)/O10/1.98)</f>
        <v>331.4453918916854</v>
      </c>
      <c r="P448" s="121">
        <f>P$449+(SUMIF($T$301:$T$422,"CGE",P$308:P$438)/P10/1.98)</f>
        <v>415.36052536491752</v>
      </c>
      <c r="Q448" s="45"/>
      <c r="R448" s="45"/>
    </row>
    <row r="449" spans="1:20" ht="15.75" customHeight="1" x14ac:dyDescent="0.3">
      <c r="A449" s="120" t="s">
        <v>295</v>
      </c>
      <c r="B449" s="121">
        <f>B$450+(SUMIF($T$301:$T$422,"SRO",B$308:B$438)/B10/1.98)</f>
        <v>226.72299097558965</v>
      </c>
      <c r="C449" s="121">
        <f>C$450+(SUMIF($T$301:$T$422,"SRO",C$308:C$438)/C10/1.98)</f>
        <v>605.53273883390216</v>
      </c>
      <c r="D449" s="121">
        <f>D$450+(SUMIF($T$301:$T$422,"SRO",D$308:D$438)/D10/1.98)</f>
        <v>923.70693416030394</v>
      </c>
      <c r="E449" s="122"/>
      <c r="F449" s="121">
        <f>F$450+(SUMIF($T$301:$T$422,"SRO",F$308:F$438)/F10/1.98)</f>
        <v>1051.3212304589006</v>
      </c>
      <c r="G449" s="121">
        <f>G$450+(SUMIF($T$301:$T$422,"SRO",G$308:G$438)/G10/1.98)</f>
        <v>1193.4981556327514</v>
      </c>
      <c r="H449" s="121">
        <f>H$450+(SUMIF($T$301:$T$422,"SRO",H$308:H$438)/H10/1.98)</f>
        <v>1539.550573816837</v>
      </c>
      <c r="I449" s="45"/>
      <c r="J449" s="121">
        <f>J$450+(SUMIF($T$301:$T$422,"SRO",J$308:J$438)/J10/1.98)</f>
        <v>1203.8831041368742</v>
      </c>
      <c r="K449" s="121">
        <f>K$450+(SUMIF($T$301:$T$422,"SRO",K$308:K$438)/K10/1.98)</f>
        <v>1011.5934366849402</v>
      </c>
      <c r="L449" s="121">
        <f>L$450+(SUMIF($T$301:$T$422,"SRO",L$308:L$438)/L10/1.98)</f>
        <v>910.42866893850248</v>
      </c>
      <c r="M449" s="45"/>
      <c r="N449" s="121">
        <f>N$450+(SUMIF($T$301:$T$422,"SRO",N$308:N$438)/N10/1.98)</f>
        <v>385.99330871547943</v>
      </c>
      <c r="O449" s="121">
        <f>O$450+(SUMIF($T$301:$T$422,"SRO",O$308:O$438)/O10/1.98)</f>
        <v>331.4453918916854</v>
      </c>
      <c r="P449" s="121">
        <f>P$450+(SUMIF($T$301:$T$422,"SRO",P$308:P$438)/P10/1.98)</f>
        <v>415.36052536491752</v>
      </c>
      <c r="Q449" s="45"/>
      <c r="R449" s="45"/>
    </row>
    <row r="450" spans="1:20" ht="15.75" customHeight="1" x14ac:dyDescent="0.3">
      <c r="A450" s="120" t="s">
        <v>296</v>
      </c>
      <c r="B450" s="121">
        <f>B$490/B10/1.983</f>
        <v>147.77219266995266</v>
      </c>
      <c r="C450" s="121">
        <f>C$490/C10/1.983</f>
        <v>313.90961100387779</v>
      </c>
      <c r="D450" s="121">
        <f>D$490/D10/1.983</f>
        <v>514.71377678004978</v>
      </c>
      <c r="E450" s="123"/>
      <c r="F450" s="121">
        <f>F$490/F10/1.983</f>
        <v>661.32123045890069</v>
      </c>
      <c r="G450" s="121">
        <f>G$490/G10/1.983</f>
        <v>592.29255120134042</v>
      </c>
      <c r="H450" s="121">
        <f>H$490/H10/1.983</f>
        <v>763.28794755421075</v>
      </c>
      <c r="I450" s="1"/>
      <c r="J450" s="121">
        <f>J$490/J10/1.983</f>
        <v>813.49535568460954</v>
      </c>
      <c r="K450" s="121">
        <f>K$490/K10/1.983</f>
        <v>584.89092772436675</v>
      </c>
      <c r="L450" s="121">
        <f>L$490/L10/1.983</f>
        <v>561.52294503277858</v>
      </c>
      <c r="N450" s="121">
        <f>N$490/N10/1.983</f>
        <v>179.90011875132171</v>
      </c>
      <c r="O450" s="121">
        <f>O$490/O10/1.983</f>
        <v>201.59690704320053</v>
      </c>
      <c r="P450" s="121">
        <f>P$490/P10/1.983</f>
        <v>259.90272152001688</v>
      </c>
      <c r="R450" s="45"/>
    </row>
    <row r="451" spans="1:20" ht="15.75" customHeight="1" x14ac:dyDescent="0.3">
      <c r="A451" s="120"/>
      <c r="B451" s="121"/>
      <c r="C451" s="121"/>
      <c r="D451" s="121"/>
      <c r="E451" s="123"/>
      <c r="F451" s="121"/>
      <c r="G451" s="121"/>
      <c r="H451" s="121"/>
      <c r="I451" s="1"/>
      <c r="J451" s="121"/>
      <c r="K451" s="121"/>
      <c r="L451" s="121"/>
      <c r="N451" s="121"/>
      <c r="O451" s="121"/>
      <c r="P451" s="121"/>
      <c r="R451" s="45"/>
    </row>
    <row r="452" spans="1:20" ht="15.75" customHeight="1" thickBot="1" x14ac:dyDescent="0.35">
      <c r="A452" s="28"/>
      <c r="B452" s="1"/>
      <c r="C452" s="1"/>
      <c r="D452" s="1"/>
      <c r="E452" s="1"/>
      <c r="F452" s="1"/>
      <c r="G452" s="1"/>
      <c r="H452" s="1"/>
      <c r="I452" s="1"/>
      <c r="J452" s="1"/>
      <c r="K452" s="1"/>
      <c r="L452" s="1"/>
      <c r="M452" s="1"/>
      <c r="N452" s="1"/>
      <c r="O452" s="1"/>
      <c r="P452" s="1"/>
      <c r="Q452" s="1"/>
      <c r="R452" s="2"/>
    </row>
    <row r="453" spans="1:20" ht="16.5" customHeight="1" thickBot="1" x14ac:dyDescent="0.35">
      <c r="A453" s="29" t="s">
        <v>297</v>
      </c>
      <c r="B453" s="30" t="s">
        <v>8</v>
      </c>
      <c r="C453" s="31" t="s">
        <v>9</v>
      </c>
      <c r="D453" s="31" t="s">
        <v>10</v>
      </c>
      <c r="E453" s="32" t="s">
        <v>11</v>
      </c>
      <c r="F453" s="31" t="s">
        <v>12</v>
      </c>
      <c r="G453" s="31" t="s">
        <v>13</v>
      </c>
      <c r="H453" s="31" t="s">
        <v>14</v>
      </c>
      <c r="I453" s="33" t="s">
        <v>15</v>
      </c>
      <c r="J453" s="31" t="s">
        <v>16</v>
      </c>
      <c r="K453" s="31" t="s">
        <v>17</v>
      </c>
      <c r="L453" s="31" t="s">
        <v>18</v>
      </c>
      <c r="M453" s="33" t="s">
        <v>19</v>
      </c>
      <c r="N453" s="31" t="s">
        <v>20</v>
      </c>
      <c r="O453" s="31" t="s">
        <v>21</v>
      </c>
      <c r="P453" s="31" t="s">
        <v>22</v>
      </c>
      <c r="Q453" s="33" t="s">
        <v>23</v>
      </c>
      <c r="R453" s="34" t="s">
        <v>24</v>
      </c>
    </row>
    <row r="454" spans="1:20" ht="16.5" customHeight="1" thickBot="1" x14ac:dyDescent="0.35">
      <c r="A454" s="59"/>
      <c r="B454" s="75"/>
      <c r="C454" s="75"/>
      <c r="D454" s="75"/>
      <c r="E454" s="69"/>
      <c r="F454" s="75"/>
      <c r="G454" s="75"/>
      <c r="H454" s="75"/>
      <c r="I454" s="82"/>
      <c r="J454" s="75"/>
      <c r="K454" s="75"/>
      <c r="L454" s="75"/>
      <c r="M454" s="82"/>
      <c r="N454" s="75"/>
      <c r="O454" s="75"/>
      <c r="P454" s="75"/>
      <c r="Q454" s="82"/>
      <c r="R454" s="100"/>
    </row>
    <row r="455" spans="1:20" ht="15.75" customHeight="1" x14ac:dyDescent="0.3">
      <c r="A455" s="15" t="s">
        <v>48</v>
      </c>
      <c r="B455" s="1" t="s">
        <v>7</v>
      </c>
      <c r="C455" s="1" t="s">
        <v>7</v>
      </c>
      <c r="D455" s="1" t="s">
        <v>7</v>
      </c>
      <c r="E455" s="55" t="s">
        <v>7</v>
      </c>
      <c r="F455" s="1" t="s">
        <v>7</v>
      </c>
      <c r="G455" s="1" t="s">
        <v>7</v>
      </c>
      <c r="H455" s="1" t="s">
        <v>7</v>
      </c>
      <c r="I455" s="55" t="s">
        <v>7</v>
      </c>
      <c r="J455" s="1" t="s">
        <v>7</v>
      </c>
      <c r="K455" s="1" t="s">
        <v>7</v>
      </c>
      <c r="L455" s="1" t="s">
        <v>7</v>
      </c>
      <c r="M455" s="55" t="s">
        <v>7</v>
      </c>
      <c r="N455" s="1" t="s">
        <v>7</v>
      </c>
      <c r="O455" s="1" t="s">
        <v>7</v>
      </c>
      <c r="P455" s="1" t="s">
        <v>7</v>
      </c>
      <c r="Q455" s="55" t="s">
        <v>7</v>
      </c>
      <c r="R455" s="55" t="s">
        <v>7</v>
      </c>
    </row>
    <row r="456" spans="1:20" ht="15.75" customHeight="1" x14ac:dyDescent="0.3">
      <c r="A456" s="15" t="s">
        <v>49</v>
      </c>
      <c r="B456" s="1"/>
      <c r="C456" s="1"/>
      <c r="D456" s="1"/>
      <c r="E456" s="55" t="s">
        <v>7</v>
      </c>
      <c r="F456" s="1"/>
      <c r="G456" s="1"/>
      <c r="H456" s="1"/>
      <c r="I456" s="55" t="s">
        <v>7</v>
      </c>
      <c r="J456" s="1"/>
      <c r="K456" s="1"/>
      <c r="L456" s="1"/>
      <c r="M456" s="55" t="s">
        <v>7</v>
      </c>
      <c r="N456" s="1"/>
      <c r="O456" s="1"/>
      <c r="P456" s="1"/>
      <c r="Q456" s="55" t="s">
        <v>7</v>
      </c>
      <c r="R456" s="55" t="s">
        <v>7</v>
      </c>
    </row>
    <row r="457" spans="1:20" ht="15.75" customHeight="1" x14ac:dyDescent="0.3">
      <c r="A457" s="71" t="s">
        <v>979</v>
      </c>
      <c r="B457" s="1"/>
      <c r="C457" s="1"/>
      <c r="D457" s="1">
        <v>2</v>
      </c>
      <c r="E457" s="55">
        <f>SUM(B457:D457)</f>
        <v>2</v>
      </c>
      <c r="F457" s="1">
        <v>5</v>
      </c>
      <c r="G457" s="1">
        <v>10</v>
      </c>
      <c r="H457" s="1">
        <v>6</v>
      </c>
      <c r="I457" s="55">
        <f>SUM(F457:H457)</f>
        <v>21</v>
      </c>
      <c r="J457" s="1">
        <v>11</v>
      </c>
      <c r="K457" s="1">
        <v>2</v>
      </c>
      <c r="L457" s="1">
        <v>0</v>
      </c>
      <c r="M457" s="55">
        <f>SUM(J457:L457)</f>
        <v>13</v>
      </c>
      <c r="N457" s="1"/>
      <c r="O457" s="1"/>
      <c r="P457" s="1"/>
      <c r="Q457" s="55">
        <f>SUM(N457:P457)</f>
        <v>0</v>
      </c>
      <c r="R457" s="55">
        <f>+E457+I457+M457+Q457</f>
        <v>36</v>
      </c>
      <c r="T457" s="4" t="s">
        <v>938</v>
      </c>
    </row>
    <row r="458" spans="1:20" ht="15.75" customHeight="1" x14ac:dyDescent="0.3">
      <c r="A458" s="71" t="s">
        <v>980</v>
      </c>
      <c r="B458" s="1"/>
      <c r="C458" s="1"/>
      <c r="D458" s="1"/>
      <c r="E458" s="55">
        <f>SUM(B458:D458)</f>
        <v>0</v>
      </c>
      <c r="F458" s="1"/>
      <c r="G458" s="1">
        <v>1100</v>
      </c>
      <c r="H458" s="1"/>
      <c r="I458" s="55">
        <f>SUM(F458:H458)</f>
        <v>1100</v>
      </c>
      <c r="J458" s="1"/>
      <c r="K458" s="1"/>
      <c r="L458" s="1"/>
      <c r="M458" s="55">
        <f>SUM(J458:L458)</f>
        <v>0</v>
      </c>
      <c r="N458" s="1"/>
      <c r="O458" s="1"/>
      <c r="P458" s="1"/>
      <c r="Q458" s="55">
        <f>SUM(N458:P458)</f>
        <v>0</v>
      </c>
      <c r="R458" s="55">
        <f>+E458+I458+M458+Q458</f>
        <v>1100</v>
      </c>
      <c r="T458" s="4" t="s">
        <v>938</v>
      </c>
    </row>
    <row r="459" spans="1:20" ht="15.75" customHeight="1" x14ac:dyDescent="0.3">
      <c r="A459" s="72" t="s">
        <v>981</v>
      </c>
      <c r="B459" s="1"/>
      <c r="C459" s="1"/>
      <c r="D459" s="1"/>
      <c r="E459" s="55">
        <f>SUM(B459:D459)</f>
        <v>0</v>
      </c>
      <c r="F459" s="1"/>
      <c r="G459" s="1"/>
      <c r="H459" s="1"/>
      <c r="I459" s="55">
        <f>SUM(F459:H459)</f>
        <v>0</v>
      </c>
      <c r="J459" s="1"/>
      <c r="K459" s="1"/>
      <c r="L459" s="1"/>
      <c r="M459" s="55">
        <f>SUM(J459:L459)</f>
        <v>0</v>
      </c>
      <c r="N459" s="1"/>
      <c r="O459" s="1"/>
      <c r="P459" s="1"/>
      <c r="Q459" s="55">
        <f>SUM(N459:P459)</f>
        <v>0</v>
      </c>
      <c r="R459" s="55">
        <f>+E459+I459+M459+Q459</f>
        <v>0</v>
      </c>
      <c r="T459" s="4" t="s">
        <v>938</v>
      </c>
    </row>
    <row r="460" spans="1:20" ht="15.75" customHeight="1" x14ac:dyDescent="0.3">
      <c r="A460" s="15" t="s">
        <v>50</v>
      </c>
      <c r="B460" s="1"/>
      <c r="C460" s="1"/>
      <c r="D460" s="1"/>
      <c r="E460" s="55" t="s">
        <v>7</v>
      </c>
      <c r="F460" s="1"/>
      <c r="G460" s="1"/>
      <c r="H460" s="1"/>
      <c r="I460" s="55" t="s">
        <v>7</v>
      </c>
      <c r="J460" s="1"/>
      <c r="K460" s="1"/>
      <c r="L460" s="1"/>
      <c r="M460" s="55" t="s">
        <v>7</v>
      </c>
      <c r="N460" s="1"/>
      <c r="O460" s="1"/>
      <c r="P460" s="1"/>
      <c r="Q460" s="55" t="s">
        <v>7</v>
      </c>
      <c r="R460" s="55" t="s">
        <v>7</v>
      </c>
    </row>
    <row r="461" spans="1:20" ht="15.75" customHeight="1" x14ac:dyDescent="0.3">
      <c r="A461" s="71" t="s">
        <v>758</v>
      </c>
      <c r="B461" s="1"/>
      <c r="C461" s="1"/>
      <c r="D461" s="1"/>
      <c r="E461" s="55">
        <f>SUM(B461:D461)</f>
        <v>0</v>
      </c>
      <c r="F461" s="1"/>
      <c r="G461" s="1"/>
      <c r="H461" s="1"/>
      <c r="I461" s="55">
        <f>SUM(F461:H461)</f>
        <v>0</v>
      </c>
      <c r="J461" s="1"/>
      <c r="K461" s="1"/>
      <c r="L461" s="1"/>
      <c r="M461" s="55">
        <f>SUM(J461:L461)</f>
        <v>0</v>
      </c>
      <c r="N461" s="1"/>
      <c r="O461" s="1"/>
      <c r="P461" s="1"/>
      <c r="Q461" s="55">
        <f>SUM(N461:P461)</f>
        <v>0</v>
      </c>
      <c r="R461" s="55">
        <f>+E461+I461+M461+Q461</f>
        <v>0</v>
      </c>
    </row>
    <row r="462" spans="1:20" ht="15.75" customHeight="1" x14ac:dyDescent="0.3">
      <c r="A462" s="71" t="s">
        <v>298</v>
      </c>
      <c r="B462" s="1"/>
      <c r="C462" s="1"/>
      <c r="D462" s="1"/>
      <c r="E462" s="55">
        <f>SUM(B462:D462)</f>
        <v>0</v>
      </c>
      <c r="F462" s="1"/>
      <c r="G462" s="1"/>
      <c r="H462" s="1"/>
      <c r="I462" s="55">
        <f>SUM(F462:H462)</f>
        <v>0</v>
      </c>
      <c r="J462" s="1"/>
      <c r="K462" s="1"/>
      <c r="L462" s="1"/>
      <c r="M462" s="55">
        <f>SUM(J462:L462)</f>
        <v>0</v>
      </c>
      <c r="N462" s="1"/>
      <c r="O462" s="1"/>
      <c r="P462" s="1"/>
      <c r="Q462" s="55">
        <f>SUM(N462:P462)</f>
        <v>0</v>
      </c>
      <c r="R462" s="55">
        <f>+E462+I462+M462+Q462</f>
        <v>0</v>
      </c>
    </row>
    <row r="463" spans="1:20" ht="15.75" customHeight="1" x14ac:dyDescent="0.3">
      <c r="A463" s="15" t="s">
        <v>51</v>
      </c>
      <c r="B463" s="1"/>
      <c r="C463" s="1"/>
      <c r="D463" s="1"/>
      <c r="E463" s="55" t="s">
        <v>7</v>
      </c>
      <c r="F463" s="1"/>
      <c r="G463" s="1"/>
      <c r="H463" s="1"/>
      <c r="I463" s="55" t="s">
        <v>7</v>
      </c>
      <c r="J463" s="1"/>
      <c r="K463" s="1"/>
      <c r="L463" s="1"/>
      <c r="M463" s="55" t="s">
        <v>7</v>
      </c>
      <c r="N463" s="1"/>
      <c r="O463" s="1"/>
      <c r="P463" s="1"/>
      <c r="Q463" s="55" t="s">
        <v>7</v>
      </c>
      <c r="R463" s="55" t="s">
        <v>7</v>
      </c>
    </row>
    <row r="464" spans="1:20" ht="15.75" customHeight="1" thickBot="1" x14ac:dyDescent="0.35">
      <c r="A464" s="15" t="s">
        <v>53</v>
      </c>
      <c r="B464" s="1"/>
      <c r="C464" s="1"/>
      <c r="D464" s="1"/>
      <c r="E464" s="55" t="s">
        <v>7</v>
      </c>
      <c r="F464" s="1"/>
      <c r="G464" s="1"/>
      <c r="H464" s="1"/>
      <c r="I464" s="55" t="s">
        <v>7</v>
      </c>
      <c r="J464" s="1"/>
      <c r="K464" s="1"/>
      <c r="L464" s="1"/>
      <c r="M464" s="55" t="s">
        <v>7</v>
      </c>
      <c r="N464" s="1"/>
      <c r="O464" s="1"/>
      <c r="P464" s="1"/>
      <c r="Q464" s="55" t="s">
        <v>7</v>
      </c>
      <c r="R464" s="55" t="s">
        <v>7</v>
      </c>
    </row>
    <row r="465" spans="1:20" ht="16.5" customHeight="1" thickBot="1" x14ac:dyDescent="0.35">
      <c r="A465" s="109" t="s">
        <v>54</v>
      </c>
      <c r="B465" s="86">
        <f>SUM(B455:B464)</f>
        <v>0</v>
      </c>
      <c r="C465" s="87">
        <f>SUM(C455:C464)</f>
        <v>0</v>
      </c>
      <c r="D465" s="87">
        <f>SUM(D455:D464)</f>
        <v>2</v>
      </c>
      <c r="E465" s="59">
        <f>SUM(B465:D465)</f>
        <v>2</v>
      </c>
      <c r="F465" s="87">
        <f>SUM(F455:F464)</f>
        <v>5</v>
      </c>
      <c r="G465" s="87">
        <f>SUM(G455:G464)</f>
        <v>1110</v>
      </c>
      <c r="H465" s="87">
        <f>SUM(H455:H464)</f>
        <v>6</v>
      </c>
      <c r="I465" s="59">
        <f>SUM(F465:H465)</f>
        <v>1121</v>
      </c>
      <c r="J465" s="87">
        <f>SUM(J455:J464)</f>
        <v>11</v>
      </c>
      <c r="K465" s="87">
        <f>SUM(K455:K464)</f>
        <v>2</v>
      </c>
      <c r="L465" s="87">
        <f>SUM(L455:L464)</f>
        <v>0</v>
      </c>
      <c r="M465" s="59">
        <f>SUM(J465:L465)</f>
        <v>13</v>
      </c>
      <c r="N465" s="87">
        <f>SUM(N455:N464)</f>
        <v>0</v>
      </c>
      <c r="O465" s="87">
        <f>SUM(O455:O464)</f>
        <v>0</v>
      </c>
      <c r="P465" s="87">
        <f>SUM(P455:P464)</f>
        <v>0</v>
      </c>
      <c r="Q465" s="59">
        <f>SUM(N465:P465)</f>
        <v>0</v>
      </c>
      <c r="R465" s="59">
        <f>+E465+I465+M465+Q465</f>
        <v>1136</v>
      </c>
    </row>
    <row r="466" spans="1:20" ht="15.75" customHeight="1" x14ac:dyDescent="0.3">
      <c r="A466" s="15" t="s">
        <v>55</v>
      </c>
      <c r="B466" s="1"/>
      <c r="C466" s="1"/>
      <c r="D466" s="1"/>
      <c r="E466" s="55" t="s">
        <v>7</v>
      </c>
      <c r="F466" s="1"/>
      <c r="G466" s="1"/>
      <c r="H466" s="1"/>
      <c r="I466" s="55" t="s">
        <v>7</v>
      </c>
      <c r="J466" s="1"/>
      <c r="K466" s="1"/>
      <c r="L466" s="1"/>
      <c r="M466" s="55" t="s">
        <v>7</v>
      </c>
      <c r="N466" s="1" t="s">
        <v>7</v>
      </c>
      <c r="O466" s="1"/>
      <c r="P466" s="1"/>
      <c r="Q466" s="55" t="s">
        <v>7</v>
      </c>
      <c r="R466" s="55" t="s">
        <v>7</v>
      </c>
    </row>
    <row r="467" spans="1:20" ht="15.75" customHeight="1" x14ac:dyDescent="0.3">
      <c r="A467" s="15" t="s">
        <v>57</v>
      </c>
      <c r="B467" s="1"/>
      <c r="C467" s="1"/>
      <c r="D467" s="1"/>
      <c r="E467" s="55" t="s">
        <v>7</v>
      </c>
      <c r="F467" s="1"/>
      <c r="G467" s="1"/>
      <c r="H467" s="1"/>
      <c r="I467" s="55" t="s">
        <v>7</v>
      </c>
      <c r="J467" s="1"/>
      <c r="K467" s="1"/>
      <c r="L467" s="1"/>
      <c r="M467" s="55" t="s">
        <v>7</v>
      </c>
      <c r="N467" s="1"/>
      <c r="O467" s="1"/>
      <c r="P467" s="1"/>
      <c r="Q467" s="55" t="s">
        <v>7</v>
      </c>
      <c r="R467" s="55" t="s">
        <v>7</v>
      </c>
    </row>
    <row r="468" spans="1:20" ht="15.75" customHeight="1" x14ac:dyDescent="0.3">
      <c r="A468" s="71" t="s">
        <v>565</v>
      </c>
      <c r="B468" s="1">
        <v>12</v>
      </c>
      <c r="C468" s="1">
        <v>373</v>
      </c>
      <c r="D468" s="1">
        <v>4009</v>
      </c>
      <c r="E468" s="55">
        <f>SUM(B468:D468)</f>
        <v>4394</v>
      </c>
      <c r="F468" s="1">
        <v>3101</v>
      </c>
      <c r="G468" s="1">
        <v>2221</v>
      </c>
      <c r="H468" s="1">
        <v>16285</v>
      </c>
      <c r="I468" s="55">
        <f>SUM(F468:H468)</f>
        <v>21607</v>
      </c>
      <c r="J468" s="1">
        <v>18529</v>
      </c>
      <c r="K468" s="1">
        <v>10662</v>
      </c>
      <c r="L468" s="1">
        <v>5951</v>
      </c>
      <c r="M468" s="55">
        <f>SUM(J468:L468)</f>
        <v>35142</v>
      </c>
      <c r="N468" s="1"/>
      <c r="O468" s="1"/>
      <c r="P468" s="1"/>
      <c r="Q468" s="55">
        <f>SUM(N468:P468)</f>
        <v>0</v>
      </c>
      <c r="R468" s="55">
        <f>+E468+I468+M468+Q468</f>
        <v>61143</v>
      </c>
    </row>
    <row r="469" spans="1:20" ht="15.75" customHeight="1" thickBot="1" x14ac:dyDescent="0.35">
      <c r="A469" s="15" t="s">
        <v>58</v>
      </c>
      <c r="B469" s="1"/>
      <c r="C469" s="1"/>
      <c r="D469" s="1"/>
      <c r="E469" s="55" t="s">
        <v>7</v>
      </c>
      <c r="F469" s="1"/>
      <c r="G469" s="1"/>
      <c r="H469" s="1"/>
      <c r="I469" s="55" t="s">
        <v>7</v>
      </c>
      <c r="J469" s="1"/>
      <c r="K469" s="1"/>
      <c r="L469" s="1"/>
      <c r="M469" s="55" t="s">
        <v>7</v>
      </c>
      <c r="N469" s="1"/>
      <c r="O469" s="1"/>
      <c r="P469" s="1"/>
      <c r="Q469" s="55" t="s">
        <v>7</v>
      </c>
      <c r="R469" s="55" t="s">
        <v>7</v>
      </c>
    </row>
    <row r="470" spans="1:20" ht="16.5" customHeight="1" thickBot="1" x14ac:dyDescent="0.35">
      <c r="A470" s="57" t="s">
        <v>59</v>
      </c>
      <c r="B470" s="86">
        <f>SUM(B466:B469)</f>
        <v>12</v>
      </c>
      <c r="C470" s="87">
        <f>SUM(C466:C469)</f>
        <v>373</v>
      </c>
      <c r="D470" s="87">
        <f>SUM(D466:D469)</f>
        <v>4009</v>
      </c>
      <c r="E470" s="59">
        <f>SUM(B470:D470)</f>
        <v>4394</v>
      </c>
      <c r="F470" s="87">
        <f>SUM(F466:F469)</f>
        <v>3101</v>
      </c>
      <c r="G470" s="87">
        <f>SUM(G466:G469)</f>
        <v>2221</v>
      </c>
      <c r="H470" s="87">
        <f>SUM(H466:H469)</f>
        <v>16285</v>
      </c>
      <c r="I470" s="59">
        <f>SUM(F470:H470)</f>
        <v>21607</v>
      </c>
      <c r="J470" s="87">
        <f>SUM(J466:J469)</f>
        <v>18529</v>
      </c>
      <c r="K470" s="87">
        <f>SUM(K466:K469)</f>
        <v>10662</v>
      </c>
      <c r="L470" s="87">
        <f>SUM(L466:L469)</f>
        <v>5951</v>
      </c>
      <c r="M470" s="59">
        <f>SUM(J470:L470)</f>
        <v>35142</v>
      </c>
      <c r="N470" s="87">
        <f>SUM(N466:N469)</f>
        <v>0</v>
      </c>
      <c r="O470" s="87">
        <f>SUM(O466:O469)</f>
        <v>0</v>
      </c>
      <c r="P470" s="87">
        <f>SUM(P466:P469)</f>
        <v>0</v>
      </c>
      <c r="Q470" s="59">
        <f>SUM(N470:P470)</f>
        <v>0</v>
      </c>
      <c r="R470" s="59">
        <f>+E470+I470+M470+Q470</f>
        <v>61143</v>
      </c>
    </row>
    <row r="471" spans="1:20" ht="15.75" customHeight="1" x14ac:dyDescent="0.3">
      <c r="A471" s="15" t="s">
        <v>60</v>
      </c>
      <c r="B471" s="1"/>
      <c r="C471" s="1"/>
      <c r="D471" s="1"/>
      <c r="E471" s="55" t="s">
        <v>7</v>
      </c>
      <c r="F471" s="1"/>
      <c r="G471" s="1"/>
      <c r="H471" s="1"/>
      <c r="I471" s="55" t="s">
        <v>7</v>
      </c>
      <c r="J471" s="1"/>
      <c r="K471" s="1"/>
      <c r="L471" s="1"/>
      <c r="M471" s="55" t="s">
        <v>7</v>
      </c>
      <c r="N471" s="1"/>
      <c r="O471" s="1"/>
      <c r="P471" s="1"/>
      <c r="Q471" s="55" t="s">
        <v>7</v>
      </c>
      <c r="R471" s="55" t="s">
        <v>7</v>
      </c>
    </row>
    <row r="472" spans="1:20" ht="15.75" customHeight="1" x14ac:dyDescent="0.3">
      <c r="A472" s="15" t="s">
        <v>61</v>
      </c>
      <c r="B472" s="1"/>
      <c r="C472" s="1"/>
      <c r="D472" s="1"/>
      <c r="E472" s="55" t="s">
        <v>7</v>
      </c>
      <c r="F472" s="1"/>
      <c r="G472" s="1"/>
      <c r="H472" s="1"/>
      <c r="I472" s="55" t="s">
        <v>7</v>
      </c>
      <c r="J472" s="1"/>
      <c r="K472" s="1"/>
      <c r="L472" s="1"/>
      <c r="M472" s="55" t="s">
        <v>7</v>
      </c>
      <c r="N472" s="1"/>
      <c r="O472" s="1"/>
      <c r="P472" s="1"/>
      <c r="Q472" s="55" t="s">
        <v>7</v>
      </c>
      <c r="R472" s="55" t="s">
        <v>7</v>
      </c>
    </row>
    <row r="473" spans="1:20" ht="15.75" customHeight="1" x14ac:dyDescent="0.3">
      <c r="A473" s="15" t="s">
        <v>62</v>
      </c>
      <c r="B473" s="1"/>
      <c r="C473" s="1"/>
      <c r="D473" s="1"/>
      <c r="E473" s="55" t="s">
        <v>7</v>
      </c>
      <c r="F473" s="1"/>
      <c r="G473" s="1"/>
      <c r="H473" s="1"/>
      <c r="I473" s="55" t="s">
        <v>7</v>
      </c>
      <c r="J473" s="1"/>
      <c r="K473" s="1"/>
      <c r="L473" s="1"/>
      <c r="M473" s="55" t="s">
        <v>7</v>
      </c>
      <c r="N473" s="1"/>
      <c r="O473" s="1"/>
      <c r="P473" s="1"/>
      <c r="Q473" s="55" t="s">
        <v>7</v>
      </c>
      <c r="R473" s="55" t="s">
        <v>7</v>
      </c>
    </row>
    <row r="474" spans="1:20" ht="15.75" customHeight="1" thickBot="1" x14ac:dyDescent="0.35">
      <c r="A474" s="359" t="s">
        <v>982</v>
      </c>
      <c r="B474" s="1"/>
      <c r="C474" s="1"/>
      <c r="D474" s="4">
        <v>3000</v>
      </c>
      <c r="E474" s="55">
        <f>SUM(B474:D474)</f>
        <v>3000</v>
      </c>
      <c r="F474" s="1">
        <v>6000</v>
      </c>
      <c r="G474" s="1">
        <v>6000</v>
      </c>
      <c r="H474" s="1"/>
      <c r="I474" s="55">
        <f>SUM(F474:H474)</f>
        <v>12000</v>
      </c>
      <c r="J474" s="1">
        <v>3000</v>
      </c>
      <c r="K474" s="1"/>
      <c r="L474" s="1"/>
      <c r="M474" s="55">
        <f>SUM(J474:L474)</f>
        <v>3000</v>
      </c>
      <c r="N474" s="1"/>
      <c r="O474" s="1"/>
      <c r="P474" s="1">
        <v>1092</v>
      </c>
      <c r="Q474" s="55">
        <f>SUM(N474:P474)</f>
        <v>1092</v>
      </c>
      <c r="R474" s="55">
        <f>+E474+I474+M474+Q474</f>
        <v>19092</v>
      </c>
      <c r="T474" s="4" t="s">
        <v>938</v>
      </c>
    </row>
    <row r="475" spans="1:20" ht="16.5" customHeight="1" thickBot="1" x14ac:dyDescent="0.35">
      <c r="A475" s="114" t="s">
        <v>63</v>
      </c>
      <c r="B475" s="86">
        <f>SUM(B471:B474)</f>
        <v>0</v>
      </c>
      <c r="C475" s="87">
        <f>SUM(C471:C474)</f>
        <v>0</v>
      </c>
      <c r="D475" s="87">
        <f>SUM(D471:D474)</f>
        <v>3000</v>
      </c>
      <c r="E475" s="59">
        <f>SUM(B475:D475)</f>
        <v>3000</v>
      </c>
      <c r="F475" s="87">
        <f>SUM(F471:F474)</f>
        <v>6000</v>
      </c>
      <c r="G475" s="87">
        <f>SUM(G471:G474)</f>
        <v>6000</v>
      </c>
      <c r="H475" s="87">
        <f>SUM(H471:H474)</f>
        <v>0</v>
      </c>
      <c r="I475" s="59">
        <f>SUM(F475:H475)</f>
        <v>12000</v>
      </c>
      <c r="J475" s="87">
        <f>SUM(J471:J474)</f>
        <v>3000</v>
      </c>
      <c r="K475" s="87">
        <f>SUM(K471:K474)</f>
        <v>0</v>
      </c>
      <c r="L475" s="87">
        <f>SUM(L471:L474)</f>
        <v>0</v>
      </c>
      <c r="M475" s="59">
        <f>SUM(J475:L475)</f>
        <v>3000</v>
      </c>
      <c r="N475" s="87">
        <f>SUM(N471:N474)</f>
        <v>0</v>
      </c>
      <c r="O475" s="87">
        <f>SUM(O471:O474)</f>
        <v>0</v>
      </c>
      <c r="P475" s="87">
        <f>SUM(P471:P474)</f>
        <v>1092</v>
      </c>
      <c r="Q475" s="59">
        <f>SUM(N475:P475)</f>
        <v>1092</v>
      </c>
      <c r="R475" s="59">
        <f>+E475+I475+M475+Q475</f>
        <v>19092</v>
      </c>
    </row>
    <row r="476" spans="1:20" ht="15.75" customHeight="1" x14ac:dyDescent="0.3">
      <c r="A476" s="15" t="s">
        <v>64</v>
      </c>
      <c r="B476" s="1"/>
      <c r="C476" s="1"/>
      <c r="D476" s="1"/>
      <c r="E476" s="55" t="s">
        <v>7</v>
      </c>
      <c r="F476" s="1"/>
      <c r="G476" s="1"/>
      <c r="H476" s="1"/>
      <c r="I476" s="55" t="s">
        <v>7</v>
      </c>
      <c r="J476" s="1"/>
      <c r="K476" s="1"/>
      <c r="L476" s="1"/>
      <c r="M476" s="55" t="s">
        <v>7</v>
      </c>
      <c r="N476" s="1"/>
      <c r="O476" s="1"/>
      <c r="P476" s="1"/>
      <c r="Q476" s="55" t="s">
        <v>7</v>
      </c>
      <c r="R476" s="55" t="s">
        <v>7</v>
      </c>
    </row>
    <row r="477" spans="1:20" ht="15.75" customHeight="1" x14ac:dyDescent="0.3">
      <c r="A477" s="15" t="s">
        <v>594</v>
      </c>
      <c r="B477" s="1"/>
      <c r="C477" s="1"/>
      <c r="D477" s="1"/>
      <c r="E477" s="55" t="s">
        <v>7</v>
      </c>
      <c r="F477" s="1"/>
      <c r="G477" s="1"/>
      <c r="H477" s="1"/>
      <c r="I477" s="55" t="s">
        <v>7</v>
      </c>
      <c r="J477" s="1"/>
      <c r="K477" s="1"/>
      <c r="L477" s="1"/>
      <c r="M477" s="55" t="s">
        <v>7</v>
      </c>
      <c r="N477" s="1"/>
      <c r="O477" s="1"/>
      <c r="P477" s="1"/>
      <c r="Q477" s="55" t="s">
        <v>7</v>
      </c>
      <c r="R477" s="55" t="s">
        <v>7</v>
      </c>
    </row>
    <row r="478" spans="1:20" ht="15.75" customHeight="1" x14ac:dyDescent="0.3">
      <c r="A478" s="15" t="s">
        <v>67</v>
      </c>
      <c r="B478" s="1"/>
      <c r="C478" s="1"/>
      <c r="D478" s="1"/>
      <c r="E478" s="55" t="s">
        <v>7</v>
      </c>
      <c r="F478" s="1"/>
      <c r="G478" s="1"/>
      <c r="H478" s="1"/>
      <c r="I478" s="55" t="s">
        <v>7</v>
      </c>
      <c r="J478" s="1"/>
      <c r="K478" s="1"/>
      <c r="L478" s="1"/>
      <c r="M478" s="55" t="s">
        <v>7</v>
      </c>
      <c r="N478" s="1"/>
      <c r="O478" s="1"/>
      <c r="P478" s="1"/>
      <c r="Q478" s="55" t="s">
        <v>7</v>
      </c>
      <c r="R478" s="55" t="s">
        <v>7</v>
      </c>
    </row>
    <row r="479" spans="1:20" ht="15.75" customHeight="1" x14ac:dyDescent="0.3">
      <c r="A479" s="15" t="s">
        <v>600</v>
      </c>
      <c r="B479" s="1"/>
      <c r="C479" s="1"/>
      <c r="D479" s="1"/>
      <c r="E479" s="55" t="s">
        <v>7</v>
      </c>
      <c r="F479" s="1"/>
      <c r="G479" s="1"/>
      <c r="H479" s="1"/>
      <c r="I479" s="55" t="s">
        <v>7</v>
      </c>
      <c r="J479" s="1"/>
      <c r="K479" s="1"/>
      <c r="L479" s="1"/>
      <c r="M479" s="55" t="s">
        <v>7</v>
      </c>
      <c r="N479" s="1"/>
      <c r="O479" s="1"/>
      <c r="P479" s="1"/>
      <c r="Q479" s="55" t="s">
        <v>7</v>
      </c>
      <c r="R479" s="55" t="s">
        <v>7</v>
      </c>
    </row>
    <row r="480" spans="1:20" ht="15.75" customHeight="1" x14ac:dyDescent="0.3">
      <c r="A480" s="15" t="s">
        <v>70</v>
      </c>
      <c r="B480" s="1"/>
      <c r="C480" s="1"/>
      <c r="D480" s="1"/>
      <c r="E480" s="55" t="s">
        <v>7</v>
      </c>
      <c r="F480" s="1"/>
      <c r="G480" s="1"/>
      <c r="H480" s="1"/>
      <c r="I480" s="55" t="s">
        <v>7</v>
      </c>
      <c r="J480" s="1"/>
      <c r="K480" s="1"/>
      <c r="L480" s="1"/>
      <c r="M480" s="55" t="s">
        <v>7</v>
      </c>
      <c r="N480" s="1"/>
      <c r="O480" s="1"/>
      <c r="P480" s="1"/>
      <c r="Q480" s="55" t="s">
        <v>7</v>
      </c>
      <c r="R480" s="55" t="s">
        <v>7</v>
      </c>
    </row>
    <row r="481" spans="1:20" ht="15.75" customHeight="1" x14ac:dyDescent="0.3">
      <c r="A481" s="71" t="s">
        <v>977</v>
      </c>
      <c r="B481" s="1"/>
      <c r="C481" s="1"/>
      <c r="D481" s="1"/>
      <c r="E481" s="55">
        <f t="shared" ref="E481:E486" si="98">SUM(B481:D481)</f>
        <v>0</v>
      </c>
      <c r="F481" s="1"/>
      <c r="G481" s="1"/>
      <c r="H481" s="1"/>
      <c r="I481" s="55">
        <f t="shared" ref="I481:I486" si="99">SUM(F481:H481)</f>
        <v>0</v>
      </c>
      <c r="J481" s="1"/>
      <c r="K481" s="1"/>
      <c r="L481" s="1">
        <v>1457</v>
      </c>
      <c r="M481" s="55">
        <f t="shared" ref="M481:M486" si="100">SUM(J481:L481)</f>
        <v>1457</v>
      </c>
      <c r="N481" s="1">
        <v>2810</v>
      </c>
      <c r="O481" s="1">
        <v>1573</v>
      </c>
      <c r="P481" s="1"/>
      <c r="Q481" s="55">
        <f t="shared" ref="Q481:Q486" si="101">SUM(N481:P481)</f>
        <v>4383</v>
      </c>
      <c r="R481" s="55">
        <f t="shared" ref="R481:R486" si="102">+E481+I481+M481+Q481</f>
        <v>5840</v>
      </c>
      <c r="T481" s="4" t="s">
        <v>938</v>
      </c>
    </row>
    <row r="482" spans="1:20" ht="15.75" customHeight="1" thickBot="1" x14ac:dyDescent="0.35">
      <c r="A482" s="71" t="s">
        <v>983</v>
      </c>
      <c r="B482" s="1"/>
      <c r="C482" s="1"/>
      <c r="D482" s="1"/>
      <c r="E482" s="55">
        <f t="shared" si="98"/>
        <v>0</v>
      </c>
      <c r="F482" s="1"/>
      <c r="G482" s="1"/>
      <c r="H482" s="1"/>
      <c r="I482" s="55">
        <f t="shared" si="99"/>
        <v>0</v>
      </c>
      <c r="J482" s="1"/>
      <c r="K482" s="1"/>
      <c r="L482" s="1"/>
      <c r="M482" s="55">
        <f t="shared" si="100"/>
        <v>0</v>
      </c>
      <c r="N482" s="1"/>
      <c r="O482" s="1"/>
      <c r="P482" s="1"/>
      <c r="Q482" s="55">
        <f t="shared" si="101"/>
        <v>0</v>
      </c>
      <c r="R482" s="55">
        <f t="shared" si="102"/>
        <v>0</v>
      </c>
      <c r="T482" s="4" t="s">
        <v>938</v>
      </c>
    </row>
    <row r="483" spans="1:20" ht="16.5" customHeight="1" thickBot="1" x14ac:dyDescent="0.35">
      <c r="A483" s="57" t="s">
        <v>71</v>
      </c>
      <c r="B483" s="58">
        <f>SUM(B479:B482)</f>
        <v>0</v>
      </c>
      <c r="C483" s="58">
        <f>SUM(C479:C482)</f>
        <v>0</v>
      </c>
      <c r="D483" s="58">
        <f>SUM(D479:D482)</f>
        <v>0</v>
      </c>
      <c r="E483" s="60">
        <f t="shared" si="98"/>
        <v>0</v>
      </c>
      <c r="F483" s="58">
        <f>SUM(F479:F482)</f>
        <v>0</v>
      </c>
      <c r="G483" s="58">
        <f>SUM(G479:G482)</f>
        <v>0</v>
      </c>
      <c r="H483" s="58">
        <f>SUM(H479:H482)</f>
        <v>0</v>
      </c>
      <c r="I483" s="60">
        <f t="shared" si="99"/>
        <v>0</v>
      </c>
      <c r="J483" s="58">
        <f>SUM(J479:J482)</f>
        <v>0</v>
      </c>
      <c r="K483" s="58">
        <f>SUM(K479:K482)</f>
        <v>0</v>
      </c>
      <c r="L483" s="58">
        <f>SUM(L479:L482)</f>
        <v>1457</v>
      </c>
      <c r="M483" s="60">
        <f t="shared" si="100"/>
        <v>1457</v>
      </c>
      <c r="N483" s="58">
        <f>SUM(N479:N482)</f>
        <v>2810</v>
      </c>
      <c r="O483" s="58">
        <f>SUM(O479:O482)</f>
        <v>1573</v>
      </c>
      <c r="P483" s="58">
        <f>SUM(P479:P482)</f>
        <v>0</v>
      </c>
      <c r="Q483" s="60">
        <f t="shared" si="101"/>
        <v>4383</v>
      </c>
      <c r="R483" s="59">
        <f t="shared" si="102"/>
        <v>5840</v>
      </c>
    </row>
    <row r="484" spans="1:20" ht="16.5" customHeight="1" thickBot="1" x14ac:dyDescent="0.35">
      <c r="A484" s="114" t="s">
        <v>72</v>
      </c>
      <c r="B484" s="86">
        <f>SUM(B476:B482)</f>
        <v>0</v>
      </c>
      <c r="C484" s="87">
        <f>SUM(C476:C482)</f>
        <v>0</v>
      </c>
      <c r="D484" s="118">
        <f>SUM(D476:D482)</f>
        <v>0</v>
      </c>
      <c r="E484" s="60">
        <f t="shared" si="98"/>
        <v>0</v>
      </c>
      <c r="F484" s="87">
        <f>SUM(F476:F482)</f>
        <v>0</v>
      </c>
      <c r="G484" s="87">
        <f>SUM(G476:G482)</f>
        <v>0</v>
      </c>
      <c r="H484" s="87">
        <f>SUM(H476:H482)</f>
        <v>0</v>
      </c>
      <c r="I484" s="60">
        <f t="shared" si="99"/>
        <v>0</v>
      </c>
      <c r="J484" s="87">
        <f>SUM(J476:J482)</f>
        <v>0</v>
      </c>
      <c r="K484" s="87">
        <f>SUM(K476:K482)</f>
        <v>0</v>
      </c>
      <c r="L484" s="87">
        <f>SUM(L476:L482)</f>
        <v>1457</v>
      </c>
      <c r="M484" s="60">
        <f t="shared" si="100"/>
        <v>1457</v>
      </c>
      <c r="N484" s="87">
        <f>SUM(N476:N482)</f>
        <v>2810</v>
      </c>
      <c r="O484" s="87">
        <f>SUM(O476:O482)</f>
        <v>1573</v>
      </c>
      <c r="P484" s="87">
        <f>SUM(P476:P482)</f>
        <v>0</v>
      </c>
      <c r="Q484" s="60">
        <f t="shared" si="101"/>
        <v>4383</v>
      </c>
      <c r="R484" s="59">
        <f t="shared" si="102"/>
        <v>5840</v>
      </c>
    </row>
    <row r="485" spans="1:20" ht="16.5" customHeight="1" thickBot="1" x14ac:dyDescent="0.35">
      <c r="A485" s="57" t="s">
        <v>73</v>
      </c>
      <c r="B485" s="90">
        <f>+B465+B470+B475+B484</f>
        <v>12</v>
      </c>
      <c r="C485" s="58">
        <f>+C465+C470+C475+C484</f>
        <v>373</v>
      </c>
      <c r="D485" s="58">
        <f>+D465+D470+D475+D484</f>
        <v>7011</v>
      </c>
      <c r="E485" s="59">
        <f t="shared" si="98"/>
        <v>7396</v>
      </c>
      <c r="F485" s="58">
        <f>+F465+F470+F475+F484</f>
        <v>9106</v>
      </c>
      <c r="G485" s="58">
        <f>+G465+G470+G475+G484</f>
        <v>9331</v>
      </c>
      <c r="H485" s="58">
        <f>+H465+H470+H475+H484</f>
        <v>16291</v>
      </c>
      <c r="I485" s="59">
        <f t="shared" si="99"/>
        <v>34728</v>
      </c>
      <c r="J485" s="58">
        <f>+J465+J470+J475+J484</f>
        <v>21540</v>
      </c>
      <c r="K485" s="58">
        <f>+K465+K470+K475+K484</f>
        <v>10664</v>
      </c>
      <c r="L485" s="58">
        <f>+L465+L470+L475+L484</f>
        <v>7408</v>
      </c>
      <c r="M485" s="59">
        <f t="shared" si="100"/>
        <v>39612</v>
      </c>
      <c r="N485" s="58">
        <f>+N465+N470+N475+N484</f>
        <v>2810</v>
      </c>
      <c r="O485" s="58">
        <f>+O465+O470+O475+O484</f>
        <v>1573</v>
      </c>
      <c r="P485" s="58">
        <f>+P465+P470+P475+P484</f>
        <v>1092</v>
      </c>
      <c r="Q485" s="59">
        <f t="shared" si="101"/>
        <v>5475</v>
      </c>
      <c r="R485" s="81">
        <f t="shared" si="102"/>
        <v>87211</v>
      </c>
    </row>
    <row r="486" spans="1:20" ht="16.5" customHeight="1" thickBot="1" x14ac:dyDescent="0.35">
      <c r="A486" s="39" t="s">
        <v>40</v>
      </c>
      <c r="B486" s="21">
        <v>9</v>
      </c>
      <c r="C486" s="21">
        <v>16</v>
      </c>
      <c r="D486" s="21">
        <v>25</v>
      </c>
      <c r="E486" s="55">
        <f t="shared" si="98"/>
        <v>50</v>
      </c>
      <c r="F486" s="21">
        <v>34</v>
      </c>
      <c r="G486" s="21">
        <v>41</v>
      </c>
      <c r="H486" s="21">
        <v>41</v>
      </c>
      <c r="I486" s="55">
        <f t="shared" si="99"/>
        <v>116</v>
      </c>
      <c r="J486" s="21">
        <v>39</v>
      </c>
      <c r="K486" s="21">
        <v>30</v>
      </c>
      <c r="L486" s="21">
        <v>30</v>
      </c>
      <c r="M486" s="55">
        <f t="shared" si="100"/>
        <v>99</v>
      </c>
      <c r="N486" s="21">
        <v>28</v>
      </c>
      <c r="O486" s="21">
        <v>22</v>
      </c>
      <c r="P486" s="21">
        <v>16</v>
      </c>
      <c r="Q486" s="55">
        <f t="shared" si="101"/>
        <v>66</v>
      </c>
      <c r="R486" s="55">
        <f t="shared" si="102"/>
        <v>331</v>
      </c>
    </row>
    <row r="487" spans="1:20" ht="16.5" customHeight="1" thickBot="1" x14ac:dyDescent="0.35">
      <c r="A487" s="74"/>
      <c r="B487" s="75"/>
      <c r="C487" s="75"/>
      <c r="D487" s="75"/>
      <c r="E487" s="59"/>
      <c r="F487" s="75"/>
      <c r="G487" s="75"/>
      <c r="H487" s="75"/>
      <c r="I487" s="59"/>
      <c r="J487" s="75"/>
      <c r="K487" s="75"/>
      <c r="L487" s="75"/>
      <c r="M487" s="59"/>
      <c r="N487" s="75"/>
      <c r="O487" s="75"/>
      <c r="P487" s="75"/>
      <c r="Q487" s="59"/>
      <c r="R487" s="59" t="s">
        <v>7</v>
      </c>
    </row>
    <row r="488" spans="1:20" ht="15.75" customHeight="1" x14ac:dyDescent="0.3">
      <c r="A488" s="76" t="s">
        <v>41</v>
      </c>
      <c r="B488" s="77">
        <f>SUM(B485:B486)</f>
        <v>21</v>
      </c>
      <c r="C488" s="77">
        <f>SUM(C485:C486)</f>
        <v>389</v>
      </c>
      <c r="D488" s="77">
        <f>SUM(D485:D486)</f>
        <v>7036</v>
      </c>
      <c r="E488" s="60">
        <f>SUM(B488:D488)</f>
        <v>7446</v>
      </c>
      <c r="F488" s="77">
        <f>SUM(F485:F486)</f>
        <v>9140</v>
      </c>
      <c r="G488" s="77">
        <f>SUM(G485:G486)</f>
        <v>9372</v>
      </c>
      <c r="H488" s="77">
        <f>SUM(H485:H486)</f>
        <v>16332</v>
      </c>
      <c r="I488" s="60">
        <f>SUM(F488:H488)</f>
        <v>34844</v>
      </c>
      <c r="J488" s="77">
        <f>SUM(J485:J486)</f>
        <v>21579</v>
      </c>
      <c r="K488" s="77">
        <f>SUM(K485:K486)</f>
        <v>10694</v>
      </c>
      <c r="L488" s="77">
        <f>SUM(L485:L486)</f>
        <v>7438</v>
      </c>
      <c r="M488" s="60">
        <f>SUM(J488:L488)</f>
        <v>39711</v>
      </c>
      <c r="N488" s="77">
        <f>SUM(N485:N486)</f>
        <v>2838</v>
      </c>
      <c r="O488" s="77">
        <f>SUM(O485:O486)</f>
        <v>1595</v>
      </c>
      <c r="P488" s="77">
        <f>SUM(P485:P486)</f>
        <v>1108</v>
      </c>
      <c r="Q488" s="60">
        <f>SUM(N488:P488)</f>
        <v>5541</v>
      </c>
      <c r="R488" s="60">
        <f>+E488+I488+M488+Q488</f>
        <v>87542</v>
      </c>
    </row>
    <row r="489" spans="1:20" ht="15.75" customHeight="1" x14ac:dyDescent="0.3">
      <c r="A489" s="79" t="s">
        <v>42</v>
      </c>
      <c r="B489" s="1">
        <f>(B488/B10)/1.983</f>
        <v>0.34161339124493678</v>
      </c>
      <c r="C489" s="1">
        <f>(C488/C10)/1.983</f>
        <v>6.7643938998730588</v>
      </c>
      <c r="D489" s="1">
        <f>(D488/D10)/1.983</f>
        <v>114.45675337139882</v>
      </c>
      <c r="E489" s="55" t="s">
        <v>7</v>
      </c>
      <c r="F489" s="1">
        <f>(F488/F10)/1.983</f>
        <v>153.6392671037149</v>
      </c>
      <c r="G489" s="1">
        <f>(G488/G10)/1.983</f>
        <v>152.45717632131178</v>
      </c>
      <c r="H489" s="1">
        <f>(H488/H10)/1.983</f>
        <v>274.53353504790721</v>
      </c>
      <c r="I489" s="55" t="s">
        <v>7</v>
      </c>
      <c r="J489" s="1">
        <f>(J488/J10)/1.983</f>
        <v>351.03216046069008</v>
      </c>
      <c r="K489" s="1">
        <f>(K488/K10)/1.983</f>
        <v>173.96255266539779</v>
      </c>
      <c r="L489" s="1">
        <f>(L488/L10)/1.983</f>
        <v>125.02941670869053</v>
      </c>
      <c r="M489" s="55" t="s">
        <v>7</v>
      </c>
      <c r="N489" s="1">
        <f>(N488/N10)/1.983</f>
        <v>46.16660973110146</v>
      </c>
      <c r="O489" s="1">
        <f>(O488/O10)/1.983</f>
        <v>26.811228777945871</v>
      </c>
      <c r="P489" s="1">
        <f>(P488/P10)/1.983</f>
        <v>18.024173214256663</v>
      </c>
      <c r="Q489" s="55" t="s">
        <v>7</v>
      </c>
      <c r="R489" s="55" t="s">
        <v>7</v>
      </c>
    </row>
    <row r="490" spans="1:20" ht="15.75" customHeight="1" x14ac:dyDescent="0.3">
      <c r="A490" s="79" t="s">
        <v>303</v>
      </c>
      <c r="B490" s="1">
        <f>B488+B534</f>
        <v>9084</v>
      </c>
      <c r="C490" s="1">
        <f>C488+C534</f>
        <v>18052</v>
      </c>
      <c r="D490" s="1">
        <f>D488+D534</f>
        <v>31641</v>
      </c>
      <c r="E490" s="55">
        <f>SUM(B490:D490)</f>
        <v>58777</v>
      </c>
      <c r="F490" s="1">
        <f>F488+F534</f>
        <v>39342</v>
      </c>
      <c r="G490" s="1">
        <f>G488+G534</f>
        <v>36410</v>
      </c>
      <c r="H490" s="1">
        <f>H488+H534</f>
        <v>45408</v>
      </c>
      <c r="I490" s="55">
        <f>SUM(F490:H490)</f>
        <v>121160</v>
      </c>
      <c r="J490" s="1">
        <f>J488+J534</f>
        <v>50008</v>
      </c>
      <c r="K490" s="1">
        <f>K488+K534</f>
        <v>35955</v>
      </c>
      <c r="L490" s="1">
        <f>L488+L534</f>
        <v>33405</v>
      </c>
      <c r="M490" s="55">
        <f>SUM(J490:L490)</f>
        <v>119368</v>
      </c>
      <c r="N490" s="1">
        <f>N488+N534</f>
        <v>11059</v>
      </c>
      <c r="O490" s="1">
        <f>O488+O534</f>
        <v>11993</v>
      </c>
      <c r="P490" s="1">
        <f>P488+P534</f>
        <v>15977</v>
      </c>
      <c r="Q490" s="55">
        <f>SUM(N490:P490)</f>
        <v>39029</v>
      </c>
      <c r="R490" s="55">
        <f>+E490+I490+M490+Q490</f>
        <v>338334</v>
      </c>
    </row>
    <row r="491" spans="1:20" ht="16.5" customHeight="1" thickBot="1" x14ac:dyDescent="0.35">
      <c r="A491" s="80" t="s">
        <v>304</v>
      </c>
      <c r="B491" s="25">
        <f>(B490/B10)/1.983</f>
        <v>147.77219266995266</v>
      </c>
      <c r="C491" s="25">
        <f>(C490/C10)/1.983</f>
        <v>313.90961100387779</v>
      </c>
      <c r="D491" s="25">
        <f>(D490/D10)/1.983</f>
        <v>514.71377678004978</v>
      </c>
      <c r="E491" s="81" t="s">
        <v>7</v>
      </c>
      <c r="F491" s="25">
        <f>(F490/F10)/1.983</f>
        <v>661.32123045890069</v>
      </c>
      <c r="G491" s="25">
        <f>(G490/G10)/1.983</f>
        <v>592.29255120134042</v>
      </c>
      <c r="H491" s="25">
        <f>(H490/H10)/1.983</f>
        <v>763.28794755421075</v>
      </c>
      <c r="I491" s="81" t="s">
        <v>7</v>
      </c>
      <c r="J491" s="25">
        <f>(J490/J10)/1.983</f>
        <v>813.49535568460954</v>
      </c>
      <c r="K491" s="25">
        <f>(K490/K10)/1.983</f>
        <v>584.89092772436675</v>
      </c>
      <c r="L491" s="25">
        <f>(L490/L10)/1.983</f>
        <v>561.52294503277858</v>
      </c>
      <c r="M491" s="81" t="s">
        <v>7</v>
      </c>
      <c r="N491" s="25">
        <f>(N490/N10)/1.983</f>
        <v>179.90011875132171</v>
      </c>
      <c r="O491" s="25">
        <f>(O490/O10)/1.983</f>
        <v>201.59690704320053</v>
      </c>
      <c r="P491" s="25">
        <f>(P490/P10)/1.983</f>
        <v>259.90272152001688</v>
      </c>
      <c r="Q491" s="81" t="s">
        <v>7</v>
      </c>
      <c r="R491" s="81" t="s">
        <v>7</v>
      </c>
    </row>
    <row r="492" spans="1:20" ht="15.75" customHeight="1" x14ac:dyDescent="0.3">
      <c r="A492" s="2"/>
      <c r="B492" s="1"/>
      <c r="C492" s="1"/>
      <c r="D492" s="1"/>
      <c r="E492" s="1"/>
      <c r="F492" s="1"/>
      <c r="G492" s="1"/>
      <c r="H492" s="1"/>
      <c r="I492" s="1"/>
      <c r="J492" s="1"/>
      <c r="K492" s="1"/>
      <c r="L492" s="1"/>
      <c r="M492" s="1"/>
      <c r="N492" s="1"/>
      <c r="O492" s="1"/>
      <c r="P492" s="1"/>
      <c r="Q492" s="1"/>
      <c r="R492" s="2"/>
    </row>
    <row r="493" spans="1:20" ht="15.75" customHeight="1" thickBot="1" x14ac:dyDescent="0.35">
      <c r="A493" s="2"/>
      <c r="B493" s="1"/>
      <c r="C493" s="1"/>
      <c r="D493" s="1"/>
      <c r="E493" s="1"/>
      <c r="F493" s="1"/>
      <c r="G493" s="1"/>
      <c r="H493" s="1"/>
      <c r="I493" s="1"/>
      <c r="J493" s="1"/>
      <c r="K493" s="1"/>
      <c r="L493" s="1"/>
      <c r="M493" s="1"/>
      <c r="N493" s="1"/>
      <c r="O493" s="1"/>
      <c r="P493" s="1"/>
      <c r="Q493" s="1"/>
      <c r="R493" s="2"/>
    </row>
    <row r="494" spans="1:20" ht="16.5" customHeight="1" thickBot="1" x14ac:dyDescent="0.35">
      <c r="A494" s="124" t="s">
        <v>305</v>
      </c>
      <c r="B494" s="30" t="s">
        <v>8</v>
      </c>
      <c r="C494" s="31" t="s">
        <v>9</v>
      </c>
      <c r="D494" s="31" t="s">
        <v>10</v>
      </c>
      <c r="E494" s="32" t="s">
        <v>11</v>
      </c>
      <c r="F494" s="31" t="s">
        <v>12</v>
      </c>
      <c r="G494" s="31" t="s">
        <v>13</v>
      </c>
      <c r="H494" s="31" t="s">
        <v>14</v>
      </c>
      <c r="I494" s="33" t="s">
        <v>15</v>
      </c>
      <c r="J494" s="31" t="s">
        <v>16</v>
      </c>
      <c r="K494" s="31" t="s">
        <v>17</v>
      </c>
      <c r="L494" s="31" t="s">
        <v>18</v>
      </c>
      <c r="M494" s="33" t="s">
        <v>19</v>
      </c>
      <c r="N494" s="31" t="s">
        <v>20</v>
      </c>
      <c r="O494" s="31" t="s">
        <v>21</v>
      </c>
      <c r="P494" s="31" t="s">
        <v>22</v>
      </c>
      <c r="Q494" s="33" t="s">
        <v>23</v>
      </c>
      <c r="R494" s="34" t="s">
        <v>24</v>
      </c>
    </row>
    <row r="495" spans="1:20" ht="16.5" customHeight="1" thickBot="1" x14ac:dyDescent="0.35">
      <c r="A495" s="59"/>
      <c r="B495" s="75"/>
      <c r="C495" s="75"/>
      <c r="D495" s="75"/>
      <c r="E495" s="69"/>
      <c r="F495" s="75"/>
      <c r="G495" s="75"/>
      <c r="H495" s="75"/>
      <c r="I495" s="82"/>
      <c r="J495" s="75"/>
      <c r="K495" s="75"/>
      <c r="L495" s="75"/>
      <c r="M495" s="82"/>
      <c r="N495" s="75"/>
      <c r="O495" s="75"/>
      <c r="P495" s="75"/>
      <c r="Q495" s="82"/>
      <c r="R495" s="100"/>
    </row>
    <row r="496" spans="1:20" ht="15.75" customHeight="1" x14ac:dyDescent="0.3">
      <c r="A496" s="15" t="s">
        <v>48</v>
      </c>
      <c r="B496" s="1" t="s">
        <v>7</v>
      </c>
      <c r="C496" s="1" t="s">
        <v>7</v>
      </c>
      <c r="D496" s="1" t="s">
        <v>7</v>
      </c>
      <c r="E496" s="55" t="s">
        <v>7</v>
      </c>
      <c r="F496" s="1" t="s">
        <v>7</v>
      </c>
      <c r="G496" s="1" t="s">
        <v>7</v>
      </c>
      <c r="H496" s="1" t="s">
        <v>7</v>
      </c>
      <c r="I496" s="55" t="s">
        <v>7</v>
      </c>
      <c r="J496" s="1" t="s">
        <v>7</v>
      </c>
      <c r="K496" s="1" t="s">
        <v>7</v>
      </c>
      <c r="L496" s="1" t="s">
        <v>7</v>
      </c>
      <c r="M496" s="55" t="s">
        <v>7</v>
      </c>
      <c r="N496" s="1" t="s">
        <v>7</v>
      </c>
      <c r="O496" s="1" t="s">
        <v>7</v>
      </c>
      <c r="P496" s="1" t="s">
        <v>7</v>
      </c>
      <c r="Q496" s="55" t="s">
        <v>7</v>
      </c>
      <c r="R496" s="55" t="s">
        <v>7</v>
      </c>
    </row>
    <row r="497" spans="1:20" ht="15.75" customHeight="1" x14ac:dyDescent="0.3">
      <c r="A497" s="15" t="s">
        <v>49</v>
      </c>
      <c r="B497" s="1"/>
      <c r="C497" s="1"/>
      <c r="D497" s="1"/>
      <c r="E497" s="55" t="s">
        <v>7</v>
      </c>
      <c r="F497" s="1"/>
      <c r="G497" s="1"/>
      <c r="H497" s="1"/>
      <c r="I497" s="55" t="s">
        <v>7</v>
      </c>
      <c r="J497" s="1"/>
      <c r="K497" s="1"/>
      <c r="L497" s="1"/>
      <c r="M497" s="55" t="s">
        <v>7</v>
      </c>
      <c r="N497" s="1"/>
      <c r="O497" s="1"/>
      <c r="P497" s="1"/>
      <c r="Q497" s="55" t="s">
        <v>7</v>
      </c>
      <c r="R497" s="55" t="s">
        <v>7</v>
      </c>
    </row>
    <row r="498" spans="1:20" ht="15.75" customHeight="1" x14ac:dyDescent="0.3">
      <c r="A498" s="15" t="s">
        <v>984</v>
      </c>
      <c r="B498" s="1"/>
      <c r="C498" s="1"/>
      <c r="D498" s="1"/>
      <c r="E498" s="55">
        <f>SUM(B498:D498)</f>
        <v>0</v>
      </c>
      <c r="F498" s="1"/>
      <c r="G498" s="1">
        <v>1400</v>
      </c>
      <c r="H498" s="1"/>
      <c r="I498" s="55">
        <f>SUM(F498:H498)</f>
        <v>1400</v>
      </c>
      <c r="J498" s="1"/>
      <c r="K498" s="1"/>
      <c r="L498" s="1"/>
      <c r="M498" s="55">
        <f>SUM(J498:L498)</f>
        <v>0</v>
      </c>
      <c r="N498" s="1"/>
      <c r="O498" s="1"/>
      <c r="P498" s="1"/>
      <c r="Q498" s="55">
        <f>SUM(N498:P498)</f>
        <v>0</v>
      </c>
      <c r="R498" s="55">
        <f>+E498+I498+M498+Q498</f>
        <v>1400</v>
      </c>
      <c r="T498" s="4" t="s">
        <v>939</v>
      </c>
    </row>
    <row r="499" spans="1:20" ht="15.75" customHeight="1" x14ac:dyDescent="0.3">
      <c r="A499" s="71" t="s">
        <v>306</v>
      </c>
      <c r="B499" s="1"/>
      <c r="C499" s="1">
        <v>312</v>
      </c>
      <c r="D499" s="1"/>
      <c r="E499" s="55">
        <f>SUM(B499:D499)</f>
        <v>312</v>
      </c>
      <c r="F499" s="1">
        <v>197</v>
      </c>
      <c r="G499" s="1">
        <v>591</v>
      </c>
      <c r="H499" s="1"/>
      <c r="I499" s="55">
        <f>SUM(F499:H499)</f>
        <v>788</v>
      </c>
      <c r="J499" s="1"/>
      <c r="K499" s="1"/>
      <c r="L499" s="1"/>
      <c r="M499" s="55">
        <f>SUM(J499:L499)</f>
        <v>0</v>
      </c>
      <c r="N499" s="1"/>
      <c r="O499" s="1"/>
      <c r="P499" s="1"/>
      <c r="Q499" s="55">
        <f>SUM(N499:P499)</f>
        <v>0</v>
      </c>
      <c r="R499" s="55">
        <f>+E499+I499+M499+Q499</f>
        <v>1100</v>
      </c>
    </row>
    <row r="500" spans="1:20" ht="15.75" customHeight="1" x14ac:dyDescent="0.3">
      <c r="A500" s="71" t="s">
        <v>656</v>
      </c>
      <c r="B500" s="1"/>
      <c r="C500" s="1"/>
      <c r="D500" s="1">
        <v>140</v>
      </c>
      <c r="E500" s="55">
        <f>SUM(B500:D500)</f>
        <v>140</v>
      </c>
      <c r="F500" s="1">
        <v>250</v>
      </c>
      <c r="G500" s="1">
        <v>703</v>
      </c>
      <c r="H500" s="1">
        <v>1105</v>
      </c>
      <c r="I500" s="55">
        <f>SUM(F500:H500)</f>
        <v>2058</v>
      </c>
      <c r="J500" s="1">
        <v>1194</v>
      </c>
      <c r="K500" s="1">
        <v>608</v>
      </c>
      <c r="L500" s="1"/>
      <c r="M500" s="55">
        <f>SUM(J500:L500)</f>
        <v>1802</v>
      </c>
      <c r="N500" s="1"/>
      <c r="O500" s="1"/>
      <c r="P500" s="1"/>
      <c r="Q500" s="55">
        <f>SUM(N500:P500)</f>
        <v>0</v>
      </c>
      <c r="R500" s="55">
        <f>+E500+I500+M500+Q500</f>
        <v>4000</v>
      </c>
    </row>
    <row r="501" spans="1:20" ht="15.75" customHeight="1" x14ac:dyDescent="0.3">
      <c r="A501" s="71" t="s">
        <v>657</v>
      </c>
      <c r="B501" s="1"/>
      <c r="C501" s="1"/>
      <c r="D501" s="1"/>
      <c r="E501" s="55">
        <f>SUM(B501:D501)</f>
        <v>0</v>
      </c>
      <c r="F501" s="1"/>
      <c r="G501" s="1"/>
      <c r="H501" s="1"/>
      <c r="I501" s="55">
        <f>SUM(F501:H501)</f>
        <v>0</v>
      </c>
      <c r="J501" s="1">
        <v>257</v>
      </c>
      <c r="K501" s="1">
        <v>500</v>
      </c>
      <c r="L501" s="1"/>
      <c r="M501" s="55">
        <f>SUM(J501:L501)</f>
        <v>757</v>
      </c>
      <c r="N501" s="1"/>
      <c r="O501" s="1"/>
      <c r="P501" s="1"/>
      <c r="Q501" s="55">
        <f>SUM(N501:P501)</f>
        <v>0</v>
      </c>
      <c r="R501" s="55">
        <f>+E501+I501+M501+Q501</f>
        <v>757</v>
      </c>
    </row>
    <row r="502" spans="1:20" ht="15.75" customHeight="1" x14ac:dyDescent="0.3">
      <c r="A502" s="15" t="s">
        <v>50</v>
      </c>
      <c r="B502" s="1"/>
      <c r="C502" s="1"/>
      <c r="D502" s="1"/>
      <c r="E502" s="55" t="s">
        <v>7</v>
      </c>
      <c r="F502" s="1"/>
      <c r="G502" s="1"/>
      <c r="H502" s="1"/>
      <c r="I502" s="55" t="s">
        <v>7</v>
      </c>
      <c r="J502" s="1"/>
      <c r="K502" s="1"/>
      <c r="L502" s="1"/>
      <c r="M502" s="55" t="s">
        <v>7</v>
      </c>
      <c r="N502" s="1"/>
      <c r="O502" s="1"/>
      <c r="P502" s="1"/>
      <c r="Q502" s="55" t="s">
        <v>7</v>
      </c>
      <c r="R502" s="55" t="s">
        <v>7</v>
      </c>
    </row>
    <row r="503" spans="1:20" ht="15.75" customHeight="1" x14ac:dyDescent="0.3">
      <c r="A503" s="15" t="s">
        <v>51</v>
      </c>
      <c r="B503" s="1"/>
      <c r="C503" s="1"/>
      <c r="D503" s="1"/>
      <c r="E503" s="55" t="s">
        <v>7</v>
      </c>
      <c r="F503" s="1"/>
      <c r="G503" s="1"/>
      <c r="H503" s="1"/>
      <c r="I503" s="55" t="s">
        <v>7</v>
      </c>
      <c r="J503" s="1"/>
      <c r="K503" s="1"/>
      <c r="L503" s="1"/>
      <c r="M503" s="55" t="s">
        <v>7</v>
      </c>
      <c r="N503" s="1"/>
      <c r="O503" s="1"/>
      <c r="P503" s="1"/>
      <c r="Q503" s="55" t="s">
        <v>7</v>
      </c>
      <c r="R503" s="55" t="s">
        <v>7</v>
      </c>
    </row>
    <row r="504" spans="1:20" ht="15.75" customHeight="1" thickBot="1" x14ac:dyDescent="0.35">
      <c r="A504" s="15" t="s">
        <v>53</v>
      </c>
      <c r="B504" s="1"/>
      <c r="C504" s="1"/>
      <c r="D504" s="1"/>
      <c r="E504" s="55" t="s">
        <v>7</v>
      </c>
      <c r="F504" s="1"/>
      <c r="G504" s="1"/>
      <c r="H504" s="1"/>
      <c r="I504" s="55" t="s">
        <v>7</v>
      </c>
      <c r="J504" s="1"/>
      <c r="K504" s="1"/>
      <c r="L504" s="1"/>
      <c r="M504" s="55" t="s">
        <v>7</v>
      </c>
      <c r="N504" s="1"/>
      <c r="O504" s="1"/>
      <c r="P504" s="1"/>
      <c r="Q504" s="55" t="s">
        <v>7</v>
      </c>
      <c r="R504" s="55" t="s">
        <v>7</v>
      </c>
    </row>
    <row r="505" spans="1:20" ht="16.5" customHeight="1" thickBot="1" x14ac:dyDescent="0.35">
      <c r="A505" s="109" t="s">
        <v>54</v>
      </c>
      <c r="B505" s="86">
        <f>SUM(B496:B504)</f>
        <v>0</v>
      </c>
      <c r="C505" s="87">
        <f>SUM(C496:C504)</f>
        <v>312</v>
      </c>
      <c r="D505" s="87">
        <f>SUM(D496:D504)</f>
        <v>140</v>
      </c>
      <c r="E505" s="59">
        <f>SUM(B505:D505)</f>
        <v>452</v>
      </c>
      <c r="F505" s="87">
        <f>SUM(F496:F504)</f>
        <v>447</v>
      </c>
      <c r="G505" s="87">
        <f>SUM(G496:G504)</f>
        <v>2694</v>
      </c>
      <c r="H505" s="87">
        <f>SUM(H496:H504)</f>
        <v>1105</v>
      </c>
      <c r="I505" s="59">
        <f>SUM(F505:H505)</f>
        <v>4246</v>
      </c>
      <c r="J505" s="87">
        <f>SUM(J496:J504)</f>
        <v>1451</v>
      </c>
      <c r="K505" s="87">
        <f>SUM(K496:K504)</f>
        <v>1108</v>
      </c>
      <c r="L505" s="87">
        <f>SUM(L496:L504)</f>
        <v>0</v>
      </c>
      <c r="M505" s="59">
        <f>SUM(J505:L505)</f>
        <v>2559</v>
      </c>
      <c r="N505" s="87">
        <f>SUM(N496:N504)</f>
        <v>0</v>
      </c>
      <c r="O505" s="87">
        <f>SUM(O496:O504)</f>
        <v>0</v>
      </c>
      <c r="P505" s="87">
        <f>SUM(P496:P504)</f>
        <v>0</v>
      </c>
      <c r="Q505" s="59">
        <f>SUM(N505:P505)</f>
        <v>0</v>
      </c>
      <c r="R505" s="59">
        <f>+E505+I505+M505+Q505</f>
        <v>7257</v>
      </c>
    </row>
    <row r="506" spans="1:20" ht="15.75" customHeight="1" x14ac:dyDescent="0.3">
      <c r="A506" s="15" t="s">
        <v>55</v>
      </c>
      <c r="B506" s="1"/>
      <c r="C506" s="1"/>
      <c r="D506" s="1"/>
      <c r="E506" s="60" t="s">
        <v>7</v>
      </c>
      <c r="F506" s="1"/>
      <c r="G506" s="1"/>
      <c r="H506" s="1"/>
      <c r="I506" s="60" t="s">
        <v>7</v>
      </c>
      <c r="J506" s="1"/>
      <c r="K506" s="1"/>
      <c r="L506" s="1"/>
      <c r="M506" s="60" t="s">
        <v>7</v>
      </c>
      <c r="N506" s="1"/>
      <c r="O506" s="1"/>
      <c r="P506" s="1"/>
      <c r="Q506" s="60" t="s">
        <v>7</v>
      </c>
      <c r="R506" s="125" t="s">
        <v>7</v>
      </c>
    </row>
    <row r="507" spans="1:20" ht="15.75" customHeight="1" x14ac:dyDescent="0.3">
      <c r="A507" s="15" t="s">
        <v>57</v>
      </c>
      <c r="B507" s="1"/>
      <c r="C507" s="1"/>
      <c r="D507" s="1"/>
      <c r="E507" s="55" t="s">
        <v>7</v>
      </c>
      <c r="F507" s="1"/>
      <c r="G507" s="1"/>
      <c r="H507" s="1"/>
      <c r="I507" s="55" t="s">
        <v>7</v>
      </c>
      <c r="J507" s="1"/>
      <c r="K507" s="1"/>
      <c r="L507" s="1"/>
      <c r="M507" s="55" t="s">
        <v>7</v>
      </c>
      <c r="N507" s="1"/>
      <c r="O507" s="1"/>
      <c r="P507" s="1"/>
      <c r="Q507" s="55" t="s">
        <v>7</v>
      </c>
      <c r="R507" s="125" t="s">
        <v>7</v>
      </c>
    </row>
    <row r="508" spans="1:20" ht="15.75" customHeight="1" x14ac:dyDescent="0.3">
      <c r="A508" s="71" t="s">
        <v>569</v>
      </c>
      <c r="B508" s="1">
        <v>76</v>
      </c>
      <c r="C508" s="1">
        <v>1241</v>
      </c>
      <c r="D508" s="1">
        <v>2397</v>
      </c>
      <c r="E508" s="55">
        <f>SUM(B508:D508)</f>
        <v>3714</v>
      </c>
      <c r="F508" s="1">
        <v>4424</v>
      </c>
      <c r="G508" s="1">
        <v>0</v>
      </c>
      <c r="H508" s="1">
        <v>4918</v>
      </c>
      <c r="I508" s="55">
        <f>SUM(F508:H508)</f>
        <v>9342</v>
      </c>
      <c r="J508" s="1">
        <v>1503</v>
      </c>
      <c r="K508" s="1">
        <v>2346</v>
      </c>
      <c r="L508" s="1">
        <v>2196</v>
      </c>
      <c r="M508" s="55">
        <f>SUM(J508:L508)</f>
        <v>6045</v>
      </c>
      <c r="N508" s="1"/>
      <c r="O508" s="1"/>
      <c r="P508" s="1"/>
      <c r="Q508" s="55">
        <f>SUM(N508:P508)</f>
        <v>0</v>
      </c>
      <c r="R508" s="55">
        <f>+E508+I508+M508+Q508</f>
        <v>19101</v>
      </c>
      <c r="S508" s="4">
        <f>+SUM(R508,R468,R359)</f>
        <v>94069</v>
      </c>
      <c r="T508" s="4" t="s">
        <v>985</v>
      </c>
    </row>
    <row r="509" spans="1:20" ht="15.75" customHeight="1" x14ac:dyDescent="0.3">
      <c r="A509" s="71" t="s">
        <v>309</v>
      </c>
      <c r="B509" s="1"/>
      <c r="C509" s="1"/>
      <c r="D509" s="1"/>
      <c r="E509" s="55">
        <f>SUM(B509:D509)</f>
        <v>0</v>
      </c>
      <c r="F509" s="1"/>
      <c r="G509" s="1"/>
      <c r="H509" s="1"/>
      <c r="I509" s="55">
        <f>SUM(F509:H509)</f>
        <v>0</v>
      </c>
      <c r="J509" s="1"/>
      <c r="K509" s="1"/>
      <c r="L509" s="1"/>
      <c r="M509" s="55">
        <f>SUM(J509:L509)</f>
        <v>0</v>
      </c>
      <c r="N509" s="1"/>
      <c r="O509" s="1"/>
      <c r="P509" s="1"/>
      <c r="Q509" s="55">
        <f>SUM(N509:P509)</f>
        <v>0</v>
      </c>
      <c r="R509" s="55">
        <f>+E509+I509+M509+Q509</f>
        <v>0</v>
      </c>
    </row>
    <row r="510" spans="1:20" ht="15.75" customHeight="1" x14ac:dyDescent="0.3">
      <c r="A510" s="15" t="s">
        <v>58</v>
      </c>
      <c r="B510" s="1"/>
      <c r="C510" s="1"/>
      <c r="D510" s="1"/>
      <c r="E510" s="55" t="s">
        <v>7</v>
      </c>
      <c r="F510" s="1"/>
      <c r="G510" s="1"/>
      <c r="H510" s="1"/>
      <c r="I510" s="55" t="s">
        <v>7</v>
      </c>
      <c r="J510" s="1"/>
      <c r="K510" s="1"/>
      <c r="L510" s="1"/>
      <c r="M510" s="55" t="s">
        <v>7</v>
      </c>
      <c r="N510" s="1"/>
      <c r="O510" s="1"/>
      <c r="P510" s="1"/>
      <c r="Q510" s="55" t="s">
        <v>7</v>
      </c>
      <c r="R510" s="55"/>
    </row>
    <row r="511" spans="1:20" ht="15.75" customHeight="1" thickBot="1" x14ac:dyDescent="0.35">
      <c r="A511" s="71" t="s">
        <v>309</v>
      </c>
      <c r="B511" s="1"/>
      <c r="C511" s="1"/>
      <c r="D511" s="1"/>
      <c r="E511" s="55"/>
      <c r="F511" s="1"/>
      <c r="G511" s="1"/>
      <c r="H511" s="1"/>
      <c r="I511" s="55"/>
      <c r="J511" s="1"/>
      <c r="K511" s="1"/>
      <c r="L511" s="1"/>
      <c r="M511" s="55"/>
      <c r="N511" s="1"/>
      <c r="O511" s="1">
        <v>11</v>
      </c>
      <c r="P511" s="1"/>
      <c r="Q511" s="55">
        <f>SUM(N511:P511)</f>
        <v>11</v>
      </c>
      <c r="R511" s="55">
        <f>+E511+I511+M511+Q511</f>
        <v>11</v>
      </c>
    </row>
    <row r="512" spans="1:20" ht="16.5" customHeight="1" thickBot="1" x14ac:dyDescent="0.35">
      <c r="A512" s="57" t="s">
        <v>59</v>
      </c>
      <c r="B512" s="86">
        <f>SUM(B506:B511)</f>
        <v>76</v>
      </c>
      <c r="C512" s="87">
        <f t="shared" ref="C512:D512" si="103">SUM(C506:C511)</f>
        <v>1241</v>
      </c>
      <c r="D512" s="87">
        <f t="shared" si="103"/>
        <v>2397</v>
      </c>
      <c r="E512" s="59">
        <f>SUM(B512:D512)</f>
        <v>3714</v>
      </c>
      <c r="F512" s="87">
        <f t="shared" ref="F512:H512" si="104">SUM(F506:F511)</f>
        <v>4424</v>
      </c>
      <c r="G512" s="87">
        <f t="shared" si="104"/>
        <v>0</v>
      </c>
      <c r="H512" s="87">
        <f t="shared" si="104"/>
        <v>4918</v>
      </c>
      <c r="I512" s="59">
        <f>SUM(F512:H512)</f>
        <v>9342</v>
      </c>
      <c r="J512" s="87">
        <f t="shared" ref="J512:L512" si="105">SUM(J506:J511)</f>
        <v>1503</v>
      </c>
      <c r="K512" s="87">
        <f t="shared" si="105"/>
        <v>2346</v>
      </c>
      <c r="L512" s="87">
        <f t="shared" si="105"/>
        <v>2196</v>
      </c>
      <c r="M512" s="59">
        <f>SUM(J512:L512)</f>
        <v>6045</v>
      </c>
      <c r="N512" s="87">
        <f t="shared" ref="N512:P512" si="106">SUM(N506:N511)</f>
        <v>0</v>
      </c>
      <c r="O512" s="87">
        <f t="shared" si="106"/>
        <v>11</v>
      </c>
      <c r="P512" s="87">
        <f t="shared" si="106"/>
        <v>0</v>
      </c>
      <c r="Q512" s="59">
        <f>SUM(N512:P512)</f>
        <v>11</v>
      </c>
      <c r="R512" s="59">
        <f>+E512+I512+M512+Q512</f>
        <v>19112</v>
      </c>
    </row>
    <row r="513" spans="1:20" ht="15.75" customHeight="1" x14ac:dyDescent="0.3">
      <c r="A513" s="15" t="s">
        <v>60</v>
      </c>
      <c r="B513" s="1"/>
      <c r="C513" s="1"/>
      <c r="D513" s="1"/>
      <c r="E513" s="55" t="s">
        <v>7</v>
      </c>
      <c r="F513" s="1"/>
      <c r="G513" s="1"/>
      <c r="H513" s="1"/>
      <c r="I513" s="55" t="s">
        <v>7</v>
      </c>
      <c r="J513" s="1"/>
      <c r="K513" s="1"/>
      <c r="L513" s="1"/>
      <c r="M513" s="55" t="s">
        <v>7</v>
      </c>
      <c r="N513" s="1"/>
      <c r="O513" s="1"/>
      <c r="P513" s="1"/>
      <c r="Q513" s="55" t="s">
        <v>7</v>
      </c>
      <c r="R513" s="55" t="s">
        <v>7</v>
      </c>
    </row>
    <row r="514" spans="1:20" ht="15.75" customHeight="1" x14ac:dyDescent="0.3">
      <c r="A514" s="15" t="s">
        <v>61</v>
      </c>
      <c r="B514" s="1"/>
      <c r="C514" s="1"/>
      <c r="D514" s="1"/>
      <c r="E514" s="55" t="s">
        <v>7</v>
      </c>
      <c r="F514" s="1"/>
      <c r="G514" s="1"/>
      <c r="H514" s="1"/>
      <c r="I514" s="55" t="s">
        <v>7</v>
      </c>
      <c r="J514" s="1"/>
      <c r="K514" s="1"/>
      <c r="L514" s="1"/>
      <c r="M514" s="55" t="s">
        <v>7</v>
      </c>
      <c r="N514" s="1"/>
      <c r="O514" s="1"/>
      <c r="P514" s="1"/>
      <c r="Q514" s="55" t="s">
        <v>7</v>
      </c>
      <c r="R514" s="55" t="s">
        <v>7</v>
      </c>
    </row>
    <row r="515" spans="1:20" ht="15.75" customHeight="1" x14ac:dyDescent="0.3">
      <c r="A515" s="15" t="s">
        <v>62</v>
      </c>
      <c r="B515" s="1"/>
      <c r="C515" s="1"/>
      <c r="D515" s="1"/>
      <c r="E515" s="55" t="s">
        <v>7</v>
      </c>
      <c r="F515" s="1"/>
      <c r="G515" s="1"/>
      <c r="H515" s="1"/>
      <c r="I515" s="55" t="s">
        <v>7</v>
      </c>
      <c r="J515" s="1"/>
      <c r="K515" s="1"/>
      <c r="L515" s="1"/>
      <c r="M515" s="55" t="s">
        <v>7</v>
      </c>
      <c r="N515" s="1"/>
      <c r="O515" s="1"/>
      <c r="P515" s="1"/>
      <c r="Q515" s="55" t="s">
        <v>7</v>
      </c>
      <c r="R515" s="55" t="s">
        <v>7</v>
      </c>
    </row>
    <row r="516" spans="1:20" ht="15.75" customHeight="1" thickBot="1" x14ac:dyDescent="0.35">
      <c r="A516" s="359" t="s">
        <v>982</v>
      </c>
      <c r="B516" s="1"/>
      <c r="C516" s="1"/>
      <c r="D516" s="1"/>
      <c r="E516" s="55">
        <f>SUM(B516:D516)</f>
        <v>0</v>
      </c>
      <c r="F516" s="1"/>
      <c r="G516" s="1"/>
      <c r="H516" s="1"/>
      <c r="I516" s="55">
        <f>SUM(F516:H516)</f>
        <v>0</v>
      </c>
      <c r="J516" s="1"/>
      <c r="K516" s="1"/>
      <c r="L516" s="1"/>
      <c r="M516" s="55">
        <f>SUM(J516:L516)</f>
        <v>0</v>
      </c>
      <c r="N516" s="1"/>
      <c r="O516" s="1"/>
      <c r="P516" s="1"/>
      <c r="Q516" s="55">
        <f>SUM(N516:P516)</f>
        <v>0</v>
      </c>
      <c r="R516" s="55">
        <f>+E516+I516+M516+Q516</f>
        <v>0</v>
      </c>
      <c r="T516" s="4" t="s">
        <v>939</v>
      </c>
    </row>
    <row r="517" spans="1:20" ht="16.5" customHeight="1" thickBot="1" x14ac:dyDescent="0.35">
      <c r="A517" s="114" t="s">
        <v>63</v>
      </c>
      <c r="B517" s="86">
        <f>SUM(B513:B516)</f>
        <v>0</v>
      </c>
      <c r="C517" s="87">
        <f>SUM(C513:C516)</f>
        <v>0</v>
      </c>
      <c r="D517" s="87">
        <f>SUM(D513:D516)</f>
        <v>0</v>
      </c>
      <c r="E517" s="59">
        <f>SUM(B517:D517)</f>
        <v>0</v>
      </c>
      <c r="F517" s="87">
        <f>SUM(F513:F516)</f>
        <v>0</v>
      </c>
      <c r="G517" s="87">
        <f>SUM(G513:G516)</f>
        <v>0</v>
      </c>
      <c r="H517" s="87">
        <f>SUM(H513:H516)</f>
        <v>0</v>
      </c>
      <c r="I517" s="59">
        <f>SUM(F517:H517)</f>
        <v>0</v>
      </c>
      <c r="J517" s="87">
        <f>SUM(J513:J516)</f>
        <v>0</v>
      </c>
      <c r="K517" s="87">
        <f>SUM(K513:K516)</f>
        <v>0</v>
      </c>
      <c r="L517" s="87">
        <f>SUM(L513:L516)</f>
        <v>0</v>
      </c>
      <c r="M517" s="59">
        <f>SUM(J517:L517)</f>
        <v>0</v>
      </c>
      <c r="N517" s="87">
        <f>SUM(N513:N516)</f>
        <v>0</v>
      </c>
      <c r="O517" s="87">
        <f>SUM(O513:O516)</f>
        <v>0</v>
      </c>
      <c r="P517" s="87">
        <f>SUM(P513:P516)</f>
        <v>0</v>
      </c>
      <c r="Q517" s="59">
        <f>SUM(N517:P517)</f>
        <v>0</v>
      </c>
      <c r="R517" s="59">
        <f>+E517+I517+M517+Q517</f>
        <v>0</v>
      </c>
    </row>
    <row r="518" spans="1:20" ht="15.75" customHeight="1" x14ac:dyDescent="0.3">
      <c r="A518" s="15" t="s">
        <v>64</v>
      </c>
      <c r="B518" s="1"/>
      <c r="C518" s="1"/>
      <c r="D518" s="1"/>
      <c r="E518" s="55" t="s">
        <v>7</v>
      </c>
      <c r="F518" s="1"/>
      <c r="G518" s="1"/>
      <c r="H518" s="1"/>
      <c r="I518" s="55" t="s">
        <v>7</v>
      </c>
      <c r="J518" s="1"/>
      <c r="K518" s="1"/>
      <c r="L518" s="1"/>
      <c r="M518" s="55" t="s">
        <v>7</v>
      </c>
      <c r="N518" s="1"/>
      <c r="O518" s="1"/>
      <c r="P518" s="1"/>
      <c r="Q518" s="55" t="s">
        <v>7</v>
      </c>
      <c r="R518" s="55" t="s">
        <v>7</v>
      </c>
    </row>
    <row r="519" spans="1:20" ht="15.75" customHeight="1" x14ac:dyDescent="0.3">
      <c r="A519" s="15" t="s">
        <v>594</v>
      </c>
      <c r="B519" s="1"/>
      <c r="C519" s="1"/>
      <c r="D519" s="1"/>
      <c r="E519" s="55" t="s">
        <v>7</v>
      </c>
      <c r="F519" s="1"/>
      <c r="G519" s="1"/>
      <c r="H519" s="1"/>
      <c r="I519" s="55" t="s">
        <v>7</v>
      </c>
      <c r="J519" s="1"/>
      <c r="K519" s="1"/>
      <c r="L519" s="1"/>
      <c r="M519" s="55" t="s">
        <v>7</v>
      </c>
      <c r="N519" s="1"/>
      <c r="O519" s="1"/>
      <c r="P519" s="1"/>
      <c r="Q519" s="55" t="s">
        <v>7</v>
      </c>
      <c r="R519" s="55" t="s">
        <v>7</v>
      </c>
    </row>
    <row r="520" spans="1:20" ht="15.75" customHeight="1" x14ac:dyDescent="0.3">
      <c r="A520" s="15" t="s">
        <v>67</v>
      </c>
      <c r="B520" s="1"/>
      <c r="C520" s="1"/>
      <c r="D520" s="1"/>
      <c r="E520" s="55" t="s">
        <v>7</v>
      </c>
      <c r="F520" s="1"/>
      <c r="G520" s="1"/>
      <c r="H520" s="1"/>
      <c r="I520" s="55" t="s">
        <v>7</v>
      </c>
      <c r="J520" s="1"/>
      <c r="K520" s="1"/>
      <c r="L520" s="1"/>
      <c r="M520" s="55" t="s">
        <v>7</v>
      </c>
      <c r="N520" s="1"/>
      <c r="O520" s="1"/>
      <c r="P520" s="1"/>
      <c r="Q520" s="55" t="s">
        <v>7</v>
      </c>
      <c r="R520" s="55" t="s">
        <v>7</v>
      </c>
    </row>
    <row r="521" spans="1:20" ht="15.75" customHeight="1" x14ac:dyDescent="0.3">
      <c r="A521" s="15" t="s">
        <v>600</v>
      </c>
      <c r="B521" s="1"/>
      <c r="C521" s="1"/>
      <c r="D521" s="1"/>
      <c r="E521" s="55" t="s">
        <v>7</v>
      </c>
      <c r="F521" s="1"/>
      <c r="G521" s="1"/>
      <c r="H521" s="1"/>
      <c r="I521" s="55" t="s">
        <v>7</v>
      </c>
      <c r="J521" s="1"/>
      <c r="K521" s="1"/>
      <c r="L521" s="1"/>
      <c r="M521" s="55" t="s">
        <v>7</v>
      </c>
      <c r="N521" s="1"/>
      <c r="O521" s="1"/>
      <c r="P521" s="1"/>
      <c r="Q521" s="55" t="s">
        <v>7</v>
      </c>
      <c r="R521" s="55" t="s">
        <v>7</v>
      </c>
    </row>
    <row r="522" spans="1:20" ht="15.75" customHeight="1" x14ac:dyDescent="0.3">
      <c r="A522" s="71" t="s">
        <v>570</v>
      </c>
      <c r="B522" s="1"/>
      <c r="C522" s="1"/>
      <c r="D522" s="1"/>
      <c r="E522" s="55">
        <f>SUM(B522:D522)</f>
        <v>0</v>
      </c>
      <c r="F522" s="1"/>
      <c r="G522" s="1"/>
      <c r="H522" s="1"/>
      <c r="I522" s="55">
        <f>SUM(F522:H522)</f>
        <v>0</v>
      </c>
      <c r="J522" s="1"/>
      <c r="K522" s="1">
        <v>43</v>
      </c>
      <c r="L522" s="1">
        <v>457</v>
      </c>
      <c r="M522" s="55">
        <f>SUM(J522:L522)</f>
        <v>500</v>
      </c>
      <c r="N522" s="1"/>
      <c r="O522" s="1"/>
      <c r="P522" s="1"/>
      <c r="Q522" s="55">
        <f>SUM(N522:P522)</f>
        <v>0</v>
      </c>
      <c r="R522" s="55">
        <f>+E522+I522+M522+Q522</f>
        <v>500</v>
      </c>
    </row>
    <row r="523" spans="1:20" ht="15.75" customHeight="1" x14ac:dyDescent="0.3">
      <c r="A523" s="15" t="s">
        <v>70</v>
      </c>
      <c r="B523" s="1"/>
      <c r="C523" s="1"/>
      <c r="D523" s="1"/>
      <c r="E523" s="55"/>
      <c r="F523" s="1"/>
      <c r="G523" s="1"/>
      <c r="H523" s="1"/>
      <c r="I523" s="55"/>
      <c r="J523" s="1"/>
      <c r="K523" s="1"/>
      <c r="L523" s="1"/>
      <c r="M523" s="55"/>
      <c r="N523" s="1"/>
      <c r="O523" s="1"/>
      <c r="P523" s="1"/>
      <c r="Q523" s="55"/>
      <c r="R523" s="55" t="s">
        <v>7</v>
      </c>
    </row>
    <row r="524" spans="1:20" ht="15.75" customHeight="1" x14ac:dyDescent="0.3">
      <c r="A524" s="71" t="s">
        <v>977</v>
      </c>
      <c r="B524" s="1"/>
      <c r="C524" s="1"/>
      <c r="D524" s="1"/>
      <c r="E524" s="55">
        <f t="shared" ref="E524:E530" si="107">SUM(B524:D524)</f>
        <v>0</v>
      </c>
      <c r="F524" s="1"/>
      <c r="G524" s="1"/>
      <c r="H524" s="1"/>
      <c r="I524" s="55">
        <f t="shared" ref="I524:I530" si="108">SUM(F524:H524)</f>
        <v>0</v>
      </c>
      <c r="J524" s="1"/>
      <c r="K524" s="1"/>
      <c r="L524" s="1"/>
      <c r="M524" s="55">
        <f t="shared" ref="M524:M530" si="109">SUM(J524:L524)</f>
        <v>0</v>
      </c>
      <c r="N524" s="1"/>
      <c r="O524" s="1"/>
      <c r="P524" s="1"/>
      <c r="Q524" s="55">
        <f t="shared" ref="Q524:Q530" si="110">SUM(N524:P524)</f>
        <v>0</v>
      </c>
      <c r="R524" s="55">
        <f t="shared" ref="R524:R530" si="111">+E524+I524+M524+Q524</f>
        <v>0</v>
      </c>
      <c r="T524" s="4" t="s">
        <v>939</v>
      </c>
    </row>
    <row r="525" spans="1:20" ht="15.75" customHeight="1" x14ac:dyDescent="0.3">
      <c r="A525" s="71" t="s">
        <v>986</v>
      </c>
      <c r="B525" s="1"/>
      <c r="C525" s="1"/>
      <c r="D525" s="1"/>
      <c r="E525" s="55">
        <f>SUM(B525:D525)</f>
        <v>0</v>
      </c>
      <c r="F525" s="1"/>
      <c r="G525" s="1"/>
      <c r="H525" s="1"/>
      <c r="I525" s="55">
        <f>SUM(F525:H525)</f>
        <v>0</v>
      </c>
      <c r="J525" s="1"/>
      <c r="K525" s="1"/>
      <c r="L525" s="1"/>
      <c r="M525" s="55">
        <f>SUM(J525:L525)</f>
        <v>0</v>
      </c>
      <c r="N525" s="1"/>
      <c r="O525" s="1"/>
      <c r="P525" s="1"/>
      <c r="Q525" s="55">
        <f>SUM(N525:P525)</f>
        <v>0</v>
      </c>
      <c r="R525" s="55">
        <f>+E525+I525+M525+Q525</f>
        <v>0</v>
      </c>
      <c r="T525" s="4" t="s">
        <v>939</v>
      </c>
    </row>
    <row r="526" spans="1:20" ht="15.75" customHeight="1" thickBot="1" x14ac:dyDescent="0.35">
      <c r="A526" s="71" t="s">
        <v>761</v>
      </c>
      <c r="B526" s="1"/>
      <c r="C526" s="1"/>
      <c r="D526" s="1"/>
      <c r="E526" s="55">
        <f t="shared" si="107"/>
        <v>0</v>
      </c>
      <c r="F526" s="1"/>
      <c r="G526" s="1"/>
      <c r="H526" s="1"/>
      <c r="I526" s="55">
        <f t="shared" si="108"/>
        <v>0</v>
      </c>
      <c r="J526" s="1"/>
      <c r="K526" s="1"/>
      <c r="L526" s="1">
        <v>298</v>
      </c>
      <c r="M526" s="55">
        <f t="shared" si="109"/>
        <v>298</v>
      </c>
      <c r="N526" s="1">
        <v>242</v>
      </c>
      <c r="O526" s="1"/>
      <c r="P526" s="1"/>
      <c r="Q526" s="55">
        <f t="shared" si="110"/>
        <v>242</v>
      </c>
      <c r="R526" s="55">
        <f t="shared" si="111"/>
        <v>540</v>
      </c>
    </row>
    <row r="527" spans="1:20" ht="16.5" customHeight="1" thickBot="1" x14ac:dyDescent="0.35">
      <c r="A527" s="57" t="s">
        <v>71</v>
      </c>
      <c r="B527" s="58">
        <f>SUM(B521:B526)</f>
        <v>0</v>
      </c>
      <c r="C527" s="58">
        <f>SUM(C521:C526)</f>
        <v>0</v>
      </c>
      <c r="D527" s="58">
        <f>SUM(D521:D526)</f>
        <v>0</v>
      </c>
      <c r="E527" s="60">
        <f t="shared" si="107"/>
        <v>0</v>
      </c>
      <c r="F527" s="58">
        <f>SUM(F521:F526)</f>
        <v>0</v>
      </c>
      <c r="G527" s="58">
        <f>SUM(G521:G526)</f>
        <v>0</v>
      </c>
      <c r="H527" s="58">
        <f>SUM(H521:H526)</f>
        <v>0</v>
      </c>
      <c r="I527" s="60">
        <f t="shared" si="108"/>
        <v>0</v>
      </c>
      <c r="J527" s="58">
        <f>SUM(J521:J526)</f>
        <v>0</v>
      </c>
      <c r="K527" s="58">
        <f>SUM(K521:K526)</f>
        <v>43</v>
      </c>
      <c r="L527" s="58">
        <f>SUM(L521:L526)</f>
        <v>755</v>
      </c>
      <c r="M527" s="60">
        <f t="shared" si="109"/>
        <v>798</v>
      </c>
      <c r="N527" s="58">
        <f>SUM(N521:N526)</f>
        <v>242</v>
      </c>
      <c r="O527" s="58">
        <f>SUM(O521:O526)</f>
        <v>0</v>
      </c>
      <c r="P527" s="58">
        <f>SUM(P521:P526)</f>
        <v>0</v>
      </c>
      <c r="Q527" s="60">
        <f t="shared" si="110"/>
        <v>242</v>
      </c>
      <c r="R527" s="59">
        <f t="shared" si="111"/>
        <v>1040</v>
      </c>
    </row>
    <row r="528" spans="1:20" ht="16.5" customHeight="1" thickBot="1" x14ac:dyDescent="0.35">
      <c r="A528" s="114" t="s">
        <v>72</v>
      </c>
      <c r="B528" s="86">
        <f>SUM(B518:B526)</f>
        <v>0</v>
      </c>
      <c r="C528" s="87">
        <f>SUM(C518:C526)</f>
        <v>0</v>
      </c>
      <c r="D528" s="118">
        <f>SUM(D518:D526)</f>
        <v>0</v>
      </c>
      <c r="E528" s="60">
        <f t="shared" si="107"/>
        <v>0</v>
      </c>
      <c r="F528" s="87">
        <f>SUM(F518:F526)</f>
        <v>0</v>
      </c>
      <c r="G528" s="87">
        <f>SUM(G518:G526)</f>
        <v>0</v>
      </c>
      <c r="H528" s="87">
        <f>SUM(H518:H526)</f>
        <v>0</v>
      </c>
      <c r="I528" s="60">
        <f t="shared" si="108"/>
        <v>0</v>
      </c>
      <c r="J528" s="87">
        <f>SUM(J518:J526)</f>
        <v>0</v>
      </c>
      <c r="K528" s="87">
        <f>SUM(K518:K526)</f>
        <v>43</v>
      </c>
      <c r="L528" s="87">
        <f>SUM(L518:L526)</f>
        <v>755</v>
      </c>
      <c r="M528" s="60">
        <f t="shared" si="109"/>
        <v>798</v>
      </c>
      <c r="N528" s="87">
        <f>SUM(N518:N526)</f>
        <v>242</v>
      </c>
      <c r="O528" s="87">
        <f>SUM(O518:O526)</f>
        <v>0</v>
      </c>
      <c r="P528" s="87">
        <f>SUM(P518:P526)</f>
        <v>0</v>
      </c>
      <c r="Q528" s="60">
        <f t="shared" si="110"/>
        <v>242</v>
      </c>
      <c r="R528" s="59">
        <f t="shared" si="111"/>
        <v>1040</v>
      </c>
    </row>
    <row r="529" spans="1:20" ht="16.5" customHeight="1" thickBot="1" x14ac:dyDescent="0.35">
      <c r="A529" s="57" t="s">
        <v>73</v>
      </c>
      <c r="B529" s="90">
        <f>+B505+B512+B517+B528</f>
        <v>76</v>
      </c>
      <c r="C529" s="58">
        <f>+C505+C512+C517+C528</f>
        <v>1553</v>
      </c>
      <c r="D529" s="58">
        <f>+D505+D512+D517+D528</f>
        <v>2537</v>
      </c>
      <c r="E529" s="59">
        <f t="shared" si="107"/>
        <v>4166</v>
      </c>
      <c r="F529" s="58">
        <f>+F505+F512+F517+F528</f>
        <v>4871</v>
      </c>
      <c r="G529" s="58">
        <f>+G505+G512+G517+G528</f>
        <v>2694</v>
      </c>
      <c r="H529" s="58">
        <f>+H505+H512+H517+H528</f>
        <v>6023</v>
      </c>
      <c r="I529" s="59">
        <f t="shared" si="108"/>
        <v>13588</v>
      </c>
      <c r="J529" s="58">
        <f>+J505+J512+J517+J528</f>
        <v>2954</v>
      </c>
      <c r="K529" s="58">
        <f>+K505+K512+K517+K528</f>
        <v>3497</v>
      </c>
      <c r="L529" s="58">
        <f>+L505+L512+L517+L528</f>
        <v>2951</v>
      </c>
      <c r="M529" s="59">
        <f t="shared" si="109"/>
        <v>9402</v>
      </c>
      <c r="N529" s="58">
        <f>+N505+N512+N517+N528</f>
        <v>242</v>
      </c>
      <c r="O529" s="58">
        <f>+O505+O512+O517+O528</f>
        <v>11</v>
      </c>
      <c r="P529" s="58">
        <f>+P505+P512+P517+P528</f>
        <v>0</v>
      </c>
      <c r="Q529" s="59">
        <f t="shared" si="110"/>
        <v>253</v>
      </c>
      <c r="R529" s="81">
        <f t="shared" si="111"/>
        <v>27409</v>
      </c>
    </row>
    <row r="530" spans="1:20" ht="16.5" customHeight="1" thickBot="1" x14ac:dyDescent="0.35">
      <c r="A530" s="39" t="s">
        <v>40</v>
      </c>
      <c r="B530" s="21">
        <v>23</v>
      </c>
      <c r="C530" s="21">
        <v>43</v>
      </c>
      <c r="D530" s="21">
        <v>66</v>
      </c>
      <c r="E530" s="81">
        <f t="shared" si="107"/>
        <v>132</v>
      </c>
      <c r="F530" s="21">
        <v>91</v>
      </c>
      <c r="G530" s="21">
        <v>108</v>
      </c>
      <c r="H530" s="21">
        <v>109</v>
      </c>
      <c r="I530" s="81">
        <f t="shared" si="108"/>
        <v>308</v>
      </c>
      <c r="J530" s="21">
        <v>104</v>
      </c>
      <c r="K530" s="21">
        <v>79</v>
      </c>
      <c r="L530" s="21">
        <v>80</v>
      </c>
      <c r="M530" s="81">
        <f t="shared" si="109"/>
        <v>263</v>
      </c>
      <c r="N530" s="21">
        <v>74</v>
      </c>
      <c r="O530" s="21">
        <v>58</v>
      </c>
      <c r="P530" s="21">
        <v>42</v>
      </c>
      <c r="Q530" s="81">
        <f t="shared" si="110"/>
        <v>174</v>
      </c>
      <c r="R530" s="55">
        <f t="shared" si="111"/>
        <v>877</v>
      </c>
    </row>
    <row r="531" spans="1:20" ht="16.5" customHeight="1" thickBot="1" x14ac:dyDescent="0.35">
      <c r="A531" s="41"/>
      <c r="B531" s="36"/>
      <c r="C531" s="36"/>
      <c r="D531" s="36"/>
      <c r="E531" s="42"/>
      <c r="F531" s="36"/>
      <c r="G531" s="36"/>
      <c r="H531" s="36"/>
      <c r="I531" s="126"/>
      <c r="J531" s="36"/>
      <c r="K531" s="36"/>
      <c r="L531" s="36"/>
      <c r="M531" s="126"/>
      <c r="N531" s="36"/>
      <c r="O531" s="36"/>
      <c r="P531" s="36"/>
      <c r="Q531" s="126"/>
      <c r="R531" s="42"/>
    </row>
    <row r="532" spans="1:20" ht="15.75" customHeight="1" x14ac:dyDescent="0.3">
      <c r="A532" s="15" t="s">
        <v>314</v>
      </c>
      <c r="B532" s="77">
        <f>SUM(B529:B530)</f>
        <v>99</v>
      </c>
      <c r="C532" s="77">
        <f>SUM(C529:C530)</f>
        <v>1596</v>
      </c>
      <c r="D532" s="77">
        <f>SUM(D529:D530)</f>
        <v>2603</v>
      </c>
      <c r="E532" s="60">
        <f>SUM(B532:D532)</f>
        <v>4298</v>
      </c>
      <c r="F532" s="77">
        <f>SUM(F529:F530)</f>
        <v>4962</v>
      </c>
      <c r="G532" s="77">
        <f>SUM(G529:G530)</f>
        <v>2802</v>
      </c>
      <c r="H532" s="77">
        <f>SUM(H529:H530)</f>
        <v>6132</v>
      </c>
      <c r="I532" s="60">
        <f>SUM(F532:H532)</f>
        <v>13896</v>
      </c>
      <c r="J532" s="77">
        <f>SUM(J529:J530)</f>
        <v>3058</v>
      </c>
      <c r="K532" s="77">
        <f>SUM(K529:K530)</f>
        <v>3576</v>
      </c>
      <c r="L532" s="77">
        <f>SUM(L529:L530)</f>
        <v>3031</v>
      </c>
      <c r="M532" s="60">
        <f>SUM(J532:L532)</f>
        <v>9665</v>
      </c>
      <c r="N532" s="77">
        <f>SUM(N529:N530)</f>
        <v>316</v>
      </c>
      <c r="O532" s="77">
        <f>SUM(O529:O530)</f>
        <v>69</v>
      </c>
      <c r="P532" s="77">
        <f>SUM(P529:P530)</f>
        <v>42</v>
      </c>
      <c r="Q532" s="60">
        <f>SUM(N532:P532)</f>
        <v>427</v>
      </c>
      <c r="R532" s="60">
        <f>+E532+I532+M532+Q532</f>
        <v>28286</v>
      </c>
    </row>
    <row r="533" spans="1:20" ht="15.75" customHeight="1" x14ac:dyDescent="0.3">
      <c r="A533" s="15" t="s">
        <v>42</v>
      </c>
      <c r="B533" s="1">
        <f>(B532/B10)/1.983</f>
        <v>1.6104631301547019</v>
      </c>
      <c r="C533" s="1">
        <f>(C532/C10)/1.983</f>
        <v>27.753143095623141</v>
      </c>
      <c r="D533" s="1">
        <f>(D532/D10)/1.983</f>
        <v>42.343793210027165</v>
      </c>
      <c r="E533" s="55" t="s">
        <v>7</v>
      </c>
      <c r="F533" s="1">
        <f>(F532/F10)/1.983</f>
        <v>83.408976298537567</v>
      </c>
      <c r="G533" s="1">
        <f>(G532/G10)/1.983</f>
        <v>45.58098677468157</v>
      </c>
      <c r="H533" s="1">
        <f>(H532/H10)/1.983</f>
        <v>103.07614725163893</v>
      </c>
      <c r="I533" s="55" t="s">
        <v>7</v>
      </c>
      <c r="J533" s="1">
        <f>(J532/J10)/1.983</f>
        <v>49.745416687000791</v>
      </c>
      <c r="K533" s="1">
        <f>(K532/K10)/1.983</f>
        <v>58.17188033770924</v>
      </c>
      <c r="L533" s="1">
        <f>(L532/L10)/1.983</f>
        <v>50.949739452008735</v>
      </c>
      <c r="M533" s="55" t="s">
        <v>7</v>
      </c>
      <c r="N533" s="1">
        <f>(N532/N10)/1.983</f>
        <v>5.1404681730190482</v>
      </c>
      <c r="O533" s="1">
        <f>(O532/O10)/1.983</f>
        <v>1.1598587997982852</v>
      </c>
      <c r="P533" s="1">
        <f>(P532/P10)/1.983</f>
        <v>0.68322678248987356</v>
      </c>
      <c r="Q533" s="55" t="s">
        <v>7</v>
      </c>
      <c r="R533" s="55" t="s">
        <v>7</v>
      </c>
    </row>
    <row r="534" spans="1:20" ht="15.75" customHeight="1" x14ac:dyDescent="0.3">
      <c r="A534" s="15" t="s">
        <v>315</v>
      </c>
      <c r="B534" s="1">
        <f>B532+B589</f>
        <v>9063</v>
      </c>
      <c r="C534" s="1">
        <f>C532+C589</f>
        <v>17663</v>
      </c>
      <c r="D534" s="1">
        <f>D532+D589</f>
        <v>24605</v>
      </c>
      <c r="E534" s="55">
        <f>SUM(B534:D534)</f>
        <v>51331</v>
      </c>
      <c r="F534" s="1">
        <f>F532+F589</f>
        <v>30202</v>
      </c>
      <c r="G534" s="1">
        <f>G532+G589</f>
        <v>27038</v>
      </c>
      <c r="H534" s="1">
        <f>H532+H589</f>
        <v>29076</v>
      </c>
      <c r="I534" s="55">
        <f>SUM(F534:H534)</f>
        <v>86316</v>
      </c>
      <c r="J534" s="1">
        <f>J532+J589</f>
        <v>28429</v>
      </c>
      <c r="K534" s="1">
        <f>K532+K589</f>
        <v>25261</v>
      </c>
      <c r="L534" s="1">
        <f>L532+L589</f>
        <v>25967</v>
      </c>
      <c r="M534" s="55">
        <f>SUM(J534:L534)</f>
        <v>79657</v>
      </c>
      <c r="N534" s="1">
        <f>N532+N589</f>
        <v>8221</v>
      </c>
      <c r="O534" s="1">
        <f>O532+O589</f>
        <v>10398</v>
      </c>
      <c r="P534" s="1">
        <f>P532+P589</f>
        <v>14869</v>
      </c>
      <c r="Q534" s="55">
        <f>SUM(N534:P534)</f>
        <v>33488</v>
      </c>
      <c r="R534" s="55">
        <f>+E534+I534+M534+Q534</f>
        <v>250792</v>
      </c>
    </row>
    <row r="535" spans="1:20" ht="16.5" customHeight="1" thickBot="1" x14ac:dyDescent="0.35">
      <c r="A535" s="20" t="s">
        <v>316</v>
      </c>
      <c r="B535" s="25">
        <f>(B534/B10)/1.983</f>
        <v>147.43057927870774</v>
      </c>
      <c r="C535" s="25">
        <f>(C534/C10)/1.983</f>
        <v>307.1452171040047</v>
      </c>
      <c r="D535" s="25">
        <f>(D534/D10)/1.983</f>
        <v>400.25702340865098</v>
      </c>
      <c r="E535" s="81" t="s">
        <v>7</v>
      </c>
      <c r="F535" s="25">
        <f>(F534/F10)/1.983</f>
        <v>507.6819633551857</v>
      </c>
      <c r="G535" s="25">
        <f>(G534/G10)/1.983</f>
        <v>439.83537488002861</v>
      </c>
      <c r="H535" s="25">
        <f>(H534/H10)/1.983</f>
        <v>488.75441250630359</v>
      </c>
      <c r="I535" s="81" t="s">
        <v>7</v>
      </c>
      <c r="J535" s="25">
        <f>(J534/J10)/1.983</f>
        <v>462.46319522391946</v>
      </c>
      <c r="K535" s="25">
        <f>(K534/K10)/1.983</f>
        <v>410.92837505896898</v>
      </c>
      <c r="L535" s="25">
        <f>(L534/L10)/1.983</f>
        <v>436.49352832408806</v>
      </c>
      <c r="M535" s="81" t="s">
        <v>7</v>
      </c>
      <c r="N535" s="25">
        <f>(N534/N10)/1.983</f>
        <v>133.73350902022025</v>
      </c>
      <c r="O535" s="25">
        <f>(O534/O10)/1.983</f>
        <v>174.78567826525466</v>
      </c>
      <c r="P535" s="25">
        <f>(P534/P10)/1.983</f>
        <v>241.87854830576023</v>
      </c>
      <c r="Q535" s="81" t="s">
        <v>7</v>
      </c>
      <c r="R535" s="81" t="s">
        <v>7</v>
      </c>
    </row>
    <row r="536" spans="1:20" ht="15.75" customHeight="1" x14ac:dyDescent="0.3">
      <c r="A536" s="2"/>
      <c r="B536" s="1"/>
      <c r="C536" s="1"/>
      <c r="D536" s="1"/>
      <c r="E536" s="1"/>
      <c r="F536" s="1"/>
      <c r="G536" s="1"/>
      <c r="H536" s="1"/>
      <c r="I536" s="1"/>
      <c r="J536" s="1"/>
      <c r="K536" s="1"/>
      <c r="L536" s="1"/>
      <c r="M536" s="1"/>
      <c r="N536" s="1"/>
      <c r="O536" s="1"/>
      <c r="P536" s="1"/>
      <c r="Q536" s="1"/>
      <c r="R536" s="2"/>
    </row>
    <row r="537" spans="1:20" ht="15.75" customHeight="1" thickBot="1" x14ac:dyDescent="0.35">
      <c r="A537" s="2"/>
      <c r="B537" s="1"/>
      <c r="C537" s="1"/>
      <c r="D537" s="1"/>
      <c r="E537" s="1"/>
      <c r="F537" s="1"/>
      <c r="G537" s="1"/>
      <c r="H537" s="1"/>
      <c r="I537" s="1"/>
      <c r="J537" s="1"/>
      <c r="K537" s="1"/>
      <c r="L537" s="1"/>
      <c r="M537" s="1"/>
      <c r="N537" s="1"/>
      <c r="O537" s="1"/>
      <c r="P537" s="1"/>
      <c r="Q537" s="1"/>
      <c r="R537" s="2"/>
    </row>
    <row r="538" spans="1:20" ht="16.5" customHeight="1" thickBot="1" x14ac:dyDescent="0.35">
      <c r="A538" s="124" t="s">
        <v>317</v>
      </c>
      <c r="B538" s="30" t="s">
        <v>8</v>
      </c>
      <c r="C538" s="31" t="s">
        <v>9</v>
      </c>
      <c r="D538" s="31" t="s">
        <v>10</v>
      </c>
      <c r="E538" s="32" t="s">
        <v>11</v>
      </c>
      <c r="F538" s="31" t="s">
        <v>12</v>
      </c>
      <c r="G538" s="31" t="s">
        <v>13</v>
      </c>
      <c r="H538" s="31" t="s">
        <v>14</v>
      </c>
      <c r="I538" s="33" t="s">
        <v>15</v>
      </c>
      <c r="J538" s="31" t="s">
        <v>16</v>
      </c>
      <c r="K538" s="31" t="s">
        <v>17</v>
      </c>
      <c r="L538" s="31" t="s">
        <v>18</v>
      </c>
      <c r="M538" s="33" t="s">
        <v>19</v>
      </c>
      <c r="N538" s="31" t="s">
        <v>20</v>
      </c>
      <c r="O538" s="31" t="s">
        <v>21</v>
      </c>
      <c r="P538" s="31" t="s">
        <v>22</v>
      </c>
      <c r="Q538" s="33" t="s">
        <v>23</v>
      </c>
      <c r="R538" s="34" t="s">
        <v>24</v>
      </c>
    </row>
    <row r="539" spans="1:20" ht="16.5" customHeight="1" thickBot="1" x14ac:dyDescent="0.35">
      <c r="A539" s="59"/>
      <c r="B539" s="75"/>
      <c r="C539" s="75"/>
      <c r="D539" s="75"/>
      <c r="E539" s="69"/>
      <c r="F539" s="75"/>
      <c r="G539" s="75"/>
      <c r="H539" s="75"/>
      <c r="I539" s="82"/>
      <c r="J539" s="75"/>
      <c r="K539" s="75"/>
      <c r="L539" s="75"/>
      <c r="M539" s="82"/>
      <c r="N539" s="75"/>
      <c r="O539" s="75"/>
      <c r="P539" s="75"/>
      <c r="Q539" s="82"/>
      <c r="R539" s="100"/>
    </row>
    <row r="540" spans="1:20" ht="15.75" customHeight="1" x14ac:dyDescent="0.3">
      <c r="A540" s="15" t="s">
        <v>48</v>
      </c>
      <c r="B540" s="1" t="s">
        <v>7</v>
      </c>
      <c r="C540" s="1" t="s">
        <v>7</v>
      </c>
      <c r="D540" s="1" t="s">
        <v>7</v>
      </c>
      <c r="E540" s="55" t="s">
        <v>7</v>
      </c>
      <c r="F540" s="1" t="s">
        <v>7</v>
      </c>
      <c r="G540" s="1" t="s">
        <v>7</v>
      </c>
      <c r="H540" s="1" t="s">
        <v>7</v>
      </c>
      <c r="I540" s="55" t="s">
        <v>7</v>
      </c>
      <c r="J540" s="1" t="s">
        <v>7</v>
      </c>
      <c r="K540" s="1" t="s">
        <v>7</v>
      </c>
      <c r="L540" s="1" t="s">
        <v>7</v>
      </c>
      <c r="M540" s="55" t="s">
        <v>7</v>
      </c>
      <c r="N540" s="1" t="s">
        <v>7</v>
      </c>
      <c r="O540" s="1" t="s">
        <v>7</v>
      </c>
      <c r="P540" s="1" t="s">
        <v>7</v>
      </c>
      <c r="Q540" s="55" t="s">
        <v>7</v>
      </c>
      <c r="R540" s="55" t="s">
        <v>7</v>
      </c>
    </row>
    <row r="541" spans="1:20" ht="15.75" customHeight="1" x14ac:dyDescent="0.3">
      <c r="A541" s="15" t="s">
        <v>49</v>
      </c>
      <c r="B541" s="1"/>
      <c r="C541" s="1"/>
      <c r="D541" s="1"/>
      <c r="E541" s="55" t="s">
        <v>7</v>
      </c>
      <c r="F541" s="1"/>
      <c r="G541" s="1"/>
      <c r="H541" s="1"/>
      <c r="I541" s="55" t="s">
        <v>7</v>
      </c>
      <c r="J541" s="1"/>
      <c r="K541" s="1"/>
      <c r="L541" s="1"/>
      <c r="M541" s="55" t="s">
        <v>7</v>
      </c>
      <c r="N541" s="1"/>
      <c r="O541" s="1"/>
      <c r="P541" s="1"/>
      <c r="Q541" s="55" t="s">
        <v>7</v>
      </c>
      <c r="R541" s="55" t="s">
        <v>7</v>
      </c>
    </row>
    <row r="542" spans="1:20" ht="15.75" customHeight="1" x14ac:dyDescent="0.3">
      <c r="A542" s="71" t="s">
        <v>762</v>
      </c>
      <c r="B542" s="1">
        <v>685</v>
      </c>
      <c r="C542" s="1">
        <v>450</v>
      </c>
      <c r="D542" s="1">
        <v>382</v>
      </c>
      <c r="E542" s="55">
        <f t="shared" ref="E542:E550" si="112">SUM(B542:D542)</f>
        <v>1517</v>
      </c>
      <c r="F542" s="1">
        <v>165</v>
      </c>
      <c r="G542" s="1">
        <v>554</v>
      </c>
      <c r="H542" s="1">
        <v>494</v>
      </c>
      <c r="I542" s="55">
        <f t="shared" ref="I542:I550" si="113">SUM(F542:H542)</f>
        <v>1213</v>
      </c>
      <c r="J542" s="1">
        <v>520</v>
      </c>
      <c r="K542" s="1">
        <v>377</v>
      </c>
      <c r="L542" s="1">
        <v>284</v>
      </c>
      <c r="M542" s="55">
        <f t="shared" ref="M542:M550" si="114">SUM(J542:L542)</f>
        <v>1181</v>
      </c>
      <c r="N542" s="1">
        <v>39</v>
      </c>
      <c r="O542" s="1"/>
      <c r="P542" s="1">
        <v>45</v>
      </c>
      <c r="Q542" s="55">
        <f t="shared" ref="Q542:Q550" si="115">SUM(N542:P542)</f>
        <v>84</v>
      </c>
      <c r="R542" s="55">
        <f t="shared" ref="R542:R550" si="116">+E542+I542+M542+Q542</f>
        <v>3995</v>
      </c>
    </row>
    <row r="543" spans="1:20" ht="15.75" customHeight="1" x14ac:dyDescent="0.3">
      <c r="A543" s="71" t="s">
        <v>320</v>
      </c>
      <c r="B543" s="1">
        <v>172</v>
      </c>
      <c r="C543" s="1">
        <v>426</v>
      </c>
      <c r="D543" s="1">
        <v>600</v>
      </c>
      <c r="E543" s="55">
        <f>SUM(B543:D543)</f>
        <v>1198</v>
      </c>
      <c r="F543" s="1">
        <v>301</v>
      </c>
      <c r="G543" s="1">
        <v>400</v>
      </c>
      <c r="H543" s="1">
        <v>501</v>
      </c>
      <c r="I543" s="55">
        <f>SUM(F543:H543)</f>
        <v>1202</v>
      </c>
      <c r="J543" s="1"/>
      <c r="K543" s="1"/>
      <c r="L543" s="1"/>
      <c r="M543" s="55">
        <f>SUM(J543:L543)</f>
        <v>0</v>
      </c>
      <c r="N543" s="1"/>
      <c r="O543" s="1"/>
      <c r="P543" s="1"/>
      <c r="Q543" s="55">
        <f>SUM(N543:P543)</f>
        <v>0</v>
      </c>
      <c r="R543" s="55">
        <f>+E543+I543+M543+Q543</f>
        <v>2400</v>
      </c>
    </row>
    <row r="544" spans="1:20" ht="15.75" customHeight="1" x14ac:dyDescent="0.3">
      <c r="A544" s="71" t="s">
        <v>318</v>
      </c>
      <c r="B544" s="1"/>
      <c r="C544" s="1">
        <v>419</v>
      </c>
      <c r="D544" s="1">
        <v>1313</v>
      </c>
      <c r="E544" s="55">
        <f t="shared" si="112"/>
        <v>1732</v>
      </c>
      <c r="F544" s="1">
        <v>1466</v>
      </c>
      <c r="G544" s="1"/>
      <c r="H544" s="1"/>
      <c r="I544" s="55">
        <f t="shared" si="113"/>
        <v>1466</v>
      </c>
      <c r="J544" s="1">
        <v>1214</v>
      </c>
      <c r="K544" s="1"/>
      <c r="L544" s="1"/>
      <c r="M544" s="55">
        <f t="shared" si="114"/>
        <v>1214</v>
      </c>
      <c r="N544" s="1"/>
      <c r="O544" s="1"/>
      <c r="P544" s="1"/>
      <c r="Q544" s="55">
        <f t="shared" si="115"/>
        <v>0</v>
      </c>
      <c r="R544" s="55">
        <f t="shared" si="116"/>
        <v>4412</v>
      </c>
      <c r="T544" s="4" t="s">
        <v>987</v>
      </c>
    </row>
    <row r="545" spans="1:20" ht="15.75" customHeight="1" x14ac:dyDescent="0.3">
      <c r="A545" s="71" t="s">
        <v>763</v>
      </c>
      <c r="B545" s="1"/>
      <c r="C545" s="1"/>
      <c r="D545" s="1"/>
      <c r="E545" s="55">
        <f>SUM(B545:D545)</f>
        <v>0</v>
      </c>
      <c r="F545" s="1"/>
      <c r="G545" s="1"/>
      <c r="H545" s="1"/>
      <c r="I545" s="55">
        <f>SUM(F545:H545)</f>
        <v>0</v>
      </c>
      <c r="J545" s="1"/>
      <c r="K545" s="1"/>
      <c r="L545" s="1"/>
      <c r="M545" s="55">
        <f>SUM(J545:L545)</f>
        <v>0</v>
      </c>
      <c r="N545" s="1"/>
      <c r="O545" s="1"/>
      <c r="P545" s="1"/>
      <c r="Q545" s="55">
        <f>SUM(N545:P545)</f>
        <v>0</v>
      </c>
      <c r="R545" s="55">
        <f>+E545+I545+M545+Q545</f>
        <v>0</v>
      </c>
      <c r="T545" s="4" t="s">
        <v>988</v>
      </c>
    </row>
    <row r="546" spans="1:20" ht="15.75" customHeight="1" x14ac:dyDescent="0.3">
      <c r="A546" s="71" t="s">
        <v>572</v>
      </c>
      <c r="B546" s="1"/>
      <c r="C546" s="1">
        <v>1500</v>
      </c>
      <c r="D546" s="1">
        <v>1486</v>
      </c>
      <c r="E546" s="55">
        <f t="shared" si="112"/>
        <v>2986</v>
      </c>
      <c r="F546" s="1"/>
      <c r="G546" s="1"/>
      <c r="H546" s="1"/>
      <c r="I546" s="55">
        <f t="shared" si="113"/>
        <v>0</v>
      </c>
      <c r="J546" s="1"/>
      <c r="K546" s="1"/>
      <c r="L546" s="1">
        <v>19</v>
      </c>
      <c r="M546" s="55">
        <f t="shared" si="114"/>
        <v>19</v>
      </c>
      <c r="N546" s="1"/>
      <c r="O546" s="1"/>
      <c r="P546" s="1"/>
      <c r="Q546" s="55">
        <f t="shared" si="115"/>
        <v>0</v>
      </c>
      <c r="R546" s="55">
        <f t="shared" si="116"/>
        <v>3005</v>
      </c>
      <c r="T546" s="4" t="s">
        <v>988</v>
      </c>
    </row>
    <row r="547" spans="1:20" ht="15.75" customHeight="1" x14ac:dyDescent="0.3">
      <c r="A547" s="71" t="s">
        <v>989</v>
      </c>
      <c r="B547" s="1"/>
      <c r="C547" s="1">
        <v>300</v>
      </c>
      <c r="D547" s="1">
        <v>150</v>
      </c>
      <c r="E547" s="55">
        <f>SUM(B547:D547)</f>
        <v>450</v>
      </c>
      <c r="F547" s="1">
        <v>150</v>
      </c>
      <c r="G547" s="1">
        <v>150</v>
      </c>
      <c r="H547" s="1">
        <v>150</v>
      </c>
      <c r="I547" s="55">
        <f>SUM(F547:H547)</f>
        <v>450</v>
      </c>
      <c r="J547" s="1">
        <v>150</v>
      </c>
      <c r="K547" s="1">
        <v>200</v>
      </c>
      <c r="L547" s="1">
        <v>250</v>
      </c>
      <c r="M547" s="55">
        <f>SUM(J547:L547)</f>
        <v>600</v>
      </c>
      <c r="N547" s="1"/>
      <c r="O547" s="1"/>
      <c r="P547" s="1"/>
      <c r="Q547" s="55">
        <f>SUM(N547:P547)</f>
        <v>0</v>
      </c>
      <c r="R547" s="55">
        <f t="shared" si="116"/>
        <v>1500</v>
      </c>
    </row>
    <row r="548" spans="1:20" ht="15.75" customHeight="1" x14ac:dyDescent="0.3">
      <c r="A548" s="71" t="s">
        <v>319</v>
      </c>
      <c r="B548" s="1"/>
      <c r="C548" s="1"/>
      <c r="D548" s="1"/>
      <c r="E548" s="55">
        <f t="shared" si="112"/>
        <v>0</v>
      </c>
      <c r="F548" s="1"/>
      <c r="G548" s="1"/>
      <c r="H548" s="1"/>
      <c r="I548" s="55">
        <f t="shared" si="113"/>
        <v>0</v>
      </c>
      <c r="J548" s="1"/>
      <c r="K548" s="1"/>
      <c r="L548" s="1">
        <v>2800</v>
      </c>
      <c r="M548" s="55">
        <f t="shared" si="114"/>
        <v>2800</v>
      </c>
      <c r="N548" s="1"/>
      <c r="O548" s="1"/>
      <c r="P548" s="1"/>
      <c r="Q548" s="55">
        <f t="shared" si="115"/>
        <v>0</v>
      </c>
      <c r="R548" s="55">
        <f t="shared" si="116"/>
        <v>2800</v>
      </c>
      <c r="T548" s="4" t="s">
        <v>988</v>
      </c>
    </row>
    <row r="549" spans="1:20" ht="15.75" customHeight="1" x14ac:dyDescent="0.3">
      <c r="A549" s="71" t="s">
        <v>990</v>
      </c>
      <c r="B549" s="1"/>
      <c r="C549" s="1"/>
      <c r="D549" s="1"/>
      <c r="E549" s="55">
        <f t="shared" si="112"/>
        <v>0</v>
      </c>
      <c r="F549" s="1">
        <v>500</v>
      </c>
      <c r="G549" s="1">
        <v>700</v>
      </c>
      <c r="H549" s="1">
        <v>328</v>
      </c>
      <c r="I549" s="55">
        <f t="shared" si="113"/>
        <v>1528</v>
      </c>
      <c r="J549" s="1"/>
      <c r="K549" s="1"/>
      <c r="L549" s="1"/>
      <c r="M549" s="55">
        <f t="shared" si="114"/>
        <v>0</v>
      </c>
      <c r="N549" s="1"/>
      <c r="O549" s="1"/>
      <c r="P549" s="1"/>
      <c r="Q549" s="55">
        <f>SUM(N549:P549)</f>
        <v>0</v>
      </c>
      <c r="R549" s="55">
        <f>+E549+I549+M549+Q549</f>
        <v>1528</v>
      </c>
    </row>
    <row r="550" spans="1:20" ht="15.75" customHeight="1" x14ac:dyDescent="0.3">
      <c r="A550" s="71" t="s">
        <v>321</v>
      </c>
      <c r="B550" s="1"/>
      <c r="C550" s="1"/>
      <c r="D550" s="1"/>
      <c r="E550" s="55">
        <f t="shared" si="112"/>
        <v>0</v>
      </c>
      <c r="F550" s="1"/>
      <c r="G550" s="1"/>
      <c r="H550" s="1"/>
      <c r="I550" s="55">
        <f t="shared" si="113"/>
        <v>0</v>
      </c>
      <c r="J550" s="1"/>
      <c r="K550" s="1"/>
      <c r="L550" s="1"/>
      <c r="M550" s="55">
        <f t="shared" si="114"/>
        <v>0</v>
      </c>
      <c r="N550" s="1"/>
      <c r="O550" s="1"/>
      <c r="P550" s="1"/>
      <c r="Q550" s="55">
        <f t="shared" si="115"/>
        <v>0</v>
      </c>
      <c r="R550" s="55">
        <f t="shared" si="116"/>
        <v>0</v>
      </c>
      <c r="T550" s="4" t="s">
        <v>988</v>
      </c>
    </row>
    <row r="551" spans="1:20" ht="15.75" customHeight="1" x14ac:dyDescent="0.3">
      <c r="A551" s="71" t="s">
        <v>764</v>
      </c>
      <c r="B551" s="1"/>
      <c r="C551" s="1">
        <v>500</v>
      </c>
      <c r="D551" s="1">
        <v>250</v>
      </c>
      <c r="E551" s="55">
        <f>SUM(B551:D551)</f>
        <v>750</v>
      </c>
      <c r="F551" s="1">
        <v>1466</v>
      </c>
      <c r="G551" s="1">
        <v>244</v>
      </c>
      <c r="H551" s="1">
        <v>224</v>
      </c>
      <c r="I551" s="55">
        <f>SUM(F551:H551)</f>
        <v>1934</v>
      </c>
      <c r="J551" s="1">
        <v>303</v>
      </c>
      <c r="K551" s="1"/>
      <c r="L551" s="1"/>
      <c r="M551" s="55">
        <f>SUM(J551:L551)</f>
        <v>303</v>
      </c>
      <c r="N551" s="1"/>
      <c r="O551" s="1"/>
      <c r="P551" s="1"/>
      <c r="Q551" s="55">
        <f>SUM(N551:P551)</f>
        <v>0</v>
      </c>
      <c r="R551" s="55">
        <f>+E551+I551+M551+Q551</f>
        <v>2987</v>
      </c>
      <c r="T551" s="4" t="s">
        <v>987</v>
      </c>
    </row>
    <row r="552" spans="1:20" ht="15.75" customHeight="1" x14ac:dyDescent="0.3">
      <c r="A552" s="15" t="s">
        <v>50</v>
      </c>
      <c r="B552" s="1"/>
      <c r="C552" s="1"/>
      <c r="D552" s="1"/>
      <c r="E552" s="55" t="s">
        <v>7</v>
      </c>
      <c r="F552" s="1"/>
      <c r="G552" s="1"/>
      <c r="H552" s="1"/>
      <c r="I552" s="55" t="s">
        <v>7</v>
      </c>
      <c r="J552" s="1"/>
      <c r="K552" s="1"/>
      <c r="L552" s="1"/>
      <c r="M552" s="55" t="s">
        <v>7</v>
      </c>
      <c r="N552" s="1"/>
      <c r="O552" s="1"/>
      <c r="P552" s="1"/>
      <c r="Q552" s="55" t="s">
        <v>7</v>
      </c>
      <c r="R552" s="55" t="s">
        <v>7</v>
      </c>
    </row>
    <row r="553" spans="1:20" ht="15.75" customHeight="1" x14ac:dyDescent="0.3">
      <c r="A553" s="71" t="s">
        <v>321</v>
      </c>
      <c r="B553" s="1"/>
      <c r="C553" s="1"/>
      <c r="D553" s="1"/>
      <c r="E553" s="55">
        <f>SUM(B553:D553)</f>
        <v>0</v>
      </c>
      <c r="F553" s="1"/>
      <c r="G553" s="1"/>
      <c r="H553" s="1"/>
      <c r="I553" s="55">
        <f>SUM(F553:H553)</f>
        <v>0</v>
      </c>
      <c r="J553" s="1"/>
      <c r="K553" s="1"/>
      <c r="L553" s="1"/>
      <c r="M553" s="55">
        <f>SUM(J553:L553)</f>
        <v>0</v>
      </c>
      <c r="N553" s="1"/>
      <c r="O553" s="1"/>
      <c r="P553" s="1"/>
      <c r="Q553" s="55">
        <f>SUM(N553:P553)</f>
        <v>0</v>
      </c>
      <c r="R553" s="55">
        <f>+E553+I553+M553+Q553</f>
        <v>0</v>
      </c>
      <c r="T553" s="4" t="s">
        <v>988</v>
      </c>
    </row>
    <row r="554" spans="1:20" ht="15.75" customHeight="1" x14ac:dyDescent="0.3">
      <c r="A554" s="15" t="s">
        <v>51</v>
      </c>
      <c r="B554" s="1"/>
      <c r="C554" s="1"/>
      <c r="D554" s="1"/>
      <c r="E554" s="55" t="s">
        <v>7</v>
      </c>
      <c r="F554" s="1"/>
      <c r="G554" s="1"/>
      <c r="H554" s="1"/>
      <c r="I554" s="55" t="s">
        <v>7</v>
      </c>
      <c r="J554" s="1"/>
      <c r="K554" s="1"/>
      <c r="L554" s="1"/>
      <c r="M554" s="55" t="s">
        <v>7</v>
      </c>
      <c r="N554" s="1"/>
      <c r="O554" s="1"/>
      <c r="P554" s="1"/>
      <c r="Q554" s="55" t="s">
        <v>7</v>
      </c>
      <c r="R554" s="55" t="s">
        <v>7</v>
      </c>
    </row>
    <row r="555" spans="1:20" ht="15.75" customHeight="1" x14ac:dyDescent="0.3">
      <c r="A555" s="71" t="s">
        <v>326</v>
      </c>
      <c r="B555" s="1"/>
      <c r="C555" s="1">
        <v>965</v>
      </c>
      <c r="D555" s="1"/>
      <c r="E555" s="55">
        <f>SUM(B555:D555)</f>
        <v>965</v>
      </c>
      <c r="F555" s="1"/>
      <c r="G555" s="1"/>
      <c r="H555" s="1"/>
      <c r="I555" s="55">
        <f>SUM(F555:H555)</f>
        <v>0</v>
      </c>
      <c r="J555" s="1"/>
      <c r="K555" s="1"/>
      <c r="L555" s="1">
        <v>35</v>
      </c>
      <c r="M555" s="55">
        <f>SUM(J555:L555)</f>
        <v>35</v>
      </c>
      <c r="N555" s="1"/>
      <c r="O555" s="1">
        <v>2190</v>
      </c>
      <c r="P555" s="1"/>
      <c r="Q555" s="55">
        <f>SUM(N555:P555)</f>
        <v>2190</v>
      </c>
      <c r="R555" s="55">
        <f>+E555+I555+M555+Q555</f>
        <v>3190</v>
      </c>
      <c r="T555" s="4" t="s">
        <v>988</v>
      </c>
    </row>
    <row r="556" spans="1:20" ht="15.75" customHeight="1" thickBot="1" x14ac:dyDescent="0.35">
      <c r="A556" s="15" t="s">
        <v>53</v>
      </c>
      <c r="B556" s="1"/>
      <c r="C556" s="1"/>
      <c r="D556" s="1"/>
      <c r="E556" s="55" t="s">
        <v>7</v>
      </c>
      <c r="F556" s="1"/>
      <c r="G556" s="1"/>
      <c r="H556" s="1"/>
      <c r="I556" s="55" t="s">
        <v>7</v>
      </c>
      <c r="J556" s="1"/>
      <c r="K556" s="1"/>
      <c r="L556" s="1"/>
      <c r="M556" s="55" t="s">
        <v>7</v>
      </c>
      <c r="N556" s="1"/>
      <c r="O556" s="1"/>
      <c r="P556" s="1"/>
      <c r="Q556" s="55" t="s">
        <v>7</v>
      </c>
      <c r="R556" s="55" t="s">
        <v>7</v>
      </c>
    </row>
    <row r="557" spans="1:20" ht="16.5" customHeight="1" thickBot="1" x14ac:dyDescent="0.35">
      <c r="A557" s="109" t="s">
        <v>54</v>
      </c>
      <c r="B557" s="86">
        <f>SUM(B540:B556)</f>
        <v>857</v>
      </c>
      <c r="C557" s="87">
        <f>SUM(C540:C556)</f>
        <v>4560</v>
      </c>
      <c r="D557" s="87">
        <f>SUM(D540:D556)</f>
        <v>4181</v>
      </c>
      <c r="E557" s="59">
        <f>SUM(B557:D557)</f>
        <v>9598</v>
      </c>
      <c r="F557" s="87">
        <f>SUM(F540:F556)</f>
        <v>4048</v>
      </c>
      <c r="G557" s="87">
        <f>SUM(G540:G556)</f>
        <v>2048</v>
      </c>
      <c r="H557" s="87">
        <f>SUM(H540:H556)</f>
        <v>1697</v>
      </c>
      <c r="I557" s="59">
        <f>SUM(F557:H557)</f>
        <v>7793</v>
      </c>
      <c r="J557" s="87">
        <f>SUM(J540:J556)</f>
        <v>2187</v>
      </c>
      <c r="K557" s="87">
        <f>SUM(K540:K556)</f>
        <v>577</v>
      </c>
      <c r="L557" s="87">
        <f>SUM(L540:L556)</f>
        <v>3388</v>
      </c>
      <c r="M557" s="59">
        <f>SUM(J557:L557)</f>
        <v>6152</v>
      </c>
      <c r="N557" s="87">
        <f>SUM(N540:N556)</f>
        <v>39</v>
      </c>
      <c r="O557" s="87">
        <f>SUM(O540:O556)</f>
        <v>2190</v>
      </c>
      <c r="P557" s="87">
        <f>SUM(P540:P556)</f>
        <v>45</v>
      </c>
      <c r="Q557" s="59">
        <f>SUM(N557:P557)</f>
        <v>2274</v>
      </c>
      <c r="R557" s="59">
        <f>+E557+I557+M557+Q557</f>
        <v>25817</v>
      </c>
    </row>
    <row r="558" spans="1:20" ht="15.75" customHeight="1" x14ac:dyDescent="0.3">
      <c r="A558" s="15" t="s">
        <v>55</v>
      </c>
      <c r="B558" s="1"/>
      <c r="C558" s="1"/>
      <c r="D558" s="1"/>
      <c r="E558" s="55" t="s">
        <v>7</v>
      </c>
      <c r="F558" s="1"/>
      <c r="G558" s="1"/>
      <c r="H558" s="1"/>
      <c r="I558" s="55" t="s">
        <v>7</v>
      </c>
      <c r="J558" s="1"/>
      <c r="K558" s="1"/>
      <c r="L558" s="1"/>
      <c r="M558" s="55" t="s">
        <v>7</v>
      </c>
      <c r="N558" s="1"/>
      <c r="O558" s="1"/>
      <c r="P558" s="1"/>
      <c r="Q558" s="55" t="s">
        <v>7</v>
      </c>
      <c r="R558" s="55" t="s">
        <v>7</v>
      </c>
    </row>
    <row r="559" spans="1:20" ht="15.75" customHeight="1" x14ac:dyDescent="0.3">
      <c r="A559" s="15" t="s">
        <v>57</v>
      </c>
      <c r="B559" s="1"/>
      <c r="C559" s="1"/>
      <c r="D559" s="1"/>
      <c r="E559" s="55" t="s">
        <v>7</v>
      </c>
      <c r="F559" s="1"/>
      <c r="G559" s="1"/>
      <c r="H559" s="1"/>
      <c r="I559" s="55" t="s">
        <v>7</v>
      </c>
      <c r="J559" s="1"/>
      <c r="K559" s="1"/>
      <c r="L559" s="1"/>
      <c r="M559" s="55" t="s">
        <v>7</v>
      </c>
      <c r="N559" s="1"/>
      <c r="O559" s="1"/>
      <c r="P559" s="1"/>
      <c r="Q559" s="55" t="s">
        <v>7</v>
      </c>
      <c r="R559" s="55" t="s">
        <v>7</v>
      </c>
    </row>
    <row r="560" spans="1:20" ht="15.75" customHeight="1" x14ac:dyDescent="0.3">
      <c r="A560" s="71" t="s">
        <v>324</v>
      </c>
      <c r="B560" s="1"/>
      <c r="C560" s="1"/>
      <c r="D560" s="1"/>
      <c r="E560" s="55">
        <f>SUM(B560:D560)</f>
        <v>0</v>
      </c>
      <c r="F560" s="1"/>
      <c r="G560" s="1"/>
      <c r="H560" s="1"/>
      <c r="I560" s="55">
        <f>SUM(F560:H560)</f>
        <v>0</v>
      </c>
      <c r="J560" s="1"/>
      <c r="K560" s="1"/>
      <c r="L560" s="1"/>
      <c r="M560" s="55">
        <f>SUM(J560:L560)</f>
        <v>0</v>
      </c>
      <c r="N560" s="1"/>
      <c r="O560" s="1"/>
      <c r="P560" s="1"/>
      <c r="Q560" s="55">
        <f>SUM(N560:P560)</f>
        <v>0</v>
      </c>
      <c r="R560" s="55">
        <f>+E560+I560+M560+Q560</f>
        <v>0</v>
      </c>
    </row>
    <row r="561" spans="1:20" ht="15.75" customHeight="1" x14ac:dyDescent="0.3">
      <c r="A561" s="71" t="s">
        <v>659</v>
      </c>
      <c r="B561" s="1"/>
      <c r="C561" s="1"/>
      <c r="D561" s="1"/>
      <c r="E561" s="55">
        <f>SUM(B561:D561)</f>
        <v>0</v>
      </c>
      <c r="F561" s="1"/>
      <c r="G561" s="1"/>
      <c r="H561" s="1"/>
      <c r="I561" s="55">
        <f>SUM(F561:H561)</f>
        <v>0</v>
      </c>
      <c r="J561" s="1"/>
      <c r="K561" s="1"/>
      <c r="L561" s="1"/>
      <c r="M561" s="55">
        <f>SUM(J561:L561)</f>
        <v>0</v>
      </c>
      <c r="N561" s="1"/>
      <c r="O561" s="1"/>
      <c r="P561" s="1"/>
      <c r="Q561" s="55">
        <f>SUM(N561:P561)</f>
        <v>0</v>
      </c>
      <c r="R561" s="55">
        <f>+E561+I561+M561+Q561</f>
        <v>0</v>
      </c>
    </row>
    <row r="562" spans="1:20" ht="15.75" customHeight="1" thickBot="1" x14ac:dyDescent="0.35">
      <c r="A562" s="15" t="s">
        <v>58</v>
      </c>
      <c r="B562" s="1"/>
      <c r="C562" s="1"/>
      <c r="D562" s="1"/>
      <c r="E562" s="55" t="s">
        <v>7</v>
      </c>
      <c r="F562" s="1"/>
      <c r="G562" s="1"/>
      <c r="H562" s="1"/>
      <c r="I562" s="55" t="s">
        <v>7</v>
      </c>
      <c r="J562" s="1"/>
      <c r="K562" s="1"/>
      <c r="L562" s="1"/>
      <c r="M562" s="55" t="s">
        <v>7</v>
      </c>
      <c r="N562" s="1"/>
      <c r="O562" s="1"/>
      <c r="P562" s="1"/>
      <c r="Q562" s="55" t="s">
        <v>7</v>
      </c>
      <c r="R562" s="55" t="s">
        <v>7</v>
      </c>
    </row>
    <row r="563" spans="1:20" ht="16.5" customHeight="1" thickBot="1" x14ac:dyDescent="0.35">
      <c r="A563" s="57" t="s">
        <v>59</v>
      </c>
      <c r="B563" s="86">
        <f>SUM(B558:B562)</f>
        <v>0</v>
      </c>
      <c r="C563" s="87">
        <f>SUM(C558:C562)</f>
        <v>0</v>
      </c>
      <c r="D563" s="87">
        <f>SUM(D558:D562)</f>
        <v>0</v>
      </c>
      <c r="E563" s="59">
        <f>SUM(B563:D563)</f>
        <v>0</v>
      </c>
      <c r="F563" s="87">
        <f>SUM(F558:F562)</f>
        <v>0</v>
      </c>
      <c r="G563" s="87">
        <f>SUM(G558:G562)</f>
        <v>0</v>
      </c>
      <c r="H563" s="87">
        <f>SUM(H558:H562)</f>
        <v>0</v>
      </c>
      <c r="I563" s="59">
        <f>SUM(F563:H563)</f>
        <v>0</v>
      </c>
      <c r="J563" s="87">
        <f>SUM(J558:J562)</f>
        <v>0</v>
      </c>
      <c r="K563" s="87">
        <f>SUM(K558:K562)</f>
        <v>0</v>
      </c>
      <c r="L563" s="87">
        <f>SUM(L558:L562)</f>
        <v>0</v>
      </c>
      <c r="M563" s="59">
        <f>SUM(J563:L563)</f>
        <v>0</v>
      </c>
      <c r="N563" s="87">
        <f>SUM(N558:N562)</f>
        <v>0</v>
      </c>
      <c r="O563" s="87">
        <f>SUM(O558:O562)</f>
        <v>0</v>
      </c>
      <c r="P563" s="87">
        <f>SUM(P558:P562)</f>
        <v>0</v>
      </c>
      <c r="Q563" s="59">
        <f>SUM(N563:P563)</f>
        <v>0</v>
      </c>
      <c r="R563" s="59">
        <f>+E563+I563+M563+Q563</f>
        <v>0</v>
      </c>
    </row>
    <row r="564" spans="1:20" ht="15.75" customHeight="1" x14ac:dyDescent="0.3">
      <c r="A564" s="15" t="s">
        <v>60</v>
      </c>
      <c r="B564" s="1"/>
      <c r="C564" s="1"/>
      <c r="D564" s="1"/>
      <c r="E564" s="55" t="s">
        <v>7</v>
      </c>
      <c r="F564" s="1"/>
      <c r="G564" s="1"/>
      <c r="H564" s="1"/>
      <c r="I564" s="55" t="s">
        <v>7</v>
      </c>
      <c r="J564" s="1"/>
      <c r="K564" s="1"/>
      <c r="L564" s="1"/>
      <c r="M564" s="55" t="s">
        <v>7</v>
      </c>
      <c r="N564" s="1"/>
      <c r="O564" s="1"/>
      <c r="P564" s="1"/>
      <c r="Q564" s="55" t="s">
        <v>7</v>
      </c>
      <c r="R564" s="55" t="s">
        <v>7</v>
      </c>
    </row>
    <row r="565" spans="1:20" ht="15.75" customHeight="1" x14ac:dyDescent="0.3">
      <c r="A565" s="15" t="s">
        <v>61</v>
      </c>
      <c r="B565" s="1"/>
      <c r="C565" s="1"/>
      <c r="D565" s="1"/>
      <c r="E565" s="55" t="s">
        <v>7</v>
      </c>
      <c r="F565" s="1"/>
      <c r="G565" s="1"/>
      <c r="H565" s="1"/>
      <c r="I565" s="55" t="s">
        <v>7</v>
      </c>
      <c r="J565" s="1"/>
      <c r="K565" s="1"/>
      <c r="L565" s="1"/>
      <c r="M565" s="55" t="s">
        <v>7</v>
      </c>
      <c r="N565" s="1"/>
      <c r="O565" s="1"/>
      <c r="P565" s="1"/>
      <c r="Q565" s="55" t="s">
        <v>7</v>
      </c>
      <c r="R565" s="55" t="s">
        <v>7</v>
      </c>
    </row>
    <row r="566" spans="1:20" ht="15.75" customHeight="1" x14ac:dyDescent="0.3">
      <c r="A566" s="15" t="s">
        <v>62</v>
      </c>
      <c r="B566" s="1"/>
      <c r="C566" s="1"/>
      <c r="D566" s="1"/>
      <c r="E566" s="55" t="s">
        <v>7</v>
      </c>
      <c r="F566" s="1"/>
      <c r="G566" s="1"/>
      <c r="H566" s="1"/>
      <c r="I566" s="55" t="s">
        <v>7</v>
      </c>
      <c r="J566" s="1"/>
      <c r="K566" s="1"/>
      <c r="L566" s="1"/>
      <c r="M566" s="55" t="s">
        <v>7</v>
      </c>
      <c r="N566" s="1"/>
      <c r="O566" s="1"/>
      <c r="P566" s="1"/>
      <c r="Q566" s="55" t="s">
        <v>7</v>
      </c>
      <c r="R566" s="55" t="s">
        <v>7</v>
      </c>
    </row>
    <row r="567" spans="1:20" ht="15.75" customHeight="1" thickBot="1" x14ac:dyDescent="0.35">
      <c r="A567" s="71" t="s">
        <v>991</v>
      </c>
      <c r="B567" s="1">
        <v>43</v>
      </c>
      <c r="C567" s="1"/>
      <c r="D567" s="1"/>
      <c r="E567" s="55">
        <f>SUM(B567:D567)</f>
        <v>43</v>
      </c>
      <c r="F567" s="1"/>
      <c r="G567" s="1"/>
      <c r="H567" s="1"/>
      <c r="I567" s="55">
        <f>SUM(F567:H567)</f>
        <v>0</v>
      </c>
      <c r="J567" s="1"/>
      <c r="K567" s="1"/>
      <c r="L567" s="1"/>
      <c r="M567" s="55">
        <f>SUM(J567:L567)</f>
        <v>0</v>
      </c>
      <c r="N567" s="1"/>
      <c r="O567" s="1"/>
      <c r="P567" s="1"/>
      <c r="Q567" s="55">
        <f>SUM(N567:P567)</f>
        <v>0</v>
      </c>
      <c r="R567" s="55">
        <f>+E567+I567+M567+Q567</f>
        <v>43</v>
      </c>
      <c r="T567" s="4" t="s">
        <v>988</v>
      </c>
    </row>
    <row r="568" spans="1:20" ht="16.5" customHeight="1" thickBot="1" x14ac:dyDescent="0.35">
      <c r="A568" s="114" t="s">
        <v>63</v>
      </c>
      <c r="B568" s="86">
        <f>SUM(B564:B567)</f>
        <v>43</v>
      </c>
      <c r="C568" s="87">
        <f>SUM(C564:C567)</f>
        <v>0</v>
      </c>
      <c r="D568" s="87">
        <f>SUM(D564:D567)</f>
        <v>0</v>
      </c>
      <c r="E568" s="59">
        <f>SUM(B568:D568)</f>
        <v>43</v>
      </c>
      <c r="F568" s="87">
        <f>SUM(F564:F567)</f>
        <v>0</v>
      </c>
      <c r="G568" s="87">
        <f>SUM(G564:G567)</f>
        <v>0</v>
      </c>
      <c r="H568" s="87">
        <f>SUM(H564:H567)</f>
        <v>0</v>
      </c>
      <c r="I568" s="59">
        <f>SUM(F568:H568)</f>
        <v>0</v>
      </c>
      <c r="J568" s="87">
        <f>SUM(J564:J567)</f>
        <v>0</v>
      </c>
      <c r="K568" s="87">
        <f>SUM(K564:K567)</f>
        <v>0</v>
      </c>
      <c r="L568" s="87">
        <f>SUM(L564:L567)</f>
        <v>0</v>
      </c>
      <c r="M568" s="59">
        <f>SUM(J568:L568)</f>
        <v>0</v>
      </c>
      <c r="N568" s="87">
        <f>SUM(N564:N567)</f>
        <v>0</v>
      </c>
      <c r="O568" s="87">
        <f>SUM(O564:O567)</f>
        <v>0</v>
      </c>
      <c r="P568" s="87">
        <f>SUM(P564:P567)</f>
        <v>0</v>
      </c>
      <c r="Q568" s="59">
        <f>SUM(N568:P568)</f>
        <v>0</v>
      </c>
      <c r="R568" s="59">
        <f>+E568+I568+M568+Q568</f>
        <v>43</v>
      </c>
    </row>
    <row r="569" spans="1:20" ht="15.75" customHeight="1" x14ac:dyDescent="0.3">
      <c r="A569" s="15" t="s">
        <v>64</v>
      </c>
      <c r="B569" s="1"/>
      <c r="C569" s="1"/>
      <c r="D569" s="1"/>
      <c r="E569" s="55" t="s">
        <v>7</v>
      </c>
      <c r="F569" s="1"/>
      <c r="G569" s="1"/>
      <c r="H569" s="1"/>
      <c r="I569" s="55" t="s">
        <v>7</v>
      </c>
      <c r="J569" s="1"/>
      <c r="K569" s="1"/>
      <c r="L569" s="1"/>
      <c r="M569" s="55" t="s">
        <v>7</v>
      </c>
      <c r="N569" s="1"/>
      <c r="O569" s="1"/>
      <c r="P569" s="1"/>
      <c r="Q569" s="55" t="s">
        <v>7</v>
      </c>
      <c r="R569" s="55" t="s">
        <v>7</v>
      </c>
    </row>
    <row r="570" spans="1:20" ht="15.75" customHeight="1" x14ac:dyDescent="0.3">
      <c r="A570" s="15" t="s">
        <v>594</v>
      </c>
      <c r="B570" s="1"/>
      <c r="C570" s="1"/>
      <c r="D570" s="1"/>
      <c r="E570" s="55" t="s">
        <v>7</v>
      </c>
      <c r="F570" s="1"/>
      <c r="G570" s="1"/>
      <c r="H570" s="1"/>
      <c r="I570" s="55" t="s">
        <v>7</v>
      </c>
      <c r="J570" s="1"/>
      <c r="K570" s="1"/>
      <c r="L570" s="1"/>
      <c r="M570" s="55" t="s">
        <v>7</v>
      </c>
      <c r="N570" s="1"/>
      <c r="O570" s="1"/>
      <c r="P570" s="1"/>
      <c r="Q570" s="55" t="s">
        <v>7</v>
      </c>
      <c r="R570" s="55" t="s">
        <v>7</v>
      </c>
    </row>
    <row r="571" spans="1:20" ht="15.75" customHeight="1" x14ac:dyDescent="0.3">
      <c r="A571" s="71" t="s">
        <v>326</v>
      </c>
      <c r="B571" s="1"/>
      <c r="C571" s="1"/>
      <c r="D571" s="1"/>
      <c r="E571" s="55">
        <f>SUM(B571:D571)</f>
        <v>0</v>
      </c>
      <c r="F571" s="1"/>
      <c r="G571" s="1"/>
      <c r="H571" s="1"/>
      <c r="I571" s="55">
        <f>SUM(F571:H571)</f>
        <v>0</v>
      </c>
      <c r="J571" s="1"/>
      <c r="K571" s="1"/>
      <c r="L571" s="1">
        <v>100</v>
      </c>
      <c r="M571" s="55">
        <f>SUM(J571:L571)</f>
        <v>100</v>
      </c>
      <c r="N571" s="1"/>
      <c r="O571" s="1">
        <v>1</v>
      </c>
      <c r="P571" s="1"/>
      <c r="Q571" s="55">
        <f>SUM(N571:P571)</f>
        <v>1</v>
      </c>
      <c r="R571" s="55">
        <f>+E571+I571+M571+Q571</f>
        <v>101</v>
      </c>
      <c r="T571" s="4" t="s">
        <v>988</v>
      </c>
    </row>
    <row r="572" spans="1:20" ht="15.75" customHeight="1" x14ac:dyDescent="0.3">
      <c r="A572" s="71" t="s">
        <v>327</v>
      </c>
      <c r="B572" s="1"/>
      <c r="C572" s="1"/>
      <c r="D572" s="1"/>
      <c r="E572" s="55">
        <f>SUM(B572:D572)</f>
        <v>0</v>
      </c>
      <c r="F572" s="1"/>
      <c r="G572" s="1"/>
      <c r="H572" s="1"/>
      <c r="I572" s="55">
        <f>SUM(F572:H572)</f>
        <v>0</v>
      </c>
      <c r="J572" s="1"/>
      <c r="K572" s="1"/>
      <c r="L572" s="1"/>
      <c r="M572" s="55">
        <f>SUM(J572:L572)</f>
        <v>0</v>
      </c>
      <c r="N572" s="1"/>
      <c r="O572" s="1"/>
      <c r="P572" s="1"/>
      <c r="Q572" s="55">
        <f>SUM(N572:P572)</f>
        <v>0</v>
      </c>
      <c r="R572" s="55">
        <f>+E572+I572+M572+Q572</f>
        <v>0</v>
      </c>
      <c r="T572" s="4" t="s">
        <v>988</v>
      </c>
    </row>
    <row r="573" spans="1:20" ht="15.75" customHeight="1" x14ac:dyDescent="0.3">
      <c r="A573" s="15" t="s">
        <v>67</v>
      </c>
      <c r="B573" s="1"/>
      <c r="C573" s="1"/>
      <c r="D573" s="1"/>
      <c r="E573" s="55" t="s">
        <v>7</v>
      </c>
      <c r="F573" s="1"/>
      <c r="G573" s="1"/>
      <c r="H573" s="1"/>
      <c r="I573" s="55" t="s">
        <v>7</v>
      </c>
      <c r="J573" s="1"/>
      <c r="K573" s="1"/>
      <c r="L573" s="1"/>
      <c r="M573" s="55" t="s">
        <v>7</v>
      </c>
      <c r="N573" s="1"/>
      <c r="O573" s="1"/>
      <c r="P573" s="1"/>
      <c r="Q573" s="55" t="s">
        <v>7</v>
      </c>
      <c r="R573" s="55" t="s">
        <v>7</v>
      </c>
    </row>
    <row r="574" spans="1:20" ht="15.75" customHeight="1" x14ac:dyDescent="0.3">
      <c r="A574" s="71" t="s">
        <v>992</v>
      </c>
      <c r="B574" s="1"/>
      <c r="C574" s="1"/>
      <c r="D574" s="1"/>
      <c r="E574" s="55">
        <f>SUM(B574:D574)</f>
        <v>0</v>
      </c>
      <c r="F574" s="1"/>
      <c r="G574" s="1"/>
      <c r="H574" s="1"/>
      <c r="I574" s="55">
        <f>SUM(F574:H574)</f>
        <v>0</v>
      </c>
      <c r="J574" s="1"/>
      <c r="K574" s="1"/>
      <c r="L574" s="1"/>
      <c r="M574" s="55">
        <f>SUM(J574:L574)</f>
        <v>0</v>
      </c>
      <c r="N574" s="1">
        <v>179</v>
      </c>
      <c r="O574" s="1">
        <v>542</v>
      </c>
      <c r="P574" s="1">
        <v>429</v>
      </c>
      <c r="Q574" s="55">
        <f>SUM(N574:P574)</f>
        <v>1150</v>
      </c>
      <c r="R574" s="55">
        <f>+E574+I574+M574+Q574</f>
        <v>1150</v>
      </c>
    </row>
    <row r="575" spans="1:20" ht="15.75" customHeight="1" x14ac:dyDescent="0.3">
      <c r="A575" s="71" t="s">
        <v>768</v>
      </c>
      <c r="B575" s="1"/>
      <c r="C575" s="1"/>
      <c r="D575" s="1"/>
      <c r="E575" s="55">
        <f>SUM(B575:D575)</f>
        <v>0</v>
      </c>
      <c r="F575" s="1"/>
      <c r="G575" s="1"/>
      <c r="H575" s="1"/>
      <c r="I575" s="55">
        <f>SUM(F575:H575)</f>
        <v>0</v>
      </c>
      <c r="J575" s="1"/>
      <c r="K575" s="1"/>
      <c r="L575" s="1"/>
      <c r="M575" s="55">
        <f>SUM(J575:L575)</f>
        <v>0</v>
      </c>
      <c r="N575" s="1"/>
      <c r="O575" s="1"/>
      <c r="P575" s="1"/>
      <c r="Q575" s="55">
        <f>SUM(N575:P575)</f>
        <v>0</v>
      </c>
      <c r="R575" s="55">
        <f>+E575+I575+M575+Q575</f>
        <v>0</v>
      </c>
    </row>
    <row r="576" spans="1:20" ht="15.75" customHeight="1" x14ac:dyDescent="0.3">
      <c r="A576" s="71" t="s">
        <v>769</v>
      </c>
      <c r="B576" s="1"/>
      <c r="C576" s="1"/>
      <c r="D576" s="1"/>
      <c r="E576" s="55">
        <f>SUM(B576:D576)</f>
        <v>0</v>
      </c>
      <c r="F576" s="1"/>
      <c r="G576" s="1"/>
      <c r="H576" s="1"/>
      <c r="I576" s="55">
        <f>SUM(F576:H576)</f>
        <v>0</v>
      </c>
      <c r="J576" s="1"/>
      <c r="K576" s="1"/>
      <c r="L576" s="1">
        <v>272</v>
      </c>
      <c r="M576" s="55">
        <f>SUM(J576:L576)</f>
        <v>272</v>
      </c>
      <c r="N576" s="1">
        <v>1228</v>
      </c>
      <c r="O576" s="1">
        <v>350</v>
      </c>
      <c r="P576" s="1"/>
      <c r="Q576" s="55">
        <f>SUM(N576:P576)</f>
        <v>1578</v>
      </c>
      <c r="R576" s="55">
        <f>+E576+I576+M576+Q576</f>
        <v>1850</v>
      </c>
      <c r="T576" s="4" t="s">
        <v>988</v>
      </c>
    </row>
    <row r="577" spans="1:20" ht="15.75" customHeight="1" x14ac:dyDescent="0.3">
      <c r="A577" s="71" t="s">
        <v>770</v>
      </c>
      <c r="B577" s="1"/>
      <c r="C577" s="1"/>
      <c r="D577" s="1"/>
      <c r="E577" s="55">
        <f>SUM(B577:D577)</f>
        <v>0</v>
      </c>
      <c r="F577" s="1"/>
      <c r="G577" s="1"/>
      <c r="H577" s="1"/>
      <c r="I577" s="55">
        <f>SUM(F577:H577)</f>
        <v>0</v>
      </c>
      <c r="J577" s="1"/>
      <c r="K577" s="1"/>
      <c r="L577" s="1"/>
      <c r="M577" s="55">
        <f>SUM(J577:L577)</f>
        <v>0</v>
      </c>
      <c r="N577" s="1"/>
      <c r="O577" s="1"/>
      <c r="P577" s="1"/>
      <c r="Q577" s="55">
        <f>SUM(N577:P577)</f>
        <v>0</v>
      </c>
      <c r="R577" s="55">
        <f>+E577+I577+M577+Q577</f>
        <v>0</v>
      </c>
      <c r="T577" s="4" t="s">
        <v>988</v>
      </c>
    </row>
    <row r="578" spans="1:20" ht="15.75" customHeight="1" x14ac:dyDescent="0.3">
      <c r="A578" s="15" t="s">
        <v>600</v>
      </c>
      <c r="B578" s="1"/>
      <c r="C578" s="1"/>
      <c r="D578" s="1"/>
      <c r="E578" s="55" t="s">
        <v>7</v>
      </c>
      <c r="F578" s="1"/>
      <c r="G578" s="1"/>
      <c r="H578" s="1"/>
      <c r="I578" s="55" t="s">
        <v>7</v>
      </c>
      <c r="J578" s="1"/>
      <c r="K578" s="1"/>
      <c r="L578" s="1"/>
      <c r="M578" s="55" t="s">
        <v>7</v>
      </c>
      <c r="N578" s="1"/>
      <c r="O578" s="1"/>
      <c r="P578" s="1"/>
      <c r="Q578" s="55" t="s">
        <v>7</v>
      </c>
      <c r="R578" s="55" t="s">
        <v>7</v>
      </c>
    </row>
    <row r="579" spans="1:20" ht="15.75" customHeight="1" x14ac:dyDescent="0.3">
      <c r="A579" s="15" t="s">
        <v>70</v>
      </c>
      <c r="B579" s="1"/>
      <c r="C579" s="1"/>
      <c r="D579" s="1"/>
      <c r="E579" s="55" t="s">
        <v>7</v>
      </c>
      <c r="F579" s="1"/>
      <c r="G579" s="1"/>
      <c r="H579" s="1"/>
      <c r="I579" s="55" t="s">
        <v>7</v>
      </c>
      <c r="J579" s="1"/>
      <c r="K579" s="1"/>
      <c r="L579" s="1"/>
      <c r="M579" s="55" t="s">
        <v>7</v>
      </c>
      <c r="N579" s="1"/>
      <c r="O579" s="1"/>
      <c r="P579" s="1"/>
      <c r="Q579" s="55" t="s">
        <v>7</v>
      </c>
      <c r="R579" s="55" t="s">
        <v>7</v>
      </c>
    </row>
    <row r="580" spans="1:20" ht="15.75" customHeight="1" x14ac:dyDescent="0.3">
      <c r="A580" s="71" t="s">
        <v>993</v>
      </c>
      <c r="B580" s="1"/>
      <c r="C580" s="1"/>
      <c r="D580" s="1"/>
      <c r="E580" s="55">
        <f t="shared" ref="E580:E585" si="117">SUM(B580:D580)</f>
        <v>0</v>
      </c>
      <c r="F580" s="1"/>
      <c r="G580" s="1"/>
      <c r="H580" s="1"/>
      <c r="I580" s="55">
        <f t="shared" ref="I580:I585" si="118">SUM(F580:H580)</f>
        <v>0</v>
      </c>
      <c r="J580" s="1">
        <v>1000</v>
      </c>
      <c r="K580" s="1"/>
      <c r="L580" s="1"/>
      <c r="M580" s="55">
        <f t="shared" ref="M580:M585" si="119">SUM(J580:L580)</f>
        <v>1000</v>
      </c>
      <c r="N580" s="1"/>
      <c r="O580" s="1"/>
      <c r="P580" s="1"/>
      <c r="Q580" s="55">
        <f t="shared" ref="Q580:Q585" si="120">SUM(N580:P580)</f>
        <v>0</v>
      </c>
      <c r="R580" s="55">
        <f t="shared" ref="R580:R585" si="121">+E580+I580+M580+Q580</f>
        <v>1000</v>
      </c>
    </row>
    <row r="581" spans="1:20" ht="15.75" customHeight="1" thickBot="1" x14ac:dyDescent="0.35">
      <c r="A581" s="71" t="s">
        <v>771</v>
      </c>
      <c r="B581" s="1">
        <v>246</v>
      </c>
      <c r="C581" s="1"/>
      <c r="D581" s="1">
        <v>250</v>
      </c>
      <c r="E581" s="55">
        <f t="shared" si="117"/>
        <v>496</v>
      </c>
      <c r="F581" s="1"/>
      <c r="G581" s="1"/>
      <c r="H581" s="1"/>
      <c r="I581" s="55">
        <f t="shared" si="118"/>
        <v>0</v>
      </c>
      <c r="J581" s="1">
        <v>77</v>
      </c>
      <c r="K581" s="1">
        <v>871</v>
      </c>
      <c r="L581" s="1">
        <v>54</v>
      </c>
      <c r="M581" s="55">
        <f t="shared" si="119"/>
        <v>1002</v>
      </c>
      <c r="N581" s="1"/>
      <c r="O581" s="1">
        <v>2</v>
      </c>
      <c r="P581" s="1"/>
      <c r="Q581" s="55">
        <f t="shared" si="120"/>
        <v>2</v>
      </c>
      <c r="R581" s="55">
        <f t="shared" si="121"/>
        <v>1500</v>
      </c>
    </row>
    <row r="582" spans="1:20" ht="16.5" customHeight="1" thickBot="1" x14ac:dyDescent="0.35">
      <c r="A582" s="57" t="s">
        <v>71</v>
      </c>
      <c r="B582" s="146">
        <f>SUM(B578:B581)</f>
        <v>246</v>
      </c>
      <c r="C582" s="146">
        <f>SUM(C578:C581)</f>
        <v>0</v>
      </c>
      <c r="D582" s="146">
        <f>SUM(D578:D581)</f>
        <v>250</v>
      </c>
      <c r="E582" s="60">
        <f t="shared" si="117"/>
        <v>496</v>
      </c>
      <c r="F582" s="146">
        <f>SUM(F578:F581)</f>
        <v>0</v>
      </c>
      <c r="G582" s="146">
        <f>SUM(G578:G581)</f>
        <v>0</v>
      </c>
      <c r="H582" s="146">
        <f>SUM(H578:H581)</f>
        <v>0</v>
      </c>
      <c r="I582" s="60">
        <f t="shared" si="118"/>
        <v>0</v>
      </c>
      <c r="J582" s="146">
        <f>SUM(J578:J581)</f>
        <v>1077</v>
      </c>
      <c r="K582" s="146">
        <f>SUM(K578:K581)</f>
        <v>871</v>
      </c>
      <c r="L582" s="146">
        <f>SUM(L578:L581)</f>
        <v>54</v>
      </c>
      <c r="M582" s="60">
        <f t="shared" si="119"/>
        <v>2002</v>
      </c>
      <c r="N582" s="146">
        <f>SUM(N578:N581)</f>
        <v>0</v>
      </c>
      <c r="O582" s="146">
        <f>SUM(O578:O581)</f>
        <v>2</v>
      </c>
      <c r="P582" s="146">
        <f>SUM(P578:P581)</f>
        <v>0</v>
      </c>
      <c r="Q582" s="60">
        <f t="shared" si="120"/>
        <v>2</v>
      </c>
      <c r="R582" s="59">
        <f t="shared" si="121"/>
        <v>2500</v>
      </c>
    </row>
    <row r="583" spans="1:20" ht="16.5" customHeight="1" thickBot="1" x14ac:dyDescent="0.35">
      <c r="A583" s="114" t="s">
        <v>72</v>
      </c>
      <c r="B583" s="86">
        <f>SUM(B569:B581)</f>
        <v>246</v>
      </c>
      <c r="C583" s="87">
        <f>SUM(C569:C581)</f>
        <v>0</v>
      </c>
      <c r="D583" s="118">
        <f>SUM(D569:D581)</f>
        <v>250</v>
      </c>
      <c r="E583" s="60">
        <f t="shared" si="117"/>
        <v>496</v>
      </c>
      <c r="F583" s="86">
        <f>SUM(F569:F581)</f>
        <v>0</v>
      </c>
      <c r="G583" s="87">
        <f>SUM(G569:G581)</f>
        <v>0</v>
      </c>
      <c r="H583" s="118">
        <f>SUM(H569:H581)</f>
        <v>0</v>
      </c>
      <c r="I583" s="60">
        <f t="shared" si="118"/>
        <v>0</v>
      </c>
      <c r="J583" s="86">
        <f>SUM(J569:J581)</f>
        <v>1077</v>
      </c>
      <c r="K583" s="87">
        <f>SUM(K569:K581)</f>
        <v>871</v>
      </c>
      <c r="L583" s="118">
        <f>SUM(L569:L581)</f>
        <v>426</v>
      </c>
      <c r="M583" s="60">
        <f t="shared" si="119"/>
        <v>2374</v>
      </c>
      <c r="N583" s="86">
        <f>SUM(N569:N581)</f>
        <v>1407</v>
      </c>
      <c r="O583" s="87">
        <f>SUM(O569:O581)</f>
        <v>895</v>
      </c>
      <c r="P583" s="118">
        <f>SUM(P569:P581)</f>
        <v>429</v>
      </c>
      <c r="Q583" s="60">
        <f t="shared" si="120"/>
        <v>2731</v>
      </c>
      <c r="R583" s="59">
        <f t="shared" si="121"/>
        <v>5601</v>
      </c>
    </row>
    <row r="584" spans="1:20" ht="16.5" customHeight="1" thickBot="1" x14ac:dyDescent="0.35">
      <c r="A584" s="57" t="s">
        <v>73</v>
      </c>
      <c r="B584" s="148">
        <f>+B557+B563+B568+B583</f>
        <v>1146</v>
      </c>
      <c r="C584" s="149">
        <f>+C557+C563+C568+C583</f>
        <v>4560</v>
      </c>
      <c r="D584" s="149">
        <f>+D557+D563+D568+D583</f>
        <v>4431</v>
      </c>
      <c r="E584" s="59">
        <f t="shared" si="117"/>
        <v>10137</v>
      </c>
      <c r="F584" s="58">
        <f>+F557+F563+F568+F583</f>
        <v>4048</v>
      </c>
      <c r="G584" s="58">
        <f>+G557+G563+G568+G583</f>
        <v>2048</v>
      </c>
      <c r="H584" s="58">
        <f>+H557+H563+H568+H583</f>
        <v>1697</v>
      </c>
      <c r="I584" s="59">
        <f t="shared" si="118"/>
        <v>7793</v>
      </c>
      <c r="J584" s="58">
        <f>+J557+J563+J568+J583</f>
        <v>3264</v>
      </c>
      <c r="K584" s="58">
        <f>+K557+K563+K568+K583</f>
        <v>1448</v>
      </c>
      <c r="L584" s="58">
        <f>+L557+L563+L568+L583</f>
        <v>3814</v>
      </c>
      <c r="M584" s="59">
        <f t="shared" si="119"/>
        <v>8526</v>
      </c>
      <c r="N584" s="58">
        <f>+N557+N563+N568+N583</f>
        <v>1446</v>
      </c>
      <c r="O584" s="58">
        <f>+O557+O563+O568+O583</f>
        <v>3085</v>
      </c>
      <c r="P584" s="58">
        <f>+P557+P563+P568+P583</f>
        <v>474</v>
      </c>
      <c r="Q584" s="59">
        <f t="shared" si="120"/>
        <v>5005</v>
      </c>
      <c r="R584" s="81">
        <f t="shared" si="121"/>
        <v>31461</v>
      </c>
    </row>
    <row r="585" spans="1:20" ht="16.5" customHeight="1" thickBot="1" x14ac:dyDescent="0.35">
      <c r="A585" s="39" t="s">
        <v>40</v>
      </c>
      <c r="B585" s="21">
        <v>17</v>
      </c>
      <c r="C585" s="21">
        <v>47</v>
      </c>
      <c r="D585" s="21">
        <v>84</v>
      </c>
      <c r="E585" s="55">
        <f t="shared" si="117"/>
        <v>148</v>
      </c>
      <c r="F585" s="21">
        <v>116</v>
      </c>
      <c r="G585" s="21">
        <v>132</v>
      </c>
      <c r="H585" s="21">
        <v>138</v>
      </c>
      <c r="I585" s="55">
        <f t="shared" si="118"/>
        <v>386</v>
      </c>
      <c r="J585" s="21">
        <v>126</v>
      </c>
      <c r="K585" s="21">
        <v>95</v>
      </c>
      <c r="L585" s="21">
        <v>99</v>
      </c>
      <c r="M585" s="55">
        <f t="shared" si="119"/>
        <v>320</v>
      </c>
      <c r="N585" s="21">
        <v>91</v>
      </c>
      <c r="O585" s="21">
        <v>67</v>
      </c>
      <c r="P585" s="21">
        <v>38</v>
      </c>
      <c r="Q585" s="55">
        <f t="shared" si="120"/>
        <v>196</v>
      </c>
      <c r="R585" s="55">
        <f t="shared" si="121"/>
        <v>1050</v>
      </c>
    </row>
    <row r="586" spans="1:20" ht="16.5" customHeight="1" thickBot="1" x14ac:dyDescent="0.35">
      <c r="A586" s="41"/>
      <c r="B586" s="36"/>
      <c r="C586" s="36"/>
      <c r="D586" s="36"/>
      <c r="E586" s="42"/>
      <c r="F586" s="36"/>
      <c r="G586" s="36"/>
      <c r="H586" s="36"/>
      <c r="I586" s="42"/>
      <c r="J586" s="36"/>
      <c r="K586" s="36"/>
      <c r="L586" s="36"/>
      <c r="M586" s="42"/>
      <c r="N586" s="36"/>
      <c r="O586" s="36"/>
      <c r="P586" s="36"/>
      <c r="Q586" s="42"/>
      <c r="R586" s="42"/>
    </row>
    <row r="587" spans="1:20" ht="15.75" customHeight="1" x14ac:dyDescent="0.3">
      <c r="A587" s="76" t="s">
        <v>314</v>
      </c>
      <c r="B587" s="77">
        <f>SUM(B584:B585)</f>
        <v>1163</v>
      </c>
      <c r="C587" s="77">
        <f>SUM(C584:C585)</f>
        <v>4607</v>
      </c>
      <c r="D587" s="77">
        <f>SUM(D584:D585)</f>
        <v>4515</v>
      </c>
      <c r="E587" s="60">
        <f>SUM(B587:D587)</f>
        <v>10285</v>
      </c>
      <c r="F587" s="77">
        <f>SUM(F584:F585)</f>
        <v>4164</v>
      </c>
      <c r="G587" s="77">
        <f>SUM(G584:G585)</f>
        <v>2180</v>
      </c>
      <c r="H587" s="77">
        <f>SUM(H584:H585)</f>
        <v>1835</v>
      </c>
      <c r="I587" s="60">
        <f>SUM(F587:H587)</f>
        <v>8179</v>
      </c>
      <c r="J587" s="77">
        <f>SUM(J584:J585)</f>
        <v>3390</v>
      </c>
      <c r="K587" s="77">
        <f>SUM(K584:K585)</f>
        <v>1543</v>
      </c>
      <c r="L587" s="77">
        <f>SUM(L584:L585)</f>
        <v>3913</v>
      </c>
      <c r="M587" s="60">
        <f>SUM(J587:L587)</f>
        <v>8846</v>
      </c>
      <c r="N587" s="77">
        <f>SUM(N584:N585)</f>
        <v>1537</v>
      </c>
      <c r="O587" s="77">
        <f>SUM(O584:O585)</f>
        <v>3152</v>
      </c>
      <c r="P587" s="77">
        <f>SUM(P584:P585)</f>
        <v>512</v>
      </c>
      <c r="Q587" s="60">
        <f>SUM(N587:P587)</f>
        <v>5201</v>
      </c>
      <c r="R587" s="60">
        <f>+E587+I587+M587+Q587</f>
        <v>32511</v>
      </c>
    </row>
    <row r="588" spans="1:20" ht="15.75" customHeight="1" x14ac:dyDescent="0.3">
      <c r="A588" s="79" t="s">
        <v>42</v>
      </c>
      <c r="B588" s="1">
        <f>(B587/B10)/1.983</f>
        <v>18.918874953231498</v>
      </c>
      <c r="C588" s="1">
        <f>(C587/C10)/1.983</f>
        <v>80.111986366877076</v>
      </c>
      <c r="D588" s="1">
        <f>(D587/D10)/1.983</f>
        <v>73.44687911766141</v>
      </c>
      <c r="E588" s="55" t="s">
        <v>7</v>
      </c>
      <c r="F588" s="1">
        <f>(F587/F10)/1.983</f>
        <v>69.994957135653053</v>
      </c>
      <c r="G588" s="1">
        <f>(G587/G10)/1.983</f>
        <v>35.462723472093437</v>
      </c>
      <c r="H588" s="1">
        <f>(H587/H10)/1.983</f>
        <v>30.845520255505125</v>
      </c>
      <c r="I588" s="55" t="s">
        <v>7</v>
      </c>
      <c r="J588" s="1">
        <f>(J587/J10)/1.983</f>
        <v>55.146161729539799</v>
      </c>
      <c r="K588" s="1">
        <f>(K587/K10)/1.983</f>
        <v>25.100450604330355</v>
      </c>
      <c r="L588" s="1">
        <f>(L587/L10)/1.983</f>
        <v>65.775760632038995</v>
      </c>
      <c r="M588" s="55" t="s">
        <v>7</v>
      </c>
      <c r="N588" s="1">
        <f>(N587/N10)/1.983</f>
        <v>25.002846778260373</v>
      </c>
      <c r="O588" s="1">
        <f>(O587/O10)/1.983</f>
        <v>52.983694738611526</v>
      </c>
      <c r="P588" s="1">
        <f>(P587/P10)/1.983</f>
        <v>8.3288598246384584</v>
      </c>
      <c r="Q588" s="55" t="s">
        <v>7</v>
      </c>
      <c r="R588" s="55" t="s">
        <v>7</v>
      </c>
    </row>
    <row r="589" spans="1:20" ht="15.75" customHeight="1" x14ac:dyDescent="0.3">
      <c r="A589" s="79" t="s">
        <v>332</v>
      </c>
      <c r="B589" s="1">
        <f>B587+B599</f>
        <v>8964</v>
      </c>
      <c r="C589" s="1">
        <f>C587+C599</f>
        <v>16067</v>
      </c>
      <c r="D589" s="1">
        <f>D587+D599</f>
        <v>22002</v>
      </c>
      <c r="E589" s="55">
        <f>SUM(B589:D589)</f>
        <v>47033</v>
      </c>
      <c r="F589" s="1">
        <f>F587+F599</f>
        <v>25240</v>
      </c>
      <c r="G589" s="1">
        <f>G587+G599</f>
        <v>24236</v>
      </c>
      <c r="H589" s="1">
        <f>H587+H599</f>
        <v>22944</v>
      </c>
      <c r="I589" s="55">
        <f>SUM(F589:H589)</f>
        <v>72420</v>
      </c>
      <c r="J589" s="1">
        <f>J587+J599</f>
        <v>25371</v>
      </c>
      <c r="K589" s="1">
        <f>K587+K599</f>
        <v>21685</v>
      </c>
      <c r="L589" s="1">
        <f>L587+L599</f>
        <v>22936</v>
      </c>
      <c r="M589" s="55">
        <f>SUM(J589:L589)</f>
        <v>69992</v>
      </c>
      <c r="N589" s="1">
        <f>N587+N599</f>
        <v>7905</v>
      </c>
      <c r="O589" s="1">
        <f>O587+O599</f>
        <v>10329</v>
      </c>
      <c r="P589" s="1">
        <f>P587+P599</f>
        <v>14827</v>
      </c>
      <c r="Q589" s="55">
        <f>SUM(N589:P589)</f>
        <v>33061</v>
      </c>
      <c r="R589" s="55">
        <f>+E589+I589+M589+Q589</f>
        <v>222506</v>
      </c>
    </row>
    <row r="590" spans="1:20" ht="16.5" customHeight="1" thickBot="1" x14ac:dyDescent="0.35">
      <c r="A590" s="80" t="s">
        <v>333</v>
      </c>
      <c r="B590" s="25">
        <f>(B589/B10)/1.983</f>
        <v>145.82011614855304</v>
      </c>
      <c r="C590" s="25">
        <f>(C589/C10)/1.983</f>
        <v>279.3920740083816</v>
      </c>
      <c r="D590" s="25">
        <f>(D589/D10)/1.983</f>
        <v>357.91323019862375</v>
      </c>
      <c r="E590" s="81" t="s">
        <v>7</v>
      </c>
      <c r="F590" s="25">
        <f>(F589/F10)/1.983</f>
        <v>424.27298705664816</v>
      </c>
      <c r="G590" s="25">
        <f>(G589/G10)/1.983</f>
        <v>394.254388105347</v>
      </c>
      <c r="H590" s="25">
        <f>(H589/H10)/1.983</f>
        <v>385.67826525466461</v>
      </c>
      <c r="I590" s="81" t="s">
        <v>7</v>
      </c>
      <c r="J590" s="25">
        <f>(J589/J10)/1.983</f>
        <v>412.71777853691862</v>
      </c>
      <c r="K590" s="25">
        <f>(K589/K10)/1.983</f>
        <v>352.75649472125974</v>
      </c>
      <c r="L590" s="25">
        <f>(L589/L10)/1.983</f>
        <v>385.54378887207929</v>
      </c>
      <c r="M590" s="81" t="s">
        <v>7</v>
      </c>
      <c r="N590" s="25">
        <f>(N589/N10)/1.983</f>
        <v>128.59304084720119</v>
      </c>
      <c r="O590" s="25">
        <f>(O589/O10)/1.983</f>
        <v>173.62581946545637</v>
      </c>
      <c r="P590" s="25">
        <f>(P589/P10)/1.983</f>
        <v>241.19532152327037</v>
      </c>
      <c r="Q590" s="81" t="s">
        <v>7</v>
      </c>
      <c r="R590" s="81" t="s">
        <v>7</v>
      </c>
    </row>
    <row r="591" spans="1:20" ht="15.75" customHeight="1" x14ac:dyDescent="0.3">
      <c r="A591" s="2"/>
      <c r="B591" s="1"/>
      <c r="C591" s="1"/>
      <c r="D591" s="1"/>
      <c r="E591" s="1"/>
      <c r="F591" s="1"/>
      <c r="G591" s="1"/>
      <c r="H591" s="1"/>
      <c r="I591" s="1"/>
      <c r="J591" s="1"/>
      <c r="K591" s="1"/>
      <c r="L591" s="1"/>
      <c r="M591" s="1"/>
      <c r="N591" s="1"/>
      <c r="O591" s="1"/>
      <c r="P591" s="1"/>
      <c r="Q591" s="1"/>
      <c r="R591" s="2"/>
    </row>
    <row r="592" spans="1:20" ht="16.5" customHeight="1" thickBot="1" x14ac:dyDescent="0.35">
      <c r="A592" s="106"/>
      <c r="B592" s="21"/>
      <c r="C592" s="21"/>
      <c r="D592" s="21"/>
      <c r="E592" s="21"/>
      <c r="F592" s="21"/>
      <c r="G592" s="21"/>
      <c r="H592" s="21"/>
      <c r="I592" s="21"/>
      <c r="J592" s="21"/>
      <c r="K592" s="21"/>
      <c r="L592" s="21"/>
      <c r="M592" s="21"/>
      <c r="N592" s="21"/>
      <c r="O592" s="21"/>
      <c r="P592" s="21"/>
      <c r="Q592" s="21"/>
      <c r="R592" s="106"/>
    </row>
    <row r="593" spans="1:18" ht="16.5" customHeight="1" thickBot="1" x14ac:dyDescent="0.35">
      <c r="A593" s="124" t="s">
        <v>334</v>
      </c>
      <c r="B593" s="30" t="s">
        <v>8</v>
      </c>
      <c r="C593" s="31" t="s">
        <v>9</v>
      </c>
      <c r="D593" s="31" t="s">
        <v>10</v>
      </c>
      <c r="E593" s="32" t="s">
        <v>11</v>
      </c>
      <c r="F593" s="31" t="s">
        <v>12</v>
      </c>
      <c r="G593" s="31" t="s">
        <v>13</v>
      </c>
      <c r="H593" s="31" t="s">
        <v>14</v>
      </c>
      <c r="I593" s="33" t="s">
        <v>15</v>
      </c>
      <c r="J593" s="31" t="s">
        <v>16</v>
      </c>
      <c r="K593" s="31" t="s">
        <v>17</v>
      </c>
      <c r="L593" s="31" t="s">
        <v>18</v>
      </c>
      <c r="M593" s="33" t="s">
        <v>19</v>
      </c>
      <c r="N593" s="31" t="s">
        <v>20</v>
      </c>
      <c r="O593" s="31" t="s">
        <v>21</v>
      </c>
      <c r="P593" s="31" t="s">
        <v>22</v>
      </c>
      <c r="Q593" s="32" t="s">
        <v>23</v>
      </c>
      <c r="R593" s="49" t="s">
        <v>24</v>
      </c>
    </row>
    <row r="594" spans="1:18" ht="16.5" customHeight="1" thickBot="1" x14ac:dyDescent="0.35">
      <c r="A594" s="41"/>
      <c r="B594" s="36"/>
      <c r="C594" s="36"/>
      <c r="D594" s="36"/>
      <c r="E594" s="37"/>
      <c r="F594" s="36"/>
      <c r="G594" s="36"/>
      <c r="H594" s="36"/>
      <c r="I594" s="37"/>
      <c r="J594" s="36"/>
      <c r="K594" s="36"/>
      <c r="L594" s="36"/>
      <c r="M594" s="37"/>
      <c r="N594" s="36"/>
      <c r="O594" s="36"/>
      <c r="P594" s="36"/>
      <c r="Q594" s="127"/>
      <c r="R594" s="128"/>
    </row>
    <row r="595" spans="1:18" ht="16.5" customHeight="1" thickBot="1" x14ac:dyDescent="0.35">
      <c r="A595" s="39" t="s">
        <v>40</v>
      </c>
      <c r="B595" s="21">
        <v>20</v>
      </c>
      <c r="C595" s="21">
        <v>22</v>
      </c>
      <c r="D595" s="21">
        <v>28</v>
      </c>
      <c r="E595" s="55">
        <f>SUM(B595:D595)</f>
        <v>70</v>
      </c>
      <c r="F595" s="21">
        <v>37</v>
      </c>
      <c r="G595" s="21">
        <v>42</v>
      </c>
      <c r="H595" s="21">
        <v>44</v>
      </c>
      <c r="I595" s="55">
        <f>SUM(F595:H595)</f>
        <v>123</v>
      </c>
      <c r="J595" s="21">
        <v>39</v>
      </c>
      <c r="K595" s="21">
        <v>36</v>
      </c>
      <c r="L595" s="21">
        <v>34</v>
      </c>
      <c r="M595" s="55">
        <f>SUM(J595:L595)</f>
        <v>109</v>
      </c>
      <c r="N595" s="21">
        <v>29</v>
      </c>
      <c r="O595" s="21">
        <v>23</v>
      </c>
      <c r="P595" s="21">
        <v>19</v>
      </c>
      <c r="Q595" s="55">
        <f>SUM(N595:P595)</f>
        <v>71</v>
      </c>
      <c r="R595" s="55">
        <f>+E595+I595+M595+Q595</f>
        <v>373</v>
      </c>
    </row>
    <row r="596" spans="1:18" ht="16.5" customHeight="1" thickBot="1" x14ac:dyDescent="0.35">
      <c r="A596" s="41"/>
      <c r="B596" s="36"/>
      <c r="C596" s="36"/>
      <c r="D596" s="36"/>
      <c r="E596" s="52"/>
      <c r="F596" s="36"/>
      <c r="G596" s="36"/>
      <c r="H596" s="36"/>
      <c r="I596" s="52"/>
      <c r="J596" s="36"/>
      <c r="K596" s="36"/>
      <c r="L596" s="36"/>
      <c r="M596" s="52"/>
      <c r="N596" s="36"/>
      <c r="O596" s="36"/>
      <c r="P596" s="36"/>
      <c r="Q596" s="52"/>
      <c r="R596" s="42"/>
    </row>
    <row r="597" spans="1:18" ht="15.75" customHeight="1" x14ac:dyDescent="0.3">
      <c r="A597" s="76" t="s">
        <v>314</v>
      </c>
      <c r="B597" s="77">
        <f>B595</f>
        <v>20</v>
      </c>
      <c r="C597" s="77">
        <f>C595</f>
        <v>22</v>
      </c>
      <c r="D597" s="77">
        <f>D595</f>
        <v>28</v>
      </c>
      <c r="E597" s="60">
        <f>SUM(B597:D597)</f>
        <v>70</v>
      </c>
      <c r="F597" s="77">
        <f>F595</f>
        <v>37</v>
      </c>
      <c r="G597" s="77">
        <f>G595</f>
        <v>42</v>
      </c>
      <c r="H597" s="77">
        <f>H595</f>
        <v>44</v>
      </c>
      <c r="I597" s="60">
        <f>SUM(F597:H597)</f>
        <v>123</v>
      </c>
      <c r="J597" s="77">
        <f>J595</f>
        <v>39</v>
      </c>
      <c r="K597" s="77">
        <f>K595</f>
        <v>36</v>
      </c>
      <c r="L597" s="77">
        <f>L595</f>
        <v>34</v>
      </c>
      <c r="M597" s="60">
        <f>SUM(J597:L597)</f>
        <v>109</v>
      </c>
      <c r="N597" s="77">
        <f>N595</f>
        <v>29</v>
      </c>
      <c r="O597" s="77">
        <f>O595</f>
        <v>23</v>
      </c>
      <c r="P597" s="77">
        <f>P595</f>
        <v>19</v>
      </c>
      <c r="Q597" s="60">
        <f>SUM(N597:P597)</f>
        <v>71</v>
      </c>
      <c r="R597" s="60">
        <f>+E597+I597+M597+Q597</f>
        <v>373</v>
      </c>
    </row>
    <row r="598" spans="1:18" ht="15.75" customHeight="1" x14ac:dyDescent="0.3">
      <c r="A598" s="79" t="s">
        <v>42</v>
      </c>
      <c r="B598" s="1">
        <f>(B597/B10)/1.983</f>
        <v>0.32534608689993977</v>
      </c>
      <c r="C598" s="1">
        <f>(C597/C10)/1.983</f>
        <v>0.38256212287199814</v>
      </c>
      <c r="D598" s="1">
        <f>(D597/D10)/1.983</f>
        <v>0.45548452165991571</v>
      </c>
      <c r="E598" s="55" t="s">
        <v>7</v>
      </c>
      <c r="F598" s="1">
        <f>(F597/F10)/1.983</f>
        <v>0.62195326945705165</v>
      </c>
      <c r="G598" s="1">
        <f>(G597/G10)/1.983</f>
        <v>0.68322678248987356</v>
      </c>
      <c r="H598" s="1">
        <f>(H597/H10)/1.983</f>
        <v>0.73962010421919644</v>
      </c>
      <c r="I598" s="55" t="s">
        <v>7</v>
      </c>
      <c r="J598" s="1">
        <f>(J597/J10)/1.983</f>
        <v>0.63442486945488263</v>
      </c>
      <c r="K598" s="1">
        <f>(K597/K10)/1.983</f>
        <v>0.5856229564198917</v>
      </c>
      <c r="L598" s="1">
        <f>(L597/L10)/1.983</f>
        <v>0.57152462598756093</v>
      </c>
      <c r="M598" s="55" t="s">
        <v>7</v>
      </c>
      <c r="N598" s="1">
        <f>(N597/N10)/1.983</f>
        <v>0.47175182600491267</v>
      </c>
      <c r="O598" s="1">
        <f>(O597/O10)/1.983</f>
        <v>0.38661959993276179</v>
      </c>
      <c r="P598" s="1">
        <f>(P597/P10)/1.983</f>
        <v>0.30907878255494281</v>
      </c>
      <c r="Q598" s="55" t="s">
        <v>7</v>
      </c>
      <c r="R598" s="55" t="s">
        <v>7</v>
      </c>
    </row>
    <row r="599" spans="1:18" ht="15.75" customHeight="1" x14ac:dyDescent="0.3">
      <c r="A599" s="79" t="s">
        <v>335</v>
      </c>
      <c r="B599" s="1">
        <f>B597+B635</f>
        <v>7801</v>
      </c>
      <c r="C599" s="1">
        <f>C597+C635</f>
        <v>11460</v>
      </c>
      <c r="D599" s="1">
        <f>D597+D635</f>
        <v>17487</v>
      </c>
      <c r="E599" s="55">
        <f>SUM(B599:D599)</f>
        <v>36748</v>
      </c>
      <c r="F599" s="1">
        <f>F597+F635</f>
        <v>21076</v>
      </c>
      <c r="G599" s="1">
        <f>G597+G635</f>
        <v>22056</v>
      </c>
      <c r="H599" s="1">
        <f>H597+H635</f>
        <v>21109</v>
      </c>
      <c r="I599" s="55">
        <f>SUM(F599:H599)</f>
        <v>64241</v>
      </c>
      <c r="J599" s="1">
        <f>J597+J635</f>
        <v>21981</v>
      </c>
      <c r="K599" s="1">
        <f>K597+K635</f>
        <v>20142</v>
      </c>
      <c r="L599" s="1">
        <f>L597+L635</f>
        <v>19023</v>
      </c>
      <c r="M599" s="55">
        <f>SUM(J599:L599)</f>
        <v>61146</v>
      </c>
      <c r="N599" s="1">
        <f>N597+N635</f>
        <v>6368</v>
      </c>
      <c r="O599" s="1">
        <f>O597+O635</f>
        <v>7177</v>
      </c>
      <c r="P599" s="1">
        <f>P597+P635</f>
        <v>14315</v>
      </c>
      <c r="Q599" s="55">
        <f>SUM(N599:P599)</f>
        <v>27860</v>
      </c>
      <c r="R599" s="55">
        <f>+E599+I599+M599+Q599</f>
        <v>189995</v>
      </c>
    </row>
    <row r="600" spans="1:18" ht="16.5" customHeight="1" thickBot="1" x14ac:dyDescent="0.35">
      <c r="A600" s="80" t="s">
        <v>336</v>
      </c>
      <c r="B600" s="25">
        <f>(B599/B10)/1.983</f>
        <v>126.90124119532152</v>
      </c>
      <c r="C600" s="25">
        <f>(C599/C10)/1.983</f>
        <v>199.28008764150451</v>
      </c>
      <c r="D600" s="25">
        <f>(D599/D10)/1.983</f>
        <v>284.4663510809624</v>
      </c>
      <c r="E600" s="81" t="s">
        <v>7</v>
      </c>
      <c r="F600" s="25">
        <f>(F599/F10)/1.983</f>
        <v>354.2780299209951</v>
      </c>
      <c r="G600" s="25">
        <f>(G599/G10)/1.983</f>
        <v>358.79166463325362</v>
      </c>
      <c r="H600" s="25">
        <f>(H599/H10)/1.983</f>
        <v>354.8327449991595</v>
      </c>
      <c r="I600" s="81" t="s">
        <v>7</v>
      </c>
      <c r="J600" s="25">
        <f>(J599/J10)/1.983</f>
        <v>357.57161680737886</v>
      </c>
      <c r="K600" s="25">
        <f>(K599/K10)/1.983</f>
        <v>327.65604411692937</v>
      </c>
      <c r="L600" s="25">
        <f>(L599/L10)/1.983</f>
        <v>319.76802824004034</v>
      </c>
      <c r="M600" s="81" t="s">
        <v>7</v>
      </c>
      <c r="N600" s="25">
        <f>(N599/N10)/1.983</f>
        <v>103.59019406894082</v>
      </c>
      <c r="O600" s="25">
        <f>(O599/O10)/1.983</f>
        <v>120.64212472684484</v>
      </c>
      <c r="P600" s="25">
        <f>(P599/P10)/1.983</f>
        <v>232.86646169863189</v>
      </c>
      <c r="Q600" s="81" t="s">
        <v>7</v>
      </c>
      <c r="R600" s="81" t="s">
        <v>7</v>
      </c>
    </row>
    <row r="601" spans="1:18" ht="15.75" customHeight="1" x14ac:dyDescent="0.3">
      <c r="A601" s="28"/>
      <c r="B601" s="1"/>
      <c r="C601" s="1"/>
      <c r="D601" s="1"/>
      <c r="E601" s="1"/>
      <c r="F601" s="1"/>
      <c r="G601" s="1"/>
      <c r="H601" s="1"/>
      <c r="I601" s="1"/>
      <c r="J601" s="1"/>
      <c r="K601" s="1"/>
      <c r="L601" s="1"/>
      <c r="M601" s="1"/>
      <c r="N601" s="1"/>
      <c r="O601" s="1"/>
      <c r="P601" s="1"/>
      <c r="Q601" s="1"/>
      <c r="R601" s="2"/>
    </row>
    <row r="602" spans="1:18" ht="15.75" customHeight="1" thickBot="1" x14ac:dyDescent="0.35">
      <c r="A602" s="28"/>
      <c r="B602" s="1"/>
      <c r="C602" s="1"/>
      <c r="D602" s="1"/>
      <c r="E602" s="1"/>
      <c r="F602" s="1"/>
      <c r="G602" s="1"/>
      <c r="H602" s="1"/>
      <c r="I602" s="1"/>
      <c r="J602" s="1"/>
      <c r="K602" s="1"/>
      <c r="L602" s="1"/>
      <c r="M602" s="1"/>
      <c r="N602" s="1"/>
      <c r="O602" s="1"/>
      <c r="P602" s="1"/>
      <c r="Q602" s="1"/>
      <c r="R602" s="2"/>
    </row>
    <row r="603" spans="1:18" ht="16.5" customHeight="1" thickBot="1" x14ac:dyDescent="0.35">
      <c r="A603" s="29" t="s">
        <v>337</v>
      </c>
      <c r="B603" s="30" t="s">
        <v>8</v>
      </c>
      <c r="C603" s="31" t="s">
        <v>9</v>
      </c>
      <c r="D603" s="31" t="s">
        <v>10</v>
      </c>
      <c r="E603" s="32" t="s">
        <v>11</v>
      </c>
      <c r="F603" s="31" t="s">
        <v>12</v>
      </c>
      <c r="G603" s="31" t="s">
        <v>13</v>
      </c>
      <c r="H603" s="31" t="s">
        <v>14</v>
      </c>
      <c r="I603" s="33" t="s">
        <v>15</v>
      </c>
      <c r="J603" s="31" t="s">
        <v>16</v>
      </c>
      <c r="K603" s="31" t="s">
        <v>17</v>
      </c>
      <c r="L603" s="31" t="s">
        <v>18</v>
      </c>
      <c r="M603" s="33" t="s">
        <v>19</v>
      </c>
      <c r="N603" s="31" t="s">
        <v>20</v>
      </c>
      <c r="O603" s="31" t="s">
        <v>21</v>
      </c>
      <c r="P603" s="31" t="s">
        <v>22</v>
      </c>
      <c r="Q603" s="33" t="s">
        <v>23</v>
      </c>
      <c r="R603" s="34" t="s">
        <v>24</v>
      </c>
    </row>
    <row r="604" spans="1:18" ht="16.5" customHeight="1" thickBot="1" x14ac:dyDescent="0.35">
      <c r="A604" s="41"/>
      <c r="B604" s="36"/>
      <c r="C604" s="36"/>
      <c r="D604" s="36"/>
      <c r="E604" s="52"/>
      <c r="F604" s="36"/>
      <c r="G604" s="36"/>
      <c r="H604" s="36"/>
      <c r="I604" s="52"/>
      <c r="J604" s="36"/>
      <c r="K604" s="36"/>
      <c r="L604" s="36"/>
      <c r="M604" s="52"/>
      <c r="N604" s="36"/>
      <c r="O604" s="36"/>
      <c r="P604" s="36"/>
      <c r="Q604" s="52"/>
      <c r="R604" s="38"/>
    </row>
    <row r="605" spans="1:18" ht="15.75" customHeight="1" x14ac:dyDescent="0.3">
      <c r="A605" s="15" t="s">
        <v>48</v>
      </c>
      <c r="B605" s="1" t="s">
        <v>7</v>
      </c>
      <c r="C605" s="1" t="s">
        <v>7</v>
      </c>
      <c r="D605" s="1" t="s">
        <v>7</v>
      </c>
      <c r="E605" s="55" t="s">
        <v>7</v>
      </c>
      <c r="F605" s="1" t="s">
        <v>7</v>
      </c>
      <c r="G605" s="1" t="s">
        <v>7</v>
      </c>
      <c r="H605" s="1" t="s">
        <v>7</v>
      </c>
      <c r="I605" s="55" t="s">
        <v>7</v>
      </c>
      <c r="J605" s="1" t="s">
        <v>7</v>
      </c>
      <c r="K605" s="1" t="s">
        <v>7</v>
      </c>
      <c r="L605" s="1" t="s">
        <v>7</v>
      </c>
      <c r="M605" s="55" t="s">
        <v>7</v>
      </c>
      <c r="N605" s="1" t="s">
        <v>7</v>
      </c>
      <c r="O605" s="1" t="s">
        <v>7</v>
      </c>
      <c r="P605" s="1" t="s">
        <v>7</v>
      </c>
      <c r="Q605" s="55" t="s">
        <v>7</v>
      </c>
      <c r="R605" s="55" t="s">
        <v>7</v>
      </c>
    </row>
    <row r="606" spans="1:18" ht="15.75" customHeight="1" x14ac:dyDescent="0.3">
      <c r="A606" s="15" t="s">
        <v>49</v>
      </c>
      <c r="B606" s="1"/>
      <c r="C606" s="1"/>
      <c r="D606" s="1"/>
      <c r="E606" s="55" t="s">
        <v>7</v>
      </c>
      <c r="F606" s="1"/>
      <c r="G606" s="1"/>
      <c r="H606" s="1"/>
      <c r="I606" s="55" t="s">
        <v>7</v>
      </c>
      <c r="J606" s="1"/>
      <c r="K606" s="1"/>
      <c r="L606" s="1"/>
      <c r="M606" s="55" t="s">
        <v>7</v>
      </c>
      <c r="N606" s="1"/>
      <c r="O606" s="1"/>
      <c r="P606" s="1"/>
      <c r="Q606" s="55" t="s">
        <v>7</v>
      </c>
      <c r="R606" s="55" t="s">
        <v>7</v>
      </c>
    </row>
    <row r="607" spans="1:18" ht="15.75" customHeight="1" x14ac:dyDescent="0.3">
      <c r="A607" s="71" t="s">
        <v>994</v>
      </c>
      <c r="B607" s="1">
        <v>100</v>
      </c>
      <c r="C607" s="1">
        <v>150</v>
      </c>
      <c r="D607" s="1">
        <v>329</v>
      </c>
      <c r="E607" s="55">
        <f>SUM(B607:D607)</f>
        <v>579</v>
      </c>
      <c r="F607" s="1">
        <v>150</v>
      </c>
      <c r="G607" s="1">
        <v>440</v>
      </c>
      <c r="H607" s="1">
        <v>870</v>
      </c>
      <c r="I607" s="55">
        <f>SUM(F607:H607)</f>
        <v>1460</v>
      </c>
      <c r="J607" s="1">
        <v>1456</v>
      </c>
      <c r="K607" s="1">
        <v>1822</v>
      </c>
      <c r="L607" s="1">
        <v>1410</v>
      </c>
      <c r="M607" s="55">
        <f>SUM(J607:L607)</f>
        <v>4688</v>
      </c>
      <c r="N607" s="1">
        <v>567</v>
      </c>
      <c r="O607" s="1">
        <v>32</v>
      </c>
      <c r="P607" s="1">
        <v>194</v>
      </c>
      <c r="Q607" s="55">
        <f>SUM(N607:P607)</f>
        <v>793</v>
      </c>
      <c r="R607" s="55">
        <f>+E607+I607+M607+Q607</f>
        <v>7520</v>
      </c>
    </row>
    <row r="608" spans="1:18" ht="15.75" customHeight="1" x14ac:dyDescent="0.3">
      <c r="A608" s="71" t="s">
        <v>995</v>
      </c>
      <c r="B608" s="1"/>
      <c r="C608" s="1">
        <v>493</v>
      </c>
      <c r="D608" s="1">
        <v>449</v>
      </c>
      <c r="E608" s="55">
        <f>SUM(B608:D608)</f>
        <v>942</v>
      </c>
      <c r="F608" s="1">
        <v>318</v>
      </c>
      <c r="G608" s="1">
        <v>677</v>
      </c>
      <c r="H608" s="1">
        <v>759</v>
      </c>
      <c r="I608" s="55">
        <f>SUM(F608:H608)</f>
        <v>1754</v>
      </c>
      <c r="J608" s="1">
        <v>661</v>
      </c>
      <c r="K608" s="1">
        <v>274</v>
      </c>
      <c r="L608" s="1">
        <v>339</v>
      </c>
      <c r="M608" s="55">
        <f>SUM(J608:L608)</f>
        <v>1274</v>
      </c>
      <c r="N608" s="1">
        <v>129</v>
      </c>
      <c r="O608" s="1"/>
      <c r="P608" s="1"/>
      <c r="Q608" s="55">
        <f>SUM(N608:P608)</f>
        <v>129</v>
      </c>
      <c r="R608" s="55">
        <f>+E608+I608+M608+Q608</f>
        <v>4099</v>
      </c>
    </row>
    <row r="609" spans="1:18" ht="15.75" customHeight="1" x14ac:dyDescent="0.3">
      <c r="A609" s="71" t="s">
        <v>339</v>
      </c>
      <c r="B609" s="1"/>
      <c r="C609" s="1"/>
      <c r="D609" s="1"/>
      <c r="E609" s="55">
        <f>SUM(B609:D609)</f>
        <v>0</v>
      </c>
      <c r="F609" s="1"/>
      <c r="G609" s="1"/>
      <c r="H609" s="1"/>
      <c r="I609" s="55">
        <f>SUM(F609:H609)</f>
        <v>0</v>
      </c>
      <c r="J609" s="1"/>
      <c r="K609" s="1"/>
      <c r="L609" s="1"/>
      <c r="M609" s="55">
        <f>SUM(J609:L609)</f>
        <v>0</v>
      </c>
      <c r="N609" s="1"/>
      <c r="O609" s="1"/>
      <c r="P609" s="1"/>
      <c r="Q609" s="55">
        <f>SUM(N609:P609)</f>
        <v>0</v>
      </c>
      <c r="R609" s="55">
        <f>+E609+I609+M609+Q609</f>
        <v>0</v>
      </c>
    </row>
    <row r="610" spans="1:18" ht="15.75" customHeight="1" x14ac:dyDescent="0.3">
      <c r="A610" s="15" t="s">
        <v>50</v>
      </c>
      <c r="B610" s="1"/>
      <c r="C610" s="1"/>
      <c r="D610" s="1"/>
      <c r="E610" s="55" t="s">
        <v>7</v>
      </c>
      <c r="F610" s="1"/>
      <c r="G610" s="1"/>
      <c r="H610" s="1"/>
      <c r="I610" s="55" t="s">
        <v>7</v>
      </c>
      <c r="J610" s="1"/>
      <c r="K610" s="1"/>
      <c r="L610" s="1"/>
      <c r="M610" s="55" t="s">
        <v>7</v>
      </c>
      <c r="N610" s="1"/>
      <c r="O610" s="1"/>
      <c r="P610" s="1"/>
      <c r="Q610" s="55" t="s">
        <v>7</v>
      </c>
      <c r="R610" s="55" t="s">
        <v>7</v>
      </c>
    </row>
    <row r="611" spans="1:18" ht="15.75" customHeight="1" x14ac:dyDescent="0.3">
      <c r="A611" s="15" t="s">
        <v>51</v>
      </c>
      <c r="B611" s="1"/>
      <c r="C611" s="1"/>
      <c r="D611" s="1"/>
      <c r="E611" s="55" t="s">
        <v>7</v>
      </c>
      <c r="F611" s="1"/>
      <c r="G611" s="1"/>
      <c r="H611" s="1"/>
      <c r="I611" s="55" t="s">
        <v>7</v>
      </c>
      <c r="J611" s="1"/>
      <c r="K611" s="1"/>
      <c r="L611" s="1"/>
      <c r="M611" s="55" t="s">
        <v>7</v>
      </c>
      <c r="N611" s="1"/>
      <c r="O611" s="1"/>
      <c r="P611" s="1"/>
      <c r="Q611" s="55" t="s">
        <v>7</v>
      </c>
      <c r="R611" s="55" t="s">
        <v>7</v>
      </c>
    </row>
    <row r="612" spans="1:18" ht="15.75" customHeight="1" thickBot="1" x14ac:dyDescent="0.35">
      <c r="A612" s="15" t="s">
        <v>53</v>
      </c>
      <c r="B612" s="1"/>
      <c r="C612" s="1"/>
      <c r="D612" s="1"/>
      <c r="E612" s="55" t="s">
        <v>7</v>
      </c>
      <c r="F612" s="1"/>
      <c r="G612" s="1"/>
      <c r="H612" s="1"/>
      <c r="I612" s="55" t="s">
        <v>7</v>
      </c>
      <c r="J612" s="1"/>
      <c r="K612" s="1"/>
      <c r="L612" s="1"/>
      <c r="M612" s="55" t="s">
        <v>7</v>
      </c>
      <c r="N612" s="1"/>
      <c r="O612" s="1"/>
      <c r="P612" s="1"/>
      <c r="Q612" s="55" t="s">
        <v>7</v>
      </c>
      <c r="R612" s="55" t="s">
        <v>7</v>
      </c>
    </row>
    <row r="613" spans="1:18" ht="16.5" customHeight="1" thickBot="1" x14ac:dyDescent="0.35">
      <c r="A613" s="109" t="s">
        <v>54</v>
      </c>
      <c r="B613" s="86">
        <f>SUM(B605:B612)</f>
        <v>100</v>
      </c>
      <c r="C613" s="87">
        <f>SUM(C605:C612)</f>
        <v>643</v>
      </c>
      <c r="D613" s="87">
        <f>SUM(D605:D612)</f>
        <v>778</v>
      </c>
      <c r="E613" s="59">
        <f>SUM(B613:D613)</f>
        <v>1521</v>
      </c>
      <c r="F613" s="87">
        <f>SUM(F605:F612)</f>
        <v>468</v>
      </c>
      <c r="G613" s="87">
        <f>SUM(G605:G612)</f>
        <v>1117</v>
      </c>
      <c r="H613" s="87">
        <f>SUM(H605:H612)</f>
        <v>1629</v>
      </c>
      <c r="I613" s="59">
        <f>SUM(F613:H613)</f>
        <v>3214</v>
      </c>
      <c r="J613" s="87">
        <f>SUM(J605:J612)</f>
        <v>2117</v>
      </c>
      <c r="K613" s="87">
        <f>SUM(K605:K612)</f>
        <v>2096</v>
      </c>
      <c r="L613" s="87">
        <f>SUM(L605:L612)</f>
        <v>1749</v>
      </c>
      <c r="M613" s="59">
        <f>SUM(J613:L613)</f>
        <v>5962</v>
      </c>
      <c r="N613" s="87">
        <f>SUM(N605:N612)</f>
        <v>696</v>
      </c>
      <c r="O613" s="87">
        <f>SUM(O605:O612)</f>
        <v>32</v>
      </c>
      <c r="P613" s="87">
        <f>SUM(P605:P612)</f>
        <v>194</v>
      </c>
      <c r="Q613" s="59">
        <f>SUM(N613:P613)</f>
        <v>922</v>
      </c>
      <c r="R613" s="59">
        <f>+E613+I613+M613+Q613</f>
        <v>11619</v>
      </c>
    </row>
    <row r="614" spans="1:18" ht="15.75" customHeight="1" x14ac:dyDescent="0.3">
      <c r="A614" s="15" t="s">
        <v>55</v>
      </c>
      <c r="B614" s="1"/>
      <c r="C614" s="1"/>
      <c r="D614" s="1"/>
      <c r="E614" s="55" t="s">
        <v>7</v>
      </c>
      <c r="F614" s="1"/>
      <c r="G614" s="1"/>
      <c r="H614" s="1"/>
      <c r="I614" s="55" t="s">
        <v>7</v>
      </c>
      <c r="J614" s="1"/>
      <c r="K614" s="1"/>
      <c r="L614" s="1"/>
      <c r="M614" s="55" t="s">
        <v>7</v>
      </c>
      <c r="N614" s="1"/>
      <c r="O614" s="1"/>
      <c r="P614" s="1"/>
      <c r="Q614" s="55" t="s">
        <v>7</v>
      </c>
      <c r="R614" s="55" t="s">
        <v>7</v>
      </c>
    </row>
    <row r="615" spans="1:18" ht="15.75" customHeight="1" x14ac:dyDescent="0.3">
      <c r="A615" s="15" t="s">
        <v>57</v>
      </c>
      <c r="B615" s="1"/>
      <c r="C615" s="1"/>
      <c r="D615" s="1"/>
      <c r="E615" s="55" t="s">
        <v>7</v>
      </c>
      <c r="F615" s="1"/>
      <c r="G615" s="1"/>
      <c r="H615" s="1"/>
      <c r="I615" s="55" t="s">
        <v>7</v>
      </c>
      <c r="J615" s="1"/>
      <c r="K615" s="1"/>
      <c r="L615" s="1"/>
      <c r="M615" s="55" t="s">
        <v>7</v>
      </c>
      <c r="N615" s="1"/>
      <c r="O615" s="1"/>
      <c r="P615" s="1"/>
      <c r="Q615" s="55" t="s">
        <v>7</v>
      </c>
      <c r="R615" s="55" t="s">
        <v>7</v>
      </c>
    </row>
    <row r="616" spans="1:18" ht="15.75" customHeight="1" thickBot="1" x14ac:dyDescent="0.35">
      <c r="A616" s="15" t="s">
        <v>58</v>
      </c>
      <c r="B616" s="1"/>
      <c r="C616" s="1"/>
      <c r="D616" s="1"/>
      <c r="E616" s="55" t="s">
        <v>7</v>
      </c>
      <c r="F616" s="1"/>
      <c r="G616" s="1"/>
      <c r="H616" s="1"/>
      <c r="I616" s="55" t="s">
        <v>7</v>
      </c>
      <c r="J616" s="1"/>
      <c r="K616" s="1"/>
      <c r="L616" s="1"/>
      <c r="M616" s="55" t="s">
        <v>7</v>
      </c>
      <c r="N616" s="1"/>
      <c r="O616" s="1"/>
      <c r="P616" s="1"/>
      <c r="Q616" s="55" t="s">
        <v>7</v>
      </c>
      <c r="R616" s="55" t="s">
        <v>7</v>
      </c>
    </row>
    <row r="617" spans="1:18" ht="16.5" customHeight="1" thickBot="1" x14ac:dyDescent="0.35">
      <c r="A617" s="57" t="s">
        <v>59</v>
      </c>
      <c r="B617" s="86">
        <f>SUM(B614:B616)</f>
        <v>0</v>
      </c>
      <c r="C617" s="87">
        <f>SUM(C614:C616)</f>
        <v>0</v>
      </c>
      <c r="D617" s="87">
        <f>SUM(D614:D616)</f>
        <v>0</v>
      </c>
      <c r="E617" s="59">
        <f>SUM(B617:D617)</f>
        <v>0</v>
      </c>
      <c r="F617" s="87">
        <f>SUM(F614:F616)</f>
        <v>0</v>
      </c>
      <c r="G617" s="87">
        <f>SUM(G614:G616)</f>
        <v>0</v>
      </c>
      <c r="H617" s="87">
        <f>SUM(H614:H616)</f>
        <v>0</v>
      </c>
      <c r="I617" s="59">
        <f>SUM(F617:H617)</f>
        <v>0</v>
      </c>
      <c r="J617" s="87">
        <f>SUM(J614:J616)</f>
        <v>0</v>
      </c>
      <c r="K617" s="87">
        <f>SUM(K614:K616)</f>
        <v>0</v>
      </c>
      <c r="L617" s="87">
        <f>SUM(L614:L616)</f>
        <v>0</v>
      </c>
      <c r="M617" s="59">
        <f>SUM(J617:L617)</f>
        <v>0</v>
      </c>
      <c r="N617" s="87">
        <f>SUM(N614:N616)</f>
        <v>0</v>
      </c>
      <c r="O617" s="87">
        <f>SUM(O614:O616)</f>
        <v>0</v>
      </c>
      <c r="P617" s="87">
        <f>SUM(P614:P616)</f>
        <v>0</v>
      </c>
      <c r="Q617" s="59">
        <f>SUM(N617:P617)</f>
        <v>0</v>
      </c>
      <c r="R617" s="59">
        <f>+E617+I617+M617+Q617</f>
        <v>0</v>
      </c>
    </row>
    <row r="618" spans="1:18" ht="15.75" customHeight="1" x14ac:dyDescent="0.3">
      <c r="A618" s="15" t="s">
        <v>60</v>
      </c>
      <c r="B618" s="1"/>
      <c r="C618" s="1"/>
      <c r="D618" s="1"/>
      <c r="E618" s="55" t="s">
        <v>7</v>
      </c>
      <c r="F618" s="1"/>
      <c r="G618" s="1"/>
      <c r="H618" s="1"/>
      <c r="I618" s="55" t="s">
        <v>7</v>
      </c>
      <c r="J618" s="1"/>
      <c r="K618" s="1"/>
      <c r="L618" s="1"/>
      <c r="M618" s="55" t="s">
        <v>7</v>
      </c>
      <c r="N618" s="1"/>
      <c r="O618" s="1"/>
      <c r="P618" s="1"/>
      <c r="Q618" s="55" t="s">
        <v>7</v>
      </c>
      <c r="R618" s="55" t="s">
        <v>7</v>
      </c>
    </row>
    <row r="619" spans="1:18" ht="15.75" customHeight="1" x14ac:dyDescent="0.3">
      <c r="A619" s="15" t="s">
        <v>61</v>
      </c>
      <c r="B619" s="1"/>
      <c r="C619" s="1"/>
      <c r="D619" s="1"/>
      <c r="E619" s="55" t="s">
        <v>7</v>
      </c>
      <c r="F619" s="1"/>
      <c r="G619" s="1"/>
      <c r="H619" s="1"/>
      <c r="I619" s="55" t="s">
        <v>7</v>
      </c>
      <c r="J619" s="1"/>
      <c r="K619" s="1"/>
      <c r="L619" s="1"/>
      <c r="M619" s="55" t="s">
        <v>7</v>
      </c>
      <c r="N619" s="1"/>
      <c r="O619" s="1"/>
      <c r="P619" s="1"/>
      <c r="Q619" s="55" t="s">
        <v>7</v>
      </c>
      <c r="R619" s="55" t="s">
        <v>7</v>
      </c>
    </row>
    <row r="620" spans="1:18" ht="15.75" customHeight="1" thickBot="1" x14ac:dyDescent="0.35">
      <c r="A620" s="15" t="s">
        <v>62</v>
      </c>
      <c r="B620" s="1"/>
      <c r="C620" s="1"/>
      <c r="D620" s="1"/>
      <c r="E620" s="55" t="s">
        <v>7</v>
      </c>
      <c r="F620" s="1"/>
      <c r="G620" s="1"/>
      <c r="H620" s="1"/>
      <c r="I620" s="55" t="s">
        <v>7</v>
      </c>
      <c r="J620" s="1"/>
      <c r="K620" s="1"/>
      <c r="L620" s="1"/>
      <c r="M620" s="55" t="s">
        <v>7</v>
      </c>
      <c r="N620" s="1"/>
      <c r="O620" s="1"/>
      <c r="P620" s="1"/>
      <c r="Q620" s="55" t="s">
        <v>7</v>
      </c>
      <c r="R620" s="55" t="s">
        <v>7</v>
      </c>
    </row>
    <row r="621" spans="1:18" ht="16.5" customHeight="1" thickBot="1" x14ac:dyDescent="0.35">
      <c r="A621" s="114" t="s">
        <v>63</v>
      </c>
      <c r="B621" s="86">
        <f>SUM(B618:B620)</f>
        <v>0</v>
      </c>
      <c r="C621" s="87">
        <f>SUM(C618:C620)</f>
        <v>0</v>
      </c>
      <c r="D621" s="87">
        <f>SUM(D618:D620)</f>
        <v>0</v>
      </c>
      <c r="E621" s="59">
        <f>SUM(B621:D621)</f>
        <v>0</v>
      </c>
      <c r="F621" s="87">
        <f>SUM(F618:F620)</f>
        <v>0</v>
      </c>
      <c r="G621" s="87">
        <f>SUM(G618:G620)</f>
        <v>0</v>
      </c>
      <c r="H621" s="87">
        <f>SUM(H618:H620)</f>
        <v>0</v>
      </c>
      <c r="I621" s="59">
        <f>SUM(F621:H621)</f>
        <v>0</v>
      </c>
      <c r="J621" s="87">
        <f>SUM(J618:J620)</f>
        <v>0</v>
      </c>
      <c r="K621" s="87">
        <f>SUM(K618:K620)</f>
        <v>0</v>
      </c>
      <c r="L621" s="87">
        <f>SUM(L618:L620)</f>
        <v>0</v>
      </c>
      <c r="M621" s="59">
        <f>SUM(J621:L621)</f>
        <v>0</v>
      </c>
      <c r="N621" s="87">
        <f>SUM(N618:N620)</f>
        <v>0</v>
      </c>
      <c r="O621" s="87">
        <f>SUM(O618:O620)</f>
        <v>0</v>
      </c>
      <c r="P621" s="87">
        <f>SUM(P618:P620)</f>
        <v>0</v>
      </c>
      <c r="Q621" s="59">
        <f>SUM(N621:P621)</f>
        <v>0</v>
      </c>
      <c r="R621" s="59">
        <f>+E621+I621+M621+Q621</f>
        <v>0</v>
      </c>
    </row>
    <row r="622" spans="1:18" ht="15.75" customHeight="1" x14ac:dyDescent="0.3">
      <c r="A622" s="15" t="s">
        <v>64</v>
      </c>
      <c r="B622" s="1"/>
      <c r="C622" s="1"/>
      <c r="D622" s="1"/>
      <c r="E622" s="55" t="s">
        <v>7</v>
      </c>
      <c r="F622" s="1"/>
      <c r="G622" s="1"/>
      <c r="H622" s="1"/>
      <c r="I622" s="55" t="s">
        <v>7</v>
      </c>
      <c r="J622" s="1"/>
      <c r="K622" s="1"/>
      <c r="L622" s="1"/>
      <c r="M622" s="55" t="s">
        <v>7</v>
      </c>
      <c r="N622" s="1"/>
      <c r="O622" s="1"/>
      <c r="P622" s="1"/>
      <c r="Q622" s="55" t="s">
        <v>7</v>
      </c>
      <c r="R622" s="55" t="s">
        <v>7</v>
      </c>
    </row>
    <row r="623" spans="1:18" ht="15.75" customHeight="1" x14ac:dyDescent="0.3">
      <c r="A623" s="15" t="s">
        <v>594</v>
      </c>
      <c r="B623" s="1"/>
      <c r="C623" s="1"/>
      <c r="D623" s="1"/>
      <c r="E623" s="55" t="s">
        <v>7</v>
      </c>
      <c r="F623" s="1"/>
      <c r="G623" s="1"/>
      <c r="H623" s="1"/>
      <c r="I623" s="55" t="s">
        <v>7</v>
      </c>
      <c r="J623" s="1"/>
      <c r="K623" s="1"/>
      <c r="L623" s="1"/>
      <c r="M623" s="55" t="s">
        <v>7</v>
      </c>
      <c r="N623" s="1"/>
      <c r="O623" s="1"/>
      <c r="P623" s="1"/>
      <c r="Q623" s="55" t="s">
        <v>7</v>
      </c>
      <c r="R623" s="55" t="s">
        <v>7</v>
      </c>
    </row>
    <row r="624" spans="1:18" ht="15.75" customHeight="1" x14ac:dyDescent="0.3">
      <c r="A624" s="15" t="s">
        <v>67</v>
      </c>
      <c r="B624" s="1"/>
      <c r="C624" s="1"/>
      <c r="D624" s="1"/>
      <c r="E624" s="55" t="s">
        <v>7</v>
      </c>
      <c r="F624" s="1"/>
      <c r="G624" s="1"/>
      <c r="H624" s="1"/>
      <c r="I624" s="55" t="s">
        <v>7</v>
      </c>
      <c r="J624" s="1"/>
      <c r="K624" s="1"/>
      <c r="L624" s="1"/>
      <c r="M624" s="55" t="s">
        <v>7</v>
      </c>
      <c r="N624" s="1"/>
      <c r="O624" s="1"/>
      <c r="P624" s="1"/>
      <c r="Q624" s="55" t="s">
        <v>7</v>
      </c>
      <c r="R624" s="55" t="s">
        <v>7</v>
      </c>
    </row>
    <row r="625" spans="1:18" ht="15.75" customHeight="1" x14ac:dyDescent="0.3">
      <c r="A625" s="71" t="s">
        <v>773</v>
      </c>
      <c r="B625" s="1"/>
      <c r="C625" s="1"/>
      <c r="D625" s="1"/>
      <c r="E625" s="55">
        <f>SUM(B625:D625)</f>
        <v>0</v>
      </c>
      <c r="F625" s="1"/>
      <c r="G625" s="1"/>
      <c r="H625" s="1"/>
      <c r="I625" s="55">
        <f>SUM(F625:H625)</f>
        <v>0</v>
      </c>
      <c r="J625" s="1"/>
      <c r="K625" s="1"/>
      <c r="L625" s="1"/>
      <c r="M625" s="55">
        <f>SUM(J625:L625)</f>
        <v>0</v>
      </c>
      <c r="N625" s="1"/>
      <c r="O625" s="1"/>
      <c r="P625" s="1"/>
      <c r="Q625" s="55">
        <f>SUM(N625:P625)</f>
        <v>0</v>
      </c>
      <c r="R625" s="55">
        <f>+E625+I625+M625+Q625</f>
        <v>0</v>
      </c>
    </row>
    <row r="626" spans="1:18" ht="15.75" customHeight="1" x14ac:dyDescent="0.3">
      <c r="A626" s="15" t="s">
        <v>600</v>
      </c>
      <c r="B626" s="1"/>
      <c r="C626" s="1"/>
      <c r="D626" s="1"/>
      <c r="E626" s="55" t="s">
        <v>7</v>
      </c>
      <c r="F626" s="1"/>
      <c r="G626" s="1"/>
      <c r="H626" s="1"/>
      <c r="I626" s="55" t="s">
        <v>7</v>
      </c>
      <c r="J626" s="1"/>
      <c r="K626" s="1"/>
      <c r="L626" s="1"/>
      <c r="M626" s="55" t="s">
        <v>7</v>
      </c>
      <c r="N626" s="1"/>
      <c r="O626" s="1"/>
      <c r="P626" s="1"/>
      <c r="Q626" s="55" t="s">
        <v>7</v>
      </c>
      <c r="R626" s="55" t="s">
        <v>7</v>
      </c>
    </row>
    <row r="627" spans="1:18" ht="15.75" customHeight="1" thickBot="1" x14ac:dyDescent="0.35">
      <c r="A627" s="15" t="s">
        <v>70</v>
      </c>
      <c r="B627" s="1"/>
      <c r="C627" s="1"/>
      <c r="D627" s="1"/>
      <c r="E627" s="55" t="s">
        <v>7</v>
      </c>
      <c r="F627" s="1"/>
      <c r="G627" s="1"/>
      <c r="H627" s="1"/>
      <c r="I627" s="55" t="s">
        <v>7</v>
      </c>
      <c r="J627" s="1"/>
      <c r="K627" s="1"/>
      <c r="L627" s="1"/>
      <c r="M627" s="55" t="s">
        <v>7</v>
      </c>
      <c r="N627" s="1"/>
      <c r="O627" s="1"/>
      <c r="P627" s="1"/>
      <c r="Q627" s="55" t="s">
        <v>7</v>
      </c>
      <c r="R627" s="55" t="s">
        <v>7</v>
      </c>
    </row>
    <row r="628" spans="1:18" ht="16.5" customHeight="1" thickBot="1" x14ac:dyDescent="0.35">
      <c r="A628" s="57" t="s">
        <v>71</v>
      </c>
      <c r="B628" s="58">
        <f>SUM(B626:B627)</f>
        <v>0</v>
      </c>
      <c r="C628" s="58">
        <f>SUM(C626:C627)</f>
        <v>0</v>
      </c>
      <c r="D628" s="58">
        <f>SUM(D626:D627)</f>
        <v>0</v>
      </c>
      <c r="E628" s="60">
        <f>SUM(B628:D628)</f>
        <v>0</v>
      </c>
      <c r="F628" s="58">
        <f>SUM(F626:F627)</f>
        <v>0</v>
      </c>
      <c r="G628" s="58">
        <f>SUM(G626:G627)</f>
        <v>0</v>
      </c>
      <c r="H628" s="58">
        <f>SUM(H626:H627)</f>
        <v>0</v>
      </c>
      <c r="I628" s="60">
        <f>SUM(F628:H628)</f>
        <v>0</v>
      </c>
      <c r="J628" s="58">
        <f>SUM(J626:J627)</f>
        <v>0</v>
      </c>
      <c r="K628" s="58">
        <f>SUM(K626:K627)</f>
        <v>0</v>
      </c>
      <c r="L628" s="58">
        <f>SUM(L626:L627)</f>
        <v>0</v>
      </c>
      <c r="M628" s="60">
        <f>SUM(J628:L628)</f>
        <v>0</v>
      </c>
      <c r="N628" s="58">
        <f>SUM(N626:N627)</f>
        <v>0</v>
      </c>
      <c r="O628" s="58">
        <f>SUM(O626:O627)</f>
        <v>0</v>
      </c>
      <c r="P628" s="58">
        <f>SUM(P626:P627)</f>
        <v>0</v>
      </c>
      <c r="Q628" s="60">
        <f>SUM(N628:P628)</f>
        <v>0</v>
      </c>
      <c r="R628" s="59">
        <f>+E628+I628+M628+Q628</f>
        <v>0</v>
      </c>
    </row>
    <row r="629" spans="1:18" ht="16.5" customHeight="1" thickBot="1" x14ac:dyDescent="0.35">
      <c r="A629" s="114" t="s">
        <v>72</v>
      </c>
      <c r="B629" s="86">
        <f>SUM(B622:B627)</f>
        <v>0</v>
      </c>
      <c r="C629" s="87">
        <f>SUM(C622:C627)</f>
        <v>0</v>
      </c>
      <c r="D629" s="118">
        <f>SUM(D622:D627)</f>
        <v>0</v>
      </c>
      <c r="E629" s="60">
        <f>SUM(B629:D629)</f>
        <v>0</v>
      </c>
      <c r="F629" s="87">
        <f>SUM(F622:F627)</f>
        <v>0</v>
      </c>
      <c r="G629" s="87">
        <f>SUM(G622:G627)</f>
        <v>0</v>
      </c>
      <c r="H629" s="87">
        <f>SUM(H622:H627)</f>
        <v>0</v>
      </c>
      <c r="I629" s="60">
        <f>SUM(F629:H629)</f>
        <v>0</v>
      </c>
      <c r="J629" s="87">
        <f>SUM(J622:J627)</f>
        <v>0</v>
      </c>
      <c r="K629" s="87">
        <f>SUM(K622:K627)</f>
        <v>0</v>
      </c>
      <c r="L629" s="87">
        <f>SUM(L622:L627)</f>
        <v>0</v>
      </c>
      <c r="M629" s="60">
        <f>SUM(J629:L629)</f>
        <v>0</v>
      </c>
      <c r="N629" s="87">
        <f>SUM(N622:N627)</f>
        <v>0</v>
      </c>
      <c r="O629" s="87">
        <f>SUM(O622:O627)</f>
        <v>0</v>
      </c>
      <c r="P629" s="87">
        <f>SUM(P622:P627)</f>
        <v>0</v>
      </c>
      <c r="Q629" s="60">
        <f>SUM(N629:P629)</f>
        <v>0</v>
      </c>
      <c r="R629" s="59">
        <f>+E629+I629+M629+Q629</f>
        <v>0</v>
      </c>
    </row>
    <row r="630" spans="1:18" ht="16.5" customHeight="1" thickBot="1" x14ac:dyDescent="0.35">
      <c r="A630" s="57" t="s">
        <v>73</v>
      </c>
      <c r="B630" s="90">
        <f>+B613+B617+B621+B629</f>
        <v>100</v>
      </c>
      <c r="C630" s="58">
        <f>+C613+C617+C621+C629</f>
        <v>643</v>
      </c>
      <c r="D630" s="58">
        <f>+D613+D617+D621+D629</f>
        <v>778</v>
      </c>
      <c r="E630" s="59">
        <f>SUM(B630:D630)</f>
        <v>1521</v>
      </c>
      <c r="F630" s="58">
        <f>+F613+F617+F621+F629</f>
        <v>468</v>
      </c>
      <c r="G630" s="58">
        <f>+G613+G617+G621+G629</f>
        <v>1117</v>
      </c>
      <c r="H630" s="58">
        <f>+H613+H617+H621+H629</f>
        <v>1629</v>
      </c>
      <c r="I630" s="59">
        <f>SUM(F630:H630)</f>
        <v>3214</v>
      </c>
      <c r="J630" s="58">
        <f>+J613+J617+J621+J629</f>
        <v>2117</v>
      </c>
      <c r="K630" s="58">
        <f>+K613+K617+K621+K629</f>
        <v>2096</v>
      </c>
      <c r="L630" s="58">
        <f>+L613+L617+L621+L629</f>
        <v>1749</v>
      </c>
      <c r="M630" s="59">
        <f>SUM(J630:L630)</f>
        <v>5962</v>
      </c>
      <c r="N630" s="58">
        <f>+N613+N617+N621+N629</f>
        <v>696</v>
      </c>
      <c r="O630" s="58">
        <f>+O613+O617+O621+O629</f>
        <v>32</v>
      </c>
      <c r="P630" s="58">
        <f>+P613+P617+P621+P629</f>
        <v>194</v>
      </c>
      <c r="Q630" s="59">
        <f>SUM(N630:P630)</f>
        <v>922</v>
      </c>
      <c r="R630" s="81">
        <f>+E630+I630+M630+Q630</f>
        <v>11619</v>
      </c>
    </row>
    <row r="631" spans="1:18" ht="16.5" customHeight="1" thickBot="1" x14ac:dyDescent="0.35">
      <c r="A631" s="39" t="s">
        <v>40</v>
      </c>
      <c r="B631" s="21">
        <v>10</v>
      </c>
      <c r="C631" s="21">
        <v>11</v>
      </c>
      <c r="D631" s="21">
        <v>14</v>
      </c>
      <c r="E631" s="55">
        <f>SUM(B631:D631)</f>
        <v>35</v>
      </c>
      <c r="F631" s="21">
        <v>18</v>
      </c>
      <c r="G631" s="21">
        <v>21</v>
      </c>
      <c r="H631" s="21">
        <v>22</v>
      </c>
      <c r="I631" s="55">
        <f>SUM(F631:H631)</f>
        <v>61</v>
      </c>
      <c r="J631" s="21">
        <v>19</v>
      </c>
      <c r="K631" s="21">
        <v>17</v>
      </c>
      <c r="L631" s="21">
        <v>17</v>
      </c>
      <c r="M631" s="55">
        <f>SUM(J631:L631)</f>
        <v>53</v>
      </c>
      <c r="N631" s="21">
        <v>14</v>
      </c>
      <c r="O631" s="21">
        <v>11</v>
      </c>
      <c r="P631" s="21">
        <v>9</v>
      </c>
      <c r="Q631" s="55">
        <f>SUM(N631:P631)</f>
        <v>34</v>
      </c>
      <c r="R631" s="55">
        <f>+E631+I631+M631+Q631</f>
        <v>183</v>
      </c>
    </row>
    <row r="632" spans="1:18" ht="16.5" customHeight="1" thickBot="1" x14ac:dyDescent="0.35">
      <c r="A632" s="41"/>
      <c r="B632" s="36"/>
      <c r="C632" s="36"/>
      <c r="D632" s="36"/>
      <c r="E632" s="52"/>
      <c r="F632" s="36"/>
      <c r="G632" s="36"/>
      <c r="H632" s="36"/>
      <c r="I632" s="52"/>
      <c r="J632" s="36"/>
      <c r="K632" s="36"/>
      <c r="L632" s="36"/>
      <c r="M632" s="129"/>
      <c r="N632" s="36"/>
      <c r="O632" s="36"/>
      <c r="P632" s="36"/>
      <c r="Q632" s="129"/>
      <c r="R632" s="40"/>
    </row>
    <row r="633" spans="1:18" ht="15.75" customHeight="1" x14ac:dyDescent="0.3">
      <c r="A633" s="15" t="s">
        <v>314</v>
      </c>
      <c r="B633" s="1">
        <f>SUM(B630:B631)</f>
        <v>110</v>
      </c>
      <c r="C633" s="1">
        <f>SUM(C630:C631)</f>
        <v>654</v>
      </c>
      <c r="D633" s="1">
        <f>SUM(D630:D631)</f>
        <v>792</v>
      </c>
      <c r="E633" s="55">
        <f>SUM(B633:D633)</f>
        <v>1556</v>
      </c>
      <c r="F633" s="1">
        <f>SUM(F630:F631)</f>
        <v>486</v>
      </c>
      <c r="G633" s="1">
        <f>SUM(G630:G631)</f>
        <v>1138</v>
      </c>
      <c r="H633" s="1">
        <f>SUM(H630:H631)</f>
        <v>1651</v>
      </c>
      <c r="I633" s="60">
        <f>SUM(F633:H633)</f>
        <v>3275</v>
      </c>
      <c r="J633" s="1">
        <f>SUM(J630:J631)</f>
        <v>2136</v>
      </c>
      <c r="K633" s="1">
        <f>SUM(K630:K631)</f>
        <v>2113</v>
      </c>
      <c r="L633" s="1">
        <f>SUM(L630:L631)</f>
        <v>1766</v>
      </c>
      <c r="M633" s="60">
        <f>SUM(J633:L633)</f>
        <v>6015</v>
      </c>
      <c r="N633" s="1">
        <f>SUM(N630:N631)</f>
        <v>710</v>
      </c>
      <c r="O633" s="1">
        <f>SUM(O630:O631)</f>
        <v>43</v>
      </c>
      <c r="P633" s="1">
        <f>SUM(P630:P631)</f>
        <v>203</v>
      </c>
      <c r="Q633" s="60">
        <f>SUM(N633:P633)</f>
        <v>956</v>
      </c>
      <c r="R633" s="60">
        <f>+E633+I633+M633+Q633</f>
        <v>11802</v>
      </c>
    </row>
    <row r="634" spans="1:18" ht="15.75" customHeight="1" x14ac:dyDescent="0.3">
      <c r="A634" s="15" t="s">
        <v>42</v>
      </c>
      <c r="B634" s="1">
        <f>(B633/B10)/1.983</f>
        <v>1.7894034779496688</v>
      </c>
      <c r="C634" s="1">
        <f>(C633/C10)/1.983</f>
        <v>11.37252856174031</v>
      </c>
      <c r="D634" s="1">
        <f>(D633/D10)/1.983</f>
        <v>12.883705041237615</v>
      </c>
      <c r="E634" s="55" t="s">
        <v>7</v>
      </c>
      <c r="F634" s="1">
        <f>(F633/F10)/1.983</f>
        <v>8.1694402420574885</v>
      </c>
      <c r="G634" s="1">
        <f>(G633/G10)/1.983</f>
        <v>18.512192344606575</v>
      </c>
      <c r="H634" s="1">
        <f>(H633/H10)/1.983</f>
        <v>27.752563456043031</v>
      </c>
      <c r="I634" s="55" t="s">
        <v>7</v>
      </c>
      <c r="J634" s="1">
        <f>(J633/J10)/1.983</f>
        <v>34.746962080913569</v>
      </c>
      <c r="K634" s="1">
        <f>(K633/K10)/1.983</f>
        <v>34.372814080978635</v>
      </c>
      <c r="L634" s="1">
        <f>(L633/L10)/1.983</f>
        <v>29.685661455706839</v>
      </c>
      <c r="M634" s="55" t="s">
        <v>7</v>
      </c>
      <c r="N634" s="1">
        <f>(N633/N10)/1.983</f>
        <v>11.549786084947863</v>
      </c>
      <c r="O634" s="1">
        <f>(O633/O10)/1.983</f>
        <v>0.72281055639603287</v>
      </c>
      <c r="P634" s="1">
        <f>(P633/P10)/1.983</f>
        <v>3.3022627820343891</v>
      </c>
      <c r="Q634" s="55" t="s">
        <v>7</v>
      </c>
      <c r="R634" s="55" t="s">
        <v>7</v>
      </c>
    </row>
    <row r="635" spans="1:18" ht="15.75" customHeight="1" x14ac:dyDescent="0.3">
      <c r="A635" s="15" t="s">
        <v>341</v>
      </c>
      <c r="B635" s="1">
        <f>B633+B682</f>
        <v>7781</v>
      </c>
      <c r="C635" s="1">
        <f>C633+C682</f>
        <v>11438</v>
      </c>
      <c r="D635" s="1">
        <f>D633+D682</f>
        <v>17459</v>
      </c>
      <c r="E635" s="55">
        <f>SUM(B635:D635)</f>
        <v>36678</v>
      </c>
      <c r="F635" s="1">
        <f>F633+F682</f>
        <v>21039</v>
      </c>
      <c r="G635" s="1">
        <f>G633+G682</f>
        <v>22014</v>
      </c>
      <c r="H635" s="1">
        <f>H633+H682</f>
        <v>21065</v>
      </c>
      <c r="I635" s="55">
        <f>SUM(F635:H635)</f>
        <v>64118</v>
      </c>
      <c r="J635" s="1">
        <f>J633+J682</f>
        <v>21942</v>
      </c>
      <c r="K635" s="1">
        <f>K633+K682</f>
        <v>20106</v>
      </c>
      <c r="L635" s="1">
        <f>L633+L682</f>
        <v>18989</v>
      </c>
      <c r="M635" s="55">
        <f>SUM(J635:L635)</f>
        <v>61037</v>
      </c>
      <c r="N635" s="1">
        <f>N633+N682</f>
        <v>6339</v>
      </c>
      <c r="O635" s="1">
        <f>O633+O682</f>
        <v>7154</v>
      </c>
      <c r="P635" s="1">
        <f>P633+P682</f>
        <v>14296</v>
      </c>
      <c r="Q635" s="55">
        <f>SUM(N635:P635)</f>
        <v>27789</v>
      </c>
      <c r="R635" s="55">
        <f>+E635+I635+M635+Q635</f>
        <v>189622</v>
      </c>
    </row>
    <row r="636" spans="1:18" ht="16.5" customHeight="1" thickBot="1" x14ac:dyDescent="0.35">
      <c r="A636" s="20" t="s">
        <v>342</v>
      </c>
      <c r="B636" s="21">
        <f>(B635/B10)/1.983</f>
        <v>126.57589510842158</v>
      </c>
      <c r="C636" s="21">
        <f>(C635/C10)/1.983</f>
        <v>198.89752551863251</v>
      </c>
      <c r="D636" s="21">
        <f>(D635/D10)/1.983</f>
        <v>284.01086655930249</v>
      </c>
      <c r="E636" s="81" t="s">
        <v>7</v>
      </c>
      <c r="F636" s="21">
        <f>(F635/F10)/1.983</f>
        <v>353.65607665153806</v>
      </c>
      <c r="G636" s="21">
        <f>(G635/G10)/1.983</f>
        <v>358.10843785076372</v>
      </c>
      <c r="H636" s="21">
        <f>(H635/H10)/1.983</f>
        <v>354.09312489494027</v>
      </c>
      <c r="I636" s="81" t="s">
        <v>7</v>
      </c>
      <c r="J636" s="21">
        <f>(J635/J10)/1.983</f>
        <v>356.9371919379239</v>
      </c>
      <c r="K636" s="21">
        <f>(K635/K10)/1.983</f>
        <v>327.07042116050951</v>
      </c>
      <c r="L636" s="21">
        <f>(L635/L10)/1.983</f>
        <v>319.1965036140528</v>
      </c>
      <c r="M636" s="81" t="s">
        <v>7</v>
      </c>
      <c r="N636" s="21">
        <f>(N635/N10)/1.983</f>
        <v>103.11844224293591</v>
      </c>
      <c r="O636" s="21">
        <f>(O635/O10)/1.983</f>
        <v>120.25550512691208</v>
      </c>
      <c r="P636" s="21">
        <f>(P635/P10)/1.983</f>
        <v>232.55738291607699</v>
      </c>
      <c r="Q636" s="81" t="s">
        <v>7</v>
      </c>
      <c r="R636" s="81" t="s">
        <v>7</v>
      </c>
    </row>
    <row r="637" spans="1:18" ht="15.75" customHeight="1" x14ac:dyDescent="0.3">
      <c r="A637" s="2"/>
      <c r="B637" s="1"/>
      <c r="C637" s="1"/>
      <c r="D637" s="1"/>
      <c r="E637" s="1"/>
      <c r="F637" s="1"/>
      <c r="G637" s="1"/>
      <c r="H637" s="1"/>
      <c r="I637" s="1"/>
      <c r="J637" s="1"/>
      <c r="K637" s="1"/>
      <c r="L637" s="1"/>
      <c r="M637" s="1"/>
      <c r="N637" s="1"/>
      <c r="O637" s="1"/>
      <c r="P637" s="1"/>
      <c r="Q637" s="1"/>
      <c r="R637" s="2"/>
    </row>
    <row r="638" spans="1:18" ht="16.5" customHeight="1" thickBot="1" x14ac:dyDescent="0.35">
      <c r="A638" s="106"/>
      <c r="B638" s="21"/>
      <c r="C638" s="21"/>
      <c r="D638" s="21"/>
      <c r="E638" s="21"/>
      <c r="F638" s="21"/>
      <c r="G638" s="21"/>
      <c r="H638" s="21"/>
      <c r="I638" s="21"/>
      <c r="J638" s="21"/>
      <c r="K638" s="21"/>
      <c r="L638" s="21"/>
      <c r="M638" s="21"/>
      <c r="N638" s="21"/>
      <c r="O638" s="21"/>
      <c r="P638" s="21"/>
      <c r="Q638" s="21"/>
      <c r="R638" s="106"/>
    </row>
    <row r="639" spans="1:18" ht="15.75" customHeight="1" thickBot="1" x14ac:dyDescent="0.35">
      <c r="A639" s="107" t="s">
        <v>343</v>
      </c>
      <c r="B639" s="47" t="s">
        <v>8</v>
      </c>
      <c r="C639" s="48" t="s">
        <v>9</v>
      </c>
      <c r="D639" s="48" t="s">
        <v>10</v>
      </c>
      <c r="E639" s="32" t="s">
        <v>11</v>
      </c>
      <c r="F639" s="48" t="s">
        <v>12</v>
      </c>
      <c r="G639" s="48" t="s">
        <v>13</v>
      </c>
      <c r="H639" s="48" t="s">
        <v>14</v>
      </c>
      <c r="I639" s="32" t="s">
        <v>15</v>
      </c>
      <c r="J639" s="48" t="s">
        <v>16</v>
      </c>
      <c r="K639" s="48" t="s">
        <v>17</v>
      </c>
      <c r="L639" s="48" t="s">
        <v>18</v>
      </c>
      <c r="M639" s="32" t="s">
        <v>19</v>
      </c>
      <c r="N639" s="48" t="s">
        <v>20</v>
      </c>
      <c r="O639" s="48" t="s">
        <v>21</v>
      </c>
      <c r="P639" s="48" t="s">
        <v>22</v>
      </c>
      <c r="Q639" s="32" t="s">
        <v>23</v>
      </c>
      <c r="R639" s="49" t="s">
        <v>24</v>
      </c>
    </row>
    <row r="640" spans="1:18" ht="16.5" customHeight="1" thickBot="1" x14ac:dyDescent="0.35">
      <c r="A640" s="130"/>
      <c r="B640" s="51"/>
      <c r="C640" s="51"/>
      <c r="D640" s="51"/>
      <c r="E640" s="52"/>
      <c r="F640" s="51"/>
      <c r="G640" s="51"/>
      <c r="H640" s="51"/>
      <c r="I640" s="52"/>
      <c r="J640" s="51"/>
      <c r="K640" s="51"/>
      <c r="L640" s="51"/>
      <c r="M640" s="52"/>
      <c r="N640" s="51"/>
      <c r="O640" s="51"/>
      <c r="P640" s="51"/>
      <c r="Q640" s="52"/>
      <c r="R640" s="53"/>
    </row>
    <row r="641" spans="1:18" ht="15.75" customHeight="1" x14ac:dyDescent="0.3">
      <c r="A641" s="15" t="s">
        <v>48</v>
      </c>
      <c r="B641" s="1" t="s">
        <v>7</v>
      </c>
      <c r="C641" s="1" t="s">
        <v>7</v>
      </c>
      <c r="D641" s="1" t="s">
        <v>7</v>
      </c>
      <c r="E641" s="55" t="s">
        <v>7</v>
      </c>
      <c r="F641" s="1" t="s">
        <v>7</v>
      </c>
      <c r="G641" s="1" t="s">
        <v>7</v>
      </c>
      <c r="H641" s="1" t="s">
        <v>7</v>
      </c>
      <c r="I641" s="55" t="s">
        <v>7</v>
      </c>
      <c r="J641" s="1" t="s">
        <v>7</v>
      </c>
      <c r="K641" s="1" t="s">
        <v>7</v>
      </c>
      <c r="L641" s="1" t="s">
        <v>7</v>
      </c>
      <c r="M641" s="55" t="s">
        <v>7</v>
      </c>
      <c r="N641" s="1" t="s">
        <v>7</v>
      </c>
      <c r="O641" s="1" t="s">
        <v>7</v>
      </c>
      <c r="P641" s="1" t="s">
        <v>7</v>
      </c>
      <c r="Q641" s="55" t="s">
        <v>7</v>
      </c>
      <c r="R641" s="55" t="s">
        <v>7</v>
      </c>
    </row>
    <row r="642" spans="1:18" ht="15.75" customHeight="1" x14ac:dyDescent="0.3">
      <c r="A642" s="15" t="s">
        <v>49</v>
      </c>
      <c r="B642" s="1"/>
      <c r="C642" s="1"/>
      <c r="D642" s="1"/>
      <c r="E642" s="55" t="s">
        <v>7</v>
      </c>
      <c r="F642" s="1"/>
      <c r="G642" s="1"/>
      <c r="H642" s="1"/>
      <c r="I642" s="55" t="s">
        <v>7</v>
      </c>
      <c r="J642" s="1"/>
      <c r="K642" s="1"/>
      <c r="L642" s="1"/>
      <c r="M642" s="55" t="s">
        <v>7</v>
      </c>
      <c r="N642" s="1"/>
      <c r="O642" s="1"/>
      <c r="P642" s="1"/>
      <c r="Q642" s="55" t="s">
        <v>7</v>
      </c>
      <c r="R642" s="55" t="s">
        <v>7</v>
      </c>
    </row>
    <row r="643" spans="1:18" ht="15.75" customHeight="1" x14ac:dyDescent="0.3">
      <c r="A643" s="71" t="s">
        <v>344</v>
      </c>
      <c r="B643" s="1"/>
      <c r="C643" s="1">
        <v>1348</v>
      </c>
      <c r="D643" s="1">
        <v>3797</v>
      </c>
      <c r="E643" s="55">
        <f t="shared" ref="E643:E648" si="122">SUM(B643:D643)</f>
        <v>5145</v>
      </c>
      <c r="F643" s="1">
        <v>6861</v>
      </c>
      <c r="G643" s="1">
        <v>7454</v>
      </c>
      <c r="H643" s="1">
        <v>5483</v>
      </c>
      <c r="I643" s="55">
        <f t="shared" ref="I643:I648" si="123">SUM(F643:H643)</f>
        <v>19798</v>
      </c>
      <c r="J643" s="1">
        <v>6328</v>
      </c>
      <c r="K643" s="1">
        <v>7080</v>
      </c>
      <c r="L643" s="1">
        <v>3647</v>
      </c>
      <c r="M643" s="55">
        <f t="shared" ref="M643:M648" si="124">SUM(J643:L643)</f>
        <v>17055</v>
      </c>
      <c r="N643" s="1">
        <v>718</v>
      </c>
      <c r="O643" s="1">
        <v>1912</v>
      </c>
      <c r="P643" s="1">
        <v>5388</v>
      </c>
      <c r="Q643" s="55">
        <f t="shared" ref="Q643:Q648" si="125">SUM(N643:P643)</f>
        <v>8018</v>
      </c>
      <c r="R643" s="55">
        <f t="shared" ref="R643:R648" si="126">+E643+I643+M643+Q643</f>
        <v>50016</v>
      </c>
    </row>
    <row r="644" spans="1:18" ht="15.75" customHeight="1" x14ac:dyDescent="0.3">
      <c r="A644" s="71" t="s">
        <v>345</v>
      </c>
      <c r="B644" s="1">
        <v>1793</v>
      </c>
      <c r="C644" s="1">
        <v>4097</v>
      </c>
      <c r="D644" s="1">
        <v>5901</v>
      </c>
      <c r="E644" s="55">
        <f t="shared" si="122"/>
        <v>11791</v>
      </c>
      <c r="F644" s="1">
        <v>5879</v>
      </c>
      <c r="G644" s="1">
        <v>6459</v>
      </c>
      <c r="H644" s="1">
        <v>6064</v>
      </c>
      <c r="I644" s="55">
        <f t="shared" si="123"/>
        <v>18402</v>
      </c>
      <c r="J644" s="1">
        <v>6188</v>
      </c>
      <c r="K644" s="1">
        <v>6016</v>
      </c>
      <c r="L644" s="1">
        <v>6883</v>
      </c>
      <c r="M644" s="55">
        <f t="shared" si="124"/>
        <v>19087</v>
      </c>
      <c r="N644" s="1">
        <v>2367</v>
      </c>
      <c r="O644" s="1">
        <v>3261</v>
      </c>
      <c r="P644" s="1">
        <v>3193</v>
      </c>
      <c r="Q644" s="55">
        <f t="shared" si="125"/>
        <v>8821</v>
      </c>
      <c r="R644" s="55">
        <f t="shared" si="126"/>
        <v>58101</v>
      </c>
    </row>
    <row r="645" spans="1:18" ht="15.75" customHeight="1" x14ac:dyDescent="0.3">
      <c r="A645" s="71" t="s">
        <v>996</v>
      </c>
      <c r="B645" s="1">
        <v>50</v>
      </c>
      <c r="C645" s="1"/>
      <c r="D645" s="1"/>
      <c r="E645" s="55">
        <f t="shared" si="122"/>
        <v>50</v>
      </c>
      <c r="F645" s="1"/>
      <c r="G645" s="1"/>
      <c r="H645" s="1"/>
      <c r="I645" s="55">
        <f t="shared" si="123"/>
        <v>0</v>
      </c>
      <c r="J645" s="1"/>
      <c r="K645" s="1"/>
      <c r="L645" s="1"/>
      <c r="M645" s="55">
        <f t="shared" si="124"/>
        <v>0</v>
      </c>
      <c r="N645" s="1"/>
      <c r="O645" s="1"/>
      <c r="P645" s="1"/>
      <c r="Q645" s="55">
        <f t="shared" si="125"/>
        <v>0</v>
      </c>
      <c r="R645" s="55">
        <f t="shared" si="126"/>
        <v>50</v>
      </c>
    </row>
    <row r="646" spans="1:18" ht="15.75" customHeight="1" x14ac:dyDescent="0.3">
      <c r="A646" s="71" t="s">
        <v>997</v>
      </c>
      <c r="B646" s="1">
        <v>350</v>
      </c>
      <c r="C646" s="1">
        <v>350</v>
      </c>
      <c r="D646" s="1">
        <v>350</v>
      </c>
      <c r="E646" s="55">
        <f t="shared" si="122"/>
        <v>1050</v>
      </c>
      <c r="F646" s="1">
        <v>350</v>
      </c>
      <c r="G646" s="1">
        <v>350</v>
      </c>
      <c r="H646" s="1">
        <v>350</v>
      </c>
      <c r="I646" s="55">
        <f t="shared" si="123"/>
        <v>1050</v>
      </c>
      <c r="J646" s="1">
        <v>350</v>
      </c>
      <c r="K646" s="1">
        <v>350</v>
      </c>
      <c r="L646" s="1">
        <v>350</v>
      </c>
      <c r="M646" s="55">
        <f t="shared" si="124"/>
        <v>1050</v>
      </c>
      <c r="N646" s="1">
        <v>250</v>
      </c>
      <c r="O646" s="1">
        <v>250</v>
      </c>
      <c r="P646" s="1">
        <v>350</v>
      </c>
      <c r="Q646" s="55">
        <f t="shared" si="125"/>
        <v>850</v>
      </c>
      <c r="R646" s="55">
        <f t="shared" si="126"/>
        <v>4000</v>
      </c>
    </row>
    <row r="647" spans="1:18" ht="15.75" customHeight="1" x14ac:dyDescent="0.3">
      <c r="A647" s="71" t="s">
        <v>998</v>
      </c>
      <c r="B647" s="1">
        <v>89</v>
      </c>
      <c r="C647" s="1">
        <v>225</v>
      </c>
      <c r="D647" s="1">
        <v>200</v>
      </c>
      <c r="E647" s="55">
        <f t="shared" si="122"/>
        <v>514</v>
      </c>
      <c r="F647" s="1">
        <v>250</v>
      </c>
      <c r="G647" s="1">
        <v>250</v>
      </c>
      <c r="H647" s="1">
        <v>250</v>
      </c>
      <c r="I647" s="55">
        <f t="shared" si="123"/>
        <v>750</v>
      </c>
      <c r="J647" s="1">
        <v>250</v>
      </c>
      <c r="K647" s="1">
        <v>250</v>
      </c>
      <c r="L647" s="1">
        <v>350</v>
      </c>
      <c r="M647" s="55">
        <f t="shared" si="124"/>
        <v>850</v>
      </c>
      <c r="N647" s="1"/>
      <c r="O647" s="1"/>
      <c r="P647" s="1">
        <v>186</v>
      </c>
      <c r="Q647" s="55">
        <f t="shared" si="125"/>
        <v>186</v>
      </c>
      <c r="R647" s="55">
        <f t="shared" si="126"/>
        <v>2300</v>
      </c>
    </row>
    <row r="648" spans="1:18" ht="15.75" customHeight="1" x14ac:dyDescent="0.3">
      <c r="A648" s="71" t="s">
        <v>999</v>
      </c>
      <c r="B648" s="1">
        <v>100</v>
      </c>
      <c r="C648" s="1">
        <v>100</v>
      </c>
      <c r="D648" s="1">
        <v>100</v>
      </c>
      <c r="E648" s="55">
        <f t="shared" si="122"/>
        <v>300</v>
      </c>
      <c r="F648" s="1">
        <v>100</v>
      </c>
      <c r="G648" s="1">
        <v>100</v>
      </c>
      <c r="H648" s="1">
        <v>100</v>
      </c>
      <c r="I648" s="55">
        <f t="shared" si="123"/>
        <v>300</v>
      </c>
      <c r="J648" s="1">
        <v>100</v>
      </c>
      <c r="K648" s="1">
        <v>100</v>
      </c>
      <c r="L648" s="1">
        <v>100</v>
      </c>
      <c r="M648" s="55">
        <f t="shared" si="124"/>
        <v>300</v>
      </c>
      <c r="N648" s="1"/>
      <c r="O648" s="1">
        <v>100</v>
      </c>
      <c r="P648" s="1">
        <v>100</v>
      </c>
      <c r="Q648" s="55">
        <f t="shared" si="125"/>
        <v>200</v>
      </c>
      <c r="R648" s="55">
        <f t="shared" si="126"/>
        <v>1100</v>
      </c>
    </row>
    <row r="649" spans="1:18" ht="15.75" customHeight="1" x14ac:dyDescent="0.3">
      <c r="A649" s="15" t="s">
        <v>50</v>
      </c>
      <c r="B649" s="1"/>
      <c r="C649" s="1"/>
      <c r="D649" s="1"/>
      <c r="E649" s="55" t="s">
        <v>7</v>
      </c>
      <c r="F649" s="1"/>
      <c r="G649" s="1"/>
      <c r="H649" s="1"/>
      <c r="I649" s="55" t="s">
        <v>7</v>
      </c>
      <c r="J649" s="1"/>
      <c r="K649" s="1"/>
      <c r="L649" s="1"/>
      <c r="M649" s="55" t="s">
        <v>7</v>
      </c>
      <c r="N649" s="1"/>
      <c r="O649" s="1"/>
      <c r="P649" s="1"/>
      <c r="Q649" s="55" t="s">
        <v>7</v>
      </c>
      <c r="R649" s="55" t="s">
        <v>7</v>
      </c>
    </row>
    <row r="650" spans="1:18" ht="15.75" customHeight="1" x14ac:dyDescent="0.3">
      <c r="A650" s="15" t="s">
        <v>51</v>
      </c>
      <c r="B650" s="1"/>
      <c r="C650" s="1"/>
      <c r="D650" s="1"/>
      <c r="E650" s="55" t="s">
        <v>7</v>
      </c>
      <c r="F650" s="1"/>
      <c r="G650" s="1"/>
      <c r="H650" s="1"/>
      <c r="I650" s="55" t="s">
        <v>7</v>
      </c>
      <c r="J650" s="1"/>
      <c r="K650" s="1"/>
      <c r="L650" s="1"/>
      <c r="M650" s="55" t="s">
        <v>7</v>
      </c>
      <c r="N650" s="1"/>
      <c r="O650" s="1"/>
      <c r="P650" s="1"/>
      <c r="Q650" s="55" t="s">
        <v>7</v>
      </c>
      <c r="R650" s="55" t="s">
        <v>7</v>
      </c>
    </row>
    <row r="651" spans="1:18" ht="15.75" customHeight="1" thickBot="1" x14ac:dyDescent="0.35">
      <c r="A651" s="15" t="s">
        <v>53</v>
      </c>
      <c r="B651" s="1"/>
      <c r="C651" s="1"/>
      <c r="D651" s="1"/>
      <c r="E651" s="55" t="s">
        <v>7</v>
      </c>
      <c r="F651" s="1"/>
      <c r="G651" s="1"/>
      <c r="H651" s="1"/>
      <c r="I651" s="55" t="s">
        <v>7</v>
      </c>
      <c r="J651" s="1"/>
      <c r="K651" s="1"/>
      <c r="L651" s="1"/>
      <c r="M651" s="55" t="s">
        <v>7</v>
      </c>
      <c r="N651" s="1"/>
      <c r="O651" s="1"/>
      <c r="P651" s="1"/>
      <c r="Q651" s="55" t="s">
        <v>7</v>
      </c>
      <c r="R651" s="55" t="s">
        <v>7</v>
      </c>
    </row>
    <row r="652" spans="1:18" ht="16.5" customHeight="1" thickBot="1" x14ac:dyDescent="0.35">
      <c r="A652" s="109" t="s">
        <v>54</v>
      </c>
      <c r="B652" s="86">
        <f>SUM(B641:B651)</f>
        <v>2382</v>
      </c>
      <c r="C652" s="87">
        <f>SUM(C641:C651)</f>
        <v>6120</v>
      </c>
      <c r="D652" s="87">
        <f>SUM(D641:D651)</f>
        <v>10348</v>
      </c>
      <c r="E652" s="59">
        <f>SUM(B652:D652)</f>
        <v>18850</v>
      </c>
      <c r="F652" s="87">
        <f>SUM(F641:F651)</f>
        <v>13440</v>
      </c>
      <c r="G652" s="87">
        <f>SUM(G641:G651)</f>
        <v>14613</v>
      </c>
      <c r="H652" s="87">
        <f>SUM(H641:H651)</f>
        <v>12247</v>
      </c>
      <c r="I652" s="59">
        <f>SUM(F652:H652)</f>
        <v>40300</v>
      </c>
      <c r="J652" s="87">
        <f>SUM(J641:J651)</f>
        <v>13216</v>
      </c>
      <c r="K652" s="87">
        <f>SUM(K641:K651)</f>
        <v>13796</v>
      </c>
      <c r="L652" s="87">
        <f>SUM(L641:L651)</f>
        <v>11330</v>
      </c>
      <c r="M652" s="59">
        <f>SUM(J652:L652)</f>
        <v>38342</v>
      </c>
      <c r="N652" s="87">
        <f>SUM(N641:N651)</f>
        <v>3335</v>
      </c>
      <c r="O652" s="87">
        <f>SUM(O641:O651)</f>
        <v>5523</v>
      </c>
      <c r="P652" s="87">
        <f>SUM(P641:P651)</f>
        <v>9217</v>
      </c>
      <c r="Q652" s="59">
        <f>SUM(N652:P652)</f>
        <v>18075</v>
      </c>
      <c r="R652" s="59">
        <f>+E652+I652+M652+Q652</f>
        <v>115567</v>
      </c>
    </row>
    <row r="653" spans="1:18" ht="15.75" customHeight="1" x14ac:dyDescent="0.3">
      <c r="A653" s="15" t="s">
        <v>55</v>
      </c>
      <c r="B653" s="1"/>
      <c r="C653" s="1"/>
      <c r="D653" s="1"/>
      <c r="E653" s="55" t="s">
        <v>7</v>
      </c>
      <c r="F653" s="1"/>
      <c r="G653" s="1"/>
      <c r="H653" s="1"/>
      <c r="I653" s="55" t="s">
        <v>7</v>
      </c>
      <c r="J653" s="1"/>
      <c r="K653" s="1"/>
      <c r="L653" s="1"/>
      <c r="M653" s="55" t="s">
        <v>7</v>
      </c>
      <c r="N653" s="1"/>
      <c r="O653" s="1"/>
      <c r="P653" s="1"/>
      <c r="Q653" s="55" t="s">
        <v>7</v>
      </c>
      <c r="R653" s="55" t="s">
        <v>7</v>
      </c>
    </row>
    <row r="654" spans="1:18" ht="15.75" customHeight="1" x14ac:dyDescent="0.3">
      <c r="A654" s="15" t="s">
        <v>57</v>
      </c>
      <c r="B654" s="1"/>
      <c r="C654" s="1"/>
      <c r="D654" s="1"/>
      <c r="E654" s="55" t="s">
        <v>7</v>
      </c>
      <c r="F654" s="1"/>
      <c r="G654" s="1"/>
      <c r="H654" s="1"/>
      <c r="I654" s="55" t="s">
        <v>7</v>
      </c>
      <c r="J654" s="1"/>
      <c r="K654" s="1"/>
      <c r="L654" s="1"/>
      <c r="M654" s="55" t="s">
        <v>7</v>
      </c>
      <c r="N654" s="1"/>
      <c r="O654" s="1"/>
      <c r="P654" s="1"/>
      <c r="Q654" s="55" t="s">
        <v>7</v>
      </c>
      <c r="R654" s="55" t="s">
        <v>7</v>
      </c>
    </row>
    <row r="655" spans="1:18" ht="15.75" customHeight="1" thickBot="1" x14ac:dyDescent="0.35">
      <c r="A655" s="15" t="s">
        <v>58</v>
      </c>
      <c r="B655" s="1"/>
      <c r="C655" s="1"/>
      <c r="D655" s="1"/>
      <c r="E655" s="55" t="s">
        <v>7</v>
      </c>
      <c r="F655" s="1"/>
      <c r="G655" s="1"/>
      <c r="H655" s="1"/>
      <c r="I655" s="55" t="s">
        <v>7</v>
      </c>
      <c r="J655" s="1"/>
      <c r="K655" s="1"/>
      <c r="L655" s="1"/>
      <c r="M655" s="55" t="s">
        <v>7</v>
      </c>
      <c r="N655" s="1"/>
      <c r="O655" s="1"/>
      <c r="P655" s="1"/>
      <c r="Q655" s="55" t="s">
        <v>7</v>
      </c>
      <c r="R655" s="55" t="s">
        <v>7</v>
      </c>
    </row>
    <row r="656" spans="1:18" ht="16.5" customHeight="1" thickBot="1" x14ac:dyDescent="0.35">
      <c r="A656" s="57" t="s">
        <v>59</v>
      </c>
      <c r="B656" s="86">
        <f>SUM(B653:B655)</f>
        <v>0</v>
      </c>
      <c r="C656" s="87">
        <f>SUM(C653:C655)</f>
        <v>0</v>
      </c>
      <c r="D656" s="87">
        <f>SUM(D653:D655)</f>
        <v>0</v>
      </c>
      <c r="E656" s="59">
        <f>SUM(B656:D656)</f>
        <v>0</v>
      </c>
      <c r="F656" s="87">
        <f>SUM(F653:F655)</f>
        <v>0</v>
      </c>
      <c r="G656" s="87">
        <f>SUM(G653:G655)</f>
        <v>0</v>
      </c>
      <c r="H656" s="87">
        <f>SUM(H653:H655)</f>
        <v>0</v>
      </c>
      <c r="I656" s="59">
        <f>SUM(F656:H656)</f>
        <v>0</v>
      </c>
      <c r="J656" s="87">
        <f>SUM(J653:J655)</f>
        <v>0</v>
      </c>
      <c r="K656" s="87">
        <f>SUM(K653:K655)</f>
        <v>0</v>
      </c>
      <c r="L656" s="87">
        <f>SUM(L653:L655)</f>
        <v>0</v>
      </c>
      <c r="M656" s="59">
        <f>SUM(J656:L656)</f>
        <v>0</v>
      </c>
      <c r="N656" s="87">
        <f>SUM(N653:N655)</f>
        <v>0</v>
      </c>
      <c r="O656" s="87">
        <f>SUM(O653:O655)</f>
        <v>0</v>
      </c>
      <c r="P656" s="87">
        <f>SUM(P653:P655)</f>
        <v>0</v>
      </c>
      <c r="Q656" s="59">
        <f>SUM(N656:P656)</f>
        <v>0</v>
      </c>
      <c r="R656" s="59">
        <f>+E656+I656+M656+Q656</f>
        <v>0</v>
      </c>
    </row>
    <row r="657" spans="1:20" ht="15.75" customHeight="1" x14ac:dyDescent="0.3">
      <c r="A657" s="15" t="s">
        <v>60</v>
      </c>
      <c r="B657" s="1"/>
      <c r="C657" s="1"/>
      <c r="D657" s="1"/>
      <c r="E657" s="55" t="s">
        <v>7</v>
      </c>
      <c r="F657" s="1"/>
      <c r="G657" s="1"/>
      <c r="H657" s="1"/>
      <c r="I657" s="55" t="s">
        <v>7</v>
      </c>
      <c r="J657" s="1"/>
      <c r="K657" s="1"/>
      <c r="L657" s="1"/>
      <c r="M657" s="55" t="s">
        <v>7</v>
      </c>
      <c r="N657" s="1"/>
      <c r="O657" s="1"/>
      <c r="P657" s="1"/>
      <c r="Q657" s="55" t="s">
        <v>7</v>
      </c>
      <c r="R657" s="55" t="s">
        <v>7</v>
      </c>
    </row>
    <row r="658" spans="1:20" ht="15.75" customHeight="1" x14ac:dyDescent="0.3">
      <c r="A658" s="15" t="s">
        <v>61</v>
      </c>
      <c r="B658" s="1"/>
      <c r="C658" s="1"/>
      <c r="D658" s="1"/>
      <c r="E658" s="55" t="s">
        <v>7</v>
      </c>
      <c r="F658" s="1"/>
      <c r="G658" s="1"/>
      <c r="H658" s="1"/>
      <c r="I658" s="55" t="s">
        <v>7</v>
      </c>
      <c r="J658" s="1"/>
      <c r="K658" s="1"/>
      <c r="L658" s="1"/>
      <c r="M658" s="55" t="s">
        <v>7</v>
      </c>
      <c r="N658" s="1"/>
      <c r="O658" s="1"/>
      <c r="P658" s="1"/>
      <c r="Q658" s="55" t="s">
        <v>7</v>
      </c>
      <c r="R658" s="55" t="s">
        <v>7</v>
      </c>
    </row>
    <row r="659" spans="1:20" ht="15.75" customHeight="1" x14ac:dyDescent="0.3">
      <c r="A659" s="71" t="s">
        <v>346</v>
      </c>
      <c r="B659" s="1">
        <v>241</v>
      </c>
      <c r="C659" s="1">
        <v>479</v>
      </c>
      <c r="D659" s="1">
        <v>1150</v>
      </c>
      <c r="E659" s="55">
        <f>SUM(B659:D659)</f>
        <v>1870</v>
      </c>
      <c r="F659" s="1">
        <v>1760</v>
      </c>
      <c r="G659" s="1">
        <v>966</v>
      </c>
      <c r="H659" s="1">
        <v>1583</v>
      </c>
      <c r="I659" s="55">
        <f>SUM(F659:H659)</f>
        <v>4309</v>
      </c>
      <c r="J659" s="1">
        <v>1748</v>
      </c>
      <c r="K659" s="1">
        <v>862</v>
      </c>
      <c r="L659" s="1">
        <v>904</v>
      </c>
      <c r="M659" s="55">
        <f>SUM(J659:L659)</f>
        <v>3514</v>
      </c>
      <c r="N659" s="1">
        <v>277</v>
      </c>
      <c r="O659" s="1">
        <v>270</v>
      </c>
      <c r="P659" s="1">
        <v>224</v>
      </c>
      <c r="Q659" s="55">
        <f>SUM(N659:P659)</f>
        <v>771</v>
      </c>
      <c r="R659" s="55">
        <f>+E659+I659+M659+Q659</f>
        <v>10464</v>
      </c>
      <c r="T659" s="4" t="s">
        <v>1000</v>
      </c>
    </row>
    <row r="660" spans="1:20" ht="15.75" customHeight="1" x14ac:dyDescent="0.3">
      <c r="A660" s="15" t="s">
        <v>62</v>
      </c>
      <c r="B660" s="1"/>
      <c r="C660" s="1"/>
      <c r="D660" s="1"/>
      <c r="E660" s="55" t="s">
        <v>7</v>
      </c>
      <c r="F660" s="1"/>
      <c r="G660" s="1"/>
      <c r="H660" s="1"/>
      <c r="I660" s="55" t="s">
        <v>7</v>
      </c>
      <c r="J660" s="1"/>
      <c r="K660" s="1"/>
      <c r="L660" s="1"/>
      <c r="M660" s="55" t="s">
        <v>7</v>
      </c>
      <c r="N660" s="1"/>
      <c r="O660" s="1"/>
      <c r="P660" s="1"/>
      <c r="Q660" s="55" t="s">
        <v>7</v>
      </c>
      <c r="R660" s="55" t="s">
        <v>7</v>
      </c>
    </row>
    <row r="661" spans="1:20" ht="15.75" customHeight="1" x14ac:dyDescent="0.3">
      <c r="A661" s="71" t="s">
        <v>1001</v>
      </c>
      <c r="B661" s="1"/>
      <c r="C661" s="1"/>
      <c r="D661" s="1"/>
      <c r="E661" s="55">
        <f>SUM(B661:D661)</f>
        <v>0</v>
      </c>
      <c r="F661" s="1"/>
      <c r="G661" s="1"/>
      <c r="H661" s="1"/>
      <c r="I661" s="55">
        <f>SUM(F661:H661)</f>
        <v>0</v>
      </c>
      <c r="J661" s="1"/>
      <c r="K661" s="1"/>
      <c r="L661" s="1"/>
      <c r="M661" s="55">
        <f>SUM(J661:L661)</f>
        <v>0</v>
      </c>
      <c r="N661" s="1"/>
      <c r="O661" s="1"/>
      <c r="P661" s="1"/>
      <c r="Q661" s="55">
        <f>SUM(N661:P661)</f>
        <v>0</v>
      </c>
      <c r="R661" s="55">
        <f>+E661+I661+M661+Q661</f>
        <v>0</v>
      </c>
      <c r="T661" s="4" t="s">
        <v>1002</v>
      </c>
    </row>
    <row r="662" spans="1:20" ht="15.75" customHeight="1" x14ac:dyDescent="0.3">
      <c r="A662" s="71" t="s">
        <v>1003</v>
      </c>
      <c r="B662" s="1">
        <v>126</v>
      </c>
      <c r="C662" s="1">
        <v>126</v>
      </c>
      <c r="D662" s="1"/>
      <c r="E662" s="55">
        <f>SUM(B662:D662)</f>
        <v>252</v>
      </c>
      <c r="F662" s="1">
        <v>126</v>
      </c>
      <c r="G662" s="1">
        <v>60</v>
      </c>
      <c r="H662" s="1">
        <v>126</v>
      </c>
      <c r="I662" s="55">
        <f>SUM(F662:H662)</f>
        <v>312</v>
      </c>
      <c r="J662" s="1">
        <v>126</v>
      </c>
      <c r="K662" s="1">
        <v>80</v>
      </c>
      <c r="L662" s="1"/>
      <c r="M662" s="55">
        <f>SUM(J662:L662)</f>
        <v>206</v>
      </c>
      <c r="N662" s="1"/>
      <c r="O662" s="1"/>
      <c r="P662" s="1">
        <v>34</v>
      </c>
      <c r="Q662" s="55">
        <f>SUM(N662:P662)</f>
        <v>34</v>
      </c>
      <c r="R662" s="55">
        <f>+E662+I662+M662+Q662</f>
        <v>804</v>
      </c>
      <c r="T662" s="4" t="s">
        <v>1002</v>
      </c>
    </row>
    <row r="663" spans="1:20" ht="15.75" customHeight="1" x14ac:dyDescent="0.3">
      <c r="A663" s="71" t="s">
        <v>1004</v>
      </c>
      <c r="B663" s="1"/>
      <c r="C663" s="1"/>
      <c r="D663" s="1">
        <v>126</v>
      </c>
      <c r="E663" s="55">
        <f>SUM(B663:D663)</f>
        <v>126</v>
      </c>
      <c r="F663" s="1"/>
      <c r="G663" s="1">
        <v>66</v>
      </c>
      <c r="H663" s="1"/>
      <c r="I663" s="55">
        <f>SUM(F663:H663)</f>
        <v>66</v>
      </c>
      <c r="J663" s="1"/>
      <c r="K663" s="1">
        <v>46</v>
      </c>
      <c r="L663" s="1">
        <v>126</v>
      </c>
      <c r="M663" s="55">
        <f>SUM(J663:L663)</f>
        <v>172</v>
      </c>
      <c r="N663" s="1">
        <v>126</v>
      </c>
      <c r="O663" s="1">
        <v>126</v>
      </c>
      <c r="P663" s="1">
        <v>174</v>
      </c>
      <c r="Q663" s="55">
        <f>SUM(N663:P663)</f>
        <v>426</v>
      </c>
      <c r="R663" s="55">
        <f>+E663+I663+M663+Q663</f>
        <v>790</v>
      </c>
      <c r="T663" s="4" t="s">
        <v>1002</v>
      </c>
    </row>
    <row r="664" spans="1:20" ht="15.75" customHeight="1" thickBot="1" x14ac:dyDescent="0.35">
      <c r="A664" s="71" t="s">
        <v>775</v>
      </c>
      <c r="B664" s="1"/>
      <c r="C664" s="1"/>
      <c r="D664" s="1"/>
      <c r="E664" s="55">
        <f>SUM(B664:D664)</f>
        <v>0</v>
      </c>
      <c r="F664" s="1"/>
      <c r="G664" s="1"/>
      <c r="H664" s="1"/>
      <c r="I664" s="55">
        <f>SUM(F664:H664)</f>
        <v>0</v>
      </c>
      <c r="J664" s="1"/>
      <c r="K664" s="1"/>
      <c r="L664" s="1"/>
      <c r="M664" s="55">
        <f>SUM(J664:L664)</f>
        <v>0</v>
      </c>
      <c r="N664" s="1"/>
      <c r="O664" s="1"/>
      <c r="P664" s="1"/>
      <c r="Q664" s="55">
        <f>SUM(N664:P664)</f>
        <v>0</v>
      </c>
      <c r="R664" s="55">
        <f>+E664+I664+M664+Q664</f>
        <v>0</v>
      </c>
      <c r="T664" s="4" t="s">
        <v>1002</v>
      </c>
    </row>
    <row r="665" spans="1:20" ht="16.5" customHeight="1" thickBot="1" x14ac:dyDescent="0.35">
      <c r="A665" s="57" t="s">
        <v>63</v>
      </c>
      <c r="B665" s="86">
        <f>SUM(B657:B664)</f>
        <v>367</v>
      </c>
      <c r="C665" s="87">
        <f>SUM(C657:C664)</f>
        <v>605</v>
      </c>
      <c r="D665" s="87">
        <f>SUM(D657:D664)</f>
        <v>1276</v>
      </c>
      <c r="E665" s="59">
        <f>SUM(B665:D665)</f>
        <v>2248</v>
      </c>
      <c r="F665" s="87">
        <f>SUM(F657:F664)</f>
        <v>1886</v>
      </c>
      <c r="G665" s="87">
        <f>SUM(G657:G664)</f>
        <v>1092</v>
      </c>
      <c r="H665" s="87">
        <f>SUM(H657:H664)</f>
        <v>1709</v>
      </c>
      <c r="I665" s="59">
        <f>SUM(F665:H665)</f>
        <v>4687</v>
      </c>
      <c r="J665" s="87">
        <f>SUM(J657:J664)</f>
        <v>1874</v>
      </c>
      <c r="K665" s="87">
        <f>SUM(K657:K664)</f>
        <v>988</v>
      </c>
      <c r="L665" s="87">
        <f>SUM(L657:L664)</f>
        <v>1030</v>
      </c>
      <c r="M665" s="59">
        <f>SUM(J665:L665)</f>
        <v>3892</v>
      </c>
      <c r="N665" s="87">
        <f>SUM(N657:N664)</f>
        <v>403</v>
      </c>
      <c r="O665" s="87">
        <f>SUM(O657:O664)</f>
        <v>396</v>
      </c>
      <c r="P665" s="87">
        <f>SUM(P657:P664)</f>
        <v>432</v>
      </c>
      <c r="Q665" s="59">
        <f>SUM(N665:P665)</f>
        <v>1231</v>
      </c>
      <c r="R665" s="118">
        <f>+E665+I665+M665+Q665</f>
        <v>12058</v>
      </c>
    </row>
    <row r="666" spans="1:20" ht="15.75" customHeight="1" x14ac:dyDescent="0.3">
      <c r="A666" s="15" t="s">
        <v>64</v>
      </c>
      <c r="B666" s="1"/>
      <c r="C666" s="1"/>
      <c r="D666" s="1"/>
      <c r="E666" s="55" t="s">
        <v>7</v>
      </c>
      <c r="F666" s="1"/>
      <c r="G666" s="1"/>
      <c r="H666" s="1"/>
      <c r="I666" s="55" t="s">
        <v>7</v>
      </c>
      <c r="J666" s="1"/>
      <c r="K666" s="1"/>
      <c r="L666" s="1"/>
      <c r="M666" s="55" t="s">
        <v>7</v>
      </c>
      <c r="N666" s="1"/>
      <c r="O666" s="1"/>
      <c r="P666" s="1"/>
      <c r="Q666" s="55" t="s">
        <v>7</v>
      </c>
      <c r="R666" s="55" t="s">
        <v>7</v>
      </c>
    </row>
    <row r="667" spans="1:20" ht="15.75" customHeight="1" x14ac:dyDescent="0.3">
      <c r="A667" s="15" t="s">
        <v>594</v>
      </c>
      <c r="B667" s="1"/>
      <c r="C667" s="1"/>
      <c r="D667" s="1"/>
      <c r="E667" s="55" t="s">
        <v>7</v>
      </c>
      <c r="F667" s="1"/>
      <c r="G667" s="1"/>
      <c r="H667" s="1"/>
      <c r="I667" s="55" t="s">
        <v>7</v>
      </c>
      <c r="J667" s="1"/>
      <c r="K667" s="1"/>
      <c r="L667" s="1"/>
      <c r="M667" s="55" t="s">
        <v>7</v>
      </c>
      <c r="N667" s="1"/>
      <c r="O667" s="1"/>
      <c r="P667" s="1"/>
      <c r="Q667" s="55" t="s">
        <v>7</v>
      </c>
      <c r="R667" s="55" t="s">
        <v>7</v>
      </c>
    </row>
    <row r="668" spans="1:20" ht="15.75" customHeight="1" x14ac:dyDescent="0.3">
      <c r="A668" s="15" t="s">
        <v>67</v>
      </c>
      <c r="B668" s="1"/>
      <c r="C668" s="1"/>
      <c r="D668" s="1"/>
      <c r="E668" s="55" t="s">
        <v>7</v>
      </c>
      <c r="F668" s="1"/>
      <c r="G668" s="1"/>
      <c r="H668" s="1"/>
      <c r="I668" s="55" t="s">
        <v>7</v>
      </c>
      <c r="J668" s="1"/>
      <c r="K668" s="1"/>
      <c r="L668" s="1"/>
      <c r="M668" s="55" t="s">
        <v>7</v>
      </c>
      <c r="N668" s="1"/>
      <c r="O668" s="1"/>
      <c r="P668" s="1"/>
      <c r="Q668" s="55" t="s">
        <v>7</v>
      </c>
      <c r="R668" s="55" t="s">
        <v>7</v>
      </c>
    </row>
    <row r="669" spans="1:20" ht="15.75" customHeight="1" x14ac:dyDescent="0.3">
      <c r="A669" s="71" t="s">
        <v>776</v>
      </c>
      <c r="B669" s="1"/>
      <c r="C669" s="1"/>
      <c r="D669" s="1"/>
      <c r="E669" s="55">
        <f>SUM(B669:D669)</f>
        <v>0</v>
      </c>
      <c r="F669" s="1"/>
      <c r="G669" s="1"/>
      <c r="H669" s="1"/>
      <c r="I669" s="55">
        <f>SUM(F669:H669)</f>
        <v>0</v>
      </c>
      <c r="J669" s="1"/>
      <c r="K669" s="1"/>
      <c r="L669" s="1"/>
      <c r="M669" s="55">
        <f>SUM(J669:L669)</f>
        <v>0</v>
      </c>
      <c r="N669" s="1"/>
      <c r="O669" s="1"/>
      <c r="P669" s="1"/>
      <c r="Q669" s="55">
        <f>SUM(N669:P669)</f>
        <v>0</v>
      </c>
      <c r="R669" s="55">
        <f>+E669+I669+M669+Q669</f>
        <v>0</v>
      </c>
    </row>
    <row r="670" spans="1:20" ht="15.75" customHeight="1" x14ac:dyDescent="0.3">
      <c r="A670" s="71" t="s">
        <v>777</v>
      </c>
      <c r="B670" s="1"/>
      <c r="C670" s="1"/>
      <c r="D670" s="1"/>
      <c r="E670" s="55">
        <f>SUM(B670:D670)</f>
        <v>0</v>
      </c>
      <c r="F670" s="1"/>
      <c r="G670" s="1"/>
      <c r="H670" s="1"/>
      <c r="I670" s="55">
        <f>SUM(F670:H670)</f>
        <v>0</v>
      </c>
      <c r="J670" s="1"/>
      <c r="K670" s="1"/>
      <c r="L670" s="1"/>
      <c r="M670" s="55">
        <f>SUM(J670:L670)</f>
        <v>0</v>
      </c>
      <c r="N670" s="1"/>
      <c r="O670" s="1"/>
      <c r="P670" s="1"/>
      <c r="Q670" s="55">
        <f>SUM(N670:P670)</f>
        <v>0</v>
      </c>
      <c r="R670" s="55">
        <f>+E670+I670+M670+Q670</f>
        <v>0</v>
      </c>
    </row>
    <row r="671" spans="1:20" ht="15.75" customHeight="1" x14ac:dyDescent="0.3">
      <c r="A671" s="71" t="s">
        <v>778</v>
      </c>
      <c r="B671" s="1">
        <v>1020</v>
      </c>
      <c r="C671" s="1">
        <v>1020</v>
      </c>
      <c r="D671" s="1">
        <v>1020</v>
      </c>
      <c r="E671" s="55">
        <f>SUM(B671:D671)</f>
        <v>3060</v>
      </c>
      <c r="F671" s="1">
        <v>1020</v>
      </c>
      <c r="G671" s="1">
        <v>1020</v>
      </c>
      <c r="H671" s="1">
        <v>1020</v>
      </c>
      <c r="I671" s="55">
        <f>SUM(F671:H671)</f>
        <v>3060</v>
      </c>
      <c r="J671" s="1">
        <v>1020</v>
      </c>
      <c r="K671" s="1">
        <v>1020</v>
      </c>
      <c r="L671" s="1"/>
      <c r="M671" s="55">
        <f>SUM(J671:L671)</f>
        <v>2040</v>
      </c>
      <c r="N671" s="1"/>
      <c r="O671" s="1"/>
      <c r="P671" s="1"/>
      <c r="Q671" s="55">
        <f>SUM(N671:P671)</f>
        <v>0</v>
      </c>
      <c r="R671" s="55">
        <f>+E671+I671+M671+Q671</f>
        <v>8160</v>
      </c>
    </row>
    <row r="672" spans="1:20" ht="15.75" customHeight="1" x14ac:dyDescent="0.3">
      <c r="A672" s="71" t="s">
        <v>779</v>
      </c>
      <c r="B672" s="1"/>
      <c r="C672" s="1"/>
      <c r="D672" s="1"/>
      <c r="E672" s="55">
        <f>SUM(B672:D672)</f>
        <v>0</v>
      </c>
      <c r="F672" s="1"/>
      <c r="G672" s="1"/>
      <c r="H672" s="1"/>
      <c r="I672" s="55">
        <f>SUM(F672:H672)</f>
        <v>0</v>
      </c>
      <c r="J672" s="1"/>
      <c r="K672" s="1"/>
      <c r="L672" s="1"/>
      <c r="M672" s="55">
        <f>SUM(J672:L672)</f>
        <v>0</v>
      </c>
      <c r="N672" s="1"/>
      <c r="O672" s="1"/>
      <c r="P672" s="1"/>
      <c r="Q672" s="55">
        <f>SUM(N672:P672)</f>
        <v>0</v>
      </c>
      <c r="R672" s="55">
        <f>+E672+I672+M672+Q672</f>
        <v>0</v>
      </c>
    </row>
    <row r="673" spans="1:18" ht="15.75" customHeight="1" x14ac:dyDescent="0.3">
      <c r="A673" s="15" t="s">
        <v>600</v>
      </c>
      <c r="B673" s="1"/>
      <c r="C673" s="1"/>
      <c r="D673" s="1"/>
      <c r="E673" s="55" t="s">
        <v>7</v>
      </c>
      <c r="F673" s="1"/>
      <c r="G673" s="1"/>
      <c r="H673" s="1"/>
      <c r="I673" s="55" t="s">
        <v>7</v>
      </c>
      <c r="J673" s="1"/>
      <c r="K673" s="1"/>
      <c r="L673" s="1"/>
      <c r="M673" s="55" t="s">
        <v>7</v>
      </c>
      <c r="N673" s="1"/>
      <c r="O673" s="1"/>
      <c r="P673" s="1"/>
      <c r="Q673" s="55" t="s">
        <v>7</v>
      </c>
      <c r="R673" s="55" t="s">
        <v>7</v>
      </c>
    </row>
    <row r="674" spans="1:18" ht="15.75" customHeight="1" thickBot="1" x14ac:dyDescent="0.35">
      <c r="A674" s="15" t="s">
        <v>70</v>
      </c>
      <c r="B674" s="1"/>
      <c r="C674" s="1"/>
      <c r="D674" s="1"/>
      <c r="E674" s="55" t="s">
        <v>7</v>
      </c>
      <c r="F674" s="1"/>
      <c r="G674" s="1"/>
      <c r="H674" s="1"/>
      <c r="I674" s="55" t="s">
        <v>7</v>
      </c>
      <c r="J674" s="1"/>
      <c r="K674" s="1"/>
      <c r="L674" s="1"/>
      <c r="M674" s="55" t="s">
        <v>7</v>
      </c>
      <c r="N674" s="1"/>
      <c r="O674" s="1"/>
      <c r="P674" s="1"/>
      <c r="Q674" s="55" t="s">
        <v>7</v>
      </c>
      <c r="R674" s="55" t="s">
        <v>7</v>
      </c>
    </row>
    <row r="675" spans="1:18" ht="16.5" customHeight="1" thickBot="1" x14ac:dyDescent="0.35">
      <c r="A675" s="57" t="s">
        <v>71</v>
      </c>
      <c r="B675" s="58">
        <f>SUM(B673:B674)</f>
        <v>0</v>
      </c>
      <c r="C675" s="58">
        <f>SUM(C673:C674)</f>
        <v>0</v>
      </c>
      <c r="D675" s="58">
        <f>SUM(D673:D674)</f>
        <v>0</v>
      </c>
      <c r="E675" s="60">
        <f>SUM(B675:D675)</f>
        <v>0</v>
      </c>
      <c r="F675" s="58">
        <f>SUM(F673:F674)</f>
        <v>0</v>
      </c>
      <c r="G675" s="58">
        <f>SUM(G673:G674)</f>
        <v>0</v>
      </c>
      <c r="H675" s="58">
        <f>SUM(H673:H674)</f>
        <v>0</v>
      </c>
      <c r="I675" s="60">
        <f>SUM(F675:H675)</f>
        <v>0</v>
      </c>
      <c r="J675" s="58">
        <f>SUM(J673:J674)</f>
        <v>0</v>
      </c>
      <c r="K675" s="58">
        <f>SUM(K673:K674)</f>
        <v>0</v>
      </c>
      <c r="L675" s="58">
        <f>SUM(L673:L674)</f>
        <v>0</v>
      </c>
      <c r="M675" s="60">
        <f>SUM(J675:L675)</f>
        <v>0</v>
      </c>
      <c r="N675" s="58">
        <f>SUM(N673:N674)</f>
        <v>0</v>
      </c>
      <c r="O675" s="58">
        <f>SUM(O673:O674)</f>
        <v>0</v>
      </c>
      <c r="P675" s="58">
        <f>SUM(P673:P674)</f>
        <v>0</v>
      </c>
      <c r="Q675" s="60">
        <f>SUM(N675:P675)</f>
        <v>0</v>
      </c>
      <c r="R675" s="59">
        <f>+E675+I675+M675+Q675</f>
        <v>0</v>
      </c>
    </row>
    <row r="676" spans="1:18" ht="16.5" customHeight="1" thickBot="1" x14ac:dyDescent="0.35">
      <c r="A676" s="114" t="s">
        <v>72</v>
      </c>
      <c r="B676" s="86">
        <f>SUM(B666:B674)</f>
        <v>1020</v>
      </c>
      <c r="C676" s="87">
        <f>SUM(C666:C674)</f>
        <v>1020</v>
      </c>
      <c r="D676" s="118">
        <f>SUM(D666:D674)</f>
        <v>1020</v>
      </c>
      <c r="E676" s="60">
        <f>SUM(B676:D676)</f>
        <v>3060</v>
      </c>
      <c r="F676" s="87">
        <f>SUM(F666:F674)</f>
        <v>1020</v>
      </c>
      <c r="G676" s="87">
        <f>SUM(G666:G674)</f>
        <v>1020</v>
      </c>
      <c r="H676" s="87">
        <f>SUM(H666:H674)</f>
        <v>1020</v>
      </c>
      <c r="I676" s="60">
        <f>SUM(F676:H676)</f>
        <v>3060</v>
      </c>
      <c r="J676" s="87">
        <f>SUM(J666:J674)</f>
        <v>1020</v>
      </c>
      <c r="K676" s="87">
        <f>SUM(K666:K674)</f>
        <v>1020</v>
      </c>
      <c r="L676" s="87">
        <f>SUM(L666:L674)</f>
        <v>0</v>
      </c>
      <c r="M676" s="60">
        <f>SUM(J676:L676)</f>
        <v>2040</v>
      </c>
      <c r="N676" s="87">
        <f>SUM(N666:N674)</f>
        <v>0</v>
      </c>
      <c r="O676" s="87">
        <f>SUM(O666:O674)</f>
        <v>0</v>
      </c>
      <c r="P676" s="87">
        <f>SUM(P666:P674)</f>
        <v>0</v>
      </c>
      <c r="Q676" s="60">
        <f>SUM(N676:P676)</f>
        <v>0</v>
      </c>
      <c r="R676" s="59">
        <f>+E676+I676+M676+Q676</f>
        <v>8160</v>
      </c>
    </row>
    <row r="677" spans="1:18" ht="16.5" customHeight="1" thickBot="1" x14ac:dyDescent="0.35">
      <c r="A677" s="57" t="s">
        <v>73</v>
      </c>
      <c r="B677" s="90">
        <f>+B652+B656+B665+B676</f>
        <v>3769</v>
      </c>
      <c r="C677" s="58">
        <f>+C652+C656+C665+C676</f>
        <v>7745</v>
      </c>
      <c r="D677" s="58">
        <f>+D652+D656+D665+D676</f>
        <v>12644</v>
      </c>
      <c r="E677" s="59">
        <f>SUM(B677:D677)</f>
        <v>24158</v>
      </c>
      <c r="F677" s="58">
        <f>+F652+F656+F665+F676</f>
        <v>16346</v>
      </c>
      <c r="G677" s="58">
        <f>+G652+G656+G665+G676</f>
        <v>16725</v>
      </c>
      <c r="H677" s="58">
        <f>+H652+H656+H665+H676</f>
        <v>14976</v>
      </c>
      <c r="I677" s="59">
        <f>SUM(F677:H677)</f>
        <v>48047</v>
      </c>
      <c r="J677" s="58">
        <f>+J652+J656+J665+J676</f>
        <v>16110</v>
      </c>
      <c r="K677" s="58">
        <f>+K652+K656+K665+K676</f>
        <v>15804</v>
      </c>
      <c r="L677" s="58">
        <f>+L652+L656+L665+L676</f>
        <v>12360</v>
      </c>
      <c r="M677" s="59">
        <f>SUM(J677:L677)</f>
        <v>44274</v>
      </c>
      <c r="N677" s="58">
        <f>+N652+N656+N665+N676</f>
        <v>3738</v>
      </c>
      <c r="O677" s="58">
        <f>+O652+O656+O665+O676</f>
        <v>5919</v>
      </c>
      <c r="P677" s="58">
        <f>+P652+P656+P665+P676</f>
        <v>9649</v>
      </c>
      <c r="Q677" s="59">
        <f>SUM(N677:P677)</f>
        <v>19306</v>
      </c>
      <c r="R677" s="81">
        <f>+E677+I677+M677+Q677</f>
        <v>135785</v>
      </c>
    </row>
    <row r="678" spans="1:18" ht="16.5" customHeight="1" thickBot="1" x14ac:dyDescent="0.35">
      <c r="A678" s="62" t="s">
        <v>40</v>
      </c>
      <c r="B678" s="21">
        <v>22</v>
      </c>
      <c r="C678" s="21">
        <v>24</v>
      </c>
      <c r="D678" s="21">
        <v>31</v>
      </c>
      <c r="E678" s="59">
        <f>SUM(B678:D678)</f>
        <v>77</v>
      </c>
      <c r="F678" s="21">
        <v>40</v>
      </c>
      <c r="G678" s="21">
        <v>45</v>
      </c>
      <c r="H678" s="21">
        <v>48</v>
      </c>
      <c r="I678" s="59">
        <f>SUM(F678:H678)</f>
        <v>133</v>
      </c>
      <c r="J678" s="21">
        <v>42</v>
      </c>
      <c r="K678" s="21">
        <v>39</v>
      </c>
      <c r="L678" s="21">
        <v>38</v>
      </c>
      <c r="M678" s="59">
        <f>SUM(J678:L678)</f>
        <v>119</v>
      </c>
      <c r="N678" s="21">
        <v>32</v>
      </c>
      <c r="O678" s="21">
        <v>25</v>
      </c>
      <c r="P678" s="21">
        <v>21</v>
      </c>
      <c r="Q678" s="59">
        <f>SUM(N678:P678)</f>
        <v>78</v>
      </c>
      <c r="R678" s="60">
        <f>+E678+I678+M678+Q678</f>
        <v>407</v>
      </c>
    </row>
    <row r="679" spans="1:18" ht="16.5" customHeight="1" thickBot="1" x14ac:dyDescent="0.35">
      <c r="A679" s="41"/>
      <c r="B679" s="36"/>
      <c r="C679" s="36"/>
      <c r="D679" s="36"/>
      <c r="E679" s="52"/>
      <c r="F679" s="36"/>
      <c r="G679" s="36"/>
      <c r="H679" s="36"/>
      <c r="I679" s="52"/>
      <c r="J679" s="36"/>
      <c r="K679" s="36"/>
      <c r="L679" s="36"/>
      <c r="M679" s="52"/>
      <c r="N679" s="36"/>
      <c r="O679" s="36"/>
      <c r="P679" s="36"/>
      <c r="Q679" s="52"/>
      <c r="R679" s="42"/>
    </row>
    <row r="680" spans="1:18" ht="15.75" customHeight="1" x14ac:dyDescent="0.3">
      <c r="A680" s="15" t="s">
        <v>314</v>
      </c>
      <c r="B680" s="1">
        <f>+SUM(B677:B678)</f>
        <v>3791</v>
      </c>
      <c r="C680" s="1">
        <f>+SUM(C677:C678)</f>
        <v>7769</v>
      </c>
      <c r="D680" s="1">
        <f>+SUM(D677:D678)</f>
        <v>12675</v>
      </c>
      <c r="E680" s="60">
        <f>SUM(B680:D680)</f>
        <v>24235</v>
      </c>
      <c r="F680" s="1">
        <f>+SUM(F677:F678)</f>
        <v>16386</v>
      </c>
      <c r="G680" s="1">
        <f>+SUM(G677:G678)</f>
        <v>16770</v>
      </c>
      <c r="H680" s="1">
        <f>+SUM(H677:H678)</f>
        <v>15024</v>
      </c>
      <c r="I680" s="60">
        <f>SUM(F680:H680)</f>
        <v>48180</v>
      </c>
      <c r="J680" s="1">
        <f>+SUM(J677:J678)</f>
        <v>16152</v>
      </c>
      <c r="K680" s="1">
        <f>+SUM(K677:K678)</f>
        <v>15843</v>
      </c>
      <c r="L680" s="1">
        <f>+SUM(L677:L678)</f>
        <v>12398</v>
      </c>
      <c r="M680" s="60">
        <f>SUM(J680:L680)</f>
        <v>44393</v>
      </c>
      <c r="N680" s="1">
        <f>+SUM(N677:N678)</f>
        <v>3770</v>
      </c>
      <c r="O680" s="1">
        <f>+SUM(O677:O678)</f>
        <v>5944</v>
      </c>
      <c r="P680" s="1">
        <f>+SUM(P677:P678)</f>
        <v>9670</v>
      </c>
      <c r="Q680" s="60">
        <f>SUM(N680:P680)</f>
        <v>19384</v>
      </c>
      <c r="R680" s="60">
        <f>+E680+I680+M680+Q680</f>
        <v>136192</v>
      </c>
    </row>
    <row r="681" spans="1:18" ht="15.75" customHeight="1" x14ac:dyDescent="0.3">
      <c r="A681" s="15" t="s">
        <v>42</v>
      </c>
      <c r="B681" s="1">
        <f>(B680/B10)/1.983</f>
        <v>61.669350771883593</v>
      </c>
      <c r="C681" s="1">
        <f>(C680/C10)/1.983</f>
        <v>135.09659693602515</v>
      </c>
      <c r="D681" s="1">
        <f>(D680/D10)/1.983</f>
        <v>206.18808257283683</v>
      </c>
      <c r="E681" s="55" t="s">
        <v>7</v>
      </c>
      <c r="F681" s="1">
        <f>(F680/F10)/1.983</f>
        <v>275.44125063035807</v>
      </c>
      <c r="G681" s="1">
        <f>(G680/G10)/1.983</f>
        <v>272.80269386559951</v>
      </c>
      <c r="H681" s="1">
        <f>(H680/H10)/1.983</f>
        <v>252.54664649520927</v>
      </c>
      <c r="I681" s="55" t="s">
        <v>7</v>
      </c>
      <c r="J681" s="1">
        <f>(J680/J10)/1.983</f>
        <v>262.74949978039137</v>
      </c>
      <c r="K681" s="1">
        <f>(K680/K10)/1.983</f>
        <v>257.72290273778731</v>
      </c>
      <c r="L681" s="1">
        <f>(L680/L10)/1.983</f>
        <v>208.40477391158177</v>
      </c>
      <c r="M681" s="55" t="s">
        <v>7</v>
      </c>
      <c r="N681" s="1">
        <f>(N680/N10)/1.983</f>
        <v>61.327737380638652</v>
      </c>
      <c r="O681" s="1">
        <f>(O680/O10)/1.983</f>
        <v>99.915952260884168</v>
      </c>
      <c r="P681" s="1">
        <f>(P680/P10)/1.983</f>
        <v>157.30483301612088</v>
      </c>
      <c r="Q681" s="55" t="s">
        <v>7</v>
      </c>
      <c r="R681" s="55" t="s">
        <v>7</v>
      </c>
    </row>
    <row r="682" spans="1:18" ht="15.75" customHeight="1" x14ac:dyDescent="0.3">
      <c r="A682" s="15" t="s">
        <v>351</v>
      </c>
      <c r="B682" s="1">
        <f>B680+B692</f>
        <v>7671</v>
      </c>
      <c r="C682" s="1">
        <f>C680+C692</f>
        <v>10784</v>
      </c>
      <c r="D682" s="1">
        <f>D680+D692</f>
        <v>16667</v>
      </c>
      <c r="E682" s="55">
        <f>SUM(B682:D682)</f>
        <v>35122</v>
      </c>
      <c r="F682" s="1">
        <f>F680+F692</f>
        <v>20553</v>
      </c>
      <c r="G682" s="1">
        <f>G680+G692</f>
        <v>20876</v>
      </c>
      <c r="H682" s="1">
        <f>H680+H692</f>
        <v>19414</v>
      </c>
      <c r="I682" s="55">
        <f>SUM(F682:H682)</f>
        <v>60843</v>
      </c>
      <c r="J682" s="1">
        <f>J680+J692</f>
        <v>19806</v>
      </c>
      <c r="K682" s="1">
        <f>K680+K692</f>
        <v>17993</v>
      </c>
      <c r="L682" s="1">
        <f>L680+L692</f>
        <v>17223</v>
      </c>
      <c r="M682" s="55">
        <f>SUM(J682:L682)</f>
        <v>55022</v>
      </c>
      <c r="N682" s="1">
        <f>N680+N692</f>
        <v>5629</v>
      </c>
      <c r="O682" s="1">
        <f>O680+O692</f>
        <v>7111</v>
      </c>
      <c r="P682" s="1">
        <f>P680+P692</f>
        <v>14093</v>
      </c>
      <c r="Q682" s="55">
        <f>SUM(N682:P682)</f>
        <v>26833</v>
      </c>
      <c r="R682" s="55">
        <f>+E682+I682+M682+Q682</f>
        <v>177820</v>
      </c>
    </row>
    <row r="683" spans="1:18" ht="16.5" customHeight="1" thickBot="1" x14ac:dyDescent="0.35">
      <c r="A683" s="20" t="s">
        <v>352</v>
      </c>
      <c r="B683" s="21">
        <f>(B682/B10)/1.983</f>
        <v>124.7864916304719</v>
      </c>
      <c r="C683" s="21">
        <f>(C682/C10)/1.983</f>
        <v>187.52499695689221</v>
      </c>
      <c r="D683" s="21">
        <f>(D682/D10)/1.983</f>
        <v>271.12716151806484</v>
      </c>
      <c r="E683" s="81" t="s">
        <v>7</v>
      </c>
      <c r="F683" s="21">
        <f>(F682/F10)/1.983</f>
        <v>345.48663640948058</v>
      </c>
      <c r="G683" s="21">
        <f>(G682/G10)/1.983</f>
        <v>339.59624550615712</v>
      </c>
      <c r="H683" s="21">
        <f>(H682/H10)/1.983</f>
        <v>326.34056143889728</v>
      </c>
      <c r="I683" s="81" t="s">
        <v>7</v>
      </c>
      <c r="J683" s="21">
        <f>(J682/J10)/1.983</f>
        <v>322.19022985701037</v>
      </c>
      <c r="K683" s="21">
        <f>(K682/K10)/1.983</f>
        <v>292.69760707953083</v>
      </c>
      <c r="L683" s="21">
        <f>(L682/L10)/1.983</f>
        <v>289.51084215834595</v>
      </c>
      <c r="M683" s="81" t="s">
        <v>7</v>
      </c>
      <c r="N683" s="21">
        <f>(N682/N10)/1.983</f>
        <v>91.568656157988059</v>
      </c>
      <c r="O683" s="21">
        <f>(O682/O10)/1.983</f>
        <v>119.53269457051604</v>
      </c>
      <c r="P683" s="21">
        <f>(P682/P10)/1.983</f>
        <v>229.25512013404258</v>
      </c>
      <c r="Q683" s="81" t="s">
        <v>7</v>
      </c>
      <c r="R683" s="81" t="s">
        <v>7</v>
      </c>
    </row>
    <row r="684" spans="1:18" ht="15.75" customHeight="1" x14ac:dyDescent="0.3">
      <c r="A684" s="2"/>
      <c r="B684" s="1"/>
      <c r="C684" s="1"/>
      <c r="D684" s="1"/>
      <c r="E684" s="1"/>
      <c r="F684" s="1"/>
      <c r="G684" s="1"/>
      <c r="H684" s="1"/>
      <c r="I684" s="1"/>
      <c r="J684" s="1"/>
      <c r="K684" s="1"/>
      <c r="L684" s="1"/>
      <c r="M684" s="1"/>
      <c r="N684" s="1"/>
      <c r="O684" s="1"/>
      <c r="P684" s="1"/>
      <c r="Q684" s="1"/>
      <c r="R684" s="2"/>
    </row>
    <row r="685" spans="1:18" ht="15.75" customHeight="1" thickBot="1" x14ac:dyDescent="0.35">
      <c r="A685" s="2"/>
      <c r="B685" s="1"/>
      <c r="C685" s="1"/>
      <c r="D685" s="1"/>
      <c r="E685" s="1"/>
      <c r="F685" s="1"/>
      <c r="G685" s="1"/>
      <c r="H685" s="1"/>
      <c r="I685" s="1"/>
      <c r="J685" s="1"/>
      <c r="K685" s="1"/>
      <c r="L685" s="1"/>
      <c r="M685" s="1"/>
      <c r="N685" s="1"/>
      <c r="O685" s="1"/>
      <c r="P685" s="1"/>
      <c r="Q685" s="1"/>
      <c r="R685" s="2"/>
    </row>
    <row r="686" spans="1:18" ht="16.5" customHeight="1" thickBot="1" x14ac:dyDescent="0.35">
      <c r="A686" s="124" t="s">
        <v>353</v>
      </c>
      <c r="B686" s="30" t="s">
        <v>8</v>
      </c>
      <c r="C686" s="31" t="s">
        <v>9</v>
      </c>
      <c r="D686" s="31" t="s">
        <v>10</v>
      </c>
      <c r="E686" s="32" t="s">
        <v>11</v>
      </c>
      <c r="F686" s="31" t="s">
        <v>12</v>
      </c>
      <c r="G686" s="31" t="s">
        <v>13</v>
      </c>
      <c r="H686" s="31" t="s">
        <v>14</v>
      </c>
      <c r="I686" s="33" t="s">
        <v>15</v>
      </c>
      <c r="J686" s="31" t="s">
        <v>16</v>
      </c>
      <c r="K686" s="31" t="s">
        <v>17</v>
      </c>
      <c r="L686" s="31" t="s">
        <v>18</v>
      </c>
      <c r="M686" s="33" t="s">
        <v>19</v>
      </c>
      <c r="N686" s="31" t="s">
        <v>20</v>
      </c>
      <c r="O686" s="31" t="s">
        <v>21</v>
      </c>
      <c r="P686" s="31" t="s">
        <v>22</v>
      </c>
      <c r="Q686" s="33" t="s">
        <v>23</v>
      </c>
      <c r="R686" s="34" t="s">
        <v>24</v>
      </c>
    </row>
    <row r="687" spans="1:18" ht="16.5" customHeight="1" thickBot="1" x14ac:dyDescent="0.35">
      <c r="A687" s="41"/>
      <c r="B687" s="36"/>
      <c r="C687" s="36"/>
      <c r="D687" s="36"/>
      <c r="E687" s="37"/>
      <c r="F687" s="36"/>
      <c r="G687" s="36"/>
      <c r="H687" s="36"/>
      <c r="I687" s="37"/>
      <c r="J687" s="36"/>
      <c r="K687" s="36"/>
      <c r="L687" s="36"/>
      <c r="M687" s="37"/>
      <c r="N687" s="36"/>
      <c r="O687" s="36"/>
      <c r="P687" s="36"/>
      <c r="Q687" s="37"/>
      <c r="R687" s="41"/>
    </row>
    <row r="688" spans="1:18" ht="16.5" customHeight="1" thickBot="1" x14ac:dyDescent="0.35">
      <c r="A688" s="39" t="s">
        <v>40</v>
      </c>
      <c r="B688" s="21">
        <v>2</v>
      </c>
      <c r="C688" s="21">
        <v>3</v>
      </c>
      <c r="D688" s="21">
        <v>5</v>
      </c>
      <c r="E688" s="55">
        <f>SUM(B688:D688)</f>
        <v>10</v>
      </c>
      <c r="F688" s="21">
        <v>7</v>
      </c>
      <c r="G688" s="21">
        <v>8</v>
      </c>
      <c r="H688" s="21">
        <v>9</v>
      </c>
      <c r="I688" s="55">
        <f>SUM(F688:H688)</f>
        <v>24</v>
      </c>
      <c r="J688" s="21">
        <v>7</v>
      </c>
      <c r="K688" s="21">
        <v>6</v>
      </c>
      <c r="L688" s="21">
        <v>6</v>
      </c>
      <c r="M688" s="55">
        <f>SUM(J688:L688)</f>
        <v>19</v>
      </c>
      <c r="N688" s="21">
        <v>5</v>
      </c>
      <c r="O688" s="21">
        <v>3</v>
      </c>
      <c r="P688" s="21">
        <v>2</v>
      </c>
      <c r="Q688" s="55">
        <f>SUM(N688:P688)</f>
        <v>10</v>
      </c>
      <c r="R688" s="60">
        <f>+E688+I688+M688+Q688</f>
        <v>63</v>
      </c>
    </row>
    <row r="689" spans="1:18" ht="16.5" customHeight="1" thickBot="1" x14ac:dyDescent="0.35">
      <c r="A689" s="41"/>
      <c r="B689" s="36"/>
      <c r="C689" s="36"/>
      <c r="D689" s="36"/>
      <c r="E689" s="52"/>
      <c r="F689" s="36"/>
      <c r="G689" s="36"/>
      <c r="H689" s="36"/>
      <c r="I689" s="52"/>
      <c r="J689" s="36"/>
      <c r="K689" s="36"/>
      <c r="L689" s="36"/>
      <c r="M689" s="52"/>
      <c r="N689" s="36"/>
      <c r="O689" s="36"/>
      <c r="P689" s="36"/>
      <c r="Q689" s="52"/>
      <c r="R689" s="42"/>
    </row>
    <row r="690" spans="1:18" ht="15.75" customHeight="1" x14ac:dyDescent="0.3">
      <c r="A690" s="15" t="s">
        <v>314</v>
      </c>
      <c r="B690" s="1">
        <f>B688</f>
        <v>2</v>
      </c>
      <c r="C690" s="1">
        <f>C688</f>
        <v>3</v>
      </c>
      <c r="D690" s="1">
        <f>D688</f>
        <v>5</v>
      </c>
      <c r="E690" s="60">
        <f>SUM(B690:D690)</f>
        <v>10</v>
      </c>
      <c r="F690" s="1">
        <f>F688</f>
        <v>7</v>
      </c>
      <c r="G690" s="1">
        <f>G688</f>
        <v>8</v>
      </c>
      <c r="H690" s="1">
        <f>H688</f>
        <v>9</v>
      </c>
      <c r="I690" s="60">
        <f>SUM(F690:H690)</f>
        <v>24</v>
      </c>
      <c r="J690" s="1">
        <f>J688</f>
        <v>7</v>
      </c>
      <c r="K690" s="1">
        <f>K688</f>
        <v>6</v>
      </c>
      <c r="L690" s="1">
        <f>L688</f>
        <v>6</v>
      </c>
      <c r="M690" s="60">
        <f>SUM(J690:L690)</f>
        <v>19</v>
      </c>
      <c r="N690" s="1">
        <f>N688</f>
        <v>5</v>
      </c>
      <c r="O690" s="1">
        <f>O688</f>
        <v>3</v>
      </c>
      <c r="P690" s="1">
        <f>P688</f>
        <v>2</v>
      </c>
      <c r="Q690" s="60">
        <f>SUM(N690:P690)</f>
        <v>10</v>
      </c>
      <c r="R690" s="60">
        <f>+E690+I690+M690+Q690</f>
        <v>63</v>
      </c>
    </row>
    <row r="691" spans="1:18" ht="15.75" customHeight="1" x14ac:dyDescent="0.3">
      <c r="A691" s="15" t="s">
        <v>42</v>
      </c>
      <c r="B691" s="1">
        <f>(B690/B10)/1.983</f>
        <v>3.2534608689993978E-2</v>
      </c>
      <c r="C691" s="1">
        <f>(C690/C10)/1.983</f>
        <v>5.2167562209817935E-2</v>
      </c>
      <c r="D691" s="1">
        <f>(D690/D10)/1.983</f>
        <v>8.1336521724984942E-2</v>
      </c>
      <c r="E691" s="55" t="s">
        <v>7</v>
      </c>
      <c r="F691" s="1">
        <f>(F690/F10)/1.983</f>
        <v>0.1176668347621449</v>
      </c>
      <c r="G691" s="1">
        <f>(G690/G10)/1.983</f>
        <v>0.13013843475997591</v>
      </c>
      <c r="H691" s="1">
        <f>(H690/H10)/1.983</f>
        <v>0.15128593040847199</v>
      </c>
      <c r="I691" s="55" t="s">
        <v>7</v>
      </c>
      <c r="J691" s="1">
        <f>(J690/J10)/1.983</f>
        <v>0.11387113041497893</v>
      </c>
      <c r="K691" s="1">
        <f>(K690/K10)/1.983</f>
        <v>9.7603826069981942E-2</v>
      </c>
      <c r="L691" s="1">
        <f>(L690/L10)/1.983</f>
        <v>0.10085728693898134</v>
      </c>
      <c r="M691" s="55" t="s">
        <v>7</v>
      </c>
      <c r="N691" s="1">
        <f>(N690/N10)/1.983</f>
        <v>8.1336521724984942E-2</v>
      </c>
      <c r="O691" s="1">
        <f>(O690/O10)/1.983</f>
        <v>5.0428643469490671E-2</v>
      </c>
      <c r="P691" s="1">
        <f>(P690/P10)/1.983</f>
        <v>3.2534608689993978E-2</v>
      </c>
      <c r="Q691" s="55" t="s">
        <v>7</v>
      </c>
      <c r="R691" s="55" t="s">
        <v>7</v>
      </c>
    </row>
    <row r="692" spans="1:18" ht="15.75" customHeight="1" x14ac:dyDescent="0.3">
      <c r="A692" s="15" t="s">
        <v>354</v>
      </c>
      <c r="B692" s="1">
        <f>B690+B726+B774-B721</f>
        <v>3880</v>
      </c>
      <c r="C692" s="1">
        <f>C690+C726+C774-C721</f>
        <v>3015</v>
      </c>
      <c r="D692" s="1">
        <f>D690+D726+D774-D721</f>
        <v>3992</v>
      </c>
      <c r="E692" s="55">
        <f>SUM(B692:D692)</f>
        <v>10887</v>
      </c>
      <c r="F692" s="1">
        <f>F690+F726+F774-F721</f>
        <v>4167</v>
      </c>
      <c r="G692" s="1">
        <f>G690+G726+G774-G721</f>
        <v>4106</v>
      </c>
      <c r="H692" s="1">
        <f>H690+H726+H774-H721</f>
        <v>4390</v>
      </c>
      <c r="I692" s="55">
        <f>SUM(F692:H692)</f>
        <v>12663</v>
      </c>
      <c r="J692" s="1">
        <f>J690+J726+J774-J721</f>
        <v>3654</v>
      </c>
      <c r="K692" s="1">
        <f>K690+K726+K774-K721</f>
        <v>2150</v>
      </c>
      <c r="L692" s="1">
        <f>L690+L726+L774-L721</f>
        <v>4825</v>
      </c>
      <c r="M692" s="55">
        <f>SUM(J692:L692)</f>
        <v>10629</v>
      </c>
      <c r="N692" s="1">
        <f>N690+N726+N774-N721</f>
        <v>1859</v>
      </c>
      <c r="O692" s="1">
        <f>O690+O726+O774-O721</f>
        <v>1167</v>
      </c>
      <c r="P692" s="1">
        <f>P690+P726+P774-P721</f>
        <v>4423</v>
      </c>
      <c r="Q692" s="55">
        <f>SUM(N692:P692)</f>
        <v>7449</v>
      </c>
      <c r="R692" s="55">
        <f>+E692+I692+M692+Q692</f>
        <v>41628</v>
      </c>
    </row>
    <row r="693" spans="1:18" ht="16.5" customHeight="1" thickBot="1" x14ac:dyDescent="0.35">
      <c r="A693" s="20" t="s">
        <v>355</v>
      </c>
      <c r="B693" s="21">
        <f>(B692/B10)/1.983</f>
        <v>63.117140858588321</v>
      </c>
      <c r="C693" s="21">
        <f>(C692/C10)/1.983</f>
        <v>52.428400020867024</v>
      </c>
      <c r="D693" s="21">
        <f>(D692/D10)/1.983</f>
        <v>64.93907894522799</v>
      </c>
      <c r="E693" s="81" t="s">
        <v>7</v>
      </c>
      <c r="F693" s="21">
        <f>(F692/F10)/1.983</f>
        <v>70.04538577912254</v>
      </c>
      <c r="G693" s="21">
        <f>(G692/G10)/1.983</f>
        <v>66.793551640557638</v>
      </c>
      <c r="H693" s="21">
        <f>(H692/H10)/1.983</f>
        <v>73.793914943688023</v>
      </c>
      <c r="I693" s="81" t="s">
        <v>7</v>
      </c>
      <c r="J693" s="21">
        <f>(J692/J10)/1.983</f>
        <v>59.440730076619005</v>
      </c>
      <c r="K693" s="21">
        <f>(K692/K10)/1.983</f>
        <v>34.974704341743532</v>
      </c>
      <c r="L693" s="21">
        <f>(L692/L10)/1.983</f>
        <v>81.106068246764167</v>
      </c>
      <c r="M693" s="81" t="s">
        <v>7</v>
      </c>
      <c r="N693" s="21">
        <f>(N692/N10)/1.983</f>
        <v>30.240918777349403</v>
      </c>
      <c r="O693" s="21">
        <f>(O692/O10)/1.983</f>
        <v>19.616742309631871</v>
      </c>
      <c r="P693" s="21">
        <f>(P692/P10)/1.983</f>
        <v>71.95028711792169</v>
      </c>
      <c r="Q693" s="81" t="s">
        <v>7</v>
      </c>
      <c r="R693" s="81" t="s">
        <v>7</v>
      </c>
    </row>
    <row r="694" spans="1:18" ht="15.75" customHeight="1" x14ac:dyDescent="0.3">
      <c r="A694" s="2"/>
      <c r="B694" s="1"/>
      <c r="C694" s="1"/>
      <c r="D694" s="1"/>
      <c r="E694" s="1"/>
      <c r="F694" s="1"/>
      <c r="G694" s="1"/>
      <c r="H694" s="1"/>
      <c r="I694" s="1"/>
      <c r="J694" s="1"/>
      <c r="K694" s="1"/>
      <c r="L694" s="1"/>
      <c r="M694" s="1"/>
      <c r="N694" s="1"/>
      <c r="O694" s="1"/>
      <c r="P694" s="1"/>
      <c r="Q694" s="1"/>
      <c r="R694" s="2"/>
    </row>
    <row r="695" spans="1:18" ht="15.75" customHeight="1" thickBot="1" x14ac:dyDescent="0.35">
      <c r="A695" s="2"/>
      <c r="B695" s="1"/>
      <c r="C695" s="1"/>
      <c r="D695" s="1"/>
      <c r="E695" s="1"/>
      <c r="F695" s="1"/>
      <c r="G695" s="1"/>
      <c r="H695" s="1"/>
      <c r="I695" s="1"/>
      <c r="J695" s="1"/>
      <c r="K695" s="1"/>
      <c r="L695" s="1"/>
      <c r="M695" s="1"/>
      <c r="N695" s="1"/>
      <c r="O695" s="1"/>
      <c r="P695" s="1"/>
      <c r="Q695" s="1"/>
      <c r="R695" s="2"/>
    </row>
    <row r="696" spans="1:18" ht="16.5" customHeight="1" thickBot="1" x14ac:dyDescent="0.35">
      <c r="A696" s="124" t="s">
        <v>356</v>
      </c>
      <c r="B696" s="30" t="s">
        <v>8</v>
      </c>
      <c r="C696" s="31" t="s">
        <v>9</v>
      </c>
      <c r="D696" s="31" t="s">
        <v>10</v>
      </c>
      <c r="E696" s="33" t="s">
        <v>11</v>
      </c>
      <c r="F696" s="31" t="s">
        <v>12</v>
      </c>
      <c r="G696" s="31" t="s">
        <v>13</v>
      </c>
      <c r="H696" s="31" t="s">
        <v>14</v>
      </c>
      <c r="I696" s="33" t="s">
        <v>15</v>
      </c>
      <c r="J696" s="31" t="s">
        <v>16</v>
      </c>
      <c r="K696" s="31" t="s">
        <v>17</v>
      </c>
      <c r="L696" s="31" t="s">
        <v>18</v>
      </c>
      <c r="M696" s="33" t="s">
        <v>19</v>
      </c>
      <c r="N696" s="31" t="s">
        <v>20</v>
      </c>
      <c r="O696" s="31" t="s">
        <v>21</v>
      </c>
      <c r="P696" s="31" t="s">
        <v>22</v>
      </c>
      <c r="Q696" s="33" t="s">
        <v>23</v>
      </c>
      <c r="R696" s="131" t="s">
        <v>24</v>
      </c>
    </row>
    <row r="697" spans="1:18" ht="16.5" customHeight="1" thickBot="1" x14ac:dyDescent="0.35">
      <c r="A697" s="41"/>
      <c r="B697" s="36"/>
      <c r="C697" s="36"/>
      <c r="D697" s="36"/>
      <c r="E697" s="132"/>
      <c r="F697" s="36"/>
      <c r="G697" s="36"/>
      <c r="H697" s="36"/>
      <c r="I697" s="132"/>
      <c r="J697" s="36"/>
      <c r="K697" s="36"/>
      <c r="L697" s="36"/>
      <c r="M697" s="132"/>
      <c r="N697" s="36"/>
      <c r="O697" s="36"/>
      <c r="P697" s="36"/>
      <c r="Q697" s="132"/>
      <c r="R697" s="38"/>
    </row>
    <row r="698" spans="1:18" ht="15.75" customHeight="1" x14ac:dyDescent="0.3">
      <c r="A698" s="15" t="s">
        <v>48</v>
      </c>
      <c r="B698" s="1" t="s">
        <v>7</v>
      </c>
      <c r="C698" s="1" t="s">
        <v>7</v>
      </c>
      <c r="D698" s="1" t="s">
        <v>7</v>
      </c>
      <c r="E698" s="55" t="s">
        <v>7</v>
      </c>
      <c r="F698" s="1" t="s">
        <v>7</v>
      </c>
      <c r="G698" s="1" t="s">
        <v>7</v>
      </c>
      <c r="H698" s="1" t="s">
        <v>7</v>
      </c>
      <c r="I698" s="55" t="s">
        <v>7</v>
      </c>
      <c r="J698" s="1" t="s">
        <v>7</v>
      </c>
      <c r="K698" s="1" t="s">
        <v>7</v>
      </c>
      <c r="L698" s="1" t="s">
        <v>7</v>
      </c>
      <c r="M698" s="55" t="s">
        <v>7</v>
      </c>
      <c r="N698" s="1" t="s">
        <v>7</v>
      </c>
      <c r="O698" s="1" t="s">
        <v>7</v>
      </c>
      <c r="P698" s="1" t="s">
        <v>7</v>
      </c>
      <c r="Q698" s="55" t="s">
        <v>7</v>
      </c>
      <c r="R698" s="55" t="s">
        <v>7</v>
      </c>
    </row>
    <row r="699" spans="1:18" ht="15.75" customHeight="1" x14ac:dyDescent="0.3">
      <c r="A699" s="15" t="s">
        <v>49</v>
      </c>
      <c r="B699" s="1"/>
      <c r="C699" s="1"/>
      <c r="D699" s="1"/>
      <c r="E699" s="55" t="s">
        <v>7</v>
      </c>
      <c r="F699" s="1"/>
      <c r="G699" s="1"/>
      <c r="H699" s="1"/>
      <c r="I699" s="55" t="s">
        <v>7</v>
      </c>
      <c r="J699" s="1"/>
      <c r="K699" s="1"/>
      <c r="L699" s="1"/>
      <c r="M699" s="55" t="s">
        <v>7</v>
      </c>
      <c r="N699" s="1"/>
      <c r="O699" s="1"/>
      <c r="P699" s="1"/>
      <c r="Q699" s="55" t="s">
        <v>7</v>
      </c>
      <c r="R699" s="55" t="s">
        <v>7</v>
      </c>
    </row>
    <row r="700" spans="1:18" ht="15.75" customHeight="1" x14ac:dyDescent="0.3">
      <c r="A700" s="71" t="s">
        <v>357</v>
      </c>
      <c r="B700" s="1"/>
      <c r="C700" s="1"/>
      <c r="D700" s="1"/>
      <c r="E700" s="55">
        <f>SUM(B700:D700)</f>
        <v>0</v>
      </c>
      <c r="F700" s="1">
        <v>42</v>
      </c>
      <c r="G700" s="1"/>
      <c r="H700" s="1"/>
      <c r="I700" s="55">
        <f>SUM(F700:H700)</f>
        <v>42</v>
      </c>
      <c r="J700" s="1">
        <v>3</v>
      </c>
      <c r="K700" s="1"/>
      <c r="L700" s="1"/>
      <c r="M700" s="55">
        <f>SUM(J700:L700)</f>
        <v>3</v>
      </c>
      <c r="N700" s="1"/>
      <c r="O700" s="1"/>
      <c r="P700" s="1"/>
      <c r="Q700" s="55">
        <f>SUM(N700:P700)</f>
        <v>0</v>
      </c>
      <c r="R700" s="55">
        <f>+E700+I700+M700+Q700</f>
        <v>45</v>
      </c>
    </row>
    <row r="701" spans="1:18" ht="15.75" customHeight="1" x14ac:dyDescent="0.3">
      <c r="A701" s="15" t="s">
        <v>50</v>
      </c>
      <c r="B701" s="1"/>
      <c r="C701" s="1"/>
      <c r="D701" s="1"/>
      <c r="E701" s="55" t="s">
        <v>7</v>
      </c>
      <c r="F701" s="1"/>
      <c r="G701" s="1"/>
      <c r="H701" s="1"/>
      <c r="I701" s="55" t="s">
        <v>7</v>
      </c>
      <c r="J701" s="1"/>
      <c r="K701" s="1"/>
      <c r="L701" s="1"/>
      <c r="M701" s="55" t="s">
        <v>7</v>
      </c>
      <c r="N701" s="1"/>
      <c r="O701" s="1"/>
      <c r="P701" s="1"/>
      <c r="Q701" s="55" t="s">
        <v>7</v>
      </c>
      <c r="R701" s="55" t="s">
        <v>7</v>
      </c>
    </row>
    <row r="702" spans="1:18" ht="15.75" customHeight="1" x14ac:dyDescent="0.3">
      <c r="A702" s="15" t="s">
        <v>51</v>
      </c>
      <c r="B702" s="1"/>
      <c r="C702" s="1"/>
      <c r="D702" s="1"/>
      <c r="E702" s="55" t="s">
        <v>7</v>
      </c>
      <c r="F702" s="1"/>
      <c r="G702" s="1"/>
      <c r="H702" s="1"/>
      <c r="I702" s="55" t="s">
        <v>7</v>
      </c>
      <c r="J702" s="1"/>
      <c r="K702" s="1"/>
      <c r="L702" s="1"/>
      <c r="M702" s="55" t="s">
        <v>7</v>
      </c>
      <c r="N702" s="1"/>
      <c r="O702" s="1"/>
      <c r="P702" s="1"/>
      <c r="Q702" s="55" t="s">
        <v>7</v>
      </c>
      <c r="R702" s="55" t="s">
        <v>7</v>
      </c>
    </row>
    <row r="703" spans="1:18" ht="15.75" customHeight="1" thickBot="1" x14ac:dyDescent="0.35">
      <c r="A703" s="15" t="s">
        <v>53</v>
      </c>
      <c r="B703" s="1"/>
      <c r="C703" s="1"/>
      <c r="D703" s="1"/>
      <c r="E703" s="55" t="s">
        <v>7</v>
      </c>
      <c r="F703" s="1"/>
      <c r="G703" s="1"/>
      <c r="H703" s="1"/>
      <c r="I703" s="55" t="s">
        <v>7</v>
      </c>
      <c r="J703" s="1"/>
      <c r="K703" s="1"/>
      <c r="L703" s="1"/>
      <c r="M703" s="55" t="s">
        <v>7</v>
      </c>
      <c r="N703" s="1"/>
      <c r="O703" s="1"/>
      <c r="P703" s="1"/>
      <c r="Q703" s="55" t="s">
        <v>7</v>
      </c>
      <c r="R703" s="55" t="s">
        <v>7</v>
      </c>
    </row>
    <row r="704" spans="1:18" ht="16.5" customHeight="1" thickBot="1" x14ac:dyDescent="0.35">
      <c r="A704" s="57" t="s">
        <v>54</v>
      </c>
      <c r="B704" s="86">
        <f>SUM(B698:B703)</f>
        <v>0</v>
      </c>
      <c r="C704" s="87">
        <f>SUM(C698:C703)</f>
        <v>0</v>
      </c>
      <c r="D704" s="87">
        <f>SUM(D698:D703)</f>
        <v>0</v>
      </c>
      <c r="E704" s="59">
        <f>SUM(B704:D704)</f>
        <v>0</v>
      </c>
      <c r="F704" s="87">
        <f>SUM(F698:F703)</f>
        <v>42</v>
      </c>
      <c r="G704" s="87">
        <f>SUM(G698:G703)</f>
        <v>0</v>
      </c>
      <c r="H704" s="87">
        <f>SUM(H698:H703)</f>
        <v>0</v>
      </c>
      <c r="I704" s="59">
        <f>SUM(F704:H704)</f>
        <v>42</v>
      </c>
      <c r="J704" s="87">
        <f>SUM(J698:J703)</f>
        <v>3</v>
      </c>
      <c r="K704" s="87">
        <f>SUM(K698:K703)</f>
        <v>0</v>
      </c>
      <c r="L704" s="87">
        <f>SUM(L698:L703)</f>
        <v>0</v>
      </c>
      <c r="M704" s="59">
        <f>SUM(J704:L704)</f>
        <v>3</v>
      </c>
      <c r="N704" s="87">
        <f>SUM(N698:N703)</f>
        <v>0</v>
      </c>
      <c r="O704" s="87">
        <f>SUM(O698:O703)</f>
        <v>0</v>
      </c>
      <c r="P704" s="87">
        <f>SUM(P698:P703)</f>
        <v>0</v>
      </c>
      <c r="Q704" s="59">
        <f>SUM(N704:P704)</f>
        <v>0</v>
      </c>
      <c r="R704" s="59">
        <f>+E704+I704+M704+Q704</f>
        <v>45</v>
      </c>
    </row>
    <row r="705" spans="1:18" ht="15.75" customHeight="1" x14ac:dyDescent="0.3">
      <c r="A705" s="15" t="s">
        <v>55</v>
      </c>
      <c r="B705" s="1"/>
      <c r="C705" s="1"/>
      <c r="D705" s="1"/>
      <c r="E705" s="55" t="s">
        <v>7</v>
      </c>
      <c r="F705" s="1"/>
      <c r="G705" s="1"/>
      <c r="H705" s="1"/>
      <c r="I705" s="55" t="s">
        <v>7</v>
      </c>
      <c r="J705" s="1"/>
      <c r="K705" s="1"/>
      <c r="L705" s="1"/>
      <c r="M705" s="55" t="s">
        <v>7</v>
      </c>
      <c r="N705" s="1"/>
      <c r="O705" s="1"/>
      <c r="P705" s="1"/>
      <c r="Q705" s="55" t="s">
        <v>7</v>
      </c>
      <c r="R705" s="55" t="s">
        <v>7</v>
      </c>
    </row>
    <row r="706" spans="1:18" ht="15.75" customHeight="1" x14ac:dyDescent="0.3">
      <c r="A706" s="15" t="s">
        <v>57</v>
      </c>
      <c r="B706" s="1"/>
      <c r="C706" s="1"/>
      <c r="D706" s="1"/>
      <c r="E706" s="55" t="s">
        <v>7</v>
      </c>
      <c r="F706" s="1"/>
      <c r="G706" s="1"/>
      <c r="H706" s="1"/>
      <c r="I706" s="55" t="s">
        <v>7</v>
      </c>
      <c r="J706" s="1"/>
      <c r="K706" s="1"/>
      <c r="L706" s="1"/>
      <c r="M706" s="55" t="s">
        <v>7</v>
      </c>
      <c r="N706" s="1"/>
      <c r="O706" s="1"/>
      <c r="P706" s="1"/>
      <c r="Q706" s="55" t="s">
        <v>7</v>
      </c>
      <c r="R706" s="55" t="s">
        <v>7</v>
      </c>
    </row>
    <row r="707" spans="1:18" ht="15.75" customHeight="1" thickBot="1" x14ac:dyDescent="0.35">
      <c r="A707" s="15" t="s">
        <v>58</v>
      </c>
      <c r="B707" s="1"/>
      <c r="C707" s="1"/>
      <c r="D707" s="1"/>
      <c r="E707" s="55" t="s">
        <v>7</v>
      </c>
      <c r="F707" s="1"/>
      <c r="G707" s="1"/>
      <c r="H707" s="1"/>
      <c r="I707" s="55" t="s">
        <v>7</v>
      </c>
      <c r="J707" s="1"/>
      <c r="K707" s="1"/>
      <c r="L707" s="1"/>
      <c r="M707" s="55" t="s">
        <v>7</v>
      </c>
      <c r="N707" s="1"/>
      <c r="O707" s="1"/>
      <c r="P707" s="1"/>
      <c r="Q707" s="55" t="s">
        <v>7</v>
      </c>
      <c r="R707" s="55" t="s">
        <v>7</v>
      </c>
    </row>
    <row r="708" spans="1:18" ht="16.5" customHeight="1" thickBot="1" x14ac:dyDescent="0.35">
      <c r="A708" s="57" t="s">
        <v>59</v>
      </c>
      <c r="B708" s="86">
        <f>SUM(B705:B707)</f>
        <v>0</v>
      </c>
      <c r="C708" s="87">
        <f>SUM(C705:C707)</f>
        <v>0</v>
      </c>
      <c r="D708" s="87">
        <f>SUM(D705:D707)</f>
        <v>0</v>
      </c>
      <c r="E708" s="59">
        <f>SUM(B708:D708)</f>
        <v>0</v>
      </c>
      <c r="F708" s="87">
        <f>SUM(F705:F707)</f>
        <v>0</v>
      </c>
      <c r="G708" s="87">
        <f>SUM(G705:G707)</f>
        <v>0</v>
      </c>
      <c r="H708" s="87">
        <f>SUM(H705:H707)</f>
        <v>0</v>
      </c>
      <c r="I708" s="59">
        <f>SUM(F708:H708)</f>
        <v>0</v>
      </c>
      <c r="J708" s="87">
        <f>SUM(J705:J707)</f>
        <v>0</v>
      </c>
      <c r="K708" s="87">
        <f>SUM(K705:K707)</f>
        <v>0</v>
      </c>
      <c r="L708" s="87">
        <f>SUM(L705:L707)</f>
        <v>0</v>
      </c>
      <c r="M708" s="59">
        <f>SUM(J708:L708)</f>
        <v>0</v>
      </c>
      <c r="N708" s="87">
        <f>SUM(N705:N707)</f>
        <v>0</v>
      </c>
      <c r="O708" s="87">
        <f>SUM(O705:O707)</f>
        <v>0</v>
      </c>
      <c r="P708" s="87">
        <f>SUM(P705:P707)</f>
        <v>0</v>
      </c>
      <c r="Q708" s="59">
        <f>SUM(N708:P708)</f>
        <v>0</v>
      </c>
      <c r="R708" s="59">
        <f>+E708+I708+M708+Q708</f>
        <v>0</v>
      </c>
    </row>
    <row r="709" spans="1:18" ht="15.75" customHeight="1" x14ac:dyDescent="0.3">
      <c r="A709" s="15" t="s">
        <v>60</v>
      </c>
      <c r="B709" s="1"/>
      <c r="C709" s="1"/>
      <c r="D709" s="1"/>
      <c r="E709" s="55" t="s">
        <v>7</v>
      </c>
      <c r="F709" s="1"/>
      <c r="G709" s="1"/>
      <c r="H709" s="1"/>
      <c r="I709" s="55" t="s">
        <v>7</v>
      </c>
      <c r="J709" s="1"/>
      <c r="K709" s="1"/>
      <c r="L709" s="1"/>
      <c r="M709" s="55" t="s">
        <v>7</v>
      </c>
      <c r="N709" s="1"/>
      <c r="O709" s="1"/>
      <c r="P709" s="1"/>
      <c r="Q709" s="55" t="s">
        <v>7</v>
      </c>
      <c r="R709" s="55" t="s">
        <v>7</v>
      </c>
    </row>
    <row r="710" spans="1:18" ht="15.75" customHeight="1" x14ac:dyDescent="0.3">
      <c r="A710" s="15" t="s">
        <v>61</v>
      </c>
      <c r="B710" s="1"/>
      <c r="C710" s="1"/>
      <c r="D710" s="1"/>
      <c r="E710" s="55" t="s">
        <v>7</v>
      </c>
      <c r="F710" s="1"/>
      <c r="G710" s="1"/>
      <c r="H710" s="1"/>
      <c r="I710" s="55" t="s">
        <v>7</v>
      </c>
      <c r="J710" s="1"/>
      <c r="K710" s="1"/>
      <c r="L710" s="1"/>
      <c r="M710" s="55" t="s">
        <v>7</v>
      </c>
      <c r="N710" s="1"/>
      <c r="O710" s="1"/>
      <c r="P710" s="1"/>
      <c r="Q710" s="55" t="s">
        <v>7</v>
      </c>
      <c r="R710" s="55" t="s">
        <v>7</v>
      </c>
    </row>
    <row r="711" spans="1:18" ht="15.75" customHeight="1" thickBot="1" x14ac:dyDescent="0.35">
      <c r="A711" s="15" t="s">
        <v>62</v>
      </c>
      <c r="B711" s="1"/>
      <c r="C711" s="1"/>
      <c r="D711" s="1"/>
      <c r="E711" s="55" t="s">
        <v>7</v>
      </c>
      <c r="F711" s="1"/>
      <c r="G711" s="1"/>
      <c r="H711" s="1"/>
      <c r="I711" s="55" t="s">
        <v>7</v>
      </c>
      <c r="J711" s="1"/>
      <c r="K711" s="1"/>
      <c r="L711" s="1"/>
      <c r="M711" s="55" t="s">
        <v>7</v>
      </c>
      <c r="N711" s="1"/>
      <c r="O711" s="1"/>
      <c r="P711" s="1"/>
      <c r="Q711" s="55" t="s">
        <v>7</v>
      </c>
      <c r="R711" s="55" t="s">
        <v>7</v>
      </c>
    </row>
    <row r="712" spans="1:18" ht="16.5" customHeight="1" thickBot="1" x14ac:dyDescent="0.35">
      <c r="A712" s="57" t="s">
        <v>63</v>
      </c>
      <c r="B712" s="86">
        <f>SUM(B709:B711)</f>
        <v>0</v>
      </c>
      <c r="C712" s="87">
        <f>SUM(C709:C711)</f>
        <v>0</v>
      </c>
      <c r="D712" s="87">
        <f>SUM(D709:D711)</f>
        <v>0</v>
      </c>
      <c r="E712" s="59">
        <f>SUM(B712:D712)</f>
        <v>0</v>
      </c>
      <c r="F712" s="87">
        <f>SUM(F709:F711)</f>
        <v>0</v>
      </c>
      <c r="G712" s="87">
        <f>SUM(G709:G711)</f>
        <v>0</v>
      </c>
      <c r="H712" s="87">
        <f>SUM(H709:H711)</f>
        <v>0</v>
      </c>
      <c r="I712" s="59">
        <f>SUM(F712:H712)</f>
        <v>0</v>
      </c>
      <c r="J712" s="87">
        <f>SUM(J709:J711)</f>
        <v>0</v>
      </c>
      <c r="K712" s="87">
        <f>SUM(K709:K711)</f>
        <v>0</v>
      </c>
      <c r="L712" s="87">
        <f>SUM(L709:L711)</f>
        <v>0</v>
      </c>
      <c r="M712" s="59">
        <f>SUM(J712:L712)</f>
        <v>0</v>
      </c>
      <c r="N712" s="87">
        <f>SUM(N709:N711)</f>
        <v>0</v>
      </c>
      <c r="O712" s="87">
        <f>SUM(O709:O711)</f>
        <v>0</v>
      </c>
      <c r="P712" s="87">
        <f>SUM(P709:P711)</f>
        <v>0</v>
      </c>
      <c r="Q712" s="59">
        <f>SUM(N712:P712)</f>
        <v>0</v>
      </c>
      <c r="R712" s="59">
        <f>+E712+I712+M712+Q712</f>
        <v>0</v>
      </c>
    </row>
    <row r="713" spans="1:18" ht="15.75" customHeight="1" x14ac:dyDescent="0.3">
      <c r="A713" s="15" t="s">
        <v>64</v>
      </c>
      <c r="B713" s="1"/>
      <c r="C713" s="1"/>
      <c r="D713" s="1"/>
      <c r="E713" s="55" t="s">
        <v>7</v>
      </c>
      <c r="F713" s="1"/>
      <c r="G713" s="1"/>
      <c r="H713" s="1"/>
      <c r="I713" s="55" t="s">
        <v>7</v>
      </c>
      <c r="J713" s="1"/>
      <c r="K713" s="1"/>
      <c r="L713" s="1"/>
      <c r="M713" s="55" t="s">
        <v>7</v>
      </c>
      <c r="N713" s="1"/>
      <c r="O713" s="1"/>
      <c r="P713" s="1"/>
      <c r="Q713" s="55" t="s">
        <v>7</v>
      </c>
      <c r="R713" s="55" t="s">
        <v>7</v>
      </c>
    </row>
    <row r="714" spans="1:18" ht="15.75" customHeight="1" x14ac:dyDescent="0.3">
      <c r="A714" s="15" t="s">
        <v>594</v>
      </c>
      <c r="B714" s="1"/>
      <c r="C714" s="1"/>
      <c r="D714" s="1"/>
      <c r="E714" s="55" t="s">
        <v>7</v>
      </c>
      <c r="F714" s="1"/>
      <c r="G714" s="1"/>
      <c r="H714" s="1"/>
      <c r="I714" s="55" t="s">
        <v>7</v>
      </c>
      <c r="J714" s="1"/>
      <c r="K714" s="1"/>
      <c r="L714" s="1"/>
      <c r="M714" s="55" t="s">
        <v>7</v>
      </c>
      <c r="N714" s="1"/>
      <c r="O714" s="1"/>
      <c r="P714" s="1"/>
      <c r="Q714" s="55" t="s">
        <v>7</v>
      </c>
      <c r="R714" s="55" t="s">
        <v>7</v>
      </c>
    </row>
    <row r="715" spans="1:18" ht="15.75" customHeight="1" x14ac:dyDescent="0.3">
      <c r="A715" s="15" t="s">
        <v>67</v>
      </c>
      <c r="B715" s="1"/>
      <c r="C715" s="1"/>
      <c r="D715" s="1"/>
      <c r="E715" s="55" t="s">
        <v>7</v>
      </c>
      <c r="F715" s="1"/>
      <c r="G715" s="1"/>
      <c r="H715" s="1"/>
      <c r="I715" s="55" t="s">
        <v>7</v>
      </c>
      <c r="J715" s="1"/>
      <c r="K715" s="1"/>
      <c r="L715" s="1"/>
      <c r="M715" s="55" t="s">
        <v>7</v>
      </c>
      <c r="N715" s="1"/>
      <c r="O715" s="1"/>
      <c r="P715" s="1"/>
      <c r="Q715" s="55" t="s">
        <v>7</v>
      </c>
      <c r="R715" s="55" t="s">
        <v>7</v>
      </c>
    </row>
    <row r="716" spans="1:18" ht="15.75" customHeight="1" x14ac:dyDescent="0.3">
      <c r="A716" s="15" t="s">
        <v>600</v>
      </c>
      <c r="B716" s="1"/>
      <c r="C716" s="1"/>
      <c r="D716" s="1"/>
      <c r="E716" s="55" t="s">
        <v>7</v>
      </c>
      <c r="F716" s="1"/>
      <c r="G716" s="1"/>
      <c r="H716" s="1"/>
      <c r="I716" s="55" t="s">
        <v>7</v>
      </c>
      <c r="J716" s="1"/>
      <c r="K716" s="1"/>
      <c r="L716" s="1"/>
      <c r="M716" s="55" t="s">
        <v>7</v>
      </c>
      <c r="N716" s="1"/>
      <c r="O716" s="1"/>
      <c r="P716" s="1"/>
      <c r="Q716" s="55" t="s">
        <v>7</v>
      </c>
      <c r="R716" s="55" t="s">
        <v>7</v>
      </c>
    </row>
    <row r="717" spans="1:18" ht="15.75" customHeight="1" thickBot="1" x14ac:dyDescent="0.35">
      <c r="A717" s="15" t="s">
        <v>70</v>
      </c>
      <c r="B717" s="1"/>
      <c r="C717" s="1"/>
      <c r="D717" s="1"/>
      <c r="E717" s="55" t="s">
        <v>7</v>
      </c>
      <c r="F717" s="1"/>
      <c r="G717" s="1"/>
      <c r="H717" s="1"/>
      <c r="I717" s="55" t="s">
        <v>7</v>
      </c>
      <c r="J717" s="1"/>
      <c r="K717" s="1"/>
      <c r="L717" s="1"/>
      <c r="M717" s="55" t="s">
        <v>7</v>
      </c>
      <c r="N717" s="1"/>
      <c r="O717" s="1"/>
      <c r="P717" s="1"/>
      <c r="Q717" s="55" t="s">
        <v>7</v>
      </c>
      <c r="R717" s="55" t="s">
        <v>7</v>
      </c>
    </row>
    <row r="718" spans="1:18" ht="16.5" customHeight="1" thickBot="1" x14ac:dyDescent="0.35">
      <c r="A718" s="57" t="s">
        <v>71</v>
      </c>
      <c r="B718" s="58">
        <f>SUM(B716:B717)</f>
        <v>0</v>
      </c>
      <c r="C718" s="58">
        <f>SUM(C716:C717)</f>
        <v>0</v>
      </c>
      <c r="D718" s="58">
        <f>SUM(D716:D717)</f>
        <v>0</v>
      </c>
      <c r="E718" s="60">
        <f>SUM(B718:D718)</f>
        <v>0</v>
      </c>
      <c r="F718" s="58">
        <f>SUM(F716:F717)</f>
        <v>0</v>
      </c>
      <c r="G718" s="58">
        <f>SUM(G716:G717)</f>
        <v>0</v>
      </c>
      <c r="H718" s="58">
        <f>SUM(H716:H717)</f>
        <v>0</v>
      </c>
      <c r="I718" s="60">
        <f>SUM(F718:H718)</f>
        <v>0</v>
      </c>
      <c r="J718" s="58">
        <f>SUM(J716:J717)</f>
        <v>0</v>
      </c>
      <c r="K718" s="58">
        <f>SUM(K716:K717)</f>
        <v>0</v>
      </c>
      <c r="L718" s="58">
        <f>SUM(L716:L717)</f>
        <v>0</v>
      </c>
      <c r="M718" s="60">
        <f>SUM(J718:L718)</f>
        <v>0</v>
      </c>
      <c r="N718" s="58">
        <f>SUM(N716:N717)</f>
        <v>0</v>
      </c>
      <c r="O718" s="58">
        <f>SUM(O716:O717)</f>
        <v>0</v>
      </c>
      <c r="P718" s="58">
        <f>SUM(P716:P717)</f>
        <v>0</v>
      </c>
      <c r="Q718" s="60">
        <f>SUM(N718:P718)</f>
        <v>0</v>
      </c>
      <c r="R718" s="59">
        <f>+E718+I718+M718+Q718</f>
        <v>0</v>
      </c>
    </row>
    <row r="719" spans="1:18" ht="16.5" customHeight="1" thickBot="1" x14ac:dyDescent="0.35">
      <c r="A719" s="57" t="s">
        <v>72</v>
      </c>
      <c r="B719" s="86">
        <f>SUM(B713:B717)</f>
        <v>0</v>
      </c>
      <c r="C719" s="87">
        <f>SUM(C713:C717)</f>
        <v>0</v>
      </c>
      <c r="D719" s="118">
        <f>SUM(D713:D717)</f>
        <v>0</v>
      </c>
      <c r="E719" s="60">
        <f>SUM(B719:D719)</f>
        <v>0</v>
      </c>
      <c r="F719" s="87">
        <f>SUM(F713:F717)</f>
        <v>0</v>
      </c>
      <c r="G719" s="87">
        <f>SUM(G713:G717)</f>
        <v>0</v>
      </c>
      <c r="H719" s="87">
        <f>SUM(H713:H717)</f>
        <v>0</v>
      </c>
      <c r="I719" s="60">
        <f>SUM(F719:H719)</f>
        <v>0</v>
      </c>
      <c r="J719" s="87">
        <f>SUM(J713:J717)</f>
        <v>0</v>
      </c>
      <c r="K719" s="87">
        <f>SUM(K713:K717)</f>
        <v>0</v>
      </c>
      <c r="L719" s="87">
        <f>SUM(L713:L717)</f>
        <v>0</v>
      </c>
      <c r="M719" s="60">
        <f>SUM(J719:L719)</f>
        <v>0</v>
      </c>
      <c r="N719" s="87">
        <f>SUM(N713:N717)</f>
        <v>0</v>
      </c>
      <c r="O719" s="87">
        <f>SUM(O713:O717)</f>
        <v>0</v>
      </c>
      <c r="P719" s="87">
        <f>SUM(P713:P717)</f>
        <v>0</v>
      </c>
      <c r="Q719" s="60">
        <f>SUM(N719:P719)</f>
        <v>0</v>
      </c>
      <c r="R719" s="59">
        <f>+E719+I719+M719+Q719</f>
        <v>0</v>
      </c>
    </row>
    <row r="720" spans="1:18" ht="16.5" customHeight="1" thickBot="1" x14ac:dyDescent="0.35">
      <c r="A720" s="57" t="s">
        <v>73</v>
      </c>
      <c r="B720" s="90">
        <f>+B704+B708+B712+B719</f>
        <v>0</v>
      </c>
      <c r="C720" s="58">
        <f>+C704+C708+C712+C719</f>
        <v>0</v>
      </c>
      <c r="D720" s="58">
        <f>+D704+D708+D712+D719</f>
        <v>0</v>
      </c>
      <c r="E720" s="59">
        <f>SUM(B720:D720)</f>
        <v>0</v>
      </c>
      <c r="F720" s="58">
        <f>+F704+F708+F712+F719</f>
        <v>42</v>
      </c>
      <c r="G720" s="58">
        <f>+G704+G708+G712+G719</f>
        <v>0</v>
      </c>
      <c r="H720" s="58">
        <f>+H704+H708+H712+H719</f>
        <v>0</v>
      </c>
      <c r="I720" s="59">
        <f>SUM(F720:H720)</f>
        <v>42</v>
      </c>
      <c r="J720" s="58">
        <f>+J704+J708+J712+J719</f>
        <v>3</v>
      </c>
      <c r="K720" s="58">
        <f>+K704+K708+K712+K719</f>
        <v>0</v>
      </c>
      <c r="L720" s="58">
        <f>+L704+L708+L712+L719</f>
        <v>0</v>
      </c>
      <c r="M720" s="59">
        <f>SUM(J720:L720)</f>
        <v>3</v>
      </c>
      <c r="N720" s="58">
        <f>+N704+N708+N712+N719</f>
        <v>0</v>
      </c>
      <c r="O720" s="58">
        <f>+O704+O708+O712+O719</f>
        <v>0</v>
      </c>
      <c r="P720" s="58">
        <f>+P704+P708+P712+P719</f>
        <v>0</v>
      </c>
      <c r="Q720" s="59">
        <f>SUM(N720:P720)</f>
        <v>0</v>
      </c>
      <c r="R720" s="81">
        <f>+E720+I720+M720+Q720</f>
        <v>45</v>
      </c>
    </row>
    <row r="721" spans="1:20" ht="15.75" customHeight="1" x14ac:dyDescent="0.3">
      <c r="A721" s="71" t="s">
        <v>358</v>
      </c>
      <c r="B721" s="1">
        <v>3688</v>
      </c>
      <c r="C721" s="1">
        <v>3129</v>
      </c>
      <c r="D721" s="1">
        <v>3962</v>
      </c>
      <c r="E721" s="55">
        <f>SUM(B721:D721)</f>
        <v>10779</v>
      </c>
      <c r="F721" s="1">
        <v>3372</v>
      </c>
      <c r="G721" s="1">
        <v>1479</v>
      </c>
      <c r="H721" s="1">
        <v>4867</v>
      </c>
      <c r="I721" s="55">
        <f>SUM(F721:H721)</f>
        <v>9718</v>
      </c>
      <c r="J721" s="1">
        <v>4906</v>
      </c>
      <c r="K721" s="1">
        <v>4763</v>
      </c>
      <c r="L721" s="1">
        <v>3380</v>
      </c>
      <c r="M721" s="55">
        <f>SUM(J721:L721)</f>
        <v>13049</v>
      </c>
      <c r="N721" s="1">
        <v>0</v>
      </c>
      <c r="O721" s="1">
        <v>0</v>
      </c>
      <c r="P721" s="1">
        <v>0</v>
      </c>
      <c r="Q721" s="55">
        <f>SUM(N721:P721)</f>
        <v>0</v>
      </c>
      <c r="R721" s="55">
        <f>+E721+I721+M721+Q721</f>
        <v>33546</v>
      </c>
    </row>
    <row r="722" spans="1:20" ht="15.75" customHeight="1" thickBot="1" x14ac:dyDescent="0.35">
      <c r="A722" s="71" t="s">
        <v>40</v>
      </c>
      <c r="B722" s="1">
        <v>0</v>
      </c>
      <c r="C722" s="1">
        <v>0</v>
      </c>
      <c r="D722" s="1">
        <v>0</v>
      </c>
      <c r="E722" s="55">
        <f>SUM(B722:D722)</f>
        <v>0</v>
      </c>
      <c r="F722" s="1">
        <v>0</v>
      </c>
      <c r="G722" s="1">
        <v>0</v>
      </c>
      <c r="H722" s="1">
        <v>0</v>
      </c>
      <c r="I722" s="55">
        <f>SUM(F722:H722)</f>
        <v>0</v>
      </c>
      <c r="J722" s="1">
        <v>0</v>
      </c>
      <c r="K722" s="1">
        <v>0</v>
      </c>
      <c r="L722" s="1">
        <v>0</v>
      </c>
      <c r="M722" s="55">
        <f>SUM(J722:L722)</f>
        <v>0</v>
      </c>
      <c r="N722" s="1">
        <v>0</v>
      </c>
      <c r="O722" s="1">
        <v>0</v>
      </c>
      <c r="P722" s="1">
        <v>0</v>
      </c>
      <c r="Q722" s="55">
        <f>SUM(N722:P722)</f>
        <v>0</v>
      </c>
      <c r="R722" s="55">
        <f>+E722+I722+M722+Q722</f>
        <v>0</v>
      </c>
    </row>
    <row r="723" spans="1:20" ht="16.5" customHeight="1" thickBot="1" x14ac:dyDescent="0.35">
      <c r="A723" s="130"/>
      <c r="B723" s="51"/>
      <c r="C723" s="51"/>
      <c r="D723" s="51"/>
      <c r="E723" s="59" t="s">
        <v>7</v>
      </c>
      <c r="F723" s="51"/>
      <c r="G723" s="51"/>
      <c r="H723" s="51"/>
      <c r="I723" s="59" t="s">
        <v>7</v>
      </c>
      <c r="J723" s="51"/>
      <c r="K723" s="51"/>
      <c r="L723" s="51"/>
      <c r="M723" s="59" t="s">
        <v>7</v>
      </c>
      <c r="N723" s="51"/>
      <c r="O723" s="51"/>
      <c r="P723" s="51"/>
      <c r="Q723" s="59"/>
      <c r="R723" s="59"/>
    </row>
    <row r="724" spans="1:20" ht="15.75" customHeight="1" x14ac:dyDescent="0.3">
      <c r="A724" s="15" t="s">
        <v>41</v>
      </c>
      <c r="B724" s="1">
        <f>SUM(B720:B722)</f>
        <v>3688</v>
      </c>
      <c r="C724" s="1">
        <f>SUM(C720:C722)</f>
        <v>3129</v>
      </c>
      <c r="D724" s="1">
        <f>SUM(D720:D722)</f>
        <v>3962</v>
      </c>
      <c r="E724" s="60">
        <f>SUM(B724:D724)</f>
        <v>10779</v>
      </c>
      <c r="F724" s="1">
        <f>SUM(F720:F722)</f>
        <v>3414</v>
      </c>
      <c r="G724" s="1">
        <f>SUM(G720:G722)</f>
        <v>1479</v>
      </c>
      <c r="H724" s="1">
        <f>SUM(H720:H722)</f>
        <v>4867</v>
      </c>
      <c r="I724" s="60">
        <f>SUM(F724:H724)</f>
        <v>9760</v>
      </c>
      <c r="J724" s="1">
        <f>SUM(J720:J722)</f>
        <v>4909</v>
      </c>
      <c r="K724" s="1">
        <f>SUM(K720:K722)</f>
        <v>4763</v>
      </c>
      <c r="L724" s="1">
        <f>SUM(L720:L722)</f>
        <v>3380</v>
      </c>
      <c r="M724" s="60">
        <f>SUM(J724:L724)</f>
        <v>13052</v>
      </c>
      <c r="N724" s="1">
        <f>SUM(N720:N722)</f>
        <v>0</v>
      </c>
      <c r="O724" s="1">
        <f>SUM(O720:O722)</f>
        <v>0</v>
      </c>
      <c r="P724" s="1">
        <f>SUM(P720:P722)</f>
        <v>0</v>
      </c>
      <c r="Q724" s="60">
        <f>SUM(N724:P724)</f>
        <v>0</v>
      </c>
      <c r="R724" s="60">
        <f>+E724+I724+M724+Q724</f>
        <v>33591</v>
      </c>
    </row>
    <row r="725" spans="1:20" ht="15.75" customHeight="1" x14ac:dyDescent="0.3">
      <c r="A725" s="15" t="s">
        <v>42</v>
      </c>
      <c r="B725" s="1">
        <f>(B724/B10)/1.983</f>
        <v>59.993818424348902</v>
      </c>
      <c r="C725" s="1">
        <f>(C724/C10)/1.983</f>
        <v>54.410767384840106</v>
      </c>
      <c r="D725" s="1">
        <f>(D724/D10)/1.983</f>
        <v>64.451059814878079</v>
      </c>
      <c r="E725" s="55" t="s">
        <v>7</v>
      </c>
      <c r="F725" s="1">
        <f>(F724/F10)/1.983</f>
        <v>57.387796268280376</v>
      </c>
      <c r="G725" s="1">
        <f>(G724/G10)/1.983</f>
        <v>24.05934312625055</v>
      </c>
      <c r="H725" s="1">
        <f>(H724/H10)/1.983</f>
        <v>81.812069255337022</v>
      </c>
      <c r="I725" s="55" t="s">
        <v>7</v>
      </c>
      <c r="J725" s="1">
        <f>(J724/J10)/1.983</f>
        <v>79.85619702959022</v>
      </c>
      <c r="K725" s="1">
        <f>(K724/K10)/1.983</f>
        <v>77.481170595220661</v>
      </c>
      <c r="L725" s="1">
        <f>(L724/L10)/1.983</f>
        <v>56.816271642292818</v>
      </c>
      <c r="M725" s="55" t="s">
        <v>7</v>
      </c>
      <c r="N725" s="1">
        <f>(N724/N10)/1.983</f>
        <v>0</v>
      </c>
      <c r="O725" s="1">
        <f>(O724/O10)/1.983</f>
        <v>0</v>
      </c>
      <c r="P725" s="1">
        <f>(P724/P10)/1.983</f>
        <v>0</v>
      </c>
      <c r="Q725" s="55" t="s">
        <v>7</v>
      </c>
      <c r="R725" s="55" t="s">
        <v>7</v>
      </c>
    </row>
    <row r="726" spans="1:20" ht="15.75" customHeight="1" x14ac:dyDescent="0.3">
      <c r="A726" s="15" t="s">
        <v>359</v>
      </c>
      <c r="B726" s="1">
        <f>B724</f>
        <v>3688</v>
      </c>
      <c r="C726" s="1">
        <f>C724</f>
        <v>3129</v>
      </c>
      <c r="D726" s="1">
        <f>D724</f>
        <v>3962</v>
      </c>
      <c r="E726" s="55">
        <f>SUM(B726:D726)</f>
        <v>10779</v>
      </c>
      <c r="F726" s="1">
        <f>F724</f>
        <v>3414</v>
      </c>
      <c r="G726" s="1">
        <f>G724</f>
        <v>1479</v>
      </c>
      <c r="H726" s="1">
        <f>H724</f>
        <v>4867</v>
      </c>
      <c r="I726" s="55">
        <f>SUM(F726:H726)</f>
        <v>9760</v>
      </c>
      <c r="J726" s="1">
        <f>J724</f>
        <v>4909</v>
      </c>
      <c r="K726" s="1">
        <f>K724</f>
        <v>4763</v>
      </c>
      <c r="L726" s="1">
        <f>L724</f>
        <v>3380</v>
      </c>
      <c r="M726" s="55">
        <f>SUM(J726:L726)</f>
        <v>13052</v>
      </c>
      <c r="N726" s="1">
        <f>N724</f>
        <v>0</v>
      </c>
      <c r="O726" s="1">
        <f>O724</f>
        <v>0</v>
      </c>
      <c r="P726" s="1">
        <f>P724</f>
        <v>0</v>
      </c>
      <c r="Q726" s="55">
        <f>SUM(N726:P726)</f>
        <v>0</v>
      </c>
      <c r="R726" s="55">
        <f>+E726+I726+M726+Q726</f>
        <v>33591</v>
      </c>
    </row>
    <row r="727" spans="1:20" ht="16.5" customHeight="1" thickBot="1" x14ac:dyDescent="0.35">
      <c r="A727" s="20" t="s">
        <v>360</v>
      </c>
      <c r="B727" s="21">
        <f>(B726/B10)/1.983</f>
        <v>59.993818424348902</v>
      </c>
      <c r="C727" s="21">
        <f>(C726/C10)/1.983</f>
        <v>54.410767384840106</v>
      </c>
      <c r="D727" s="21">
        <f>(D726/D10)/1.983</f>
        <v>64.451059814878079</v>
      </c>
      <c r="E727" s="81" t="s">
        <v>7</v>
      </c>
      <c r="F727" s="21">
        <f>(F726/F10)/1.983</f>
        <v>57.387796268280376</v>
      </c>
      <c r="G727" s="21">
        <f>(G726/G10)/1.983</f>
        <v>24.05934312625055</v>
      </c>
      <c r="H727" s="21">
        <f>(H726/H10)/1.983</f>
        <v>81.812069255337022</v>
      </c>
      <c r="I727" s="81" t="s">
        <v>7</v>
      </c>
      <c r="J727" s="21">
        <f>(J726/J10)/1.983</f>
        <v>79.85619702959022</v>
      </c>
      <c r="K727" s="21">
        <f>(K726/K10)/1.983</f>
        <v>77.481170595220661</v>
      </c>
      <c r="L727" s="21">
        <f>(L726/L10)/1.983</f>
        <v>56.816271642292818</v>
      </c>
      <c r="M727" s="81" t="s">
        <v>7</v>
      </c>
      <c r="N727" s="21">
        <f>(N726/N10)/1.983</f>
        <v>0</v>
      </c>
      <c r="O727" s="21">
        <f>(O726/O10)/1.983</f>
        <v>0</v>
      </c>
      <c r="P727" s="21">
        <f>(P726/P10)/1.983</f>
        <v>0</v>
      </c>
      <c r="Q727" s="81" t="s">
        <v>7</v>
      </c>
      <c r="R727" s="81" t="s">
        <v>7</v>
      </c>
    </row>
    <row r="728" spans="1:20" ht="15.75" customHeight="1" x14ac:dyDescent="0.3">
      <c r="A728" s="2"/>
      <c r="B728" s="1"/>
      <c r="C728" s="1"/>
      <c r="D728" s="1"/>
      <c r="E728" s="1"/>
      <c r="F728" s="1"/>
      <c r="G728" s="1"/>
      <c r="H728" s="1"/>
      <c r="I728" s="1"/>
      <c r="J728" s="1"/>
      <c r="K728" s="1"/>
      <c r="L728" s="1"/>
      <c r="M728" s="1"/>
      <c r="N728" s="1"/>
      <c r="O728" s="1"/>
      <c r="P728" s="1"/>
      <c r="Q728" s="1"/>
      <c r="R728" s="2"/>
    </row>
    <row r="729" spans="1:20" ht="15.75" customHeight="1" thickBot="1" x14ac:dyDescent="0.35">
      <c r="A729" s="2"/>
      <c r="B729" s="1"/>
      <c r="C729" s="1"/>
      <c r="D729" s="1"/>
      <c r="E729" s="1"/>
      <c r="F729" s="1"/>
      <c r="G729" s="1"/>
      <c r="H729" s="1"/>
      <c r="I729" s="1"/>
      <c r="J729" s="1"/>
      <c r="K729" s="1"/>
      <c r="L729" s="1"/>
      <c r="M729" s="1"/>
      <c r="N729" s="1"/>
      <c r="O729" s="1"/>
      <c r="P729" s="1"/>
      <c r="Q729" s="1"/>
      <c r="R729" s="2"/>
    </row>
    <row r="730" spans="1:20" ht="16.5" customHeight="1" thickBot="1" x14ac:dyDescent="0.35">
      <c r="A730" s="124" t="s">
        <v>361</v>
      </c>
      <c r="B730" s="30" t="s">
        <v>8</v>
      </c>
      <c r="C730" s="31" t="s">
        <v>9</v>
      </c>
      <c r="D730" s="31" t="s">
        <v>10</v>
      </c>
      <c r="E730" s="32" t="s">
        <v>11</v>
      </c>
      <c r="F730" s="31" t="s">
        <v>12</v>
      </c>
      <c r="G730" s="31" t="s">
        <v>13</v>
      </c>
      <c r="H730" s="31" t="s">
        <v>14</v>
      </c>
      <c r="I730" s="33" t="s">
        <v>15</v>
      </c>
      <c r="J730" s="31" t="s">
        <v>16</v>
      </c>
      <c r="K730" s="31" t="s">
        <v>17</v>
      </c>
      <c r="L730" s="31" t="s">
        <v>18</v>
      </c>
      <c r="M730" s="33" t="s">
        <v>19</v>
      </c>
      <c r="N730" s="31" t="s">
        <v>20</v>
      </c>
      <c r="O730" s="31" t="s">
        <v>21</v>
      </c>
      <c r="P730" s="31" t="s">
        <v>22</v>
      </c>
      <c r="Q730" s="33" t="s">
        <v>23</v>
      </c>
      <c r="R730" s="133" t="s">
        <v>24</v>
      </c>
    </row>
    <row r="731" spans="1:20" ht="16.5" customHeight="1" thickBot="1" x14ac:dyDescent="0.35">
      <c r="A731" s="41"/>
      <c r="B731" s="36"/>
      <c r="C731" s="36"/>
      <c r="D731" s="36"/>
      <c r="E731" s="52"/>
      <c r="F731" s="36"/>
      <c r="G731" s="36"/>
      <c r="H731" s="36"/>
      <c r="I731" s="132"/>
      <c r="J731" s="36"/>
      <c r="K731" s="36"/>
      <c r="L731" s="36"/>
      <c r="M731" s="132"/>
      <c r="N731" s="36"/>
      <c r="O731" s="36"/>
      <c r="P731" s="36"/>
      <c r="Q731" s="134"/>
      <c r="R731" s="135"/>
    </row>
    <row r="732" spans="1:20" ht="15.75" customHeight="1" x14ac:dyDescent="0.3">
      <c r="A732" s="15" t="s">
        <v>48</v>
      </c>
      <c r="B732" s="1" t="s">
        <v>7</v>
      </c>
      <c r="C732" s="1" t="s">
        <v>7</v>
      </c>
      <c r="D732" s="1" t="s">
        <v>7</v>
      </c>
      <c r="E732" s="136"/>
      <c r="F732" s="1" t="s">
        <v>7</v>
      </c>
      <c r="G732" s="1" t="s">
        <v>7</v>
      </c>
      <c r="H732" s="1" t="s">
        <v>7</v>
      </c>
      <c r="I732" s="136"/>
      <c r="J732" s="1" t="s">
        <v>7</v>
      </c>
      <c r="K732" s="1" t="s">
        <v>7</v>
      </c>
      <c r="L732" s="1" t="s">
        <v>7</v>
      </c>
      <c r="M732" s="136"/>
      <c r="N732" s="1" t="s">
        <v>7</v>
      </c>
      <c r="O732" s="1" t="s">
        <v>7</v>
      </c>
      <c r="P732" s="1" t="s">
        <v>7</v>
      </c>
      <c r="Q732" s="137"/>
      <c r="R732" s="138" t="s">
        <v>7</v>
      </c>
    </row>
    <row r="733" spans="1:20" ht="15.75" customHeight="1" x14ac:dyDescent="0.3">
      <c r="A733" s="15" t="s">
        <v>49</v>
      </c>
      <c r="B733" s="1"/>
      <c r="C733" s="1"/>
      <c r="D733" s="1"/>
      <c r="E733" s="55" t="s">
        <v>7</v>
      </c>
      <c r="F733" s="1"/>
      <c r="G733" s="1"/>
      <c r="H733" s="1"/>
      <c r="I733" s="55" t="s">
        <v>7</v>
      </c>
      <c r="J733" s="1"/>
      <c r="K733" s="1"/>
      <c r="L733" s="1"/>
      <c r="M733" s="55" t="s">
        <v>7</v>
      </c>
      <c r="N733" s="1"/>
      <c r="O733" s="1"/>
      <c r="P733" s="1"/>
      <c r="Q733" s="55" t="s">
        <v>7</v>
      </c>
      <c r="R733" s="55" t="s">
        <v>7</v>
      </c>
    </row>
    <row r="734" spans="1:20" ht="15.75" customHeight="1" x14ac:dyDescent="0.3">
      <c r="A734" s="71" t="s">
        <v>362</v>
      </c>
      <c r="B734" s="1"/>
      <c r="C734" s="1"/>
      <c r="D734" s="1"/>
      <c r="E734" s="55">
        <f>SUM(B734:D734)</f>
        <v>0</v>
      </c>
      <c r="F734" s="1"/>
      <c r="G734" s="1"/>
      <c r="H734" s="1"/>
      <c r="I734" s="55">
        <f>SUM(F734:H734)</f>
        <v>0</v>
      </c>
      <c r="J734" s="1"/>
      <c r="K734" s="1"/>
      <c r="L734" s="1"/>
      <c r="M734" s="55">
        <f>SUM(J734:L734)</f>
        <v>0</v>
      </c>
      <c r="N734" s="1"/>
      <c r="O734" s="1"/>
      <c r="P734" s="1"/>
      <c r="Q734" s="55">
        <f>SUM(N734:P734)</f>
        <v>0</v>
      </c>
      <c r="R734" s="55">
        <f>+E734+I734+M734+Q734</f>
        <v>0</v>
      </c>
      <c r="T734" s="4" t="s">
        <v>1005</v>
      </c>
    </row>
    <row r="735" spans="1:20" ht="15.75" customHeight="1" x14ac:dyDescent="0.3">
      <c r="A735" s="71" t="s">
        <v>368</v>
      </c>
      <c r="B735" s="1"/>
      <c r="C735" s="1"/>
      <c r="D735" s="1">
        <v>1000</v>
      </c>
      <c r="E735" s="55">
        <f>SUM(B735:D735)</f>
        <v>1000</v>
      </c>
      <c r="F735" s="1"/>
      <c r="G735" s="1"/>
      <c r="H735" s="1"/>
      <c r="I735" s="55">
        <f>SUM(F735:H735)</f>
        <v>0</v>
      </c>
      <c r="J735" s="1"/>
      <c r="K735" s="1"/>
      <c r="L735" s="1"/>
      <c r="M735" s="55">
        <f>SUM(J735:L735)</f>
        <v>0</v>
      </c>
      <c r="N735" s="1"/>
      <c r="O735" s="1"/>
      <c r="P735" s="1"/>
      <c r="Q735" s="55">
        <f>SUM(N735:P735)</f>
        <v>0</v>
      </c>
      <c r="R735" s="55">
        <f>+E735+I735+M735+Q735</f>
        <v>1000</v>
      </c>
    </row>
    <row r="736" spans="1:20" ht="15.75" customHeight="1" x14ac:dyDescent="0.3">
      <c r="A736" s="71" t="s">
        <v>1006</v>
      </c>
      <c r="B736" s="1">
        <v>50</v>
      </c>
      <c r="C736" s="1"/>
      <c r="D736" s="1"/>
      <c r="E736" s="55">
        <f>SUM(B736:D736)</f>
        <v>50</v>
      </c>
      <c r="F736" s="1"/>
      <c r="G736" s="1"/>
      <c r="H736" s="1"/>
      <c r="I736" s="55">
        <f>SUM(F736:H736)</f>
        <v>0</v>
      </c>
      <c r="J736" s="1"/>
      <c r="K736" s="1"/>
      <c r="L736" s="1"/>
      <c r="M736" s="55">
        <f>SUM(J736:L736)</f>
        <v>0</v>
      </c>
      <c r="N736" s="1"/>
      <c r="O736" s="1"/>
      <c r="P736" s="1"/>
      <c r="Q736" s="55">
        <f>SUM(N736:P736)</f>
        <v>0</v>
      </c>
      <c r="R736" s="55">
        <f>+E736+I736+M736+Q736</f>
        <v>50</v>
      </c>
    </row>
    <row r="737" spans="1:20" ht="15.75" customHeight="1" x14ac:dyDescent="0.3">
      <c r="A737" s="71" t="s">
        <v>664</v>
      </c>
      <c r="B737" s="1">
        <v>3184</v>
      </c>
      <c r="C737" s="1">
        <v>2158</v>
      </c>
      <c r="D737" s="1">
        <v>1697</v>
      </c>
      <c r="E737" s="55">
        <f>SUM(B737:D737)</f>
        <v>7039</v>
      </c>
      <c r="F737" s="1">
        <v>2667</v>
      </c>
      <c r="G737" s="1">
        <v>2343</v>
      </c>
      <c r="H737" s="1">
        <v>2878</v>
      </c>
      <c r="I737" s="55">
        <f>SUM(F737:H737)</f>
        <v>7888</v>
      </c>
      <c r="J737" s="1">
        <v>2043</v>
      </c>
      <c r="K737" s="1">
        <v>491</v>
      </c>
      <c r="L737" s="1">
        <v>3079</v>
      </c>
      <c r="M737" s="55">
        <f>SUM(J737:L737)</f>
        <v>5613</v>
      </c>
      <c r="N737" s="1">
        <v>1169</v>
      </c>
      <c r="O737" s="1">
        <v>64</v>
      </c>
      <c r="P737" s="1">
        <v>3227</v>
      </c>
      <c r="Q737" s="55">
        <f>SUM(N737:P737)</f>
        <v>4460</v>
      </c>
      <c r="R737" s="55">
        <f>+E737+I737+M737+Q737</f>
        <v>25000</v>
      </c>
    </row>
    <row r="738" spans="1:20" ht="15.75" customHeight="1" x14ac:dyDescent="0.3">
      <c r="A738" s="15" t="s">
        <v>50</v>
      </c>
      <c r="B738" s="1"/>
      <c r="C738" s="1"/>
      <c r="D738" s="1"/>
      <c r="E738" s="55" t="s">
        <v>7</v>
      </c>
      <c r="F738" s="1"/>
      <c r="G738" s="1"/>
      <c r="H738" s="1"/>
      <c r="I738" s="55" t="s">
        <v>7</v>
      </c>
      <c r="J738" s="1"/>
      <c r="K738" s="1"/>
      <c r="L738" s="1"/>
      <c r="M738" s="55" t="s">
        <v>7</v>
      </c>
      <c r="N738" s="1"/>
      <c r="O738" s="1"/>
      <c r="P738" s="1"/>
      <c r="Q738" s="55" t="s">
        <v>7</v>
      </c>
      <c r="R738" s="55" t="s">
        <v>7</v>
      </c>
    </row>
    <row r="739" spans="1:20" ht="15.75" customHeight="1" x14ac:dyDescent="0.3">
      <c r="A739" s="15" t="s">
        <v>51</v>
      </c>
      <c r="B739" s="1"/>
      <c r="C739" s="1"/>
      <c r="D739" s="1"/>
      <c r="E739" s="55" t="s">
        <v>7</v>
      </c>
      <c r="F739" s="1"/>
      <c r="G739" s="1"/>
      <c r="H739" s="1"/>
      <c r="I739" s="55" t="s">
        <v>7</v>
      </c>
      <c r="J739" s="1"/>
      <c r="K739" s="1"/>
      <c r="L739" s="1"/>
      <c r="M739" s="55" t="s">
        <v>7</v>
      </c>
      <c r="N739" s="1"/>
      <c r="O739" s="1"/>
      <c r="P739" s="1"/>
      <c r="Q739" s="55" t="s">
        <v>7</v>
      </c>
      <c r="R739" s="55" t="s">
        <v>7</v>
      </c>
    </row>
    <row r="740" spans="1:20" ht="15.75" customHeight="1" x14ac:dyDescent="0.3">
      <c r="A740" s="71" t="s">
        <v>366</v>
      </c>
      <c r="B740" s="1"/>
      <c r="C740" s="1"/>
      <c r="D740" s="1"/>
      <c r="E740" s="55">
        <f>SUM(B740:D740)</f>
        <v>0</v>
      </c>
      <c r="F740" s="1"/>
      <c r="G740" s="1"/>
      <c r="H740" s="1"/>
      <c r="I740" s="55">
        <f>SUM(F740:H740)</f>
        <v>0</v>
      </c>
      <c r="J740" s="1"/>
      <c r="K740" s="1"/>
      <c r="L740" s="1"/>
      <c r="M740" s="55">
        <f>SUM(J740:L740)</f>
        <v>0</v>
      </c>
      <c r="N740" s="1"/>
      <c r="O740" s="1"/>
      <c r="P740" s="1"/>
      <c r="Q740" s="55">
        <f>SUM(N740:P740)</f>
        <v>0</v>
      </c>
      <c r="R740" s="55">
        <f>+E740+I740+M740+Q740</f>
        <v>0</v>
      </c>
    </row>
    <row r="741" spans="1:20" ht="15.75" customHeight="1" thickBot="1" x14ac:dyDescent="0.35">
      <c r="A741" s="15" t="s">
        <v>53</v>
      </c>
      <c r="B741" s="1"/>
      <c r="C741" s="1"/>
      <c r="D741" s="1"/>
      <c r="E741" s="55" t="s">
        <v>7</v>
      </c>
      <c r="F741" s="1"/>
      <c r="G741" s="1"/>
      <c r="H741" s="1"/>
      <c r="I741" s="55" t="s">
        <v>7</v>
      </c>
      <c r="J741" s="1"/>
      <c r="K741" s="1"/>
      <c r="L741" s="1"/>
      <c r="M741" s="55" t="s">
        <v>7</v>
      </c>
      <c r="N741" s="1"/>
      <c r="O741" s="1"/>
      <c r="P741" s="1"/>
      <c r="Q741" s="55" t="s">
        <v>7</v>
      </c>
      <c r="R741" s="55" t="s">
        <v>7</v>
      </c>
    </row>
    <row r="742" spans="1:20" ht="16.5" customHeight="1" thickBot="1" x14ac:dyDescent="0.35">
      <c r="A742" s="57" t="s">
        <v>54</v>
      </c>
      <c r="B742" s="86">
        <f>SUM(B732:B741)</f>
        <v>3234</v>
      </c>
      <c r="C742" s="87">
        <f>SUM(C732:C741)</f>
        <v>2158</v>
      </c>
      <c r="D742" s="87">
        <f>SUM(D732:D741)</f>
        <v>2697</v>
      </c>
      <c r="E742" s="59">
        <f>SUM(B742:D742)</f>
        <v>8089</v>
      </c>
      <c r="F742" s="87">
        <f>SUM(F732:F741)</f>
        <v>2667</v>
      </c>
      <c r="G742" s="87">
        <f>SUM(G732:G741)</f>
        <v>2343</v>
      </c>
      <c r="H742" s="87">
        <f>SUM(H732:H741)</f>
        <v>2878</v>
      </c>
      <c r="I742" s="59">
        <f>SUM(F742:H742)</f>
        <v>7888</v>
      </c>
      <c r="J742" s="87">
        <f>SUM(J732:J741)</f>
        <v>2043</v>
      </c>
      <c r="K742" s="87">
        <f>SUM(K732:K741)</f>
        <v>491</v>
      </c>
      <c r="L742" s="87">
        <f>SUM(L732:L741)</f>
        <v>3079</v>
      </c>
      <c r="M742" s="59">
        <f>SUM(J742:L742)</f>
        <v>5613</v>
      </c>
      <c r="N742" s="87">
        <f>SUM(N732:N741)</f>
        <v>1169</v>
      </c>
      <c r="O742" s="87">
        <f>SUM(O732:O741)</f>
        <v>64</v>
      </c>
      <c r="P742" s="87">
        <f>SUM(P732:P741)</f>
        <v>3227</v>
      </c>
      <c r="Q742" s="59">
        <f>SUM(N742:P742)</f>
        <v>4460</v>
      </c>
      <c r="R742" s="59">
        <f>+E742+I742+M742+Q742</f>
        <v>26050</v>
      </c>
    </row>
    <row r="743" spans="1:20" ht="15.75" customHeight="1" x14ac:dyDescent="0.3">
      <c r="A743" s="15" t="s">
        <v>55</v>
      </c>
      <c r="B743" s="1"/>
      <c r="C743" s="1"/>
      <c r="D743" s="1"/>
      <c r="E743" s="55" t="s">
        <v>7</v>
      </c>
      <c r="F743" s="1"/>
      <c r="G743" s="1"/>
      <c r="H743" s="1"/>
      <c r="I743" s="55" t="s">
        <v>7</v>
      </c>
      <c r="J743" s="1"/>
      <c r="K743" s="1"/>
      <c r="L743" s="1"/>
      <c r="M743" s="55" t="s">
        <v>7</v>
      </c>
      <c r="N743" s="1"/>
      <c r="O743" s="1"/>
      <c r="P743" s="1"/>
      <c r="Q743" s="55" t="s">
        <v>7</v>
      </c>
      <c r="R743" s="55" t="s">
        <v>7</v>
      </c>
    </row>
    <row r="744" spans="1:20" ht="15.75" customHeight="1" x14ac:dyDescent="0.3">
      <c r="A744" s="15" t="s">
        <v>57</v>
      </c>
      <c r="B744" s="1"/>
      <c r="C744" s="1"/>
      <c r="D744" s="1"/>
      <c r="E744" s="55" t="s">
        <v>7</v>
      </c>
      <c r="F744" s="1"/>
      <c r="G744" s="1"/>
      <c r="H744" s="1"/>
      <c r="I744" s="55" t="s">
        <v>7</v>
      </c>
      <c r="J744" s="1"/>
      <c r="K744" s="1"/>
      <c r="L744" s="1"/>
      <c r="M744" s="55" t="s">
        <v>7</v>
      </c>
      <c r="N744" s="1"/>
      <c r="O744" s="1"/>
      <c r="P744" s="1"/>
      <c r="Q744" s="55" t="s">
        <v>7</v>
      </c>
      <c r="R744" s="55" t="s">
        <v>7</v>
      </c>
    </row>
    <row r="745" spans="1:20" ht="15.75" customHeight="1" x14ac:dyDescent="0.3">
      <c r="A745" s="71" t="s">
        <v>781</v>
      </c>
      <c r="B745" s="1"/>
      <c r="C745" s="1"/>
      <c r="D745" s="1"/>
      <c r="E745" s="55">
        <f>SUM(B745:D745)</f>
        <v>0</v>
      </c>
      <c r="F745" s="1"/>
      <c r="G745" s="1"/>
      <c r="H745" s="1"/>
      <c r="I745" s="55">
        <f>SUM(F745:H745)</f>
        <v>0</v>
      </c>
      <c r="J745" s="1"/>
      <c r="K745" s="1"/>
      <c r="L745" s="1"/>
      <c r="M745" s="55">
        <f>SUM(J745:L745)</f>
        <v>0</v>
      </c>
      <c r="N745" s="1"/>
      <c r="O745" s="1"/>
      <c r="P745" s="1"/>
      <c r="Q745" s="55">
        <f>SUM(N745:P745)</f>
        <v>0</v>
      </c>
      <c r="R745" s="55">
        <f>+E745+I745+M745+Q745</f>
        <v>0</v>
      </c>
    </row>
    <row r="746" spans="1:20" ht="15.75" customHeight="1" thickBot="1" x14ac:dyDescent="0.35">
      <c r="A746" s="15" t="s">
        <v>58</v>
      </c>
      <c r="B746" s="1"/>
      <c r="C746" s="1"/>
      <c r="D746" s="1"/>
      <c r="E746" s="55" t="s">
        <v>7</v>
      </c>
      <c r="F746" s="1"/>
      <c r="G746" s="1"/>
      <c r="H746" s="1"/>
      <c r="I746" s="55" t="s">
        <v>7</v>
      </c>
      <c r="J746" s="1"/>
      <c r="K746" s="1"/>
      <c r="L746" s="1"/>
      <c r="M746" s="55" t="s">
        <v>7</v>
      </c>
      <c r="N746" s="1"/>
      <c r="O746" s="1"/>
      <c r="P746" s="1"/>
      <c r="Q746" s="55" t="s">
        <v>7</v>
      </c>
      <c r="R746" s="55" t="s">
        <v>7</v>
      </c>
    </row>
    <row r="747" spans="1:20" ht="16.5" customHeight="1" thickBot="1" x14ac:dyDescent="0.35">
      <c r="A747" s="57" t="s">
        <v>59</v>
      </c>
      <c r="B747" s="86">
        <f>SUM(B743:B746)</f>
        <v>0</v>
      </c>
      <c r="C747" s="87">
        <f>SUM(C743:C746)</f>
        <v>0</v>
      </c>
      <c r="D747" s="87">
        <f>SUM(D743:D746)</f>
        <v>0</v>
      </c>
      <c r="E747" s="59">
        <f>SUM(B747:D747)</f>
        <v>0</v>
      </c>
      <c r="F747" s="87">
        <f>SUM(F743:F746)</f>
        <v>0</v>
      </c>
      <c r="G747" s="87">
        <f>SUM(G743:G746)</f>
        <v>0</v>
      </c>
      <c r="H747" s="87">
        <f>SUM(H743:H746)</f>
        <v>0</v>
      </c>
      <c r="I747" s="59">
        <f>SUM(F747:H747)</f>
        <v>0</v>
      </c>
      <c r="J747" s="87">
        <f>SUM(J743:J746)</f>
        <v>0</v>
      </c>
      <c r="K747" s="87">
        <f>SUM(K743:K746)</f>
        <v>0</v>
      </c>
      <c r="L747" s="87">
        <f>SUM(L743:L746)</f>
        <v>0</v>
      </c>
      <c r="M747" s="59">
        <f>SUM(J747:L747)</f>
        <v>0</v>
      </c>
      <c r="N747" s="87">
        <f>SUM(N743:N746)</f>
        <v>0</v>
      </c>
      <c r="O747" s="87">
        <f>SUM(O743:O746)</f>
        <v>0</v>
      </c>
      <c r="P747" s="87">
        <f>SUM(P743:P746)</f>
        <v>0</v>
      </c>
      <c r="Q747" s="59">
        <f>SUM(N747:P747)</f>
        <v>0</v>
      </c>
      <c r="R747" s="59">
        <f>+E747+I747+M747+Q747</f>
        <v>0</v>
      </c>
    </row>
    <row r="748" spans="1:20" ht="15.75" customHeight="1" x14ac:dyDescent="0.3">
      <c r="A748" s="15" t="s">
        <v>60</v>
      </c>
      <c r="B748" s="1"/>
      <c r="C748" s="1"/>
      <c r="D748" s="1"/>
      <c r="E748" s="55" t="s">
        <v>7</v>
      </c>
      <c r="F748" s="1"/>
      <c r="G748" s="1"/>
      <c r="H748" s="1"/>
      <c r="I748" s="55" t="s">
        <v>7</v>
      </c>
      <c r="J748" s="1" t="s">
        <v>7</v>
      </c>
      <c r="K748" s="1"/>
      <c r="L748" s="1"/>
      <c r="M748" s="55" t="s">
        <v>7</v>
      </c>
      <c r="N748" s="1"/>
      <c r="O748" s="1"/>
      <c r="P748" s="1"/>
      <c r="Q748" s="55" t="s">
        <v>7</v>
      </c>
      <c r="R748" s="55" t="s">
        <v>7</v>
      </c>
    </row>
    <row r="749" spans="1:20" ht="18" customHeight="1" x14ac:dyDescent="0.3">
      <c r="A749" s="15" t="s">
        <v>61</v>
      </c>
      <c r="B749" s="1"/>
      <c r="C749" s="1"/>
      <c r="D749" s="1"/>
      <c r="E749" s="55" t="s">
        <v>7</v>
      </c>
      <c r="F749" s="1"/>
      <c r="G749" s="1"/>
      <c r="H749" s="1"/>
      <c r="I749" s="55" t="s">
        <v>7</v>
      </c>
      <c r="J749" s="1"/>
      <c r="K749" s="1"/>
      <c r="L749" s="1"/>
      <c r="M749" s="55" t="s">
        <v>7</v>
      </c>
      <c r="N749" s="1"/>
      <c r="O749" s="1"/>
      <c r="P749" s="1"/>
      <c r="Q749" s="55" t="s">
        <v>7</v>
      </c>
      <c r="R749" s="55" t="s">
        <v>7</v>
      </c>
    </row>
    <row r="750" spans="1:20" ht="15.75" customHeight="1" x14ac:dyDescent="0.3">
      <c r="A750" s="71" t="s">
        <v>1007</v>
      </c>
      <c r="B750" s="1">
        <v>64</v>
      </c>
      <c r="C750" s="1">
        <v>216</v>
      </c>
      <c r="D750" s="1">
        <v>541</v>
      </c>
      <c r="E750" s="55">
        <f>SUM(B750:D750)</f>
        <v>821</v>
      </c>
      <c r="F750" s="1">
        <v>683</v>
      </c>
      <c r="G750" s="1">
        <v>896</v>
      </c>
      <c r="H750" s="1">
        <v>885</v>
      </c>
      <c r="I750" s="55">
        <f>SUM(F750:H750)</f>
        <v>2464</v>
      </c>
      <c r="J750" s="1">
        <v>946</v>
      </c>
      <c r="K750" s="1">
        <v>735</v>
      </c>
      <c r="L750" s="1">
        <v>925</v>
      </c>
      <c r="M750" s="55">
        <f>SUM(J750:L750)</f>
        <v>2606</v>
      </c>
      <c r="N750" s="1">
        <v>223</v>
      </c>
      <c r="O750" s="1">
        <v>572</v>
      </c>
      <c r="P750" s="1">
        <v>462</v>
      </c>
      <c r="Q750" s="55">
        <f>SUM(N750:P750)</f>
        <v>1257</v>
      </c>
      <c r="R750" s="55">
        <f>+E750+I750+M750+Q750</f>
        <v>7148</v>
      </c>
      <c r="T750" s="4" t="s">
        <v>1008</v>
      </c>
    </row>
    <row r="751" spans="1:20" ht="15.75" customHeight="1" x14ac:dyDescent="0.3">
      <c r="A751" s="71" t="s">
        <v>1009</v>
      </c>
      <c r="B751" s="1">
        <v>20</v>
      </c>
      <c r="C751" s="1">
        <v>49</v>
      </c>
      <c r="D751" s="1">
        <v>45</v>
      </c>
      <c r="E751" s="55">
        <f>SUM(B751:D751)</f>
        <v>114</v>
      </c>
      <c r="F751" s="1">
        <v>76</v>
      </c>
      <c r="G751" s="1">
        <v>79</v>
      </c>
      <c r="H751" s="1">
        <v>108</v>
      </c>
      <c r="I751" s="55">
        <f>SUM(F751:H751)</f>
        <v>263</v>
      </c>
      <c r="J751" s="1">
        <v>85</v>
      </c>
      <c r="K751" s="1">
        <v>38</v>
      </c>
      <c r="L751" s="1"/>
      <c r="M751" s="55">
        <f>SUM(J751:L751)</f>
        <v>123</v>
      </c>
      <c r="N751" s="1"/>
      <c r="O751" s="1"/>
      <c r="P751" s="1"/>
      <c r="Q751" s="55">
        <f>SUM(N751:P751)</f>
        <v>0</v>
      </c>
      <c r="R751" s="55">
        <f>+E751+I751+M751+Q751</f>
        <v>500</v>
      </c>
      <c r="T751" s="4" t="s">
        <v>1010</v>
      </c>
    </row>
    <row r="752" spans="1:20" ht="15.75" customHeight="1" x14ac:dyDescent="0.3">
      <c r="A752" s="15" t="s">
        <v>62</v>
      </c>
      <c r="B752" s="1"/>
      <c r="C752" s="1"/>
      <c r="D752" s="1"/>
      <c r="E752" s="55" t="s">
        <v>7</v>
      </c>
      <c r="F752" s="1"/>
      <c r="G752" s="1"/>
      <c r="H752" s="1"/>
      <c r="I752" s="55" t="s">
        <v>7</v>
      </c>
      <c r="J752" s="1"/>
      <c r="K752" s="1"/>
      <c r="L752" s="1"/>
      <c r="M752" s="55" t="s">
        <v>7</v>
      </c>
      <c r="N752" s="1"/>
      <c r="O752" s="1"/>
      <c r="P752" s="1"/>
      <c r="Q752" s="55" t="s">
        <v>7</v>
      </c>
      <c r="R752" s="55" t="s">
        <v>7</v>
      </c>
    </row>
    <row r="753" spans="1:20" ht="15.75" customHeight="1" x14ac:dyDescent="0.3">
      <c r="A753" s="71" t="s">
        <v>1011</v>
      </c>
      <c r="B753" s="1"/>
      <c r="C753" s="1"/>
      <c r="D753" s="1"/>
      <c r="E753" s="55">
        <f>SUM(B753:D753)</f>
        <v>0</v>
      </c>
      <c r="F753" s="1"/>
      <c r="G753" s="1"/>
      <c r="H753" s="1"/>
      <c r="I753" s="55">
        <f>SUM(F753:H753)</f>
        <v>0</v>
      </c>
      <c r="J753" s="1"/>
      <c r="K753" s="1">
        <v>25</v>
      </c>
      <c r="L753" s="1">
        <v>50</v>
      </c>
      <c r="M753" s="55">
        <f>SUM(J753:L753)</f>
        <v>75</v>
      </c>
      <c r="N753" s="1">
        <v>43</v>
      </c>
      <c r="O753" s="1">
        <v>38</v>
      </c>
      <c r="P753" s="1">
        <v>18</v>
      </c>
      <c r="Q753" s="55">
        <f>SUM(N753:P753)</f>
        <v>99</v>
      </c>
      <c r="R753" s="55">
        <f>+E753+I753+M753+Q753</f>
        <v>174</v>
      </c>
      <c r="T753" s="4" t="s">
        <v>1010</v>
      </c>
    </row>
    <row r="754" spans="1:20" ht="15.75" customHeight="1" x14ac:dyDescent="0.3">
      <c r="A754" s="71" t="s">
        <v>1012</v>
      </c>
      <c r="B754" s="1"/>
      <c r="C754" s="1"/>
      <c r="D754" s="1"/>
      <c r="E754" s="55">
        <f>SUM(B754:D754)</f>
        <v>0</v>
      </c>
      <c r="F754" s="1"/>
      <c r="G754" s="1"/>
      <c r="H754" s="1"/>
      <c r="I754" s="55">
        <f>SUM(F754:H754)</f>
        <v>0</v>
      </c>
      <c r="J754" s="1"/>
      <c r="K754" s="1"/>
      <c r="L754" s="1"/>
      <c r="M754" s="55">
        <f>SUM(J754:L754)</f>
        <v>0</v>
      </c>
      <c r="N754" s="1"/>
      <c r="O754" s="1"/>
      <c r="P754" s="1"/>
      <c r="Q754" s="55">
        <f>SUM(N754:P754)</f>
        <v>0</v>
      </c>
      <c r="R754" s="55">
        <f>+E754+I754+M754+Q754</f>
        <v>0</v>
      </c>
    </row>
    <row r="755" spans="1:20" ht="15.75" customHeight="1" x14ac:dyDescent="0.3">
      <c r="A755" s="71" t="s">
        <v>666</v>
      </c>
      <c r="B755" s="1"/>
      <c r="C755" s="1"/>
      <c r="D755" s="1"/>
      <c r="E755" s="55">
        <f>SUM(B755:D755)</f>
        <v>0</v>
      </c>
      <c r="F755" s="1"/>
      <c r="G755" s="1"/>
      <c r="H755" s="1"/>
      <c r="I755" s="55">
        <f>SUM(F755:H755)</f>
        <v>0</v>
      </c>
      <c r="J755" s="1"/>
      <c r="K755" s="1"/>
      <c r="L755" s="1"/>
      <c r="M755" s="55">
        <f>SUM(J755:L755)</f>
        <v>0</v>
      </c>
      <c r="N755" s="1"/>
      <c r="O755" s="1"/>
      <c r="P755" s="1"/>
      <c r="Q755" s="55">
        <f>SUM(N755:P755)</f>
        <v>0</v>
      </c>
      <c r="R755" s="55">
        <f>+E755+I755+M755+Q755</f>
        <v>0</v>
      </c>
      <c r="T755" s="4" t="s">
        <v>1005</v>
      </c>
    </row>
    <row r="756" spans="1:20" ht="15.75" customHeight="1" thickBot="1" x14ac:dyDescent="0.35">
      <c r="A756" s="71" t="s">
        <v>782</v>
      </c>
      <c r="B756" s="1">
        <v>549</v>
      </c>
      <c r="C756" s="1">
        <v>576</v>
      </c>
      <c r="D756" s="1">
        <v>687</v>
      </c>
      <c r="E756" s="55">
        <f>SUM(B756:D756)</f>
        <v>1812</v>
      </c>
      <c r="F756" s="1">
        <v>671</v>
      </c>
      <c r="G756" s="1">
        <v>757</v>
      </c>
      <c r="H756" s="1">
        <v>485</v>
      </c>
      <c r="I756" s="55">
        <f>SUM(F756:H756)</f>
        <v>1913</v>
      </c>
      <c r="J756" s="1">
        <v>545</v>
      </c>
      <c r="K756" s="1">
        <v>834</v>
      </c>
      <c r="L756" s="1">
        <v>746</v>
      </c>
      <c r="M756" s="55">
        <f>SUM(J756:L756)</f>
        <v>2125</v>
      </c>
      <c r="N756" s="1">
        <v>402</v>
      </c>
      <c r="O756" s="1">
        <v>477</v>
      </c>
      <c r="P756" s="1">
        <v>703</v>
      </c>
      <c r="Q756" s="55">
        <f>SUM(N756:P756)</f>
        <v>1582</v>
      </c>
      <c r="R756" s="55">
        <f>+E756+I756+M756+Q756</f>
        <v>7432</v>
      </c>
      <c r="T756" s="4" t="s">
        <v>1013</v>
      </c>
    </row>
    <row r="757" spans="1:20" ht="16.5" customHeight="1" thickBot="1" x14ac:dyDescent="0.35">
      <c r="A757" s="57" t="s">
        <v>63</v>
      </c>
      <c r="B757" s="86">
        <f>SUM(B748:B756)</f>
        <v>633</v>
      </c>
      <c r="C757" s="87">
        <f>SUM(C748:C756)</f>
        <v>841</v>
      </c>
      <c r="D757" s="87">
        <f>SUM(D748:D756)</f>
        <v>1273</v>
      </c>
      <c r="E757" s="59">
        <f>SUM(B757:D757)</f>
        <v>2747</v>
      </c>
      <c r="F757" s="87">
        <f>SUM(F748:F756)</f>
        <v>1430</v>
      </c>
      <c r="G757" s="87">
        <f>SUM(G748:G756)</f>
        <v>1732</v>
      </c>
      <c r="H757" s="87">
        <f>SUM(H748:H756)</f>
        <v>1478</v>
      </c>
      <c r="I757" s="59">
        <f>SUM(F757:H757)</f>
        <v>4640</v>
      </c>
      <c r="J757" s="87">
        <f>SUM(J748:J756)</f>
        <v>1576</v>
      </c>
      <c r="K757" s="87">
        <f>SUM(K748:K756)</f>
        <v>1632</v>
      </c>
      <c r="L757" s="87">
        <f>SUM(L748:L756)</f>
        <v>1721</v>
      </c>
      <c r="M757" s="59">
        <f>SUM(J757:L757)</f>
        <v>4929</v>
      </c>
      <c r="N757" s="87">
        <f>SUM(N748:N756)</f>
        <v>668</v>
      </c>
      <c r="O757" s="87">
        <f>SUM(O748:O756)</f>
        <v>1087</v>
      </c>
      <c r="P757" s="87">
        <f>SUM(P748:P756)</f>
        <v>1183</v>
      </c>
      <c r="Q757" s="59">
        <f>SUM(N757:P757)</f>
        <v>2938</v>
      </c>
      <c r="R757" s="59">
        <f>+E757+I757+M757+Q757</f>
        <v>15254</v>
      </c>
    </row>
    <row r="758" spans="1:20" ht="15.75" customHeight="1" x14ac:dyDescent="0.3">
      <c r="A758" s="15" t="s">
        <v>64</v>
      </c>
      <c r="B758" s="1"/>
      <c r="C758" s="1"/>
      <c r="D758" s="1"/>
      <c r="E758" s="55" t="s">
        <v>7</v>
      </c>
      <c r="F758" s="1"/>
      <c r="G758" s="1"/>
      <c r="H758" s="1"/>
      <c r="I758" s="55" t="s">
        <v>7</v>
      </c>
      <c r="J758" s="1"/>
      <c r="K758" s="1"/>
      <c r="L758" s="1"/>
      <c r="M758" s="55" t="s">
        <v>7</v>
      </c>
      <c r="N758" s="1"/>
      <c r="O758" s="1"/>
      <c r="P758" s="1"/>
      <c r="Q758" s="55" t="s">
        <v>7</v>
      </c>
      <c r="R758" s="55" t="s">
        <v>7</v>
      </c>
    </row>
    <row r="759" spans="1:20" ht="15.75" customHeight="1" x14ac:dyDescent="0.3">
      <c r="A759" s="15" t="s">
        <v>594</v>
      </c>
      <c r="B759" s="1"/>
      <c r="C759" s="1"/>
      <c r="D759" s="1"/>
      <c r="E759" s="55" t="s">
        <v>7</v>
      </c>
      <c r="F759" s="1"/>
      <c r="G759" s="1"/>
      <c r="H759" s="1"/>
      <c r="I759" s="55" t="s">
        <v>7</v>
      </c>
      <c r="J759" s="1"/>
      <c r="K759" s="1"/>
      <c r="L759" s="1"/>
      <c r="M759" s="55" t="s">
        <v>7</v>
      </c>
      <c r="N759" s="1"/>
      <c r="O759" s="1"/>
      <c r="P759" s="1"/>
      <c r="Q759" s="55" t="s">
        <v>7</v>
      </c>
      <c r="R759" s="55" t="s">
        <v>7</v>
      </c>
    </row>
    <row r="760" spans="1:20" ht="15.75" customHeight="1" x14ac:dyDescent="0.3">
      <c r="A760" s="71" t="s">
        <v>366</v>
      </c>
      <c r="B760" s="1"/>
      <c r="C760" s="1"/>
      <c r="D760" s="1"/>
      <c r="E760" s="55">
        <f>SUM(B760:D760)</f>
        <v>0</v>
      </c>
      <c r="F760" s="1"/>
      <c r="G760" s="1"/>
      <c r="H760" s="1"/>
      <c r="I760" s="55">
        <f>SUM(F760:H760)</f>
        <v>0</v>
      </c>
      <c r="J760" s="1"/>
      <c r="K760" s="1"/>
      <c r="L760" s="1"/>
      <c r="M760" s="55">
        <f>SUM(J760:L760)</f>
        <v>0</v>
      </c>
      <c r="N760" s="1"/>
      <c r="O760" s="1"/>
      <c r="P760" s="1"/>
      <c r="Q760" s="55">
        <f>SUM(N760:P760)</f>
        <v>0</v>
      </c>
      <c r="R760" s="55">
        <f>+E760+I760+M760+Q760</f>
        <v>0</v>
      </c>
    </row>
    <row r="761" spans="1:20" ht="15.75" customHeight="1" x14ac:dyDescent="0.3">
      <c r="A761" s="71" t="s">
        <v>367</v>
      </c>
      <c r="B761" s="1"/>
      <c r="C761" s="1"/>
      <c r="D761" s="1"/>
      <c r="E761" s="55">
        <f>SUM(B761:D761)</f>
        <v>0</v>
      </c>
      <c r="F761" s="1"/>
      <c r="G761" s="1"/>
      <c r="H761" s="1"/>
      <c r="I761" s="55">
        <f>SUM(F761:H761)</f>
        <v>0</v>
      </c>
      <c r="J761" s="1"/>
      <c r="K761" s="1"/>
      <c r="L761" s="1"/>
      <c r="M761" s="55">
        <f>SUM(J761:L761)</f>
        <v>0</v>
      </c>
      <c r="N761" s="1"/>
      <c r="O761" s="1"/>
      <c r="P761" s="1"/>
      <c r="Q761" s="55">
        <f>SUM(N761:P761)</f>
        <v>0</v>
      </c>
      <c r="R761" s="55">
        <f>+E761+I761+M761+Q761</f>
        <v>0</v>
      </c>
    </row>
    <row r="762" spans="1:20" ht="15.75" customHeight="1" x14ac:dyDescent="0.3">
      <c r="A762" s="15" t="s">
        <v>67</v>
      </c>
      <c r="B762" s="1"/>
      <c r="C762" s="1"/>
      <c r="D762" s="1"/>
      <c r="E762" s="55" t="s">
        <v>7</v>
      </c>
      <c r="F762" s="1"/>
      <c r="G762" s="1"/>
      <c r="H762" s="1"/>
      <c r="I762" s="55" t="s">
        <v>7</v>
      </c>
      <c r="J762" s="1"/>
      <c r="K762" s="1"/>
      <c r="L762" s="1"/>
      <c r="M762" s="55" t="s">
        <v>7</v>
      </c>
      <c r="N762" s="1"/>
      <c r="O762" s="1"/>
      <c r="P762" s="1"/>
      <c r="Q762" s="55" t="s">
        <v>7</v>
      </c>
      <c r="R762" s="55" t="s">
        <v>7</v>
      </c>
    </row>
    <row r="763" spans="1:20" ht="15.75" customHeight="1" x14ac:dyDescent="0.3">
      <c r="A763" s="71" t="s">
        <v>783</v>
      </c>
      <c r="B763" s="1"/>
      <c r="C763" s="1"/>
      <c r="D763" s="1"/>
      <c r="E763" s="55">
        <f>SUM(B763:D763)</f>
        <v>0</v>
      </c>
      <c r="F763" s="1"/>
      <c r="G763" s="1"/>
      <c r="H763" s="1"/>
      <c r="I763" s="55">
        <f>SUM(F763:H763)</f>
        <v>0</v>
      </c>
      <c r="J763" s="1"/>
      <c r="K763" s="1"/>
      <c r="L763" s="1"/>
      <c r="M763" s="55">
        <f>SUM(J763:L763)</f>
        <v>0</v>
      </c>
      <c r="N763" s="1"/>
      <c r="O763" s="1"/>
      <c r="P763" s="1"/>
      <c r="Q763" s="55">
        <f>SUM(N763:P763)</f>
        <v>0</v>
      </c>
      <c r="R763" s="55">
        <f>+E763+I763+M763+Q763</f>
        <v>0</v>
      </c>
    </row>
    <row r="764" spans="1:20" ht="15.75" customHeight="1" x14ac:dyDescent="0.3">
      <c r="A764" s="71" t="s">
        <v>784</v>
      </c>
      <c r="B764" s="1"/>
      <c r="C764" s="1"/>
      <c r="D764" s="1"/>
      <c r="E764" s="55">
        <f>SUM(B764:D764)</f>
        <v>0</v>
      </c>
      <c r="F764" s="1"/>
      <c r="G764" s="1"/>
      <c r="H764" s="1"/>
      <c r="I764" s="55">
        <f>SUM(F764:H764)</f>
        <v>0</v>
      </c>
      <c r="J764" s="1"/>
      <c r="K764" s="1"/>
      <c r="L764" s="1"/>
      <c r="M764" s="55">
        <f>SUM(J764:L764)</f>
        <v>0</v>
      </c>
      <c r="N764" s="1"/>
      <c r="O764" s="1"/>
      <c r="P764" s="1"/>
      <c r="Q764" s="55">
        <f>SUM(N764:P764)</f>
        <v>0</v>
      </c>
      <c r="R764" s="55">
        <f>+E764+I764+M764+Q764</f>
        <v>0</v>
      </c>
    </row>
    <row r="765" spans="1:20" ht="15.75" customHeight="1" x14ac:dyDescent="0.3">
      <c r="A765" s="15" t="s">
        <v>600</v>
      </c>
      <c r="B765" s="1"/>
      <c r="C765" s="1"/>
      <c r="D765" s="1"/>
      <c r="E765" s="55" t="s">
        <v>7</v>
      </c>
      <c r="F765" s="1"/>
      <c r="G765" s="1"/>
      <c r="H765" s="1"/>
      <c r="I765" s="55" t="s">
        <v>7</v>
      </c>
      <c r="J765" s="1"/>
      <c r="K765" s="1"/>
      <c r="L765" s="1"/>
      <c r="M765" s="55" t="s">
        <v>7</v>
      </c>
      <c r="N765" s="1"/>
      <c r="O765" s="1"/>
      <c r="P765" s="1"/>
      <c r="Q765" s="55" t="s">
        <v>7</v>
      </c>
      <c r="R765" s="55" t="s">
        <v>7</v>
      </c>
    </row>
    <row r="766" spans="1:20" ht="15.75" customHeight="1" thickBot="1" x14ac:dyDescent="0.35">
      <c r="A766" s="15" t="s">
        <v>70</v>
      </c>
      <c r="B766" s="1"/>
      <c r="C766" s="1"/>
      <c r="D766" s="1"/>
      <c r="E766" s="55" t="s">
        <v>7</v>
      </c>
      <c r="F766" s="1"/>
      <c r="G766" s="1"/>
      <c r="H766" s="1"/>
      <c r="I766" s="55" t="s">
        <v>7</v>
      </c>
      <c r="J766" s="1"/>
      <c r="K766" s="1"/>
      <c r="L766" s="1"/>
      <c r="M766" s="55" t="s">
        <v>7</v>
      </c>
      <c r="N766" s="1"/>
      <c r="O766" s="1"/>
      <c r="P766" s="1"/>
      <c r="Q766" s="55" t="s">
        <v>7</v>
      </c>
      <c r="R766" s="55" t="s">
        <v>7</v>
      </c>
    </row>
    <row r="767" spans="1:20" ht="16.5" customHeight="1" thickBot="1" x14ac:dyDescent="0.35">
      <c r="A767" s="57" t="s">
        <v>71</v>
      </c>
      <c r="B767" s="58">
        <f>SUM(B765:B766)</f>
        <v>0</v>
      </c>
      <c r="C767" s="58">
        <f>SUM(C765:C766)</f>
        <v>0</v>
      </c>
      <c r="D767" s="58">
        <f>SUM(D765:D766)</f>
        <v>0</v>
      </c>
      <c r="E767" s="60">
        <f>SUM(B767:D767)</f>
        <v>0</v>
      </c>
      <c r="F767" s="58">
        <f>SUM(F765:F766)</f>
        <v>0</v>
      </c>
      <c r="G767" s="58">
        <f>SUM(G765:G766)</f>
        <v>0</v>
      </c>
      <c r="H767" s="58">
        <f>SUM(H765:H766)</f>
        <v>0</v>
      </c>
      <c r="I767" s="60">
        <f>SUM(F767:H767)</f>
        <v>0</v>
      </c>
      <c r="J767" s="58">
        <f>SUM(J765:J766)</f>
        <v>0</v>
      </c>
      <c r="K767" s="58">
        <f>SUM(K765:K766)</f>
        <v>0</v>
      </c>
      <c r="L767" s="58">
        <f>SUM(L765:L766)</f>
        <v>0</v>
      </c>
      <c r="M767" s="60">
        <f>SUM(J767:L767)</f>
        <v>0</v>
      </c>
      <c r="N767" s="58">
        <f>SUM(N765:N766)</f>
        <v>0</v>
      </c>
      <c r="O767" s="58">
        <f>SUM(O765:O766)</f>
        <v>0</v>
      </c>
      <c r="P767" s="58">
        <f>SUM(P765:P766)</f>
        <v>0</v>
      </c>
      <c r="Q767" s="60">
        <f>SUM(N767:P767)</f>
        <v>0</v>
      </c>
      <c r="R767" s="59">
        <f>+E767+I767+M767+Q767</f>
        <v>0</v>
      </c>
    </row>
    <row r="768" spans="1:20" ht="16.5" customHeight="1" thickBot="1" x14ac:dyDescent="0.35">
      <c r="A768" s="57" t="s">
        <v>72</v>
      </c>
      <c r="B768" s="86">
        <f>SUM(B758:B766)</f>
        <v>0</v>
      </c>
      <c r="C768" s="87">
        <f>SUM(C758:C766)</f>
        <v>0</v>
      </c>
      <c r="D768" s="118">
        <f>SUM(D758:D766)</f>
        <v>0</v>
      </c>
      <c r="E768" s="60">
        <f>SUM(B768:D768)</f>
        <v>0</v>
      </c>
      <c r="F768" s="87">
        <f>SUM(F758:F766)</f>
        <v>0</v>
      </c>
      <c r="G768" s="87">
        <f>SUM(G758:G766)</f>
        <v>0</v>
      </c>
      <c r="H768" s="87">
        <f>SUM(H758:H766)</f>
        <v>0</v>
      </c>
      <c r="I768" s="60">
        <f>SUM(F768:H768)</f>
        <v>0</v>
      </c>
      <c r="J768" s="87">
        <f>SUM(J758:J766)</f>
        <v>0</v>
      </c>
      <c r="K768" s="87">
        <f>SUM(K758:K766)</f>
        <v>0</v>
      </c>
      <c r="L768" s="87">
        <f>SUM(L758:L766)</f>
        <v>0</v>
      </c>
      <c r="M768" s="60">
        <f>SUM(J768:L768)</f>
        <v>0</v>
      </c>
      <c r="N768" s="87">
        <f>SUM(N758:N766)</f>
        <v>0</v>
      </c>
      <c r="O768" s="87">
        <f>SUM(O758:O766)</f>
        <v>0</v>
      </c>
      <c r="P768" s="87">
        <f>SUM(P758:P766)</f>
        <v>0</v>
      </c>
      <c r="Q768" s="60">
        <f>SUM(N768:P768)</f>
        <v>0</v>
      </c>
      <c r="R768" s="59">
        <f>+E768+I768+M768+Q768</f>
        <v>0</v>
      </c>
    </row>
    <row r="769" spans="1:18" ht="16.5" customHeight="1" thickBot="1" x14ac:dyDescent="0.35">
      <c r="A769" s="57" t="s">
        <v>73</v>
      </c>
      <c r="B769" s="90">
        <f>+B742+B747+B757+B768</f>
        <v>3867</v>
      </c>
      <c r="C769" s="58">
        <f>+C742+C747+C757+C768</f>
        <v>2999</v>
      </c>
      <c r="D769" s="58">
        <f>+D742+D747+D757+D768</f>
        <v>3970</v>
      </c>
      <c r="E769" s="59">
        <f>SUM(B769:D769)</f>
        <v>10836</v>
      </c>
      <c r="F769" s="58">
        <f>+F742+F747+F757+F768</f>
        <v>4097</v>
      </c>
      <c r="G769" s="58">
        <f>+G742+G747+G757+G768</f>
        <v>4075</v>
      </c>
      <c r="H769" s="58">
        <f>+H742+H747+H757+H768</f>
        <v>4356</v>
      </c>
      <c r="I769" s="59">
        <f>SUM(F769:H769)</f>
        <v>12528</v>
      </c>
      <c r="J769" s="58">
        <f>+J742+J747+J757+J768</f>
        <v>3619</v>
      </c>
      <c r="K769" s="58">
        <f>+K742+K747+K757+K768</f>
        <v>2123</v>
      </c>
      <c r="L769" s="58">
        <f>+L742+L747+L757+L768</f>
        <v>4800</v>
      </c>
      <c r="M769" s="59">
        <f>SUM(J769:L769)</f>
        <v>10542</v>
      </c>
      <c r="N769" s="58">
        <f>+N742+N747+N757+N768</f>
        <v>1837</v>
      </c>
      <c r="O769" s="58">
        <f>+O742+O747+O757+O768</f>
        <v>1151</v>
      </c>
      <c r="P769" s="58">
        <f>+P742+P747+P757+P768</f>
        <v>4410</v>
      </c>
      <c r="Q769" s="59">
        <f>SUM(N769:P769)</f>
        <v>7398</v>
      </c>
      <c r="R769" s="81">
        <f>+E769+I769+M769+Q769</f>
        <v>41304</v>
      </c>
    </row>
    <row r="770" spans="1:18" ht="16.5" customHeight="1" thickBot="1" x14ac:dyDescent="0.35">
      <c r="A770" s="39" t="s">
        <v>40</v>
      </c>
      <c r="B770" s="21">
        <v>11</v>
      </c>
      <c r="C770" s="21">
        <v>13</v>
      </c>
      <c r="D770" s="21">
        <v>17</v>
      </c>
      <c r="E770" s="55">
        <f>SUM(B770:D770)</f>
        <v>41</v>
      </c>
      <c r="F770" s="21">
        <v>21</v>
      </c>
      <c r="G770" s="21">
        <v>23</v>
      </c>
      <c r="H770" s="21">
        <v>25</v>
      </c>
      <c r="I770" s="55">
        <f>SUM(F770:H770)</f>
        <v>69</v>
      </c>
      <c r="J770" s="21">
        <v>25</v>
      </c>
      <c r="K770" s="21">
        <v>21</v>
      </c>
      <c r="L770" s="21">
        <v>19</v>
      </c>
      <c r="M770" s="55">
        <f>SUM(J770:L770)</f>
        <v>65</v>
      </c>
      <c r="N770" s="21">
        <v>17</v>
      </c>
      <c r="O770" s="21">
        <v>13</v>
      </c>
      <c r="P770" s="21">
        <v>11</v>
      </c>
      <c r="Q770" s="55">
        <f>SUM(N770:P770)</f>
        <v>41</v>
      </c>
      <c r="R770" s="55">
        <f>+E770+I770+M770+Q770</f>
        <v>216</v>
      </c>
    </row>
    <row r="771" spans="1:18" ht="16.5" customHeight="1" thickBot="1" x14ac:dyDescent="0.35">
      <c r="A771" s="41"/>
      <c r="B771" s="36"/>
      <c r="C771" s="36"/>
      <c r="D771" s="36"/>
      <c r="E771" s="59" t="s">
        <v>7</v>
      </c>
      <c r="F771" s="36"/>
      <c r="G771" s="36"/>
      <c r="H771" s="36"/>
      <c r="I771" s="59" t="s">
        <v>7</v>
      </c>
      <c r="J771" s="36"/>
      <c r="K771" s="36"/>
      <c r="L771" s="36"/>
      <c r="M771" s="59" t="s">
        <v>7</v>
      </c>
      <c r="N771" s="36"/>
      <c r="O771" s="36"/>
      <c r="P771" s="36"/>
      <c r="Q771" s="59" t="s">
        <v>7</v>
      </c>
      <c r="R771" s="59" t="s">
        <v>7</v>
      </c>
    </row>
    <row r="772" spans="1:18" ht="15.75" customHeight="1" x14ac:dyDescent="0.3">
      <c r="A772" s="15" t="s">
        <v>41</v>
      </c>
      <c r="B772" s="1">
        <f>SUM(B769:B770)</f>
        <v>3878</v>
      </c>
      <c r="C772" s="1">
        <f>SUM(C769:C770)</f>
        <v>3012</v>
      </c>
      <c r="D772" s="1">
        <f>SUM(D769:D770)</f>
        <v>3987</v>
      </c>
      <c r="E772" s="60">
        <f>SUM(B772:D772)</f>
        <v>10877</v>
      </c>
      <c r="F772" s="1">
        <f>SUM(F769:F770)</f>
        <v>4118</v>
      </c>
      <c r="G772" s="1">
        <f>SUM(G769:G770)</f>
        <v>4098</v>
      </c>
      <c r="H772" s="1">
        <f>SUM(H769:H770)</f>
        <v>4381</v>
      </c>
      <c r="I772" s="60">
        <f>SUM(F772:H772)</f>
        <v>12597</v>
      </c>
      <c r="J772" s="1">
        <f>SUM(J769:J770)</f>
        <v>3644</v>
      </c>
      <c r="K772" s="1">
        <f>SUM(K769:K770)</f>
        <v>2144</v>
      </c>
      <c r="L772" s="1">
        <f>SUM(L769:L770)</f>
        <v>4819</v>
      </c>
      <c r="M772" s="60">
        <f>SUM(J772:L772)</f>
        <v>10607</v>
      </c>
      <c r="N772" s="1">
        <f>SUM(N769:N770)</f>
        <v>1854</v>
      </c>
      <c r="O772" s="1">
        <f>SUM(O769:O770)</f>
        <v>1164</v>
      </c>
      <c r="P772" s="1">
        <f>SUM(P769:P770)</f>
        <v>4421</v>
      </c>
      <c r="Q772" s="60">
        <f>SUM(N772:P772)</f>
        <v>7439</v>
      </c>
      <c r="R772" s="60">
        <f>+E772+I772+M772+Q772</f>
        <v>41520</v>
      </c>
    </row>
    <row r="773" spans="1:18" ht="15.75" customHeight="1" x14ac:dyDescent="0.3">
      <c r="A773" s="15" t="s">
        <v>42</v>
      </c>
      <c r="B773" s="1">
        <f>(B772/B10)/1.983</f>
        <v>63.084606249898322</v>
      </c>
      <c r="C773" s="1">
        <f>(C772/C10)/1.983</f>
        <v>52.376232458657206</v>
      </c>
      <c r="D773" s="1">
        <f>(D772/D10)/1.983</f>
        <v>64.857742423502998</v>
      </c>
      <c r="E773" s="55" t="s">
        <v>7</v>
      </c>
      <c r="F773" s="1">
        <f>(F772/F10)/1.983</f>
        <v>69.221717935787524</v>
      </c>
      <c r="G773" s="1">
        <f>(G772/G10)/1.983</f>
        <v>66.663413205797667</v>
      </c>
      <c r="H773" s="1">
        <f>(H772/H10)/1.983</f>
        <v>73.642629013279532</v>
      </c>
      <c r="I773" s="55" t="s">
        <v>7</v>
      </c>
      <c r="J773" s="1">
        <f>(J772/J10)/1.983</f>
        <v>59.278057033169027</v>
      </c>
      <c r="K773" s="1">
        <f>(K772/K10)/1.983</f>
        <v>34.877100515673547</v>
      </c>
      <c r="L773" s="1">
        <f>(L772/L10)/1.983</f>
        <v>81.005210959825177</v>
      </c>
      <c r="M773" s="55" t="s">
        <v>7</v>
      </c>
      <c r="N773" s="1">
        <f>(N772/N10)/1.983</f>
        <v>30.159582255624418</v>
      </c>
      <c r="O773" s="1">
        <f>(O772/O10)/1.983</f>
        <v>19.56631366616238</v>
      </c>
      <c r="P773" s="1">
        <f>(P772/P10)/1.983</f>
        <v>71.917752509231704</v>
      </c>
      <c r="Q773" s="55" t="s">
        <v>7</v>
      </c>
      <c r="R773" s="55" t="s">
        <v>7</v>
      </c>
    </row>
    <row r="774" spans="1:18" ht="15.75" customHeight="1" x14ac:dyDescent="0.3">
      <c r="A774" s="15" t="s">
        <v>372</v>
      </c>
      <c r="B774" s="1">
        <f>B772</f>
        <v>3878</v>
      </c>
      <c r="C774" s="1">
        <f>C772</f>
        <v>3012</v>
      </c>
      <c r="D774" s="1">
        <f>D772</f>
        <v>3987</v>
      </c>
      <c r="E774" s="55">
        <f>SUM(B774:D774)</f>
        <v>10877</v>
      </c>
      <c r="F774" s="1">
        <f>F772</f>
        <v>4118</v>
      </c>
      <c r="G774" s="1">
        <f>G772</f>
        <v>4098</v>
      </c>
      <c r="H774" s="1">
        <f>H772</f>
        <v>4381</v>
      </c>
      <c r="I774" s="55">
        <f>SUM(F774:H774)</f>
        <v>12597</v>
      </c>
      <c r="J774" s="1">
        <f>J772</f>
        <v>3644</v>
      </c>
      <c r="K774" s="1">
        <f>K772</f>
        <v>2144</v>
      </c>
      <c r="L774" s="1">
        <f>L772</f>
        <v>4819</v>
      </c>
      <c r="M774" s="55">
        <f>SUM(J774:L774)</f>
        <v>10607</v>
      </c>
      <c r="N774" s="1">
        <f>N772</f>
        <v>1854</v>
      </c>
      <c r="O774" s="1">
        <f>O772</f>
        <v>1164</v>
      </c>
      <c r="P774" s="1">
        <f>P772</f>
        <v>4421</v>
      </c>
      <c r="Q774" s="55">
        <f>SUM(N774:P774)</f>
        <v>7439</v>
      </c>
      <c r="R774" s="55">
        <f>+E774+I774+M774+Q774</f>
        <v>41520</v>
      </c>
    </row>
    <row r="775" spans="1:18" ht="16.5" customHeight="1" thickBot="1" x14ac:dyDescent="0.35">
      <c r="A775" s="20" t="s">
        <v>373</v>
      </c>
      <c r="B775" s="21">
        <f>(B774/B10)/1.983</f>
        <v>63.084606249898322</v>
      </c>
      <c r="C775" s="21">
        <f>(C774/C10)/1.983</f>
        <v>52.376232458657206</v>
      </c>
      <c r="D775" s="21">
        <f>(D774/D10)/1.983</f>
        <v>64.857742423502998</v>
      </c>
      <c r="E775" s="81" t="s">
        <v>7</v>
      </c>
      <c r="F775" s="21">
        <f>(F774/F10)/1.983</f>
        <v>69.221717935787524</v>
      </c>
      <c r="G775" s="21">
        <f>(G774/G10)/1.983</f>
        <v>66.663413205797667</v>
      </c>
      <c r="H775" s="21">
        <f>(H774/H10)/1.983</f>
        <v>73.642629013279532</v>
      </c>
      <c r="I775" s="81" t="s">
        <v>7</v>
      </c>
      <c r="J775" s="21">
        <f>(J774/J10)/1.983</f>
        <v>59.278057033169027</v>
      </c>
      <c r="K775" s="21">
        <f>(K774/K10)/1.983</f>
        <v>34.877100515673547</v>
      </c>
      <c r="L775" s="21">
        <f>(L774/L10)/1.983</f>
        <v>81.005210959825177</v>
      </c>
      <c r="M775" s="81" t="s">
        <v>7</v>
      </c>
      <c r="N775" s="21">
        <f>(N774/N10)/1.983</f>
        <v>30.159582255624418</v>
      </c>
      <c r="O775" s="21">
        <f>(O774/O10)/1.983</f>
        <v>19.56631366616238</v>
      </c>
      <c r="P775" s="21">
        <f>(P774/P10)/1.983</f>
        <v>71.917752509231704</v>
      </c>
      <c r="Q775" s="81" t="s">
        <v>7</v>
      </c>
      <c r="R775" s="81" t="s">
        <v>7</v>
      </c>
    </row>
    <row r="776" spans="1:18" ht="15.75" customHeight="1" x14ac:dyDescent="0.3">
      <c r="A776" s="28"/>
      <c r="B776" s="1"/>
      <c r="C776" s="1"/>
      <c r="D776" s="1"/>
      <c r="E776" s="2"/>
      <c r="F776" s="1"/>
      <c r="G776" s="1"/>
      <c r="H776" s="1"/>
      <c r="I776" s="2"/>
      <c r="J776" s="1"/>
      <c r="K776" s="1"/>
      <c r="L776" s="1"/>
      <c r="M776" s="2"/>
      <c r="N776" s="1"/>
      <c r="O776" s="1"/>
      <c r="P776" s="1"/>
      <c r="Q776" s="2"/>
      <c r="R776" s="2"/>
    </row>
    <row r="777" spans="1:18" ht="15.75" customHeight="1" x14ac:dyDescent="0.3">
      <c r="A777" s="28"/>
      <c r="B777" s="1"/>
      <c r="C777" s="1"/>
      <c r="D777" s="1"/>
      <c r="E777" s="1"/>
      <c r="F777" s="1"/>
      <c r="G777" s="1"/>
      <c r="H777" s="1"/>
      <c r="I777" s="1"/>
      <c r="J777" s="1"/>
      <c r="K777" s="1"/>
      <c r="L777" s="1"/>
      <c r="M777" s="1"/>
      <c r="N777" s="1"/>
      <c r="O777" s="1"/>
      <c r="P777" s="1"/>
      <c r="Q777" s="338" t="str">
        <f>+Q1</f>
        <v xml:space="preserve">PRINTED:  </v>
      </c>
      <c r="R777" s="360">
        <f ca="1">+R1</f>
        <v>44909.46975358796</v>
      </c>
    </row>
    <row r="778" spans="1:18" ht="15.75" customHeight="1" x14ac:dyDescent="0.3">
      <c r="A778" s="499" t="s">
        <v>1</v>
      </c>
      <c r="B778" s="499"/>
      <c r="C778" s="499"/>
      <c r="D778" s="499"/>
      <c r="E778" s="499"/>
      <c r="F778" s="499"/>
      <c r="G778" s="499"/>
      <c r="H778" s="499"/>
      <c r="I778" s="499"/>
      <c r="J778" s="499"/>
      <c r="K778" s="499"/>
      <c r="L778" s="499"/>
      <c r="M778" s="499"/>
      <c r="N778" s="499"/>
      <c r="O778" s="499"/>
      <c r="P778" s="499"/>
      <c r="Q778" s="499"/>
      <c r="R778" s="499"/>
    </row>
    <row r="779" spans="1:18" ht="15.75" customHeight="1" x14ac:dyDescent="0.3">
      <c r="A779" s="499" t="s">
        <v>2</v>
      </c>
      <c r="B779" s="499"/>
      <c r="C779" s="499"/>
      <c r="D779" s="499"/>
      <c r="E779" s="499"/>
      <c r="F779" s="499"/>
      <c r="G779" s="499"/>
      <c r="H779" s="499"/>
      <c r="I779" s="499"/>
      <c r="J779" s="499"/>
      <c r="K779" s="499"/>
      <c r="L779" s="499"/>
      <c r="M779" s="499"/>
      <c r="N779" s="499"/>
      <c r="O779" s="499"/>
      <c r="P779" s="499"/>
      <c r="Q779" s="499"/>
      <c r="R779" s="499"/>
    </row>
    <row r="780" spans="1:18" ht="15.75" customHeight="1" x14ac:dyDescent="0.3">
      <c r="A780" s="499" t="s">
        <v>3</v>
      </c>
      <c r="B780" s="499"/>
      <c r="C780" s="499"/>
      <c r="D780" s="499"/>
      <c r="E780" s="499"/>
      <c r="F780" s="499"/>
      <c r="G780" s="499"/>
      <c r="H780" s="499"/>
      <c r="I780" s="499"/>
      <c r="J780" s="499"/>
      <c r="K780" s="499"/>
      <c r="L780" s="499"/>
      <c r="M780" s="499"/>
      <c r="N780" s="499"/>
      <c r="O780" s="499"/>
      <c r="P780" s="499"/>
      <c r="Q780" s="499"/>
      <c r="R780" s="499"/>
    </row>
    <row r="781" spans="1:18" ht="15.75" customHeight="1" x14ac:dyDescent="0.3">
      <c r="A781" s="504">
        <f>+A5</f>
        <v>2016</v>
      </c>
      <c r="B781" s="504"/>
      <c r="C781" s="504"/>
      <c r="D781" s="504"/>
      <c r="E781" s="504"/>
      <c r="F781" s="504"/>
      <c r="G781" s="504"/>
      <c r="H781" s="504"/>
      <c r="I781" s="504"/>
      <c r="J781" s="504"/>
      <c r="K781" s="504"/>
      <c r="L781" s="504"/>
      <c r="M781" s="504"/>
      <c r="N781" s="504"/>
      <c r="O781" s="504"/>
      <c r="P781" s="504"/>
      <c r="Q781" s="504"/>
      <c r="R781" s="504"/>
    </row>
    <row r="782" spans="1:18" ht="15.75" customHeight="1" x14ac:dyDescent="0.3">
      <c r="A782" s="1"/>
      <c r="B782" s="1"/>
      <c r="C782" s="1"/>
      <c r="D782" s="5"/>
      <c r="E782" s="5"/>
      <c r="F782" s="5"/>
      <c r="G782" s="6"/>
      <c r="H782" s="5"/>
      <c r="I782" s="5"/>
      <c r="J782" s="6"/>
      <c r="K782" s="6"/>
      <c r="L782" s="6"/>
      <c r="M782" s="6"/>
      <c r="N782" s="1"/>
      <c r="O782" s="6"/>
      <c r="P782" s="6"/>
      <c r="Q782" s="6"/>
      <c r="R782" s="6"/>
    </row>
    <row r="783" spans="1:18" ht="15.75" customHeight="1" x14ac:dyDescent="0.3">
      <c r="A783" s="499" t="str">
        <f>+A8</f>
        <v>Revised:  2/23/2017</v>
      </c>
      <c r="B783" s="499"/>
      <c r="C783" s="499"/>
      <c r="D783" s="499"/>
      <c r="E783" s="499"/>
      <c r="F783" s="499"/>
      <c r="G783" s="499"/>
      <c r="H783" s="499"/>
      <c r="I783" s="499"/>
      <c r="J783" s="499"/>
      <c r="K783" s="499"/>
      <c r="L783" s="499"/>
      <c r="M783" s="499"/>
      <c r="N783" s="499"/>
      <c r="O783" s="499"/>
      <c r="P783" s="499"/>
      <c r="Q783" s="499"/>
      <c r="R783" s="499"/>
    </row>
    <row r="784" spans="1:18" ht="15.75" customHeight="1" x14ac:dyDescent="0.3">
      <c r="A784" s="314"/>
      <c r="B784" s="314"/>
      <c r="C784" s="314"/>
      <c r="D784" s="314"/>
      <c r="E784" s="314"/>
      <c r="F784" s="314"/>
      <c r="G784" s="314"/>
      <c r="H784" s="314"/>
      <c r="I784" s="314"/>
      <c r="J784" s="314"/>
      <c r="K784" s="314"/>
      <c r="L784" s="314"/>
      <c r="M784" s="314"/>
      <c r="N784" s="314"/>
      <c r="O784" s="314"/>
      <c r="P784" s="314"/>
      <c r="Q784" s="314"/>
      <c r="R784" s="314"/>
    </row>
    <row r="785" spans="1:20" ht="15.75" customHeight="1" x14ac:dyDescent="0.3">
      <c r="A785" s="314"/>
      <c r="B785" s="314"/>
      <c r="C785" s="314"/>
      <c r="D785" s="314"/>
      <c r="E785" s="314"/>
      <c r="F785" s="314"/>
      <c r="G785" s="314"/>
      <c r="H785" s="314"/>
      <c r="I785" s="314"/>
      <c r="J785" s="314"/>
      <c r="K785" s="314"/>
      <c r="L785" s="314"/>
      <c r="M785" s="314"/>
      <c r="N785" s="314"/>
      <c r="O785" s="314"/>
      <c r="P785" s="314"/>
      <c r="Q785" s="314"/>
      <c r="R785" s="314"/>
    </row>
    <row r="786" spans="1:20" ht="15.75" customHeight="1" thickBot="1" x14ac:dyDescent="0.35">
      <c r="A786" s="28"/>
      <c r="B786" s="1"/>
      <c r="C786" s="1"/>
      <c r="D786" s="1"/>
      <c r="E786" s="1"/>
      <c r="F786" s="1"/>
      <c r="G786" s="1"/>
      <c r="H786" s="1"/>
      <c r="I786" s="1"/>
      <c r="J786" s="1"/>
      <c r="K786" s="1"/>
      <c r="L786" s="1"/>
      <c r="M786" s="1"/>
      <c r="N786" s="1"/>
      <c r="O786" s="1"/>
      <c r="P786" s="1"/>
      <c r="Q786" s="1"/>
      <c r="R786" s="2"/>
    </row>
    <row r="787" spans="1:20" ht="16.5" customHeight="1" thickBot="1" x14ac:dyDescent="0.35">
      <c r="A787" s="124" t="s">
        <v>374</v>
      </c>
      <c r="B787" s="30" t="s">
        <v>8</v>
      </c>
      <c r="C787" s="31" t="s">
        <v>9</v>
      </c>
      <c r="D787" s="31" t="s">
        <v>10</v>
      </c>
      <c r="E787" s="32" t="s">
        <v>11</v>
      </c>
      <c r="F787" s="31" t="s">
        <v>12</v>
      </c>
      <c r="G787" s="31" t="s">
        <v>13</v>
      </c>
      <c r="H787" s="31" t="s">
        <v>14</v>
      </c>
      <c r="I787" s="33" t="s">
        <v>15</v>
      </c>
      <c r="J787" s="31" t="s">
        <v>16</v>
      </c>
      <c r="K787" s="31" t="s">
        <v>17</v>
      </c>
      <c r="L787" s="31" t="s">
        <v>18</v>
      </c>
      <c r="M787" s="33" t="s">
        <v>19</v>
      </c>
      <c r="N787" s="31" t="s">
        <v>20</v>
      </c>
      <c r="O787" s="31" t="s">
        <v>21</v>
      </c>
      <c r="P787" s="31" t="s">
        <v>22</v>
      </c>
      <c r="Q787" s="33" t="s">
        <v>23</v>
      </c>
      <c r="R787" s="133" t="s">
        <v>24</v>
      </c>
    </row>
    <row r="788" spans="1:20" ht="16.5" customHeight="1" thickBot="1" x14ac:dyDescent="0.35">
      <c r="A788" s="41"/>
      <c r="B788" s="36"/>
      <c r="C788" s="36"/>
      <c r="D788" s="36"/>
      <c r="E788" s="52"/>
      <c r="F788" s="36"/>
      <c r="G788" s="36"/>
      <c r="H788" s="36"/>
      <c r="I788" s="132"/>
      <c r="J788" s="36"/>
      <c r="K788" s="36"/>
      <c r="L788" s="36"/>
      <c r="M788" s="132"/>
      <c r="N788" s="36"/>
      <c r="O788" s="36"/>
      <c r="P788" s="36"/>
      <c r="Q788" s="134"/>
      <c r="R788" s="135"/>
    </row>
    <row r="789" spans="1:20" ht="15.75" customHeight="1" x14ac:dyDescent="0.3">
      <c r="A789" s="15" t="s">
        <v>48</v>
      </c>
      <c r="B789" s="1" t="s">
        <v>7</v>
      </c>
      <c r="C789" s="1" t="s">
        <v>7</v>
      </c>
      <c r="D789" s="1" t="s">
        <v>7</v>
      </c>
      <c r="E789" s="136"/>
      <c r="F789" s="1" t="s">
        <v>7</v>
      </c>
      <c r="G789" s="1" t="s">
        <v>7</v>
      </c>
      <c r="H789" s="1" t="s">
        <v>7</v>
      </c>
      <c r="I789" s="136"/>
      <c r="J789" s="1" t="s">
        <v>7</v>
      </c>
      <c r="K789" s="1" t="s">
        <v>7</v>
      </c>
      <c r="L789" s="1" t="s">
        <v>7</v>
      </c>
      <c r="M789" s="136"/>
      <c r="N789" s="1" t="s">
        <v>7</v>
      </c>
      <c r="O789" s="1" t="s">
        <v>7</v>
      </c>
      <c r="P789" s="1" t="s">
        <v>7</v>
      </c>
      <c r="Q789" s="137"/>
      <c r="R789" s="138" t="s">
        <v>7</v>
      </c>
    </row>
    <row r="790" spans="1:20" ht="15.75" customHeight="1" x14ac:dyDescent="0.3">
      <c r="A790" s="315" t="s">
        <v>49</v>
      </c>
      <c r="B790" s="1">
        <f>+SUM(B71:B81)+SUM(B137:B183)+SUM(B309:B335)+SUM(B456:B459)+SUM(B497:B501)+SUM(B541:B551)+SUM(B606:B609)+SUM(B642:B648)+SUM(B699:B700)+SUM(B733:B737)</f>
        <v>19517</v>
      </c>
      <c r="C790" s="1">
        <f>+SUM(C71:C81)+SUM(C137:C183)+SUM(C309:C335)+SUM(C456:C459)+SUM(C497:C501)+SUM(C541:C551)+SUM(C606:C609)+SUM(C642:C648)+SUM(C699:C700)+SUM(C733:C737)</f>
        <v>23072</v>
      </c>
      <c r="D790" s="1">
        <f>+SUM(D71:D81)+SUM(D137:D183)+SUM(D309:D335)+SUM(D456:D459)+SUM(D497:D501)+SUM(D541:D551)+SUM(D606:D609)+SUM(D642:D648)+SUM(D699:D700)+SUM(D733:D737)</f>
        <v>37628</v>
      </c>
      <c r="E790" s="55">
        <f t="shared" ref="E790:E796" si="127">SUM(B790:D790)</f>
        <v>80217</v>
      </c>
      <c r="F790" s="1">
        <f>+SUM(F71:F81)+SUM(F137:F183)+SUM(F309:F335)+SUM(F456:F459)+SUM(F497:F501)+SUM(F541:F551)+SUM(F606:F609)+SUM(F642:F648)+SUM(F699:F700)+SUM(F733:F737)</f>
        <v>40673</v>
      </c>
      <c r="G790" s="1">
        <f>+SUM(G71:G81)+SUM(G137:G183)+SUM(G309:G335)+SUM(G456:G459)+SUM(G497:G501)+SUM(G541:G551)+SUM(G606:G609)+SUM(G642:G648)+SUM(G699:G700)+SUM(G733:G737)</f>
        <v>46791</v>
      </c>
      <c r="H790" s="1">
        <f>+SUM(H71:H81)+SUM(H137:H183)+SUM(H309:H335)+SUM(H456:H459)+SUM(H497:H501)+SUM(H541:H551)+SUM(H606:H609)+SUM(H642:H648)+SUM(H699:H700)+SUM(H733:H737)</f>
        <v>52860</v>
      </c>
      <c r="I790" s="55">
        <f t="shared" ref="I790:I796" si="128">SUM(F790:H790)</f>
        <v>140324</v>
      </c>
      <c r="J790" s="1">
        <f>+SUM(J71:J81)+SUM(J137:J183)+SUM(J309:J335)+SUM(J456:J459)+SUM(J497:J501)+SUM(J541:J551)+SUM(J606:J609)+SUM(J642:J648)+SUM(J699:J700)+SUM(J733:J737)</f>
        <v>65063</v>
      </c>
      <c r="K790" s="1">
        <f>+SUM(K71:K81)+SUM(K137:K183)+SUM(K309:K335)+SUM(K456:K459)+SUM(K497:K501)+SUM(K541:K551)+SUM(K606:K609)+SUM(K642:K648)+SUM(K699:K700)+SUM(K733:K737)</f>
        <v>57879</v>
      </c>
      <c r="L790" s="1">
        <f>+SUM(L71:L81)+SUM(L137:L183)+SUM(L309:L335)+SUM(L456:L459)+SUM(L497:L501)+SUM(L541:L551)+SUM(L606:L609)+SUM(L642:L648)+SUM(L699:L700)+SUM(L733:L737)</f>
        <v>54896</v>
      </c>
      <c r="M790" s="55">
        <f t="shared" ref="M790:M796" si="129">SUM(J790:L790)</f>
        <v>177838</v>
      </c>
      <c r="N790" s="1">
        <f>+SUM(N71:N81)+SUM(N137:N183)+SUM(N309:N335)+SUM(N456:N459)+SUM(N497:N501)+SUM(N541:N551)+SUM(N606:N609)+SUM(N642:N648)+SUM(N699:N700)+SUM(N733:N737)</f>
        <v>39172</v>
      </c>
      <c r="O790" s="1">
        <f>+SUM(O71:O81)+SUM(O137:O183)+SUM(O309:O335)+SUM(O456:O459)+SUM(O497:O501)+SUM(O541:O551)+SUM(O606:O609)+SUM(O642:O648)+SUM(O699:O700)+SUM(O733:O737)</f>
        <v>35133</v>
      </c>
      <c r="P790" s="1">
        <f>+SUM(P71:P81)+SUM(P137:P183)+SUM(P309:P335)+SUM(P456:P459)+SUM(P497:P501)+SUM(P541:P551)+SUM(P606:P609)+SUM(P642:P648)+SUM(P699:P700)+SUM(P733:P737)</f>
        <v>32128</v>
      </c>
      <c r="Q790" s="55">
        <f t="shared" ref="Q790:Q796" si="130">SUM(N790:P790)</f>
        <v>106433</v>
      </c>
      <c r="R790" s="55">
        <f t="shared" ref="R790:R796" si="131">+E790+I790+M790+Q790</f>
        <v>504812</v>
      </c>
    </row>
    <row r="791" spans="1:20" ht="15.75" customHeight="1" x14ac:dyDescent="0.3">
      <c r="A791" s="15" t="s">
        <v>1014</v>
      </c>
      <c r="B791" s="1">
        <f>+B38+SUM(B82:B83)+SUM(B185:B194)+SUM(B337:B347)+SUM(B461:B462)+B502+SUM(B552:B553)+B610+B649+B701+SUM(B738:B738)</f>
        <v>0</v>
      </c>
      <c r="C791" s="1">
        <f>+C38+SUM(C82:C83)+SUM(C185:C194)+SUM(C337:C347)+SUM(C461:C462)+C502+SUM(C552:C553)+C610+C649+C701+SUM(C738:C738)</f>
        <v>0</v>
      </c>
      <c r="D791" s="1">
        <f>+D38+SUM(D82:D83)+SUM(D185:D194)+SUM(D337:D347)+SUM(D461:D462)+D502+SUM(D552:D553)+D610+D649+D701+SUM(D738:D738)</f>
        <v>0</v>
      </c>
      <c r="E791" s="55">
        <f t="shared" si="127"/>
        <v>0</v>
      </c>
      <c r="F791" s="1">
        <f>+F38+SUM(F82:F83)+SUM(F185:F194)+SUM(F337:F347)+SUM(F461:F462)+F502+SUM(F552:F553)+F610+F649+F701+SUM(F738:F738)</f>
        <v>0</v>
      </c>
      <c r="G791" s="1">
        <f>+G38+SUM(G82:G83)+SUM(G185:G194)+SUM(G337:G347)+SUM(G461:G462)+G502+SUM(G552:G553)+G610+G649+G701+SUM(G738:G738)</f>
        <v>0</v>
      </c>
      <c r="H791" s="1">
        <f>+H38+SUM(H82:H83)+SUM(H185:H194)+SUM(H337:H347)+SUM(H461:H462)+H502+SUM(H552:H553)+H610+H649+H701+SUM(H738:H738)</f>
        <v>0</v>
      </c>
      <c r="I791" s="55">
        <f t="shared" si="128"/>
        <v>0</v>
      </c>
      <c r="J791" s="1">
        <f>+J38+SUM(J82:J83)+SUM(J185:J194)+SUM(J337:J347)+SUM(J461:J462)+J502+SUM(J552:J553)+J610+J649+J701+SUM(J738:J738)</f>
        <v>0</v>
      </c>
      <c r="K791" s="1">
        <f>+K38+SUM(K82:K83)+SUM(K185:K194)+SUM(K337:K347)+SUM(K461:K462)+K502+SUM(K552:K553)+K610+K649+K701+SUM(K738:K738)</f>
        <v>0</v>
      </c>
      <c r="L791" s="1">
        <f>+L38+SUM(L82:L83)+SUM(L185:L194)+SUM(L337:L347)+SUM(L461:L462)+L502+SUM(L552:L553)+L610+L649+L701+SUM(L738:L738)</f>
        <v>0</v>
      </c>
      <c r="M791" s="55">
        <f t="shared" si="129"/>
        <v>0</v>
      </c>
      <c r="N791" s="1">
        <f>+N38+SUM(N82:N83)+SUM(N185:N194)+SUM(N337:N347)+SUM(N461:N462)+N502+SUM(N552:N553)+N610+N649+N701+SUM(N738:N738)</f>
        <v>0</v>
      </c>
      <c r="O791" s="1">
        <f>+O38+SUM(O82:O83)+SUM(O185:O194)+SUM(O337:O347)+SUM(O461:O462)+O502+SUM(O552:O553)+O610+O649+O701+SUM(O738:O738)</f>
        <v>0</v>
      </c>
      <c r="P791" s="1">
        <f>+P38+SUM(P82:P83)+SUM(P185:P194)+SUM(P337:P347)+SUM(P461:P462)+P502+SUM(P552:P553)+P610+P649+P701+SUM(P738:P738)</f>
        <v>0</v>
      </c>
      <c r="Q791" s="55">
        <f t="shared" si="130"/>
        <v>0</v>
      </c>
      <c r="R791" s="55">
        <f t="shared" si="131"/>
        <v>0</v>
      </c>
    </row>
    <row r="792" spans="1:20" ht="15.75" customHeight="1" x14ac:dyDescent="0.3">
      <c r="A792" s="315" t="s">
        <v>1015</v>
      </c>
      <c r="B792" s="1">
        <f>+SUM(B84:B86)+SUM(B195:B198)+SUM(B348:B352)+B463+B503+SUM(B554:B555)+B611+B650+B702+SUM(B739:B740)</f>
        <v>895</v>
      </c>
      <c r="C792" s="1">
        <f>+SUM(C84:C86)+SUM(C195:C198)+SUM(C348:C352)+C463+C503+SUM(C554:C555)+C611+C650+C702+SUM(C739:C740)</f>
        <v>2921</v>
      </c>
      <c r="D792" s="1">
        <f>+SUM(D84:D86)+SUM(D195:D198)+SUM(D348:D352)+D463+D503+SUM(D554:D555)+D611+D650+D702+SUM(D739:D740)</f>
        <v>1606</v>
      </c>
      <c r="E792" s="55">
        <f t="shared" si="127"/>
        <v>5422</v>
      </c>
      <c r="F792" s="1">
        <f>+SUM(F84:F86)+SUM(F195:F198)+SUM(F348:F352)+F463+F503+SUM(F554:F555)+F611+F650+F702+SUM(F739:F740)</f>
        <v>4791</v>
      </c>
      <c r="G792" s="1">
        <f>+SUM(G84:G86)+SUM(G195:G198)+SUM(G348:G352)+G463+G503+SUM(G554:G555)+G611+G650+G702+SUM(G739:G740)</f>
        <v>8710</v>
      </c>
      <c r="H792" s="1">
        <f>+SUM(H84:H86)+SUM(H195:H198)+SUM(H348:H352)+H463+H503+SUM(H554:H555)+H611+H650+H702+SUM(H739:H740)</f>
        <v>5300</v>
      </c>
      <c r="I792" s="55">
        <f t="shared" si="128"/>
        <v>18801</v>
      </c>
      <c r="J792" s="1">
        <f>+SUM(J84:J86)+SUM(J195:J198)+SUM(J348:J352)+J463+J503+SUM(J554:J555)+J611+J650+J702+SUM(J739:J740)</f>
        <v>2289</v>
      </c>
      <c r="K792" s="1">
        <f>+SUM(K84:K86)+SUM(K195:K198)+SUM(K348:K352)+K463+K503+SUM(K554:K555)+K611+K650+K702+SUM(K739:K740)</f>
        <v>5235</v>
      </c>
      <c r="L792" s="1">
        <f>+SUM(L84:L86)+SUM(L195:L198)+SUM(L348:L352)+L463+L503+SUM(L554:L555)+L611+L650+L702+SUM(L739:L740)</f>
        <v>412</v>
      </c>
      <c r="M792" s="55">
        <f t="shared" si="129"/>
        <v>7936</v>
      </c>
      <c r="N792" s="1">
        <f>+SUM(N84:N86)+SUM(N195:N198)+SUM(N348:N352)+N463+N503+SUM(N554:N555)+N611+N650+N702+SUM(N739:N740)</f>
        <v>109</v>
      </c>
      <c r="O792" s="1">
        <f>+SUM(O84:O86)+SUM(O195:O198)+SUM(O348:O352)+O463+O503+SUM(O554:O555)+O611+O650+O702+SUM(O739:O740)</f>
        <v>2228</v>
      </c>
      <c r="P792" s="1">
        <f>+SUM(P84:P86)+SUM(P195:P198)+SUM(P348:P352)+P463+P503+SUM(P554:P555)+P611+P650+P702+SUM(P739:P740)</f>
        <v>15</v>
      </c>
      <c r="Q792" s="55">
        <f t="shared" si="130"/>
        <v>2352</v>
      </c>
      <c r="R792" s="55">
        <f t="shared" si="131"/>
        <v>34511</v>
      </c>
    </row>
    <row r="793" spans="1:20" ht="15.75" customHeight="1" x14ac:dyDescent="0.3">
      <c r="A793" s="15" t="s">
        <v>1016</v>
      </c>
      <c r="B793" s="1">
        <f>+B286+B437+B438</f>
        <v>0</v>
      </c>
      <c r="C793" s="1">
        <f>+C286+C437+C438</f>
        <v>0</v>
      </c>
      <c r="D793" s="1">
        <f>+D286+D437+D438</f>
        <v>0</v>
      </c>
      <c r="E793" s="55">
        <f t="shared" si="127"/>
        <v>0</v>
      </c>
      <c r="F793" s="1">
        <f>+F286+F437+F438</f>
        <v>0</v>
      </c>
      <c r="G793" s="1">
        <f>+G286+G437+G438</f>
        <v>0</v>
      </c>
      <c r="H793" s="1">
        <f>+H286+H437+H438</f>
        <v>0</v>
      </c>
      <c r="I793" s="55">
        <f t="shared" si="128"/>
        <v>0</v>
      </c>
      <c r="J793" s="1">
        <f>+J286+J437+J438</f>
        <v>0</v>
      </c>
      <c r="K793" s="1">
        <f>+K286+K437+K438</f>
        <v>0</v>
      </c>
      <c r="L793" s="1">
        <f>+L286+L437+L438</f>
        <v>0</v>
      </c>
      <c r="M793" s="55">
        <f t="shared" si="129"/>
        <v>0</v>
      </c>
      <c r="N793" s="1">
        <f>+N286+N437+N438</f>
        <v>0</v>
      </c>
      <c r="O793" s="1">
        <f>+O286+O437+O438</f>
        <v>0</v>
      </c>
      <c r="P793" s="1">
        <f>+P286+P437+P438</f>
        <v>0</v>
      </c>
      <c r="Q793" s="55">
        <f t="shared" si="130"/>
        <v>0</v>
      </c>
      <c r="R793" s="55">
        <f t="shared" si="131"/>
        <v>0</v>
      </c>
    </row>
    <row r="794" spans="1:20" ht="15.75" customHeight="1" x14ac:dyDescent="0.3">
      <c r="A794" s="315" t="s">
        <v>377</v>
      </c>
      <c r="B794" s="1">
        <f>+B287</f>
        <v>9</v>
      </c>
      <c r="C794" s="1">
        <f>+C287</f>
        <v>39</v>
      </c>
      <c r="D794" s="1">
        <f>+D287</f>
        <v>42</v>
      </c>
      <c r="E794" s="55">
        <f>SUM(B794:D794)</f>
        <v>90</v>
      </c>
      <c r="F794" s="1">
        <f>+F287</f>
        <v>42</v>
      </c>
      <c r="G794" s="1">
        <f>+G287</f>
        <v>61</v>
      </c>
      <c r="H794" s="1">
        <f>+H287</f>
        <v>52</v>
      </c>
      <c r="I794" s="55">
        <f>SUM(F794:H794)</f>
        <v>155</v>
      </c>
      <c r="J794" s="1">
        <f>+J287</f>
        <v>42</v>
      </c>
      <c r="K794" s="1">
        <f>+K287</f>
        <v>55</v>
      </c>
      <c r="L794" s="1">
        <f>+L287</f>
        <v>86</v>
      </c>
      <c r="M794" s="55">
        <f>SUM(J794:L794)</f>
        <v>183</v>
      </c>
      <c r="N794" s="1">
        <f>+N287</f>
        <v>74</v>
      </c>
      <c r="O794" s="1">
        <f>+O287</f>
        <v>41</v>
      </c>
      <c r="P794" s="1">
        <f>+P287</f>
        <v>34</v>
      </c>
      <c r="Q794" s="55">
        <f t="shared" si="130"/>
        <v>149</v>
      </c>
      <c r="R794" s="55">
        <f>+E794+I794+M794+Q794</f>
        <v>577</v>
      </c>
    </row>
    <row r="795" spans="1:20" ht="15.75" customHeight="1" thickBot="1" x14ac:dyDescent="0.35">
      <c r="A795" s="15" t="s">
        <v>53</v>
      </c>
      <c r="B795" s="1">
        <f>+B87+B464+B504+B556+B612+B651+B703+B741</f>
        <v>0</v>
      </c>
      <c r="C795" s="1">
        <f>+C87+C464+C504+C556+C612+C651+C703+C741</f>
        <v>0</v>
      </c>
      <c r="D795" s="1">
        <f>+D87+D464+D504+D556+D612+D651+D703+D741</f>
        <v>0</v>
      </c>
      <c r="E795" s="55">
        <f t="shared" si="127"/>
        <v>0</v>
      </c>
      <c r="F795" s="1">
        <f>+F87+F464+F504+F556+F612+F651+F703+F741</f>
        <v>0</v>
      </c>
      <c r="G795" s="1">
        <f>+G87+G464+G504+G556+G612+G651+G703+G741</f>
        <v>0</v>
      </c>
      <c r="H795" s="1">
        <f>+H87+H464+H504+H556+H612+H651+H703+H741</f>
        <v>0</v>
      </c>
      <c r="I795" s="55">
        <f t="shared" si="128"/>
        <v>0</v>
      </c>
      <c r="J795" s="1">
        <f>+J87+J464+J504+J556+J612+J651+J703+J741</f>
        <v>0</v>
      </c>
      <c r="K795" s="1">
        <f>+K87+K464+K504+K556+K612+K651+K703+K741</f>
        <v>0</v>
      </c>
      <c r="L795" s="1">
        <f>+L87+L464+L504+L556+L612+L651+L703+L741</f>
        <v>0</v>
      </c>
      <c r="M795" s="55">
        <f t="shared" si="129"/>
        <v>0</v>
      </c>
      <c r="N795" s="1">
        <f>+N87+N464+N504+N556+N612+N651+N703+N741</f>
        <v>0</v>
      </c>
      <c r="O795" s="1">
        <f>+O87+O464+O504+O556+O612+O651+O703+O741</f>
        <v>0</v>
      </c>
      <c r="P795" s="1">
        <f>+P87+P464+P504+P556+P612+P651+P703+P741</f>
        <v>0</v>
      </c>
      <c r="Q795" s="55">
        <f t="shared" si="130"/>
        <v>0</v>
      </c>
      <c r="R795" s="55">
        <f t="shared" si="131"/>
        <v>0</v>
      </c>
    </row>
    <row r="796" spans="1:20" ht="16.5" customHeight="1" thickBot="1" x14ac:dyDescent="0.35">
      <c r="A796" s="57" t="s">
        <v>54</v>
      </c>
      <c r="B796" s="86">
        <f>SUM(B789:B795)</f>
        <v>20421</v>
      </c>
      <c r="C796" s="87">
        <f>SUM(C789:C795)</f>
        <v>26032</v>
      </c>
      <c r="D796" s="87">
        <f>SUM(D789:D795)</f>
        <v>39276</v>
      </c>
      <c r="E796" s="59">
        <f t="shared" si="127"/>
        <v>85729</v>
      </c>
      <c r="F796" s="87">
        <f>SUM(F789:F795)</f>
        <v>45506</v>
      </c>
      <c r="G796" s="87">
        <f>SUM(G789:G795)</f>
        <v>55562</v>
      </c>
      <c r="H796" s="87">
        <f>SUM(H789:H795)</f>
        <v>58212</v>
      </c>
      <c r="I796" s="59">
        <f t="shared" si="128"/>
        <v>159280</v>
      </c>
      <c r="J796" s="87">
        <f>SUM(J789:J795)</f>
        <v>67394</v>
      </c>
      <c r="K796" s="87">
        <f>SUM(K789:K795)</f>
        <v>63169</v>
      </c>
      <c r="L796" s="87">
        <f>SUM(L789:L795)</f>
        <v>55394</v>
      </c>
      <c r="M796" s="59">
        <f t="shared" si="129"/>
        <v>185957</v>
      </c>
      <c r="N796" s="87">
        <f>SUM(N789:N795)</f>
        <v>39355</v>
      </c>
      <c r="O796" s="87">
        <f>SUM(O789:O795)</f>
        <v>37402</v>
      </c>
      <c r="P796" s="87">
        <f>SUM(P789:P795)</f>
        <v>32177</v>
      </c>
      <c r="Q796" s="59">
        <f t="shared" si="130"/>
        <v>108934</v>
      </c>
      <c r="R796" s="59">
        <f t="shared" si="131"/>
        <v>539900</v>
      </c>
      <c r="T796" s="4">
        <f>+R796-R793-R792</f>
        <v>505389</v>
      </c>
    </row>
    <row r="797" spans="1:20" ht="15.75" customHeight="1" x14ac:dyDescent="0.3">
      <c r="A797" s="15" t="s">
        <v>55</v>
      </c>
      <c r="B797" s="1"/>
      <c r="C797" s="1"/>
      <c r="D797" s="1"/>
      <c r="E797" s="55" t="s">
        <v>7</v>
      </c>
      <c r="F797" s="1"/>
      <c r="G797" s="1"/>
      <c r="H797" s="1"/>
      <c r="I797" s="55" t="s">
        <v>7</v>
      </c>
      <c r="J797" s="1"/>
      <c r="K797" s="1"/>
      <c r="L797" s="1"/>
      <c r="M797" s="55" t="s">
        <v>7</v>
      </c>
      <c r="N797" s="1"/>
      <c r="O797" s="1"/>
      <c r="P797" s="1"/>
      <c r="Q797" s="55" t="s">
        <v>7</v>
      </c>
      <c r="R797" s="55" t="s">
        <v>7</v>
      </c>
    </row>
    <row r="798" spans="1:20" ht="15.75" customHeight="1" x14ac:dyDescent="0.3">
      <c r="A798" s="15" t="s">
        <v>56</v>
      </c>
      <c r="B798" s="1">
        <f>SUM(B43:B43)+SUM(B202:B202)+SUM(B90:B90)+SUM(B356:B356)</f>
        <v>0</v>
      </c>
      <c r="C798" s="1">
        <f>SUM(C43:C43)+SUM(C202:C202)+SUM(C90:C90)+SUM(C356:C356)</f>
        <v>0</v>
      </c>
      <c r="D798" s="1">
        <f>SUM(D43:D43)+SUM(D202:D202)+SUM(D90:D90)+SUM(D356:D356)</f>
        <v>0</v>
      </c>
      <c r="E798" s="55">
        <f>SUM(B798:D798)</f>
        <v>0</v>
      </c>
      <c r="F798" s="1">
        <f>SUM(F43:F43)+SUM(F202:F202)+SUM(F90:F90)+SUM(F356:F356)</f>
        <v>0</v>
      </c>
      <c r="G798" s="1">
        <f>SUM(G43:G43)+SUM(G202:G202)+SUM(G90:G90)+SUM(G356:G356)</f>
        <v>0</v>
      </c>
      <c r="H798" s="1">
        <f>SUM(H43:H43)+SUM(H202:H202)+SUM(H90:H90)+SUM(H356:H356)</f>
        <v>0</v>
      </c>
      <c r="I798" s="55">
        <f>SUM(F798:H798)</f>
        <v>0</v>
      </c>
      <c r="J798" s="1">
        <f>SUM(J43:J43)+SUM(J202:J202)+SUM(J90:J90)+SUM(J356:J356)</f>
        <v>0</v>
      </c>
      <c r="K798" s="1">
        <f>SUM(K43:K43)+SUM(K202:K202)+SUM(K90:K90)+SUM(K356:K356)</f>
        <v>0</v>
      </c>
      <c r="L798" s="1">
        <f>SUM(L43:L43)+SUM(L202:L202)+SUM(L90:L90)+SUM(L356:L356)</f>
        <v>0</v>
      </c>
      <c r="M798" s="55">
        <f>SUM(J798:L798)</f>
        <v>0</v>
      </c>
      <c r="N798" s="1">
        <f>SUM(N43:N43)+SUM(N202:N202)+SUM(N90:N90)+SUM(N356:N356)</f>
        <v>0</v>
      </c>
      <c r="O798" s="1">
        <f>SUM(O43:O43)+SUM(O202:O202)+SUM(O90:O90)+SUM(O356:O356)</f>
        <v>0</v>
      </c>
      <c r="P798" s="1">
        <f>SUM(P43:P43)+SUM(P202:P202)+SUM(P90:P90)+SUM(P356:P356)</f>
        <v>0</v>
      </c>
      <c r="Q798" s="55">
        <f>SUM(N798:P798)</f>
        <v>0</v>
      </c>
      <c r="R798" s="55">
        <f>+E798+I798+M798+Q798</f>
        <v>0</v>
      </c>
    </row>
    <row r="799" spans="1:20" ht="15.75" customHeight="1" x14ac:dyDescent="0.3">
      <c r="A799" s="315" t="s">
        <v>57</v>
      </c>
      <c r="B799" s="1">
        <f>+SUM(B92:B93)+SUM(B203:B205)+SUM(B357:B366)+B468+SUM(B507:B509)+SUM(B559:B561)+SUM(B615:B615)+B654+B706+SUM(B744:B745)</f>
        <v>1913</v>
      </c>
      <c r="C799" s="1">
        <f>+SUM(C92:C93)+SUM(C203:C205)+SUM(C357:C366)+C468+SUM(C507:C509)+SUM(C559:C561)+SUM(C615:C615)+C654+C706+SUM(C744:C745)</f>
        <v>15616</v>
      </c>
      <c r="D799" s="1">
        <f>+SUM(D92:D93)+SUM(D203:D205)+SUM(D357:D366)+D468+SUM(D507:D509)+SUM(D559:D561)+SUM(D615:D615)+D654+D706+SUM(D744:D745)</f>
        <v>26911</v>
      </c>
      <c r="E799" s="55">
        <f>SUM(B799:D799)</f>
        <v>44440</v>
      </c>
      <c r="F799" s="1">
        <f>+SUM(F92:F93)+SUM(F203:F205)+SUM(F357:F366)+F468+SUM(F507:F509)+SUM(F559:F561)+SUM(F615:F615)+F654+F706+SUM(F744:F745)</f>
        <v>29045</v>
      </c>
      <c r="G799" s="1">
        <f>+SUM(G92:G93)+SUM(G203:G205)+SUM(G357:G366)+G468+SUM(G507:G509)+SUM(G559:G561)+SUM(G615:G615)+G654+G706+SUM(G744:G745)</f>
        <v>35073</v>
      </c>
      <c r="H799" s="1">
        <f>+SUM(H92:H93)+SUM(H203:H205)+SUM(H357:H366)+H468+SUM(H507:H509)+SUM(H559:H561)+SUM(H615:H615)+H654+H706+SUM(H744:H745)</f>
        <v>59682</v>
      </c>
      <c r="I799" s="55">
        <f>SUM(F799:H799)</f>
        <v>123800</v>
      </c>
      <c r="J799" s="1">
        <f>+SUM(J92:J93)+SUM(J203:J205)+SUM(J357:J366)+J468+SUM(J507:J509)+SUM(J559:J561)+SUM(J615:J615)+J654+J706+SUM(J744:J745)</f>
        <v>40687</v>
      </c>
      <c r="K799" s="1">
        <f>+SUM(K92:K93)+SUM(K203:K205)+SUM(K357:K366)+K468+SUM(K507:K509)+SUM(K559:K561)+SUM(K615:K615)+K654+K706+SUM(K744:K745)</f>
        <v>33893</v>
      </c>
      <c r="L799" s="1">
        <f>+SUM(L92:L93)+SUM(L203:L205)+SUM(L357:L366)+L468+SUM(L507:L509)+SUM(L559:L561)+SUM(L615:L615)+L654+L706+SUM(L744:L745)</f>
        <v>20881</v>
      </c>
      <c r="M799" s="55">
        <f>SUM(J799:L799)</f>
        <v>95461</v>
      </c>
      <c r="N799" s="1">
        <f>+SUM(N92:N93)+SUM(N203:N205)+SUM(N357:N366)+N468+SUM(N507:N509)+SUM(N559:N561)+SUM(N615:N615)+N654+N706+SUM(N744:N745)</f>
        <v>9602</v>
      </c>
      <c r="O799" s="1">
        <f>+SUM(O92:O93)+SUM(O203:O205)+SUM(O357:O366)+O468+SUM(O507:O509)+SUM(O559:O561)+SUM(O615:O615)+O654+O706+SUM(O744:O745)</f>
        <v>2385</v>
      </c>
      <c r="P799" s="1">
        <f>+SUM(P92:P93)+SUM(P203:P205)+SUM(P357:P366)+P468+SUM(P507:P509)+SUM(P559:P561)+SUM(P615:P615)+P654+P706+SUM(P744:P745)</f>
        <v>5057</v>
      </c>
      <c r="Q799" s="55">
        <f>SUM(N799:P799)</f>
        <v>17044</v>
      </c>
      <c r="R799" s="55">
        <f>+E799+I799+M799+Q799</f>
        <v>280745</v>
      </c>
    </row>
    <row r="800" spans="1:20" ht="15.75" customHeight="1" thickBot="1" x14ac:dyDescent="0.35">
      <c r="A800" s="15" t="s">
        <v>1017</v>
      </c>
      <c r="B800" s="1">
        <f>+B94+B368+B469+B511+B562+B616+B655+B707+B746</f>
        <v>0</v>
      </c>
      <c r="C800" s="1">
        <f t="shared" ref="C800:D800" si="132">+C94+C368+C469+C511+C562+C616+C655+C707+C746</f>
        <v>0</v>
      </c>
      <c r="D800" s="1">
        <f t="shared" si="132"/>
        <v>0</v>
      </c>
      <c r="E800" s="55">
        <f>SUM(B800:D800)</f>
        <v>0</v>
      </c>
      <c r="F800" s="1">
        <f t="shared" ref="F800:H800" si="133">+F94+F368+F469+F511+F562+F616+F655+F707+F746</f>
        <v>0</v>
      </c>
      <c r="G800" s="1">
        <f t="shared" si="133"/>
        <v>0</v>
      </c>
      <c r="H800" s="1">
        <f t="shared" si="133"/>
        <v>0</v>
      </c>
      <c r="I800" s="55">
        <f>SUM(F800:H800)</f>
        <v>0</v>
      </c>
      <c r="J800" s="1">
        <f t="shared" ref="J800:L800" si="134">+J94+J368+J469+J511+J562+J616+J655+J707+J746</f>
        <v>0</v>
      </c>
      <c r="K800" s="1">
        <f t="shared" si="134"/>
        <v>0</v>
      </c>
      <c r="L800" s="1">
        <f t="shared" si="134"/>
        <v>0</v>
      </c>
      <c r="M800" s="55">
        <f>SUM(J800:L800)</f>
        <v>0</v>
      </c>
      <c r="N800" s="1">
        <f t="shared" ref="N800:P800" si="135">+N94+N368+N469+N511+N562+N616+N655+N707+N746</f>
        <v>0</v>
      </c>
      <c r="O800" s="1">
        <f t="shared" si="135"/>
        <v>11</v>
      </c>
      <c r="P800" s="1">
        <f t="shared" si="135"/>
        <v>41</v>
      </c>
      <c r="Q800" s="55">
        <f>SUM(N800:P800)</f>
        <v>52</v>
      </c>
      <c r="R800" s="55">
        <f>+E800+I800+M800+Q800</f>
        <v>52</v>
      </c>
    </row>
    <row r="801" spans="1:20" ht="16.5" customHeight="1" thickBot="1" x14ac:dyDescent="0.35">
      <c r="A801" s="57" t="s">
        <v>59</v>
      </c>
      <c r="B801" s="86">
        <f>SUM(B797:B800)</f>
        <v>1913</v>
      </c>
      <c r="C801" s="87">
        <f>SUM(C797:C800)</f>
        <v>15616</v>
      </c>
      <c r="D801" s="87">
        <f>SUM(D797:D800)</f>
        <v>26911</v>
      </c>
      <c r="E801" s="59">
        <f>SUM(B801:D801)</f>
        <v>44440</v>
      </c>
      <c r="F801" s="87">
        <f>SUM(F797:F800)</f>
        <v>29045</v>
      </c>
      <c r="G801" s="87">
        <f>SUM(G797:G800)</f>
        <v>35073</v>
      </c>
      <c r="H801" s="87">
        <f>SUM(H797:H800)</f>
        <v>59682</v>
      </c>
      <c r="I801" s="59">
        <f>SUM(F801:H801)</f>
        <v>123800</v>
      </c>
      <c r="J801" s="87">
        <f>SUM(J797:J800)</f>
        <v>40687</v>
      </c>
      <c r="K801" s="87">
        <f>SUM(K797:K800)</f>
        <v>33893</v>
      </c>
      <c r="L801" s="87">
        <f>SUM(L797:L800)</f>
        <v>20881</v>
      </c>
      <c r="M801" s="59">
        <f>SUM(J801:L801)</f>
        <v>95461</v>
      </c>
      <c r="N801" s="87">
        <f>SUM(N797:N800)</f>
        <v>9602</v>
      </c>
      <c r="O801" s="87">
        <f>SUM(O797:O800)</f>
        <v>2396</v>
      </c>
      <c r="P801" s="87">
        <f>SUM(P797:P800)</f>
        <v>5098</v>
      </c>
      <c r="Q801" s="59">
        <f>SUM(N801:P801)</f>
        <v>17096</v>
      </c>
      <c r="R801" s="59">
        <f>+E801+I801+M801+Q801</f>
        <v>280797</v>
      </c>
    </row>
    <row r="802" spans="1:20" ht="15.75" customHeight="1" x14ac:dyDescent="0.3">
      <c r="A802" s="15" t="s">
        <v>60</v>
      </c>
      <c r="B802" s="1"/>
      <c r="C802" s="1"/>
      <c r="D802" s="1"/>
      <c r="E802" s="55" t="s">
        <v>7</v>
      </c>
      <c r="F802" s="1"/>
      <c r="G802" s="1"/>
      <c r="H802" s="1"/>
      <c r="I802" s="55" t="s">
        <v>7</v>
      </c>
      <c r="J802" s="1"/>
      <c r="K802" s="1"/>
      <c r="L802" s="1"/>
      <c r="M802" s="55" t="s">
        <v>7</v>
      </c>
      <c r="N802" s="1"/>
      <c r="O802" s="1"/>
      <c r="P802" s="1"/>
      <c r="Q802" s="55" t="s">
        <v>7</v>
      </c>
      <c r="R802" s="55" t="s">
        <v>7</v>
      </c>
    </row>
    <row r="803" spans="1:20" ht="15.75" customHeight="1" x14ac:dyDescent="0.3">
      <c r="A803" s="315" t="s">
        <v>61</v>
      </c>
      <c r="B803" s="1">
        <f>+B48+B97+B209+SUM(B371:B373)+B472+B514+B565+B619+SUM(B658:B659)+B710+SUM(B749:B751)</f>
        <v>3718</v>
      </c>
      <c r="C803" s="1">
        <f>+C48+C97+C209+SUM(C371:C373)+C472+C514+C565+C619+SUM(C658:C659)+C710+SUM(C749:C751)</f>
        <v>8266</v>
      </c>
      <c r="D803" s="1">
        <f>+D48+D97+D209+SUM(D371:D373)+D472+D514+D565+D619+SUM(D658:D659)+D710+SUM(D749:D751)</f>
        <v>9898</v>
      </c>
      <c r="E803" s="55">
        <f>SUM(B803:D803)</f>
        <v>21882</v>
      </c>
      <c r="F803" s="1">
        <f>+F48+F97+F209+SUM(F371:F373)+F472+F514+F565+F619+SUM(F658:F659)+F710+SUM(F749:F751)</f>
        <v>12515</v>
      </c>
      <c r="G803" s="1">
        <f>+G48+G97+G209+SUM(G371:G373)+G472+G514+G565+G619+SUM(G658:G659)+G710+SUM(G749:G751)</f>
        <v>15432</v>
      </c>
      <c r="H803" s="1">
        <f>+H48+H97+H209+SUM(H371:H373)+H472+H514+H565+H619+SUM(H658:H659)+H710+SUM(H749:H751)</f>
        <v>24325</v>
      </c>
      <c r="I803" s="55">
        <f>SUM(F803:H803)</f>
        <v>52272</v>
      </c>
      <c r="J803" s="1">
        <f>+J48+J97+J209+SUM(J371:J373)+J472+J514+J565+J619+SUM(J658:J659)+J710+SUM(J749:J751)</f>
        <v>27676</v>
      </c>
      <c r="K803" s="1">
        <f>+K48+K97+K209+SUM(K371:K373)+K472+K514+K565+K619+SUM(K658:K659)+K710+SUM(K749:K751)</f>
        <v>19077</v>
      </c>
      <c r="L803" s="1">
        <f>+L48+L97+L209+SUM(L371:L373)+L472+L514+L565+L619+SUM(L658:L659)+L710+SUM(L749:L751)</f>
        <v>12909</v>
      </c>
      <c r="M803" s="55">
        <f>SUM(J803:L803)</f>
        <v>59662</v>
      </c>
      <c r="N803" s="1">
        <f>+N48+N97+N209+SUM(N371:N373)+N472+N514+N565+N619+SUM(N658:N659)+N710+SUM(N749:N751)</f>
        <v>9113</v>
      </c>
      <c r="O803" s="1">
        <f>+O48+O97+O209+SUM(O371:O373)+O472+O514+O565+O619+SUM(O658:O659)+O710+SUM(O749:O751)</f>
        <v>1579</v>
      </c>
      <c r="P803" s="1">
        <f>+P48+P97+P209+SUM(P371:P373)+P472+P514+P565+P619+SUM(P658:P659)+P710+SUM(P749:P751)</f>
        <v>5605</v>
      </c>
      <c r="Q803" s="55">
        <f>SUM(N803:P803)</f>
        <v>16297</v>
      </c>
      <c r="R803" s="55">
        <f>+E803+I803+M803+Q803</f>
        <v>150113</v>
      </c>
    </row>
    <row r="804" spans="1:20" ht="15.75" customHeight="1" thickBot="1" x14ac:dyDescent="0.35">
      <c r="A804" s="315" t="s">
        <v>62</v>
      </c>
      <c r="B804" s="1">
        <f>+B49+SUM(B98:B105)+SUM(B210:B262)+SUM(B374:B410)+SUM(B473:B474)+SUM(B515:B516)+SUM(B566:B567)+B620+SUM(B660:B664)+B711+SUM(B752:B756)</f>
        <v>15830</v>
      </c>
      <c r="C804" s="1">
        <f>+C49+SUM(C98:C105)+SUM(C210:C262)+SUM(C374:C410)+SUM(C473:C474)+SUM(C515:C516)+SUM(C566:C567)+C620+SUM(C660:C664)+C711+SUM(C752:C756)</f>
        <v>25119</v>
      </c>
      <c r="D804" s="1">
        <f>+D49+SUM(D98:D105)+SUM(D210:D262)+SUM(D374:D410)+SUM(D473:D474)+SUM(D515:D516)+SUM(D566:D567)+D620+SUM(D660:D664)+D711+SUM(D752:D756)</f>
        <v>42701</v>
      </c>
      <c r="E804" s="55">
        <f>SUM(B804:D804)</f>
        <v>83650</v>
      </c>
      <c r="F804" s="1">
        <f>+F49+SUM(F98:F105)+SUM(F210:F262)+SUM(F374:F410)+SUM(F473:F474)+SUM(F515:F516)+SUM(F566:F567)+F620+SUM(F660:F664)+F711+SUM(F752:F756)</f>
        <v>45924</v>
      </c>
      <c r="G804" s="1">
        <f>+G49+SUM(G98:G105)+SUM(G210:G262)+SUM(G374:G410)+SUM(G473:G474)+SUM(G515:G516)+SUM(G566:G567)+G620+SUM(G660:G664)+G711+SUM(G752:G756)</f>
        <v>53737</v>
      </c>
      <c r="H804" s="1">
        <f>+H49+SUM(H98:H105)+SUM(H210:H262)+SUM(H374:H410)+SUM(H473:H474)+SUM(H515:H516)+SUM(H566:H567)+H620+SUM(H660:H664)+H711+SUM(H752:H756)</f>
        <v>47433</v>
      </c>
      <c r="I804" s="55">
        <f>SUM(F804:H804)</f>
        <v>147094</v>
      </c>
      <c r="J804" s="1">
        <f>+J49+SUM(J98:J105)+SUM(J210:J262)+SUM(J374:J410)+SUM(J473:J474)+SUM(J515:J516)+SUM(J566:J567)+J620+SUM(J660:J664)+J711+SUM(J752:J756)</f>
        <v>41845</v>
      </c>
      <c r="K804" s="1">
        <f>+K49+SUM(K98:K105)+SUM(K210:K262)+SUM(K374:K410)+SUM(K473:K474)+SUM(K515:K516)+SUM(K566:K567)+K620+SUM(K660:K664)+K711+SUM(K752:K756)</f>
        <v>29705</v>
      </c>
      <c r="L804" s="1">
        <f>+L49+SUM(L98:L105)+SUM(L210:L262)+SUM(L374:L410)+SUM(L473:L474)+SUM(L515:L516)+SUM(L566:L567)+L620+SUM(L660:L664)+L711+SUM(L752:L756)</f>
        <v>32235</v>
      </c>
      <c r="M804" s="55">
        <f>SUM(J804:L804)</f>
        <v>103785</v>
      </c>
      <c r="N804" s="1">
        <f>+N49+SUM(N98:N105)+SUM(N210:N262)+SUM(N374:N410)+SUM(N473:N474)+SUM(N515:N516)+SUM(N566:N567)+N620+SUM(N660:N664)+N711+SUM(N752:N756)</f>
        <v>18636</v>
      </c>
      <c r="O804" s="1">
        <f>+O49+SUM(O98:O105)+SUM(O210:O262)+SUM(O374:O410)+SUM(O473:O474)+SUM(O515:O516)+SUM(O566:O567)+O620+SUM(O660:O664)+O711+SUM(O752:O756)</f>
        <v>10133</v>
      </c>
      <c r="P804" s="1">
        <f>+P49+SUM(P98:P105)+SUM(P210:P262)+SUM(P374:P410)+SUM(P473:P474)+SUM(P515:P516)+SUM(P566:P567)+P620+SUM(P660:P664)+P711+SUM(P752:P756)</f>
        <v>16730</v>
      </c>
      <c r="Q804" s="55">
        <f>SUM(N804:P804)</f>
        <v>45499</v>
      </c>
      <c r="R804" s="55">
        <f>+E804+I804+M804+Q804</f>
        <v>380028</v>
      </c>
    </row>
    <row r="805" spans="1:20" ht="16.5" customHeight="1" thickBot="1" x14ac:dyDescent="0.35">
      <c r="A805" s="57" t="s">
        <v>63</v>
      </c>
      <c r="B805" s="86">
        <f>SUM(B802:B804)</f>
        <v>19548</v>
      </c>
      <c r="C805" s="87">
        <f>SUM(C802:C804)</f>
        <v>33385</v>
      </c>
      <c r="D805" s="118">
        <f>SUM(D802:D804)</f>
        <v>52599</v>
      </c>
      <c r="E805" s="59">
        <f>SUM(B805:D805)</f>
        <v>105532</v>
      </c>
      <c r="F805" s="87">
        <f>SUM(F802:F804)</f>
        <v>58439</v>
      </c>
      <c r="G805" s="87">
        <f>SUM(G802:G804)</f>
        <v>69169</v>
      </c>
      <c r="H805" s="87">
        <f>SUM(H802:H804)</f>
        <v>71758</v>
      </c>
      <c r="I805" s="59">
        <f>SUM(F805:H805)</f>
        <v>199366</v>
      </c>
      <c r="J805" s="87">
        <f>SUM(J802:J804)</f>
        <v>69521</v>
      </c>
      <c r="K805" s="87">
        <f>SUM(K802:K804)</f>
        <v>48782</v>
      </c>
      <c r="L805" s="87">
        <f>SUM(L802:L804)</f>
        <v>45144</v>
      </c>
      <c r="M805" s="59">
        <f>SUM(J805:L805)</f>
        <v>163447</v>
      </c>
      <c r="N805" s="87">
        <f>SUM(N802:N804)</f>
        <v>27749</v>
      </c>
      <c r="O805" s="87">
        <f>SUM(O802:O804)</f>
        <v>11712</v>
      </c>
      <c r="P805" s="87">
        <f>SUM(P802:P804)</f>
        <v>22335</v>
      </c>
      <c r="Q805" s="59">
        <f>SUM(N805:P805)</f>
        <v>61796</v>
      </c>
      <c r="R805" s="59">
        <f>+E805+I805+M805+Q805</f>
        <v>530141</v>
      </c>
      <c r="T805" s="4">
        <v>1600000</v>
      </c>
    </row>
    <row r="806" spans="1:20" ht="20.25" customHeight="1" x14ac:dyDescent="0.3">
      <c r="A806" s="15" t="s">
        <v>1018</v>
      </c>
      <c r="B806" s="1"/>
      <c r="C806" s="1"/>
      <c r="D806" s="1"/>
      <c r="E806" s="55" t="s">
        <v>7</v>
      </c>
      <c r="F806" s="1"/>
      <c r="G806" s="1"/>
      <c r="H806" s="1"/>
      <c r="I806" s="55" t="s">
        <v>7</v>
      </c>
      <c r="J806" s="1"/>
      <c r="K806" s="1"/>
      <c r="L806" s="1"/>
      <c r="M806" s="55" t="s">
        <v>7</v>
      </c>
      <c r="N806" s="1"/>
      <c r="O806" s="1"/>
      <c r="P806" s="1"/>
      <c r="Q806" s="55" t="s">
        <v>7</v>
      </c>
      <c r="R806" s="55" t="s">
        <v>7</v>
      </c>
      <c r="T806" s="4">
        <f>+T805-28000-R790-R791-400000-R803-R804+12000</f>
        <v>149047</v>
      </c>
    </row>
    <row r="807" spans="1:20" ht="15.75" customHeight="1" x14ac:dyDescent="0.3">
      <c r="A807" s="15" t="s">
        <v>1019</v>
      </c>
      <c r="B807" s="1">
        <f>SUM(B52:B52)+SUM(B108:B116)+SUM(B265:B268)+SUM(B413:B414)+SUM(B477:B477)+B519+SUM(B570:B572)+B623+B667+B714+SUM(B759:B761)</f>
        <v>0</v>
      </c>
      <c r="C807" s="1">
        <f>SUM(C52:C52)+SUM(C108:C116)+SUM(C265:C268)+SUM(C413:C414)+SUM(C477:C477)+C519+SUM(C570:C572)+C623+C667+C714+SUM(C759:C761)</f>
        <v>0</v>
      </c>
      <c r="D807" s="1">
        <f>SUM(D52:D52)+SUM(D108:D116)+SUM(D265:D268)+SUM(D413:D414)+SUM(D477:D477)+D519+SUM(D570:D572)+D623+D667+D714+SUM(D759:D761)</f>
        <v>0</v>
      </c>
      <c r="E807" s="55">
        <f t="shared" ref="E807:E815" si="136">SUM(B807:D807)</f>
        <v>0</v>
      </c>
      <c r="F807" s="1">
        <f>SUM(F52:F52)+SUM(F108:F116)+SUM(F265:F268)+SUM(F413:F414)+SUM(F477:F477)+F519+SUM(F570:F572)+F623+F667+F714+SUM(F759:F761)</f>
        <v>0</v>
      </c>
      <c r="G807" s="1">
        <f>SUM(G52:G52)+SUM(G108:G116)+SUM(G265:G268)+SUM(G413:G414)+SUM(G477:G477)+G519+SUM(G570:G572)+G623+G667+G714+SUM(G759:G761)</f>
        <v>659</v>
      </c>
      <c r="H807" s="1">
        <f>SUM(H52:H52)+SUM(H108:H116)+SUM(H265:H268)+SUM(H413:H414)+SUM(H477:H477)+H519+SUM(H570:H572)+H623+H667+H714+SUM(H759:H761)</f>
        <v>1870</v>
      </c>
      <c r="I807" s="55">
        <f t="shared" ref="I807:I815" si="137">SUM(F807:H807)</f>
        <v>2529</v>
      </c>
      <c r="J807" s="1">
        <f>SUM(J52:J52)+SUM(J108:J116)+SUM(J265:J268)+SUM(J413:J414)+SUM(J477:J477)+J519+SUM(J570:J572)+J623+J667+J714+SUM(J759:J761)</f>
        <v>1978</v>
      </c>
      <c r="K807" s="1">
        <f>SUM(K52:K52)+SUM(K108:K116)+SUM(K265:K268)+SUM(K413:K414)+SUM(K477:K477)+K519+SUM(K570:K572)+K623+K667+K714+SUM(K759:K761)</f>
        <v>279</v>
      </c>
      <c r="L807" s="1">
        <f>SUM(L52:L52)+SUM(L108:L116)+SUM(L265:L268)+SUM(L413:L414)+SUM(L477:L477)+L519+SUM(L570:L572)+L623+L667+L714+SUM(L759:L761)</f>
        <v>214</v>
      </c>
      <c r="M807" s="55">
        <f t="shared" ref="M807:M815" si="138">SUM(J807:L807)</f>
        <v>2471</v>
      </c>
      <c r="N807" s="1">
        <f>SUM(N52:N52)+SUM(N108:N116)+SUM(N265:N268)+SUM(N413:N414)+SUM(N477:N477)+N519+SUM(N570:N572)+N623+N667+N714+SUM(N759:N761)</f>
        <v>18</v>
      </c>
      <c r="O807" s="1">
        <f>SUM(O52:O52)+SUM(O108:O116)+SUM(O265:O268)+SUM(O413:O414)+SUM(O477:O477)+O519+SUM(O570:O572)+O623+O667+O714+SUM(O759:O761)</f>
        <v>12</v>
      </c>
      <c r="P807" s="1">
        <f>SUM(P52:P52)+SUM(P108:P116)+SUM(P265:P268)+SUM(P413:P414)+SUM(P477:P477)+P519+SUM(P570:P572)+P623+P667+P714+SUM(P759:P761)</f>
        <v>835</v>
      </c>
      <c r="Q807" s="55">
        <f t="shared" ref="Q807:Q815" si="139">SUM(N807:P807)</f>
        <v>865</v>
      </c>
      <c r="R807" s="55">
        <f>+E807+I807+M807+Q807</f>
        <v>5865</v>
      </c>
    </row>
    <row r="808" spans="1:20" ht="15.75" customHeight="1" x14ac:dyDescent="0.3">
      <c r="A808" s="15" t="s">
        <v>67</v>
      </c>
      <c r="B808" s="1">
        <f>SUM(B53:B54)+SUM(B117:B118)+SUM(B269:B270)+B272+B274+B276+B277+SUM(B415:B417)+B478+B520+SUM(B573:B574)+B576+SUM(B624:B625)+B669+B671+B715+SUM(B762:B763)</f>
        <v>1020</v>
      </c>
      <c r="C808" s="1">
        <f>SUM(C53:C54)+SUM(C117:C118)+SUM(C269:C270)+C272+C274+C276+C277+SUM(C415:C417)+C478+C520+SUM(C573:C574)+C576+SUM(C624:C625)+C669+C671+C715+SUM(C762:C763)</f>
        <v>1520</v>
      </c>
      <c r="D808" s="1">
        <f>SUM(D53:D54)+SUM(D117:D118)+SUM(D269:D270)+D272+D274+D276+D277+SUM(D415:D417)+D478+D520+SUM(D573:D574)+D576+SUM(D624:D625)+D669+D671+D715+SUM(D762:D763)</f>
        <v>2020</v>
      </c>
      <c r="E808" s="55">
        <f t="shared" si="136"/>
        <v>4560</v>
      </c>
      <c r="F808" s="1">
        <f>SUM(F53:F54)+SUM(F117:F118)+SUM(F269:F270)+F272+F274+F276+F277+SUM(F415:F417)+F478+F520+SUM(F573:F574)+F576+SUM(F624:F625)+F669+F671+F715+SUM(F762:F763)</f>
        <v>4253</v>
      </c>
      <c r="G808" s="1">
        <f>SUM(G53:G54)+SUM(G117:G118)+SUM(G269:G270)+G272+G274+G276+G277+SUM(G415:G417)+G478+G520+SUM(G573:G574)+G576+SUM(G624:G625)+G669+G671+G715+SUM(G762:G763)</f>
        <v>4306</v>
      </c>
      <c r="H808" s="1">
        <f>SUM(H53:H54)+SUM(H117:H118)+SUM(H269:H270)+H272+H274+H276+H277+SUM(H415:H417)+H478+H520+SUM(H573:H574)+H576+SUM(H624:H625)+H669+H671+H715+SUM(H762:H763)</f>
        <v>6137</v>
      </c>
      <c r="I808" s="55">
        <f t="shared" si="137"/>
        <v>14696</v>
      </c>
      <c r="J808" s="1">
        <f>SUM(J53:J54)+SUM(J117:J118)+SUM(J269:J270)+J272+J274+J276+J277+SUM(J415:J417)+J478+J520+SUM(J573:J574)+J576+SUM(J624:J625)+J669+J671+J715+SUM(J762:J763)</f>
        <v>8802</v>
      </c>
      <c r="K808" s="1">
        <f>SUM(K53:K54)+SUM(K117:K118)+SUM(K269:K270)+K272+K274+K276+K277+SUM(K415:K417)+K478+K520+SUM(K573:K574)+K576+SUM(K624:K625)+K669+K671+K715+SUM(K762:K763)</f>
        <v>3351</v>
      </c>
      <c r="L808" s="1">
        <f>SUM(L53:L54)+SUM(L117:L118)+SUM(L269:L270)+L272+L274+L276+L277+SUM(L415:L417)+L478+L520+SUM(L573:L574)+L576+SUM(L624:L625)+L669+L671+L715+SUM(L762:L763)</f>
        <v>2158</v>
      </c>
      <c r="M808" s="55">
        <f t="shared" si="138"/>
        <v>14311</v>
      </c>
      <c r="N808" s="1">
        <f>SUM(N53:N54)+SUM(N117:N118)+SUM(N269:N270)+N272+N274+N276+N277+SUM(N415:N417)+N478+N520+SUM(N573:N574)+N576+SUM(N624:N625)+N669+N671+N715+SUM(N762:N763)</f>
        <v>3007</v>
      </c>
      <c r="O808" s="1">
        <f>SUM(O53:O54)+SUM(O117:O118)+SUM(O269:O270)+O272+O274+O276+O277+SUM(O415:O417)+O478+O520+SUM(O573:O574)+O576+SUM(O624:O625)+O669+O671+O715+SUM(O762:O763)</f>
        <v>2112</v>
      </c>
      <c r="P808" s="1">
        <f>SUM(P53:P54)+SUM(P117:P118)+SUM(P269:P270)+P272+P274+P276+P277+SUM(P415:P417)+P478+P520+SUM(P573:P574)+P576+SUM(P624:P625)+P669+P671+P715+SUM(P762:P763)</f>
        <v>429</v>
      </c>
      <c r="Q808" s="55">
        <f t="shared" si="139"/>
        <v>5548</v>
      </c>
      <c r="R808" s="55">
        <f t="shared" ref="R808:R815" si="140">+E808+I808+M808+Q808</f>
        <v>39115</v>
      </c>
    </row>
    <row r="809" spans="1:20" ht="15.75" customHeight="1" x14ac:dyDescent="0.3">
      <c r="A809" s="71" t="s">
        <v>378</v>
      </c>
      <c r="B809" s="1">
        <f>B119+B271+B273+B275+B575+B577+B670+B672+B764</f>
        <v>0</v>
      </c>
      <c r="C809" s="1">
        <f>C119+C271+C273+C275+C575+C577+C670+C672+C764</f>
        <v>0</v>
      </c>
      <c r="D809" s="1">
        <f>D119+D271+D273+D275+D575+D577+D670+D672+D764</f>
        <v>0</v>
      </c>
      <c r="E809" s="55">
        <f t="shared" si="136"/>
        <v>0</v>
      </c>
      <c r="F809" s="1">
        <f>F119+F271+F273+F275+F575+F577+F670+F672+F764</f>
        <v>0</v>
      </c>
      <c r="G809" s="1">
        <f>G119+G271+G273+G275+G575+G577+G670+G672+G764</f>
        <v>0</v>
      </c>
      <c r="H809" s="1">
        <f>H119+H271+H273+H275+H575+H577+H670+H672+H764</f>
        <v>0</v>
      </c>
      <c r="I809" s="55">
        <f t="shared" si="137"/>
        <v>0</v>
      </c>
      <c r="J809" s="1">
        <f>J119+J271+J273+J275+J575+J577+J670+J672+J764</f>
        <v>0</v>
      </c>
      <c r="K809" s="1">
        <f>K119+K271+K273+K275+K575+K577+K670+K672+K764</f>
        <v>0</v>
      </c>
      <c r="L809" s="1">
        <f>L119+L271+L273+L275+L575+L577+L670+L672+L764</f>
        <v>0</v>
      </c>
      <c r="M809" s="55">
        <f t="shared" si="138"/>
        <v>0</v>
      </c>
      <c r="N809" s="1">
        <f>N119+N271+N273+N275+N575+N577+N670+N672+N764</f>
        <v>0</v>
      </c>
      <c r="O809" s="1">
        <f>O119+O271+O273+O275+O575+O577+O670+O672+O764</f>
        <v>0</v>
      </c>
      <c r="P809" s="1">
        <f>P119+P271+P273+P275+P575+P577+P670+P672+P764</f>
        <v>0</v>
      </c>
      <c r="Q809" s="55">
        <f t="shared" si="139"/>
        <v>0</v>
      </c>
      <c r="R809" s="55">
        <f t="shared" si="140"/>
        <v>0</v>
      </c>
    </row>
    <row r="810" spans="1:20" ht="15.75" customHeight="1" x14ac:dyDescent="0.3">
      <c r="A810" s="15" t="s">
        <v>1020</v>
      </c>
      <c r="B810" s="1">
        <f>+B55+SUM(B120:B121)+SUM(B278:B278)+SUM(B418:B424)+SUM(B479:B479)+SUM(B521:B522)+B578+B626+B673+B765+B765</f>
        <v>0</v>
      </c>
      <c r="C810" s="1">
        <f>+C55+SUM(C120:C121)+SUM(C278:C278)+SUM(C418:C424)+SUM(C479:C479)+SUM(C521:C522)+C578+C626+C673+C765+C765</f>
        <v>0</v>
      </c>
      <c r="D810" s="1">
        <f>+D55+SUM(D120:D121)+SUM(D278:D278)+SUM(D418:D424)+SUM(D479:D479)+SUM(D521:D522)+D578+D626+D673+D765+D765</f>
        <v>0</v>
      </c>
      <c r="E810" s="55">
        <f t="shared" si="136"/>
        <v>0</v>
      </c>
      <c r="F810" s="1">
        <f>+F55+SUM(F120:F121)+SUM(F278:F278)+SUM(F418:F424)+SUM(F479:F479)+SUM(F521:F522)+F578+F626+F673+F765+F765</f>
        <v>0</v>
      </c>
      <c r="G810" s="1">
        <f>+G55+SUM(G120:G121)+SUM(G278:G278)+SUM(G418:G424)+SUM(G479:G479)+SUM(G521:G522)+G578+G626+G673+G765+G765</f>
        <v>0</v>
      </c>
      <c r="H810" s="1">
        <f>+H55+SUM(H120:H121)+SUM(H278:H278)+SUM(H418:H424)+SUM(H479:H479)+SUM(H521:H522)+H578+H626+H673+H765+H765</f>
        <v>1000</v>
      </c>
      <c r="I810" s="55">
        <f t="shared" si="137"/>
        <v>1000</v>
      </c>
      <c r="J810" s="1">
        <f>+J55+SUM(J120:J121)+SUM(J278:J278)+SUM(J418:J424)+SUM(J479:J479)+SUM(J521:J522)+J578+J626+J673+J765+J765</f>
        <v>0</v>
      </c>
      <c r="K810" s="1">
        <f>+K55+SUM(K120:K121)+SUM(K278:K278)+SUM(K418:K424)+SUM(K479:K479)+SUM(K521:K522)+K578+K626+K673+K765+K765</f>
        <v>43</v>
      </c>
      <c r="L810" s="1">
        <f>+L55+SUM(L120:L121)+SUM(L278:L278)+SUM(L418:L424)+SUM(L479:L479)+SUM(L521:L522)+L578+L626+L673+L765+L765</f>
        <v>1625</v>
      </c>
      <c r="M810" s="55">
        <f t="shared" si="138"/>
        <v>1668</v>
      </c>
      <c r="N810" s="1">
        <f>+N55+SUM(N120:N121)+SUM(N278:N278)+SUM(N418:N424)+SUM(N479:N479)+SUM(N521:N522)+N578+N626+N673+N765+N765</f>
        <v>4421</v>
      </c>
      <c r="O810" s="1">
        <f>+O55+SUM(O120:O121)+SUM(O278:O278)+SUM(O418:O424)+SUM(O479:O479)+SUM(O521:O522)+O578+O626+O673+O765+O765</f>
        <v>1208</v>
      </c>
      <c r="P810" s="1">
        <f>+P55+SUM(P120:P121)+SUM(P278:P278)+SUM(P418:P424)+SUM(P479:P479)+SUM(P521:P522)+P578+P626+P673+P765+P765</f>
        <v>202</v>
      </c>
      <c r="Q810" s="55">
        <f t="shared" si="139"/>
        <v>5831</v>
      </c>
      <c r="R810" s="55">
        <f>+E810+I810+M810+Q810</f>
        <v>8499</v>
      </c>
    </row>
    <row r="811" spans="1:20" ht="22.5" customHeight="1" x14ac:dyDescent="0.3">
      <c r="A811" s="15" t="s">
        <v>1021</v>
      </c>
      <c r="B811" s="1">
        <f>SUM(B122:B122)+SUM(B279:B280)+B426+B428+B429+B431+B433+SUM(B480:B481)+B524+B526+B579+SUM(B580:B581)+B627+B674+B717+B766</f>
        <v>246</v>
      </c>
      <c r="C811" s="1">
        <f>SUM(C122:C122)+SUM(C279:C280)+C426+C428+C429+C431+C433+SUM(C480:C481)+C524+C526+C579+SUM(C580:C581)+C627+C674+C717+C766</f>
        <v>700</v>
      </c>
      <c r="D811" s="1">
        <f>SUM(D122:D122)+SUM(D279:D280)+D426+D428+D429+D431+D433+SUM(D480:D481)+D524+D526+D579+SUM(D580:D581)+D627+D674+D717+D766</f>
        <v>1340</v>
      </c>
      <c r="E811" s="55">
        <f t="shared" si="136"/>
        <v>2286</v>
      </c>
      <c r="F811" s="1">
        <f>SUM(F122:F122)+SUM(F279:F280)+F426+F428+F429+F431+F433+SUM(F480:F481)+F524+F526+F579+SUM(F580:F581)+F627+F674+F717+F766</f>
        <v>1200</v>
      </c>
      <c r="G811" s="1">
        <f>SUM(G122:G122)+SUM(G279:G280)+G426+G428+G429+G431+G433+SUM(G480:G481)+G524+G526+G579+SUM(G580:G581)+G627+G674+G717+G766</f>
        <v>1260</v>
      </c>
      <c r="H811" s="1">
        <f>SUM(H122:H122)+SUM(H279:H280)+H426+H428+H429+H431+H433+SUM(H480:H481)+H524+H526+H579+SUM(H580:H581)+H627+H674+H717+H766</f>
        <v>2891</v>
      </c>
      <c r="I811" s="55">
        <f t="shared" si="137"/>
        <v>5351</v>
      </c>
      <c r="J811" s="1">
        <f>SUM(J122:J122)+SUM(J279:J280)+J426+J428+J429+J431+J433+SUM(J480:J481)+J524+J526+J579+SUM(J580:J581)+J627+J674+J717+J766</f>
        <v>5046</v>
      </c>
      <c r="K811" s="1">
        <f>SUM(K122:K122)+SUM(K279:K280)+K426+K428+K429+K431+K433+SUM(K480:K481)+K524+K526+K579+SUM(K580:K581)+K627+K674+K717+K766</f>
        <v>2299</v>
      </c>
      <c r="L811" s="1">
        <f>SUM(L122:L122)+SUM(L279:L280)+L426+L428+L429+L431+L433+SUM(L480:L481)+L524+L526+L579+SUM(L580:L581)+L627+L674+L717+L766</f>
        <v>3778</v>
      </c>
      <c r="M811" s="55">
        <f t="shared" si="138"/>
        <v>11123</v>
      </c>
      <c r="N811" s="1">
        <f>SUM(N122:N122)+SUM(N279:N280)+N426+N428+N429+N431+N433+SUM(N480:N481)+N524+N526+N579+SUM(N580:N581)+N627+N674+N717+N766</f>
        <v>4652</v>
      </c>
      <c r="O811" s="1">
        <f>SUM(O122:O122)+SUM(O279:O280)+O426+O428+O429+O431+O433+SUM(O480:O481)+O524+O526+O579+SUM(O580:O581)+O627+O674+O717+O766</f>
        <v>2527</v>
      </c>
      <c r="P811" s="1">
        <f>SUM(P122:P122)+SUM(P279:P280)+P426+P428+P429+P431+P433+SUM(P480:P481)+P524+P526+P579+SUM(P580:P581)+P627+P674+P717+P766</f>
        <v>654</v>
      </c>
      <c r="Q811" s="55">
        <f t="shared" si="139"/>
        <v>7833</v>
      </c>
      <c r="R811" s="55">
        <f t="shared" si="140"/>
        <v>26593</v>
      </c>
    </row>
    <row r="812" spans="1:20" ht="15.75" customHeight="1" thickBot="1" x14ac:dyDescent="0.35">
      <c r="A812" s="71" t="s">
        <v>379</v>
      </c>
      <c r="B812" s="1">
        <f>+B427+B430+B432+B482</f>
        <v>0</v>
      </c>
      <c r="C812" s="1">
        <f>+C427+C430+C432+C482</f>
        <v>0</v>
      </c>
      <c r="D812" s="1">
        <f>+D427+D430+D432+D482</f>
        <v>0</v>
      </c>
      <c r="E812" s="55">
        <f>SUM(B812:D812)</f>
        <v>0</v>
      </c>
      <c r="F812" s="1">
        <f>+F427+F430+F432+F482</f>
        <v>0</v>
      </c>
      <c r="G812" s="1">
        <f>+G427+G430+G432+G482</f>
        <v>0</v>
      </c>
      <c r="H812" s="1">
        <f>+H427+H430+H432+H482</f>
        <v>0</v>
      </c>
      <c r="I812" s="55">
        <f>SUM(F812:H812)</f>
        <v>0</v>
      </c>
      <c r="J812" s="1">
        <f>+J427+J430+J432+J482</f>
        <v>0</v>
      </c>
      <c r="K812" s="1">
        <f>+K427+K430+K432+K482</f>
        <v>0</v>
      </c>
      <c r="L812" s="1">
        <f>+L427+L430+L432+L482</f>
        <v>0</v>
      </c>
      <c r="M812" s="55">
        <f>SUM(J812:L812)</f>
        <v>0</v>
      </c>
      <c r="N812" s="1">
        <f>+N427+N430+N432+N482</f>
        <v>0</v>
      </c>
      <c r="O812" s="1">
        <f>+O427+O430+O432+O482</f>
        <v>0</v>
      </c>
      <c r="P812" s="1">
        <f>+P427+P430+P432+P482</f>
        <v>0</v>
      </c>
      <c r="Q812" s="55">
        <f>SUM(N812:P812)</f>
        <v>0</v>
      </c>
      <c r="R812" s="55">
        <f>+E812+I812+M812+Q812</f>
        <v>0</v>
      </c>
    </row>
    <row r="813" spans="1:20" ht="16.5" customHeight="1" thickBot="1" x14ac:dyDescent="0.35">
      <c r="A813" s="57" t="s">
        <v>71</v>
      </c>
      <c r="B813" s="146">
        <f>SUM(B810:B812)</f>
        <v>246</v>
      </c>
      <c r="C813" s="146">
        <f>SUM(C810:C812)</f>
        <v>700</v>
      </c>
      <c r="D813" s="146">
        <f>SUM(D810:D812)</f>
        <v>1340</v>
      </c>
      <c r="E813" s="60">
        <f t="shared" si="136"/>
        <v>2286</v>
      </c>
      <c r="F813" s="146">
        <f>SUM(F810:F812)</f>
        <v>1200</v>
      </c>
      <c r="G813" s="146">
        <f>SUM(G810:G812)</f>
        <v>1260</v>
      </c>
      <c r="H813" s="146">
        <f>SUM(H810:H812)</f>
        <v>3891</v>
      </c>
      <c r="I813" s="60">
        <f t="shared" si="137"/>
        <v>6351</v>
      </c>
      <c r="J813" s="146">
        <f>SUM(J810:J812)</f>
        <v>5046</v>
      </c>
      <c r="K813" s="146">
        <f>SUM(K810:K812)</f>
        <v>2342</v>
      </c>
      <c r="L813" s="146">
        <f>SUM(L810:L812)</f>
        <v>5403</v>
      </c>
      <c r="M813" s="60">
        <f t="shared" si="138"/>
        <v>12791</v>
      </c>
      <c r="N813" s="146">
        <f>SUM(N810:N812)</f>
        <v>9073</v>
      </c>
      <c r="O813" s="146">
        <f>SUM(O810:O812)</f>
        <v>3735</v>
      </c>
      <c r="P813" s="146">
        <f>SUM(P810:P812)</f>
        <v>856</v>
      </c>
      <c r="Q813" s="60">
        <f t="shared" si="139"/>
        <v>13664</v>
      </c>
      <c r="R813" s="59">
        <f t="shared" si="140"/>
        <v>35092</v>
      </c>
    </row>
    <row r="814" spans="1:20" ht="16.5" customHeight="1" thickBot="1" x14ac:dyDescent="0.35">
      <c r="A814" s="114" t="s">
        <v>72</v>
      </c>
      <c r="B814" s="86">
        <f>SUM(B806:B812)</f>
        <v>1266</v>
      </c>
      <c r="C814" s="87">
        <f>SUM(C806:C812)</f>
        <v>2220</v>
      </c>
      <c r="D814" s="118">
        <f>SUM(D806:D812)</f>
        <v>3360</v>
      </c>
      <c r="E814" s="147">
        <f t="shared" si="136"/>
        <v>6846</v>
      </c>
      <c r="F814" s="86">
        <f>SUM(F806:F812)</f>
        <v>5453</v>
      </c>
      <c r="G814" s="87">
        <f>SUM(G806:G812)</f>
        <v>6225</v>
      </c>
      <c r="H814" s="118">
        <f>SUM(H806:H812)</f>
        <v>11898</v>
      </c>
      <c r="I814" s="60">
        <f t="shared" si="137"/>
        <v>23576</v>
      </c>
      <c r="J814" s="86">
        <f>SUM(J806:J812)</f>
        <v>15826</v>
      </c>
      <c r="K814" s="87">
        <f>SUM(K806:K812)</f>
        <v>5972</v>
      </c>
      <c r="L814" s="118">
        <f>SUM(L806:L812)</f>
        <v>7775</v>
      </c>
      <c r="M814" s="60">
        <f t="shared" si="138"/>
        <v>29573</v>
      </c>
      <c r="N814" s="86">
        <f>SUM(N806:N812)</f>
        <v>12098</v>
      </c>
      <c r="O814" s="87">
        <f>SUM(O806:O812)</f>
        <v>5859</v>
      </c>
      <c r="P814" s="118">
        <f>SUM(P806:P812)</f>
        <v>2120</v>
      </c>
      <c r="Q814" s="60">
        <f t="shared" si="139"/>
        <v>20077</v>
      </c>
      <c r="R814" s="59">
        <f t="shared" si="140"/>
        <v>80072</v>
      </c>
    </row>
    <row r="815" spans="1:20" ht="16.5" customHeight="1" thickBot="1" x14ac:dyDescent="0.35">
      <c r="A815" s="57" t="s">
        <v>73</v>
      </c>
      <c r="B815" s="148">
        <f>+B796+B801+B805+B814</f>
        <v>43148</v>
      </c>
      <c r="C815" s="149">
        <f>+C796+C801+C805+C814</f>
        <v>77253</v>
      </c>
      <c r="D815" s="149">
        <f>+D796+D801+D805+D814</f>
        <v>122146</v>
      </c>
      <c r="E815" s="59">
        <f t="shared" si="136"/>
        <v>242547</v>
      </c>
      <c r="F815" s="58">
        <f>+F796+F801+F805+F814</f>
        <v>138443</v>
      </c>
      <c r="G815" s="58">
        <f>+G796+G801+G805+G814</f>
        <v>166029</v>
      </c>
      <c r="H815" s="58">
        <f>+H796+H801+H805+H814</f>
        <v>201550</v>
      </c>
      <c r="I815" s="59">
        <f t="shared" si="137"/>
        <v>506022</v>
      </c>
      <c r="J815" s="58">
        <f>+J796+J801+J805+J814</f>
        <v>193428</v>
      </c>
      <c r="K815" s="58">
        <f>+K796+K801+K805+K814</f>
        <v>151816</v>
      </c>
      <c r="L815" s="58">
        <f>+L796+L801+L805+L814</f>
        <v>129194</v>
      </c>
      <c r="M815" s="59">
        <f t="shared" si="138"/>
        <v>474438</v>
      </c>
      <c r="N815" s="58">
        <f>+N796+N801+N805+N814</f>
        <v>88804</v>
      </c>
      <c r="O815" s="58">
        <f>+O796+O801+O805+O814</f>
        <v>57369</v>
      </c>
      <c r="P815" s="58">
        <f>+P796+P801+P805+P814</f>
        <v>61730</v>
      </c>
      <c r="Q815" s="59">
        <f t="shared" si="139"/>
        <v>207903</v>
      </c>
      <c r="R815" s="81">
        <f t="shared" si="140"/>
        <v>1430910</v>
      </c>
    </row>
    <row r="816" spans="1:20" ht="15.75" customHeight="1" x14ac:dyDescent="0.3">
      <c r="A816" s="1" t="s">
        <v>1022</v>
      </c>
      <c r="B816" s="1"/>
      <c r="C816" s="1"/>
      <c r="D816" s="1"/>
      <c r="E816" s="1"/>
      <c r="F816" s="1"/>
      <c r="G816" s="1"/>
      <c r="H816" s="1"/>
      <c r="I816" s="1"/>
      <c r="J816" s="1"/>
      <c r="K816" s="1"/>
      <c r="L816" s="1"/>
      <c r="M816" s="1"/>
      <c r="N816" s="1"/>
      <c r="O816" s="316"/>
      <c r="P816" s="1"/>
      <c r="Q816" s="1"/>
      <c r="R816" s="2"/>
    </row>
    <row r="817" spans="1:18" ht="15.75" customHeight="1" x14ac:dyDescent="0.3">
      <c r="A817" s="1" t="s">
        <v>1023</v>
      </c>
      <c r="B817" s="1"/>
      <c r="C817" s="1"/>
      <c r="D817" s="1"/>
      <c r="E817" s="1"/>
      <c r="F817" s="1"/>
      <c r="G817" s="1"/>
      <c r="H817" s="1"/>
      <c r="I817" s="1"/>
      <c r="J817" s="1"/>
      <c r="K817" s="1"/>
      <c r="L817" s="1"/>
      <c r="M817" s="1"/>
      <c r="N817" s="1"/>
      <c r="O817" s="316"/>
      <c r="P817" s="1"/>
      <c r="Q817" s="1"/>
      <c r="R817" s="2"/>
    </row>
    <row r="818" spans="1:18" ht="15.75" customHeight="1" x14ac:dyDescent="0.3">
      <c r="A818" s="1"/>
      <c r="B818" s="1"/>
      <c r="C818" s="1"/>
      <c r="D818" s="1"/>
      <c r="E818" s="1"/>
      <c r="F818" s="1"/>
      <c r="G818" s="1"/>
      <c r="H818" s="1"/>
      <c r="I818" s="1"/>
      <c r="J818" s="1"/>
      <c r="K818" s="1"/>
      <c r="L818" s="1"/>
      <c r="M818" s="1"/>
      <c r="N818" s="1"/>
      <c r="O818" s="316"/>
      <c r="P818" s="1"/>
      <c r="Q818" s="338" t="str">
        <f>+Q1</f>
        <v xml:space="preserve">PRINTED:  </v>
      </c>
      <c r="R818" s="360">
        <f ca="1">+R1</f>
        <v>44909.46975358796</v>
      </c>
    </row>
    <row r="819" spans="1:18" ht="15.75" customHeight="1" x14ac:dyDescent="0.3">
      <c r="A819" s="499" t="s">
        <v>1</v>
      </c>
      <c r="B819" s="499"/>
      <c r="C819" s="499"/>
      <c r="D819" s="499"/>
      <c r="E819" s="499"/>
      <c r="F819" s="499"/>
      <c r="G819" s="499"/>
      <c r="H819" s="499"/>
      <c r="I819" s="499"/>
      <c r="J819" s="499"/>
      <c r="K819" s="499"/>
      <c r="L819" s="499"/>
      <c r="M819" s="499"/>
      <c r="N819" s="499"/>
      <c r="O819" s="499"/>
      <c r="P819" s="499"/>
      <c r="Q819" s="499"/>
      <c r="R819" s="499"/>
    </row>
    <row r="820" spans="1:18" ht="15.75" customHeight="1" x14ac:dyDescent="0.3">
      <c r="A820" s="499" t="s">
        <v>2</v>
      </c>
      <c r="B820" s="499"/>
      <c r="C820" s="499"/>
      <c r="D820" s="499"/>
      <c r="E820" s="499"/>
      <c r="F820" s="499"/>
      <c r="G820" s="499"/>
      <c r="H820" s="499"/>
      <c r="I820" s="499"/>
      <c r="J820" s="499"/>
      <c r="K820" s="499"/>
      <c r="L820" s="499"/>
      <c r="M820" s="499"/>
      <c r="N820" s="499"/>
      <c r="O820" s="499"/>
      <c r="P820" s="499"/>
      <c r="Q820" s="499"/>
      <c r="R820" s="499"/>
    </row>
    <row r="821" spans="1:18" ht="15.75" customHeight="1" x14ac:dyDescent="0.3">
      <c r="A821" s="499" t="s">
        <v>3</v>
      </c>
      <c r="B821" s="499"/>
      <c r="C821" s="499"/>
      <c r="D821" s="499"/>
      <c r="E821" s="499"/>
      <c r="F821" s="499"/>
      <c r="G821" s="499"/>
      <c r="H821" s="499"/>
      <c r="I821" s="499"/>
      <c r="J821" s="499"/>
      <c r="K821" s="499"/>
      <c r="L821" s="499"/>
      <c r="M821" s="499"/>
      <c r="N821" s="499"/>
      <c r="O821" s="499"/>
      <c r="P821" s="499"/>
      <c r="Q821" s="499"/>
      <c r="R821" s="499"/>
    </row>
    <row r="822" spans="1:18" ht="15.75" customHeight="1" x14ac:dyDescent="0.3">
      <c r="A822" s="505">
        <f>+A5</f>
        <v>2016</v>
      </c>
      <c r="B822" s="505"/>
      <c r="C822" s="505"/>
      <c r="D822" s="505"/>
      <c r="E822" s="505"/>
      <c r="F822" s="505"/>
      <c r="G822" s="505"/>
      <c r="H822" s="505"/>
      <c r="I822" s="505"/>
      <c r="J822" s="505"/>
      <c r="K822" s="505"/>
      <c r="L822" s="505"/>
      <c r="M822" s="505"/>
      <c r="N822" s="505"/>
      <c r="O822" s="505"/>
      <c r="P822" s="505"/>
      <c r="Q822" s="505"/>
      <c r="R822" s="505"/>
    </row>
    <row r="823" spans="1:18" ht="15.75" customHeight="1" x14ac:dyDescent="0.3">
      <c r="A823" s="1"/>
      <c r="B823" s="1"/>
      <c r="C823" s="1"/>
      <c r="D823" s="5"/>
      <c r="E823" s="5"/>
      <c r="F823" s="5"/>
      <c r="G823" s="6"/>
      <c r="H823" s="5"/>
      <c r="I823" s="5"/>
      <c r="J823" s="6"/>
      <c r="K823" s="6"/>
      <c r="L823" s="6"/>
      <c r="M823" s="6"/>
      <c r="N823" s="1"/>
      <c r="O823" s="6"/>
      <c r="P823" s="6"/>
      <c r="Q823" s="6"/>
      <c r="R823" s="6"/>
    </row>
    <row r="824" spans="1:18" ht="15.75" customHeight="1" x14ac:dyDescent="0.3">
      <c r="A824" s="499" t="str">
        <f>+A8</f>
        <v>Revised:  2/23/2017</v>
      </c>
      <c r="B824" s="499"/>
      <c r="C824" s="499"/>
      <c r="D824" s="499"/>
      <c r="E824" s="499"/>
      <c r="F824" s="499"/>
      <c r="G824" s="499"/>
      <c r="H824" s="499"/>
      <c r="I824" s="499"/>
      <c r="J824" s="499"/>
      <c r="K824" s="499"/>
      <c r="L824" s="499"/>
      <c r="M824" s="499"/>
      <c r="N824" s="499"/>
      <c r="O824" s="499"/>
      <c r="P824" s="499"/>
      <c r="Q824" s="499"/>
      <c r="R824" s="499"/>
    </row>
    <row r="825" spans="1:18" ht="15.75" customHeight="1" x14ac:dyDescent="0.3">
      <c r="A825" s="314"/>
      <c r="B825" s="314"/>
      <c r="C825" s="314"/>
      <c r="D825" s="314"/>
      <c r="E825" s="314"/>
      <c r="F825" s="314"/>
      <c r="G825" s="314"/>
      <c r="H825" s="314"/>
      <c r="I825" s="314"/>
      <c r="J825" s="314"/>
      <c r="K825" s="314"/>
      <c r="L825" s="314"/>
      <c r="M825" s="314"/>
      <c r="N825" s="314"/>
      <c r="O825" s="314"/>
      <c r="P825" s="314"/>
      <c r="Q825" s="314"/>
      <c r="R825" s="314"/>
    </row>
    <row r="826" spans="1:18" ht="15.75" customHeight="1" x14ac:dyDescent="0.3">
      <c r="A826" s="28"/>
      <c r="B826" s="1"/>
      <c r="C826" s="1"/>
      <c r="D826" s="1"/>
      <c r="E826" s="1"/>
      <c r="F826" s="1"/>
      <c r="G826" s="1"/>
      <c r="H826" s="1"/>
      <c r="I826" s="1"/>
      <c r="J826" s="1"/>
      <c r="K826" s="1"/>
      <c r="L826" s="1"/>
      <c r="M826" s="1"/>
      <c r="N826" s="1"/>
      <c r="O826" s="1"/>
      <c r="P826" s="1"/>
      <c r="Q826" s="1"/>
      <c r="R826" s="2"/>
    </row>
    <row r="827" spans="1:18" ht="15.75" customHeight="1" thickBot="1" x14ac:dyDescent="0.35">
      <c r="A827" s="1"/>
      <c r="B827" s="1"/>
      <c r="C827" s="1"/>
      <c r="D827" s="1"/>
      <c r="E827" s="1"/>
      <c r="F827" s="1"/>
      <c r="G827" s="1"/>
      <c r="H827" s="1"/>
      <c r="I827" s="1"/>
      <c r="J827" s="1"/>
      <c r="K827" s="1"/>
      <c r="L827" s="1"/>
      <c r="M827" s="1"/>
      <c r="N827" s="1"/>
      <c r="O827" s="316"/>
      <c r="P827" s="1"/>
      <c r="Q827" s="1"/>
      <c r="R827" s="2"/>
    </row>
    <row r="828" spans="1:18" ht="15.75" customHeight="1" thickBot="1" x14ac:dyDescent="0.35">
      <c r="A828" s="107" t="s">
        <v>380</v>
      </c>
      <c r="B828" s="47" t="s">
        <v>8</v>
      </c>
      <c r="C828" s="48" t="s">
        <v>9</v>
      </c>
      <c r="D828" s="48" t="s">
        <v>10</v>
      </c>
      <c r="E828" s="32" t="s">
        <v>11</v>
      </c>
      <c r="F828" s="48" t="s">
        <v>12</v>
      </c>
      <c r="G828" s="48" t="s">
        <v>13</v>
      </c>
      <c r="H828" s="48" t="s">
        <v>14</v>
      </c>
      <c r="I828" s="32" t="s">
        <v>15</v>
      </c>
      <c r="J828" s="48" t="s">
        <v>16</v>
      </c>
      <c r="K828" s="48" t="s">
        <v>17</v>
      </c>
      <c r="L828" s="48" t="s">
        <v>18</v>
      </c>
      <c r="M828" s="32" t="s">
        <v>19</v>
      </c>
      <c r="N828" s="48" t="s">
        <v>20</v>
      </c>
      <c r="O828" s="48" t="s">
        <v>21</v>
      </c>
      <c r="P828" s="48" t="s">
        <v>22</v>
      </c>
      <c r="Q828" s="32" t="s">
        <v>23</v>
      </c>
      <c r="R828" s="151" t="s">
        <v>24</v>
      </c>
    </row>
    <row r="829" spans="1:18" ht="16.5" customHeight="1" thickBot="1" x14ac:dyDescent="0.35">
      <c r="A829" s="152"/>
      <c r="B829" s="153"/>
      <c r="C829" s="153"/>
      <c r="D829" s="153"/>
      <c r="E829" s="52"/>
      <c r="F829" s="153"/>
      <c r="G829" s="153"/>
      <c r="H829" s="153"/>
      <c r="I829" s="37"/>
      <c r="J829" s="153"/>
      <c r="K829" s="153"/>
      <c r="L829" s="153"/>
      <c r="M829" s="37"/>
      <c r="N829" s="153"/>
      <c r="O829" s="153"/>
      <c r="P829" s="153"/>
      <c r="Q829" s="127"/>
      <c r="R829" s="154"/>
    </row>
    <row r="830" spans="1:18" ht="16.5" customHeight="1" thickBot="1" x14ac:dyDescent="0.35">
      <c r="A830" s="155" t="s">
        <v>381</v>
      </c>
      <c r="B830" s="156">
        <f>+B796</f>
        <v>20421</v>
      </c>
      <c r="C830" s="156">
        <f>+C796</f>
        <v>26032</v>
      </c>
      <c r="D830" s="156">
        <f>+D796</f>
        <v>39276</v>
      </c>
      <c r="E830" s="86">
        <f>+SUM(B830:D830)</f>
        <v>85729</v>
      </c>
      <c r="F830" s="156">
        <f>+F796</f>
        <v>45506</v>
      </c>
      <c r="G830" s="156">
        <f>+G796</f>
        <v>55562</v>
      </c>
      <c r="H830" s="156">
        <f>+H796</f>
        <v>58212</v>
      </c>
      <c r="I830" s="86">
        <f>+SUM(F830:H830)</f>
        <v>159280</v>
      </c>
      <c r="J830" s="156">
        <f>+J796</f>
        <v>67394</v>
      </c>
      <c r="K830" s="156">
        <f>+K796</f>
        <v>63169</v>
      </c>
      <c r="L830" s="156">
        <f>+L796</f>
        <v>55394</v>
      </c>
      <c r="M830" s="86">
        <f>+SUM(J830:L830)</f>
        <v>185957</v>
      </c>
      <c r="N830" s="156">
        <f>+N796</f>
        <v>39355</v>
      </c>
      <c r="O830" s="156">
        <f>+O796</f>
        <v>37402</v>
      </c>
      <c r="P830" s="156">
        <f>+P796</f>
        <v>32177</v>
      </c>
      <c r="Q830" s="86">
        <f>+SUM(N830:P830)</f>
        <v>108934</v>
      </c>
      <c r="R830" s="59">
        <f>+E830+I830+M830+Q830</f>
        <v>539900</v>
      </c>
    </row>
    <row r="831" spans="1:18" ht="16.5" customHeight="1" thickBot="1" x14ac:dyDescent="0.35">
      <c r="A831" s="33"/>
      <c r="B831" s="86"/>
      <c r="C831" s="86"/>
      <c r="D831" s="86"/>
      <c r="E831" s="86"/>
      <c r="F831" s="86"/>
      <c r="G831" s="86"/>
      <c r="H831" s="86"/>
      <c r="I831" s="86"/>
      <c r="J831" s="86"/>
      <c r="K831" s="86"/>
      <c r="L831" s="86"/>
      <c r="M831" s="86"/>
      <c r="N831" s="86"/>
      <c r="O831" s="86"/>
      <c r="P831" s="86"/>
      <c r="Q831" s="86"/>
      <c r="R831" s="59"/>
    </row>
    <row r="832" spans="1:18" ht="16.5" customHeight="1" thickBot="1" x14ac:dyDescent="0.35">
      <c r="A832" s="155" t="s">
        <v>382</v>
      </c>
      <c r="B832" s="156">
        <f>+B801</f>
        <v>1913</v>
      </c>
      <c r="C832" s="156">
        <f>+C801</f>
        <v>15616</v>
      </c>
      <c r="D832" s="156">
        <f>+D801</f>
        <v>26911</v>
      </c>
      <c r="E832" s="86">
        <f>+SUM(B832:D832)</f>
        <v>44440</v>
      </c>
      <c r="F832" s="156">
        <f>+F801</f>
        <v>29045</v>
      </c>
      <c r="G832" s="156">
        <f>+G801</f>
        <v>35073</v>
      </c>
      <c r="H832" s="156">
        <f>+H801</f>
        <v>59682</v>
      </c>
      <c r="I832" s="86">
        <f>+SUM(F832:H832)</f>
        <v>123800</v>
      </c>
      <c r="J832" s="156">
        <f>+J801</f>
        <v>40687</v>
      </c>
      <c r="K832" s="156">
        <f>+K801</f>
        <v>33893</v>
      </c>
      <c r="L832" s="156">
        <f>+L801</f>
        <v>20881</v>
      </c>
      <c r="M832" s="86">
        <f>+SUM(J832:L832)</f>
        <v>95461</v>
      </c>
      <c r="N832" s="156">
        <f>+N801</f>
        <v>9602</v>
      </c>
      <c r="O832" s="156">
        <f>+O801</f>
        <v>2396</v>
      </c>
      <c r="P832" s="156">
        <f>+P801</f>
        <v>5098</v>
      </c>
      <c r="Q832" s="86">
        <f>+SUM(N832:P832)</f>
        <v>17096</v>
      </c>
      <c r="R832" s="59">
        <f>+E832+I832+M832+Q832</f>
        <v>280797</v>
      </c>
    </row>
    <row r="833" spans="1:46" ht="16.5" customHeight="1" thickBot="1" x14ac:dyDescent="0.35">
      <c r="A833" s="33"/>
      <c r="B833" s="86"/>
      <c r="C833" s="86"/>
      <c r="D833" s="86"/>
      <c r="E833" s="86"/>
      <c r="F833" s="86"/>
      <c r="G833" s="86"/>
      <c r="H833" s="86"/>
      <c r="I833" s="86"/>
      <c r="J833" s="86"/>
      <c r="K833" s="86"/>
      <c r="L833" s="86"/>
      <c r="M833" s="86"/>
      <c r="N833" s="86"/>
      <c r="O833" s="86"/>
      <c r="P833" s="86"/>
      <c r="Q833" s="86"/>
      <c r="R833" s="59"/>
      <c r="AC833" s="318"/>
      <c r="AD833" s="319"/>
      <c r="AE833" s="321" t="s">
        <v>423</v>
      </c>
      <c r="AF833" s="319"/>
      <c r="AG833" s="319"/>
      <c r="AH833" s="319"/>
      <c r="AI833" s="319"/>
      <c r="AJ833" s="319"/>
      <c r="AK833" s="319" t="s">
        <v>424</v>
      </c>
      <c r="AL833" s="319"/>
      <c r="AM833" s="319" t="s">
        <v>7</v>
      </c>
      <c r="AN833" s="329" t="str">
        <f>+A8</f>
        <v>Revised:  2/23/2017</v>
      </c>
      <c r="AO833" s="319"/>
      <c r="AP833" s="319"/>
      <c r="AQ833" s="319"/>
      <c r="AR833" s="319"/>
      <c r="AS833" s="361" t="str">
        <f>+Q1</f>
        <v xml:space="preserve">PRINTED:  </v>
      </c>
      <c r="AT833" s="362">
        <f ca="1">+R1</f>
        <v>44909.46975358796</v>
      </c>
    </row>
    <row r="834" spans="1:46" ht="16.5" customHeight="1" thickBot="1" x14ac:dyDescent="0.35">
      <c r="A834" s="155" t="s">
        <v>383</v>
      </c>
      <c r="B834" s="156">
        <f>+B805</f>
        <v>19548</v>
      </c>
      <c r="C834" s="156">
        <f>+C805</f>
        <v>33385</v>
      </c>
      <c r="D834" s="156">
        <f>+D805</f>
        <v>52599</v>
      </c>
      <c r="E834" s="86">
        <f>+SUM(B834:D834)</f>
        <v>105532</v>
      </c>
      <c r="F834" s="156">
        <f>+F805</f>
        <v>58439</v>
      </c>
      <c r="G834" s="156">
        <f>+G805</f>
        <v>69169</v>
      </c>
      <c r="H834" s="156">
        <f>+H805</f>
        <v>71758</v>
      </c>
      <c r="I834" s="86">
        <f>+SUM(F834:H834)</f>
        <v>199366</v>
      </c>
      <c r="J834" s="156">
        <f>+J805</f>
        <v>69521</v>
      </c>
      <c r="K834" s="156">
        <f>+K805</f>
        <v>48782</v>
      </c>
      <c r="L834" s="156">
        <f>+L805</f>
        <v>45144</v>
      </c>
      <c r="M834" s="86">
        <f>+SUM(J834:L834)</f>
        <v>163447</v>
      </c>
      <c r="N834" s="156">
        <f>+N805</f>
        <v>27749</v>
      </c>
      <c r="O834" s="156">
        <f>+O805</f>
        <v>11712</v>
      </c>
      <c r="P834" s="156">
        <f>+P805</f>
        <v>22335</v>
      </c>
      <c r="Q834" s="86">
        <f>+SUM(N834:P834)</f>
        <v>61796</v>
      </c>
      <c r="R834" s="59">
        <f>+E834+I834+M834+Q834</f>
        <v>530141</v>
      </c>
      <c r="AC834" s="323"/>
      <c r="AD834" s="159"/>
      <c r="AE834" s="159"/>
      <c r="AF834" s="159">
        <f>++A5</f>
        <v>2016</v>
      </c>
      <c r="AG834" s="159"/>
      <c r="AH834" s="159"/>
      <c r="AI834" s="159"/>
      <c r="AJ834" s="159"/>
      <c r="AK834" s="159"/>
      <c r="AL834" s="159"/>
      <c r="AM834" s="159"/>
      <c r="AN834" s="159"/>
      <c r="AO834" s="159"/>
      <c r="AP834" s="159"/>
      <c r="AQ834" s="159"/>
      <c r="AR834" s="159"/>
      <c r="AS834" s="159"/>
      <c r="AT834" s="324"/>
    </row>
    <row r="835" spans="1:46" ht="16.5" customHeight="1" thickBot="1" x14ac:dyDescent="0.35">
      <c r="A835" s="33"/>
      <c r="B835" s="86"/>
      <c r="C835" s="86"/>
      <c r="D835" s="86"/>
      <c r="E835" s="86"/>
      <c r="F835" s="86"/>
      <c r="G835" s="86"/>
      <c r="H835" s="86"/>
      <c r="I835" s="86"/>
      <c r="J835" s="86"/>
      <c r="K835" s="86"/>
      <c r="L835" s="86"/>
      <c r="M835" s="86"/>
      <c r="N835" s="86"/>
      <c r="O835" s="86"/>
      <c r="P835" s="86"/>
      <c r="Q835" s="86"/>
      <c r="R835" s="59"/>
      <c r="AC835" s="323"/>
      <c r="AD835" s="159"/>
      <c r="AE835" s="159"/>
      <c r="AF835" s="159"/>
      <c r="AG835" s="159"/>
      <c r="AH835" s="159"/>
      <c r="AI835" s="159"/>
      <c r="AJ835" s="159"/>
      <c r="AK835" s="159"/>
      <c r="AL835" s="159"/>
      <c r="AM835" s="159"/>
      <c r="AN835" s="159"/>
      <c r="AO835" s="159"/>
      <c r="AP835" s="159"/>
      <c r="AQ835" s="159"/>
      <c r="AR835" s="159"/>
      <c r="AS835" s="159"/>
      <c r="AT835" s="324"/>
    </row>
    <row r="836" spans="1:46" ht="16.5" customHeight="1" thickBot="1" x14ac:dyDescent="0.35">
      <c r="A836" s="155" t="s">
        <v>384</v>
      </c>
      <c r="B836" s="156">
        <f>+B814</f>
        <v>1266</v>
      </c>
      <c r="C836" s="156">
        <f>+C814</f>
        <v>2220</v>
      </c>
      <c r="D836" s="156">
        <f>+D814</f>
        <v>3360</v>
      </c>
      <c r="E836" s="86">
        <f>+SUM(B836:D836)</f>
        <v>6846</v>
      </c>
      <c r="F836" s="156">
        <f>+F814</f>
        <v>5453</v>
      </c>
      <c r="G836" s="156">
        <f>+G814</f>
        <v>6225</v>
      </c>
      <c r="H836" s="156">
        <f>+H814</f>
        <v>11898</v>
      </c>
      <c r="I836" s="86">
        <f>+SUM(F836:H836)</f>
        <v>23576</v>
      </c>
      <c r="J836" s="156">
        <f>+J814</f>
        <v>15826</v>
      </c>
      <c r="K836" s="156">
        <f>+K814</f>
        <v>5972</v>
      </c>
      <c r="L836" s="156">
        <f>+L814</f>
        <v>7775</v>
      </c>
      <c r="M836" s="86">
        <f>+SUM(J836:L836)</f>
        <v>29573</v>
      </c>
      <c r="N836" s="156">
        <f>+N814</f>
        <v>12098</v>
      </c>
      <c r="O836" s="156">
        <f>+O814</f>
        <v>5859</v>
      </c>
      <c r="P836" s="156">
        <f>+P814</f>
        <v>2120</v>
      </c>
      <c r="Q836" s="86">
        <f>+SUM(N836:P836)</f>
        <v>20077</v>
      </c>
      <c r="R836" s="59">
        <f>+E836+I836+M836+Q836</f>
        <v>80072</v>
      </c>
      <c r="AC836" s="323"/>
      <c r="AD836" s="159"/>
      <c r="AE836" s="159"/>
      <c r="AF836" s="159"/>
      <c r="AG836" s="159"/>
      <c r="AH836" s="159"/>
      <c r="AI836" s="164" t="s">
        <v>425</v>
      </c>
      <c r="AJ836" s="159"/>
      <c r="AK836" s="159"/>
      <c r="AL836" s="159"/>
      <c r="AM836" s="159"/>
      <c r="AN836" s="159"/>
      <c r="AO836" s="159"/>
      <c r="AP836" s="159"/>
      <c r="AQ836" s="159"/>
      <c r="AR836" s="159"/>
      <c r="AS836" s="159"/>
      <c r="AT836" s="324"/>
    </row>
    <row r="837" spans="1:46" ht="16.5" customHeight="1" thickBot="1" x14ac:dyDescent="0.35">
      <c r="A837" s="33"/>
      <c r="B837" s="86"/>
      <c r="C837" s="86"/>
      <c r="D837" s="86"/>
      <c r="E837" s="86"/>
      <c r="F837" s="86"/>
      <c r="G837" s="86"/>
      <c r="H837" s="86"/>
      <c r="I837" s="86"/>
      <c r="J837" s="86"/>
      <c r="K837" s="86"/>
      <c r="L837" s="86"/>
      <c r="M837" s="86"/>
      <c r="N837" s="86"/>
      <c r="O837" s="86"/>
      <c r="P837" s="86"/>
      <c r="Q837" s="86"/>
      <c r="R837" s="59"/>
      <c r="AC837" s="323"/>
      <c r="AD837" s="159" t="s">
        <v>424</v>
      </c>
      <c r="AE837" s="159"/>
      <c r="AF837" s="164" t="s">
        <v>426</v>
      </c>
      <c r="AG837" s="164" t="s">
        <v>426</v>
      </c>
      <c r="AH837" s="164" t="s">
        <v>427</v>
      </c>
      <c r="AI837" s="164" t="s">
        <v>404</v>
      </c>
      <c r="AJ837" s="164" t="s">
        <v>428</v>
      </c>
      <c r="AK837" s="164" t="s">
        <v>429</v>
      </c>
      <c r="AL837" s="164" t="s">
        <v>422</v>
      </c>
      <c r="AM837" s="159" t="s">
        <v>424</v>
      </c>
      <c r="AN837" s="164" t="s">
        <v>430</v>
      </c>
      <c r="AO837" s="164" t="s">
        <v>430</v>
      </c>
      <c r="AP837" s="164" t="s">
        <v>430</v>
      </c>
      <c r="AQ837" s="159"/>
      <c r="AR837" s="159"/>
      <c r="AS837" s="159"/>
      <c r="AT837" s="324"/>
    </row>
    <row r="838" spans="1:46" ht="16.5" customHeight="1" thickBot="1" x14ac:dyDescent="0.4">
      <c r="A838" s="33" t="s">
        <v>385</v>
      </c>
      <c r="B838" s="90">
        <f t="shared" ref="B838:R838" si="141">+SUM(B830:B836)</f>
        <v>43148</v>
      </c>
      <c r="C838" s="90">
        <f t="shared" si="141"/>
        <v>77253</v>
      </c>
      <c r="D838" s="90">
        <f t="shared" si="141"/>
        <v>122146</v>
      </c>
      <c r="E838" s="90">
        <f t="shared" si="141"/>
        <v>242547</v>
      </c>
      <c r="F838" s="90">
        <f t="shared" si="141"/>
        <v>138443</v>
      </c>
      <c r="G838" s="90">
        <f t="shared" si="141"/>
        <v>166029</v>
      </c>
      <c r="H838" s="90">
        <f t="shared" si="141"/>
        <v>201550</v>
      </c>
      <c r="I838" s="90">
        <f t="shared" si="141"/>
        <v>506022</v>
      </c>
      <c r="J838" s="90">
        <f t="shared" si="141"/>
        <v>193428</v>
      </c>
      <c r="K838" s="90">
        <f t="shared" si="141"/>
        <v>151816</v>
      </c>
      <c r="L838" s="90">
        <f t="shared" si="141"/>
        <v>129194</v>
      </c>
      <c r="M838" s="90">
        <f t="shared" si="141"/>
        <v>474438</v>
      </c>
      <c r="N838" s="90">
        <f t="shared" si="141"/>
        <v>88804</v>
      </c>
      <c r="O838" s="90">
        <f t="shared" si="141"/>
        <v>57369</v>
      </c>
      <c r="P838" s="90">
        <f t="shared" si="141"/>
        <v>61730</v>
      </c>
      <c r="Q838" s="90">
        <f t="shared" si="141"/>
        <v>207903</v>
      </c>
      <c r="R838" s="157">
        <f t="shared" si="141"/>
        <v>1430910</v>
      </c>
      <c r="AC838" s="323"/>
      <c r="AD838" s="164" t="s">
        <v>394</v>
      </c>
      <c r="AE838" s="164" t="s">
        <v>431</v>
      </c>
      <c r="AF838" s="164" t="s">
        <v>432</v>
      </c>
      <c r="AG838" s="164" t="s">
        <v>432</v>
      </c>
      <c r="AH838" s="164" t="s">
        <v>433</v>
      </c>
      <c r="AI838" s="165" t="s">
        <v>434</v>
      </c>
      <c r="AJ838" s="164" t="s">
        <v>435</v>
      </c>
      <c r="AK838" s="164" t="s">
        <v>436</v>
      </c>
      <c r="AL838" s="164" t="s">
        <v>437</v>
      </c>
      <c r="AM838" s="159" t="s">
        <v>424</v>
      </c>
      <c r="AN838" s="164" t="s">
        <v>438</v>
      </c>
      <c r="AO838" s="164" t="s">
        <v>434</v>
      </c>
      <c r="AP838" s="164" t="s">
        <v>407</v>
      </c>
      <c r="AQ838" s="159"/>
      <c r="AR838" s="159"/>
      <c r="AS838" s="159"/>
      <c r="AT838" s="324"/>
    </row>
    <row r="839" spans="1:46" ht="15.75" customHeight="1" x14ac:dyDescent="0.35">
      <c r="A839" s="145"/>
      <c r="B839" s="158"/>
      <c r="C839" s="158"/>
      <c r="D839" s="158"/>
      <c r="E839" s="158"/>
      <c r="F839" s="158"/>
      <c r="G839" s="158"/>
      <c r="H839" s="317" t="s">
        <v>786</v>
      </c>
      <c r="I839" s="158"/>
      <c r="J839" s="158"/>
      <c r="K839" s="158"/>
      <c r="L839" s="158"/>
      <c r="M839" s="158"/>
      <c r="N839" s="158"/>
      <c r="O839" s="158"/>
      <c r="P839" s="158"/>
      <c r="Q839" s="158"/>
      <c r="R839" s="158"/>
      <c r="AC839" s="323"/>
      <c r="AD839" s="164" t="s">
        <v>406</v>
      </c>
      <c r="AE839" s="164" t="s">
        <v>439</v>
      </c>
      <c r="AF839" s="164" t="s">
        <v>440</v>
      </c>
      <c r="AG839" s="164" t="s">
        <v>441</v>
      </c>
      <c r="AH839" s="164" t="s">
        <v>442</v>
      </c>
      <c r="AI839" s="164" t="s">
        <v>442</v>
      </c>
      <c r="AJ839" s="164" t="s">
        <v>442</v>
      </c>
      <c r="AK839" s="164" t="s">
        <v>442</v>
      </c>
      <c r="AL839" s="164" t="s">
        <v>443</v>
      </c>
      <c r="AM839" s="159" t="s">
        <v>424</v>
      </c>
      <c r="AN839" s="164" t="s">
        <v>444</v>
      </c>
      <c r="AO839" s="164" t="s">
        <v>445</v>
      </c>
      <c r="AP839" s="164" t="s">
        <v>445</v>
      </c>
      <c r="AQ839" s="159"/>
      <c r="AR839" s="159"/>
      <c r="AS839" s="159"/>
      <c r="AT839" s="324"/>
    </row>
    <row r="840" spans="1:46" ht="15.75" customHeight="1" x14ac:dyDescent="0.35">
      <c r="A840" s="145"/>
      <c r="B840" s="158"/>
      <c r="C840" s="158"/>
      <c r="D840" s="158"/>
      <c r="E840" s="158"/>
      <c r="F840" s="158"/>
      <c r="G840" s="158"/>
      <c r="H840" s="317"/>
      <c r="I840" s="158"/>
      <c r="J840" s="158"/>
      <c r="K840" s="158"/>
      <c r="L840" s="158"/>
      <c r="M840" s="158"/>
      <c r="N840" s="158"/>
      <c r="O840" s="158"/>
      <c r="P840" s="158"/>
      <c r="Q840" s="158"/>
      <c r="R840" s="158"/>
      <c r="AC840" s="323"/>
      <c r="AD840" s="164" t="s">
        <v>446</v>
      </c>
      <c r="AE840" s="164" t="s">
        <v>447</v>
      </c>
      <c r="AF840" s="164" t="s">
        <v>448</v>
      </c>
      <c r="AG840" s="164" t="s">
        <v>448</v>
      </c>
      <c r="AH840" s="164" t="s">
        <v>448</v>
      </c>
      <c r="AI840" s="164" t="s">
        <v>448</v>
      </c>
      <c r="AJ840" s="164" t="s">
        <v>448</v>
      </c>
      <c r="AK840" s="164" t="s">
        <v>448</v>
      </c>
      <c r="AL840" s="164" t="s">
        <v>448</v>
      </c>
      <c r="AM840" s="159" t="s">
        <v>424</v>
      </c>
      <c r="AN840" s="164" t="s">
        <v>449</v>
      </c>
      <c r="AO840" s="164" t="s">
        <v>449</v>
      </c>
      <c r="AP840" s="164" t="s">
        <v>449</v>
      </c>
      <c r="AQ840" s="159"/>
      <c r="AR840" s="159"/>
      <c r="AS840" s="159"/>
      <c r="AT840" s="324"/>
    </row>
    <row r="841" spans="1:46" ht="15.75" customHeight="1" thickBot="1" x14ac:dyDescent="0.4">
      <c r="A841" s="145"/>
      <c r="B841" s="158"/>
      <c r="C841" s="158"/>
      <c r="D841" s="158"/>
      <c r="E841" s="158"/>
      <c r="F841" s="158"/>
      <c r="G841" s="158"/>
      <c r="H841" s="317"/>
      <c r="I841" s="158"/>
      <c r="J841" s="158"/>
      <c r="K841" s="158"/>
      <c r="L841" s="158"/>
      <c r="M841" s="158"/>
      <c r="N841" s="158"/>
      <c r="O841" s="158"/>
      <c r="P841" s="158"/>
      <c r="Q841" s="158"/>
      <c r="R841" s="158"/>
      <c r="AC841" s="323"/>
      <c r="AD841" s="159" t="s">
        <v>409</v>
      </c>
      <c r="AE841" s="159" t="s">
        <v>409</v>
      </c>
      <c r="AF841" s="159" t="s">
        <v>409</v>
      </c>
      <c r="AG841" s="159" t="s">
        <v>409</v>
      </c>
      <c r="AH841" s="159" t="s">
        <v>409</v>
      </c>
      <c r="AI841" s="159" t="s">
        <v>409</v>
      </c>
      <c r="AJ841" s="159" t="s">
        <v>409</v>
      </c>
      <c r="AK841" s="159" t="s">
        <v>409</v>
      </c>
      <c r="AL841" s="159" t="s">
        <v>409</v>
      </c>
      <c r="AM841" s="159" t="s">
        <v>424</v>
      </c>
      <c r="AN841" s="159" t="s">
        <v>409</v>
      </c>
      <c r="AO841" s="159" t="s">
        <v>409</v>
      </c>
      <c r="AP841" s="159" t="s">
        <v>409</v>
      </c>
      <c r="AQ841" s="159"/>
      <c r="AR841" s="159"/>
      <c r="AS841" s="159"/>
      <c r="AT841" s="324"/>
    </row>
    <row r="842" spans="1:46" ht="15.75" customHeight="1" x14ac:dyDescent="0.3">
      <c r="A842" s="363"/>
      <c r="B842" s="506" t="s">
        <v>386</v>
      </c>
      <c r="C842" s="506"/>
      <c r="D842" s="506"/>
      <c r="E842" s="506"/>
      <c r="F842" s="506"/>
      <c r="G842" s="506"/>
      <c r="H842" s="506"/>
      <c r="I842" s="506"/>
      <c r="J842" s="506"/>
      <c r="K842" s="506"/>
      <c r="L842" s="506"/>
      <c r="M842" s="506"/>
      <c r="N842" s="506"/>
      <c r="O842" s="506"/>
      <c r="P842" s="506"/>
      <c r="Q842" s="361" t="str">
        <f>+Q1</f>
        <v xml:space="preserve">PRINTED:  </v>
      </c>
      <c r="R842" s="362">
        <f ca="1">+R1</f>
        <v>44909.46975358796</v>
      </c>
      <c r="AC842" s="325" t="s">
        <v>410</v>
      </c>
      <c r="AD842" s="159">
        <f t="shared" ref="AD842:AD853" si="142">(F851)</f>
        <v>108452</v>
      </c>
      <c r="AE842" s="159">
        <f t="shared" ref="AE842:AE853" si="143">SUM($B$906:$E$906)+(T851-1526.8)/0.7702</f>
        <v>1638.1524430019012</v>
      </c>
      <c r="AF842" s="159">
        <f>(AD842*AE842/1000)</f>
        <v>177660.90874844219</v>
      </c>
      <c r="AG842" s="159">
        <f t="shared" ref="AG842:AG853" si="144">(((B851-F851)*B$906)+((C851-F851)*C$906)+((D851-F851)*D$906)+((E851-F851)*E$906))/1000</f>
        <v>62233.591999999997</v>
      </c>
      <c r="AH842" s="159">
        <f>(AF842+AG842)</f>
        <v>239894.50074844219</v>
      </c>
      <c r="AI842" s="159">
        <f t="shared" ref="AI842:AI853" si="145">SUM(H908:Q908)</f>
        <v>15712</v>
      </c>
      <c r="AJ842" s="159">
        <f>+AH842+AI842</f>
        <v>255606.50074844219</v>
      </c>
      <c r="AK842" s="159">
        <f t="shared" ref="AK842:AK849" si="146">(G936)</f>
        <v>0</v>
      </c>
      <c r="AL842" s="159">
        <f t="shared" ref="AL842:AL853" si="147">(AJ842-AK842)</f>
        <v>255606.50074844219</v>
      </c>
      <c r="AM842" s="159" t="s">
        <v>424</v>
      </c>
      <c r="AN842" s="159">
        <f>+B851/31/1.98</f>
        <v>2481.8996415770607</v>
      </c>
      <c r="AO842" s="159">
        <f>(AD842*43560/31/24/3600)</f>
        <v>1763.8026881720427</v>
      </c>
      <c r="AP842" s="159">
        <f>+B303</f>
        <v>0</v>
      </c>
      <c r="AQ842" s="159"/>
      <c r="AR842" s="159"/>
      <c r="AS842" s="159"/>
      <c r="AT842" s="324"/>
    </row>
    <row r="843" spans="1:46" ht="15.75" customHeight="1" x14ac:dyDescent="0.3">
      <c r="A843" s="325"/>
      <c r="B843" s="503" t="str">
        <f>+A8</f>
        <v>Revised:  2/23/2017</v>
      </c>
      <c r="C843" s="503"/>
      <c r="D843" s="503"/>
      <c r="E843" s="503"/>
      <c r="F843" s="503"/>
      <c r="G843" s="503"/>
      <c r="H843" s="503"/>
      <c r="I843" s="503"/>
      <c r="J843" s="503"/>
      <c r="K843" s="503"/>
      <c r="L843" s="503"/>
      <c r="M843" s="503"/>
      <c r="N843" s="503"/>
      <c r="O843" s="503"/>
      <c r="P843" s="503"/>
      <c r="Q843" s="159"/>
      <c r="R843" s="324"/>
      <c r="AC843" s="325" t="s">
        <v>411</v>
      </c>
      <c r="AD843" s="159">
        <f t="shared" si="142"/>
        <v>32889</v>
      </c>
      <c r="AE843" s="159">
        <f t="shared" si="143"/>
        <v>1642.6450272656455</v>
      </c>
      <c r="AF843" s="159">
        <f>(AD843*AE843/1000)</f>
        <v>54024.95230173981</v>
      </c>
      <c r="AG843" s="159">
        <f t="shared" si="144"/>
        <v>114779.141</v>
      </c>
      <c r="AH843" s="159">
        <f t="shared" ref="AH843:AH853" si="148">(AF843+AG843)</f>
        <v>168804.09330173981</v>
      </c>
      <c r="AI843" s="159">
        <f t="shared" si="145"/>
        <v>25288</v>
      </c>
      <c r="AJ843" s="159">
        <f t="shared" ref="AJ843:AJ853" si="149">+AH843+AI843</f>
        <v>194092.09330173981</v>
      </c>
      <c r="AK843" s="159">
        <f t="shared" si="146"/>
        <v>0</v>
      </c>
      <c r="AL843" s="159">
        <f t="shared" si="147"/>
        <v>194092.09330173981</v>
      </c>
      <c r="AM843" s="159" t="s">
        <v>424</v>
      </c>
      <c r="AN843" s="159">
        <f>+B852/28/1.98</f>
        <v>2055.3932178932178</v>
      </c>
      <c r="AO843" s="159">
        <f>(AD843*43560/29/24/3600)</f>
        <v>571.77715517241381</v>
      </c>
      <c r="AP843" s="159">
        <f>+C303</f>
        <v>0</v>
      </c>
      <c r="AQ843" s="159"/>
      <c r="AR843" s="159"/>
      <c r="AS843" s="159"/>
      <c r="AT843" s="324"/>
    </row>
    <row r="844" spans="1:46" ht="15.75" customHeight="1" x14ac:dyDescent="0.3">
      <c r="A844" s="325"/>
      <c r="B844" s="503" t="s">
        <v>1024</v>
      </c>
      <c r="C844" s="503"/>
      <c r="D844" s="503"/>
      <c r="E844" s="503"/>
      <c r="F844" s="503"/>
      <c r="G844" s="503"/>
      <c r="H844" s="503"/>
      <c r="I844" s="503"/>
      <c r="J844" s="503"/>
      <c r="K844" s="503"/>
      <c r="L844" s="503"/>
      <c r="M844" s="503"/>
      <c r="N844" s="503"/>
      <c r="O844" s="503"/>
      <c r="P844" s="503"/>
      <c r="Q844" s="159"/>
      <c r="R844" s="324"/>
      <c r="AC844" s="325" t="s">
        <v>412</v>
      </c>
      <c r="AD844" s="159">
        <f t="shared" si="142"/>
        <v>4539</v>
      </c>
      <c r="AE844" s="159">
        <f t="shared" si="143"/>
        <v>1646.592054011945</v>
      </c>
      <c r="AF844" s="159">
        <f t="shared" ref="AF844:AF853" si="150">(AD844*AE844/1000)</f>
        <v>7473.8813331602187</v>
      </c>
      <c r="AG844" s="159">
        <f t="shared" si="144"/>
        <v>166724.97899999999</v>
      </c>
      <c r="AH844" s="159">
        <f t="shared" si="148"/>
        <v>174198.86033316021</v>
      </c>
      <c r="AI844" s="159">
        <f t="shared" si="145"/>
        <v>37484</v>
      </c>
      <c r="AJ844" s="159">
        <f>+AH844+AI844</f>
        <v>211682.86033316021</v>
      </c>
      <c r="AK844" s="159">
        <f t="shared" si="146"/>
        <v>1666.5490580256212</v>
      </c>
      <c r="AL844" s="159">
        <f t="shared" si="147"/>
        <v>210016.31127513459</v>
      </c>
      <c r="AM844" s="159" t="s">
        <v>424</v>
      </c>
      <c r="AN844" s="159">
        <f>+B853/31/1.98</f>
        <v>1995.0798305637018</v>
      </c>
      <c r="AO844" s="159">
        <f>(AD844*43560/31/24/3600)</f>
        <v>73.819758064516122</v>
      </c>
      <c r="AP844" s="159">
        <f>+D303</f>
        <v>-170.8229629268134</v>
      </c>
      <c r="AQ844" s="159"/>
      <c r="AR844" s="159"/>
      <c r="AS844" s="159"/>
      <c r="AT844" s="324"/>
    </row>
    <row r="845" spans="1:46" ht="15.75" customHeight="1" x14ac:dyDescent="0.3">
      <c r="A845" s="325"/>
      <c r="B845" s="503"/>
      <c r="C845" s="503"/>
      <c r="D845" s="503"/>
      <c r="E845" s="503"/>
      <c r="F845" s="503"/>
      <c r="G845" s="503"/>
      <c r="H845" s="503"/>
      <c r="I845" s="503"/>
      <c r="J845" s="503"/>
      <c r="K845" s="503"/>
      <c r="L845" s="503"/>
      <c r="M845" s="503"/>
      <c r="N845" s="503"/>
      <c r="O845" s="503"/>
      <c r="P845" s="503"/>
      <c r="Q845" s="159"/>
      <c r="R845" s="324"/>
      <c r="AC845" s="325" t="s">
        <v>413</v>
      </c>
      <c r="AD845" s="159">
        <f t="shared" si="142"/>
        <v>28044</v>
      </c>
      <c r="AE845" s="159">
        <f t="shared" si="143"/>
        <v>1645.8271291131655</v>
      </c>
      <c r="AF845" s="159">
        <f t="shared" si="150"/>
        <v>46155.57600884961</v>
      </c>
      <c r="AG845" s="159">
        <f t="shared" si="144"/>
        <v>196475.49</v>
      </c>
      <c r="AH845" s="159">
        <f t="shared" si="148"/>
        <v>242631.06600884959</v>
      </c>
      <c r="AI845" s="159">
        <f t="shared" si="145"/>
        <v>43952</v>
      </c>
      <c r="AJ845" s="159">
        <f t="shared" si="149"/>
        <v>286583.06600884959</v>
      </c>
      <c r="AK845" s="159">
        <f t="shared" si="146"/>
        <v>0</v>
      </c>
      <c r="AL845" s="159">
        <f t="shared" si="147"/>
        <v>286583.06600884959</v>
      </c>
      <c r="AM845" s="159" t="s">
        <v>424</v>
      </c>
      <c r="AN845" s="159">
        <f>+B854/30/1.98</f>
        <v>2812.3569023569021</v>
      </c>
      <c r="AO845" s="159">
        <f>(AD845*43560/30/24/3600)</f>
        <v>471.29500000000002</v>
      </c>
      <c r="AP845" s="159">
        <f>+F303</f>
        <v>0</v>
      </c>
      <c r="AQ845" s="159"/>
      <c r="AR845" s="159"/>
      <c r="AS845" s="159"/>
      <c r="AT845" s="324"/>
    </row>
    <row r="846" spans="1:46" ht="15.75" customHeight="1" x14ac:dyDescent="0.3">
      <c r="A846" s="325"/>
      <c r="B846" s="509">
        <f>+A5</f>
        <v>2016</v>
      </c>
      <c r="C846" s="509"/>
      <c r="D846" s="509"/>
      <c r="E846" s="509"/>
      <c r="F846" s="509"/>
      <c r="G846" s="509"/>
      <c r="H846" s="509"/>
      <c r="I846" s="509"/>
      <c r="J846" s="509"/>
      <c r="K846" s="509"/>
      <c r="L846" s="509"/>
      <c r="M846" s="509"/>
      <c r="N846" s="509"/>
      <c r="O846" s="509"/>
      <c r="P846" s="509"/>
      <c r="Q846" s="159"/>
      <c r="R846" s="324"/>
      <c r="AC846" s="325" t="s">
        <v>414</v>
      </c>
      <c r="AD846" s="159">
        <f t="shared" si="142"/>
        <v>12390</v>
      </c>
      <c r="AE846" s="159">
        <f t="shared" si="143"/>
        <v>1642.8008309529996</v>
      </c>
      <c r="AF846" s="159">
        <f t="shared" si="150"/>
        <v>20354.302295507667</v>
      </c>
      <c r="AG846" s="159">
        <f t="shared" si="144"/>
        <v>234386.677</v>
      </c>
      <c r="AH846" s="159">
        <f t="shared" si="148"/>
        <v>254740.97929550766</v>
      </c>
      <c r="AI846" s="159">
        <f t="shared" si="145"/>
        <v>43602</v>
      </c>
      <c r="AJ846" s="159">
        <f t="shared" si="149"/>
        <v>298342.97929550766</v>
      </c>
      <c r="AK846" s="159">
        <f t="shared" si="146"/>
        <v>0</v>
      </c>
      <c r="AL846" s="159">
        <f t="shared" si="147"/>
        <v>298342.97929550766</v>
      </c>
      <c r="AM846" s="159" t="s">
        <v>424</v>
      </c>
      <c r="AN846" s="159">
        <f>+B855/31/1.98</f>
        <v>2901.9550342130988</v>
      </c>
      <c r="AO846" s="159">
        <f>(AD846*43560/31/24/3600)</f>
        <v>201.50403225806451</v>
      </c>
      <c r="AP846" s="159">
        <f>+G303</f>
        <v>0</v>
      </c>
      <c r="AQ846" s="159"/>
      <c r="AR846" s="159"/>
      <c r="AS846" s="159"/>
      <c r="AT846" s="324"/>
    </row>
    <row r="847" spans="1:46" ht="15.75" customHeight="1" x14ac:dyDescent="0.3">
      <c r="A847" s="325"/>
      <c r="B847" s="503" t="s">
        <v>1025</v>
      </c>
      <c r="C847" s="503"/>
      <c r="D847" s="503"/>
      <c r="E847" s="503"/>
      <c r="F847" s="503"/>
      <c r="G847" s="503"/>
      <c r="H847" s="503"/>
      <c r="I847" s="503"/>
      <c r="J847" s="503"/>
      <c r="K847" s="503"/>
      <c r="L847" s="503"/>
      <c r="M847" s="503"/>
      <c r="N847" s="503"/>
      <c r="O847" s="503"/>
      <c r="P847" s="503"/>
      <c r="Q847" s="159"/>
      <c r="R847" s="324"/>
      <c r="AC847" s="325" t="s">
        <v>415</v>
      </c>
      <c r="AD847" s="159">
        <f t="shared" si="142"/>
        <v>0</v>
      </c>
      <c r="AE847" s="159">
        <f t="shared" si="143"/>
        <v>1626.3375746559338</v>
      </c>
      <c r="AF847" s="159">
        <f t="shared" si="150"/>
        <v>0</v>
      </c>
      <c r="AG847" s="159">
        <f t="shared" si="144"/>
        <v>128546.56</v>
      </c>
      <c r="AH847" s="159">
        <f t="shared" si="148"/>
        <v>128546.56</v>
      </c>
      <c r="AI847" s="159">
        <f t="shared" si="145"/>
        <v>48477</v>
      </c>
      <c r="AJ847" s="159">
        <f t="shared" si="149"/>
        <v>177023.56</v>
      </c>
      <c r="AK847" s="159">
        <f t="shared" si="146"/>
        <v>15232.50655614168</v>
      </c>
      <c r="AL847" s="159">
        <f t="shared" si="147"/>
        <v>161791.05344385831</v>
      </c>
      <c r="AM847" s="159" t="s">
        <v>424</v>
      </c>
      <c r="AN847" s="159">
        <f>+B856/30/1.98</f>
        <v>1542.6936026936028</v>
      </c>
      <c r="AO847" s="159">
        <f t="shared" ref="AO847:AO852" si="151">(AD847*43560/30/24/3600)</f>
        <v>0</v>
      </c>
      <c r="AP847" s="159">
        <f>+H303</f>
        <v>-1893.9821818793075</v>
      </c>
      <c r="AQ847" s="159"/>
      <c r="AR847" s="159"/>
      <c r="AS847" s="159"/>
      <c r="AT847" s="324"/>
    </row>
    <row r="848" spans="1:46" ht="15.75" customHeight="1" x14ac:dyDescent="0.3">
      <c r="A848" s="325"/>
      <c r="B848" s="159"/>
      <c r="C848" s="159"/>
      <c r="D848" s="159"/>
      <c r="E848" s="159"/>
      <c r="F848" s="159"/>
      <c r="G848" s="159"/>
      <c r="H848" s="159"/>
      <c r="I848" s="159"/>
      <c r="J848" s="159"/>
      <c r="K848" s="159"/>
      <c r="L848" s="159"/>
      <c r="M848" s="159"/>
      <c r="N848" s="159"/>
      <c r="O848" s="159"/>
      <c r="P848" s="159"/>
      <c r="Q848" s="159"/>
      <c r="R848" s="324"/>
      <c r="AC848" s="325" t="s">
        <v>416</v>
      </c>
      <c r="AD848" s="159">
        <f t="shared" si="142"/>
        <v>0</v>
      </c>
      <c r="AE848" s="159">
        <f t="shared" si="143"/>
        <v>1614.093965893418</v>
      </c>
      <c r="AF848" s="159">
        <f t="shared" si="150"/>
        <v>0</v>
      </c>
      <c r="AG848" s="159">
        <f t="shared" si="144"/>
        <v>108187.348</v>
      </c>
      <c r="AH848" s="159">
        <f t="shared" si="148"/>
        <v>108187.348</v>
      </c>
      <c r="AI848" s="159">
        <f t="shared" si="145"/>
        <v>47881</v>
      </c>
      <c r="AJ848" s="159">
        <f t="shared" si="149"/>
        <v>156068.348</v>
      </c>
      <c r="AK848" s="159">
        <f t="shared" si="146"/>
        <v>14511.141514979801</v>
      </c>
      <c r="AL848" s="159">
        <f t="shared" si="147"/>
        <v>141557.2064850202</v>
      </c>
      <c r="AM848" s="159" t="s">
        <v>424</v>
      </c>
      <c r="AN848" s="159">
        <f>+B857/31/1.98</f>
        <v>1261.3717823395243</v>
      </c>
      <c r="AO848" s="159">
        <f t="shared" si="151"/>
        <v>0</v>
      </c>
      <c r="AP848" s="159">
        <f>+J303</f>
        <v>-1951.2143542693541</v>
      </c>
      <c r="AQ848" s="159"/>
      <c r="AR848" s="159"/>
      <c r="AS848" s="159"/>
      <c r="AT848" s="324"/>
    </row>
    <row r="849" spans="1:46" ht="15.75" customHeight="1" thickBot="1" x14ac:dyDescent="0.35">
      <c r="A849" s="325" t="s">
        <v>433</v>
      </c>
      <c r="B849" s="364" t="s">
        <v>390</v>
      </c>
      <c r="C849" s="364" t="s">
        <v>391</v>
      </c>
      <c r="D849" s="364" t="s">
        <v>392</v>
      </c>
      <c r="E849" s="364" t="s">
        <v>393</v>
      </c>
      <c r="F849" s="364" t="s">
        <v>394</v>
      </c>
      <c r="G849" s="364" t="s">
        <v>394</v>
      </c>
      <c r="H849" s="364" t="s">
        <v>395</v>
      </c>
      <c r="I849" s="364" t="s">
        <v>396</v>
      </c>
      <c r="J849" s="364" t="s">
        <v>397</v>
      </c>
      <c r="K849" s="364" t="s">
        <v>398</v>
      </c>
      <c r="L849" s="364" t="s">
        <v>399</v>
      </c>
      <c r="M849" s="364" t="s">
        <v>400</v>
      </c>
      <c r="N849" s="364" t="s">
        <v>401</v>
      </c>
      <c r="O849" s="364" t="s">
        <v>402</v>
      </c>
      <c r="P849" s="364" t="s">
        <v>403</v>
      </c>
      <c r="Q849" s="364" t="s">
        <v>404</v>
      </c>
      <c r="R849" s="324"/>
      <c r="T849" s="45" t="s">
        <v>1026</v>
      </c>
      <c r="AC849" s="325" t="s">
        <v>417</v>
      </c>
      <c r="AD849" s="159">
        <f t="shared" si="142"/>
        <v>0</v>
      </c>
      <c r="AE849" s="159">
        <f t="shared" si="143"/>
        <v>1600.6037637565339</v>
      </c>
      <c r="AF849" s="159">
        <f t="shared" si="150"/>
        <v>0</v>
      </c>
      <c r="AG849" s="159">
        <f t="shared" si="144"/>
        <v>94631.452000000005</v>
      </c>
      <c r="AH849" s="159">
        <f t="shared" si="148"/>
        <v>94631.452000000005</v>
      </c>
      <c r="AI849" s="159">
        <f t="shared" si="145"/>
        <v>38983</v>
      </c>
      <c r="AJ849" s="159">
        <f t="shared" si="149"/>
        <v>133614.45199999999</v>
      </c>
      <c r="AK849" s="159">
        <f t="shared" si="146"/>
        <v>9240.355367309241</v>
      </c>
      <c r="AL849" s="159">
        <f t="shared" si="147"/>
        <v>124374.09663269075</v>
      </c>
      <c r="AM849" s="159" t="s">
        <v>424</v>
      </c>
      <c r="AN849" s="159">
        <f>+B858/31/1.98</f>
        <v>1102.8185076572172</v>
      </c>
      <c r="AO849" s="159">
        <f t="shared" si="151"/>
        <v>0</v>
      </c>
      <c r="AP849" s="159">
        <f>+K303</f>
        <v>-1427.2282140126558</v>
      </c>
      <c r="AQ849" s="159"/>
      <c r="AR849" s="159"/>
      <c r="AS849" s="159"/>
      <c r="AT849" s="324"/>
    </row>
    <row r="850" spans="1:46" ht="15.75" customHeight="1" x14ac:dyDescent="0.3">
      <c r="A850" s="325"/>
      <c r="B850" s="159"/>
      <c r="C850" s="159"/>
      <c r="D850" s="159"/>
      <c r="E850" s="159"/>
      <c r="F850" s="164" t="s">
        <v>406</v>
      </c>
      <c r="G850" s="164" t="s">
        <v>407</v>
      </c>
      <c r="H850" s="159"/>
      <c r="I850" s="159"/>
      <c r="J850" s="159"/>
      <c r="K850" s="159"/>
      <c r="L850" s="159"/>
      <c r="M850" s="159"/>
      <c r="N850" s="159"/>
      <c r="O850" s="159"/>
      <c r="P850" s="159"/>
      <c r="Q850" s="159"/>
      <c r="R850" s="324"/>
      <c r="AC850" s="325" t="s">
        <v>418</v>
      </c>
      <c r="AD850" s="159">
        <f t="shared" si="142"/>
        <v>19406</v>
      </c>
      <c r="AE850" s="159">
        <f t="shared" si="143"/>
        <v>1598.5266164632565</v>
      </c>
      <c r="AF850" s="159">
        <f t="shared" si="150"/>
        <v>31021.007519085953</v>
      </c>
      <c r="AG850" s="159">
        <f t="shared" si="144"/>
        <v>158349.16899999999</v>
      </c>
      <c r="AH850" s="159">
        <f t="shared" si="148"/>
        <v>189370.17651908594</v>
      </c>
      <c r="AI850" s="159">
        <f t="shared" si="145"/>
        <v>38255</v>
      </c>
      <c r="AJ850" s="159">
        <f t="shared" si="149"/>
        <v>227625.17651908594</v>
      </c>
      <c r="AK850" s="159">
        <v>0</v>
      </c>
      <c r="AL850" s="159">
        <f t="shared" si="147"/>
        <v>227625.17651908594</v>
      </c>
      <c r="AM850" s="159" t="s">
        <v>424</v>
      </c>
      <c r="AN850" s="159">
        <f>+B859/30/1.98</f>
        <v>2209.5454545454545</v>
      </c>
      <c r="AO850" s="159">
        <f t="shared" si="151"/>
        <v>326.12861111111113</v>
      </c>
      <c r="AP850" s="159">
        <f>+L303</f>
        <v>-378.14758782988736</v>
      </c>
      <c r="AQ850" s="159"/>
      <c r="AR850" s="159"/>
      <c r="AS850" s="159"/>
      <c r="AT850" s="324"/>
    </row>
    <row r="851" spans="1:46" ht="15.75" customHeight="1" x14ac:dyDescent="0.3">
      <c r="A851" s="365" t="s">
        <v>795</v>
      </c>
      <c r="B851" s="159">
        <f>+B29</f>
        <v>152339</v>
      </c>
      <c r="C851" s="159">
        <f>+B64</f>
        <v>152242</v>
      </c>
      <c r="D851" s="159">
        <f>+B130</f>
        <v>152146</v>
      </c>
      <c r="E851" s="159">
        <f>+B293</f>
        <v>150911</v>
      </c>
      <c r="F851" s="159">
        <f>+B288</f>
        <v>108452</v>
      </c>
      <c r="G851" s="159">
        <f>+B300</f>
        <v>0</v>
      </c>
      <c r="H851" s="159">
        <f>+B443</f>
        <v>23810</v>
      </c>
      <c r="I851" s="159">
        <f>+B490</f>
        <v>9084</v>
      </c>
      <c r="J851" s="159">
        <f>+B534</f>
        <v>9063</v>
      </c>
      <c r="K851" s="159">
        <f>+B589</f>
        <v>8964</v>
      </c>
      <c r="L851" s="159">
        <f>+B599</f>
        <v>7801</v>
      </c>
      <c r="M851" s="159">
        <f>+B635</f>
        <v>7781</v>
      </c>
      <c r="N851" s="159">
        <f>+B682</f>
        <v>7671</v>
      </c>
      <c r="O851" s="159">
        <f>+B692</f>
        <v>3880</v>
      </c>
      <c r="P851" s="159">
        <f>+B726</f>
        <v>3688</v>
      </c>
      <c r="Q851" s="159">
        <f>+B774</f>
        <v>3878</v>
      </c>
      <c r="R851" s="324"/>
      <c r="T851" s="366">
        <f>'[1]Lake Pleasant Forecast'!B35</f>
        <v>1690.1998116000643</v>
      </c>
      <c r="AC851" s="325" t="s">
        <v>419</v>
      </c>
      <c r="AD851" s="159">
        <f t="shared" si="142"/>
        <v>40011</v>
      </c>
      <c r="AE851" s="159">
        <f t="shared" si="143"/>
        <v>1607.0828356271095</v>
      </c>
      <c r="AF851" s="159">
        <f t="shared" si="150"/>
        <v>64300.991336276275</v>
      </c>
      <c r="AG851" s="159">
        <f t="shared" si="144"/>
        <v>132422.114</v>
      </c>
      <c r="AH851" s="159">
        <f t="shared" si="148"/>
        <v>196723.10533627629</v>
      </c>
      <c r="AI851" s="159">
        <f t="shared" si="145"/>
        <v>14927</v>
      </c>
      <c r="AJ851" s="159">
        <f t="shared" si="149"/>
        <v>211650.10533627629</v>
      </c>
      <c r="AK851" s="159">
        <v>0</v>
      </c>
      <c r="AL851" s="159">
        <f t="shared" si="147"/>
        <v>211650.10533627629</v>
      </c>
      <c r="AM851" s="159" t="s">
        <v>424</v>
      </c>
      <c r="AN851" s="159">
        <f>+B860/31/1.98</f>
        <v>2173.9491691104595</v>
      </c>
      <c r="AO851" s="159">
        <f t="shared" si="151"/>
        <v>672.40708333333339</v>
      </c>
      <c r="AP851" s="159">
        <f>+N303</f>
        <v>-18.951409561921491</v>
      </c>
      <c r="AQ851" s="159"/>
      <c r="AR851" s="159"/>
      <c r="AS851" s="159"/>
      <c r="AT851" s="324"/>
    </row>
    <row r="852" spans="1:46" ht="15.75" customHeight="1" x14ac:dyDescent="0.3">
      <c r="A852" s="365" t="s">
        <v>9</v>
      </c>
      <c r="B852" s="159">
        <f>+C29</f>
        <v>113951</v>
      </c>
      <c r="C852" s="159">
        <f>+C64</f>
        <v>113803</v>
      </c>
      <c r="D852" s="159">
        <f>+C130</f>
        <v>113658</v>
      </c>
      <c r="E852" s="159">
        <f>+C293</f>
        <v>110482</v>
      </c>
      <c r="F852" s="159">
        <f>+C288</f>
        <v>32889</v>
      </c>
      <c r="G852" s="159">
        <f>+C300</f>
        <v>0</v>
      </c>
      <c r="H852" s="159">
        <f>+C443</f>
        <v>57969</v>
      </c>
      <c r="I852" s="159">
        <f>+C490</f>
        <v>18052</v>
      </c>
      <c r="J852" s="159">
        <f>+C534</f>
        <v>17663</v>
      </c>
      <c r="K852" s="159">
        <f>+C589</f>
        <v>16067</v>
      </c>
      <c r="L852" s="159">
        <f>+C599</f>
        <v>11460</v>
      </c>
      <c r="M852" s="159">
        <f>+C635</f>
        <v>11438</v>
      </c>
      <c r="N852" s="159">
        <f>+C682</f>
        <v>10784</v>
      </c>
      <c r="O852" s="159">
        <f>+C692</f>
        <v>3015</v>
      </c>
      <c r="P852" s="159">
        <f>+C726</f>
        <v>3129</v>
      </c>
      <c r="Q852" s="159">
        <f>+C774</f>
        <v>3012</v>
      </c>
      <c r="R852" s="324"/>
      <c r="T852" s="366">
        <f>'[1]Lake Pleasant Forecast'!B37</f>
        <v>1693.66</v>
      </c>
      <c r="AC852" s="325" t="s">
        <v>420</v>
      </c>
      <c r="AD852" s="159">
        <f t="shared" si="142"/>
        <v>74729</v>
      </c>
      <c r="AE852" s="159">
        <f t="shared" si="143"/>
        <v>1617.5216826798235</v>
      </c>
      <c r="AF852" s="159">
        <f t="shared" si="150"/>
        <v>120875.77782498053</v>
      </c>
      <c r="AG852" s="159">
        <f t="shared" si="144"/>
        <v>90402.573999999993</v>
      </c>
      <c r="AH852" s="159">
        <f t="shared" si="148"/>
        <v>211278.35182498052</v>
      </c>
      <c r="AI852" s="159">
        <f t="shared" si="145"/>
        <v>14428</v>
      </c>
      <c r="AJ852" s="159">
        <f t="shared" si="149"/>
        <v>225706.35182498052</v>
      </c>
      <c r="AK852" s="159">
        <f>(G946)</f>
        <v>0</v>
      </c>
      <c r="AL852" s="159">
        <f t="shared" si="147"/>
        <v>225706.35182498052</v>
      </c>
      <c r="AM852" s="159" t="s">
        <v>424</v>
      </c>
      <c r="AN852" s="159">
        <f>+B861/30/1.98</f>
        <v>2330.2020202020203</v>
      </c>
      <c r="AO852" s="159">
        <f t="shared" si="151"/>
        <v>1255.8623611111111</v>
      </c>
      <c r="AP852" s="159">
        <f>+O303</f>
        <v>0</v>
      </c>
      <c r="AQ852" s="159"/>
      <c r="AR852" s="159"/>
      <c r="AS852" s="159"/>
      <c r="AT852" s="324"/>
    </row>
    <row r="853" spans="1:46" ht="15.75" customHeight="1" x14ac:dyDescent="0.3">
      <c r="A853" s="365" t="s">
        <v>10</v>
      </c>
      <c r="B853" s="159">
        <f>+D29</f>
        <v>122458</v>
      </c>
      <c r="C853" s="159">
        <f>+D64</f>
        <v>122184</v>
      </c>
      <c r="D853" s="159">
        <f>+D130</f>
        <v>121923</v>
      </c>
      <c r="E853" s="159">
        <f>+D293</f>
        <v>116405</v>
      </c>
      <c r="F853" s="159">
        <f>+D288</f>
        <v>4539</v>
      </c>
      <c r="G853" s="159">
        <f>+D300</f>
        <v>-10501</v>
      </c>
      <c r="H853" s="159">
        <f>+D443</f>
        <v>89418</v>
      </c>
      <c r="I853" s="159">
        <f>+D490</f>
        <v>31641</v>
      </c>
      <c r="J853" s="159">
        <f>+D534</f>
        <v>24605</v>
      </c>
      <c r="K853" s="159">
        <f>+D589</f>
        <v>22002</v>
      </c>
      <c r="L853" s="159">
        <f>+D599</f>
        <v>17487</v>
      </c>
      <c r="M853" s="159">
        <f>+D635</f>
        <v>17459</v>
      </c>
      <c r="N853" s="159">
        <f>+D682</f>
        <v>16667</v>
      </c>
      <c r="O853" s="159">
        <f>+D692</f>
        <v>3992</v>
      </c>
      <c r="P853" s="159">
        <f>+D726</f>
        <v>3962</v>
      </c>
      <c r="Q853" s="159">
        <f>+D774</f>
        <v>3987</v>
      </c>
      <c r="R853" s="324"/>
      <c r="T853" s="366">
        <f>'[1]Lake Pleasant Forecast'!B39</f>
        <v>1696.7</v>
      </c>
      <c r="AC853" s="325" t="s">
        <v>421</v>
      </c>
      <c r="AD853" s="159">
        <f t="shared" si="142"/>
        <v>52389</v>
      </c>
      <c r="AE853" s="159">
        <f t="shared" si="143"/>
        <v>1621.0530797648637</v>
      </c>
      <c r="AF853" s="159">
        <f t="shared" si="150"/>
        <v>84925.349795801449</v>
      </c>
      <c r="AG853" s="159">
        <f t="shared" si="144"/>
        <v>91967.478000000003</v>
      </c>
      <c r="AH853" s="159">
        <f t="shared" si="148"/>
        <v>176892.82779580145</v>
      </c>
      <c r="AI853" s="159">
        <f t="shared" si="145"/>
        <v>23656</v>
      </c>
      <c r="AJ853" s="159">
        <f t="shared" si="149"/>
        <v>200548.82779580145</v>
      </c>
      <c r="AK853" s="159">
        <f>(G947)</f>
        <v>0</v>
      </c>
      <c r="AL853" s="159">
        <f t="shared" si="147"/>
        <v>200548.82779580145</v>
      </c>
      <c r="AM853" s="159" t="s">
        <v>424</v>
      </c>
      <c r="AN853" s="159">
        <f>+B862/31/1.98</f>
        <v>1909.3027044639948</v>
      </c>
      <c r="AO853" s="159">
        <f>(AD853*43560/31/24/3600)</f>
        <v>852.02540322580649</v>
      </c>
      <c r="AP853" s="159">
        <f>+P303</f>
        <v>0</v>
      </c>
      <c r="AQ853" s="159"/>
      <c r="AR853" s="159"/>
      <c r="AS853" s="159"/>
      <c r="AT853" s="324"/>
    </row>
    <row r="854" spans="1:46" ht="15.75" customHeight="1" x14ac:dyDescent="0.3">
      <c r="A854" s="365" t="s">
        <v>12</v>
      </c>
      <c r="B854" s="159">
        <f>+F29</f>
        <v>167054</v>
      </c>
      <c r="C854" s="159">
        <f>+F64</f>
        <v>166687</v>
      </c>
      <c r="D854" s="159">
        <f>+F130</f>
        <v>166337</v>
      </c>
      <c r="E854" s="159">
        <f>+F293</f>
        <v>159674</v>
      </c>
      <c r="F854" s="159">
        <f>+F288</f>
        <v>28044</v>
      </c>
      <c r="G854" s="159">
        <f>+F300</f>
        <v>0</v>
      </c>
      <c r="H854" s="159">
        <f>+F443</f>
        <v>103186</v>
      </c>
      <c r="I854" s="159">
        <f>+F490</f>
        <v>39342</v>
      </c>
      <c r="J854" s="159">
        <f>+F534</f>
        <v>30202</v>
      </c>
      <c r="K854" s="159">
        <f>+F589</f>
        <v>25240</v>
      </c>
      <c r="L854" s="159">
        <f>+F599</f>
        <v>21076</v>
      </c>
      <c r="M854" s="159">
        <f>+F635</f>
        <v>21039</v>
      </c>
      <c r="N854" s="159">
        <f>+F682</f>
        <v>20553</v>
      </c>
      <c r="O854" s="159">
        <f>+F692</f>
        <v>4167</v>
      </c>
      <c r="P854" s="159">
        <f>+F726</f>
        <v>3414</v>
      </c>
      <c r="Q854" s="159">
        <f>+F774</f>
        <v>4118</v>
      </c>
      <c r="R854" s="324"/>
      <c r="T854" s="366">
        <f>'[1]Lake Pleasant Forecast'!B41</f>
        <v>1696.11085484296</v>
      </c>
      <c r="AC854" s="323"/>
      <c r="AD854" s="159"/>
      <c r="AE854" s="159"/>
      <c r="AF854" s="159"/>
      <c r="AG854" s="159"/>
      <c r="AH854" s="159"/>
      <c r="AI854" s="159"/>
      <c r="AJ854" s="159"/>
      <c r="AK854" s="159"/>
      <c r="AL854" s="159"/>
      <c r="AM854" s="159" t="s">
        <v>424</v>
      </c>
      <c r="AN854" s="159"/>
      <c r="AO854" s="159"/>
      <c r="AP854" s="159"/>
      <c r="AQ854" s="159"/>
      <c r="AR854" s="159"/>
      <c r="AS854" s="159"/>
      <c r="AT854" s="324"/>
    </row>
    <row r="855" spans="1:46" ht="15.75" customHeight="1" x14ac:dyDescent="0.3">
      <c r="A855" s="365" t="s">
        <v>13</v>
      </c>
      <c r="B855" s="159">
        <f>+G29</f>
        <v>178122</v>
      </c>
      <c r="C855" s="159">
        <f>+G64</f>
        <v>177697</v>
      </c>
      <c r="D855" s="159">
        <f>+G130</f>
        <v>177295</v>
      </c>
      <c r="E855" s="159">
        <f>+G293</f>
        <v>169951</v>
      </c>
      <c r="F855" s="159">
        <f>+G288</f>
        <v>12390</v>
      </c>
      <c r="G855" s="159">
        <f>+G300</f>
        <v>0</v>
      </c>
      <c r="H855" s="159">
        <f>+G443</f>
        <v>119224</v>
      </c>
      <c r="I855" s="159">
        <f>+G490</f>
        <v>36410</v>
      </c>
      <c r="J855" s="159">
        <f>+G534</f>
        <v>27038</v>
      </c>
      <c r="K855" s="159">
        <f>+G589</f>
        <v>24236</v>
      </c>
      <c r="L855" s="159">
        <f>+G599</f>
        <v>22056</v>
      </c>
      <c r="M855" s="159">
        <f>+G635</f>
        <v>22014</v>
      </c>
      <c r="N855" s="159">
        <f>+G682</f>
        <v>20876</v>
      </c>
      <c r="O855" s="159">
        <f>+G692</f>
        <v>4106</v>
      </c>
      <c r="P855" s="159">
        <f>+G726</f>
        <v>1479</v>
      </c>
      <c r="Q855" s="159">
        <f>+G774</f>
        <v>4098</v>
      </c>
      <c r="R855" s="324"/>
      <c r="T855" s="366">
        <f>'[1]Lake Pleasant Forecast'!B43</f>
        <v>1693.7800000000002</v>
      </c>
      <c r="AC855" s="323" t="s">
        <v>422</v>
      </c>
      <c r="AD855" s="159">
        <f>SUM(AD842:AD853)</f>
        <v>372849</v>
      </c>
      <c r="AE855" s="159"/>
      <c r="AF855" s="159">
        <f t="shared" ref="AF855:AL855" si="152">SUM(AF842:AF853)</f>
        <v>606792.74716384371</v>
      </c>
      <c r="AG855" s="159">
        <f t="shared" si="152"/>
        <v>1579106.574</v>
      </c>
      <c r="AH855" s="159">
        <f t="shared" si="152"/>
        <v>2185899.3211638439</v>
      </c>
      <c r="AI855" s="159">
        <f t="shared" si="152"/>
        <v>392645</v>
      </c>
      <c r="AJ855" s="159">
        <f t="shared" si="152"/>
        <v>2578544.3211638443</v>
      </c>
      <c r="AK855" s="159">
        <f t="shared" si="152"/>
        <v>40650.552496456345</v>
      </c>
      <c r="AL855" s="159">
        <f t="shared" si="152"/>
        <v>2537893.7686673878</v>
      </c>
      <c r="AM855" s="159"/>
      <c r="AN855" s="159"/>
      <c r="AO855" s="159"/>
      <c r="AP855" s="159"/>
      <c r="AQ855" s="159"/>
      <c r="AR855" s="159"/>
      <c r="AS855" s="159"/>
      <c r="AT855" s="324"/>
    </row>
    <row r="856" spans="1:46" ht="15.75" customHeight="1" x14ac:dyDescent="0.3">
      <c r="A856" s="365" t="s">
        <v>14</v>
      </c>
      <c r="B856" s="159">
        <f>+H29</f>
        <v>91636</v>
      </c>
      <c r="C856" s="159">
        <f>+H64</f>
        <v>91219</v>
      </c>
      <c r="D856" s="159">
        <f>+H130</f>
        <v>90823</v>
      </c>
      <c r="E856" s="159">
        <f>+H293</f>
        <v>82634</v>
      </c>
      <c r="F856" s="159">
        <f>+H288</f>
        <v>0</v>
      </c>
      <c r="G856" s="159">
        <f>+H300</f>
        <v>-112673</v>
      </c>
      <c r="H856" s="159">
        <f>+H443</f>
        <v>145021</v>
      </c>
      <c r="I856" s="159">
        <f>+H490</f>
        <v>45408</v>
      </c>
      <c r="J856" s="159">
        <f>+H534</f>
        <v>29076</v>
      </c>
      <c r="K856" s="159">
        <f>+H589</f>
        <v>22944</v>
      </c>
      <c r="L856" s="159">
        <f>+H599</f>
        <v>21109</v>
      </c>
      <c r="M856" s="159">
        <f>+H635</f>
        <v>21065</v>
      </c>
      <c r="N856" s="159">
        <f>+H682</f>
        <v>19414</v>
      </c>
      <c r="O856" s="159">
        <f>+H692</f>
        <v>4390</v>
      </c>
      <c r="P856" s="159">
        <f>+H726</f>
        <v>4867</v>
      </c>
      <c r="Q856" s="159">
        <f>+H774</f>
        <v>4381</v>
      </c>
      <c r="R856" s="324"/>
      <c r="T856" s="366">
        <f>'[1]Lake Pleasant Forecast'!B45</f>
        <v>1681.1000000000001</v>
      </c>
      <c r="AC856" s="323"/>
      <c r="AD856" s="159"/>
      <c r="AE856" s="159"/>
      <c r="AF856" s="159"/>
      <c r="AG856" s="159"/>
      <c r="AH856" s="159"/>
      <c r="AI856" s="159"/>
      <c r="AJ856" s="159"/>
      <c r="AK856" s="159"/>
      <c r="AL856" s="159"/>
      <c r="AM856" s="159"/>
      <c r="AN856" s="159"/>
      <c r="AO856" s="159"/>
      <c r="AP856" s="159"/>
      <c r="AQ856" s="159"/>
      <c r="AR856" s="159"/>
      <c r="AS856" s="159"/>
      <c r="AT856" s="324"/>
    </row>
    <row r="857" spans="1:46" ht="15.75" customHeight="1" x14ac:dyDescent="0.3">
      <c r="A857" s="365" t="s">
        <v>16</v>
      </c>
      <c r="B857" s="159">
        <f>+J29</f>
        <v>77423</v>
      </c>
      <c r="C857" s="159">
        <f>+J64</f>
        <v>77007</v>
      </c>
      <c r="D857" s="159">
        <f>+J130</f>
        <v>76613</v>
      </c>
      <c r="E857" s="159">
        <f>+J293</f>
        <v>68001</v>
      </c>
      <c r="F857" s="159">
        <f>+J288</f>
        <v>0</v>
      </c>
      <c r="G857" s="159">
        <f>+J300</f>
        <v>-119947</v>
      </c>
      <c r="H857" s="159">
        <f>+J443</f>
        <v>128199</v>
      </c>
      <c r="I857" s="159">
        <f>+J490</f>
        <v>50008</v>
      </c>
      <c r="J857" s="159">
        <f>+J534</f>
        <v>28429</v>
      </c>
      <c r="K857" s="159">
        <f>+J589</f>
        <v>25371</v>
      </c>
      <c r="L857" s="159">
        <f>+J599</f>
        <v>21981</v>
      </c>
      <c r="M857" s="159">
        <f>+J635</f>
        <v>21942</v>
      </c>
      <c r="N857" s="159">
        <f>+J682</f>
        <v>19806</v>
      </c>
      <c r="O857" s="159">
        <f>+J692</f>
        <v>3654</v>
      </c>
      <c r="P857" s="159">
        <f>+J726</f>
        <v>4909</v>
      </c>
      <c r="Q857" s="159">
        <f>+J774</f>
        <v>3644</v>
      </c>
      <c r="R857" s="324"/>
      <c r="T857" s="366">
        <f>'[1]Lake Pleasant Forecast'!B47</f>
        <v>1671.6699725311105</v>
      </c>
      <c r="AC857" s="323" t="s">
        <v>450</v>
      </c>
      <c r="AD857" s="159"/>
      <c r="AE857" s="159"/>
      <c r="AF857" s="159"/>
      <c r="AG857" s="159"/>
      <c r="AH857" s="159"/>
      <c r="AI857" s="159"/>
      <c r="AJ857" s="159"/>
      <c r="AK857" s="159"/>
      <c r="AL857" s="159"/>
      <c r="AM857" s="159"/>
      <c r="AN857" s="159"/>
      <c r="AO857" s="159"/>
      <c r="AP857" s="159"/>
      <c r="AQ857" s="159"/>
      <c r="AR857" s="159"/>
      <c r="AS857" s="159"/>
      <c r="AT857" s="324"/>
    </row>
    <row r="858" spans="1:46" ht="15.75" customHeight="1" x14ac:dyDescent="0.3">
      <c r="A858" s="365" t="s">
        <v>17</v>
      </c>
      <c r="B858" s="159">
        <f>+K29</f>
        <v>67691</v>
      </c>
      <c r="C858" s="159">
        <f>+K64</f>
        <v>67357</v>
      </c>
      <c r="D858" s="159">
        <f>+K130</f>
        <v>67039</v>
      </c>
      <c r="E858" s="159">
        <f>+K293</f>
        <v>59601</v>
      </c>
      <c r="F858" s="159">
        <f>+K288</f>
        <v>0</v>
      </c>
      <c r="G858" s="159">
        <f>+K300</f>
        <v>-87736</v>
      </c>
      <c r="H858" s="159">
        <f>+K443</f>
        <v>96897</v>
      </c>
      <c r="I858" s="159">
        <f>+K490</f>
        <v>35955</v>
      </c>
      <c r="J858" s="159">
        <f>+K534</f>
        <v>25261</v>
      </c>
      <c r="K858" s="159">
        <f>+K589</f>
        <v>21685</v>
      </c>
      <c r="L858" s="159">
        <f>+K599</f>
        <v>20142</v>
      </c>
      <c r="M858" s="159">
        <f>+K635</f>
        <v>20106</v>
      </c>
      <c r="N858" s="159">
        <f>+K682</f>
        <v>17993</v>
      </c>
      <c r="O858" s="159">
        <f>+K692</f>
        <v>2150</v>
      </c>
      <c r="P858" s="159">
        <f>+K726</f>
        <v>4763</v>
      </c>
      <c r="Q858" s="159">
        <f>+K774</f>
        <v>2144</v>
      </c>
      <c r="R858" s="324"/>
      <c r="T858" s="366">
        <f>'[1]Lake Pleasant Forecast'!B49</f>
        <v>1661.2798188452823</v>
      </c>
      <c r="AC858" s="323" t="s">
        <v>451</v>
      </c>
      <c r="AD858" s="159"/>
      <c r="AE858" s="159"/>
      <c r="AF858" s="159"/>
      <c r="AG858" s="159"/>
      <c r="AH858" s="159"/>
      <c r="AI858" s="159"/>
      <c r="AJ858" s="159"/>
      <c r="AK858" s="159"/>
      <c r="AL858" s="159"/>
      <c r="AM858" s="159"/>
      <c r="AN858" s="159"/>
      <c r="AO858" s="159"/>
      <c r="AP858" s="159"/>
      <c r="AQ858" s="159"/>
      <c r="AR858" s="159"/>
      <c r="AS858" s="159"/>
      <c r="AT858" s="324"/>
    </row>
    <row r="859" spans="1:46" ht="15.75" customHeight="1" x14ac:dyDescent="0.3">
      <c r="A859" s="365" t="s">
        <v>18</v>
      </c>
      <c r="B859" s="159">
        <f>+L29</f>
        <v>131247</v>
      </c>
      <c r="C859" s="159">
        <f>+L64</f>
        <v>130931</v>
      </c>
      <c r="D859" s="159">
        <f>+L130</f>
        <v>130630</v>
      </c>
      <c r="E859" s="159">
        <f>+L293</f>
        <v>126596</v>
      </c>
      <c r="F859" s="159">
        <f>+L288</f>
        <v>19406</v>
      </c>
      <c r="G859" s="159">
        <f>+L300</f>
        <v>-22496</v>
      </c>
      <c r="H859" s="159">
        <f>+L443</f>
        <v>80109</v>
      </c>
      <c r="I859" s="159">
        <f>+L490</f>
        <v>33405</v>
      </c>
      <c r="J859" s="159">
        <f>+L534</f>
        <v>25967</v>
      </c>
      <c r="K859" s="159">
        <f>+L589</f>
        <v>22936</v>
      </c>
      <c r="L859" s="159">
        <f>+L599</f>
        <v>19023</v>
      </c>
      <c r="M859" s="159">
        <f>+L635</f>
        <v>18989</v>
      </c>
      <c r="N859" s="159">
        <f>+L682</f>
        <v>17223</v>
      </c>
      <c r="O859" s="159">
        <f>+L692</f>
        <v>4825</v>
      </c>
      <c r="P859" s="159">
        <f>+L726</f>
        <v>3380</v>
      </c>
      <c r="Q859" s="159">
        <f>+L774</f>
        <v>4819</v>
      </c>
      <c r="R859" s="324"/>
      <c r="T859" s="366">
        <f>'[1]Lake Pleasant Forecast'!B51</f>
        <v>1659.68</v>
      </c>
      <c r="AC859" s="323"/>
      <c r="AD859" s="159"/>
      <c r="AE859" s="159"/>
      <c r="AF859" s="159"/>
      <c r="AG859" s="159"/>
      <c r="AH859" s="159"/>
      <c r="AI859" s="159"/>
      <c r="AJ859" s="159"/>
      <c r="AK859" s="159"/>
      <c r="AL859" s="159"/>
      <c r="AM859" s="159"/>
      <c r="AN859" s="159"/>
      <c r="AO859" s="159"/>
      <c r="AP859" s="159"/>
      <c r="AQ859" s="159"/>
      <c r="AR859" s="159"/>
      <c r="AS859" s="159"/>
      <c r="AT859" s="324"/>
    </row>
    <row r="860" spans="1:46" ht="15.75" customHeight="1" x14ac:dyDescent="0.3">
      <c r="A860" s="365" t="s">
        <v>20</v>
      </c>
      <c r="B860" s="159">
        <f>+N29</f>
        <v>133437</v>
      </c>
      <c r="C860" s="159">
        <f>+N64</f>
        <v>133152</v>
      </c>
      <c r="D860" s="159">
        <f>+N130</f>
        <v>132880</v>
      </c>
      <c r="E860" s="159">
        <f>+N293</f>
        <v>130253</v>
      </c>
      <c r="F860" s="159">
        <f>+N288</f>
        <v>40011</v>
      </c>
      <c r="G860" s="159">
        <f>+N300</f>
        <v>-1165</v>
      </c>
      <c r="H860" s="159">
        <f>+N443</f>
        <v>52257</v>
      </c>
      <c r="I860" s="159">
        <f>+N490</f>
        <v>11059</v>
      </c>
      <c r="J860" s="159">
        <f>+N534</f>
        <v>8221</v>
      </c>
      <c r="K860" s="159">
        <f>+N589</f>
        <v>7905</v>
      </c>
      <c r="L860" s="159">
        <f>+N599</f>
        <v>6368</v>
      </c>
      <c r="M860" s="159">
        <f>+N635</f>
        <v>6339</v>
      </c>
      <c r="N860" s="159">
        <f>+N682</f>
        <v>5629</v>
      </c>
      <c r="O860" s="159">
        <f>+N692</f>
        <v>1859</v>
      </c>
      <c r="P860" s="159">
        <f>+N726</f>
        <v>0</v>
      </c>
      <c r="Q860" s="159">
        <f>+N774</f>
        <v>1854</v>
      </c>
      <c r="R860" s="324"/>
      <c r="T860" s="366">
        <f>'[1]Lake Pleasant Forecast'!B53</f>
        <v>1666.2699999999998</v>
      </c>
      <c r="AC860" s="323" t="s">
        <v>452</v>
      </c>
      <c r="AD860" s="159"/>
      <c r="AE860" s="159"/>
      <c r="AF860" s="159"/>
      <c r="AG860" s="159"/>
      <c r="AH860" s="159"/>
      <c r="AI860" s="159"/>
      <c r="AJ860" s="159"/>
      <c r="AK860" s="159"/>
      <c r="AL860" s="159"/>
      <c r="AM860" s="159"/>
      <c r="AN860" s="159"/>
      <c r="AO860" s="159"/>
      <c r="AP860" s="159"/>
      <c r="AQ860" s="159"/>
      <c r="AR860" s="159"/>
      <c r="AS860" s="159"/>
      <c r="AT860" s="324"/>
    </row>
    <row r="861" spans="1:46" ht="15.75" customHeight="1" x14ac:dyDescent="0.3">
      <c r="A861" s="365" t="s">
        <v>21</v>
      </c>
      <c r="B861" s="159">
        <f>+O29</f>
        <v>138414</v>
      </c>
      <c r="C861" s="159">
        <f>+O64</f>
        <v>138179</v>
      </c>
      <c r="D861" s="159">
        <f>+O130</f>
        <v>137953</v>
      </c>
      <c r="E861" s="159">
        <f>+O293</f>
        <v>136932</v>
      </c>
      <c r="F861" s="159">
        <f>+O288</f>
        <v>74729</v>
      </c>
      <c r="G861" s="159">
        <f>+O300</f>
        <v>0</v>
      </c>
      <c r="H861" s="159">
        <f>+O443</f>
        <v>32345</v>
      </c>
      <c r="I861" s="159">
        <f>+O490</f>
        <v>11993</v>
      </c>
      <c r="J861" s="159">
        <f>+O534</f>
        <v>10398</v>
      </c>
      <c r="K861" s="159">
        <f>+O589</f>
        <v>10329</v>
      </c>
      <c r="L861" s="159">
        <f>+O599</f>
        <v>7177</v>
      </c>
      <c r="M861" s="159">
        <f>+O635</f>
        <v>7154</v>
      </c>
      <c r="N861" s="159">
        <f>+O682</f>
        <v>7111</v>
      </c>
      <c r="O861" s="159">
        <f>+O692</f>
        <v>1167</v>
      </c>
      <c r="P861" s="159">
        <f>+O726</f>
        <v>0</v>
      </c>
      <c r="Q861" s="159">
        <f>+O774</f>
        <v>1164</v>
      </c>
      <c r="R861" s="324"/>
      <c r="T861" s="366">
        <f>'[1]Lake Pleasant Forecast'!B55</f>
        <v>1674.31</v>
      </c>
      <c r="AC861" s="323"/>
      <c r="AD861" s="159"/>
      <c r="AE861" s="159"/>
      <c r="AF861" s="159"/>
      <c r="AG861" s="159"/>
      <c r="AH861" s="159"/>
      <c r="AI861" s="159"/>
      <c r="AJ861" s="159"/>
      <c r="AK861" s="159"/>
      <c r="AL861" s="159"/>
      <c r="AM861" s="159"/>
      <c r="AN861" s="159"/>
      <c r="AO861" s="159"/>
      <c r="AP861" s="159"/>
      <c r="AQ861" s="159"/>
      <c r="AR861" s="159"/>
      <c r="AS861" s="159"/>
      <c r="AT861" s="324"/>
    </row>
    <row r="862" spans="1:46" ht="15.75" customHeight="1" thickBot="1" x14ac:dyDescent="0.35">
      <c r="A862" s="365" t="s">
        <v>22</v>
      </c>
      <c r="B862" s="159">
        <f>+P29</f>
        <v>117193</v>
      </c>
      <c r="C862" s="159">
        <f>+P64</f>
        <v>117007</v>
      </c>
      <c r="D862" s="159">
        <f>+P130</f>
        <v>116828</v>
      </c>
      <c r="E862" s="159">
        <f>+P293</f>
        <v>115487</v>
      </c>
      <c r="F862" s="159">
        <f>+P288</f>
        <v>52389</v>
      </c>
      <c r="G862" s="159">
        <f>+P300</f>
        <v>0</v>
      </c>
      <c r="H862" s="159">
        <f>+P443</f>
        <v>41828</v>
      </c>
      <c r="I862" s="159">
        <f>+P490</f>
        <v>15977</v>
      </c>
      <c r="J862" s="159">
        <f>+P534</f>
        <v>14869</v>
      </c>
      <c r="K862" s="159">
        <f>+P589</f>
        <v>14827</v>
      </c>
      <c r="L862" s="159">
        <f>+P599</f>
        <v>14315</v>
      </c>
      <c r="M862" s="159">
        <f>+P635</f>
        <v>14296</v>
      </c>
      <c r="N862" s="159">
        <f>+P682</f>
        <v>14093</v>
      </c>
      <c r="O862" s="159">
        <f>+P692</f>
        <v>4423</v>
      </c>
      <c r="P862" s="159">
        <f>+P726</f>
        <v>0</v>
      </c>
      <c r="Q862" s="159">
        <f>+P774</f>
        <v>4421</v>
      </c>
      <c r="R862" s="324"/>
      <c r="T862" s="366">
        <f>'[1]Lake Pleasant Forecast'!B57</f>
        <v>1677.029882034898</v>
      </c>
      <c r="AC862" s="326" t="s">
        <v>453</v>
      </c>
      <c r="AD862" s="327"/>
      <c r="AE862" s="327"/>
      <c r="AF862" s="327"/>
      <c r="AG862" s="327"/>
      <c r="AH862" s="327"/>
      <c r="AI862" s="327"/>
      <c r="AJ862" s="327"/>
      <c r="AK862" s="327"/>
      <c r="AL862" s="327"/>
      <c r="AM862" s="327"/>
      <c r="AN862" s="327"/>
      <c r="AO862" s="327"/>
      <c r="AP862" s="327"/>
      <c r="AQ862" s="327"/>
      <c r="AR862" s="327"/>
      <c r="AS862" s="327"/>
      <c r="AT862" s="328"/>
    </row>
    <row r="863" spans="1:46" ht="15.75" customHeight="1" x14ac:dyDescent="0.3">
      <c r="A863" s="325"/>
      <c r="B863" s="159"/>
      <c r="C863" s="159"/>
      <c r="D863" s="159"/>
      <c r="E863" s="159"/>
      <c r="F863" s="159"/>
      <c r="G863" s="159"/>
      <c r="H863" s="159"/>
      <c r="I863" s="159"/>
      <c r="J863" s="159"/>
      <c r="K863" s="159"/>
      <c r="L863" s="159"/>
      <c r="M863" s="159"/>
      <c r="N863" s="159"/>
      <c r="O863" s="159"/>
      <c r="P863" s="159"/>
      <c r="Q863" s="159"/>
      <c r="R863" s="324"/>
    </row>
    <row r="864" spans="1:46" ht="15.75" customHeight="1" thickBot="1" x14ac:dyDescent="0.35">
      <c r="A864" s="325" t="s">
        <v>422</v>
      </c>
      <c r="B864" s="159">
        <f t="shared" ref="B864:Q864" si="153">SUM(B851:B862)</f>
        <v>1490965</v>
      </c>
      <c r="C864" s="159">
        <f t="shared" si="153"/>
        <v>1487465</v>
      </c>
      <c r="D864" s="159">
        <f t="shared" si="153"/>
        <v>1484125</v>
      </c>
      <c r="E864" s="159">
        <f t="shared" si="153"/>
        <v>1426927</v>
      </c>
      <c r="F864" s="159">
        <f t="shared" si="153"/>
        <v>372849</v>
      </c>
      <c r="G864" s="159">
        <f t="shared" si="153"/>
        <v>-354518</v>
      </c>
      <c r="H864" s="159">
        <f t="shared" si="153"/>
        <v>970263</v>
      </c>
      <c r="I864" s="159">
        <f t="shared" si="153"/>
        <v>338334</v>
      </c>
      <c r="J864" s="159">
        <f t="shared" si="153"/>
        <v>250792</v>
      </c>
      <c r="K864" s="159">
        <f t="shared" si="153"/>
        <v>222506</v>
      </c>
      <c r="L864" s="159">
        <f t="shared" si="153"/>
        <v>189995</v>
      </c>
      <c r="M864" s="159">
        <f t="shared" si="153"/>
        <v>189622</v>
      </c>
      <c r="N864" s="159">
        <f t="shared" si="153"/>
        <v>177820</v>
      </c>
      <c r="O864" s="159">
        <f t="shared" si="153"/>
        <v>41628</v>
      </c>
      <c r="P864" s="159">
        <f t="shared" si="153"/>
        <v>33591</v>
      </c>
      <c r="Q864" s="159">
        <f t="shared" si="153"/>
        <v>41520</v>
      </c>
      <c r="R864" s="324"/>
    </row>
    <row r="865" spans="1:50" ht="15.75" customHeight="1" thickBot="1" x14ac:dyDescent="0.35">
      <c r="A865" s="312"/>
      <c r="B865" s="312"/>
      <c r="C865" s="312"/>
      <c r="D865" s="312"/>
      <c r="E865" s="312"/>
      <c r="F865" s="312"/>
      <c r="G865" s="312"/>
      <c r="H865" s="312"/>
      <c r="I865" s="312"/>
      <c r="J865" s="312"/>
      <c r="K865" s="312"/>
      <c r="L865" s="312"/>
      <c r="M865" s="312"/>
      <c r="N865" s="312"/>
      <c r="O865" s="312"/>
      <c r="P865" s="312"/>
      <c r="Q865" s="312"/>
      <c r="R865" s="328"/>
      <c r="AC865" s="318"/>
      <c r="AD865" s="319"/>
      <c r="AE865" s="319"/>
      <c r="AF865" s="319"/>
      <c r="AG865" s="319"/>
      <c r="AH865" s="319"/>
      <c r="AI865" s="319"/>
      <c r="AJ865" s="319"/>
      <c r="AK865" s="319"/>
      <c r="AL865" s="319"/>
      <c r="AM865" s="319"/>
      <c r="AN865" s="319"/>
      <c r="AO865" s="319"/>
      <c r="AP865" s="319"/>
      <c r="AQ865" s="319"/>
      <c r="AR865" s="319"/>
      <c r="AS865" s="361" t="str">
        <f>+Q1</f>
        <v xml:space="preserve">PRINTED:  </v>
      </c>
      <c r="AT865" s="367">
        <f ca="1">+R1</f>
        <v>44909.46975358796</v>
      </c>
      <c r="AU865" s="332"/>
      <c r="AW865" s="161" t="s">
        <v>467</v>
      </c>
      <c r="AX865" s="159"/>
    </row>
    <row r="866" spans="1:50" ht="15.75" customHeight="1" x14ac:dyDescent="0.35">
      <c r="A866" s="368"/>
      <c r="B866" s="368"/>
      <c r="C866" s="368"/>
      <c r="D866" s="368"/>
      <c r="E866" s="368"/>
      <c r="F866" s="368"/>
      <c r="G866" s="368"/>
      <c r="H866" s="368"/>
      <c r="I866" s="368"/>
      <c r="J866" s="368"/>
      <c r="K866" s="368"/>
      <c r="L866" s="368"/>
      <c r="M866" s="368"/>
      <c r="N866" s="368"/>
      <c r="O866" s="368"/>
      <c r="P866" s="368"/>
      <c r="Q866" s="368"/>
      <c r="R866" s="319"/>
      <c r="AC866" s="323"/>
      <c r="AD866" s="159"/>
      <c r="AE866" s="161" t="s">
        <v>460</v>
      </c>
      <c r="AF866" s="159"/>
      <c r="AG866" s="159"/>
      <c r="AH866" s="159"/>
      <c r="AI866" s="159"/>
      <c r="AJ866" s="159"/>
      <c r="AK866" s="159"/>
      <c r="AL866" s="159"/>
      <c r="AM866" s="159"/>
      <c r="AN866" s="167"/>
      <c r="AO866" s="161" t="s">
        <v>461</v>
      </c>
      <c r="AP866" s="159"/>
      <c r="AQ866" s="159"/>
      <c r="AR866" s="159"/>
      <c r="AS866" s="159"/>
      <c r="AT866" s="159"/>
      <c r="AU866" s="307"/>
      <c r="AW866" s="159" t="s">
        <v>468</v>
      </c>
      <c r="AX866" s="159"/>
    </row>
    <row r="867" spans="1:50" ht="16.5" customHeight="1" x14ac:dyDescent="0.3">
      <c r="A867" s="325" t="s">
        <v>7</v>
      </c>
      <c r="B867" s="159"/>
      <c r="C867" s="159"/>
      <c r="D867" s="159"/>
      <c r="E867" s="159"/>
      <c r="F867" s="159"/>
      <c r="G867" s="159"/>
      <c r="H867" s="159"/>
      <c r="I867" s="159"/>
      <c r="J867" s="159"/>
      <c r="K867" s="159"/>
      <c r="L867" s="159"/>
      <c r="M867" s="159"/>
      <c r="N867" s="159"/>
      <c r="O867" s="159"/>
      <c r="P867" s="159"/>
      <c r="Q867" s="159"/>
      <c r="R867" s="159"/>
      <c r="AC867" s="323"/>
      <c r="AD867" s="159"/>
      <c r="AE867" s="159"/>
      <c r="AF867" s="159"/>
      <c r="AG867" s="159" t="s">
        <v>7</v>
      </c>
      <c r="AH867" s="163" t="str">
        <f>+A8</f>
        <v>Revised:  2/23/2017</v>
      </c>
      <c r="AI867" s="159"/>
      <c r="AJ867" s="159"/>
      <c r="AK867" s="159"/>
      <c r="AL867" s="159"/>
      <c r="AM867" s="159"/>
      <c r="AN867" s="159"/>
      <c r="AO867" s="159"/>
      <c r="AP867" s="159"/>
      <c r="AQ867" s="159"/>
      <c r="AR867" s="159" t="s">
        <v>7</v>
      </c>
      <c r="AS867" s="163" t="str">
        <f>+A8</f>
        <v>Revised:  2/23/2017</v>
      </c>
      <c r="AT867" s="159"/>
      <c r="AU867" s="307"/>
      <c r="AW867" s="159"/>
      <c r="AX867" s="159"/>
    </row>
    <row r="868" spans="1:50" ht="15.75" customHeight="1" x14ac:dyDescent="0.3">
      <c r="A868" s="164"/>
      <c r="B868" s="159"/>
      <c r="C868" s="159"/>
      <c r="D868" s="159"/>
      <c r="E868" s="159"/>
      <c r="F868" s="159"/>
      <c r="G868" s="159"/>
      <c r="H868" s="159"/>
      <c r="I868" s="159"/>
      <c r="J868" s="159"/>
      <c r="K868" s="159"/>
      <c r="L868" s="159"/>
      <c r="M868" s="159"/>
      <c r="N868" s="159"/>
      <c r="O868" s="159"/>
      <c r="P868" s="159"/>
      <c r="Q868" s="159"/>
      <c r="R868" s="159"/>
      <c r="AC868" s="323"/>
      <c r="AD868" s="159"/>
      <c r="AE868" s="159"/>
      <c r="AF868" s="159" t="s">
        <v>787</v>
      </c>
      <c r="AG868" s="159"/>
      <c r="AH868" s="159"/>
      <c r="AI868" s="159"/>
      <c r="AJ868" s="159"/>
      <c r="AK868" s="159"/>
      <c r="AL868" s="159"/>
      <c r="AM868" s="159"/>
      <c r="AN868" s="159"/>
      <c r="AO868" s="159"/>
      <c r="AP868" s="159" t="s">
        <v>787</v>
      </c>
      <c r="AQ868" s="159"/>
      <c r="AR868" s="159"/>
      <c r="AS868" s="159"/>
      <c r="AT868" s="159"/>
      <c r="AU868" s="307"/>
      <c r="AW868" s="159" t="s">
        <v>424</v>
      </c>
      <c r="AX868" s="164" t="s">
        <v>442</v>
      </c>
    </row>
    <row r="869" spans="1:50" ht="15.75" customHeight="1" x14ac:dyDescent="0.3">
      <c r="A869" s="365"/>
      <c r="AC869" s="323"/>
      <c r="AD869" s="159"/>
      <c r="AE869" s="159"/>
      <c r="AF869" s="159"/>
      <c r="AG869" s="159"/>
      <c r="AH869" s="159"/>
      <c r="AI869" s="159"/>
      <c r="AJ869" s="159"/>
      <c r="AK869" s="159"/>
      <c r="AL869" s="159"/>
      <c r="AM869" s="159"/>
      <c r="AN869" s="159"/>
      <c r="AO869" s="159"/>
      <c r="AP869" s="159"/>
      <c r="AQ869" s="159"/>
      <c r="AR869" s="159"/>
      <c r="AS869" s="159"/>
      <c r="AT869" s="159"/>
      <c r="AU869" s="307"/>
      <c r="AW869" s="164" t="s">
        <v>442</v>
      </c>
      <c r="AX869" s="164" t="s">
        <v>439</v>
      </c>
    </row>
    <row r="870" spans="1:50" ht="15.75" customHeight="1" thickBot="1" x14ac:dyDescent="0.35">
      <c r="A870" s="365"/>
      <c r="AC870" s="323"/>
      <c r="AD870" s="159"/>
      <c r="AE870" s="159"/>
      <c r="AF870" s="159"/>
      <c r="AG870" s="159">
        <f>+A5</f>
        <v>2016</v>
      </c>
      <c r="AH870" s="159"/>
      <c r="AI870" s="159"/>
      <c r="AJ870" s="159"/>
      <c r="AK870" s="159"/>
      <c r="AL870" s="159"/>
      <c r="AM870" s="159"/>
      <c r="AN870" s="159"/>
      <c r="AO870" s="159"/>
      <c r="AP870" s="159"/>
      <c r="AQ870" s="159"/>
      <c r="AR870" s="159">
        <f>+A5</f>
        <v>2016</v>
      </c>
      <c r="AS870" s="159"/>
      <c r="AT870" s="159"/>
      <c r="AU870" s="307"/>
      <c r="AW870" s="164" t="s">
        <v>491</v>
      </c>
      <c r="AX870" s="164" t="s">
        <v>492</v>
      </c>
    </row>
    <row r="871" spans="1:50" ht="15.75" customHeight="1" x14ac:dyDescent="0.3">
      <c r="A871" s="363"/>
      <c r="B871" s="506" t="s">
        <v>454</v>
      </c>
      <c r="C871" s="506"/>
      <c r="D871" s="506"/>
      <c r="E871" s="506"/>
      <c r="F871" s="506"/>
      <c r="G871" s="506"/>
      <c r="H871" s="506"/>
      <c r="I871" s="506"/>
      <c r="J871" s="506"/>
      <c r="K871" s="506"/>
      <c r="L871" s="506"/>
      <c r="M871" s="506"/>
      <c r="N871" s="506"/>
      <c r="O871" s="506"/>
      <c r="P871" s="506"/>
      <c r="Q871" s="361" t="str">
        <f>+Q1</f>
        <v xml:space="preserve">PRINTED:  </v>
      </c>
      <c r="R871" s="362">
        <f ca="1">+R1</f>
        <v>44909.46975358796</v>
      </c>
      <c r="AC871" s="323"/>
      <c r="AD871" s="159"/>
      <c r="AE871" s="159"/>
      <c r="AF871" s="159"/>
      <c r="AG871" s="159" t="s">
        <v>457</v>
      </c>
      <c r="AH871" s="159"/>
      <c r="AI871" s="159"/>
      <c r="AJ871" s="159"/>
      <c r="AK871" s="159"/>
      <c r="AL871" s="159"/>
      <c r="AM871" s="159"/>
      <c r="AN871" s="159"/>
      <c r="AO871" s="159"/>
      <c r="AP871" s="159"/>
      <c r="AQ871" s="159"/>
      <c r="AR871" s="159" t="s">
        <v>457</v>
      </c>
      <c r="AS871" s="159"/>
      <c r="AT871" s="159"/>
      <c r="AU871" s="307"/>
      <c r="AW871" s="164" t="s">
        <v>409</v>
      </c>
      <c r="AX871" s="164" t="s">
        <v>409</v>
      </c>
    </row>
    <row r="872" spans="1:50" ht="15.75" customHeight="1" x14ac:dyDescent="0.3">
      <c r="A872" s="325"/>
      <c r="B872" s="503" t="str">
        <f>+A8</f>
        <v>Revised:  2/23/2017</v>
      </c>
      <c r="C872" s="503"/>
      <c r="D872" s="503"/>
      <c r="E872" s="503"/>
      <c r="F872" s="503"/>
      <c r="G872" s="503"/>
      <c r="H872" s="503"/>
      <c r="I872" s="503"/>
      <c r="J872" s="503"/>
      <c r="K872" s="503"/>
      <c r="L872" s="503"/>
      <c r="M872" s="503"/>
      <c r="N872" s="503"/>
      <c r="O872" s="503"/>
      <c r="P872" s="503"/>
      <c r="Q872" s="159"/>
      <c r="R872" s="324"/>
      <c r="AC872" s="323"/>
      <c r="AD872" s="159"/>
      <c r="AE872" s="159"/>
      <c r="AF872" s="159"/>
      <c r="AG872" s="159"/>
      <c r="AH872" s="159"/>
      <c r="AI872" s="159"/>
      <c r="AJ872" s="159"/>
      <c r="AK872" s="159"/>
      <c r="AL872" s="159"/>
      <c r="AM872" s="159"/>
      <c r="AN872" s="159"/>
      <c r="AO872" s="159"/>
      <c r="AP872" s="159"/>
      <c r="AQ872" s="159"/>
      <c r="AR872" s="159"/>
      <c r="AS872" s="159"/>
      <c r="AT872" s="159"/>
      <c r="AU872" s="307"/>
      <c r="AW872" s="159">
        <f t="shared" ref="AW872:AW883" si="154">SUM(L908:Q908)</f>
        <v>7352</v>
      </c>
      <c r="AX872" s="172">
        <v>2.4700000000000002</v>
      </c>
    </row>
    <row r="873" spans="1:50" ht="15.75" customHeight="1" x14ac:dyDescent="0.3">
      <c r="A873" s="325"/>
      <c r="B873" s="503" t="s">
        <v>1024</v>
      </c>
      <c r="C873" s="503"/>
      <c r="D873" s="503"/>
      <c r="E873" s="503"/>
      <c r="F873" s="503"/>
      <c r="G873" s="503"/>
      <c r="H873" s="503"/>
      <c r="I873" s="503"/>
      <c r="J873" s="503"/>
      <c r="K873" s="503"/>
      <c r="L873" s="503"/>
      <c r="M873" s="503"/>
      <c r="N873" s="503"/>
      <c r="O873" s="503"/>
      <c r="P873" s="503"/>
      <c r="Q873" s="159"/>
      <c r="R873" s="324"/>
      <c r="AC873" s="323" t="s">
        <v>389</v>
      </c>
      <c r="AD873" s="164" t="s">
        <v>390</v>
      </c>
      <c r="AE873" s="164" t="s">
        <v>391</v>
      </c>
      <c r="AF873" s="164" t="s">
        <v>392</v>
      </c>
      <c r="AG873" s="164" t="s">
        <v>393</v>
      </c>
      <c r="AH873" s="164" t="s">
        <v>394</v>
      </c>
      <c r="AI873" s="159"/>
      <c r="AJ873" s="164" t="s">
        <v>422</v>
      </c>
      <c r="AK873" s="159"/>
      <c r="AL873" s="159"/>
      <c r="AM873" s="159"/>
      <c r="AN873" s="159" t="s">
        <v>389</v>
      </c>
      <c r="AO873" s="164" t="s">
        <v>390</v>
      </c>
      <c r="AP873" s="164" t="s">
        <v>391</v>
      </c>
      <c r="AQ873" s="164" t="s">
        <v>392</v>
      </c>
      <c r="AR873" s="164" t="s">
        <v>393</v>
      </c>
      <c r="AS873" s="164" t="s">
        <v>394</v>
      </c>
      <c r="AT873" s="164" t="s">
        <v>422</v>
      </c>
      <c r="AU873" s="307"/>
      <c r="AW873" s="159">
        <f t="shared" si="154"/>
        <v>8184</v>
      </c>
      <c r="AX873" s="172">
        <v>2.4700000000000002</v>
      </c>
    </row>
    <row r="874" spans="1:50" ht="15.75" customHeight="1" x14ac:dyDescent="0.3">
      <c r="A874" s="325"/>
      <c r="B874" s="503"/>
      <c r="C874" s="503"/>
      <c r="D874" s="503"/>
      <c r="E874" s="503"/>
      <c r="F874" s="503"/>
      <c r="G874" s="503"/>
      <c r="H874" s="503"/>
      <c r="I874" s="503"/>
      <c r="J874" s="503"/>
      <c r="K874" s="503"/>
      <c r="L874" s="503"/>
      <c r="M874" s="503"/>
      <c r="N874" s="503"/>
      <c r="O874" s="503"/>
      <c r="P874" s="503"/>
      <c r="Q874" s="159"/>
      <c r="R874" s="324"/>
      <c r="AC874" s="323" t="s">
        <v>405</v>
      </c>
      <c r="AD874" s="159"/>
      <c r="AE874" s="159"/>
      <c r="AF874" s="159"/>
      <c r="AG874" s="159"/>
      <c r="AH874" s="164" t="s">
        <v>406</v>
      </c>
      <c r="AI874" s="159"/>
      <c r="AJ874" s="164" t="s">
        <v>465</v>
      </c>
      <c r="AK874" s="159"/>
      <c r="AL874" s="159"/>
      <c r="AM874" s="159"/>
      <c r="AN874" s="159" t="s">
        <v>405</v>
      </c>
      <c r="AO874" s="159"/>
      <c r="AP874" s="159"/>
      <c r="AQ874" s="159"/>
      <c r="AR874" s="159"/>
      <c r="AS874" s="164" t="s">
        <v>406</v>
      </c>
      <c r="AT874" s="164" t="s">
        <v>465</v>
      </c>
      <c r="AU874" s="307"/>
      <c r="AW874" s="159">
        <f t="shared" si="154"/>
        <v>11875</v>
      </c>
      <c r="AX874" s="172">
        <v>2.4700000000000002</v>
      </c>
    </row>
    <row r="875" spans="1:50" ht="15.75" customHeight="1" x14ac:dyDescent="0.3">
      <c r="A875" s="325"/>
      <c r="B875" s="509">
        <f>+A5</f>
        <v>2016</v>
      </c>
      <c r="C875" s="509"/>
      <c r="D875" s="509"/>
      <c r="E875" s="509"/>
      <c r="F875" s="509"/>
      <c r="G875" s="509"/>
      <c r="H875" s="509"/>
      <c r="I875" s="509"/>
      <c r="J875" s="509"/>
      <c r="K875" s="509"/>
      <c r="L875" s="509"/>
      <c r="M875" s="509"/>
      <c r="N875" s="509"/>
      <c r="O875" s="509"/>
      <c r="P875" s="509"/>
      <c r="Q875" s="159"/>
      <c r="R875" s="324"/>
      <c r="AC875" s="323" t="s">
        <v>408</v>
      </c>
      <c r="AD875" s="159">
        <f>+$B$906</f>
        <v>957</v>
      </c>
      <c r="AE875" s="159">
        <f>+C$906</f>
        <v>122</v>
      </c>
      <c r="AF875" s="159">
        <f>+D$906</f>
        <v>128</v>
      </c>
      <c r="AG875" s="159">
        <f>+E$906</f>
        <v>219</v>
      </c>
      <c r="AH875" s="159"/>
      <c r="AI875" s="159"/>
      <c r="AJ875" s="164" t="s">
        <v>442</v>
      </c>
      <c r="AK875" s="159"/>
      <c r="AL875" s="159"/>
      <c r="AM875" s="159"/>
      <c r="AN875" s="159" t="s">
        <v>408</v>
      </c>
      <c r="AO875" s="159">
        <f>+$B$906</f>
        <v>957</v>
      </c>
      <c r="AP875" s="159">
        <f>+C$906</f>
        <v>122</v>
      </c>
      <c r="AQ875" s="159">
        <f>+D$906</f>
        <v>128</v>
      </c>
      <c r="AR875" s="159">
        <f>+E$906</f>
        <v>219</v>
      </c>
      <c r="AS875" s="159"/>
      <c r="AT875" s="164" t="s">
        <v>442</v>
      </c>
      <c r="AU875" s="307"/>
      <c r="AW875" s="159">
        <f t="shared" si="154"/>
        <v>13535</v>
      </c>
      <c r="AX875" s="172">
        <v>2.4700000000000002</v>
      </c>
    </row>
    <row r="876" spans="1:50" ht="15.75" customHeight="1" x14ac:dyDescent="0.3">
      <c r="A876" s="325"/>
      <c r="B876" s="503" t="s">
        <v>1027</v>
      </c>
      <c r="C876" s="503"/>
      <c r="D876" s="503"/>
      <c r="E876" s="503"/>
      <c r="F876" s="503"/>
      <c r="G876" s="503"/>
      <c r="H876" s="503"/>
      <c r="I876" s="503"/>
      <c r="J876" s="503"/>
      <c r="K876" s="503"/>
      <c r="L876" s="503"/>
      <c r="M876" s="503"/>
      <c r="N876" s="503"/>
      <c r="O876" s="503"/>
      <c r="P876" s="503"/>
      <c r="Q876" s="159"/>
      <c r="R876" s="324"/>
      <c r="AC876" s="323"/>
      <c r="AD876" s="159" t="s">
        <v>409</v>
      </c>
      <c r="AE876" s="159" t="s">
        <v>409</v>
      </c>
      <c r="AF876" s="159" t="s">
        <v>409</v>
      </c>
      <c r="AG876" s="159" t="s">
        <v>409</v>
      </c>
      <c r="AH876" s="159" t="s">
        <v>409</v>
      </c>
      <c r="AI876" s="159"/>
      <c r="AJ876" s="159" t="s">
        <v>459</v>
      </c>
      <c r="AK876" s="159"/>
      <c r="AL876" s="159"/>
      <c r="AM876" s="159"/>
      <c r="AN876" s="159"/>
      <c r="AO876" s="159" t="s">
        <v>409</v>
      </c>
      <c r="AP876" s="159" t="s">
        <v>409</v>
      </c>
      <c r="AQ876" s="159" t="s">
        <v>409</v>
      </c>
      <c r="AR876" s="159" t="s">
        <v>409</v>
      </c>
      <c r="AS876" s="159" t="s">
        <v>409</v>
      </c>
      <c r="AT876" s="159" t="s">
        <v>459</v>
      </c>
      <c r="AU876" s="307"/>
      <c r="AW876" s="159">
        <f t="shared" si="154"/>
        <v>13150</v>
      </c>
      <c r="AX876" s="172">
        <v>2.4700000000000002</v>
      </c>
    </row>
    <row r="877" spans="1:50" ht="15.75" customHeight="1" x14ac:dyDescent="0.3">
      <c r="A877" s="325"/>
      <c r="B877" s="159"/>
      <c r="C877" s="159"/>
      <c r="D877" s="159"/>
      <c r="E877" s="159"/>
      <c r="F877" s="159"/>
      <c r="G877" s="159"/>
      <c r="H877" s="159"/>
      <c r="I877" s="159"/>
      <c r="J877" s="159"/>
      <c r="K877" s="159"/>
      <c r="L877" s="159"/>
      <c r="M877" s="159"/>
      <c r="N877" s="159"/>
      <c r="O877" s="159"/>
      <c r="P877" s="159"/>
      <c r="Q877" s="159"/>
      <c r="R877" s="324"/>
      <c r="AC877" s="325" t="s">
        <v>410</v>
      </c>
      <c r="AD877" s="159">
        <f t="shared" ref="AD877:AD888" si="155">ROUND($F851*$AD$875/1000,0)</f>
        <v>103789</v>
      </c>
      <c r="AE877" s="159">
        <f t="shared" ref="AE877:AE888" si="156">ROUND($F851*$AE$875/1000,0)</f>
        <v>13231</v>
      </c>
      <c r="AF877" s="159">
        <f t="shared" ref="AF877:AF888" si="157">ROUND($F851*$AF$875/1000,0)</f>
        <v>13882</v>
      </c>
      <c r="AG877" s="159">
        <f t="shared" ref="AG877:AG888" si="158">ROUND($F851*$AG$875/1000,0)</f>
        <v>23751</v>
      </c>
      <c r="AH877" s="159">
        <f t="shared" ref="AH877:AH888" si="159">(F851*((T851-1526.8)/0.7702))/1000</f>
        <v>23008.356748442195</v>
      </c>
      <c r="AI877" s="159"/>
      <c r="AJ877" s="159">
        <f t="shared" ref="AJ877:AJ888" si="160">SUM(AD877:AH877)</f>
        <v>177661.35674844219</v>
      </c>
      <c r="AK877" s="159"/>
      <c r="AL877" s="159"/>
      <c r="AM877" s="159"/>
      <c r="AN877" s="164" t="s">
        <v>410</v>
      </c>
      <c r="AO877" s="159">
        <f t="shared" ref="AO877:AO888" si="161">ROUND((B851-$F851)*$AO$875/1000,0)</f>
        <v>42000</v>
      </c>
      <c r="AP877" s="159">
        <f t="shared" ref="AP877:AP888" si="162">ROUND((C851-$F851)*$AP$875/1000,0)</f>
        <v>5342</v>
      </c>
      <c r="AQ877" s="159">
        <f t="shared" ref="AQ877:AQ888" si="163">ROUND((D851-$F851)*$AQ$875/1000,0)</f>
        <v>5593</v>
      </c>
      <c r="AR877" s="159">
        <f t="shared" ref="AR877:AR888" si="164">ROUND((E851-$F851)*$AR$875/1000,0)</f>
        <v>9299</v>
      </c>
      <c r="AS877" s="159">
        <f>((F851-$F851)*(('[1]Lake Pleasant Forecast'!B35-1526.8)/0.7702))/1000</f>
        <v>0</v>
      </c>
      <c r="AT877" s="159">
        <f t="shared" ref="AT877:AT888" si="165">SUM(AN877:AR877)</f>
        <v>62234</v>
      </c>
      <c r="AU877" s="307"/>
      <c r="AW877" s="159">
        <f t="shared" si="154"/>
        <v>13911</v>
      </c>
      <c r="AX877" s="172">
        <v>2.4700000000000002</v>
      </c>
    </row>
    <row r="878" spans="1:50" ht="15.75" customHeight="1" thickBot="1" x14ac:dyDescent="0.35">
      <c r="A878" s="325" t="s">
        <v>433</v>
      </c>
      <c r="B878" s="364" t="s">
        <v>390</v>
      </c>
      <c r="C878" s="364" t="s">
        <v>391</v>
      </c>
      <c r="D878" s="364" t="s">
        <v>392</v>
      </c>
      <c r="E878" s="364" t="s">
        <v>393</v>
      </c>
      <c r="F878" s="364" t="s">
        <v>394</v>
      </c>
      <c r="G878" s="364" t="s">
        <v>394</v>
      </c>
      <c r="H878" s="364" t="s">
        <v>395</v>
      </c>
      <c r="I878" s="364" t="s">
        <v>396</v>
      </c>
      <c r="J878" s="364" t="s">
        <v>397</v>
      </c>
      <c r="K878" s="364" t="s">
        <v>398</v>
      </c>
      <c r="L878" s="364" t="s">
        <v>399</v>
      </c>
      <c r="M878" s="364" t="s">
        <v>400</v>
      </c>
      <c r="N878" s="364" t="s">
        <v>401</v>
      </c>
      <c r="O878" s="364" t="s">
        <v>402</v>
      </c>
      <c r="P878" s="364" t="s">
        <v>403</v>
      </c>
      <c r="Q878" s="364" t="s">
        <v>404</v>
      </c>
      <c r="R878" s="324"/>
      <c r="AC878" s="325" t="s">
        <v>411</v>
      </c>
      <c r="AD878" s="159">
        <f t="shared" si="155"/>
        <v>31475</v>
      </c>
      <c r="AE878" s="159">
        <f t="shared" si="156"/>
        <v>4012</v>
      </c>
      <c r="AF878" s="159">
        <f t="shared" si="157"/>
        <v>4210</v>
      </c>
      <c r="AG878" s="159">
        <f t="shared" si="158"/>
        <v>7203</v>
      </c>
      <c r="AH878" s="159">
        <f t="shared" si="159"/>
        <v>7125.2383017398133</v>
      </c>
      <c r="AI878" s="159"/>
      <c r="AJ878" s="159">
        <f t="shared" si="160"/>
        <v>54025.23830173981</v>
      </c>
      <c r="AK878" s="159"/>
      <c r="AL878" s="159"/>
      <c r="AM878" s="159"/>
      <c r="AN878" s="164" t="s">
        <v>411</v>
      </c>
      <c r="AO878" s="159">
        <f t="shared" si="161"/>
        <v>77576</v>
      </c>
      <c r="AP878" s="159">
        <f t="shared" si="162"/>
        <v>9872</v>
      </c>
      <c r="AQ878" s="159">
        <f t="shared" si="163"/>
        <v>10338</v>
      </c>
      <c r="AR878" s="159">
        <f t="shared" si="164"/>
        <v>16993</v>
      </c>
      <c r="AS878" s="159">
        <f>((F852-$F852)*(('[1]Lake Pleasant Forecast'!B37-1526.8)/0.7702))/1000</f>
        <v>0</v>
      </c>
      <c r="AT878" s="159">
        <f t="shared" si="165"/>
        <v>114779</v>
      </c>
      <c r="AU878" s="307"/>
      <c r="AW878" s="159">
        <f t="shared" si="154"/>
        <v>13742</v>
      </c>
      <c r="AX878" s="172">
        <v>2.4700000000000002</v>
      </c>
    </row>
    <row r="879" spans="1:50" ht="15.75" customHeight="1" x14ac:dyDescent="0.3">
      <c r="A879" s="325"/>
      <c r="B879" s="159"/>
      <c r="C879" s="159"/>
      <c r="D879" s="159"/>
      <c r="E879" s="159"/>
      <c r="F879" s="164" t="s">
        <v>406</v>
      </c>
      <c r="G879" s="164" t="s">
        <v>407</v>
      </c>
      <c r="H879" s="159"/>
      <c r="I879" s="159"/>
      <c r="J879" s="159"/>
      <c r="K879" s="159"/>
      <c r="L879" s="159"/>
      <c r="M879" s="159"/>
      <c r="N879" s="159"/>
      <c r="O879" s="159"/>
      <c r="P879" s="159"/>
      <c r="Q879" s="159"/>
      <c r="R879" s="324"/>
      <c r="AC879" s="325" t="s">
        <v>412</v>
      </c>
      <c r="AD879" s="159">
        <f t="shared" si="155"/>
        <v>4344</v>
      </c>
      <c r="AE879" s="159">
        <f t="shared" si="156"/>
        <v>554</v>
      </c>
      <c r="AF879" s="159">
        <f t="shared" si="157"/>
        <v>581</v>
      </c>
      <c r="AG879" s="159">
        <f t="shared" si="158"/>
        <v>994</v>
      </c>
      <c r="AH879" s="159">
        <f t="shared" si="159"/>
        <v>1001.2673331602186</v>
      </c>
      <c r="AI879" s="159"/>
      <c r="AJ879" s="159">
        <f t="shared" si="160"/>
        <v>7474.2673331602182</v>
      </c>
      <c r="AK879" s="159"/>
      <c r="AL879" s="159"/>
      <c r="AM879" s="159"/>
      <c r="AN879" s="164" t="s">
        <v>412</v>
      </c>
      <c r="AO879" s="159">
        <f t="shared" si="161"/>
        <v>112848</v>
      </c>
      <c r="AP879" s="159">
        <f t="shared" si="162"/>
        <v>14353</v>
      </c>
      <c r="AQ879" s="159">
        <f t="shared" si="163"/>
        <v>15025</v>
      </c>
      <c r="AR879" s="159">
        <f t="shared" si="164"/>
        <v>24499</v>
      </c>
      <c r="AS879" s="159">
        <f>((F853-$F853)*(('[1]Lake Pleasant Forecast'!B39-1526.8)/0.7702))/1000</f>
        <v>0</v>
      </c>
      <c r="AT879" s="159">
        <f t="shared" si="165"/>
        <v>166725</v>
      </c>
      <c r="AU879" s="307"/>
      <c r="AW879" s="159">
        <f t="shared" si="154"/>
        <v>11878</v>
      </c>
      <c r="AX879" s="172">
        <v>2.4700000000000002</v>
      </c>
    </row>
    <row r="880" spans="1:50" ht="15.75" customHeight="1" x14ac:dyDescent="0.3">
      <c r="A880" s="365" t="s">
        <v>795</v>
      </c>
      <c r="B880" s="159">
        <f t="shared" ref="B880:Q880" si="166">(B851/$B$10/1.983)</f>
        <v>2478.1448766124963</v>
      </c>
      <c r="C880" s="159">
        <f t="shared" si="166"/>
        <v>2476.5669480910319</v>
      </c>
      <c r="D880" s="159">
        <f t="shared" si="166"/>
        <v>2475.0052868739122</v>
      </c>
      <c r="E880" s="159">
        <f t="shared" si="166"/>
        <v>2454.9151660078405</v>
      </c>
      <c r="F880" s="159">
        <f t="shared" si="166"/>
        <v>1764.2216908236135</v>
      </c>
      <c r="G880" s="159">
        <f t="shared" si="166"/>
        <v>0</v>
      </c>
      <c r="H880" s="159">
        <f t="shared" si="166"/>
        <v>387.32451645437834</v>
      </c>
      <c r="I880" s="159">
        <f t="shared" si="166"/>
        <v>147.77219266995266</v>
      </c>
      <c r="J880" s="159">
        <f t="shared" si="166"/>
        <v>147.43057927870774</v>
      </c>
      <c r="K880" s="159">
        <f t="shared" si="166"/>
        <v>145.82011614855304</v>
      </c>
      <c r="L880" s="159">
        <f t="shared" si="166"/>
        <v>126.90124119532152</v>
      </c>
      <c r="M880" s="159">
        <f t="shared" si="166"/>
        <v>126.57589510842158</v>
      </c>
      <c r="N880" s="159">
        <f t="shared" si="166"/>
        <v>124.7864916304719</v>
      </c>
      <c r="O880" s="159">
        <f t="shared" si="166"/>
        <v>63.117140858588321</v>
      </c>
      <c r="P880" s="159">
        <f t="shared" si="166"/>
        <v>59.993818424348902</v>
      </c>
      <c r="Q880" s="159">
        <f t="shared" si="166"/>
        <v>63.084606249898322</v>
      </c>
      <c r="R880" s="324"/>
      <c r="AC880" s="325" t="s">
        <v>413</v>
      </c>
      <c r="AD880" s="159">
        <f t="shared" si="155"/>
        <v>26838</v>
      </c>
      <c r="AE880" s="159">
        <f t="shared" si="156"/>
        <v>3421</v>
      </c>
      <c r="AF880" s="159">
        <f t="shared" si="157"/>
        <v>3590</v>
      </c>
      <c r="AG880" s="159">
        <f t="shared" si="158"/>
        <v>6142</v>
      </c>
      <c r="AH880" s="159">
        <f t="shared" si="159"/>
        <v>6164.8320088496102</v>
      </c>
      <c r="AI880" s="159"/>
      <c r="AJ880" s="159">
        <f t="shared" si="160"/>
        <v>46155.832008849611</v>
      </c>
      <c r="AK880" s="159"/>
      <c r="AL880" s="159"/>
      <c r="AM880" s="159"/>
      <c r="AN880" s="164" t="s">
        <v>413</v>
      </c>
      <c r="AO880" s="159">
        <f t="shared" si="161"/>
        <v>133033</v>
      </c>
      <c r="AP880" s="159">
        <f t="shared" si="162"/>
        <v>16914</v>
      </c>
      <c r="AQ880" s="159">
        <f t="shared" si="163"/>
        <v>17702</v>
      </c>
      <c r="AR880" s="159">
        <f t="shared" si="164"/>
        <v>28827</v>
      </c>
      <c r="AS880" s="159">
        <f>((F854-$F854)*(('[1]Lake Pleasant Forecast'!B41-1526.8)/0.7702))/1000</f>
        <v>0</v>
      </c>
      <c r="AT880" s="159">
        <f t="shared" si="165"/>
        <v>196476</v>
      </c>
      <c r="AU880" s="307"/>
      <c r="AW880" s="159">
        <f t="shared" si="154"/>
        <v>12684</v>
      </c>
      <c r="AX880" s="172">
        <v>2.4700000000000002</v>
      </c>
    </row>
    <row r="881" spans="1:50" ht="15.75" customHeight="1" x14ac:dyDescent="0.3">
      <c r="A881" s="365" t="s">
        <v>9</v>
      </c>
      <c r="B881" s="159">
        <f t="shared" ref="B881:Q881" si="167">(B852/$C$10/1.983)</f>
        <v>1981.515293790321</v>
      </c>
      <c r="C881" s="159">
        <f t="shared" si="167"/>
        <v>1978.9416940546366</v>
      </c>
      <c r="D881" s="159">
        <f t="shared" si="167"/>
        <v>1976.4202618811621</v>
      </c>
      <c r="E881" s="159">
        <f t="shared" si="167"/>
        <v>1921.1922026883683</v>
      </c>
      <c r="F881" s="159">
        <f t="shared" si="167"/>
        <v>571.91298450623401</v>
      </c>
      <c r="G881" s="159">
        <f t="shared" si="167"/>
        <v>0</v>
      </c>
      <c r="H881" s="159">
        <f t="shared" si="167"/>
        <v>1008.0338045803119</v>
      </c>
      <c r="I881" s="159">
        <f t="shared" si="167"/>
        <v>313.90961100387779</v>
      </c>
      <c r="J881" s="159">
        <f t="shared" si="167"/>
        <v>307.1452171040047</v>
      </c>
      <c r="K881" s="159">
        <f t="shared" si="167"/>
        <v>279.3920740083816</v>
      </c>
      <c r="L881" s="159">
        <f t="shared" si="167"/>
        <v>199.28008764150451</v>
      </c>
      <c r="M881" s="159">
        <f t="shared" si="167"/>
        <v>198.89752551863251</v>
      </c>
      <c r="N881" s="159">
        <f t="shared" si="167"/>
        <v>187.52499695689221</v>
      </c>
      <c r="O881" s="159">
        <f t="shared" si="167"/>
        <v>52.428400020867024</v>
      </c>
      <c r="P881" s="159">
        <f t="shared" si="167"/>
        <v>54.410767384840106</v>
      </c>
      <c r="Q881" s="159">
        <f t="shared" si="167"/>
        <v>52.376232458657206</v>
      </c>
      <c r="R881" s="324"/>
      <c r="AC881" s="325" t="s">
        <v>414</v>
      </c>
      <c r="AD881" s="159">
        <f t="shared" si="155"/>
        <v>11857</v>
      </c>
      <c r="AE881" s="159">
        <f t="shared" si="156"/>
        <v>1512</v>
      </c>
      <c r="AF881" s="159">
        <f t="shared" si="157"/>
        <v>1586</v>
      </c>
      <c r="AG881" s="159">
        <f t="shared" si="158"/>
        <v>2713</v>
      </c>
      <c r="AH881" s="159">
        <f t="shared" si="159"/>
        <v>2686.1622955076641</v>
      </c>
      <c r="AI881" s="159"/>
      <c r="AJ881" s="159">
        <f t="shared" si="160"/>
        <v>20354.162295507664</v>
      </c>
      <c r="AK881" s="159"/>
      <c r="AL881" s="159"/>
      <c r="AM881" s="159"/>
      <c r="AN881" s="164" t="s">
        <v>414</v>
      </c>
      <c r="AO881" s="159">
        <f t="shared" si="161"/>
        <v>158606</v>
      </c>
      <c r="AP881" s="159">
        <f t="shared" si="162"/>
        <v>20167</v>
      </c>
      <c r="AQ881" s="159">
        <f t="shared" si="163"/>
        <v>21108</v>
      </c>
      <c r="AR881" s="159">
        <f t="shared" si="164"/>
        <v>34506</v>
      </c>
      <c r="AS881" s="159">
        <f>((F855-$F855)*(('[1]Lake Pleasant Forecast'!B43-1526.8)/0.7702))/1000</f>
        <v>0</v>
      </c>
      <c r="AT881" s="159">
        <f t="shared" si="165"/>
        <v>234387</v>
      </c>
      <c r="AU881" s="307"/>
      <c r="AW881" s="159">
        <f t="shared" si="154"/>
        <v>3979</v>
      </c>
      <c r="AX881" s="172">
        <v>2.4700000000000002</v>
      </c>
    </row>
    <row r="882" spans="1:50" ht="15.75" customHeight="1" x14ac:dyDescent="0.3">
      <c r="A882" s="365" t="s">
        <v>10</v>
      </c>
      <c r="B882" s="159">
        <f t="shared" ref="B882:Q882" si="168">(B853/$D$10/1.983)</f>
        <v>1992.0615554796416</v>
      </c>
      <c r="C882" s="159">
        <f t="shared" si="168"/>
        <v>1987.6043140891122</v>
      </c>
      <c r="D882" s="159">
        <f t="shared" si="168"/>
        <v>1983.3585476550679</v>
      </c>
      <c r="E882" s="159">
        <f t="shared" si="168"/>
        <v>1893.5955622793747</v>
      </c>
      <c r="F882" s="159">
        <f t="shared" si="168"/>
        <v>73.837294421941337</v>
      </c>
      <c r="G882" s="159">
        <f t="shared" si="168"/>
        <v>-170.8229629268134</v>
      </c>
      <c r="H882" s="159">
        <f t="shared" si="168"/>
        <v>1454.589819920941</v>
      </c>
      <c r="I882" s="159">
        <f t="shared" si="168"/>
        <v>514.71377678004978</v>
      </c>
      <c r="J882" s="159">
        <f t="shared" si="168"/>
        <v>400.25702340865098</v>
      </c>
      <c r="K882" s="159">
        <f t="shared" si="168"/>
        <v>357.91323019862375</v>
      </c>
      <c r="L882" s="159">
        <f t="shared" si="168"/>
        <v>284.4663510809624</v>
      </c>
      <c r="M882" s="159">
        <f t="shared" si="168"/>
        <v>284.01086655930249</v>
      </c>
      <c r="N882" s="159">
        <f t="shared" si="168"/>
        <v>271.12716151806484</v>
      </c>
      <c r="O882" s="159">
        <f t="shared" si="168"/>
        <v>64.93907894522799</v>
      </c>
      <c r="P882" s="159">
        <f t="shared" si="168"/>
        <v>64.451059814878079</v>
      </c>
      <c r="Q882" s="159">
        <f t="shared" si="168"/>
        <v>64.857742423502998</v>
      </c>
      <c r="R882" s="324"/>
      <c r="AC882" s="325" t="s">
        <v>415</v>
      </c>
      <c r="AD882" s="159">
        <f t="shared" si="155"/>
        <v>0</v>
      </c>
      <c r="AE882" s="159">
        <f t="shared" si="156"/>
        <v>0</v>
      </c>
      <c r="AF882" s="159">
        <f t="shared" si="157"/>
        <v>0</v>
      </c>
      <c r="AG882" s="159">
        <f t="shared" si="158"/>
        <v>0</v>
      </c>
      <c r="AH882" s="159">
        <f t="shared" si="159"/>
        <v>0</v>
      </c>
      <c r="AI882" s="159"/>
      <c r="AJ882" s="159">
        <f t="shared" si="160"/>
        <v>0</v>
      </c>
      <c r="AK882" s="159"/>
      <c r="AL882" s="159"/>
      <c r="AM882" s="159"/>
      <c r="AN882" s="164" t="s">
        <v>415</v>
      </c>
      <c r="AO882" s="159">
        <f t="shared" si="161"/>
        <v>87696</v>
      </c>
      <c r="AP882" s="159">
        <f t="shared" si="162"/>
        <v>11129</v>
      </c>
      <c r="AQ882" s="159">
        <f t="shared" si="163"/>
        <v>11625</v>
      </c>
      <c r="AR882" s="159">
        <f t="shared" si="164"/>
        <v>18097</v>
      </c>
      <c r="AS882" s="159">
        <f>((F856-$F856)*(('[1]Lake Pleasant Forecast'!B45-1526.8)/0.7702))/1000</f>
        <v>0</v>
      </c>
      <c r="AT882" s="159">
        <f t="shared" si="165"/>
        <v>128547</v>
      </c>
      <c r="AU882" s="307"/>
      <c r="AW882" s="159">
        <f t="shared" si="154"/>
        <v>4086</v>
      </c>
      <c r="AX882" s="172">
        <v>2.4700000000000002</v>
      </c>
    </row>
    <row r="883" spans="1:50" ht="15.75" customHeight="1" x14ac:dyDescent="0.3">
      <c r="A883" s="365" t="s">
        <v>12</v>
      </c>
      <c r="B883" s="159">
        <f t="shared" ref="B883:Q883" si="169">(B854/$F$10/1.983)</f>
        <v>2808.1022020507644</v>
      </c>
      <c r="C883" s="159">
        <f t="shared" si="169"/>
        <v>2801.9330979996639</v>
      </c>
      <c r="D883" s="159">
        <f t="shared" si="169"/>
        <v>2796.0497562615565</v>
      </c>
      <c r="E883" s="159">
        <f t="shared" si="169"/>
        <v>2684.0477391158174</v>
      </c>
      <c r="F883" s="159">
        <f t="shared" si="169"/>
        <v>471.40695915279872</v>
      </c>
      <c r="G883" s="159">
        <f t="shared" si="169"/>
        <v>0</v>
      </c>
      <c r="H883" s="159">
        <f t="shared" si="169"/>
        <v>1734.5100016809547</v>
      </c>
      <c r="I883" s="159">
        <f t="shared" si="169"/>
        <v>661.32123045890069</v>
      </c>
      <c r="J883" s="159">
        <f t="shared" si="169"/>
        <v>507.6819633551857</v>
      </c>
      <c r="K883" s="159">
        <f t="shared" si="169"/>
        <v>424.27298705664816</v>
      </c>
      <c r="L883" s="159">
        <f t="shared" si="169"/>
        <v>354.2780299209951</v>
      </c>
      <c r="M883" s="159">
        <f t="shared" si="169"/>
        <v>353.65607665153806</v>
      </c>
      <c r="N883" s="159">
        <f t="shared" si="169"/>
        <v>345.48663640948058</v>
      </c>
      <c r="O883" s="159">
        <f t="shared" si="169"/>
        <v>70.04538577912254</v>
      </c>
      <c r="P883" s="159">
        <f t="shared" si="169"/>
        <v>57.387796268280376</v>
      </c>
      <c r="Q883" s="159">
        <f t="shared" si="169"/>
        <v>69.221717935787524</v>
      </c>
      <c r="R883" s="324"/>
      <c r="AC883" s="325" t="s">
        <v>416</v>
      </c>
      <c r="AD883" s="159">
        <f t="shared" si="155"/>
        <v>0</v>
      </c>
      <c r="AE883" s="159">
        <f t="shared" si="156"/>
        <v>0</v>
      </c>
      <c r="AF883" s="159">
        <f t="shared" si="157"/>
        <v>0</v>
      </c>
      <c r="AG883" s="159">
        <f t="shared" si="158"/>
        <v>0</v>
      </c>
      <c r="AH883" s="159">
        <f t="shared" si="159"/>
        <v>0</v>
      </c>
      <c r="AI883" s="159"/>
      <c r="AJ883" s="159">
        <f t="shared" si="160"/>
        <v>0</v>
      </c>
      <c r="AK883" s="159"/>
      <c r="AL883" s="159"/>
      <c r="AM883" s="159"/>
      <c r="AN883" s="164" t="s">
        <v>416</v>
      </c>
      <c r="AO883" s="159">
        <f t="shared" si="161"/>
        <v>74094</v>
      </c>
      <c r="AP883" s="159">
        <f t="shared" si="162"/>
        <v>9395</v>
      </c>
      <c r="AQ883" s="159">
        <f t="shared" si="163"/>
        <v>9806</v>
      </c>
      <c r="AR883" s="159">
        <f t="shared" si="164"/>
        <v>14892</v>
      </c>
      <c r="AS883" s="159">
        <f>((F857-$F857)*(('[1]Lake Pleasant Forecast'!B47-1526.8)/0.7702))/1000</f>
        <v>0</v>
      </c>
      <c r="AT883" s="159">
        <f t="shared" si="165"/>
        <v>108187</v>
      </c>
      <c r="AU883" s="307"/>
      <c r="AW883" s="159">
        <f t="shared" si="154"/>
        <v>9471</v>
      </c>
      <c r="AX883" s="172">
        <v>2.4700000000000002</v>
      </c>
    </row>
    <row r="884" spans="1:50" ht="15.75" customHeight="1" x14ac:dyDescent="0.3">
      <c r="A884" s="365" t="s">
        <v>13</v>
      </c>
      <c r="B884" s="159">
        <f t="shared" ref="B884:Q884" si="170">(B855/$G$10/1.983)</f>
        <v>2897.5647845395538</v>
      </c>
      <c r="C884" s="159">
        <f t="shared" si="170"/>
        <v>2890.65118019293</v>
      </c>
      <c r="D884" s="159">
        <f t="shared" si="170"/>
        <v>2884.1117238462411</v>
      </c>
      <c r="E884" s="159">
        <f t="shared" si="170"/>
        <v>2764.6446407365834</v>
      </c>
      <c r="F884" s="159">
        <f t="shared" si="170"/>
        <v>201.55190083451271</v>
      </c>
      <c r="G884" s="159">
        <f>(G855/$G$10/1.983)</f>
        <v>0</v>
      </c>
      <c r="H884" s="159">
        <f t="shared" si="170"/>
        <v>1939.453093227921</v>
      </c>
      <c r="I884" s="159">
        <f t="shared" si="170"/>
        <v>592.29255120134042</v>
      </c>
      <c r="J884" s="159">
        <f t="shared" si="170"/>
        <v>439.83537488002861</v>
      </c>
      <c r="K884" s="159">
        <f t="shared" si="170"/>
        <v>394.254388105347</v>
      </c>
      <c r="L884" s="159">
        <f t="shared" si="170"/>
        <v>358.79166463325362</v>
      </c>
      <c r="M884" s="159">
        <f t="shared" si="170"/>
        <v>358.10843785076372</v>
      </c>
      <c r="N884" s="159">
        <f t="shared" si="170"/>
        <v>339.59624550615712</v>
      </c>
      <c r="O884" s="159">
        <f t="shared" si="170"/>
        <v>66.793551640557638</v>
      </c>
      <c r="P884" s="159">
        <f t="shared" si="170"/>
        <v>24.05934312625055</v>
      </c>
      <c r="Q884" s="159">
        <f t="shared" si="170"/>
        <v>66.663413205797667</v>
      </c>
      <c r="R884" s="324"/>
      <c r="AC884" s="325" t="s">
        <v>417</v>
      </c>
      <c r="AD884" s="159">
        <f t="shared" si="155"/>
        <v>0</v>
      </c>
      <c r="AE884" s="159">
        <f t="shared" si="156"/>
        <v>0</v>
      </c>
      <c r="AF884" s="159">
        <f t="shared" si="157"/>
        <v>0</v>
      </c>
      <c r="AG884" s="159">
        <f t="shared" si="158"/>
        <v>0</v>
      </c>
      <c r="AH884" s="159">
        <f t="shared" si="159"/>
        <v>0</v>
      </c>
      <c r="AI884" s="159"/>
      <c r="AJ884" s="159">
        <f t="shared" si="160"/>
        <v>0</v>
      </c>
      <c r="AK884" s="159"/>
      <c r="AL884" s="159"/>
      <c r="AM884" s="159"/>
      <c r="AN884" s="164" t="s">
        <v>417</v>
      </c>
      <c r="AO884" s="159">
        <f t="shared" si="161"/>
        <v>64780</v>
      </c>
      <c r="AP884" s="159">
        <f t="shared" si="162"/>
        <v>8218</v>
      </c>
      <c r="AQ884" s="159">
        <f t="shared" si="163"/>
        <v>8581</v>
      </c>
      <c r="AR884" s="159">
        <f t="shared" si="164"/>
        <v>13053</v>
      </c>
      <c r="AS884" s="159">
        <f>((F858-$F858)*(('[1]Lake Pleasant Forecast'!B49-1526.8)/0.7702))/1000</f>
        <v>0</v>
      </c>
      <c r="AT884" s="159">
        <f t="shared" si="165"/>
        <v>94632</v>
      </c>
      <c r="AU884" s="307"/>
      <c r="AW884" s="159"/>
      <c r="AX884" s="172"/>
    </row>
    <row r="885" spans="1:50" ht="15.75" customHeight="1" x14ac:dyDescent="0.3">
      <c r="A885" s="365" t="s">
        <v>14</v>
      </c>
      <c r="B885" s="159">
        <f t="shared" ref="B885:Q885" si="171">(B856/$H$10/1.983)</f>
        <v>1540.3597243234155</v>
      </c>
      <c r="C885" s="159">
        <f t="shared" si="171"/>
        <v>1533.3501428811564</v>
      </c>
      <c r="D885" s="159">
        <f t="shared" si="171"/>
        <v>1526.6935619431838</v>
      </c>
      <c r="E885" s="159">
        <f t="shared" si="171"/>
        <v>1389.0401748192974</v>
      </c>
      <c r="F885" s="159">
        <f t="shared" si="171"/>
        <v>0</v>
      </c>
      <c r="G885" s="159">
        <f t="shared" si="171"/>
        <v>-1893.9821818793075</v>
      </c>
      <c r="H885" s="159">
        <f t="shared" si="171"/>
        <v>2437.7374348630024</v>
      </c>
      <c r="I885" s="159">
        <f t="shared" si="171"/>
        <v>763.28794755421075</v>
      </c>
      <c r="J885" s="159">
        <f t="shared" si="171"/>
        <v>488.75441250630359</v>
      </c>
      <c r="K885" s="159">
        <f t="shared" si="171"/>
        <v>385.67826525466461</v>
      </c>
      <c r="L885" s="159">
        <f t="shared" si="171"/>
        <v>354.8327449991595</v>
      </c>
      <c r="M885" s="159">
        <f t="shared" si="171"/>
        <v>354.09312489494027</v>
      </c>
      <c r="N885" s="159">
        <f t="shared" si="171"/>
        <v>326.34056143889728</v>
      </c>
      <c r="O885" s="159">
        <f t="shared" si="171"/>
        <v>73.793914943688023</v>
      </c>
      <c r="P885" s="159">
        <f t="shared" si="171"/>
        <v>81.812069255337022</v>
      </c>
      <c r="Q885" s="159">
        <f t="shared" si="171"/>
        <v>73.642629013279532</v>
      </c>
      <c r="R885" s="324"/>
      <c r="AC885" s="325" t="s">
        <v>418</v>
      </c>
      <c r="AD885" s="159">
        <f t="shared" si="155"/>
        <v>18572</v>
      </c>
      <c r="AE885" s="159">
        <f t="shared" si="156"/>
        <v>2368</v>
      </c>
      <c r="AF885" s="159">
        <f t="shared" si="157"/>
        <v>2484</v>
      </c>
      <c r="AG885" s="159">
        <f t="shared" si="158"/>
        <v>4250</v>
      </c>
      <c r="AH885" s="159">
        <f t="shared" si="159"/>
        <v>3348.0515190859546</v>
      </c>
      <c r="AI885" s="159"/>
      <c r="AJ885" s="159">
        <f t="shared" si="160"/>
        <v>31022.051519085955</v>
      </c>
      <c r="AK885" s="159"/>
      <c r="AL885" s="159"/>
      <c r="AM885" s="159"/>
      <c r="AN885" s="164" t="s">
        <v>418</v>
      </c>
      <c r="AO885" s="159">
        <f t="shared" si="161"/>
        <v>107032</v>
      </c>
      <c r="AP885" s="159">
        <f t="shared" si="162"/>
        <v>13606</v>
      </c>
      <c r="AQ885" s="159">
        <f t="shared" si="163"/>
        <v>14237</v>
      </c>
      <c r="AR885" s="159">
        <f t="shared" si="164"/>
        <v>23475</v>
      </c>
      <c r="AS885" s="159">
        <f>((F859-$F859)*(('[1]Lake Pleasant Forecast'!B51-1526.8)/0.7702))/1000</f>
        <v>0</v>
      </c>
      <c r="AT885" s="159">
        <f t="shared" si="165"/>
        <v>158350</v>
      </c>
      <c r="AU885" s="307"/>
      <c r="AW885" s="159">
        <f>(SUM(AW872:AW883))</f>
        <v>123847</v>
      </c>
      <c r="AX885" s="172"/>
    </row>
    <row r="886" spans="1:50" ht="15.75" customHeight="1" x14ac:dyDescent="0.3">
      <c r="A886" s="365" t="s">
        <v>16</v>
      </c>
      <c r="B886" s="159">
        <f t="shared" ref="B886:Q886" si="172">(B857/$J$10/1.983)</f>
        <v>1259.4635043027019</v>
      </c>
      <c r="C886" s="159">
        <f t="shared" si="172"/>
        <v>1252.6963056951831</v>
      </c>
      <c r="D886" s="159">
        <f t="shared" si="172"/>
        <v>1246.2869877832545</v>
      </c>
      <c r="E886" s="159">
        <f t="shared" si="172"/>
        <v>1106.1929627641402</v>
      </c>
      <c r="F886" s="159">
        <f t="shared" si="172"/>
        <v>0</v>
      </c>
      <c r="G886" s="159">
        <f t="shared" si="172"/>
        <v>-1951.2143542693541</v>
      </c>
      <c r="H886" s="159">
        <f t="shared" si="172"/>
        <v>2085.452149724269</v>
      </c>
      <c r="I886" s="159">
        <f t="shared" si="172"/>
        <v>813.49535568460954</v>
      </c>
      <c r="J886" s="159">
        <f t="shared" si="172"/>
        <v>462.46319522391946</v>
      </c>
      <c r="K886" s="159">
        <f t="shared" si="172"/>
        <v>412.71777853691862</v>
      </c>
      <c r="L886" s="159">
        <f t="shared" si="172"/>
        <v>357.57161680737886</v>
      </c>
      <c r="M886" s="159">
        <f t="shared" si="172"/>
        <v>356.9371919379239</v>
      </c>
      <c r="N886" s="159">
        <f t="shared" si="172"/>
        <v>322.19022985701037</v>
      </c>
      <c r="O886" s="159">
        <f t="shared" si="172"/>
        <v>59.440730076619005</v>
      </c>
      <c r="P886" s="159">
        <f t="shared" si="172"/>
        <v>79.85619702959022</v>
      </c>
      <c r="Q886" s="159">
        <f t="shared" si="172"/>
        <v>59.278057033169027</v>
      </c>
      <c r="R886" s="324"/>
      <c r="AC886" s="325" t="s">
        <v>419</v>
      </c>
      <c r="AD886" s="159">
        <f t="shared" si="155"/>
        <v>38291</v>
      </c>
      <c r="AE886" s="159">
        <f t="shared" si="156"/>
        <v>4881</v>
      </c>
      <c r="AF886" s="159">
        <f t="shared" si="157"/>
        <v>5121</v>
      </c>
      <c r="AG886" s="159">
        <f t="shared" si="158"/>
        <v>8762</v>
      </c>
      <c r="AH886" s="159">
        <f t="shared" si="159"/>
        <v>7245.3053362762812</v>
      </c>
      <c r="AI886" s="159"/>
      <c r="AJ886" s="159">
        <f t="shared" si="160"/>
        <v>64300.30533627628</v>
      </c>
      <c r="AK886" s="159"/>
      <c r="AL886" s="159"/>
      <c r="AM886" s="159"/>
      <c r="AN886" s="164" t="s">
        <v>419</v>
      </c>
      <c r="AO886" s="159">
        <f t="shared" si="161"/>
        <v>89409</v>
      </c>
      <c r="AP886" s="159">
        <f t="shared" si="162"/>
        <v>11363</v>
      </c>
      <c r="AQ886" s="159">
        <f t="shared" si="163"/>
        <v>11887</v>
      </c>
      <c r="AR886" s="159">
        <f t="shared" si="164"/>
        <v>19763</v>
      </c>
      <c r="AS886" s="159">
        <f>((F860-$F860)*(('[1]Lake Pleasant Forecast'!B53-1526.8)/0.7702))/1000</f>
        <v>0</v>
      </c>
      <c r="AT886" s="159">
        <f t="shared" si="165"/>
        <v>132422</v>
      </c>
      <c r="AU886" s="307"/>
    </row>
    <row r="887" spans="1:50" ht="15.75" customHeight="1" x14ac:dyDescent="0.3">
      <c r="A887" s="365" t="s">
        <v>17</v>
      </c>
      <c r="B887" s="159">
        <f t="shared" ref="B887:Q887" si="173">(B858/$K$10/1.983)</f>
        <v>1101.1500984171912</v>
      </c>
      <c r="C887" s="159">
        <f t="shared" si="173"/>
        <v>1095.7168187659622</v>
      </c>
      <c r="D887" s="159">
        <f t="shared" si="173"/>
        <v>1090.5438159842531</v>
      </c>
      <c r="E887" s="159">
        <f t="shared" si="173"/>
        <v>969.54760626616553</v>
      </c>
      <c r="F887" s="159">
        <f t="shared" si="173"/>
        <v>0</v>
      </c>
      <c r="G887" s="159">
        <f t="shared" si="173"/>
        <v>-1427.2282140126558</v>
      </c>
      <c r="H887" s="159">
        <f t="shared" si="173"/>
        <v>1576.2529891171732</v>
      </c>
      <c r="I887" s="159">
        <f t="shared" si="173"/>
        <v>584.89092772436675</v>
      </c>
      <c r="J887" s="159">
        <f t="shared" si="173"/>
        <v>410.92837505896898</v>
      </c>
      <c r="K887" s="159">
        <f t="shared" si="173"/>
        <v>352.75649472125974</v>
      </c>
      <c r="L887" s="159">
        <f t="shared" si="173"/>
        <v>327.65604411692937</v>
      </c>
      <c r="M887" s="159">
        <f t="shared" si="173"/>
        <v>327.07042116050951</v>
      </c>
      <c r="N887" s="159">
        <f t="shared" si="173"/>
        <v>292.69760707953083</v>
      </c>
      <c r="O887" s="159">
        <f t="shared" si="173"/>
        <v>34.974704341743532</v>
      </c>
      <c r="P887" s="159">
        <f t="shared" si="173"/>
        <v>77.481170595220661</v>
      </c>
      <c r="Q887" s="159">
        <f t="shared" si="173"/>
        <v>34.877100515673547</v>
      </c>
      <c r="R887" s="324"/>
      <c r="AC887" s="325" t="s">
        <v>420</v>
      </c>
      <c r="AD887" s="159">
        <f t="shared" si="155"/>
        <v>71516</v>
      </c>
      <c r="AE887" s="159">
        <f t="shared" si="156"/>
        <v>9117</v>
      </c>
      <c r="AF887" s="159">
        <f t="shared" si="157"/>
        <v>9565</v>
      </c>
      <c r="AG887" s="159">
        <f t="shared" si="158"/>
        <v>16366</v>
      </c>
      <c r="AH887" s="159">
        <f t="shared" si="159"/>
        <v>14312.223824980523</v>
      </c>
      <c r="AI887" s="159"/>
      <c r="AJ887" s="159">
        <f t="shared" si="160"/>
        <v>120876.22382498052</v>
      </c>
      <c r="AK887" s="159"/>
      <c r="AL887" s="159"/>
      <c r="AM887" s="159"/>
      <c r="AN887" s="164" t="s">
        <v>420</v>
      </c>
      <c r="AO887" s="159">
        <f t="shared" si="161"/>
        <v>60947</v>
      </c>
      <c r="AP887" s="159">
        <f t="shared" si="162"/>
        <v>7741</v>
      </c>
      <c r="AQ887" s="159">
        <f t="shared" si="163"/>
        <v>8093</v>
      </c>
      <c r="AR887" s="159">
        <f t="shared" si="164"/>
        <v>13622</v>
      </c>
      <c r="AS887" s="159">
        <f>((F861-$F861)*(('[1]Lake Pleasant Forecast'!B55-1526.8)/0.7702))/1000</f>
        <v>0</v>
      </c>
      <c r="AT887" s="159">
        <f t="shared" si="165"/>
        <v>90403</v>
      </c>
      <c r="AU887" s="307"/>
    </row>
    <row r="888" spans="1:50" ht="15.75" customHeight="1" x14ac:dyDescent="0.3">
      <c r="A888" s="365" t="s">
        <v>18</v>
      </c>
      <c r="B888" s="159">
        <f t="shared" ref="B888:Q888" si="174">(B859/$L$10/1.983)</f>
        <v>2206.2027231467468</v>
      </c>
      <c r="C888" s="159">
        <f t="shared" si="174"/>
        <v>2200.8909060346277</v>
      </c>
      <c r="D888" s="159">
        <f t="shared" si="174"/>
        <v>2195.8312321398553</v>
      </c>
      <c r="E888" s="159">
        <f t="shared" si="174"/>
        <v>2128.0215162212135</v>
      </c>
      <c r="F888" s="159">
        <f t="shared" si="174"/>
        <v>326.20608505631196</v>
      </c>
      <c r="G888" s="159">
        <f t="shared" si="174"/>
        <v>-378.14758782988736</v>
      </c>
      <c r="H888" s="159">
        <f t="shared" si="174"/>
        <v>1346.5960665658095</v>
      </c>
      <c r="I888" s="159">
        <f t="shared" si="174"/>
        <v>561.52294503277858</v>
      </c>
      <c r="J888" s="159">
        <f t="shared" si="174"/>
        <v>436.49352832408806</v>
      </c>
      <c r="K888" s="159">
        <f t="shared" si="174"/>
        <v>385.54378887207929</v>
      </c>
      <c r="L888" s="159">
        <f t="shared" si="174"/>
        <v>319.76802824004034</v>
      </c>
      <c r="M888" s="159">
        <f t="shared" si="174"/>
        <v>319.1965036140528</v>
      </c>
      <c r="N888" s="159">
        <f t="shared" si="174"/>
        <v>289.51084215834595</v>
      </c>
      <c r="O888" s="159">
        <f t="shared" si="174"/>
        <v>81.106068246764167</v>
      </c>
      <c r="P888" s="159">
        <f t="shared" si="174"/>
        <v>56.816271642292818</v>
      </c>
      <c r="Q888" s="159">
        <f t="shared" si="174"/>
        <v>81.005210959825177</v>
      </c>
      <c r="R888" s="324"/>
      <c r="AC888" s="325" t="s">
        <v>421</v>
      </c>
      <c r="AD888" s="159">
        <f t="shared" si="155"/>
        <v>50136</v>
      </c>
      <c r="AE888" s="159">
        <f t="shared" si="156"/>
        <v>6391</v>
      </c>
      <c r="AF888" s="159">
        <f t="shared" si="157"/>
        <v>6706</v>
      </c>
      <c r="AG888" s="159">
        <f t="shared" si="158"/>
        <v>11473</v>
      </c>
      <c r="AH888" s="159">
        <f t="shared" si="159"/>
        <v>10218.635795801449</v>
      </c>
      <c r="AI888" s="159"/>
      <c r="AJ888" s="159">
        <f t="shared" si="160"/>
        <v>84924.635795801441</v>
      </c>
      <c r="AK888" s="159"/>
      <c r="AL888" s="159"/>
      <c r="AM888" s="159"/>
      <c r="AN888" s="164" t="s">
        <v>421</v>
      </c>
      <c r="AO888" s="159">
        <f t="shared" si="161"/>
        <v>62017</v>
      </c>
      <c r="AP888" s="159">
        <f t="shared" si="162"/>
        <v>7883</v>
      </c>
      <c r="AQ888" s="159">
        <f t="shared" si="163"/>
        <v>8248</v>
      </c>
      <c r="AR888" s="159">
        <f t="shared" si="164"/>
        <v>13818</v>
      </c>
      <c r="AS888" s="159">
        <f>((F862-$F862)*(('[1]Lake Pleasant Forecast'!B57-1526.8)/0.7702))/1000</f>
        <v>0</v>
      </c>
      <c r="AT888" s="159">
        <f t="shared" si="165"/>
        <v>91966</v>
      </c>
      <c r="AU888" s="307"/>
    </row>
    <row r="889" spans="1:50" ht="15.75" customHeight="1" x14ac:dyDescent="0.3">
      <c r="A889" s="365" t="s">
        <v>20</v>
      </c>
      <c r="B889" s="159">
        <f t="shared" ref="B889:Q889" si="175">(B860/$N$10/1.983)</f>
        <v>2170.660289883363</v>
      </c>
      <c r="C889" s="159">
        <f t="shared" si="175"/>
        <v>2166.024108145039</v>
      </c>
      <c r="D889" s="159">
        <f t="shared" si="175"/>
        <v>2161.5994013631998</v>
      </c>
      <c r="E889" s="159">
        <f t="shared" si="175"/>
        <v>2118.865192848893</v>
      </c>
      <c r="F889" s="159">
        <f t="shared" si="175"/>
        <v>650.87111414767458</v>
      </c>
      <c r="G889" s="159">
        <f t="shared" si="175"/>
        <v>-18.951409561921491</v>
      </c>
      <c r="H889" s="159">
        <f t="shared" si="175"/>
        <v>850.08052315650775</v>
      </c>
      <c r="I889" s="159">
        <f t="shared" si="175"/>
        <v>179.90011875132171</v>
      </c>
      <c r="J889" s="159">
        <f t="shared" si="175"/>
        <v>133.73350902022025</v>
      </c>
      <c r="K889" s="159">
        <f t="shared" si="175"/>
        <v>128.59304084720119</v>
      </c>
      <c r="L889" s="159">
        <f t="shared" si="175"/>
        <v>103.59019406894082</v>
      </c>
      <c r="M889" s="159">
        <f t="shared" si="175"/>
        <v>103.11844224293591</v>
      </c>
      <c r="N889" s="159">
        <f t="shared" si="175"/>
        <v>91.568656157988059</v>
      </c>
      <c r="O889" s="159">
        <f t="shared" si="175"/>
        <v>30.240918777349403</v>
      </c>
      <c r="P889" s="159">
        <f t="shared" si="175"/>
        <v>0</v>
      </c>
      <c r="Q889" s="159">
        <f t="shared" si="175"/>
        <v>30.159582255624418</v>
      </c>
      <c r="R889" s="324"/>
      <c r="AC889" s="323"/>
      <c r="AD889" s="159"/>
      <c r="AE889" s="159"/>
      <c r="AF889" s="159"/>
      <c r="AG889" s="159"/>
      <c r="AH889" s="159"/>
      <c r="AI889" s="159"/>
      <c r="AJ889" s="159"/>
      <c r="AK889" s="159"/>
      <c r="AL889" s="159"/>
      <c r="AM889" s="159"/>
      <c r="AN889" s="159"/>
      <c r="AO889" s="159"/>
      <c r="AP889" s="159"/>
      <c r="AQ889" s="159"/>
      <c r="AR889" s="159"/>
      <c r="AS889" s="159"/>
      <c r="AT889" s="159"/>
      <c r="AU889" s="307"/>
    </row>
    <row r="890" spans="1:50" ht="15.75" customHeight="1" thickBot="1" x14ac:dyDescent="0.35">
      <c r="A890" s="365" t="s">
        <v>21</v>
      </c>
      <c r="B890" s="159">
        <f t="shared" ref="B890:Q890" si="176">(B861/$O$10/1.983)</f>
        <v>2326.6767523953604</v>
      </c>
      <c r="C890" s="159">
        <f t="shared" si="176"/>
        <v>2322.7265086569168</v>
      </c>
      <c r="D890" s="159">
        <f t="shared" si="176"/>
        <v>2318.9275508488822</v>
      </c>
      <c r="E890" s="159">
        <f t="shared" si="176"/>
        <v>2301.7650025214321</v>
      </c>
      <c r="F890" s="159">
        <f t="shared" si="176"/>
        <v>1256.1606992771895</v>
      </c>
      <c r="G890" s="159">
        <f t="shared" si="176"/>
        <v>0</v>
      </c>
      <c r="H890" s="159">
        <f t="shared" si="176"/>
        <v>543.70482434022529</v>
      </c>
      <c r="I890" s="159">
        <f t="shared" si="176"/>
        <v>201.59690704320053</v>
      </c>
      <c r="J890" s="159">
        <f t="shared" si="176"/>
        <v>174.78567826525466</v>
      </c>
      <c r="K890" s="159">
        <f t="shared" si="176"/>
        <v>173.62581946545637</v>
      </c>
      <c r="L890" s="159">
        <f t="shared" si="176"/>
        <v>120.64212472684484</v>
      </c>
      <c r="M890" s="159">
        <f t="shared" si="176"/>
        <v>120.25550512691208</v>
      </c>
      <c r="N890" s="159">
        <f t="shared" si="176"/>
        <v>119.53269457051604</v>
      </c>
      <c r="O890" s="159">
        <f t="shared" si="176"/>
        <v>19.616742309631871</v>
      </c>
      <c r="P890" s="159">
        <f t="shared" si="176"/>
        <v>0</v>
      </c>
      <c r="Q890" s="159">
        <f t="shared" si="176"/>
        <v>19.56631366616238</v>
      </c>
      <c r="R890" s="324"/>
      <c r="AC890" s="330" t="s">
        <v>422</v>
      </c>
      <c r="AD890" s="327">
        <f>SUM(AD877:AD888)</f>
        <v>356818</v>
      </c>
      <c r="AE890" s="327">
        <f>SUM(AE877:AE888)</f>
        <v>45487</v>
      </c>
      <c r="AF890" s="327">
        <f>SUM(AF877:AF888)</f>
        <v>47725</v>
      </c>
      <c r="AG890" s="327">
        <f>SUM(AG877:AG888)</f>
        <v>81654</v>
      </c>
      <c r="AH890" s="327">
        <f>SUM(AH877:AH888)</f>
        <v>75110.073163843714</v>
      </c>
      <c r="AI890" s="327"/>
      <c r="AJ890" s="327">
        <f>SUM(AJ877:AJ888)</f>
        <v>606794.07316384371</v>
      </c>
      <c r="AK890" s="327"/>
      <c r="AL890" s="327"/>
      <c r="AM890" s="327"/>
      <c r="AN890" s="335" t="s">
        <v>422</v>
      </c>
      <c r="AO890" s="327">
        <f t="shared" ref="AO890:AT890" si="177">SUM(AO877:AO888)</f>
        <v>1070038</v>
      </c>
      <c r="AP890" s="327">
        <f t="shared" si="177"/>
        <v>135983</v>
      </c>
      <c r="AQ890" s="327">
        <f t="shared" si="177"/>
        <v>142243</v>
      </c>
      <c r="AR890" s="327">
        <f t="shared" si="177"/>
        <v>230844</v>
      </c>
      <c r="AS890" s="327">
        <f t="shared" si="177"/>
        <v>0</v>
      </c>
      <c r="AT890" s="327">
        <f t="shared" si="177"/>
        <v>1579108</v>
      </c>
      <c r="AU890" s="313"/>
    </row>
    <row r="891" spans="1:50" ht="15.75" customHeight="1" thickBot="1" x14ac:dyDescent="0.35">
      <c r="A891" s="369" t="s">
        <v>22</v>
      </c>
      <c r="B891" s="327">
        <f t="shared" ref="B891:Q891" si="178">(B862/$P$10/1.983)</f>
        <v>1906.4141981032324</v>
      </c>
      <c r="C891" s="327">
        <f t="shared" si="178"/>
        <v>1903.3884794950627</v>
      </c>
      <c r="D891" s="327">
        <f t="shared" si="178"/>
        <v>1900.4766320173082</v>
      </c>
      <c r="E891" s="327">
        <f t="shared" si="178"/>
        <v>1878.6621768906673</v>
      </c>
      <c r="F891" s="327">
        <f t="shared" si="178"/>
        <v>852.22780733004731</v>
      </c>
      <c r="G891" s="327">
        <f t="shared" si="178"/>
        <v>0</v>
      </c>
      <c r="H891" s="327">
        <f t="shared" si="178"/>
        <v>680.42880614253409</v>
      </c>
      <c r="I891" s="327">
        <f t="shared" si="178"/>
        <v>259.90272152001688</v>
      </c>
      <c r="J891" s="327">
        <f t="shared" si="178"/>
        <v>241.87854830576023</v>
      </c>
      <c r="K891" s="327">
        <f t="shared" si="178"/>
        <v>241.19532152327037</v>
      </c>
      <c r="L891" s="327">
        <f t="shared" si="178"/>
        <v>232.86646169863189</v>
      </c>
      <c r="M891" s="327">
        <f t="shared" si="178"/>
        <v>232.55738291607699</v>
      </c>
      <c r="N891" s="327">
        <f t="shared" si="178"/>
        <v>229.25512013404258</v>
      </c>
      <c r="O891" s="327">
        <f t="shared" si="178"/>
        <v>71.95028711792169</v>
      </c>
      <c r="P891" s="327">
        <f t="shared" si="178"/>
        <v>0</v>
      </c>
      <c r="Q891" s="327">
        <f t="shared" si="178"/>
        <v>71.917752509231704</v>
      </c>
      <c r="R891" s="328"/>
    </row>
    <row r="892" spans="1:50" ht="15.75" customHeight="1" x14ac:dyDescent="0.3">
      <c r="R892" s="319"/>
      <c r="AC892" s="370"/>
      <c r="AD892" s="506" t="s">
        <v>1028</v>
      </c>
      <c r="AE892" s="517"/>
      <c r="AF892" s="517"/>
      <c r="AG892" s="517"/>
      <c r="AH892" s="517"/>
      <c r="AI892" s="517"/>
      <c r="AJ892" s="517"/>
      <c r="AK892" s="517"/>
      <c r="AL892" s="517"/>
      <c r="AM892" s="517"/>
      <c r="AN892" s="517"/>
      <c r="AO892" s="517"/>
      <c r="AP892" s="517"/>
      <c r="AQ892" s="517"/>
      <c r="AR892" s="361" t="str">
        <f>$Q$1</f>
        <v xml:space="preserve">PRINTED:  </v>
      </c>
      <c r="AS892" s="371">
        <f ca="1">$R$1</f>
        <v>44909.46975358796</v>
      </c>
    </row>
    <row r="893" spans="1:50" ht="15.75" customHeight="1" x14ac:dyDescent="0.3">
      <c r="R893" s="159"/>
      <c r="AC893" s="306"/>
      <c r="AD893" s="503" t="str">
        <f>+$A$8</f>
        <v>Revised:  2/23/2017</v>
      </c>
      <c r="AE893" s="516"/>
      <c r="AF893" s="516"/>
      <c r="AG893" s="516"/>
      <c r="AH893" s="516"/>
      <c r="AI893" s="516"/>
      <c r="AJ893" s="516"/>
      <c r="AK893" s="516"/>
      <c r="AL893" s="516"/>
      <c r="AM893" s="516"/>
      <c r="AN893" s="516"/>
      <c r="AO893" s="516"/>
      <c r="AP893" s="516"/>
      <c r="AQ893" s="516"/>
      <c r="AR893" s="365"/>
      <c r="AS893" s="307"/>
    </row>
    <row r="894" spans="1:50" ht="15.75" customHeight="1" x14ac:dyDescent="0.3">
      <c r="A894" s="365"/>
      <c r="AC894" s="306"/>
      <c r="AD894" s="503" t="s">
        <v>1024</v>
      </c>
      <c r="AE894" s="508"/>
      <c r="AF894" s="508"/>
      <c r="AG894" s="508"/>
      <c r="AH894" s="508"/>
      <c r="AI894" s="508"/>
      <c r="AJ894" s="508"/>
      <c r="AK894" s="508"/>
      <c r="AL894" s="508"/>
      <c r="AM894" s="508"/>
      <c r="AN894" s="508"/>
      <c r="AO894" s="508"/>
      <c r="AP894" s="508"/>
      <c r="AQ894" s="508"/>
      <c r="AS894" s="307"/>
    </row>
    <row r="895" spans="1:50" ht="15.75" customHeight="1" x14ac:dyDescent="0.3">
      <c r="A895" s="365"/>
      <c r="AC895" s="306"/>
      <c r="AS895" s="307"/>
    </row>
    <row r="896" spans="1:50" ht="15.75" customHeight="1" thickBot="1" x14ac:dyDescent="0.35">
      <c r="A896" s="365"/>
      <c r="AC896" s="306"/>
      <c r="AD896" s="509">
        <f>$A$5</f>
        <v>2016</v>
      </c>
      <c r="AE896" s="508"/>
      <c r="AF896" s="508"/>
      <c r="AG896" s="508"/>
      <c r="AH896" s="508"/>
      <c r="AI896" s="508"/>
      <c r="AJ896" s="508"/>
      <c r="AK896" s="508"/>
      <c r="AL896" s="508"/>
      <c r="AM896" s="508"/>
      <c r="AN896" s="508"/>
      <c r="AO896" s="508"/>
      <c r="AP896" s="508"/>
      <c r="AQ896" s="508"/>
      <c r="AS896" s="307"/>
    </row>
    <row r="897" spans="1:48" ht="15.75" customHeight="1" x14ac:dyDescent="0.3">
      <c r="A897" s="363"/>
      <c r="B897" s="506" t="s">
        <v>456</v>
      </c>
      <c r="C897" s="506"/>
      <c r="D897" s="506"/>
      <c r="E897" s="506"/>
      <c r="F897" s="506"/>
      <c r="G897" s="506"/>
      <c r="H897" s="506"/>
      <c r="I897" s="506"/>
      <c r="J897" s="506"/>
      <c r="K897" s="506"/>
      <c r="L897" s="506"/>
      <c r="M897" s="506"/>
      <c r="N897" s="506"/>
      <c r="O897" s="506"/>
      <c r="P897" s="506"/>
      <c r="Q897" s="361" t="str">
        <f>+Q1</f>
        <v xml:space="preserve">PRINTED:  </v>
      </c>
      <c r="R897" s="362">
        <f ca="1">+R1</f>
        <v>44909.46975358796</v>
      </c>
      <c r="AC897" s="306"/>
      <c r="AD897" s="503" t="s">
        <v>1029</v>
      </c>
      <c r="AE897" s="516"/>
      <c r="AF897" s="516"/>
      <c r="AG897" s="516"/>
      <c r="AH897" s="516"/>
      <c r="AI897" s="516"/>
      <c r="AJ897" s="516"/>
      <c r="AK897" s="516"/>
      <c r="AL897" s="516"/>
      <c r="AM897" s="516"/>
      <c r="AN897" s="516"/>
      <c r="AO897" s="516"/>
      <c r="AP897" s="516"/>
      <c r="AQ897" s="516"/>
      <c r="AR897" s="164"/>
      <c r="AS897" s="307"/>
    </row>
    <row r="898" spans="1:48" ht="16.5" customHeight="1" x14ac:dyDescent="0.3">
      <c r="A898" s="325"/>
      <c r="B898" s="503" t="str">
        <f>+A8</f>
        <v>Revised:  2/23/2017</v>
      </c>
      <c r="C898" s="503"/>
      <c r="D898" s="503"/>
      <c r="E898" s="503"/>
      <c r="F898" s="503"/>
      <c r="G898" s="503"/>
      <c r="H898" s="503"/>
      <c r="I898" s="503"/>
      <c r="J898" s="503"/>
      <c r="K898" s="503"/>
      <c r="L898" s="503"/>
      <c r="M898" s="503"/>
      <c r="N898" s="503"/>
      <c r="O898" s="503"/>
      <c r="P898" s="503"/>
      <c r="Q898" s="159"/>
      <c r="R898" s="324"/>
      <c r="AC898" s="306"/>
      <c r="AK898" s="372"/>
      <c r="AS898" s="307"/>
    </row>
    <row r="899" spans="1:48" ht="15.75" customHeight="1" thickBot="1" x14ac:dyDescent="0.35">
      <c r="A899" s="325"/>
      <c r="B899" s="503" t="s">
        <v>1024</v>
      </c>
      <c r="C899" s="503"/>
      <c r="D899" s="503"/>
      <c r="E899" s="503"/>
      <c r="F899" s="503"/>
      <c r="G899" s="503"/>
      <c r="H899" s="503"/>
      <c r="I899" s="503"/>
      <c r="J899" s="503"/>
      <c r="K899" s="503"/>
      <c r="L899" s="503"/>
      <c r="M899" s="503"/>
      <c r="N899" s="503"/>
      <c r="O899" s="503"/>
      <c r="P899" s="503"/>
      <c r="Q899" s="159"/>
      <c r="R899" s="324"/>
      <c r="AC899" s="306"/>
      <c r="AD899" s="364" t="s">
        <v>390</v>
      </c>
      <c r="AE899" s="364" t="s">
        <v>391</v>
      </c>
      <c r="AF899" s="364" t="s">
        <v>392</v>
      </c>
      <c r="AG899" s="364" t="s">
        <v>393</v>
      </c>
      <c r="AH899" s="364" t="s">
        <v>394</v>
      </c>
      <c r="AI899" s="364" t="s">
        <v>395</v>
      </c>
      <c r="AJ899" s="364" t="s">
        <v>396</v>
      </c>
      <c r="AK899" s="364" t="s">
        <v>397</v>
      </c>
      <c r="AL899" s="364" t="s">
        <v>398</v>
      </c>
      <c r="AM899" s="364" t="s">
        <v>399</v>
      </c>
      <c r="AN899" s="364" t="s">
        <v>400</v>
      </c>
      <c r="AO899" s="364" t="s">
        <v>401</v>
      </c>
      <c r="AP899" s="364" t="s">
        <v>402</v>
      </c>
      <c r="AQ899" s="364" t="s">
        <v>403</v>
      </c>
      <c r="AR899" s="364" t="s">
        <v>404</v>
      </c>
      <c r="AS899" s="373" t="s">
        <v>422</v>
      </c>
    </row>
    <row r="900" spans="1:48" ht="15.75" customHeight="1" x14ac:dyDescent="0.3">
      <c r="A900" s="325"/>
      <c r="B900" s="159"/>
      <c r="C900" s="159"/>
      <c r="D900" s="159"/>
      <c r="E900" s="159"/>
      <c r="F900" s="159"/>
      <c r="G900" s="159"/>
      <c r="H900" s="159"/>
      <c r="I900" s="159"/>
      <c r="J900" s="159"/>
      <c r="K900" s="159"/>
      <c r="L900" s="159"/>
      <c r="M900" s="159"/>
      <c r="N900" s="159"/>
      <c r="O900" s="159"/>
      <c r="P900" s="159"/>
      <c r="Q900" s="159"/>
      <c r="R900" s="324"/>
      <c r="AC900" s="306"/>
      <c r="AD900" s="159"/>
      <c r="AE900" s="159"/>
      <c r="AF900" s="159"/>
      <c r="AG900" s="159"/>
      <c r="AH900" s="164" t="s">
        <v>1030</v>
      </c>
      <c r="AI900" s="159"/>
      <c r="AJ900" s="159"/>
      <c r="AK900" s="159"/>
      <c r="AL900" s="159"/>
      <c r="AM900" s="159"/>
      <c r="AN900" s="159"/>
      <c r="AO900" s="159"/>
      <c r="AP900" s="159"/>
      <c r="AQ900" s="159"/>
      <c r="AR900" s="159"/>
      <c r="AS900" s="374"/>
    </row>
    <row r="901" spans="1:48" ht="15.75" customHeight="1" x14ac:dyDescent="0.3">
      <c r="A901" s="325"/>
      <c r="B901" s="509">
        <f>A5</f>
        <v>2016</v>
      </c>
      <c r="C901" s="509"/>
      <c r="D901" s="509"/>
      <c r="E901" s="509"/>
      <c r="F901" s="509"/>
      <c r="G901" s="509"/>
      <c r="H901" s="509"/>
      <c r="I901" s="509"/>
      <c r="J901" s="509"/>
      <c r="K901" s="509"/>
      <c r="L901" s="509"/>
      <c r="M901" s="509"/>
      <c r="N901" s="509"/>
      <c r="O901" s="509"/>
      <c r="P901" s="509"/>
      <c r="Q901" s="159"/>
      <c r="R901" s="324"/>
      <c r="S901" s="159"/>
      <c r="AC901" s="375" t="s">
        <v>1031</v>
      </c>
      <c r="AD901" s="376">
        <v>1.7000000000000001E-2</v>
      </c>
      <c r="AE901" s="376">
        <v>1.7000000000000001E-2</v>
      </c>
      <c r="AF901" s="376">
        <v>1.7000000000000001E-2</v>
      </c>
      <c r="AG901" s="376">
        <v>1.7000000000000001E-2</v>
      </c>
      <c r="AH901" s="376"/>
      <c r="AI901" s="376"/>
      <c r="AJ901" s="376"/>
      <c r="AK901" s="376"/>
      <c r="AL901" s="376"/>
      <c r="AM901" s="376"/>
      <c r="AN901" s="376"/>
      <c r="AO901" s="376"/>
      <c r="AP901" s="376"/>
      <c r="AQ901" s="376"/>
      <c r="AR901" s="376"/>
      <c r="AS901" s="377"/>
    </row>
    <row r="902" spans="1:48" ht="15.75" customHeight="1" x14ac:dyDescent="0.3">
      <c r="A902" s="325"/>
      <c r="B902" s="503" t="s">
        <v>1029</v>
      </c>
      <c r="C902" s="503"/>
      <c r="D902" s="503"/>
      <c r="E902" s="503"/>
      <c r="F902" s="503"/>
      <c r="G902" s="503"/>
      <c r="H902" s="503"/>
      <c r="I902" s="503"/>
      <c r="J902" s="503"/>
      <c r="K902" s="503"/>
      <c r="L902" s="503"/>
      <c r="M902" s="503"/>
      <c r="N902" s="503"/>
      <c r="O902" s="503"/>
      <c r="P902" s="503"/>
      <c r="Q902" s="159"/>
      <c r="R902" s="324"/>
      <c r="S902" s="159"/>
      <c r="AC902" s="375" t="s">
        <v>1032</v>
      </c>
      <c r="AD902" s="376"/>
      <c r="AE902" s="376">
        <v>0.03</v>
      </c>
      <c r="AF902" s="376"/>
      <c r="AG902" s="376"/>
      <c r="AH902" s="376"/>
      <c r="AI902" s="376"/>
      <c r="AJ902" s="376"/>
      <c r="AK902" s="376"/>
      <c r="AL902" s="376"/>
      <c r="AM902" s="376">
        <v>0.03</v>
      </c>
      <c r="AN902" s="376">
        <v>0.03</v>
      </c>
      <c r="AO902" s="376">
        <v>0.03</v>
      </c>
      <c r="AP902" s="376">
        <v>0.03</v>
      </c>
      <c r="AQ902" s="376">
        <v>0.03</v>
      </c>
      <c r="AR902" s="376">
        <v>0.03</v>
      </c>
      <c r="AS902" s="377"/>
    </row>
    <row r="903" spans="1:48" ht="15.75" customHeight="1" x14ac:dyDescent="0.3">
      <c r="A903" s="325"/>
      <c r="B903" s="159"/>
      <c r="C903" s="159"/>
      <c r="D903" s="159"/>
      <c r="E903" s="159"/>
      <c r="F903" s="159"/>
      <c r="G903" s="159"/>
      <c r="H903" s="159"/>
      <c r="I903" s="159"/>
      <c r="J903" s="159"/>
      <c r="K903" s="159"/>
      <c r="L903" s="159"/>
      <c r="M903" s="159"/>
      <c r="N903" s="159"/>
      <c r="O903" s="159"/>
      <c r="P903" s="159"/>
      <c r="Q903" s="159"/>
      <c r="R903" s="324"/>
      <c r="S903" s="159"/>
      <c r="AC903" s="375" t="s">
        <v>1033</v>
      </c>
      <c r="AD903" s="376"/>
      <c r="AE903" s="376"/>
      <c r="AF903" s="376">
        <v>0.03</v>
      </c>
      <c r="AG903" s="376">
        <v>0.03</v>
      </c>
      <c r="AH903" s="376"/>
      <c r="AI903" s="376"/>
      <c r="AJ903" s="376"/>
      <c r="AK903" s="376"/>
      <c r="AL903" s="376"/>
      <c r="AM903" s="376"/>
      <c r="AN903" s="376"/>
      <c r="AO903" s="376"/>
      <c r="AP903" s="376"/>
      <c r="AQ903" s="376"/>
      <c r="AR903" s="376"/>
      <c r="AS903" s="377"/>
    </row>
    <row r="904" spans="1:48" ht="15.75" customHeight="1" thickBot="1" x14ac:dyDescent="0.35">
      <c r="A904" s="325" t="s">
        <v>433</v>
      </c>
      <c r="B904" s="364" t="s">
        <v>390</v>
      </c>
      <c r="C904" s="364" t="s">
        <v>391</v>
      </c>
      <c r="D904" s="364" t="s">
        <v>392</v>
      </c>
      <c r="E904" s="364" t="s">
        <v>393</v>
      </c>
      <c r="F904" s="364" t="s">
        <v>394</v>
      </c>
      <c r="G904" s="364" t="s">
        <v>394</v>
      </c>
      <c r="H904" s="364" t="s">
        <v>395</v>
      </c>
      <c r="I904" s="364" t="s">
        <v>396</v>
      </c>
      <c r="J904" s="364" t="s">
        <v>397</v>
      </c>
      <c r="K904" s="364" t="s">
        <v>398</v>
      </c>
      <c r="L904" s="364" t="s">
        <v>399</v>
      </c>
      <c r="M904" s="364" t="s">
        <v>400</v>
      </c>
      <c r="N904" s="364" t="s">
        <v>401</v>
      </c>
      <c r="O904" s="364" t="s">
        <v>402</v>
      </c>
      <c r="P904" s="364" t="s">
        <v>403</v>
      </c>
      <c r="Q904" s="364" t="s">
        <v>404</v>
      </c>
      <c r="R904" s="373" t="s">
        <v>422</v>
      </c>
      <c r="S904" s="164"/>
      <c r="AC904" s="375" t="s">
        <v>822</v>
      </c>
      <c r="AD904" s="376"/>
      <c r="AE904" s="376"/>
      <c r="AF904" s="376"/>
      <c r="AG904" s="376"/>
      <c r="AH904" s="376"/>
      <c r="AI904" s="376">
        <v>0.03</v>
      </c>
      <c r="AJ904" s="376"/>
      <c r="AK904" s="376"/>
      <c r="AL904" s="376"/>
      <c r="AM904" s="376"/>
      <c r="AN904" s="376"/>
      <c r="AO904" s="376"/>
      <c r="AP904" s="376"/>
      <c r="AQ904" s="376"/>
      <c r="AR904" s="376"/>
      <c r="AS904" s="377"/>
    </row>
    <row r="905" spans="1:48" ht="15.75" customHeight="1" x14ac:dyDescent="0.3">
      <c r="A905" s="325"/>
      <c r="B905" s="159"/>
      <c r="C905" s="159"/>
      <c r="D905" s="159"/>
      <c r="E905" s="159"/>
      <c r="F905" s="164" t="s">
        <v>406</v>
      </c>
      <c r="G905" s="164" t="s">
        <v>407</v>
      </c>
      <c r="H905" s="159"/>
      <c r="I905" s="159"/>
      <c r="J905" s="159"/>
      <c r="K905" s="159"/>
      <c r="L905" s="159"/>
      <c r="M905" s="159"/>
      <c r="N905" s="159"/>
      <c r="O905" s="159"/>
      <c r="P905" s="159"/>
      <c r="Q905" s="159"/>
      <c r="R905" s="377" t="s">
        <v>458</v>
      </c>
      <c r="S905" s="164"/>
      <c r="AC905" s="375" t="s">
        <v>1034</v>
      </c>
      <c r="AD905" s="376">
        <v>0.03</v>
      </c>
      <c r="AE905" s="376"/>
      <c r="AF905" s="376"/>
      <c r="AG905" s="376"/>
      <c r="AH905" s="376"/>
      <c r="AI905" s="376"/>
      <c r="AJ905" s="376">
        <v>0.03</v>
      </c>
      <c r="AK905" s="376">
        <v>0.03</v>
      </c>
      <c r="AL905" s="376">
        <v>0.03</v>
      </c>
      <c r="AM905" s="376"/>
      <c r="AN905" s="376"/>
      <c r="AO905" s="376"/>
      <c r="AP905" s="376"/>
      <c r="AQ905" s="376"/>
      <c r="AR905" s="376"/>
      <c r="AS905" s="377"/>
    </row>
    <row r="906" spans="1:48" ht="15.75" customHeight="1" x14ac:dyDescent="0.3">
      <c r="A906" s="325" t="s">
        <v>1035</v>
      </c>
      <c r="B906" s="378">
        <v>957</v>
      </c>
      <c r="C906" s="378">
        <v>122</v>
      </c>
      <c r="D906" s="378">
        <v>128</v>
      </c>
      <c r="E906" s="378">
        <v>219</v>
      </c>
      <c r="F906" s="378"/>
      <c r="G906" s="378"/>
      <c r="H906" s="378">
        <v>97</v>
      </c>
      <c r="I906" s="378">
        <v>160</v>
      </c>
      <c r="J906" s="378">
        <v>250</v>
      </c>
      <c r="K906" s="378">
        <v>260</v>
      </c>
      <c r="L906" s="378">
        <v>100</v>
      </c>
      <c r="M906" s="378">
        <v>118</v>
      </c>
      <c r="N906" s="378">
        <v>250</v>
      </c>
      <c r="O906" s="378">
        <v>190</v>
      </c>
      <c r="P906" s="378">
        <v>340</v>
      </c>
      <c r="Q906" s="378">
        <v>450</v>
      </c>
      <c r="R906" s="377" t="s">
        <v>442</v>
      </c>
      <c r="S906" s="164"/>
      <c r="AC906" s="375" t="s">
        <v>422</v>
      </c>
      <c r="AD906" s="169">
        <f>SUM(AD901:AD905)</f>
        <v>4.7E-2</v>
      </c>
      <c r="AE906" s="169">
        <f t="shared" ref="AE906:AR906" si="179">SUM(AE901:AE905)</f>
        <v>4.7E-2</v>
      </c>
      <c r="AF906" s="169">
        <f t="shared" si="179"/>
        <v>4.7E-2</v>
      </c>
      <c r="AG906" s="169">
        <f t="shared" si="179"/>
        <v>4.7E-2</v>
      </c>
      <c r="AH906" s="169">
        <f t="shared" si="179"/>
        <v>0</v>
      </c>
      <c r="AI906" s="169">
        <f t="shared" si="179"/>
        <v>0.03</v>
      </c>
      <c r="AJ906" s="169">
        <f t="shared" si="179"/>
        <v>0.03</v>
      </c>
      <c r="AK906" s="169">
        <f t="shared" si="179"/>
        <v>0.03</v>
      </c>
      <c r="AL906" s="169">
        <f t="shared" si="179"/>
        <v>0.03</v>
      </c>
      <c r="AM906" s="169">
        <f t="shared" si="179"/>
        <v>0.03</v>
      </c>
      <c r="AN906" s="169">
        <f t="shared" si="179"/>
        <v>0.03</v>
      </c>
      <c r="AO906" s="169">
        <f t="shared" si="179"/>
        <v>0.03</v>
      </c>
      <c r="AP906" s="169">
        <f t="shared" si="179"/>
        <v>0.03</v>
      </c>
      <c r="AQ906" s="169">
        <f t="shared" si="179"/>
        <v>0.03</v>
      </c>
      <c r="AR906" s="169">
        <f t="shared" si="179"/>
        <v>0.03</v>
      </c>
      <c r="AS906" s="377"/>
      <c r="AU906" s="365" t="s">
        <v>1036</v>
      </c>
      <c r="AV906" s="4" t="s">
        <v>1037</v>
      </c>
    </row>
    <row r="907" spans="1:48" ht="15.75" customHeight="1" x14ac:dyDescent="0.3">
      <c r="A907" s="325"/>
      <c r="B907" s="164" t="s">
        <v>409</v>
      </c>
      <c r="C907" s="164" t="s">
        <v>409</v>
      </c>
      <c r="D907" s="164" t="s">
        <v>409</v>
      </c>
      <c r="E907" s="164" t="s">
        <v>409</v>
      </c>
      <c r="F907" s="164" t="s">
        <v>409</v>
      </c>
      <c r="G907" s="164" t="s">
        <v>409</v>
      </c>
      <c r="H907" s="164" t="s">
        <v>409</v>
      </c>
      <c r="I907" s="164" t="s">
        <v>409</v>
      </c>
      <c r="J907" s="164" t="s">
        <v>409</v>
      </c>
      <c r="K907" s="164" t="s">
        <v>409</v>
      </c>
      <c r="L907" s="164" t="s">
        <v>409</v>
      </c>
      <c r="M907" s="164" t="s">
        <v>409</v>
      </c>
      <c r="N907" s="164" t="s">
        <v>409</v>
      </c>
      <c r="O907" s="164" t="s">
        <v>409</v>
      </c>
      <c r="P907" s="164" t="s">
        <v>409</v>
      </c>
      <c r="Q907" s="164" t="s">
        <v>409</v>
      </c>
      <c r="R907" s="377" t="s">
        <v>459</v>
      </c>
      <c r="S907" s="164"/>
      <c r="T907" s="164"/>
      <c r="AC907" s="325" t="s">
        <v>409</v>
      </c>
      <c r="AD907" s="164" t="s">
        <v>409</v>
      </c>
      <c r="AE907" s="164" t="s">
        <v>409</v>
      </c>
      <c r="AF907" s="164" t="s">
        <v>409</v>
      </c>
      <c r="AG907" s="164" t="s">
        <v>409</v>
      </c>
      <c r="AH907" s="164" t="s">
        <v>409</v>
      </c>
      <c r="AI907" s="164" t="s">
        <v>409</v>
      </c>
      <c r="AJ907" s="164" t="s">
        <v>409</v>
      </c>
      <c r="AK907" s="164" t="s">
        <v>409</v>
      </c>
      <c r="AL907" s="164" t="s">
        <v>409</v>
      </c>
      <c r="AM907" s="164" t="s">
        <v>409</v>
      </c>
      <c r="AN907" s="164" t="s">
        <v>409</v>
      </c>
      <c r="AO907" s="164" t="s">
        <v>409</v>
      </c>
      <c r="AP907" s="164" t="s">
        <v>409</v>
      </c>
      <c r="AQ907" s="164" t="s">
        <v>409</v>
      </c>
      <c r="AR907" s="164" t="s">
        <v>409</v>
      </c>
      <c r="AS907" s="377" t="s">
        <v>409</v>
      </c>
    </row>
    <row r="908" spans="1:48" ht="15.75" customHeight="1" x14ac:dyDescent="0.3">
      <c r="A908" s="365" t="s">
        <v>795</v>
      </c>
      <c r="B908" s="159">
        <f>ROUND((B851*$B$906)/1000,0)</f>
        <v>145788</v>
      </c>
      <c r="C908" s="159">
        <f t="shared" ref="C908:C919" si="180">ROUND((C851*$C$906)/1000,0)</f>
        <v>18574</v>
      </c>
      <c r="D908" s="159">
        <f t="shared" ref="D908:D919" si="181">ROUND((D851*$D$906)/1000,0)</f>
        <v>19475</v>
      </c>
      <c r="E908" s="159">
        <f t="shared" ref="E908:E919" si="182">ROUND((E851*$E$906)/1000,0)</f>
        <v>33050</v>
      </c>
      <c r="F908" s="159">
        <f>(F851*((T851-1526.8)/0.7702))/1000</f>
        <v>23008.356748442195</v>
      </c>
      <c r="G908" s="159">
        <f t="shared" ref="G908:G919" si="183">(G851*((T851-1591.4)/0.6635))/1000</f>
        <v>0</v>
      </c>
      <c r="H908" s="159">
        <f t="shared" ref="H908:H919" si="184">ROUND((H851*$H$906)/1000,0)</f>
        <v>2310</v>
      </c>
      <c r="I908" s="159">
        <f t="shared" ref="I908:I919" si="185">ROUND((I851*$I$906)/1000,0)</f>
        <v>1453</v>
      </c>
      <c r="J908" s="159">
        <f t="shared" ref="J908:J919" si="186">ROUND((J851*$J$906)/1000,0)</f>
        <v>2266</v>
      </c>
      <c r="K908" s="159">
        <f t="shared" ref="K908:K919" si="187">ROUND((K851*$K$906)/1000,0)</f>
        <v>2331</v>
      </c>
      <c r="L908" s="159">
        <f t="shared" ref="L908:L919" si="188">ROUND((L851*$L$906)/1000,0)</f>
        <v>780</v>
      </c>
      <c r="M908" s="159">
        <f t="shared" ref="M908:M919" si="189">ROUND((M851*$M$906)/1000,0)</f>
        <v>918</v>
      </c>
      <c r="N908" s="159">
        <f t="shared" ref="N908:N919" si="190">ROUND((N851*$N$906)/1000,0)</f>
        <v>1918</v>
      </c>
      <c r="O908" s="159">
        <f t="shared" ref="O908:O919" si="191">ROUND((O851*$O$906)/1000,0)</f>
        <v>737</v>
      </c>
      <c r="P908" s="159">
        <f t="shared" ref="P908:P919" si="192">ROUND((P851*$P$906)/1000,0)</f>
        <v>1254</v>
      </c>
      <c r="Q908" s="159">
        <f t="shared" ref="Q908:Q919" si="193">ROUND((Q851*$Q$906)/1000,0)</f>
        <v>1745</v>
      </c>
      <c r="R908" s="379">
        <f>(SUM(B908:Q908))</f>
        <v>255607.35674844219</v>
      </c>
      <c r="S908" s="168"/>
      <c r="AC908" s="375" t="s">
        <v>795</v>
      </c>
      <c r="AD908" s="159">
        <f>ROUND(B908*$AD$906, 0)</f>
        <v>6852</v>
      </c>
      <c r="AE908" s="159">
        <f>ROUND(C908*$AE$906,0)</f>
        <v>873</v>
      </c>
      <c r="AF908" s="159">
        <f>ROUND(D908*$AF$906,0)</f>
        <v>915</v>
      </c>
      <c r="AG908" s="159">
        <f>ROUND(E908*$AG$906,0)</f>
        <v>1553</v>
      </c>
      <c r="AH908" s="159">
        <f>ROUND(F908*$AH$906,0)</f>
        <v>0</v>
      </c>
      <c r="AI908" s="159">
        <f>ROUND(H908*$AI$906,0)</f>
        <v>69</v>
      </c>
      <c r="AJ908" s="159">
        <f>ROUND(I908*$AJ$906,0)</f>
        <v>44</v>
      </c>
      <c r="AK908" s="159">
        <f>ROUND(J908*$AK$906,0)</f>
        <v>68</v>
      </c>
      <c r="AL908" s="159">
        <f>ROUND(K908*$AL$906,0)</f>
        <v>70</v>
      </c>
      <c r="AM908" s="159">
        <f>ROUND(L908*$AM$906,0)</f>
        <v>23</v>
      </c>
      <c r="AN908" s="159">
        <f>ROUND(M908*$AN$906,0)</f>
        <v>28</v>
      </c>
      <c r="AO908" s="159">
        <f>ROUND(N908*$AO$906,0)</f>
        <v>58</v>
      </c>
      <c r="AP908" s="159">
        <f>ROUND(O908*$AP$906,0)</f>
        <v>22</v>
      </c>
      <c r="AQ908" s="159">
        <f>ROUND(P908*$AQ$906,0)</f>
        <v>38</v>
      </c>
      <c r="AR908" s="159">
        <f>ROUND(Q908*$AR$906,0)</f>
        <v>52</v>
      </c>
      <c r="AS908" s="374">
        <f>SUM(AD908:AR908)</f>
        <v>10665</v>
      </c>
      <c r="AU908" s="380">
        <f>AS908/R908</f>
        <v>4.1724151196853208E-2</v>
      </c>
    </row>
    <row r="909" spans="1:48" ht="15.75" customHeight="1" x14ac:dyDescent="0.3">
      <c r="A909" s="365" t="s">
        <v>9</v>
      </c>
      <c r="B909" s="159">
        <f t="shared" ref="B909:B919" si="194">ROUND((B852*$B$906)/1000,0)</f>
        <v>109051</v>
      </c>
      <c r="C909" s="159">
        <f t="shared" si="180"/>
        <v>13884</v>
      </c>
      <c r="D909" s="159">
        <f t="shared" si="181"/>
        <v>14548</v>
      </c>
      <c r="E909" s="159">
        <f t="shared" si="182"/>
        <v>24196</v>
      </c>
      <c r="F909" s="159">
        <f t="shared" ref="F909:F919" si="195">(F852*((T852-1526.8)/0.7702))/1000</f>
        <v>7125.2383017398133</v>
      </c>
      <c r="G909" s="159">
        <f t="shared" si="183"/>
        <v>0</v>
      </c>
      <c r="H909" s="159">
        <f t="shared" si="184"/>
        <v>5623</v>
      </c>
      <c r="I909" s="159">
        <f t="shared" si="185"/>
        <v>2888</v>
      </c>
      <c r="J909" s="159">
        <f t="shared" si="186"/>
        <v>4416</v>
      </c>
      <c r="K909" s="159">
        <f t="shared" si="187"/>
        <v>4177</v>
      </c>
      <c r="L909" s="159">
        <f t="shared" si="188"/>
        <v>1146</v>
      </c>
      <c r="M909" s="159">
        <f t="shared" si="189"/>
        <v>1350</v>
      </c>
      <c r="N909" s="159">
        <f t="shared" si="190"/>
        <v>2696</v>
      </c>
      <c r="O909" s="159">
        <f t="shared" si="191"/>
        <v>573</v>
      </c>
      <c r="P909" s="159">
        <f t="shared" si="192"/>
        <v>1064</v>
      </c>
      <c r="Q909" s="159">
        <f t="shared" si="193"/>
        <v>1355</v>
      </c>
      <c r="R909" s="379">
        <f t="shared" ref="R909:R919" si="196">(SUM(B909:Q909))</f>
        <v>194092.23830173982</v>
      </c>
      <c r="S909" s="168"/>
      <c r="AC909" s="375" t="s">
        <v>9</v>
      </c>
      <c r="AD909" s="159">
        <f t="shared" ref="AD909:AD919" si="197">ROUND(B909*$AD$906, 0)</f>
        <v>5125</v>
      </c>
      <c r="AE909" s="159">
        <f t="shared" ref="AE909:AE919" si="198">ROUND(C909*$AE$906,0)</f>
        <v>653</v>
      </c>
      <c r="AF909" s="159">
        <f t="shared" ref="AF909:AF919" si="199">ROUND(D909*$AF$906,0)</f>
        <v>684</v>
      </c>
      <c r="AG909" s="159">
        <f t="shared" ref="AG909:AG919" si="200">ROUND(E909*$AG$906,0)</f>
        <v>1137</v>
      </c>
      <c r="AH909" s="159">
        <f t="shared" ref="AH909:AH919" si="201">ROUND(F909*$AH$906,0)</f>
        <v>0</v>
      </c>
      <c r="AI909" s="159">
        <f t="shared" ref="AI909:AI919" si="202">ROUND(H909*$AI$906,0)</f>
        <v>169</v>
      </c>
      <c r="AJ909" s="159">
        <f t="shared" ref="AJ909:AJ919" si="203">ROUND(I909*$AJ$906,0)</f>
        <v>87</v>
      </c>
      <c r="AK909" s="159">
        <f t="shared" ref="AK909:AK919" si="204">ROUND(J909*$AK$906,0)</f>
        <v>132</v>
      </c>
      <c r="AL909" s="159">
        <f t="shared" ref="AL909:AL919" si="205">ROUND(K909*$AL$906,0)</f>
        <v>125</v>
      </c>
      <c r="AM909" s="159">
        <f t="shared" ref="AM909:AM919" si="206">ROUND(L909*$AM$906,0)</f>
        <v>34</v>
      </c>
      <c r="AN909" s="159">
        <f t="shared" ref="AN909:AN919" si="207">ROUND(M909*$AN$906,0)</f>
        <v>41</v>
      </c>
      <c r="AO909" s="159">
        <f t="shared" ref="AO909:AO919" si="208">ROUND(N909*$AO$906,0)</f>
        <v>81</v>
      </c>
      <c r="AP909" s="159">
        <f t="shared" ref="AP909:AP919" si="209">ROUND(O909*$AP$906,0)</f>
        <v>17</v>
      </c>
      <c r="AQ909" s="159">
        <f t="shared" ref="AQ909:AQ919" si="210">ROUND(P909*$AQ$906,0)</f>
        <v>32</v>
      </c>
      <c r="AR909" s="159">
        <f t="shared" ref="AR909:AR919" si="211">ROUND(Q909*$AR$906,0)</f>
        <v>41</v>
      </c>
      <c r="AS909" s="374">
        <f t="shared" ref="AS909:AS919" si="212">SUM(AD909:AR909)</f>
        <v>8358</v>
      </c>
      <c r="AU909" s="380">
        <f t="shared" ref="AU909:AU921" si="213">AS909/R909</f>
        <v>4.3062000176464964E-2</v>
      </c>
    </row>
    <row r="910" spans="1:48" ht="15.75" customHeight="1" x14ac:dyDescent="0.3">
      <c r="A910" s="365" t="s">
        <v>10</v>
      </c>
      <c r="B910" s="159">
        <f t="shared" si="194"/>
        <v>117192</v>
      </c>
      <c r="C910" s="159">
        <f t="shared" si="180"/>
        <v>14906</v>
      </c>
      <c r="D910" s="159">
        <f t="shared" si="181"/>
        <v>15606</v>
      </c>
      <c r="E910" s="159">
        <f t="shared" si="182"/>
        <v>25493</v>
      </c>
      <c r="F910" s="159">
        <f t="shared" si="195"/>
        <v>1001.2673331602186</v>
      </c>
      <c r="G910" s="159">
        <f t="shared" si="183"/>
        <v>-1666.5490580256212</v>
      </c>
      <c r="H910" s="159">
        <f t="shared" si="184"/>
        <v>8674</v>
      </c>
      <c r="I910" s="159">
        <f t="shared" si="185"/>
        <v>5063</v>
      </c>
      <c r="J910" s="159">
        <f t="shared" si="186"/>
        <v>6151</v>
      </c>
      <c r="K910" s="159">
        <f t="shared" si="187"/>
        <v>5721</v>
      </c>
      <c r="L910" s="159">
        <f t="shared" si="188"/>
        <v>1749</v>
      </c>
      <c r="M910" s="159">
        <f t="shared" si="189"/>
        <v>2060</v>
      </c>
      <c r="N910" s="159">
        <f t="shared" si="190"/>
        <v>4167</v>
      </c>
      <c r="O910" s="159">
        <f t="shared" si="191"/>
        <v>758</v>
      </c>
      <c r="P910" s="159">
        <f t="shared" si="192"/>
        <v>1347</v>
      </c>
      <c r="Q910" s="159">
        <f t="shared" si="193"/>
        <v>1794</v>
      </c>
      <c r="R910" s="379">
        <f t="shared" si="196"/>
        <v>210015.7182751346</v>
      </c>
      <c r="S910" s="168"/>
      <c r="AC910" s="375" t="s">
        <v>10</v>
      </c>
      <c r="AD910" s="159">
        <f t="shared" si="197"/>
        <v>5508</v>
      </c>
      <c r="AE910" s="159">
        <f t="shared" si="198"/>
        <v>701</v>
      </c>
      <c r="AF910" s="159">
        <f t="shared" si="199"/>
        <v>733</v>
      </c>
      <c r="AG910" s="159">
        <f t="shared" si="200"/>
        <v>1198</v>
      </c>
      <c r="AH910" s="159">
        <f t="shared" si="201"/>
        <v>0</v>
      </c>
      <c r="AI910" s="159">
        <f t="shared" si="202"/>
        <v>260</v>
      </c>
      <c r="AJ910" s="159">
        <f t="shared" si="203"/>
        <v>152</v>
      </c>
      <c r="AK910" s="159">
        <f t="shared" si="204"/>
        <v>185</v>
      </c>
      <c r="AL910" s="159">
        <f t="shared" si="205"/>
        <v>172</v>
      </c>
      <c r="AM910" s="159">
        <f t="shared" si="206"/>
        <v>52</v>
      </c>
      <c r="AN910" s="159">
        <f t="shared" si="207"/>
        <v>62</v>
      </c>
      <c r="AO910" s="159">
        <f t="shared" si="208"/>
        <v>125</v>
      </c>
      <c r="AP910" s="159">
        <f t="shared" si="209"/>
        <v>23</v>
      </c>
      <c r="AQ910" s="159">
        <f t="shared" si="210"/>
        <v>40</v>
      </c>
      <c r="AR910" s="159">
        <f t="shared" si="211"/>
        <v>54</v>
      </c>
      <c r="AS910" s="374">
        <f t="shared" si="212"/>
        <v>9265</v>
      </c>
      <c r="AU910" s="380">
        <f t="shared" si="213"/>
        <v>4.4115745602727852E-2</v>
      </c>
    </row>
    <row r="911" spans="1:48" ht="15.75" customHeight="1" x14ac:dyDescent="0.3">
      <c r="A911" s="365" t="s">
        <v>12</v>
      </c>
      <c r="B911" s="159">
        <f t="shared" si="194"/>
        <v>159871</v>
      </c>
      <c r="C911" s="159">
        <f t="shared" si="180"/>
        <v>20336</v>
      </c>
      <c r="D911" s="159">
        <f t="shared" si="181"/>
        <v>21291</v>
      </c>
      <c r="E911" s="159">
        <f t="shared" si="182"/>
        <v>34969</v>
      </c>
      <c r="F911" s="159">
        <f t="shared" si="195"/>
        <v>6164.8320088496102</v>
      </c>
      <c r="G911" s="159">
        <f t="shared" si="183"/>
        <v>0</v>
      </c>
      <c r="H911" s="159">
        <f t="shared" si="184"/>
        <v>10009</v>
      </c>
      <c r="I911" s="159">
        <f t="shared" si="185"/>
        <v>6295</v>
      </c>
      <c r="J911" s="159">
        <f t="shared" si="186"/>
        <v>7551</v>
      </c>
      <c r="K911" s="159">
        <f t="shared" si="187"/>
        <v>6562</v>
      </c>
      <c r="L911" s="159">
        <f t="shared" si="188"/>
        <v>2108</v>
      </c>
      <c r="M911" s="159">
        <f t="shared" si="189"/>
        <v>2483</v>
      </c>
      <c r="N911" s="159">
        <f t="shared" si="190"/>
        <v>5138</v>
      </c>
      <c r="O911" s="159">
        <f t="shared" si="191"/>
        <v>792</v>
      </c>
      <c r="P911" s="159">
        <f t="shared" si="192"/>
        <v>1161</v>
      </c>
      <c r="Q911" s="159">
        <f t="shared" si="193"/>
        <v>1853</v>
      </c>
      <c r="R911" s="379">
        <f t="shared" si="196"/>
        <v>286583.8320088496</v>
      </c>
      <c r="S911" s="168"/>
      <c r="AC911" s="375" t="s">
        <v>12</v>
      </c>
      <c r="AD911" s="159">
        <f t="shared" si="197"/>
        <v>7514</v>
      </c>
      <c r="AE911" s="159">
        <f t="shared" si="198"/>
        <v>956</v>
      </c>
      <c r="AF911" s="159">
        <f t="shared" si="199"/>
        <v>1001</v>
      </c>
      <c r="AG911" s="159">
        <f t="shared" si="200"/>
        <v>1644</v>
      </c>
      <c r="AH911" s="159">
        <f t="shared" si="201"/>
        <v>0</v>
      </c>
      <c r="AI911" s="159">
        <f t="shared" si="202"/>
        <v>300</v>
      </c>
      <c r="AJ911" s="159">
        <f t="shared" si="203"/>
        <v>189</v>
      </c>
      <c r="AK911" s="159">
        <f t="shared" si="204"/>
        <v>227</v>
      </c>
      <c r="AL911" s="159">
        <f t="shared" si="205"/>
        <v>197</v>
      </c>
      <c r="AM911" s="159">
        <f t="shared" si="206"/>
        <v>63</v>
      </c>
      <c r="AN911" s="159">
        <f t="shared" si="207"/>
        <v>74</v>
      </c>
      <c r="AO911" s="159">
        <f t="shared" si="208"/>
        <v>154</v>
      </c>
      <c r="AP911" s="159">
        <f t="shared" si="209"/>
        <v>24</v>
      </c>
      <c r="AQ911" s="159">
        <f t="shared" si="210"/>
        <v>35</v>
      </c>
      <c r="AR911" s="159">
        <f t="shared" si="211"/>
        <v>56</v>
      </c>
      <c r="AS911" s="374">
        <f t="shared" si="212"/>
        <v>12434</v>
      </c>
      <c r="AU911" s="380">
        <f t="shared" si="213"/>
        <v>4.3386955617287032E-2</v>
      </c>
    </row>
    <row r="912" spans="1:48" ht="15.75" customHeight="1" x14ac:dyDescent="0.3">
      <c r="A912" s="365" t="s">
        <v>13</v>
      </c>
      <c r="B912" s="159">
        <f t="shared" si="194"/>
        <v>170463</v>
      </c>
      <c r="C912" s="159">
        <f t="shared" si="180"/>
        <v>21679</v>
      </c>
      <c r="D912" s="159">
        <f t="shared" si="181"/>
        <v>22694</v>
      </c>
      <c r="E912" s="159">
        <f t="shared" si="182"/>
        <v>37219</v>
      </c>
      <c r="F912" s="159">
        <f t="shared" si="195"/>
        <v>2686.1622955076641</v>
      </c>
      <c r="G912" s="159">
        <f t="shared" si="183"/>
        <v>0</v>
      </c>
      <c r="H912" s="159">
        <f t="shared" si="184"/>
        <v>11565</v>
      </c>
      <c r="I912" s="159">
        <f t="shared" si="185"/>
        <v>5826</v>
      </c>
      <c r="J912" s="159">
        <f t="shared" si="186"/>
        <v>6760</v>
      </c>
      <c r="K912" s="159">
        <f t="shared" si="187"/>
        <v>6301</v>
      </c>
      <c r="L912" s="159">
        <f t="shared" si="188"/>
        <v>2206</v>
      </c>
      <c r="M912" s="159">
        <f t="shared" si="189"/>
        <v>2598</v>
      </c>
      <c r="N912" s="159">
        <f t="shared" si="190"/>
        <v>5219</v>
      </c>
      <c r="O912" s="159">
        <f t="shared" si="191"/>
        <v>780</v>
      </c>
      <c r="P912" s="159">
        <f t="shared" si="192"/>
        <v>503</v>
      </c>
      <c r="Q912" s="159">
        <f t="shared" si="193"/>
        <v>1844</v>
      </c>
      <c r="R912" s="379">
        <f t="shared" si="196"/>
        <v>298343.16229550767</v>
      </c>
      <c r="S912" s="168"/>
      <c r="AC912" s="375" t="s">
        <v>13</v>
      </c>
      <c r="AD912" s="159">
        <f t="shared" si="197"/>
        <v>8012</v>
      </c>
      <c r="AE912" s="159">
        <f t="shared" si="198"/>
        <v>1019</v>
      </c>
      <c r="AF912" s="159">
        <f t="shared" si="199"/>
        <v>1067</v>
      </c>
      <c r="AG912" s="159">
        <f t="shared" si="200"/>
        <v>1749</v>
      </c>
      <c r="AH912" s="159">
        <f t="shared" si="201"/>
        <v>0</v>
      </c>
      <c r="AI912" s="159">
        <f t="shared" si="202"/>
        <v>347</v>
      </c>
      <c r="AJ912" s="159">
        <f t="shared" si="203"/>
        <v>175</v>
      </c>
      <c r="AK912" s="159">
        <f t="shared" si="204"/>
        <v>203</v>
      </c>
      <c r="AL912" s="159">
        <f t="shared" si="205"/>
        <v>189</v>
      </c>
      <c r="AM912" s="159">
        <f t="shared" si="206"/>
        <v>66</v>
      </c>
      <c r="AN912" s="159">
        <f t="shared" si="207"/>
        <v>78</v>
      </c>
      <c r="AO912" s="159">
        <f t="shared" si="208"/>
        <v>157</v>
      </c>
      <c r="AP912" s="159">
        <f t="shared" si="209"/>
        <v>23</v>
      </c>
      <c r="AQ912" s="159">
        <f t="shared" si="210"/>
        <v>15</v>
      </c>
      <c r="AR912" s="159">
        <f t="shared" si="211"/>
        <v>55</v>
      </c>
      <c r="AS912" s="374">
        <f t="shared" si="212"/>
        <v>13155</v>
      </c>
      <c r="AU912" s="380">
        <f t="shared" si="213"/>
        <v>4.4093519351283229E-2</v>
      </c>
    </row>
    <row r="913" spans="1:47" ht="15.75" customHeight="1" x14ac:dyDescent="0.3">
      <c r="A913" s="365" t="s">
        <v>14</v>
      </c>
      <c r="B913" s="159">
        <f t="shared" si="194"/>
        <v>87696</v>
      </c>
      <c r="C913" s="159">
        <f t="shared" si="180"/>
        <v>11129</v>
      </c>
      <c r="D913" s="159">
        <f t="shared" si="181"/>
        <v>11625</v>
      </c>
      <c r="E913" s="159">
        <f t="shared" si="182"/>
        <v>18097</v>
      </c>
      <c r="F913" s="159">
        <f t="shared" si="195"/>
        <v>0</v>
      </c>
      <c r="G913" s="159">
        <f t="shared" si="183"/>
        <v>-15232.50655614168</v>
      </c>
      <c r="H913" s="159">
        <f t="shared" si="184"/>
        <v>14067</v>
      </c>
      <c r="I913" s="159">
        <f t="shared" si="185"/>
        <v>7265</v>
      </c>
      <c r="J913" s="159">
        <f t="shared" si="186"/>
        <v>7269</v>
      </c>
      <c r="K913" s="159">
        <f t="shared" si="187"/>
        <v>5965</v>
      </c>
      <c r="L913" s="159">
        <f t="shared" si="188"/>
        <v>2111</v>
      </c>
      <c r="M913" s="159">
        <f t="shared" si="189"/>
        <v>2486</v>
      </c>
      <c r="N913" s="159">
        <f t="shared" si="190"/>
        <v>4854</v>
      </c>
      <c r="O913" s="159">
        <f t="shared" si="191"/>
        <v>834</v>
      </c>
      <c r="P913" s="159">
        <f t="shared" si="192"/>
        <v>1655</v>
      </c>
      <c r="Q913" s="159">
        <f t="shared" si="193"/>
        <v>1971</v>
      </c>
      <c r="R913" s="379">
        <f>(SUM(B913:Q913))</f>
        <v>161791.49344385832</v>
      </c>
      <c r="S913" s="168"/>
      <c r="AC913" s="375" t="s">
        <v>14</v>
      </c>
      <c r="AD913" s="159">
        <f t="shared" si="197"/>
        <v>4122</v>
      </c>
      <c r="AE913" s="159">
        <f t="shared" si="198"/>
        <v>523</v>
      </c>
      <c r="AF913" s="159">
        <f t="shared" si="199"/>
        <v>546</v>
      </c>
      <c r="AG913" s="159">
        <f t="shared" si="200"/>
        <v>851</v>
      </c>
      <c r="AH913" s="159">
        <f t="shared" si="201"/>
        <v>0</v>
      </c>
      <c r="AI913" s="159">
        <f t="shared" si="202"/>
        <v>422</v>
      </c>
      <c r="AJ913" s="159">
        <f t="shared" si="203"/>
        <v>218</v>
      </c>
      <c r="AK913" s="159">
        <f t="shared" si="204"/>
        <v>218</v>
      </c>
      <c r="AL913" s="159">
        <f t="shared" si="205"/>
        <v>179</v>
      </c>
      <c r="AM913" s="159">
        <f t="shared" si="206"/>
        <v>63</v>
      </c>
      <c r="AN913" s="159">
        <f t="shared" si="207"/>
        <v>75</v>
      </c>
      <c r="AO913" s="159">
        <f t="shared" si="208"/>
        <v>146</v>
      </c>
      <c r="AP913" s="159">
        <f t="shared" si="209"/>
        <v>25</v>
      </c>
      <c r="AQ913" s="159">
        <f t="shared" si="210"/>
        <v>50</v>
      </c>
      <c r="AR913" s="159">
        <f t="shared" si="211"/>
        <v>59</v>
      </c>
      <c r="AS913" s="374">
        <f t="shared" si="212"/>
        <v>7497</v>
      </c>
      <c r="AU913" s="380">
        <f t="shared" si="213"/>
        <v>4.6337417625738529E-2</v>
      </c>
    </row>
    <row r="914" spans="1:47" ht="15.75" customHeight="1" x14ac:dyDescent="0.3">
      <c r="A914" s="365" t="s">
        <v>16</v>
      </c>
      <c r="B914" s="159">
        <f t="shared" si="194"/>
        <v>74094</v>
      </c>
      <c r="C914" s="159">
        <f t="shared" si="180"/>
        <v>9395</v>
      </c>
      <c r="D914" s="159">
        <f t="shared" si="181"/>
        <v>9806</v>
      </c>
      <c r="E914" s="159">
        <f t="shared" si="182"/>
        <v>14892</v>
      </c>
      <c r="F914" s="159">
        <f t="shared" si="195"/>
        <v>0</v>
      </c>
      <c r="G914" s="159">
        <f t="shared" si="183"/>
        <v>-14511.141514979801</v>
      </c>
      <c r="H914" s="159">
        <f t="shared" si="184"/>
        <v>12435</v>
      </c>
      <c r="I914" s="159">
        <f t="shared" si="185"/>
        <v>8001</v>
      </c>
      <c r="J914" s="159">
        <f t="shared" si="186"/>
        <v>7107</v>
      </c>
      <c r="K914" s="159">
        <f t="shared" si="187"/>
        <v>6596</v>
      </c>
      <c r="L914" s="159">
        <f t="shared" si="188"/>
        <v>2198</v>
      </c>
      <c r="M914" s="159">
        <f t="shared" si="189"/>
        <v>2589</v>
      </c>
      <c r="N914" s="159">
        <f t="shared" si="190"/>
        <v>4952</v>
      </c>
      <c r="O914" s="159">
        <f t="shared" si="191"/>
        <v>694</v>
      </c>
      <c r="P914" s="159">
        <f t="shared" si="192"/>
        <v>1669</v>
      </c>
      <c r="Q914" s="159">
        <f t="shared" si="193"/>
        <v>1640</v>
      </c>
      <c r="R914" s="379">
        <f t="shared" si="196"/>
        <v>141556.8584850202</v>
      </c>
      <c r="S914" s="168"/>
      <c r="AC914" s="375" t="s">
        <v>16</v>
      </c>
      <c r="AD914" s="159">
        <f t="shared" si="197"/>
        <v>3482</v>
      </c>
      <c r="AE914" s="159">
        <f t="shared" si="198"/>
        <v>442</v>
      </c>
      <c r="AF914" s="159">
        <f t="shared" si="199"/>
        <v>461</v>
      </c>
      <c r="AG914" s="159">
        <f t="shared" si="200"/>
        <v>700</v>
      </c>
      <c r="AH914" s="159">
        <f t="shared" si="201"/>
        <v>0</v>
      </c>
      <c r="AI914" s="159">
        <f t="shared" si="202"/>
        <v>373</v>
      </c>
      <c r="AJ914" s="159">
        <f t="shared" si="203"/>
        <v>240</v>
      </c>
      <c r="AK914" s="159">
        <f t="shared" si="204"/>
        <v>213</v>
      </c>
      <c r="AL914" s="159">
        <f t="shared" si="205"/>
        <v>198</v>
      </c>
      <c r="AM914" s="159">
        <f t="shared" si="206"/>
        <v>66</v>
      </c>
      <c r="AN914" s="159">
        <f t="shared" si="207"/>
        <v>78</v>
      </c>
      <c r="AO914" s="159">
        <f t="shared" si="208"/>
        <v>149</v>
      </c>
      <c r="AP914" s="159">
        <f t="shared" si="209"/>
        <v>21</v>
      </c>
      <c r="AQ914" s="159">
        <f t="shared" si="210"/>
        <v>50</v>
      </c>
      <c r="AR914" s="159">
        <f t="shared" si="211"/>
        <v>49</v>
      </c>
      <c r="AS914" s="374">
        <f t="shared" si="212"/>
        <v>6522</v>
      </c>
      <c r="AU914" s="380">
        <f t="shared" si="213"/>
        <v>4.6073359283331151E-2</v>
      </c>
    </row>
    <row r="915" spans="1:47" ht="15.75" customHeight="1" x14ac:dyDescent="0.3">
      <c r="A915" s="365" t="s">
        <v>17</v>
      </c>
      <c r="B915" s="159">
        <f t="shared" si="194"/>
        <v>64780</v>
      </c>
      <c r="C915" s="159">
        <f t="shared" si="180"/>
        <v>8218</v>
      </c>
      <c r="D915" s="159">
        <f t="shared" si="181"/>
        <v>8581</v>
      </c>
      <c r="E915" s="159">
        <f t="shared" si="182"/>
        <v>13053</v>
      </c>
      <c r="F915" s="159">
        <f t="shared" si="195"/>
        <v>0</v>
      </c>
      <c r="G915" s="159">
        <f t="shared" si="183"/>
        <v>-9240.355367309241</v>
      </c>
      <c r="H915" s="159">
        <f t="shared" si="184"/>
        <v>9399</v>
      </c>
      <c r="I915" s="159">
        <f t="shared" si="185"/>
        <v>5753</v>
      </c>
      <c r="J915" s="159">
        <f t="shared" si="186"/>
        <v>6315</v>
      </c>
      <c r="K915" s="159">
        <f t="shared" si="187"/>
        <v>5638</v>
      </c>
      <c r="L915" s="159">
        <f t="shared" si="188"/>
        <v>2014</v>
      </c>
      <c r="M915" s="159">
        <f t="shared" si="189"/>
        <v>2373</v>
      </c>
      <c r="N915" s="159">
        <f t="shared" si="190"/>
        <v>4498</v>
      </c>
      <c r="O915" s="159">
        <f t="shared" si="191"/>
        <v>409</v>
      </c>
      <c r="P915" s="159">
        <f t="shared" si="192"/>
        <v>1619</v>
      </c>
      <c r="Q915" s="159">
        <f t="shared" si="193"/>
        <v>965</v>
      </c>
      <c r="R915" s="379">
        <f t="shared" si="196"/>
        <v>124374.64463269076</v>
      </c>
      <c r="S915" s="168"/>
      <c r="AC915" s="375" t="s">
        <v>17</v>
      </c>
      <c r="AD915" s="159">
        <f t="shared" si="197"/>
        <v>3045</v>
      </c>
      <c r="AE915" s="159">
        <f t="shared" si="198"/>
        <v>386</v>
      </c>
      <c r="AF915" s="159">
        <f t="shared" si="199"/>
        <v>403</v>
      </c>
      <c r="AG915" s="159">
        <f t="shared" si="200"/>
        <v>613</v>
      </c>
      <c r="AH915" s="159">
        <f t="shared" si="201"/>
        <v>0</v>
      </c>
      <c r="AI915" s="159">
        <f t="shared" si="202"/>
        <v>282</v>
      </c>
      <c r="AJ915" s="159">
        <f t="shared" si="203"/>
        <v>173</v>
      </c>
      <c r="AK915" s="159">
        <f t="shared" si="204"/>
        <v>189</v>
      </c>
      <c r="AL915" s="159">
        <f t="shared" si="205"/>
        <v>169</v>
      </c>
      <c r="AM915" s="159">
        <f t="shared" si="206"/>
        <v>60</v>
      </c>
      <c r="AN915" s="159">
        <f t="shared" si="207"/>
        <v>71</v>
      </c>
      <c r="AO915" s="159">
        <f t="shared" si="208"/>
        <v>135</v>
      </c>
      <c r="AP915" s="159">
        <f t="shared" si="209"/>
        <v>12</v>
      </c>
      <c r="AQ915" s="159">
        <f t="shared" si="210"/>
        <v>49</v>
      </c>
      <c r="AR915" s="159">
        <f t="shared" si="211"/>
        <v>29</v>
      </c>
      <c r="AS915" s="374">
        <f t="shared" si="212"/>
        <v>5616</v>
      </c>
      <c r="AU915" s="380">
        <f t="shared" si="213"/>
        <v>4.5153897859048713E-2</v>
      </c>
    </row>
    <row r="916" spans="1:47" ht="15.75" customHeight="1" x14ac:dyDescent="0.3">
      <c r="A916" s="365" t="s">
        <v>18</v>
      </c>
      <c r="B916" s="159">
        <f t="shared" si="194"/>
        <v>125603</v>
      </c>
      <c r="C916" s="159">
        <f t="shared" si="180"/>
        <v>15974</v>
      </c>
      <c r="D916" s="159">
        <f t="shared" si="181"/>
        <v>16721</v>
      </c>
      <c r="E916" s="159">
        <f t="shared" si="182"/>
        <v>27725</v>
      </c>
      <c r="F916" s="159">
        <f t="shared" si="195"/>
        <v>3348.0515190859546</v>
      </c>
      <c r="G916" s="159">
        <f t="shared" si="183"/>
        <v>-2315.0367445365478</v>
      </c>
      <c r="H916" s="159">
        <f t="shared" si="184"/>
        <v>7771</v>
      </c>
      <c r="I916" s="159">
        <f t="shared" si="185"/>
        <v>5345</v>
      </c>
      <c r="J916" s="159">
        <f t="shared" si="186"/>
        <v>6492</v>
      </c>
      <c r="K916" s="159">
        <f t="shared" si="187"/>
        <v>5963</v>
      </c>
      <c r="L916" s="159">
        <f t="shared" si="188"/>
        <v>1902</v>
      </c>
      <c r="M916" s="159">
        <f t="shared" si="189"/>
        <v>2241</v>
      </c>
      <c r="N916" s="159">
        <f t="shared" si="190"/>
        <v>4306</v>
      </c>
      <c r="O916" s="159">
        <f t="shared" si="191"/>
        <v>917</v>
      </c>
      <c r="P916" s="159">
        <f t="shared" si="192"/>
        <v>1149</v>
      </c>
      <c r="Q916" s="159">
        <f t="shared" si="193"/>
        <v>2169</v>
      </c>
      <c r="R916" s="379">
        <f t="shared" si="196"/>
        <v>225311.0147745494</v>
      </c>
      <c r="S916" s="168"/>
      <c r="AC916" s="375" t="s">
        <v>18</v>
      </c>
      <c r="AD916" s="159">
        <f t="shared" si="197"/>
        <v>5903</v>
      </c>
      <c r="AE916" s="159">
        <f t="shared" si="198"/>
        <v>751</v>
      </c>
      <c r="AF916" s="159">
        <f t="shared" si="199"/>
        <v>786</v>
      </c>
      <c r="AG916" s="159">
        <f t="shared" si="200"/>
        <v>1303</v>
      </c>
      <c r="AH916" s="159">
        <f t="shared" si="201"/>
        <v>0</v>
      </c>
      <c r="AI916" s="159">
        <f t="shared" si="202"/>
        <v>233</v>
      </c>
      <c r="AJ916" s="159">
        <f t="shared" si="203"/>
        <v>160</v>
      </c>
      <c r="AK916" s="159">
        <f t="shared" si="204"/>
        <v>195</v>
      </c>
      <c r="AL916" s="159">
        <f t="shared" si="205"/>
        <v>179</v>
      </c>
      <c r="AM916" s="159">
        <f t="shared" si="206"/>
        <v>57</v>
      </c>
      <c r="AN916" s="159">
        <f t="shared" si="207"/>
        <v>67</v>
      </c>
      <c r="AO916" s="159">
        <f t="shared" si="208"/>
        <v>129</v>
      </c>
      <c r="AP916" s="159">
        <f t="shared" si="209"/>
        <v>28</v>
      </c>
      <c r="AQ916" s="159">
        <f t="shared" si="210"/>
        <v>34</v>
      </c>
      <c r="AR916" s="159">
        <f t="shared" si="211"/>
        <v>65</v>
      </c>
      <c r="AS916" s="374">
        <f t="shared" si="212"/>
        <v>9890</v>
      </c>
      <c r="AU916" s="380">
        <f t="shared" si="213"/>
        <v>4.3894880194366562E-2</v>
      </c>
    </row>
    <row r="917" spans="1:47" ht="15.75" customHeight="1" x14ac:dyDescent="0.3">
      <c r="A917" s="365" t="s">
        <v>20</v>
      </c>
      <c r="B917" s="159">
        <f t="shared" si="194"/>
        <v>127699</v>
      </c>
      <c r="C917" s="159">
        <f t="shared" si="180"/>
        <v>16245</v>
      </c>
      <c r="D917" s="159">
        <f t="shared" si="181"/>
        <v>17009</v>
      </c>
      <c r="E917" s="159">
        <f t="shared" si="182"/>
        <v>28525</v>
      </c>
      <c r="F917" s="159">
        <f t="shared" si="195"/>
        <v>7245.3053362762812</v>
      </c>
      <c r="G917" s="159">
        <f t="shared" si="183"/>
        <v>-131.45975885455857</v>
      </c>
      <c r="H917" s="159">
        <f t="shared" si="184"/>
        <v>5069</v>
      </c>
      <c r="I917" s="159">
        <f t="shared" si="185"/>
        <v>1769</v>
      </c>
      <c r="J917" s="159">
        <f t="shared" si="186"/>
        <v>2055</v>
      </c>
      <c r="K917" s="159">
        <f t="shared" si="187"/>
        <v>2055</v>
      </c>
      <c r="L917" s="159">
        <f t="shared" si="188"/>
        <v>637</v>
      </c>
      <c r="M917" s="159">
        <f t="shared" si="189"/>
        <v>748</v>
      </c>
      <c r="N917" s="159">
        <f t="shared" si="190"/>
        <v>1407</v>
      </c>
      <c r="O917" s="159">
        <f t="shared" si="191"/>
        <v>353</v>
      </c>
      <c r="P917" s="159">
        <f t="shared" si="192"/>
        <v>0</v>
      </c>
      <c r="Q917" s="159">
        <f t="shared" si="193"/>
        <v>834</v>
      </c>
      <c r="R917" s="379">
        <f t="shared" si="196"/>
        <v>211518.84557742171</v>
      </c>
      <c r="S917" s="168"/>
      <c r="AC917" s="375" t="s">
        <v>20</v>
      </c>
      <c r="AD917" s="159">
        <f t="shared" si="197"/>
        <v>6002</v>
      </c>
      <c r="AE917" s="159">
        <f t="shared" si="198"/>
        <v>764</v>
      </c>
      <c r="AF917" s="159">
        <f t="shared" si="199"/>
        <v>799</v>
      </c>
      <c r="AG917" s="159">
        <f t="shared" si="200"/>
        <v>1341</v>
      </c>
      <c r="AH917" s="159">
        <f t="shared" si="201"/>
        <v>0</v>
      </c>
      <c r="AI917" s="159">
        <f t="shared" si="202"/>
        <v>152</v>
      </c>
      <c r="AJ917" s="159">
        <f t="shared" si="203"/>
        <v>53</v>
      </c>
      <c r="AK917" s="159">
        <f t="shared" si="204"/>
        <v>62</v>
      </c>
      <c r="AL917" s="159">
        <f t="shared" si="205"/>
        <v>62</v>
      </c>
      <c r="AM917" s="159">
        <f t="shared" si="206"/>
        <v>19</v>
      </c>
      <c r="AN917" s="159">
        <f t="shared" si="207"/>
        <v>22</v>
      </c>
      <c r="AO917" s="159">
        <f t="shared" si="208"/>
        <v>42</v>
      </c>
      <c r="AP917" s="159">
        <f t="shared" si="209"/>
        <v>11</v>
      </c>
      <c r="AQ917" s="159">
        <f t="shared" si="210"/>
        <v>0</v>
      </c>
      <c r="AR917" s="159">
        <f t="shared" si="211"/>
        <v>25</v>
      </c>
      <c r="AS917" s="374">
        <f t="shared" si="212"/>
        <v>9354</v>
      </c>
      <c r="AU917" s="380">
        <f t="shared" si="213"/>
        <v>4.4223009890511998E-2</v>
      </c>
    </row>
    <row r="918" spans="1:47" ht="15.75" customHeight="1" x14ac:dyDescent="0.3">
      <c r="A918" s="365" t="s">
        <v>21</v>
      </c>
      <c r="B918" s="159">
        <f t="shared" si="194"/>
        <v>132462</v>
      </c>
      <c r="C918" s="159">
        <f t="shared" si="180"/>
        <v>16858</v>
      </c>
      <c r="D918" s="159">
        <f t="shared" si="181"/>
        <v>17658</v>
      </c>
      <c r="E918" s="159">
        <f t="shared" si="182"/>
        <v>29988</v>
      </c>
      <c r="F918" s="159">
        <f t="shared" si="195"/>
        <v>14312.223824980523</v>
      </c>
      <c r="G918" s="159">
        <f t="shared" si="183"/>
        <v>0</v>
      </c>
      <c r="H918" s="159">
        <f t="shared" si="184"/>
        <v>3137</v>
      </c>
      <c r="I918" s="159">
        <f t="shared" si="185"/>
        <v>1919</v>
      </c>
      <c r="J918" s="159">
        <f t="shared" si="186"/>
        <v>2600</v>
      </c>
      <c r="K918" s="159">
        <f t="shared" si="187"/>
        <v>2686</v>
      </c>
      <c r="L918" s="159">
        <f t="shared" si="188"/>
        <v>718</v>
      </c>
      <c r="M918" s="159">
        <f t="shared" si="189"/>
        <v>844</v>
      </c>
      <c r="N918" s="159">
        <f t="shared" si="190"/>
        <v>1778</v>
      </c>
      <c r="O918" s="159">
        <f t="shared" si="191"/>
        <v>222</v>
      </c>
      <c r="P918" s="159">
        <f t="shared" si="192"/>
        <v>0</v>
      </c>
      <c r="Q918" s="159">
        <f t="shared" si="193"/>
        <v>524</v>
      </c>
      <c r="R918" s="379">
        <f t="shared" si="196"/>
        <v>225706.22382498052</v>
      </c>
      <c r="S918" s="168"/>
      <c r="AC918" s="375" t="s">
        <v>21</v>
      </c>
      <c r="AD918" s="159">
        <f t="shared" si="197"/>
        <v>6226</v>
      </c>
      <c r="AE918" s="159">
        <f t="shared" si="198"/>
        <v>792</v>
      </c>
      <c r="AF918" s="159">
        <f t="shared" si="199"/>
        <v>830</v>
      </c>
      <c r="AG918" s="159">
        <f t="shared" si="200"/>
        <v>1409</v>
      </c>
      <c r="AH918" s="159">
        <f t="shared" si="201"/>
        <v>0</v>
      </c>
      <c r="AI918" s="159">
        <f t="shared" si="202"/>
        <v>94</v>
      </c>
      <c r="AJ918" s="159">
        <f t="shared" si="203"/>
        <v>58</v>
      </c>
      <c r="AK918" s="159">
        <f t="shared" si="204"/>
        <v>78</v>
      </c>
      <c r="AL918" s="159">
        <f t="shared" si="205"/>
        <v>81</v>
      </c>
      <c r="AM918" s="159">
        <f t="shared" si="206"/>
        <v>22</v>
      </c>
      <c r="AN918" s="159">
        <f t="shared" si="207"/>
        <v>25</v>
      </c>
      <c r="AO918" s="159">
        <f t="shared" si="208"/>
        <v>53</v>
      </c>
      <c r="AP918" s="159">
        <f t="shared" si="209"/>
        <v>7</v>
      </c>
      <c r="AQ918" s="159">
        <f t="shared" si="210"/>
        <v>0</v>
      </c>
      <c r="AR918" s="159">
        <f t="shared" si="211"/>
        <v>16</v>
      </c>
      <c r="AS918" s="374">
        <f t="shared" si="212"/>
        <v>9691</v>
      </c>
      <c r="AU918" s="380">
        <f t="shared" si="213"/>
        <v>4.2936343693892536E-2</v>
      </c>
    </row>
    <row r="919" spans="1:47" ht="15.75" customHeight="1" x14ac:dyDescent="0.3">
      <c r="A919" s="365" t="s">
        <v>22</v>
      </c>
      <c r="B919" s="159">
        <f t="shared" si="194"/>
        <v>112154</v>
      </c>
      <c r="C919" s="159">
        <f t="shared" si="180"/>
        <v>14275</v>
      </c>
      <c r="D919" s="159">
        <f t="shared" si="181"/>
        <v>14954</v>
      </c>
      <c r="E919" s="159">
        <f t="shared" si="182"/>
        <v>25292</v>
      </c>
      <c r="F919" s="159">
        <f t="shared" si="195"/>
        <v>10218.635795801449</v>
      </c>
      <c r="G919" s="159">
        <f t="shared" si="183"/>
        <v>0</v>
      </c>
      <c r="H919" s="159">
        <f t="shared" si="184"/>
        <v>4057</v>
      </c>
      <c r="I919" s="159">
        <f t="shared" si="185"/>
        <v>2556</v>
      </c>
      <c r="J919" s="159">
        <f t="shared" si="186"/>
        <v>3717</v>
      </c>
      <c r="K919" s="159">
        <f t="shared" si="187"/>
        <v>3855</v>
      </c>
      <c r="L919" s="159">
        <f t="shared" si="188"/>
        <v>1432</v>
      </c>
      <c r="M919" s="159">
        <f t="shared" si="189"/>
        <v>1687</v>
      </c>
      <c r="N919" s="159">
        <f t="shared" si="190"/>
        <v>3523</v>
      </c>
      <c r="O919" s="159">
        <f t="shared" si="191"/>
        <v>840</v>
      </c>
      <c r="P919" s="159">
        <f t="shared" si="192"/>
        <v>0</v>
      </c>
      <c r="Q919" s="159">
        <f t="shared" si="193"/>
        <v>1989</v>
      </c>
      <c r="R919" s="379">
        <f t="shared" si="196"/>
        <v>200549.63579580144</v>
      </c>
      <c r="S919" s="168"/>
      <c r="AC919" s="375" t="s">
        <v>22</v>
      </c>
      <c r="AD919" s="159">
        <f t="shared" si="197"/>
        <v>5271</v>
      </c>
      <c r="AE919" s="159">
        <f t="shared" si="198"/>
        <v>671</v>
      </c>
      <c r="AF919" s="159">
        <f t="shared" si="199"/>
        <v>703</v>
      </c>
      <c r="AG919" s="159">
        <f t="shared" si="200"/>
        <v>1189</v>
      </c>
      <c r="AH919" s="159">
        <f t="shared" si="201"/>
        <v>0</v>
      </c>
      <c r="AI919" s="159">
        <f t="shared" si="202"/>
        <v>122</v>
      </c>
      <c r="AJ919" s="159">
        <f t="shared" si="203"/>
        <v>77</v>
      </c>
      <c r="AK919" s="159">
        <f t="shared" si="204"/>
        <v>112</v>
      </c>
      <c r="AL919" s="159">
        <f t="shared" si="205"/>
        <v>116</v>
      </c>
      <c r="AM919" s="159">
        <f t="shared" si="206"/>
        <v>43</v>
      </c>
      <c r="AN919" s="159">
        <f t="shared" si="207"/>
        <v>51</v>
      </c>
      <c r="AO919" s="159">
        <f t="shared" si="208"/>
        <v>106</v>
      </c>
      <c r="AP919" s="159">
        <f t="shared" si="209"/>
        <v>25</v>
      </c>
      <c r="AQ919" s="159">
        <f t="shared" si="210"/>
        <v>0</v>
      </c>
      <c r="AR919" s="159">
        <f t="shared" si="211"/>
        <v>60</v>
      </c>
      <c r="AS919" s="374">
        <f t="shared" si="212"/>
        <v>8546</v>
      </c>
      <c r="AU919" s="380">
        <f t="shared" si="213"/>
        <v>4.261289214557084E-2</v>
      </c>
    </row>
    <row r="920" spans="1:47" ht="15.75" customHeight="1" x14ac:dyDescent="0.3">
      <c r="A920" s="325"/>
      <c r="B920" s="159"/>
      <c r="C920" s="159"/>
      <c r="D920" s="159"/>
      <c r="E920" s="159"/>
      <c r="F920" s="159"/>
      <c r="G920" s="159"/>
      <c r="H920" s="159"/>
      <c r="I920" s="159"/>
      <c r="J920" s="159"/>
      <c r="K920" s="159"/>
      <c r="L920" s="159"/>
      <c r="M920" s="159"/>
      <c r="N920" s="159"/>
      <c r="O920" s="159"/>
      <c r="P920" s="159"/>
      <c r="Q920" s="159"/>
      <c r="R920" s="374"/>
      <c r="S920" s="168"/>
      <c r="AC920" s="306"/>
      <c r="AD920" s="159"/>
      <c r="AE920" s="159"/>
      <c r="AF920" s="159"/>
      <c r="AG920" s="159"/>
      <c r="AH920" s="159"/>
      <c r="AI920" s="159"/>
      <c r="AJ920" s="159"/>
      <c r="AK920" s="159"/>
      <c r="AL920" s="159"/>
      <c r="AM920" s="159"/>
      <c r="AN920" s="159"/>
      <c r="AO920" s="159"/>
      <c r="AP920" s="159"/>
      <c r="AQ920" s="159"/>
      <c r="AR920" s="159"/>
      <c r="AS920" s="374"/>
    </row>
    <row r="921" spans="1:47" ht="15.75" customHeight="1" thickBot="1" x14ac:dyDescent="0.35">
      <c r="A921" s="325" t="s">
        <v>422</v>
      </c>
      <c r="B921" s="159">
        <f>SUM(B908:B919)</f>
        <v>1426853</v>
      </c>
      <c r="C921" s="159">
        <f t="shared" ref="C921:R921" si="214">SUM(C908:C919)</f>
        <v>181473</v>
      </c>
      <c r="D921" s="159">
        <f t="shared" si="214"/>
        <v>189968</v>
      </c>
      <c r="E921" s="159">
        <f t="shared" si="214"/>
        <v>312499</v>
      </c>
      <c r="F921" s="159">
        <f t="shared" si="214"/>
        <v>75110.073163843714</v>
      </c>
      <c r="G921" s="159">
        <f t="shared" si="214"/>
        <v>-43097.048999847451</v>
      </c>
      <c r="H921" s="159">
        <f t="shared" si="214"/>
        <v>94116</v>
      </c>
      <c r="I921" s="159">
        <f t="shared" si="214"/>
        <v>54133</v>
      </c>
      <c r="J921" s="159">
        <f t="shared" si="214"/>
        <v>62699</v>
      </c>
      <c r="K921" s="159">
        <f t="shared" si="214"/>
        <v>57850</v>
      </c>
      <c r="L921" s="159">
        <f t="shared" si="214"/>
        <v>19001</v>
      </c>
      <c r="M921" s="159">
        <f t="shared" si="214"/>
        <v>22377</v>
      </c>
      <c r="N921" s="159">
        <f t="shared" si="214"/>
        <v>44456</v>
      </c>
      <c r="O921" s="159">
        <f t="shared" si="214"/>
        <v>7909</v>
      </c>
      <c r="P921" s="159">
        <f t="shared" si="214"/>
        <v>11421</v>
      </c>
      <c r="Q921" s="159">
        <f t="shared" si="214"/>
        <v>18683</v>
      </c>
      <c r="R921" s="381">
        <f t="shared" si="214"/>
        <v>2535451.0241639963</v>
      </c>
      <c r="S921" s="168"/>
      <c r="AC921" s="382" t="s">
        <v>422</v>
      </c>
      <c r="AD921" s="327">
        <f>SUM(AD908:AD919)</f>
        <v>67062</v>
      </c>
      <c r="AE921" s="327">
        <f t="shared" ref="AE921:AS921" si="215">SUM(AE908:AE919)</f>
        <v>8531</v>
      </c>
      <c r="AF921" s="327">
        <f t="shared" si="215"/>
        <v>8928</v>
      </c>
      <c r="AG921" s="327">
        <f t="shared" si="215"/>
        <v>14687</v>
      </c>
      <c r="AH921" s="327">
        <f t="shared" si="215"/>
        <v>0</v>
      </c>
      <c r="AI921" s="327">
        <f t="shared" si="215"/>
        <v>2823</v>
      </c>
      <c r="AJ921" s="327">
        <f t="shared" si="215"/>
        <v>1626</v>
      </c>
      <c r="AK921" s="327">
        <f t="shared" si="215"/>
        <v>1882</v>
      </c>
      <c r="AL921" s="327">
        <f t="shared" si="215"/>
        <v>1737</v>
      </c>
      <c r="AM921" s="327">
        <f t="shared" si="215"/>
        <v>568</v>
      </c>
      <c r="AN921" s="327">
        <f t="shared" si="215"/>
        <v>672</v>
      </c>
      <c r="AO921" s="327">
        <f t="shared" si="215"/>
        <v>1335</v>
      </c>
      <c r="AP921" s="327">
        <f t="shared" si="215"/>
        <v>238</v>
      </c>
      <c r="AQ921" s="327">
        <f t="shared" si="215"/>
        <v>343</v>
      </c>
      <c r="AR921" s="327">
        <f t="shared" si="215"/>
        <v>561</v>
      </c>
      <c r="AS921" s="383">
        <f t="shared" si="215"/>
        <v>110993</v>
      </c>
      <c r="AU921" s="380">
        <f t="shared" si="213"/>
        <v>4.3776432256898853E-2</v>
      </c>
    </row>
    <row r="922" spans="1:47" ht="16.5" customHeight="1" thickBot="1" x14ac:dyDescent="0.35">
      <c r="A922" s="330" t="s">
        <v>7</v>
      </c>
      <c r="B922" s="327"/>
      <c r="C922" s="327"/>
      <c r="D922" s="327"/>
      <c r="E922" s="327"/>
      <c r="F922" s="327"/>
      <c r="G922" s="327"/>
      <c r="H922" s="327"/>
      <c r="I922" s="327"/>
      <c r="J922" s="327"/>
      <c r="K922" s="327"/>
      <c r="L922" s="327"/>
      <c r="M922" s="327"/>
      <c r="N922" s="327"/>
      <c r="O922" s="327"/>
      <c r="P922" s="327"/>
      <c r="Q922" s="327"/>
      <c r="R922" s="383"/>
      <c r="S922" s="159"/>
    </row>
    <row r="923" spans="1:47" ht="15.75" customHeight="1" x14ac:dyDescent="0.3">
      <c r="A923" s="159"/>
      <c r="B923" s="159"/>
      <c r="C923" s="159"/>
      <c r="D923" s="159"/>
      <c r="E923" s="159"/>
      <c r="F923" s="159"/>
      <c r="G923" s="159"/>
      <c r="H923" s="159"/>
      <c r="I923" s="159"/>
      <c r="J923" s="159"/>
      <c r="K923" s="159"/>
      <c r="L923" s="159"/>
      <c r="M923" s="159"/>
      <c r="N923" s="159"/>
      <c r="O923" s="159"/>
      <c r="P923" s="159"/>
      <c r="Q923" s="159"/>
      <c r="R923" s="159"/>
    </row>
    <row r="924" spans="1:47" ht="15.75" customHeight="1" x14ac:dyDescent="0.3"/>
    <row r="925" spans="1:47" ht="15.75" customHeight="1" thickBot="1" x14ac:dyDescent="0.35"/>
    <row r="926" spans="1:47" ht="15.75" customHeight="1" thickBot="1" x14ac:dyDescent="0.35">
      <c r="B926" s="519" t="s">
        <v>1038</v>
      </c>
      <c r="C926" s="506"/>
      <c r="D926" s="506"/>
      <c r="E926" s="506"/>
      <c r="F926" s="506"/>
      <c r="G926" s="506"/>
      <c r="H926" s="506"/>
      <c r="I926" s="506"/>
      <c r="J926" s="506"/>
      <c r="K926" s="506"/>
      <c r="L926" s="506"/>
      <c r="M926" s="506"/>
      <c r="N926" s="506"/>
      <c r="O926" s="506"/>
      <c r="P926" s="506"/>
      <c r="Q926" s="361" t="str">
        <f>+Q1</f>
        <v xml:space="preserve">PRINTED:  </v>
      </c>
      <c r="R926" s="367">
        <f ca="1">+R1</f>
        <v>44909.46975358796</v>
      </c>
      <c r="S926" s="319"/>
      <c r="T926" s="368"/>
      <c r="U926" s="368"/>
      <c r="V926" s="332"/>
    </row>
    <row r="927" spans="1:47" ht="15.75" customHeight="1" x14ac:dyDescent="0.3">
      <c r="B927" s="520">
        <f>+A5</f>
        <v>2016</v>
      </c>
      <c r="C927" s="509"/>
      <c r="D927" s="509"/>
      <c r="E927" s="509"/>
      <c r="F927" s="509"/>
      <c r="G927" s="509"/>
      <c r="H927" s="509"/>
      <c r="I927" s="509"/>
      <c r="J927" s="509"/>
      <c r="K927" s="509"/>
      <c r="L927" s="509"/>
      <c r="M927" s="509"/>
      <c r="N927" s="509"/>
      <c r="O927" s="509"/>
      <c r="P927" s="509"/>
      <c r="Q927" s="159"/>
      <c r="R927" s="159"/>
      <c r="S927" s="159"/>
      <c r="V927" s="307"/>
      <c r="AC927" s="370"/>
      <c r="AD927" s="506" t="s">
        <v>1039</v>
      </c>
      <c r="AE927" s="517"/>
      <c r="AF927" s="517"/>
      <c r="AG927" s="517"/>
      <c r="AH927" s="517"/>
      <c r="AI927" s="517"/>
      <c r="AJ927" s="517"/>
      <c r="AK927" s="517"/>
      <c r="AL927" s="517"/>
      <c r="AM927" s="517"/>
      <c r="AN927" s="517"/>
      <c r="AO927" s="517"/>
      <c r="AP927" s="517"/>
      <c r="AQ927" s="517"/>
      <c r="AR927" s="361" t="str">
        <f>$Q$1</f>
        <v xml:space="preserve">PRINTED:  </v>
      </c>
      <c r="AS927" s="371">
        <f ca="1">$R$1</f>
        <v>44909.46975358796</v>
      </c>
    </row>
    <row r="928" spans="1:47" ht="15.75" customHeight="1" x14ac:dyDescent="0.3">
      <c r="B928" s="518" t="str">
        <f>+A8</f>
        <v>Revised:  2/23/2017</v>
      </c>
      <c r="C928" s="503"/>
      <c r="D928" s="503"/>
      <c r="E928" s="503"/>
      <c r="F928" s="503"/>
      <c r="G928" s="503"/>
      <c r="H928" s="503"/>
      <c r="I928" s="503"/>
      <c r="J928" s="503"/>
      <c r="K928" s="503"/>
      <c r="L928" s="503"/>
      <c r="M928" s="503"/>
      <c r="N928" s="503"/>
      <c r="O928" s="503"/>
      <c r="P928" s="503"/>
      <c r="Q928" s="159"/>
      <c r="R928" s="159"/>
      <c r="S928" s="159"/>
      <c r="V928" s="307"/>
      <c r="AC928" s="306"/>
      <c r="AD928" s="503" t="str">
        <f>+$A$8</f>
        <v>Revised:  2/23/2017</v>
      </c>
      <c r="AE928" s="516"/>
      <c r="AF928" s="516"/>
      <c r="AG928" s="516"/>
      <c r="AH928" s="516"/>
      <c r="AI928" s="516"/>
      <c r="AJ928" s="516"/>
      <c r="AK928" s="516"/>
      <c r="AL928" s="516"/>
      <c r="AM928" s="516"/>
      <c r="AN928" s="516"/>
      <c r="AO928" s="516"/>
      <c r="AP928" s="516"/>
      <c r="AQ928" s="516"/>
      <c r="AR928" s="365"/>
      <c r="AS928" s="307"/>
    </row>
    <row r="929" spans="1:45" ht="15.75" customHeight="1" thickBot="1" x14ac:dyDescent="0.35">
      <c r="B929" s="521" t="s">
        <v>1040</v>
      </c>
      <c r="C929" s="522"/>
      <c r="D929" s="522"/>
      <c r="E929" s="522"/>
      <c r="F929" s="522"/>
      <c r="G929" s="522"/>
      <c r="H929" s="522"/>
      <c r="I929" s="522"/>
      <c r="J929" s="522"/>
      <c r="K929" s="522"/>
      <c r="L929" s="522"/>
      <c r="M929" s="522"/>
      <c r="N929" s="522"/>
      <c r="O929" s="522"/>
      <c r="P929" s="522"/>
      <c r="Q929" s="159"/>
      <c r="R929" s="159"/>
      <c r="S929" s="159"/>
      <c r="V929" s="307"/>
      <c r="AC929" s="306"/>
      <c r="AD929" s="503" t="s">
        <v>1024</v>
      </c>
      <c r="AE929" s="508"/>
      <c r="AF929" s="508"/>
      <c r="AG929" s="508"/>
      <c r="AH929" s="508"/>
      <c r="AI929" s="508"/>
      <c r="AJ929" s="508"/>
      <c r="AK929" s="508"/>
      <c r="AL929" s="508"/>
      <c r="AM929" s="508"/>
      <c r="AN929" s="508"/>
      <c r="AO929" s="508"/>
      <c r="AP929" s="508"/>
      <c r="AQ929" s="508"/>
      <c r="AS929" s="307"/>
    </row>
    <row r="930" spans="1:45" ht="15.75" customHeight="1" thickBot="1" x14ac:dyDescent="0.35">
      <c r="A930" s="384"/>
      <c r="B930" s="523" t="s">
        <v>1041</v>
      </c>
      <c r="C930" s="524"/>
      <c r="D930" s="524"/>
      <c r="E930" s="524"/>
      <c r="F930" s="525"/>
      <c r="G930" s="523" t="s">
        <v>1042</v>
      </c>
      <c r="H930" s="524"/>
      <c r="I930" s="524"/>
      <c r="J930" s="524"/>
      <c r="K930" s="524"/>
      <c r="L930" s="524"/>
      <c r="M930" s="526" t="s">
        <v>1043</v>
      </c>
      <c r="N930" s="527"/>
      <c r="O930" s="527"/>
      <c r="P930" s="527"/>
      <c r="Q930" s="527"/>
      <c r="R930" s="528"/>
      <c r="S930" s="523" t="s">
        <v>1044</v>
      </c>
      <c r="T930" s="529"/>
      <c r="U930" s="530"/>
      <c r="V930" s="307"/>
      <c r="AC930" s="306"/>
      <c r="AS930" s="307"/>
    </row>
    <row r="931" spans="1:45" ht="15.75" customHeight="1" x14ac:dyDescent="0.3">
      <c r="A931" s="384"/>
      <c r="B931" s="325" t="s">
        <v>428</v>
      </c>
      <c r="C931" s="164"/>
      <c r="D931" s="164" t="s">
        <v>469</v>
      </c>
      <c r="E931" s="164" t="s">
        <v>470</v>
      </c>
      <c r="F931" s="333" t="s">
        <v>1045</v>
      </c>
      <c r="G931" s="325" t="s">
        <v>471</v>
      </c>
      <c r="H931" s="164"/>
      <c r="I931" s="164"/>
      <c r="J931" s="164" t="s">
        <v>472</v>
      </c>
      <c r="K931" s="164" t="s">
        <v>1046</v>
      </c>
      <c r="L931" s="164" t="s">
        <v>1047</v>
      </c>
      <c r="M931" s="531" t="s">
        <v>1048</v>
      </c>
      <c r="N931" s="517"/>
      <c r="O931" s="552"/>
      <c r="P931" s="385"/>
      <c r="Q931" s="386"/>
      <c r="R931" s="387"/>
      <c r="S931" s="164" t="s">
        <v>1049</v>
      </c>
      <c r="T931" s="388" t="s">
        <v>486</v>
      </c>
      <c r="U931" s="389" t="s">
        <v>1050</v>
      </c>
      <c r="V931" s="307"/>
      <c r="AC931" s="306"/>
      <c r="AD931" s="509">
        <f>$A$5</f>
        <v>2016</v>
      </c>
      <c r="AE931" s="508"/>
      <c r="AF931" s="508"/>
      <c r="AG931" s="508"/>
      <c r="AH931" s="508"/>
      <c r="AI931" s="508"/>
      <c r="AJ931" s="508"/>
      <c r="AK931" s="508"/>
      <c r="AL931" s="508"/>
      <c r="AM931" s="508"/>
      <c r="AN931" s="508"/>
      <c r="AO931" s="508"/>
      <c r="AP931" s="508"/>
      <c r="AQ931" s="508"/>
      <c r="AS931" s="307"/>
    </row>
    <row r="932" spans="1:45" ht="15.75" customHeight="1" x14ac:dyDescent="0.3">
      <c r="A932" s="384"/>
      <c r="B932" s="390" t="s">
        <v>1051</v>
      </c>
      <c r="C932" s="391" t="s">
        <v>1052</v>
      </c>
      <c r="D932" s="391" t="s">
        <v>1053</v>
      </c>
      <c r="E932" s="164" t="s">
        <v>442</v>
      </c>
      <c r="F932" s="392" t="s">
        <v>1054</v>
      </c>
      <c r="G932" s="325" t="s">
        <v>429</v>
      </c>
      <c r="H932" s="164" t="s">
        <v>478</v>
      </c>
      <c r="I932" s="164" t="s">
        <v>479</v>
      </c>
      <c r="J932" s="391" t="s">
        <v>1055</v>
      </c>
      <c r="K932" s="164" t="s">
        <v>1034</v>
      </c>
      <c r="L932" s="391" t="s">
        <v>1056</v>
      </c>
      <c r="M932" s="393" t="s">
        <v>1057</v>
      </c>
      <c r="N932" s="385" t="s">
        <v>1058</v>
      </c>
      <c r="O932" s="394" t="s">
        <v>422</v>
      </c>
      <c r="P932" s="385" t="s">
        <v>1059</v>
      </c>
      <c r="Q932" s="385" t="s">
        <v>1059</v>
      </c>
      <c r="R932" s="394" t="s">
        <v>1060</v>
      </c>
      <c r="S932" s="164" t="s">
        <v>1061</v>
      </c>
      <c r="T932" s="164" t="s">
        <v>1062</v>
      </c>
      <c r="U932" s="333" t="s">
        <v>1063</v>
      </c>
      <c r="V932" s="307"/>
      <c r="AC932" s="306"/>
      <c r="AD932" s="503" t="s">
        <v>1029</v>
      </c>
      <c r="AE932" s="516"/>
      <c r="AF932" s="516"/>
      <c r="AG932" s="516"/>
      <c r="AH932" s="516"/>
      <c r="AI932" s="516"/>
      <c r="AJ932" s="516"/>
      <c r="AK932" s="516"/>
      <c r="AL932" s="516"/>
      <c r="AM932" s="516"/>
      <c r="AN932" s="516"/>
      <c r="AO932" s="516"/>
      <c r="AP932" s="516"/>
      <c r="AQ932" s="516"/>
      <c r="AR932" s="164"/>
      <c r="AS932" s="307"/>
    </row>
    <row r="933" spans="1:45" ht="15.75" customHeight="1" x14ac:dyDescent="0.3">
      <c r="A933" s="384"/>
      <c r="B933" s="395" t="s">
        <v>1064</v>
      </c>
      <c r="C933" s="169">
        <v>0</v>
      </c>
      <c r="D933" s="169"/>
      <c r="E933" s="164" t="s">
        <v>485</v>
      </c>
      <c r="F933" s="396" t="s">
        <v>1065</v>
      </c>
      <c r="G933" s="325" t="s">
        <v>1066</v>
      </c>
      <c r="H933" s="164" t="s">
        <v>442</v>
      </c>
      <c r="I933" s="164" t="s">
        <v>442</v>
      </c>
      <c r="J933" s="164" t="s">
        <v>442</v>
      </c>
      <c r="K933" s="164" t="s">
        <v>486</v>
      </c>
      <c r="L933" s="164" t="s">
        <v>1067</v>
      </c>
      <c r="M933" s="397" t="s">
        <v>434</v>
      </c>
      <c r="N933" s="386" t="s">
        <v>1068</v>
      </c>
      <c r="O933" s="394" t="s">
        <v>1069</v>
      </c>
      <c r="P933" s="386" t="s">
        <v>1070</v>
      </c>
      <c r="Q933" s="385" t="s">
        <v>1070</v>
      </c>
      <c r="R933" s="394" t="s">
        <v>1069</v>
      </c>
      <c r="S933" s="164" t="s">
        <v>442</v>
      </c>
      <c r="T933" s="164" t="s">
        <v>442</v>
      </c>
      <c r="U933" s="333" t="s">
        <v>442</v>
      </c>
      <c r="V933" s="307"/>
      <c r="AC933" s="306"/>
      <c r="AK933" s="372"/>
      <c r="AS933" s="307"/>
    </row>
    <row r="934" spans="1:45" ht="15.75" customHeight="1" thickBot="1" x14ac:dyDescent="0.35">
      <c r="A934" s="377" t="s">
        <v>1071</v>
      </c>
      <c r="B934" s="325" t="s">
        <v>491</v>
      </c>
      <c r="C934" s="164" t="s">
        <v>491</v>
      </c>
      <c r="D934" s="164" t="s">
        <v>491</v>
      </c>
      <c r="E934" s="164" t="s">
        <v>491</v>
      </c>
      <c r="F934" s="333" t="s">
        <v>491</v>
      </c>
      <c r="G934" s="325" t="s">
        <v>491</v>
      </c>
      <c r="H934" s="164" t="s">
        <v>491</v>
      </c>
      <c r="I934" s="164" t="s">
        <v>491</v>
      </c>
      <c r="J934" s="164" t="s">
        <v>491</v>
      </c>
      <c r="K934" s="164" t="s">
        <v>491</v>
      </c>
      <c r="L934" s="164" t="s">
        <v>491</v>
      </c>
      <c r="M934" s="397" t="s">
        <v>491</v>
      </c>
      <c r="N934" s="386" t="s">
        <v>491</v>
      </c>
      <c r="O934" s="394" t="s">
        <v>491</v>
      </c>
      <c r="P934" s="386" t="s">
        <v>937</v>
      </c>
      <c r="Q934" s="385" t="s">
        <v>491</v>
      </c>
      <c r="R934" s="394" t="s">
        <v>491</v>
      </c>
      <c r="S934" s="164" t="s">
        <v>491</v>
      </c>
      <c r="T934" s="164" t="s">
        <v>491</v>
      </c>
      <c r="U934" s="333" t="s">
        <v>491</v>
      </c>
      <c r="V934" s="307"/>
      <c r="AC934" s="306"/>
      <c r="AD934" s="364" t="s">
        <v>390</v>
      </c>
      <c r="AE934" s="364" t="s">
        <v>391</v>
      </c>
      <c r="AF934" s="364" t="s">
        <v>392</v>
      </c>
      <c r="AG934" s="364" t="s">
        <v>393</v>
      </c>
      <c r="AH934" s="364" t="s">
        <v>394</v>
      </c>
      <c r="AI934" s="364" t="s">
        <v>395</v>
      </c>
      <c r="AJ934" s="364" t="s">
        <v>396</v>
      </c>
      <c r="AK934" s="364" t="s">
        <v>397</v>
      </c>
      <c r="AL934" s="364" t="s">
        <v>398</v>
      </c>
      <c r="AM934" s="364" t="s">
        <v>399</v>
      </c>
      <c r="AN934" s="364" t="s">
        <v>400</v>
      </c>
      <c r="AO934" s="364" t="s">
        <v>401</v>
      </c>
      <c r="AP934" s="364" t="s">
        <v>402</v>
      </c>
      <c r="AQ934" s="364" t="s">
        <v>403</v>
      </c>
      <c r="AR934" s="364" t="s">
        <v>404</v>
      </c>
      <c r="AS934" s="373" t="s">
        <v>422</v>
      </c>
    </row>
    <row r="935" spans="1:45" ht="15.75" customHeight="1" x14ac:dyDescent="0.3">
      <c r="A935" s="377" t="s">
        <v>409</v>
      </c>
      <c r="B935" s="325" t="s">
        <v>409</v>
      </c>
      <c r="C935" s="164" t="s">
        <v>409</v>
      </c>
      <c r="D935" s="164" t="s">
        <v>409</v>
      </c>
      <c r="E935" s="164" t="s">
        <v>493</v>
      </c>
      <c r="F935" s="333" t="s">
        <v>409</v>
      </c>
      <c r="G935" s="325" t="s">
        <v>409</v>
      </c>
      <c r="H935" s="164" t="s">
        <v>494</v>
      </c>
      <c r="I935" s="164" t="s">
        <v>494</v>
      </c>
      <c r="J935" s="164" t="s">
        <v>409</v>
      </c>
      <c r="K935" s="164" t="s">
        <v>409</v>
      </c>
      <c r="L935" s="164" t="s">
        <v>409</v>
      </c>
      <c r="M935" s="397" t="s">
        <v>409</v>
      </c>
      <c r="N935" s="386" t="s">
        <v>409</v>
      </c>
      <c r="O935" s="394" t="s">
        <v>409</v>
      </c>
      <c r="P935" s="397" t="s">
        <v>409</v>
      </c>
      <c r="Q935" s="386" t="s">
        <v>409</v>
      </c>
      <c r="R935" s="394" t="s">
        <v>409</v>
      </c>
      <c r="S935" s="164" t="s">
        <v>409</v>
      </c>
      <c r="T935" s="164" t="s">
        <v>409</v>
      </c>
      <c r="U935" s="333" t="s">
        <v>409</v>
      </c>
      <c r="V935" s="307"/>
      <c r="AC935" s="306"/>
      <c r="AD935" s="159"/>
      <c r="AE935" s="159"/>
      <c r="AF935" s="159"/>
      <c r="AG935" s="159"/>
      <c r="AH935" s="164" t="s">
        <v>1030</v>
      </c>
      <c r="AI935" s="159"/>
      <c r="AJ935" s="159"/>
      <c r="AK935" s="159"/>
      <c r="AL935" s="159"/>
      <c r="AM935" s="159"/>
      <c r="AN935" s="159"/>
      <c r="AO935" s="159"/>
      <c r="AP935" s="159"/>
      <c r="AQ935" s="159"/>
      <c r="AR935" s="159"/>
      <c r="AS935" s="374"/>
    </row>
    <row r="936" spans="1:45" ht="15.75" customHeight="1" x14ac:dyDescent="0.3">
      <c r="A936" s="365" t="s">
        <v>795</v>
      </c>
      <c r="B936" s="325">
        <f>ROUND(R908-G908,0)</f>
        <v>255607</v>
      </c>
      <c r="C936" s="164">
        <f>+ROUND(B936*$C$933,0)</f>
        <v>0</v>
      </c>
      <c r="D936" s="164">
        <f>AS908</f>
        <v>10665</v>
      </c>
      <c r="E936" s="164">
        <f>+B936+C936</f>
        <v>255607</v>
      </c>
      <c r="F936" s="333">
        <f>(D936+E936)</f>
        <v>266272</v>
      </c>
      <c r="G936" s="325">
        <f>ABS(G908)</f>
        <v>0</v>
      </c>
      <c r="H936" s="398">
        <v>10239</v>
      </c>
      <c r="I936" s="398">
        <v>0</v>
      </c>
      <c r="J936" s="164">
        <f>(H936+I936)</f>
        <v>10239</v>
      </c>
      <c r="K936" s="398">
        <v>0</v>
      </c>
      <c r="L936" s="398">
        <v>0</v>
      </c>
      <c r="M936" s="399">
        <v>261552</v>
      </c>
      <c r="N936" s="400"/>
      <c r="O936" s="394">
        <f>M936+N936</f>
        <v>261552</v>
      </c>
      <c r="P936" s="401">
        <v>0</v>
      </c>
      <c r="Q936" s="386">
        <f>-O936*P936</f>
        <v>0</v>
      </c>
      <c r="R936" s="394">
        <f>O936+Q936</f>
        <v>261552</v>
      </c>
      <c r="S936" s="402">
        <f>(F936-G936-J936-K936-L936-R936)</f>
        <v>-5519</v>
      </c>
      <c r="T936" s="164" t="str">
        <f>+IF(S936&gt;=0,ABS(S936),"")</f>
        <v/>
      </c>
      <c r="U936" s="333">
        <f>+IF(S936&lt;=0,ABS(S936),"")</f>
        <v>5519</v>
      </c>
      <c r="V936" s="307"/>
      <c r="AC936" s="375" t="s">
        <v>1072</v>
      </c>
      <c r="AD936" s="376"/>
      <c r="AE936" s="376"/>
      <c r="AF936" s="376"/>
      <c r="AG936" s="376"/>
      <c r="AH936" s="376">
        <v>1.6E-2</v>
      </c>
      <c r="AI936" s="376">
        <v>1.6E-2</v>
      </c>
      <c r="AJ936" s="376">
        <v>1.6E-2</v>
      </c>
      <c r="AK936" s="376">
        <v>1.6E-2</v>
      </c>
      <c r="AL936" s="376">
        <v>1.6E-2</v>
      </c>
      <c r="AM936" s="376">
        <v>1.6E-2</v>
      </c>
      <c r="AN936" s="376">
        <v>1.6E-2</v>
      </c>
      <c r="AO936" s="376">
        <v>1.6E-2</v>
      </c>
      <c r="AP936" s="376">
        <v>1.6E-2</v>
      </c>
      <c r="AQ936" s="376">
        <v>1.6E-2</v>
      </c>
      <c r="AR936" s="376">
        <v>1.6E-2</v>
      </c>
      <c r="AS936" s="377"/>
    </row>
    <row r="937" spans="1:45" ht="15.75" customHeight="1" x14ac:dyDescent="0.3">
      <c r="A937" s="365" t="s">
        <v>9</v>
      </c>
      <c r="B937" s="325">
        <f t="shared" ref="B937:B947" si="216">ROUND(R909-G909,0)</f>
        <v>194092</v>
      </c>
      <c r="C937" s="164">
        <f t="shared" ref="C937:C947" si="217">+ROUND(B937*$C$933,0)</f>
        <v>0</v>
      </c>
      <c r="D937" s="164">
        <f t="shared" ref="D937:D947" si="218">AS909</f>
        <v>8358</v>
      </c>
      <c r="E937" s="164">
        <f t="shared" ref="E937:E949" si="219">+B937+C937</f>
        <v>194092</v>
      </c>
      <c r="F937" s="333">
        <f t="shared" ref="F937:F947" si="220">(D937+E937)</f>
        <v>202450</v>
      </c>
      <c r="G937" s="325">
        <f t="shared" ref="G937:G947" si="221">ABS(G909)</f>
        <v>0</v>
      </c>
      <c r="H937" s="398">
        <v>12163</v>
      </c>
      <c r="I937" s="398">
        <v>0</v>
      </c>
      <c r="J937" s="164">
        <f t="shared" ref="J937:J946" si="222">(H937+I937)</f>
        <v>12163</v>
      </c>
      <c r="K937" s="398">
        <v>0</v>
      </c>
      <c r="L937" s="398">
        <v>0</v>
      </c>
      <c r="M937" s="399">
        <v>178176</v>
      </c>
      <c r="N937" s="400"/>
      <c r="O937" s="394">
        <f t="shared" ref="O937:O949" si="223">M937+N937</f>
        <v>178176</v>
      </c>
      <c r="P937" s="401">
        <v>0.35</v>
      </c>
      <c r="Q937" s="386">
        <f t="shared" ref="Q937:Q947" si="224">-O937*P937</f>
        <v>-62361.599999999999</v>
      </c>
      <c r="R937" s="394">
        <f t="shared" ref="R937:R947" si="225">O937+Q937</f>
        <v>115814.39999999999</v>
      </c>
      <c r="S937" s="402">
        <f t="shared" ref="S937:S947" si="226">(F937-G937-J937-K937-L937-R937)</f>
        <v>74472.600000000006</v>
      </c>
      <c r="T937" s="164">
        <f t="shared" ref="T937:T947" si="227">+IF(S937&gt;=0,ABS(S937),"")</f>
        <v>74472.600000000006</v>
      </c>
      <c r="U937" s="333" t="str">
        <f t="shared" ref="U937:U947" si="228">+IF(S937&lt;=0,ABS(S937),"")</f>
        <v/>
      </c>
      <c r="V937" s="307"/>
      <c r="AC937" s="375" t="s">
        <v>1032</v>
      </c>
      <c r="AD937" s="376"/>
      <c r="AE937" s="376"/>
      <c r="AF937" s="376"/>
      <c r="AG937" s="376"/>
      <c r="AH937" s="376"/>
      <c r="AI937" s="376"/>
      <c r="AJ937" s="376"/>
      <c r="AK937" s="376"/>
      <c r="AL937" s="376"/>
      <c r="AM937" s="376"/>
      <c r="AN937" s="376"/>
      <c r="AO937" s="376"/>
      <c r="AP937" s="376"/>
      <c r="AQ937" s="376"/>
      <c r="AR937" s="376"/>
      <c r="AS937" s="377"/>
    </row>
    <row r="938" spans="1:45" ht="15.75" customHeight="1" x14ac:dyDescent="0.3">
      <c r="A938" s="365" t="s">
        <v>10</v>
      </c>
      <c r="B938" s="325">
        <f t="shared" si="216"/>
        <v>211682</v>
      </c>
      <c r="C938" s="164">
        <f t="shared" si="217"/>
        <v>0</v>
      </c>
      <c r="D938" s="164">
        <f t="shared" si="218"/>
        <v>9265</v>
      </c>
      <c r="E938" s="164">
        <f t="shared" si="219"/>
        <v>211682</v>
      </c>
      <c r="F938" s="333">
        <f t="shared" si="220"/>
        <v>220947</v>
      </c>
      <c r="G938" s="325">
        <f t="shared" si="221"/>
        <v>1666.5490580256212</v>
      </c>
      <c r="H938" s="398">
        <v>15955</v>
      </c>
      <c r="I938" s="398">
        <v>0</v>
      </c>
      <c r="J938" s="164">
        <f t="shared" si="222"/>
        <v>15955</v>
      </c>
      <c r="K938" s="398">
        <v>0</v>
      </c>
      <c r="L938" s="398">
        <v>0</v>
      </c>
      <c r="M938" s="399">
        <v>189720</v>
      </c>
      <c r="N938" s="400"/>
      <c r="O938" s="394">
        <f t="shared" si="223"/>
        <v>189720</v>
      </c>
      <c r="P938" s="401">
        <v>0.33</v>
      </c>
      <c r="Q938" s="386">
        <f t="shared" si="224"/>
        <v>-62607.600000000006</v>
      </c>
      <c r="R938" s="394">
        <f t="shared" si="225"/>
        <v>127112.4</v>
      </c>
      <c r="S938" s="402">
        <f t="shared" si="226"/>
        <v>76213.05094197439</v>
      </c>
      <c r="T938" s="164">
        <f t="shared" si="227"/>
        <v>76213.05094197439</v>
      </c>
      <c r="U938" s="333" t="str">
        <f t="shared" si="228"/>
        <v/>
      </c>
      <c r="V938" s="307"/>
      <c r="AC938" s="375" t="s">
        <v>1033</v>
      </c>
      <c r="AD938" s="376"/>
      <c r="AE938" s="376"/>
      <c r="AF938" s="376"/>
      <c r="AG938" s="376"/>
      <c r="AH938" s="376"/>
      <c r="AI938" s="376"/>
      <c r="AJ938" s="376"/>
      <c r="AK938" s="376"/>
      <c r="AL938" s="376"/>
      <c r="AM938" s="376"/>
      <c r="AN938" s="376"/>
      <c r="AO938" s="376"/>
      <c r="AP938" s="376"/>
      <c r="AQ938" s="376"/>
      <c r="AR938" s="376"/>
      <c r="AS938" s="377"/>
    </row>
    <row r="939" spans="1:45" ht="15.75" customHeight="1" x14ac:dyDescent="0.3">
      <c r="A939" s="365" t="s">
        <v>12</v>
      </c>
      <c r="B939" s="325">
        <f t="shared" si="216"/>
        <v>286584</v>
      </c>
      <c r="C939" s="164">
        <f t="shared" si="217"/>
        <v>0</v>
      </c>
      <c r="D939" s="164">
        <f t="shared" si="218"/>
        <v>12434</v>
      </c>
      <c r="E939" s="164">
        <f t="shared" si="219"/>
        <v>286584</v>
      </c>
      <c r="F939" s="333">
        <f t="shared" si="220"/>
        <v>299018</v>
      </c>
      <c r="G939" s="325">
        <f t="shared" si="221"/>
        <v>0</v>
      </c>
      <c r="H939" s="398">
        <v>16907</v>
      </c>
      <c r="I939" s="398">
        <v>0</v>
      </c>
      <c r="J939" s="164">
        <f t="shared" si="222"/>
        <v>16907</v>
      </c>
      <c r="K939" s="398">
        <v>0</v>
      </c>
      <c r="L939" s="398">
        <v>0</v>
      </c>
      <c r="M939" s="399">
        <v>292320</v>
      </c>
      <c r="N939" s="400"/>
      <c r="O939" s="394">
        <f t="shared" si="223"/>
        <v>292320</v>
      </c>
      <c r="P939" s="401">
        <v>0.3</v>
      </c>
      <c r="Q939" s="386">
        <f t="shared" si="224"/>
        <v>-87696</v>
      </c>
      <c r="R939" s="394">
        <f t="shared" si="225"/>
        <v>204624</v>
      </c>
      <c r="S939" s="402">
        <f t="shared" si="226"/>
        <v>77487</v>
      </c>
      <c r="T939" s="164">
        <f t="shared" si="227"/>
        <v>77487</v>
      </c>
      <c r="U939" s="333" t="str">
        <f t="shared" si="228"/>
        <v/>
      </c>
      <c r="V939" s="307"/>
      <c r="AC939" s="375" t="s">
        <v>822</v>
      </c>
      <c r="AD939" s="376"/>
      <c r="AE939" s="376"/>
      <c r="AF939" s="376"/>
      <c r="AG939" s="376"/>
      <c r="AH939" s="376"/>
      <c r="AI939" s="376"/>
      <c r="AJ939" s="376"/>
      <c r="AK939" s="376"/>
      <c r="AL939" s="376"/>
      <c r="AM939" s="376"/>
      <c r="AN939" s="376"/>
      <c r="AO939" s="376"/>
      <c r="AP939" s="376"/>
      <c r="AQ939" s="376"/>
      <c r="AR939" s="376"/>
      <c r="AS939" s="377"/>
    </row>
    <row r="940" spans="1:45" ht="15.75" customHeight="1" x14ac:dyDescent="0.3">
      <c r="A940" s="365" t="s">
        <v>13</v>
      </c>
      <c r="B940" s="325">
        <f t="shared" si="216"/>
        <v>298343</v>
      </c>
      <c r="C940" s="164">
        <f t="shared" si="217"/>
        <v>0</v>
      </c>
      <c r="D940" s="164">
        <f t="shared" si="218"/>
        <v>13155</v>
      </c>
      <c r="E940" s="164">
        <f t="shared" si="219"/>
        <v>298343</v>
      </c>
      <c r="F940" s="333">
        <f t="shared" si="220"/>
        <v>311498</v>
      </c>
      <c r="G940" s="325">
        <f t="shared" si="221"/>
        <v>0</v>
      </c>
      <c r="H940" s="398">
        <v>13531</v>
      </c>
      <c r="I940" s="398">
        <v>0</v>
      </c>
      <c r="J940" s="164">
        <f t="shared" si="222"/>
        <v>13531</v>
      </c>
      <c r="K940" s="398">
        <v>0</v>
      </c>
      <c r="L940" s="398">
        <v>0</v>
      </c>
      <c r="M940" s="399">
        <v>300552</v>
      </c>
      <c r="N940" s="400"/>
      <c r="O940" s="394">
        <f t="shared" si="223"/>
        <v>300552</v>
      </c>
      <c r="P940" s="401">
        <v>0.09</v>
      </c>
      <c r="Q940" s="386">
        <f t="shared" si="224"/>
        <v>-27049.68</v>
      </c>
      <c r="R940" s="394">
        <f t="shared" si="225"/>
        <v>273502.32</v>
      </c>
      <c r="S940" s="402">
        <f t="shared" si="226"/>
        <v>24464.679999999993</v>
      </c>
      <c r="T940" s="164">
        <f t="shared" si="227"/>
        <v>24464.679999999993</v>
      </c>
      <c r="U940" s="333" t="str">
        <f t="shared" si="228"/>
        <v/>
      </c>
      <c r="V940" s="307"/>
      <c r="AC940" s="375" t="s">
        <v>1073</v>
      </c>
      <c r="AD940" s="376"/>
      <c r="AE940" s="376"/>
      <c r="AF940" s="376"/>
      <c r="AG940" s="376"/>
      <c r="AH940" s="376"/>
      <c r="AI940" s="376"/>
      <c r="AJ940" s="376">
        <v>2.5000000000000001E-2</v>
      </c>
      <c r="AK940" s="376">
        <v>2.5000000000000001E-2</v>
      </c>
      <c r="AL940" s="376">
        <v>2.5000000000000001E-2</v>
      </c>
      <c r="AM940" s="376">
        <v>2.5000000000000001E-2</v>
      </c>
      <c r="AN940" s="376">
        <v>2.5000000000000001E-2</v>
      </c>
      <c r="AO940" s="376">
        <v>2.5000000000000001E-2</v>
      </c>
      <c r="AP940" s="376">
        <v>2.5000000000000001E-2</v>
      </c>
      <c r="AQ940" s="376">
        <v>2.5000000000000001E-2</v>
      </c>
      <c r="AR940" s="376">
        <v>2.5000000000000001E-2</v>
      </c>
      <c r="AS940" s="377"/>
    </row>
    <row r="941" spans="1:45" ht="15.75" customHeight="1" x14ac:dyDescent="0.3">
      <c r="A941" s="365" t="s">
        <v>14</v>
      </c>
      <c r="B941" s="325">
        <f t="shared" si="216"/>
        <v>177024</v>
      </c>
      <c r="C941" s="164">
        <f t="shared" si="217"/>
        <v>0</v>
      </c>
      <c r="D941" s="164">
        <f t="shared" si="218"/>
        <v>7497</v>
      </c>
      <c r="E941" s="164">
        <f t="shared" si="219"/>
        <v>177024</v>
      </c>
      <c r="F941" s="333">
        <f t="shared" si="220"/>
        <v>184521</v>
      </c>
      <c r="G941" s="325">
        <f t="shared" si="221"/>
        <v>15232.50655614168</v>
      </c>
      <c r="H941" s="398">
        <v>13636</v>
      </c>
      <c r="I941" s="398">
        <v>0</v>
      </c>
      <c r="J941" s="164">
        <f t="shared" si="222"/>
        <v>13636</v>
      </c>
      <c r="K941" s="398">
        <v>0</v>
      </c>
      <c r="L941" s="398">
        <v>0</v>
      </c>
      <c r="M941" s="399">
        <v>151020</v>
      </c>
      <c r="N941" s="400">
        <v>15300</v>
      </c>
      <c r="O941" s="394">
        <f t="shared" si="223"/>
        <v>166320</v>
      </c>
      <c r="P941" s="401">
        <v>7.0000000000000007E-2</v>
      </c>
      <c r="Q941" s="386">
        <f t="shared" si="224"/>
        <v>-11642.400000000001</v>
      </c>
      <c r="R941" s="394">
        <f t="shared" si="225"/>
        <v>154677.6</v>
      </c>
      <c r="S941" s="402">
        <f t="shared" si="226"/>
        <v>974.89344385830918</v>
      </c>
      <c r="T941" s="164">
        <f t="shared" si="227"/>
        <v>974.89344385830918</v>
      </c>
      <c r="U941" s="333" t="str">
        <f t="shared" si="228"/>
        <v/>
      </c>
      <c r="V941" s="307"/>
      <c r="AC941" s="375" t="s">
        <v>422</v>
      </c>
      <c r="AD941" s="169">
        <f>SUM(AD936:AD940)</f>
        <v>0</v>
      </c>
      <c r="AE941" s="169">
        <f t="shared" ref="AE941:AR941" si="229">SUM(AE936:AE940)</f>
        <v>0</v>
      </c>
      <c r="AF941" s="169">
        <f t="shared" si="229"/>
        <v>0</v>
      </c>
      <c r="AG941" s="169">
        <f t="shared" si="229"/>
        <v>0</v>
      </c>
      <c r="AH941" s="169">
        <f t="shared" si="229"/>
        <v>1.6E-2</v>
      </c>
      <c r="AI941" s="169">
        <f t="shared" si="229"/>
        <v>1.6E-2</v>
      </c>
      <c r="AJ941" s="169">
        <f t="shared" si="229"/>
        <v>4.1000000000000002E-2</v>
      </c>
      <c r="AK941" s="169">
        <f t="shared" si="229"/>
        <v>4.1000000000000002E-2</v>
      </c>
      <c r="AL941" s="169">
        <f t="shared" si="229"/>
        <v>4.1000000000000002E-2</v>
      </c>
      <c r="AM941" s="169">
        <f t="shared" si="229"/>
        <v>4.1000000000000002E-2</v>
      </c>
      <c r="AN941" s="169">
        <f t="shared" si="229"/>
        <v>4.1000000000000002E-2</v>
      </c>
      <c r="AO941" s="169">
        <f t="shared" si="229"/>
        <v>4.1000000000000002E-2</v>
      </c>
      <c r="AP941" s="169">
        <f t="shared" si="229"/>
        <v>4.1000000000000002E-2</v>
      </c>
      <c r="AQ941" s="169">
        <f t="shared" si="229"/>
        <v>4.1000000000000002E-2</v>
      </c>
      <c r="AR941" s="169">
        <f t="shared" si="229"/>
        <v>4.1000000000000002E-2</v>
      </c>
      <c r="AS941" s="377"/>
    </row>
    <row r="942" spans="1:45" ht="15.75" customHeight="1" x14ac:dyDescent="0.3">
      <c r="A942" s="365" t="s">
        <v>16</v>
      </c>
      <c r="B942" s="325">
        <f t="shared" si="216"/>
        <v>156068</v>
      </c>
      <c r="C942" s="164">
        <f t="shared" si="217"/>
        <v>0</v>
      </c>
      <c r="D942" s="164">
        <f t="shared" si="218"/>
        <v>6522</v>
      </c>
      <c r="E942" s="164">
        <f t="shared" si="219"/>
        <v>156068</v>
      </c>
      <c r="F942" s="333">
        <f t="shared" si="220"/>
        <v>162590</v>
      </c>
      <c r="G942" s="325">
        <f t="shared" si="221"/>
        <v>14511.141514979801</v>
      </c>
      <c r="H942" s="398">
        <v>12010</v>
      </c>
      <c r="I942" s="398">
        <v>0</v>
      </c>
      <c r="J942" s="164">
        <f t="shared" si="222"/>
        <v>12010</v>
      </c>
      <c r="K942" s="398">
        <v>0</v>
      </c>
      <c r="L942" s="398">
        <v>0</v>
      </c>
      <c r="M942" s="399">
        <v>159216</v>
      </c>
      <c r="N942" s="400">
        <v>15872</v>
      </c>
      <c r="O942" s="394">
        <f t="shared" si="223"/>
        <v>175088</v>
      </c>
      <c r="P942" s="401">
        <v>7.4999999999999997E-2</v>
      </c>
      <c r="Q942" s="386">
        <f t="shared" si="224"/>
        <v>-13131.6</v>
      </c>
      <c r="R942" s="394">
        <f t="shared" si="225"/>
        <v>161956.4</v>
      </c>
      <c r="S942" s="402">
        <f t="shared" si="226"/>
        <v>-25887.541514979792</v>
      </c>
      <c r="T942" s="164" t="str">
        <f t="shared" si="227"/>
        <v/>
      </c>
      <c r="U942" s="333">
        <f t="shared" si="228"/>
        <v>25887.541514979792</v>
      </c>
      <c r="V942" s="307"/>
      <c r="AC942" s="325" t="s">
        <v>409</v>
      </c>
      <c r="AD942" s="164" t="s">
        <v>409</v>
      </c>
      <c r="AE942" s="164" t="s">
        <v>409</v>
      </c>
      <c r="AF942" s="164" t="s">
        <v>409</v>
      </c>
      <c r="AG942" s="164" t="s">
        <v>409</v>
      </c>
      <c r="AH942" s="164" t="s">
        <v>409</v>
      </c>
      <c r="AI942" s="164" t="s">
        <v>409</v>
      </c>
      <c r="AJ942" s="164" t="s">
        <v>409</v>
      </c>
      <c r="AK942" s="164" t="s">
        <v>409</v>
      </c>
      <c r="AL942" s="164" t="s">
        <v>409</v>
      </c>
      <c r="AM942" s="164" t="s">
        <v>409</v>
      </c>
      <c r="AN942" s="164" t="s">
        <v>409</v>
      </c>
      <c r="AO942" s="164" t="s">
        <v>409</v>
      </c>
      <c r="AP942" s="164" t="s">
        <v>409</v>
      </c>
      <c r="AQ942" s="164" t="s">
        <v>409</v>
      </c>
      <c r="AR942" s="164" t="s">
        <v>409</v>
      </c>
      <c r="AS942" s="377" t="s">
        <v>409</v>
      </c>
    </row>
    <row r="943" spans="1:45" ht="15.75" customHeight="1" x14ac:dyDescent="0.3">
      <c r="A943" s="365" t="s">
        <v>17</v>
      </c>
      <c r="B943" s="325">
        <f t="shared" si="216"/>
        <v>133615</v>
      </c>
      <c r="C943" s="164">
        <f t="shared" si="217"/>
        <v>0</v>
      </c>
      <c r="D943" s="164">
        <f t="shared" si="218"/>
        <v>5616</v>
      </c>
      <c r="E943" s="164">
        <f t="shared" si="219"/>
        <v>133615</v>
      </c>
      <c r="F943" s="333">
        <f t="shared" si="220"/>
        <v>139231</v>
      </c>
      <c r="G943" s="325">
        <f t="shared" si="221"/>
        <v>9240.355367309241</v>
      </c>
      <c r="H943" s="398">
        <v>9563</v>
      </c>
      <c r="I943" s="398">
        <v>0</v>
      </c>
      <c r="J943" s="164">
        <f t="shared" si="222"/>
        <v>9563</v>
      </c>
      <c r="K943" s="398">
        <v>0</v>
      </c>
      <c r="L943" s="398">
        <v>0</v>
      </c>
      <c r="M943" s="399">
        <v>159960</v>
      </c>
      <c r="N943" s="400">
        <v>15376</v>
      </c>
      <c r="O943" s="394">
        <f t="shared" si="223"/>
        <v>175336</v>
      </c>
      <c r="P943" s="401">
        <v>7.4999999999999997E-2</v>
      </c>
      <c r="Q943" s="386">
        <f t="shared" si="224"/>
        <v>-13150.199999999999</v>
      </c>
      <c r="R943" s="394">
        <f t="shared" si="225"/>
        <v>162185.79999999999</v>
      </c>
      <c r="S943" s="402">
        <f t="shared" si="226"/>
        <v>-41758.155367309228</v>
      </c>
      <c r="T943" s="164" t="str">
        <f t="shared" si="227"/>
        <v/>
      </c>
      <c r="U943" s="333">
        <f t="shared" si="228"/>
        <v>41758.155367309228</v>
      </c>
      <c r="V943" s="307"/>
      <c r="AC943" s="375" t="s">
        <v>795</v>
      </c>
      <c r="AD943" s="159">
        <f>ROUND(B908*$AD$941, 0)</f>
        <v>0</v>
      </c>
      <c r="AE943" s="159">
        <f>ROUND(C908*$AE$941,0)</f>
        <v>0</v>
      </c>
      <c r="AF943" s="159">
        <f>ROUND(D908*$AF$941,0)</f>
        <v>0</v>
      </c>
      <c r="AG943" s="159">
        <f>ROUND(E908*$AG$941,0)</f>
        <v>0</v>
      </c>
      <c r="AH943" s="159">
        <f>ROUND(F908*$AH$941,0)</f>
        <v>368</v>
      </c>
      <c r="AI943" s="159">
        <f>ROUND(H908*$AI$941,0)</f>
        <v>37</v>
      </c>
      <c r="AJ943" s="159">
        <f>ROUND(I908*$AJ$941,0)</f>
        <v>60</v>
      </c>
      <c r="AK943" s="159">
        <f>ROUND(J908*$AK$941,0)</f>
        <v>93</v>
      </c>
      <c r="AL943" s="159">
        <f>ROUND(K908*$AL$941,0)</f>
        <v>96</v>
      </c>
      <c r="AM943" s="159">
        <f>ROUND(L908*$AM$941,0)</f>
        <v>32</v>
      </c>
      <c r="AN943" s="159">
        <f>ROUND(M908*$AN$941,0)</f>
        <v>38</v>
      </c>
      <c r="AO943" s="159">
        <f>ROUND(N908*$AO$941,0)</f>
        <v>79</v>
      </c>
      <c r="AP943" s="159">
        <f>ROUND(O908*$AP$941,0)</f>
        <v>30</v>
      </c>
      <c r="AQ943" s="159">
        <f>ROUND(P908*$AQ$941,0)</f>
        <v>51</v>
      </c>
      <c r="AR943" s="159">
        <f>ROUND(Q908*$AR$941,0)</f>
        <v>72</v>
      </c>
      <c r="AS943" s="374">
        <f>SUM(AD943:AR943)</f>
        <v>956</v>
      </c>
    </row>
    <row r="944" spans="1:45" ht="15.75" customHeight="1" x14ac:dyDescent="0.3">
      <c r="A944" s="365" t="s">
        <v>18</v>
      </c>
      <c r="B944" s="325">
        <f t="shared" si="216"/>
        <v>227626</v>
      </c>
      <c r="C944" s="164">
        <f t="shared" si="217"/>
        <v>0</v>
      </c>
      <c r="D944" s="164">
        <f t="shared" si="218"/>
        <v>9890</v>
      </c>
      <c r="E944" s="164">
        <f t="shared" si="219"/>
        <v>227626</v>
      </c>
      <c r="F944" s="333">
        <f t="shared" si="220"/>
        <v>237516</v>
      </c>
      <c r="G944" s="325">
        <f t="shared" si="221"/>
        <v>2315.0367445365478</v>
      </c>
      <c r="H944" s="398">
        <v>10083</v>
      </c>
      <c r="I944" s="398">
        <v>0</v>
      </c>
      <c r="J944" s="164">
        <f t="shared" si="222"/>
        <v>10083</v>
      </c>
      <c r="K944" s="398">
        <v>0</v>
      </c>
      <c r="L944" s="398">
        <v>0</v>
      </c>
      <c r="M944" s="399">
        <v>246720</v>
      </c>
      <c r="N944" s="400">
        <v>37200</v>
      </c>
      <c r="O944" s="394">
        <f t="shared" si="223"/>
        <v>283920</v>
      </c>
      <c r="P944" s="401">
        <v>7.4999999999999997E-2</v>
      </c>
      <c r="Q944" s="386">
        <f t="shared" si="224"/>
        <v>-21294</v>
      </c>
      <c r="R944" s="394">
        <f t="shared" si="225"/>
        <v>262626</v>
      </c>
      <c r="S944" s="402">
        <f t="shared" si="226"/>
        <v>-37508.036744536541</v>
      </c>
      <c r="T944" s="164" t="str">
        <f t="shared" si="227"/>
        <v/>
      </c>
      <c r="U944" s="333">
        <f t="shared" si="228"/>
        <v>37508.036744536541</v>
      </c>
      <c r="V944" s="307"/>
      <c r="AC944" s="375" t="s">
        <v>9</v>
      </c>
      <c r="AD944" s="159">
        <f t="shared" ref="AD944:AD954" si="230">ROUND(B909*$AD$941, 0)</f>
        <v>0</v>
      </c>
      <c r="AE944" s="159">
        <f t="shared" ref="AE944:AE954" si="231">ROUND(C909*$AE$941,0)</f>
        <v>0</v>
      </c>
      <c r="AF944" s="159">
        <f t="shared" ref="AF944:AF954" si="232">ROUND(D909*$AF$941,0)</f>
        <v>0</v>
      </c>
      <c r="AG944" s="159">
        <f t="shared" ref="AG944:AG954" si="233">ROUND(E909*$AG$941,0)</f>
        <v>0</v>
      </c>
      <c r="AH944" s="159">
        <f t="shared" ref="AH944:AH954" si="234">ROUND(F909*$AH$941,0)</f>
        <v>114</v>
      </c>
      <c r="AI944" s="159">
        <f t="shared" ref="AI944:AI954" si="235">ROUND(H909*$AI$941,0)</f>
        <v>90</v>
      </c>
      <c r="AJ944" s="159">
        <f t="shared" ref="AJ944:AJ954" si="236">ROUND(I909*$AJ$941,0)</f>
        <v>118</v>
      </c>
      <c r="AK944" s="159">
        <f t="shared" ref="AK944:AK954" si="237">ROUND(J909*$AK$941,0)</f>
        <v>181</v>
      </c>
      <c r="AL944" s="159">
        <f t="shared" ref="AL944:AL954" si="238">ROUND(K909*$AL$941,0)</f>
        <v>171</v>
      </c>
      <c r="AM944" s="159">
        <f t="shared" ref="AM944:AM954" si="239">ROUND(L909*$AM$941,0)</f>
        <v>47</v>
      </c>
      <c r="AN944" s="159">
        <f t="shared" ref="AN944:AN954" si="240">ROUND(M909*$AN$941,0)</f>
        <v>55</v>
      </c>
      <c r="AO944" s="159">
        <f t="shared" ref="AO944:AO954" si="241">ROUND(N909*$AO$941,0)</f>
        <v>111</v>
      </c>
      <c r="AP944" s="159">
        <f t="shared" ref="AP944:AP954" si="242">ROUND(O909*$AP$941,0)</f>
        <v>23</v>
      </c>
      <c r="AQ944" s="159">
        <f t="shared" ref="AQ944:AQ954" si="243">ROUND(P909*$AQ$941,0)</f>
        <v>44</v>
      </c>
      <c r="AR944" s="159">
        <f t="shared" ref="AR944:AR954" si="244">ROUND(Q909*$AR$941,0)</f>
        <v>56</v>
      </c>
      <c r="AS944" s="374">
        <f t="shared" ref="AS944:AS954" si="245">SUM(AD944:AR944)</f>
        <v>1010</v>
      </c>
    </row>
    <row r="945" spans="1:45" ht="15.75" customHeight="1" x14ac:dyDescent="0.3">
      <c r="A945" s="365" t="s">
        <v>20</v>
      </c>
      <c r="B945" s="325">
        <f t="shared" si="216"/>
        <v>211650</v>
      </c>
      <c r="C945" s="164">
        <f t="shared" si="217"/>
        <v>0</v>
      </c>
      <c r="D945" s="164">
        <f t="shared" si="218"/>
        <v>9354</v>
      </c>
      <c r="E945" s="164">
        <f t="shared" si="219"/>
        <v>211650</v>
      </c>
      <c r="F945" s="333">
        <f t="shared" si="220"/>
        <v>221004</v>
      </c>
      <c r="G945" s="325">
        <f t="shared" si="221"/>
        <v>131.45975885455857</v>
      </c>
      <c r="H945" s="398">
        <v>7997</v>
      </c>
      <c r="I945" s="398">
        <v>0</v>
      </c>
      <c r="J945" s="164">
        <f t="shared" si="222"/>
        <v>7997</v>
      </c>
      <c r="K945" s="398">
        <v>0</v>
      </c>
      <c r="L945" s="398">
        <v>0</v>
      </c>
      <c r="M945" s="399">
        <v>220720</v>
      </c>
      <c r="N945" s="400"/>
      <c r="O945" s="394">
        <f t="shared" si="223"/>
        <v>220720</v>
      </c>
      <c r="P945" s="401">
        <v>0.3</v>
      </c>
      <c r="Q945" s="386">
        <f t="shared" si="224"/>
        <v>-66216</v>
      </c>
      <c r="R945" s="394">
        <f t="shared" si="225"/>
        <v>154504</v>
      </c>
      <c r="S945" s="402">
        <f t="shared" si="226"/>
        <v>58371.540241145442</v>
      </c>
      <c r="T945" s="164">
        <f t="shared" si="227"/>
        <v>58371.540241145442</v>
      </c>
      <c r="U945" s="333" t="str">
        <f t="shared" si="228"/>
        <v/>
      </c>
      <c r="V945" s="307"/>
      <c r="AC945" s="375" t="s">
        <v>10</v>
      </c>
      <c r="AD945" s="159">
        <f t="shared" si="230"/>
        <v>0</v>
      </c>
      <c r="AE945" s="159">
        <f t="shared" si="231"/>
        <v>0</v>
      </c>
      <c r="AF945" s="159">
        <f t="shared" si="232"/>
        <v>0</v>
      </c>
      <c r="AG945" s="159">
        <f t="shared" si="233"/>
        <v>0</v>
      </c>
      <c r="AH945" s="159">
        <f t="shared" si="234"/>
        <v>16</v>
      </c>
      <c r="AI945" s="159">
        <f t="shared" si="235"/>
        <v>139</v>
      </c>
      <c r="AJ945" s="159">
        <f t="shared" si="236"/>
        <v>208</v>
      </c>
      <c r="AK945" s="159">
        <f t="shared" si="237"/>
        <v>252</v>
      </c>
      <c r="AL945" s="159">
        <f t="shared" si="238"/>
        <v>235</v>
      </c>
      <c r="AM945" s="159">
        <f t="shared" si="239"/>
        <v>72</v>
      </c>
      <c r="AN945" s="159">
        <f t="shared" si="240"/>
        <v>84</v>
      </c>
      <c r="AO945" s="159">
        <f t="shared" si="241"/>
        <v>171</v>
      </c>
      <c r="AP945" s="159">
        <f t="shared" si="242"/>
        <v>31</v>
      </c>
      <c r="AQ945" s="159">
        <f t="shared" si="243"/>
        <v>55</v>
      </c>
      <c r="AR945" s="159">
        <f t="shared" si="244"/>
        <v>74</v>
      </c>
      <c r="AS945" s="374">
        <f t="shared" si="245"/>
        <v>1337</v>
      </c>
    </row>
    <row r="946" spans="1:45" ht="15.75" customHeight="1" x14ac:dyDescent="0.3">
      <c r="A946" s="365" t="s">
        <v>21</v>
      </c>
      <c r="B946" s="325">
        <f t="shared" si="216"/>
        <v>225706</v>
      </c>
      <c r="C946" s="164">
        <f t="shared" si="217"/>
        <v>0</v>
      </c>
      <c r="D946" s="164">
        <f t="shared" si="218"/>
        <v>9691</v>
      </c>
      <c r="E946" s="164">
        <f t="shared" si="219"/>
        <v>225706</v>
      </c>
      <c r="F946" s="333">
        <f t="shared" si="220"/>
        <v>235397</v>
      </c>
      <c r="G946" s="325">
        <f t="shared" si="221"/>
        <v>0</v>
      </c>
      <c r="H946" s="398">
        <v>11493</v>
      </c>
      <c r="I946" s="398">
        <v>0</v>
      </c>
      <c r="J946" s="164">
        <f t="shared" si="222"/>
        <v>11493</v>
      </c>
      <c r="K946" s="398">
        <v>0</v>
      </c>
      <c r="L946" s="398">
        <v>0</v>
      </c>
      <c r="M946" s="399">
        <v>214560</v>
      </c>
      <c r="N946" s="400"/>
      <c r="O946" s="394">
        <f t="shared" si="223"/>
        <v>214560</v>
      </c>
      <c r="P946" s="401">
        <v>0.3</v>
      </c>
      <c r="Q946" s="386">
        <f t="shared" si="224"/>
        <v>-64368</v>
      </c>
      <c r="R946" s="394">
        <f t="shared" si="225"/>
        <v>150192</v>
      </c>
      <c r="S946" s="402">
        <f t="shared" si="226"/>
        <v>73712</v>
      </c>
      <c r="T946" s="164">
        <f t="shared" si="227"/>
        <v>73712</v>
      </c>
      <c r="U946" s="333" t="str">
        <f t="shared" si="228"/>
        <v/>
      </c>
      <c r="V946" s="307"/>
      <c r="AC946" s="375" t="s">
        <v>12</v>
      </c>
      <c r="AD946" s="159">
        <f t="shared" si="230"/>
        <v>0</v>
      </c>
      <c r="AE946" s="159">
        <f t="shared" si="231"/>
        <v>0</v>
      </c>
      <c r="AF946" s="159">
        <f t="shared" si="232"/>
        <v>0</v>
      </c>
      <c r="AG946" s="159">
        <f t="shared" si="233"/>
        <v>0</v>
      </c>
      <c r="AH946" s="159">
        <f t="shared" si="234"/>
        <v>99</v>
      </c>
      <c r="AI946" s="159">
        <f t="shared" si="235"/>
        <v>160</v>
      </c>
      <c r="AJ946" s="159">
        <f t="shared" si="236"/>
        <v>258</v>
      </c>
      <c r="AK946" s="159">
        <f t="shared" si="237"/>
        <v>310</v>
      </c>
      <c r="AL946" s="159">
        <f t="shared" si="238"/>
        <v>269</v>
      </c>
      <c r="AM946" s="159">
        <f t="shared" si="239"/>
        <v>86</v>
      </c>
      <c r="AN946" s="159">
        <f t="shared" si="240"/>
        <v>102</v>
      </c>
      <c r="AO946" s="159">
        <f t="shared" si="241"/>
        <v>211</v>
      </c>
      <c r="AP946" s="159">
        <f t="shared" si="242"/>
        <v>32</v>
      </c>
      <c r="AQ946" s="159">
        <f t="shared" si="243"/>
        <v>48</v>
      </c>
      <c r="AR946" s="159">
        <f t="shared" si="244"/>
        <v>76</v>
      </c>
      <c r="AS946" s="374">
        <f t="shared" si="245"/>
        <v>1651</v>
      </c>
    </row>
    <row r="947" spans="1:45" ht="15.75" customHeight="1" x14ac:dyDescent="0.3">
      <c r="A947" s="365" t="s">
        <v>22</v>
      </c>
      <c r="B947" s="325">
        <f t="shared" si="216"/>
        <v>200550</v>
      </c>
      <c r="C947" s="164">
        <f t="shared" si="217"/>
        <v>0</v>
      </c>
      <c r="D947" s="164">
        <f t="shared" si="218"/>
        <v>8546</v>
      </c>
      <c r="E947" s="164">
        <f t="shared" si="219"/>
        <v>200550</v>
      </c>
      <c r="F947" s="333">
        <f t="shared" si="220"/>
        <v>209096</v>
      </c>
      <c r="G947" s="325">
        <f t="shared" si="221"/>
        <v>0</v>
      </c>
      <c r="H947" s="398">
        <v>7495</v>
      </c>
      <c r="I947" s="398">
        <v>0</v>
      </c>
      <c r="J947" s="164">
        <f>(H947+I947)</f>
        <v>7495</v>
      </c>
      <c r="K947" s="398">
        <v>0</v>
      </c>
      <c r="L947" s="398">
        <v>0</v>
      </c>
      <c r="M947" s="399">
        <v>234112</v>
      </c>
      <c r="N947" s="400"/>
      <c r="O947" s="394">
        <f t="shared" si="223"/>
        <v>234112</v>
      </c>
      <c r="P947" s="401">
        <v>0.3</v>
      </c>
      <c r="Q947" s="386">
        <f t="shared" si="224"/>
        <v>-70233.599999999991</v>
      </c>
      <c r="R947" s="394">
        <f t="shared" si="225"/>
        <v>163878.40000000002</v>
      </c>
      <c r="S947" s="402">
        <f t="shared" si="226"/>
        <v>37722.599999999977</v>
      </c>
      <c r="T947" s="164">
        <f t="shared" si="227"/>
        <v>37722.599999999977</v>
      </c>
      <c r="U947" s="333" t="str">
        <f t="shared" si="228"/>
        <v/>
      </c>
      <c r="V947" s="307"/>
      <c r="AC947" s="375" t="s">
        <v>13</v>
      </c>
      <c r="AD947" s="159">
        <f t="shared" si="230"/>
        <v>0</v>
      </c>
      <c r="AE947" s="159">
        <f t="shared" si="231"/>
        <v>0</v>
      </c>
      <c r="AF947" s="159">
        <f t="shared" si="232"/>
        <v>0</v>
      </c>
      <c r="AG947" s="159">
        <f t="shared" si="233"/>
        <v>0</v>
      </c>
      <c r="AH947" s="159">
        <f t="shared" si="234"/>
        <v>43</v>
      </c>
      <c r="AI947" s="159">
        <f t="shared" si="235"/>
        <v>185</v>
      </c>
      <c r="AJ947" s="159">
        <f t="shared" si="236"/>
        <v>239</v>
      </c>
      <c r="AK947" s="159">
        <f t="shared" si="237"/>
        <v>277</v>
      </c>
      <c r="AL947" s="159">
        <f t="shared" si="238"/>
        <v>258</v>
      </c>
      <c r="AM947" s="159">
        <f t="shared" si="239"/>
        <v>90</v>
      </c>
      <c r="AN947" s="159">
        <f t="shared" si="240"/>
        <v>107</v>
      </c>
      <c r="AO947" s="159">
        <f t="shared" si="241"/>
        <v>214</v>
      </c>
      <c r="AP947" s="159">
        <f t="shared" si="242"/>
        <v>32</v>
      </c>
      <c r="AQ947" s="159">
        <f t="shared" si="243"/>
        <v>21</v>
      </c>
      <c r="AR947" s="159">
        <f t="shared" si="244"/>
        <v>76</v>
      </c>
      <c r="AS947" s="374">
        <f t="shared" si="245"/>
        <v>1542</v>
      </c>
    </row>
    <row r="948" spans="1:45" ht="15.75" customHeight="1" x14ac:dyDescent="0.3">
      <c r="A948" s="377" t="s">
        <v>424</v>
      </c>
      <c r="B948" s="325" t="s">
        <v>424</v>
      </c>
      <c r="C948" s="164"/>
      <c r="D948" s="164"/>
      <c r="E948" s="164" t="s">
        <v>7</v>
      </c>
      <c r="F948" s="333"/>
      <c r="G948" s="325"/>
      <c r="H948" s="164"/>
      <c r="I948" s="164" t="s">
        <v>7</v>
      </c>
      <c r="J948" s="164" t="s">
        <v>7</v>
      </c>
      <c r="K948" s="403"/>
      <c r="L948" s="164"/>
      <c r="M948" s="399"/>
      <c r="N948" s="400"/>
      <c r="O948" s="394"/>
      <c r="P948" s="401"/>
      <c r="Q948" s="400"/>
      <c r="R948" s="394"/>
      <c r="S948" s="402"/>
      <c r="T948" s="164"/>
      <c r="U948" s="333"/>
      <c r="V948" s="307"/>
      <c r="AC948" s="375" t="s">
        <v>14</v>
      </c>
      <c r="AD948" s="159">
        <f t="shared" si="230"/>
        <v>0</v>
      </c>
      <c r="AE948" s="159">
        <f t="shared" si="231"/>
        <v>0</v>
      </c>
      <c r="AF948" s="159">
        <f t="shared" si="232"/>
        <v>0</v>
      </c>
      <c r="AG948" s="159">
        <f t="shared" si="233"/>
        <v>0</v>
      </c>
      <c r="AH948" s="159">
        <f t="shared" si="234"/>
        <v>0</v>
      </c>
      <c r="AI948" s="159">
        <f t="shared" si="235"/>
        <v>225</v>
      </c>
      <c r="AJ948" s="159">
        <f t="shared" si="236"/>
        <v>298</v>
      </c>
      <c r="AK948" s="159">
        <f t="shared" si="237"/>
        <v>298</v>
      </c>
      <c r="AL948" s="159">
        <f t="shared" si="238"/>
        <v>245</v>
      </c>
      <c r="AM948" s="159">
        <f t="shared" si="239"/>
        <v>87</v>
      </c>
      <c r="AN948" s="159">
        <f t="shared" si="240"/>
        <v>102</v>
      </c>
      <c r="AO948" s="159">
        <f t="shared" si="241"/>
        <v>199</v>
      </c>
      <c r="AP948" s="159">
        <f t="shared" si="242"/>
        <v>34</v>
      </c>
      <c r="AQ948" s="159">
        <f t="shared" si="243"/>
        <v>68</v>
      </c>
      <c r="AR948" s="159">
        <f t="shared" si="244"/>
        <v>81</v>
      </c>
      <c r="AS948" s="374">
        <f t="shared" si="245"/>
        <v>1637</v>
      </c>
    </row>
    <row r="949" spans="1:45" ht="16.5" customHeight="1" thickBot="1" x14ac:dyDescent="0.35">
      <c r="A949" s="404" t="s">
        <v>422</v>
      </c>
      <c r="B949" s="330">
        <f>SUM(B936:B947)</f>
        <v>2578547</v>
      </c>
      <c r="C949" s="335">
        <f>+SUM(C936:C947)</f>
        <v>0</v>
      </c>
      <c r="D949" s="335">
        <f>SUM(D936:D947)</f>
        <v>110993</v>
      </c>
      <c r="E949" s="335">
        <f t="shared" si="219"/>
        <v>2578547</v>
      </c>
      <c r="F949" s="405">
        <f>SUM(F936:F947)</f>
        <v>2689540</v>
      </c>
      <c r="G949" s="330">
        <f>SUM(G936:G947)</f>
        <v>43097.048999847451</v>
      </c>
      <c r="H949" s="335">
        <f>SUM(H936:H947)</f>
        <v>141072</v>
      </c>
      <c r="I949" s="335">
        <f>SUM(I936:I947)</f>
        <v>0</v>
      </c>
      <c r="J949" s="335">
        <f>(H949+I949)</f>
        <v>141072</v>
      </c>
      <c r="K949" s="335">
        <f>SUM(K936:K947)</f>
        <v>0</v>
      </c>
      <c r="L949" s="335">
        <f>SUM(L936:L947)</f>
        <v>0</v>
      </c>
      <c r="M949" s="406">
        <f>SUM(M936:M947)</f>
        <v>2608628</v>
      </c>
      <c r="N949" s="407">
        <f>SUM(N936:N947)</f>
        <v>83748</v>
      </c>
      <c r="O949" s="408">
        <f t="shared" si="223"/>
        <v>2692376</v>
      </c>
      <c r="P949" s="409">
        <f>Q949/O949</f>
        <v>-0.1856169717751161</v>
      </c>
      <c r="Q949" s="410">
        <f>SUM(Q936:Q947)</f>
        <v>-499750.68</v>
      </c>
      <c r="R949" s="408">
        <f>SUM(R936:R947)</f>
        <v>2192625.3200000003</v>
      </c>
      <c r="S949" s="411">
        <f>(F949-G949-J949-K949-L949-R949)</f>
        <v>312745.63100015232</v>
      </c>
      <c r="T949" s="335">
        <f>+SUM(T936:T947)</f>
        <v>423418.36462697812</v>
      </c>
      <c r="U949" s="405">
        <f>+SUM(U936:U947)</f>
        <v>110672.73362682556</v>
      </c>
      <c r="V949" s="307"/>
      <c r="AC949" s="375" t="s">
        <v>16</v>
      </c>
      <c r="AD949" s="159">
        <f t="shared" si="230"/>
        <v>0</v>
      </c>
      <c r="AE949" s="159">
        <f t="shared" si="231"/>
        <v>0</v>
      </c>
      <c r="AF949" s="159">
        <f t="shared" si="232"/>
        <v>0</v>
      </c>
      <c r="AG949" s="159">
        <f t="shared" si="233"/>
        <v>0</v>
      </c>
      <c r="AH949" s="159">
        <f t="shared" si="234"/>
        <v>0</v>
      </c>
      <c r="AI949" s="159">
        <f t="shared" si="235"/>
        <v>199</v>
      </c>
      <c r="AJ949" s="159">
        <f t="shared" si="236"/>
        <v>328</v>
      </c>
      <c r="AK949" s="159">
        <f t="shared" si="237"/>
        <v>291</v>
      </c>
      <c r="AL949" s="159">
        <f t="shared" si="238"/>
        <v>270</v>
      </c>
      <c r="AM949" s="159">
        <f t="shared" si="239"/>
        <v>90</v>
      </c>
      <c r="AN949" s="159">
        <f t="shared" si="240"/>
        <v>106</v>
      </c>
      <c r="AO949" s="159">
        <f t="shared" si="241"/>
        <v>203</v>
      </c>
      <c r="AP949" s="159">
        <f t="shared" si="242"/>
        <v>28</v>
      </c>
      <c r="AQ949" s="159">
        <f t="shared" si="243"/>
        <v>68</v>
      </c>
      <c r="AR949" s="159">
        <f t="shared" si="244"/>
        <v>67</v>
      </c>
      <c r="AS949" s="374">
        <f t="shared" si="245"/>
        <v>1650</v>
      </c>
    </row>
    <row r="950" spans="1:45" ht="15.75" customHeight="1" x14ac:dyDescent="0.3">
      <c r="A950" s="306"/>
      <c r="B950" s="159"/>
      <c r="C950" s="159"/>
      <c r="D950" s="159"/>
      <c r="E950" s="159"/>
      <c r="F950" s="159" t="s">
        <v>424</v>
      </c>
      <c r="G950" s="159"/>
      <c r="H950" s="159"/>
      <c r="I950" s="159"/>
      <c r="K950" s="159"/>
      <c r="L950" s="159"/>
      <c r="M950" s="173"/>
      <c r="P950" s="319"/>
      <c r="V950" s="307"/>
      <c r="AC950" s="375" t="s">
        <v>17</v>
      </c>
      <c r="AD950" s="159">
        <f t="shared" si="230"/>
        <v>0</v>
      </c>
      <c r="AE950" s="159">
        <f t="shared" si="231"/>
        <v>0</v>
      </c>
      <c r="AF950" s="159">
        <f t="shared" si="232"/>
        <v>0</v>
      </c>
      <c r="AG950" s="159">
        <f t="shared" si="233"/>
        <v>0</v>
      </c>
      <c r="AH950" s="159">
        <f t="shared" si="234"/>
        <v>0</v>
      </c>
      <c r="AI950" s="159">
        <f t="shared" si="235"/>
        <v>150</v>
      </c>
      <c r="AJ950" s="159">
        <f t="shared" si="236"/>
        <v>236</v>
      </c>
      <c r="AK950" s="159">
        <f t="shared" si="237"/>
        <v>259</v>
      </c>
      <c r="AL950" s="159">
        <f t="shared" si="238"/>
        <v>231</v>
      </c>
      <c r="AM950" s="159">
        <f t="shared" si="239"/>
        <v>83</v>
      </c>
      <c r="AN950" s="159">
        <f t="shared" si="240"/>
        <v>97</v>
      </c>
      <c r="AO950" s="159">
        <f t="shared" si="241"/>
        <v>184</v>
      </c>
      <c r="AP950" s="159">
        <f t="shared" si="242"/>
        <v>17</v>
      </c>
      <c r="AQ950" s="159">
        <f t="shared" si="243"/>
        <v>66</v>
      </c>
      <c r="AR950" s="159">
        <f t="shared" si="244"/>
        <v>40</v>
      </c>
      <c r="AS950" s="374">
        <f t="shared" si="245"/>
        <v>1363</v>
      </c>
    </row>
    <row r="951" spans="1:45" ht="15.75" customHeight="1" x14ac:dyDescent="0.3">
      <c r="A951" s="323" t="s">
        <v>1074</v>
      </c>
      <c r="P951" s="159"/>
      <c r="Q951" s="159"/>
      <c r="R951" s="159"/>
      <c r="V951" s="307"/>
      <c r="AC951" s="375" t="s">
        <v>18</v>
      </c>
      <c r="AD951" s="159">
        <f t="shared" si="230"/>
        <v>0</v>
      </c>
      <c r="AE951" s="159">
        <f t="shared" si="231"/>
        <v>0</v>
      </c>
      <c r="AF951" s="159">
        <f t="shared" si="232"/>
        <v>0</v>
      </c>
      <c r="AG951" s="159">
        <f t="shared" si="233"/>
        <v>0</v>
      </c>
      <c r="AH951" s="159">
        <f t="shared" si="234"/>
        <v>54</v>
      </c>
      <c r="AI951" s="159">
        <f t="shared" si="235"/>
        <v>124</v>
      </c>
      <c r="AJ951" s="159">
        <f t="shared" si="236"/>
        <v>219</v>
      </c>
      <c r="AK951" s="159">
        <f t="shared" si="237"/>
        <v>266</v>
      </c>
      <c r="AL951" s="159">
        <f t="shared" si="238"/>
        <v>244</v>
      </c>
      <c r="AM951" s="159">
        <f t="shared" si="239"/>
        <v>78</v>
      </c>
      <c r="AN951" s="159">
        <f t="shared" si="240"/>
        <v>92</v>
      </c>
      <c r="AO951" s="159">
        <f t="shared" si="241"/>
        <v>177</v>
      </c>
      <c r="AP951" s="159">
        <f t="shared" si="242"/>
        <v>38</v>
      </c>
      <c r="AQ951" s="159">
        <f t="shared" si="243"/>
        <v>47</v>
      </c>
      <c r="AR951" s="159">
        <f t="shared" si="244"/>
        <v>89</v>
      </c>
      <c r="AS951" s="374">
        <f t="shared" si="245"/>
        <v>1428</v>
      </c>
    </row>
    <row r="952" spans="1:45" ht="15.75" customHeight="1" x14ac:dyDescent="0.3">
      <c r="A952" s="323" t="s">
        <v>498</v>
      </c>
      <c r="D952" s="159"/>
      <c r="E952" s="159"/>
      <c r="F952" s="159"/>
      <c r="G952" s="159"/>
      <c r="H952" s="159"/>
      <c r="I952" s="159"/>
      <c r="J952" s="159"/>
      <c r="K952" s="159"/>
      <c r="L952" s="159"/>
      <c r="M952" s="159"/>
      <c r="N952" s="159"/>
      <c r="O952" s="159"/>
      <c r="P952" s="159"/>
      <c r="Q952" s="159"/>
      <c r="R952" s="159"/>
      <c r="V952" s="307"/>
      <c r="AC952" s="375" t="s">
        <v>20</v>
      </c>
      <c r="AD952" s="159">
        <f t="shared" si="230"/>
        <v>0</v>
      </c>
      <c r="AE952" s="159">
        <f t="shared" si="231"/>
        <v>0</v>
      </c>
      <c r="AF952" s="159">
        <f t="shared" si="232"/>
        <v>0</v>
      </c>
      <c r="AG952" s="159">
        <f t="shared" si="233"/>
        <v>0</v>
      </c>
      <c r="AH952" s="159">
        <f t="shared" si="234"/>
        <v>116</v>
      </c>
      <c r="AI952" s="159">
        <f t="shared" si="235"/>
        <v>81</v>
      </c>
      <c r="AJ952" s="159">
        <f t="shared" si="236"/>
        <v>73</v>
      </c>
      <c r="AK952" s="159">
        <f t="shared" si="237"/>
        <v>84</v>
      </c>
      <c r="AL952" s="159">
        <f t="shared" si="238"/>
        <v>84</v>
      </c>
      <c r="AM952" s="159">
        <f t="shared" si="239"/>
        <v>26</v>
      </c>
      <c r="AN952" s="159">
        <f t="shared" si="240"/>
        <v>31</v>
      </c>
      <c r="AO952" s="159">
        <f t="shared" si="241"/>
        <v>58</v>
      </c>
      <c r="AP952" s="159">
        <f t="shared" si="242"/>
        <v>14</v>
      </c>
      <c r="AQ952" s="159">
        <f t="shared" si="243"/>
        <v>0</v>
      </c>
      <c r="AR952" s="159">
        <f t="shared" si="244"/>
        <v>34</v>
      </c>
      <c r="AS952" s="374">
        <f t="shared" si="245"/>
        <v>601</v>
      </c>
    </row>
    <row r="953" spans="1:45" ht="15.75" customHeight="1" x14ac:dyDescent="0.3">
      <c r="A953" s="323" t="s">
        <v>1075</v>
      </c>
      <c r="D953" s="159"/>
      <c r="E953" s="159"/>
      <c r="F953" s="159"/>
      <c r="G953" s="159"/>
      <c r="H953" s="159"/>
      <c r="I953" s="159"/>
      <c r="J953" s="159"/>
      <c r="K953" s="159"/>
      <c r="L953" s="159"/>
      <c r="M953" s="159"/>
      <c r="N953" s="159"/>
      <c r="O953" s="159"/>
      <c r="P953" s="159"/>
      <c r="Q953" s="159"/>
      <c r="R953" s="159"/>
      <c r="V953" s="307"/>
      <c r="AC953" s="375" t="s">
        <v>21</v>
      </c>
      <c r="AD953" s="159">
        <f t="shared" si="230"/>
        <v>0</v>
      </c>
      <c r="AE953" s="159">
        <f t="shared" si="231"/>
        <v>0</v>
      </c>
      <c r="AF953" s="159">
        <f t="shared" si="232"/>
        <v>0</v>
      </c>
      <c r="AG953" s="159">
        <f t="shared" si="233"/>
        <v>0</v>
      </c>
      <c r="AH953" s="159">
        <f t="shared" si="234"/>
        <v>229</v>
      </c>
      <c r="AI953" s="159">
        <f t="shared" si="235"/>
        <v>50</v>
      </c>
      <c r="AJ953" s="159">
        <f t="shared" si="236"/>
        <v>79</v>
      </c>
      <c r="AK953" s="159">
        <f t="shared" si="237"/>
        <v>107</v>
      </c>
      <c r="AL953" s="159">
        <f t="shared" si="238"/>
        <v>110</v>
      </c>
      <c r="AM953" s="159">
        <f t="shared" si="239"/>
        <v>29</v>
      </c>
      <c r="AN953" s="159">
        <f t="shared" si="240"/>
        <v>35</v>
      </c>
      <c r="AO953" s="159">
        <f t="shared" si="241"/>
        <v>73</v>
      </c>
      <c r="AP953" s="159">
        <f t="shared" si="242"/>
        <v>9</v>
      </c>
      <c r="AQ953" s="159">
        <f t="shared" si="243"/>
        <v>0</v>
      </c>
      <c r="AR953" s="159">
        <f t="shared" si="244"/>
        <v>21</v>
      </c>
      <c r="AS953" s="374">
        <f t="shared" si="245"/>
        <v>742</v>
      </c>
    </row>
    <row r="954" spans="1:45" ht="15.75" customHeight="1" thickBot="1" x14ac:dyDescent="0.35">
      <c r="A954" s="326" t="s">
        <v>1076</v>
      </c>
      <c r="B954" s="312"/>
      <c r="C954" s="312"/>
      <c r="D954" s="327"/>
      <c r="E954" s="327"/>
      <c r="F954" s="327"/>
      <c r="G954" s="327"/>
      <c r="H954" s="327"/>
      <c r="I954" s="327"/>
      <c r="J954" s="327"/>
      <c r="K954" s="327"/>
      <c r="L954" s="327"/>
      <c r="M954" s="327"/>
      <c r="N954" s="327"/>
      <c r="O954" s="327"/>
      <c r="P954" s="327"/>
      <c r="Q954" s="327"/>
      <c r="R954" s="327"/>
      <c r="S954" s="312"/>
      <c r="T954" s="312"/>
      <c r="U954" s="312"/>
      <c r="V954" s="313"/>
      <c r="AC954" s="375" t="s">
        <v>22</v>
      </c>
      <c r="AD954" s="159">
        <f t="shared" si="230"/>
        <v>0</v>
      </c>
      <c r="AE954" s="159">
        <f t="shared" si="231"/>
        <v>0</v>
      </c>
      <c r="AF954" s="159">
        <f t="shared" si="232"/>
        <v>0</v>
      </c>
      <c r="AG954" s="159">
        <f t="shared" si="233"/>
        <v>0</v>
      </c>
      <c r="AH954" s="159">
        <f t="shared" si="234"/>
        <v>163</v>
      </c>
      <c r="AI954" s="159">
        <f t="shared" si="235"/>
        <v>65</v>
      </c>
      <c r="AJ954" s="159">
        <f t="shared" si="236"/>
        <v>105</v>
      </c>
      <c r="AK954" s="159">
        <f t="shared" si="237"/>
        <v>152</v>
      </c>
      <c r="AL954" s="159">
        <f t="shared" si="238"/>
        <v>158</v>
      </c>
      <c r="AM954" s="159">
        <f t="shared" si="239"/>
        <v>59</v>
      </c>
      <c r="AN954" s="159">
        <f t="shared" si="240"/>
        <v>69</v>
      </c>
      <c r="AO954" s="159">
        <f t="shared" si="241"/>
        <v>144</v>
      </c>
      <c r="AP954" s="159">
        <f t="shared" si="242"/>
        <v>34</v>
      </c>
      <c r="AQ954" s="159">
        <f t="shared" si="243"/>
        <v>0</v>
      </c>
      <c r="AR954" s="159">
        <f t="shared" si="244"/>
        <v>82</v>
      </c>
      <c r="AS954" s="374">
        <f t="shared" si="245"/>
        <v>1031</v>
      </c>
    </row>
    <row r="955" spans="1:45" ht="15.75" customHeight="1" thickBot="1" x14ac:dyDescent="0.35">
      <c r="A955" s="323"/>
      <c r="D955" s="159"/>
      <c r="E955" s="159"/>
      <c r="F955" s="159"/>
      <c r="G955" s="159"/>
      <c r="H955" s="159"/>
      <c r="I955" s="159"/>
      <c r="J955" s="159"/>
      <c r="K955" s="159"/>
      <c r="L955" s="159"/>
      <c r="M955" s="159"/>
      <c r="N955" s="159"/>
      <c r="O955" s="159"/>
      <c r="P955" s="159"/>
      <c r="Q955" s="159"/>
      <c r="R955" s="159"/>
      <c r="AC955" s="306"/>
      <c r="AD955" s="159"/>
      <c r="AE955" s="159"/>
      <c r="AF955" s="159"/>
      <c r="AG955" s="159"/>
      <c r="AH955" s="159"/>
      <c r="AI955" s="159"/>
      <c r="AJ955" s="159"/>
      <c r="AK955" s="159"/>
      <c r="AL955" s="159"/>
      <c r="AM955" s="159"/>
      <c r="AN955" s="159"/>
      <c r="AO955" s="159"/>
      <c r="AP955" s="159"/>
      <c r="AQ955" s="159"/>
      <c r="AR955" s="159"/>
      <c r="AS955" s="374"/>
    </row>
    <row r="956" spans="1:45" ht="15.75" customHeight="1" thickBot="1" x14ac:dyDescent="0.35">
      <c r="A956" s="365"/>
      <c r="B956" s="534" t="s">
        <v>1077</v>
      </c>
      <c r="C956" s="535"/>
      <c r="D956" s="535"/>
      <c r="E956" s="535"/>
      <c r="F956" s="535"/>
      <c r="G956" s="535"/>
      <c r="H956" s="535"/>
      <c r="I956" s="535"/>
      <c r="J956" s="535"/>
      <c r="K956" s="535"/>
      <c r="L956" s="535"/>
      <c r="M956" s="535"/>
      <c r="N956" s="535"/>
      <c r="O956" s="535"/>
      <c r="P956" s="535"/>
      <c r="Q956" s="319"/>
      <c r="R956" s="319"/>
      <c r="S956" s="368"/>
      <c r="T956" s="368"/>
      <c r="U956" s="368"/>
      <c r="V956" s="332"/>
      <c r="AC956" s="382" t="s">
        <v>422</v>
      </c>
      <c r="AD956" s="327">
        <f>SUM(AD943:AD954)</f>
        <v>0</v>
      </c>
      <c r="AE956" s="327">
        <f t="shared" ref="AE956:AS956" si="246">SUM(AE943:AE954)</f>
        <v>0</v>
      </c>
      <c r="AF956" s="327">
        <f t="shared" si="246"/>
        <v>0</v>
      </c>
      <c r="AG956" s="327">
        <f t="shared" si="246"/>
        <v>0</v>
      </c>
      <c r="AH956" s="327">
        <f t="shared" si="246"/>
        <v>1202</v>
      </c>
      <c r="AI956" s="327">
        <f t="shared" si="246"/>
        <v>1505</v>
      </c>
      <c r="AJ956" s="327">
        <f t="shared" si="246"/>
        <v>2221</v>
      </c>
      <c r="AK956" s="327">
        <f t="shared" si="246"/>
        <v>2570</v>
      </c>
      <c r="AL956" s="327">
        <f t="shared" si="246"/>
        <v>2371</v>
      </c>
      <c r="AM956" s="327">
        <f t="shared" si="246"/>
        <v>779</v>
      </c>
      <c r="AN956" s="327">
        <f t="shared" si="246"/>
        <v>918</v>
      </c>
      <c r="AO956" s="327">
        <f t="shared" si="246"/>
        <v>1824</v>
      </c>
      <c r="AP956" s="327">
        <f t="shared" si="246"/>
        <v>322</v>
      </c>
      <c r="AQ956" s="327">
        <f t="shared" si="246"/>
        <v>468</v>
      </c>
      <c r="AR956" s="327">
        <f t="shared" si="246"/>
        <v>768</v>
      </c>
      <c r="AS956" s="383">
        <f t="shared" si="246"/>
        <v>14948</v>
      </c>
    </row>
    <row r="957" spans="1:45" ht="15.75" customHeight="1" thickBot="1" x14ac:dyDescent="0.35">
      <c r="A957" s="365"/>
      <c r="B957" s="523" t="s">
        <v>1041</v>
      </c>
      <c r="C957" s="524"/>
      <c r="D957" s="524"/>
      <c r="E957" s="524"/>
      <c r="F957" s="525"/>
      <c r="G957" s="523" t="s">
        <v>1042</v>
      </c>
      <c r="H957" s="524"/>
      <c r="I957" s="524"/>
      <c r="J957" s="524"/>
      <c r="K957" s="524"/>
      <c r="L957" s="524"/>
      <c r="M957" s="526" t="s">
        <v>1043</v>
      </c>
      <c r="N957" s="536"/>
      <c r="O957" s="536"/>
      <c r="P957" s="527"/>
      <c r="Q957" s="527"/>
      <c r="R957" s="528"/>
      <c r="S957" s="523" t="s">
        <v>1044</v>
      </c>
      <c r="T957" s="529"/>
      <c r="U957" s="530"/>
      <c r="V957" s="307"/>
    </row>
    <row r="958" spans="1:45" ht="15.75" customHeight="1" x14ac:dyDescent="0.3">
      <c r="A958" s="377"/>
      <c r="B958" s="325" t="s">
        <v>428</v>
      </c>
      <c r="C958" s="164"/>
      <c r="D958" s="164" t="s">
        <v>469</v>
      </c>
      <c r="E958" s="164" t="s">
        <v>470</v>
      </c>
      <c r="F958" s="333" t="s">
        <v>1045</v>
      </c>
      <c r="G958" s="325" t="s">
        <v>471</v>
      </c>
      <c r="H958" s="164"/>
      <c r="I958" s="164"/>
      <c r="J958" s="164" t="s">
        <v>472</v>
      </c>
      <c r="K958" s="164" t="s">
        <v>1046</v>
      </c>
      <c r="L958" s="164" t="s">
        <v>1047</v>
      </c>
      <c r="M958" s="537" t="str">
        <f>+M931</f>
        <v>(NE)* per WAPA</v>
      </c>
      <c r="N958" s="538"/>
      <c r="O958" s="538"/>
      <c r="P958" s="412"/>
      <c r="Q958" s="386"/>
      <c r="R958" s="394"/>
      <c r="S958" s="325" t="s">
        <v>1049</v>
      </c>
      <c r="T958" s="388" t="s">
        <v>486</v>
      </c>
      <c r="U958" s="389" t="s">
        <v>1050</v>
      </c>
      <c r="V958" s="307"/>
    </row>
    <row r="959" spans="1:45" ht="15.75" customHeight="1" x14ac:dyDescent="0.3">
      <c r="A959" s="377"/>
      <c r="B959" s="390" t="s">
        <v>1051</v>
      </c>
      <c r="C959" s="391" t="s">
        <v>1052</v>
      </c>
      <c r="D959" s="391" t="s">
        <v>1053</v>
      </c>
      <c r="E959" s="164" t="s">
        <v>442</v>
      </c>
      <c r="F959" s="392" t="s">
        <v>1054</v>
      </c>
      <c r="G959" s="325" t="s">
        <v>429</v>
      </c>
      <c r="H959" s="164" t="s">
        <v>478</v>
      </c>
      <c r="I959" s="164" t="s">
        <v>479</v>
      </c>
      <c r="J959" s="391" t="s">
        <v>1055</v>
      </c>
      <c r="K959" s="164" t="s">
        <v>1034</v>
      </c>
      <c r="L959" s="391" t="s">
        <v>1056</v>
      </c>
      <c r="M959" s="393" t="s">
        <v>1057</v>
      </c>
      <c r="N959" s="385" t="s">
        <v>1058</v>
      </c>
      <c r="O959" s="386" t="s">
        <v>422</v>
      </c>
      <c r="P959" s="393" t="s">
        <v>1059</v>
      </c>
      <c r="Q959" s="385" t="s">
        <v>1059</v>
      </c>
      <c r="R959" s="394" t="s">
        <v>1060</v>
      </c>
      <c r="S959" s="325" t="s">
        <v>1061</v>
      </c>
      <c r="T959" s="164" t="s">
        <v>1062</v>
      </c>
      <c r="U959" s="333" t="s">
        <v>1063</v>
      </c>
      <c r="V959" s="307"/>
    </row>
    <row r="960" spans="1:45" ht="15.75" customHeight="1" x14ac:dyDescent="0.3">
      <c r="A960" s="377"/>
      <c r="B960" s="395" t="s">
        <v>1064</v>
      </c>
      <c r="C960" s="169">
        <v>5.0000000000000001E-3</v>
      </c>
      <c r="D960" s="169">
        <v>4.2999999999999997E-2</v>
      </c>
      <c r="E960" s="164" t="s">
        <v>485</v>
      </c>
      <c r="F960" s="396" t="s">
        <v>1065</v>
      </c>
      <c r="G960" s="325" t="s">
        <v>1066</v>
      </c>
      <c r="H960" s="164" t="s">
        <v>442</v>
      </c>
      <c r="I960" s="164" t="s">
        <v>442</v>
      </c>
      <c r="J960" s="164" t="s">
        <v>442</v>
      </c>
      <c r="K960" s="164" t="s">
        <v>486</v>
      </c>
      <c r="L960" s="164" t="s">
        <v>1067</v>
      </c>
      <c r="M960" s="397" t="s">
        <v>434</v>
      </c>
      <c r="N960" s="386" t="s">
        <v>1068</v>
      </c>
      <c r="O960" s="386" t="s">
        <v>1069</v>
      </c>
      <c r="P960" s="397" t="s">
        <v>1070</v>
      </c>
      <c r="Q960" s="385" t="s">
        <v>1070</v>
      </c>
      <c r="R960" s="394" t="s">
        <v>1069</v>
      </c>
      <c r="S960" s="325" t="s">
        <v>442</v>
      </c>
      <c r="T960" s="164" t="s">
        <v>442</v>
      </c>
      <c r="U960" s="333" t="s">
        <v>442</v>
      </c>
      <c r="V960" s="307"/>
    </row>
    <row r="961" spans="1:22" ht="15.75" customHeight="1" x14ac:dyDescent="0.3">
      <c r="A961" s="377" t="s">
        <v>1071</v>
      </c>
      <c r="B961" s="325" t="s">
        <v>1078</v>
      </c>
      <c r="C961" s="164" t="s">
        <v>1078</v>
      </c>
      <c r="D961" s="164" t="s">
        <v>1078</v>
      </c>
      <c r="E961" s="164" t="s">
        <v>1078</v>
      </c>
      <c r="F961" s="164" t="s">
        <v>1078</v>
      </c>
      <c r="G961" s="325" t="s">
        <v>1078</v>
      </c>
      <c r="H961" s="164" t="s">
        <v>1078</v>
      </c>
      <c r="I961" s="164" t="s">
        <v>1078</v>
      </c>
      <c r="J961" s="164" t="s">
        <v>1078</v>
      </c>
      <c r="K961" s="164" t="s">
        <v>1078</v>
      </c>
      <c r="L961" s="164" t="s">
        <v>1078</v>
      </c>
      <c r="M961" s="397" t="s">
        <v>1078</v>
      </c>
      <c r="N961" s="386" t="s">
        <v>1079</v>
      </c>
      <c r="O961" s="386" t="s">
        <v>1078</v>
      </c>
      <c r="P961" s="397" t="s">
        <v>937</v>
      </c>
      <c r="Q961" s="385" t="s">
        <v>491</v>
      </c>
      <c r="R961" s="394" t="s">
        <v>491</v>
      </c>
      <c r="S961" s="325" t="s">
        <v>1078</v>
      </c>
      <c r="T961" s="164" t="s">
        <v>1078</v>
      </c>
      <c r="U961" s="333" t="s">
        <v>1078</v>
      </c>
      <c r="V961" s="307"/>
    </row>
    <row r="962" spans="1:22" ht="15.75" customHeight="1" x14ac:dyDescent="0.3">
      <c r="A962" s="377" t="s">
        <v>409</v>
      </c>
      <c r="B962" s="325" t="s">
        <v>409</v>
      </c>
      <c r="C962" s="164" t="s">
        <v>409</v>
      </c>
      <c r="D962" s="164" t="s">
        <v>409</v>
      </c>
      <c r="E962" s="164" t="s">
        <v>493</v>
      </c>
      <c r="F962" s="333" t="s">
        <v>409</v>
      </c>
      <c r="G962" s="325" t="s">
        <v>409</v>
      </c>
      <c r="H962" s="164" t="s">
        <v>494</v>
      </c>
      <c r="I962" s="164" t="s">
        <v>494</v>
      </c>
      <c r="J962" s="164" t="s">
        <v>409</v>
      </c>
      <c r="K962" s="164" t="s">
        <v>409</v>
      </c>
      <c r="L962" s="164" t="s">
        <v>409</v>
      </c>
      <c r="M962" s="397" t="s">
        <v>409</v>
      </c>
      <c r="N962" s="386" t="s">
        <v>409</v>
      </c>
      <c r="O962" s="386" t="s">
        <v>409</v>
      </c>
      <c r="P962" s="397" t="s">
        <v>409</v>
      </c>
      <c r="Q962" s="386" t="s">
        <v>409</v>
      </c>
      <c r="R962" s="394" t="s">
        <v>409</v>
      </c>
      <c r="S962" s="325" t="s">
        <v>409</v>
      </c>
      <c r="T962" s="164" t="s">
        <v>409</v>
      </c>
      <c r="U962" s="333" t="s">
        <v>409</v>
      </c>
      <c r="V962" s="307"/>
    </row>
    <row r="963" spans="1:22" ht="15.75" customHeight="1" x14ac:dyDescent="0.3">
      <c r="A963" s="365" t="s">
        <v>795</v>
      </c>
      <c r="B963" s="325">
        <f>+B936/($B$10*24)</f>
        <v>343.55779569892474</v>
      </c>
      <c r="C963" s="164">
        <f t="shared" ref="C963:N963" si="247">+C936/($B$10*24)</f>
        <v>0</v>
      </c>
      <c r="D963" s="164">
        <f t="shared" si="247"/>
        <v>14.334677419354838</v>
      </c>
      <c r="E963" s="164">
        <f t="shared" si="247"/>
        <v>343.55779569892474</v>
      </c>
      <c r="F963" s="333">
        <f t="shared" si="247"/>
        <v>357.89247311827955</v>
      </c>
      <c r="G963" s="164">
        <f t="shared" si="247"/>
        <v>0</v>
      </c>
      <c r="H963" s="164">
        <f t="shared" si="247"/>
        <v>13.762096774193548</v>
      </c>
      <c r="I963" s="164">
        <f t="shared" si="247"/>
        <v>0</v>
      </c>
      <c r="J963" s="164">
        <f t="shared" si="247"/>
        <v>13.762096774193548</v>
      </c>
      <c r="K963" s="164">
        <f t="shared" si="247"/>
        <v>0</v>
      </c>
      <c r="L963" s="164">
        <f t="shared" si="247"/>
        <v>0</v>
      </c>
      <c r="M963" s="397">
        <f>+M936/($B$10*24)</f>
        <v>351.54838709677421</v>
      </c>
      <c r="N963" s="386">
        <f t="shared" si="247"/>
        <v>0</v>
      </c>
      <c r="O963" s="386">
        <f>+O936/($B$10*24)</f>
        <v>351.54838709677421</v>
      </c>
      <c r="P963" s="413">
        <f>P936</f>
        <v>0</v>
      </c>
      <c r="Q963" s="386">
        <f>-O963*P963</f>
        <v>0</v>
      </c>
      <c r="R963" s="394">
        <f>O963+Q963</f>
        <v>351.54838709677421</v>
      </c>
      <c r="S963" s="414">
        <f>+S936/($B$10*24)</f>
        <v>-7.418010752688172</v>
      </c>
      <c r="T963" s="164" t="str">
        <f>+IF(S963&gt;=0,ABS(S963),"")</f>
        <v/>
      </c>
      <c r="U963" s="333">
        <f>+IF(S963&lt;=0,ABS(S963),"")</f>
        <v>7.418010752688172</v>
      </c>
      <c r="V963" s="307"/>
    </row>
    <row r="964" spans="1:22" ht="15.75" customHeight="1" x14ac:dyDescent="0.3">
      <c r="A964" s="365" t="s">
        <v>9</v>
      </c>
      <c r="B964" s="325">
        <f>+B937/($C$10*24)</f>
        <v>278.86781609195401</v>
      </c>
      <c r="C964" s="164">
        <f t="shared" ref="C964:N964" si="248">+C937/($C$10*24)</f>
        <v>0</v>
      </c>
      <c r="D964" s="164">
        <f t="shared" si="248"/>
        <v>12.008620689655173</v>
      </c>
      <c r="E964" s="164">
        <f t="shared" si="248"/>
        <v>278.86781609195401</v>
      </c>
      <c r="F964" s="333">
        <f t="shared" si="248"/>
        <v>290.87643678160919</v>
      </c>
      <c r="G964" s="164">
        <f t="shared" si="248"/>
        <v>0</v>
      </c>
      <c r="H964" s="164">
        <f t="shared" si="248"/>
        <v>17.475574712643677</v>
      </c>
      <c r="I964" s="164">
        <f t="shared" si="248"/>
        <v>0</v>
      </c>
      <c r="J964" s="164">
        <f t="shared" si="248"/>
        <v>17.475574712643677</v>
      </c>
      <c r="K964" s="164">
        <f t="shared" si="248"/>
        <v>0</v>
      </c>
      <c r="L964" s="164">
        <f t="shared" si="248"/>
        <v>0</v>
      </c>
      <c r="M964" s="397">
        <f t="shared" si="248"/>
        <v>256</v>
      </c>
      <c r="N964" s="386">
        <f t="shared" si="248"/>
        <v>0</v>
      </c>
      <c r="O964" s="386">
        <f t="shared" ref="O964:O974" si="249">+O937/($B$10*24)</f>
        <v>239.48387096774192</v>
      </c>
      <c r="P964" s="413">
        <f t="shared" ref="P964:P974" si="250">P937</f>
        <v>0.35</v>
      </c>
      <c r="Q964" s="386">
        <f t="shared" ref="Q964:Q974" si="251">-O964*P964</f>
        <v>-83.819354838709671</v>
      </c>
      <c r="R964" s="394">
        <f t="shared" ref="R964:R974" si="252">O964+Q964</f>
        <v>155.66451612903225</v>
      </c>
      <c r="S964" s="414">
        <f>+S937/($C$10*24)</f>
        <v>107.00086206896553</v>
      </c>
      <c r="T964" s="164">
        <f t="shared" ref="T964:T974" si="253">+IF(S964&gt;=0,ABS(S964),"")</f>
        <v>107.00086206896553</v>
      </c>
      <c r="U964" s="333" t="str">
        <f t="shared" ref="U964:U974" si="254">+IF(S964&lt;=0,ABS(S964),"")</f>
        <v/>
      </c>
      <c r="V964" s="307"/>
    </row>
    <row r="965" spans="1:22" ht="15.75" customHeight="1" x14ac:dyDescent="0.3">
      <c r="A965" s="365" t="s">
        <v>10</v>
      </c>
      <c r="B965" s="325">
        <f>+B938/($D$10*24)</f>
        <v>284.51881720430106</v>
      </c>
      <c r="C965" s="164">
        <f t="shared" ref="C965:N965" si="255">+C938/($D$10*24)</f>
        <v>0</v>
      </c>
      <c r="D965" s="164">
        <f t="shared" si="255"/>
        <v>12.452956989247312</v>
      </c>
      <c r="E965" s="164">
        <f t="shared" si="255"/>
        <v>284.51881720430106</v>
      </c>
      <c r="F965" s="333">
        <f t="shared" si="255"/>
        <v>296.97177419354841</v>
      </c>
      <c r="G965" s="164">
        <f t="shared" si="255"/>
        <v>2.2399852930451898</v>
      </c>
      <c r="H965" s="164">
        <f t="shared" si="255"/>
        <v>21.44489247311828</v>
      </c>
      <c r="I965" s="164">
        <f t="shared" si="255"/>
        <v>0</v>
      </c>
      <c r="J965" s="164">
        <f t="shared" si="255"/>
        <v>21.44489247311828</v>
      </c>
      <c r="K965" s="164">
        <f t="shared" si="255"/>
        <v>0</v>
      </c>
      <c r="L965" s="164">
        <f t="shared" si="255"/>
        <v>0</v>
      </c>
      <c r="M965" s="397">
        <f t="shared" si="255"/>
        <v>255</v>
      </c>
      <c r="N965" s="386">
        <f t="shared" si="255"/>
        <v>0</v>
      </c>
      <c r="O965" s="386">
        <f t="shared" si="249"/>
        <v>255</v>
      </c>
      <c r="P965" s="413">
        <f t="shared" si="250"/>
        <v>0.33</v>
      </c>
      <c r="Q965" s="386">
        <f t="shared" si="251"/>
        <v>-84.15</v>
      </c>
      <c r="R965" s="394">
        <f t="shared" si="252"/>
        <v>170.85</v>
      </c>
      <c r="S965" s="414">
        <f>+S938/($D$10*24)</f>
        <v>102.43689642738494</v>
      </c>
      <c r="T965" s="164">
        <f t="shared" si="253"/>
        <v>102.43689642738494</v>
      </c>
      <c r="U965" s="333" t="str">
        <f t="shared" si="254"/>
        <v/>
      </c>
      <c r="V965" s="307"/>
    </row>
    <row r="966" spans="1:22" ht="15.75" customHeight="1" x14ac:dyDescent="0.3">
      <c r="A966" s="365" t="s">
        <v>12</v>
      </c>
      <c r="B966" s="325">
        <f>+B939/($F$10*24)</f>
        <v>398.03333333333336</v>
      </c>
      <c r="C966" s="164">
        <f t="shared" ref="C966:N966" si="256">+C939/($F$10*24)</f>
        <v>0</v>
      </c>
      <c r="D966" s="164">
        <f t="shared" si="256"/>
        <v>17.269444444444446</v>
      </c>
      <c r="E966" s="164">
        <f t="shared" si="256"/>
        <v>398.03333333333336</v>
      </c>
      <c r="F966" s="333">
        <f t="shared" si="256"/>
        <v>415.30277777777781</v>
      </c>
      <c r="G966" s="164">
        <f t="shared" si="256"/>
        <v>0</v>
      </c>
      <c r="H966" s="164">
        <f t="shared" si="256"/>
        <v>23.481944444444444</v>
      </c>
      <c r="I966" s="164">
        <f t="shared" si="256"/>
        <v>0</v>
      </c>
      <c r="J966" s="164">
        <f t="shared" si="256"/>
        <v>23.481944444444444</v>
      </c>
      <c r="K966" s="164">
        <f t="shared" si="256"/>
        <v>0</v>
      </c>
      <c r="L966" s="164">
        <f t="shared" si="256"/>
        <v>0</v>
      </c>
      <c r="M966" s="397">
        <f t="shared" si="256"/>
        <v>406</v>
      </c>
      <c r="N966" s="386">
        <f t="shared" si="256"/>
        <v>0</v>
      </c>
      <c r="O966" s="386">
        <f t="shared" si="249"/>
        <v>392.90322580645159</v>
      </c>
      <c r="P966" s="413">
        <f t="shared" si="250"/>
        <v>0.3</v>
      </c>
      <c r="Q966" s="386">
        <f t="shared" si="251"/>
        <v>-117.87096774193547</v>
      </c>
      <c r="R966" s="394">
        <f t="shared" si="252"/>
        <v>275.0322580645161</v>
      </c>
      <c r="S966" s="414">
        <f>+S939/($F$10*24)</f>
        <v>107.62083333333334</v>
      </c>
      <c r="T966" s="164">
        <f t="shared" si="253"/>
        <v>107.62083333333334</v>
      </c>
      <c r="U966" s="333" t="str">
        <f t="shared" si="254"/>
        <v/>
      </c>
      <c r="V966" s="307"/>
    </row>
    <row r="967" spans="1:22" ht="15.75" customHeight="1" x14ac:dyDescent="0.3">
      <c r="A967" s="365" t="s">
        <v>13</v>
      </c>
      <c r="B967" s="325">
        <f>+B940/($G$10*24)</f>
        <v>400.9986559139785</v>
      </c>
      <c r="C967" s="164">
        <f t="shared" ref="C967:N967" si="257">+C940/($G$10*24)</f>
        <v>0</v>
      </c>
      <c r="D967" s="164">
        <f t="shared" si="257"/>
        <v>17.681451612903224</v>
      </c>
      <c r="E967" s="164">
        <f t="shared" si="257"/>
        <v>400.9986559139785</v>
      </c>
      <c r="F967" s="333">
        <f t="shared" si="257"/>
        <v>418.68010752688173</v>
      </c>
      <c r="G967" s="164">
        <f t="shared" si="257"/>
        <v>0</v>
      </c>
      <c r="H967" s="164">
        <f t="shared" si="257"/>
        <v>18.186827956989248</v>
      </c>
      <c r="I967" s="164">
        <f t="shared" si="257"/>
        <v>0</v>
      </c>
      <c r="J967" s="164">
        <f t="shared" si="257"/>
        <v>18.186827956989248</v>
      </c>
      <c r="K967" s="164">
        <f t="shared" si="257"/>
        <v>0</v>
      </c>
      <c r="L967" s="164">
        <f t="shared" si="257"/>
        <v>0</v>
      </c>
      <c r="M967" s="397">
        <f t="shared" si="257"/>
        <v>403.96774193548384</v>
      </c>
      <c r="N967" s="386">
        <f t="shared" si="257"/>
        <v>0</v>
      </c>
      <c r="O967" s="386">
        <f t="shared" si="249"/>
        <v>403.96774193548384</v>
      </c>
      <c r="P967" s="413">
        <f t="shared" si="250"/>
        <v>0.09</v>
      </c>
      <c r="Q967" s="386">
        <f t="shared" si="251"/>
        <v>-36.357096774193543</v>
      </c>
      <c r="R967" s="394">
        <f t="shared" si="252"/>
        <v>367.61064516129028</v>
      </c>
      <c r="S967" s="414">
        <f>+S940/($G$10*24)</f>
        <v>32.882634408602144</v>
      </c>
      <c r="T967" s="164">
        <f t="shared" si="253"/>
        <v>32.882634408602144</v>
      </c>
      <c r="U967" s="333" t="str">
        <f t="shared" si="254"/>
        <v/>
      </c>
      <c r="V967" s="307"/>
    </row>
    <row r="968" spans="1:22" ht="15.75" customHeight="1" x14ac:dyDescent="0.3">
      <c r="A968" s="365" t="s">
        <v>14</v>
      </c>
      <c r="B968" s="325">
        <f>+B941/($H$10*24)</f>
        <v>245.86666666666667</v>
      </c>
      <c r="C968" s="164">
        <f t="shared" ref="C968:N968" si="258">+C941/($H$10*24)</f>
        <v>0</v>
      </c>
      <c r="D968" s="164">
        <f t="shared" si="258"/>
        <v>10.4125</v>
      </c>
      <c r="E968" s="164">
        <f t="shared" si="258"/>
        <v>245.86666666666667</v>
      </c>
      <c r="F968" s="333">
        <f t="shared" si="258"/>
        <v>256.27916666666664</v>
      </c>
      <c r="G968" s="164">
        <f t="shared" si="258"/>
        <v>21.156259105752333</v>
      </c>
      <c r="H968" s="164">
        <f t="shared" si="258"/>
        <v>18.93888888888889</v>
      </c>
      <c r="I968" s="164">
        <f t="shared" si="258"/>
        <v>0</v>
      </c>
      <c r="J968" s="164">
        <f t="shared" si="258"/>
        <v>18.93888888888889</v>
      </c>
      <c r="K968" s="164">
        <f t="shared" si="258"/>
        <v>0</v>
      </c>
      <c r="L968" s="164">
        <f t="shared" si="258"/>
        <v>0</v>
      </c>
      <c r="M968" s="397">
        <f t="shared" si="258"/>
        <v>209.75</v>
      </c>
      <c r="N968" s="386">
        <f t="shared" si="258"/>
        <v>21.25</v>
      </c>
      <c r="O968" s="386">
        <f t="shared" si="249"/>
        <v>223.54838709677421</v>
      </c>
      <c r="P968" s="413">
        <f t="shared" si="250"/>
        <v>7.0000000000000007E-2</v>
      </c>
      <c r="Q968" s="386">
        <f t="shared" si="251"/>
        <v>-15.648387096774195</v>
      </c>
      <c r="R968" s="394">
        <f t="shared" si="252"/>
        <v>207.9</v>
      </c>
      <c r="S968" s="414">
        <f>+S941/($H$10*24)</f>
        <v>1.3540186720254295</v>
      </c>
      <c r="T968" s="164">
        <f t="shared" si="253"/>
        <v>1.3540186720254295</v>
      </c>
      <c r="U968" s="333" t="str">
        <f t="shared" si="254"/>
        <v/>
      </c>
      <c r="V968" s="307"/>
    </row>
    <row r="969" spans="1:22" ht="15.75" customHeight="1" x14ac:dyDescent="0.3">
      <c r="A969" s="365" t="s">
        <v>16</v>
      </c>
      <c r="B969" s="325">
        <f>+B942/($J$10*24)</f>
        <v>209.76881720430109</v>
      </c>
      <c r="C969" s="164">
        <f t="shared" ref="C969:N969" si="259">+C942/($J$10*24)</f>
        <v>0</v>
      </c>
      <c r="D969" s="164">
        <f t="shared" si="259"/>
        <v>8.7661290322580641</v>
      </c>
      <c r="E969" s="164">
        <f t="shared" si="259"/>
        <v>209.76881720430109</v>
      </c>
      <c r="F969" s="333">
        <f t="shared" si="259"/>
        <v>218.53494623655914</v>
      </c>
      <c r="G969" s="164">
        <f t="shared" si="259"/>
        <v>19.504222466370699</v>
      </c>
      <c r="H969" s="164">
        <f t="shared" si="259"/>
        <v>16.142473118279568</v>
      </c>
      <c r="I969" s="164">
        <f t="shared" si="259"/>
        <v>0</v>
      </c>
      <c r="J969" s="164">
        <f t="shared" si="259"/>
        <v>16.142473118279568</v>
      </c>
      <c r="K969" s="164">
        <f t="shared" si="259"/>
        <v>0</v>
      </c>
      <c r="L969" s="164">
        <f t="shared" si="259"/>
        <v>0</v>
      </c>
      <c r="M969" s="397">
        <f t="shared" si="259"/>
        <v>214</v>
      </c>
      <c r="N969" s="386">
        <f t="shared" si="259"/>
        <v>21.333333333333332</v>
      </c>
      <c r="O969" s="386">
        <f t="shared" si="249"/>
        <v>235.33333333333334</v>
      </c>
      <c r="P969" s="413">
        <f t="shared" si="250"/>
        <v>7.4999999999999997E-2</v>
      </c>
      <c r="Q969" s="386">
        <f t="shared" si="251"/>
        <v>-17.649999999999999</v>
      </c>
      <c r="R969" s="394">
        <f t="shared" si="252"/>
        <v>217.68333333333334</v>
      </c>
      <c r="S969" s="414">
        <f>+S942/($J$10*24)</f>
        <v>-34.795082681424454</v>
      </c>
      <c r="T969" s="164" t="str">
        <f t="shared" si="253"/>
        <v/>
      </c>
      <c r="U969" s="333">
        <f t="shared" si="254"/>
        <v>34.795082681424454</v>
      </c>
      <c r="V969" s="307"/>
    </row>
    <row r="970" spans="1:22" ht="15.75" customHeight="1" x14ac:dyDescent="0.3">
      <c r="A970" s="365" t="s">
        <v>17</v>
      </c>
      <c r="B970" s="325">
        <f>+B943/($K$10*24)</f>
        <v>179.59005376344086</v>
      </c>
      <c r="C970" s="164">
        <f t="shared" ref="C970:N970" si="260">+C943/($K$10*24)</f>
        <v>0</v>
      </c>
      <c r="D970" s="164">
        <f t="shared" si="260"/>
        <v>7.5483870967741939</v>
      </c>
      <c r="E970" s="164">
        <f t="shared" si="260"/>
        <v>179.59005376344086</v>
      </c>
      <c r="F970" s="333">
        <f t="shared" si="260"/>
        <v>187.13844086021504</v>
      </c>
      <c r="G970" s="164">
        <f t="shared" si="260"/>
        <v>12.419832482942528</v>
      </c>
      <c r="H970" s="164">
        <f t="shared" si="260"/>
        <v>12.853494623655914</v>
      </c>
      <c r="I970" s="164">
        <f t="shared" si="260"/>
        <v>0</v>
      </c>
      <c r="J970" s="164">
        <f t="shared" si="260"/>
        <v>12.853494623655914</v>
      </c>
      <c r="K970" s="164">
        <f t="shared" si="260"/>
        <v>0</v>
      </c>
      <c r="L970" s="164">
        <f t="shared" si="260"/>
        <v>0</v>
      </c>
      <c r="M970" s="397">
        <f t="shared" si="260"/>
        <v>215</v>
      </c>
      <c r="N970" s="386">
        <f t="shared" si="260"/>
        <v>20.666666666666668</v>
      </c>
      <c r="O970" s="386">
        <f t="shared" si="249"/>
        <v>235.66666666666666</v>
      </c>
      <c r="P970" s="413">
        <f t="shared" si="250"/>
        <v>7.4999999999999997E-2</v>
      </c>
      <c r="Q970" s="386">
        <f t="shared" si="251"/>
        <v>-17.674999999999997</v>
      </c>
      <c r="R970" s="394">
        <f t="shared" si="252"/>
        <v>217.99166666666667</v>
      </c>
      <c r="S970" s="414">
        <f>+S943/($K$10*24)</f>
        <v>-56.126552913050034</v>
      </c>
      <c r="T970" s="164" t="str">
        <f t="shared" si="253"/>
        <v/>
      </c>
      <c r="U970" s="333">
        <f t="shared" si="254"/>
        <v>56.126552913050034</v>
      </c>
      <c r="V970" s="307"/>
    </row>
    <row r="971" spans="1:22" ht="15.75" customHeight="1" x14ac:dyDescent="0.3">
      <c r="A971" s="365" t="s">
        <v>18</v>
      </c>
      <c r="B971" s="325">
        <f>+B944/($L$10*24)</f>
        <v>316.14722222222224</v>
      </c>
      <c r="C971" s="164">
        <f t="shared" ref="C971:N971" si="261">+C944/($L$10*24)</f>
        <v>0</v>
      </c>
      <c r="D971" s="164">
        <f t="shared" si="261"/>
        <v>13.736111111111111</v>
      </c>
      <c r="E971" s="164">
        <f t="shared" si="261"/>
        <v>316.14722222222224</v>
      </c>
      <c r="F971" s="333">
        <f t="shared" si="261"/>
        <v>329.88333333333333</v>
      </c>
      <c r="G971" s="164">
        <f t="shared" si="261"/>
        <v>3.2153288118563164</v>
      </c>
      <c r="H971" s="164">
        <f t="shared" si="261"/>
        <v>14.004166666666666</v>
      </c>
      <c r="I971" s="164">
        <f t="shared" si="261"/>
        <v>0</v>
      </c>
      <c r="J971" s="164">
        <f t="shared" si="261"/>
        <v>14.004166666666666</v>
      </c>
      <c r="K971" s="164">
        <f t="shared" si="261"/>
        <v>0</v>
      </c>
      <c r="L971" s="164">
        <f t="shared" si="261"/>
        <v>0</v>
      </c>
      <c r="M971" s="397">
        <f t="shared" si="261"/>
        <v>342.66666666666669</v>
      </c>
      <c r="N971" s="386">
        <f t="shared" si="261"/>
        <v>51.666666666666664</v>
      </c>
      <c r="O971" s="386">
        <f t="shared" si="249"/>
        <v>381.61290322580646</v>
      </c>
      <c r="P971" s="413">
        <f t="shared" si="250"/>
        <v>7.4999999999999997E-2</v>
      </c>
      <c r="Q971" s="386">
        <f t="shared" si="251"/>
        <v>-28.620967741935484</v>
      </c>
      <c r="R971" s="394">
        <f t="shared" si="252"/>
        <v>352.99193548387098</v>
      </c>
      <c r="S971" s="414">
        <f>+S944/($L$10*24)</f>
        <v>-52.094495478522973</v>
      </c>
      <c r="T971" s="164" t="str">
        <f t="shared" si="253"/>
        <v/>
      </c>
      <c r="U971" s="333">
        <f t="shared" si="254"/>
        <v>52.094495478522973</v>
      </c>
      <c r="V971" s="307"/>
    </row>
    <row r="972" spans="1:22" ht="15.75" customHeight="1" x14ac:dyDescent="0.3">
      <c r="A972" s="365" t="s">
        <v>20</v>
      </c>
      <c r="B972" s="325">
        <f>+B945/($N$10*24)</f>
        <v>284.47580645161293</v>
      </c>
      <c r="C972" s="164">
        <f t="shared" ref="C972:N972" si="262">+C945/($N$10*24)</f>
        <v>0</v>
      </c>
      <c r="D972" s="164">
        <f t="shared" si="262"/>
        <v>12.57258064516129</v>
      </c>
      <c r="E972" s="164">
        <f t="shared" si="262"/>
        <v>284.47580645161293</v>
      </c>
      <c r="F972" s="333">
        <f t="shared" si="262"/>
        <v>297.04838709677421</v>
      </c>
      <c r="G972" s="164">
        <f t="shared" si="262"/>
        <v>0.17669322426687981</v>
      </c>
      <c r="H972" s="164">
        <f t="shared" si="262"/>
        <v>10.748655913978494</v>
      </c>
      <c r="I972" s="164">
        <f t="shared" si="262"/>
        <v>0</v>
      </c>
      <c r="J972" s="164">
        <f t="shared" si="262"/>
        <v>10.748655913978494</v>
      </c>
      <c r="K972" s="164">
        <f t="shared" si="262"/>
        <v>0</v>
      </c>
      <c r="L972" s="164">
        <f t="shared" si="262"/>
        <v>0</v>
      </c>
      <c r="M972" s="397">
        <f t="shared" si="262"/>
        <v>296.66666666666669</v>
      </c>
      <c r="N972" s="386">
        <f t="shared" si="262"/>
        <v>0</v>
      </c>
      <c r="O972" s="386">
        <f t="shared" si="249"/>
        <v>296.66666666666669</v>
      </c>
      <c r="P972" s="413">
        <f t="shared" si="250"/>
        <v>0.3</v>
      </c>
      <c r="Q972" s="386">
        <f t="shared" si="251"/>
        <v>-89</v>
      </c>
      <c r="R972" s="394">
        <f t="shared" si="252"/>
        <v>207.66666666666669</v>
      </c>
      <c r="S972" s="414">
        <f>+S945/($N$10*24)</f>
        <v>78.456371291862155</v>
      </c>
      <c r="T972" s="164">
        <f t="shared" si="253"/>
        <v>78.456371291862155</v>
      </c>
      <c r="U972" s="333" t="str">
        <f t="shared" si="254"/>
        <v/>
      </c>
      <c r="V972" s="307"/>
    </row>
    <row r="973" spans="1:22" ht="15.75" customHeight="1" x14ac:dyDescent="0.3">
      <c r="A973" s="365" t="s">
        <v>21</v>
      </c>
      <c r="B973" s="325">
        <f>+B946/($O$10*24)</f>
        <v>313.48055555555555</v>
      </c>
      <c r="C973" s="164">
        <f t="shared" ref="C973:N973" si="263">+C946/($O$10*24)</f>
        <v>0</v>
      </c>
      <c r="D973" s="164">
        <f t="shared" si="263"/>
        <v>13.459722222222222</v>
      </c>
      <c r="E973" s="164">
        <f t="shared" si="263"/>
        <v>313.48055555555555</v>
      </c>
      <c r="F973" s="333">
        <f t="shared" si="263"/>
        <v>326.94027777777779</v>
      </c>
      <c r="G973" s="164">
        <f t="shared" si="263"/>
        <v>0</v>
      </c>
      <c r="H973" s="164">
        <f t="shared" si="263"/>
        <v>15.9625</v>
      </c>
      <c r="I973" s="164">
        <f t="shared" si="263"/>
        <v>0</v>
      </c>
      <c r="J973" s="164">
        <f t="shared" si="263"/>
        <v>15.9625</v>
      </c>
      <c r="K973" s="164">
        <f t="shared" si="263"/>
        <v>0</v>
      </c>
      <c r="L973" s="164">
        <f t="shared" si="263"/>
        <v>0</v>
      </c>
      <c r="M973" s="397">
        <f t="shared" si="263"/>
        <v>298</v>
      </c>
      <c r="N973" s="386">
        <f t="shared" si="263"/>
        <v>0</v>
      </c>
      <c r="O973" s="386">
        <f t="shared" si="249"/>
        <v>288.38709677419354</v>
      </c>
      <c r="P973" s="413">
        <f t="shared" si="250"/>
        <v>0.3</v>
      </c>
      <c r="Q973" s="386">
        <f t="shared" si="251"/>
        <v>-86.516129032258064</v>
      </c>
      <c r="R973" s="394">
        <f t="shared" si="252"/>
        <v>201.87096774193549</v>
      </c>
      <c r="S973" s="414">
        <f>+S946/($O$10*24)</f>
        <v>102.37777777777778</v>
      </c>
      <c r="T973" s="164">
        <f t="shared" si="253"/>
        <v>102.37777777777778</v>
      </c>
      <c r="U973" s="333" t="str">
        <f t="shared" si="254"/>
        <v/>
      </c>
      <c r="V973" s="307"/>
    </row>
    <row r="974" spans="1:22" ht="15.75" customHeight="1" thickBot="1" x14ac:dyDescent="0.35">
      <c r="A974" s="365" t="s">
        <v>22</v>
      </c>
      <c r="B974" s="330">
        <f>+B947/($P$10*24)</f>
        <v>269.55645161290323</v>
      </c>
      <c r="C974" s="335">
        <f t="shared" ref="C974:N974" si="264">+C947/($P$10*24)</f>
        <v>0</v>
      </c>
      <c r="D974" s="335">
        <f t="shared" si="264"/>
        <v>11.486559139784946</v>
      </c>
      <c r="E974" s="335">
        <f t="shared" si="264"/>
        <v>269.55645161290323</v>
      </c>
      <c r="F974" s="405">
        <f t="shared" si="264"/>
        <v>281.04301075268819</v>
      </c>
      <c r="G974" s="335">
        <f t="shared" si="264"/>
        <v>0</v>
      </c>
      <c r="H974" s="335">
        <f t="shared" si="264"/>
        <v>10.073924731182796</v>
      </c>
      <c r="I974" s="335">
        <f t="shared" si="264"/>
        <v>0</v>
      </c>
      <c r="J974" s="335">
        <f t="shared" si="264"/>
        <v>10.073924731182796</v>
      </c>
      <c r="K974" s="335">
        <f t="shared" si="264"/>
        <v>0</v>
      </c>
      <c r="L974" s="335">
        <f t="shared" si="264"/>
        <v>0</v>
      </c>
      <c r="M974" s="406">
        <f t="shared" si="264"/>
        <v>314.66666666666669</v>
      </c>
      <c r="N974" s="407">
        <f t="shared" si="264"/>
        <v>0</v>
      </c>
      <c r="O974" s="408">
        <f t="shared" si="249"/>
        <v>314.66666666666669</v>
      </c>
      <c r="P974" s="409">
        <f t="shared" si="250"/>
        <v>0.3</v>
      </c>
      <c r="Q974" s="407">
        <f t="shared" si="251"/>
        <v>-94.4</v>
      </c>
      <c r="R974" s="408">
        <f t="shared" si="252"/>
        <v>220.26666666666668</v>
      </c>
      <c r="S974" s="415">
        <f>+S947/($P$10*24)</f>
        <v>50.702419354838682</v>
      </c>
      <c r="T974" s="335">
        <f t="shared" si="253"/>
        <v>50.702419354838682</v>
      </c>
      <c r="U974" s="405" t="str">
        <f t="shared" si="254"/>
        <v/>
      </c>
      <c r="V974" s="307"/>
    </row>
    <row r="975" spans="1:22" ht="15.75" customHeight="1" x14ac:dyDescent="0.3">
      <c r="A975" s="416"/>
      <c r="V975" s="307"/>
    </row>
    <row r="976" spans="1:22" ht="16.5" customHeight="1" thickBot="1" x14ac:dyDescent="0.35">
      <c r="A976" s="417"/>
      <c r="B976" s="312"/>
      <c r="C976" s="312"/>
      <c r="D976" s="312"/>
      <c r="E976" s="312"/>
      <c r="F976" s="312"/>
      <c r="G976" s="312"/>
      <c r="H976" s="312"/>
      <c r="I976" s="312"/>
      <c r="J976" s="312"/>
      <c r="K976" s="312"/>
      <c r="L976" s="312"/>
      <c r="M976" s="312"/>
      <c r="N976" s="312"/>
      <c r="O976" s="312"/>
      <c r="P976" s="312"/>
      <c r="Q976" s="312"/>
      <c r="R976" s="312"/>
      <c r="S976" s="312"/>
      <c r="T976" s="312"/>
      <c r="U976" s="312"/>
      <c r="V976" s="313"/>
    </row>
    <row r="977" spans="1:50" ht="15.75" customHeight="1" x14ac:dyDescent="0.3">
      <c r="A977" s="166"/>
      <c r="B977" s="159"/>
      <c r="C977" s="159"/>
      <c r="D977" s="159"/>
      <c r="E977" s="159"/>
      <c r="F977" s="159"/>
      <c r="G977" s="159"/>
      <c r="H977" s="159"/>
      <c r="I977" s="159"/>
      <c r="J977" s="159"/>
      <c r="K977" s="159"/>
      <c r="L977" s="159"/>
      <c r="M977" s="159"/>
      <c r="N977" s="159"/>
      <c r="O977" s="159"/>
      <c r="P977" s="159"/>
      <c r="Q977" s="159"/>
      <c r="R977" s="159"/>
    </row>
    <row r="978" spans="1:50" ht="15.75" customHeight="1" x14ac:dyDescent="0.3">
      <c r="A978" s="418"/>
    </row>
    <row r="979" spans="1:50" ht="15.75" customHeight="1" thickBot="1" x14ac:dyDescent="0.35">
      <c r="A979" s="418"/>
    </row>
    <row r="980" spans="1:50" ht="15.75" customHeight="1" x14ac:dyDescent="0.3">
      <c r="A980" s="419"/>
      <c r="B980" s="506" t="s">
        <v>1080</v>
      </c>
      <c r="C980" s="506"/>
      <c r="D980" s="506"/>
      <c r="E980" s="506"/>
      <c r="F980" s="506"/>
      <c r="G980" s="506"/>
      <c r="H980" s="506"/>
      <c r="I980" s="506"/>
      <c r="J980" s="506"/>
      <c r="K980" s="506"/>
      <c r="L980" s="506"/>
      <c r="M980" s="506"/>
      <c r="N980" s="506"/>
      <c r="O980" s="506"/>
      <c r="P980" s="506"/>
      <c r="Q980" s="361" t="str">
        <f>+Q1</f>
        <v xml:space="preserve">PRINTED:  </v>
      </c>
      <c r="R980" s="367">
        <f ca="1">+R1</f>
        <v>44909.46975358796</v>
      </c>
      <c r="S980" s="332"/>
    </row>
    <row r="981" spans="1:50" ht="15.75" customHeight="1" x14ac:dyDescent="0.3">
      <c r="A981" s="420"/>
      <c r="B981" s="503" t="str">
        <f>+A8</f>
        <v>Revised:  2/23/2017</v>
      </c>
      <c r="C981" s="503"/>
      <c r="D981" s="503"/>
      <c r="E981" s="503"/>
      <c r="F981" s="503"/>
      <c r="G981" s="503"/>
      <c r="H981" s="503"/>
      <c r="I981" s="503"/>
      <c r="J981" s="503"/>
      <c r="K981" s="503"/>
      <c r="L981" s="503"/>
      <c r="M981" s="503"/>
      <c r="N981" s="503"/>
      <c r="O981" s="503"/>
      <c r="P981" s="503"/>
      <c r="Q981" s="159"/>
      <c r="R981" s="159"/>
      <c r="S981" s="307"/>
    </row>
    <row r="982" spans="1:50" ht="16.5" customHeight="1" x14ac:dyDescent="0.3">
      <c r="A982" s="420"/>
      <c r="B982" s="503" t="s">
        <v>1024</v>
      </c>
      <c r="C982" s="503"/>
      <c r="D982" s="503"/>
      <c r="E982" s="503"/>
      <c r="F982" s="503"/>
      <c r="G982" s="503"/>
      <c r="H982" s="503"/>
      <c r="I982" s="503"/>
      <c r="J982" s="503"/>
      <c r="K982" s="503"/>
      <c r="L982" s="503"/>
      <c r="M982" s="503"/>
      <c r="N982" s="503"/>
      <c r="O982" s="503"/>
      <c r="P982" s="503"/>
      <c r="Q982" s="159"/>
      <c r="R982" s="159"/>
      <c r="S982" s="307"/>
    </row>
    <row r="983" spans="1:50" ht="15.75" customHeight="1" x14ac:dyDescent="0.3">
      <c r="A983" s="420"/>
      <c r="B983" s="159"/>
      <c r="C983" s="159"/>
      <c r="D983" s="159"/>
      <c r="E983" s="159"/>
      <c r="F983" s="159"/>
      <c r="G983" s="159"/>
      <c r="H983" s="159"/>
      <c r="I983" s="159"/>
      <c r="J983" s="159"/>
      <c r="K983" s="159"/>
      <c r="L983" s="159"/>
      <c r="M983" s="159"/>
      <c r="N983" s="159"/>
      <c r="O983" s="159"/>
      <c r="P983" s="159"/>
      <c r="Q983" s="159"/>
      <c r="R983" s="159"/>
      <c r="S983" s="307"/>
      <c r="AG983" s="365"/>
    </row>
    <row r="984" spans="1:50" ht="15.75" customHeight="1" x14ac:dyDescent="0.3">
      <c r="A984" s="420"/>
      <c r="B984" s="539">
        <f>+A5</f>
        <v>2016</v>
      </c>
      <c r="C984" s="509"/>
      <c r="D984" s="509"/>
      <c r="E984" s="509"/>
      <c r="F984" s="509"/>
      <c r="G984" s="509"/>
      <c r="H984" s="509"/>
      <c r="I984" s="509"/>
      <c r="J984" s="509"/>
      <c r="K984" s="509"/>
      <c r="L984" s="509"/>
      <c r="M984" s="509"/>
      <c r="N984" s="509"/>
      <c r="O984" s="509"/>
      <c r="P984" s="509"/>
      <c r="Q984" s="159"/>
      <c r="R984" s="159"/>
      <c r="S984" s="307"/>
      <c r="AE984" s="4" t="s">
        <v>1081</v>
      </c>
      <c r="AF984" s="4" t="s">
        <v>1082</v>
      </c>
    </row>
    <row r="985" spans="1:50" ht="15.75" customHeight="1" thickBot="1" x14ac:dyDescent="0.35">
      <c r="A985" s="420"/>
      <c r="B985" s="503" t="s">
        <v>457</v>
      </c>
      <c r="C985" s="503"/>
      <c r="D985" s="503"/>
      <c r="E985" s="503"/>
      <c r="F985" s="503"/>
      <c r="G985" s="503"/>
      <c r="H985" s="503"/>
      <c r="I985" s="503"/>
      <c r="J985" s="503"/>
      <c r="K985" s="503"/>
      <c r="L985" s="503"/>
      <c r="M985" s="503"/>
      <c r="N985" s="503"/>
      <c r="O985" s="503"/>
      <c r="P985" s="503"/>
      <c r="Q985" s="159"/>
      <c r="R985" s="159"/>
      <c r="S985" s="307"/>
      <c r="AC985" s="4" t="s">
        <v>1083</v>
      </c>
      <c r="AD985" s="421" t="s">
        <v>10</v>
      </c>
      <c r="AE985" s="4" t="e">
        <f ca="1">DAY(DATE($A$5,MonthFromText(AD985)+1,1)-1)</f>
        <v>#NAME?</v>
      </c>
    </row>
    <row r="986" spans="1:50" ht="15.75" customHeight="1" x14ac:dyDescent="0.3">
      <c r="A986" s="420"/>
      <c r="B986" s="546" t="s">
        <v>1084</v>
      </c>
      <c r="C986" s="547"/>
      <c r="D986" s="548"/>
      <c r="E986" s="164"/>
      <c r="F986" s="164"/>
      <c r="G986" s="164"/>
      <c r="H986" s="164"/>
      <c r="I986" s="164"/>
      <c r="J986" s="164"/>
      <c r="K986" s="164"/>
      <c r="L986" s="164"/>
      <c r="M986" s="164"/>
      <c r="N986" s="164"/>
      <c r="O986" s="164"/>
      <c r="P986" s="164"/>
      <c r="Q986" s="159"/>
      <c r="R986" s="159"/>
      <c r="S986" s="422"/>
    </row>
    <row r="987" spans="1:50" ht="15.75" customHeight="1" thickBot="1" x14ac:dyDescent="0.35">
      <c r="A987" s="364" t="s">
        <v>1071</v>
      </c>
      <c r="B987" s="423" t="s">
        <v>1085</v>
      </c>
      <c r="C987" s="424" t="s">
        <v>1086</v>
      </c>
      <c r="D987" s="425" t="s">
        <v>1087</v>
      </c>
      <c r="E987" s="424" t="s">
        <v>391</v>
      </c>
      <c r="F987" s="424" t="s">
        <v>392</v>
      </c>
      <c r="G987" s="424" t="s">
        <v>393</v>
      </c>
      <c r="H987" s="424" t="s">
        <v>1088</v>
      </c>
      <c r="I987" s="424" t="s">
        <v>1089</v>
      </c>
      <c r="J987" s="424" t="s">
        <v>395</v>
      </c>
      <c r="K987" s="424" t="s">
        <v>396</v>
      </c>
      <c r="L987" s="424" t="s">
        <v>397</v>
      </c>
      <c r="M987" s="424" t="s">
        <v>398</v>
      </c>
      <c r="N987" s="424" t="s">
        <v>399</v>
      </c>
      <c r="O987" s="424" t="s">
        <v>400</v>
      </c>
      <c r="P987" s="424" t="s">
        <v>401</v>
      </c>
      <c r="Q987" s="424" t="s">
        <v>402</v>
      </c>
      <c r="R987" s="424" t="s">
        <v>403</v>
      </c>
      <c r="S987" s="425" t="s">
        <v>404</v>
      </c>
      <c r="T987" s="426" t="s">
        <v>1090</v>
      </c>
      <c r="U987" s="426" t="s">
        <v>1091</v>
      </c>
      <c r="V987" s="426" t="s">
        <v>1092</v>
      </c>
      <c r="AD987" s="364" t="s">
        <v>390</v>
      </c>
      <c r="AE987" s="364" t="s">
        <v>391</v>
      </c>
      <c r="AF987" s="364" t="s">
        <v>392</v>
      </c>
      <c r="AG987" s="364" t="s">
        <v>393</v>
      </c>
      <c r="AH987" s="364" t="s">
        <v>394</v>
      </c>
      <c r="AI987" s="364" t="s">
        <v>395</v>
      </c>
      <c r="AJ987" s="364" t="s">
        <v>396</v>
      </c>
      <c r="AK987" s="364" t="s">
        <v>397</v>
      </c>
      <c r="AL987" s="364" t="s">
        <v>398</v>
      </c>
      <c r="AM987" s="364" t="s">
        <v>399</v>
      </c>
      <c r="AN987" s="364" t="s">
        <v>400</v>
      </c>
      <c r="AO987" s="364" t="s">
        <v>401</v>
      </c>
      <c r="AP987" s="364" t="s">
        <v>402</v>
      </c>
      <c r="AQ987" s="364" t="s">
        <v>403</v>
      </c>
      <c r="AR987" s="364" t="s">
        <v>404</v>
      </c>
      <c r="AS987" s="364" t="s">
        <v>422</v>
      </c>
      <c r="AT987" s="364" t="s">
        <v>477</v>
      </c>
      <c r="AU987" s="364" t="s">
        <v>422</v>
      </c>
      <c r="AW987" s="426" t="s">
        <v>1093</v>
      </c>
      <c r="AX987" s="426" t="s">
        <v>1094</v>
      </c>
    </row>
    <row r="988" spans="1:50" ht="15.75" customHeight="1" x14ac:dyDescent="0.3">
      <c r="A988" s="375" t="s">
        <v>795</v>
      </c>
      <c r="B988" s="375">
        <f t="shared" ref="B988:C999" si="265">+F1015</f>
        <v>245</v>
      </c>
      <c r="C988" s="365">
        <f t="shared" si="265"/>
        <v>0</v>
      </c>
      <c r="D988" s="427" t="s">
        <v>1095</v>
      </c>
      <c r="E988" s="365">
        <f t="shared" ref="E988:S988" si="266">+C908/$B$10/24</f>
        <v>24.96505376344086</v>
      </c>
      <c r="F988" s="365">
        <f t="shared" si="266"/>
        <v>26.176075268817204</v>
      </c>
      <c r="G988" s="365">
        <f t="shared" si="266"/>
        <v>44.422043010752695</v>
      </c>
      <c r="H988" s="365">
        <f t="shared" si="266"/>
        <v>30.925210683390048</v>
      </c>
      <c r="I988" s="365">
        <f t="shared" si="266"/>
        <v>0</v>
      </c>
      <c r="J988" s="365">
        <f t="shared" si="266"/>
        <v>3.1048387096774195</v>
      </c>
      <c r="K988" s="365">
        <f t="shared" si="266"/>
        <v>1.9529569892473118</v>
      </c>
      <c r="L988" s="365">
        <f t="shared" si="266"/>
        <v>3.0456989247311825</v>
      </c>
      <c r="M988" s="365">
        <f t="shared" si="266"/>
        <v>3.133064516129032</v>
      </c>
      <c r="N988" s="365">
        <f t="shared" si="266"/>
        <v>1.0483870967741935</v>
      </c>
      <c r="O988" s="365">
        <f t="shared" si="266"/>
        <v>1.2338709677419355</v>
      </c>
      <c r="P988" s="365">
        <f t="shared" si="266"/>
        <v>2.5779569892473115</v>
      </c>
      <c r="Q988" s="365">
        <f t="shared" si="266"/>
        <v>0.99059139784946237</v>
      </c>
      <c r="R988" s="365">
        <f t="shared" si="266"/>
        <v>1.685483870967742</v>
      </c>
      <c r="S988" s="427">
        <f t="shared" si="266"/>
        <v>2.3454301075268815</v>
      </c>
      <c r="T988" s="365">
        <f t="shared" ref="T988:T999" si="267">+B988+SUM(E988:S988)</f>
        <v>392.60666229629322</v>
      </c>
      <c r="U988" s="365">
        <f t="shared" ref="U988:U999" si="268">+C988+SUM(E988:S988)</f>
        <v>147.60666229629322</v>
      </c>
      <c r="V988" s="365" t="s">
        <v>1095</v>
      </c>
      <c r="AC988" s="4">
        <v>1</v>
      </c>
      <c r="AD988" s="365">
        <f t="shared" ref="AD988:AD993" si="269">IF($AF$985=1,VLOOKUP($AD$985,$A$1015:$P$1026,12,FALSE),VLOOKUP($AD$985,$A$988:$S$999,2,FALSE))</f>
        <v>294</v>
      </c>
      <c r="AE988" s="365">
        <f>VLOOKUP($AD$985,$A$988:$S$999,5,FALSE)</f>
        <v>20.03494623655914</v>
      </c>
      <c r="AF988" s="365">
        <f>VLOOKUP($AD$985,$A$988:$S$999,6,FALSE)</f>
        <v>20.975806451612904</v>
      </c>
      <c r="AG988" s="365">
        <f>VLOOKUP($AD$985,$A$988:$S$999,7,FALSE)</f>
        <v>34.26478494623656</v>
      </c>
      <c r="AH988" s="365">
        <f>VLOOKUP($AD$985,$A$988:$S$999,8,FALSE)</f>
        <v>1.3457894262906163</v>
      </c>
      <c r="AI988" s="365">
        <f>VLOOKUP($AD$985,$A$988:$S$999,10,FALSE)</f>
        <v>11.658602150537634</v>
      </c>
      <c r="AJ988" s="365">
        <f>VLOOKUP($AD$985,$A$988:$S$999,11,FALSE)</f>
        <v>6.80510752688172</v>
      </c>
      <c r="AK988" s="365">
        <f>VLOOKUP($AD$985,$A$988:$S$999,12,FALSE)</f>
        <v>8.26747311827957</v>
      </c>
      <c r="AL988" s="365">
        <f>VLOOKUP($AD$985,$A$988:$S$999,13,FALSE)</f>
        <v>7.6895161290322589</v>
      </c>
      <c r="AM988" s="365">
        <f>VLOOKUP($AD$985,$A$988:$S$999,14,FALSE)</f>
        <v>2.3508064516129035</v>
      </c>
      <c r="AN988" s="365">
        <f>VLOOKUP($AD$985,$A$988:$S$999,15,FALSE)</f>
        <v>2.7688172043010755</v>
      </c>
      <c r="AO988" s="365">
        <f>VLOOKUP($AD$985,$A$988:$S$999,16,FALSE)</f>
        <v>5.600806451612903</v>
      </c>
      <c r="AP988" s="365">
        <f>VLOOKUP($AD$985,$A$988:$S$999,17,FALSE)</f>
        <v>1.0188172043010753</v>
      </c>
      <c r="AQ988" s="365">
        <f>VLOOKUP($AD$985,$A$988:$S$999,18,FALSE)</f>
        <v>1.810483870967742</v>
      </c>
      <c r="AR988" s="365">
        <f>VLOOKUP($AD$985,$A$988:$S$999,19,FALSE)</f>
        <v>2.411290322580645</v>
      </c>
      <c r="AS988" s="365">
        <f>SUM(AD988:AR988)</f>
        <v>421.00304749080681</v>
      </c>
      <c r="AT988" s="365" t="e">
        <f ca="1">VLOOKUP($AD$985,$AC$908:$AS$919,17,FALSE)/$AE$985*(AS988/$AS$1012)</f>
        <v>#NAME?</v>
      </c>
      <c r="AU988" s="365" t="e">
        <f ca="1">AS988+AT988</f>
        <v>#NAME?</v>
      </c>
      <c r="AW988" s="365" t="e">
        <f t="shared" ref="AW988:AW1011" ca="1" si="270">VLOOKUP($AD$985,$A$936:$R$949,15,FALSE)/$AE$985/24</f>
        <v>#NAME?</v>
      </c>
      <c r="AX988" s="365" t="e">
        <f ca="1">AU988-AW988</f>
        <v>#NAME?</v>
      </c>
    </row>
    <row r="989" spans="1:50" ht="15.75" customHeight="1" x14ac:dyDescent="0.3">
      <c r="A989" s="375" t="s">
        <v>9</v>
      </c>
      <c r="B989" s="375">
        <f t="shared" si="265"/>
        <v>294</v>
      </c>
      <c r="C989" s="365">
        <f t="shared" si="265"/>
        <v>147</v>
      </c>
      <c r="D989" s="427" t="s">
        <v>1095</v>
      </c>
      <c r="E989" s="365">
        <f t="shared" ref="E989:S989" si="271">+C909/$C$10/24</f>
        <v>19.948275862068964</v>
      </c>
      <c r="F989" s="365">
        <f t="shared" si="271"/>
        <v>20.902298850574713</v>
      </c>
      <c r="G989" s="365">
        <f t="shared" si="271"/>
        <v>34.764367816091955</v>
      </c>
      <c r="H989" s="365">
        <f t="shared" si="271"/>
        <v>10.237411353074444</v>
      </c>
      <c r="I989" s="365">
        <f t="shared" si="271"/>
        <v>0</v>
      </c>
      <c r="J989" s="365">
        <f t="shared" si="271"/>
        <v>8.0790229885057467</v>
      </c>
      <c r="K989" s="365">
        <f t="shared" si="271"/>
        <v>4.1494252873563218</v>
      </c>
      <c r="L989" s="365">
        <f t="shared" si="271"/>
        <v>6.3448275862068968</v>
      </c>
      <c r="M989" s="365">
        <f t="shared" si="271"/>
        <v>6.001436781609196</v>
      </c>
      <c r="N989" s="365">
        <f t="shared" si="271"/>
        <v>1.6465517241379308</v>
      </c>
      <c r="O989" s="365">
        <f t="shared" si="271"/>
        <v>1.9396551724137929</v>
      </c>
      <c r="P989" s="365">
        <f t="shared" si="271"/>
        <v>3.8735632183908049</v>
      </c>
      <c r="Q989" s="365">
        <f t="shared" si="271"/>
        <v>0.82327586206896541</v>
      </c>
      <c r="R989" s="365">
        <f t="shared" si="271"/>
        <v>1.5287356321839081</v>
      </c>
      <c r="S989" s="427">
        <f t="shared" si="271"/>
        <v>1.9468390804597702</v>
      </c>
      <c r="T989" s="365">
        <f t="shared" si="267"/>
        <v>416.18568721514345</v>
      </c>
      <c r="U989" s="365">
        <f t="shared" si="268"/>
        <v>269.18568721514345</v>
      </c>
      <c r="V989" s="365" t="s">
        <v>1095</v>
      </c>
      <c r="AC989" s="4">
        <v>2</v>
      </c>
      <c r="AD989" s="365">
        <f t="shared" si="269"/>
        <v>294</v>
      </c>
      <c r="AE989" s="365">
        <f t="shared" ref="AE989:AE1011" si="272">VLOOKUP($AD$985,$A$988:$S$999,5,FALSE)</f>
        <v>20.03494623655914</v>
      </c>
      <c r="AF989" s="365">
        <f t="shared" ref="AF989:AF1011" si="273">VLOOKUP($AD$985,$A$988:$S$999,6,FALSE)</f>
        <v>20.975806451612904</v>
      </c>
      <c r="AG989" s="365">
        <f t="shared" ref="AG989:AG1011" si="274">VLOOKUP($AD$985,$A$988:$S$999,7,FALSE)</f>
        <v>34.26478494623656</v>
      </c>
      <c r="AH989" s="365">
        <f t="shared" ref="AH989:AH1011" si="275">VLOOKUP($AD$985,$A$988:$S$999,8,FALSE)</f>
        <v>1.3457894262906163</v>
      </c>
      <c r="AI989" s="365">
        <f t="shared" ref="AI989:AI1011" si="276">VLOOKUP($AD$985,$A$988:$S$999,10,FALSE)</f>
        <v>11.658602150537634</v>
      </c>
      <c r="AJ989" s="365">
        <f t="shared" ref="AJ989:AJ1011" si="277">VLOOKUP($AD$985,$A$988:$S$999,11,FALSE)</f>
        <v>6.80510752688172</v>
      </c>
      <c r="AK989" s="365">
        <f t="shared" ref="AK989:AK1011" si="278">VLOOKUP($AD$985,$A$988:$S$999,12,FALSE)</f>
        <v>8.26747311827957</v>
      </c>
      <c r="AL989" s="365">
        <f t="shared" ref="AL989:AL1011" si="279">VLOOKUP($AD$985,$A$988:$S$999,13,FALSE)</f>
        <v>7.6895161290322589</v>
      </c>
      <c r="AM989" s="365">
        <f t="shared" ref="AM989:AM1011" si="280">VLOOKUP($AD$985,$A$988:$S$999,14,FALSE)</f>
        <v>2.3508064516129035</v>
      </c>
      <c r="AN989" s="365">
        <f t="shared" ref="AN989:AN1011" si="281">VLOOKUP($AD$985,$A$988:$S$999,15,FALSE)</f>
        <v>2.7688172043010755</v>
      </c>
      <c r="AO989" s="365">
        <f t="shared" ref="AO989:AO1011" si="282">VLOOKUP($AD$985,$A$988:$S$999,16,FALSE)</f>
        <v>5.600806451612903</v>
      </c>
      <c r="AP989" s="365">
        <f t="shared" ref="AP989:AP1011" si="283">VLOOKUP($AD$985,$A$988:$S$999,17,FALSE)</f>
        <v>1.0188172043010753</v>
      </c>
      <c r="AQ989" s="365">
        <f t="shared" ref="AQ989:AQ1011" si="284">VLOOKUP($AD$985,$A$988:$S$999,18,FALSE)</f>
        <v>1.810483870967742</v>
      </c>
      <c r="AR989" s="365">
        <f t="shared" ref="AR989:AR1011" si="285">VLOOKUP($AD$985,$A$988:$S$999,19,FALSE)</f>
        <v>2.411290322580645</v>
      </c>
      <c r="AS989" s="365">
        <f t="shared" ref="AS989:AS1011" si="286">SUM(AD989:AR989)</f>
        <v>421.00304749080681</v>
      </c>
      <c r="AT989" s="365" t="e">
        <f t="shared" ref="AT989:AT1011" ca="1" si="287">VLOOKUP($AD$985,$AC$908:$AS$919,17,FALSE)/$AE$985*(AS989/$AS$1012)</f>
        <v>#NAME?</v>
      </c>
      <c r="AU989" s="365" t="e">
        <f t="shared" ref="AU989:AU1011" ca="1" si="288">AS989+AT989</f>
        <v>#NAME?</v>
      </c>
      <c r="AW989" s="365" t="e">
        <f t="shared" ca="1" si="270"/>
        <v>#NAME?</v>
      </c>
      <c r="AX989" s="365" t="e">
        <f t="shared" ref="AX989:AX1011" ca="1" si="289">AU989-AW989</f>
        <v>#NAME?</v>
      </c>
    </row>
    <row r="990" spans="1:50" ht="15.75" customHeight="1" x14ac:dyDescent="0.3">
      <c r="A990" s="375" t="s">
        <v>10</v>
      </c>
      <c r="B990" s="375">
        <f t="shared" si="265"/>
        <v>294</v>
      </c>
      <c r="C990" s="365">
        <f t="shared" si="265"/>
        <v>196</v>
      </c>
      <c r="D990" s="427" t="s">
        <v>1095</v>
      </c>
      <c r="E990" s="365">
        <f t="shared" ref="E990:S990" si="290">+C910/$D$10/24</f>
        <v>20.03494623655914</v>
      </c>
      <c r="F990" s="365">
        <f t="shared" si="290"/>
        <v>20.975806451612904</v>
      </c>
      <c r="G990" s="365">
        <f t="shared" si="290"/>
        <v>34.26478494623656</v>
      </c>
      <c r="H990" s="365">
        <f t="shared" si="290"/>
        <v>1.3457894262906163</v>
      </c>
      <c r="I990" s="365">
        <f t="shared" si="290"/>
        <v>-2.2399852930451898</v>
      </c>
      <c r="J990" s="365">
        <f t="shared" si="290"/>
        <v>11.658602150537634</v>
      </c>
      <c r="K990" s="365">
        <f t="shared" si="290"/>
        <v>6.80510752688172</v>
      </c>
      <c r="L990" s="365">
        <f t="shared" si="290"/>
        <v>8.26747311827957</v>
      </c>
      <c r="M990" s="365">
        <f t="shared" si="290"/>
        <v>7.6895161290322589</v>
      </c>
      <c r="N990" s="365">
        <f t="shared" si="290"/>
        <v>2.3508064516129035</v>
      </c>
      <c r="O990" s="365">
        <f t="shared" si="290"/>
        <v>2.7688172043010755</v>
      </c>
      <c r="P990" s="365">
        <f t="shared" si="290"/>
        <v>5.600806451612903</v>
      </c>
      <c r="Q990" s="365">
        <f t="shared" si="290"/>
        <v>1.0188172043010753</v>
      </c>
      <c r="R990" s="365">
        <f t="shared" si="290"/>
        <v>1.810483870967742</v>
      </c>
      <c r="S990" s="427">
        <f t="shared" si="290"/>
        <v>2.411290322580645</v>
      </c>
      <c r="T990" s="365">
        <f t="shared" si="267"/>
        <v>418.76306219776154</v>
      </c>
      <c r="U990" s="365">
        <f t="shared" si="268"/>
        <v>320.76306219776154</v>
      </c>
      <c r="V990" s="365" t="s">
        <v>1095</v>
      </c>
      <c r="AC990" s="4">
        <v>3</v>
      </c>
      <c r="AD990" s="365">
        <f t="shared" si="269"/>
        <v>294</v>
      </c>
      <c r="AE990" s="365">
        <f t="shared" si="272"/>
        <v>20.03494623655914</v>
      </c>
      <c r="AF990" s="365">
        <f t="shared" si="273"/>
        <v>20.975806451612904</v>
      </c>
      <c r="AG990" s="365">
        <f t="shared" si="274"/>
        <v>34.26478494623656</v>
      </c>
      <c r="AH990" s="365">
        <f t="shared" si="275"/>
        <v>1.3457894262906163</v>
      </c>
      <c r="AI990" s="365">
        <f t="shared" si="276"/>
        <v>11.658602150537634</v>
      </c>
      <c r="AJ990" s="365">
        <f t="shared" si="277"/>
        <v>6.80510752688172</v>
      </c>
      <c r="AK990" s="365">
        <f t="shared" si="278"/>
        <v>8.26747311827957</v>
      </c>
      <c r="AL990" s="365">
        <f t="shared" si="279"/>
        <v>7.6895161290322589</v>
      </c>
      <c r="AM990" s="365">
        <f t="shared" si="280"/>
        <v>2.3508064516129035</v>
      </c>
      <c r="AN990" s="365">
        <f t="shared" si="281"/>
        <v>2.7688172043010755</v>
      </c>
      <c r="AO990" s="365">
        <f t="shared" si="282"/>
        <v>5.600806451612903</v>
      </c>
      <c r="AP990" s="365">
        <f t="shared" si="283"/>
        <v>1.0188172043010753</v>
      </c>
      <c r="AQ990" s="365">
        <f t="shared" si="284"/>
        <v>1.810483870967742</v>
      </c>
      <c r="AR990" s="365">
        <f t="shared" si="285"/>
        <v>2.411290322580645</v>
      </c>
      <c r="AS990" s="365">
        <f t="shared" si="286"/>
        <v>421.00304749080681</v>
      </c>
      <c r="AT990" s="365" t="e">
        <f t="shared" ca="1" si="287"/>
        <v>#NAME?</v>
      </c>
      <c r="AU990" s="365" t="e">
        <f t="shared" ca="1" si="288"/>
        <v>#NAME?</v>
      </c>
      <c r="AW990" s="365" t="e">
        <f t="shared" ca="1" si="270"/>
        <v>#NAME?</v>
      </c>
      <c r="AX990" s="365" t="e">
        <f t="shared" ca="1" si="289"/>
        <v>#NAME?</v>
      </c>
    </row>
    <row r="991" spans="1:50" ht="15.75" customHeight="1" x14ac:dyDescent="0.3">
      <c r="A991" s="375" t="s">
        <v>12</v>
      </c>
      <c r="B991" s="375">
        <f t="shared" si="265"/>
        <v>294</v>
      </c>
      <c r="C991" s="365">
        <f t="shared" si="265"/>
        <v>196</v>
      </c>
      <c r="D991" s="427" t="s">
        <v>1095</v>
      </c>
      <c r="E991" s="365">
        <f t="shared" ref="E991:S991" si="291">+C911/$F$10/24</f>
        <v>28.244444444444444</v>
      </c>
      <c r="F991" s="365">
        <f t="shared" si="291"/>
        <v>29.570833333333336</v>
      </c>
      <c r="G991" s="365">
        <f t="shared" si="291"/>
        <v>48.56805555555556</v>
      </c>
      <c r="H991" s="365">
        <f t="shared" si="291"/>
        <v>8.5622666789577924</v>
      </c>
      <c r="I991" s="365">
        <f t="shared" si="291"/>
        <v>0</v>
      </c>
      <c r="J991" s="365">
        <f t="shared" si="291"/>
        <v>13.901388888888889</v>
      </c>
      <c r="K991" s="365">
        <f t="shared" si="291"/>
        <v>8.7430555555555554</v>
      </c>
      <c r="L991" s="365">
        <f t="shared" si="291"/>
        <v>10.487499999999999</v>
      </c>
      <c r="M991" s="365">
        <f t="shared" si="291"/>
        <v>9.1138888888888889</v>
      </c>
      <c r="N991" s="365">
        <f t="shared" si="291"/>
        <v>2.9277777777777776</v>
      </c>
      <c r="O991" s="365">
        <f t="shared" si="291"/>
        <v>3.4486111111111111</v>
      </c>
      <c r="P991" s="365">
        <f t="shared" si="291"/>
        <v>7.136111111111112</v>
      </c>
      <c r="Q991" s="365">
        <f t="shared" si="291"/>
        <v>1.0999999999999999</v>
      </c>
      <c r="R991" s="365">
        <f t="shared" si="291"/>
        <v>1.6125</v>
      </c>
      <c r="S991" s="427">
        <f t="shared" si="291"/>
        <v>2.5736111111111111</v>
      </c>
      <c r="T991" s="365">
        <f t="shared" si="267"/>
        <v>469.99004445673563</v>
      </c>
      <c r="U991" s="365">
        <f t="shared" si="268"/>
        <v>371.99004445673563</v>
      </c>
      <c r="V991" s="365" t="s">
        <v>1095</v>
      </c>
      <c r="AC991" s="4">
        <v>4</v>
      </c>
      <c r="AD991" s="365">
        <f t="shared" si="269"/>
        <v>294</v>
      </c>
      <c r="AE991" s="365">
        <f t="shared" si="272"/>
        <v>20.03494623655914</v>
      </c>
      <c r="AF991" s="365">
        <f t="shared" si="273"/>
        <v>20.975806451612904</v>
      </c>
      <c r="AG991" s="365">
        <f t="shared" si="274"/>
        <v>34.26478494623656</v>
      </c>
      <c r="AH991" s="365">
        <f t="shared" si="275"/>
        <v>1.3457894262906163</v>
      </c>
      <c r="AI991" s="365">
        <f t="shared" si="276"/>
        <v>11.658602150537634</v>
      </c>
      <c r="AJ991" s="365">
        <f t="shared" si="277"/>
        <v>6.80510752688172</v>
      </c>
      <c r="AK991" s="365">
        <f t="shared" si="278"/>
        <v>8.26747311827957</v>
      </c>
      <c r="AL991" s="365">
        <f t="shared" si="279"/>
        <v>7.6895161290322589</v>
      </c>
      <c r="AM991" s="365">
        <f t="shared" si="280"/>
        <v>2.3508064516129035</v>
      </c>
      <c r="AN991" s="365">
        <f t="shared" si="281"/>
        <v>2.7688172043010755</v>
      </c>
      <c r="AO991" s="365">
        <f t="shared" si="282"/>
        <v>5.600806451612903</v>
      </c>
      <c r="AP991" s="365">
        <f t="shared" si="283"/>
        <v>1.0188172043010753</v>
      </c>
      <c r="AQ991" s="365">
        <f t="shared" si="284"/>
        <v>1.810483870967742</v>
      </c>
      <c r="AR991" s="365">
        <f t="shared" si="285"/>
        <v>2.411290322580645</v>
      </c>
      <c r="AS991" s="365">
        <f t="shared" si="286"/>
        <v>421.00304749080681</v>
      </c>
      <c r="AT991" s="365" t="e">
        <f t="shared" ca="1" si="287"/>
        <v>#NAME?</v>
      </c>
      <c r="AU991" s="365" t="e">
        <f t="shared" ca="1" si="288"/>
        <v>#NAME?</v>
      </c>
      <c r="AW991" s="365" t="e">
        <f t="shared" ca="1" si="270"/>
        <v>#NAME?</v>
      </c>
      <c r="AX991" s="365" t="e">
        <f t="shared" ca="1" si="289"/>
        <v>#NAME?</v>
      </c>
    </row>
    <row r="992" spans="1:50" ht="15.75" customHeight="1" x14ac:dyDescent="0.3">
      <c r="A992" s="375" t="s">
        <v>13</v>
      </c>
      <c r="B992" s="375">
        <f t="shared" si="265"/>
        <v>294</v>
      </c>
      <c r="C992" s="365">
        <f t="shared" si="265"/>
        <v>196</v>
      </c>
      <c r="D992" s="427" t="s">
        <v>1095</v>
      </c>
      <c r="E992" s="365">
        <f t="shared" ref="E992:S992" si="292">+C912/$G$10/24</f>
        <v>29.138440860215056</v>
      </c>
      <c r="F992" s="365">
        <f t="shared" si="292"/>
        <v>30.502688172043012</v>
      </c>
      <c r="G992" s="365">
        <f t="shared" si="292"/>
        <v>50.0255376344086</v>
      </c>
      <c r="H992" s="365">
        <f t="shared" si="292"/>
        <v>3.6104331928866453</v>
      </c>
      <c r="I992" s="365">
        <f t="shared" si="292"/>
        <v>0</v>
      </c>
      <c r="J992" s="365">
        <f t="shared" si="292"/>
        <v>15.544354838709678</v>
      </c>
      <c r="K992" s="365">
        <f t="shared" si="292"/>
        <v>7.830645161290323</v>
      </c>
      <c r="L992" s="365">
        <f t="shared" si="292"/>
        <v>9.086021505376344</v>
      </c>
      <c r="M992" s="365">
        <f t="shared" si="292"/>
        <v>8.469086021505376</v>
      </c>
      <c r="N992" s="365">
        <f t="shared" si="292"/>
        <v>2.96505376344086</v>
      </c>
      <c r="O992" s="365">
        <f t="shared" si="292"/>
        <v>3.491935483870968</v>
      </c>
      <c r="P992" s="365">
        <f t="shared" si="292"/>
        <v>7.014784946236559</v>
      </c>
      <c r="Q992" s="365">
        <f t="shared" si="292"/>
        <v>1.0483870967741935</v>
      </c>
      <c r="R992" s="365">
        <f t="shared" si="292"/>
        <v>0.67607526881720437</v>
      </c>
      <c r="S992" s="427">
        <f t="shared" si="292"/>
        <v>2.478494623655914</v>
      </c>
      <c r="T992" s="365">
        <f t="shared" si="267"/>
        <v>465.88193856923078</v>
      </c>
      <c r="U992" s="365">
        <f t="shared" si="268"/>
        <v>367.88193856923078</v>
      </c>
      <c r="V992" s="365" t="s">
        <v>1095</v>
      </c>
      <c r="AC992" s="4">
        <v>5</v>
      </c>
      <c r="AD992" s="365">
        <f t="shared" si="269"/>
        <v>294</v>
      </c>
      <c r="AE992" s="365">
        <f t="shared" si="272"/>
        <v>20.03494623655914</v>
      </c>
      <c r="AF992" s="365">
        <f t="shared" si="273"/>
        <v>20.975806451612904</v>
      </c>
      <c r="AG992" s="365">
        <f t="shared" si="274"/>
        <v>34.26478494623656</v>
      </c>
      <c r="AH992" s="365">
        <f t="shared" si="275"/>
        <v>1.3457894262906163</v>
      </c>
      <c r="AI992" s="365">
        <f t="shared" si="276"/>
        <v>11.658602150537634</v>
      </c>
      <c r="AJ992" s="365">
        <f t="shared" si="277"/>
        <v>6.80510752688172</v>
      </c>
      <c r="AK992" s="365">
        <f t="shared" si="278"/>
        <v>8.26747311827957</v>
      </c>
      <c r="AL992" s="365">
        <f t="shared" si="279"/>
        <v>7.6895161290322589</v>
      </c>
      <c r="AM992" s="365">
        <f t="shared" si="280"/>
        <v>2.3508064516129035</v>
      </c>
      <c r="AN992" s="365">
        <f t="shared" si="281"/>
        <v>2.7688172043010755</v>
      </c>
      <c r="AO992" s="365">
        <f t="shared" si="282"/>
        <v>5.600806451612903</v>
      </c>
      <c r="AP992" s="365">
        <f t="shared" si="283"/>
        <v>1.0188172043010753</v>
      </c>
      <c r="AQ992" s="365">
        <f t="shared" si="284"/>
        <v>1.810483870967742</v>
      </c>
      <c r="AR992" s="365">
        <f t="shared" si="285"/>
        <v>2.411290322580645</v>
      </c>
      <c r="AS992" s="365">
        <f t="shared" si="286"/>
        <v>421.00304749080681</v>
      </c>
      <c r="AT992" s="365" t="e">
        <f t="shared" ca="1" si="287"/>
        <v>#NAME?</v>
      </c>
      <c r="AU992" s="365" t="e">
        <f t="shared" ca="1" si="288"/>
        <v>#NAME?</v>
      </c>
      <c r="AW992" s="365" t="e">
        <f t="shared" ca="1" si="270"/>
        <v>#NAME?</v>
      </c>
      <c r="AX992" s="365" t="e">
        <f t="shared" ca="1" si="289"/>
        <v>#NAME?</v>
      </c>
    </row>
    <row r="993" spans="1:50" ht="15.75" customHeight="1" x14ac:dyDescent="0.3">
      <c r="A993" s="375" t="s">
        <v>14</v>
      </c>
      <c r="B993" s="375">
        <f t="shared" si="265"/>
        <v>294</v>
      </c>
      <c r="C993" s="365">
        <f t="shared" si="265"/>
        <v>98</v>
      </c>
      <c r="D993" s="427">
        <f>H1020</f>
        <v>0</v>
      </c>
      <c r="E993" s="365">
        <f t="shared" ref="E993:S993" si="293">+C913/$H$10/24</f>
        <v>15.456944444444444</v>
      </c>
      <c r="F993" s="365">
        <f t="shared" si="293"/>
        <v>16.145833333333332</v>
      </c>
      <c r="G993" s="365">
        <f t="shared" si="293"/>
        <v>25.134722222222223</v>
      </c>
      <c r="H993" s="365">
        <f t="shared" si="293"/>
        <v>0</v>
      </c>
      <c r="I993" s="365">
        <f t="shared" si="293"/>
        <v>-21.156259105752333</v>
      </c>
      <c r="J993" s="365">
        <f t="shared" si="293"/>
        <v>19.537499999999998</v>
      </c>
      <c r="K993" s="365">
        <f t="shared" si="293"/>
        <v>10.090277777777777</v>
      </c>
      <c r="L993" s="365">
        <f t="shared" si="293"/>
        <v>10.095833333333333</v>
      </c>
      <c r="M993" s="365">
        <f t="shared" si="293"/>
        <v>8.2847222222222232</v>
      </c>
      <c r="N993" s="365">
        <f t="shared" si="293"/>
        <v>2.931944444444444</v>
      </c>
      <c r="O993" s="365">
        <f t="shared" si="293"/>
        <v>3.4527777777777775</v>
      </c>
      <c r="P993" s="365">
        <f t="shared" si="293"/>
        <v>6.7416666666666671</v>
      </c>
      <c r="Q993" s="365">
        <f t="shared" si="293"/>
        <v>1.1583333333333334</v>
      </c>
      <c r="R993" s="365">
        <f t="shared" si="293"/>
        <v>2.2986111111111112</v>
      </c>
      <c r="S993" s="427">
        <f t="shared" si="293"/>
        <v>2.7375000000000003</v>
      </c>
      <c r="T993" s="365">
        <f t="shared" si="267"/>
        <v>396.91040756091434</v>
      </c>
      <c r="U993" s="365">
        <f t="shared" si="268"/>
        <v>200.91040756091434</v>
      </c>
      <c r="V993" s="428">
        <f>D993+SUM(E993:S993)</f>
        <v>102.91040756091432</v>
      </c>
      <c r="AC993" s="4">
        <v>6</v>
      </c>
      <c r="AD993" s="365">
        <f t="shared" si="269"/>
        <v>294</v>
      </c>
      <c r="AE993" s="365">
        <f t="shared" si="272"/>
        <v>20.03494623655914</v>
      </c>
      <c r="AF993" s="365">
        <f t="shared" si="273"/>
        <v>20.975806451612904</v>
      </c>
      <c r="AG993" s="365">
        <f t="shared" si="274"/>
        <v>34.26478494623656</v>
      </c>
      <c r="AH993" s="365">
        <f t="shared" si="275"/>
        <v>1.3457894262906163</v>
      </c>
      <c r="AI993" s="365">
        <f t="shared" si="276"/>
        <v>11.658602150537634</v>
      </c>
      <c r="AJ993" s="365">
        <f t="shared" si="277"/>
        <v>6.80510752688172</v>
      </c>
      <c r="AK993" s="365">
        <f t="shared" si="278"/>
        <v>8.26747311827957</v>
      </c>
      <c r="AL993" s="365">
        <f t="shared" si="279"/>
        <v>7.6895161290322589</v>
      </c>
      <c r="AM993" s="365">
        <f t="shared" si="280"/>
        <v>2.3508064516129035</v>
      </c>
      <c r="AN993" s="365">
        <f t="shared" si="281"/>
        <v>2.7688172043010755</v>
      </c>
      <c r="AO993" s="365">
        <f t="shared" si="282"/>
        <v>5.600806451612903</v>
      </c>
      <c r="AP993" s="365">
        <f t="shared" si="283"/>
        <v>1.0188172043010753</v>
      </c>
      <c r="AQ993" s="365">
        <f t="shared" si="284"/>
        <v>1.810483870967742</v>
      </c>
      <c r="AR993" s="365">
        <f t="shared" si="285"/>
        <v>2.411290322580645</v>
      </c>
      <c r="AS993" s="365">
        <f t="shared" si="286"/>
        <v>421.00304749080681</v>
      </c>
      <c r="AT993" s="365" t="e">
        <f t="shared" ca="1" si="287"/>
        <v>#NAME?</v>
      </c>
      <c r="AU993" s="365" t="e">
        <f t="shared" ca="1" si="288"/>
        <v>#NAME?</v>
      </c>
      <c r="AW993" s="365" t="e">
        <f t="shared" ca="1" si="270"/>
        <v>#NAME?</v>
      </c>
      <c r="AX993" s="365" t="e">
        <f t="shared" ca="1" si="289"/>
        <v>#NAME?</v>
      </c>
    </row>
    <row r="994" spans="1:50" ht="15.75" customHeight="1" x14ac:dyDescent="0.3">
      <c r="A994" s="375" t="s">
        <v>16</v>
      </c>
      <c r="B994" s="375">
        <f t="shared" si="265"/>
        <v>147</v>
      </c>
      <c r="C994" s="365">
        <f t="shared" si="265"/>
        <v>98</v>
      </c>
      <c r="D994" s="427">
        <f>H1021</f>
        <v>0</v>
      </c>
      <c r="E994" s="365">
        <f t="shared" ref="E994:S994" si="294">+C914/$J$10/24</f>
        <v>12.62768817204301</v>
      </c>
      <c r="F994" s="365">
        <f t="shared" si="294"/>
        <v>13.18010752688172</v>
      </c>
      <c r="G994" s="365">
        <f t="shared" si="294"/>
        <v>20.016129032258064</v>
      </c>
      <c r="H994" s="365">
        <f t="shared" si="294"/>
        <v>0</v>
      </c>
      <c r="I994" s="365">
        <f t="shared" si="294"/>
        <v>-19.504222466370702</v>
      </c>
      <c r="J994" s="365">
        <f t="shared" si="294"/>
        <v>16.713709677419356</v>
      </c>
      <c r="K994" s="365">
        <f t="shared" si="294"/>
        <v>10.754032258064518</v>
      </c>
      <c r="L994" s="365">
        <f t="shared" si="294"/>
        <v>9.55241935483871</v>
      </c>
      <c r="M994" s="365">
        <f t="shared" si="294"/>
        <v>8.865591397849462</v>
      </c>
      <c r="N994" s="365">
        <f t="shared" si="294"/>
        <v>2.9543010752688175</v>
      </c>
      <c r="O994" s="365">
        <f t="shared" si="294"/>
        <v>3.4798387096774195</v>
      </c>
      <c r="P994" s="365">
        <f t="shared" si="294"/>
        <v>6.655913978494624</v>
      </c>
      <c r="Q994" s="365">
        <f t="shared" si="294"/>
        <v>0.93279569892473113</v>
      </c>
      <c r="R994" s="365">
        <f t="shared" si="294"/>
        <v>2.243279569892473</v>
      </c>
      <c r="S994" s="427">
        <f t="shared" si="294"/>
        <v>2.2043010752688175</v>
      </c>
      <c r="T994" s="365">
        <f t="shared" si="267"/>
        <v>237.67588506051104</v>
      </c>
      <c r="U994" s="365">
        <f t="shared" si="268"/>
        <v>188.67588506051104</v>
      </c>
      <c r="V994" s="428">
        <f>D994+SUM(E994:S994)</f>
        <v>90.675885060511035</v>
      </c>
      <c r="AC994" s="4">
        <v>7</v>
      </c>
      <c r="AD994" s="365">
        <f>IF($AF$985=1,VLOOKUP($AD$985,$A$1015:$P$1026,12,FALSE),IF(OR($AD$985="JAN",$AD$985="FEB",$AD$985="NOV",$AD$985="DEC"),VLOOKUP($AD$985,$A$988:$S$999,2,FALSE),VLOOKUP($AD$985,$A$988:$S$999,3,FALSE)))</f>
        <v>196</v>
      </c>
      <c r="AE994" s="365">
        <f t="shared" si="272"/>
        <v>20.03494623655914</v>
      </c>
      <c r="AF994" s="365">
        <f t="shared" si="273"/>
        <v>20.975806451612904</v>
      </c>
      <c r="AG994" s="365">
        <f t="shared" si="274"/>
        <v>34.26478494623656</v>
      </c>
      <c r="AH994" s="365">
        <f t="shared" si="275"/>
        <v>1.3457894262906163</v>
      </c>
      <c r="AI994" s="365">
        <f t="shared" si="276"/>
        <v>11.658602150537634</v>
      </c>
      <c r="AJ994" s="365">
        <f t="shared" si="277"/>
        <v>6.80510752688172</v>
      </c>
      <c r="AK994" s="365">
        <f t="shared" si="278"/>
        <v>8.26747311827957</v>
      </c>
      <c r="AL994" s="365">
        <f t="shared" si="279"/>
        <v>7.6895161290322589</v>
      </c>
      <c r="AM994" s="365">
        <f t="shared" si="280"/>
        <v>2.3508064516129035</v>
      </c>
      <c r="AN994" s="365">
        <f t="shared" si="281"/>
        <v>2.7688172043010755</v>
      </c>
      <c r="AO994" s="365">
        <f t="shared" si="282"/>
        <v>5.600806451612903</v>
      </c>
      <c r="AP994" s="365">
        <f t="shared" si="283"/>
        <v>1.0188172043010753</v>
      </c>
      <c r="AQ994" s="365">
        <f t="shared" si="284"/>
        <v>1.810483870967742</v>
      </c>
      <c r="AR994" s="365">
        <f t="shared" si="285"/>
        <v>2.411290322580645</v>
      </c>
      <c r="AS994" s="365">
        <f t="shared" si="286"/>
        <v>323.00304749080675</v>
      </c>
      <c r="AT994" s="365" t="e">
        <f t="shared" ca="1" si="287"/>
        <v>#NAME?</v>
      </c>
      <c r="AU994" s="365" t="e">
        <f t="shared" ca="1" si="288"/>
        <v>#NAME?</v>
      </c>
      <c r="AW994" s="365" t="e">
        <f t="shared" ca="1" si="270"/>
        <v>#NAME?</v>
      </c>
      <c r="AX994" s="365" t="e">
        <f t="shared" ca="1" si="289"/>
        <v>#NAME?</v>
      </c>
    </row>
    <row r="995" spans="1:50" ht="15.75" customHeight="1" x14ac:dyDescent="0.3">
      <c r="A995" s="375" t="s">
        <v>17</v>
      </c>
      <c r="B995" s="375">
        <f t="shared" si="265"/>
        <v>147</v>
      </c>
      <c r="C995" s="365">
        <f t="shared" si="265"/>
        <v>98</v>
      </c>
      <c r="D995" s="427">
        <f>H1022</f>
        <v>0</v>
      </c>
      <c r="E995" s="365">
        <f t="shared" ref="E995:S995" si="295">+C915/$K$10/24</f>
        <v>11.045698924731184</v>
      </c>
      <c r="F995" s="365">
        <f t="shared" si="295"/>
        <v>11.533602150537634</v>
      </c>
      <c r="G995" s="365">
        <f t="shared" si="295"/>
        <v>17.544354838709676</v>
      </c>
      <c r="H995" s="365">
        <f t="shared" si="295"/>
        <v>0</v>
      </c>
      <c r="I995" s="365">
        <f t="shared" si="295"/>
        <v>-12.41983248294253</v>
      </c>
      <c r="J995" s="365">
        <f t="shared" si="295"/>
        <v>12.633064516129032</v>
      </c>
      <c r="K995" s="365">
        <f t="shared" si="295"/>
        <v>7.7325268817204309</v>
      </c>
      <c r="L995" s="365">
        <f t="shared" si="295"/>
        <v>8.487903225806452</v>
      </c>
      <c r="M995" s="365">
        <f t="shared" si="295"/>
        <v>7.577956989247312</v>
      </c>
      <c r="N995" s="365">
        <f t="shared" si="295"/>
        <v>2.706989247311828</v>
      </c>
      <c r="O995" s="365">
        <f t="shared" si="295"/>
        <v>3.189516129032258</v>
      </c>
      <c r="P995" s="365">
        <f t="shared" si="295"/>
        <v>6.045698924731183</v>
      </c>
      <c r="Q995" s="365">
        <f t="shared" si="295"/>
        <v>0.54973118279569888</v>
      </c>
      <c r="R995" s="365">
        <f t="shared" si="295"/>
        <v>2.1760752688172045</v>
      </c>
      <c r="S995" s="427">
        <f t="shared" si="295"/>
        <v>1.2970430107526882</v>
      </c>
      <c r="T995" s="365">
        <f t="shared" si="267"/>
        <v>227.10032880738004</v>
      </c>
      <c r="U995" s="365">
        <f t="shared" si="268"/>
        <v>178.10032880738004</v>
      </c>
      <c r="V995" s="428">
        <f>D995+SUM(E995:S995)</f>
        <v>80.100328807380038</v>
      </c>
      <c r="AC995" s="4">
        <v>8</v>
      </c>
      <c r="AD995" s="365">
        <f>IF($AF$985=1,VLOOKUP($AD$985,$A$1015:$P$1026,12,FALSE),VLOOKUP($AD$985,$A$988:$S$999,3,FALSE))</f>
        <v>196</v>
      </c>
      <c r="AE995" s="365">
        <f t="shared" si="272"/>
        <v>20.03494623655914</v>
      </c>
      <c r="AF995" s="365">
        <f t="shared" si="273"/>
        <v>20.975806451612904</v>
      </c>
      <c r="AG995" s="365">
        <f t="shared" si="274"/>
        <v>34.26478494623656</v>
      </c>
      <c r="AH995" s="365">
        <f t="shared" si="275"/>
        <v>1.3457894262906163</v>
      </c>
      <c r="AI995" s="365">
        <f t="shared" si="276"/>
        <v>11.658602150537634</v>
      </c>
      <c r="AJ995" s="365">
        <f t="shared" si="277"/>
        <v>6.80510752688172</v>
      </c>
      <c r="AK995" s="365">
        <f t="shared" si="278"/>
        <v>8.26747311827957</v>
      </c>
      <c r="AL995" s="365">
        <f t="shared" si="279"/>
        <v>7.6895161290322589</v>
      </c>
      <c r="AM995" s="365">
        <f t="shared" si="280"/>
        <v>2.3508064516129035</v>
      </c>
      <c r="AN995" s="365">
        <f t="shared" si="281"/>
        <v>2.7688172043010755</v>
      </c>
      <c r="AO995" s="365">
        <f t="shared" si="282"/>
        <v>5.600806451612903</v>
      </c>
      <c r="AP995" s="365">
        <f t="shared" si="283"/>
        <v>1.0188172043010753</v>
      </c>
      <c r="AQ995" s="365">
        <f t="shared" si="284"/>
        <v>1.810483870967742</v>
      </c>
      <c r="AR995" s="365">
        <f t="shared" si="285"/>
        <v>2.411290322580645</v>
      </c>
      <c r="AS995" s="365">
        <f t="shared" si="286"/>
        <v>323.00304749080675</v>
      </c>
      <c r="AT995" s="365" t="e">
        <f t="shared" ca="1" si="287"/>
        <v>#NAME?</v>
      </c>
      <c r="AU995" s="365" t="e">
        <f t="shared" ca="1" si="288"/>
        <v>#NAME?</v>
      </c>
      <c r="AW995" s="365" t="e">
        <f t="shared" ca="1" si="270"/>
        <v>#NAME?</v>
      </c>
      <c r="AX995" s="365" t="e">
        <f t="shared" ca="1" si="289"/>
        <v>#NAME?</v>
      </c>
    </row>
    <row r="996" spans="1:50" ht="15.75" customHeight="1" x14ac:dyDescent="0.3">
      <c r="A996" s="375" t="s">
        <v>18</v>
      </c>
      <c r="B996" s="375">
        <f t="shared" si="265"/>
        <v>245</v>
      </c>
      <c r="C996" s="365">
        <f t="shared" si="265"/>
        <v>147</v>
      </c>
      <c r="D996" s="427" t="s">
        <v>1095</v>
      </c>
      <c r="E996" s="365">
        <f t="shared" ref="E996:S996" si="296">+C916/$L$10/24</f>
        <v>22.186111111111114</v>
      </c>
      <c r="F996" s="365">
        <f t="shared" si="296"/>
        <v>23.223611111111111</v>
      </c>
      <c r="G996" s="365">
        <f t="shared" si="296"/>
        <v>38.506944444444443</v>
      </c>
      <c r="H996" s="365">
        <f t="shared" si="296"/>
        <v>4.6500715542860478</v>
      </c>
      <c r="I996" s="365">
        <f t="shared" si="296"/>
        <v>-3.2153288118563164</v>
      </c>
      <c r="J996" s="365">
        <f t="shared" si="296"/>
        <v>10.793055555555556</v>
      </c>
      <c r="K996" s="365">
        <f t="shared" si="296"/>
        <v>7.4236111111111107</v>
      </c>
      <c r="L996" s="365">
        <f t="shared" si="296"/>
        <v>9.0166666666666675</v>
      </c>
      <c r="M996" s="365">
        <f t="shared" si="296"/>
        <v>8.281944444444445</v>
      </c>
      <c r="N996" s="365">
        <f t="shared" si="296"/>
        <v>2.6416666666666666</v>
      </c>
      <c r="O996" s="365">
        <f t="shared" si="296"/>
        <v>3.1125000000000003</v>
      </c>
      <c r="P996" s="365">
        <f t="shared" si="296"/>
        <v>5.9805555555555552</v>
      </c>
      <c r="Q996" s="365">
        <f t="shared" si="296"/>
        <v>1.273611111111111</v>
      </c>
      <c r="R996" s="365">
        <f t="shared" si="296"/>
        <v>1.5958333333333332</v>
      </c>
      <c r="S996" s="427">
        <f t="shared" si="296"/>
        <v>3.0124999999999997</v>
      </c>
      <c r="T996" s="365">
        <f t="shared" si="267"/>
        <v>383.48335385354085</v>
      </c>
      <c r="U996" s="365">
        <f t="shared" si="268"/>
        <v>285.48335385354085</v>
      </c>
      <c r="V996" s="365" t="s">
        <v>1095</v>
      </c>
      <c r="AC996" s="4">
        <v>9</v>
      </c>
      <c r="AD996" s="365">
        <f>IF($AF$985=1,VLOOKUP($AD$985,$A$1015:$P$1026,12,FALSE),VLOOKUP($AD$985,$A$988:$S$999,3,FALSE))</f>
        <v>196</v>
      </c>
      <c r="AE996" s="365">
        <f t="shared" si="272"/>
        <v>20.03494623655914</v>
      </c>
      <c r="AF996" s="365">
        <f t="shared" si="273"/>
        <v>20.975806451612904</v>
      </c>
      <c r="AG996" s="365">
        <f t="shared" si="274"/>
        <v>34.26478494623656</v>
      </c>
      <c r="AH996" s="365">
        <f t="shared" si="275"/>
        <v>1.3457894262906163</v>
      </c>
      <c r="AI996" s="365">
        <f t="shared" si="276"/>
        <v>11.658602150537634</v>
      </c>
      <c r="AJ996" s="365">
        <f t="shared" si="277"/>
        <v>6.80510752688172</v>
      </c>
      <c r="AK996" s="365">
        <f t="shared" si="278"/>
        <v>8.26747311827957</v>
      </c>
      <c r="AL996" s="365">
        <f t="shared" si="279"/>
        <v>7.6895161290322589</v>
      </c>
      <c r="AM996" s="365">
        <f t="shared" si="280"/>
        <v>2.3508064516129035</v>
      </c>
      <c r="AN996" s="365">
        <f t="shared" si="281"/>
        <v>2.7688172043010755</v>
      </c>
      <c r="AO996" s="365">
        <f t="shared" si="282"/>
        <v>5.600806451612903</v>
      </c>
      <c r="AP996" s="365">
        <f t="shared" si="283"/>
        <v>1.0188172043010753</v>
      </c>
      <c r="AQ996" s="365">
        <f t="shared" si="284"/>
        <v>1.810483870967742</v>
      </c>
      <c r="AR996" s="365">
        <f t="shared" si="285"/>
        <v>2.411290322580645</v>
      </c>
      <c r="AS996" s="365">
        <f t="shared" si="286"/>
        <v>323.00304749080675</v>
      </c>
      <c r="AT996" s="365" t="e">
        <f t="shared" ca="1" si="287"/>
        <v>#NAME?</v>
      </c>
      <c r="AU996" s="365" t="e">
        <f t="shared" ca="1" si="288"/>
        <v>#NAME?</v>
      </c>
      <c r="AW996" s="365" t="e">
        <f t="shared" ca="1" si="270"/>
        <v>#NAME?</v>
      </c>
      <c r="AX996" s="365" t="e">
        <f t="shared" ca="1" si="289"/>
        <v>#NAME?</v>
      </c>
    </row>
    <row r="997" spans="1:50" ht="15.75" customHeight="1" x14ac:dyDescent="0.3">
      <c r="A997" s="375" t="s">
        <v>20</v>
      </c>
      <c r="B997" s="375">
        <f t="shared" si="265"/>
        <v>245</v>
      </c>
      <c r="C997" s="365">
        <f t="shared" si="265"/>
        <v>147</v>
      </c>
      <c r="D997" s="427" t="s">
        <v>1095</v>
      </c>
      <c r="E997" s="365">
        <f t="shared" ref="E997:S997" si="297">+C917/$N$10/24</f>
        <v>21.834677419354836</v>
      </c>
      <c r="F997" s="365">
        <f t="shared" si="297"/>
        <v>22.861559139784944</v>
      </c>
      <c r="G997" s="365">
        <f t="shared" si="297"/>
        <v>38.340053763440856</v>
      </c>
      <c r="H997" s="365">
        <f t="shared" si="297"/>
        <v>9.7383136240272599</v>
      </c>
      <c r="I997" s="365">
        <f t="shared" si="297"/>
        <v>-0.17669322426687981</v>
      </c>
      <c r="J997" s="365">
        <f t="shared" si="297"/>
        <v>6.813172043010753</v>
      </c>
      <c r="K997" s="365">
        <f t="shared" si="297"/>
        <v>2.3776881720430105</v>
      </c>
      <c r="L997" s="365">
        <f t="shared" si="297"/>
        <v>2.7620967741935485</v>
      </c>
      <c r="M997" s="365">
        <f t="shared" si="297"/>
        <v>2.7620967741935485</v>
      </c>
      <c r="N997" s="365">
        <f t="shared" si="297"/>
        <v>0.85618279569892464</v>
      </c>
      <c r="O997" s="365">
        <f t="shared" si="297"/>
        <v>1.0053763440860215</v>
      </c>
      <c r="P997" s="365">
        <f t="shared" si="297"/>
        <v>1.8911290322580647</v>
      </c>
      <c r="Q997" s="365">
        <f t="shared" si="297"/>
        <v>0.47446236559139782</v>
      </c>
      <c r="R997" s="365">
        <f t="shared" si="297"/>
        <v>0</v>
      </c>
      <c r="S997" s="427">
        <f t="shared" si="297"/>
        <v>1.1209677419354838</v>
      </c>
      <c r="T997" s="365">
        <f t="shared" si="267"/>
        <v>357.66108276535175</v>
      </c>
      <c r="U997" s="365">
        <f t="shared" si="268"/>
        <v>259.66108276535175</v>
      </c>
      <c r="V997" s="365" t="s">
        <v>1095</v>
      </c>
      <c r="AC997" s="4">
        <v>10</v>
      </c>
      <c r="AD997" s="365">
        <f>IF($AF$985=1,VLOOKUP($AD$985,$A$1015:$P$1026,12,FALSE),VLOOKUP($AD$985,$A$988:$S$999,3,FALSE))</f>
        <v>196</v>
      </c>
      <c r="AE997" s="365">
        <f t="shared" si="272"/>
        <v>20.03494623655914</v>
      </c>
      <c r="AF997" s="365">
        <f t="shared" si="273"/>
        <v>20.975806451612904</v>
      </c>
      <c r="AG997" s="365">
        <f t="shared" si="274"/>
        <v>34.26478494623656</v>
      </c>
      <c r="AH997" s="365">
        <f t="shared" si="275"/>
        <v>1.3457894262906163</v>
      </c>
      <c r="AI997" s="365">
        <f t="shared" si="276"/>
        <v>11.658602150537634</v>
      </c>
      <c r="AJ997" s="365">
        <f t="shared" si="277"/>
        <v>6.80510752688172</v>
      </c>
      <c r="AK997" s="365">
        <f t="shared" si="278"/>
        <v>8.26747311827957</v>
      </c>
      <c r="AL997" s="365">
        <f t="shared" si="279"/>
        <v>7.6895161290322589</v>
      </c>
      <c r="AM997" s="365">
        <f t="shared" si="280"/>
        <v>2.3508064516129035</v>
      </c>
      <c r="AN997" s="365">
        <f t="shared" si="281"/>
        <v>2.7688172043010755</v>
      </c>
      <c r="AO997" s="365">
        <f t="shared" si="282"/>
        <v>5.600806451612903</v>
      </c>
      <c r="AP997" s="365">
        <f t="shared" si="283"/>
        <v>1.0188172043010753</v>
      </c>
      <c r="AQ997" s="365">
        <f t="shared" si="284"/>
        <v>1.810483870967742</v>
      </c>
      <c r="AR997" s="365">
        <f t="shared" si="285"/>
        <v>2.411290322580645</v>
      </c>
      <c r="AS997" s="365">
        <f t="shared" si="286"/>
        <v>323.00304749080675</v>
      </c>
      <c r="AT997" s="365" t="e">
        <f t="shared" ca="1" si="287"/>
        <v>#NAME?</v>
      </c>
      <c r="AU997" s="365" t="e">
        <f t="shared" ca="1" si="288"/>
        <v>#NAME?</v>
      </c>
      <c r="AW997" s="365" t="e">
        <f t="shared" ca="1" si="270"/>
        <v>#NAME?</v>
      </c>
      <c r="AX997" s="365" t="e">
        <f t="shared" ca="1" si="289"/>
        <v>#NAME?</v>
      </c>
    </row>
    <row r="998" spans="1:50" ht="15.75" customHeight="1" x14ac:dyDescent="0.3">
      <c r="A998" s="375" t="s">
        <v>21</v>
      </c>
      <c r="B998" s="375">
        <f t="shared" si="265"/>
        <v>245</v>
      </c>
      <c r="C998" s="365">
        <f t="shared" si="265"/>
        <v>147</v>
      </c>
      <c r="D998" s="427" t="s">
        <v>1095</v>
      </c>
      <c r="E998" s="365">
        <f t="shared" ref="E998:S998" si="298">+C918/$O$10/24</f>
        <v>23.413888888888888</v>
      </c>
      <c r="F998" s="365">
        <f t="shared" si="298"/>
        <v>24.525000000000002</v>
      </c>
      <c r="G998" s="365">
        <f t="shared" si="298"/>
        <v>41.65</v>
      </c>
      <c r="H998" s="365">
        <f t="shared" si="298"/>
        <v>19.878088645806283</v>
      </c>
      <c r="I998" s="365">
        <f t="shared" si="298"/>
        <v>0</v>
      </c>
      <c r="J998" s="365">
        <f t="shared" si="298"/>
        <v>4.3569444444444443</v>
      </c>
      <c r="K998" s="365">
        <f t="shared" si="298"/>
        <v>2.6652777777777779</v>
      </c>
      <c r="L998" s="365">
        <f t="shared" si="298"/>
        <v>3.6111111111111112</v>
      </c>
      <c r="M998" s="365">
        <f t="shared" si="298"/>
        <v>3.7305555555555556</v>
      </c>
      <c r="N998" s="365">
        <f t="shared" si="298"/>
        <v>0.99722222222222223</v>
      </c>
      <c r="O998" s="365">
        <f t="shared" si="298"/>
        <v>1.1722222222222223</v>
      </c>
      <c r="P998" s="365">
        <f t="shared" si="298"/>
        <v>2.4694444444444446</v>
      </c>
      <c r="Q998" s="365">
        <f t="shared" si="298"/>
        <v>0.30833333333333335</v>
      </c>
      <c r="R998" s="365">
        <f t="shared" si="298"/>
        <v>0</v>
      </c>
      <c r="S998" s="427">
        <f t="shared" si="298"/>
        <v>0.72777777777777775</v>
      </c>
      <c r="T998" s="365">
        <f t="shared" si="267"/>
        <v>374.50586642358405</v>
      </c>
      <c r="U998" s="365">
        <f t="shared" si="268"/>
        <v>276.50586642358405</v>
      </c>
      <c r="V998" s="365" t="s">
        <v>1095</v>
      </c>
      <c r="AC998" s="4">
        <v>11</v>
      </c>
      <c r="AD998" s="365">
        <f>IF($AF$985=1,VLOOKUP($AD$985,$A$1015:$P$1026,12,FALSE),VLOOKUP($AD$985,$A$988:$S$999,3,FALSE))</f>
        <v>196</v>
      </c>
      <c r="AE998" s="365">
        <f t="shared" si="272"/>
        <v>20.03494623655914</v>
      </c>
      <c r="AF998" s="365">
        <f t="shared" si="273"/>
        <v>20.975806451612904</v>
      </c>
      <c r="AG998" s="365">
        <f t="shared" si="274"/>
        <v>34.26478494623656</v>
      </c>
      <c r="AH998" s="365">
        <f t="shared" si="275"/>
        <v>1.3457894262906163</v>
      </c>
      <c r="AI998" s="365">
        <f t="shared" si="276"/>
        <v>11.658602150537634</v>
      </c>
      <c r="AJ998" s="365">
        <f t="shared" si="277"/>
        <v>6.80510752688172</v>
      </c>
      <c r="AK998" s="365">
        <f t="shared" si="278"/>
        <v>8.26747311827957</v>
      </c>
      <c r="AL998" s="365">
        <f t="shared" si="279"/>
        <v>7.6895161290322589</v>
      </c>
      <c r="AM998" s="365">
        <f t="shared" si="280"/>
        <v>2.3508064516129035</v>
      </c>
      <c r="AN998" s="365">
        <f t="shared" si="281"/>
        <v>2.7688172043010755</v>
      </c>
      <c r="AO998" s="365">
        <f t="shared" si="282"/>
        <v>5.600806451612903</v>
      </c>
      <c r="AP998" s="365">
        <f t="shared" si="283"/>
        <v>1.0188172043010753</v>
      </c>
      <c r="AQ998" s="365">
        <f t="shared" si="284"/>
        <v>1.810483870967742</v>
      </c>
      <c r="AR998" s="365">
        <f t="shared" si="285"/>
        <v>2.411290322580645</v>
      </c>
      <c r="AS998" s="365">
        <f t="shared" si="286"/>
        <v>323.00304749080675</v>
      </c>
      <c r="AT998" s="365" t="e">
        <f t="shared" ca="1" si="287"/>
        <v>#NAME?</v>
      </c>
      <c r="AU998" s="365" t="e">
        <f t="shared" ca="1" si="288"/>
        <v>#NAME?</v>
      </c>
      <c r="AW998" s="365" t="e">
        <f t="shared" ca="1" si="270"/>
        <v>#NAME?</v>
      </c>
      <c r="AX998" s="365" t="e">
        <f t="shared" ca="1" si="289"/>
        <v>#NAME?</v>
      </c>
    </row>
    <row r="999" spans="1:50" ht="15.75" customHeight="1" thickBot="1" x14ac:dyDescent="0.35">
      <c r="A999" s="382" t="s">
        <v>22</v>
      </c>
      <c r="B999" s="382">
        <f t="shared" si="265"/>
        <v>294</v>
      </c>
      <c r="C999" s="369">
        <f t="shared" si="265"/>
        <v>98</v>
      </c>
      <c r="D999" s="429" t="s">
        <v>1095</v>
      </c>
      <c r="E999" s="369">
        <f t="shared" ref="E999:S999" si="299">+C919/$P$10/24</f>
        <v>19.186827956989248</v>
      </c>
      <c r="F999" s="369">
        <f t="shared" si="299"/>
        <v>20.099462365591396</v>
      </c>
      <c r="G999" s="369">
        <f t="shared" si="299"/>
        <v>33.994623655913976</v>
      </c>
      <c r="H999" s="369">
        <f t="shared" si="299"/>
        <v>13.734725531991195</v>
      </c>
      <c r="I999" s="369">
        <f t="shared" si="299"/>
        <v>0</v>
      </c>
      <c r="J999" s="369">
        <f t="shared" si="299"/>
        <v>5.452956989247312</v>
      </c>
      <c r="K999" s="369">
        <f t="shared" si="299"/>
        <v>3.435483870967742</v>
      </c>
      <c r="L999" s="369">
        <f t="shared" si="299"/>
        <v>4.995967741935484</v>
      </c>
      <c r="M999" s="369">
        <f t="shared" si="299"/>
        <v>5.181451612903226</v>
      </c>
      <c r="N999" s="369">
        <f t="shared" si="299"/>
        <v>1.924731182795699</v>
      </c>
      <c r="O999" s="369">
        <f t="shared" si="299"/>
        <v>2.26747311827957</v>
      </c>
      <c r="P999" s="369">
        <f t="shared" si="299"/>
        <v>4.735215053763441</v>
      </c>
      <c r="Q999" s="369">
        <f t="shared" si="299"/>
        <v>1.1290322580645162</v>
      </c>
      <c r="R999" s="369">
        <f t="shared" si="299"/>
        <v>0</v>
      </c>
      <c r="S999" s="429">
        <f t="shared" si="299"/>
        <v>2.6733870967741935</v>
      </c>
      <c r="T999" s="365">
        <f t="shared" si="267"/>
        <v>412.81133843521701</v>
      </c>
      <c r="U999" s="365">
        <f t="shared" si="268"/>
        <v>216.81133843521701</v>
      </c>
      <c r="V999" s="365" t="s">
        <v>1095</v>
      </c>
      <c r="AC999" s="4">
        <v>12</v>
      </c>
      <c r="AD999" s="365">
        <f>IF($AF$985=1,VLOOKUP($AD$985,$A$1015:$P$1026,12,FALSE),VLOOKUP($AD$985,$A$988:$S$999,3,FALSE))</f>
        <v>196</v>
      </c>
      <c r="AE999" s="365">
        <f t="shared" si="272"/>
        <v>20.03494623655914</v>
      </c>
      <c r="AF999" s="365">
        <f t="shared" si="273"/>
        <v>20.975806451612904</v>
      </c>
      <c r="AG999" s="365">
        <f t="shared" si="274"/>
        <v>34.26478494623656</v>
      </c>
      <c r="AH999" s="365">
        <f t="shared" si="275"/>
        <v>1.3457894262906163</v>
      </c>
      <c r="AI999" s="365">
        <f t="shared" si="276"/>
        <v>11.658602150537634</v>
      </c>
      <c r="AJ999" s="365">
        <f t="shared" si="277"/>
        <v>6.80510752688172</v>
      </c>
      <c r="AK999" s="365">
        <f t="shared" si="278"/>
        <v>8.26747311827957</v>
      </c>
      <c r="AL999" s="365">
        <f t="shared" si="279"/>
        <v>7.6895161290322589</v>
      </c>
      <c r="AM999" s="365">
        <f t="shared" si="280"/>
        <v>2.3508064516129035</v>
      </c>
      <c r="AN999" s="365">
        <f t="shared" si="281"/>
        <v>2.7688172043010755</v>
      </c>
      <c r="AO999" s="365">
        <f t="shared" si="282"/>
        <v>5.600806451612903</v>
      </c>
      <c r="AP999" s="365">
        <f t="shared" si="283"/>
        <v>1.0188172043010753</v>
      </c>
      <c r="AQ999" s="365">
        <f t="shared" si="284"/>
        <v>1.810483870967742</v>
      </c>
      <c r="AR999" s="365">
        <f t="shared" si="285"/>
        <v>2.411290322580645</v>
      </c>
      <c r="AS999" s="365">
        <f t="shared" si="286"/>
        <v>323.00304749080675</v>
      </c>
      <c r="AT999" s="365" t="e">
        <f t="shared" ca="1" si="287"/>
        <v>#NAME?</v>
      </c>
      <c r="AU999" s="365" t="e">
        <f t="shared" ca="1" si="288"/>
        <v>#NAME?</v>
      </c>
      <c r="AW999" s="365" t="e">
        <f t="shared" ca="1" si="270"/>
        <v>#NAME?</v>
      </c>
      <c r="AX999" s="365" t="e">
        <f t="shared" ca="1" si="289"/>
        <v>#NAME?</v>
      </c>
    </row>
    <row r="1000" spans="1:50" ht="15.75" customHeight="1" x14ac:dyDescent="0.3">
      <c r="A1000" s="418"/>
      <c r="AC1000" s="4">
        <v>13</v>
      </c>
      <c r="AD1000" s="365">
        <f>IF($AF$985=1,VLOOKUP($AD$985,$A$1015:$P$1026,12,FALSE),IF(OR($AD$985="JUN",$AD$985="JUL",$AD$985="AUG"),VLOOKUP($AD$985,$A$988:$S$999,4,FALSE),VLOOKUP($AD$985,$A$988:$S$999,3,FALSE)))</f>
        <v>196</v>
      </c>
      <c r="AE1000" s="365">
        <f t="shared" si="272"/>
        <v>20.03494623655914</v>
      </c>
      <c r="AF1000" s="365">
        <f t="shared" si="273"/>
        <v>20.975806451612904</v>
      </c>
      <c r="AG1000" s="365">
        <f t="shared" si="274"/>
        <v>34.26478494623656</v>
      </c>
      <c r="AH1000" s="365">
        <f t="shared" si="275"/>
        <v>1.3457894262906163</v>
      </c>
      <c r="AI1000" s="365">
        <f t="shared" si="276"/>
        <v>11.658602150537634</v>
      </c>
      <c r="AJ1000" s="365">
        <f t="shared" si="277"/>
        <v>6.80510752688172</v>
      </c>
      <c r="AK1000" s="365">
        <f t="shared" si="278"/>
        <v>8.26747311827957</v>
      </c>
      <c r="AL1000" s="365">
        <f t="shared" si="279"/>
        <v>7.6895161290322589</v>
      </c>
      <c r="AM1000" s="365">
        <f t="shared" si="280"/>
        <v>2.3508064516129035</v>
      </c>
      <c r="AN1000" s="365">
        <f t="shared" si="281"/>
        <v>2.7688172043010755</v>
      </c>
      <c r="AO1000" s="365">
        <f t="shared" si="282"/>
        <v>5.600806451612903</v>
      </c>
      <c r="AP1000" s="365">
        <f t="shared" si="283"/>
        <v>1.0188172043010753</v>
      </c>
      <c r="AQ1000" s="365">
        <f t="shared" si="284"/>
        <v>1.810483870967742</v>
      </c>
      <c r="AR1000" s="365">
        <f t="shared" si="285"/>
        <v>2.411290322580645</v>
      </c>
      <c r="AS1000" s="365">
        <f t="shared" si="286"/>
        <v>323.00304749080675</v>
      </c>
      <c r="AT1000" s="365" t="e">
        <f t="shared" ca="1" si="287"/>
        <v>#NAME?</v>
      </c>
      <c r="AU1000" s="365" t="e">
        <f t="shared" ca="1" si="288"/>
        <v>#NAME?</v>
      </c>
      <c r="AW1000" s="365" t="e">
        <f t="shared" ca="1" si="270"/>
        <v>#NAME?</v>
      </c>
      <c r="AX1000" s="365" t="e">
        <f t="shared" ca="1" si="289"/>
        <v>#NAME?</v>
      </c>
    </row>
    <row r="1001" spans="1:50" ht="15.75" customHeight="1" x14ac:dyDescent="0.3">
      <c r="A1001" s="418" t="s">
        <v>1096</v>
      </c>
      <c r="AC1001" s="4">
        <v>14</v>
      </c>
      <c r="AD1001" s="365">
        <f t="shared" ref="AD1001:AD1007" si="300">IF($AF$985=1,VLOOKUP($AD$985,$A$1015:$P$1026,12,FALSE),IF(OR($AD$985="JUN",$AD$985="JUL",$AD$985="AUG"),VLOOKUP($AD$985,$A$988:$S$999,4,FALSE),VLOOKUP($AD$985,$A$988:$S$999,3,FALSE)))</f>
        <v>196</v>
      </c>
      <c r="AE1001" s="365">
        <f t="shared" si="272"/>
        <v>20.03494623655914</v>
      </c>
      <c r="AF1001" s="365">
        <f t="shared" si="273"/>
        <v>20.975806451612904</v>
      </c>
      <c r="AG1001" s="365">
        <f t="shared" si="274"/>
        <v>34.26478494623656</v>
      </c>
      <c r="AH1001" s="365">
        <f t="shared" si="275"/>
        <v>1.3457894262906163</v>
      </c>
      <c r="AI1001" s="365">
        <f t="shared" si="276"/>
        <v>11.658602150537634</v>
      </c>
      <c r="AJ1001" s="365">
        <f t="shared" si="277"/>
        <v>6.80510752688172</v>
      </c>
      <c r="AK1001" s="365">
        <f t="shared" si="278"/>
        <v>8.26747311827957</v>
      </c>
      <c r="AL1001" s="365">
        <f t="shared" si="279"/>
        <v>7.6895161290322589</v>
      </c>
      <c r="AM1001" s="365">
        <f t="shared" si="280"/>
        <v>2.3508064516129035</v>
      </c>
      <c r="AN1001" s="365">
        <f t="shared" si="281"/>
        <v>2.7688172043010755</v>
      </c>
      <c r="AO1001" s="365">
        <f t="shared" si="282"/>
        <v>5.600806451612903</v>
      </c>
      <c r="AP1001" s="365">
        <f t="shared" si="283"/>
        <v>1.0188172043010753</v>
      </c>
      <c r="AQ1001" s="365">
        <f t="shared" si="284"/>
        <v>1.810483870967742</v>
      </c>
      <c r="AR1001" s="365">
        <f t="shared" si="285"/>
        <v>2.411290322580645</v>
      </c>
      <c r="AS1001" s="365">
        <f t="shared" si="286"/>
        <v>323.00304749080675</v>
      </c>
      <c r="AT1001" s="365" t="e">
        <f t="shared" ca="1" si="287"/>
        <v>#NAME?</v>
      </c>
      <c r="AU1001" s="365" t="e">
        <f t="shared" ca="1" si="288"/>
        <v>#NAME?</v>
      </c>
      <c r="AW1001" s="365" t="e">
        <f t="shared" ca="1" si="270"/>
        <v>#NAME?</v>
      </c>
      <c r="AX1001" s="365" t="e">
        <f t="shared" ca="1" si="289"/>
        <v>#NAME?</v>
      </c>
    </row>
    <row r="1002" spans="1:50" ht="15.75" customHeight="1" x14ac:dyDescent="0.3">
      <c r="A1002" s="418"/>
      <c r="AC1002" s="4">
        <v>15</v>
      </c>
      <c r="AD1002" s="365">
        <f t="shared" si="300"/>
        <v>196</v>
      </c>
      <c r="AE1002" s="365">
        <f t="shared" si="272"/>
        <v>20.03494623655914</v>
      </c>
      <c r="AF1002" s="365">
        <f t="shared" si="273"/>
        <v>20.975806451612904</v>
      </c>
      <c r="AG1002" s="365">
        <f t="shared" si="274"/>
        <v>34.26478494623656</v>
      </c>
      <c r="AH1002" s="365">
        <f t="shared" si="275"/>
        <v>1.3457894262906163</v>
      </c>
      <c r="AI1002" s="365">
        <f t="shared" si="276"/>
        <v>11.658602150537634</v>
      </c>
      <c r="AJ1002" s="365">
        <f t="shared" si="277"/>
        <v>6.80510752688172</v>
      </c>
      <c r="AK1002" s="365">
        <f t="shared" si="278"/>
        <v>8.26747311827957</v>
      </c>
      <c r="AL1002" s="365">
        <f t="shared" si="279"/>
        <v>7.6895161290322589</v>
      </c>
      <c r="AM1002" s="365">
        <f t="shared" si="280"/>
        <v>2.3508064516129035</v>
      </c>
      <c r="AN1002" s="365">
        <f t="shared" si="281"/>
        <v>2.7688172043010755</v>
      </c>
      <c r="AO1002" s="365">
        <f t="shared" si="282"/>
        <v>5.600806451612903</v>
      </c>
      <c r="AP1002" s="365">
        <f t="shared" si="283"/>
        <v>1.0188172043010753</v>
      </c>
      <c r="AQ1002" s="365">
        <f t="shared" si="284"/>
        <v>1.810483870967742</v>
      </c>
      <c r="AR1002" s="365">
        <f t="shared" si="285"/>
        <v>2.411290322580645</v>
      </c>
      <c r="AS1002" s="365">
        <f t="shared" si="286"/>
        <v>323.00304749080675</v>
      </c>
      <c r="AT1002" s="365" t="e">
        <f t="shared" ca="1" si="287"/>
        <v>#NAME?</v>
      </c>
      <c r="AU1002" s="365" t="e">
        <f t="shared" ca="1" si="288"/>
        <v>#NAME?</v>
      </c>
      <c r="AW1002" s="365" t="e">
        <f t="shared" ca="1" si="270"/>
        <v>#NAME?</v>
      </c>
      <c r="AX1002" s="365" t="e">
        <f t="shared" ca="1" si="289"/>
        <v>#NAME?</v>
      </c>
    </row>
    <row r="1003" spans="1:50" ht="15.75" customHeight="1" x14ac:dyDescent="0.3">
      <c r="A1003" s="418"/>
      <c r="AC1003" s="4">
        <v>16</v>
      </c>
      <c r="AD1003" s="365">
        <f t="shared" si="300"/>
        <v>196</v>
      </c>
      <c r="AE1003" s="365">
        <f t="shared" si="272"/>
        <v>20.03494623655914</v>
      </c>
      <c r="AF1003" s="365">
        <f t="shared" si="273"/>
        <v>20.975806451612904</v>
      </c>
      <c r="AG1003" s="365">
        <f t="shared" si="274"/>
        <v>34.26478494623656</v>
      </c>
      <c r="AH1003" s="365">
        <f t="shared" si="275"/>
        <v>1.3457894262906163</v>
      </c>
      <c r="AI1003" s="365">
        <f t="shared" si="276"/>
        <v>11.658602150537634</v>
      </c>
      <c r="AJ1003" s="365">
        <f t="shared" si="277"/>
        <v>6.80510752688172</v>
      </c>
      <c r="AK1003" s="365">
        <f t="shared" si="278"/>
        <v>8.26747311827957</v>
      </c>
      <c r="AL1003" s="365">
        <f t="shared" si="279"/>
        <v>7.6895161290322589</v>
      </c>
      <c r="AM1003" s="365">
        <f t="shared" si="280"/>
        <v>2.3508064516129035</v>
      </c>
      <c r="AN1003" s="365">
        <f t="shared" si="281"/>
        <v>2.7688172043010755</v>
      </c>
      <c r="AO1003" s="365">
        <f t="shared" si="282"/>
        <v>5.600806451612903</v>
      </c>
      <c r="AP1003" s="365">
        <f t="shared" si="283"/>
        <v>1.0188172043010753</v>
      </c>
      <c r="AQ1003" s="365">
        <f t="shared" si="284"/>
        <v>1.810483870967742</v>
      </c>
      <c r="AR1003" s="365">
        <f t="shared" si="285"/>
        <v>2.411290322580645</v>
      </c>
      <c r="AS1003" s="365">
        <f t="shared" si="286"/>
        <v>323.00304749080675</v>
      </c>
      <c r="AT1003" s="365" t="e">
        <f t="shared" ca="1" si="287"/>
        <v>#NAME?</v>
      </c>
      <c r="AU1003" s="365" t="e">
        <f t="shared" ca="1" si="288"/>
        <v>#NAME?</v>
      </c>
      <c r="AW1003" s="365" t="e">
        <f t="shared" ca="1" si="270"/>
        <v>#NAME?</v>
      </c>
      <c r="AX1003" s="365" t="e">
        <f t="shared" ca="1" si="289"/>
        <v>#NAME?</v>
      </c>
    </row>
    <row r="1004" spans="1:50" ht="15.75" customHeight="1" thickBot="1" x14ac:dyDescent="0.35">
      <c r="A1004" s="418"/>
      <c r="AC1004" s="4">
        <v>17</v>
      </c>
      <c r="AD1004" s="365">
        <f t="shared" si="300"/>
        <v>196</v>
      </c>
      <c r="AE1004" s="365">
        <f t="shared" si="272"/>
        <v>20.03494623655914</v>
      </c>
      <c r="AF1004" s="365">
        <f t="shared" si="273"/>
        <v>20.975806451612904</v>
      </c>
      <c r="AG1004" s="365">
        <f t="shared" si="274"/>
        <v>34.26478494623656</v>
      </c>
      <c r="AH1004" s="365">
        <f t="shared" si="275"/>
        <v>1.3457894262906163</v>
      </c>
      <c r="AI1004" s="365">
        <f t="shared" si="276"/>
        <v>11.658602150537634</v>
      </c>
      <c r="AJ1004" s="365">
        <f t="shared" si="277"/>
        <v>6.80510752688172</v>
      </c>
      <c r="AK1004" s="365">
        <f t="shared" si="278"/>
        <v>8.26747311827957</v>
      </c>
      <c r="AL1004" s="365">
        <f t="shared" si="279"/>
        <v>7.6895161290322589</v>
      </c>
      <c r="AM1004" s="365">
        <f t="shared" si="280"/>
        <v>2.3508064516129035</v>
      </c>
      <c r="AN1004" s="365">
        <f t="shared" si="281"/>
        <v>2.7688172043010755</v>
      </c>
      <c r="AO1004" s="365">
        <f t="shared" si="282"/>
        <v>5.600806451612903</v>
      </c>
      <c r="AP1004" s="365">
        <f t="shared" si="283"/>
        <v>1.0188172043010753</v>
      </c>
      <c r="AQ1004" s="365">
        <f t="shared" si="284"/>
        <v>1.810483870967742</v>
      </c>
      <c r="AR1004" s="365">
        <f t="shared" si="285"/>
        <v>2.411290322580645</v>
      </c>
      <c r="AS1004" s="365">
        <f t="shared" si="286"/>
        <v>323.00304749080675</v>
      </c>
      <c r="AT1004" s="365" t="e">
        <f t="shared" ca="1" si="287"/>
        <v>#NAME?</v>
      </c>
      <c r="AU1004" s="365" t="e">
        <f t="shared" ca="1" si="288"/>
        <v>#NAME?</v>
      </c>
      <c r="AW1004" s="365" t="e">
        <f t="shared" ca="1" si="270"/>
        <v>#NAME?</v>
      </c>
      <c r="AX1004" s="365" t="e">
        <f t="shared" ca="1" si="289"/>
        <v>#NAME?</v>
      </c>
    </row>
    <row r="1005" spans="1:50" ht="15.75" customHeight="1" x14ac:dyDescent="0.3">
      <c r="A1005" s="430"/>
      <c r="B1005" s="506" t="s">
        <v>1097</v>
      </c>
      <c r="C1005" s="506"/>
      <c r="D1005" s="506"/>
      <c r="E1005" s="506"/>
      <c r="F1005" s="506"/>
      <c r="G1005" s="506"/>
      <c r="H1005" s="506"/>
      <c r="I1005" s="506"/>
      <c r="J1005" s="506"/>
      <c r="K1005" s="506"/>
      <c r="L1005" s="506"/>
      <c r="M1005" s="506"/>
      <c r="N1005" s="506"/>
      <c r="O1005" s="506"/>
      <c r="P1005" s="506"/>
      <c r="Q1005" s="361" t="str">
        <f>+Q1</f>
        <v xml:space="preserve">PRINTED:  </v>
      </c>
      <c r="R1005" s="362">
        <f ca="1">+R1</f>
        <v>44909.46975358796</v>
      </c>
      <c r="AC1005" s="4">
        <v>18</v>
      </c>
      <c r="AD1005" s="365">
        <f t="shared" si="300"/>
        <v>196</v>
      </c>
      <c r="AE1005" s="365">
        <f t="shared" si="272"/>
        <v>20.03494623655914</v>
      </c>
      <c r="AF1005" s="365">
        <f t="shared" si="273"/>
        <v>20.975806451612904</v>
      </c>
      <c r="AG1005" s="365">
        <f t="shared" si="274"/>
        <v>34.26478494623656</v>
      </c>
      <c r="AH1005" s="365">
        <f t="shared" si="275"/>
        <v>1.3457894262906163</v>
      </c>
      <c r="AI1005" s="365">
        <f t="shared" si="276"/>
        <v>11.658602150537634</v>
      </c>
      <c r="AJ1005" s="365">
        <f t="shared" si="277"/>
        <v>6.80510752688172</v>
      </c>
      <c r="AK1005" s="365">
        <f t="shared" si="278"/>
        <v>8.26747311827957</v>
      </c>
      <c r="AL1005" s="365">
        <f t="shared" si="279"/>
        <v>7.6895161290322589</v>
      </c>
      <c r="AM1005" s="365">
        <f t="shared" si="280"/>
        <v>2.3508064516129035</v>
      </c>
      <c r="AN1005" s="365">
        <f t="shared" si="281"/>
        <v>2.7688172043010755</v>
      </c>
      <c r="AO1005" s="365">
        <f t="shared" si="282"/>
        <v>5.600806451612903</v>
      </c>
      <c r="AP1005" s="365">
        <f t="shared" si="283"/>
        <v>1.0188172043010753</v>
      </c>
      <c r="AQ1005" s="365">
        <f t="shared" si="284"/>
        <v>1.810483870967742</v>
      </c>
      <c r="AR1005" s="365">
        <f t="shared" si="285"/>
        <v>2.411290322580645</v>
      </c>
      <c r="AS1005" s="365">
        <f t="shared" si="286"/>
        <v>323.00304749080675</v>
      </c>
      <c r="AT1005" s="365" t="e">
        <f t="shared" ca="1" si="287"/>
        <v>#NAME?</v>
      </c>
      <c r="AU1005" s="365" t="e">
        <f t="shared" ca="1" si="288"/>
        <v>#NAME?</v>
      </c>
      <c r="AW1005" s="365" t="e">
        <f t="shared" ca="1" si="270"/>
        <v>#NAME?</v>
      </c>
      <c r="AX1005" s="365" t="e">
        <f t="shared" ca="1" si="289"/>
        <v>#NAME?</v>
      </c>
    </row>
    <row r="1006" spans="1:50" ht="16.5" customHeight="1" x14ac:dyDescent="0.3">
      <c r="A1006" s="416"/>
      <c r="B1006" s="503" t="str">
        <f>+A8</f>
        <v>Revised:  2/23/2017</v>
      </c>
      <c r="C1006" s="503"/>
      <c r="D1006" s="503"/>
      <c r="E1006" s="503"/>
      <c r="F1006" s="503"/>
      <c r="G1006" s="503"/>
      <c r="H1006" s="503"/>
      <c r="I1006" s="503"/>
      <c r="J1006" s="503"/>
      <c r="K1006" s="503"/>
      <c r="L1006" s="503"/>
      <c r="M1006" s="503"/>
      <c r="N1006" s="503"/>
      <c r="O1006" s="503"/>
      <c r="P1006" s="503"/>
      <c r="R1006" s="307"/>
      <c r="AC1006" s="4">
        <v>19</v>
      </c>
      <c r="AD1006" s="365">
        <f t="shared" si="300"/>
        <v>196</v>
      </c>
      <c r="AE1006" s="365">
        <f t="shared" si="272"/>
        <v>20.03494623655914</v>
      </c>
      <c r="AF1006" s="365">
        <f t="shared" si="273"/>
        <v>20.975806451612904</v>
      </c>
      <c r="AG1006" s="365">
        <f t="shared" si="274"/>
        <v>34.26478494623656</v>
      </c>
      <c r="AH1006" s="365">
        <f t="shared" si="275"/>
        <v>1.3457894262906163</v>
      </c>
      <c r="AI1006" s="365">
        <f t="shared" si="276"/>
        <v>11.658602150537634</v>
      </c>
      <c r="AJ1006" s="365">
        <f t="shared" si="277"/>
        <v>6.80510752688172</v>
      </c>
      <c r="AK1006" s="365">
        <f t="shared" si="278"/>
        <v>8.26747311827957</v>
      </c>
      <c r="AL1006" s="365">
        <f t="shared" si="279"/>
        <v>7.6895161290322589</v>
      </c>
      <c r="AM1006" s="365">
        <f t="shared" si="280"/>
        <v>2.3508064516129035</v>
      </c>
      <c r="AN1006" s="365">
        <f t="shared" si="281"/>
        <v>2.7688172043010755</v>
      </c>
      <c r="AO1006" s="365">
        <f t="shared" si="282"/>
        <v>5.600806451612903</v>
      </c>
      <c r="AP1006" s="365">
        <f t="shared" si="283"/>
        <v>1.0188172043010753</v>
      </c>
      <c r="AQ1006" s="365">
        <f t="shared" si="284"/>
        <v>1.810483870967742</v>
      </c>
      <c r="AR1006" s="365">
        <f t="shared" si="285"/>
        <v>2.411290322580645</v>
      </c>
      <c r="AS1006" s="365">
        <f t="shared" si="286"/>
        <v>323.00304749080675</v>
      </c>
      <c r="AT1006" s="365" t="e">
        <f t="shared" ca="1" si="287"/>
        <v>#NAME?</v>
      </c>
      <c r="AU1006" s="365" t="e">
        <f t="shared" ca="1" si="288"/>
        <v>#NAME?</v>
      </c>
      <c r="AW1006" s="365" t="e">
        <f t="shared" ca="1" si="270"/>
        <v>#NAME?</v>
      </c>
      <c r="AX1006" s="365" t="e">
        <f t="shared" ca="1" si="289"/>
        <v>#NAME?</v>
      </c>
    </row>
    <row r="1007" spans="1:50" ht="16.5" customHeight="1" x14ac:dyDescent="0.3">
      <c r="A1007" s="416"/>
      <c r="B1007" s="503" t="s">
        <v>1024</v>
      </c>
      <c r="C1007" s="503"/>
      <c r="D1007" s="503"/>
      <c r="E1007" s="503"/>
      <c r="F1007" s="503"/>
      <c r="G1007" s="503"/>
      <c r="H1007" s="503"/>
      <c r="I1007" s="503"/>
      <c r="J1007" s="503"/>
      <c r="K1007" s="503"/>
      <c r="L1007" s="503"/>
      <c r="M1007" s="503"/>
      <c r="N1007" s="503"/>
      <c r="O1007" s="503"/>
      <c r="P1007" s="503"/>
      <c r="R1007" s="307"/>
      <c r="AC1007" s="4">
        <v>20</v>
      </c>
      <c r="AD1007" s="365">
        <f t="shared" si="300"/>
        <v>196</v>
      </c>
      <c r="AE1007" s="365">
        <f t="shared" si="272"/>
        <v>20.03494623655914</v>
      </c>
      <c r="AF1007" s="365">
        <f t="shared" si="273"/>
        <v>20.975806451612904</v>
      </c>
      <c r="AG1007" s="365">
        <f t="shared" si="274"/>
        <v>34.26478494623656</v>
      </c>
      <c r="AH1007" s="365">
        <f t="shared" si="275"/>
        <v>1.3457894262906163</v>
      </c>
      <c r="AI1007" s="365">
        <f t="shared" si="276"/>
        <v>11.658602150537634</v>
      </c>
      <c r="AJ1007" s="365">
        <f t="shared" si="277"/>
        <v>6.80510752688172</v>
      </c>
      <c r="AK1007" s="365">
        <f t="shared" si="278"/>
        <v>8.26747311827957</v>
      </c>
      <c r="AL1007" s="365">
        <f t="shared" si="279"/>
        <v>7.6895161290322589</v>
      </c>
      <c r="AM1007" s="365">
        <f t="shared" si="280"/>
        <v>2.3508064516129035</v>
      </c>
      <c r="AN1007" s="365">
        <f t="shared" si="281"/>
        <v>2.7688172043010755</v>
      </c>
      <c r="AO1007" s="365">
        <f t="shared" si="282"/>
        <v>5.600806451612903</v>
      </c>
      <c r="AP1007" s="365">
        <f t="shared" si="283"/>
        <v>1.0188172043010753</v>
      </c>
      <c r="AQ1007" s="365">
        <f t="shared" si="284"/>
        <v>1.810483870967742</v>
      </c>
      <c r="AR1007" s="365">
        <f t="shared" si="285"/>
        <v>2.411290322580645</v>
      </c>
      <c r="AS1007" s="365">
        <f t="shared" si="286"/>
        <v>323.00304749080675</v>
      </c>
      <c r="AT1007" s="365" t="e">
        <f t="shared" ca="1" si="287"/>
        <v>#NAME?</v>
      </c>
      <c r="AU1007" s="365" t="e">
        <f t="shared" ca="1" si="288"/>
        <v>#NAME?</v>
      </c>
      <c r="AW1007" s="365" t="e">
        <f t="shared" ca="1" si="270"/>
        <v>#NAME?</v>
      </c>
      <c r="AX1007" s="365" t="e">
        <f t="shared" ca="1" si="289"/>
        <v>#NAME?</v>
      </c>
    </row>
    <row r="1008" spans="1:50" ht="16.5" customHeight="1" x14ac:dyDescent="0.3">
      <c r="A1008" s="416"/>
      <c r="B1008" s="159"/>
      <c r="C1008" s="159"/>
      <c r="D1008" s="159"/>
      <c r="E1008" s="159"/>
      <c r="F1008" s="159"/>
      <c r="G1008" s="159"/>
      <c r="H1008" s="159"/>
      <c r="I1008" s="159"/>
      <c r="J1008" s="159"/>
      <c r="K1008" s="159"/>
      <c r="L1008" s="159"/>
      <c r="M1008" s="159"/>
      <c r="N1008" s="159"/>
      <c r="O1008" s="159"/>
      <c r="P1008" s="159"/>
      <c r="R1008" s="307"/>
      <c r="AC1008" s="4">
        <v>21</v>
      </c>
      <c r="AD1008" s="365">
        <f>IF($AF$985=1,VLOOKUP($AD$985,$A$1015:$P$1026,12,FALSE),VLOOKUP($AD$985,$A$988:$S$999,3,FALSE))</f>
        <v>196</v>
      </c>
      <c r="AE1008" s="365">
        <f t="shared" si="272"/>
        <v>20.03494623655914</v>
      </c>
      <c r="AF1008" s="365">
        <f t="shared" si="273"/>
        <v>20.975806451612904</v>
      </c>
      <c r="AG1008" s="365">
        <f t="shared" si="274"/>
        <v>34.26478494623656</v>
      </c>
      <c r="AH1008" s="365">
        <f t="shared" si="275"/>
        <v>1.3457894262906163</v>
      </c>
      <c r="AI1008" s="365">
        <f t="shared" si="276"/>
        <v>11.658602150537634</v>
      </c>
      <c r="AJ1008" s="365">
        <f t="shared" si="277"/>
        <v>6.80510752688172</v>
      </c>
      <c r="AK1008" s="365">
        <f t="shared" si="278"/>
        <v>8.26747311827957</v>
      </c>
      <c r="AL1008" s="365">
        <f t="shared" si="279"/>
        <v>7.6895161290322589</v>
      </c>
      <c r="AM1008" s="365">
        <f t="shared" si="280"/>
        <v>2.3508064516129035</v>
      </c>
      <c r="AN1008" s="365">
        <f t="shared" si="281"/>
        <v>2.7688172043010755</v>
      </c>
      <c r="AO1008" s="365">
        <f t="shared" si="282"/>
        <v>5.600806451612903</v>
      </c>
      <c r="AP1008" s="365">
        <f t="shared" si="283"/>
        <v>1.0188172043010753</v>
      </c>
      <c r="AQ1008" s="365">
        <f t="shared" si="284"/>
        <v>1.810483870967742</v>
      </c>
      <c r="AR1008" s="365">
        <f t="shared" si="285"/>
        <v>2.411290322580645</v>
      </c>
      <c r="AS1008" s="365">
        <f t="shared" si="286"/>
        <v>323.00304749080675</v>
      </c>
      <c r="AT1008" s="365" t="e">
        <f t="shared" ca="1" si="287"/>
        <v>#NAME?</v>
      </c>
      <c r="AU1008" s="365" t="e">
        <f t="shared" ca="1" si="288"/>
        <v>#NAME?</v>
      </c>
      <c r="AW1008" s="365" t="e">
        <f t="shared" ca="1" si="270"/>
        <v>#NAME?</v>
      </c>
      <c r="AX1008" s="365" t="e">
        <f t="shared" ca="1" si="289"/>
        <v>#NAME?</v>
      </c>
    </row>
    <row r="1009" spans="1:50" ht="16.5" customHeight="1" x14ac:dyDescent="0.3">
      <c r="A1009" s="416"/>
      <c r="B1009" s="539">
        <f>+A5</f>
        <v>2016</v>
      </c>
      <c r="C1009" s="509"/>
      <c r="D1009" s="509"/>
      <c r="E1009" s="509"/>
      <c r="F1009" s="509"/>
      <c r="G1009" s="509"/>
      <c r="H1009" s="509"/>
      <c r="I1009" s="509"/>
      <c r="J1009" s="509"/>
      <c r="K1009" s="509"/>
      <c r="L1009" s="509"/>
      <c r="M1009" s="509"/>
      <c r="N1009" s="509"/>
      <c r="O1009" s="509"/>
      <c r="P1009" s="509"/>
      <c r="R1009" s="307"/>
      <c r="AC1009" s="4">
        <v>22</v>
      </c>
      <c r="AD1009" s="365">
        <f>IF($AF$985=1,VLOOKUP($AD$985,$A$1015:$P$1026,12,FALSE),VLOOKUP($AD$985,$A$988:$S$999,3,FALSE))</f>
        <v>196</v>
      </c>
      <c r="AE1009" s="365">
        <f t="shared" si="272"/>
        <v>20.03494623655914</v>
      </c>
      <c r="AF1009" s="365">
        <f t="shared" si="273"/>
        <v>20.975806451612904</v>
      </c>
      <c r="AG1009" s="365">
        <f t="shared" si="274"/>
        <v>34.26478494623656</v>
      </c>
      <c r="AH1009" s="365">
        <f t="shared" si="275"/>
        <v>1.3457894262906163</v>
      </c>
      <c r="AI1009" s="365">
        <f t="shared" si="276"/>
        <v>11.658602150537634</v>
      </c>
      <c r="AJ1009" s="365">
        <f t="shared" si="277"/>
        <v>6.80510752688172</v>
      </c>
      <c r="AK1009" s="365">
        <f t="shared" si="278"/>
        <v>8.26747311827957</v>
      </c>
      <c r="AL1009" s="365">
        <f t="shared" si="279"/>
        <v>7.6895161290322589</v>
      </c>
      <c r="AM1009" s="365">
        <f t="shared" si="280"/>
        <v>2.3508064516129035</v>
      </c>
      <c r="AN1009" s="365">
        <f t="shared" si="281"/>
        <v>2.7688172043010755</v>
      </c>
      <c r="AO1009" s="365">
        <f t="shared" si="282"/>
        <v>5.600806451612903</v>
      </c>
      <c r="AP1009" s="365">
        <f t="shared" si="283"/>
        <v>1.0188172043010753</v>
      </c>
      <c r="AQ1009" s="365">
        <f t="shared" si="284"/>
        <v>1.810483870967742</v>
      </c>
      <c r="AR1009" s="365">
        <f t="shared" si="285"/>
        <v>2.411290322580645</v>
      </c>
      <c r="AS1009" s="365">
        <f t="shared" si="286"/>
        <v>323.00304749080675</v>
      </c>
      <c r="AT1009" s="365" t="e">
        <f t="shared" ca="1" si="287"/>
        <v>#NAME?</v>
      </c>
      <c r="AU1009" s="365" t="e">
        <f t="shared" ca="1" si="288"/>
        <v>#NAME?</v>
      </c>
      <c r="AW1009" s="365" t="e">
        <f t="shared" ca="1" si="270"/>
        <v>#NAME?</v>
      </c>
      <c r="AX1009" s="365" t="e">
        <f t="shared" ca="1" si="289"/>
        <v>#NAME?</v>
      </c>
    </row>
    <row r="1010" spans="1:50" ht="15.75" customHeight="1" x14ac:dyDescent="0.3">
      <c r="A1010" s="416"/>
      <c r="B1010" s="503" t="s">
        <v>457</v>
      </c>
      <c r="C1010" s="503"/>
      <c r="D1010" s="503"/>
      <c r="E1010" s="503"/>
      <c r="F1010" s="503"/>
      <c r="G1010" s="503"/>
      <c r="H1010" s="503"/>
      <c r="I1010" s="503"/>
      <c r="J1010" s="503"/>
      <c r="K1010" s="503"/>
      <c r="L1010" s="503"/>
      <c r="M1010" s="503"/>
      <c r="N1010" s="503"/>
      <c r="O1010" s="503"/>
      <c r="P1010" s="503"/>
      <c r="R1010" s="307"/>
      <c r="AC1010" s="4">
        <v>23</v>
      </c>
      <c r="AD1010" s="365">
        <f>IF($AF$985=1,VLOOKUP($AD$985,$A$1015:$P$1026,12,FALSE),IF(OR($AD$985="JAN",$AD$985="FEB",$AD$985="NOV",$AD$985="DEC"),VLOOKUP($AD$985,$A$988:$S$999,3,FALSE),VLOOKUP($AD$985,$A$988:$S$999,2,FALSE)))</f>
        <v>294</v>
      </c>
      <c r="AE1010" s="365">
        <f t="shared" si="272"/>
        <v>20.03494623655914</v>
      </c>
      <c r="AF1010" s="365">
        <f t="shared" si="273"/>
        <v>20.975806451612904</v>
      </c>
      <c r="AG1010" s="365">
        <f t="shared" si="274"/>
        <v>34.26478494623656</v>
      </c>
      <c r="AH1010" s="365">
        <f t="shared" si="275"/>
        <v>1.3457894262906163</v>
      </c>
      <c r="AI1010" s="365">
        <f t="shared" si="276"/>
        <v>11.658602150537634</v>
      </c>
      <c r="AJ1010" s="365">
        <f t="shared" si="277"/>
        <v>6.80510752688172</v>
      </c>
      <c r="AK1010" s="365">
        <f t="shared" si="278"/>
        <v>8.26747311827957</v>
      </c>
      <c r="AL1010" s="365">
        <f t="shared" si="279"/>
        <v>7.6895161290322589</v>
      </c>
      <c r="AM1010" s="365">
        <f t="shared" si="280"/>
        <v>2.3508064516129035</v>
      </c>
      <c r="AN1010" s="365">
        <f t="shared" si="281"/>
        <v>2.7688172043010755</v>
      </c>
      <c r="AO1010" s="365">
        <f t="shared" si="282"/>
        <v>5.600806451612903</v>
      </c>
      <c r="AP1010" s="365">
        <f t="shared" si="283"/>
        <v>1.0188172043010753</v>
      </c>
      <c r="AQ1010" s="365">
        <f t="shared" si="284"/>
        <v>1.810483870967742</v>
      </c>
      <c r="AR1010" s="365">
        <f t="shared" si="285"/>
        <v>2.411290322580645</v>
      </c>
      <c r="AS1010" s="365">
        <f t="shared" si="286"/>
        <v>421.00304749080681</v>
      </c>
      <c r="AT1010" s="365" t="e">
        <f t="shared" ca="1" si="287"/>
        <v>#NAME?</v>
      </c>
      <c r="AU1010" s="365" t="e">
        <f t="shared" ca="1" si="288"/>
        <v>#NAME?</v>
      </c>
      <c r="AW1010" s="365" t="e">
        <f t="shared" ca="1" si="270"/>
        <v>#NAME?</v>
      </c>
      <c r="AX1010" s="365" t="e">
        <f t="shared" ca="1" si="289"/>
        <v>#NAME?</v>
      </c>
    </row>
    <row r="1011" spans="1:50" ht="15.75" customHeight="1" thickBot="1" x14ac:dyDescent="0.35">
      <c r="A1011" s="416"/>
      <c r="R1011" s="307"/>
      <c r="AC1011" s="4">
        <v>24</v>
      </c>
      <c r="AD1011" s="365">
        <f>IF($AF$985=1,VLOOKUP($AD$985,$A$1015:$P$1026,12,FALSE),VLOOKUP($AD$985,$A$988:$S$999,2,FALSE))</f>
        <v>294</v>
      </c>
      <c r="AE1011" s="365">
        <f t="shared" si="272"/>
        <v>20.03494623655914</v>
      </c>
      <c r="AF1011" s="365">
        <f t="shared" si="273"/>
        <v>20.975806451612904</v>
      </c>
      <c r="AG1011" s="365">
        <f t="shared" si="274"/>
        <v>34.26478494623656</v>
      </c>
      <c r="AH1011" s="365">
        <f t="shared" si="275"/>
        <v>1.3457894262906163</v>
      </c>
      <c r="AI1011" s="365">
        <f t="shared" si="276"/>
        <v>11.658602150537634</v>
      </c>
      <c r="AJ1011" s="365">
        <f t="shared" si="277"/>
        <v>6.80510752688172</v>
      </c>
      <c r="AK1011" s="365">
        <f t="shared" si="278"/>
        <v>8.26747311827957</v>
      </c>
      <c r="AL1011" s="365">
        <f t="shared" si="279"/>
        <v>7.6895161290322589</v>
      </c>
      <c r="AM1011" s="365">
        <f t="shared" si="280"/>
        <v>2.3508064516129035</v>
      </c>
      <c r="AN1011" s="365">
        <f t="shared" si="281"/>
        <v>2.7688172043010755</v>
      </c>
      <c r="AO1011" s="365">
        <f t="shared" si="282"/>
        <v>5.600806451612903</v>
      </c>
      <c r="AP1011" s="365">
        <f t="shared" si="283"/>
        <v>1.0188172043010753</v>
      </c>
      <c r="AQ1011" s="365">
        <f t="shared" si="284"/>
        <v>1.810483870967742</v>
      </c>
      <c r="AR1011" s="365">
        <f t="shared" si="285"/>
        <v>2.411290322580645</v>
      </c>
      <c r="AS1011" s="365">
        <f t="shared" si="286"/>
        <v>421.00304749080681</v>
      </c>
      <c r="AT1011" s="365" t="e">
        <f t="shared" ca="1" si="287"/>
        <v>#NAME?</v>
      </c>
      <c r="AU1011" s="365" t="e">
        <f t="shared" ca="1" si="288"/>
        <v>#NAME?</v>
      </c>
      <c r="AW1011" s="365" t="e">
        <f t="shared" ca="1" si="270"/>
        <v>#NAME?</v>
      </c>
      <c r="AX1011" s="365" t="e">
        <f t="shared" ca="1" si="289"/>
        <v>#NAME?</v>
      </c>
    </row>
    <row r="1012" spans="1:50" ht="15.75" customHeight="1" x14ac:dyDescent="0.3">
      <c r="A1012" s="416"/>
      <c r="B1012" s="542" t="s">
        <v>1098</v>
      </c>
      <c r="C1012" s="543"/>
      <c r="D1012" s="543"/>
      <c r="E1012" s="543"/>
      <c r="F1012" s="543"/>
      <c r="G1012" s="543"/>
      <c r="H1012" s="543"/>
      <c r="I1012" s="543"/>
      <c r="J1012" s="543"/>
      <c r="K1012" s="543"/>
      <c r="L1012" s="544"/>
      <c r="M1012" s="545" t="s">
        <v>1099</v>
      </c>
      <c r="N1012" s="543"/>
      <c r="O1012" s="543"/>
      <c r="P1012" s="543"/>
      <c r="Q1012" s="365" t="s">
        <v>1100</v>
      </c>
      <c r="R1012" s="427" t="s">
        <v>1101</v>
      </c>
      <c r="AC1012" s="4" t="s">
        <v>422</v>
      </c>
      <c r="AD1012" s="365">
        <f>SUM(AD988:AD1011)</f>
        <v>5488</v>
      </c>
      <c r="AE1012" s="365">
        <f>SUM(AE988:AE1011)</f>
        <v>480.83870967741962</v>
      </c>
      <c r="AF1012" s="365">
        <f t="shared" ref="AF1012:AW1012" si="301">SUM(AF988:AF1011)</f>
        <v>503.41935483870986</v>
      </c>
      <c r="AG1012" s="365">
        <f t="shared" si="301"/>
        <v>822.35483870967721</v>
      </c>
      <c r="AH1012" s="365">
        <f t="shared" si="301"/>
        <v>32.298946230974785</v>
      </c>
      <c r="AI1012" s="365">
        <f t="shared" si="301"/>
        <v>279.80645161290329</v>
      </c>
      <c r="AJ1012" s="365">
        <f t="shared" si="301"/>
        <v>163.32258064516137</v>
      </c>
      <c r="AK1012" s="365">
        <f t="shared" si="301"/>
        <v>198.41935483870978</v>
      </c>
      <c r="AL1012" s="365">
        <f t="shared" si="301"/>
        <v>184.54838709677418</v>
      </c>
      <c r="AM1012" s="365">
        <f t="shared" si="301"/>
        <v>56.419354838709687</v>
      </c>
      <c r="AN1012" s="365">
        <f t="shared" si="301"/>
        <v>66.451612903225779</v>
      </c>
      <c r="AO1012" s="365">
        <f t="shared" si="301"/>
        <v>134.41935483870961</v>
      </c>
      <c r="AP1012" s="365">
        <f t="shared" si="301"/>
        <v>24.451612903225815</v>
      </c>
      <c r="AQ1012" s="365">
        <f t="shared" si="301"/>
        <v>43.451612903225836</v>
      </c>
      <c r="AR1012" s="365">
        <f t="shared" si="301"/>
        <v>57.870967741935502</v>
      </c>
      <c r="AS1012" s="365">
        <f t="shared" si="301"/>
        <v>8536.0731397793661</v>
      </c>
      <c r="AT1012" s="365" t="e">
        <f t="shared" ca="1" si="301"/>
        <v>#NAME?</v>
      </c>
      <c r="AU1012" s="365" t="e">
        <f t="shared" ca="1" si="301"/>
        <v>#NAME?</v>
      </c>
      <c r="AW1012" s="365" t="e">
        <f t="shared" ca="1" si="301"/>
        <v>#NAME?</v>
      </c>
      <c r="AX1012" s="365">
        <f ca="1">SUMIF(AX988:AX1011,"&gt;0")</f>
        <v>0</v>
      </c>
    </row>
    <row r="1013" spans="1:50" ht="15.75" customHeight="1" thickBot="1" x14ac:dyDescent="0.35">
      <c r="A1013" s="416" t="s">
        <v>1071</v>
      </c>
      <c r="B1013" s="431" t="s">
        <v>1102</v>
      </c>
      <c r="C1013" s="432" t="s">
        <v>1085</v>
      </c>
      <c r="D1013" s="432" t="s">
        <v>1086</v>
      </c>
      <c r="E1013" s="432" t="s">
        <v>1103</v>
      </c>
      <c r="F1013" s="432" t="s">
        <v>1085</v>
      </c>
      <c r="G1013" s="432" t="s">
        <v>1086</v>
      </c>
      <c r="H1013" s="432" t="s">
        <v>1087</v>
      </c>
      <c r="I1013" s="432" t="s">
        <v>1085</v>
      </c>
      <c r="J1013" s="432" t="s">
        <v>1086</v>
      </c>
      <c r="K1013" s="432" t="s">
        <v>1087</v>
      </c>
      <c r="L1013" s="433" t="s">
        <v>1104</v>
      </c>
      <c r="M1013" s="431" t="s">
        <v>1105</v>
      </c>
      <c r="N1013" s="432" t="s">
        <v>1085</v>
      </c>
      <c r="O1013" s="432" t="s">
        <v>1085</v>
      </c>
      <c r="P1013" s="433" t="s">
        <v>1104</v>
      </c>
      <c r="Q1013" s="434" t="s">
        <v>422</v>
      </c>
      <c r="R1013" s="435" t="s">
        <v>1106</v>
      </c>
      <c r="S1013" s="365"/>
      <c r="AU1013" s="365"/>
      <c r="AW1013" s="365"/>
      <c r="AX1013" s="365"/>
    </row>
    <row r="1014" spans="1:50" ht="15.75" customHeight="1" thickTop="1" x14ac:dyDescent="0.3">
      <c r="A1014" s="416"/>
      <c r="B1014" s="436"/>
      <c r="C1014" s="437" t="s">
        <v>1107</v>
      </c>
      <c r="D1014" s="437" t="s">
        <v>1107</v>
      </c>
      <c r="E1014" s="437" t="s">
        <v>1107</v>
      </c>
      <c r="F1014" s="438" t="s">
        <v>1079</v>
      </c>
      <c r="G1014" s="438" t="s">
        <v>1079</v>
      </c>
      <c r="H1014" s="438" t="s">
        <v>1079</v>
      </c>
      <c r="I1014" s="438" t="s">
        <v>1108</v>
      </c>
      <c r="J1014" s="438" t="s">
        <v>1108</v>
      </c>
      <c r="K1014" s="438" t="s">
        <v>1108</v>
      </c>
      <c r="L1014" s="439" t="s">
        <v>1109</v>
      </c>
      <c r="M1014" s="440"/>
      <c r="N1014" s="437" t="s">
        <v>1107</v>
      </c>
      <c r="O1014" s="438" t="s">
        <v>1079</v>
      </c>
      <c r="P1014" s="439" t="s">
        <v>1108</v>
      </c>
      <c r="Q1014" s="434" t="s">
        <v>1108</v>
      </c>
      <c r="R1014" s="435" t="s">
        <v>1108</v>
      </c>
      <c r="S1014" s="365"/>
    </row>
    <row r="1015" spans="1:50" ht="15.75" customHeight="1" x14ac:dyDescent="0.3">
      <c r="A1015" s="416" t="s">
        <v>795</v>
      </c>
      <c r="B1015" s="375" t="e">
        <f ca="1">+$B$10-M1015</f>
        <v>#NAME?</v>
      </c>
      <c r="C1015" s="441">
        <v>5</v>
      </c>
      <c r="D1015" s="441">
        <v>0</v>
      </c>
      <c r="E1015" s="441" t="s">
        <v>1095</v>
      </c>
      <c r="F1015" s="365">
        <f t="shared" ref="F1015:H1026" si="302">+I1015/8</f>
        <v>245</v>
      </c>
      <c r="G1015" s="365">
        <f>+J1015/16</f>
        <v>0</v>
      </c>
      <c r="H1015" s="365" t="s">
        <v>1095</v>
      </c>
      <c r="I1015" s="365">
        <f t="shared" ref="I1015:K1026" si="303">+C1015*49*8</f>
        <v>1960</v>
      </c>
      <c r="J1015" s="365">
        <f>+D1015*49*16</f>
        <v>0</v>
      </c>
      <c r="K1015" s="365" t="s">
        <v>1095</v>
      </c>
      <c r="L1015" s="427">
        <f t="shared" ref="L1015:L1026" si="304">+J1015+I1015</f>
        <v>1960</v>
      </c>
      <c r="M1015" s="375" t="e">
        <f ca="1">SUMPRODUCT(--(WEEKDAY(ROW(INDIRECT(DATE($B$1009,MonthFromText(A1015),1)&amp;":"&amp;DATE($B$1009,MonthFromText(A1015),$B$10))),1)=1))</f>
        <v>#NAME?</v>
      </c>
      <c r="N1015" s="441">
        <v>5</v>
      </c>
      <c r="O1015" s="4">
        <f t="shared" ref="O1015:O1026" si="305">+P1015/24</f>
        <v>245</v>
      </c>
      <c r="P1015" s="427">
        <f t="shared" ref="P1015:P1026" si="306">+N1015*49*24</f>
        <v>5880</v>
      </c>
      <c r="Q1015" s="365" t="e">
        <f t="shared" ref="Q1015:Q1026" ca="1" si="307">+(L1015*B1015)+(M1015*P1015)</f>
        <v>#NAME?</v>
      </c>
      <c r="R1015" s="427" t="e">
        <f t="shared" ref="R1015:R1026" ca="1" si="308">+Q1015-B908</f>
        <v>#NAME?</v>
      </c>
      <c r="S1015" s="365"/>
    </row>
    <row r="1016" spans="1:50" ht="15.75" customHeight="1" x14ac:dyDescent="0.3">
      <c r="A1016" s="416" t="s">
        <v>9</v>
      </c>
      <c r="B1016" s="375" t="e">
        <f ca="1">+$C$10-M1016</f>
        <v>#NAME?</v>
      </c>
      <c r="C1016" s="441">
        <v>6</v>
      </c>
      <c r="D1016" s="441">
        <v>3</v>
      </c>
      <c r="E1016" s="441" t="s">
        <v>1095</v>
      </c>
      <c r="F1016" s="365">
        <f t="shared" si="302"/>
        <v>294</v>
      </c>
      <c r="G1016" s="365">
        <f>+J1016/16</f>
        <v>147</v>
      </c>
      <c r="H1016" s="365" t="s">
        <v>1095</v>
      </c>
      <c r="I1016" s="365">
        <f t="shared" si="303"/>
        <v>2352</v>
      </c>
      <c r="J1016" s="365">
        <f>+D1016*49*16</f>
        <v>2352</v>
      </c>
      <c r="K1016" s="365" t="s">
        <v>1095</v>
      </c>
      <c r="L1016" s="427">
        <f t="shared" si="304"/>
        <v>4704</v>
      </c>
      <c r="M1016" s="375" t="e">
        <f ca="1">SUMPRODUCT(--(WEEKDAY(ROW(INDIRECT(DATE($B$1009,MonthFromText(A1016),1)&amp;":"&amp;DATE($B$1009,MonthFromText(A1016),$C$10))),1)=1))</f>
        <v>#NAME?</v>
      </c>
      <c r="N1016" s="441">
        <v>6</v>
      </c>
      <c r="O1016" s="4">
        <f t="shared" si="305"/>
        <v>294</v>
      </c>
      <c r="P1016" s="427">
        <f t="shared" si="306"/>
        <v>7056</v>
      </c>
      <c r="Q1016" s="365" t="e">
        <f t="shared" ca="1" si="307"/>
        <v>#NAME?</v>
      </c>
      <c r="R1016" s="427" t="e">
        <f t="shared" ca="1" si="308"/>
        <v>#NAME?</v>
      </c>
      <c r="S1016" s="365"/>
    </row>
    <row r="1017" spans="1:50" ht="16.5" customHeight="1" x14ac:dyDescent="0.3">
      <c r="A1017" s="416" t="s">
        <v>10</v>
      </c>
      <c r="B1017" s="375" t="e">
        <f ca="1">+$D$10-M1017</f>
        <v>#NAME?</v>
      </c>
      <c r="C1017" s="441">
        <v>6</v>
      </c>
      <c r="D1017" s="441">
        <v>4</v>
      </c>
      <c r="E1017" s="441" t="s">
        <v>1095</v>
      </c>
      <c r="F1017" s="365">
        <f t="shared" si="302"/>
        <v>294</v>
      </c>
      <c r="G1017" s="365">
        <f>+J1017/16</f>
        <v>196</v>
      </c>
      <c r="H1017" s="365" t="s">
        <v>1095</v>
      </c>
      <c r="I1017" s="365">
        <f t="shared" si="303"/>
        <v>2352</v>
      </c>
      <c r="J1017" s="365">
        <f>+D1017*49*16</f>
        <v>3136</v>
      </c>
      <c r="K1017" s="365" t="s">
        <v>1095</v>
      </c>
      <c r="L1017" s="427">
        <f t="shared" si="304"/>
        <v>5488</v>
      </c>
      <c r="M1017" s="375" t="e">
        <f ca="1">SUMPRODUCT(--(WEEKDAY(ROW(INDIRECT(DATE($B$1009,MonthFromText(A1017),1)&amp;":"&amp;DATE($B$1009,MonthFromText(A1017),$D$10))),1)=1))</f>
        <v>#NAME?</v>
      </c>
      <c r="N1017" s="441">
        <v>6</v>
      </c>
      <c r="O1017" s="4">
        <f t="shared" si="305"/>
        <v>294</v>
      </c>
      <c r="P1017" s="427">
        <f t="shared" si="306"/>
        <v>7056</v>
      </c>
      <c r="Q1017" s="365" t="e">
        <f t="shared" ca="1" si="307"/>
        <v>#NAME?</v>
      </c>
      <c r="R1017" s="427" t="e">
        <f t="shared" ca="1" si="308"/>
        <v>#NAME?</v>
      </c>
      <c r="S1017" s="365"/>
    </row>
    <row r="1018" spans="1:50" ht="16.5" customHeight="1" x14ac:dyDescent="0.3">
      <c r="A1018" s="416" t="s">
        <v>12</v>
      </c>
      <c r="B1018" s="375" t="e">
        <f ca="1">+$F$10-M1018</f>
        <v>#NAME?</v>
      </c>
      <c r="C1018" s="441">
        <v>6</v>
      </c>
      <c r="D1018" s="441">
        <v>4</v>
      </c>
      <c r="E1018" s="441" t="s">
        <v>1095</v>
      </c>
      <c r="F1018" s="365">
        <f t="shared" si="302"/>
        <v>294</v>
      </c>
      <c r="G1018" s="365">
        <f>+J1018/16</f>
        <v>196</v>
      </c>
      <c r="H1018" s="365" t="s">
        <v>1095</v>
      </c>
      <c r="I1018" s="365">
        <f t="shared" si="303"/>
        <v>2352</v>
      </c>
      <c r="J1018" s="365">
        <f>+D1018*49*16</f>
        <v>3136</v>
      </c>
      <c r="K1018" s="365" t="s">
        <v>1095</v>
      </c>
      <c r="L1018" s="427">
        <f t="shared" si="304"/>
        <v>5488</v>
      </c>
      <c r="M1018" s="375" t="e">
        <f ca="1">SUMPRODUCT(--(WEEKDAY(ROW(INDIRECT(DATE($B$1009,MonthFromText(A1018),1)&amp;":"&amp;DATE($B$1009,MonthFromText(A1018),$F$10))),1)=1))</f>
        <v>#NAME?</v>
      </c>
      <c r="N1018" s="441">
        <v>6</v>
      </c>
      <c r="O1018" s="4">
        <f t="shared" si="305"/>
        <v>294</v>
      </c>
      <c r="P1018" s="427">
        <f t="shared" si="306"/>
        <v>7056</v>
      </c>
      <c r="Q1018" s="365" t="e">
        <f t="shared" ca="1" si="307"/>
        <v>#NAME?</v>
      </c>
      <c r="R1018" s="427" t="e">
        <f t="shared" ca="1" si="308"/>
        <v>#NAME?</v>
      </c>
      <c r="S1018" s="365"/>
    </row>
    <row r="1019" spans="1:50" ht="15.75" customHeight="1" x14ac:dyDescent="0.3">
      <c r="A1019" s="416" t="s">
        <v>13</v>
      </c>
      <c r="B1019" s="375" t="e">
        <f ca="1">+$G$10-M1019</f>
        <v>#NAME?</v>
      </c>
      <c r="C1019" s="441">
        <v>6</v>
      </c>
      <c r="D1019" s="441">
        <v>4</v>
      </c>
      <c r="E1019" s="441" t="s">
        <v>1095</v>
      </c>
      <c r="F1019" s="365">
        <f t="shared" si="302"/>
        <v>294</v>
      </c>
      <c r="G1019" s="365">
        <f>+J1019/16</f>
        <v>196</v>
      </c>
      <c r="H1019" s="365" t="s">
        <v>1095</v>
      </c>
      <c r="I1019" s="365">
        <f t="shared" si="303"/>
        <v>2352</v>
      </c>
      <c r="J1019" s="365">
        <f>+D1019*49*16</f>
        <v>3136</v>
      </c>
      <c r="K1019" s="365" t="s">
        <v>1095</v>
      </c>
      <c r="L1019" s="427">
        <f t="shared" si="304"/>
        <v>5488</v>
      </c>
      <c r="M1019" s="375" t="e">
        <f ca="1">SUMPRODUCT(--(WEEKDAY(ROW(INDIRECT(DATE($B$1009,MonthFromText(A1019),1)&amp;":"&amp;DATE($B$1009,MonthFromText(A1019),$G$10))),1)=1))</f>
        <v>#NAME?</v>
      </c>
      <c r="N1019" s="441">
        <v>6</v>
      </c>
      <c r="O1019" s="4">
        <f t="shared" si="305"/>
        <v>294</v>
      </c>
      <c r="P1019" s="427">
        <f t="shared" si="306"/>
        <v>7056</v>
      </c>
      <c r="Q1019" s="365" t="e">
        <f t="shared" ca="1" si="307"/>
        <v>#NAME?</v>
      </c>
      <c r="R1019" s="427" t="e">
        <f t="shared" ca="1" si="308"/>
        <v>#NAME?</v>
      </c>
      <c r="S1019" s="365"/>
    </row>
    <row r="1020" spans="1:50" ht="15.75" customHeight="1" x14ac:dyDescent="0.3">
      <c r="A1020" s="416" t="s">
        <v>14</v>
      </c>
      <c r="B1020" s="375" t="e">
        <f ca="1">+$H$10-M1020</f>
        <v>#NAME?</v>
      </c>
      <c r="C1020" s="441">
        <v>6</v>
      </c>
      <c r="D1020" s="441">
        <v>2</v>
      </c>
      <c r="E1020" s="441">
        <v>0</v>
      </c>
      <c r="F1020" s="365">
        <f t="shared" si="302"/>
        <v>294</v>
      </c>
      <c r="G1020" s="365">
        <f t="shared" si="302"/>
        <v>98</v>
      </c>
      <c r="H1020" s="365">
        <f t="shared" si="302"/>
        <v>0</v>
      </c>
      <c r="I1020" s="365">
        <f t="shared" si="303"/>
        <v>2352</v>
      </c>
      <c r="J1020" s="365">
        <f t="shared" si="303"/>
        <v>784</v>
      </c>
      <c r="K1020" s="365">
        <f t="shared" si="303"/>
        <v>0</v>
      </c>
      <c r="L1020" s="427">
        <f t="shared" si="304"/>
        <v>3136</v>
      </c>
      <c r="M1020" s="375" t="e">
        <f ca="1">SUMPRODUCT(--(WEEKDAY(ROW(INDIRECT(DATE($B$1009,MonthFromText(A1020),1)&amp;":"&amp;DATE($B$1009,MonthFromText(A1020),$H$10))),1)=1))</f>
        <v>#NAME?</v>
      </c>
      <c r="N1020" s="441">
        <v>5</v>
      </c>
      <c r="O1020" s="4">
        <f t="shared" si="305"/>
        <v>245</v>
      </c>
      <c r="P1020" s="427">
        <f t="shared" si="306"/>
        <v>5880</v>
      </c>
      <c r="Q1020" s="365" t="e">
        <f t="shared" ca="1" si="307"/>
        <v>#NAME?</v>
      </c>
      <c r="R1020" s="427" t="e">
        <f t="shared" ca="1" si="308"/>
        <v>#NAME?</v>
      </c>
      <c r="S1020" s="365"/>
    </row>
    <row r="1021" spans="1:50" ht="15.75" customHeight="1" x14ac:dyDescent="0.3">
      <c r="A1021" s="416" t="s">
        <v>16</v>
      </c>
      <c r="B1021" s="375" t="e">
        <f ca="1">+$J$10-M1021</f>
        <v>#NAME?</v>
      </c>
      <c r="C1021" s="441">
        <v>3</v>
      </c>
      <c r="D1021" s="441">
        <v>2</v>
      </c>
      <c r="E1021" s="441">
        <v>0</v>
      </c>
      <c r="F1021" s="365">
        <f t="shared" si="302"/>
        <v>147</v>
      </c>
      <c r="G1021" s="365">
        <f t="shared" si="302"/>
        <v>98</v>
      </c>
      <c r="H1021" s="365">
        <f t="shared" si="302"/>
        <v>0</v>
      </c>
      <c r="I1021" s="365">
        <f t="shared" si="303"/>
        <v>1176</v>
      </c>
      <c r="J1021" s="365">
        <f t="shared" si="303"/>
        <v>784</v>
      </c>
      <c r="K1021" s="365">
        <f t="shared" si="303"/>
        <v>0</v>
      </c>
      <c r="L1021" s="427">
        <f t="shared" si="304"/>
        <v>1960</v>
      </c>
      <c r="M1021" s="375" t="e">
        <f ca="1">SUMPRODUCT(--(WEEKDAY(ROW(INDIRECT(DATE($B$1009,MonthFromText(A1021),1)&amp;":"&amp;DATE($B$1009,MonthFromText(A1021),$J$10))),1)=1))</f>
        <v>#NAME?</v>
      </c>
      <c r="N1021" s="441">
        <v>3</v>
      </c>
      <c r="O1021" s="4">
        <f t="shared" si="305"/>
        <v>147</v>
      </c>
      <c r="P1021" s="427">
        <f t="shared" si="306"/>
        <v>3528</v>
      </c>
      <c r="Q1021" s="365" t="e">
        <f t="shared" ca="1" si="307"/>
        <v>#NAME?</v>
      </c>
      <c r="R1021" s="427" t="e">
        <f t="shared" ca="1" si="308"/>
        <v>#NAME?</v>
      </c>
      <c r="S1021" s="365"/>
    </row>
    <row r="1022" spans="1:50" ht="15.75" customHeight="1" x14ac:dyDescent="0.3">
      <c r="A1022" s="416" t="s">
        <v>17</v>
      </c>
      <c r="B1022" s="375" t="e">
        <f ca="1">+$K$10-M1022</f>
        <v>#NAME?</v>
      </c>
      <c r="C1022" s="441">
        <v>3</v>
      </c>
      <c r="D1022" s="441">
        <v>2</v>
      </c>
      <c r="E1022" s="441">
        <v>0</v>
      </c>
      <c r="F1022" s="365">
        <f t="shared" si="302"/>
        <v>147</v>
      </c>
      <c r="G1022" s="365">
        <f t="shared" si="302"/>
        <v>98</v>
      </c>
      <c r="H1022" s="365">
        <f t="shared" si="302"/>
        <v>0</v>
      </c>
      <c r="I1022" s="365">
        <f t="shared" si="303"/>
        <v>1176</v>
      </c>
      <c r="J1022" s="365">
        <f t="shared" si="303"/>
        <v>784</v>
      </c>
      <c r="K1022" s="365">
        <f t="shared" si="303"/>
        <v>0</v>
      </c>
      <c r="L1022" s="427">
        <f t="shared" si="304"/>
        <v>1960</v>
      </c>
      <c r="M1022" s="375" t="e">
        <f ca="1">SUMPRODUCT(--(WEEKDAY(ROW(INDIRECT(DATE($B$1009,MonthFromText(A1022),1)&amp;":"&amp;DATE($B$1009,MonthFromText(A1022),$K$10))),1)=1))</f>
        <v>#NAME?</v>
      </c>
      <c r="N1022" s="441">
        <v>3</v>
      </c>
      <c r="O1022" s="4">
        <f t="shared" si="305"/>
        <v>147</v>
      </c>
      <c r="P1022" s="427">
        <f t="shared" si="306"/>
        <v>3528</v>
      </c>
      <c r="Q1022" s="365" t="e">
        <f t="shared" ca="1" si="307"/>
        <v>#NAME?</v>
      </c>
      <c r="R1022" s="427" t="e">
        <f t="shared" ca="1" si="308"/>
        <v>#NAME?</v>
      </c>
      <c r="S1022" s="365"/>
    </row>
    <row r="1023" spans="1:50" ht="15.75" customHeight="1" x14ac:dyDescent="0.3">
      <c r="A1023" s="416" t="s">
        <v>18</v>
      </c>
      <c r="B1023" s="375" t="e">
        <f ca="1">+$L$10-M1023</f>
        <v>#NAME?</v>
      </c>
      <c r="C1023" s="441">
        <v>5</v>
      </c>
      <c r="D1023" s="441">
        <v>3</v>
      </c>
      <c r="E1023" s="441" t="s">
        <v>1095</v>
      </c>
      <c r="F1023" s="365">
        <f t="shared" si="302"/>
        <v>245</v>
      </c>
      <c r="G1023" s="365">
        <f>+J1023/16</f>
        <v>147</v>
      </c>
      <c r="H1023" s="365" t="s">
        <v>1095</v>
      </c>
      <c r="I1023" s="365">
        <f t="shared" si="303"/>
        <v>1960</v>
      </c>
      <c r="J1023" s="365">
        <f>+D1023*49*16</f>
        <v>2352</v>
      </c>
      <c r="K1023" s="365" t="s">
        <v>1095</v>
      </c>
      <c r="L1023" s="427">
        <f t="shared" si="304"/>
        <v>4312</v>
      </c>
      <c r="M1023" s="375" t="e">
        <f ca="1">SUMPRODUCT(--(WEEKDAY(ROW(INDIRECT(DATE($B$1009,MonthFromText(A1023),1)&amp;":"&amp;DATE($B$1009,MonthFromText(A1023),$L$10))),1)=1))</f>
        <v>#NAME?</v>
      </c>
      <c r="N1023" s="441">
        <v>5</v>
      </c>
      <c r="O1023" s="4">
        <f t="shared" si="305"/>
        <v>245</v>
      </c>
      <c r="P1023" s="427">
        <f t="shared" si="306"/>
        <v>5880</v>
      </c>
      <c r="Q1023" s="365" t="e">
        <f t="shared" ca="1" si="307"/>
        <v>#NAME?</v>
      </c>
      <c r="R1023" s="427" t="e">
        <f t="shared" ca="1" si="308"/>
        <v>#NAME?</v>
      </c>
      <c r="S1023" s="365"/>
    </row>
    <row r="1024" spans="1:50" ht="15.75" customHeight="1" x14ac:dyDescent="0.3">
      <c r="A1024" s="416" t="s">
        <v>20</v>
      </c>
      <c r="B1024" s="375" t="e">
        <f ca="1">+$N$10-M1024</f>
        <v>#NAME?</v>
      </c>
      <c r="C1024" s="441">
        <v>5</v>
      </c>
      <c r="D1024" s="441">
        <v>3</v>
      </c>
      <c r="E1024" s="441" t="s">
        <v>1095</v>
      </c>
      <c r="F1024" s="365">
        <f t="shared" si="302"/>
        <v>245</v>
      </c>
      <c r="G1024" s="365">
        <f>+J1024/16</f>
        <v>147</v>
      </c>
      <c r="H1024" s="365" t="s">
        <v>1095</v>
      </c>
      <c r="I1024" s="365">
        <f t="shared" si="303"/>
        <v>1960</v>
      </c>
      <c r="J1024" s="365">
        <f>+D1024*49*16</f>
        <v>2352</v>
      </c>
      <c r="K1024" s="365" t="s">
        <v>1095</v>
      </c>
      <c r="L1024" s="427">
        <f t="shared" si="304"/>
        <v>4312</v>
      </c>
      <c r="M1024" s="375" t="e">
        <f ca="1">SUMPRODUCT(--(WEEKDAY(ROW(INDIRECT(DATE($B$1009,MonthFromText(A1024),1)&amp;":"&amp;DATE($B$1009,MonthFromText(A1024),$N$10))),1)=1))</f>
        <v>#NAME?</v>
      </c>
      <c r="N1024" s="441">
        <v>5</v>
      </c>
      <c r="O1024" s="4">
        <f t="shared" si="305"/>
        <v>245</v>
      </c>
      <c r="P1024" s="427">
        <f t="shared" si="306"/>
        <v>5880</v>
      </c>
      <c r="Q1024" s="365" t="e">
        <f t="shared" ca="1" si="307"/>
        <v>#NAME?</v>
      </c>
      <c r="R1024" s="427" t="e">
        <f t="shared" ca="1" si="308"/>
        <v>#NAME?</v>
      </c>
      <c r="S1024" s="365"/>
    </row>
    <row r="1025" spans="1:19" ht="15.75" customHeight="1" x14ac:dyDescent="0.3">
      <c r="A1025" s="416" t="s">
        <v>21</v>
      </c>
      <c r="B1025" s="375" t="e">
        <f ca="1">+$O$10-M1025</f>
        <v>#NAME?</v>
      </c>
      <c r="C1025" s="441">
        <v>5</v>
      </c>
      <c r="D1025" s="441">
        <v>3</v>
      </c>
      <c r="E1025" s="441" t="s">
        <v>1095</v>
      </c>
      <c r="F1025" s="365">
        <f t="shared" si="302"/>
        <v>245</v>
      </c>
      <c r="G1025" s="365">
        <f>+J1025/16</f>
        <v>147</v>
      </c>
      <c r="H1025" s="365" t="s">
        <v>1095</v>
      </c>
      <c r="I1025" s="365">
        <f t="shared" si="303"/>
        <v>1960</v>
      </c>
      <c r="J1025" s="365">
        <f>+D1025*49*16</f>
        <v>2352</v>
      </c>
      <c r="K1025" s="365" t="s">
        <v>1095</v>
      </c>
      <c r="L1025" s="427">
        <f t="shared" si="304"/>
        <v>4312</v>
      </c>
      <c r="M1025" s="375" t="e">
        <f ca="1">SUMPRODUCT(--(WEEKDAY(ROW(INDIRECT(DATE($B$1009,MonthFromText(A1025),1)&amp;":"&amp;DATE($B$1009,MonthFromText(A1025),$O$10))),1)=1))</f>
        <v>#NAME?</v>
      </c>
      <c r="N1025" s="441">
        <v>6</v>
      </c>
      <c r="O1025" s="4">
        <f t="shared" si="305"/>
        <v>294</v>
      </c>
      <c r="P1025" s="427">
        <f t="shared" si="306"/>
        <v>7056</v>
      </c>
      <c r="Q1025" s="365" t="e">
        <f t="shared" ca="1" si="307"/>
        <v>#NAME?</v>
      </c>
      <c r="R1025" s="427" t="e">
        <f t="shared" ca="1" si="308"/>
        <v>#NAME?</v>
      </c>
      <c r="S1025" s="365"/>
    </row>
    <row r="1026" spans="1:19" ht="15.75" customHeight="1" thickBot="1" x14ac:dyDescent="0.35">
      <c r="A1026" s="416" t="s">
        <v>22</v>
      </c>
      <c r="B1026" s="382" t="e">
        <f ca="1">+$P$10-M1026</f>
        <v>#NAME?</v>
      </c>
      <c r="C1026" s="442">
        <v>6</v>
      </c>
      <c r="D1026" s="442">
        <v>2</v>
      </c>
      <c r="E1026" s="441" t="s">
        <v>1095</v>
      </c>
      <c r="F1026" s="365">
        <f t="shared" si="302"/>
        <v>294</v>
      </c>
      <c r="G1026" s="365">
        <f>+J1026/16</f>
        <v>98</v>
      </c>
      <c r="H1026" s="365" t="s">
        <v>1095</v>
      </c>
      <c r="I1026" s="365">
        <f t="shared" si="303"/>
        <v>2352</v>
      </c>
      <c r="J1026" s="365">
        <f>+D1026*49*16</f>
        <v>1568</v>
      </c>
      <c r="K1026" s="365" t="s">
        <v>1095</v>
      </c>
      <c r="L1026" s="427">
        <f t="shared" si="304"/>
        <v>3920</v>
      </c>
      <c r="M1026" s="382" t="e">
        <f ca="1">SUMPRODUCT(--(WEEKDAY(ROW(INDIRECT(DATE($B$1009,MonthFromText(A1026),1)&amp;":"&amp;DATE($B$1009,MonthFromText(A1026),$P$10))),1)=1))</f>
        <v>#NAME?</v>
      </c>
      <c r="N1026" s="442">
        <v>6</v>
      </c>
      <c r="O1026" s="312">
        <f t="shared" si="305"/>
        <v>294</v>
      </c>
      <c r="P1026" s="429">
        <f t="shared" si="306"/>
        <v>7056</v>
      </c>
      <c r="Q1026" s="443" t="e">
        <f t="shared" ca="1" si="307"/>
        <v>#NAME?</v>
      </c>
      <c r="R1026" s="444" t="e">
        <f t="shared" ca="1" si="308"/>
        <v>#NAME?</v>
      </c>
      <c r="S1026" s="365"/>
    </row>
    <row r="1027" spans="1:19" ht="15.75" customHeight="1" thickBot="1" x14ac:dyDescent="0.35">
      <c r="A1027" s="311"/>
      <c r="B1027" s="312"/>
      <c r="C1027" s="312"/>
      <c r="D1027" s="312"/>
      <c r="E1027" s="445"/>
      <c r="F1027" s="445"/>
      <c r="G1027" s="445"/>
      <c r="H1027" s="445"/>
      <c r="I1027" s="445"/>
      <c r="J1027" s="445"/>
      <c r="K1027" s="445"/>
      <c r="L1027" s="445"/>
      <c r="M1027" s="312"/>
      <c r="N1027" s="312"/>
      <c r="O1027" s="312"/>
      <c r="P1027" s="312"/>
      <c r="Q1027" s="369" t="e">
        <f ca="1">+SUM(Q1015:Q1026)</f>
        <v>#NAME?</v>
      </c>
      <c r="R1027" s="429" t="e">
        <f ca="1">+Q1027-B921</f>
        <v>#NAME?</v>
      </c>
    </row>
    <row r="1028" spans="1:19" ht="15.75" customHeight="1" x14ac:dyDescent="0.3">
      <c r="A1028" s="418" t="s">
        <v>1110</v>
      </c>
      <c r="J1028" s="365"/>
    </row>
    <row r="1029" spans="1:19" ht="15.75" customHeight="1" x14ac:dyDescent="0.3">
      <c r="A1029" s="418" t="s">
        <v>1111</v>
      </c>
    </row>
    <row r="1030" spans="1:19" ht="15.75" customHeight="1" x14ac:dyDescent="0.3">
      <c r="A1030" s="418" t="s">
        <v>1112</v>
      </c>
    </row>
    <row r="1031" spans="1:19" ht="15.75" customHeight="1" x14ac:dyDescent="0.3"/>
    <row r="1032" spans="1:19" ht="15.75" customHeight="1" x14ac:dyDescent="0.3"/>
    <row r="1033" spans="1:19" ht="15.75" customHeight="1" x14ac:dyDescent="0.3"/>
    <row r="1034" spans="1:19" ht="15.75" customHeight="1" x14ac:dyDescent="0.3"/>
    <row r="1035" spans="1:19" ht="16.5" customHeight="1" x14ac:dyDescent="0.3"/>
    <row r="1036" spans="1:19" ht="15.75" customHeight="1" x14ac:dyDescent="0.3"/>
    <row r="1037" spans="1:19" ht="16.5" customHeight="1" x14ac:dyDescent="0.3"/>
    <row r="1038" spans="1:19" ht="15.75" customHeight="1" x14ac:dyDescent="0.3"/>
    <row r="1039" spans="1:19" ht="15.75" customHeight="1" x14ac:dyDescent="0.3"/>
    <row r="1040" spans="1:19" ht="15.75" customHeight="1" x14ac:dyDescent="0.3"/>
    <row r="1041" spans="1:19" ht="15.75" customHeight="1" x14ac:dyDescent="0.3"/>
    <row r="1042" spans="1:19" ht="15.75" customHeight="1" x14ac:dyDescent="0.3">
      <c r="I1042" s="365"/>
      <c r="J1042" s="365"/>
    </row>
    <row r="1043" spans="1:19" ht="15.75" customHeight="1" x14ac:dyDescent="0.3"/>
    <row r="1044" spans="1:19" ht="15.75" customHeight="1" x14ac:dyDescent="0.3"/>
    <row r="1045" spans="1:19" ht="15.75" customHeight="1" x14ac:dyDescent="0.3"/>
    <row r="1046" spans="1:19" ht="15.75" customHeight="1" x14ac:dyDescent="0.3"/>
    <row r="1047" spans="1:19" ht="15.75" customHeight="1" x14ac:dyDescent="0.3"/>
    <row r="1048" spans="1:19" ht="15.75" customHeight="1" x14ac:dyDescent="0.3"/>
    <row r="1049" spans="1:19" ht="15.75" customHeight="1" thickBot="1" x14ac:dyDescent="0.35"/>
    <row r="1050" spans="1:19" ht="15.75" customHeight="1" x14ac:dyDescent="0.35">
      <c r="A1050" s="318"/>
      <c r="B1050" s="319"/>
      <c r="C1050" s="336"/>
      <c r="D1050" s="336"/>
      <c r="E1050" s="336"/>
      <c r="F1050" s="336"/>
      <c r="G1050" s="336"/>
      <c r="H1050" s="321" t="s">
        <v>506</v>
      </c>
      <c r="I1050" s="319"/>
      <c r="J1050" s="319"/>
      <c r="K1050" s="319"/>
      <c r="L1050" s="319"/>
      <c r="M1050" s="319"/>
      <c r="N1050" s="319"/>
      <c r="O1050" s="319"/>
      <c r="P1050" s="319"/>
      <c r="Q1050" s="361" t="str">
        <f>+Q1</f>
        <v xml:space="preserve">PRINTED:  </v>
      </c>
      <c r="R1050" s="367">
        <f ca="1">+R1</f>
        <v>44909.46975358796</v>
      </c>
      <c r="S1050" s="332"/>
    </row>
    <row r="1051" spans="1:19" ht="15.75" customHeight="1" x14ac:dyDescent="0.35">
      <c r="A1051" s="323"/>
      <c r="B1051" s="159"/>
      <c r="C1051" s="167"/>
      <c r="D1051" s="167"/>
      <c r="E1051" s="167"/>
      <c r="F1051" s="167"/>
      <c r="G1051" s="167"/>
      <c r="H1051" s="159" t="s">
        <v>424</v>
      </c>
      <c r="I1051" s="159" t="s">
        <v>7</v>
      </c>
      <c r="J1051" s="163" t="str">
        <f>+A8</f>
        <v>Revised:  2/23/2017</v>
      </c>
      <c r="K1051" s="159"/>
      <c r="L1051" s="159"/>
      <c r="M1051" s="159"/>
      <c r="N1051" s="159"/>
      <c r="O1051" s="159"/>
      <c r="P1051" s="159"/>
      <c r="Q1051" s="159"/>
      <c r="R1051" s="159"/>
      <c r="S1051" s="307"/>
    </row>
    <row r="1052" spans="1:19" ht="15.75" customHeight="1" x14ac:dyDescent="0.35">
      <c r="A1052" s="323"/>
      <c r="B1052" s="159"/>
      <c r="C1052" s="167"/>
      <c r="D1052" s="167"/>
      <c r="E1052" s="167"/>
      <c r="F1052" s="167"/>
      <c r="G1052" s="167"/>
      <c r="H1052" s="159" t="s">
        <v>387</v>
      </c>
      <c r="I1052" s="159"/>
      <c r="J1052" s="159"/>
      <c r="K1052" s="159"/>
      <c r="L1052" s="159"/>
      <c r="M1052" s="159"/>
      <c r="N1052" s="159"/>
      <c r="O1052" s="159"/>
      <c r="P1052" s="159"/>
      <c r="Q1052" s="159"/>
      <c r="R1052" s="159"/>
      <c r="S1052" s="307"/>
    </row>
    <row r="1053" spans="1:19" ht="15.75" customHeight="1" x14ac:dyDescent="0.35">
      <c r="A1053" s="323"/>
      <c r="B1053" s="159"/>
      <c r="C1053" s="167"/>
      <c r="D1053" s="167"/>
      <c r="E1053" s="167"/>
      <c r="F1053" s="167"/>
      <c r="G1053" s="167"/>
      <c r="H1053" s="159"/>
      <c r="I1053" s="159"/>
      <c r="J1053" s="159"/>
      <c r="K1053" s="159"/>
      <c r="L1053" s="159"/>
      <c r="M1053" s="159"/>
      <c r="N1053" s="159"/>
      <c r="O1053" s="159"/>
      <c r="P1053" s="159"/>
      <c r="Q1053" s="159"/>
      <c r="R1053" s="159"/>
      <c r="S1053" s="307"/>
    </row>
    <row r="1054" spans="1:19" ht="15.75" customHeight="1" x14ac:dyDescent="0.35">
      <c r="A1054" s="323"/>
      <c r="B1054" s="159"/>
      <c r="C1054" s="167"/>
      <c r="D1054" s="167"/>
      <c r="E1054" s="167"/>
      <c r="F1054" s="167"/>
      <c r="G1054" s="167"/>
      <c r="H1054" s="159" t="s">
        <v>424</v>
      </c>
      <c r="I1054" s="446">
        <f>+A5</f>
        <v>2016</v>
      </c>
      <c r="J1054" s="159"/>
      <c r="K1054" s="159"/>
      <c r="L1054" s="159"/>
      <c r="M1054" s="159"/>
      <c r="N1054" s="159"/>
      <c r="O1054" s="159"/>
      <c r="P1054" s="159"/>
      <c r="Q1054" s="159"/>
      <c r="R1054" s="159"/>
      <c r="S1054" s="307"/>
    </row>
    <row r="1055" spans="1:19" ht="15.75" customHeight="1" x14ac:dyDescent="0.3">
      <c r="A1055" s="323"/>
      <c r="B1055" s="159"/>
      <c r="C1055" s="159"/>
      <c r="D1055" s="159"/>
      <c r="E1055" s="159"/>
      <c r="F1055" s="159"/>
      <c r="G1055" s="159"/>
      <c r="H1055" s="159"/>
      <c r="I1055" s="159"/>
      <c r="J1055" s="159"/>
      <c r="K1055" s="159"/>
      <c r="L1055" s="159"/>
      <c r="M1055" s="159"/>
      <c r="N1055" s="159"/>
      <c r="O1055" s="159"/>
      <c r="P1055" s="159"/>
      <c r="Q1055" s="159"/>
      <c r="R1055" s="159"/>
      <c r="S1055" s="307"/>
    </row>
    <row r="1056" spans="1:19" ht="15.75" customHeight="1" x14ac:dyDescent="0.3">
      <c r="A1056" s="323"/>
      <c r="B1056" s="159"/>
      <c r="C1056" s="161" t="s">
        <v>507</v>
      </c>
      <c r="D1056" s="159"/>
      <c r="E1056" s="159"/>
      <c r="F1056" s="159"/>
      <c r="G1056" s="161" t="s">
        <v>508</v>
      </c>
      <c r="H1056" s="159"/>
      <c r="I1056" s="159"/>
      <c r="J1056" s="159"/>
      <c r="K1056" s="160" t="s">
        <v>509</v>
      </c>
      <c r="L1056" s="159"/>
      <c r="M1056" s="159"/>
      <c r="N1056" s="159"/>
      <c r="O1056" s="160" t="s">
        <v>510</v>
      </c>
      <c r="P1056" s="159"/>
      <c r="Q1056" s="159"/>
      <c r="R1056" s="159"/>
      <c r="S1056" s="307"/>
    </row>
    <row r="1057" spans="1:19" ht="15.75" customHeight="1" x14ac:dyDescent="0.3">
      <c r="A1057" s="323"/>
      <c r="B1057" s="159"/>
      <c r="C1057" s="159">
        <f>+A5</f>
        <v>2016</v>
      </c>
      <c r="D1057" s="159"/>
      <c r="E1057" s="159"/>
      <c r="F1057" s="159" t="s">
        <v>511</v>
      </c>
      <c r="G1057" s="159"/>
      <c r="H1057" s="159"/>
      <c r="I1057" s="159"/>
      <c r="J1057" s="159"/>
      <c r="K1057" s="159">
        <f>+A5</f>
        <v>2016</v>
      </c>
      <c r="L1057" s="159"/>
      <c r="M1057" s="159"/>
      <c r="N1057" s="159"/>
      <c r="O1057" s="159">
        <f>+A5</f>
        <v>2016</v>
      </c>
      <c r="P1057" s="159"/>
      <c r="Q1057" s="159"/>
      <c r="R1057" s="159"/>
      <c r="S1057" s="307"/>
    </row>
    <row r="1058" spans="1:19" ht="15.75" customHeight="1" x14ac:dyDescent="0.3">
      <c r="A1058" s="323"/>
      <c r="B1058" s="159"/>
      <c r="C1058" s="159"/>
      <c r="D1058" s="159"/>
      <c r="E1058" s="159"/>
      <c r="F1058" s="159"/>
      <c r="G1058" s="159">
        <f>+A5</f>
        <v>2016</v>
      </c>
      <c r="H1058" s="159"/>
      <c r="I1058" s="159"/>
      <c r="J1058" s="159"/>
      <c r="K1058" s="159"/>
      <c r="L1058" s="159"/>
      <c r="M1058" s="159"/>
      <c r="N1058" s="159"/>
      <c r="O1058" s="159"/>
      <c r="P1058" s="159"/>
      <c r="Q1058" s="159"/>
      <c r="R1058" s="159"/>
      <c r="S1058" s="307"/>
    </row>
    <row r="1059" spans="1:19" ht="15.75" customHeight="1" x14ac:dyDescent="0.3">
      <c r="A1059" s="323"/>
      <c r="B1059" s="159"/>
      <c r="C1059" s="164" t="s">
        <v>475</v>
      </c>
      <c r="D1059" s="164" t="s">
        <v>512</v>
      </c>
      <c r="E1059" s="164" t="s">
        <v>513</v>
      </c>
      <c r="F1059" s="159"/>
      <c r="G1059" s="164" t="s">
        <v>473</v>
      </c>
      <c r="H1059" s="164" t="s">
        <v>512</v>
      </c>
      <c r="I1059" s="164" t="s">
        <v>514</v>
      </c>
      <c r="J1059" s="159"/>
      <c r="K1059" s="164" t="s">
        <v>472</v>
      </c>
      <c r="L1059" s="164" t="s">
        <v>512</v>
      </c>
      <c r="M1059" s="164" t="s">
        <v>515</v>
      </c>
      <c r="N1059" s="159"/>
      <c r="O1059" s="164" t="s">
        <v>472</v>
      </c>
      <c r="P1059" s="164" t="s">
        <v>512</v>
      </c>
      <c r="Q1059" s="164" t="s">
        <v>515</v>
      </c>
      <c r="R1059" s="159"/>
      <c r="S1059" s="307"/>
    </row>
    <row r="1060" spans="1:19" ht="15.75" customHeight="1" x14ac:dyDescent="0.3">
      <c r="A1060" s="323"/>
      <c r="B1060" s="159"/>
      <c r="C1060" s="164" t="s">
        <v>483</v>
      </c>
      <c r="D1060" s="164" t="s">
        <v>442</v>
      </c>
      <c r="E1060" s="164" t="s">
        <v>462</v>
      </c>
      <c r="F1060" s="159"/>
      <c r="G1060" s="164" t="s">
        <v>481</v>
      </c>
      <c r="H1060" s="164" t="s">
        <v>442</v>
      </c>
      <c r="I1060" s="164" t="s">
        <v>462</v>
      </c>
      <c r="J1060" s="159"/>
      <c r="K1060" s="164" t="s">
        <v>480</v>
      </c>
      <c r="L1060" s="164" t="s">
        <v>442</v>
      </c>
      <c r="M1060" s="164" t="s">
        <v>462</v>
      </c>
      <c r="N1060" s="159"/>
      <c r="O1060" s="164" t="s">
        <v>480</v>
      </c>
      <c r="P1060" s="164" t="s">
        <v>442</v>
      </c>
      <c r="Q1060" s="164" t="s">
        <v>462</v>
      </c>
      <c r="R1060" s="159"/>
      <c r="S1060" s="307"/>
    </row>
    <row r="1061" spans="1:19" ht="15.75" customHeight="1" x14ac:dyDescent="0.3">
      <c r="A1061" s="323"/>
      <c r="B1061" s="159"/>
      <c r="C1061" s="164" t="s">
        <v>442</v>
      </c>
      <c r="D1061" s="164" t="s">
        <v>439</v>
      </c>
      <c r="E1061" s="164" t="s">
        <v>463</v>
      </c>
      <c r="F1061" s="159"/>
      <c r="G1061" s="164" t="s">
        <v>486</v>
      </c>
      <c r="H1061" s="164" t="s">
        <v>439</v>
      </c>
      <c r="I1061" s="164" t="s">
        <v>463</v>
      </c>
      <c r="J1061" s="159"/>
      <c r="K1061" s="164" t="s">
        <v>442</v>
      </c>
      <c r="L1061" s="164" t="s">
        <v>439</v>
      </c>
      <c r="M1061" s="164" t="s">
        <v>463</v>
      </c>
      <c r="N1061" s="159"/>
      <c r="O1061" s="164" t="s">
        <v>442</v>
      </c>
      <c r="P1061" s="164" t="s">
        <v>439</v>
      </c>
      <c r="Q1061" s="164" t="s">
        <v>463</v>
      </c>
      <c r="R1061" s="159"/>
      <c r="S1061" s="307"/>
    </row>
    <row r="1062" spans="1:19" ht="15.75" customHeight="1" x14ac:dyDescent="0.3">
      <c r="A1062" s="323"/>
      <c r="B1062" s="159"/>
      <c r="C1062" s="164" t="s">
        <v>448</v>
      </c>
      <c r="D1062" s="164" t="s">
        <v>516</v>
      </c>
      <c r="E1062" s="164" t="s">
        <v>464</v>
      </c>
      <c r="F1062" s="159"/>
      <c r="G1062" s="164" t="s">
        <v>448</v>
      </c>
      <c r="H1062" s="164" t="s">
        <v>516</v>
      </c>
      <c r="I1062" s="164" t="s">
        <v>464</v>
      </c>
      <c r="J1062" s="159"/>
      <c r="K1062" s="164" t="s">
        <v>448</v>
      </c>
      <c r="L1062" s="164" t="s">
        <v>516</v>
      </c>
      <c r="M1062" s="164" t="s">
        <v>464</v>
      </c>
      <c r="N1062" s="159"/>
      <c r="O1062" s="164" t="s">
        <v>448</v>
      </c>
      <c r="P1062" s="164" t="s">
        <v>516</v>
      </c>
      <c r="Q1062" s="164" t="s">
        <v>464</v>
      </c>
      <c r="R1062" s="159"/>
      <c r="S1062" s="307"/>
    </row>
    <row r="1063" spans="1:19" ht="15.75" customHeight="1" x14ac:dyDescent="0.3">
      <c r="A1063" s="323"/>
      <c r="B1063" s="159"/>
      <c r="C1063" s="159" t="s">
        <v>409</v>
      </c>
      <c r="D1063" s="159" t="s">
        <v>409</v>
      </c>
      <c r="E1063" s="159" t="s">
        <v>409</v>
      </c>
      <c r="F1063" s="159"/>
      <c r="G1063" s="164" t="s">
        <v>409</v>
      </c>
      <c r="H1063" s="164" t="s">
        <v>409</v>
      </c>
      <c r="I1063" s="164" t="s">
        <v>409</v>
      </c>
      <c r="J1063" s="159"/>
      <c r="K1063" s="159" t="s">
        <v>409</v>
      </c>
      <c r="L1063" s="159" t="s">
        <v>409</v>
      </c>
      <c r="M1063" s="159" t="s">
        <v>409</v>
      </c>
      <c r="N1063" s="159"/>
      <c r="O1063" s="159" t="s">
        <v>409</v>
      </c>
      <c r="P1063" s="159" t="s">
        <v>409</v>
      </c>
      <c r="Q1063" s="159" t="s">
        <v>409</v>
      </c>
      <c r="R1063" s="159"/>
      <c r="S1063" s="307"/>
    </row>
    <row r="1064" spans="1:19" ht="15.75" customHeight="1" x14ac:dyDescent="0.3">
      <c r="A1064" s="325" t="s">
        <v>410</v>
      </c>
      <c r="B1064" s="159"/>
      <c r="C1064" s="159">
        <f t="shared" ref="C1064:C1075" si="309">(S936)</f>
        <v>-5519</v>
      </c>
      <c r="D1064" s="172">
        <v>0</v>
      </c>
      <c r="E1064" s="168">
        <f t="shared" ref="E1064:E1075" si="310">(S936*D1064/1000)</f>
        <v>0</v>
      </c>
      <c r="F1064" s="159"/>
      <c r="G1064" s="159">
        <v>0</v>
      </c>
      <c r="H1064" s="172">
        <v>0</v>
      </c>
      <c r="I1064" s="168">
        <f t="shared" ref="I1064:I1075" si="311">(G1064*H1064/1000)</f>
        <v>0</v>
      </c>
      <c r="J1064" s="159"/>
      <c r="K1064" s="447">
        <v>11848</v>
      </c>
      <c r="L1064" s="448">
        <v>0</v>
      </c>
      <c r="M1064" s="168">
        <f t="shared" ref="M1064:M1075" si="312">(K1064*L1064/1000)</f>
        <v>0</v>
      </c>
      <c r="N1064" s="159"/>
      <c r="O1064" s="447">
        <v>0</v>
      </c>
      <c r="P1064" s="172">
        <v>0</v>
      </c>
      <c r="Q1064" s="168">
        <f t="shared" ref="Q1064:Q1075" si="313">(O1064*P1064/1000)</f>
        <v>0</v>
      </c>
      <c r="R1064" s="159"/>
      <c r="S1064" s="307"/>
    </row>
    <row r="1065" spans="1:19" ht="15.75" customHeight="1" x14ac:dyDescent="0.3">
      <c r="A1065" s="325" t="s">
        <v>411</v>
      </c>
      <c r="B1065" s="159"/>
      <c r="C1065" s="159">
        <f t="shared" si="309"/>
        <v>74472.600000000006</v>
      </c>
      <c r="D1065" s="172">
        <v>0</v>
      </c>
      <c r="E1065" s="168">
        <f t="shared" si="310"/>
        <v>0</v>
      </c>
      <c r="F1065" s="159"/>
      <c r="G1065" s="159" t="e">
        <f>#REF!</f>
        <v>#REF!</v>
      </c>
      <c r="H1065" s="172">
        <v>0</v>
      </c>
      <c r="I1065" s="168" t="e">
        <f t="shared" si="311"/>
        <v>#REF!</v>
      </c>
      <c r="J1065" s="159"/>
      <c r="K1065" s="447">
        <v>11489</v>
      </c>
      <c r="L1065" s="448">
        <v>0</v>
      </c>
      <c r="M1065" s="168">
        <f t="shared" si="312"/>
        <v>0</v>
      </c>
      <c r="N1065" s="159"/>
      <c r="O1065" s="447">
        <v>0</v>
      </c>
      <c r="P1065" s="172">
        <v>0</v>
      </c>
      <c r="Q1065" s="168">
        <f t="shared" si="313"/>
        <v>0</v>
      </c>
      <c r="R1065" s="159"/>
      <c r="S1065" s="307"/>
    </row>
    <row r="1066" spans="1:19" ht="15.75" customHeight="1" x14ac:dyDescent="0.3">
      <c r="A1066" s="325" t="s">
        <v>412</v>
      </c>
      <c r="B1066" s="159"/>
      <c r="C1066" s="159">
        <f t="shared" si="309"/>
        <v>76213.05094197439</v>
      </c>
      <c r="D1066" s="172">
        <v>0</v>
      </c>
      <c r="E1066" s="168">
        <f t="shared" si="310"/>
        <v>0</v>
      </c>
      <c r="F1066" s="159">
        <f>SUM(E1064:E1066)</f>
        <v>0</v>
      </c>
      <c r="G1066" s="159" t="e">
        <f>#REF!</f>
        <v>#REF!</v>
      </c>
      <c r="H1066" s="172">
        <v>0</v>
      </c>
      <c r="I1066" s="168" t="e">
        <f t="shared" si="311"/>
        <v>#REF!</v>
      </c>
      <c r="J1066" s="159" t="e">
        <f>SUM(I1064:I1066)</f>
        <v>#REF!</v>
      </c>
      <c r="K1066" s="447">
        <v>16247</v>
      </c>
      <c r="L1066" s="448">
        <v>0</v>
      </c>
      <c r="M1066" s="168">
        <f t="shared" si="312"/>
        <v>0</v>
      </c>
      <c r="N1066" s="159">
        <f>SUM(M1064:M1066)</f>
        <v>0</v>
      </c>
      <c r="O1066" s="447">
        <v>0</v>
      </c>
      <c r="P1066" s="172">
        <v>0</v>
      </c>
      <c r="Q1066" s="168">
        <f t="shared" si="313"/>
        <v>0</v>
      </c>
      <c r="R1066" s="159">
        <f>SUM(Q1064:Q1066)</f>
        <v>0</v>
      </c>
      <c r="S1066" s="307"/>
    </row>
    <row r="1067" spans="1:19" ht="15.75" customHeight="1" x14ac:dyDescent="0.3">
      <c r="A1067" s="325" t="s">
        <v>413</v>
      </c>
      <c r="B1067" s="159"/>
      <c r="C1067" s="159">
        <f t="shared" si="309"/>
        <v>77487</v>
      </c>
      <c r="D1067" s="172">
        <v>0</v>
      </c>
      <c r="E1067" s="168">
        <f t="shared" si="310"/>
        <v>0</v>
      </c>
      <c r="F1067" s="159"/>
      <c r="G1067" s="159" t="e">
        <f>#REF!</f>
        <v>#REF!</v>
      </c>
      <c r="H1067" s="172">
        <v>0</v>
      </c>
      <c r="I1067" s="168" t="e">
        <f t="shared" si="311"/>
        <v>#REF!</v>
      </c>
      <c r="J1067" s="159"/>
      <c r="K1067" s="447">
        <v>17740</v>
      </c>
      <c r="L1067" s="448">
        <v>0</v>
      </c>
      <c r="M1067" s="168">
        <f t="shared" si="312"/>
        <v>0</v>
      </c>
      <c r="N1067" s="159"/>
      <c r="O1067" s="447">
        <v>0</v>
      </c>
      <c r="P1067" s="172">
        <v>0</v>
      </c>
      <c r="Q1067" s="168">
        <f t="shared" si="313"/>
        <v>0</v>
      </c>
      <c r="R1067" s="159"/>
      <c r="S1067" s="307"/>
    </row>
    <row r="1068" spans="1:19" ht="15.75" customHeight="1" x14ac:dyDescent="0.3">
      <c r="A1068" s="325" t="s">
        <v>414</v>
      </c>
      <c r="B1068" s="159"/>
      <c r="C1068" s="159">
        <f t="shared" si="309"/>
        <v>24464.679999999993</v>
      </c>
      <c r="D1068" s="172">
        <v>0</v>
      </c>
      <c r="E1068" s="168">
        <f t="shared" si="310"/>
        <v>0</v>
      </c>
      <c r="F1068" s="159"/>
      <c r="G1068" s="159" t="e">
        <f>#REF!</f>
        <v>#REF!</v>
      </c>
      <c r="H1068" s="172">
        <v>0</v>
      </c>
      <c r="I1068" s="168" t="e">
        <f t="shared" si="311"/>
        <v>#REF!</v>
      </c>
      <c r="J1068" s="159"/>
      <c r="K1068" s="447">
        <v>15434</v>
      </c>
      <c r="L1068" s="448">
        <v>0</v>
      </c>
      <c r="M1068" s="168">
        <f t="shared" si="312"/>
        <v>0</v>
      </c>
      <c r="N1068" s="159"/>
      <c r="O1068" s="447">
        <v>0</v>
      </c>
      <c r="P1068" s="172">
        <v>0</v>
      </c>
      <c r="Q1068" s="168">
        <f t="shared" si="313"/>
        <v>0</v>
      </c>
      <c r="R1068" s="159"/>
      <c r="S1068" s="307"/>
    </row>
    <row r="1069" spans="1:19" ht="15.75" customHeight="1" x14ac:dyDescent="0.3">
      <c r="A1069" s="325" t="s">
        <v>415</v>
      </c>
      <c r="B1069" s="159"/>
      <c r="C1069" s="159">
        <f t="shared" si="309"/>
        <v>974.89344385830918</v>
      </c>
      <c r="D1069" s="172">
        <v>0</v>
      </c>
      <c r="E1069" s="168">
        <f t="shared" si="310"/>
        <v>0</v>
      </c>
      <c r="F1069" s="159">
        <f>SUM(E1067:E1069)</f>
        <v>0</v>
      </c>
      <c r="G1069" s="159" t="e">
        <f>#REF!</f>
        <v>#REF!</v>
      </c>
      <c r="H1069" s="172">
        <v>0</v>
      </c>
      <c r="I1069" s="168" t="e">
        <f t="shared" si="311"/>
        <v>#REF!</v>
      </c>
      <c r="J1069" s="159" t="e">
        <f>SUM(I1067:I1069)</f>
        <v>#REF!</v>
      </c>
      <c r="K1069" s="447">
        <v>14355</v>
      </c>
      <c r="L1069" s="448">
        <v>0</v>
      </c>
      <c r="M1069" s="168">
        <f t="shared" si="312"/>
        <v>0</v>
      </c>
      <c r="N1069" s="159">
        <f>SUM(M1067:M1069)</f>
        <v>0</v>
      </c>
      <c r="O1069" s="447">
        <v>0</v>
      </c>
      <c r="P1069" s="172">
        <v>0</v>
      </c>
      <c r="Q1069" s="168">
        <f t="shared" si="313"/>
        <v>0</v>
      </c>
      <c r="R1069" s="159">
        <f>SUM(Q1067:Q1069)</f>
        <v>0</v>
      </c>
      <c r="S1069" s="307"/>
    </row>
    <row r="1070" spans="1:19" ht="15.75" customHeight="1" x14ac:dyDescent="0.3">
      <c r="A1070" s="325" t="s">
        <v>416</v>
      </c>
      <c r="B1070" s="159"/>
      <c r="C1070" s="159">
        <f t="shared" si="309"/>
        <v>-25887.541514979792</v>
      </c>
      <c r="D1070" s="172">
        <v>0</v>
      </c>
      <c r="E1070" s="168">
        <f t="shared" si="310"/>
        <v>0</v>
      </c>
      <c r="F1070" s="159"/>
      <c r="G1070" s="159" t="e">
        <f>#REF!</f>
        <v>#REF!</v>
      </c>
      <c r="H1070" s="172">
        <v>0</v>
      </c>
      <c r="I1070" s="168" t="e">
        <f t="shared" si="311"/>
        <v>#REF!</v>
      </c>
      <c r="J1070" s="159"/>
      <c r="K1070" s="447">
        <v>13129</v>
      </c>
      <c r="L1070" s="448">
        <v>0</v>
      </c>
      <c r="M1070" s="168">
        <f t="shared" si="312"/>
        <v>0</v>
      </c>
      <c r="N1070" s="159"/>
      <c r="O1070" s="447">
        <v>0</v>
      </c>
      <c r="P1070" s="172">
        <v>0</v>
      </c>
      <c r="Q1070" s="168">
        <f t="shared" si="313"/>
        <v>0</v>
      </c>
      <c r="R1070" s="159"/>
      <c r="S1070" s="307"/>
    </row>
    <row r="1071" spans="1:19" ht="15.75" customHeight="1" x14ac:dyDescent="0.3">
      <c r="A1071" s="325" t="s">
        <v>417</v>
      </c>
      <c r="B1071" s="159"/>
      <c r="C1071" s="159">
        <f t="shared" si="309"/>
        <v>-41758.155367309228</v>
      </c>
      <c r="D1071" s="172">
        <v>0</v>
      </c>
      <c r="E1071" s="168">
        <f t="shared" si="310"/>
        <v>0</v>
      </c>
      <c r="F1071" s="159"/>
      <c r="G1071" s="159" t="e">
        <f>#REF!</f>
        <v>#REF!</v>
      </c>
      <c r="H1071" s="172">
        <v>0</v>
      </c>
      <c r="I1071" s="168" t="e">
        <f t="shared" si="311"/>
        <v>#REF!</v>
      </c>
      <c r="J1071" s="159"/>
      <c r="K1071" s="447">
        <v>12545</v>
      </c>
      <c r="L1071" s="448">
        <v>0</v>
      </c>
      <c r="M1071" s="168">
        <f t="shared" si="312"/>
        <v>0</v>
      </c>
      <c r="N1071" s="159"/>
      <c r="O1071" s="447">
        <v>0</v>
      </c>
      <c r="P1071" s="172">
        <v>0</v>
      </c>
      <c r="Q1071" s="168">
        <f t="shared" si="313"/>
        <v>0</v>
      </c>
      <c r="R1071" s="159"/>
      <c r="S1071" s="307"/>
    </row>
    <row r="1072" spans="1:19" ht="15.75" customHeight="1" x14ac:dyDescent="0.3">
      <c r="A1072" s="325" t="s">
        <v>418</v>
      </c>
      <c r="B1072" s="159"/>
      <c r="C1072" s="159">
        <f t="shared" si="309"/>
        <v>-37508.036744536541</v>
      </c>
      <c r="D1072" s="172">
        <v>0</v>
      </c>
      <c r="E1072" s="168">
        <f t="shared" si="310"/>
        <v>0</v>
      </c>
      <c r="F1072" s="159">
        <f>SUM(E1070:E1072)</f>
        <v>0</v>
      </c>
      <c r="G1072" s="159" t="e">
        <f>#REF!</f>
        <v>#REF!</v>
      </c>
      <c r="H1072" s="172">
        <v>0</v>
      </c>
      <c r="I1072" s="168" t="e">
        <f t="shared" si="311"/>
        <v>#REF!</v>
      </c>
      <c r="J1072" s="159" t="e">
        <f>SUM(I1070:I1072)</f>
        <v>#REF!</v>
      </c>
      <c r="K1072" s="447">
        <v>9350</v>
      </c>
      <c r="L1072" s="448">
        <v>0</v>
      </c>
      <c r="M1072" s="168">
        <f t="shared" si="312"/>
        <v>0</v>
      </c>
      <c r="N1072" s="159">
        <f>SUM(M1070:M1072)</f>
        <v>0</v>
      </c>
      <c r="O1072" s="447">
        <v>0</v>
      </c>
      <c r="P1072" s="172">
        <v>0</v>
      </c>
      <c r="Q1072" s="168">
        <f t="shared" si="313"/>
        <v>0</v>
      </c>
      <c r="R1072" s="159">
        <f>SUM(Q1070:Q1072)</f>
        <v>0</v>
      </c>
      <c r="S1072" s="307"/>
    </row>
    <row r="1073" spans="1:19" ht="15.75" customHeight="1" x14ac:dyDescent="0.3">
      <c r="A1073" s="325" t="s">
        <v>419</v>
      </c>
      <c r="B1073" s="159"/>
      <c r="C1073" s="159">
        <f t="shared" si="309"/>
        <v>58371.540241145442</v>
      </c>
      <c r="D1073" s="172">
        <v>0</v>
      </c>
      <c r="E1073" s="168">
        <f t="shared" si="310"/>
        <v>0</v>
      </c>
      <c r="F1073" s="159"/>
      <c r="G1073" s="159" t="e">
        <f>#REF!</f>
        <v>#REF!</v>
      </c>
      <c r="H1073" s="172">
        <v>0</v>
      </c>
      <c r="I1073" s="168" t="e">
        <f t="shared" si="311"/>
        <v>#REF!</v>
      </c>
      <c r="J1073" s="159"/>
      <c r="K1073" s="447">
        <v>11649</v>
      </c>
      <c r="L1073" s="448">
        <v>0</v>
      </c>
      <c r="M1073" s="168">
        <f t="shared" si="312"/>
        <v>0</v>
      </c>
      <c r="N1073" s="159"/>
      <c r="O1073" s="447">
        <v>0</v>
      </c>
      <c r="P1073" s="172">
        <v>0</v>
      </c>
      <c r="Q1073" s="168">
        <f t="shared" si="313"/>
        <v>0</v>
      </c>
      <c r="R1073" s="159"/>
      <c r="S1073" s="307"/>
    </row>
    <row r="1074" spans="1:19" ht="15.75" customHeight="1" x14ac:dyDescent="0.3">
      <c r="A1074" s="325" t="s">
        <v>420</v>
      </c>
      <c r="B1074" s="159"/>
      <c r="C1074" s="159">
        <f t="shared" si="309"/>
        <v>73712</v>
      </c>
      <c r="D1074" s="172">
        <v>0</v>
      </c>
      <c r="E1074" s="168">
        <f t="shared" si="310"/>
        <v>0</v>
      </c>
      <c r="F1074" s="159"/>
      <c r="G1074" s="159" t="e">
        <f>#REF!</f>
        <v>#REF!</v>
      </c>
      <c r="H1074" s="172">
        <v>0</v>
      </c>
      <c r="I1074" s="168" t="e">
        <f t="shared" si="311"/>
        <v>#REF!</v>
      </c>
      <c r="J1074" s="159"/>
      <c r="K1074" s="447">
        <v>8035</v>
      </c>
      <c r="L1074" s="448">
        <v>0</v>
      </c>
      <c r="M1074" s="168">
        <f t="shared" si="312"/>
        <v>0</v>
      </c>
      <c r="N1074" s="159"/>
      <c r="O1074" s="447">
        <v>0</v>
      </c>
      <c r="P1074" s="172">
        <v>0</v>
      </c>
      <c r="Q1074" s="168">
        <f t="shared" si="313"/>
        <v>0</v>
      </c>
      <c r="R1074" s="159"/>
      <c r="S1074" s="307"/>
    </row>
    <row r="1075" spans="1:19" ht="15.75" customHeight="1" x14ac:dyDescent="0.3">
      <c r="A1075" s="325" t="s">
        <v>421</v>
      </c>
      <c r="B1075" s="159"/>
      <c r="C1075" s="159">
        <f t="shared" si="309"/>
        <v>37722.599999999977</v>
      </c>
      <c r="D1075" s="172">
        <v>0</v>
      </c>
      <c r="E1075" s="168">
        <f t="shared" si="310"/>
        <v>0</v>
      </c>
      <c r="F1075" s="159">
        <f>SUM(E1073:E1075)</f>
        <v>0</v>
      </c>
      <c r="G1075" s="159" t="e">
        <f>#REF!</f>
        <v>#REF!</v>
      </c>
      <c r="H1075" s="172">
        <v>0</v>
      </c>
      <c r="I1075" s="168" t="e">
        <f t="shared" si="311"/>
        <v>#REF!</v>
      </c>
      <c r="J1075" s="159" t="e">
        <f>SUM(I1073:I1075)</f>
        <v>#REF!</v>
      </c>
      <c r="K1075" s="447">
        <v>8092</v>
      </c>
      <c r="L1075" s="448">
        <v>0</v>
      </c>
      <c r="M1075" s="168">
        <f t="shared" si="312"/>
        <v>0</v>
      </c>
      <c r="N1075" s="159">
        <f>SUM(M1073:M1075)</f>
        <v>0</v>
      </c>
      <c r="O1075" s="447">
        <v>0</v>
      </c>
      <c r="P1075" s="172">
        <v>0</v>
      </c>
      <c r="Q1075" s="168">
        <f t="shared" si="313"/>
        <v>0</v>
      </c>
      <c r="R1075" s="159">
        <f>SUM(Q1073:Q1075)</f>
        <v>0</v>
      </c>
      <c r="S1075" s="307"/>
    </row>
    <row r="1076" spans="1:19" ht="15.75" customHeight="1" x14ac:dyDescent="0.3">
      <c r="A1076" s="323"/>
      <c r="B1076" s="159"/>
      <c r="C1076" s="159"/>
      <c r="D1076" s="159"/>
      <c r="E1076" s="159"/>
      <c r="F1076" s="159"/>
      <c r="G1076" s="159"/>
      <c r="H1076" s="159"/>
      <c r="I1076" s="159"/>
      <c r="J1076" s="159"/>
      <c r="K1076" s="159"/>
      <c r="L1076" s="159"/>
      <c r="M1076" s="159"/>
      <c r="N1076" s="159"/>
      <c r="O1076" s="159"/>
      <c r="P1076" s="159"/>
      <c r="Q1076" s="159"/>
      <c r="R1076" s="159"/>
      <c r="S1076" s="307"/>
    </row>
    <row r="1077" spans="1:19" ht="15.75" customHeight="1" x14ac:dyDescent="0.3">
      <c r="A1077" s="323"/>
      <c r="B1077" s="159"/>
      <c r="C1077" s="159"/>
      <c r="D1077" s="159"/>
      <c r="E1077" s="159"/>
      <c r="F1077" s="159"/>
      <c r="G1077" s="159"/>
      <c r="H1077" s="159"/>
      <c r="I1077" s="159"/>
      <c r="J1077" s="159"/>
      <c r="K1077" s="159"/>
      <c r="L1077" s="159"/>
      <c r="M1077" s="159"/>
      <c r="N1077" s="159"/>
      <c r="O1077" s="159"/>
      <c r="P1077" s="159"/>
      <c r="Q1077" s="159"/>
      <c r="R1077" s="159"/>
      <c r="S1077" s="307"/>
    </row>
    <row r="1078" spans="1:19" ht="16.5" customHeight="1" thickBot="1" x14ac:dyDescent="0.35">
      <c r="A1078" s="326" t="s">
        <v>422</v>
      </c>
      <c r="B1078" s="327"/>
      <c r="C1078" s="327">
        <f>SUM(C1064:C1075)</f>
        <v>312745.63100015256</v>
      </c>
      <c r="D1078" s="327"/>
      <c r="E1078" s="337">
        <f>SUM(E1064:E1075)</f>
        <v>0</v>
      </c>
      <c r="F1078" s="327"/>
      <c r="G1078" s="327" t="e">
        <f>SUM(G1064:G1075)</f>
        <v>#REF!</v>
      </c>
      <c r="H1078" s="327" t="s">
        <v>424</v>
      </c>
      <c r="I1078" s="337" t="e">
        <f>SUM(I1064:I1075)</f>
        <v>#REF!</v>
      </c>
      <c r="J1078" s="327"/>
      <c r="K1078" s="327">
        <f>SUM(K1064:K1075)</f>
        <v>149913</v>
      </c>
      <c r="L1078" s="327" t="s">
        <v>424</v>
      </c>
      <c r="M1078" s="337">
        <f>SUM(M1064:M1075)</f>
        <v>0</v>
      </c>
      <c r="N1078" s="327"/>
      <c r="O1078" s="327">
        <f>(SUM(O1064:O1075))</f>
        <v>0</v>
      </c>
      <c r="P1078" s="327" t="s">
        <v>424</v>
      </c>
      <c r="Q1078" s="337">
        <f>SUM(Q1064:Q1075)</f>
        <v>0</v>
      </c>
      <c r="R1078" s="327"/>
      <c r="S1078" s="313"/>
    </row>
  </sheetData>
  <scenarios current="0">
    <scenario name="Jan" count="1" user="Windows User" comment="Created by Windows User on 4/11/2013">
      <inputCells r="B288" val="57771.3688407242" numFmtId="37"/>
    </scenario>
  </scenarios>
  <autoFilter ref="A31:R839" xr:uid="{00000000-0009-0000-0000-00000E000000}"/>
  <mergeCells count="72">
    <mergeCell ref="B1012:L1012"/>
    <mergeCell ref="M1012:P1012"/>
    <mergeCell ref="B986:D986"/>
    <mergeCell ref="B1005:P1005"/>
    <mergeCell ref="B1006:P1006"/>
    <mergeCell ref="B1007:P1007"/>
    <mergeCell ref="B1009:P1009"/>
    <mergeCell ref="B1010:P1010"/>
    <mergeCell ref="B985:P985"/>
    <mergeCell ref="M931:O931"/>
    <mergeCell ref="AD931:AQ931"/>
    <mergeCell ref="AD932:AQ932"/>
    <mergeCell ref="B956:P956"/>
    <mergeCell ref="B957:F957"/>
    <mergeCell ref="G957:L957"/>
    <mergeCell ref="M957:R957"/>
    <mergeCell ref="S957:U957"/>
    <mergeCell ref="M958:O958"/>
    <mergeCell ref="B980:P980"/>
    <mergeCell ref="B981:P981"/>
    <mergeCell ref="B982:P982"/>
    <mergeCell ref="B984:P984"/>
    <mergeCell ref="B928:P928"/>
    <mergeCell ref="AD928:AQ928"/>
    <mergeCell ref="B929:P929"/>
    <mergeCell ref="AD929:AQ929"/>
    <mergeCell ref="B930:F930"/>
    <mergeCell ref="G930:L930"/>
    <mergeCell ref="M930:R930"/>
    <mergeCell ref="S930:U930"/>
    <mergeCell ref="AD927:AQ927"/>
    <mergeCell ref="AD893:AQ893"/>
    <mergeCell ref="AD894:AQ894"/>
    <mergeCell ref="AD896:AQ896"/>
    <mergeCell ref="B897:P897"/>
    <mergeCell ref="AD897:AQ897"/>
    <mergeCell ref="B898:P898"/>
    <mergeCell ref="B899:P899"/>
    <mergeCell ref="B901:P901"/>
    <mergeCell ref="B902:P902"/>
    <mergeCell ref="B926:P926"/>
    <mergeCell ref="B927:P927"/>
    <mergeCell ref="AD892:AQ892"/>
    <mergeCell ref="B843:P843"/>
    <mergeCell ref="B844:P844"/>
    <mergeCell ref="B845:P845"/>
    <mergeCell ref="B846:P846"/>
    <mergeCell ref="B847:P847"/>
    <mergeCell ref="B871:P871"/>
    <mergeCell ref="B872:P872"/>
    <mergeCell ref="B873:P873"/>
    <mergeCell ref="B874:P874"/>
    <mergeCell ref="B875:P875"/>
    <mergeCell ref="B876:P876"/>
    <mergeCell ref="B842:P842"/>
    <mergeCell ref="V358:AM358"/>
    <mergeCell ref="A778:R778"/>
    <mergeCell ref="A779:R779"/>
    <mergeCell ref="A780:R780"/>
    <mergeCell ref="A781:R781"/>
    <mergeCell ref="A783:R783"/>
    <mergeCell ref="A819:R819"/>
    <mergeCell ref="A820:R820"/>
    <mergeCell ref="A821:R821"/>
    <mergeCell ref="A822:R822"/>
    <mergeCell ref="A824:R824"/>
    <mergeCell ref="A8:R8"/>
    <mergeCell ref="A2:R2"/>
    <mergeCell ref="A3:R3"/>
    <mergeCell ref="A4:R4"/>
    <mergeCell ref="A5:R5"/>
    <mergeCell ref="A6:R6"/>
  </mergeCells>
  <conditionalFormatting sqref="S936:S949">
    <cfRule type="cellIs" dxfId="19" priority="3" operator="lessThan">
      <formula>0</formula>
    </cfRule>
    <cfRule type="cellIs" dxfId="18" priority="4" operator="greaterThan">
      <formula>0</formula>
    </cfRule>
  </conditionalFormatting>
  <conditionalFormatting sqref="S963:S974">
    <cfRule type="cellIs" dxfId="17" priority="1" operator="lessThan">
      <formula>0</formula>
    </cfRule>
    <cfRule type="cellIs" dxfId="16" priority="2" operator="greaterThan">
      <formula>0</formula>
    </cfRule>
  </conditionalFormatting>
  <printOptions horizontalCentered="1"/>
  <pageMargins left="0.25" right="0.25" top="0.25" bottom="0.25" header="0" footer="0"/>
  <pageSetup paperSize="17" scale="82" orientation="landscape" r:id="rId1"/>
  <headerFooter alignWithMargins="0"/>
  <rowBreaks count="5" manualBreakCount="5">
    <brk id="775" max="17" man="1"/>
    <brk id="815" max="17" man="1"/>
    <brk id="868" max="18" man="1"/>
    <brk id="896" max="18" man="1"/>
    <brk id="864" min="28" max="46"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FB2D1-F7D9-461D-9B10-2689F854CCDF}">
  <sheetPr codeName="Sheet18">
    <pageSetUpPr fitToPage="1"/>
  </sheetPr>
  <dimension ref="A1:AX1060"/>
  <sheetViews>
    <sheetView zoomScale="60" zoomScaleNormal="60" workbookViewId="0">
      <pane ySplit="31" topLeftCell="A905" activePane="bottomLeft" state="frozen"/>
      <selection activeCell="T20" sqref="T20"/>
      <selection pane="bottomLeft" activeCell="B911" sqref="B911:P911"/>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20" width="11.21875" style="4" bestFit="1" customWidth="1"/>
    <col min="21" max="21" width="8.77734375" style="4"/>
    <col min="22" max="22" width="10.44140625" style="4" customWidth="1"/>
    <col min="23" max="28" width="8.77734375" style="4"/>
    <col min="29" max="29" width="13.6640625" style="4" customWidth="1"/>
    <col min="30"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338" t="s">
        <v>791</v>
      </c>
      <c r="R1" s="3">
        <f ca="1">NOW()</f>
        <v>44909.46975358796</v>
      </c>
    </row>
    <row r="2" spans="1:36" ht="19.5" customHeight="1" x14ac:dyDescent="0.35">
      <c r="A2" s="500" t="s">
        <v>1</v>
      </c>
      <c r="B2" s="500"/>
      <c r="C2" s="500"/>
      <c r="D2" s="500"/>
      <c r="E2" s="500"/>
      <c r="F2" s="500"/>
      <c r="G2" s="500"/>
      <c r="H2" s="500"/>
      <c r="I2" s="500"/>
      <c r="J2" s="500"/>
      <c r="K2" s="500"/>
      <c r="L2" s="500"/>
      <c r="M2" s="500"/>
      <c r="N2" s="500"/>
      <c r="O2" s="500"/>
      <c r="P2" s="500"/>
      <c r="Q2" s="500"/>
      <c r="R2" s="500"/>
    </row>
    <row r="3" spans="1:36" ht="19.5" customHeight="1" x14ac:dyDescent="0.35">
      <c r="A3" s="500" t="s">
        <v>2</v>
      </c>
      <c r="B3" s="500"/>
      <c r="C3" s="500"/>
      <c r="D3" s="500"/>
      <c r="E3" s="500"/>
      <c r="F3" s="500"/>
      <c r="G3" s="500"/>
      <c r="H3" s="500"/>
      <c r="I3" s="500"/>
      <c r="J3" s="500"/>
      <c r="K3" s="500"/>
      <c r="L3" s="500"/>
      <c r="M3" s="500"/>
      <c r="N3" s="500"/>
      <c r="O3" s="500"/>
      <c r="P3" s="500"/>
      <c r="Q3" s="500"/>
      <c r="R3" s="500"/>
    </row>
    <row r="4" spans="1:36" ht="19.5" customHeight="1" x14ac:dyDescent="0.35">
      <c r="A4" s="501" t="s">
        <v>3</v>
      </c>
      <c r="B4" s="501"/>
      <c r="C4" s="501"/>
      <c r="D4" s="501"/>
      <c r="E4" s="501"/>
      <c r="F4" s="501"/>
      <c r="G4" s="501"/>
      <c r="H4" s="501"/>
      <c r="I4" s="501"/>
      <c r="J4" s="501"/>
      <c r="K4" s="501"/>
      <c r="L4" s="501"/>
      <c r="M4" s="501"/>
      <c r="N4" s="501"/>
      <c r="O4" s="501"/>
      <c r="P4" s="501"/>
      <c r="Q4" s="501"/>
      <c r="R4" s="501"/>
    </row>
    <row r="5" spans="1:36" ht="19.5" customHeight="1" x14ac:dyDescent="0.35">
      <c r="A5" s="502">
        <v>2015</v>
      </c>
      <c r="B5" s="502"/>
      <c r="C5" s="502"/>
      <c r="D5" s="502"/>
      <c r="E5" s="502"/>
      <c r="F5" s="502"/>
      <c r="G5" s="502"/>
      <c r="H5" s="502"/>
      <c r="I5" s="502"/>
      <c r="J5" s="502"/>
      <c r="K5" s="502"/>
      <c r="L5" s="502"/>
      <c r="M5" s="502"/>
      <c r="N5" s="502"/>
      <c r="O5" s="502"/>
      <c r="P5" s="502"/>
      <c r="Q5" s="502"/>
      <c r="R5" s="502"/>
    </row>
    <row r="6" spans="1:36" ht="19.5" customHeight="1" x14ac:dyDescent="0.35">
      <c r="A6" s="501" t="s">
        <v>1113</v>
      </c>
      <c r="B6" s="501"/>
      <c r="C6" s="501"/>
      <c r="D6" s="501"/>
      <c r="E6" s="501"/>
      <c r="F6" s="501"/>
      <c r="G6" s="501"/>
      <c r="H6" s="501"/>
      <c r="I6" s="501"/>
      <c r="J6" s="501"/>
      <c r="K6" s="501"/>
      <c r="L6" s="501"/>
      <c r="M6" s="501"/>
      <c r="N6" s="501"/>
      <c r="O6" s="501"/>
      <c r="P6" s="501"/>
      <c r="Q6" s="501"/>
      <c r="R6" s="501"/>
    </row>
    <row r="7" spans="1:36" ht="19.5" customHeight="1" x14ac:dyDescent="0.35">
      <c r="A7" s="296"/>
      <c r="B7" s="296"/>
      <c r="C7" s="296"/>
      <c r="D7" s="296"/>
      <c r="E7" s="296"/>
      <c r="F7" s="296"/>
      <c r="G7" s="296"/>
      <c r="H7" s="296"/>
      <c r="I7" s="296"/>
      <c r="J7" s="296"/>
      <c r="K7" s="296"/>
      <c r="L7" s="296"/>
      <c r="M7" s="296"/>
      <c r="N7" s="296"/>
      <c r="O7" s="296"/>
      <c r="P7" s="296"/>
      <c r="Q7" s="296"/>
      <c r="R7" s="296"/>
    </row>
    <row r="8" spans="1:36" ht="15.75" customHeight="1" x14ac:dyDescent="0.3">
      <c r="A8" s="499" t="s">
        <v>1114</v>
      </c>
      <c r="B8" s="499"/>
      <c r="C8" s="499"/>
      <c r="D8" s="499"/>
      <c r="E8" s="499"/>
      <c r="F8" s="499"/>
      <c r="G8" s="499"/>
      <c r="H8" s="499"/>
      <c r="I8" s="499"/>
      <c r="J8" s="499"/>
      <c r="K8" s="499"/>
      <c r="L8" s="499"/>
      <c r="M8" s="499"/>
      <c r="N8" s="499"/>
      <c r="O8" s="499"/>
      <c r="P8" s="499"/>
      <c r="Q8" s="499"/>
      <c r="R8" s="499"/>
    </row>
    <row r="9" spans="1:36" ht="15.75" customHeight="1" x14ac:dyDescent="0.3">
      <c r="A9" s="5"/>
      <c r="B9" s="6"/>
      <c r="C9" s="6"/>
      <c r="D9" s="6"/>
      <c r="E9" s="6"/>
      <c r="F9" s="6"/>
      <c r="G9" s="6"/>
      <c r="H9" s="6"/>
      <c r="I9" s="6"/>
      <c r="J9" s="6"/>
      <c r="K9" s="6"/>
      <c r="L9" s="6"/>
      <c r="M9" s="6"/>
      <c r="N9" s="6"/>
      <c r="O9" s="6"/>
      <c r="P9" s="6"/>
      <c r="Q9" s="6"/>
      <c r="R9" s="6"/>
    </row>
    <row r="10" spans="1:36" ht="15.75" customHeight="1" thickBot="1" x14ac:dyDescent="0.35">
      <c r="A10" s="1" t="s">
        <v>794</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297" t="s">
        <v>7</v>
      </c>
      <c r="B11" s="298" t="s">
        <v>795</v>
      </c>
      <c r="C11" s="48" t="s">
        <v>9</v>
      </c>
      <c r="D11" s="48" t="s">
        <v>10</v>
      </c>
      <c r="E11" s="32" t="s">
        <v>11</v>
      </c>
      <c r="F11" s="48" t="s">
        <v>12</v>
      </c>
      <c r="G11" s="48" t="s">
        <v>13</v>
      </c>
      <c r="H11" s="48" t="s">
        <v>14</v>
      </c>
      <c r="I11" s="32" t="s">
        <v>15</v>
      </c>
      <c r="J11" s="48" t="s">
        <v>16</v>
      </c>
      <c r="K11" s="48" t="s">
        <v>17</v>
      </c>
      <c r="L11" s="48" t="s">
        <v>18</v>
      </c>
      <c r="M11" s="32" t="s">
        <v>19</v>
      </c>
      <c r="N11" s="48" t="s">
        <v>20</v>
      </c>
      <c r="O11" s="48" t="s">
        <v>21</v>
      </c>
      <c r="P11" s="48" t="s">
        <v>22</v>
      </c>
      <c r="Q11" s="32" t="s">
        <v>23</v>
      </c>
      <c r="R11" s="49" t="s">
        <v>24</v>
      </c>
    </row>
    <row r="12" spans="1:36" ht="16.5" customHeight="1" thickBot="1" x14ac:dyDescent="0.35">
      <c r="A12" s="67"/>
      <c r="B12" s="449"/>
      <c r="C12" s="449"/>
      <c r="D12" s="449"/>
      <c r="E12" s="52"/>
      <c r="F12" s="449"/>
      <c r="G12" s="449"/>
      <c r="H12" s="449"/>
      <c r="I12" s="52"/>
      <c r="J12" s="449"/>
      <c r="K12" s="449"/>
      <c r="L12" s="449"/>
      <c r="M12" s="52"/>
      <c r="N12" s="449"/>
      <c r="O12" s="449"/>
      <c r="P12" s="449"/>
      <c r="Q12" s="52"/>
      <c r="R12" s="52"/>
    </row>
    <row r="13" spans="1:36" ht="15.75" customHeight="1" x14ac:dyDescent="0.3">
      <c r="A13" s="15" t="s">
        <v>25</v>
      </c>
      <c r="B13" s="1">
        <f>+B820</f>
        <v>58728</v>
      </c>
      <c r="C13" s="1">
        <f>+C820</f>
        <v>77475</v>
      </c>
      <c r="D13" s="1">
        <f>+D820</f>
        <v>134316</v>
      </c>
      <c r="E13" s="16">
        <f>SUM(B13:D13)</f>
        <v>270519</v>
      </c>
      <c r="F13" s="1">
        <f>+F820</f>
        <v>183305</v>
      </c>
      <c r="G13" s="1">
        <f>+G820</f>
        <v>146795</v>
      </c>
      <c r="H13" s="1">
        <f>+H820</f>
        <v>166051</v>
      </c>
      <c r="I13" s="16">
        <f t="shared" ref="I13:I19" si="0">SUM(F13:H13)</f>
        <v>496151</v>
      </c>
      <c r="J13" s="1">
        <f>+J820</f>
        <v>156931</v>
      </c>
      <c r="K13" s="1">
        <f>+K820</f>
        <v>165338</v>
      </c>
      <c r="L13" s="1">
        <f>+L820</f>
        <v>121912</v>
      </c>
      <c r="M13" s="16">
        <f t="shared" ref="M13:M20" si="1">SUM(J13:L13)</f>
        <v>444181</v>
      </c>
      <c r="N13" s="1">
        <f>+N820</f>
        <v>96557</v>
      </c>
      <c r="O13" s="1">
        <f>+O820</f>
        <v>63748</v>
      </c>
      <c r="P13" s="1">
        <f>+P820</f>
        <v>78053</v>
      </c>
      <c r="Q13" s="17">
        <f t="shared" ref="Q13:Q19" si="2">SUM(N13:P13)</f>
        <v>238358</v>
      </c>
      <c r="R13" s="16">
        <f t="shared" ref="R13:R20" si="3">+E13+I13+M13+Q13</f>
        <v>1449209</v>
      </c>
      <c r="S13" s="4">
        <f>1610000-28317</f>
        <v>1581683</v>
      </c>
      <c r="T13" s="4">
        <f>+R13-S13</f>
        <v>-132474</v>
      </c>
      <c r="U13" s="4">
        <f>+R13-1478209</f>
        <v>-29000</v>
      </c>
      <c r="V13" s="339"/>
      <c r="W13" s="339"/>
      <c r="X13" s="339"/>
      <c r="Z13" s="339"/>
      <c r="AA13" s="339"/>
      <c r="AB13" s="339"/>
      <c r="AD13" s="339"/>
      <c r="AE13" s="339"/>
      <c r="AF13" s="339"/>
      <c r="AH13" s="339"/>
      <c r="AI13" s="339"/>
      <c r="AJ13" s="339"/>
    </row>
    <row r="14" spans="1:36" ht="15.75" customHeight="1" x14ac:dyDescent="0.3">
      <c r="A14" s="15" t="s">
        <v>27</v>
      </c>
      <c r="B14" s="1">
        <f>B25+B60+B128+B281+B422+B469+B512+B568+B578+B614+B660+B670+B704+B752</f>
        <v>739</v>
      </c>
      <c r="C14" s="1">
        <f>C25+C60+C128+C281+C422+C469+C512+C568+C578+C614+C660+C670+C704+C752</f>
        <v>1283</v>
      </c>
      <c r="D14" s="1">
        <f>D25+D60+D128+D281+D422+D469+D512+D568+D578+D614+D660+D670+D704+D752</f>
        <v>2185</v>
      </c>
      <c r="E14" s="16">
        <f t="shared" ref="E14:E19" si="4">SUM(B14:D14)</f>
        <v>4207</v>
      </c>
      <c r="F14" s="1">
        <f>F25+F60+F128+F281+F422+F469+F512+F568+F578+F614+F660+F670+F704+F752</f>
        <v>2959</v>
      </c>
      <c r="G14" s="1">
        <f>G25+G60+G128+G281+G422+G469+G512+G568+G578+G614+G660+G670+G704+G752</f>
        <v>3425</v>
      </c>
      <c r="H14" s="1">
        <f>H25+H60+H128+H281+H422+H469+H512+H568+H578+H614+H660+H670+H704+H752</f>
        <v>3464</v>
      </c>
      <c r="I14" s="16">
        <f t="shared" si="0"/>
        <v>9848</v>
      </c>
      <c r="J14" s="1">
        <f>J25+J60+J128+J281+J422+J469+J512+J568+J578+J614+J660+J670+J704+J752</f>
        <v>3382</v>
      </c>
      <c r="K14" s="1">
        <f>K25+K60+K128+K281+K422+K469+K512+K568+K578+K614+K660+K670+K704+K752</f>
        <v>2663</v>
      </c>
      <c r="L14" s="1">
        <f>L25+L60+L128+L281+L422+L469+L512+L568+L578+L614+L660+L670+L704+L752</f>
        <v>2559</v>
      </c>
      <c r="M14" s="16">
        <f t="shared" si="1"/>
        <v>8604</v>
      </c>
      <c r="N14" s="1">
        <f>N25+N60+N128+N281+N422+N469+N512+N568+N578+N614+N660+N670+N704+N752</f>
        <v>2343</v>
      </c>
      <c r="O14" s="1">
        <f>O25+O60+O128+O281+O422+O469+O512+O568+O578+O614+O660+O670+O704+O752</f>
        <v>1892</v>
      </c>
      <c r="P14" s="1">
        <f>P25+P60+P128+P281+P422+P469+P512+P568+P578+P614+P660+P670+P704+P752</f>
        <v>1423</v>
      </c>
      <c r="Q14" s="17">
        <f t="shared" si="2"/>
        <v>5658</v>
      </c>
      <c r="R14" s="16">
        <f t="shared" si="3"/>
        <v>28317</v>
      </c>
    </row>
    <row r="15" spans="1:36" ht="15.75" customHeight="1" x14ac:dyDescent="0.3">
      <c r="A15" s="15" t="s">
        <v>28</v>
      </c>
      <c r="B15" s="1">
        <f>B276</f>
        <v>0</v>
      </c>
      <c r="C15" s="1">
        <f>C276</f>
        <v>2044</v>
      </c>
      <c r="D15" s="1">
        <f>D276</f>
        <v>2721</v>
      </c>
      <c r="E15" s="16">
        <f t="shared" si="4"/>
        <v>4765</v>
      </c>
      <c r="F15" s="1">
        <f>F276</f>
        <v>2559</v>
      </c>
      <c r="G15" s="1">
        <f>G276</f>
        <v>799</v>
      </c>
      <c r="H15" s="1">
        <f>H276</f>
        <v>2154</v>
      </c>
      <c r="I15" s="16">
        <f t="shared" si="0"/>
        <v>5512</v>
      </c>
      <c r="J15" s="1">
        <f>J276</f>
        <v>1817</v>
      </c>
      <c r="K15" s="1">
        <f>K276</f>
        <v>1892</v>
      </c>
      <c r="L15" s="1">
        <f>L276</f>
        <v>2046</v>
      </c>
      <c r="M15" s="16">
        <f t="shared" si="1"/>
        <v>5755</v>
      </c>
      <c r="N15" s="1">
        <f>N276</f>
        <v>1453</v>
      </c>
      <c r="O15" s="1">
        <f>O276</f>
        <v>3127</v>
      </c>
      <c r="P15" s="1">
        <f>P276</f>
        <v>1606</v>
      </c>
      <c r="Q15" s="17">
        <f t="shared" si="2"/>
        <v>6186</v>
      </c>
      <c r="R15" s="16">
        <f t="shared" si="3"/>
        <v>22218</v>
      </c>
    </row>
    <row r="16" spans="1:36" ht="15.75" customHeight="1" x14ac:dyDescent="0.3">
      <c r="A16" s="18" t="s">
        <v>29</v>
      </c>
      <c r="B16" s="1">
        <f>+B277</f>
        <v>0</v>
      </c>
      <c r="C16" s="1">
        <f>+C277</f>
        <v>3886</v>
      </c>
      <c r="D16" s="1">
        <f>+D277</f>
        <v>0</v>
      </c>
      <c r="E16" s="16">
        <f t="shared" si="4"/>
        <v>3886</v>
      </c>
      <c r="F16" s="1">
        <f>+F277</f>
        <v>0</v>
      </c>
      <c r="G16" s="1">
        <f>+G277</f>
        <v>-8000</v>
      </c>
      <c r="H16" s="1">
        <f>+H277</f>
        <v>-7000</v>
      </c>
      <c r="I16" s="16">
        <f t="shared" si="0"/>
        <v>-15000</v>
      </c>
      <c r="J16" s="1">
        <f>+J277</f>
        <v>-1166</v>
      </c>
      <c r="K16" s="1">
        <f>+K277</f>
        <v>-2000</v>
      </c>
      <c r="L16" s="1">
        <f>+L277</f>
        <v>-720</v>
      </c>
      <c r="M16" s="16">
        <f t="shared" si="1"/>
        <v>-3886</v>
      </c>
      <c r="N16" s="1">
        <f>+N277</f>
        <v>0</v>
      </c>
      <c r="O16" s="1">
        <f>+O277</f>
        <v>0</v>
      </c>
      <c r="P16" s="1">
        <f>+P277</f>
        <v>-11</v>
      </c>
      <c r="Q16" s="17">
        <f t="shared" si="2"/>
        <v>-11</v>
      </c>
      <c r="R16" s="16">
        <f t="shared" si="3"/>
        <v>-15011</v>
      </c>
    </row>
    <row r="17" spans="1:20" ht="15.75" customHeight="1" x14ac:dyDescent="0.3">
      <c r="A17" s="19" t="s">
        <v>31</v>
      </c>
      <c r="B17" s="1">
        <f>B280</f>
        <v>115675</v>
      </c>
      <c r="C17" s="1">
        <f>C280</f>
        <v>24605</v>
      </c>
      <c r="D17" s="1">
        <f>D280</f>
        <v>11698</v>
      </c>
      <c r="E17" s="16">
        <f t="shared" si="4"/>
        <v>151978</v>
      </c>
      <c r="F17" s="1">
        <f>F280</f>
        <v>1058</v>
      </c>
      <c r="G17" s="1">
        <f>G280</f>
        <v>36939</v>
      </c>
      <c r="H17" s="1">
        <f>H280</f>
        <v>375</v>
      </c>
      <c r="I17" s="16">
        <f t="shared" si="0"/>
        <v>38372</v>
      </c>
      <c r="J17" s="1">
        <f>J280</f>
        <v>0</v>
      </c>
      <c r="K17" s="1">
        <f>K280</f>
        <v>0</v>
      </c>
      <c r="L17" s="1">
        <f>L280</f>
        <v>41077</v>
      </c>
      <c r="M17" s="16">
        <f t="shared" si="1"/>
        <v>41077</v>
      </c>
      <c r="N17" s="1">
        <f>N280</f>
        <v>27691</v>
      </c>
      <c r="O17" s="1">
        <f>O280</f>
        <v>48256</v>
      </c>
      <c r="P17" s="1">
        <f>P280</f>
        <v>47232</v>
      </c>
      <c r="Q17" s="17">
        <f t="shared" si="2"/>
        <v>123179</v>
      </c>
      <c r="R17" s="16">
        <f t="shared" si="3"/>
        <v>354606</v>
      </c>
    </row>
    <row r="18" spans="1:20" ht="15.75" customHeight="1" x14ac:dyDescent="0.3">
      <c r="A18" s="19" t="s">
        <v>32</v>
      </c>
      <c r="B18" s="1">
        <f>B292</f>
        <v>0</v>
      </c>
      <c r="C18" s="1">
        <f>C292</f>
        <v>-260</v>
      </c>
      <c r="D18" s="1">
        <f>D292</f>
        <v>-6159</v>
      </c>
      <c r="E18" s="16">
        <f t="shared" si="4"/>
        <v>-6419</v>
      </c>
      <c r="F18" s="1">
        <f>F292</f>
        <v>-34505</v>
      </c>
      <c r="G18" s="1">
        <f>G292</f>
        <v>-3516</v>
      </c>
      <c r="H18" s="1">
        <f>H292</f>
        <v>-83579</v>
      </c>
      <c r="I18" s="16">
        <f t="shared" si="0"/>
        <v>-121600</v>
      </c>
      <c r="J18" s="1">
        <f>J292</f>
        <v>-87950</v>
      </c>
      <c r="K18" s="1">
        <f>K292</f>
        <v>-97320</v>
      </c>
      <c r="L18" s="1">
        <f>L292</f>
        <v>-2011</v>
      </c>
      <c r="M18" s="16">
        <f t="shared" si="1"/>
        <v>-187281</v>
      </c>
      <c r="N18" s="1">
        <f>N292</f>
        <v>-10146</v>
      </c>
      <c r="O18" s="1">
        <f>O292</f>
        <v>0</v>
      </c>
      <c r="P18" s="1">
        <f>P292</f>
        <v>0</v>
      </c>
      <c r="Q18" s="17">
        <f t="shared" si="2"/>
        <v>-10146</v>
      </c>
      <c r="R18" s="16">
        <f t="shared" si="3"/>
        <v>-325446</v>
      </c>
    </row>
    <row r="19" spans="1:20" ht="16.5" customHeight="1" thickBot="1" x14ac:dyDescent="0.35">
      <c r="A19" s="20" t="s">
        <v>33</v>
      </c>
      <c r="B19" s="21">
        <f>(B29)</f>
        <v>175142</v>
      </c>
      <c r="C19" s="21">
        <f>(C29)</f>
        <v>109033</v>
      </c>
      <c r="D19" s="21">
        <f>(D29)</f>
        <v>144761</v>
      </c>
      <c r="E19" s="22">
        <f t="shared" si="4"/>
        <v>428936</v>
      </c>
      <c r="F19" s="21">
        <f>(F29)</f>
        <v>155376</v>
      </c>
      <c r="G19" s="21">
        <f>(G29)</f>
        <v>176442</v>
      </c>
      <c r="H19" s="21">
        <f>(H29)</f>
        <v>81465</v>
      </c>
      <c r="I19" s="22">
        <f t="shared" si="0"/>
        <v>413283</v>
      </c>
      <c r="J19" s="21">
        <f>(J29)</f>
        <v>73014</v>
      </c>
      <c r="K19" s="21">
        <f>(K29)</f>
        <v>70573</v>
      </c>
      <c r="L19" s="21">
        <f>(L29)</f>
        <v>164863</v>
      </c>
      <c r="M19" s="22">
        <f t="shared" si="1"/>
        <v>308450</v>
      </c>
      <c r="N19" s="21">
        <f>(N29)</f>
        <v>117898</v>
      </c>
      <c r="O19" s="21">
        <f>(O29)</f>
        <v>117023</v>
      </c>
      <c r="P19" s="21">
        <f>(P29)</f>
        <v>128303</v>
      </c>
      <c r="Q19" s="23">
        <f t="shared" si="2"/>
        <v>363224</v>
      </c>
      <c r="R19" s="22">
        <f t="shared" si="3"/>
        <v>1513893</v>
      </c>
      <c r="S19" s="4">
        <v>1486000</v>
      </c>
      <c r="T19" s="4" t="s">
        <v>1115</v>
      </c>
    </row>
    <row r="20" spans="1:20" ht="16.5" customHeight="1" thickBot="1" x14ac:dyDescent="0.35">
      <c r="A20" s="20" t="s">
        <v>36</v>
      </c>
      <c r="B20" s="21">
        <v>180492</v>
      </c>
      <c r="C20" s="21">
        <v>109441</v>
      </c>
      <c r="D20" s="21">
        <v>146368</v>
      </c>
      <c r="E20" s="22">
        <f>SUM(B20:D20)</f>
        <v>436301</v>
      </c>
      <c r="F20" s="21">
        <v>154414</v>
      </c>
      <c r="G20" s="21">
        <v>177030</v>
      </c>
      <c r="H20" s="21">
        <v>77195</v>
      </c>
      <c r="I20" s="22">
        <f>SUM(F20:H20)</f>
        <v>408639</v>
      </c>
      <c r="J20" s="21">
        <v>70484</v>
      </c>
      <c r="K20" s="21">
        <v>69587</v>
      </c>
      <c r="L20" s="21">
        <v>167508</v>
      </c>
      <c r="M20" s="22">
        <f t="shared" si="1"/>
        <v>307579</v>
      </c>
      <c r="N20" s="21">
        <v>115253</v>
      </c>
      <c r="O20" s="21">
        <v>120080</v>
      </c>
      <c r="P20" s="21">
        <v>130170</v>
      </c>
      <c r="Q20" s="23">
        <f>SUM(N20:P20)</f>
        <v>365503</v>
      </c>
      <c r="R20" s="22">
        <f t="shared" si="3"/>
        <v>1518022</v>
      </c>
    </row>
    <row r="21" spans="1:20" ht="15.75" customHeight="1" x14ac:dyDescent="0.3">
      <c r="A21" s="1"/>
      <c r="B21" s="1"/>
      <c r="C21" s="1"/>
      <c r="D21" s="1"/>
      <c r="E21" s="1"/>
      <c r="F21" s="1"/>
      <c r="G21" s="1"/>
      <c r="H21" s="1"/>
      <c r="I21" s="1"/>
      <c r="J21" s="1"/>
      <c r="K21" s="1"/>
      <c r="L21" s="1"/>
      <c r="M21" s="1"/>
      <c r="N21" s="1"/>
      <c r="O21" s="1"/>
      <c r="P21" s="1"/>
      <c r="Q21" s="1"/>
      <c r="R21" s="2"/>
    </row>
    <row r="22" spans="1:20" ht="15.75" customHeight="1" thickBot="1" x14ac:dyDescent="0.35">
      <c r="A22" s="1"/>
      <c r="B22" s="1"/>
      <c r="C22" s="1"/>
      <c r="D22" s="1"/>
      <c r="E22" s="1"/>
      <c r="F22" s="27" t="s">
        <v>7</v>
      </c>
      <c r="G22" s="27" t="s">
        <v>7</v>
      </c>
      <c r="H22" s="1"/>
      <c r="I22" s="1"/>
      <c r="J22" s="1"/>
      <c r="K22" s="1"/>
      <c r="L22" s="1"/>
      <c r="M22" s="1"/>
      <c r="N22" s="27" t="s">
        <v>7</v>
      </c>
      <c r="O22" s="27" t="s">
        <v>7</v>
      </c>
      <c r="P22" s="27" t="s">
        <v>7</v>
      </c>
      <c r="Q22" s="27"/>
      <c r="R22" s="28" t="s">
        <v>7</v>
      </c>
    </row>
    <row r="23" spans="1:20" ht="16.5" customHeight="1" thickBot="1" x14ac:dyDescent="0.35">
      <c r="A23" s="29" t="s">
        <v>39</v>
      </c>
      <c r="B23" s="30" t="s">
        <v>8</v>
      </c>
      <c r="C23" s="31" t="s">
        <v>9</v>
      </c>
      <c r="D23" s="31" t="s">
        <v>10</v>
      </c>
      <c r="E23" s="32" t="s">
        <v>11</v>
      </c>
      <c r="F23" s="31" t="s">
        <v>12</v>
      </c>
      <c r="G23" s="31" t="s">
        <v>13</v>
      </c>
      <c r="H23" s="31" t="s">
        <v>14</v>
      </c>
      <c r="I23" s="33" t="s">
        <v>15</v>
      </c>
      <c r="J23" s="31" t="s">
        <v>16</v>
      </c>
      <c r="K23" s="31" t="s">
        <v>17</v>
      </c>
      <c r="L23" s="31" t="s">
        <v>18</v>
      </c>
      <c r="M23" s="33" t="s">
        <v>19</v>
      </c>
      <c r="N23" s="31" t="s">
        <v>20</v>
      </c>
      <c r="O23" s="31" t="s">
        <v>21</v>
      </c>
      <c r="P23" s="31" t="s">
        <v>22</v>
      </c>
      <c r="Q23" s="33" t="s">
        <v>23</v>
      </c>
      <c r="R23" s="34" t="s">
        <v>24</v>
      </c>
    </row>
    <row r="24" spans="1:20" ht="16.5" customHeight="1" thickBot="1" x14ac:dyDescent="0.35">
      <c r="A24" s="35"/>
      <c r="B24" s="36"/>
      <c r="C24" s="36"/>
      <c r="D24" s="36"/>
      <c r="E24" s="37"/>
      <c r="F24" s="36"/>
      <c r="G24" s="36"/>
      <c r="H24" s="36"/>
      <c r="I24" s="37"/>
      <c r="J24" s="36"/>
      <c r="K24" s="36"/>
      <c r="L24" s="36"/>
      <c r="M24" s="37"/>
      <c r="N24" s="36"/>
      <c r="O24" s="36"/>
      <c r="P24" s="36"/>
      <c r="Q24" s="37"/>
      <c r="R24" s="38"/>
    </row>
    <row r="25" spans="1:20" ht="16.5" customHeight="1" thickBot="1" x14ac:dyDescent="0.35">
      <c r="A25" s="39" t="s">
        <v>40</v>
      </c>
      <c r="B25" s="21">
        <v>97</v>
      </c>
      <c r="C25" s="21">
        <v>148</v>
      </c>
      <c r="D25" s="21">
        <v>274</v>
      </c>
      <c r="E25" s="40">
        <f>SUM(B25:D25)</f>
        <v>519</v>
      </c>
      <c r="F25" s="21">
        <v>367</v>
      </c>
      <c r="G25" s="21">
        <v>425</v>
      </c>
      <c r="H25" s="21">
        <v>417</v>
      </c>
      <c r="I25" s="40">
        <f>SUM(F25:H25)</f>
        <v>1209</v>
      </c>
      <c r="J25" s="21">
        <v>416</v>
      </c>
      <c r="K25" s="21">
        <v>334</v>
      </c>
      <c r="L25" s="21">
        <v>316</v>
      </c>
      <c r="M25" s="40">
        <f>SUM(J25:L25)</f>
        <v>1066</v>
      </c>
      <c r="N25" s="21">
        <v>285</v>
      </c>
      <c r="O25" s="21">
        <v>235</v>
      </c>
      <c r="P25" s="21">
        <v>186</v>
      </c>
      <c r="Q25" s="40">
        <f>SUM(N25:P25)</f>
        <v>706</v>
      </c>
      <c r="R25" s="22">
        <f>+E25+I25+M25+Q25</f>
        <v>3500</v>
      </c>
    </row>
    <row r="26" spans="1:20" ht="16.5" customHeight="1" thickBot="1" x14ac:dyDescent="0.35">
      <c r="A26" s="41"/>
      <c r="B26" s="36"/>
      <c r="C26" s="36"/>
      <c r="D26" s="36"/>
      <c r="E26" s="42"/>
      <c r="F26" s="36"/>
      <c r="G26" s="36"/>
      <c r="H26" s="36"/>
      <c r="I26" s="42"/>
      <c r="J26" s="36"/>
      <c r="K26" s="36"/>
      <c r="L26" s="36"/>
      <c r="M26" s="42"/>
      <c r="N26" s="36"/>
      <c r="O26" s="36"/>
      <c r="P26" s="36"/>
      <c r="Q26" s="42"/>
      <c r="R26" s="43"/>
    </row>
    <row r="27" spans="1:20" ht="15.75" customHeight="1" x14ac:dyDescent="0.3">
      <c r="A27" s="15" t="s">
        <v>41</v>
      </c>
      <c r="B27" s="1">
        <f>B25</f>
        <v>97</v>
      </c>
      <c r="C27" s="1">
        <f>C25</f>
        <v>148</v>
      </c>
      <c r="D27" s="1">
        <f>D25</f>
        <v>274</v>
      </c>
      <c r="E27" s="40">
        <f>SUM(B27:D27)</f>
        <v>519</v>
      </c>
      <c r="F27" s="1">
        <f>F25</f>
        <v>367</v>
      </c>
      <c r="G27" s="1">
        <f>G25</f>
        <v>425</v>
      </c>
      <c r="H27" s="1">
        <f>H25</f>
        <v>417</v>
      </c>
      <c r="I27" s="40">
        <f>SUM(F27:H27)</f>
        <v>1209</v>
      </c>
      <c r="J27" s="1">
        <f>J25</f>
        <v>416</v>
      </c>
      <c r="K27" s="1">
        <f>K25</f>
        <v>334</v>
      </c>
      <c r="L27" s="1">
        <f>L25</f>
        <v>316</v>
      </c>
      <c r="M27" s="40">
        <f>SUM(J27:L27)</f>
        <v>1066</v>
      </c>
      <c r="N27" s="1">
        <f>N25</f>
        <v>285</v>
      </c>
      <c r="O27" s="1">
        <f>O25</f>
        <v>235</v>
      </c>
      <c r="P27" s="1">
        <f>P25</f>
        <v>186</v>
      </c>
      <c r="Q27" s="44">
        <f>SUM(N27:P27)</f>
        <v>706</v>
      </c>
      <c r="R27" s="40">
        <f>+E27+I27+M27+Q27</f>
        <v>3500</v>
      </c>
    </row>
    <row r="28" spans="1:20" ht="15.75" customHeight="1" x14ac:dyDescent="0.3">
      <c r="A28" s="15" t="s">
        <v>42</v>
      </c>
      <c r="B28" s="1">
        <f>(B27/B10)/1.983</f>
        <v>1.5779285214647079</v>
      </c>
      <c r="C28" s="1">
        <f>(C27/C10)/1.983</f>
        <v>2.6655140119587926</v>
      </c>
      <c r="D28" s="1">
        <f>(D27/D10)/1.983</f>
        <v>4.457241390529175</v>
      </c>
      <c r="E28" s="16"/>
      <c r="F28" s="1">
        <f>(F27/F10)/1.983</f>
        <v>6.1691040511010247</v>
      </c>
      <c r="G28" s="1">
        <f>(G27/G10)/1.983</f>
        <v>6.9136043466237203</v>
      </c>
      <c r="H28" s="1">
        <f>(H27/H10)/1.983</f>
        <v>7.0095814422592033</v>
      </c>
      <c r="I28" s="16"/>
      <c r="J28" s="1">
        <f>(J27/J10)/1.983</f>
        <v>6.7671986075187478</v>
      </c>
      <c r="K28" s="1">
        <f>(K27/K10)/1.983</f>
        <v>5.433279651228994</v>
      </c>
      <c r="L28" s="1">
        <f>(L27/L10)/1.983</f>
        <v>5.3118171121196838</v>
      </c>
      <c r="M28" s="16"/>
      <c r="N28" s="1">
        <f>(N27/N10)/1.983</f>
        <v>4.6361817383241419</v>
      </c>
      <c r="O28" s="1">
        <f>(O27/O10)/1.983</f>
        <v>3.9502437384434357</v>
      </c>
      <c r="P28" s="1">
        <f>(P27/P10)/1.983</f>
        <v>3.02571860816944</v>
      </c>
      <c r="Q28" s="17"/>
      <c r="R28" s="16"/>
    </row>
    <row r="29" spans="1:20" ht="15.75" customHeight="1" x14ac:dyDescent="0.3">
      <c r="A29" s="15" t="s">
        <v>43</v>
      </c>
      <c r="B29" s="1">
        <f>B27+B64</f>
        <v>175142</v>
      </c>
      <c r="C29" s="1">
        <f>C27+C64</f>
        <v>109033</v>
      </c>
      <c r="D29" s="1">
        <f>D27+D64</f>
        <v>144761</v>
      </c>
      <c r="E29" s="16">
        <f>SUM(B29:D29)</f>
        <v>428936</v>
      </c>
      <c r="F29" s="1">
        <f>F27+F64</f>
        <v>155376</v>
      </c>
      <c r="G29" s="1">
        <f>G27+G64</f>
        <v>176442</v>
      </c>
      <c r="H29" s="1">
        <f>H27+H64</f>
        <v>81465</v>
      </c>
      <c r="I29" s="16">
        <f>SUM(F29:H29)</f>
        <v>413283</v>
      </c>
      <c r="J29" s="1">
        <f>J27+J64</f>
        <v>73014</v>
      </c>
      <c r="K29" s="1">
        <f>K27+K64</f>
        <v>70573</v>
      </c>
      <c r="L29" s="1">
        <f>L27+L64</f>
        <v>164863</v>
      </c>
      <c r="M29" s="16">
        <f>SUM(J29:L29)</f>
        <v>308450</v>
      </c>
      <c r="N29" s="1">
        <f>N27+N64</f>
        <v>117898</v>
      </c>
      <c r="O29" s="1">
        <f>O27+O64</f>
        <v>117023</v>
      </c>
      <c r="P29" s="1">
        <f>P27+P64</f>
        <v>128303</v>
      </c>
      <c r="Q29" s="17">
        <f>SUM(N29:P29)</f>
        <v>363224</v>
      </c>
      <c r="R29" s="16">
        <f>+E29+I29+M29+Q29</f>
        <v>1513893</v>
      </c>
    </row>
    <row r="30" spans="1:20" s="344" customFormat="1" ht="16.5" customHeight="1" thickBot="1" x14ac:dyDescent="0.35">
      <c r="A30" s="340" t="s">
        <v>44</v>
      </c>
      <c r="B30" s="341">
        <f>(B29/B10)/1.983</f>
        <v>2849.088217591463</v>
      </c>
      <c r="C30" s="341">
        <f>(C29/C10)/1.983</f>
        <v>1963.7093869317771</v>
      </c>
      <c r="D30" s="341">
        <f>(D29/D10)/1.983</f>
        <v>2354.8712442861092</v>
      </c>
      <c r="E30" s="342"/>
      <c r="F30" s="341">
        <f>(F29/F10)/1.983</f>
        <v>2611.8003025718608</v>
      </c>
      <c r="G30" s="341">
        <f>(G29/G10)/1.983</f>
        <v>2870.2357132399588</v>
      </c>
      <c r="H30" s="341">
        <f>(H29/H10)/1.983</f>
        <v>1369.389813414019</v>
      </c>
      <c r="I30" s="342"/>
      <c r="J30" s="341">
        <f>(J29/J10)/1.983</f>
        <v>1187.7409594456103</v>
      </c>
      <c r="K30" s="341">
        <f>(K29/K10)/1.983</f>
        <v>1148.0324695394725</v>
      </c>
      <c r="L30" s="341">
        <f>(L29/L10)/1.983</f>
        <v>2771.2724827702132</v>
      </c>
      <c r="M30" s="342"/>
      <c r="N30" s="341">
        <f>(N29/N10)/1.983</f>
        <v>1917.8826476664551</v>
      </c>
      <c r="O30" s="341">
        <f>(O29/O10)/1.983</f>
        <v>1967.1037149100689</v>
      </c>
      <c r="P30" s="341">
        <f>(P29/P10)/1.983</f>
        <v>2087.1439493761491</v>
      </c>
      <c r="Q30" s="343"/>
      <c r="R30" s="342"/>
      <c r="T30" s="345" t="s">
        <v>45</v>
      </c>
    </row>
    <row r="31" spans="1:20" ht="15.75" customHeight="1" x14ac:dyDescent="0.3">
      <c r="A31" s="2"/>
      <c r="B31" s="1"/>
      <c r="C31" s="1"/>
      <c r="D31" s="1"/>
      <c r="E31" s="1"/>
      <c r="F31" s="1"/>
      <c r="G31" s="1"/>
      <c r="H31" s="1"/>
      <c r="I31" s="1"/>
      <c r="J31" s="1"/>
      <c r="K31" s="1"/>
      <c r="L31" s="1"/>
      <c r="M31" s="1"/>
      <c r="N31" s="1"/>
      <c r="O31" s="1"/>
      <c r="P31" s="1"/>
      <c r="Q31" s="1"/>
      <c r="R31" s="2"/>
      <c r="T31" s="45" t="s">
        <v>46</v>
      </c>
    </row>
    <row r="32" spans="1:20" ht="15.75" customHeight="1" thickBot="1" x14ac:dyDescent="0.35">
      <c r="A32" s="2"/>
      <c r="B32" s="1"/>
      <c r="C32" s="1"/>
      <c r="D32" s="1"/>
      <c r="E32" s="1"/>
      <c r="F32" s="1"/>
      <c r="G32" s="1"/>
      <c r="H32" s="1"/>
      <c r="I32" s="1"/>
      <c r="J32" s="1"/>
      <c r="K32" s="1"/>
      <c r="L32" s="1"/>
      <c r="M32" s="1"/>
      <c r="N32" s="1"/>
      <c r="O32" s="1"/>
      <c r="P32" s="1"/>
      <c r="Q32" s="1"/>
      <c r="R32" s="2"/>
    </row>
    <row r="33" spans="1:18" ht="15.75" customHeight="1" thickBot="1" x14ac:dyDescent="0.35">
      <c r="A33" s="46" t="s">
        <v>47</v>
      </c>
      <c r="B33" s="47" t="s">
        <v>8</v>
      </c>
      <c r="C33" s="48" t="s">
        <v>9</v>
      </c>
      <c r="D33" s="48" t="s">
        <v>10</v>
      </c>
      <c r="E33" s="32" t="s">
        <v>11</v>
      </c>
      <c r="F33" s="48" t="s">
        <v>12</v>
      </c>
      <c r="G33" s="48" t="s">
        <v>13</v>
      </c>
      <c r="H33" s="48" t="s">
        <v>14</v>
      </c>
      <c r="I33" s="32" t="s">
        <v>15</v>
      </c>
      <c r="J33" s="48" t="s">
        <v>16</v>
      </c>
      <c r="K33" s="48" t="s">
        <v>17</v>
      </c>
      <c r="L33" s="48" t="s">
        <v>18</v>
      </c>
      <c r="M33" s="32" t="s">
        <v>19</v>
      </c>
      <c r="N33" s="48" t="s">
        <v>20</v>
      </c>
      <c r="O33" s="48" t="s">
        <v>21</v>
      </c>
      <c r="P33" s="48" t="s">
        <v>22</v>
      </c>
      <c r="Q33" s="32" t="s">
        <v>23</v>
      </c>
      <c r="R33" s="49" t="s">
        <v>24</v>
      </c>
    </row>
    <row r="34" spans="1:18" ht="16.5" customHeight="1" thickBot="1" x14ac:dyDescent="0.35">
      <c r="A34" s="42"/>
      <c r="B34" s="50"/>
      <c r="C34" s="51"/>
      <c r="D34" s="51"/>
      <c r="E34" s="52"/>
      <c r="F34" s="51"/>
      <c r="G34" s="51"/>
      <c r="H34" s="51"/>
      <c r="I34" s="52"/>
      <c r="J34" s="51"/>
      <c r="K34" s="51"/>
      <c r="L34" s="51"/>
      <c r="M34" s="52"/>
      <c r="N34" s="51"/>
      <c r="O34" s="51"/>
      <c r="P34" s="51"/>
      <c r="Q34" s="52"/>
      <c r="R34" s="53"/>
    </row>
    <row r="35" spans="1:18" ht="15.75" customHeight="1" x14ac:dyDescent="0.3">
      <c r="A35" s="54" t="s">
        <v>48</v>
      </c>
      <c r="B35" s="28"/>
      <c r="C35" s="28"/>
      <c r="D35" s="28"/>
      <c r="E35" s="55" t="s">
        <v>7</v>
      </c>
      <c r="F35" s="28"/>
      <c r="G35" s="28"/>
      <c r="H35" s="28"/>
      <c r="I35" s="55" t="s">
        <v>7</v>
      </c>
      <c r="J35" s="28"/>
      <c r="K35" s="28"/>
      <c r="L35" s="28"/>
      <c r="M35" s="55" t="s">
        <v>7</v>
      </c>
      <c r="N35" s="28"/>
      <c r="O35" s="28"/>
      <c r="P35" s="28"/>
      <c r="Q35" s="55" t="s">
        <v>7</v>
      </c>
      <c r="R35" s="55" t="s">
        <v>7</v>
      </c>
    </row>
    <row r="36" spans="1:18" ht="15.75" customHeight="1" x14ac:dyDescent="0.3">
      <c r="A36" s="18" t="s">
        <v>49</v>
      </c>
      <c r="B36" s="28" t="s">
        <v>7</v>
      </c>
      <c r="C36" s="56"/>
      <c r="D36" s="56"/>
      <c r="E36" s="55" t="s">
        <v>7</v>
      </c>
      <c r="F36" s="56"/>
      <c r="G36" s="56"/>
      <c r="H36" s="56"/>
      <c r="I36" s="55" t="s">
        <v>7</v>
      </c>
      <c r="J36" s="56"/>
      <c r="K36" s="56"/>
      <c r="L36" s="56"/>
      <c r="M36" s="55" t="s">
        <v>7</v>
      </c>
      <c r="N36" s="56"/>
      <c r="O36" s="56"/>
      <c r="P36" s="56"/>
      <c r="Q36" s="55" t="s">
        <v>7</v>
      </c>
      <c r="R36" s="55" t="s">
        <v>7</v>
      </c>
    </row>
    <row r="37" spans="1:18" ht="15.75" customHeight="1" x14ac:dyDescent="0.3">
      <c r="A37" s="18" t="s">
        <v>50</v>
      </c>
      <c r="B37" s="28"/>
      <c r="C37" s="28"/>
      <c r="D37" s="28"/>
      <c r="E37" s="55" t="s">
        <v>7</v>
      </c>
      <c r="F37" s="28"/>
      <c r="G37" s="28"/>
      <c r="H37" s="28"/>
      <c r="I37" s="55" t="s">
        <v>7</v>
      </c>
      <c r="J37" s="28"/>
      <c r="K37" s="28"/>
      <c r="L37" s="28"/>
      <c r="M37" s="55" t="s">
        <v>7</v>
      </c>
      <c r="N37" s="28"/>
      <c r="O37" s="28"/>
      <c r="P37" s="28"/>
      <c r="Q37" s="55" t="s">
        <v>7</v>
      </c>
      <c r="R37" s="55" t="s">
        <v>7</v>
      </c>
    </row>
    <row r="38" spans="1:18" ht="15.75" customHeight="1" x14ac:dyDescent="0.3">
      <c r="A38" s="61" t="s">
        <v>797</v>
      </c>
      <c r="B38" s="1"/>
      <c r="C38" s="1"/>
      <c r="D38" s="1"/>
      <c r="E38" s="55">
        <f>SUM(B38:D38)</f>
        <v>0</v>
      </c>
      <c r="F38" s="1"/>
      <c r="G38" s="1"/>
      <c r="H38" s="1"/>
      <c r="I38" s="55">
        <f>SUM(F38:H38)</f>
        <v>0</v>
      </c>
      <c r="J38" s="1"/>
      <c r="K38" s="1"/>
      <c r="L38" s="1"/>
      <c r="M38" s="55">
        <f>SUM(J38:L38)</f>
        <v>0</v>
      </c>
      <c r="N38" s="1"/>
      <c r="O38" s="1"/>
      <c r="P38" s="1"/>
      <c r="Q38" s="55">
        <f>SUM(N38:P38)</f>
        <v>0</v>
      </c>
      <c r="R38" s="55">
        <f>+E38+I38+M38+Q38</f>
        <v>0</v>
      </c>
    </row>
    <row r="39" spans="1:18" ht="15.75" customHeight="1" x14ac:dyDescent="0.3">
      <c r="A39" s="18" t="s">
        <v>51</v>
      </c>
      <c r="B39" s="28"/>
      <c r="C39" s="28"/>
      <c r="D39" s="28"/>
      <c r="E39" s="55" t="s">
        <v>52</v>
      </c>
      <c r="F39" s="28"/>
      <c r="G39" s="28"/>
      <c r="H39" s="28"/>
      <c r="I39" s="55" t="s">
        <v>52</v>
      </c>
      <c r="J39" s="28"/>
      <c r="K39" s="28"/>
      <c r="L39" s="28"/>
      <c r="M39" s="55" t="s">
        <v>52</v>
      </c>
      <c r="N39" s="28"/>
      <c r="O39" s="28"/>
      <c r="P39" s="28"/>
      <c r="Q39" s="55" t="s">
        <v>52</v>
      </c>
      <c r="R39" s="55" t="s">
        <v>52</v>
      </c>
    </row>
    <row r="40" spans="1:18" ht="15.75" customHeight="1" thickBot="1" x14ac:dyDescent="0.35">
      <c r="A40" s="18" t="s">
        <v>53</v>
      </c>
      <c r="B40" s="56"/>
      <c r="C40" s="56"/>
      <c r="D40" s="56"/>
      <c r="E40" s="55" t="s">
        <v>7</v>
      </c>
      <c r="F40" s="56"/>
      <c r="G40" s="56"/>
      <c r="H40" s="56"/>
      <c r="I40" s="55" t="s">
        <v>7</v>
      </c>
      <c r="J40" s="56"/>
      <c r="K40" s="56"/>
      <c r="L40" s="56"/>
      <c r="M40" s="55" t="s">
        <v>7</v>
      </c>
      <c r="N40" s="56"/>
      <c r="O40" s="56"/>
      <c r="P40" s="56"/>
      <c r="Q40" s="55" t="s">
        <v>7</v>
      </c>
      <c r="R40" s="55" t="s">
        <v>7</v>
      </c>
    </row>
    <row r="41" spans="1:18" ht="16.5" customHeight="1" thickBot="1" x14ac:dyDescent="0.35">
      <c r="A41" s="57" t="s">
        <v>54</v>
      </c>
      <c r="B41" s="58">
        <f>SUM(B35:B40)</f>
        <v>0</v>
      </c>
      <c r="C41" s="58">
        <f>SUM(C35:C40)</f>
        <v>0</v>
      </c>
      <c r="D41" s="58">
        <f>SUM(D35:D40)</f>
        <v>0</v>
      </c>
      <c r="E41" s="59">
        <f>SUM(B41:D41)</f>
        <v>0</v>
      </c>
      <c r="F41" s="58">
        <f>SUM(F35:F40)</f>
        <v>0</v>
      </c>
      <c r="G41" s="58">
        <f>SUM(G35:G40)</f>
        <v>0</v>
      </c>
      <c r="H41" s="58">
        <f>SUM(H35:H40)</f>
        <v>0</v>
      </c>
      <c r="I41" s="59">
        <f>SUM(F41:H41)</f>
        <v>0</v>
      </c>
      <c r="J41" s="58">
        <f>SUM(J35:J40)</f>
        <v>0</v>
      </c>
      <c r="K41" s="58">
        <f>SUM(K35:K40)</f>
        <v>0</v>
      </c>
      <c r="L41" s="58">
        <f>SUM(L35:L40)</f>
        <v>0</v>
      </c>
      <c r="M41" s="59">
        <f>SUM(J41:L41)</f>
        <v>0</v>
      </c>
      <c r="N41" s="58">
        <f>SUM(N35:N40)</f>
        <v>0</v>
      </c>
      <c r="O41" s="58">
        <f>SUM(O35:O40)</f>
        <v>0</v>
      </c>
      <c r="P41" s="58">
        <f>SUM(P35:P40)</f>
        <v>0</v>
      </c>
      <c r="Q41" s="59">
        <f>SUM(N41:P41)</f>
        <v>0</v>
      </c>
      <c r="R41" s="59">
        <f>+E41+I41+M41+Q41</f>
        <v>0</v>
      </c>
    </row>
    <row r="42" spans="1:18" ht="15.75" customHeight="1" x14ac:dyDescent="0.3">
      <c r="A42" s="18" t="s">
        <v>55</v>
      </c>
      <c r="B42" s="56"/>
      <c r="C42" s="56"/>
      <c r="D42" s="56"/>
      <c r="E42" s="55" t="s">
        <v>7</v>
      </c>
      <c r="F42" s="56"/>
      <c r="G42" s="56"/>
      <c r="H42" s="56"/>
      <c r="I42" s="55" t="s">
        <v>7</v>
      </c>
      <c r="J42" s="56"/>
      <c r="K42" s="56"/>
      <c r="L42" s="56"/>
      <c r="M42" s="55" t="s">
        <v>7</v>
      </c>
      <c r="N42" s="56"/>
      <c r="O42" s="56"/>
      <c r="P42" s="56"/>
      <c r="Q42" s="55" t="s">
        <v>7</v>
      </c>
      <c r="R42" s="60" t="s">
        <v>7</v>
      </c>
    </row>
    <row r="43" spans="1:18" ht="15.75" customHeight="1" x14ac:dyDescent="0.3">
      <c r="A43" s="18" t="s">
        <v>56</v>
      </c>
      <c r="B43" s="56"/>
      <c r="C43" s="56"/>
      <c r="D43" s="56"/>
      <c r="E43" s="55"/>
      <c r="F43" s="56"/>
      <c r="G43" s="56"/>
      <c r="H43" s="56"/>
      <c r="I43" s="55"/>
      <c r="J43" s="56"/>
      <c r="K43" s="56"/>
      <c r="L43" s="56"/>
      <c r="M43" s="55"/>
      <c r="N43" s="56"/>
      <c r="O43" s="56"/>
      <c r="P43" s="56"/>
      <c r="Q43" s="55"/>
      <c r="R43" s="55"/>
    </row>
    <row r="44" spans="1:18" ht="15.75" customHeight="1" x14ac:dyDescent="0.3">
      <c r="A44" s="18" t="s">
        <v>57</v>
      </c>
      <c r="B44" s="56"/>
      <c r="C44" s="56"/>
      <c r="D44" s="56"/>
      <c r="E44" s="55" t="s">
        <v>7</v>
      </c>
      <c r="F44" s="56"/>
      <c r="G44" s="56"/>
      <c r="H44" s="56"/>
      <c r="I44" s="55" t="s">
        <v>7</v>
      </c>
      <c r="J44" s="56"/>
      <c r="K44" s="56"/>
      <c r="L44" s="56"/>
      <c r="M44" s="55" t="s">
        <v>7</v>
      </c>
      <c r="N44" s="56"/>
      <c r="O44" s="56"/>
      <c r="P44" s="56"/>
      <c r="Q44" s="55" t="s">
        <v>7</v>
      </c>
      <c r="R44" s="55" t="s">
        <v>7</v>
      </c>
    </row>
    <row r="45" spans="1:18" ht="15.75" customHeight="1" thickBot="1" x14ac:dyDescent="0.35">
      <c r="A45" s="18" t="s">
        <v>58</v>
      </c>
      <c r="B45" s="56"/>
      <c r="C45" s="56"/>
      <c r="D45" s="56"/>
      <c r="E45" s="55" t="s">
        <v>7</v>
      </c>
      <c r="F45" s="56"/>
      <c r="G45" s="56"/>
      <c r="H45" s="56"/>
      <c r="I45" s="55" t="s">
        <v>7</v>
      </c>
      <c r="J45" s="56"/>
      <c r="K45" s="56"/>
      <c r="L45" s="56"/>
      <c r="M45" s="55" t="s">
        <v>7</v>
      </c>
      <c r="N45" s="56"/>
      <c r="O45" s="56"/>
      <c r="P45" s="56"/>
      <c r="Q45" s="55" t="s">
        <v>7</v>
      </c>
      <c r="R45" s="55" t="s">
        <v>7</v>
      </c>
    </row>
    <row r="46" spans="1:18" ht="16.5" customHeight="1" thickBot="1" x14ac:dyDescent="0.35">
      <c r="A46" s="57" t="s">
        <v>59</v>
      </c>
      <c r="B46" s="58">
        <f>SUM(B42:B45)</f>
        <v>0</v>
      </c>
      <c r="C46" s="58">
        <f>SUM(C42:C45)</f>
        <v>0</v>
      </c>
      <c r="D46" s="58">
        <f>SUM(D42:D45)</f>
        <v>0</v>
      </c>
      <c r="E46" s="59">
        <f>SUM(B46:D46)</f>
        <v>0</v>
      </c>
      <c r="F46" s="58">
        <f>SUM(F42:F45)</f>
        <v>0</v>
      </c>
      <c r="G46" s="58">
        <f>SUM(G42:G45)</f>
        <v>0</v>
      </c>
      <c r="H46" s="58">
        <f>SUM(H42:H45)</f>
        <v>0</v>
      </c>
      <c r="I46" s="59">
        <f>SUM(F46:H46)</f>
        <v>0</v>
      </c>
      <c r="J46" s="58">
        <f>SUM(J42:J45)</f>
        <v>0</v>
      </c>
      <c r="K46" s="58">
        <f>SUM(K42:K45)</f>
        <v>0</v>
      </c>
      <c r="L46" s="58">
        <f>SUM(L42:L45)</f>
        <v>0</v>
      </c>
      <c r="M46" s="59">
        <f>SUM(J46:L46)</f>
        <v>0</v>
      </c>
      <c r="N46" s="58">
        <f>SUM(N42:N45)</f>
        <v>0</v>
      </c>
      <c r="O46" s="58">
        <f>SUM(O42:O45)</f>
        <v>0</v>
      </c>
      <c r="P46" s="58">
        <f>SUM(P42:P45)</f>
        <v>0</v>
      </c>
      <c r="Q46" s="59">
        <f>SUM(N46:P46)</f>
        <v>0</v>
      </c>
      <c r="R46" s="59">
        <f>+E46+I46+M46+Q46</f>
        <v>0</v>
      </c>
    </row>
    <row r="47" spans="1:18" ht="15.75" customHeight="1" x14ac:dyDescent="0.3">
      <c r="A47" s="18" t="s">
        <v>60</v>
      </c>
      <c r="B47" s="56"/>
      <c r="C47" s="56"/>
      <c r="D47" s="56"/>
      <c r="E47" s="55" t="s">
        <v>7</v>
      </c>
      <c r="F47" s="56"/>
      <c r="G47" s="56"/>
      <c r="H47" s="56"/>
      <c r="I47" s="55" t="s">
        <v>7</v>
      </c>
      <c r="J47" s="56"/>
      <c r="K47" s="56"/>
      <c r="L47" s="56"/>
      <c r="M47" s="55" t="s">
        <v>7</v>
      </c>
      <c r="N47" s="56"/>
      <c r="O47" s="56"/>
      <c r="P47" s="56"/>
      <c r="Q47" s="55" t="s">
        <v>7</v>
      </c>
      <c r="R47" s="55" t="s">
        <v>7</v>
      </c>
    </row>
    <row r="48" spans="1:18" ht="15.75" customHeight="1" x14ac:dyDescent="0.3">
      <c r="A48" s="18" t="s">
        <v>61</v>
      </c>
      <c r="B48" s="56"/>
      <c r="C48" s="56"/>
      <c r="D48" s="56"/>
      <c r="E48" s="55" t="s">
        <v>7</v>
      </c>
      <c r="F48" s="56"/>
      <c r="G48" s="56"/>
      <c r="H48" s="56"/>
      <c r="I48" s="55" t="s">
        <v>7</v>
      </c>
      <c r="J48" s="56"/>
      <c r="K48" s="56"/>
      <c r="L48" s="56"/>
      <c r="M48" s="55" t="s">
        <v>7</v>
      </c>
      <c r="N48" s="56"/>
      <c r="O48" s="56"/>
      <c r="P48" s="56"/>
      <c r="Q48" s="55" t="s">
        <v>7</v>
      </c>
      <c r="R48" s="55" t="s">
        <v>7</v>
      </c>
    </row>
    <row r="49" spans="1:18" ht="15.75" customHeight="1" thickBot="1" x14ac:dyDescent="0.35">
      <c r="A49" s="18" t="s">
        <v>62</v>
      </c>
      <c r="B49" s="56"/>
      <c r="C49" s="56"/>
      <c r="D49" s="56"/>
      <c r="E49" s="55"/>
      <c r="F49" s="56"/>
      <c r="G49" s="56"/>
      <c r="H49" s="56"/>
      <c r="I49" s="55"/>
      <c r="J49" s="56"/>
      <c r="K49" s="56"/>
      <c r="L49" s="56"/>
      <c r="M49" s="55"/>
      <c r="N49" s="56"/>
      <c r="O49" s="56"/>
      <c r="P49" s="56"/>
      <c r="Q49" s="55"/>
      <c r="R49" s="55"/>
    </row>
    <row r="50" spans="1:18" ht="16.5" customHeight="1" thickBot="1" x14ac:dyDescent="0.35">
      <c r="A50" s="57" t="s">
        <v>63</v>
      </c>
      <c r="B50" s="58">
        <f>SUM(B47:B49)</f>
        <v>0</v>
      </c>
      <c r="C50" s="58">
        <f>SUM(C47:C49)</f>
        <v>0</v>
      </c>
      <c r="D50" s="58">
        <f>SUM(D47:D49)</f>
        <v>0</v>
      </c>
      <c r="E50" s="59">
        <f>SUM(B50:D50)</f>
        <v>0</v>
      </c>
      <c r="F50" s="58">
        <f>SUM(F47:F49)</f>
        <v>0</v>
      </c>
      <c r="G50" s="58">
        <f>SUM(G47:G49)</f>
        <v>0</v>
      </c>
      <c r="H50" s="58">
        <f>SUM(H47:H49)</f>
        <v>0</v>
      </c>
      <c r="I50" s="59">
        <f>SUM(F50:H50)</f>
        <v>0</v>
      </c>
      <c r="J50" s="58">
        <f>SUM(J47:J49)</f>
        <v>0</v>
      </c>
      <c r="K50" s="58">
        <f>SUM(K47:K49)</f>
        <v>0</v>
      </c>
      <c r="L50" s="58">
        <f>SUM(L47:L49)</f>
        <v>0</v>
      </c>
      <c r="M50" s="59">
        <f>SUM(J50:L50)</f>
        <v>0</v>
      </c>
      <c r="N50" s="58">
        <f>SUM(N47:N49)</f>
        <v>0</v>
      </c>
      <c r="O50" s="58">
        <f>SUM(O47:O49)</f>
        <v>0</v>
      </c>
      <c r="P50" s="58">
        <f>SUM(P47:P49)</f>
        <v>0</v>
      </c>
      <c r="Q50" s="59">
        <f>SUM(N50:P50)</f>
        <v>0</v>
      </c>
      <c r="R50" s="59">
        <f>+E50+I50+M50+Q50</f>
        <v>0</v>
      </c>
    </row>
    <row r="51" spans="1:18" ht="15.75" customHeight="1" x14ac:dyDescent="0.3">
      <c r="A51" s="18" t="s">
        <v>64</v>
      </c>
      <c r="B51" s="56"/>
      <c r="C51" s="56"/>
      <c r="D51" s="56"/>
      <c r="E51" s="55" t="s">
        <v>7</v>
      </c>
      <c r="F51" s="56"/>
      <c r="G51" s="56"/>
      <c r="H51" s="56"/>
      <c r="I51" s="55" t="s">
        <v>7</v>
      </c>
      <c r="J51" s="56"/>
      <c r="K51" s="56"/>
      <c r="L51" s="56"/>
      <c r="M51" s="55" t="s">
        <v>7</v>
      </c>
      <c r="N51" s="56"/>
      <c r="O51" s="56"/>
      <c r="P51" s="56"/>
      <c r="Q51" s="55" t="s">
        <v>7</v>
      </c>
      <c r="R51" s="55" t="s">
        <v>7</v>
      </c>
    </row>
    <row r="52" spans="1:18" ht="15.75" customHeight="1" x14ac:dyDescent="0.3">
      <c r="A52" s="18" t="s">
        <v>594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67</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61" t="s">
        <v>685</v>
      </c>
      <c r="B54" s="1"/>
      <c r="C54" s="1"/>
      <c r="D54" s="1"/>
      <c r="E54" s="55">
        <f>SUM(B54:D54)</f>
        <v>0</v>
      </c>
      <c r="F54" s="1"/>
      <c r="G54" s="1"/>
      <c r="H54" s="1"/>
      <c r="I54" s="55">
        <f>SUM(F54:H54)</f>
        <v>0</v>
      </c>
      <c r="J54" s="1"/>
      <c r="K54" s="1"/>
      <c r="L54" s="1"/>
      <c r="M54" s="55">
        <f>SUM(J54:L54)</f>
        <v>0</v>
      </c>
      <c r="N54" s="1"/>
      <c r="O54" s="1"/>
      <c r="P54" s="1"/>
      <c r="Q54" s="55">
        <f>SUM(N54:P54)</f>
        <v>0</v>
      </c>
      <c r="R54" s="55">
        <f>+E54+I54+M54+Q54</f>
        <v>0</v>
      </c>
    </row>
    <row r="55" spans="1:18" ht="15.75" customHeight="1" x14ac:dyDescent="0.3">
      <c r="A55" s="18" t="s">
        <v>600</v>
      </c>
      <c r="B55" s="56"/>
      <c r="C55" s="56"/>
      <c r="D55" s="56"/>
      <c r="E55" s="55" t="s">
        <v>7</v>
      </c>
      <c r="F55" s="56"/>
      <c r="G55" s="56"/>
      <c r="H55" s="56"/>
      <c r="I55" s="55" t="s">
        <v>7</v>
      </c>
      <c r="J55" s="56"/>
      <c r="K55" s="56"/>
      <c r="L55" s="56"/>
      <c r="M55" s="55" t="s">
        <v>7</v>
      </c>
      <c r="N55" s="56"/>
      <c r="O55" s="56"/>
      <c r="P55" s="56"/>
      <c r="Q55" s="55" t="s">
        <v>7</v>
      </c>
      <c r="R55" s="55" t="s">
        <v>7</v>
      </c>
    </row>
    <row r="56" spans="1:18" ht="15.75" customHeight="1" thickBot="1" x14ac:dyDescent="0.35">
      <c r="A56" s="18" t="s">
        <v>70</v>
      </c>
      <c r="B56" s="56"/>
      <c r="C56" s="56"/>
      <c r="D56" s="56"/>
      <c r="E56" s="55" t="s">
        <v>7</v>
      </c>
      <c r="F56" s="56"/>
      <c r="G56" s="56"/>
      <c r="H56" s="56"/>
      <c r="I56" s="55" t="s">
        <v>7</v>
      </c>
      <c r="J56" s="56"/>
      <c r="K56" s="56"/>
      <c r="L56" s="56"/>
      <c r="M56" s="55" t="s">
        <v>7</v>
      </c>
      <c r="N56" s="56"/>
      <c r="O56" s="56"/>
      <c r="P56" s="56"/>
      <c r="Q56" s="55" t="s">
        <v>7</v>
      </c>
      <c r="R56" s="55" t="s">
        <v>7</v>
      </c>
    </row>
    <row r="57" spans="1:18" ht="16.5" customHeight="1" thickBot="1" x14ac:dyDescent="0.35">
      <c r="A57" s="57" t="s">
        <v>71</v>
      </c>
      <c r="B57" s="58">
        <f>SUM(B55:B56)</f>
        <v>0</v>
      </c>
      <c r="C57" s="58">
        <f>SUM(C55:C56)</f>
        <v>0</v>
      </c>
      <c r="D57" s="58">
        <f>SUM(D55:D56)</f>
        <v>0</v>
      </c>
      <c r="E57" s="60">
        <f>SUM(B57:D57)</f>
        <v>0</v>
      </c>
      <c r="F57" s="58">
        <f>SUM(F55:F56)</f>
        <v>0</v>
      </c>
      <c r="G57" s="58">
        <f>SUM(G55:G56)</f>
        <v>0</v>
      </c>
      <c r="H57" s="58">
        <f>SUM(H55:H56)</f>
        <v>0</v>
      </c>
      <c r="I57" s="60">
        <f>SUM(F57:H57)</f>
        <v>0</v>
      </c>
      <c r="J57" s="58">
        <f>SUM(J55:J56)</f>
        <v>0</v>
      </c>
      <c r="K57" s="58">
        <f>SUM(K55:K56)</f>
        <v>0</v>
      </c>
      <c r="L57" s="58">
        <f>SUM(L55:L56)</f>
        <v>0</v>
      </c>
      <c r="M57" s="60">
        <f>SUM(J57:L57)</f>
        <v>0</v>
      </c>
      <c r="N57" s="58">
        <f>SUM(N55:N56)</f>
        <v>0</v>
      </c>
      <c r="O57" s="58">
        <f>SUM(O55:O56)</f>
        <v>0</v>
      </c>
      <c r="P57" s="58">
        <f>SUM(P55:P56)</f>
        <v>0</v>
      </c>
      <c r="Q57" s="60">
        <f>SUM(N57:P57)</f>
        <v>0</v>
      </c>
      <c r="R57" s="59">
        <f>+E57+I57+M57+Q57</f>
        <v>0</v>
      </c>
    </row>
    <row r="58" spans="1:18" ht="16.5" customHeight="1" thickBot="1" x14ac:dyDescent="0.35">
      <c r="A58" s="57" t="s">
        <v>72</v>
      </c>
      <c r="B58" s="58">
        <f>SUM(B51:B56)</f>
        <v>0</v>
      </c>
      <c r="C58" s="58">
        <f>SUM(C51:C56)</f>
        <v>0</v>
      </c>
      <c r="D58" s="58">
        <f>SUM(D51:D56)</f>
        <v>0</v>
      </c>
      <c r="E58" s="60">
        <f>SUM(B58:D58)</f>
        <v>0</v>
      </c>
      <c r="F58" s="58">
        <f>SUM(F51:F56)</f>
        <v>0</v>
      </c>
      <c r="G58" s="58">
        <f>SUM(G51:G56)</f>
        <v>0</v>
      </c>
      <c r="H58" s="58">
        <f>SUM(H51:H56)</f>
        <v>0</v>
      </c>
      <c r="I58" s="60">
        <f>SUM(F58:H58)</f>
        <v>0</v>
      </c>
      <c r="J58" s="58">
        <f>SUM(J51:J56)</f>
        <v>0</v>
      </c>
      <c r="K58" s="58">
        <f>SUM(K51:K56)</f>
        <v>0</v>
      </c>
      <c r="L58" s="58">
        <f>SUM(L51:L56)</f>
        <v>0</v>
      </c>
      <c r="M58" s="60">
        <f>SUM(J58:L58)</f>
        <v>0</v>
      </c>
      <c r="N58" s="58">
        <f>SUM(N51:N56)</f>
        <v>0</v>
      </c>
      <c r="O58" s="58">
        <f>SUM(O51:O56)</f>
        <v>0</v>
      </c>
      <c r="P58" s="58">
        <f>SUM(P51:P56)</f>
        <v>0</v>
      </c>
      <c r="Q58" s="60">
        <f>SUM(N58:P58)</f>
        <v>0</v>
      </c>
      <c r="R58" s="59">
        <f>+E58+I58+M58+Q58</f>
        <v>0</v>
      </c>
    </row>
    <row r="59" spans="1:18" ht="16.5" customHeight="1" thickBot="1" x14ac:dyDescent="0.35">
      <c r="A59" s="57" t="s">
        <v>73</v>
      </c>
      <c r="B59" s="58">
        <f>+B41+B46+B50+B58</f>
        <v>0</v>
      </c>
      <c r="C59" s="58">
        <f>+C41+C46+C50+C58</f>
        <v>0</v>
      </c>
      <c r="D59" s="58">
        <f>+D41+D46+D50+D58</f>
        <v>0</v>
      </c>
      <c r="E59" s="59">
        <f>SUM(B59:D59)</f>
        <v>0</v>
      </c>
      <c r="F59" s="58">
        <f>+F41+F46+F50+F58</f>
        <v>0</v>
      </c>
      <c r="G59" s="58">
        <f>+G41+G46+G50+G58</f>
        <v>0</v>
      </c>
      <c r="H59" s="58">
        <f>+H41+H46+H50+H58</f>
        <v>0</v>
      </c>
      <c r="I59" s="59">
        <f>SUM(F59:H59)</f>
        <v>0</v>
      </c>
      <c r="J59" s="58">
        <f>+J41+J46+J50+J58</f>
        <v>0</v>
      </c>
      <c r="K59" s="58">
        <f>+K41+K46+K50+K58</f>
        <v>0</v>
      </c>
      <c r="L59" s="58">
        <f>+L41+L46+L50+L58</f>
        <v>0</v>
      </c>
      <c r="M59" s="59">
        <f>SUM(J59:L59)</f>
        <v>0</v>
      </c>
      <c r="N59" s="58">
        <f>+N41+N46+N50+N58</f>
        <v>0</v>
      </c>
      <c r="O59" s="58">
        <f>+O41+O46+O50+O58</f>
        <v>0</v>
      </c>
      <c r="P59" s="58">
        <f>+P41+P46+P50+P58</f>
        <v>0</v>
      </c>
      <c r="Q59" s="59">
        <f>SUM(N59:P59)</f>
        <v>0</v>
      </c>
      <c r="R59" s="59">
        <f>+E59+I59+M59+Q59</f>
        <v>0</v>
      </c>
    </row>
    <row r="60" spans="1:18" ht="16.5" customHeight="1" thickBot="1" x14ac:dyDescent="0.35">
      <c r="A60" s="62" t="s">
        <v>40</v>
      </c>
      <c r="B60" s="63">
        <v>96</v>
      </c>
      <c r="C60" s="63">
        <v>145</v>
      </c>
      <c r="D60" s="63">
        <v>261</v>
      </c>
      <c r="E60" s="42">
        <f>SUM(B60:D60)</f>
        <v>502</v>
      </c>
      <c r="F60" s="63">
        <v>350</v>
      </c>
      <c r="G60" s="63">
        <v>402</v>
      </c>
      <c r="H60" s="63">
        <v>396</v>
      </c>
      <c r="I60" s="42">
        <f>SUM(F60:H60)</f>
        <v>1148</v>
      </c>
      <c r="J60" s="63">
        <v>394</v>
      </c>
      <c r="K60" s="63">
        <v>318</v>
      </c>
      <c r="L60" s="63">
        <v>301</v>
      </c>
      <c r="M60" s="42">
        <f>SUM(J60:L60)</f>
        <v>1013</v>
      </c>
      <c r="N60" s="63">
        <v>272</v>
      </c>
      <c r="O60" s="63">
        <v>226</v>
      </c>
      <c r="P60" s="63">
        <v>179</v>
      </c>
      <c r="Q60" s="42">
        <f>SUM(N60:P60)</f>
        <v>677</v>
      </c>
      <c r="R60" s="42">
        <f>+E60+I60+M60+Q60</f>
        <v>3340</v>
      </c>
    </row>
    <row r="61" spans="1:18" ht="16.5" customHeight="1" thickBot="1" x14ac:dyDescent="0.35">
      <c r="A61" s="41"/>
      <c r="B61" s="36"/>
      <c r="C61" s="36"/>
      <c r="D61" s="36"/>
      <c r="E61" s="22"/>
      <c r="F61" s="36"/>
      <c r="G61" s="36"/>
      <c r="H61" s="36"/>
      <c r="I61" s="22"/>
      <c r="J61" s="36"/>
      <c r="K61" s="36"/>
      <c r="L61" s="36"/>
      <c r="M61" s="22"/>
      <c r="N61" s="36"/>
      <c r="O61" s="36"/>
      <c r="P61" s="36"/>
      <c r="Q61" s="22"/>
      <c r="R61" s="41"/>
    </row>
    <row r="62" spans="1:18" ht="15.75" customHeight="1" x14ac:dyDescent="0.3">
      <c r="A62" s="15" t="s">
        <v>41</v>
      </c>
      <c r="B62" s="1">
        <f>+B59+B60</f>
        <v>96</v>
      </c>
      <c r="C62" s="1">
        <f>+C59+C60</f>
        <v>145</v>
      </c>
      <c r="D62" s="1">
        <f>+D59+D60</f>
        <v>261</v>
      </c>
      <c r="E62" s="40">
        <f>SUM(B62:D62)</f>
        <v>502</v>
      </c>
      <c r="F62" s="1">
        <f>+F59+F60</f>
        <v>350</v>
      </c>
      <c r="G62" s="1">
        <f>+G59+G60</f>
        <v>402</v>
      </c>
      <c r="H62" s="1">
        <f>+H59+H60</f>
        <v>396</v>
      </c>
      <c r="I62" s="40">
        <f>SUM(F62:H62)</f>
        <v>1148</v>
      </c>
      <c r="J62" s="1">
        <f>+J59+J60</f>
        <v>394</v>
      </c>
      <c r="K62" s="1">
        <f>+K59+K60</f>
        <v>318</v>
      </c>
      <c r="L62" s="1">
        <f>+L59+L60</f>
        <v>301</v>
      </c>
      <c r="M62" s="40">
        <f>SUM(J62:L62)</f>
        <v>1013</v>
      </c>
      <c r="N62" s="1">
        <f>+N59+N60</f>
        <v>272</v>
      </c>
      <c r="O62" s="1">
        <f>+O59+O60</f>
        <v>226</v>
      </c>
      <c r="P62" s="1">
        <f>+P59+P60</f>
        <v>179</v>
      </c>
      <c r="Q62" s="44">
        <f>SUM(N62:P62)</f>
        <v>677</v>
      </c>
      <c r="R62" s="16">
        <f>+E62+I62+M62+Q62</f>
        <v>3340</v>
      </c>
    </row>
    <row r="63" spans="1:18" ht="15.75" customHeight="1" x14ac:dyDescent="0.3">
      <c r="A63" s="15" t="s">
        <v>42</v>
      </c>
      <c r="B63" s="1">
        <f>(B62/B10)/1.983</f>
        <v>1.5616612171197111</v>
      </c>
      <c r="C63" s="1">
        <f>(C62/C10)/1.983</f>
        <v>2.6114833225271954</v>
      </c>
      <c r="D63" s="1">
        <f>(D62/D10)/1.983</f>
        <v>4.2457664340442145</v>
      </c>
      <c r="E63" s="16"/>
      <c r="F63" s="1">
        <f>(F62/F10)/1.983</f>
        <v>5.8833417381072444</v>
      </c>
      <c r="G63" s="1">
        <f>(G62/G10)/1.983</f>
        <v>6.5394563466887892</v>
      </c>
      <c r="H63" s="1">
        <f>(H62/H10)/1.983</f>
        <v>6.6565809379727678</v>
      </c>
      <c r="I63" s="16"/>
      <c r="J63" s="1">
        <f>(J62/J10)/1.983</f>
        <v>6.4093179119288139</v>
      </c>
      <c r="K63" s="1">
        <f>(K62/K10)/1.983</f>
        <v>5.1730027817090427</v>
      </c>
      <c r="L63" s="1">
        <f>(L62/L10)/1.983</f>
        <v>5.0596738947722306</v>
      </c>
      <c r="M63" s="16"/>
      <c r="N63" s="1">
        <f>(N62/N10)/1.983</f>
        <v>4.4247067818391805</v>
      </c>
      <c r="O63" s="1">
        <f>(O62/O10)/1.983</f>
        <v>3.7989578080349635</v>
      </c>
      <c r="P63" s="1">
        <f>(P62/P10)/1.983</f>
        <v>2.9118474777544612</v>
      </c>
      <c r="Q63" s="17"/>
      <c r="R63" s="64"/>
    </row>
    <row r="64" spans="1:18" ht="15.75" customHeight="1" x14ac:dyDescent="0.3">
      <c r="A64" s="15" t="s">
        <v>74</v>
      </c>
      <c r="B64" s="1">
        <f>B62+B132</f>
        <v>175045</v>
      </c>
      <c r="C64" s="1">
        <f>C62+C132</f>
        <v>108885</v>
      </c>
      <c r="D64" s="1">
        <f>D62+D132</f>
        <v>144487</v>
      </c>
      <c r="E64" s="16">
        <f>SUM(B64:D64)</f>
        <v>428417</v>
      </c>
      <c r="F64" s="1">
        <f>F62+F132</f>
        <v>155009</v>
      </c>
      <c r="G64" s="1">
        <f>G62+G132</f>
        <v>176017</v>
      </c>
      <c r="H64" s="1">
        <f>H62+H132</f>
        <v>81048</v>
      </c>
      <c r="I64" s="16">
        <f>SUM(F64:H64)</f>
        <v>412074</v>
      </c>
      <c r="J64" s="1">
        <f>J62+J132</f>
        <v>72598</v>
      </c>
      <c r="K64" s="1">
        <f>K62+K132</f>
        <v>70239</v>
      </c>
      <c r="L64" s="1">
        <f>L62+L132</f>
        <v>164547</v>
      </c>
      <c r="M64" s="16">
        <f>SUM(J64:L64)</f>
        <v>307384</v>
      </c>
      <c r="N64" s="1">
        <f>N62+N132</f>
        <v>117613</v>
      </c>
      <c r="O64" s="1">
        <f>O62+O132</f>
        <v>116788</v>
      </c>
      <c r="P64" s="1">
        <f>P62+P132</f>
        <v>128117</v>
      </c>
      <c r="Q64" s="17">
        <f>SUM(N64:P64)</f>
        <v>362518</v>
      </c>
      <c r="R64" s="16">
        <f>+E64+I64+M64+Q64</f>
        <v>1510393</v>
      </c>
    </row>
    <row r="65" spans="1:20" ht="16.5" customHeight="1" thickBot="1" x14ac:dyDescent="0.35">
      <c r="A65" s="20" t="s">
        <v>75</v>
      </c>
      <c r="B65" s="21">
        <f>(B64/B10)/1.983</f>
        <v>2847.5102890699982</v>
      </c>
      <c r="C65" s="21">
        <f>(C64/C10)/1.983</f>
        <v>1961.0438729198183</v>
      </c>
      <c r="D65" s="21">
        <f>(D64/D10)/1.983</f>
        <v>2350.4140028955803</v>
      </c>
      <c r="E65" s="22"/>
      <c r="F65" s="21">
        <f>(F64/F10)/1.983</f>
        <v>2605.6311985207594</v>
      </c>
      <c r="G65" s="21">
        <f>(G64/G10)/1.983</f>
        <v>2863.3221088933351</v>
      </c>
      <c r="H65" s="21">
        <f>(H64/H10)/1.983</f>
        <v>1362.3802319717599</v>
      </c>
      <c r="I65" s="22"/>
      <c r="J65" s="21">
        <f>(J64/J10)/1.983</f>
        <v>1180.9737608380915</v>
      </c>
      <c r="K65" s="21">
        <f>(K64/K10)/1.983</f>
        <v>1142.5991898882437</v>
      </c>
      <c r="L65" s="21">
        <f>(L64/L10)/1.983</f>
        <v>2765.9606656580936</v>
      </c>
      <c r="M65" s="22"/>
      <c r="N65" s="21">
        <f>(N64/N10)/1.983</f>
        <v>1913.2464659281309</v>
      </c>
      <c r="O65" s="21">
        <f>(O64/O10)/1.983</f>
        <v>1963.1534711716254</v>
      </c>
      <c r="P65" s="21">
        <f>(P64/P10)/1.983</f>
        <v>2084.1182307679796</v>
      </c>
      <c r="Q65" s="23"/>
      <c r="R65" s="65" t="s">
        <v>7</v>
      </c>
    </row>
    <row r="66" spans="1:20" ht="15.75" customHeight="1" x14ac:dyDescent="0.3">
      <c r="A66" s="2"/>
      <c r="B66" s="1"/>
      <c r="C66" s="1"/>
      <c r="D66" s="1"/>
      <c r="E66" s="1"/>
      <c r="F66" s="1"/>
      <c r="G66" s="1"/>
      <c r="H66" s="1"/>
      <c r="I66" s="1"/>
      <c r="J66" s="1"/>
      <c r="K66" s="1"/>
      <c r="L66" s="1"/>
      <c r="M66" s="1"/>
      <c r="N66" s="1"/>
      <c r="O66" s="1"/>
      <c r="P66" s="1"/>
      <c r="Q66" s="1"/>
      <c r="R66" s="2"/>
    </row>
    <row r="67" spans="1:20" ht="15.75" customHeight="1" thickBot="1" x14ac:dyDescent="0.35">
      <c r="A67" s="2"/>
      <c r="B67" s="1"/>
      <c r="C67" s="1"/>
      <c r="D67" s="1"/>
      <c r="E67" s="1"/>
      <c r="F67" s="1"/>
      <c r="G67" s="1"/>
      <c r="H67" s="1"/>
      <c r="I67" s="1"/>
      <c r="J67" s="1"/>
      <c r="K67" s="1"/>
      <c r="L67" s="1"/>
      <c r="M67" s="1"/>
      <c r="N67" s="1"/>
      <c r="O67" s="1"/>
      <c r="P67" s="1"/>
      <c r="Q67" s="1"/>
      <c r="R67" s="2"/>
    </row>
    <row r="68" spans="1:20" ht="16.5" customHeight="1" thickBot="1" x14ac:dyDescent="0.35">
      <c r="A68" s="29" t="s">
        <v>76</v>
      </c>
      <c r="B68" s="30" t="s">
        <v>8</v>
      </c>
      <c r="C68" s="31" t="s">
        <v>9</v>
      </c>
      <c r="D68" s="31" t="s">
        <v>10</v>
      </c>
      <c r="E68" s="32" t="s">
        <v>11</v>
      </c>
      <c r="F68" s="31" t="s">
        <v>12</v>
      </c>
      <c r="G68" s="31" t="s">
        <v>13</v>
      </c>
      <c r="H68" s="31" t="s">
        <v>14</v>
      </c>
      <c r="I68" s="33" t="s">
        <v>15</v>
      </c>
      <c r="J68" s="31" t="s">
        <v>16</v>
      </c>
      <c r="K68" s="31" t="s">
        <v>17</v>
      </c>
      <c r="L68" s="31" t="s">
        <v>18</v>
      </c>
      <c r="M68" s="33" t="s">
        <v>19</v>
      </c>
      <c r="N68" s="31" t="s">
        <v>20</v>
      </c>
      <c r="O68" s="31" t="s">
        <v>21</v>
      </c>
      <c r="P68" s="31" t="s">
        <v>22</v>
      </c>
      <c r="Q68" s="33" t="s">
        <v>23</v>
      </c>
      <c r="R68" s="34" t="s">
        <v>24</v>
      </c>
    </row>
    <row r="69" spans="1:20" ht="16.5" customHeight="1" thickBot="1" x14ac:dyDescent="0.35">
      <c r="A69" s="66"/>
      <c r="B69" s="67"/>
      <c r="C69" s="68"/>
      <c r="D69" s="68"/>
      <c r="E69" s="69"/>
      <c r="F69" s="68"/>
      <c r="G69" s="68"/>
      <c r="H69" s="68"/>
      <c r="I69" s="69"/>
      <c r="J69" s="68"/>
      <c r="K69" s="68"/>
      <c r="L69" s="68"/>
      <c r="M69" s="69"/>
      <c r="N69" s="68"/>
      <c r="O69" s="68"/>
      <c r="P69" s="70"/>
      <c r="Q69" s="69"/>
      <c r="R69" s="59"/>
    </row>
    <row r="70" spans="1:20" ht="15.75" customHeight="1" x14ac:dyDescent="0.3">
      <c r="A70" s="54" t="s">
        <v>48</v>
      </c>
      <c r="B70" s="28"/>
      <c r="C70" s="28"/>
      <c r="D70" s="28"/>
      <c r="E70" s="55" t="s">
        <v>7</v>
      </c>
      <c r="F70" s="28"/>
      <c r="G70" s="28"/>
      <c r="H70" s="28"/>
      <c r="I70" s="55" t="s">
        <v>7</v>
      </c>
      <c r="J70" s="28"/>
      <c r="K70" s="28"/>
      <c r="L70" s="28"/>
      <c r="M70" s="55" t="s">
        <v>7</v>
      </c>
      <c r="N70" s="28"/>
      <c r="O70" s="28"/>
      <c r="P70" s="28"/>
      <c r="Q70" s="55" t="s">
        <v>7</v>
      </c>
      <c r="R70" s="55" t="s">
        <v>7</v>
      </c>
    </row>
    <row r="71" spans="1:20" ht="15.75" customHeight="1" x14ac:dyDescent="0.3">
      <c r="A71" s="18" t="s">
        <v>49</v>
      </c>
      <c r="B71" s="28"/>
      <c r="C71" s="56"/>
      <c r="D71" s="56"/>
      <c r="E71" s="55" t="s">
        <v>7</v>
      </c>
      <c r="F71" s="56"/>
      <c r="G71" s="56"/>
      <c r="H71" s="56"/>
      <c r="I71" s="55" t="s">
        <v>7</v>
      </c>
      <c r="J71" s="56"/>
      <c r="K71" s="56"/>
      <c r="L71" s="56"/>
      <c r="M71" s="55" t="s">
        <v>7</v>
      </c>
      <c r="N71" s="56"/>
      <c r="O71" s="56"/>
      <c r="P71" s="56"/>
      <c r="Q71" s="55" t="s">
        <v>7</v>
      </c>
      <c r="R71" s="55" t="s">
        <v>7</v>
      </c>
    </row>
    <row r="72" spans="1:20" ht="15.75" customHeight="1" x14ac:dyDescent="0.3">
      <c r="A72" s="71" t="s">
        <v>798</v>
      </c>
      <c r="B72" s="1"/>
      <c r="C72" s="1"/>
      <c r="D72" s="1"/>
      <c r="E72" s="55">
        <f t="shared" ref="E72:E81" si="5">SUM(B72:D72)</f>
        <v>0</v>
      </c>
      <c r="F72" s="1"/>
      <c r="G72" s="1"/>
      <c r="H72" s="1"/>
      <c r="I72" s="55">
        <f t="shared" ref="I72:I81" si="6">SUM(F72:H72)</f>
        <v>0</v>
      </c>
      <c r="J72" s="1"/>
      <c r="K72" s="1"/>
      <c r="L72" s="1"/>
      <c r="M72" s="55">
        <f t="shared" ref="M72:M81" si="7">SUM(J72:L72)</f>
        <v>0</v>
      </c>
      <c r="N72" s="1"/>
      <c r="O72" s="1"/>
      <c r="P72" s="1"/>
      <c r="Q72" s="55">
        <f t="shared" ref="Q72:Q81" si="8">SUM(N72:P72)</f>
        <v>0</v>
      </c>
      <c r="R72" s="55">
        <f t="shared" ref="R72:R81" si="9">+E72+I72+M72+Q72</f>
        <v>0</v>
      </c>
    </row>
    <row r="73" spans="1:20" ht="15.75" customHeight="1" x14ac:dyDescent="0.3">
      <c r="A73" s="71" t="s">
        <v>799</v>
      </c>
      <c r="B73" s="1"/>
      <c r="C73" s="1"/>
      <c r="D73" s="1"/>
      <c r="E73" s="55">
        <f>SUM(B73:D73)</f>
        <v>0</v>
      </c>
      <c r="F73" s="1"/>
      <c r="G73" s="1"/>
      <c r="H73" s="1"/>
      <c r="I73" s="55">
        <f>SUM(F73:H73)</f>
        <v>0</v>
      </c>
      <c r="J73" s="1"/>
      <c r="K73" s="1"/>
      <c r="L73" s="1"/>
      <c r="M73" s="55">
        <f>SUM(J73:L73)</f>
        <v>0</v>
      </c>
      <c r="N73" s="1"/>
      <c r="O73" s="1"/>
      <c r="P73" s="1"/>
      <c r="Q73" s="55">
        <f>SUM(N73:P73)</f>
        <v>0</v>
      </c>
      <c r="R73" s="55">
        <f>+E73+I73+M73+Q73</f>
        <v>0</v>
      </c>
    </row>
    <row r="74" spans="1:20" ht="15.75" customHeight="1" x14ac:dyDescent="0.3">
      <c r="A74" s="71" t="s">
        <v>524</v>
      </c>
      <c r="B74" s="1"/>
      <c r="C74" s="1"/>
      <c r="D74" s="1"/>
      <c r="E74" s="55">
        <f t="shared" si="5"/>
        <v>0</v>
      </c>
      <c r="F74" s="1"/>
      <c r="G74" s="1"/>
      <c r="H74" s="1"/>
      <c r="I74" s="55">
        <f t="shared" si="6"/>
        <v>0</v>
      </c>
      <c r="J74" s="1"/>
      <c r="K74" s="1"/>
      <c r="L74" s="1"/>
      <c r="M74" s="55">
        <f t="shared" si="7"/>
        <v>0</v>
      </c>
      <c r="N74" s="1"/>
      <c r="O74" s="1"/>
      <c r="P74" s="1"/>
      <c r="Q74" s="55">
        <f t="shared" si="8"/>
        <v>0</v>
      </c>
      <c r="R74" s="55">
        <f t="shared" si="9"/>
        <v>0</v>
      </c>
    </row>
    <row r="75" spans="1:20" ht="15.75" customHeight="1" x14ac:dyDescent="0.3">
      <c r="A75" s="71" t="s">
        <v>800</v>
      </c>
      <c r="B75" s="1"/>
      <c r="C75" s="1"/>
      <c r="D75" s="1"/>
      <c r="E75" s="55">
        <f t="shared" si="5"/>
        <v>0</v>
      </c>
      <c r="F75" s="1"/>
      <c r="G75" s="1"/>
      <c r="H75" s="1"/>
      <c r="I75" s="55">
        <f t="shared" si="6"/>
        <v>0</v>
      </c>
      <c r="J75" s="1"/>
      <c r="K75" s="1"/>
      <c r="L75" s="1"/>
      <c r="M75" s="55">
        <f t="shared" si="7"/>
        <v>0</v>
      </c>
      <c r="N75" s="1"/>
      <c r="O75" s="1"/>
      <c r="P75" s="1"/>
      <c r="Q75" s="55">
        <f t="shared" si="8"/>
        <v>0</v>
      </c>
      <c r="R75" s="55">
        <f t="shared" si="9"/>
        <v>0</v>
      </c>
      <c r="T75" s="4" t="s">
        <v>801</v>
      </c>
    </row>
    <row r="76" spans="1:20" ht="15.75" customHeight="1" x14ac:dyDescent="0.3">
      <c r="A76" s="71" t="s">
        <v>802</v>
      </c>
      <c r="B76" s="1"/>
      <c r="C76" s="1"/>
      <c r="D76" s="1"/>
      <c r="E76" s="55">
        <f t="shared" si="5"/>
        <v>0</v>
      </c>
      <c r="F76" s="1"/>
      <c r="G76" s="1"/>
      <c r="H76" s="1"/>
      <c r="I76" s="55">
        <f t="shared" si="6"/>
        <v>0</v>
      </c>
      <c r="J76" s="1"/>
      <c r="K76" s="1"/>
      <c r="L76" s="1"/>
      <c r="M76" s="55">
        <f t="shared" si="7"/>
        <v>0</v>
      </c>
      <c r="N76" s="1"/>
      <c r="O76" s="1"/>
      <c r="P76" s="1"/>
      <c r="Q76" s="55">
        <f t="shared" si="8"/>
        <v>0</v>
      </c>
      <c r="R76" s="55">
        <f t="shared" si="9"/>
        <v>0</v>
      </c>
      <c r="T76" s="4" t="s">
        <v>801</v>
      </c>
    </row>
    <row r="77" spans="1:20" ht="15.75" customHeight="1" x14ac:dyDescent="0.3">
      <c r="A77" s="71" t="s">
        <v>78</v>
      </c>
      <c r="B77" s="1"/>
      <c r="C77" s="1"/>
      <c r="D77" s="1"/>
      <c r="E77" s="55">
        <f t="shared" si="5"/>
        <v>0</v>
      </c>
      <c r="F77" s="1"/>
      <c r="G77" s="1"/>
      <c r="H77" s="1"/>
      <c r="I77" s="55">
        <f t="shared" si="6"/>
        <v>0</v>
      </c>
      <c r="J77" s="1"/>
      <c r="K77" s="1"/>
      <c r="L77" s="1"/>
      <c r="M77" s="55">
        <f t="shared" si="7"/>
        <v>0</v>
      </c>
      <c r="N77" s="1"/>
      <c r="O77" s="1"/>
      <c r="P77" s="1"/>
      <c r="Q77" s="55">
        <f t="shared" si="8"/>
        <v>0</v>
      </c>
      <c r="R77" s="55">
        <f t="shared" si="9"/>
        <v>0</v>
      </c>
    </row>
    <row r="78" spans="1:20" ht="15.75" customHeight="1" x14ac:dyDescent="0.3">
      <c r="A78" s="71" t="s">
        <v>525</v>
      </c>
      <c r="B78" s="1"/>
      <c r="C78" s="1"/>
      <c r="D78" s="1"/>
      <c r="E78" s="55">
        <f t="shared" si="5"/>
        <v>0</v>
      </c>
      <c r="F78" s="1"/>
      <c r="G78" s="1"/>
      <c r="H78" s="1"/>
      <c r="I78" s="55">
        <f t="shared" si="6"/>
        <v>0</v>
      </c>
      <c r="J78" s="1"/>
      <c r="K78" s="1"/>
      <c r="L78" s="1"/>
      <c r="M78" s="55">
        <f t="shared" si="7"/>
        <v>0</v>
      </c>
      <c r="N78" s="1"/>
      <c r="O78" s="1"/>
      <c r="P78" s="1"/>
      <c r="Q78" s="55">
        <f t="shared" si="8"/>
        <v>0</v>
      </c>
      <c r="R78" s="55">
        <f t="shared" si="9"/>
        <v>0</v>
      </c>
      <c r="T78" s="4" t="s">
        <v>803</v>
      </c>
    </row>
    <row r="79" spans="1:20" ht="15.75" customHeight="1" x14ac:dyDescent="0.3">
      <c r="A79" s="72" t="s">
        <v>79</v>
      </c>
      <c r="B79" s="1"/>
      <c r="C79" s="1"/>
      <c r="D79" s="1"/>
      <c r="E79" s="55">
        <f t="shared" si="5"/>
        <v>0</v>
      </c>
      <c r="F79" s="1"/>
      <c r="G79" s="1"/>
      <c r="H79" s="1"/>
      <c r="I79" s="55">
        <f t="shared" si="6"/>
        <v>0</v>
      </c>
      <c r="J79" s="1"/>
      <c r="K79" s="1"/>
      <c r="L79" s="1"/>
      <c r="M79" s="55">
        <f t="shared" si="7"/>
        <v>0</v>
      </c>
      <c r="N79" s="1"/>
      <c r="O79" s="1"/>
      <c r="P79" s="1"/>
      <c r="Q79" s="55">
        <f t="shared" si="8"/>
        <v>0</v>
      </c>
      <c r="R79" s="55">
        <f t="shared" si="9"/>
        <v>0</v>
      </c>
    </row>
    <row r="80" spans="1:20" ht="15.75" customHeight="1" x14ac:dyDescent="0.3">
      <c r="A80" s="72" t="s">
        <v>804</v>
      </c>
      <c r="B80" s="1"/>
      <c r="C80" s="1"/>
      <c r="D80" s="1"/>
      <c r="E80" s="55">
        <f>SUM(B80:D80)</f>
        <v>0</v>
      </c>
      <c r="F80" s="1"/>
      <c r="G80" s="1"/>
      <c r="H80" s="1"/>
      <c r="I80" s="55">
        <f>SUM(F80:H80)</f>
        <v>0</v>
      </c>
      <c r="J80" s="1"/>
      <c r="K80" s="1"/>
      <c r="L80" s="1"/>
      <c r="M80" s="55">
        <f>SUM(J80:L80)</f>
        <v>0</v>
      </c>
      <c r="N80" s="1"/>
      <c r="O80" s="1"/>
      <c r="P80" s="1"/>
      <c r="Q80" s="55">
        <f>SUM(N80:P80)</f>
        <v>0</v>
      </c>
      <c r="R80" s="55">
        <f t="shared" si="9"/>
        <v>0</v>
      </c>
    </row>
    <row r="81" spans="1:20" ht="15.75" customHeight="1" x14ac:dyDescent="0.3">
      <c r="A81" s="72" t="s">
        <v>80</v>
      </c>
      <c r="B81" s="1"/>
      <c r="C81" s="1"/>
      <c r="D81" s="1"/>
      <c r="E81" s="55">
        <f t="shared" si="5"/>
        <v>0</v>
      </c>
      <c r="F81" s="1"/>
      <c r="G81" s="1"/>
      <c r="H81" s="1"/>
      <c r="I81" s="55">
        <f t="shared" si="6"/>
        <v>0</v>
      </c>
      <c r="J81" s="1"/>
      <c r="K81" s="1"/>
      <c r="L81" s="1"/>
      <c r="M81" s="55">
        <f t="shared" si="7"/>
        <v>0</v>
      </c>
      <c r="N81" s="1"/>
      <c r="O81" s="1"/>
      <c r="P81" s="1"/>
      <c r="Q81" s="55">
        <f t="shared" si="8"/>
        <v>0</v>
      </c>
      <c r="R81" s="55">
        <f t="shared" si="9"/>
        <v>0</v>
      </c>
      <c r="S81" s="4">
        <f>SUM(R72:R81)</f>
        <v>0</v>
      </c>
    </row>
    <row r="82" spans="1:20" ht="15.75" customHeight="1" x14ac:dyDescent="0.3">
      <c r="A82" s="18" t="s">
        <v>50</v>
      </c>
      <c r="B82" s="28"/>
      <c r="C82" s="28"/>
      <c r="D82" s="28"/>
      <c r="E82" s="55" t="s">
        <v>7</v>
      </c>
      <c r="F82" s="28"/>
      <c r="G82" s="28"/>
      <c r="H82" s="28"/>
      <c r="I82" s="55" t="s">
        <v>7</v>
      </c>
      <c r="J82" s="28"/>
      <c r="K82" s="28"/>
      <c r="L82" s="28"/>
      <c r="M82" s="55" t="s">
        <v>7</v>
      </c>
      <c r="N82" s="28"/>
      <c r="O82" s="28"/>
      <c r="P82" s="28"/>
      <c r="Q82" s="55" t="s">
        <v>7</v>
      </c>
      <c r="R82" s="55" t="s">
        <v>7</v>
      </c>
    </row>
    <row r="83" spans="1:20" ht="15.75" customHeight="1" x14ac:dyDescent="0.3">
      <c r="A83" s="72" t="s">
        <v>81</v>
      </c>
      <c r="B83" s="1"/>
      <c r="C83" s="1"/>
      <c r="D83" s="1"/>
      <c r="E83" s="55">
        <f>SUM(B83:D83)</f>
        <v>0</v>
      </c>
      <c r="F83" s="1"/>
      <c r="G83" s="1"/>
      <c r="H83" s="1"/>
      <c r="I83" s="55">
        <f>SUM(F83:H83)</f>
        <v>0</v>
      </c>
      <c r="J83" s="1"/>
      <c r="K83" s="1"/>
      <c r="L83" s="1"/>
      <c r="M83" s="55">
        <f>SUM(J83:L83)</f>
        <v>0</v>
      </c>
      <c r="N83" s="1"/>
      <c r="O83" s="1"/>
      <c r="P83" s="1"/>
      <c r="Q83" s="55">
        <f>SUM(N83:P83)</f>
        <v>0</v>
      </c>
      <c r="R83" s="55">
        <f>+E83+I83+M83+Q83</f>
        <v>0</v>
      </c>
    </row>
    <row r="84" spans="1:20" ht="15.75" customHeight="1" x14ac:dyDescent="0.3">
      <c r="A84" s="72" t="s">
        <v>83</v>
      </c>
      <c r="B84" s="1"/>
      <c r="C84" s="1"/>
      <c r="D84" s="1"/>
      <c r="E84" s="55">
        <f>SUM(B84:D84)</f>
        <v>0</v>
      </c>
      <c r="F84" s="1"/>
      <c r="G84" s="1"/>
      <c r="H84" s="1"/>
      <c r="I84" s="55">
        <f>SUM(F84:H84)</f>
        <v>0</v>
      </c>
      <c r="J84" s="1"/>
      <c r="K84" s="1"/>
      <c r="L84" s="1"/>
      <c r="M84" s="55">
        <f>SUM(J84:L84)</f>
        <v>0</v>
      </c>
      <c r="N84" s="1"/>
      <c r="O84" s="1"/>
      <c r="P84" s="1"/>
      <c r="Q84" s="55">
        <f>SUM(N84:P84)</f>
        <v>0</v>
      </c>
      <c r="R84" s="55">
        <f>+E84+I84+M84+Q84</f>
        <v>0</v>
      </c>
    </row>
    <row r="85" spans="1:20" ht="15.75" customHeight="1" x14ac:dyDescent="0.3">
      <c r="A85" s="18" t="s">
        <v>51</v>
      </c>
      <c r="B85" s="28"/>
      <c r="C85" s="28"/>
      <c r="D85" s="28"/>
      <c r="E85" s="55" t="s">
        <v>52</v>
      </c>
      <c r="F85" s="28"/>
      <c r="G85" s="28"/>
      <c r="H85" s="28"/>
      <c r="I85" s="55" t="s">
        <v>52</v>
      </c>
      <c r="J85" s="28"/>
      <c r="K85" s="28"/>
      <c r="L85" s="28"/>
      <c r="M85" s="55" t="s">
        <v>52</v>
      </c>
      <c r="N85" s="28"/>
      <c r="O85" s="28"/>
      <c r="P85" s="28"/>
      <c r="Q85" s="55" t="s">
        <v>52</v>
      </c>
      <c r="R85" s="55" t="s">
        <v>52</v>
      </c>
    </row>
    <row r="86" spans="1:20" ht="15.75" customHeight="1" x14ac:dyDescent="0.3">
      <c r="A86" s="61" t="s">
        <v>689</v>
      </c>
      <c r="B86" s="1"/>
      <c r="C86" s="1"/>
      <c r="D86" s="1"/>
      <c r="E86" s="55">
        <f>SUM(B86:D86)</f>
        <v>0</v>
      </c>
      <c r="F86" s="1"/>
      <c r="G86" s="1"/>
      <c r="H86" s="1"/>
      <c r="I86" s="55">
        <f>SUM(F86:H86)</f>
        <v>0</v>
      </c>
      <c r="J86" s="1"/>
      <c r="K86" s="1"/>
      <c r="L86" s="1"/>
      <c r="M86" s="55">
        <f>SUM(J86:L86)</f>
        <v>0</v>
      </c>
      <c r="N86" s="1"/>
      <c r="O86" s="1"/>
      <c r="P86" s="1"/>
      <c r="Q86" s="55">
        <f>SUM(N86:P86)</f>
        <v>0</v>
      </c>
      <c r="R86" s="55">
        <f>+E86+I86+M86+Q86</f>
        <v>0</v>
      </c>
    </row>
    <row r="87" spans="1:20" ht="15.75" customHeight="1" x14ac:dyDescent="0.3">
      <c r="A87" s="61" t="s">
        <v>688</v>
      </c>
      <c r="B87" s="1">
        <v>496</v>
      </c>
      <c r="C87" s="1">
        <v>394</v>
      </c>
      <c r="D87" s="1">
        <v>1707</v>
      </c>
      <c r="E87" s="55">
        <f>SUM(B87:D87)</f>
        <v>2597</v>
      </c>
      <c r="F87" s="1">
        <v>2161</v>
      </c>
      <c r="G87" s="1">
        <v>1756</v>
      </c>
      <c r="H87" s="1">
        <v>2071</v>
      </c>
      <c r="I87" s="55">
        <f>SUM(F87:H87)</f>
        <v>5988</v>
      </c>
      <c r="J87" s="1">
        <v>1678</v>
      </c>
      <c r="K87" s="1">
        <v>2540</v>
      </c>
      <c r="L87" s="1">
        <v>1908</v>
      </c>
      <c r="M87" s="55">
        <f>SUM(J87:L87)</f>
        <v>6126</v>
      </c>
      <c r="N87" s="1">
        <v>289</v>
      </c>
      <c r="O87" s="1"/>
      <c r="P87" s="1"/>
      <c r="Q87" s="55">
        <f>SUM(N87:P87)</f>
        <v>289</v>
      </c>
      <c r="R87" s="55">
        <f>+E87+I87+M87+Q87</f>
        <v>15000</v>
      </c>
      <c r="T87" s="4" t="s">
        <v>801</v>
      </c>
    </row>
    <row r="88" spans="1:20" ht="15.75" customHeight="1" thickBot="1" x14ac:dyDescent="0.35">
      <c r="A88" s="18" t="s">
        <v>53</v>
      </c>
      <c r="B88" s="56"/>
      <c r="C88" s="56"/>
      <c r="D88" s="56"/>
      <c r="E88" s="55" t="s">
        <v>7</v>
      </c>
      <c r="F88" s="56"/>
      <c r="G88" s="56"/>
      <c r="H88" s="56"/>
      <c r="I88" s="55" t="s">
        <v>7</v>
      </c>
      <c r="J88" s="56"/>
      <c r="K88" s="56"/>
      <c r="L88" s="56"/>
      <c r="M88" s="55" t="s">
        <v>7</v>
      </c>
      <c r="N88" s="56"/>
      <c r="O88" s="56"/>
      <c r="P88" s="56"/>
      <c r="Q88" s="55" t="s">
        <v>7</v>
      </c>
      <c r="R88" s="55" t="s">
        <v>7</v>
      </c>
    </row>
    <row r="89" spans="1:20" ht="16.5" customHeight="1" thickBot="1" x14ac:dyDescent="0.35">
      <c r="A89" s="57" t="s">
        <v>54</v>
      </c>
      <c r="B89" s="58">
        <f>SUM(B70:B88)</f>
        <v>496</v>
      </c>
      <c r="C89" s="58">
        <f>SUM(C70:C88)</f>
        <v>394</v>
      </c>
      <c r="D89" s="58">
        <f>SUM(D70:D88)</f>
        <v>1707</v>
      </c>
      <c r="E89" s="59">
        <f>SUM(B89:D89)</f>
        <v>2597</v>
      </c>
      <c r="F89" s="58">
        <f>SUM(F70:F88)</f>
        <v>2161</v>
      </c>
      <c r="G89" s="58">
        <f>SUM(G70:G88)</f>
        <v>1756</v>
      </c>
      <c r="H89" s="58">
        <f>SUM(H70:H88)</f>
        <v>2071</v>
      </c>
      <c r="I89" s="59">
        <f>SUM(F89:H89)</f>
        <v>5988</v>
      </c>
      <c r="J89" s="58">
        <f>SUM(J70:J88)</f>
        <v>1678</v>
      </c>
      <c r="K89" s="58">
        <f>SUM(K70:K88)</f>
        <v>2540</v>
      </c>
      <c r="L89" s="58">
        <f>SUM(L70:L88)</f>
        <v>1908</v>
      </c>
      <c r="M89" s="59">
        <f>SUM(J89:L89)</f>
        <v>6126</v>
      </c>
      <c r="N89" s="58">
        <f>SUM(N70:N88)</f>
        <v>289</v>
      </c>
      <c r="O89" s="58">
        <f>SUM(O70:O88)</f>
        <v>0</v>
      </c>
      <c r="P89" s="58">
        <f>SUM(P70:P88)</f>
        <v>0</v>
      </c>
      <c r="Q89" s="59">
        <f>SUM(N89:P89)</f>
        <v>289</v>
      </c>
      <c r="R89" s="59">
        <f>+E89+I89+M89+Q89</f>
        <v>15000</v>
      </c>
    </row>
    <row r="90" spans="1:20" ht="15.75" customHeight="1" x14ac:dyDescent="0.3">
      <c r="A90" s="18" t="s">
        <v>55</v>
      </c>
      <c r="B90" s="56"/>
      <c r="C90" s="56"/>
      <c r="D90" s="56"/>
      <c r="E90" s="55" t="s">
        <v>7</v>
      </c>
      <c r="F90" s="56"/>
      <c r="G90" s="56"/>
      <c r="H90" s="56"/>
      <c r="I90" s="55" t="s">
        <v>7</v>
      </c>
      <c r="J90" s="56"/>
      <c r="K90" s="56"/>
      <c r="L90" s="56"/>
      <c r="M90" s="55" t="s">
        <v>7</v>
      </c>
      <c r="N90" s="56"/>
      <c r="O90" s="56"/>
      <c r="P90" s="56"/>
      <c r="Q90" s="55" t="s">
        <v>7</v>
      </c>
      <c r="R90" s="60" t="s">
        <v>7</v>
      </c>
    </row>
    <row r="91" spans="1:20" ht="15.75" customHeight="1" x14ac:dyDescent="0.3">
      <c r="A91" s="18" t="s">
        <v>56</v>
      </c>
      <c r="B91" s="56"/>
      <c r="C91" s="56"/>
      <c r="D91" s="56"/>
      <c r="E91" s="55" t="s">
        <v>7</v>
      </c>
      <c r="F91" s="56"/>
      <c r="G91" s="56"/>
      <c r="H91" s="56"/>
      <c r="I91" s="55" t="s">
        <v>7</v>
      </c>
      <c r="J91" s="56"/>
      <c r="K91" s="56"/>
      <c r="L91" s="56"/>
      <c r="M91" s="55" t="s">
        <v>7</v>
      </c>
      <c r="N91" s="56"/>
      <c r="O91" s="56"/>
      <c r="P91" s="56"/>
      <c r="Q91" s="55" t="s">
        <v>7</v>
      </c>
      <c r="R91" s="55" t="s">
        <v>7</v>
      </c>
    </row>
    <row r="92" spans="1:20" ht="15.75" customHeight="1" x14ac:dyDescent="0.3">
      <c r="A92" s="18" t="s">
        <v>57</v>
      </c>
      <c r="B92" s="56"/>
      <c r="C92" s="56"/>
      <c r="D92" s="56"/>
      <c r="E92" s="55" t="s">
        <v>7</v>
      </c>
      <c r="F92" s="56"/>
      <c r="G92" s="56"/>
      <c r="H92" s="56"/>
      <c r="I92" s="55" t="s">
        <v>7</v>
      </c>
      <c r="J92" s="56"/>
      <c r="K92" s="56"/>
      <c r="L92" s="56"/>
      <c r="M92" s="55" t="s">
        <v>7</v>
      </c>
      <c r="N92" s="56"/>
      <c r="O92" s="56"/>
      <c r="P92" s="56"/>
      <c r="Q92" s="55" t="s">
        <v>7</v>
      </c>
      <c r="R92" s="55" t="s">
        <v>7</v>
      </c>
    </row>
    <row r="93" spans="1:20" ht="15.75" customHeight="1" x14ac:dyDescent="0.3">
      <c r="A93" s="72" t="s">
        <v>81</v>
      </c>
      <c r="B93" s="1">
        <v>464</v>
      </c>
      <c r="C93" s="1">
        <v>881</v>
      </c>
      <c r="D93" s="1">
        <v>1913</v>
      </c>
      <c r="E93" s="55">
        <f>SUM(B93:D93)</f>
        <v>3258</v>
      </c>
      <c r="F93" s="1">
        <v>4276</v>
      </c>
      <c r="G93" s="1">
        <v>3236</v>
      </c>
      <c r="H93" s="1">
        <v>3824</v>
      </c>
      <c r="I93" s="55">
        <f>SUM(F93:H93)</f>
        <v>11336</v>
      </c>
      <c r="J93" s="1">
        <v>4514</v>
      </c>
      <c r="K93" s="1">
        <v>6025</v>
      </c>
      <c r="L93" s="1">
        <v>5691</v>
      </c>
      <c r="M93" s="55">
        <f>SUM(J93:L93)</f>
        <v>16230</v>
      </c>
      <c r="N93" s="1">
        <v>2692</v>
      </c>
      <c r="O93" s="1">
        <v>1663</v>
      </c>
      <c r="P93" s="1">
        <v>2512</v>
      </c>
      <c r="Q93" s="55">
        <f>SUM(N93:P93)</f>
        <v>6867</v>
      </c>
      <c r="R93" s="55">
        <f>+E93+I93+M93+Q93</f>
        <v>37691</v>
      </c>
      <c r="T93" s="4" t="s">
        <v>805</v>
      </c>
    </row>
    <row r="94" spans="1:20" ht="15.75" customHeight="1" x14ac:dyDescent="0.3">
      <c r="A94" s="72" t="s">
        <v>87</v>
      </c>
      <c r="B94" s="1"/>
      <c r="C94" s="1"/>
      <c r="D94" s="1"/>
      <c r="E94" s="55">
        <f>SUM(B94:D94)</f>
        <v>0</v>
      </c>
      <c r="F94" s="1"/>
      <c r="G94" s="1">
        <v>250</v>
      </c>
      <c r="H94" s="1">
        <v>250</v>
      </c>
      <c r="I94" s="55">
        <f>SUM(F94:H94)</f>
        <v>500</v>
      </c>
      <c r="J94" s="1">
        <v>250</v>
      </c>
      <c r="K94" s="1">
        <v>115</v>
      </c>
      <c r="L94" s="1"/>
      <c r="M94" s="55">
        <f>SUM(J94:L94)</f>
        <v>365</v>
      </c>
      <c r="N94" s="1">
        <v>248</v>
      </c>
      <c r="O94" s="1">
        <v>251</v>
      </c>
      <c r="P94" s="1"/>
      <c r="Q94" s="55">
        <f>SUM(N94:P94)</f>
        <v>499</v>
      </c>
      <c r="R94" s="55">
        <f>+E94+I94+M94+Q94</f>
        <v>1364</v>
      </c>
      <c r="T94" s="4" t="s">
        <v>801</v>
      </c>
    </row>
    <row r="95" spans="1:20" ht="15.75" customHeight="1" thickBot="1" x14ac:dyDescent="0.35">
      <c r="A95" s="18" t="s">
        <v>58</v>
      </c>
      <c r="B95" s="56"/>
      <c r="C95" s="56"/>
      <c r="D95" s="56"/>
      <c r="E95" s="55" t="s">
        <v>7</v>
      </c>
      <c r="F95" s="56"/>
      <c r="G95" s="56"/>
      <c r="H95" s="56"/>
      <c r="I95" s="55" t="s">
        <v>7</v>
      </c>
      <c r="J95" s="56"/>
      <c r="K95" s="56"/>
      <c r="L95" s="56"/>
      <c r="M95" s="55" t="s">
        <v>7</v>
      </c>
      <c r="N95" s="56"/>
      <c r="O95" s="56"/>
      <c r="P95" s="56"/>
      <c r="Q95" s="55" t="s">
        <v>7</v>
      </c>
      <c r="R95" s="55" t="s">
        <v>7</v>
      </c>
    </row>
    <row r="96" spans="1:20" ht="16.5" customHeight="1" thickBot="1" x14ac:dyDescent="0.35">
      <c r="A96" s="57" t="s">
        <v>59</v>
      </c>
      <c r="B96" s="58">
        <f>SUM(B90:B95)</f>
        <v>464</v>
      </c>
      <c r="C96" s="58">
        <f>SUM(C90:C95)</f>
        <v>881</v>
      </c>
      <c r="D96" s="58">
        <f>SUM(D90:D95)</f>
        <v>1913</v>
      </c>
      <c r="E96" s="59">
        <f>SUM(B96:D96)</f>
        <v>3258</v>
      </c>
      <c r="F96" s="58">
        <f>SUM(F90:F95)</f>
        <v>4276</v>
      </c>
      <c r="G96" s="58">
        <f>SUM(G90:G95)</f>
        <v>3486</v>
      </c>
      <c r="H96" s="58">
        <f>SUM(H90:H95)</f>
        <v>4074</v>
      </c>
      <c r="I96" s="59">
        <f>SUM(F96:H96)</f>
        <v>11836</v>
      </c>
      <c r="J96" s="58">
        <f>SUM(J90:J95)</f>
        <v>4764</v>
      </c>
      <c r="K96" s="58">
        <f>SUM(K90:K95)</f>
        <v>6140</v>
      </c>
      <c r="L96" s="58">
        <f>SUM(L90:L95)</f>
        <v>5691</v>
      </c>
      <c r="M96" s="59">
        <f>SUM(J96:L96)</f>
        <v>16595</v>
      </c>
      <c r="N96" s="58">
        <f>SUM(N90:N95)</f>
        <v>2940</v>
      </c>
      <c r="O96" s="58">
        <f>SUM(O90:O95)</f>
        <v>1914</v>
      </c>
      <c r="P96" s="58">
        <f>SUM(P90:P95)</f>
        <v>2512</v>
      </c>
      <c r="Q96" s="59">
        <f>SUM(N96:P96)</f>
        <v>7366</v>
      </c>
      <c r="R96" s="59">
        <f>+E96+I96+M96+Q96</f>
        <v>39055</v>
      </c>
    </row>
    <row r="97" spans="1:20" ht="15.75" customHeight="1" x14ac:dyDescent="0.3">
      <c r="A97" s="18" t="s">
        <v>60</v>
      </c>
      <c r="B97" s="56"/>
      <c r="C97" s="56"/>
      <c r="D97" s="56"/>
      <c r="E97" s="55" t="s">
        <v>7</v>
      </c>
      <c r="F97" s="56"/>
      <c r="G97" s="56"/>
      <c r="H97" s="56"/>
      <c r="I97" s="55" t="s">
        <v>7</v>
      </c>
      <c r="J97" s="56"/>
      <c r="K97" s="56"/>
      <c r="L97" s="56"/>
      <c r="M97" s="55" t="s">
        <v>7</v>
      </c>
      <c r="N97" s="56"/>
      <c r="O97" s="56"/>
      <c r="P97" s="56"/>
      <c r="Q97" s="55" t="s">
        <v>7</v>
      </c>
      <c r="R97" s="55" t="s">
        <v>7</v>
      </c>
    </row>
    <row r="98" spans="1:20" ht="15.75" customHeight="1" x14ac:dyDescent="0.3">
      <c r="A98" s="18" t="s">
        <v>61</v>
      </c>
      <c r="B98" s="56"/>
      <c r="C98" s="56"/>
      <c r="D98" s="56"/>
      <c r="E98" s="55" t="s">
        <v>7</v>
      </c>
      <c r="F98" s="56"/>
      <c r="G98" s="56"/>
      <c r="H98" s="56"/>
      <c r="I98" s="55" t="s">
        <v>7</v>
      </c>
      <c r="J98" s="56"/>
      <c r="K98" s="56"/>
      <c r="L98" s="56"/>
      <c r="M98" s="55" t="s">
        <v>7</v>
      </c>
      <c r="N98" s="56"/>
      <c r="O98" s="56"/>
      <c r="P98" s="56"/>
      <c r="Q98" s="55" t="s">
        <v>7</v>
      </c>
      <c r="R98" s="55" t="s">
        <v>7</v>
      </c>
    </row>
    <row r="99" spans="1:20" ht="15.75" customHeight="1" x14ac:dyDescent="0.3">
      <c r="A99" s="18" t="s">
        <v>62</v>
      </c>
      <c r="B99" s="56"/>
      <c r="C99" s="56"/>
      <c r="D99" s="56"/>
      <c r="E99" s="55"/>
      <c r="F99" s="56"/>
      <c r="G99" s="56"/>
      <c r="H99" s="56"/>
      <c r="I99" s="55"/>
      <c r="J99" s="56"/>
      <c r="K99" s="56"/>
      <c r="L99" s="56"/>
      <c r="M99" s="55"/>
      <c r="N99" s="56"/>
      <c r="O99" s="56"/>
      <c r="P99" s="56"/>
      <c r="Q99" s="55"/>
      <c r="R99" s="55"/>
    </row>
    <row r="100" spans="1:20" ht="15.75" customHeight="1" x14ac:dyDescent="0.3">
      <c r="A100" s="72" t="s">
        <v>88</v>
      </c>
      <c r="B100" s="1"/>
      <c r="C100" s="1"/>
      <c r="D100" s="1"/>
      <c r="E100" s="55">
        <f t="shared" ref="E100:E108" si="10">SUM(B100:D100)</f>
        <v>0</v>
      </c>
      <c r="F100" s="1"/>
      <c r="G100" s="1"/>
      <c r="H100" s="1"/>
      <c r="I100" s="55">
        <f t="shared" ref="I100:I108" si="11">SUM(F100:H100)</f>
        <v>0</v>
      </c>
      <c r="J100" s="1"/>
      <c r="K100" s="1"/>
      <c r="L100" s="1"/>
      <c r="M100" s="55">
        <f t="shared" ref="M100:M108" si="12">SUM(J100:L100)</f>
        <v>0</v>
      </c>
      <c r="N100" s="1"/>
      <c r="O100" s="1"/>
      <c r="P100" s="1"/>
      <c r="Q100" s="55">
        <f t="shared" ref="Q100:Q108" si="13">SUM(N100:P100)</f>
        <v>0</v>
      </c>
      <c r="R100" s="55">
        <f t="shared" ref="R100:R108" si="14">+E100+I100+M100+Q100</f>
        <v>0</v>
      </c>
    </row>
    <row r="101" spans="1:20" ht="15.75" customHeight="1" x14ac:dyDescent="0.3">
      <c r="A101" s="72" t="s">
        <v>89</v>
      </c>
      <c r="B101" s="1"/>
      <c r="C101" s="1"/>
      <c r="D101" s="1"/>
      <c r="E101" s="55">
        <f t="shared" si="10"/>
        <v>0</v>
      </c>
      <c r="F101" s="1"/>
      <c r="G101" s="1"/>
      <c r="H101" s="1"/>
      <c r="I101" s="55">
        <f t="shared" si="11"/>
        <v>0</v>
      </c>
      <c r="J101" s="1"/>
      <c r="K101" s="1"/>
      <c r="L101" s="1"/>
      <c r="M101" s="55">
        <f t="shared" si="12"/>
        <v>0</v>
      </c>
      <c r="N101" s="1"/>
      <c r="O101" s="1"/>
      <c r="P101" s="1"/>
      <c r="Q101" s="55">
        <f t="shared" si="13"/>
        <v>0</v>
      </c>
      <c r="R101" s="55">
        <f t="shared" si="14"/>
        <v>0</v>
      </c>
    </row>
    <row r="102" spans="1:20" ht="15.75" customHeight="1" x14ac:dyDescent="0.3">
      <c r="A102" s="72" t="s">
        <v>90</v>
      </c>
      <c r="B102" s="1"/>
      <c r="C102" s="1"/>
      <c r="D102" s="1"/>
      <c r="E102" s="55">
        <f>SUM(B102:D102)</f>
        <v>0</v>
      </c>
      <c r="F102" s="1"/>
      <c r="G102" s="1"/>
      <c r="H102" s="1"/>
      <c r="I102" s="55">
        <f>SUM(F102:H102)</f>
        <v>0</v>
      </c>
      <c r="J102" s="1"/>
      <c r="K102" s="1"/>
      <c r="L102" s="1"/>
      <c r="M102" s="55">
        <f>SUM(J102:L102)</f>
        <v>0</v>
      </c>
      <c r="N102" s="1"/>
      <c r="O102" s="1"/>
      <c r="P102" s="1"/>
      <c r="Q102" s="55">
        <f>SUM(N102:P102)</f>
        <v>0</v>
      </c>
      <c r="R102" s="55">
        <f>+E102+I102+M102+Q102</f>
        <v>0</v>
      </c>
    </row>
    <row r="103" spans="1:20" ht="15.75" customHeight="1" x14ac:dyDescent="0.3">
      <c r="A103" s="72" t="s">
        <v>690</v>
      </c>
      <c r="B103" s="1"/>
      <c r="C103" s="1"/>
      <c r="D103" s="1"/>
      <c r="E103" s="55">
        <f>SUM(B103:D103)</f>
        <v>0</v>
      </c>
      <c r="F103" s="1"/>
      <c r="G103" s="1"/>
      <c r="H103" s="1"/>
      <c r="I103" s="55">
        <f>SUM(F103:H103)</f>
        <v>0</v>
      </c>
      <c r="J103" s="1"/>
      <c r="K103" s="1"/>
      <c r="L103" s="1"/>
      <c r="M103" s="55">
        <f>SUM(J103:L103)</f>
        <v>0</v>
      </c>
      <c r="N103" s="1"/>
      <c r="O103" s="1"/>
      <c r="P103" s="1"/>
      <c r="Q103" s="55">
        <f>SUM(N103:P103)</f>
        <v>0</v>
      </c>
      <c r="R103" s="55">
        <f>+E103+I103+M103+Q103</f>
        <v>0</v>
      </c>
      <c r="T103" s="4" t="s">
        <v>803</v>
      </c>
    </row>
    <row r="104" spans="1:20" ht="15.75" customHeight="1" x14ac:dyDescent="0.3">
      <c r="A104" s="72" t="s">
        <v>528</v>
      </c>
      <c r="B104" s="1"/>
      <c r="C104" s="1"/>
      <c r="D104" s="1"/>
      <c r="E104" s="55">
        <f>SUM(B104:D104)</f>
        <v>0</v>
      </c>
      <c r="F104" s="1"/>
      <c r="G104" s="1"/>
      <c r="H104" s="1"/>
      <c r="I104" s="55">
        <f>SUM(F104:H104)</f>
        <v>0</v>
      </c>
      <c r="J104" s="1"/>
      <c r="K104" s="1"/>
      <c r="L104" s="1"/>
      <c r="M104" s="55">
        <f>SUM(J104:L104)</f>
        <v>0</v>
      </c>
      <c r="N104" s="1"/>
      <c r="O104" s="1"/>
      <c r="P104" s="1"/>
      <c r="Q104" s="55">
        <f>SUM(N104:P104)</f>
        <v>0</v>
      </c>
      <c r="R104" s="55">
        <f>+E104+I104+M104+Q104</f>
        <v>0</v>
      </c>
    </row>
    <row r="105" spans="1:20" ht="15.75" customHeight="1" x14ac:dyDescent="0.3">
      <c r="A105" s="72" t="s">
        <v>94</v>
      </c>
      <c r="B105" s="1"/>
      <c r="C105" s="1"/>
      <c r="D105" s="1"/>
      <c r="E105" s="55">
        <f t="shared" si="10"/>
        <v>0</v>
      </c>
      <c r="F105" s="1"/>
      <c r="G105" s="1"/>
      <c r="H105" s="1"/>
      <c r="I105" s="55">
        <f t="shared" si="11"/>
        <v>0</v>
      </c>
      <c r="J105" s="1"/>
      <c r="K105" s="1"/>
      <c r="L105" s="1"/>
      <c r="M105" s="55">
        <f t="shared" si="12"/>
        <v>0</v>
      </c>
      <c r="N105" s="1"/>
      <c r="O105" s="1"/>
      <c r="P105" s="1"/>
      <c r="Q105" s="55">
        <f t="shared" si="13"/>
        <v>0</v>
      </c>
      <c r="R105" s="55">
        <f t="shared" si="14"/>
        <v>0</v>
      </c>
    </row>
    <row r="106" spans="1:20" ht="15.75" customHeight="1" x14ac:dyDescent="0.3">
      <c r="A106" s="72" t="s">
        <v>95</v>
      </c>
      <c r="B106" s="1"/>
      <c r="C106" s="1"/>
      <c r="D106" s="1"/>
      <c r="E106" s="55">
        <f t="shared" si="10"/>
        <v>0</v>
      </c>
      <c r="F106" s="1"/>
      <c r="G106" s="1"/>
      <c r="H106" s="1"/>
      <c r="I106" s="55">
        <f t="shared" si="11"/>
        <v>0</v>
      </c>
      <c r="J106" s="1"/>
      <c r="K106" s="1"/>
      <c r="L106" s="1"/>
      <c r="M106" s="55">
        <f t="shared" si="12"/>
        <v>0</v>
      </c>
      <c r="N106" s="1"/>
      <c r="O106" s="1"/>
      <c r="P106" s="1"/>
      <c r="Q106" s="55">
        <f>SUM(N106:P106)</f>
        <v>0</v>
      </c>
      <c r="R106" s="55">
        <f>+E106+I106+M106+Q106</f>
        <v>0</v>
      </c>
    </row>
    <row r="107" spans="1:20" ht="15.75" customHeight="1" thickBot="1" x14ac:dyDescent="0.35">
      <c r="A107" s="72" t="s">
        <v>1116</v>
      </c>
      <c r="B107" s="1"/>
      <c r="C107" s="1"/>
      <c r="D107" s="1"/>
      <c r="E107" s="55">
        <f t="shared" si="10"/>
        <v>0</v>
      </c>
      <c r="F107" s="1"/>
      <c r="G107" s="1"/>
      <c r="H107" s="1"/>
      <c r="I107" s="55">
        <f t="shared" si="11"/>
        <v>0</v>
      </c>
      <c r="J107" s="1"/>
      <c r="K107" s="1"/>
      <c r="L107" s="1"/>
      <c r="M107" s="55">
        <f t="shared" si="12"/>
        <v>0</v>
      </c>
      <c r="N107" s="1"/>
      <c r="O107" s="1">
        <v>1490</v>
      </c>
      <c r="P107" s="1">
        <v>2074</v>
      </c>
      <c r="Q107" s="55">
        <f t="shared" si="13"/>
        <v>3564</v>
      </c>
      <c r="R107" s="55">
        <f t="shared" si="14"/>
        <v>3564</v>
      </c>
      <c r="T107" s="4" t="s">
        <v>809</v>
      </c>
    </row>
    <row r="108" spans="1:20" ht="16.5" customHeight="1" thickBot="1" x14ac:dyDescent="0.35">
      <c r="A108" s="57" t="s">
        <v>63</v>
      </c>
      <c r="B108" s="58">
        <f>SUM(B97:B107)</f>
        <v>0</v>
      </c>
      <c r="C108" s="58">
        <f>SUM(C97:C107)</f>
        <v>0</v>
      </c>
      <c r="D108" s="58">
        <f>SUM(D97:D107)</f>
        <v>0</v>
      </c>
      <c r="E108" s="59">
        <f t="shared" si="10"/>
        <v>0</v>
      </c>
      <c r="F108" s="58">
        <f>SUM(F97:F107)</f>
        <v>0</v>
      </c>
      <c r="G108" s="58">
        <f>SUM(G97:G107)</f>
        <v>0</v>
      </c>
      <c r="H108" s="58">
        <f>SUM(H97:H107)</f>
        <v>0</v>
      </c>
      <c r="I108" s="59">
        <f t="shared" si="11"/>
        <v>0</v>
      </c>
      <c r="J108" s="58">
        <f>SUM(J97:J107)</f>
        <v>0</v>
      </c>
      <c r="K108" s="58">
        <f>SUM(K97:K107)</f>
        <v>0</v>
      </c>
      <c r="L108" s="58">
        <f>SUM(L97:L107)</f>
        <v>0</v>
      </c>
      <c r="M108" s="59">
        <f t="shared" si="12"/>
        <v>0</v>
      </c>
      <c r="N108" s="58">
        <f>SUM(N97:N107)</f>
        <v>0</v>
      </c>
      <c r="O108" s="58">
        <f>SUM(O97:O107)</f>
        <v>1490</v>
      </c>
      <c r="P108" s="58">
        <f>SUM(P97:P107)</f>
        <v>2074</v>
      </c>
      <c r="Q108" s="59">
        <f t="shared" si="13"/>
        <v>3564</v>
      </c>
      <c r="R108" s="59">
        <f t="shared" si="14"/>
        <v>3564</v>
      </c>
    </row>
    <row r="109" spans="1:20" ht="15.75" customHeight="1" x14ac:dyDescent="0.3">
      <c r="A109" s="18" t="s">
        <v>64</v>
      </c>
      <c r="B109" s="56"/>
      <c r="C109" s="56"/>
      <c r="D109" s="56"/>
      <c r="E109" s="55" t="s">
        <v>7</v>
      </c>
      <c r="F109" s="56"/>
      <c r="G109" s="56"/>
      <c r="H109" s="56"/>
      <c r="I109" s="55" t="s">
        <v>7</v>
      </c>
      <c r="J109" s="56"/>
      <c r="K109" s="56"/>
      <c r="L109" s="56"/>
      <c r="M109" s="55" t="s">
        <v>7</v>
      </c>
      <c r="N109" s="56"/>
      <c r="O109" s="56"/>
      <c r="P109" s="56"/>
      <c r="Q109" s="55" t="s">
        <v>7</v>
      </c>
      <c r="R109" s="55" t="s">
        <v>7</v>
      </c>
    </row>
    <row r="110" spans="1:20" ht="15.75" customHeight="1" x14ac:dyDescent="0.3">
      <c r="A110" s="18" t="s">
        <v>594</v>
      </c>
      <c r="B110" s="56"/>
      <c r="C110" s="56"/>
      <c r="D110" s="56"/>
      <c r="E110" s="55" t="s">
        <v>7</v>
      </c>
      <c r="F110" s="56"/>
      <c r="G110" s="56"/>
      <c r="H110" s="56"/>
      <c r="I110" s="55" t="s">
        <v>7</v>
      </c>
      <c r="J110" s="56"/>
      <c r="K110" s="56"/>
      <c r="L110" s="56"/>
      <c r="M110" s="55" t="s">
        <v>7</v>
      </c>
      <c r="N110" s="56"/>
      <c r="O110" s="56"/>
      <c r="P110" s="56"/>
      <c r="Q110" s="55" t="s">
        <v>7</v>
      </c>
      <c r="R110" s="55" t="s">
        <v>7</v>
      </c>
    </row>
    <row r="111" spans="1:20" ht="15.75" customHeight="1" x14ac:dyDescent="0.3">
      <c r="A111" s="61" t="s">
        <v>806</v>
      </c>
      <c r="B111" s="1"/>
      <c r="C111" s="1"/>
      <c r="D111" s="1"/>
      <c r="E111" s="55">
        <f t="shared" ref="E111:E116" si="15">SUM(B111:D111)</f>
        <v>0</v>
      </c>
      <c r="F111" s="1"/>
      <c r="G111" s="1"/>
      <c r="H111" s="1"/>
      <c r="I111" s="55">
        <f t="shared" ref="I111:I116" si="16">SUM(F111:H111)</f>
        <v>0</v>
      </c>
      <c r="J111" s="1"/>
      <c r="K111" s="1"/>
      <c r="L111" s="1"/>
      <c r="M111" s="55">
        <f t="shared" ref="M111:M116" si="17">SUM(J111:L111)</f>
        <v>0</v>
      </c>
      <c r="N111" s="1"/>
      <c r="O111" s="1"/>
      <c r="P111" s="1"/>
      <c r="Q111" s="55">
        <f t="shared" ref="Q111:Q116" si="18">SUM(N111:P111)</f>
        <v>0</v>
      </c>
      <c r="R111" s="55">
        <f t="shared" ref="R111:R116" si="19">+E111+I111+M111+Q111</f>
        <v>0</v>
      </c>
    </row>
    <row r="112" spans="1:20" ht="15.75" customHeight="1" x14ac:dyDescent="0.3">
      <c r="A112" s="61" t="s">
        <v>97</v>
      </c>
      <c r="B112" s="1"/>
      <c r="C112" s="1"/>
      <c r="D112" s="1"/>
      <c r="E112" s="55">
        <f t="shared" si="15"/>
        <v>0</v>
      </c>
      <c r="F112" s="1"/>
      <c r="G112" s="1"/>
      <c r="H112" s="1"/>
      <c r="I112" s="55">
        <f t="shared" si="16"/>
        <v>0</v>
      </c>
      <c r="J112" s="1"/>
      <c r="K112" s="1"/>
      <c r="L112" s="1"/>
      <c r="M112" s="55">
        <f t="shared" si="17"/>
        <v>0</v>
      </c>
      <c r="N112" s="1"/>
      <c r="O112" s="1"/>
      <c r="P112" s="1"/>
      <c r="Q112" s="55">
        <f t="shared" si="18"/>
        <v>0</v>
      </c>
      <c r="R112" s="55">
        <f t="shared" si="19"/>
        <v>0</v>
      </c>
    </row>
    <row r="113" spans="1:20" ht="15.75" customHeight="1" x14ac:dyDescent="0.3">
      <c r="A113" s="61" t="s">
        <v>692</v>
      </c>
      <c r="B113" s="1"/>
      <c r="C113" s="1"/>
      <c r="D113" s="1"/>
      <c r="E113" s="55">
        <f t="shared" si="15"/>
        <v>0</v>
      </c>
      <c r="F113" s="1"/>
      <c r="G113" s="1"/>
      <c r="H113" s="1"/>
      <c r="I113" s="55">
        <f t="shared" si="16"/>
        <v>0</v>
      </c>
      <c r="J113" s="1"/>
      <c r="K113" s="1"/>
      <c r="L113" s="1"/>
      <c r="M113" s="55">
        <f t="shared" si="17"/>
        <v>0</v>
      </c>
      <c r="N113" s="1"/>
      <c r="O113" s="1"/>
      <c r="P113" s="1"/>
      <c r="Q113" s="55">
        <f t="shared" si="18"/>
        <v>0</v>
      </c>
      <c r="R113" s="55">
        <f t="shared" si="19"/>
        <v>0</v>
      </c>
    </row>
    <row r="114" spans="1:20" ht="15.75" customHeight="1" x14ac:dyDescent="0.3">
      <c r="A114" s="61" t="s">
        <v>530</v>
      </c>
      <c r="B114" s="1"/>
      <c r="C114" s="1"/>
      <c r="D114" s="1"/>
      <c r="E114" s="55">
        <f t="shared" si="15"/>
        <v>0</v>
      </c>
      <c r="F114" s="1"/>
      <c r="G114" s="1"/>
      <c r="H114" s="1"/>
      <c r="I114" s="55">
        <f t="shared" si="16"/>
        <v>0</v>
      </c>
      <c r="J114" s="1"/>
      <c r="K114" s="1"/>
      <c r="L114" s="1"/>
      <c r="M114" s="55">
        <f t="shared" si="17"/>
        <v>0</v>
      </c>
      <c r="N114" s="1"/>
      <c r="O114" s="1"/>
      <c r="P114" s="1"/>
      <c r="Q114" s="55">
        <f t="shared" si="18"/>
        <v>0</v>
      </c>
      <c r="R114" s="55">
        <f t="shared" si="19"/>
        <v>0</v>
      </c>
    </row>
    <row r="115" spans="1:20" ht="15.75" customHeight="1" x14ac:dyDescent="0.3">
      <c r="A115" s="61" t="s">
        <v>597</v>
      </c>
      <c r="B115" s="1"/>
      <c r="C115" s="1"/>
      <c r="D115" s="1"/>
      <c r="E115" s="55">
        <f t="shared" si="15"/>
        <v>0</v>
      </c>
      <c r="F115" s="1"/>
      <c r="G115" s="1"/>
      <c r="H115" s="1"/>
      <c r="I115" s="55">
        <f t="shared" si="16"/>
        <v>0</v>
      </c>
      <c r="J115" s="1"/>
      <c r="K115" s="1"/>
      <c r="L115" s="1"/>
      <c r="M115" s="55">
        <f t="shared" si="17"/>
        <v>0</v>
      </c>
      <c r="N115" s="1"/>
      <c r="O115" s="1"/>
      <c r="P115" s="1"/>
      <c r="Q115" s="55">
        <f t="shared" si="18"/>
        <v>0</v>
      </c>
      <c r="R115" s="55">
        <f t="shared" si="19"/>
        <v>0</v>
      </c>
    </row>
    <row r="116" spans="1:20" ht="15.75" customHeight="1" x14ac:dyDescent="0.3">
      <c r="A116" s="61" t="s">
        <v>807</v>
      </c>
      <c r="B116" s="1"/>
      <c r="C116" s="1"/>
      <c r="D116" s="1"/>
      <c r="E116" s="55">
        <f t="shared" si="15"/>
        <v>0</v>
      </c>
      <c r="F116" s="1"/>
      <c r="G116" s="1"/>
      <c r="H116" s="1"/>
      <c r="I116" s="55">
        <f t="shared" si="16"/>
        <v>0</v>
      </c>
      <c r="J116" s="1"/>
      <c r="K116" s="1"/>
      <c r="L116" s="1"/>
      <c r="M116" s="55">
        <f t="shared" si="17"/>
        <v>0</v>
      </c>
      <c r="N116" s="1"/>
      <c r="O116" s="1"/>
      <c r="P116" s="1"/>
      <c r="Q116" s="55">
        <f t="shared" si="18"/>
        <v>0</v>
      </c>
      <c r="R116" s="55">
        <f t="shared" si="19"/>
        <v>0</v>
      </c>
    </row>
    <row r="117" spans="1:20" ht="15.75" customHeight="1" x14ac:dyDescent="0.3">
      <c r="A117" s="61" t="s">
        <v>808</v>
      </c>
      <c r="B117" s="1"/>
      <c r="C117" s="1"/>
      <c r="D117" s="1"/>
      <c r="E117" s="55">
        <f>SUM(B117:D117)</f>
        <v>0</v>
      </c>
      <c r="F117" s="1"/>
      <c r="G117" s="1"/>
      <c r="H117" s="1"/>
      <c r="I117" s="55">
        <f>SUM(F117:H117)</f>
        <v>0</v>
      </c>
      <c r="J117" s="1"/>
      <c r="K117" s="1"/>
      <c r="L117" s="1"/>
      <c r="M117" s="55">
        <f>SUM(J117:L117)</f>
        <v>0</v>
      </c>
      <c r="N117" s="1"/>
      <c r="O117" s="1"/>
      <c r="P117" s="1"/>
      <c r="Q117" s="55">
        <f>SUM(N117:P117)</f>
        <v>0</v>
      </c>
      <c r="R117" s="55">
        <f>+E117+I117+M117+Q117</f>
        <v>0</v>
      </c>
    </row>
    <row r="118" spans="1:20" ht="15.75" customHeight="1" x14ac:dyDescent="0.3">
      <c r="A118" s="346" t="s">
        <v>702</v>
      </c>
      <c r="B118" s="1"/>
      <c r="C118" s="1"/>
      <c r="D118" s="1"/>
      <c r="E118" s="55">
        <f>SUM(B118:D118)</f>
        <v>0</v>
      </c>
      <c r="F118" s="1"/>
      <c r="G118" s="1"/>
      <c r="H118" s="1"/>
      <c r="I118" s="55">
        <f>SUM(F118:H118)</f>
        <v>0</v>
      </c>
      <c r="J118" s="1"/>
      <c r="K118" s="1"/>
      <c r="L118" s="1"/>
      <c r="M118" s="55">
        <f>SUM(J118:L118)</f>
        <v>0</v>
      </c>
      <c r="N118" s="1"/>
      <c r="O118" s="1"/>
      <c r="P118" s="1"/>
      <c r="Q118" s="55">
        <f>SUM(N118:P118)</f>
        <v>0</v>
      </c>
      <c r="R118" s="55">
        <f>+E118+I118+M118+Q118</f>
        <v>0</v>
      </c>
      <c r="T118" s="4" t="s">
        <v>809</v>
      </c>
    </row>
    <row r="119" spans="1:20" ht="15.75" customHeight="1" x14ac:dyDescent="0.3">
      <c r="A119" s="18" t="s">
        <v>67</v>
      </c>
      <c r="B119" s="56"/>
      <c r="C119" s="56"/>
      <c r="D119" s="56"/>
      <c r="E119" s="55" t="s">
        <v>7</v>
      </c>
      <c r="F119" s="56"/>
      <c r="G119" s="56"/>
      <c r="H119" s="56"/>
      <c r="I119" s="55" t="s">
        <v>7</v>
      </c>
      <c r="J119" s="56"/>
      <c r="K119" s="56"/>
      <c r="L119" s="56"/>
      <c r="M119" s="55" t="s">
        <v>7</v>
      </c>
      <c r="N119" s="56"/>
      <c r="O119" s="56"/>
      <c r="P119" s="56"/>
      <c r="Q119" s="55" t="s">
        <v>7</v>
      </c>
      <c r="R119" s="55" t="s">
        <v>7</v>
      </c>
    </row>
    <row r="120" spans="1:20" ht="15.75" customHeight="1" x14ac:dyDescent="0.3">
      <c r="A120" s="61" t="s">
        <v>810</v>
      </c>
      <c r="B120" s="1"/>
      <c r="C120" s="1"/>
      <c r="D120" s="1"/>
      <c r="E120" s="55">
        <f>SUM(B120:D120)</f>
        <v>0</v>
      </c>
      <c r="F120" s="1"/>
      <c r="G120" s="1"/>
      <c r="H120" s="1"/>
      <c r="I120" s="55">
        <f>SUM(F120:H120)</f>
        <v>0</v>
      </c>
      <c r="J120" s="1"/>
      <c r="K120" s="1"/>
      <c r="L120" s="1"/>
      <c r="M120" s="55">
        <f>SUM(J120:L120)</f>
        <v>0</v>
      </c>
      <c r="N120" s="1"/>
      <c r="O120" s="1"/>
      <c r="P120" s="1"/>
      <c r="Q120" s="55">
        <f>SUM(N120:P120)</f>
        <v>0</v>
      </c>
      <c r="R120" s="55">
        <f>+E120+I120+M120+Q120</f>
        <v>0</v>
      </c>
    </row>
    <row r="121" spans="1:20" ht="15.75" customHeight="1" x14ac:dyDescent="0.3">
      <c r="A121" s="61" t="s">
        <v>695</v>
      </c>
      <c r="B121" s="1"/>
      <c r="C121" s="1"/>
      <c r="D121" s="1"/>
      <c r="E121" s="55">
        <f>SUM(B121:D121)</f>
        <v>0</v>
      </c>
      <c r="F121" s="1"/>
      <c r="G121" s="1"/>
      <c r="H121" s="1"/>
      <c r="I121" s="55">
        <f>SUM(F121:H121)</f>
        <v>0</v>
      </c>
      <c r="J121" s="1"/>
      <c r="K121" s="1"/>
      <c r="L121" s="1"/>
      <c r="M121" s="55">
        <f>SUM(J121:L121)</f>
        <v>0</v>
      </c>
      <c r="N121" s="1"/>
      <c r="O121" s="1"/>
      <c r="P121" s="1"/>
      <c r="Q121" s="55">
        <f>SUM(N121:P121)</f>
        <v>0</v>
      </c>
      <c r="R121" s="55">
        <f>+E121+I121+M121+Q121</f>
        <v>0</v>
      </c>
    </row>
    <row r="122" spans="1:20" ht="15.75" customHeight="1" x14ac:dyDescent="0.3">
      <c r="A122" s="18" t="s">
        <v>600</v>
      </c>
      <c r="B122" s="56"/>
      <c r="C122" s="56"/>
      <c r="D122" s="56"/>
      <c r="E122" s="55" t="s">
        <v>7</v>
      </c>
      <c r="F122" s="56"/>
      <c r="G122" s="56"/>
      <c r="H122" s="56"/>
      <c r="I122" s="55" t="s">
        <v>7</v>
      </c>
      <c r="J122" s="56"/>
      <c r="K122" s="56"/>
      <c r="L122" s="56"/>
      <c r="M122" s="55" t="s">
        <v>7</v>
      </c>
      <c r="N122" s="56"/>
      <c r="O122" s="56"/>
      <c r="P122" s="56"/>
      <c r="Q122" s="55" t="s">
        <v>7</v>
      </c>
      <c r="R122" s="55" t="s">
        <v>7</v>
      </c>
    </row>
    <row r="123" spans="1:20" ht="15.75" customHeight="1" x14ac:dyDescent="0.3">
      <c r="A123" s="61" t="s">
        <v>105</v>
      </c>
      <c r="B123" s="1"/>
      <c r="C123" s="1"/>
      <c r="D123" s="1"/>
      <c r="E123" s="55">
        <f>SUM(B123:D123)</f>
        <v>0</v>
      </c>
      <c r="F123" s="1"/>
      <c r="G123" s="1"/>
      <c r="H123" s="1"/>
      <c r="I123" s="55">
        <f>SUM(F123:H123)</f>
        <v>0</v>
      </c>
      <c r="J123" s="1"/>
      <c r="K123" s="1"/>
      <c r="L123" s="1"/>
      <c r="M123" s="55">
        <f>SUM(J123:L123)</f>
        <v>0</v>
      </c>
      <c r="N123" s="1"/>
      <c r="O123" s="1"/>
      <c r="P123" s="1"/>
      <c r="Q123" s="55">
        <f>SUM(N123:P123)</f>
        <v>0</v>
      </c>
      <c r="R123" s="55">
        <f>+E123+I123+M123+Q123</f>
        <v>0</v>
      </c>
      <c r="T123" s="4" t="s">
        <v>801</v>
      </c>
    </row>
    <row r="124" spans="1:20" ht="15.75" customHeight="1" thickBot="1" x14ac:dyDescent="0.35">
      <c r="A124" s="18" t="s">
        <v>70</v>
      </c>
      <c r="B124" s="56"/>
      <c r="C124" s="56"/>
      <c r="D124" s="56"/>
      <c r="E124" s="55" t="s">
        <v>7</v>
      </c>
      <c r="F124" s="56"/>
      <c r="G124" s="56"/>
      <c r="H124" s="56"/>
      <c r="I124" s="55" t="s">
        <v>7</v>
      </c>
      <c r="J124" s="56"/>
      <c r="K124" s="56"/>
      <c r="L124" s="56"/>
      <c r="M124" s="55" t="s">
        <v>7</v>
      </c>
      <c r="N124" s="56"/>
      <c r="O124" s="56"/>
      <c r="P124" s="56"/>
      <c r="Q124" s="55" t="s">
        <v>7</v>
      </c>
      <c r="R124" s="55" t="s">
        <v>7</v>
      </c>
    </row>
    <row r="125" spans="1:20" ht="16.5" customHeight="1" thickBot="1" x14ac:dyDescent="0.35">
      <c r="A125" s="57" t="s">
        <v>71</v>
      </c>
      <c r="B125" s="58">
        <f>SUM(B122:B124)</f>
        <v>0</v>
      </c>
      <c r="C125" s="58">
        <f>SUM(C122:C124)</f>
        <v>0</v>
      </c>
      <c r="D125" s="58">
        <f>SUM(D122:D124)</f>
        <v>0</v>
      </c>
      <c r="E125" s="60">
        <f>SUM(B125:D125)</f>
        <v>0</v>
      </c>
      <c r="F125" s="58">
        <f>SUM(F122:F124)</f>
        <v>0</v>
      </c>
      <c r="G125" s="58">
        <f>SUM(G122:G124)</f>
        <v>0</v>
      </c>
      <c r="H125" s="58">
        <f>SUM(H122:H124)</f>
        <v>0</v>
      </c>
      <c r="I125" s="60">
        <f>SUM(F125:H125)</f>
        <v>0</v>
      </c>
      <c r="J125" s="58">
        <f>SUM(J122:J124)</f>
        <v>0</v>
      </c>
      <c r="K125" s="58">
        <f>SUM(K122:K124)</f>
        <v>0</v>
      </c>
      <c r="L125" s="58">
        <f>SUM(L122:L124)</f>
        <v>0</v>
      </c>
      <c r="M125" s="60">
        <f>SUM(J125:L125)</f>
        <v>0</v>
      </c>
      <c r="N125" s="58">
        <f>SUM(N122:N124)</f>
        <v>0</v>
      </c>
      <c r="O125" s="58">
        <f>SUM(O122:O124)</f>
        <v>0</v>
      </c>
      <c r="P125" s="58">
        <f>SUM(P122:P124)</f>
        <v>0</v>
      </c>
      <c r="Q125" s="60">
        <f>SUM(N125:P125)</f>
        <v>0</v>
      </c>
      <c r="R125" s="59">
        <f>+E125+I125+M125+Q125</f>
        <v>0</v>
      </c>
    </row>
    <row r="126" spans="1:20" ht="16.5" customHeight="1" thickBot="1" x14ac:dyDescent="0.35">
      <c r="A126" s="57" t="s">
        <v>72</v>
      </c>
      <c r="B126" s="58">
        <f>SUM(B109:B124)</f>
        <v>0</v>
      </c>
      <c r="C126" s="58">
        <f>SUM(C109:C124)</f>
        <v>0</v>
      </c>
      <c r="D126" s="58">
        <f>SUM(D109:D124)</f>
        <v>0</v>
      </c>
      <c r="E126" s="60">
        <f>SUM(B126:D126)</f>
        <v>0</v>
      </c>
      <c r="F126" s="58">
        <f>SUM(F109:F124)</f>
        <v>0</v>
      </c>
      <c r="G126" s="58">
        <f>SUM(G109:G124)</f>
        <v>0</v>
      </c>
      <c r="H126" s="58">
        <f>SUM(H109:H124)</f>
        <v>0</v>
      </c>
      <c r="I126" s="60">
        <f>SUM(F126:H126)</f>
        <v>0</v>
      </c>
      <c r="J126" s="58">
        <f>SUM(J109:J124)</f>
        <v>0</v>
      </c>
      <c r="K126" s="58">
        <f>SUM(K109:K124)</f>
        <v>0</v>
      </c>
      <c r="L126" s="58">
        <f>SUM(L109:L124)</f>
        <v>0</v>
      </c>
      <c r="M126" s="60">
        <f>SUM(J126:L126)</f>
        <v>0</v>
      </c>
      <c r="N126" s="58">
        <f>SUM(N109:N124)</f>
        <v>0</v>
      </c>
      <c r="O126" s="58">
        <f>SUM(O109:O124)</f>
        <v>0</v>
      </c>
      <c r="P126" s="58">
        <f>SUM(P109:P124)</f>
        <v>0</v>
      </c>
      <c r="Q126" s="60">
        <f>SUM(N126:P126)</f>
        <v>0</v>
      </c>
      <c r="R126" s="59">
        <f>+E126+I126+M126+Q126</f>
        <v>0</v>
      </c>
    </row>
    <row r="127" spans="1:20" ht="16.5" customHeight="1" thickBot="1" x14ac:dyDescent="0.35">
      <c r="A127" s="57" t="s">
        <v>73</v>
      </c>
      <c r="B127" s="58">
        <f>+B89+B96+B108+B126</f>
        <v>960</v>
      </c>
      <c r="C127" s="58">
        <f>+C89+C96+C108+C126</f>
        <v>1275</v>
      </c>
      <c r="D127" s="58">
        <f>+D89+D96+D108+D126</f>
        <v>3620</v>
      </c>
      <c r="E127" s="59">
        <f>SUM(B127:D127)</f>
        <v>5855</v>
      </c>
      <c r="F127" s="58">
        <f>+F89+F96+F108+F126</f>
        <v>6437</v>
      </c>
      <c r="G127" s="58">
        <f>+G89+G96+G108+G126</f>
        <v>5242</v>
      </c>
      <c r="H127" s="58">
        <f>+H89+H96+H108+H126</f>
        <v>6145</v>
      </c>
      <c r="I127" s="59">
        <f>SUM(F127:H127)</f>
        <v>17824</v>
      </c>
      <c r="J127" s="58">
        <f>+J89+J96+J108+J126</f>
        <v>6442</v>
      </c>
      <c r="K127" s="58">
        <f>+K89+K96+K108+K126</f>
        <v>8680</v>
      </c>
      <c r="L127" s="58">
        <f>+L89+L96+L108+L126</f>
        <v>7599</v>
      </c>
      <c r="M127" s="59">
        <f>SUM(J127:L127)</f>
        <v>22721</v>
      </c>
      <c r="N127" s="58">
        <f>+N89+N96+N108+N126</f>
        <v>3229</v>
      </c>
      <c r="O127" s="58">
        <f>+O89+O96+O108+O126</f>
        <v>3404</v>
      </c>
      <c r="P127" s="58">
        <f>+P89+P96+P108+P126</f>
        <v>4586</v>
      </c>
      <c r="Q127" s="59">
        <f>SUM(N127:P127)</f>
        <v>11219</v>
      </c>
      <c r="R127" s="59">
        <f>+E127+I127+M127+Q127</f>
        <v>57619</v>
      </c>
    </row>
    <row r="128" spans="1:20" ht="16.5" customHeight="1" thickBot="1" x14ac:dyDescent="0.35">
      <c r="A128" s="73" t="s">
        <v>40</v>
      </c>
      <c r="B128" s="21">
        <v>173</v>
      </c>
      <c r="C128" s="21">
        <v>260</v>
      </c>
      <c r="D128" s="21">
        <v>471</v>
      </c>
      <c r="E128" s="55">
        <f>SUM(B128:D128)</f>
        <v>904</v>
      </c>
      <c r="F128" s="21">
        <v>629</v>
      </c>
      <c r="G128" s="21">
        <v>725</v>
      </c>
      <c r="H128" s="21">
        <v>712</v>
      </c>
      <c r="I128" s="55">
        <f>SUM(F128:H128)</f>
        <v>2066</v>
      </c>
      <c r="J128" s="21">
        <v>711</v>
      </c>
      <c r="K128" s="21">
        <v>573</v>
      </c>
      <c r="L128" s="21">
        <v>542</v>
      </c>
      <c r="M128" s="55">
        <f>SUM(J128:L128)</f>
        <v>1826</v>
      </c>
      <c r="N128" s="21">
        <v>490</v>
      </c>
      <c r="O128" s="21">
        <v>407</v>
      </c>
      <c r="P128" s="21">
        <v>323</v>
      </c>
      <c r="Q128" s="55">
        <f>SUM(N128:P128)</f>
        <v>1220</v>
      </c>
      <c r="R128" s="55">
        <f>+E128+I128+M128+Q128</f>
        <v>6016</v>
      </c>
    </row>
    <row r="129" spans="1:20" ht="16.5" customHeight="1" thickBot="1" x14ac:dyDescent="0.35">
      <c r="A129" s="74"/>
      <c r="B129" s="75"/>
      <c r="C129" s="75"/>
      <c r="D129" s="75"/>
      <c r="E129" s="59" t="s">
        <v>7</v>
      </c>
      <c r="F129" s="75"/>
      <c r="G129" s="75"/>
      <c r="H129" s="75"/>
      <c r="I129" s="59" t="s">
        <v>7</v>
      </c>
      <c r="J129" s="75"/>
      <c r="K129" s="75"/>
      <c r="L129" s="75"/>
      <c r="M129" s="59" t="s">
        <v>7</v>
      </c>
      <c r="N129" s="75"/>
      <c r="O129" s="75"/>
      <c r="P129" s="75"/>
      <c r="Q129" s="59" t="s">
        <v>7</v>
      </c>
      <c r="R129" s="59" t="s">
        <v>7</v>
      </c>
    </row>
    <row r="130" spans="1:20" ht="15.75" customHeight="1" x14ac:dyDescent="0.3">
      <c r="A130" s="76" t="s">
        <v>41</v>
      </c>
      <c r="B130" s="77">
        <f>+B127+B128</f>
        <v>1133</v>
      </c>
      <c r="C130" s="77">
        <f>+C127+C128</f>
        <v>1535</v>
      </c>
      <c r="D130" s="77">
        <f>+D127+D128</f>
        <v>4091</v>
      </c>
      <c r="E130" s="55">
        <f>SUM(B130:D130)</f>
        <v>6759</v>
      </c>
      <c r="F130" s="77">
        <f>+F127+F128</f>
        <v>7066</v>
      </c>
      <c r="G130" s="77">
        <f>+G127+G128</f>
        <v>5967</v>
      </c>
      <c r="H130" s="77">
        <f>+H127+H128</f>
        <v>6857</v>
      </c>
      <c r="I130" s="55">
        <f>SUM(F130:H130)</f>
        <v>19890</v>
      </c>
      <c r="J130" s="77">
        <f>+J127+J128</f>
        <v>7153</v>
      </c>
      <c r="K130" s="77">
        <f>+K127+K128</f>
        <v>9253</v>
      </c>
      <c r="L130" s="77">
        <f>+L127+L128</f>
        <v>8141</v>
      </c>
      <c r="M130" s="55">
        <f>SUM(J130:L130)</f>
        <v>24547</v>
      </c>
      <c r="N130" s="77">
        <f>+N127+N128</f>
        <v>3719</v>
      </c>
      <c r="O130" s="77">
        <f>+O127+O128</f>
        <v>3811</v>
      </c>
      <c r="P130" s="77">
        <f>+P127+P128</f>
        <v>4909</v>
      </c>
      <c r="Q130" s="55">
        <f>SUM(N130:P130)</f>
        <v>12439</v>
      </c>
      <c r="R130" s="55">
        <f>+E130+I130+M130+Q130</f>
        <v>63635</v>
      </c>
    </row>
    <row r="131" spans="1:20" ht="15.75" customHeight="1" x14ac:dyDescent="0.3">
      <c r="A131" s="78" t="s">
        <v>42</v>
      </c>
      <c r="B131" s="1">
        <f>(B130/B10)/1.983</f>
        <v>18.43085582288159</v>
      </c>
      <c r="C131" s="1">
        <f>(C130/C10)/1.983</f>
        <v>27.645702759167204</v>
      </c>
      <c r="D131" s="1">
        <f>(D130/D10)/1.983</f>
        <v>66.549542075382689</v>
      </c>
      <c r="E131" s="55" t="s">
        <v>7</v>
      </c>
      <c r="F131" s="1">
        <f>(F130/F10)/1.983</f>
        <v>118.77626491847369</v>
      </c>
      <c r="G131" s="1">
        <f>(G130/G10)/1.983</f>
        <v>97.06700502659703</v>
      </c>
      <c r="H131" s="1">
        <f>(H130/H10)/1.983</f>
        <v>115.2630694234325</v>
      </c>
      <c r="I131" s="55" t="s">
        <v>7</v>
      </c>
      <c r="J131" s="1">
        <f>(J130/J10)/1.983</f>
        <v>116.36002797976347</v>
      </c>
      <c r="K131" s="1">
        <f>(K130/K10)/1.983</f>
        <v>150.52136710425717</v>
      </c>
      <c r="L131" s="1">
        <f>(L130/L10)/1.983</f>
        <v>136.84652882837452</v>
      </c>
      <c r="M131" s="55" t="s">
        <v>7</v>
      </c>
      <c r="N131" s="1">
        <f>(N130/N10)/1.983</f>
        <v>60.498104859043806</v>
      </c>
      <c r="O131" s="1">
        <f>(O130/O10)/1.983</f>
        <v>64.061186754076317</v>
      </c>
      <c r="P131" s="1">
        <f>(P130/P10)/1.983</f>
        <v>79.85619702959022</v>
      </c>
      <c r="Q131" s="55" t="s">
        <v>7</v>
      </c>
      <c r="R131" s="55" t="s">
        <v>7</v>
      </c>
    </row>
    <row r="132" spans="1:20" ht="15.75" customHeight="1" x14ac:dyDescent="0.3">
      <c r="A132" s="79" t="s">
        <v>106</v>
      </c>
      <c r="B132" s="1">
        <f>B130+B285</f>
        <v>174949</v>
      </c>
      <c r="C132" s="1">
        <f>C130+C285</f>
        <v>108740</v>
      </c>
      <c r="D132" s="1">
        <f>D130+D285</f>
        <v>144226</v>
      </c>
      <c r="E132" s="55">
        <f>SUM(B132:D132)</f>
        <v>427915</v>
      </c>
      <c r="F132" s="1">
        <f>F130+F285</f>
        <v>154659</v>
      </c>
      <c r="G132" s="1">
        <f>G130+G285</f>
        <v>175615</v>
      </c>
      <c r="H132" s="1">
        <f>H130+H285</f>
        <v>80652</v>
      </c>
      <c r="I132" s="55">
        <f>SUM(F132:H132)</f>
        <v>410926</v>
      </c>
      <c r="J132" s="1">
        <f>J130+J285</f>
        <v>72204</v>
      </c>
      <c r="K132" s="1">
        <f>K130+K285</f>
        <v>69921</v>
      </c>
      <c r="L132" s="1">
        <f>L130+L285</f>
        <v>164246</v>
      </c>
      <c r="M132" s="55">
        <f>SUM(J132:L132)</f>
        <v>306371</v>
      </c>
      <c r="N132" s="1">
        <f>N130+N285</f>
        <v>117341</v>
      </c>
      <c r="O132" s="1">
        <f>O130+O285</f>
        <v>116562</v>
      </c>
      <c r="P132" s="1">
        <f>P130+P285</f>
        <v>127938</v>
      </c>
      <c r="Q132" s="55">
        <f>SUM(N132:P132)</f>
        <v>361841</v>
      </c>
      <c r="R132" s="55">
        <f>+E132+I132+M132+Q132</f>
        <v>1507053</v>
      </c>
    </row>
    <row r="133" spans="1:20" ht="16.5" customHeight="1" thickBot="1" x14ac:dyDescent="0.35">
      <c r="A133" s="80" t="s">
        <v>107</v>
      </c>
      <c r="B133" s="25">
        <f>(B132/B10)/1.983</f>
        <v>2845.9486278528784</v>
      </c>
      <c r="C133" s="25">
        <f>(C132/C10)/1.983</f>
        <v>1958.4323895972911</v>
      </c>
      <c r="D133" s="25">
        <f>(D132/D10)/1.983</f>
        <v>2346.1682364615358</v>
      </c>
      <c r="E133" s="81" t="s">
        <v>7</v>
      </c>
      <c r="F133" s="25">
        <f>(F132/F10)/1.983</f>
        <v>2599.7478567826524</v>
      </c>
      <c r="G133" s="25">
        <f>(G132/G10)/1.983</f>
        <v>2856.7826525466462</v>
      </c>
      <c r="H133" s="25">
        <f>(H132/H10)/1.983</f>
        <v>1355.7236510337871</v>
      </c>
      <c r="I133" s="81" t="s">
        <v>7</v>
      </c>
      <c r="J133" s="25">
        <f>(J132/J10)/1.983</f>
        <v>1174.5644429261627</v>
      </c>
      <c r="K133" s="25">
        <f>(K132/K10)/1.983</f>
        <v>1137.4261871065346</v>
      </c>
      <c r="L133" s="25">
        <f>(L132/L10)/1.983</f>
        <v>2760.9009917633216</v>
      </c>
      <c r="M133" s="81" t="s">
        <v>7</v>
      </c>
      <c r="N133" s="25">
        <f>(N132/N10)/1.983</f>
        <v>1908.8217591462917</v>
      </c>
      <c r="O133" s="25">
        <f>(O132/O10)/1.983</f>
        <v>1959.3545133635905</v>
      </c>
      <c r="P133" s="25">
        <f>(P132/P10)/1.983</f>
        <v>2081.2063832902249</v>
      </c>
      <c r="Q133" s="81" t="s">
        <v>7</v>
      </c>
      <c r="R133" s="81" t="s">
        <v>7</v>
      </c>
    </row>
    <row r="134" spans="1:20" ht="15.75" customHeight="1" x14ac:dyDescent="0.3">
      <c r="A134" s="28"/>
      <c r="B134" s="1"/>
      <c r="C134" s="1"/>
      <c r="D134" s="1"/>
      <c r="E134" s="1"/>
      <c r="F134" s="1"/>
      <c r="G134" s="1"/>
      <c r="H134" s="1"/>
      <c r="I134" s="1"/>
      <c r="J134" s="1"/>
      <c r="K134" s="1"/>
      <c r="L134" s="1"/>
      <c r="M134" s="1"/>
      <c r="N134" s="1"/>
      <c r="O134" s="1"/>
      <c r="P134" s="1"/>
      <c r="Q134" s="1"/>
      <c r="R134" s="2"/>
    </row>
    <row r="135" spans="1:20" ht="15.75" customHeight="1" thickBot="1" x14ac:dyDescent="0.35">
      <c r="A135" s="28" t="s">
        <v>7</v>
      </c>
      <c r="B135" s="1"/>
      <c r="C135" s="1"/>
      <c r="D135" s="1"/>
      <c r="E135" s="1"/>
      <c r="F135" s="1"/>
      <c r="G135" s="1"/>
      <c r="H135" s="1"/>
      <c r="I135" s="1"/>
      <c r="J135" s="1"/>
      <c r="K135" s="1"/>
      <c r="L135" s="1"/>
      <c r="M135" s="1"/>
      <c r="N135" s="1"/>
      <c r="O135" s="1"/>
      <c r="P135" s="1"/>
      <c r="Q135" s="1"/>
      <c r="R135" s="2"/>
    </row>
    <row r="136" spans="1:20" ht="16.5" customHeight="1" thickBot="1" x14ac:dyDescent="0.35">
      <c r="A136" s="29" t="s">
        <v>108</v>
      </c>
      <c r="B136" s="30" t="s">
        <v>8</v>
      </c>
      <c r="C136" s="31" t="s">
        <v>9</v>
      </c>
      <c r="D136" s="31" t="s">
        <v>10</v>
      </c>
      <c r="E136" s="32" t="s">
        <v>11</v>
      </c>
      <c r="F136" s="31" t="s">
        <v>12</v>
      </c>
      <c r="G136" s="31" t="s">
        <v>13</v>
      </c>
      <c r="H136" s="31" t="s">
        <v>14</v>
      </c>
      <c r="I136" s="33" t="s">
        <v>15</v>
      </c>
      <c r="J136" s="31" t="s">
        <v>16</v>
      </c>
      <c r="K136" s="31" t="s">
        <v>17</v>
      </c>
      <c r="L136" s="31" t="s">
        <v>18</v>
      </c>
      <c r="M136" s="33" t="s">
        <v>19</v>
      </c>
      <c r="N136" s="31" t="s">
        <v>20</v>
      </c>
      <c r="O136" s="31" t="s">
        <v>21</v>
      </c>
      <c r="P136" s="31" t="s">
        <v>22</v>
      </c>
      <c r="Q136" s="33" t="s">
        <v>23</v>
      </c>
      <c r="R136" s="34" t="s">
        <v>24</v>
      </c>
    </row>
    <row r="137" spans="1:20" ht="16.5" customHeight="1" thickBot="1" x14ac:dyDescent="0.35">
      <c r="A137" s="74"/>
      <c r="B137" s="75"/>
      <c r="C137" s="75"/>
      <c r="D137" s="75"/>
      <c r="E137" s="82"/>
      <c r="F137" s="75"/>
      <c r="G137" s="75"/>
      <c r="H137" s="75"/>
      <c r="I137" s="82"/>
      <c r="J137" s="75"/>
      <c r="K137" s="75"/>
      <c r="L137" s="75"/>
      <c r="M137" s="82"/>
      <c r="N137" s="75"/>
      <c r="O137" s="75"/>
      <c r="P137" s="75"/>
      <c r="Q137" s="82"/>
      <c r="R137" s="74"/>
    </row>
    <row r="138" spans="1:20" ht="15.75" customHeight="1" x14ac:dyDescent="0.3">
      <c r="A138" s="15" t="s">
        <v>48</v>
      </c>
      <c r="B138" s="1" t="s">
        <v>7</v>
      </c>
      <c r="C138" s="1" t="s">
        <v>7</v>
      </c>
      <c r="D138" s="1" t="s">
        <v>7</v>
      </c>
      <c r="E138" s="55" t="s">
        <v>7</v>
      </c>
      <c r="F138" s="1" t="s">
        <v>7</v>
      </c>
      <c r="G138" s="1" t="s">
        <v>7</v>
      </c>
      <c r="H138" s="1" t="s">
        <v>7</v>
      </c>
      <c r="I138" s="55" t="s">
        <v>7</v>
      </c>
      <c r="J138" s="1" t="s">
        <v>7</v>
      </c>
      <c r="K138" s="1" t="s">
        <v>7</v>
      </c>
      <c r="L138" s="1" t="s">
        <v>7</v>
      </c>
      <c r="M138" s="55" t="s">
        <v>7</v>
      </c>
      <c r="N138" s="1" t="s">
        <v>7</v>
      </c>
      <c r="O138" s="1" t="s">
        <v>7</v>
      </c>
      <c r="P138" s="1" t="s">
        <v>7</v>
      </c>
      <c r="Q138" s="55" t="s">
        <v>7</v>
      </c>
      <c r="R138" s="83" t="s">
        <v>7</v>
      </c>
    </row>
    <row r="139" spans="1:20" ht="15.75" customHeight="1" x14ac:dyDescent="0.3">
      <c r="A139" s="15" t="s">
        <v>49</v>
      </c>
      <c r="B139" s="1"/>
      <c r="C139" s="1"/>
      <c r="D139" s="1"/>
      <c r="E139" s="55" t="s">
        <v>7</v>
      </c>
      <c r="F139" s="1"/>
      <c r="G139" s="1"/>
      <c r="H139" s="1"/>
      <c r="I139" s="55" t="s">
        <v>7</v>
      </c>
      <c r="J139" s="1"/>
      <c r="K139" s="1"/>
      <c r="L139" s="1"/>
      <c r="M139" s="55" t="s">
        <v>7</v>
      </c>
      <c r="N139" s="1"/>
      <c r="O139" s="1"/>
      <c r="P139" s="1"/>
      <c r="Q139" s="55" t="s">
        <v>7</v>
      </c>
      <c r="R139" s="83"/>
    </row>
    <row r="140" spans="1:20" ht="15.75" customHeight="1" x14ac:dyDescent="0.3">
      <c r="A140" s="84" t="s">
        <v>811</v>
      </c>
      <c r="B140" s="1"/>
      <c r="C140" s="1"/>
      <c r="D140" s="1">
        <f>30+30</f>
        <v>60</v>
      </c>
      <c r="E140" s="55">
        <f t="shared" ref="E140:E156" si="20">SUM(B140:D140)</f>
        <v>60</v>
      </c>
      <c r="F140" s="1">
        <f>385+120</f>
        <v>505</v>
      </c>
      <c r="G140" s="1">
        <f>405+50</f>
        <v>455</v>
      </c>
      <c r="H140" s="1">
        <f>425+75</f>
        <v>500</v>
      </c>
      <c r="I140" s="55">
        <f t="shared" ref="I140:I156" si="21">SUM(F140:H140)</f>
        <v>1460</v>
      </c>
      <c r="J140" s="1">
        <f>682+55</f>
        <v>737</v>
      </c>
      <c r="K140" s="1">
        <f>654+100</f>
        <v>754</v>
      </c>
      <c r="L140" s="1">
        <v>768</v>
      </c>
      <c r="M140" s="55">
        <f t="shared" ref="M140:M156" si="22">SUM(J140:L140)</f>
        <v>2259</v>
      </c>
      <c r="N140" s="1">
        <v>410</v>
      </c>
      <c r="O140" s="1"/>
      <c r="P140" s="1"/>
      <c r="Q140" s="55">
        <f t="shared" ref="Q140:Q156" si="23">SUM(N140:P140)</f>
        <v>410</v>
      </c>
      <c r="R140" s="55">
        <f>+E140+I140+M140+Q140</f>
        <v>4189</v>
      </c>
      <c r="T140" s="4" t="s">
        <v>812</v>
      </c>
    </row>
    <row r="141" spans="1:20" ht="15.75" customHeight="1" x14ac:dyDescent="0.3">
      <c r="A141" s="84" t="s">
        <v>813</v>
      </c>
      <c r="B141" s="1"/>
      <c r="C141" s="1"/>
      <c r="D141" s="1">
        <f>23+824</f>
        <v>847</v>
      </c>
      <c r="E141" s="55">
        <f t="shared" si="20"/>
        <v>847</v>
      </c>
      <c r="F141" s="1">
        <f>24+1110</f>
        <v>1134</v>
      </c>
      <c r="G141" s="1">
        <f>24+1109</f>
        <v>1133</v>
      </c>
      <c r="H141" s="1">
        <f>1329+25</f>
        <v>1354</v>
      </c>
      <c r="I141" s="55">
        <f t="shared" si="21"/>
        <v>3621</v>
      </c>
      <c r="J141" s="1">
        <v>1481</v>
      </c>
      <c r="K141" s="1">
        <v>1610</v>
      </c>
      <c r="L141" s="1">
        <v>1265</v>
      </c>
      <c r="M141" s="55">
        <f t="shared" si="22"/>
        <v>4356</v>
      </c>
      <c r="N141" s="1">
        <f>31+1156</f>
        <v>1187</v>
      </c>
      <c r="O141" s="1">
        <v>1006</v>
      </c>
      <c r="P141" s="1">
        <v>76</v>
      </c>
      <c r="Q141" s="55">
        <f t="shared" si="23"/>
        <v>2269</v>
      </c>
      <c r="R141" s="55">
        <f>+E141+I141+M141+Q141</f>
        <v>11093</v>
      </c>
      <c r="T141" s="4" t="s">
        <v>812</v>
      </c>
    </row>
    <row r="142" spans="1:20" ht="15.75" customHeight="1" x14ac:dyDescent="0.3">
      <c r="A142" s="84" t="s">
        <v>814</v>
      </c>
      <c r="B142" s="1"/>
      <c r="C142" s="1"/>
      <c r="D142" s="1">
        <v>30</v>
      </c>
      <c r="E142" s="55">
        <f t="shared" si="20"/>
        <v>30</v>
      </c>
      <c r="F142" s="1">
        <v>273</v>
      </c>
      <c r="G142" s="1">
        <v>323</v>
      </c>
      <c r="H142" s="1">
        <v>225</v>
      </c>
      <c r="I142" s="55">
        <f t="shared" si="21"/>
        <v>821</v>
      </c>
      <c r="J142" s="1">
        <v>430</v>
      </c>
      <c r="K142" s="1">
        <v>246</v>
      </c>
      <c r="L142" s="1">
        <v>470</v>
      </c>
      <c r="M142" s="55">
        <f t="shared" si="22"/>
        <v>1146</v>
      </c>
      <c r="N142" s="1">
        <v>375</v>
      </c>
      <c r="O142" s="1"/>
      <c r="P142" s="1"/>
      <c r="Q142" s="55">
        <f t="shared" si="23"/>
        <v>375</v>
      </c>
      <c r="R142" s="55">
        <f>+E142+I142+M142+Q142</f>
        <v>2372</v>
      </c>
      <c r="T142" s="4" t="s">
        <v>812</v>
      </c>
    </row>
    <row r="143" spans="1:20" ht="15.75" customHeight="1" x14ac:dyDescent="0.3">
      <c r="A143" s="84" t="s">
        <v>815</v>
      </c>
      <c r="B143" s="1"/>
      <c r="C143" s="1"/>
      <c r="D143" s="1">
        <v>30</v>
      </c>
      <c r="E143" s="55">
        <f t="shared" si="20"/>
        <v>30</v>
      </c>
      <c r="F143" s="1">
        <v>343</v>
      </c>
      <c r="G143" s="1">
        <v>345</v>
      </c>
      <c r="H143" s="1">
        <v>326</v>
      </c>
      <c r="I143" s="55">
        <f t="shared" si="21"/>
        <v>1014</v>
      </c>
      <c r="J143" s="1">
        <v>556</v>
      </c>
      <c r="K143" s="1">
        <v>180</v>
      </c>
      <c r="L143" s="1">
        <v>626</v>
      </c>
      <c r="M143" s="55">
        <f t="shared" si="22"/>
        <v>1362</v>
      </c>
      <c r="N143" s="1">
        <v>825</v>
      </c>
      <c r="O143" s="1"/>
      <c r="P143" s="1"/>
      <c r="Q143" s="55">
        <f t="shared" si="23"/>
        <v>825</v>
      </c>
      <c r="R143" s="55">
        <f>+E143+I143+M143+Q143</f>
        <v>3231</v>
      </c>
      <c r="T143" s="4" t="s">
        <v>812</v>
      </c>
    </row>
    <row r="144" spans="1:20" ht="15.75" customHeight="1" x14ac:dyDescent="0.3">
      <c r="A144" s="71" t="s">
        <v>111</v>
      </c>
      <c r="B144" s="1">
        <v>2</v>
      </c>
      <c r="C144" s="1">
        <v>2</v>
      </c>
      <c r="D144" s="1">
        <v>2</v>
      </c>
      <c r="E144" s="55">
        <f t="shared" si="20"/>
        <v>6</v>
      </c>
      <c r="F144" s="1">
        <v>4</v>
      </c>
      <c r="G144" s="1">
        <v>5</v>
      </c>
      <c r="H144" s="1">
        <v>1</v>
      </c>
      <c r="I144" s="55">
        <f t="shared" si="21"/>
        <v>10</v>
      </c>
      <c r="J144" s="1"/>
      <c r="K144" s="1"/>
      <c r="L144" s="1"/>
      <c r="M144" s="55">
        <f t="shared" si="22"/>
        <v>0</v>
      </c>
      <c r="N144" s="1"/>
      <c r="O144" s="1"/>
      <c r="P144" s="1"/>
      <c r="Q144" s="55">
        <f t="shared" si="23"/>
        <v>0</v>
      </c>
      <c r="R144" s="55">
        <f>+E144+I144+M144+Q144</f>
        <v>16</v>
      </c>
      <c r="T144" s="4" t="s">
        <v>406</v>
      </c>
    </row>
    <row r="145" spans="1:20" ht="15.75" customHeight="1" x14ac:dyDescent="0.3">
      <c r="A145" s="84" t="s">
        <v>817</v>
      </c>
      <c r="B145" s="1"/>
      <c r="C145" s="1"/>
      <c r="D145" s="1"/>
      <c r="E145" s="55">
        <f t="shared" si="20"/>
        <v>0</v>
      </c>
      <c r="F145" s="1"/>
      <c r="G145" s="1"/>
      <c r="H145" s="1"/>
      <c r="I145" s="55">
        <f t="shared" si="21"/>
        <v>0</v>
      </c>
      <c r="J145" s="1"/>
      <c r="K145" s="1"/>
      <c r="L145" s="1"/>
      <c r="M145" s="55">
        <f t="shared" si="22"/>
        <v>0</v>
      </c>
      <c r="N145" s="1"/>
      <c r="O145" s="1"/>
      <c r="P145" s="1"/>
      <c r="Q145" s="55">
        <f t="shared" si="23"/>
        <v>0</v>
      </c>
      <c r="R145" s="55">
        <f t="shared" ref="R145:R178" si="24">+E145+I145+M145+Q145</f>
        <v>0</v>
      </c>
      <c r="T145" s="4" t="s">
        <v>818</v>
      </c>
    </row>
    <row r="146" spans="1:20" ht="15.75" customHeight="1" x14ac:dyDescent="0.3">
      <c r="A146" s="84" t="s">
        <v>112</v>
      </c>
      <c r="B146" s="1"/>
      <c r="C146" s="1">
        <v>900</v>
      </c>
      <c r="D146" s="1">
        <v>1500</v>
      </c>
      <c r="E146" s="55">
        <f t="shared" si="20"/>
        <v>2400</v>
      </c>
      <c r="F146" s="1">
        <v>1457</v>
      </c>
      <c r="G146" s="1">
        <v>735</v>
      </c>
      <c r="H146" s="1">
        <v>324</v>
      </c>
      <c r="I146" s="55">
        <f t="shared" si="21"/>
        <v>2516</v>
      </c>
      <c r="J146" s="1"/>
      <c r="K146" s="1"/>
      <c r="L146" s="1"/>
      <c r="M146" s="55">
        <f t="shared" si="22"/>
        <v>0</v>
      </c>
      <c r="N146" s="1"/>
      <c r="O146" s="1"/>
      <c r="P146" s="1"/>
      <c r="Q146" s="55">
        <f t="shared" si="23"/>
        <v>0</v>
      </c>
      <c r="R146" s="55">
        <f t="shared" si="24"/>
        <v>4916</v>
      </c>
      <c r="T146" s="4" t="s">
        <v>819</v>
      </c>
    </row>
    <row r="147" spans="1:20" ht="15.75" customHeight="1" x14ac:dyDescent="0.3">
      <c r="A147" s="71" t="s">
        <v>820</v>
      </c>
      <c r="B147" s="1">
        <v>500</v>
      </c>
      <c r="C147" s="1"/>
      <c r="D147" s="1"/>
      <c r="E147" s="55">
        <f t="shared" si="20"/>
        <v>500</v>
      </c>
      <c r="F147" s="1"/>
      <c r="G147" s="1"/>
      <c r="H147" s="1"/>
      <c r="I147" s="55">
        <f t="shared" si="21"/>
        <v>0</v>
      </c>
      <c r="J147" s="1"/>
      <c r="K147" s="1"/>
      <c r="L147" s="1"/>
      <c r="M147" s="55">
        <f t="shared" si="22"/>
        <v>0</v>
      </c>
      <c r="N147" s="1"/>
      <c r="O147" s="1"/>
      <c r="P147" s="1"/>
      <c r="Q147" s="55">
        <f t="shared" si="23"/>
        <v>0</v>
      </c>
      <c r="R147" s="55">
        <f>+E147+I147+M147+Q147</f>
        <v>500</v>
      </c>
      <c r="S147" s="4" t="s">
        <v>821</v>
      </c>
      <c r="T147" s="4" t="s">
        <v>822</v>
      </c>
    </row>
    <row r="148" spans="1:20" ht="15.75" customHeight="1" x14ac:dyDescent="0.3">
      <c r="A148" s="84" t="s">
        <v>177</v>
      </c>
      <c r="B148" s="1"/>
      <c r="C148" s="1">
        <v>1251</v>
      </c>
      <c r="D148" s="1">
        <v>693</v>
      </c>
      <c r="E148" s="55">
        <f t="shared" si="20"/>
        <v>1944</v>
      </c>
      <c r="F148" s="1"/>
      <c r="G148" s="1">
        <v>895</v>
      </c>
      <c r="H148" s="1"/>
      <c r="I148" s="55">
        <f t="shared" si="21"/>
        <v>895</v>
      </c>
      <c r="J148" s="1"/>
      <c r="K148" s="1"/>
      <c r="L148" s="1"/>
      <c r="M148" s="55">
        <f t="shared" si="22"/>
        <v>0</v>
      </c>
      <c r="N148" s="1"/>
      <c r="O148" s="1"/>
      <c r="P148" s="1"/>
      <c r="Q148" s="55">
        <f t="shared" si="23"/>
        <v>0</v>
      </c>
      <c r="R148" s="55">
        <f t="shared" si="24"/>
        <v>2839</v>
      </c>
      <c r="T148" s="4" t="s">
        <v>818</v>
      </c>
    </row>
    <row r="149" spans="1:20" ht="15.75" customHeight="1" x14ac:dyDescent="0.3">
      <c r="A149" s="84" t="s">
        <v>178</v>
      </c>
      <c r="B149" s="1"/>
      <c r="C149" s="1"/>
      <c r="D149" s="1"/>
      <c r="E149" s="55">
        <f t="shared" si="20"/>
        <v>0</v>
      </c>
      <c r="F149" s="1"/>
      <c r="G149" s="1"/>
      <c r="H149" s="1">
        <v>157</v>
      </c>
      <c r="I149" s="55">
        <f t="shared" si="21"/>
        <v>157</v>
      </c>
      <c r="J149" s="1"/>
      <c r="K149" s="1"/>
      <c r="L149" s="1"/>
      <c r="M149" s="55">
        <f t="shared" si="22"/>
        <v>0</v>
      </c>
      <c r="N149" s="1"/>
      <c r="O149" s="1"/>
      <c r="P149" s="1"/>
      <c r="Q149" s="55">
        <f t="shared" si="23"/>
        <v>0</v>
      </c>
      <c r="R149" s="55">
        <f t="shared" si="24"/>
        <v>157</v>
      </c>
      <c r="T149" s="4" t="s">
        <v>819</v>
      </c>
    </row>
    <row r="150" spans="1:20" ht="15.75" customHeight="1" x14ac:dyDescent="0.3">
      <c r="A150" s="84" t="s">
        <v>823</v>
      </c>
      <c r="B150" s="1"/>
      <c r="C150" s="1"/>
      <c r="D150" s="1"/>
      <c r="E150" s="55">
        <f t="shared" si="20"/>
        <v>0</v>
      </c>
      <c r="F150" s="1">
        <v>1000</v>
      </c>
      <c r="G150" s="1">
        <v>1000</v>
      </c>
      <c r="H150" s="1">
        <v>1000</v>
      </c>
      <c r="I150" s="55">
        <f t="shared" si="21"/>
        <v>3000</v>
      </c>
      <c r="J150" s="1">
        <v>1000</v>
      </c>
      <c r="K150" s="1">
        <v>1000</v>
      </c>
      <c r="L150" s="1"/>
      <c r="M150" s="55">
        <f t="shared" si="22"/>
        <v>2000</v>
      </c>
      <c r="N150" s="1"/>
      <c r="O150" s="1"/>
      <c r="P150" s="1"/>
      <c r="Q150" s="55">
        <f t="shared" si="23"/>
        <v>0</v>
      </c>
      <c r="R150" s="55">
        <f>+E150+I150+M150+Q150</f>
        <v>5000</v>
      </c>
      <c r="T150" s="4" t="s">
        <v>812</v>
      </c>
    </row>
    <row r="151" spans="1:20" ht="15.75" customHeight="1" x14ac:dyDescent="0.3">
      <c r="A151" s="71" t="s">
        <v>114</v>
      </c>
      <c r="B151" s="1">
        <v>33</v>
      </c>
      <c r="C151" s="1">
        <v>29</v>
      </c>
      <c r="D151" s="1">
        <v>32</v>
      </c>
      <c r="E151" s="55">
        <f t="shared" si="20"/>
        <v>94</v>
      </c>
      <c r="F151" s="1">
        <v>30</v>
      </c>
      <c r="G151" s="1">
        <v>45</v>
      </c>
      <c r="H151" s="1">
        <v>48</v>
      </c>
      <c r="I151" s="55">
        <f t="shared" si="21"/>
        <v>123</v>
      </c>
      <c r="J151" s="1">
        <v>56</v>
      </c>
      <c r="K151" s="1">
        <v>60</v>
      </c>
      <c r="L151" s="1">
        <v>58</v>
      </c>
      <c r="M151" s="55">
        <f t="shared" si="22"/>
        <v>174</v>
      </c>
      <c r="N151" s="1">
        <v>43</v>
      </c>
      <c r="O151" s="1">
        <v>21</v>
      </c>
      <c r="P151" s="1">
        <v>54</v>
      </c>
      <c r="Q151" s="55">
        <f t="shared" si="23"/>
        <v>118</v>
      </c>
      <c r="R151" s="55">
        <f t="shared" si="24"/>
        <v>509</v>
      </c>
      <c r="T151" s="4" t="s">
        <v>824</v>
      </c>
    </row>
    <row r="152" spans="1:20" ht="15.75" customHeight="1" x14ac:dyDescent="0.3">
      <c r="A152" s="71" t="s">
        <v>115</v>
      </c>
      <c r="B152" s="1">
        <v>158</v>
      </c>
      <c r="C152" s="1">
        <v>130</v>
      </c>
      <c r="D152" s="1">
        <v>141</v>
      </c>
      <c r="E152" s="55">
        <f t="shared" si="20"/>
        <v>429</v>
      </c>
      <c r="F152" s="1">
        <v>144</v>
      </c>
      <c r="G152" s="1">
        <v>142</v>
      </c>
      <c r="H152" s="1">
        <v>165</v>
      </c>
      <c r="I152" s="55">
        <f t="shared" si="21"/>
        <v>451</v>
      </c>
      <c r="J152" s="1">
        <v>175</v>
      </c>
      <c r="K152" s="1">
        <v>194</v>
      </c>
      <c r="L152" s="1">
        <v>179</v>
      </c>
      <c r="M152" s="55">
        <f t="shared" si="22"/>
        <v>548</v>
      </c>
      <c r="N152" s="1">
        <v>154</v>
      </c>
      <c r="O152" s="1">
        <v>152</v>
      </c>
      <c r="P152" s="1">
        <v>131</v>
      </c>
      <c r="Q152" s="55">
        <f t="shared" si="23"/>
        <v>437</v>
      </c>
      <c r="R152" s="55">
        <f t="shared" si="24"/>
        <v>1865</v>
      </c>
      <c r="T152" s="4" t="s">
        <v>825</v>
      </c>
    </row>
    <row r="153" spans="1:20" ht="15.75" customHeight="1" x14ac:dyDescent="0.3">
      <c r="A153" s="71" t="s">
        <v>826</v>
      </c>
      <c r="B153" s="1"/>
      <c r="C153" s="1"/>
      <c r="D153" s="1"/>
      <c r="E153" s="55">
        <f t="shared" si="20"/>
        <v>0</v>
      </c>
      <c r="F153" s="1">
        <v>400</v>
      </c>
      <c r="G153" s="1">
        <v>600</v>
      </c>
      <c r="H153" s="1"/>
      <c r="I153" s="55">
        <f t="shared" si="21"/>
        <v>1000</v>
      </c>
      <c r="J153" s="1"/>
      <c r="K153" s="1"/>
      <c r="L153" s="1">
        <f>130+1482+500</f>
        <v>2112</v>
      </c>
      <c r="M153" s="55">
        <f t="shared" si="22"/>
        <v>2112</v>
      </c>
      <c r="N153" s="1">
        <f>1000+600</f>
        <v>1600</v>
      </c>
      <c r="O153" s="1">
        <v>300</v>
      </c>
      <c r="P153" s="1"/>
      <c r="Q153" s="55">
        <f t="shared" si="23"/>
        <v>1900</v>
      </c>
      <c r="R153" s="55">
        <f t="shared" si="24"/>
        <v>5012</v>
      </c>
      <c r="S153" s="4" t="s">
        <v>821</v>
      </c>
    </row>
    <row r="154" spans="1:20" ht="15.75" customHeight="1" x14ac:dyDescent="0.3">
      <c r="A154" s="84" t="s">
        <v>827</v>
      </c>
      <c r="B154" s="1"/>
      <c r="C154" s="1"/>
      <c r="D154" s="1"/>
      <c r="E154" s="55">
        <f t="shared" si="20"/>
        <v>0</v>
      </c>
      <c r="F154" s="1"/>
      <c r="G154" s="1"/>
      <c r="H154" s="1"/>
      <c r="I154" s="55">
        <f t="shared" si="21"/>
        <v>0</v>
      </c>
      <c r="J154" s="1"/>
      <c r="K154" s="1"/>
      <c r="L154" s="1"/>
      <c r="M154" s="55">
        <f t="shared" si="22"/>
        <v>0</v>
      </c>
      <c r="N154" s="1"/>
      <c r="O154" s="1"/>
      <c r="P154" s="1"/>
      <c r="Q154" s="55">
        <f t="shared" si="23"/>
        <v>0</v>
      </c>
      <c r="R154" s="55">
        <f t="shared" si="24"/>
        <v>0</v>
      </c>
      <c r="T154" s="4" t="s">
        <v>812</v>
      </c>
    </row>
    <row r="155" spans="1:20" ht="15.75" customHeight="1" x14ac:dyDescent="0.3">
      <c r="A155" s="71" t="s">
        <v>828</v>
      </c>
      <c r="B155" s="1">
        <v>385</v>
      </c>
      <c r="C155" s="1">
        <v>356</v>
      </c>
      <c r="D155" s="1">
        <v>428</v>
      </c>
      <c r="E155" s="55">
        <f t="shared" si="20"/>
        <v>1169</v>
      </c>
      <c r="F155" s="1">
        <v>483</v>
      </c>
      <c r="G155" s="1">
        <v>476</v>
      </c>
      <c r="H155" s="1">
        <v>520</v>
      </c>
      <c r="I155" s="55">
        <f t="shared" si="21"/>
        <v>1479</v>
      </c>
      <c r="J155" s="1">
        <v>555</v>
      </c>
      <c r="K155" s="1">
        <v>598</v>
      </c>
      <c r="L155" s="1">
        <v>539</v>
      </c>
      <c r="M155" s="55">
        <f t="shared" si="22"/>
        <v>1692</v>
      </c>
      <c r="N155" s="1">
        <v>529</v>
      </c>
      <c r="O155" s="1">
        <v>446</v>
      </c>
      <c r="P155" s="1">
        <v>411</v>
      </c>
      <c r="Q155" s="55">
        <f t="shared" si="23"/>
        <v>1386</v>
      </c>
      <c r="R155" s="55">
        <f t="shared" si="24"/>
        <v>5726</v>
      </c>
      <c r="T155" s="4" t="s">
        <v>829</v>
      </c>
    </row>
    <row r="156" spans="1:20" ht="15.75" customHeight="1" x14ac:dyDescent="0.3">
      <c r="A156" s="84" t="s">
        <v>830</v>
      </c>
      <c r="B156" s="1"/>
      <c r="C156" s="1"/>
      <c r="D156" s="1"/>
      <c r="E156" s="55">
        <f t="shared" si="20"/>
        <v>0</v>
      </c>
      <c r="F156" s="1"/>
      <c r="G156" s="1"/>
      <c r="H156" s="1"/>
      <c r="I156" s="55">
        <f t="shared" si="21"/>
        <v>0</v>
      </c>
      <c r="J156" s="1">
        <v>508</v>
      </c>
      <c r="K156" s="1"/>
      <c r="L156" s="1"/>
      <c r="M156" s="55">
        <f t="shared" si="22"/>
        <v>508</v>
      </c>
      <c r="N156" s="1"/>
      <c r="O156" s="1"/>
      <c r="P156" s="1"/>
      <c r="Q156" s="55">
        <f t="shared" si="23"/>
        <v>0</v>
      </c>
      <c r="R156" s="55">
        <f t="shared" si="24"/>
        <v>508</v>
      </c>
      <c r="T156" s="4" t="s">
        <v>819</v>
      </c>
    </row>
    <row r="157" spans="1:20" ht="15.75" customHeight="1" x14ac:dyDescent="0.3">
      <c r="A157" s="71" t="s">
        <v>831</v>
      </c>
      <c r="B157" s="1"/>
      <c r="C157" s="1"/>
      <c r="D157" s="1"/>
      <c r="E157" s="55">
        <f t="shared" ref="E157:E175" si="25">SUM(B157:D157)</f>
        <v>0</v>
      </c>
      <c r="F157" s="1"/>
      <c r="G157" s="1"/>
      <c r="H157" s="1"/>
      <c r="I157" s="55">
        <f t="shared" ref="I157:I176" si="26">SUM(F157:H157)</f>
        <v>0</v>
      </c>
      <c r="J157" s="1"/>
      <c r="K157" s="1"/>
      <c r="L157" s="1">
        <f>139+350</f>
        <v>489</v>
      </c>
      <c r="M157" s="55">
        <f t="shared" ref="M157:M176" si="27">SUM(J157:L157)</f>
        <v>489</v>
      </c>
      <c r="N157" s="1">
        <f>816+400</f>
        <v>1216</v>
      </c>
      <c r="O157" s="1">
        <f>562+398</f>
        <v>960</v>
      </c>
      <c r="P157" s="1">
        <v>117</v>
      </c>
      <c r="Q157" s="55">
        <f t="shared" ref="Q157:Q174" si="28">SUM(N157:P157)</f>
        <v>2293</v>
      </c>
      <c r="R157" s="55">
        <f t="shared" si="24"/>
        <v>2782</v>
      </c>
      <c r="S157" s="4" t="s">
        <v>821</v>
      </c>
      <c r="T157" s="4" t="s">
        <v>822</v>
      </c>
    </row>
    <row r="158" spans="1:20" s="123" customFormat="1" ht="15.75" customHeight="1" x14ac:dyDescent="0.3">
      <c r="A158" s="289" t="s">
        <v>697</v>
      </c>
      <c r="B158" s="121"/>
      <c r="C158" s="121"/>
      <c r="D158" s="121"/>
      <c r="E158" s="113">
        <f t="shared" si="25"/>
        <v>0</v>
      </c>
      <c r="F158" s="121"/>
      <c r="G158" s="121"/>
      <c r="H158" s="121"/>
      <c r="I158" s="113">
        <f t="shared" si="26"/>
        <v>0</v>
      </c>
      <c r="J158" s="121"/>
      <c r="K158" s="121"/>
      <c r="L158" s="121"/>
      <c r="M158" s="113">
        <f t="shared" si="27"/>
        <v>0</v>
      </c>
      <c r="N158" s="121"/>
      <c r="O158" s="121"/>
      <c r="P158" s="121"/>
      <c r="Q158" s="113">
        <f t="shared" si="28"/>
        <v>0</v>
      </c>
      <c r="R158" s="113">
        <f t="shared" si="24"/>
        <v>0</v>
      </c>
    </row>
    <row r="159" spans="1:20" ht="15.75" customHeight="1" x14ac:dyDescent="0.3">
      <c r="A159" s="71" t="s">
        <v>698</v>
      </c>
      <c r="B159" s="1"/>
      <c r="C159" s="1"/>
      <c r="D159" s="1">
        <v>12</v>
      </c>
      <c r="E159" s="55">
        <f t="shared" ref="E159:E166" si="29">SUM(B159:D159)</f>
        <v>12</v>
      </c>
      <c r="F159" s="1">
        <v>881</v>
      </c>
      <c r="G159" s="1">
        <v>834</v>
      </c>
      <c r="H159" s="1">
        <v>1076</v>
      </c>
      <c r="I159" s="55">
        <f t="shared" si="26"/>
        <v>2791</v>
      </c>
      <c r="J159" s="1">
        <v>1130</v>
      </c>
      <c r="K159" s="1">
        <v>1036</v>
      </c>
      <c r="L159" s="1">
        <v>927</v>
      </c>
      <c r="M159" s="55">
        <f t="shared" si="27"/>
        <v>3093</v>
      </c>
      <c r="N159" s="1">
        <v>1227</v>
      </c>
      <c r="O159" s="1">
        <v>1449</v>
      </c>
      <c r="P159" s="1">
        <v>1331</v>
      </c>
      <c r="Q159" s="55">
        <f t="shared" si="28"/>
        <v>4007</v>
      </c>
      <c r="R159" s="55">
        <f t="shared" si="24"/>
        <v>9903</v>
      </c>
      <c r="T159" s="4" t="s">
        <v>832</v>
      </c>
    </row>
    <row r="160" spans="1:20" ht="15.75" customHeight="1" x14ac:dyDescent="0.3">
      <c r="A160" s="84" t="s">
        <v>833</v>
      </c>
      <c r="B160" s="1"/>
      <c r="C160" s="1"/>
      <c r="D160" s="1"/>
      <c r="E160" s="55">
        <f t="shared" si="29"/>
        <v>0</v>
      </c>
      <c r="F160" s="1"/>
      <c r="G160" s="1"/>
      <c r="H160" s="1"/>
      <c r="I160" s="55">
        <f t="shared" si="26"/>
        <v>0</v>
      </c>
      <c r="J160" s="1"/>
      <c r="K160" s="1"/>
      <c r="L160" s="1"/>
      <c r="M160" s="55">
        <f t="shared" si="27"/>
        <v>0</v>
      </c>
      <c r="N160" s="1"/>
      <c r="O160" s="1"/>
      <c r="P160" s="1"/>
      <c r="Q160" s="55">
        <f t="shared" si="28"/>
        <v>0</v>
      </c>
      <c r="R160" s="55">
        <f t="shared" si="24"/>
        <v>0</v>
      </c>
      <c r="T160" s="4" t="s">
        <v>812</v>
      </c>
    </row>
    <row r="161" spans="1:20" ht="15.75" customHeight="1" x14ac:dyDescent="0.3">
      <c r="A161" s="71" t="s">
        <v>834</v>
      </c>
      <c r="B161" s="1"/>
      <c r="C161" s="1"/>
      <c r="D161" s="1"/>
      <c r="E161" s="55">
        <f t="shared" si="29"/>
        <v>0</v>
      </c>
      <c r="F161" s="1"/>
      <c r="G161" s="1"/>
      <c r="H161" s="1"/>
      <c r="I161" s="55">
        <f t="shared" si="26"/>
        <v>0</v>
      </c>
      <c r="J161" s="1">
        <v>900</v>
      </c>
      <c r="K161" s="1"/>
      <c r="L161" s="1"/>
      <c r="M161" s="55">
        <f t="shared" si="27"/>
        <v>900</v>
      </c>
      <c r="N161" s="1"/>
      <c r="O161" s="1"/>
      <c r="P161" s="1"/>
      <c r="Q161" s="55">
        <f t="shared" si="28"/>
        <v>0</v>
      </c>
      <c r="R161" s="55">
        <f t="shared" si="24"/>
        <v>900</v>
      </c>
    </row>
    <row r="162" spans="1:20" ht="15.75" customHeight="1" x14ac:dyDescent="0.3">
      <c r="A162" s="71" t="s">
        <v>835</v>
      </c>
      <c r="B162" s="1"/>
      <c r="C162" s="1"/>
      <c r="D162" s="1"/>
      <c r="E162" s="55">
        <f t="shared" si="29"/>
        <v>0</v>
      </c>
      <c r="F162" s="1"/>
      <c r="G162" s="1"/>
      <c r="H162" s="1"/>
      <c r="I162" s="55">
        <f t="shared" si="26"/>
        <v>0</v>
      </c>
      <c r="J162" s="1">
        <v>1000</v>
      </c>
      <c r="K162" s="1">
        <v>500</v>
      </c>
      <c r="L162" s="1"/>
      <c r="M162" s="55">
        <f t="shared" si="27"/>
        <v>1500</v>
      </c>
      <c r="N162" s="1">
        <v>480</v>
      </c>
      <c r="O162" s="1"/>
      <c r="P162" s="1">
        <v>300</v>
      </c>
      <c r="Q162" s="55">
        <f t="shared" si="28"/>
        <v>780</v>
      </c>
      <c r="R162" s="55">
        <f t="shared" si="24"/>
        <v>2280</v>
      </c>
      <c r="S162" s="4" t="s">
        <v>821</v>
      </c>
      <c r="T162" s="4" t="s">
        <v>836</v>
      </c>
    </row>
    <row r="163" spans="1:20" ht="15.75" customHeight="1" x14ac:dyDescent="0.3">
      <c r="A163" s="84" t="s">
        <v>837</v>
      </c>
      <c r="B163" s="1"/>
      <c r="C163" s="1"/>
      <c r="D163" s="1"/>
      <c r="E163" s="55">
        <f t="shared" si="29"/>
        <v>0</v>
      </c>
      <c r="F163" s="1">
        <v>229</v>
      </c>
      <c r="G163" s="1"/>
      <c r="H163" s="1"/>
      <c r="I163" s="55">
        <f t="shared" si="26"/>
        <v>229</v>
      </c>
      <c r="J163" s="1"/>
      <c r="K163" s="1"/>
      <c r="L163" s="1"/>
      <c r="M163" s="55">
        <f t="shared" si="27"/>
        <v>0</v>
      </c>
      <c r="N163" s="1"/>
      <c r="O163" s="1"/>
      <c r="P163" s="1"/>
      <c r="Q163" s="55">
        <f t="shared" si="28"/>
        <v>0</v>
      </c>
      <c r="R163" s="55">
        <f t="shared" si="24"/>
        <v>229</v>
      </c>
      <c r="T163" s="4" t="s">
        <v>818</v>
      </c>
    </row>
    <row r="164" spans="1:20" ht="15.75" customHeight="1" x14ac:dyDescent="0.3">
      <c r="A164" s="84" t="s">
        <v>838</v>
      </c>
      <c r="B164" s="1"/>
      <c r="C164" s="1"/>
      <c r="D164" s="1"/>
      <c r="E164" s="55">
        <f t="shared" si="29"/>
        <v>0</v>
      </c>
      <c r="F164" s="1"/>
      <c r="G164" s="1"/>
      <c r="H164" s="1"/>
      <c r="I164" s="55">
        <f t="shared" si="26"/>
        <v>0</v>
      </c>
      <c r="J164" s="1"/>
      <c r="K164" s="1"/>
      <c r="L164" s="1"/>
      <c r="M164" s="55">
        <f t="shared" si="27"/>
        <v>0</v>
      </c>
      <c r="N164" s="1"/>
      <c r="O164" s="1"/>
      <c r="P164" s="1"/>
      <c r="Q164" s="55">
        <f t="shared" si="28"/>
        <v>0</v>
      </c>
      <c r="R164" s="55">
        <f t="shared" si="24"/>
        <v>0</v>
      </c>
      <c r="T164" s="4" t="s">
        <v>819</v>
      </c>
    </row>
    <row r="165" spans="1:20" ht="15.75" customHeight="1" x14ac:dyDescent="0.3">
      <c r="A165" s="71" t="s">
        <v>120</v>
      </c>
      <c r="B165" s="1">
        <v>14</v>
      </c>
      <c r="C165" s="1">
        <v>20</v>
      </c>
      <c r="D165" s="1">
        <v>33</v>
      </c>
      <c r="E165" s="55">
        <f t="shared" si="29"/>
        <v>67</v>
      </c>
      <c r="F165" s="1">
        <v>57</v>
      </c>
      <c r="G165" s="1">
        <v>45</v>
      </c>
      <c r="H165" s="1">
        <v>68</v>
      </c>
      <c r="I165" s="55">
        <f t="shared" si="26"/>
        <v>170</v>
      </c>
      <c r="J165" s="1">
        <v>75</v>
      </c>
      <c r="K165" s="1">
        <v>82</v>
      </c>
      <c r="L165" s="1">
        <v>56</v>
      </c>
      <c r="M165" s="55">
        <f t="shared" si="27"/>
        <v>213</v>
      </c>
      <c r="N165" s="1">
        <v>52</v>
      </c>
      <c r="O165" s="1">
        <v>24</v>
      </c>
      <c r="P165" s="1">
        <v>18</v>
      </c>
      <c r="Q165" s="55">
        <f t="shared" si="28"/>
        <v>94</v>
      </c>
      <c r="R165" s="55">
        <f t="shared" si="24"/>
        <v>544</v>
      </c>
      <c r="T165" s="4" t="s">
        <v>406</v>
      </c>
    </row>
    <row r="166" spans="1:20" ht="15.75" customHeight="1" x14ac:dyDescent="0.3">
      <c r="A166" s="84" t="s">
        <v>839</v>
      </c>
      <c r="B166" s="1"/>
      <c r="C166" s="1"/>
      <c r="D166" s="1"/>
      <c r="E166" s="55">
        <f t="shared" si="29"/>
        <v>0</v>
      </c>
      <c r="F166" s="1"/>
      <c r="G166" s="1"/>
      <c r="H166" s="1"/>
      <c r="I166" s="55">
        <f t="shared" si="26"/>
        <v>0</v>
      </c>
      <c r="J166" s="1"/>
      <c r="K166" s="1"/>
      <c r="L166" s="1"/>
      <c r="M166" s="55">
        <f t="shared" si="27"/>
        <v>0</v>
      </c>
      <c r="N166" s="1"/>
      <c r="O166" s="1"/>
      <c r="P166" s="1"/>
      <c r="Q166" s="55">
        <f t="shared" si="28"/>
        <v>0</v>
      </c>
      <c r="R166" s="55">
        <f t="shared" si="24"/>
        <v>0</v>
      </c>
      <c r="T166" s="4" t="s">
        <v>818</v>
      </c>
    </row>
    <row r="167" spans="1:20" ht="15.75" customHeight="1" x14ac:dyDescent="0.3">
      <c r="A167" s="84" t="s">
        <v>840</v>
      </c>
      <c r="B167" s="1"/>
      <c r="C167" s="1"/>
      <c r="D167" s="1"/>
      <c r="E167" s="55">
        <f t="shared" si="25"/>
        <v>0</v>
      </c>
      <c r="F167" s="1"/>
      <c r="G167" s="1"/>
      <c r="H167" s="1"/>
      <c r="I167" s="55">
        <f t="shared" si="26"/>
        <v>0</v>
      </c>
      <c r="J167" s="1"/>
      <c r="K167" s="1"/>
      <c r="L167" s="1"/>
      <c r="M167" s="55">
        <f t="shared" si="27"/>
        <v>0</v>
      </c>
      <c r="N167" s="1"/>
      <c r="O167" s="1"/>
      <c r="P167" s="1"/>
      <c r="Q167" s="55">
        <f t="shared" si="28"/>
        <v>0</v>
      </c>
      <c r="R167" s="55">
        <f t="shared" si="24"/>
        <v>0</v>
      </c>
      <c r="T167" s="4" t="s">
        <v>819</v>
      </c>
    </row>
    <row r="168" spans="1:20" ht="15.75" customHeight="1" x14ac:dyDescent="0.3">
      <c r="A168" s="84" t="s">
        <v>841</v>
      </c>
      <c r="B168" s="1"/>
      <c r="C168" s="1"/>
      <c r="D168" s="1"/>
      <c r="E168" s="55">
        <f t="shared" si="25"/>
        <v>0</v>
      </c>
      <c r="F168" s="1"/>
      <c r="G168" s="1"/>
      <c r="H168" s="1"/>
      <c r="I168" s="55">
        <f t="shared" si="26"/>
        <v>0</v>
      </c>
      <c r="J168" s="1"/>
      <c r="K168" s="1">
        <v>84</v>
      </c>
      <c r="L168" s="1">
        <v>70</v>
      </c>
      <c r="M168" s="55">
        <f t="shared" si="27"/>
        <v>154</v>
      </c>
      <c r="N168" s="1">
        <v>58</v>
      </c>
      <c r="O168" s="1">
        <v>34</v>
      </c>
      <c r="P168" s="1">
        <v>13</v>
      </c>
      <c r="Q168" s="55">
        <f t="shared" si="28"/>
        <v>105</v>
      </c>
      <c r="R168" s="55">
        <f t="shared" si="24"/>
        <v>259</v>
      </c>
      <c r="T168" s="4" t="s">
        <v>842</v>
      </c>
    </row>
    <row r="169" spans="1:20" ht="15.75" customHeight="1" x14ac:dyDescent="0.3">
      <c r="A169" s="84" t="s">
        <v>843</v>
      </c>
      <c r="B169" s="1"/>
      <c r="C169" s="1"/>
      <c r="D169" s="1"/>
      <c r="E169" s="55">
        <f t="shared" si="25"/>
        <v>0</v>
      </c>
      <c r="F169" s="1"/>
      <c r="G169" s="1"/>
      <c r="H169" s="1"/>
      <c r="I169" s="55">
        <f t="shared" si="26"/>
        <v>0</v>
      </c>
      <c r="J169" s="1">
        <v>144</v>
      </c>
      <c r="K169" s="1">
        <v>137</v>
      </c>
      <c r="L169" s="1">
        <v>73</v>
      </c>
      <c r="M169" s="55">
        <f t="shared" si="27"/>
        <v>354</v>
      </c>
      <c r="N169" s="1">
        <v>69</v>
      </c>
      <c r="O169" s="1">
        <v>11</v>
      </c>
      <c r="P169" s="1">
        <v>3</v>
      </c>
      <c r="Q169" s="55">
        <f t="shared" si="28"/>
        <v>83</v>
      </c>
      <c r="R169" s="55">
        <f t="shared" si="24"/>
        <v>437</v>
      </c>
      <c r="T169" s="4" t="s">
        <v>406</v>
      </c>
    </row>
    <row r="170" spans="1:20" ht="15.75" customHeight="1" x14ac:dyDescent="0.3">
      <c r="A170" s="84" t="s">
        <v>844</v>
      </c>
      <c r="B170" s="1"/>
      <c r="C170" s="1"/>
      <c r="D170" s="1"/>
      <c r="E170" s="55">
        <f t="shared" si="25"/>
        <v>0</v>
      </c>
      <c r="F170" s="1"/>
      <c r="G170" s="1"/>
      <c r="H170" s="1"/>
      <c r="I170" s="55">
        <f t="shared" si="26"/>
        <v>0</v>
      </c>
      <c r="J170" s="1">
        <v>11</v>
      </c>
      <c r="K170" s="1">
        <v>8</v>
      </c>
      <c r="L170" s="1">
        <v>12</v>
      </c>
      <c r="M170" s="55">
        <f t="shared" si="27"/>
        <v>31</v>
      </c>
      <c r="N170" s="1">
        <v>12</v>
      </c>
      <c r="O170" s="1">
        <v>4</v>
      </c>
      <c r="P170" s="1"/>
      <c r="Q170" s="55">
        <f t="shared" si="28"/>
        <v>16</v>
      </c>
      <c r="R170" s="55">
        <f t="shared" si="24"/>
        <v>47</v>
      </c>
      <c r="T170" s="4" t="s">
        <v>812</v>
      </c>
    </row>
    <row r="171" spans="1:20" ht="15.75" customHeight="1" x14ac:dyDescent="0.3">
      <c r="A171" s="71" t="s">
        <v>845</v>
      </c>
      <c r="B171" s="1"/>
      <c r="C171" s="1"/>
      <c r="D171" s="1"/>
      <c r="E171" s="55">
        <f t="shared" si="25"/>
        <v>0</v>
      </c>
      <c r="F171" s="1"/>
      <c r="G171" s="1"/>
      <c r="H171" s="1"/>
      <c r="I171" s="55">
        <f t="shared" si="26"/>
        <v>0</v>
      </c>
      <c r="J171" s="1">
        <v>1029</v>
      </c>
      <c r="K171" s="1">
        <v>1035</v>
      </c>
      <c r="L171" s="1">
        <v>940</v>
      </c>
      <c r="M171" s="55">
        <f t="shared" si="27"/>
        <v>3004</v>
      </c>
      <c r="N171" s="1">
        <v>891</v>
      </c>
      <c r="O171" s="1">
        <v>756</v>
      </c>
      <c r="P171" s="1">
        <v>722</v>
      </c>
      <c r="Q171" s="55">
        <f t="shared" si="28"/>
        <v>2369</v>
      </c>
      <c r="R171" s="55">
        <f t="shared" si="24"/>
        <v>5373</v>
      </c>
      <c r="T171" s="4" t="s">
        <v>832</v>
      </c>
    </row>
    <row r="172" spans="1:20" ht="15.75" customHeight="1" x14ac:dyDescent="0.3">
      <c r="A172" s="71" t="s">
        <v>846</v>
      </c>
      <c r="B172" s="1"/>
      <c r="C172" s="1"/>
      <c r="D172" s="1"/>
      <c r="E172" s="55">
        <f t="shared" si="25"/>
        <v>0</v>
      </c>
      <c r="F172" s="1"/>
      <c r="G172" s="1"/>
      <c r="H172" s="1"/>
      <c r="I172" s="55">
        <f t="shared" si="26"/>
        <v>0</v>
      </c>
      <c r="J172" s="1">
        <v>3000</v>
      </c>
      <c r="K172" s="1">
        <v>2350</v>
      </c>
      <c r="L172" s="1">
        <v>2000</v>
      </c>
      <c r="M172" s="55">
        <f t="shared" si="27"/>
        <v>7350</v>
      </c>
      <c r="N172" s="1">
        <v>150</v>
      </c>
      <c r="O172" s="1"/>
      <c r="P172" s="1"/>
      <c r="Q172" s="55">
        <f t="shared" si="28"/>
        <v>150</v>
      </c>
      <c r="R172" s="55">
        <f t="shared" si="24"/>
        <v>7500</v>
      </c>
      <c r="S172" s="4" t="s">
        <v>821</v>
      </c>
      <c r="T172" s="4" t="s">
        <v>822</v>
      </c>
    </row>
    <row r="173" spans="1:20" ht="15.75" customHeight="1" x14ac:dyDescent="0.3">
      <c r="A173" s="71" t="s">
        <v>847</v>
      </c>
      <c r="B173" s="1"/>
      <c r="C173" s="1"/>
      <c r="D173" s="1"/>
      <c r="E173" s="55">
        <f t="shared" si="25"/>
        <v>0</v>
      </c>
      <c r="F173" s="1"/>
      <c r="G173" s="1"/>
      <c r="H173" s="1"/>
      <c r="I173" s="55">
        <f t="shared" si="26"/>
        <v>0</v>
      </c>
      <c r="J173" s="1"/>
      <c r="K173" s="1"/>
      <c r="L173" s="1"/>
      <c r="M173" s="55">
        <f t="shared" si="27"/>
        <v>0</v>
      </c>
      <c r="N173" s="1"/>
      <c r="O173" s="1"/>
      <c r="P173" s="1"/>
      <c r="Q173" s="55">
        <f t="shared" si="28"/>
        <v>0</v>
      </c>
      <c r="R173" s="55">
        <f t="shared" si="24"/>
        <v>0</v>
      </c>
      <c r="T173" s="4" t="s">
        <v>822</v>
      </c>
    </row>
    <row r="174" spans="1:20" ht="15.75" customHeight="1" x14ac:dyDescent="0.3">
      <c r="A174" s="71" t="s">
        <v>1117</v>
      </c>
      <c r="B174" s="1">
        <f>7542+400</f>
        <v>7942</v>
      </c>
      <c r="C174" s="1">
        <f>7211+400</f>
        <v>7611</v>
      </c>
      <c r="D174" s="1">
        <f>9687+400</f>
        <v>10087</v>
      </c>
      <c r="E174" s="55">
        <f t="shared" si="25"/>
        <v>25640</v>
      </c>
      <c r="F174" s="1">
        <f>11357+400</f>
        <v>11757</v>
      </c>
      <c r="G174" s="1">
        <f>347+400</f>
        <v>747</v>
      </c>
      <c r="H174" s="1">
        <v>400</v>
      </c>
      <c r="I174" s="55">
        <f t="shared" si="26"/>
        <v>12904</v>
      </c>
      <c r="J174" s="1">
        <f>9381+2745+97+4000+1030</f>
        <v>17253</v>
      </c>
      <c r="K174" s="1">
        <f>9248+1+3813+3+94+1000+1030</f>
        <v>15189</v>
      </c>
      <c r="L174" s="1">
        <f>8050+1+3219+3+42+1030</f>
        <v>12345</v>
      </c>
      <c r="M174" s="55">
        <f t="shared" si="27"/>
        <v>44787</v>
      </c>
      <c r="N174" s="1">
        <f>1+2915+2+52+5250+1030</f>
        <v>9250</v>
      </c>
      <c r="O174" s="1">
        <f>5922+1+2465+2+36+1030</f>
        <v>9456</v>
      </c>
      <c r="P174" s="1">
        <v>11130</v>
      </c>
      <c r="Q174" s="55">
        <f t="shared" si="28"/>
        <v>29836</v>
      </c>
      <c r="R174" s="55">
        <f t="shared" si="24"/>
        <v>113167</v>
      </c>
      <c r="S174" s="4" t="s">
        <v>821</v>
      </c>
    </row>
    <row r="175" spans="1:20" ht="15.75" customHeight="1" x14ac:dyDescent="0.3">
      <c r="A175" s="71" t="s">
        <v>849</v>
      </c>
      <c r="B175" s="1">
        <v>30</v>
      </c>
      <c r="C175" s="1">
        <v>30</v>
      </c>
      <c r="D175" s="1">
        <v>30</v>
      </c>
      <c r="E175" s="55">
        <f t="shared" si="25"/>
        <v>90</v>
      </c>
      <c r="F175" s="1">
        <v>30</v>
      </c>
      <c r="G175" s="1">
        <v>35</v>
      </c>
      <c r="H175" s="1">
        <v>35</v>
      </c>
      <c r="I175" s="55">
        <f t="shared" si="26"/>
        <v>100</v>
      </c>
      <c r="J175" s="1">
        <v>35</v>
      </c>
      <c r="K175" s="1">
        <v>35</v>
      </c>
      <c r="L175" s="1">
        <v>35</v>
      </c>
      <c r="M175" s="55">
        <f t="shared" si="27"/>
        <v>105</v>
      </c>
      <c r="N175" s="1">
        <v>30</v>
      </c>
      <c r="O175" s="1">
        <v>30</v>
      </c>
      <c r="P175" s="1">
        <v>30</v>
      </c>
      <c r="Q175" s="55">
        <f t="shared" ref="Q175:Q181" si="30">SUM(N175:P175)</f>
        <v>90</v>
      </c>
      <c r="R175" s="55">
        <f t="shared" si="24"/>
        <v>385</v>
      </c>
      <c r="S175" s="4" t="s">
        <v>821</v>
      </c>
      <c r="T175" s="4" t="s">
        <v>822</v>
      </c>
    </row>
    <row r="176" spans="1:20" ht="15.75" customHeight="1" x14ac:dyDescent="0.3">
      <c r="A176" s="71" t="s">
        <v>1118</v>
      </c>
      <c r="B176" s="1">
        <v>2358</v>
      </c>
      <c r="C176" s="1">
        <v>925</v>
      </c>
      <c r="D176" s="1">
        <v>3000</v>
      </c>
      <c r="E176" s="55">
        <f t="shared" ref="E176:E181" si="31">SUM(B176:D176)</f>
        <v>6283</v>
      </c>
      <c r="F176" s="1">
        <v>4000</v>
      </c>
      <c r="G176" s="1">
        <v>2000</v>
      </c>
      <c r="H176" s="1">
        <v>3000</v>
      </c>
      <c r="I176" s="55">
        <f t="shared" si="26"/>
        <v>9000</v>
      </c>
      <c r="J176" s="1">
        <f>126+924+4438+54+86+2000</f>
        <v>7628</v>
      </c>
      <c r="K176" s="1">
        <f>106+956+5271+49+86</f>
        <v>6468</v>
      </c>
      <c r="L176" s="1">
        <f>60+550+4339+19+86</f>
        <v>5054</v>
      </c>
      <c r="M176" s="55">
        <f t="shared" si="27"/>
        <v>19150</v>
      </c>
      <c r="N176" s="1">
        <f>583+116+596+4808+49</f>
        <v>6152</v>
      </c>
      <c r="O176" s="1">
        <f>307+83+509+4820+22</f>
        <v>5741</v>
      </c>
      <c r="P176" s="1">
        <v>5265</v>
      </c>
      <c r="Q176" s="55">
        <f t="shared" si="30"/>
        <v>17158</v>
      </c>
      <c r="R176" s="55">
        <f t="shared" si="24"/>
        <v>51591</v>
      </c>
      <c r="S176" s="4" t="s">
        <v>821</v>
      </c>
    </row>
    <row r="177" spans="1:20" ht="15.75" customHeight="1" x14ac:dyDescent="0.3">
      <c r="A177" s="84" t="s">
        <v>851</v>
      </c>
      <c r="B177" s="1"/>
      <c r="C177" s="1"/>
      <c r="D177" s="1"/>
      <c r="E177" s="55">
        <f t="shared" si="31"/>
        <v>0</v>
      </c>
      <c r="F177" s="1"/>
      <c r="G177" s="1"/>
      <c r="H177" s="1"/>
      <c r="I177" s="55">
        <f>SUM(F177:H177)</f>
        <v>0</v>
      </c>
      <c r="J177" s="1"/>
      <c r="K177" s="1"/>
      <c r="L177" s="1"/>
      <c r="M177" s="55">
        <f>SUM(J177:L177)</f>
        <v>0</v>
      </c>
      <c r="N177" s="1"/>
      <c r="O177" s="1"/>
      <c r="P177" s="1"/>
      <c r="Q177" s="55">
        <f t="shared" si="30"/>
        <v>0</v>
      </c>
      <c r="R177" s="55">
        <f t="shared" si="24"/>
        <v>0</v>
      </c>
      <c r="T177" s="4" t="s">
        <v>818</v>
      </c>
    </row>
    <row r="178" spans="1:20" ht="15.75" customHeight="1" x14ac:dyDescent="0.3">
      <c r="A178" s="84" t="s">
        <v>852</v>
      </c>
      <c r="B178" s="1">
        <v>147</v>
      </c>
      <c r="C178" s="1">
        <v>1403</v>
      </c>
      <c r="D178" s="1">
        <v>1428</v>
      </c>
      <c r="E178" s="55">
        <f t="shared" si="31"/>
        <v>2978</v>
      </c>
      <c r="F178" s="1"/>
      <c r="G178" s="1"/>
      <c r="H178" s="1">
        <v>462</v>
      </c>
      <c r="I178" s="55">
        <f>SUM(F178:H178)</f>
        <v>462</v>
      </c>
      <c r="J178" s="1">
        <v>2136</v>
      </c>
      <c r="K178" s="1">
        <v>946</v>
      </c>
      <c r="L178" s="1">
        <v>3727</v>
      </c>
      <c r="M178" s="55">
        <f>SUM(J178:L178)</f>
        <v>6809</v>
      </c>
      <c r="N178" s="1"/>
      <c r="O178" s="1"/>
      <c r="P178" s="1"/>
      <c r="Q178" s="55">
        <f t="shared" si="30"/>
        <v>0</v>
      </c>
      <c r="R178" s="55">
        <f t="shared" si="24"/>
        <v>10249</v>
      </c>
      <c r="T178" s="4" t="s">
        <v>819</v>
      </c>
    </row>
    <row r="179" spans="1:20" ht="15.75" customHeight="1" x14ac:dyDescent="0.3">
      <c r="A179" s="71" t="s">
        <v>854</v>
      </c>
      <c r="B179" s="1">
        <v>122</v>
      </c>
      <c r="C179" s="1">
        <f>206+94</f>
        <v>300</v>
      </c>
      <c r="D179" s="1">
        <f>256+94</f>
        <v>350</v>
      </c>
      <c r="E179" s="55">
        <f t="shared" si="31"/>
        <v>772</v>
      </c>
      <c r="F179" s="1">
        <f>256+94</f>
        <v>350</v>
      </c>
      <c r="G179" s="1">
        <f>306+94</f>
        <v>400</v>
      </c>
      <c r="H179" s="1">
        <f>356+94</f>
        <v>450</v>
      </c>
      <c r="I179" s="55">
        <f>SUM(F179:H179)</f>
        <v>1200</v>
      </c>
      <c r="J179" s="1">
        <v>493</v>
      </c>
      <c r="K179" s="1">
        <v>500</v>
      </c>
      <c r="L179" s="1">
        <v>400</v>
      </c>
      <c r="M179" s="55">
        <f>SUM(J179:L179)</f>
        <v>1393</v>
      </c>
      <c r="N179" s="1">
        <v>400</v>
      </c>
      <c r="O179" s="1">
        <v>300</v>
      </c>
      <c r="P179" s="1">
        <v>250</v>
      </c>
      <c r="Q179" s="55">
        <f t="shared" si="30"/>
        <v>950</v>
      </c>
      <c r="R179" s="55">
        <f>+E179+I179+M179+Q179</f>
        <v>4315</v>
      </c>
      <c r="S179" s="4" t="s">
        <v>821</v>
      </c>
      <c r="T179" s="4" t="s">
        <v>822</v>
      </c>
    </row>
    <row r="180" spans="1:20" ht="15.75" customHeight="1" x14ac:dyDescent="0.3">
      <c r="A180" s="71" t="s">
        <v>700</v>
      </c>
      <c r="B180" s="1">
        <v>2</v>
      </c>
      <c r="C180" s="1">
        <v>2</v>
      </c>
      <c r="D180" s="1">
        <v>2</v>
      </c>
      <c r="E180" s="55">
        <f t="shared" si="31"/>
        <v>6</v>
      </c>
      <c r="F180" s="1">
        <v>2</v>
      </c>
      <c r="G180" s="1">
        <v>2</v>
      </c>
      <c r="H180" s="1">
        <v>3</v>
      </c>
      <c r="I180" s="55">
        <f>SUM(F180:H180)</f>
        <v>7</v>
      </c>
      <c r="J180" s="1">
        <v>3</v>
      </c>
      <c r="K180" s="1">
        <v>3</v>
      </c>
      <c r="L180" s="1">
        <v>2</v>
      </c>
      <c r="M180" s="55">
        <f>SUM(J180:L180)</f>
        <v>8</v>
      </c>
      <c r="N180" s="1">
        <v>2</v>
      </c>
      <c r="O180" s="1">
        <v>2</v>
      </c>
      <c r="P180" s="1">
        <v>1</v>
      </c>
      <c r="Q180" s="55">
        <f t="shared" si="30"/>
        <v>5</v>
      </c>
      <c r="R180" s="55">
        <f>+E180+I180+M180+Q180</f>
        <v>26</v>
      </c>
      <c r="S180" s="4">
        <f>SUM(R140:R180)</f>
        <v>257920</v>
      </c>
    </row>
    <row r="181" spans="1:20" ht="15.75" customHeight="1" x14ac:dyDescent="0.3">
      <c r="A181" s="71" t="s">
        <v>855</v>
      </c>
      <c r="B181" s="1"/>
      <c r="C181" s="1"/>
      <c r="D181" s="1"/>
      <c r="E181" s="55">
        <f t="shared" si="31"/>
        <v>0</v>
      </c>
      <c r="F181" s="1"/>
      <c r="G181" s="1"/>
      <c r="H181" s="1"/>
      <c r="I181" s="55">
        <f>SUM(F181:H181)</f>
        <v>0</v>
      </c>
      <c r="J181" s="1"/>
      <c r="K181" s="1"/>
      <c r="L181" s="1"/>
      <c r="M181" s="55">
        <f>SUM(J181:L181)</f>
        <v>0</v>
      </c>
      <c r="N181" s="1">
        <v>100</v>
      </c>
      <c r="O181" s="1"/>
      <c r="P181" s="1"/>
      <c r="Q181" s="55">
        <f t="shared" si="30"/>
        <v>100</v>
      </c>
      <c r="R181" s="55">
        <f>+E181+I181+M181+Q181</f>
        <v>100</v>
      </c>
      <c r="S181" s="4" t="s">
        <v>821</v>
      </c>
      <c r="T181" s="4" t="s">
        <v>822</v>
      </c>
    </row>
    <row r="182" spans="1:20" ht="15.75" customHeight="1" x14ac:dyDescent="0.3">
      <c r="A182" s="15" t="s">
        <v>50</v>
      </c>
      <c r="B182" s="1"/>
      <c r="C182" s="1"/>
      <c r="D182" s="1"/>
      <c r="E182" s="55" t="s">
        <v>7</v>
      </c>
      <c r="F182" s="1"/>
      <c r="G182" s="1"/>
      <c r="H182" s="1"/>
      <c r="I182" s="55" t="s">
        <v>7</v>
      </c>
      <c r="J182" s="1"/>
      <c r="K182" s="1"/>
      <c r="L182" s="1"/>
      <c r="M182" s="55" t="s">
        <v>7</v>
      </c>
      <c r="N182" s="1"/>
      <c r="O182" s="1"/>
      <c r="P182" s="1"/>
      <c r="Q182" s="55" t="s">
        <v>7</v>
      </c>
      <c r="R182" s="55" t="s">
        <v>7</v>
      </c>
    </row>
    <row r="183" spans="1:20" ht="15.75" customHeight="1" x14ac:dyDescent="0.3">
      <c r="A183" s="71" t="s">
        <v>701</v>
      </c>
      <c r="B183" s="1"/>
      <c r="C183" s="1"/>
      <c r="D183" s="1"/>
      <c r="E183" s="55">
        <f t="shared" ref="E183:E192" si="32">SUM(B183:D183)</f>
        <v>0</v>
      </c>
      <c r="F183" s="1"/>
      <c r="G183" s="1"/>
      <c r="H183" s="1"/>
      <c r="I183" s="55">
        <f t="shared" ref="I183:I192" si="33">SUM(F183:H183)</f>
        <v>0</v>
      </c>
      <c r="J183" s="1"/>
      <c r="K183" s="1"/>
      <c r="L183" s="1"/>
      <c r="M183" s="55">
        <f t="shared" ref="M183:M192" si="34">SUM(J183:L183)</f>
        <v>0</v>
      </c>
      <c r="N183" s="1"/>
      <c r="O183" s="1"/>
      <c r="P183" s="1"/>
      <c r="Q183" s="55">
        <f t="shared" ref="Q183:Q192" si="35">SUM(N183:P183)</f>
        <v>0</v>
      </c>
      <c r="R183" s="55">
        <f t="shared" ref="R183:R192" si="36">+E183+I183+M183+Q183</f>
        <v>0</v>
      </c>
    </row>
    <row r="184" spans="1:20" ht="15.75" customHeight="1" x14ac:dyDescent="0.3">
      <c r="A184" s="71" t="s">
        <v>127</v>
      </c>
      <c r="B184" s="1"/>
      <c r="C184" s="1"/>
      <c r="D184" s="1"/>
      <c r="E184" s="55">
        <f>SUM(B184:D184)</f>
        <v>0</v>
      </c>
      <c r="F184" s="1"/>
      <c r="G184" s="1"/>
      <c r="H184" s="1"/>
      <c r="I184" s="55">
        <f>SUM(F184:H184)</f>
        <v>0</v>
      </c>
      <c r="J184" s="1"/>
      <c r="K184" s="1"/>
      <c r="L184" s="1"/>
      <c r="M184" s="55">
        <f>SUM(J184:L184)</f>
        <v>0</v>
      </c>
      <c r="N184" s="1"/>
      <c r="O184" s="1"/>
      <c r="P184" s="1"/>
      <c r="Q184" s="55">
        <f>SUM(N184:P184)</f>
        <v>0</v>
      </c>
      <c r="R184" s="55">
        <f>+E184+I184+M184+Q184</f>
        <v>0</v>
      </c>
      <c r="T184" s="4" t="s">
        <v>406</v>
      </c>
    </row>
    <row r="185" spans="1:20" ht="15.75" customHeight="1" x14ac:dyDescent="0.3">
      <c r="A185" s="71" t="s">
        <v>128</v>
      </c>
      <c r="B185" s="1"/>
      <c r="C185" s="1"/>
      <c r="D185" s="1"/>
      <c r="E185" s="55">
        <f t="shared" si="32"/>
        <v>0</v>
      </c>
      <c r="F185" s="1"/>
      <c r="G185" s="1"/>
      <c r="H185" s="1"/>
      <c r="I185" s="55">
        <f t="shared" si="33"/>
        <v>0</v>
      </c>
      <c r="J185" s="1"/>
      <c r="K185" s="1"/>
      <c r="L185" s="1"/>
      <c r="M185" s="55">
        <f t="shared" si="34"/>
        <v>0</v>
      </c>
      <c r="N185" s="1"/>
      <c r="O185" s="1"/>
      <c r="P185" s="1"/>
      <c r="Q185" s="55">
        <f t="shared" si="35"/>
        <v>0</v>
      </c>
      <c r="R185" s="55">
        <f t="shared" si="36"/>
        <v>0</v>
      </c>
    </row>
    <row r="186" spans="1:20" ht="15.75" customHeight="1" x14ac:dyDescent="0.3">
      <c r="A186" s="71" t="s">
        <v>856</v>
      </c>
      <c r="B186" s="1"/>
      <c r="C186" s="1"/>
      <c r="D186" s="1"/>
      <c r="E186" s="55">
        <f t="shared" si="32"/>
        <v>0</v>
      </c>
      <c r="F186" s="1"/>
      <c r="G186" s="1"/>
      <c r="H186" s="1"/>
      <c r="I186" s="55">
        <f t="shared" si="33"/>
        <v>0</v>
      </c>
      <c r="J186" s="1"/>
      <c r="K186" s="1"/>
      <c r="L186" s="1"/>
      <c r="M186" s="55">
        <f t="shared" si="34"/>
        <v>0</v>
      </c>
      <c r="N186" s="1"/>
      <c r="O186" s="1"/>
      <c r="P186" s="1"/>
      <c r="Q186" s="55">
        <f t="shared" si="35"/>
        <v>0</v>
      </c>
      <c r="R186" s="55">
        <f t="shared" si="36"/>
        <v>0</v>
      </c>
      <c r="T186" s="4" t="s">
        <v>822</v>
      </c>
    </row>
    <row r="187" spans="1:20" ht="15.75" customHeight="1" x14ac:dyDescent="0.3">
      <c r="A187" s="71" t="s">
        <v>540</v>
      </c>
      <c r="B187" s="1"/>
      <c r="C187" s="1"/>
      <c r="D187" s="1"/>
      <c r="E187" s="55">
        <f t="shared" si="32"/>
        <v>0</v>
      </c>
      <c r="F187" s="1"/>
      <c r="G187" s="1"/>
      <c r="H187" s="1"/>
      <c r="I187" s="55">
        <f t="shared" si="33"/>
        <v>0</v>
      </c>
      <c r="J187" s="1"/>
      <c r="K187" s="1"/>
      <c r="L187" s="1"/>
      <c r="M187" s="55">
        <f t="shared" si="34"/>
        <v>0</v>
      </c>
      <c r="N187" s="1"/>
      <c r="O187" s="1"/>
      <c r="P187" s="1"/>
      <c r="Q187" s="55">
        <f t="shared" si="35"/>
        <v>0</v>
      </c>
      <c r="R187" s="55">
        <f t="shared" si="36"/>
        <v>0</v>
      </c>
    </row>
    <row r="188" spans="1:20" ht="15.75" customHeight="1" x14ac:dyDescent="0.3">
      <c r="A188" s="71" t="s">
        <v>132</v>
      </c>
      <c r="B188" s="1"/>
      <c r="C188" s="1"/>
      <c r="D188" s="1"/>
      <c r="E188" s="55">
        <f t="shared" si="32"/>
        <v>0</v>
      </c>
      <c r="F188" s="1"/>
      <c r="G188" s="1"/>
      <c r="H188" s="1"/>
      <c r="I188" s="55">
        <f t="shared" si="33"/>
        <v>0</v>
      </c>
      <c r="J188" s="1"/>
      <c r="K188" s="1"/>
      <c r="L188" s="1"/>
      <c r="M188" s="55">
        <f t="shared" si="34"/>
        <v>0</v>
      </c>
      <c r="N188" s="1"/>
      <c r="O188" s="1"/>
      <c r="P188" s="1"/>
      <c r="Q188" s="55">
        <f t="shared" si="35"/>
        <v>0</v>
      </c>
      <c r="R188" s="55">
        <f t="shared" si="36"/>
        <v>0</v>
      </c>
    </row>
    <row r="189" spans="1:20" ht="15.75" customHeight="1" x14ac:dyDescent="0.3">
      <c r="A189" s="84" t="s">
        <v>614</v>
      </c>
      <c r="B189" s="1"/>
      <c r="C189" s="1"/>
      <c r="D189" s="1"/>
      <c r="E189" s="55">
        <f t="shared" si="32"/>
        <v>0</v>
      </c>
      <c r="F189" s="1"/>
      <c r="G189" s="1"/>
      <c r="H189" s="1"/>
      <c r="I189" s="55">
        <f t="shared" si="33"/>
        <v>0</v>
      </c>
      <c r="J189" s="1"/>
      <c r="K189" s="1"/>
      <c r="L189" s="1"/>
      <c r="M189" s="55">
        <f t="shared" si="34"/>
        <v>0</v>
      </c>
      <c r="N189" s="1"/>
      <c r="O189" s="1"/>
      <c r="P189" s="1"/>
      <c r="Q189" s="55">
        <f t="shared" si="35"/>
        <v>0</v>
      </c>
      <c r="R189" s="55">
        <f t="shared" si="36"/>
        <v>0</v>
      </c>
      <c r="T189" s="4" t="s">
        <v>812</v>
      </c>
    </row>
    <row r="190" spans="1:20" ht="15.75" customHeight="1" x14ac:dyDescent="0.3">
      <c r="A190" s="71" t="s">
        <v>857</v>
      </c>
      <c r="B190" s="1"/>
      <c r="C190" s="1"/>
      <c r="D190" s="1"/>
      <c r="E190" s="55">
        <f t="shared" si="32"/>
        <v>0</v>
      </c>
      <c r="F190" s="1"/>
      <c r="G190" s="1"/>
      <c r="H190" s="1"/>
      <c r="I190" s="55">
        <f t="shared" si="33"/>
        <v>0</v>
      </c>
      <c r="J190" s="1"/>
      <c r="K190" s="1"/>
      <c r="L190" s="1"/>
      <c r="M190" s="55">
        <f t="shared" si="34"/>
        <v>0</v>
      </c>
      <c r="N190" s="1"/>
      <c r="O190" s="1"/>
      <c r="P190" s="1"/>
      <c r="Q190" s="55">
        <f t="shared" si="35"/>
        <v>0</v>
      </c>
      <c r="R190" s="55">
        <f t="shared" si="36"/>
        <v>0</v>
      </c>
      <c r="T190" s="4" t="s">
        <v>822</v>
      </c>
    </row>
    <row r="191" spans="1:20" ht="15.75" customHeight="1" x14ac:dyDescent="0.3">
      <c r="A191" s="71" t="s">
        <v>858</v>
      </c>
      <c r="B191" s="1"/>
      <c r="C191" s="1"/>
      <c r="D191" s="1"/>
      <c r="E191" s="55">
        <f t="shared" si="32"/>
        <v>0</v>
      </c>
      <c r="F191" s="1"/>
      <c r="G191" s="1"/>
      <c r="H191" s="1"/>
      <c r="I191" s="55">
        <f t="shared" si="33"/>
        <v>0</v>
      </c>
      <c r="J191" s="1"/>
      <c r="K191" s="1"/>
      <c r="L191" s="1"/>
      <c r="M191" s="55">
        <f t="shared" si="34"/>
        <v>0</v>
      </c>
      <c r="N191" s="1"/>
      <c r="O191" s="1"/>
      <c r="P191" s="1"/>
      <c r="Q191" s="55">
        <f t="shared" si="35"/>
        <v>0</v>
      </c>
      <c r="R191" s="55">
        <f t="shared" si="36"/>
        <v>0</v>
      </c>
      <c r="T191" s="4" t="s">
        <v>859</v>
      </c>
    </row>
    <row r="192" spans="1:20" ht="15.75" customHeight="1" x14ac:dyDescent="0.3">
      <c r="A192" s="84" t="s">
        <v>135</v>
      </c>
      <c r="B192" s="1"/>
      <c r="C192" s="1"/>
      <c r="D192" s="1"/>
      <c r="E192" s="55">
        <f t="shared" si="32"/>
        <v>0</v>
      </c>
      <c r="F192" s="1"/>
      <c r="G192" s="1"/>
      <c r="H192" s="1"/>
      <c r="I192" s="55">
        <f t="shared" si="33"/>
        <v>0</v>
      </c>
      <c r="J192" s="1"/>
      <c r="K192" s="1"/>
      <c r="L192" s="1"/>
      <c r="M192" s="55">
        <f t="shared" si="34"/>
        <v>0</v>
      </c>
      <c r="N192" s="1"/>
      <c r="O192" s="1"/>
      <c r="P192" s="1"/>
      <c r="Q192" s="55">
        <f t="shared" si="35"/>
        <v>0</v>
      </c>
      <c r="R192" s="55">
        <f t="shared" si="36"/>
        <v>0</v>
      </c>
    </row>
    <row r="193" spans="1:20" ht="15.75" customHeight="1" x14ac:dyDescent="0.3">
      <c r="A193" s="15" t="s">
        <v>51</v>
      </c>
      <c r="B193" s="1"/>
      <c r="C193" s="1"/>
      <c r="D193" s="1"/>
      <c r="E193" s="55" t="s">
        <v>7</v>
      </c>
      <c r="F193" s="1"/>
      <c r="G193" s="1"/>
      <c r="H193" s="1"/>
      <c r="I193" s="55" t="s">
        <v>7</v>
      </c>
      <c r="J193" s="1"/>
      <c r="K193" s="1"/>
      <c r="L193" s="1"/>
      <c r="M193" s="55" t="s">
        <v>7</v>
      </c>
      <c r="N193" s="1"/>
      <c r="O193" s="1"/>
      <c r="P193" s="1"/>
      <c r="Q193" s="55" t="s">
        <v>7</v>
      </c>
      <c r="R193" s="55" t="s">
        <v>7</v>
      </c>
    </row>
    <row r="194" spans="1:20" ht="15.75" customHeight="1" x14ac:dyDescent="0.3">
      <c r="A194" s="85" t="s">
        <v>860</v>
      </c>
      <c r="B194" s="1"/>
      <c r="C194" s="1"/>
      <c r="D194" s="1"/>
      <c r="E194" s="55">
        <f>SUM(B194:D194)</f>
        <v>0</v>
      </c>
      <c r="F194" s="1"/>
      <c r="G194" s="1"/>
      <c r="H194" s="1"/>
      <c r="I194" s="55">
        <f>SUM(F194:H194)</f>
        <v>0</v>
      </c>
      <c r="J194" s="1"/>
      <c r="K194" s="1"/>
      <c r="L194" s="1"/>
      <c r="M194" s="55">
        <f>SUM(J194:L194)</f>
        <v>0</v>
      </c>
      <c r="N194" s="1"/>
      <c r="O194" s="1"/>
      <c r="P194" s="1"/>
      <c r="Q194" s="55">
        <f>SUM(N194:P194)</f>
        <v>0</v>
      </c>
      <c r="R194" s="55">
        <f>+E194+I194+M194+Q194</f>
        <v>0</v>
      </c>
      <c r="T194" s="4" t="s">
        <v>818</v>
      </c>
    </row>
    <row r="195" spans="1:20" ht="15.75" customHeight="1" x14ac:dyDescent="0.3">
      <c r="A195" s="85" t="s">
        <v>861</v>
      </c>
      <c r="B195" s="1"/>
      <c r="C195" s="1"/>
      <c r="D195" s="1"/>
      <c r="E195" s="55">
        <f>SUM(B195:D195)</f>
        <v>0</v>
      </c>
      <c r="F195" s="1"/>
      <c r="G195" s="1"/>
      <c r="H195" s="1"/>
      <c r="I195" s="55">
        <f>SUM(F195:H195)</f>
        <v>0</v>
      </c>
      <c r="J195" s="1"/>
      <c r="K195" s="1"/>
      <c r="L195" s="1"/>
      <c r="M195" s="55">
        <f>SUM(J195:L195)</f>
        <v>0</v>
      </c>
      <c r="N195" s="1"/>
      <c r="O195" s="1"/>
      <c r="P195" s="1">
        <v>127</v>
      </c>
      <c r="Q195" s="55">
        <f>SUM(N195:P195)</f>
        <v>127</v>
      </c>
      <c r="R195" s="55">
        <f>+E195+I195+M195+Q195</f>
        <v>127</v>
      </c>
      <c r="T195" s="4" t="s">
        <v>819</v>
      </c>
    </row>
    <row r="196" spans="1:20" ht="15.75" customHeight="1" x14ac:dyDescent="0.3">
      <c r="A196" s="61" t="s">
        <v>705</v>
      </c>
      <c r="B196" s="1"/>
      <c r="C196" s="1">
        <v>15</v>
      </c>
      <c r="D196" s="1">
        <v>27</v>
      </c>
      <c r="E196" s="55">
        <f>SUM(B196:D196)</f>
        <v>42</v>
      </c>
      <c r="F196" s="1">
        <v>47</v>
      </c>
      <c r="G196" s="1">
        <v>40</v>
      </c>
      <c r="H196" s="1">
        <v>71</v>
      </c>
      <c r="I196" s="55">
        <f>SUM(F196:H196)</f>
        <v>158</v>
      </c>
      <c r="J196" s="1">
        <v>73</v>
      </c>
      <c r="K196" s="1">
        <v>55</v>
      </c>
      <c r="L196" s="1">
        <v>48</v>
      </c>
      <c r="M196" s="55">
        <f>SUM(J196:L196)</f>
        <v>176</v>
      </c>
      <c r="N196" s="1">
        <v>50</v>
      </c>
      <c r="O196" s="1">
        <v>18</v>
      </c>
      <c r="P196" s="1">
        <v>13</v>
      </c>
      <c r="Q196" s="55">
        <f>SUM(N196:P196)</f>
        <v>81</v>
      </c>
      <c r="R196" s="55">
        <f>+E196+I196+M196+Q196</f>
        <v>457</v>
      </c>
      <c r="T196" s="4" t="s">
        <v>862</v>
      </c>
    </row>
    <row r="197" spans="1:20" ht="15.75" customHeight="1" thickBot="1" x14ac:dyDescent="0.35">
      <c r="A197" s="15" t="s">
        <v>53</v>
      </c>
      <c r="B197" s="1"/>
      <c r="C197" s="1"/>
      <c r="D197" s="1"/>
      <c r="E197" s="55" t="s">
        <v>7</v>
      </c>
      <c r="F197" s="1"/>
      <c r="G197" s="1"/>
      <c r="H197" s="1"/>
      <c r="I197" s="55" t="s">
        <v>7</v>
      </c>
      <c r="J197" s="1"/>
      <c r="K197" s="1"/>
      <c r="L197" s="1"/>
      <c r="M197" s="55" t="s">
        <v>7</v>
      </c>
      <c r="N197" s="1"/>
      <c r="O197" s="1"/>
      <c r="P197" s="1"/>
      <c r="Q197" s="55" t="s">
        <v>7</v>
      </c>
      <c r="R197" s="55" t="s">
        <v>7</v>
      </c>
    </row>
    <row r="198" spans="1:20" ht="16.5" customHeight="1" thickBot="1" x14ac:dyDescent="0.35">
      <c r="A198" s="57" t="s">
        <v>54</v>
      </c>
      <c r="B198" s="86">
        <f>SUM(B138:B197)</f>
        <v>11693</v>
      </c>
      <c r="C198" s="87">
        <f>SUM(C138:C197)</f>
        <v>12974</v>
      </c>
      <c r="D198" s="87">
        <f>SUM(D138:D197)</f>
        <v>18732</v>
      </c>
      <c r="E198" s="59">
        <f>SUM(B198:D198)</f>
        <v>43399</v>
      </c>
      <c r="F198" s="87">
        <f>SUM(F138:F197)</f>
        <v>23126</v>
      </c>
      <c r="G198" s="87">
        <f>SUM(G138:G197)</f>
        <v>10257</v>
      </c>
      <c r="H198" s="87">
        <f>SUM(H138:H197)</f>
        <v>10185</v>
      </c>
      <c r="I198" s="59">
        <f>SUM(F198:H198)</f>
        <v>43568</v>
      </c>
      <c r="J198" s="87">
        <f>SUM(J138:J197)</f>
        <v>40408</v>
      </c>
      <c r="K198" s="87">
        <f>SUM(K138:K197)</f>
        <v>33070</v>
      </c>
      <c r="L198" s="87">
        <f>SUM(L138:L197)</f>
        <v>32195</v>
      </c>
      <c r="M198" s="59">
        <f>SUM(J198:L198)</f>
        <v>105673</v>
      </c>
      <c r="N198" s="87">
        <f>SUM(N138:N197)</f>
        <v>25262</v>
      </c>
      <c r="O198" s="87">
        <f>SUM(O138:O197)</f>
        <v>20710</v>
      </c>
      <c r="P198" s="87">
        <f>SUM(P138:P197)</f>
        <v>19992</v>
      </c>
      <c r="Q198" s="59">
        <f>SUM(N198:P198)</f>
        <v>65964</v>
      </c>
      <c r="R198" s="59">
        <f>+E198+I198+M198+Q198</f>
        <v>258604</v>
      </c>
    </row>
    <row r="199" spans="1:20" ht="15.75" customHeight="1" x14ac:dyDescent="0.3">
      <c r="A199" s="15" t="s">
        <v>55</v>
      </c>
      <c r="B199" s="1"/>
      <c r="C199" s="1"/>
      <c r="D199" s="1"/>
      <c r="E199" s="55" t="s">
        <v>7</v>
      </c>
      <c r="F199" s="1"/>
      <c r="G199" s="1"/>
      <c r="H199" s="1"/>
      <c r="I199" s="55" t="s">
        <v>7</v>
      </c>
      <c r="J199" s="1"/>
      <c r="K199" s="1"/>
      <c r="L199" s="1"/>
      <c r="M199" s="55" t="s">
        <v>7</v>
      </c>
      <c r="N199" s="1"/>
      <c r="O199" s="1"/>
      <c r="P199" s="1"/>
      <c r="Q199" s="55" t="s">
        <v>7</v>
      </c>
      <c r="R199" s="55" t="s">
        <v>7</v>
      </c>
    </row>
    <row r="200" spans="1:20" ht="15.75" customHeight="1" x14ac:dyDescent="0.3">
      <c r="A200" s="15" t="s">
        <v>56</v>
      </c>
      <c r="B200" s="1"/>
      <c r="C200" s="1"/>
      <c r="D200" s="1"/>
      <c r="E200" s="55" t="s">
        <v>7</v>
      </c>
      <c r="F200" s="1"/>
      <c r="G200" s="1"/>
      <c r="H200" s="1"/>
      <c r="I200" s="55" t="s">
        <v>7</v>
      </c>
      <c r="J200" s="1"/>
      <c r="K200" s="1"/>
      <c r="L200" s="1"/>
      <c r="M200" s="55" t="s">
        <v>7</v>
      </c>
      <c r="N200" s="1"/>
      <c r="O200" s="1"/>
      <c r="P200" s="1"/>
      <c r="Q200" s="55" t="s">
        <v>7</v>
      </c>
      <c r="R200" s="55" t="s">
        <v>7</v>
      </c>
    </row>
    <row r="201" spans="1:20" ht="15.75" customHeight="1" x14ac:dyDescent="0.3">
      <c r="A201" s="15" t="s">
        <v>57</v>
      </c>
      <c r="B201" s="1"/>
      <c r="C201" s="1"/>
      <c r="D201" s="1"/>
      <c r="E201" s="55" t="s">
        <v>7</v>
      </c>
      <c r="F201" s="1"/>
      <c r="G201" s="1"/>
      <c r="H201" s="1"/>
      <c r="I201" s="55" t="s">
        <v>7</v>
      </c>
      <c r="J201" s="1"/>
      <c r="K201" s="1"/>
      <c r="L201" s="1"/>
      <c r="M201" s="55" t="s">
        <v>7</v>
      </c>
      <c r="N201" s="1"/>
      <c r="O201" s="1"/>
      <c r="P201" s="1"/>
      <c r="Q201" s="55" t="s">
        <v>7</v>
      </c>
      <c r="R201" s="55" t="s">
        <v>7</v>
      </c>
    </row>
    <row r="202" spans="1:20" ht="15.75" customHeight="1" x14ac:dyDescent="0.3">
      <c r="A202" s="85" t="s">
        <v>616</v>
      </c>
      <c r="B202" s="1"/>
      <c r="C202" s="1"/>
      <c r="D202" s="1">
        <v>500</v>
      </c>
      <c r="E202" s="55">
        <f>SUM(B202:D202)</f>
        <v>500</v>
      </c>
      <c r="F202" s="1">
        <v>500</v>
      </c>
      <c r="G202" s="1"/>
      <c r="H202" s="1"/>
      <c r="I202" s="55">
        <f>SUM(F202:H202)</f>
        <v>500</v>
      </c>
      <c r="J202" s="1"/>
      <c r="K202" s="1"/>
      <c r="L202" s="1"/>
      <c r="M202" s="55">
        <f>SUM(J202:L202)</f>
        <v>0</v>
      </c>
      <c r="N202" s="1"/>
      <c r="O202" s="1"/>
      <c r="P202" s="1"/>
      <c r="Q202" s="55">
        <f>SUM(N202:P202)</f>
        <v>0</v>
      </c>
      <c r="R202" s="55">
        <f>+E202+I202+M202+Q202</f>
        <v>1000</v>
      </c>
      <c r="T202" s="4" t="s">
        <v>812</v>
      </c>
    </row>
    <row r="203" spans="1:20" ht="15.75" customHeight="1" x14ac:dyDescent="0.3">
      <c r="A203" s="72" t="s">
        <v>863</v>
      </c>
      <c r="B203" s="1"/>
      <c r="C203" s="1"/>
      <c r="D203" s="1"/>
      <c r="E203" s="55">
        <f>SUM(B203:D203)</f>
        <v>0</v>
      </c>
      <c r="F203" s="1">
        <v>500</v>
      </c>
      <c r="G203" s="1">
        <v>750</v>
      </c>
      <c r="H203" s="1">
        <v>750</v>
      </c>
      <c r="I203" s="55">
        <f>SUM(F203:H203)</f>
        <v>2000</v>
      </c>
      <c r="J203" s="1"/>
      <c r="K203" s="1">
        <v>500</v>
      </c>
      <c r="L203" s="1">
        <v>500</v>
      </c>
      <c r="M203" s="55">
        <f>SUM(J203:L203)</f>
        <v>1000</v>
      </c>
      <c r="N203" s="1">
        <v>800</v>
      </c>
      <c r="O203" s="1"/>
      <c r="P203" s="1"/>
      <c r="Q203" s="55">
        <f>SUM(N203:P203)</f>
        <v>800</v>
      </c>
      <c r="R203" s="55">
        <f>+E203+I203+M203+Q203</f>
        <v>3800</v>
      </c>
      <c r="S203" s="4" t="s">
        <v>821</v>
      </c>
      <c r="T203" s="4" t="s">
        <v>822</v>
      </c>
    </row>
    <row r="204" spans="1:20" ht="15.75" customHeight="1" thickBot="1" x14ac:dyDescent="0.35">
      <c r="A204" s="15" t="s">
        <v>58</v>
      </c>
      <c r="B204" s="1"/>
      <c r="C204" s="1"/>
      <c r="D204" s="1"/>
      <c r="E204" s="55" t="s">
        <v>7</v>
      </c>
      <c r="F204" s="1"/>
      <c r="G204" s="1"/>
      <c r="H204" s="1"/>
      <c r="I204" s="55" t="s">
        <v>7</v>
      </c>
      <c r="J204" s="1"/>
      <c r="K204" s="1"/>
      <c r="L204" s="1"/>
      <c r="M204" s="55" t="s">
        <v>7</v>
      </c>
      <c r="N204" s="1"/>
      <c r="O204" s="1"/>
      <c r="P204" s="1"/>
      <c r="Q204" s="55" t="s">
        <v>7</v>
      </c>
      <c r="R204" s="55" t="s">
        <v>7</v>
      </c>
    </row>
    <row r="205" spans="1:20" ht="16.5" customHeight="1" thickBot="1" x14ac:dyDescent="0.35">
      <c r="A205" s="57" t="s">
        <v>59</v>
      </c>
      <c r="B205" s="86">
        <f>SUM(B199:B204)</f>
        <v>0</v>
      </c>
      <c r="C205" s="87">
        <f>SUM(C199:C204)</f>
        <v>0</v>
      </c>
      <c r="D205" s="87">
        <f>SUM(D199:D204)</f>
        <v>500</v>
      </c>
      <c r="E205" s="59">
        <f>SUM(B205:D205)</f>
        <v>500</v>
      </c>
      <c r="F205" s="87">
        <f>SUM(F199:F204)</f>
        <v>1000</v>
      </c>
      <c r="G205" s="87">
        <f>SUM(G199:G204)</f>
        <v>750</v>
      </c>
      <c r="H205" s="87">
        <f>SUM(H199:H204)</f>
        <v>750</v>
      </c>
      <c r="I205" s="59">
        <f>SUM(F205:H205)</f>
        <v>2500</v>
      </c>
      <c r="J205" s="87">
        <f>SUM(J199:J204)</f>
        <v>0</v>
      </c>
      <c r="K205" s="87">
        <f>SUM(K199:K204)</f>
        <v>500</v>
      </c>
      <c r="L205" s="87">
        <f>SUM(L199:L204)</f>
        <v>500</v>
      </c>
      <c r="M205" s="59">
        <f>SUM(J205:L205)</f>
        <v>1000</v>
      </c>
      <c r="N205" s="87">
        <f>SUM(N199:N204)</f>
        <v>800</v>
      </c>
      <c r="O205" s="87">
        <f>SUM(O199:O204)</f>
        <v>0</v>
      </c>
      <c r="P205" s="87">
        <f>SUM(P199:P204)</f>
        <v>0</v>
      </c>
      <c r="Q205" s="59">
        <f>SUM(N205:P205)</f>
        <v>800</v>
      </c>
      <c r="R205" s="59">
        <f>+E205+I205+M205+Q205</f>
        <v>4800</v>
      </c>
    </row>
    <row r="206" spans="1:20" ht="15.75" customHeight="1" x14ac:dyDescent="0.3">
      <c r="A206" s="15" t="s">
        <v>60</v>
      </c>
      <c r="B206" s="1"/>
      <c r="C206" s="1"/>
      <c r="D206" s="1"/>
      <c r="E206" s="55" t="s">
        <v>7</v>
      </c>
      <c r="F206" s="1"/>
      <c r="G206" s="1"/>
      <c r="H206" s="1"/>
      <c r="I206" s="55" t="s">
        <v>7</v>
      </c>
      <c r="J206" s="1"/>
      <c r="K206" s="1"/>
      <c r="L206" s="1"/>
      <c r="M206" s="55" t="s">
        <v>7</v>
      </c>
      <c r="N206" s="1"/>
      <c r="O206" s="1"/>
      <c r="P206" s="1"/>
      <c r="Q206" s="55" t="s">
        <v>7</v>
      </c>
      <c r="R206" s="55" t="s">
        <v>7</v>
      </c>
    </row>
    <row r="207" spans="1:20" ht="15.75" customHeight="1" x14ac:dyDescent="0.3">
      <c r="A207" s="15" t="s">
        <v>61</v>
      </c>
      <c r="B207" s="1"/>
      <c r="C207" s="1"/>
      <c r="D207" s="1"/>
      <c r="E207" s="55" t="s">
        <v>7</v>
      </c>
      <c r="F207" s="1"/>
      <c r="G207" s="1"/>
      <c r="H207" s="1"/>
      <c r="I207" s="55" t="s">
        <v>7</v>
      </c>
      <c r="J207" s="1"/>
      <c r="K207" s="1"/>
      <c r="L207" s="1"/>
      <c r="M207" s="55" t="s">
        <v>7</v>
      </c>
      <c r="N207" s="1"/>
      <c r="O207" s="1"/>
      <c r="P207" s="1"/>
      <c r="Q207" s="55" t="s">
        <v>7</v>
      </c>
      <c r="R207" s="55" t="s">
        <v>7</v>
      </c>
    </row>
    <row r="208" spans="1:20" ht="15.75" customHeight="1" x14ac:dyDescent="0.3">
      <c r="A208" s="15" t="s">
        <v>62</v>
      </c>
      <c r="B208" s="1"/>
      <c r="C208" s="1"/>
      <c r="D208" s="1"/>
      <c r="E208" s="55" t="s">
        <v>7</v>
      </c>
      <c r="F208" s="1"/>
      <c r="G208" s="1"/>
      <c r="H208" s="1"/>
      <c r="I208" s="55" t="s">
        <v>7</v>
      </c>
      <c r="J208" s="1"/>
      <c r="K208" s="1"/>
      <c r="L208" s="1"/>
      <c r="M208" s="55" t="s">
        <v>7</v>
      </c>
      <c r="N208" s="1"/>
      <c r="O208" s="1"/>
      <c r="P208" s="1"/>
      <c r="Q208" s="55" t="s">
        <v>7</v>
      </c>
      <c r="R208" s="55" t="s">
        <v>7</v>
      </c>
    </row>
    <row r="209" spans="1:20" ht="15.75" customHeight="1" x14ac:dyDescent="0.3">
      <c r="A209" s="88" t="s">
        <v>142</v>
      </c>
      <c r="B209" s="1">
        <v>301</v>
      </c>
      <c r="C209" s="1">
        <v>253</v>
      </c>
      <c r="D209" s="1">
        <v>324</v>
      </c>
      <c r="E209" s="55">
        <f>SUM(B209:D209)</f>
        <v>878</v>
      </c>
      <c r="F209" s="1">
        <v>348</v>
      </c>
      <c r="G209" s="1">
        <v>377</v>
      </c>
      <c r="H209" s="1">
        <v>415</v>
      </c>
      <c r="I209" s="55">
        <f>SUM(F209:H209)</f>
        <v>1140</v>
      </c>
      <c r="J209" s="1">
        <v>452</v>
      </c>
      <c r="K209" s="1">
        <v>466</v>
      </c>
      <c r="L209" s="1">
        <v>411</v>
      </c>
      <c r="M209" s="55">
        <f>SUM(J209:L209)</f>
        <v>1329</v>
      </c>
      <c r="N209" s="1">
        <v>376</v>
      </c>
      <c r="O209" s="1">
        <v>327</v>
      </c>
      <c r="P209" s="1">
        <v>282</v>
      </c>
      <c r="Q209" s="55">
        <f>SUM(N209:P209)</f>
        <v>985</v>
      </c>
      <c r="R209" s="55">
        <f t="shared" ref="R209:R255" si="37">+E209+I209+M209+Q209</f>
        <v>4332</v>
      </c>
      <c r="T209" s="4" t="s">
        <v>865</v>
      </c>
    </row>
    <row r="210" spans="1:20" ht="15.75" customHeight="1" x14ac:dyDescent="0.3">
      <c r="A210" s="88" t="s">
        <v>143</v>
      </c>
      <c r="B210" s="1"/>
      <c r="C210" s="1"/>
      <c r="D210" s="1">
        <v>357</v>
      </c>
      <c r="E210" s="55">
        <f>SUM(B210:D210)</f>
        <v>357</v>
      </c>
      <c r="F210" s="1"/>
      <c r="G210" s="1"/>
      <c r="H210" s="1"/>
      <c r="I210" s="55">
        <f>SUM(F210:H210)</f>
        <v>0</v>
      </c>
      <c r="J210" s="1"/>
      <c r="K210" s="1"/>
      <c r="L210" s="1"/>
      <c r="M210" s="55">
        <f>SUM(J210:L210)</f>
        <v>0</v>
      </c>
      <c r="N210" s="1"/>
      <c r="O210" s="1"/>
      <c r="P210" s="1"/>
      <c r="Q210" s="55">
        <f>SUM(N210:P210)</f>
        <v>0</v>
      </c>
      <c r="R210" s="55">
        <f t="shared" si="37"/>
        <v>357</v>
      </c>
      <c r="T210" s="4" t="s">
        <v>812</v>
      </c>
    </row>
    <row r="211" spans="1:20" ht="15.75" customHeight="1" x14ac:dyDescent="0.3">
      <c r="A211" s="88" t="s">
        <v>145</v>
      </c>
      <c r="B211" s="1">
        <v>3</v>
      </c>
      <c r="C211" s="1">
        <v>6</v>
      </c>
      <c r="D211" s="1">
        <v>18</v>
      </c>
      <c r="E211" s="55">
        <f>SUM(B211:D211)</f>
        <v>27</v>
      </c>
      <c r="F211" s="1">
        <v>29</v>
      </c>
      <c r="G211" s="1">
        <v>87</v>
      </c>
      <c r="H211" s="1">
        <v>143</v>
      </c>
      <c r="I211" s="55">
        <f>SUM(F211:H211)</f>
        <v>259</v>
      </c>
      <c r="J211" s="1">
        <v>91</v>
      </c>
      <c r="K211" s="1">
        <v>63</v>
      </c>
      <c r="L211" s="1">
        <v>52</v>
      </c>
      <c r="M211" s="55">
        <f>SUM(J211:L211)</f>
        <v>206</v>
      </c>
      <c r="N211" s="1">
        <v>44</v>
      </c>
      <c r="O211" s="1">
        <v>25</v>
      </c>
      <c r="P211" s="1">
        <v>20</v>
      </c>
      <c r="Q211" s="55">
        <f>SUM(N211:P211)</f>
        <v>89</v>
      </c>
      <c r="R211" s="55">
        <f t="shared" si="37"/>
        <v>581</v>
      </c>
      <c r="T211" s="4" t="s">
        <v>406</v>
      </c>
    </row>
    <row r="212" spans="1:20" ht="15.75" customHeight="1" x14ac:dyDescent="0.3">
      <c r="A212" s="72" t="s">
        <v>868</v>
      </c>
      <c r="B212" s="1"/>
      <c r="C212" s="1"/>
      <c r="D212" s="1"/>
      <c r="E212" s="55">
        <f t="shared" ref="E212:E255" si="38">SUM(B212:D212)</f>
        <v>0</v>
      </c>
      <c r="F212" s="1"/>
      <c r="G212" s="1"/>
      <c r="H212" s="1"/>
      <c r="I212" s="55">
        <f t="shared" ref="I212:I255" si="39">SUM(F212:H212)</f>
        <v>0</v>
      </c>
      <c r="J212" s="1"/>
      <c r="K212" s="1"/>
      <c r="L212" s="1"/>
      <c r="M212" s="55">
        <f t="shared" ref="M212:M255" si="40">SUM(J212:L212)</f>
        <v>0</v>
      </c>
      <c r="N212" s="1"/>
      <c r="O212" s="1"/>
      <c r="P212" s="1"/>
      <c r="Q212" s="55">
        <f t="shared" ref="Q212:Q255" si="41">SUM(N212:P212)</f>
        <v>0</v>
      </c>
      <c r="R212" s="55">
        <f t="shared" si="37"/>
        <v>0</v>
      </c>
      <c r="S212" s="4" t="s">
        <v>821</v>
      </c>
    </row>
    <row r="213" spans="1:20" ht="15.75" customHeight="1" x14ac:dyDescent="0.3">
      <c r="A213" s="72" t="s">
        <v>1119</v>
      </c>
      <c r="B213" s="1">
        <v>761</v>
      </c>
      <c r="C213" s="1"/>
      <c r="D213" s="1"/>
      <c r="E213" s="55">
        <f>SUM(B213:D213)</f>
        <v>761</v>
      </c>
      <c r="F213" s="1"/>
      <c r="G213" s="1"/>
      <c r="H213" s="1"/>
      <c r="I213" s="55">
        <f>SUM(F213:H213)</f>
        <v>0</v>
      </c>
      <c r="J213" s="1"/>
      <c r="K213" s="1"/>
      <c r="L213" s="1"/>
      <c r="M213" s="55">
        <f>SUM(J213:L213)</f>
        <v>0</v>
      </c>
      <c r="N213" s="1"/>
      <c r="O213" s="1"/>
      <c r="P213" s="1"/>
      <c r="Q213" s="55">
        <f>SUM(N213:P213)</f>
        <v>0</v>
      </c>
      <c r="R213" s="55">
        <f t="shared" si="37"/>
        <v>761</v>
      </c>
      <c r="S213" s="4" t="s">
        <v>821</v>
      </c>
      <c r="T213" s="4" t="s">
        <v>919</v>
      </c>
    </row>
    <row r="214" spans="1:20" ht="15.75" customHeight="1" x14ac:dyDescent="0.3">
      <c r="A214" s="72" t="s">
        <v>148</v>
      </c>
      <c r="B214" s="1">
        <v>682</v>
      </c>
      <c r="C214" s="1"/>
      <c r="D214" s="1"/>
      <c r="E214" s="55">
        <f>SUM(B214:D214)</f>
        <v>682</v>
      </c>
      <c r="F214" s="1"/>
      <c r="G214" s="1"/>
      <c r="H214" s="1"/>
      <c r="I214" s="55">
        <f>SUM(F214:H214)</f>
        <v>0</v>
      </c>
      <c r="J214" s="1"/>
      <c r="K214" s="1"/>
      <c r="L214" s="1"/>
      <c r="M214" s="55">
        <f>SUM(J214:L214)</f>
        <v>0</v>
      </c>
      <c r="N214" s="1"/>
      <c r="O214" s="1"/>
      <c r="P214" s="1"/>
      <c r="Q214" s="55">
        <f>SUM(N214:P214)</f>
        <v>0</v>
      </c>
      <c r="R214" s="55">
        <f t="shared" si="37"/>
        <v>682</v>
      </c>
      <c r="T214" s="4" t="s">
        <v>832</v>
      </c>
    </row>
    <row r="215" spans="1:20" ht="15.75" customHeight="1" x14ac:dyDescent="0.3">
      <c r="A215" s="72" t="s">
        <v>149</v>
      </c>
      <c r="B215" s="1"/>
      <c r="C215" s="1"/>
      <c r="D215" s="1"/>
      <c r="E215" s="55">
        <f t="shared" si="38"/>
        <v>0</v>
      </c>
      <c r="F215" s="1"/>
      <c r="G215" s="1"/>
      <c r="H215" s="1"/>
      <c r="I215" s="55">
        <f t="shared" si="39"/>
        <v>0</v>
      </c>
      <c r="J215" s="1"/>
      <c r="K215" s="1"/>
      <c r="L215" s="1"/>
      <c r="M215" s="55">
        <f t="shared" si="40"/>
        <v>0</v>
      </c>
      <c r="N215" s="1"/>
      <c r="O215" s="1"/>
      <c r="P215" s="1"/>
      <c r="Q215" s="55">
        <f t="shared" si="41"/>
        <v>0</v>
      </c>
      <c r="R215" s="55">
        <f t="shared" si="37"/>
        <v>0</v>
      </c>
    </row>
    <row r="216" spans="1:20" ht="15.75" customHeight="1" x14ac:dyDescent="0.3">
      <c r="A216" s="72" t="s">
        <v>869</v>
      </c>
      <c r="B216" s="1">
        <v>1136</v>
      </c>
      <c r="C216" s="1"/>
      <c r="D216" s="1"/>
      <c r="E216" s="55">
        <f>SUM(B216:D216)</f>
        <v>1136</v>
      </c>
      <c r="F216" s="1"/>
      <c r="G216" s="1"/>
      <c r="H216" s="1"/>
      <c r="I216" s="55">
        <f t="shared" si="39"/>
        <v>0</v>
      </c>
      <c r="J216" s="1"/>
      <c r="K216" s="1"/>
      <c r="L216" s="1"/>
      <c r="M216" s="55">
        <f t="shared" si="40"/>
        <v>0</v>
      </c>
      <c r="N216" s="1"/>
      <c r="O216" s="1"/>
      <c r="P216" s="1"/>
      <c r="Q216" s="55">
        <f t="shared" si="41"/>
        <v>0</v>
      </c>
      <c r="R216" s="55">
        <f t="shared" si="37"/>
        <v>1136</v>
      </c>
    </row>
    <row r="217" spans="1:20" ht="15.75" customHeight="1" x14ac:dyDescent="0.3">
      <c r="A217" s="72" t="s">
        <v>151</v>
      </c>
      <c r="B217" s="1"/>
      <c r="C217" s="1">
        <v>23</v>
      </c>
      <c r="D217" s="1"/>
      <c r="E217" s="55">
        <f t="shared" si="38"/>
        <v>23</v>
      </c>
      <c r="F217" s="1"/>
      <c r="G217" s="1"/>
      <c r="H217" s="1"/>
      <c r="I217" s="55">
        <f t="shared" si="39"/>
        <v>0</v>
      </c>
      <c r="J217" s="1"/>
      <c r="K217" s="1"/>
      <c r="L217" s="1"/>
      <c r="M217" s="55">
        <f t="shared" si="40"/>
        <v>0</v>
      </c>
      <c r="N217" s="1"/>
      <c r="O217" s="1"/>
      <c r="P217" s="1"/>
      <c r="Q217" s="55">
        <f t="shared" si="41"/>
        <v>0</v>
      </c>
      <c r="R217" s="55">
        <f t="shared" si="37"/>
        <v>23</v>
      </c>
    </row>
    <row r="218" spans="1:20" ht="15.75" customHeight="1" x14ac:dyDescent="0.3">
      <c r="A218" s="72" t="s">
        <v>870</v>
      </c>
      <c r="B218" s="1">
        <v>23</v>
      </c>
      <c r="C218" s="1"/>
      <c r="D218" s="1"/>
      <c r="E218" s="55">
        <f t="shared" si="38"/>
        <v>23</v>
      </c>
      <c r="F218" s="1"/>
      <c r="G218" s="1"/>
      <c r="H218" s="1"/>
      <c r="I218" s="55">
        <f t="shared" si="39"/>
        <v>0</v>
      </c>
      <c r="J218" s="1"/>
      <c r="K218" s="1"/>
      <c r="L218" s="1"/>
      <c r="M218" s="55">
        <f t="shared" si="40"/>
        <v>0</v>
      </c>
      <c r="N218" s="1"/>
      <c r="O218" s="1"/>
      <c r="P218" s="1"/>
      <c r="Q218" s="55">
        <f t="shared" si="41"/>
        <v>0</v>
      </c>
      <c r="R218" s="55">
        <f t="shared" si="37"/>
        <v>23</v>
      </c>
      <c r="S218" s="4" t="s">
        <v>821</v>
      </c>
      <c r="T218" s="4" t="s">
        <v>822</v>
      </c>
    </row>
    <row r="219" spans="1:20" ht="15.75" customHeight="1" x14ac:dyDescent="0.3">
      <c r="A219" s="72" t="s">
        <v>871</v>
      </c>
      <c r="B219" s="1"/>
      <c r="C219" s="1"/>
      <c r="D219" s="1"/>
      <c r="E219" s="55">
        <f t="shared" si="38"/>
        <v>0</v>
      </c>
      <c r="F219" s="1">
        <v>1000</v>
      </c>
      <c r="G219" s="1"/>
      <c r="H219" s="1"/>
      <c r="I219" s="55">
        <f t="shared" si="39"/>
        <v>1000</v>
      </c>
      <c r="J219" s="1"/>
      <c r="K219" s="1"/>
      <c r="L219" s="1">
        <v>100</v>
      </c>
      <c r="M219" s="55">
        <f t="shared" si="40"/>
        <v>100</v>
      </c>
      <c r="N219" s="1"/>
      <c r="O219" s="1"/>
      <c r="P219" s="1"/>
      <c r="Q219" s="55">
        <f t="shared" si="41"/>
        <v>0</v>
      </c>
      <c r="R219" s="55">
        <f t="shared" si="37"/>
        <v>1100</v>
      </c>
      <c r="S219" s="4" t="s">
        <v>821</v>
      </c>
      <c r="T219" s="4" t="s">
        <v>822</v>
      </c>
    </row>
    <row r="220" spans="1:20" ht="15.75" customHeight="1" x14ac:dyDescent="0.3">
      <c r="A220" s="72" t="s">
        <v>153</v>
      </c>
      <c r="B220" s="1"/>
      <c r="C220" s="1"/>
      <c r="D220" s="1"/>
      <c r="E220" s="55">
        <f t="shared" si="38"/>
        <v>0</v>
      </c>
      <c r="F220" s="1"/>
      <c r="G220" s="1">
        <v>4300</v>
      </c>
      <c r="H220" s="1"/>
      <c r="I220" s="55">
        <f t="shared" si="39"/>
        <v>4300</v>
      </c>
      <c r="J220" s="1"/>
      <c r="K220" s="1"/>
      <c r="L220" s="1"/>
      <c r="M220" s="55">
        <f t="shared" si="40"/>
        <v>0</v>
      </c>
      <c r="N220" s="1"/>
      <c r="O220" s="1"/>
      <c r="P220" s="1"/>
      <c r="Q220" s="55">
        <f t="shared" si="41"/>
        <v>0</v>
      </c>
      <c r="R220" s="55">
        <f t="shared" si="37"/>
        <v>4300</v>
      </c>
    </row>
    <row r="221" spans="1:20" ht="15.75" customHeight="1" x14ac:dyDescent="0.3">
      <c r="A221" s="88" t="s">
        <v>872</v>
      </c>
      <c r="B221" s="1"/>
      <c r="C221" s="1"/>
      <c r="D221" s="1"/>
      <c r="E221" s="55">
        <f t="shared" si="38"/>
        <v>0</v>
      </c>
      <c r="F221" s="1">
        <v>1000</v>
      </c>
      <c r="G221" s="1">
        <v>1000</v>
      </c>
      <c r="H221" s="1">
        <v>1000</v>
      </c>
      <c r="I221" s="55">
        <f t="shared" si="39"/>
        <v>3000</v>
      </c>
      <c r="J221" s="1"/>
      <c r="K221" s="1"/>
      <c r="L221" s="1"/>
      <c r="M221" s="55">
        <f t="shared" si="40"/>
        <v>0</v>
      </c>
      <c r="N221" s="1"/>
      <c r="O221" s="1"/>
      <c r="P221" s="1"/>
      <c r="Q221" s="55">
        <f t="shared" si="41"/>
        <v>0</v>
      </c>
      <c r="R221" s="55">
        <f t="shared" si="37"/>
        <v>3000</v>
      </c>
      <c r="T221" s="4" t="s">
        <v>812</v>
      </c>
    </row>
    <row r="222" spans="1:20" ht="15.75" customHeight="1" x14ac:dyDescent="0.3">
      <c r="A222" s="88" t="s">
        <v>1120</v>
      </c>
      <c r="B222" s="1"/>
      <c r="C222" s="1"/>
      <c r="D222" s="1">
        <v>1500</v>
      </c>
      <c r="E222" s="55">
        <f>SUM(B222:D222)</f>
        <v>1500</v>
      </c>
      <c r="F222" s="1">
        <v>2500</v>
      </c>
      <c r="G222" s="1"/>
      <c r="H222" s="1"/>
      <c r="I222" s="55">
        <f>SUM(F222:H222)</f>
        <v>2500</v>
      </c>
      <c r="J222" s="1"/>
      <c r="K222" s="1"/>
      <c r="L222" s="1"/>
      <c r="M222" s="55">
        <f>SUM(J222:L222)</f>
        <v>0</v>
      </c>
      <c r="N222" s="1"/>
      <c r="O222" s="1"/>
      <c r="P222" s="1"/>
      <c r="Q222" s="55">
        <f>SUM(N222:P222)</f>
        <v>0</v>
      </c>
      <c r="R222" s="55">
        <f>+E222+I222+M222+Q222</f>
        <v>4000</v>
      </c>
    </row>
    <row r="223" spans="1:20" ht="15.75" customHeight="1" x14ac:dyDescent="0.3">
      <c r="A223" s="88" t="s">
        <v>1121</v>
      </c>
      <c r="B223" s="1"/>
      <c r="C223" s="1">
        <v>1000</v>
      </c>
      <c r="D223" s="1">
        <v>693</v>
      </c>
      <c r="E223" s="55">
        <f>SUM(B223:D223)</f>
        <v>1693</v>
      </c>
      <c r="F223" s="1">
        <v>1307</v>
      </c>
      <c r="G223" s="1"/>
      <c r="H223" s="1"/>
      <c r="I223" s="55">
        <f>SUM(F223:H223)</f>
        <v>1307</v>
      </c>
      <c r="J223" s="1"/>
      <c r="K223" s="1"/>
      <c r="L223" s="1"/>
      <c r="M223" s="55">
        <f>SUM(J223:L223)</f>
        <v>0</v>
      </c>
      <c r="N223" s="1"/>
      <c r="O223" s="1"/>
      <c r="P223" s="1"/>
      <c r="Q223" s="55">
        <f>SUM(N223:P223)</f>
        <v>0</v>
      </c>
      <c r="R223" s="55">
        <f>+E223+I223+M223+Q223</f>
        <v>3000</v>
      </c>
    </row>
    <row r="224" spans="1:20" ht="15.75" customHeight="1" x14ac:dyDescent="0.3">
      <c r="A224" s="88" t="s">
        <v>876</v>
      </c>
      <c r="B224" s="1"/>
      <c r="C224" s="1">
        <v>1129</v>
      </c>
      <c r="D224" s="1"/>
      <c r="E224" s="55">
        <f t="shared" si="38"/>
        <v>1129</v>
      </c>
      <c r="F224" s="1"/>
      <c r="G224" s="1"/>
      <c r="H224" s="1"/>
      <c r="I224" s="55">
        <f t="shared" si="39"/>
        <v>0</v>
      </c>
      <c r="J224" s="1"/>
      <c r="K224" s="1"/>
      <c r="L224" s="1"/>
      <c r="M224" s="55">
        <f t="shared" si="40"/>
        <v>0</v>
      </c>
      <c r="N224" s="1"/>
      <c r="O224" s="1"/>
      <c r="P224" s="1"/>
      <c r="Q224" s="55">
        <f t="shared" si="41"/>
        <v>0</v>
      </c>
      <c r="R224" s="55">
        <f t="shared" si="37"/>
        <v>1129</v>
      </c>
    </row>
    <row r="225" spans="1:21" ht="15.75" customHeight="1" x14ac:dyDescent="0.3">
      <c r="A225" s="88" t="s">
        <v>877</v>
      </c>
      <c r="B225" s="1">
        <v>148</v>
      </c>
      <c r="C225" s="1">
        <v>132</v>
      </c>
      <c r="D225" s="1"/>
      <c r="E225" s="55">
        <f t="shared" si="38"/>
        <v>280</v>
      </c>
      <c r="F225" s="1"/>
      <c r="G225" s="1"/>
      <c r="H225" s="1"/>
      <c r="I225" s="55">
        <f t="shared" si="39"/>
        <v>0</v>
      </c>
      <c r="J225" s="1"/>
      <c r="K225" s="1"/>
      <c r="L225" s="1"/>
      <c r="M225" s="55">
        <f t="shared" si="40"/>
        <v>0</v>
      </c>
      <c r="N225" s="1"/>
      <c r="O225" s="1"/>
      <c r="P225" s="1"/>
      <c r="Q225" s="55">
        <f t="shared" si="41"/>
        <v>0</v>
      </c>
      <c r="R225" s="55">
        <f t="shared" si="37"/>
        <v>280</v>
      </c>
    </row>
    <row r="226" spans="1:21" ht="15.75" customHeight="1" x14ac:dyDescent="0.3">
      <c r="A226" s="72" t="s">
        <v>878</v>
      </c>
      <c r="B226" s="1">
        <v>762</v>
      </c>
      <c r="C226" s="1">
        <v>664</v>
      </c>
      <c r="D226" s="1">
        <v>717</v>
      </c>
      <c r="E226" s="55">
        <f t="shared" si="38"/>
        <v>2143</v>
      </c>
      <c r="F226" s="1">
        <v>872</v>
      </c>
      <c r="G226" s="1">
        <v>946</v>
      </c>
      <c r="H226" s="1">
        <v>905</v>
      </c>
      <c r="I226" s="55">
        <f t="shared" si="39"/>
        <v>2723</v>
      </c>
      <c r="J226" s="1">
        <v>13</v>
      </c>
      <c r="K226" s="1"/>
      <c r="L226" s="1"/>
      <c r="M226" s="55">
        <f t="shared" si="40"/>
        <v>13</v>
      </c>
      <c r="N226" s="1"/>
      <c r="O226" s="1"/>
      <c r="P226" s="1"/>
      <c r="Q226" s="55">
        <f t="shared" si="41"/>
        <v>0</v>
      </c>
      <c r="R226" s="55">
        <f t="shared" si="37"/>
        <v>4879</v>
      </c>
    </row>
    <row r="227" spans="1:21" ht="15.75" customHeight="1" x14ac:dyDescent="0.3">
      <c r="A227" s="84" t="s">
        <v>879</v>
      </c>
      <c r="B227" s="1">
        <v>29</v>
      </c>
      <c r="C227" s="1">
        <v>29</v>
      </c>
      <c r="D227" s="1">
        <v>39</v>
      </c>
      <c r="E227" s="55">
        <f>SUM(B227:D227)</f>
        <v>97</v>
      </c>
      <c r="F227" s="1">
        <v>58</v>
      </c>
      <c r="G227" s="1">
        <v>50</v>
      </c>
      <c r="H227" s="1">
        <v>76</v>
      </c>
      <c r="I227" s="55">
        <f>SUM(F227:H227)</f>
        <v>184</v>
      </c>
      <c r="J227" s="1">
        <v>99</v>
      </c>
      <c r="K227" s="1"/>
      <c r="L227" s="1"/>
      <c r="M227" s="55">
        <f>SUM(J227:L227)</f>
        <v>99</v>
      </c>
      <c r="N227" s="1"/>
      <c r="O227" s="1"/>
      <c r="P227" s="1"/>
      <c r="Q227" s="55">
        <f>SUM(N227:P227)</f>
        <v>0</v>
      </c>
      <c r="R227" s="55">
        <f>+E227+I227+M227+Q227</f>
        <v>380</v>
      </c>
    </row>
    <row r="228" spans="1:21" ht="15.75" customHeight="1" x14ac:dyDescent="0.3">
      <c r="A228" s="84" t="s">
        <v>880</v>
      </c>
      <c r="B228" s="1">
        <v>23</v>
      </c>
      <c r="C228" s="1">
        <v>7</v>
      </c>
      <c r="D228" s="1">
        <v>26</v>
      </c>
      <c r="E228" s="55">
        <f>SUM(B228:D228)</f>
        <v>56</v>
      </c>
      <c r="F228" s="1">
        <v>64</v>
      </c>
      <c r="G228" s="1">
        <v>60</v>
      </c>
      <c r="H228" s="1">
        <v>144</v>
      </c>
      <c r="I228" s="55">
        <f>SUM(F228:H228)</f>
        <v>268</v>
      </c>
      <c r="J228" s="1"/>
      <c r="K228" s="1"/>
      <c r="L228" s="1"/>
      <c r="M228" s="55">
        <f>SUM(J228:L228)</f>
        <v>0</v>
      </c>
      <c r="N228" s="1"/>
      <c r="O228" s="1"/>
      <c r="P228" s="1"/>
      <c r="Q228" s="55">
        <f>SUM(N228:P228)</f>
        <v>0</v>
      </c>
      <c r="R228" s="55">
        <f>+E228+I228+M228+Q228</f>
        <v>324</v>
      </c>
    </row>
    <row r="229" spans="1:21" ht="15.75" customHeight="1" x14ac:dyDescent="0.3">
      <c r="A229" s="84" t="s">
        <v>881</v>
      </c>
      <c r="B229" s="1"/>
      <c r="C229" s="1"/>
      <c r="D229" s="1"/>
      <c r="E229" s="55">
        <f>SUM(B229:D229)</f>
        <v>0</v>
      </c>
      <c r="F229" s="1">
        <v>3</v>
      </c>
      <c r="G229" s="1">
        <v>2</v>
      </c>
      <c r="H229" s="1">
        <v>3</v>
      </c>
      <c r="I229" s="55">
        <f t="shared" si="39"/>
        <v>8</v>
      </c>
      <c r="J229" s="1"/>
      <c r="K229" s="1"/>
      <c r="L229" s="1"/>
      <c r="M229" s="55">
        <f t="shared" si="40"/>
        <v>0</v>
      </c>
      <c r="N229" s="1"/>
      <c r="O229" s="1"/>
      <c r="P229" s="1"/>
      <c r="Q229" s="55">
        <f t="shared" si="41"/>
        <v>0</v>
      </c>
      <c r="R229" s="55">
        <f t="shared" si="37"/>
        <v>8</v>
      </c>
      <c r="T229" s="4" t="s">
        <v>812</v>
      </c>
    </row>
    <row r="230" spans="1:21" ht="15.75" customHeight="1" x14ac:dyDescent="0.3">
      <c r="A230" s="72" t="s">
        <v>1122</v>
      </c>
      <c r="B230" s="1"/>
      <c r="C230" s="1"/>
      <c r="D230" s="1"/>
      <c r="E230" s="55">
        <f t="shared" si="38"/>
        <v>0</v>
      </c>
      <c r="F230" s="1"/>
      <c r="G230" s="1"/>
      <c r="H230" s="1">
        <f>10614+4000</f>
        <v>14614</v>
      </c>
      <c r="I230" s="55">
        <f t="shared" si="39"/>
        <v>14614</v>
      </c>
      <c r="J230" s="1">
        <v>386</v>
      </c>
      <c r="K230" s="1"/>
      <c r="L230" s="1"/>
      <c r="M230" s="55">
        <f t="shared" si="40"/>
        <v>386</v>
      </c>
      <c r="N230" s="1"/>
      <c r="O230" s="1"/>
      <c r="P230" s="1"/>
      <c r="Q230" s="55">
        <f t="shared" si="41"/>
        <v>0</v>
      </c>
      <c r="R230" s="55">
        <f t="shared" si="37"/>
        <v>15000</v>
      </c>
      <c r="S230" s="4" t="s">
        <v>821</v>
      </c>
    </row>
    <row r="231" spans="1:21" ht="15.75" customHeight="1" x14ac:dyDescent="0.3">
      <c r="A231" s="72" t="s">
        <v>1123</v>
      </c>
      <c r="B231" s="1"/>
      <c r="C231" s="1"/>
      <c r="D231" s="1"/>
      <c r="E231" s="55">
        <f t="shared" si="38"/>
        <v>0</v>
      </c>
      <c r="F231" s="1"/>
      <c r="G231" s="1">
        <v>4874</v>
      </c>
      <c r="H231" s="1">
        <v>6460</v>
      </c>
      <c r="I231" s="55">
        <f t="shared" si="39"/>
        <v>11334</v>
      </c>
      <c r="J231" s="1">
        <v>666</v>
      </c>
      <c r="K231" s="1"/>
      <c r="L231" s="1"/>
      <c r="M231" s="55">
        <f t="shared" si="40"/>
        <v>666</v>
      </c>
      <c r="N231" s="1"/>
      <c r="O231" s="1"/>
      <c r="P231" s="1"/>
      <c r="Q231" s="55">
        <f t="shared" si="41"/>
        <v>0</v>
      </c>
      <c r="R231" s="55">
        <f t="shared" si="37"/>
        <v>12000</v>
      </c>
      <c r="S231" s="4" t="s">
        <v>821</v>
      </c>
    </row>
    <row r="232" spans="1:21" ht="15.75" customHeight="1" x14ac:dyDescent="0.3">
      <c r="A232" s="72" t="s">
        <v>883</v>
      </c>
      <c r="B232" s="1"/>
      <c r="C232" s="1"/>
      <c r="D232" s="1"/>
      <c r="E232" s="55">
        <f t="shared" si="38"/>
        <v>0</v>
      </c>
      <c r="F232" s="1"/>
      <c r="G232" s="1"/>
      <c r="H232" s="1">
        <v>400</v>
      </c>
      <c r="I232" s="55">
        <f t="shared" si="39"/>
        <v>400</v>
      </c>
      <c r="J232" s="1">
        <f>400+200</f>
        <v>600</v>
      </c>
      <c r="K232" s="1">
        <v>1257</v>
      </c>
      <c r="L232" s="1">
        <v>40</v>
      </c>
      <c r="M232" s="55">
        <f t="shared" si="40"/>
        <v>1897</v>
      </c>
      <c r="N232" s="1"/>
      <c r="O232" s="1"/>
      <c r="P232" s="1"/>
      <c r="Q232" s="55">
        <f t="shared" si="41"/>
        <v>0</v>
      </c>
      <c r="R232" s="55">
        <f t="shared" si="37"/>
        <v>2297</v>
      </c>
      <c r="S232" s="4" t="s">
        <v>821</v>
      </c>
      <c r="T232" s="4" t="s">
        <v>822</v>
      </c>
    </row>
    <row r="233" spans="1:21" ht="15.75" customHeight="1" x14ac:dyDescent="0.3">
      <c r="A233" s="72" t="s">
        <v>884</v>
      </c>
      <c r="B233" s="1"/>
      <c r="C233" s="1"/>
      <c r="D233" s="1"/>
      <c r="E233" s="55">
        <f t="shared" si="38"/>
        <v>0</v>
      </c>
      <c r="F233" s="1"/>
      <c r="G233" s="1"/>
      <c r="H233" s="1"/>
      <c r="I233" s="55">
        <f t="shared" si="39"/>
        <v>0</v>
      </c>
      <c r="J233" s="1">
        <v>608</v>
      </c>
      <c r="K233" s="1">
        <v>608</v>
      </c>
      <c r="L233" s="1">
        <v>0</v>
      </c>
      <c r="M233" s="55">
        <f t="shared" si="40"/>
        <v>1216</v>
      </c>
      <c r="N233" s="1"/>
      <c r="O233" s="1"/>
      <c r="P233" s="1"/>
      <c r="Q233" s="55">
        <f t="shared" si="41"/>
        <v>0</v>
      </c>
      <c r="R233" s="55">
        <f t="shared" si="37"/>
        <v>1216</v>
      </c>
      <c r="S233" s="89" t="s">
        <v>821</v>
      </c>
      <c r="T233" s="89" t="s">
        <v>822</v>
      </c>
      <c r="U233" s="89"/>
    </row>
    <row r="234" spans="1:21" ht="15.75" customHeight="1" x14ac:dyDescent="0.3">
      <c r="A234" s="72" t="s">
        <v>161</v>
      </c>
      <c r="B234" s="1"/>
      <c r="C234" s="1"/>
      <c r="D234" s="1">
        <f>1214+500</f>
        <v>1714</v>
      </c>
      <c r="E234" s="55">
        <f>SUM(B234:D234)</f>
        <v>1714</v>
      </c>
      <c r="F234" s="1">
        <v>100</v>
      </c>
      <c r="G234" s="1"/>
      <c r="H234" s="1"/>
      <c r="I234" s="55">
        <f>SUM(F234:H234)</f>
        <v>100</v>
      </c>
      <c r="J234" s="1"/>
      <c r="K234" s="1"/>
      <c r="L234" s="1"/>
      <c r="M234" s="55">
        <f t="shared" si="40"/>
        <v>0</v>
      </c>
      <c r="N234" s="1"/>
      <c r="O234" s="1"/>
      <c r="P234" s="1"/>
      <c r="Q234" s="55">
        <f t="shared" si="41"/>
        <v>0</v>
      </c>
      <c r="R234" s="55">
        <f t="shared" si="37"/>
        <v>1814</v>
      </c>
      <c r="T234" s="4" t="s">
        <v>885</v>
      </c>
    </row>
    <row r="235" spans="1:21" ht="15.75" customHeight="1" x14ac:dyDescent="0.3">
      <c r="A235" s="72" t="s">
        <v>162</v>
      </c>
      <c r="B235" s="1"/>
      <c r="E235" s="55">
        <f t="shared" si="38"/>
        <v>0</v>
      </c>
      <c r="G235" s="1"/>
      <c r="H235" s="1"/>
      <c r="I235" s="55">
        <f t="shared" si="39"/>
        <v>0</v>
      </c>
      <c r="J235" s="1"/>
      <c r="K235" s="1"/>
      <c r="L235" s="1"/>
      <c r="M235" s="55">
        <f t="shared" si="40"/>
        <v>0</v>
      </c>
      <c r="N235" s="1"/>
      <c r="O235" s="1"/>
      <c r="P235" s="1"/>
      <c r="Q235" s="55">
        <f t="shared" si="41"/>
        <v>0</v>
      </c>
      <c r="R235" s="55">
        <f t="shared" si="37"/>
        <v>0</v>
      </c>
    </row>
    <row r="236" spans="1:21" ht="15.75" customHeight="1" x14ac:dyDescent="0.3">
      <c r="A236" s="72" t="s">
        <v>163</v>
      </c>
      <c r="B236" s="1"/>
      <c r="C236" s="1"/>
      <c r="D236" s="1"/>
      <c r="E236" s="55">
        <f t="shared" si="38"/>
        <v>0</v>
      </c>
      <c r="F236" s="1"/>
      <c r="G236" s="1">
        <v>1723</v>
      </c>
      <c r="H236" s="1">
        <v>1300</v>
      </c>
      <c r="I236" s="55">
        <f t="shared" si="39"/>
        <v>3023</v>
      </c>
      <c r="J236" s="1"/>
      <c r="K236" s="1"/>
      <c r="L236" s="1"/>
      <c r="M236" s="55">
        <f t="shared" si="40"/>
        <v>0</v>
      </c>
      <c r="N236" s="1"/>
      <c r="O236" s="1"/>
      <c r="P236" s="1"/>
      <c r="Q236" s="55">
        <f t="shared" si="41"/>
        <v>0</v>
      </c>
      <c r="R236" s="55">
        <f t="shared" si="37"/>
        <v>3023</v>
      </c>
    </row>
    <row r="237" spans="1:21" ht="15.75" customHeight="1" x14ac:dyDescent="0.3">
      <c r="A237" s="72" t="s">
        <v>164</v>
      </c>
      <c r="B237" s="1"/>
      <c r="C237" s="1">
        <v>60</v>
      </c>
      <c r="D237" s="1"/>
      <c r="E237" s="55">
        <f t="shared" si="38"/>
        <v>60</v>
      </c>
      <c r="F237" s="1"/>
      <c r="G237" s="1"/>
      <c r="H237" s="1"/>
      <c r="I237" s="55">
        <f t="shared" si="39"/>
        <v>0</v>
      </c>
      <c r="J237" s="1"/>
      <c r="K237" s="1"/>
      <c r="L237" s="1"/>
      <c r="M237" s="55">
        <f t="shared" si="40"/>
        <v>0</v>
      </c>
      <c r="N237" s="1"/>
      <c r="O237" s="1"/>
      <c r="P237" s="1"/>
      <c r="Q237" s="55">
        <f t="shared" si="41"/>
        <v>0</v>
      </c>
      <c r="R237" s="55">
        <f t="shared" si="37"/>
        <v>60</v>
      </c>
    </row>
    <row r="238" spans="1:21" ht="15.75" customHeight="1" x14ac:dyDescent="0.3">
      <c r="A238" s="72" t="s">
        <v>887</v>
      </c>
      <c r="B238" s="1">
        <v>60</v>
      </c>
      <c r="C238" s="1"/>
      <c r="D238" s="1"/>
      <c r="E238" s="55">
        <f t="shared" si="38"/>
        <v>60</v>
      </c>
      <c r="F238" s="1"/>
      <c r="G238" s="1"/>
      <c r="H238" s="1"/>
      <c r="I238" s="55">
        <f t="shared" si="39"/>
        <v>0</v>
      </c>
      <c r="J238" s="1"/>
      <c r="K238" s="1"/>
      <c r="L238" s="1"/>
      <c r="M238" s="55">
        <f t="shared" si="40"/>
        <v>0</v>
      </c>
      <c r="N238" s="1"/>
      <c r="O238" s="1"/>
      <c r="P238" s="1"/>
      <c r="Q238" s="55">
        <f t="shared" si="41"/>
        <v>0</v>
      </c>
      <c r="R238" s="55">
        <f t="shared" si="37"/>
        <v>60</v>
      </c>
      <c r="S238" s="4" t="s">
        <v>821</v>
      </c>
      <c r="T238" s="4" t="s">
        <v>822</v>
      </c>
    </row>
    <row r="239" spans="1:21" ht="15.75" customHeight="1" x14ac:dyDescent="0.3">
      <c r="A239" s="72" t="s">
        <v>888</v>
      </c>
      <c r="B239" s="1"/>
      <c r="C239" s="1"/>
      <c r="D239" s="1"/>
      <c r="E239" s="55">
        <f t="shared" si="38"/>
        <v>0</v>
      </c>
      <c r="F239" s="1"/>
      <c r="G239" s="1"/>
      <c r="H239" s="1"/>
      <c r="I239" s="55">
        <f t="shared" si="39"/>
        <v>0</v>
      </c>
      <c r="J239" s="1"/>
      <c r="K239" s="1"/>
      <c r="L239" s="1"/>
      <c r="M239" s="55">
        <f t="shared" si="40"/>
        <v>0</v>
      </c>
      <c r="N239" s="1"/>
      <c r="O239" s="1"/>
      <c r="P239" s="1"/>
      <c r="Q239" s="55">
        <f t="shared" si="41"/>
        <v>0</v>
      </c>
      <c r="R239" s="55">
        <f t="shared" si="37"/>
        <v>0</v>
      </c>
      <c r="T239" s="4" t="s">
        <v>822</v>
      </c>
    </row>
    <row r="240" spans="1:21" ht="15.75" customHeight="1" x14ac:dyDescent="0.3">
      <c r="A240" s="72" t="s">
        <v>1124</v>
      </c>
      <c r="B240" s="1">
        <v>834</v>
      </c>
      <c r="C240" s="1">
        <v>1000</v>
      </c>
      <c r="D240" s="1">
        <v>820</v>
      </c>
      <c r="E240" s="55">
        <f t="shared" si="38"/>
        <v>2654</v>
      </c>
      <c r="F240" s="1">
        <v>1654</v>
      </c>
      <c r="G240" s="1">
        <v>894</v>
      </c>
      <c r="H240" s="1">
        <v>94</v>
      </c>
      <c r="I240" s="55">
        <f t="shared" si="39"/>
        <v>2642</v>
      </c>
      <c r="J240" s="1"/>
      <c r="K240" s="1">
        <v>3517</v>
      </c>
      <c r="L240" s="1">
        <v>2980</v>
      </c>
      <c r="M240" s="55">
        <f t="shared" si="40"/>
        <v>6497</v>
      </c>
      <c r="N240" s="1">
        <v>213</v>
      </c>
      <c r="O240" s="1">
        <v>128</v>
      </c>
      <c r="P240" s="1">
        <v>1642</v>
      </c>
      <c r="Q240" s="55">
        <f t="shared" si="41"/>
        <v>1983</v>
      </c>
      <c r="R240" s="55">
        <f t="shared" si="37"/>
        <v>13776</v>
      </c>
      <c r="S240" s="4" t="s">
        <v>821</v>
      </c>
      <c r="T240" s="4" t="s">
        <v>822</v>
      </c>
    </row>
    <row r="241" spans="1:20" ht="15.75" customHeight="1" x14ac:dyDescent="0.3">
      <c r="A241" s="347" t="s">
        <v>890</v>
      </c>
      <c r="B241" s="1">
        <v>1500</v>
      </c>
      <c r="C241" s="1">
        <v>2000</v>
      </c>
      <c r="D241" s="1">
        <v>2500</v>
      </c>
      <c r="E241" s="55">
        <f t="shared" si="38"/>
        <v>6000</v>
      </c>
      <c r="F241" s="1">
        <v>1400</v>
      </c>
      <c r="G241" s="1">
        <v>4600</v>
      </c>
      <c r="H241" s="1">
        <v>4000</v>
      </c>
      <c r="I241" s="55">
        <f t="shared" si="39"/>
        <v>10000</v>
      </c>
      <c r="J241" s="1">
        <f>4219</f>
        <v>4219</v>
      </c>
      <c r="K241" s="1">
        <f>9972</f>
        <v>9972</v>
      </c>
      <c r="L241" s="1">
        <f>3031</f>
        <v>3031</v>
      </c>
      <c r="M241" s="55">
        <f t="shared" si="40"/>
        <v>17222</v>
      </c>
      <c r="N241" s="1">
        <v>2000</v>
      </c>
      <c r="O241" s="1"/>
      <c r="P241" s="1"/>
      <c r="Q241" s="55">
        <f t="shared" si="41"/>
        <v>2000</v>
      </c>
      <c r="R241" s="55">
        <f t="shared" si="37"/>
        <v>35222</v>
      </c>
      <c r="S241" s="4" t="s">
        <v>821</v>
      </c>
      <c r="T241" s="4" t="s">
        <v>822</v>
      </c>
    </row>
    <row r="242" spans="1:20" ht="15.75" customHeight="1" x14ac:dyDescent="0.3">
      <c r="A242" s="88" t="s">
        <v>891</v>
      </c>
      <c r="B242" s="1"/>
      <c r="C242" s="1"/>
      <c r="D242" s="1"/>
      <c r="E242" s="55">
        <f t="shared" si="38"/>
        <v>0</v>
      </c>
      <c r="F242" s="1"/>
      <c r="G242" s="1"/>
      <c r="H242" s="1"/>
      <c r="I242" s="55">
        <f t="shared" si="39"/>
        <v>0</v>
      </c>
      <c r="J242" s="1"/>
      <c r="K242" s="1"/>
      <c r="L242" s="1"/>
      <c r="M242" s="55">
        <f t="shared" si="40"/>
        <v>0</v>
      </c>
      <c r="N242" s="1"/>
      <c r="O242" s="1"/>
      <c r="P242" s="1"/>
      <c r="Q242" s="55">
        <f t="shared" si="41"/>
        <v>0</v>
      </c>
      <c r="R242" s="55">
        <f t="shared" si="37"/>
        <v>0</v>
      </c>
      <c r="T242" s="4" t="s">
        <v>818</v>
      </c>
    </row>
    <row r="243" spans="1:20" ht="15.75" customHeight="1" x14ac:dyDescent="0.3">
      <c r="A243" s="88" t="s">
        <v>892</v>
      </c>
      <c r="B243" s="1"/>
      <c r="C243" s="1"/>
      <c r="D243" s="1"/>
      <c r="E243" s="55">
        <f t="shared" si="38"/>
        <v>0</v>
      </c>
      <c r="F243" s="1"/>
      <c r="G243" s="1"/>
      <c r="H243" s="1"/>
      <c r="I243" s="55">
        <f t="shared" si="39"/>
        <v>0</v>
      </c>
      <c r="J243" s="1"/>
      <c r="K243" s="1"/>
      <c r="L243" s="1"/>
      <c r="M243" s="55">
        <f t="shared" si="40"/>
        <v>0</v>
      </c>
      <c r="N243" s="1"/>
      <c r="O243" s="1"/>
      <c r="P243" s="1"/>
      <c r="Q243" s="55">
        <f t="shared" si="41"/>
        <v>0</v>
      </c>
      <c r="R243" s="55">
        <f t="shared" si="37"/>
        <v>0</v>
      </c>
      <c r="T243" s="4" t="s">
        <v>819</v>
      </c>
    </row>
    <row r="244" spans="1:20" ht="15.75" customHeight="1" x14ac:dyDescent="0.3">
      <c r="A244" s="72" t="s">
        <v>893</v>
      </c>
      <c r="B244" s="1"/>
      <c r="C244" s="1"/>
      <c r="D244" s="1"/>
      <c r="E244" s="55">
        <f t="shared" si="38"/>
        <v>0</v>
      </c>
      <c r="F244" s="1"/>
      <c r="G244" s="1"/>
      <c r="H244" s="1"/>
      <c r="I244" s="55">
        <f t="shared" si="39"/>
        <v>0</v>
      </c>
      <c r="J244" s="1"/>
      <c r="K244" s="1">
        <v>743</v>
      </c>
      <c r="L244" s="1">
        <v>18</v>
      </c>
      <c r="M244" s="55">
        <f>SUM(J244:L244)</f>
        <v>761</v>
      </c>
      <c r="N244" s="1"/>
      <c r="O244" s="1"/>
      <c r="P244" s="1"/>
      <c r="Q244" s="55">
        <f t="shared" si="41"/>
        <v>0</v>
      </c>
      <c r="R244" s="55">
        <f t="shared" si="37"/>
        <v>761</v>
      </c>
      <c r="S244" s="4" t="s">
        <v>821</v>
      </c>
      <c r="T244" s="4" t="s">
        <v>822</v>
      </c>
    </row>
    <row r="245" spans="1:20" ht="15.75" customHeight="1" x14ac:dyDescent="0.3">
      <c r="A245" s="72" t="s">
        <v>894</v>
      </c>
      <c r="B245" s="1"/>
      <c r="C245" s="1"/>
      <c r="D245" s="1">
        <v>390</v>
      </c>
      <c r="E245" s="55">
        <f t="shared" si="38"/>
        <v>390</v>
      </c>
      <c r="F245" s="1"/>
      <c r="G245" s="1">
        <v>536</v>
      </c>
      <c r="H245" s="1">
        <v>462</v>
      </c>
      <c r="I245" s="55">
        <f t="shared" si="39"/>
        <v>998</v>
      </c>
      <c r="J245" s="1"/>
      <c r="K245" s="1"/>
      <c r="L245" s="1"/>
      <c r="M245" s="55">
        <f t="shared" si="40"/>
        <v>0</v>
      </c>
      <c r="N245" s="1"/>
      <c r="O245" s="1"/>
      <c r="P245" s="1"/>
      <c r="Q245" s="55">
        <f t="shared" si="41"/>
        <v>0</v>
      </c>
      <c r="R245" s="55">
        <f t="shared" si="37"/>
        <v>1388</v>
      </c>
      <c r="T245" s="4" t="s">
        <v>822</v>
      </c>
    </row>
    <row r="246" spans="1:20" ht="15.75" customHeight="1" x14ac:dyDescent="0.3">
      <c r="A246" s="72" t="s">
        <v>170</v>
      </c>
      <c r="B246" s="1">
        <v>559</v>
      </c>
      <c r="C246" s="1">
        <v>1381</v>
      </c>
      <c r="D246" s="1">
        <f>500+410</f>
        <v>910</v>
      </c>
      <c r="E246" s="55">
        <f t="shared" si="38"/>
        <v>2850</v>
      </c>
      <c r="F246" s="1"/>
      <c r="G246" s="1"/>
      <c r="H246" s="1"/>
      <c r="I246" s="55">
        <f t="shared" si="39"/>
        <v>0</v>
      </c>
      <c r="J246" s="1"/>
      <c r="K246" s="1"/>
      <c r="L246" s="1"/>
      <c r="M246" s="55">
        <f t="shared" si="40"/>
        <v>0</v>
      </c>
      <c r="N246" s="1"/>
      <c r="O246" s="1"/>
      <c r="P246" s="1"/>
      <c r="Q246" s="55">
        <f t="shared" si="41"/>
        <v>0</v>
      </c>
      <c r="R246" s="55">
        <f t="shared" si="37"/>
        <v>2850</v>
      </c>
      <c r="T246" s="4" t="s">
        <v>832</v>
      </c>
    </row>
    <row r="247" spans="1:20" ht="15.75" customHeight="1" x14ac:dyDescent="0.3">
      <c r="A247" s="72" t="s">
        <v>171</v>
      </c>
      <c r="B247" s="1"/>
      <c r="C247" s="1"/>
      <c r="D247" s="1"/>
      <c r="E247" s="55">
        <f t="shared" si="38"/>
        <v>0</v>
      </c>
      <c r="F247" s="1">
        <v>654</v>
      </c>
      <c r="G247" s="1">
        <v>1968</v>
      </c>
      <c r="H247" s="1"/>
      <c r="I247" s="55">
        <f t="shared" si="39"/>
        <v>2622</v>
      </c>
      <c r="J247" s="1"/>
      <c r="K247" s="1"/>
      <c r="L247" s="1"/>
      <c r="M247" s="55">
        <f t="shared" si="40"/>
        <v>0</v>
      </c>
      <c r="N247" s="1"/>
      <c r="O247" s="1"/>
      <c r="P247" s="1"/>
      <c r="Q247" s="55">
        <f t="shared" si="41"/>
        <v>0</v>
      </c>
      <c r="R247" s="55">
        <f t="shared" si="37"/>
        <v>2622</v>
      </c>
    </row>
    <row r="248" spans="1:20" ht="15.75" customHeight="1" x14ac:dyDescent="0.3">
      <c r="A248" s="72" t="s">
        <v>1125</v>
      </c>
      <c r="B248" s="1"/>
      <c r="C248" s="1"/>
      <c r="D248" s="1"/>
      <c r="E248" s="55">
        <f t="shared" si="38"/>
        <v>0</v>
      </c>
      <c r="F248" s="1"/>
      <c r="G248" s="1">
        <v>4750</v>
      </c>
      <c r="H248" s="1"/>
      <c r="I248" s="55">
        <f t="shared" si="39"/>
        <v>4750</v>
      </c>
      <c r="J248" s="1"/>
      <c r="K248" s="1"/>
      <c r="L248" s="1"/>
      <c r="M248" s="55">
        <f t="shared" si="40"/>
        <v>0</v>
      </c>
      <c r="N248" s="1"/>
      <c r="O248" s="1"/>
      <c r="P248" s="1"/>
      <c r="Q248" s="55">
        <f t="shared" si="41"/>
        <v>0</v>
      </c>
      <c r="R248" s="55">
        <f t="shared" si="37"/>
        <v>4750</v>
      </c>
      <c r="S248" s="4" t="s">
        <v>821</v>
      </c>
    </row>
    <row r="249" spans="1:20" ht="15.75" customHeight="1" x14ac:dyDescent="0.3">
      <c r="A249" s="72" t="s">
        <v>173</v>
      </c>
      <c r="B249" s="1"/>
      <c r="C249" s="1">
        <v>95</v>
      </c>
      <c r="D249" s="1"/>
      <c r="E249" s="55">
        <f t="shared" si="38"/>
        <v>95</v>
      </c>
      <c r="F249" s="1"/>
      <c r="G249" s="1"/>
      <c r="H249" s="1"/>
      <c r="I249" s="55">
        <f t="shared" si="39"/>
        <v>0</v>
      </c>
      <c r="J249" s="1"/>
      <c r="K249" s="1"/>
      <c r="L249" s="1"/>
      <c r="M249" s="55">
        <f t="shared" si="40"/>
        <v>0</v>
      </c>
      <c r="N249" s="1"/>
      <c r="O249" s="1"/>
      <c r="P249" s="1"/>
      <c r="Q249" s="55">
        <f t="shared" si="41"/>
        <v>0</v>
      </c>
      <c r="R249" s="55">
        <f t="shared" si="37"/>
        <v>95</v>
      </c>
    </row>
    <row r="250" spans="1:20" ht="15.75" customHeight="1" x14ac:dyDescent="0.3">
      <c r="A250" s="72" t="s">
        <v>895</v>
      </c>
      <c r="B250" s="1">
        <v>95</v>
      </c>
      <c r="C250" s="1"/>
      <c r="D250" s="1"/>
      <c r="E250" s="55">
        <f t="shared" si="38"/>
        <v>95</v>
      </c>
      <c r="F250" s="1"/>
      <c r="G250" s="1"/>
      <c r="H250" s="1"/>
      <c r="I250" s="55">
        <f t="shared" si="39"/>
        <v>0</v>
      </c>
      <c r="J250" s="1"/>
      <c r="K250" s="1"/>
      <c r="L250" s="1"/>
      <c r="M250" s="55">
        <f t="shared" si="40"/>
        <v>0</v>
      </c>
      <c r="N250" s="1"/>
      <c r="O250" s="1"/>
      <c r="P250" s="1"/>
      <c r="Q250" s="55">
        <f t="shared" si="41"/>
        <v>0</v>
      </c>
      <c r="R250" s="55">
        <f t="shared" si="37"/>
        <v>95</v>
      </c>
      <c r="S250" s="4" t="s">
        <v>821</v>
      </c>
      <c r="T250" s="4" t="s">
        <v>822</v>
      </c>
    </row>
    <row r="251" spans="1:20" ht="15.75" customHeight="1" x14ac:dyDescent="0.3">
      <c r="A251" s="72" t="s">
        <v>896</v>
      </c>
      <c r="B251" s="1"/>
      <c r="C251" s="1"/>
      <c r="D251" s="1"/>
      <c r="E251" s="55">
        <f t="shared" si="38"/>
        <v>0</v>
      </c>
      <c r="F251" s="1">
        <v>1500</v>
      </c>
      <c r="G251" s="1">
        <v>2500</v>
      </c>
      <c r="H251" s="1">
        <v>2500</v>
      </c>
      <c r="I251" s="55">
        <f t="shared" si="39"/>
        <v>6500</v>
      </c>
      <c r="J251" s="1">
        <f>2500-1148</f>
        <v>1352</v>
      </c>
      <c r="K251" s="1"/>
      <c r="L251" s="1"/>
      <c r="M251" s="55">
        <f t="shared" si="40"/>
        <v>1352</v>
      </c>
      <c r="N251" s="1"/>
      <c r="O251" s="1"/>
      <c r="P251" s="1">
        <v>1148</v>
      </c>
      <c r="Q251" s="55">
        <f t="shared" si="41"/>
        <v>1148</v>
      </c>
      <c r="R251" s="55">
        <f t="shared" si="37"/>
        <v>9000</v>
      </c>
      <c r="S251" s="4" t="s">
        <v>821</v>
      </c>
    </row>
    <row r="252" spans="1:20" ht="15.75" customHeight="1" x14ac:dyDescent="0.3">
      <c r="A252" s="72" t="s">
        <v>1126</v>
      </c>
      <c r="B252" s="1"/>
      <c r="C252" s="1">
        <v>1465</v>
      </c>
      <c r="D252" s="1">
        <v>4369</v>
      </c>
      <c r="E252" s="55">
        <f>SUM(B252:D252)</f>
        <v>5834</v>
      </c>
      <c r="F252" s="1">
        <v>5751</v>
      </c>
      <c r="G252" s="1">
        <v>915</v>
      </c>
      <c r="H252" s="1"/>
      <c r="I252" s="55">
        <f>SUM(F252:H252)</f>
        <v>6666</v>
      </c>
      <c r="J252" s="1"/>
      <c r="K252" s="1"/>
      <c r="L252" s="1"/>
      <c r="M252" s="55">
        <f>SUM(J252:L252)</f>
        <v>0</v>
      </c>
      <c r="N252" s="1"/>
      <c r="O252" s="1"/>
      <c r="P252" s="1"/>
      <c r="Q252" s="55">
        <f>SUM(N252:P252)</f>
        <v>0</v>
      </c>
      <c r="R252" s="55">
        <f>+E252+I252+M252+Q252</f>
        <v>12500</v>
      </c>
      <c r="S252" s="4" t="s">
        <v>821</v>
      </c>
    </row>
    <row r="253" spans="1:20" ht="15.75" customHeight="1" x14ac:dyDescent="0.3">
      <c r="A253" s="72" t="s">
        <v>175</v>
      </c>
      <c r="B253" s="1"/>
      <c r="C253" s="1">
        <v>500</v>
      </c>
      <c r="D253" s="1"/>
      <c r="E253" s="55">
        <f t="shared" si="38"/>
        <v>500</v>
      </c>
      <c r="F253" s="1"/>
      <c r="G253" s="1"/>
      <c r="H253" s="1"/>
      <c r="I253" s="55">
        <f t="shared" si="39"/>
        <v>0</v>
      </c>
      <c r="J253" s="1"/>
      <c r="K253" s="1"/>
      <c r="L253" s="1"/>
      <c r="M253" s="55">
        <f t="shared" si="40"/>
        <v>0</v>
      </c>
      <c r="N253" s="1"/>
      <c r="O253" s="1"/>
      <c r="P253" s="1"/>
      <c r="Q253" s="55">
        <f t="shared" si="41"/>
        <v>0</v>
      </c>
      <c r="R253" s="55">
        <f t="shared" si="37"/>
        <v>500</v>
      </c>
    </row>
    <row r="254" spans="1:20" ht="15.75" customHeight="1" thickBot="1" x14ac:dyDescent="0.35">
      <c r="A254" s="72" t="s">
        <v>898</v>
      </c>
      <c r="B254" s="1"/>
      <c r="C254" s="1"/>
      <c r="D254" s="1"/>
      <c r="E254" s="55">
        <f>SUM(B254:D254)</f>
        <v>0</v>
      </c>
      <c r="F254" s="1"/>
      <c r="G254" s="1"/>
      <c r="H254" s="1"/>
      <c r="I254" s="55">
        <f>SUM(F254:H254)</f>
        <v>0</v>
      </c>
      <c r="J254" s="1"/>
      <c r="K254" s="1"/>
      <c r="L254" s="1"/>
      <c r="M254" s="55">
        <f>SUM(J254:L254)</f>
        <v>0</v>
      </c>
      <c r="N254" s="1"/>
      <c r="O254" s="1"/>
      <c r="P254" s="1"/>
      <c r="Q254" s="55">
        <f>SUM(N254:P254)</f>
        <v>0</v>
      </c>
      <c r="R254" s="55">
        <f>+E254+I254+M254+Q254</f>
        <v>0</v>
      </c>
      <c r="S254" s="4" t="s">
        <v>821</v>
      </c>
    </row>
    <row r="255" spans="1:20" ht="16.5" customHeight="1" thickBot="1" x14ac:dyDescent="0.35">
      <c r="A255" s="57" t="s">
        <v>63</v>
      </c>
      <c r="B255" s="86">
        <f>SUM(B206:B254)</f>
        <v>6916</v>
      </c>
      <c r="C255" s="87">
        <f>SUM(C206:C254)</f>
        <v>9744</v>
      </c>
      <c r="D255" s="87">
        <f>SUM(D206:D254)</f>
        <v>14377</v>
      </c>
      <c r="E255" s="59">
        <f t="shared" si="38"/>
        <v>31037</v>
      </c>
      <c r="F255" s="87">
        <f>SUM(F206:F254)</f>
        <v>18240</v>
      </c>
      <c r="G255" s="87">
        <f>SUM(G206:G254)</f>
        <v>29582</v>
      </c>
      <c r="H255" s="87">
        <f>SUM(H206:H254)</f>
        <v>32516</v>
      </c>
      <c r="I255" s="59">
        <f t="shared" si="39"/>
        <v>80338</v>
      </c>
      <c r="J255" s="87">
        <f>SUM(J206:J254)</f>
        <v>8486</v>
      </c>
      <c r="K255" s="87">
        <f>SUM(K206:K254)</f>
        <v>16626</v>
      </c>
      <c r="L255" s="87">
        <f>SUM(L206:L254)</f>
        <v>6632</v>
      </c>
      <c r="M255" s="59">
        <f t="shared" si="40"/>
        <v>31744</v>
      </c>
      <c r="N255" s="87">
        <f>SUM(N206:N254)</f>
        <v>2633</v>
      </c>
      <c r="O255" s="87">
        <f>SUM(O206:O254)</f>
        <v>480</v>
      </c>
      <c r="P255" s="87">
        <f>SUM(P206:P254)</f>
        <v>3092</v>
      </c>
      <c r="Q255" s="59">
        <f t="shared" si="41"/>
        <v>6205</v>
      </c>
      <c r="R255" s="59">
        <f t="shared" si="37"/>
        <v>149324</v>
      </c>
    </row>
    <row r="256" spans="1:20" ht="15.75" customHeight="1" x14ac:dyDescent="0.3">
      <c r="A256" s="15" t="s">
        <v>64</v>
      </c>
      <c r="B256" s="1"/>
      <c r="C256" s="1"/>
      <c r="D256" s="1"/>
      <c r="E256" s="55" t="s">
        <v>7</v>
      </c>
      <c r="F256" s="1"/>
      <c r="G256" s="1"/>
      <c r="H256" s="1"/>
      <c r="I256" s="55" t="s">
        <v>7</v>
      </c>
      <c r="J256" s="1"/>
      <c r="K256" s="1"/>
      <c r="L256" s="1"/>
      <c r="M256" s="55" t="s">
        <v>7</v>
      </c>
      <c r="N256" s="1"/>
      <c r="O256" s="1"/>
      <c r="P256" s="1"/>
      <c r="Q256" s="55" t="s">
        <v>7</v>
      </c>
      <c r="R256" s="55" t="s">
        <v>7</v>
      </c>
    </row>
    <row r="257" spans="1:20" ht="15.75" customHeight="1" x14ac:dyDescent="0.3">
      <c r="A257" s="15" t="s">
        <v>594</v>
      </c>
      <c r="B257" s="1"/>
      <c r="C257" s="1"/>
      <c r="D257" s="1"/>
      <c r="E257" s="55" t="s">
        <v>7</v>
      </c>
      <c r="F257" s="1"/>
      <c r="G257" s="1"/>
      <c r="H257" s="1"/>
      <c r="I257" s="55" t="s">
        <v>7</v>
      </c>
      <c r="J257" s="1"/>
      <c r="K257" s="1"/>
      <c r="L257" s="1"/>
      <c r="M257" s="55" t="s">
        <v>7</v>
      </c>
      <c r="N257" s="1"/>
      <c r="O257" s="1"/>
      <c r="P257" s="1"/>
      <c r="Q257" s="55" t="s">
        <v>7</v>
      </c>
      <c r="R257" s="55" t="s">
        <v>7</v>
      </c>
    </row>
    <row r="258" spans="1:20" ht="15.75" customHeight="1" x14ac:dyDescent="0.3">
      <c r="A258" s="346" t="s">
        <v>899</v>
      </c>
      <c r="B258" s="1"/>
      <c r="C258" s="1"/>
      <c r="D258" s="1"/>
      <c r="E258" s="55">
        <f>SUM(B258:D258)</f>
        <v>0</v>
      </c>
      <c r="F258" s="1"/>
      <c r="G258" s="1"/>
      <c r="H258" s="1"/>
      <c r="I258" s="55">
        <f>SUM(F258:H258)</f>
        <v>0</v>
      </c>
      <c r="J258" s="1"/>
      <c r="K258" s="1"/>
      <c r="L258" s="1"/>
      <c r="M258" s="55">
        <f>SUM(J258:L258)</f>
        <v>0</v>
      </c>
      <c r="N258" s="1"/>
      <c r="O258" s="1"/>
      <c r="P258" s="1"/>
      <c r="Q258" s="55">
        <f>SUM(N258:P258)</f>
        <v>0</v>
      </c>
      <c r="R258" s="55">
        <f>+E258+I258+M258+Q258</f>
        <v>0</v>
      </c>
      <c r="T258" s="4" t="s">
        <v>822</v>
      </c>
    </row>
    <row r="259" spans="1:20" ht="15.75" customHeight="1" x14ac:dyDescent="0.3">
      <c r="A259" s="85" t="s">
        <v>177</v>
      </c>
      <c r="B259" s="1"/>
      <c r="C259" s="1"/>
      <c r="D259" s="1"/>
      <c r="E259" s="55">
        <f>SUM(B259:D259)</f>
        <v>0</v>
      </c>
      <c r="F259" s="1"/>
      <c r="G259" s="1"/>
      <c r="H259" s="1"/>
      <c r="I259" s="55">
        <f>SUM(F259:H259)</f>
        <v>0</v>
      </c>
      <c r="J259" s="1"/>
      <c r="K259" s="1">
        <v>2200</v>
      </c>
      <c r="L259" s="1"/>
      <c r="M259" s="55">
        <f>SUM(J259:L259)</f>
        <v>2200</v>
      </c>
      <c r="N259" s="1"/>
      <c r="O259" s="1"/>
      <c r="P259" s="1"/>
      <c r="Q259" s="55">
        <f>SUM(N259:P259)</f>
        <v>0</v>
      </c>
      <c r="R259" s="55">
        <f>+E259+I259+M259+Q259</f>
        <v>2200</v>
      </c>
      <c r="T259" s="4" t="s">
        <v>818</v>
      </c>
    </row>
    <row r="260" spans="1:20" ht="15.75" customHeight="1" x14ac:dyDescent="0.3">
      <c r="A260" s="85" t="s">
        <v>178</v>
      </c>
      <c r="B260" s="1"/>
      <c r="C260" s="1"/>
      <c r="D260" s="1"/>
      <c r="E260" s="55">
        <f>SUM(B260:D260)</f>
        <v>0</v>
      </c>
      <c r="F260" s="1"/>
      <c r="G260" s="1"/>
      <c r="H260" s="1"/>
      <c r="I260" s="55">
        <f>SUM(F260:H260)</f>
        <v>0</v>
      </c>
      <c r="J260" s="1"/>
      <c r="K260" s="1"/>
      <c r="L260" s="1"/>
      <c r="M260" s="55">
        <f>SUM(J260:L260)</f>
        <v>0</v>
      </c>
      <c r="N260" s="1"/>
      <c r="O260" s="1"/>
      <c r="P260" s="1"/>
      <c r="Q260" s="55">
        <f>SUM(N260:P260)</f>
        <v>0</v>
      </c>
      <c r="R260" s="55">
        <f>+E260+I260+M260+Q260</f>
        <v>0</v>
      </c>
      <c r="T260" s="4" t="s">
        <v>819</v>
      </c>
    </row>
    <row r="261" spans="1:20" ht="15.75" customHeight="1" x14ac:dyDescent="0.3">
      <c r="A261" s="91" t="s">
        <v>1127</v>
      </c>
      <c r="B261" s="1"/>
      <c r="C261" s="1"/>
      <c r="D261" s="1"/>
      <c r="E261" s="55">
        <f>SUM(B261:D261)</f>
        <v>0</v>
      </c>
      <c r="F261" s="1"/>
      <c r="G261" s="1"/>
      <c r="H261" s="1"/>
      <c r="I261" s="55">
        <f>SUM(F261:H261)</f>
        <v>0</v>
      </c>
      <c r="J261" s="1"/>
      <c r="K261" s="1"/>
      <c r="L261" s="1"/>
      <c r="M261" s="55">
        <f>SUM(J261:L261)</f>
        <v>0</v>
      </c>
      <c r="N261" s="1"/>
      <c r="O261" s="1"/>
      <c r="P261" s="1"/>
      <c r="Q261" s="55">
        <f>SUM(N261:P261)</f>
        <v>0</v>
      </c>
      <c r="R261" s="55">
        <f>+E261+I261+M261+Q261</f>
        <v>0</v>
      </c>
      <c r="T261" s="4" t="s">
        <v>822</v>
      </c>
    </row>
    <row r="262" spans="1:20" ht="15.75" customHeight="1" x14ac:dyDescent="0.3">
      <c r="A262" s="15" t="s">
        <v>67</v>
      </c>
      <c r="B262" s="1"/>
      <c r="C262" s="1"/>
      <c r="D262" s="1"/>
      <c r="E262" s="55" t="s">
        <v>7</v>
      </c>
      <c r="F262" s="1"/>
      <c r="G262" s="1"/>
      <c r="H262" s="1"/>
      <c r="I262" s="55" t="s">
        <v>7</v>
      </c>
      <c r="J262" s="1"/>
      <c r="K262" s="1"/>
      <c r="L262" s="1"/>
      <c r="M262" s="55" t="s">
        <v>7</v>
      </c>
      <c r="N262" s="1"/>
      <c r="O262" s="1"/>
      <c r="P262" s="1"/>
      <c r="Q262" s="55" t="s">
        <v>7</v>
      </c>
      <c r="R262" s="55" t="s">
        <v>7</v>
      </c>
    </row>
    <row r="263" spans="1:20" ht="15.75" customHeight="1" x14ac:dyDescent="0.3">
      <c r="A263" s="85" t="s">
        <v>900</v>
      </c>
      <c r="B263" s="1"/>
      <c r="C263" s="1"/>
      <c r="D263" s="1"/>
      <c r="E263" s="55">
        <f>SUM(B263:D263)</f>
        <v>0</v>
      </c>
      <c r="F263" s="1">
        <v>883</v>
      </c>
      <c r="G263" s="1">
        <v>623</v>
      </c>
      <c r="H263" s="1">
        <v>1199</v>
      </c>
      <c r="I263" s="55">
        <f>SUM(F263:H263)</f>
        <v>2705</v>
      </c>
      <c r="J263" s="1">
        <v>1179</v>
      </c>
      <c r="K263" s="1">
        <v>187</v>
      </c>
      <c r="L263" s="1">
        <v>3098</v>
      </c>
      <c r="M263" s="55">
        <f>SUM(J263:L263)</f>
        <v>4464</v>
      </c>
      <c r="N263" s="1">
        <v>1375</v>
      </c>
      <c r="O263" s="1">
        <v>2296</v>
      </c>
      <c r="P263" s="1">
        <v>2788</v>
      </c>
      <c r="Q263" s="55">
        <f>SUM(N263:P263)</f>
        <v>6459</v>
      </c>
      <c r="R263" s="55">
        <f>+E263+I263+M263+Q263</f>
        <v>13628</v>
      </c>
    </row>
    <row r="264" spans="1:20" ht="15.75" customHeight="1" x14ac:dyDescent="0.3">
      <c r="A264" s="85" t="s">
        <v>901</v>
      </c>
      <c r="B264" s="1"/>
      <c r="C264" s="1"/>
      <c r="D264" s="1"/>
      <c r="E264" s="55">
        <f>SUM(B264:D264)</f>
        <v>0</v>
      </c>
      <c r="F264" s="1"/>
      <c r="G264" s="1"/>
      <c r="H264" s="1"/>
      <c r="I264" s="55">
        <f>SUM(F264:H264)</f>
        <v>0</v>
      </c>
      <c r="J264" s="1"/>
      <c r="K264" s="1"/>
      <c r="L264" s="1"/>
      <c r="M264" s="55">
        <f>SUM(J264:L264)</f>
        <v>0</v>
      </c>
      <c r="N264" s="1"/>
      <c r="O264" s="1"/>
      <c r="P264" s="1"/>
      <c r="Q264" s="55">
        <f>SUM(N264:P264)</f>
        <v>0</v>
      </c>
      <c r="R264" s="55">
        <f>+E264+I264+M264+Q264</f>
        <v>0</v>
      </c>
    </row>
    <row r="265" spans="1:20" ht="15.75" customHeight="1" x14ac:dyDescent="0.3">
      <c r="A265" s="71" t="s">
        <v>902</v>
      </c>
      <c r="B265" s="1"/>
      <c r="C265" s="1"/>
      <c r="D265" s="1"/>
      <c r="E265" s="55">
        <f t="shared" ref="E265:E270" si="42">SUM(B265:D265)</f>
        <v>0</v>
      </c>
      <c r="F265" s="1"/>
      <c r="G265" s="1"/>
      <c r="H265" s="1"/>
      <c r="I265" s="55">
        <f t="shared" ref="I265:I270" si="43">SUM(F265:H265)</f>
        <v>0</v>
      </c>
      <c r="J265" s="1"/>
      <c r="K265" s="1">
        <v>730</v>
      </c>
      <c r="L265" s="1">
        <v>36</v>
      </c>
      <c r="M265" s="55">
        <f t="shared" ref="M265:M270" si="44">SUM(J265:L265)</f>
        <v>766</v>
      </c>
      <c r="N265" s="1">
        <v>1223</v>
      </c>
      <c r="O265" s="1">
        <v>1358</v>
      </c>
      <c r="P265" s="1"/>
      <c r="Q265" s="55">
        <f t="shared" ref="Q265:Q270" si="45">SUM(N265:P265)</f>
        <v>2581</v>
      </c>
      <c r="R265" s="55">
        <f t="shared" ref="R265:R270" si="46">+E265+I265+M265+Q265</f>
        <v>3347</v>
      </c>
      <c r="S265" s="4" t="s">
        <v>821</v>
      </c>
    </row>
    <row r="266" spans="1:20" ht="15.75" customHeight="1" x14ac:dyDescent="0.3">
      <c r="A266" s="71" t="s">
        <v>713</v>
      </c>
      <c r="B266" s="1"/>
      <c r="C266" s="1"/>
      <c r="D266" s="1"/>
      <c r="E266" s="55">
        <f t="shared" si="42"/>
        <v>0</v>
      </c>
      <c r="F266" s="1"/>
      <c r="G266" s="1"/>
      <c r="H266" s="1"/>
      <c r="I266" s="55">
        <f t="shared" si="43"/>
        <v>0</v>
      </c>
      <c r="J266" s="1"/>
      <c r="K266" s="1"/>
      <c r="L266" s="1"/>
      <c r="M266" s="55">
        <f t="shared" si="44"/>
        <v>0</v>
      </c>
      <c r="N266" s="1"/>
      <c r="O266" s="1"/>
      <c r="P266" s="1"/>
      <c r="Q266" s="55">
        <f t="shared" si="45"/>
        <v>0</v>
      </c>
      <c r="R266" s="55">
        <f t="shared" si="46"/>
        <v>0</v>
      </c>
    </row>
    <row r="267" spans="1:20" ht="15.75" customHeight="1" x14ac:dyDescent="0.3">
      <c r="A267" s="84" t="s">
        <v>903</v>
      </c>
      <c r="B267" s="1"/>
      <c r="C267" s="1"/>
      <c r="D267" s="1"/>
      <c r="E267" s="55">
        <f t="shared" si="42"/>
        <v>0</v>
      </c>
      <c r="F267" s="1"/>
      <c r="G267" s="1"/>
      <c r="H267" s="1">
        <v>2000</v>
      </c>
      <c r="I267" s="55">
        <f t="shared" si="43"/>
        <v>2000</v>
      </c>
      <c r="J267" s="1"/>
      <c r="K267" s="1">
        <v>500</v>
      </c>
      <c r="L267" s="1">
        <v>169</v>
      </c>
      <c r="M267" s="55">
        <f t="shared" si="44"/>
        <v>669</v>
      </c>
      <c r="N267" s="1">
        <v>5112</v>
      </c>
      <c r="O267" s="1">
        <v>3224</v>
      </c>
      <c r="P267" s="1">
        <v>2155</v>
      </c>
      <c r="Q267" s="55">
        <f t="shared" si="45"/>
        <v>10491</v>
      </c>
      <c r="R267" s="55">
        <f t="shared" si="46"/>
        <v>13160</v>
      </c>
    </row>
    <row r="268" spans="1:20" ht="15.75" customHeight="1" x14ac:dyDescent="0.3">
      <c r="A268" s="84" t="s">
        <v>715</v>
      </c>
      <c r="B268" s="1"/>
      <c r="C268" s="1"/>
      <c r="D268" s="1"/>
      <c r="E268" s="55">
        <f t="shared" si="42"/>
        <v>0</v>
      </c>
      <c r="F268" s="1"/>
      <c r="G268" s="1"/>
      <c r="H268" s="1"/>
      <c r="I268" s="55">
        <f t="shared" si="43"/>
        <v>0</v>
      </c>
      <c r="J268" s="1"/>
      <c r="K268" s="1"/>
      <c r="L268" s="1"/>
      <c r="M268" s="55">
        <f t="shared" si="44"/>
        <v>0</v>
      </c>
      <c r="N268" s="1"/>
      <c r="O268" s="1"/>
      <c r="P268" s="1"/>
      <c r="Q268" s="55">
        <f t="shared" si="45"/>
        <v>0</v>
      </c>
      <c r="R268" s="55">
        <f t="shared" si="46"/>
        <v>0</v>
      </c>
    </row>
    <row r="269" spans="1:20" ht="15.75" customHeight="1" x14ac:dyDescent="0.3">
      <c r="A269" s="61" t="s">
        <v>716</v>
      </c>
      <c r="B269" s="1"/>
      <c r="C269" s="1"/>
      <c r="D269" s="1"/>
      <c r="E269" s="55">
        <f t="shared" si="42"/>
        <v>0</v>
      </c>
      <c r="F269" s="1"/>
      <c r="G269" s="1"/>
      <c r="H269" s="1"/>
      <c r="I269" s="55">
        <f t="shared" si="43"/>
        <v>0</v>
      </c>
      <c r="J269" s="1"/>
      <c r="K269" s="1"/>
      <c r="L269" s="1"/>
      <c r="M269" s="55">
        <f t="shared" si="44"/>
        <v>0</v>
      </c>
      <c r="N269" s="1"/>
      <c r="O269" s="1"/>
      <c r="P269" s="1"/>
      <c r="Q269" s="55">
        <f t="shared" si="45"/>
        <v>0</v>
      </c>
      <c r="R269" s="55">
        <f t="shared" si="46"/>
        <v>0</v>
      </c>
    </row>
    <row r="270" spans="1:20" ht="15.75" customHeight="1" x14ac:dyDescent="0.3">
      <c r="A270" s="61" t="s">
        <v>717</v>
      </c>
      <c r="B270" s="1"/>
      <c r="C270" s="1"/>
      <c r="D270" s="1"/>
      <c r="E270" s="55">
        <f t="shared" si="42"/>
        <v>0</v>
      </c>
      <c r="F270" s="1"/>
      <c r="G270" s="1"/>
      <c r="H270" s="1"/>
      <c r="I270" s="55">
        <f t="shared" si="43"/>
        <v>0</v>
      </c>
      <c r="J270" s="1"/>
      <c r="K270" s="1"/>
      <c r="L270" s="1"/>
      <c r="M270" s="55">
        <f t="shared" si="44"/>
        <v>0</v>
      </c>
      <c r="N270" s="1"/>
      <c r="O270" s="1"/>
      <c r="P270" s="1"/>
      <c r="Q270" s="55">
        <f t="shared" si="45"/>
        <v>0</v>
      </c>
      <c r="R270" s="55">
        <f t="shared" si="46"/>
        <v>0</v>
      </c>
    </row>
    <row r="271" spans="1:20" ht="15.75" customHeight="1" x14ac:dyDescent="0.3">
      <c r="A271" s="15" t="s">
        <v>600</v>
      </c>
      <c r="B271" s="1"/>
      <c r="C271" s="1"/>
      <c r="D271" s="1"/>
      <c r="E271" s="55" t="s">
        <v>7</v>
      </c>
      <c r="F271" s="1"/>
      <c r="G271" s="1"/>
      <c r="H271" s="1"/>
      <c r="I271" s="55" t="s">
        <v>7</v>
      </c>
      <c r="J271" s="1"/>
      <c r="K271" s="1"/>
      <c r="L271" s="1"/>
      <c r="M271" s="55" t="s">
        <v>7</v>
      </c>
      <c r="N271" s="1"/>
      <c r="O271" s="1"/>
      <c r="P271" s="1"/>
      <c r="Q271" s="55" t="s">
        <v>7</v>
      </c>
      <c r="R271" s="55" t="s">
        <v>7</v>
      </c>
    </row>
    <row r="272" spans="1:20" ht="15.75" customHeight="1" thickBot="1" x14ac:dyDescent="0.35">
      <c r="A272" s="15" t="s">
        <v>70</v>
      </c>
      <c r="B272" s="1"/>
      <c r="C272" s="1"/>
      <c r="D272" s="1"/>
      <c r="E272" s="55" t="s">
        <v>7</v>
      </c>
      <c r="F272" s="1"/>
      <c r="G272" s="1"/>
      <c r="H272" s="1"/>
      <c r="I272" s="55" t="s">
        <v>7</v>
      </c>
      <c r="J272" s="1"/>
      <c r="K272" s="1"/>
      <c r="L272" s="1"/>
      <c r="M272" s="55" t="s">
        <v>7</v>
      </c>
      <c r="N272" s="1"/>
      <c r="O272" s="1"/>
      <c r="P272" s="1"/>
      <c r="Q272" s="55" t="s">
        <v>7</v>
      </c>
      <c r="R272" s="55" t="s">
        <v>7</v>
      </c>
    </row>
    <row r="273" spans="1:20" ht="16.5" customHeight="1" thickBot="1" x14ac:dyDescent="0.35">
      <c r="A273" s="57" t="s">
        <v>71</v>
      </c>
      <c r="B273" s="58">
        <f>SUM(B271:B272)</f>
        <v>0</v>
      </c>
      <c r="C273" s="58">
        <f>SUM(C271:C272)</f>
        <v>0</v>
      </c>
      <c r="D273" s="58">
        <f>SUM(D271:D272)</f>
        <v>0</v>
      </c>
      <c r="E273" s="60">
        <f t="shared" ref="E273:E281" si="47">SUM(B273:D273)</f>
        <v>0</v>
      </c>
      <c r="F273" s="58">
        <f>SUM(F271:F272)</f>
        <v>0</v>
      </c>
      <c r="G273" s="58">
        <f>SUM(G271:G272)</f>
        <v>0</v>
      </c>
      <c r="H273" s="58">
        <f>SUM(H271:H272)</f>
        <v>0</v>
      </c>
      <c r="I273" s="60">
        <f t="shared" ref="I273:I281" si="48">SUM(F273:H273)</f>
        <v>0</v>
      </c>
      <c r="J273" s="58">
        <f>SUM(J271:J272)</f>
        <v>0</v>
      </c>
      <c r="K273" s="58">
        <f>SUM(K271:K272)</f>
        <v>0</v>
      </c>
      <c r="L273" s="58">
        <f>SUM(L271:L272)</f>
        <v>0</v>
      </c>
      <c r="M273" s="60">
        <f t="shared" ref="M273:M281" si="49">SUM(J273:L273)</f>
        <v>0</v>
      </c>
      <c r="N273" s="58">
        <f>SUM(N271:N272)</f>
        <v>0</v>
      </c>
      <c r="O273" s="58">
        <f>SUM(O271:O272)</f>
        <v>0</v>
      </c>
      <c r="P273" s="58">
        <f>SUM(P271:P272)</f>
        <v>0</v>
      </c>
      <c r="Q273" s="60">
        <f t="shared" ref="Q273:Q281" si="50">SUM(N273:P273)</f>
        <v>0</v>
      </c>
      <c r="R273" s="59">
        <f t="shared" ref="R273:R281" si="51">+E273+I273+M273+Q273</f>
        <v>0</v>
      </c>
    </row>
    <row r="274" spans="1:20" ht="16.5" customHeight="1" thickBot="1" x14ac:dyDescent="0.35">
      <c r="A274" s="57" t="s">
        <v>72</v>
      </c>
      <c r="B274" s="86">
        <f>SUM(B256:B272)</f>
        <v>0</v>
      </c>
      <c r="C274" s="87">
        <f>SUM(C256:C272)</f>
        <v>0</v>
      </c>
      <c r="D274" s="87">
        <f>SUM(D256:D272)</f>
        <v>0</v>
      </c>
      <c r="E274" s="59">
        <f t="shared" si="47"/>
        <v>0</v>
      </c>
      <c r="F274" s="87">
        <f>SUM(F256:F272)</f>
        <v>883</v>
      </c>
      <c r="G274" s="87">
        <f>SUM(G256:G272)</f>
        <v>623</v>
      </c>
      <c r="H274" s="87">
        <f>SUM(H256:H272)</f>
        <v>3199</v>
      </c>
      <c r="I274" s="59">
        <f t="shared" si="48"/>
        <v>4705</v>
      </c>
      <c r="J274" s="87">
        <f>SUM(J256:J272)</f>
        <v>1179</v>
      </c>
      <c r="K274" s="87">
        <f>SUM(K256:K272)</f>
        <v>3617</v>
      </c>
      <c r="L274" s="87">
        <f>SUM(L256:L272)</f>
        <v>3303</v>
      </c>
      <c r="M274" s="59">
        <f t="shared" si="49"/>
        <v>8099</v>
      </c>
      <c r="N274" s="87">
        <f>SUM(N256:N272)</f>
        <v>7710</v>
      </c>
      <c r="O274" s="87">
        <f>SUM(O256:O272)</f>
        <v>6878</v>
      </c>
      <c r="P274" s="87">
        <f>SUM(P256:P272)</f>
        <v>4943</v>
      </c>
      <c r="Q274" s="59">
        <f t="shared" si="50"/>
        <v>19531</v>
      </c>
      <c r="R274" s="59">
        <f t="shared" si="51"/>
        <v>32335</v>
      </c>
    </row>
    <row r="275" spans="1:20" ht="16.5" customHeight="1" thickBot="1" x14ac:dyDescent="0.35">
      <c r="A275" s="57" t="s">
        <v>73</v>
      </c>
      <c r="B275" s="90">
        <f>+B198+B205+B255+B274</f>
        <v>18609</v>
      </c>
      <c r="C275" s="58">
        <f>+C198+C205+C255+C274</f>
        <v>22718</v>
      </c>
      <c r="D275" s="58">
        <f>+D198+D205+D255+D274</f>
        <v>33609</v>
      </c>
      <c r="E275" s="81">
        <f t="shared" si="47"/>
        <v>74936</v>
      </c>
      <c r="F275" s="58">
        <f>+F198+F205+F255+F274</f>
        <v>43249</v>
      </c>
      <c r="G275" s="58">
        <f>+G198+G205+G255+G274</f>
        <v>41212</v>
      </c>
      <c r="H275" s="58">
        <f>+H198+H205+H255+H274</f>
        <v>46650</v>
      </c>
      <c r="I275" s="81">
        <f t="shared" si="48"/>
        <v>131111</v>
      </c>
      <c r="J275" s="58">
        <f>+J198+J205+J255+J274</f>
        <v>50073</v>
      </c>
      <c r="K275" s="58">
        <f>+K198+K205+K255+K274</f>
        <v>53813</v>
      </c>
      <c r="L275" s="58">
        <f>+L198+L205+L255+L274</f>
        <v>42630</v>
      </c>
      <c r="M275" s="81">
        <f t="shared" si="49"/>
        <v>146516</v>
      </c>
      <c r="N275" s="58">
        <f>+N198+N205+N255+N274</f>
        <v>36405</v>
      </c>
      <c r="O275" s="58">
        <f>+O198+O205+O255+O274</f>
        <v>28068</v>
      </c>
      <c r="P275" s="58">
        <f>+P198+P205+P255+P274</f>
        <v>28027</v>
      </c>
      <c r="Q275" s="81">
        <f t="shared" si="50"/>
        <v>92500</v>
      </c>
      <c r="R275" s="81">
        <f t="shared" si="51"/>
        <v>445063</v>
      </c>
    </row>
    <row r="276" spans="1:20" ht="15.75" customHeight="1" x14ac:dyDescent="0.3">
      <c r="A276" s="88" t="s">
        <v>905</v>
      </c>
      <c r="B276" s="1"/>
      <c r="C276" s="1">
        <v>2044</v>
      </c>
      <c r="D276" s="1">
        <f>5545-500-357-967-1000</f>
        <v>2721</v>
      </c>
      <c r="E276" s="55">
        <f t="shared" si="47"/>
        <v>4765</v>
      </c>
      <c r="F276" s="1">
        <f>7317-500-3-1000-2255-1000</f>
        <v>2559</v>
      </c>
      <c r="G276" s="1">
        <f>5057-2-1000-2256-1000</f>
        <v>799</v>
      </c>
      <c r="H276" s="1">
        <f>6562-3-1000-2405-1000</f>
        <v>2154</v>
      </c>
      <c r="I276" s="55">
        <f t="shared" si="48"/>
        <v>5512</v>
      </c>
      <c r="J276" s="1">
        <f>6032-1000-11-3204</f>
        <v>1817</v>
      </c>
      <c r="K276" s="1">
        <f>5690-1000-8-2790</f>
        <v>1892</v>
      </c>
      <c r="L276" s="1">
        <f>5187-12-3129</f>
        <v>2046</v>
      </c>
      <c r="M276" s="55">
        <f t="shared" si="49"/>
        <v>5755</v>
      </c>
      <c r="N276" s="1">
        <f>4262-12-2797</f>
        <v>1453</v>
      </c>
      <c r="O276" s="1">
        <f>4137-4-1006</f>
        <v>3127</v>
      </c>
      <c r="P276" s="1">
        <f>1682-76</f>
        <v>1606</v>
      </c>
      <c r="Q276" s="55">
        <f t="shared" si="50"/>
        <v>6186</v>
      </c>
      <c r="R276" s="55">
        <f t="shared" si="51"/>
        <v>22218</v>
      </c>
      <c r="T276" s="4" t="s">
        <v>812</v>
      </c>
    </row>
    <row r="277" spans="1:20" ht="15.75" customHeight="1" x14ac:dyDescent="0.3">
      <c r="A277" s="91" t="s">
        <v>193</v>
      </c>
      <c r="B277" s="1"/>
      <c r="C277" s="1">
        <v>3886</v>
      </c>
      <c r="D277" s="1"/>
      <c r="E277" s="55">
        <f t="shared" si="47"/>
        <v>3886</v>
      </c>
      <c r="F277" s="1"/>
      <c r="G277" s="1">
        <v>-8000</v>
      </c>
      <c r="H277" s="1">
        <v>-7000</v>
      </c>
      <c r="I277" s="55">
        <f t="shared" si="48"/>
        <v>-15000</v>
      </c>
      <c r="J277" s="1">
        <v>-1166</v>
      </c>
      <c r="K277" s="1">
        <v>-2000</v>
      </c>
      <c r="L277" s="1">
        <v>-720</v>
      </c>
      <c r="M277" s="55">
        <f t="shared" si="49"/>
        <v>-3886</v>
      </c>
      <c r="N277" s="1"/>
      <c r="O277" s="1"/>
      <c r="P277" s="1">
        <v>-11</v>
      </c>
      <c r="Q277" s="55">
        <f t="shared" si="50"/>
        <v>-11</v>
      </c>
      <c r="R277" s="55">
        <f t="shared" si="51"/>
        <v>-15011</v>
      </c>
    </row>
    <row r="278" spans="1:20" ht="15.75" customHeight="1" x14ac:dyDescent="0.3">
      <c r="A278" s="71" t="s">
        <v>718</v>
      </c>
      <c r="B278" s="1"/>
      <c r="C278" s="1"/>
      <c r="D278" s="1"/>
      <c r="E278" s="55">
        <f t="shared" si="47"/>
        <v>0</v>
      </c>
      <c r="F278" s="1"/>
      <c r="G278" s="1"/>
      <c r="H278" s="1"/>
      <c r="I278" s="55">
        <f t="shared" si="48"/>
        <v>0</v>
      </c>
      <c r="J278" s="1"/>
      <c r="K278" s="1"/>
      <c r="L278" s="1"/>
      <c r="M278" s="55">
        <f t="shared" si="49"/>
        <v>0</v>
      </c>
      <c r="N278" s="1"/>
      <c r="O278" s="1"/>
      <c r="P278" s="1"/>
      <c r="Q278" s="55">
        <f t="shared" si="50"/>
        <v>0</v>
      </c>
      <c r="R278" s="55">
        <f t="shared" si="51"/>
        <v>0</v>
      </c>
    </row>
    <row r="279" spans="1:20" ht="15.75" customHeight="1" x14ac:dyDescent="0.3">
      <c r="A279" s="91" t="s">
        <v>195</v>
      </c>
      <c r="B279" s="1">
        <v>8</v>
      </c>
      <c r="C279" s="1">
        <v>10</v>
      </c>
      <c r="D279" s="1">
        <v>24</v>
      </c>
      <c r="E279" s="55">
        <f>SUM(B279:D279)</f>
        <v>42</v>
      </c>
      <c r="F279" s="1">
        <v>35</v>
      </c>
      <c r="G279" s="1">
        <v>29</v>
      </c>
      <c r="H279" s="1">
        <v>43</v>
      </c>
      <c r="I279" s="55">
        <f>SUM(F279:H279)</f>
        <v>107</v>
      </c>
      <c r="J279" s="1">
        <v>62</v>
      </c>
      <c r="K279" s="1">
        <v>38</v>
      </c>
      <c r="L279" s="1">
        <v>37</v>
      </c>
      <c r="M279" s="55">
        <f>SUM(J279:L279)</f>
        <v>137</v>
      </c>
      <c r="N279" s="1">
        <v>28</v>
      </c>
      <c r="O279" s="1">
        <v>13</v>
      </c>
      <c r="P279" s="1">
        <v>11</v>
      </c>
      <c r="Q279" s="55">
        <f>SUM(N279:P279)</f>
        <v>52</v>
      </c>
      <c r="R279" s="55">
        <f t="shared" si="51"/>
        <v>338</v>
      </c>
    </row>
    <row r="280" spans="1:20" ht="15.75" customHeight="1" x14ac:dyDescent="0.3">
      <c r="A280" s="84" t="s">
        <v>196</v>
      </c>
      <c r="B280" s="1">
        <v>115675</v>
      </c>
      <c r="C280" s="1">
        <v>24605</v>
      </c>
      <c r="D280" s="1">
        <v>11698</v>
      </c>
      <c r="E280" s="55">
        <f t="shared" si="47"/>
        <v>151978</v>
      </c>
      <c r="F280" s="1">
        <v>1058</v>
      </c>
      <c r="G280" s="1">
        <v>36939</v>
      </c>
      <c r="H280" s="1">
        <v>375</v>
      </c>
      <c r="I280" s="55">
        <f t="shared" si="48"/>
        <v>38372</v>
      </c>
      <c r="J280" s="1"/>
      <c r="K280" s="1"/>
      <c r="L280" s="1">
        <v>41077</v>
      </c>
      <c r="M280" s="55">
        <f t="shared" si="49"/>
        <v>41077</v>
      </c>
      <c r="N280" s="1">
        <v>27691</v>
      </c>
      <c r="O280" s="1">
        <v>48256</v>
      </c>
      <c r="P280" s="1">
        <v>47232</v>
      </c>
      <c r="Q280" s="55">
        <f t="shared" si="50"/>
        <v>123179</v>
      </c>
      <c r="R280" s="55">
        <f t="shared" si="51"/>
        <v>354606</v>
      </c>
    </row>
    <row r="281" spans="1:20" ht="16.5" customHeight="1" thickBot="1" x14ac:dyDescent="0.35">
      <c r="A281" s="39" t="s">
        <v>40</v>
      </c>
      <c r="B281" s="21">
        <v>104</v>
      </c>
      <c r="C281" s="21">
        <v>268</v>
      </c>
      <c r="D281" s="21">
        <v>474</v>
      </c>
      <c r="E281" s="55">
        <f t="shared" si="47"/>
        <v>846</v>
      </c>
      <c r="F281" s="21">
        <v>647</v>
      </c>
      <c r="G281" s="21">
        <v>742</v>
      </c>
      <c r="H281" s="21">
        <v>781</v>
      </c>
      <c r="I281" s="55">
        <f t="shared" si="48"/>
        <v>2170</v>
      </c>
      <c r="J281" s="21">
        <v>774</v>
      </c>
      <c r="K281" s="21">
        <v>596</v>
      </c>
      <c r="L281" s="21">
        <v>546</v>
      </c>
      <c r="M281" s="55">
        <f t="shared" si="49"/>
        <v>1916</v>
      </c>
      <c r="N281" s="21">
        <v>517</v>
      </c>
      <c r="O281" s="21">
        <v>413</v>
      </c>
      <c r="P281" s="21">
        <v>302</v>
      </c>
      <c r="Q281" s="55">
        <f t="shared" si="50"/>
        <v>1232</v>
      </c>
      <c r="R281" s="55">
        <f t="shared" si="51"/>
        <v>6164</v>
      </c>
    </row>
    <row r="282" spans="1:20" ht="16.5" customHeight="1" thickBot="1" x14ac:dyDescent="0.35">
      <c r="A282" s="74"/>
      <c r="B282" s="75"/>
      <c r="C282" s="75"/>
      <c r="D282" s="75"/>
      <c r="E282" s="60"/>
      <c r="F282" s="75"/>
      <c r="G282" s="75"/>
      <c r="H282" s="75"/>
      <c r="I282" s="59"/>
      <c r="J282" s="75"/>
      <c r="K282" s="75"/>
      <c r="L282" s="75"/>
      <c r="M282" s="59"/>
      <c r="N282" s="75"/>
      <c r="O282" s="75"/>
      <c r="P282" s="75"/>
      <c r="Q282" s="59"/>
      <c r="R282" s="59" t="s">
        <v>7</v>
      </c>
    </row>
    <row r="283" spans="1:20" ht="15.75" customHeight="1" x14ac:dyDescent="0.3">
      <c r="A283" s="76" t="s">
        <v>41</v>
      </c>
      <c r="B283" s="77">
        <f>SUM(B275:B281)</f>
        <v>134396</v>
      </c>
      <c r="C283" s="77">
        <f>SUM(C275:C281)</f>
        <v>53531</v>
      </c>
      <c r="D283" s="77">
        <f>SUM(D275:D281)</f>
        <v>48526</v>
      </c>
      <c r="E283" s="60">
        <f>SUM(B283:D283)</f>
        <v>236453</v>
      </c>
      <c r="F283" s="77">
        <f>SUM(F275:F281)</f>
        <v>47548</v>
      </c>
      <c r="G283" s="77">
        <f>SUM(G275:G281)</f>
        <v>71721</v>
      </c>
      <c r="H283" s="77">
        <f>SUM(H275:H281)</f>
        <v>43003</v>
      </c>
      <c r="I283" s="60">
        <f>SUM(F283:H283)</f>
        <v>162272</v>
      </c>
      <c r="J283" s="77">
        <f>SUM(J275:J281)</f>
        <v>51560</v>
      </c>
      <c r="K283" s="77">
        <f>SUM(K275:K281)</f>
        <v>54339</v>
      </c>
      <c r="L283" s="77">
        <f>SUM(L275:L281)</f>
        <v>85616</v>
      </c>
      <c r="M283" s="60">
        <f>SUM(J283:L283)</f>
        <v>191515</v>
      </c>
      <c r="N283" s="77">
        <f>SUM(N275:N281)</f>
        <v>66094</v>
      </c>
      <c r="O283" s="77">
        <f>SUM(O275:O281)</f>
        <v>79877</v>
      </c>
      <c r="P283" s="77">
        <f>SUM(P275:P281)</f>
        <v>77167</v>
      </c>
      <c r="Q283" s="92">
        <f>SUM(N283:P283)</f>
        <v>223138</v>
      </c>
      <c r="R283" s="60">
        <f>+E283+I283+M283+Q283</f>
        <v>813378</v>
      </c>
    </row>
    <row r="284" spans="1:20" ht="15.75" customHeight="1" x14ac:dyDescent="0.3">
      <c r="A284" s="79" t="s">
        <v>42</v>
      </c>
      <c r="B284" s="1">
        <f>(B283/B10)/1.983</f>
        <v>2186.2606347502151</v>
      </c>
      <c r="C284" s="1">
        <f>(C283/C10)/1.983</f>
        <v>964.105611987609</v>
      </c>
      <c r="D284" s="1">
        <f>(D283/D10)/1.983</f>
        <v>789.38721064532388</v>
      </c>
      <c r="E284" s="55" t="s">
        <v>7</v>
      </c>
      <c r="F284" s="1">
        <f>(F283/F10)/1.983</f>
        <v>799.26037989578083</v>
      </c>
      <c r="G284" s="1">
        <f>(G283/G10)/1.983</f>
        <v>1166.707334927529</v>
      </c>
      <c r="H284" s="1">
        <f>(H283/H10)/1.983</f>
        <v>722.86098503950245</v>
      </c>
      <c r="I284" s="55" t="s">
        <v>7</v>
      </c>
      <c r="J284" s="1">
        <f>(J283/J10)/1.983</f>
        <v>838.74221202804483</v>
      </c>
      <c r="K284" s="1">
        <f>(K283/K10)/1.983</f>
        <v>883.94905080279136</v>
      </c>
      <c r="L284" s="1">
        <f>(L283/L10)/1.983</f>
        <v>1439.1662464279711</v>
      </c>
      <c r="M284" s="55" t="s">
        <v>7</v>
      </c>
      <c r="N284" s="1">
        <f>(N283/N10)/1.983</f>
        <v>1075.171213378231</v>
      </c>
      <c r="O284" s="1">
        <f>(O283/O10)/1.983</f>
        <v>1342.6962514708353</v>
      </c>
      <c r="P284" s="1">
        <f>(P283/P10)/1.983</f>
        <v>1255.2990743903829</v>
      </c>
      <c r="Q284" s="93" t="s">
        <v>7</v>
      </c>
      <c r="R284" s="55" t="s">
        <v>7</v>
      </c>
    </row>
    <row r="285" spans="1:20" ht="15.75" customHeight="1" x14ac:dyDescent="0.3">
      <c r="A285" s="79" t="s">
        <v>197</v>
      </c>
      <c r="B285" s="1">
        <f>(+B283+B426)+B292</f>
        <v>173816</v>
      </c>
      <c r="C285" s="1">
        <f>(+C283+C426)+C292</f>
        <v>107205</v>
      </c>
      <c r="D285" s="1">
        <f>(+D283+D426)+D292</f>
        <v>140135</v>
      </c>
      <c r="E285" s="55">
        <f>SUM(B285:D285)</f>
        <v>421156</v>
      </c>
      <c r="F285" s="1">
        <f>(+F283+F426)+F292</f>
        <v>147593</v>
      </c>
      <c r="G285" s="1">
        <f>(+G283+G426)+G292</f>
        <v>169648</v>
      </c>
      <c r="H285" s="1">
        <f>(+H283+H426)+H292</f>
        <v>73795</v>
      </c>
      <c r="I285" s="55">
        <f>SUM(F285:H285)</f>
        <v>391036</v>
      </c>
      <c r="J285" s="1">
        <f>(+J283+J426)+J292</f>
        <v>65051</v>
      </c>
      <c r="K285" s="1">
        <f>(+K283+K426)+K292</f>
        <v>60668</v>
      </c>
      <c r="L285" s="1">
        <f>(+L283+L426)+L292</f>
        <v>156105</v>
      </c>
      <c r="M285" s="55">
        <f>SUM(J285:L285)</f>
        <v>281824</v>
      </c>
      <c r="N285" s="1">
        <f>(+N283+N426)+N292</f>
        <v>113622</v>
      </c>
      <c r="O285" s="1">
        <f>(+O283+O426)+O292</f>
        <v>112751</v>
      </c>
      <c r="P285" s="1">
        <f>(+P283+P426)+P292</f>
        <v>123029</v>
      </c>
      <c r="Q285" s="93">
        <f>SUM(N285:P285)</f>
        <v>349402</v>
      </c>
      <c r="R285" s="55">
        <f>+E285+I285+M285+Q285</f>
        <v>1443418</v>
      </c>
    </row>
    <row r="286" spans="1:20" ht="16.5" customHeight="1" thickBot="1" x14ac:dyDescent="0.35">
      <c r="A286" s="80" t="s">
        <v>198</v>
      </c>
      <c r="B286" s="25">
        <f>(B285/B10)/1.983</f>
        <v>2827.5177720299966</v>
      </c>
      <c r="C286" s="25">
        <f>(C285/C10)/1.983</f>
        <v>1930.7866868381241</v>
      </c>
      <c r="D286" s="25">
        <f>(D285/D10)/1.983</f>
        <v>2279.618694386153</v>
      </c>
      <c r="E286" s="81" t="s">
        <v>7</v>
      </c>
      <c r="F286" s="25">
        <f>(F285/F10)/1.983</f>
        <v>2480.9715918641787</v>
      </c>
      <c r="G286" s="25">
        <f>(G285/G10)/1.983</f>
        <v>2759.7156475200495</v>
      </c>
      <c r="H286" s="25">
        <f>(H285/H10)/1.983</f>
        <v>1240.4605816103547</v>
      </c>
      <c r="I286" s="81" t="s">
        <v>7</v>
      </c>
      <c r="J286" s="25">
        <f>(J285/J10)/1.983</f>
        <v>1058.2044149463993</v>
      </c>
      <c r="K286" s="25">
        <f>(K285/K10)/1.983</f>
        <v>986.90482000227735</v>
      </c>
      <c r="L286" s="25">
        <f>(L285/L10)/1.983</f>
        <v>2624.054462934947</v>
      </c>
      <c r="M286" s="81" t="s">
        <v>7</v>
      </c>
      <c r="N286" s="25">
        <f>(N285/N10)/1.983</f>
        <v>1848.3236542872478</v>
      </c>
      <c r="O286" s="25">
        <f>(O285/O10)/1.983</f>
        <v>1895.2933266095142</v>
      </c>
      <c r="P286" s="25">
        <f>(P285/P10)/1.983</f>
        <v>2001.3501862606345</v>
      </c>
      <c r="Q286" s="94" t="s">
        <v>7</v>
      </c>
      <c r="R286" s="81" t="s">
        <v>7</v>
      </c>
    </row>
    <row r="287" spans="1:20" ht="16.5" customHeight="1" thickBot="1" x14ac:dyDescent="0.35">
      <c r="A287" s="95" t="s">
        <v>199</v>
      </c>
      <c r="B287" s="96">
        <f>+(B285-(B140+B141+B142+B143+B145+B146+B148+B149+B150+B154+B156+B163+B164+B166+B167+B168+B169+B170+B177+B178+B189+B192+B194+B195+B202+B209+B210+B211+B221+B222+B223+B224+B225+B227+B228+B229+B242+B243+B259+B260+B263+B264+B267+B268+B276+B280+B160+B288)-B292)/(B10*1.983)</f>
        <v>894.53906593138447</v>
      </c>
      <c r="C287" s="96">
        <f>+(C285-(C140+C141+C142+C143+C145+C146+C148+C149+C150+C154+C156+C163+C164+C166+C167+C168+C169+C170+C177+C178+C189+C192+C194+C195+C202+C209+C210+C211+C221+C222+C223+C224+C225+C227+C228+C229+C242+C243+C259+C260+C263+C264+C267+C268+C276+C280+C160+C288)-C292)/(C10*1.983)</f>
        <v>1304.1927814998919</v>
      </c>
      <c r="D287" s="96">
        <f>+(D285-(D140+D141+D142+D143+D145+D146+D148+D149+D150+D154+D156+D163+D164+D166+D167+D168+D169+D170+D177+D178+D189+D192+D194+D195+D202+D209+D210+D211+D221+D222+D223+D224+D225+D227+D228+D229+D242+D243+D259+D260+D263+D264+D267+D268+D276+D280+D160+D288)-D292)/(D10*1.983)</f>
        <v>1970.1982984399654</v>
      </c>
      <c r="E287" s="97"/>
      <c r="F287" s="96">
        <f>+(F285-(F140+F141+F142+F143+F145+F146+F148+F149+F150+F154+F156+F163+F164+F166+F167+F168+F169+F170+F177+F178+F189+F192+F194+F195+F202+F209+F210+F211+F221+F222+F223+F224+F225+F227+F228+F229+F242+F243+F259+F260+F263+F264+F267+F268+F276+F280+F160+F288)-F292)/(F10*1.983)</f>
        <v>2757.3877962682805</v>
      </c>
      <c r="G287" s="96">
        <f>+(G285-(G140+G141+G142+G143+G145+G146+G148+G149+G150+G154+G156+G163+G164+G166+G167+G168+G169+G170+G177+G178+G189+G192+G194+G195+G202+G209+G210+G211+G221+G222+G223+G224+G225+G227+G228+G229+G242+G243+G259+G260+G263+G264+G267+G268+G276+G280+G160+G288)-G292)/(G10*1.983)</f>
        <v>2062.3525775543731</v>
      </c>
      <c r="H287" s="96">
        <f>+(H285-(H140+H141+H142+H143+H145+H146+H148+H149+H150+H154+H156+H163+H164+H166+H167+H168+H169+H170+H177+H178+H189+H192+H194+H195+H202+H209+H210+H211+H221+H222+H223+H224+H225+H227+H228+H229+H242+H243+H259+H260+H263+H264+H267+H268+H276+H280+H160+H288)-H292)/(H10*1.983)</f>
        <v>2403.9670532862665</v>
      </c>
      <c r="I287" s="97"/>
      <c r="J287" s="96">
        <f>+(J285-(J140+J141+J142+J143+J145+J146+J148+J149+J150+J154+J156+J163+J164+J166+J167+J168+J169+J170+J177+J178+J189+J192+J194+J195+J202+J209+J210+J211+J221+J222+J223+J224+J225+J227+J228+J229+J242+J243+J259+J260+J263+J264+J267+J268+J276+J280+J160+J288)-J292)/(J10*1.983)</f>
        <v>2274.2342166479589</v>
      </c>
      <c r="K287" s="96">
        <f>+(K285-(K140+K141+K142+K143+K145+K146+K148+K149+K150+K154+K156+K163+K164+K166+K167+K168+K169+K170+K177+K178+K189+K192+K194+K195+K202+K209+K210+K211+K221+K222+K223+K224+K225+K227+K228+K229+K242+K243+K259+K260+K263+K264+K267+K268+K276+K280+K160+K288)-K292)/(K10*1.983)</f>
        <v>2362.2566004587379</v>
      </c>
      <c r="L287" s="96">
        <f>+(L285-(L140+L141+L142+L143+L145+L146+L148+L149+L150+L154+L156+L163+L164+L166+L167+L168+L169+L170+L177+L178+L189+L192+L194+L195+L202+L209+L210+L211+L221+L222+L223+L224+L225+L227+L228+L229+L242+L243+L259+L260+L263+L264+L267+L268+L276+L280+L160+L288)-L292)/(L10*1.983)</f>
        <v>1709.6486804504959</v>
      </c>
      <c r="M287" s="97"/>
      <c r="N287" s="96">
        <f>+(N285-(N140+N141+N142+N143+N145+N146+N148+N149+N150+N154+N156+N163+N164+N166+N167+N168+N169+N170+N177+N178+N189+N192+N194+N195+N202+N209+N210+N211+N221+N222+N223+N224+N225+N227+N228+N229+N242+N243+N259+N260+N263+N264+N267+N268+N276+N280+N160+N288)-N292)/(N10*1.983)</f>
        <v>1338.4900688106973</v>
      </c>
      <c r="O287" s="96">
        <f>+(O285-(O140+O141+O142+O143+O145+O146+O148+O149+O150+O154+O156+O163+O164+O166+O167+O168+O169+O170+O177+O178+O189+O192+O194+O195+O202+O209+O210+O211+O221+O222+O223+O224+O225+O227+O228+O229+O242+O243+O259+O260+O263+O264+O267+O268+O276+O280+O160+O288)-O292)/(O10*1.983)</f>
        <v>873.10472348293831</v>
      </c>
      <c r="P287" s="96">
        <f>+(P285-(P140+P141+P142+P143+P145+P146+P148+P149+P150+P154+P156+P163+P164+P166+P167+P168+P169+P170+P177+P178+P189+P192+P194+P195+P202+P209+P210+P211+P221+P222+P223+P224+P225+P227+P228+P229+P242+P243+P259+P260+P263+P264+P267+P268+P276+P280+P160+P288)-P292)/(P10*1.983)</f>
        <v>1077.3347648561155</v>
      </c>
      <c r="Q287" s="98"/>
      <c r="R287" s="97"/>
    </row>
    <row r="288" spans="1:20" ht="15.75" customHeight="1" x14ac:dyDescent="0.3">
      <c r="A288" s="299" t="s">
        <v>719</v>
      </c>
      <c r="B288" s="1">
        <v>2500</v>
      </c>
      <c r="C288" s="1">
        <v>2292</v>
      </c>
      <c r="D288" s="1">
        <v>2716</v>
      </c>
      <c r="E288" s="1"/>
      <c r="F288" s="1">
        <v>2811</v>
      </c>
      <c r="G288" s="1">
        <v>1562</v>
      </c>
      <c r="H288" s="1">
        <v>2505</v>
      </c>
      <c r="I288" s="1"/>
      <c r="J288" s="1">
        <v>2556</v>
      </c>
      <c r="K288" s="1">
        <v>2500</v>
      </c>
      <c r="L288" s="1">
        <v>2545</v>
      </c>
      <c r="M288" s="1"/>
      <c r="N288" s="1">
        <v>2500</v>
      </c>
      <c r="O288" s="1">
        <v>2500</v>
      </c>
      <c r="P288" s="1">
        <v>2500</v>
      </c>
      <c r="Q288" s="1"/>
      <c r="R288" s="2"/>
    </row>
    <row r="289" spans="1:20" ht="15.75" customHeight="1" thickBot="1" x14ac:dyDescent="0.35">
      <c r="A289" s="28"/>
      <c r="B289" s="1"/>
      <c r="C289" s="1"/>
      <c r="D289" s="1"/>
      <c r="E289" s="1"/>
      <c r="F289" s="1"/>
      <c r="G289" s="1"/>
      <c r="H289" s="1"/>
      <c r="I289" s="1"/>
      <c r="J289" s="1"/>
      <c r="K289" s="1"/>
      <c r="L289" s="1"/>
      <c r="M289" s="1"/>
      <c r="N289" s="1"/>
      <c r="O289" s="1"/>
      <c r="P289" s="1"/>
      <c r="Q289" s="1"/>
      <c r="R289" s="2"/>
    </row>
    <row r="290" spans="1:20" ht="16.5" customHeight="1" thickBot="1" x14ac:dyDescent="0.35">
      <c r="A290" s="29" t="s">
        <v>201</v>
      </c>
      <c r="B290" s="30" t="s">
        <v>8</v>
      </c>
      <c r="C290" s="31" t="s">
        <v>9</v>
      </c>
      <c r="D290" s="31" t="s">
        <v>10</v>
      </c>
      <c r="E290" s="32" t="s">
        <v>11</v>
      </c>
      <c r="F290" s="31" t="s">
        <v>12</v>
      </c>
      <c r="G290" s="31" t="s">
        <v>13</v>
      </c>
      <c r="H290" s="31" t="s">
        <v>14</v>
      </c>
      <c r="I290" s="33" t="s">
        <v>15</v>
      </c>
      <c r="J290" s="31" t="s">
        <v>16</v>
      </c>
      <c r="K290" s="31" t="s">
        <v>17</v>
      </c>
      <c r="L290" s="31" t="s">
        <v>18</v>
      </c>
      <c r="M290" s="33" t="s">
        <v>19</v>
      </c>
      <c r="N290" s="31" t="s">
        <v>20</v>
      </c>
      <c r="O290" s="31" t="s">
        <v>21</v>
      </c>
      <c r="P290" s="31" t="s">
        <v>22</v>
      </c>
      <c r="Q290" s="33" t="s">
        <v>23</v>
      </c>
      <c r="R290" s="34" t="s">
        <v>24</v>
      </c>
    </row>
    <row r="291" spans="1:20" ht="16.5" customHeight="1" thickBot="1" x14ac:dyDescent="0.35">
      <c r="A291" s="74"/>
      <c r="B291" s="75"/>
      <c r="C291" s="75"/>
      <c r="D291" s="75"/>
      <c r="E291" s="82"/>
      <c r="F291" s="75"/>
      <c r="G291" s="75"/>
      <c r="H291" s="75"/>
      <c r="I291" s="82"/>
      <c r="J291" s="75"/>
      <c r="K291" s="75"/>
      <c r="L291" s="75"/>
      <c r="M291" s="82"/>
      <c r="N291" s="75"/>
      <c r="O291" s="75"/>
      <c r="P291" s="75"/>
      <c r="Q291" s="82"/>
      <c r="R291" s="100"/>
    </row>
    <row r="292" spans="1:20" ht="15.75" customHeight="1" thickBot="1" x14ac:dyDescent="0.35">
      <c r="A292" s="71" t="s">
        <v>202</v>
      </c>
      <c r="B292" s="1"/>
      <c r="C292" s="1">
        <v>-260</v>
      </c>
      <c r="D292" s="1">
        <v>-6159</v>
      </c>
      <c r="E292" s="55">
        <f>SUM(B292:D292)</f>
        <v>-6419</v>
      </c>
      <c r="F292" s="1">
        <v>-34505</v>
      </c>
      <c r="G292" s="1">
        <v>-3516</v>
      </c>
      <c r="H292" s="1">
        <v>-83579</v>
      </c>
      <c r="I292" s="55">
        <f>SUM(F292:H292)</f>
        <v>-121600</v>
      </c>
      <c r="J292" s="1">
        <v>-87950</v>
      </c>
      <c r="K292" s="1">
        <v>-97320</v>
      </c>
      <c r="L292" s="1">
        <v>-2011</v>
      </c>
      <c r="M292" s="55">
        <f>SUM(J292:L292)</f>
        <v>-187281</v>
      </c>
      <c r="N292" s="1">
        <v>-10146</v>
      </c>
      <c r="O292" s="1"/>
      <c r="P292" s="1"/>
      <c r="Q292" s="55">
        <f>SUM(N292:P292)</f>
        <v>-10146</v>
      </c>
      <c r="R292" s="55">
        <f>+E292+I292+M292+Q292</f>
        <v>-325446</v>
      </c>
    </row>
    <row r="293" spans="1:20" ht="16.5" customHeight="1" thickBot="1" x14ac:dyDescent="0.35">
      <c r="A293" s="101"/>
      <c r="B293" s="102"/>
      <c r="C293" s="102"/>
      <c r="D293" s="102"/>
      <c r="E293" s="103"/>
      <c r="F293" s="102"/>
      <c r="G293" s="102"/>
      <c r="H293" s="102"/>
      <c r="I293" s="103"/>
      <c r="J293" s="102"/>
      <c r="K293" s="102"/>
      <c r="L293" s="102"/>
      <c r="M293" s="103"/>
      <c r="N293" s="102"/>
      <c r="O293" s="102"/>
      <c r="P293" s="102"/>
      <c r="Q293" s="103"/>
      <c r="R293" s="104"/>
    </row>
    <row r="294" spans="1:20" ht="15.75" customHeight="1" x14ac:dyDescent="0.3">
      <c r="A294" s="15" t="s">
        <v>32</v>
      </c>
      <c r="B294" s="1">
        <f>B292</f>
        <v>0</v>
      </c>
      <c r="C294" s="1">
        <f>C292</f>
        <v>-260</v>
      </c>
      <c r="D294" s="1">
        <f>D292</f>
        <v>-6159</v>
      </c>
      <c r="E294" s="55">
        <f>SUM(B294:D294)</f>
        <v>-6419</v>
      </c>
      <c r="F294" s="1">
        <f>F292</f>
        <v>-34505</v>
      </c>
      <c r="G294" s="1">
        <f>G292</f>
        <v>-3516</v>
      </c>
      <c r="H294" s="1">
        <f>H292</f>
        <v>-83579</v>
      </c>
      <c r="I294" s="55">
        <f>SUM(F294:H294)</f>
        <v>-121600</v>
      </c>
      <c r="J294" s="1">
        <f>J292</f>
        <v>-87950</v>
      </c>
      <c r="K294" s="1">
        <f>K292</f>
        <v>-97320</v>
      </c>
      <c r="L294" s="1">
        <f>L292</f>
        <v>-2011</v>
      </c>
      <c r="M294" s="55">
        <f>SUM(J294:L294)</f>
        <v>-187281</v>
      </c>
      <c r="N294" s="1">
        <f>N292</f>
        <v>-10146</v>
      </c>
      <c r="O294" s="1">
        <f>O292</f>
        <v>0</v>
      </c>
      <c r="P294" s="1">
        <f>P292</f>
        <v>0</v>
      </c>
      <c r="Q294" s="55">
        <f>SUM(N294:P294)</f>
        <v>-10146</v>
      </c>
      <c r="R294" s="105">
        <f>R292</f>
        <v>-325446</v>
      </c>
    </row>
    <row r="295" spans="1:20" ht="16.5" customHeight="1" thickBot="1" x14ac:dyDescent="0.35">
      <c r="A295" s="20" t="s">
        <v>42</v>
      </c>
      <c r="B295" s="21">
        <f>(B294/B10)/1.983</f>
        <v>0</v>
      </c>
      <c r="C295" s="21">
        <f>(C294/C10)/1.983</f>
        <v>-4.68265975073842</v>
      </c>
      <c r="D295" s="21">
        <f>(D294/D10)/1.983</f>
        <v>-100.19032746083647</v>
      </c>
      <c r="E295" s="81"/>
      <c r="F295" s="21">
        <f>(F294/F10)/1.983</f>
        <v>-580.01344763825853</v>
      </c>
      <c r="G295" s="21">
        <f>(G294/G10)/1.983</f>
        <v>-57.195842077009416</v>
      </c>
      <c r="H295" s="21">
        <f>(H294/H10)/1.983</f>
        <v>-1404.925197512187</v>
      </c>
      <c r="I295" s="81"/>
      <c r="J295" s="21">
        <f>(J294/J10)/1.983</f>
        <v>-1430.7094171424851</v>
      </c>
      <c r="K295" s="21">
        <f>(K294/K10)/1.983</f>
        <v>-1583.134058855107</v>
      </c>
      <c r="L295" s="21">
        <f>(L294/L10)/1.983</f>
        <v>-33.80400067238191</v>
      </c>
      <c r="M295" s="81"/>
      <c r="N295" s="21">
        <f>(N294/N10)/1.983</f>
        <v>-165.04806988433947</v>
      </c>
      <c r="O295" s="21">
        <f>(O294/O10)/1.983</f>
        <v>0</v>
      </c>
      <c r="P295" s="21">
        <f>(P294/P10)/1.983</f>
        <v>0</v>
      </c>
      <c r="Q295" s="81"/>
      <c r="R295" s="100" t="s">
        <v>7</v>
      </c>
    </row>
    <row r="296" spans="1:20" ht="15.75" customHeight="1" x14ac:dyDescent="0.3">
      <c r="A296" s="2"/>
      <c r="B296" s="1"/>
      <c r="C296" s="1"/>
      <c r="D296" s="1"/>
      <c r="E296" s="1"/>
      <c r="F296" s="1"/>
      <c r="G296" s="1"/>
      <c r="H296" s="1"/>
      <c r="I296" s="1"/>
      <c r="J296" s="1"/>
      <c r="K296" s="1"/>
      <c r="L296" s="1"/>
      <c r="M296" s="1"/>
      <c r="N296" s="1"/>
      <c r="O296" s="1"/>
      <c r="P296" s="1"/>
      <c r="Q296" s="1"/>
      <c r="R296" s="2"/>
    </row>
    <row r="297" spans="1:20" ht="16.5" customHeight="1" thickBot="1" x14ac:dyDescent="0.35">
      <c r="A297" s="106"/>
      <c r="B297" s="21"/>
      <c r="C297" s="21"/>
      <c r="D297" s="21"/>
      <c r="E297" s="21"/>
      <c r="F297" s="21"/>
      <c r="G297" s="21"/>
      <c r="H297" s="21"/>
      <c r="I297" s="21"/>
      <c r="J297" s="21"/>
      <c r="K297" s="21"/>
      <c r="L297" s="21"/>
      <c r="M297" s="21"/>
      <c r="N297" s="21"/>
      <c r="O297" s="21"/>
      <c r="P297" s="21"/>
      <c r="Q297" s="21"/>
      <c r="R297" s="106"/>
    </row>
    <row r="298" spans="1:20" ht="16.5" customHeight="1" thickBot="1" x14ac:dyDescent="0.35">
      <c r="A298" s="107" t="s">
        <v>203</v>
      </c>
      <c r="B298" s="30" t="s">
        <v>8</v>
      </c>
      <c r="C298" s="31" t="s">
        <v>9</v>
      </c>
      <c r="D298" s="31" t="s">
        <v>10</v>
      </c>
      <c r="E298" s="32" t="s">
        <v>11</v>
      </c>
      <c r="F298" s="31" t="s">
        <v>12</v>
      </c>
      <c r="G298" s="31" t="s">
        <v>13</v>
      </c>
      <c r="H298" s="31" t="s">
        <v>14</v>
      </c>
      <c r="I298" s="33" t="s">
        <v>15</v>
      </c>
      <c r="J298" s="31" t="s">
        <v>16</v>
      </c>
      <c r="K298" s="31" t="s">
        <v>17</v>
      </c>
      <c r="L298" s="31" t="s">
        <v>18</v>
      </c>
      <c r="M298" s="33" t="s">
        <v>19</v>
      </c>
      <c r="N298" s="31" t="s">
        <v>20</v>
      </c>
      <c r="O298" s="31" t="s">
        <v>21</v>
      </c>
      <c r="P298" s="31" t="s">
        <v>22</v>
      </c>
      <c r="Q298" s="33" t="s">
        <v>23</v>
      </c>
      <c r="R298" s="34" t="s">
        <v>24</v>
      </c>
    </row>
    <row r="299" spans="1:20" ht="16.5" customHeight="1" thickBot="1" x14ac:dyDescent="0.35">
      <c r="A299" s="59"/>
      <c r="B299" s="75"/>
      <c r="C299" s="75"/>
      <c r="D299" s="75"/>
      <c r="E299" s="69"/>
      <c r="F299" s="75"/>
      <c r="G299" s="75"/>
      <c r="H299" s="75"/>
      <c r="I299" s="82"/>
      <c r="J299" s="75"/>
      <c r="K299" s="75"/>
      <c r="L299" s="75"/>
      <c r="M299" s="82"/>
      <c r="N299" s="75"/>
      <c r="O299" s="75"/>
      <c r="P299" s="75"/>
      <c r="Q299" s="82"/>
      <c r="R299" s="105"/>
    </row>
    <row r="300" spans="1:20" ht="15.75" customHeight="1" x14ac:dyDescent="0.3">
      <c r="A300" s="15" t="s">
        <v>48</v>
      </c>
      <c r="B300" s="1" t="s">
        <v>7</v>
      </c>
      <c r="C300" s="1" t="s">
        <v>7</v>
      </c>
      <c r="D300" s="1" t="s">
        <v>7</v>
      </c>
      <c r="E300" s="55" t="s">
        <v>7</v>
      </c>
      <c r="F300" s="1" t="s">
        <v>7</v>
      </c>
      <c r="G300" s="1" t="s">
        <v>7</v>
      </c>
      <c r="H300" s="1" t="s">
        <v>7</v>
      </c>
      <c r="I300" s="55" t="s">
        <v>7</v>
      </c>
      <c r="J300" s="1" t="s">
        <v>7</v>
      </c>
      <c r="K300" s="1" t="s">
        <v>7</v>
      </c>
      <c r="L300" s="1" t="s">
        <v>7</v>
      </c>
      <c r="M300" s="55" t="s">
        <v>7</v>
      </c>
      <c r="N300" s="1" t="s">
        <v>7</v>
      </c>
      <c r="O300" s="1" t="s">
        <v>7</v>
      </c>
      <c r="P300" s="1" t="s">
        <v>7</v>
      </c>
      <c r="Q300" s="55" t="s">
        <v>7</v>
      </c>
      <c r="R300" s="60" t="s">
        <v>7</v>
      </c>
    </row>
    <row r="301" spans="1:20" ht="15.75" customHeight="1" x14ac:dyDescent="0.3">
      <c r="A301" s="15" t="s">
        <v>49</v>
      </c>
      <c r="B301" s="1"/>
      <c r="C301" s="1"/>
      <c r="D301" s="1"/>
      <c r="E301" s="55" t="s">
        <v>7</v>
      </c>
      <c r="F301" s="1"/>
      <c r="G301" s="1"/>
      <c r="H301" s="1"/>
      <c r="I301" s="55" t="s">
        <v>7</v>
      </c>
      <c r="J301" s="1"/>
      <c r="K301" s="1"/>
      <c r="L301" s="1"/>
      <c r="M301" s="55" t="s">
        <v>7</v>
      </c>
      <c r="N301" s="1"/>
      <c r="O301" s="1"/>
      <c r="P301" s="1"/>
      <c r="Q301" s="55" t="s">
        <v>7</v>
      </c>
      <c r="R301" s="55" t="s">
        <v>7</v>
      </c>
    </row>
    <row r="302" spans="1:20" ht="15.75" customHeight="1" x14ac:dyDescent="0.3">
      <c r="A302" s="72" t="s">
        <v>906</v>
      </c>
      <c r="B302" s="1">
        <v>1</v>
      </c>
      <c r="C302" s="108">
        <v>1</v>
      </c>
      <c r="D302" s="1"/>
      <c r="E302" s="55">
        <f t="shared" ref="E302:E318" si="52">SUM(B302:D302)</f>
        <v>2</v>
      </c>
      <c r="F302" s="1">
        <v>1</v>
      </c>
      <c r="G302" s="1">
        <v>1</v>
      </c>
      <c r="H302" s="1">
        <v>2</v>
      </c>
      <c r="I302" s="55">
        <f t="shared" ref="I302:I318" si="53">SUM(F302:H302)</f>
        <v>4</v>
      </c>
      <c r="J302" s="1">
        <v>3</v>
      </c>
      <c r="K302" s="1">
        <v>3</v>
      </c>
      <c r="L302" s="1">
        <v>1</v>
      </c>
      <c r="M302" s="55">
        <f t="shared" ref="M302:M318" si="54">SUM(J302:L302)</f>
        <v>7</v>
      </c>
      <c r="N302" s="1"/>
      <c r="O302" s="1">
        <f>1+105</f>
        <v>106</v>
      </c>
      <c r="P302" s="1">
        <v>45</v>
      </c>
      <c r="Q302" s="55">
        <f t="shared" ref="Q302:Q318" si="55">SUM(N302:P302)</f>
        <v>151</v>
      </c>
      <c r="R302" s="55">
        <f t="shared" ref="R302:R318" si="56">+E302+I302+M302+Q302</f>
        <v>164</v>
      </c>
      <c r="T302" s="4" t="s">
        <v>907</v>
      </c>
    </row>
    <row r="303" spans="1:20" ht="15.75" customHeight="1" x14ac:dyDescent="0.3">
      <c r="A303" s="72" t="s">
        <v>908</v>
      </c>
      <c r="B303" s="1"/>
      <c r="C303" s="108"/>
      <c r="D303" s="1"/>
      <c r="E303" s="55">
        <f t="shared" si="52"/>
        <v>0</v>
      </c>
      <c r="F303" s="1"/>
      <c r="G303" s="1"/>
      <c r="H303" s="1"/>
      <c r="I303" s="55">
        <f t="shared" si="53"/>
        <v>0</v>
      </c>
      <c r="J303" s="1">
        <v>100</v>
      </c>
      <c r="K303" s="1"/>
      <c r="L303" s="1"/>
      <c r="M303" s="55">
        <f t="shared" si="54"/>
        <v>100</v>
      </c>
      <c r="N303" s="1"/>
      <c r="O303" s="1"/>
      <c r="P303" s="1"/>
      <c r="Q303" s="55">
        <f t="shared" si="55"/>
        <v>0</v>
      </c>
      <c r="R303" s="55">
        <f t="shared" si="56"/>
        <v>100</v>
      </c>
      <c r="T303" s="4" t="s">
        <v>241</v>
      </c>
    </row>
    <row r="304" spans="1:20" ht="15.75" customHeight="1" x14ac:dyDescent="0.3">
      <c r="A304" s="72" t="s">
        <v>913</v>
      </c>
      <c r="B304" s="1">
        <v>85</v>
      </c>
      <c r="C304" s="1">
        <v>97</v>
      </c>
      <c r="D304" s="1">
        <v>238</v>
      </c>
      <c r="E304" s="55">
        <f t="shared" si="52"/>
        <v>420</v>
      </c>
      <c r="F304" s="1">
        <v>288</v>
      </c>
      <c r="G304" s="1">
        <v>256</v>
      </c>
      <c r="H304" s="1">
        <v>411</v>
      </c>
      <c r="I304" s="55">
        <f t="shared" si="53"/>
        <v>955</v>
      </c>
      <c r="J304" s="1">
        <v>344</v>
      </c>
      <c r="K304" s="1">
        <v>396</v>
      </c>
      <c r="L304" s="1">
        <v>246</v>
      </c>
      <c r="M304" s="55">
        <f t="shared" si="54"/>
        <v>986</v>
      </c>
      <c r="N304" s="1">
        <f>33+338</f>
        <v>371</v>
      </c>
      <c r="O304" s="1">
        <f>29+109</f>
        <v>138</v>
      </c>
      <c r="P304" s="1">
        <v>104</v>
      </c>
      <c r="Q304" s="55">
        <f t="shared" si="55"/>
        <v>613</v>
      </c>
      <c r="R304" s="55">
        <f t="shared" si="56"/>
        <v>2974</v>
      </c>
      <c r="T304" s="4" t="s">
        <v>914</v>
      </c>
    </row>
    <row r="305" spans="1:20" ht="15.75" customHeight="1" x14ac:dyDescent="0.3">
      <c r="A305" s="72" t="s">
        <v>208</v>
      </c>
      <c r="B305" s="1">
        <v>114</v>
      </c>
      <c r="C305" s="1">
        <v>45</v>
      </c>
      <c r="D305" s="1">
        <v>80</v>
      </c>
      <c r="E305" s="55">
        <f t="shared" si="52"/>
        <v>239</v>
      </c>
      <c r="F305" s="1">
        <v>183</v>
      </c>
      <c r="G305" s="1">
        <v>233</v>
      </c>
      <c r="H305" s="1">
        <v>332</v>
      </c>
      <c r="I305" s="55">
        <f t="shared" si="53"/>
        <v>748</v>
      </c>
      <c r="J305" s="1">
        <v>403</v>
      </c>
      <c r="K305" s="1">
        <v>293</v>
      </c>
      <c r="L305" s="1">
        <v>310</v>
      </c>
      <c r="M305" s="55">
        <f t="shared" si="54"/>
        <v>1006</v>
      </c>
      <c r="N305" s="1">
        <v>240</v>
      </c>
      <c r="O305" s="1">
        <v>90</v>
      </c>
      <c r="P305" s="1">
        <v>67</v>
      </c>
      <c r="Q305" s="55">
        <f t="shared" si="55"/>
        <v>397</v>
      </c>
      <c r="R305" s="55">
        <f t="shared" si="56"/>
        <v>2390</v>
      </c>
      <c r="T305" s="4" t="s">
        <v>209</v>
      </c>
    </row>
    <row r="306" spans="1:20" ht="15.75" customHeight="1" x14ac:dyDescent="0.3">
      <c r="A306" s="72" t="s">
        <v>911</v>
      </c>
      <c r="B306" s="1"/>
      <c r="C306" s="1"/>
      <c r="D306" s="1"/>
      <c r="E306" s="55">
        <f>SUM(B306:D306)</f>
        <v>0</v>
      </c>
      <c r="F306" s="1"/>
      <c r="G306" s="1">
        <v>1470</v>
      </c>
      <c r="H306" s="1">
        <v>1030</v>
      </c>
      <c r="I306" s="55">
        <f>SUM(F306:H306)</f>
        <v>2500</v>
      </c>
      <c r="J306" s="1"/>
      <c r="K306" s="1"/>
      <c r="L306" s="1"/>
      <c r="M306" s="55">
        <f>SUM(J306:L306)</f>
        <v>0</v>
      </c>
      <c r="N306" s="1"/>
      <c r="O306" s="1"/>
      <c r="P306" s="1"/>
      <c r="Q306" s="55">
        <f>SUM(N306:P306)</f>
        <v>0</v>
      </c>
      <c r="R306" s="55">
        <f>+E306+I306+M306+Q306</f>
        <v>2500</v>
      </c>
    </row>
    <row r="307" spans="1:20" ht="15.75" customHeight="1" x14ac:dyDescent="0.3">
      <c r="A307" s="72" t="s">
        <v>917</v>
      </c>
      <c r="B307" s="1"/>
      <c r="C307" s="1">
        <v>80</v>
      </c>
      <c r="D307" s="1"/>
      <c r="E307" s="55">
        <f t="shared" si="52"/>
        <v>80</v>
      </c>
      <c r="F307" s="1"/>
      <c r="G307" s="1"/>
      <c r="H307" s="1"/>
      <c r="I307" s="55">
        <f t="shared" si="53"/>
        <v>0</v>
      </c>
      <c r="J307" s="1"/>
      <c r="K307" s="1"/>
      <c r="L307" s="1"/>
      <c r="M307" s="55">
        <f t="shared" si="54"/>
        <v>0</v>
      </c>
      <c r="N307" s="1"/>
      <c r="O307" s="1"/>
      <c r="P307" s="1"/>
      <c r="Q307" s="55">
        <f t="shared" si="55"/>
        <v>0</v>
      </c>
      <c r="R307" s="55">
        <f t="shared" si="56"/>
        <v>80</v>
      </c>
      <c r="T307" s="4" t="s">
        <v>241</v>
      </c>
    </row>
    <row r="308" spans="1:20" ht="15.75" customHeight="1" x14ac:dyDescent="0.3">
      <c r="A308" s="72" t="s">
        <v>918</v>
      </c>
      <c r="B308" s="1"/>
      <c r="C308" s="1"/>
      <c r="D308" s="1"/>
      <c r="E308" s="55">
        <f t="shared" si="52"/>
        <v>0</v>
      </c>
      <c r="F308" s="1"/>
      <c r="G308" s="1"/>
      <c r="H308" s="1">
        <v>1112</v>
      </c>
      <c r="I308" s="55">
        <f t="shared" si="53"/>
        <v>1112</v>
      </c>
      <c r="J308" s="1">
        <v>760</v>
      </c>
      <c r="K308" s="1"/>
      <c r="L308" s="1">
        <v>1116</v>
      </c>
      <c r="M308" s="55">
        <f t="shared" si="54"/>
        <v>1876</v>
      </c>
      <c r="N308" s="1">
        <v>1160</v>
      </c>
      <c r="O308" s="1">
        <v>1131</v>
      </c>
      <c r="P308" s="1">
        <v>1140</v>
      </c>
      <c r="Q308" s="55">
        <f t="shared" si="55"/>
        <v>3431</v>
      </c>
      <c r="R308" s="55">
        <f t="shared" si="56"/>
        <v>6419</v>
      </c>
      <c r="T308" s="4" t="s">
        <v>919</v>
      </c>
    </row>
    <row r="309" spans="1:20" ht="15.75" customHeight="1" x14ac:dyDescent="0.3">
      <c r="A309" s="72" t="s">
        <v>920</v>
      </c>
      <c r="B309" s="1">
        <v>3</v>
      </c>
      <c r="C309" s="1">
        <v>27</v>
      </c>
      <c r="D309" s="1">
        <v>38</v>
      </c>
      <c r="E309" s="55">
        <f t="shared" si="52"/>
        <v>68</v>
      </c>
      <c r="F309" s="1">
        <v>51</v>
      </c>
      <c r="G309" s="1">
        <v>47</v>
      </c>
      <c r="H309" s="1">
        <v>25</v>
      </c>
      <c r="I309" s="55">
        <f t="shared" si="53"/>
        <v>123</v>
      </c>
      <c r="J309" s="1">
        <v>14</v>
      </c>
      <c r="K309" s="1">
        <v>22</v>
      </c>
      <c r="L309" s="1">
        <v>51</v>
      </c>
      <c r="M309" s="55">
        <f t="shared" si="54"/>
        <v>87</v>
      </c>
      <c r="N309" s="1">
        <v>46</v>
      </c>
      <c r="O309" s="1">
        <v>34</v>
      </c>
      <c r="P309" s="1">
        <v>10</v>
      </c>
      <c r="Q309" s="55">
        <f t="shared" si="55"/>
        <v>90</v>
      </c>
      <c r="R309" s="55">
        <f t="shared" si="56"/>
        <v>368</v>
      </c>
      <c r="T309" s="4" t="s">
        <v>209</v>
      </c>
    </row>
    <row r="310" spans="1:20" ht="15.75" customHeight="1" x14ac:dyDescent="0.3">
      <c r="A310" s="72" t="s">
        <v>921</v>
      </c>
      <c r="B310" s="1"/>
      <c r="C310" s="1"/>
      <c r="D310" s="1"/>
      <c r="E310" s="55">
        <f t="shared" si="52"/>
        <v>0</v>
      </c>
      <c r="F310" s="1"/>
      <c r="G310" s="1"/>
      <c r="H310" s="1"/>
      <c r="I310" s="55">
        <f t="shared" si="53"/>
        <v>0</v>
      </c>
      <c r="J310" s="1"/>
      <c r="K310" s="1"/>
      <c r="L310" s="1"/>
      <c r="M310" s="55">
        <f t="shared" si="54"/>
        <v>0</v>
      </c>
      <c r="N310" s="1"/>
      <c r="O310" s="1"/>
      <c r="P310" s="1"/>
      <c r="Q310" s="55">
        <f t="shared" si="55"/>
        <v>0</v>
      </c>
      <c r="R310" s="55">
        <f t="shared" si="56"/>
        <v>0</v>
      </c>
      <c r="T310" s="4" t="s">
        <v>209</v>
      </c>
    </row>
    <row r="311" spans="1:20" ht="15.75" customHeight="1" x14ac:dyDescent="0.3">
      <c r="A311" s="72" t="s">
        <v>922</v>
      </c>
      <c r="B311" s="1"/>
      <c r="C311" s="1"/>
      <c r="D311" s="1"/>
      <c r="E311" s="55">
        <f>SUM(B311:D311)</f>
        <v>0</v>
      </c>
      <c r="F311" s="1"/>
      <c r="G311" s="1"/>
      <c r="H311" s="1"/>
      <c r="I311" s="55">
        <f>SUM(F311:H311)</f>
        <v>0</v>
      </c>
      <c r="J311" s="1"/>
      <c r="K311" s="1"/>
      <c r="L311" s="1"/>
      <c r="M311" s="55">
        <f>SUM(J311:L311)</f>
        <v>0</v>
      </c>
      <c r="N311" s="1"/>
      <c r="O311" s="1"/>
      <c r="P311" s="1"/>
      <c r="Q311" s="55">
        <f>SUM(N311:P311)</f>
        <v>0</v>
      </c>
      <c r="R311" s="55">
        <f t="shared" si="56"/>
        <v>0</v>
      </c>
      <c r="T311" s="4" t="s">
        <v>241</v>
      </c>
    </row>
    <row r="312" spans="1:20" ht="15.75" customHeight="1" x14ac:dyDescent="0.3">
      <c r="A312" s="72" t="s">
        <v>118</v>
      </c>
      <c r="B312" s="1"/>
      <c r="C312" s="1"/>
      <c r="D312" s="1"/>
      <c r="E312" s="55">
        <f t="shared" si="52"/>
        <v>0</v>
      </c>
      <c r="F312" s="1"/>
      <c r="G312" s="1"/>
      <c r="H312" s="1"/>
      <c r="I312" s="55">
        <f t="shared" si="53"/>
        <v>0</v>
      </c>
      <c r="J312" s="1"/>
      <c r="K312" s="1"/>
      <c r="L312" s="1">
        <v>638</v>
      </c>
      <c r="M312" s="55">
        <f t="shared" si="54"/>
        <v>638</v>
      </c>
      <c r="N312" s="1">
        <v>1124</v>
      </c>
      <c r="O312" s="1">
        <v>1078</v>
      </c>
      <c r="P312" s="1">
        <v>1145</v>
      </c>
      <c r="Q312" s="55">
        <f t="shared" si="55"/>
        <v>3347</v>
      </c>
      <c r="R312" s="55">
        <f t="shared" si="56"/>
        <v>3985</v>
      </c>
      <c r="T312" s="4" t="s">
        <v>919</v>
      </c>
    </row>
    <row r="313" spans="1:20" ht="15.75" customHeight="1" x14ac:dyDescent="0.3">
      <c r="A313" s="72" t="s">
        <v>923</v>
      </c>
      <c r="B313" s="1"/>
      <c r="C313" s="1"/>
      <c r="D313" s="1"/>
      <c r="E313" s="55">
        <f>SUM(B313:D313)</f>
        <v>0</v>
      </c>
      <c r="F313" s="1"/>
      <c r="G313" s="1"/>
      <c r="H313" s="1"/>
      <c r="I313" s="55">
        <f>SUM(F313:H313)</f>
        <v>0</v>
      </c>
      <c r="J313" s="1"/>
      <c r="K313" s="1"/>
      <c r="L313" s="1"/>
      <c r="M313" s="55">
        <f>SUM(J313:L313)</f>
        <v>0</v>
      </c>
      <c r="N313" s="1"/>
      <c r="O313" s="1"/>
      <c r="P313" s="1"/>
      <c r="Q313" s="55">
        <f>SUM(N313:P313)</f>
        <v>0</v>
      </c>
      <c r="R313" s="55">
        <f t="shared" si="56"/>
        <v>0</v>
      </c>
      <c r="T313" s="4" t="s">
        <v>241</v>
      </c>
    </row>
    <row r="314" spans="1:20" ht="15.75" customHeight="1" x14ac:dyDescent="0.3">
      <c r="A314" s="72" t="s">
        <v>924</v>
      </c>
      <c r="B314" s="1"/>
      <c r="C314" s="1"/>
      <c r="D314" s="1"/>
      <c r="E314" s="55">
        <f t="shared" si="52"/>
        <v>0</v>
      </c>
      <c r="F314" s="1"/>
      <c r="G314" s="1"/>
      <c r="H314" s="1"/>
      <c r="I314" s="55">
        <f t="shared" si="53"/>
        <v>0</v>
      </c>
      <c r="J314" s="1"/>
      <c r="K314" s="1"/>
      <c r="L314" s="1"/>
      <c r="M314" s="55">
        <f t="shared" si="54"/>
        <v>0</v>
      </c>
      <c r="N314" s="1"/>
      <c r="O314" s="1"/>
      <c r="P314" s="1"/>
      <c r="Q314" s="55">
        <f t="shared" si="55"/>
        <v>0</v>
      </c>
      <c r="R314" s="55">
        <f t="shared" si="56"/>
        <v>0</v>
      </c>
      <c r="S314" s="300"/>
      <c r="T314" s="4" t="s">
        <v>214</v>
      </c>
    </row>
    <row r="315" spans="1:20" ht="15.75" customHeight="1" x14ac:dyDescent="0.3">
      <c r="A315" s="72" t="s">
        <v>215</v>
      </c>
      <c r="B315" s="1">
        <v>1629</v>
      </c>
      <c r="C315" s="1">
        <v>780</v>
      </c>
      <c r="D315" s="1">
        <v>1612</v>
      </c>
      <c r="E315" s="55">
        <f t="shared" si="52"/>
        <v>4021</v>
      </c>
      <c r="F315" s="1">
        <v>903</v>
      </c>
      <c r="G315" s="1">
        <v>1081</v>
      </c>
      <c r="H315" s="1">
        <v>4664</v>
      </c>
      <c r="I315" s="55">
        <f t="shared" si="53"/>
        <v>6648</v>
      </c>
      <c r="J315" s="1">
        <v>5071</v>
      </c>
      <c r="K315" s="1">
        <v>5123</v>
      </c>
      <c r="L315" s="1">
        <v>4162</v>
      </c>
      <c r="M315" s="55">
        <f t="shared" si="54"/>
        <v>14356</v>
      </c>
      <c r="N315" s="1">
        <f>4189+54+27+92+2</f>
        <v>4364</v>
      </c>
      <c r="O315" s="1">
        <f>4430+20+43+33</f>
        <v>4526</v>
      </c>
      <c r="P315" s="1">
        <v>4202</v>
      </c>
      <c r="Q315" s="55">
        <f t="shared" si="55"/>
        <v>13092</v>
      </c>
      <c r="R315" s="55">
        <f t="shared" si="56"/>
        <v>38117</v>
      </c>
      <c r="T315" s="4" t="s">
        <v>210</v>
      </c>
    </row>
    <row r="316" spans="1:20" ht="15.75" customHeight="1" x14ac:dyDescent="0.3">
      <c r="A316" s="72" t="s">
        <v>720</v>
      </c>
      <c r="B316" s="1"/>
      <c r="C316" s="1"/>
      <c r="D316" s="1"/>
      <c r="E316" s="55">
        <f t="shared" si="52"/>
        <v>0</v>
      </c>
      <c r="F316" s="1"/>
      <c r="G316" s="1"/>
      <c r="H316" s="1"/>
      <c r="I316" s="55">
        <f t="shared" si="53"/>
        <v>0</v>
      </c>
      <c r="J316" s="1"/>
      <c r="K316" s="1"/>
      <c r="L316" s="1"/>
      <c r="M316" s="55">
        <f t="shared" si="54"/>
        <v>0</v>
      </c>
      <c r="N316" s="1"/>
      <c r="O316" s="1"/>
      <c r="P316" s="1"/>
      <c r="Q316" s="55">
        <f t="shared" si="55"/>
        <v>0</v>
      </c>
      <c r="R316" s="55">
        <f t="shared" si="56"/>
        <v>0</v>
      </c>
    </row>
    <row r="317" spans="1:20" ht="15.75" customHeight="1" x14ac:dyDescent="0.3">
      <c r="A317" s="71" t="s">
        <v>929</v>
      </c>
      <c r="B317" s="1"/>
      <c r="C317" s="1"/>
      <c r="D317" s="1"/>
      <c r="E317" s="55">
        <f>SUM(B317:D317)</f>
        <v>0</v>
      </c>
      <c r="F317" s="1">
        <v>37</v>
      </c>
      <c r="G317" s="1"/>
      <c r="H317" s="1"/>
      <c r="I317" s="55">
        <f>SUM(F317:H317)</f>
        <v>37</v>
      </c>
      <c r="J317" s="1"/>
      <c r="K317" s="1"/>
      <c r="L317" s="1"/>
      <c r="M317" s="55">
        <f>SUM(J317:L317)</f>
        <v>0</v>
      </c>
      <c r="N317" s="1"/>
      <c r="O317" s="1"/>
      <c r="P317" s="1">
        <v>6</v>
      </c>
      <c r="Q317" s="55">
        <f>SUM(N317:P317)</f>
        <v>6</v>
      </c>
      <c r="R317" s="55">
        <f t="shared" si="56"/>
        <v>43</v>
      </c>
    </row>
    <row r="318" spans="1:20" ht="15.75" customHeight="1" x14ac:dyDescent="0.3">
      <c r="A318" s="72" t="s">
        <v>930</v>
      </c>
      <c r="B318" s="1"/>
      <c r="C318" s="1"/>
      <c r="D318" s="1"/>
      <c r="E318" s="55">
        <f t="shared" si="52"/>
        <v>0</v>
      </c>
      <c r="F318" s="1"/>
      <c r="G318" s="1"/>
      <c r="H318" s="1"/>
      <c r="I318" s="55">
        <f t="shared" si="53"/>
        <v>0</v>
      </c>
      <c r="J318" s="1">
        <v>105</v>
      </c>
      <c r="K318" s="1">
        <v>195</v>
      </c>
      <c r="L318" s="1">
        <v>117</v>
      </c>
      <c r="M318" s="55">
        <f t="shared" si="54"/>
        <v>417</v>
      </c>
      <c r="N318" s="1">
        <v>66</v>
      </c>
      <c r="O318" s="1">
        <v>12</v>
      </c>
      <c r="P318" s="1"/>
      <c r="Q318" s="55">
        <f t="shared" si="55"/>
        <v>78</v>
      </c>
      <c r="R318" s="55">
        <f t="shared" si="56"/>
        <v>495</v>
      </c>
      <c r="S318" s="4">
        <f>SUM(R302:R318)</f>
        <v>57635</v>
      </c>
      <c r="T318" s="4" t="s">
        <v>214</v>
      </c>
    </row>
    <row r="319" spans="1:20" ht="15.75" customHeight="1" x14ac:dyDescent="0.3">
      <c r="A319" s="15" t="s">
        <v>50</v>
      </c>
      <c r="B319" s="1"/>
      <c r="C319" s="1"/>
      <c r="D319" s="1"/>
      <c r="E319" s="55" t="s">
        <v>7</v>
      </c>
      <c r="F319" s="1"/>
      <c r="G319" s="1"/>
      <c r="H319" s="1"/>
      <c r="I319" s="55" t="s">
        <v>7</v>
      </c>
      <c r="J319" s="1"/>
      <c r="K319" s="1"/>
      <c r="L319" s="1"/>
      <c r="M319" s="55" t="s">
        <v>7</v>
      </c>
      <c r="N319" s="1"/>
      <c r="O319" s="1"/>
      <c r="P319" s="1"/>
      <c r="Q319" s="55" t="s">
        <v>7</v>
      </c>
      <c r="R319" s="55" t="s">
        <v>7</v>
      </c>
    </row>
    <row r="320" spans="1:20" ht="15.75" customHeight="1" x14ac:dyDescent="0.3">
      <c r="A320" s="72" t="s">
        <v>217</v>
      </c>
      <c r="B320" s="1"/>
      <c r="C320" s="1"/>
      <c r="D320" s="1"/>
      <c r="E320" s="55">
        <f t="shared" ref="E320:E334" si="57">SUM(B320:D320)</f>
        <v>0</v>
      </c>
      <c r="F320" s="1"/>
      <c r="G320" s="1"/>
      <c r="H320" s="1"/>
      <c r="I320" s="55">
        <f t="shared" ref="I320:I334" si="58">SUM(F320:H320)</f>
        <v>0</v>
      </c>
      <c r="J320" s="1"/>
      <c r="K320" s="1"/>
      <c r="L320" s="1"/>
      <c r="M320" s="55">
        <f t="shared" ref="M320:M334" si="59">SUM(J320:L320)</f>
        <v>0</v>
      </c>
      <c r="N320" s="1"/>
      <c r="O320" s="1"/>
      <c r="P320" s="1"/>
      <c r="Q320" s="55">
        <f t="shared" ref="Q320:Q334" si="60">SUM(N320:P320)</f>
        <v>0</v>
      </c>
      <c r="R320" s="55">
        <f t="shared" ref="R320:R334" si="61">+E320+I320+M320+Q320</f>
        <v>0</v>
      </c>
    </row>
    <row r="321" spans="1:20" ht="15.75" customHeight="1" x14ac:dyDescent="0.3">
      <c r="A321" s="72" t="s">
        <v>932</v>
      </c>
      <c r="B321" s="1"/>
      <c r="C321" s="1"/>
      <c r="D321" s="1"/>
      <c r="E321" s="55">
        <f>SUM(B321:D321)</f>
        <v>0</v>
      </c>
      <c r="F321" s="1"/>
      <c r="G321" s="1"/>
      <c r="H321" s="1"/>
      <c r="I321" s="55">
        <f>SUM(F321:H321)</f>
        <v>0</v>
      </c>
      <c r="J321" s="1"/>
      <c r="K321" s="1"/>
      <c r="L321" s="1"/>
      <c r="M321" s="55">
        <f>SUM(J321:L321)</f>
        <v>0</v>
      </c>
      <c r="N321" s="1"/>
      <c r="O321" s="1"/>
      <c r="P321" s="1"/>
      <c r="Q321" s="55">
        <f>SUM(N321:P321)</f>
        <v>0</v>
      </c>
      <c r="R321" s="55">
        <f>+E321+I321+M321+Q321</f>
        <v>0</v>
      </c>
      <c r="T321" s="4" t="s">
        <v>220</v>
      </c>
    </row>
    <row r="322" spans="1:20" ht="15.75" customHeight="1" x14ac:dyDescent="0.3">
      <c r="A322" s="72" t="s">
        <v>643</v>
      </c>
      <c r="B322" s="1"/>
      <c r="C322" s="1"/>
      <c r="D322" s="1"/>
      <c r="E322" s="55">
        <f>SUM(B322:D322)</f>
        <v>0</v>
      </c>
      <c r="F322" s="1"/>
      <c r="G322" s="1"/>
      <c r="H322" s="1">
        <v>1250</v>
      </c>
      <c r="I322" s="55">
        <f>SUM(F322:H322)</f>
        <v>1250</v>
      </c>
      <c r="J322" s="1"/>
      <c r="K322" s="1"/>
      <c r="L322" s="1">
        <v>850</v>
      </c>
      <c r="M322" s="55">
        <f>SUM(J322:L322)</f>
        <v>850</v>
      </c>
      <c r="N322" s="1">
        <v>2154</v>
      </c>
      <c r="O322" s="1">
        <v>746</v>
      </c>
      <c r="P322" s="1"/>
      <c r="Q322" s="55">
        <f>SUM(N322:P322)</f>
        <v>2900</v>
      </c>
      <c r="R322" s="55">
        <f>+E322+I322+M322+Q322</f>
        <v>5000</v>
      </c>
      <c r="T322" s="4" t="s">
        <v>256</v>
      </c>
    </row>
    <row r="323" spans="1:20" ht="15.75" customHeight="1" x14ac:dyDescent="0.3">
      <c r="A323" s="72" t="s">
        <v>924</v>
      </c>
      <c r="B323" s="1"/>
      <c r="C323" s="1"/>
      <c r="D323" s="1"/>
      <c r="E323" s="55">
        <f t="shared" si="57"/>
        <v>0</v>
      </c>
      <c r="F323" s="1"/>
      <c r="G323" s="1"/>
      <c r="H323" s="1"/>
      <c r="I323" s="55">
        <f t="shared" si="58"/>
        <v>0</v>
      </c>
      <c r="J323" s="1"/>
      <c r="K323" s="1"/>
      <c r="L323" s="1"/>
      <c r="M323" s="55">
        <f t="shared" si="59"/>
        <v>0</v>
      </c>
      <c r="N323" s="1"/>
      <c r="O323" s="1"/>
      <c r="P323" s="1"/>
      <c r="Q323" s="55">
        <f t="shared" si="60"/>
        <v>0</v>
      </c>
      <c r="R323" s="55">
        <f>+E323+I323+M323+Q323</f>
        <v>0</v>
      </c>
      <c r="T323" s="4" t="s">
        <v>214</v>
      </c>
    </row>
    <row r="324" spans="1:20" ht="15.75" customHeight="1" x14ac:dyDescent="0.3">
      <c r="A324" s="72" t="s">
        <v>721</v>
      </c>
      <c r="B324" s="1"/>
      <c r="C324" s="1"/>
      <c r="D324" s="1"/>
      <c r="E324" s="55">
        <f>SUM(B324:D324)</f>
        <v>0</v>
      </c>
      <c r="F324" s="1"/>
      <c r="G324" s="1"/>
      <c r="H324" s="1"/>
      <c r="I324" s="55">
        <f>SUM(F324:H324)</f>
        <v>0</v>
      </c>
      <c r="J324" s="1"/>
      <c r="K324" s="1"/>
      <c r="L324" s="1"/>
      <c r="M324" s="55">
        <f>SUM(J324:L324)</f>
        <v>0</v>
      </c>
      <c r="N324" s="1"/>
      <c r="O324" s="1"/>
      <c r="P324" s="1"/>
      <c r="Q324" s="55">
        <f>SUM(N324:P324)</f>
        <v>0</v>
      </c>
      <c r="R324" s="55">
        <f>+E324+I324+M324+Q324</f>
        <v>0</v>
      </c>
      <c r="T324" s="4" t="s">
        <v>218</v>
      </c>
    </row>
    <row r="325" spans="1:20" ht="15.75" customHeight="1" x14ac:dyDescent="0.3">
      <c r="A325" s="72" t="s">
        <v>633</v>
      </c>
      <c r="B325" s="1"/>
      <c r="C325" s="1"/>
      <c r="D325" s="1"/>
      <c r="E325" s="55">
        <f t="shared" si="57"/>
        <v>0</v>
      </c>
      <c r="F325" s="1"/>
      <c r="G325" s="1"/>
      <c r="H325" s="1"/>
      <c r="I325" s="55">
        <f t="shared" si="58"/>
        <v>0</v>
      </c>
      <c r="J325" s="1"/>
      <c r="K325" s="1"/>
      <c r="L325" s="1"/>
      <c r="M325" s="55">
        <f t="shared" si="59"/>
        <v>0</v>
      </c>
      <c r="N325" s="1"/>
      <c r="O325" s="1"/>
      <c r="P325" s="1"/>
      <c r="Q325" s="55">
        <f t="shared" si="60"/>
        <v>0</v>
      </c>
      <c r="R325" s="55">
        <f t="shared" si="61"/>
        <v>0</v>
      </c>
      <c r="T325" s="4" t="s">
        <v>406</v>
      </c>
    </row>
    <row r="326" spans="1:20" ht="15.75" customHeight="1" x14ac:dyDescent="0.3">
      <c r="A326" s="72" t="s">
        <v>222</v>
      </c>
      <c r="B326" s="1"/>
      <c r="C326" s="1"/>
      <c r="D326" s="1"/>
      <c r="E326" s="55">
        <f t="shared" si="57"/>
        <v>0</v>
      </c>
      <c r="F326" s="1"/>
      <c r="G326" s="1"/>
      <c r="H326" s="1"/>
      <c r="I326" s="55">
        <f t="shared" si="58"/>
        <v>0</v>
      </c>
      <c r="J326" s="1"/>
      <c r="K326" s="1"/>
      <c r="L326" s="1"/>
      <c r="M326" s="55">
        <f t="shared" si="59"/>
        <v>0</v>
      </c>
      <c r="N326" s="1"/>
      <c r="O326" s="1"/>
      <c r="P326" s="1"/>
      <c r="Q326" s="55">
        <f t="shared" si="60"/>
        <v>0</v>
      </c>
      <c r="R326" s="55">
        <f t="shared" si="61"/>
        <v>0</v>
      </c>
    </row>
    <row r="327" spans="1:20" ht="15.75" customHeight="1" x14ac:dyDescent="0.3">
      <c r="A327" s="72" t="s">
        <v>933</v>
      </c>
      <c r="B327" s="1"/>
      <c r="C327" s="1"/>
      <c r="D327" s="1"/>
      <c r="E327" s="55">
        <f t="shared" si="57"/>
        <v>0</v>
      </c>
      <c r="F327" s="1"/>
      <c r="G327" s="1"/>
      <c r="H327" s="1"/>
      <c r="I327" s="55">
        <f t="shared" si="58"/>
        <v>0</v>
      </c>
      <c r="J327" s="1"/>
      <c r="K327" s="1"/>
      <c r="L327" s="1"/>
      <c r="M327" s="55">
        <f t="shared" si="59"/>
        <v>0</v>
      </c>
      <c r="N327" s="1"/>
      <c r="O327" s="1"/>
      <c r="P327" s="1"/>
      <c r="Q327" s="55">
        <f t="shared" si="60"/>
        <v>0</v>
      </c>
      <c r="R327" s="55">
        <f t="shared" si="61"/>
        <v>0</v>
      </c>
      <c r="T327" s="4" t="s">
        <v>226</v>
      </c>
    </row>
    <row r="328" spans="1:20" ht="15.75" customHeight="1" x14ac:dyDescent="0.3">
      <c r="A328" s="72" t="s">
        <v>227</v>
      </c>
      <c r="B328" s="1"/>
      <c r="C328" s="1"/>
      <c r="D328" s="1"/>
      <c r="E328" s="55">
        <f t="shared" si="57"/>
        <v>0</v>
      </c>
      <c r="F328" s="1"/>
      <c r="G328" s="1"/>
      <c r="H328" s="1"/>
      <c r="I328" s="55">
        <f t="shared" si="58"/>
        <v>0</v>
      </c>
      <c r="J328" s="1"/>
      <c r="K328" s="1"/>
      <c r="L328" s="1"/>
      <c r="M328" s="55">
        <f t="shared" si="59"/>
        <v>0</v>
      </c>
      <c r="N328" s="1"/>
      <c r="O328" s="1"/>
      <c r="P328" s="1"/>
      <c r="Q328" s="55">
        <f t="shared" si="60"/>
        <v>0</v>
      </c>
      <c r="R328" s="55">
        <f t="shared" si="61"/>
        <v>0</v>
      </c>
      <c r="T328" s="4" t="s">
        <v>226</v>
      </c>
    </row>
    <row r="329" spans="1:20" ht="15.75" customHeight="1" x14ac:dyDescent="0.3">
      <c r="A329" s="72" t="s">
        <v>1128</v>
      </c>
      <c r="B329" s="1"/>
      <c r="C329" s="1"/>
      <c r="D329" s="1"/>
      <c r="E329" s="55">
        <f t="shared" si="57"/>
        <v>0</v>
      </c>
      <c r="F329" s="1"/>
      <c r="G329" s="1"/>
      <c r="H329" s="1"/>
      <c r="I329" s="55">
        <f t="shared" si="58"/>
        <v>0</v>
      </c>
      <c r="J329" s="1"/>
      <c r="K329" s="1"/>
      <c r="L329" s="1"/>
      <c r="M329" s="55">
        <f t="shared" si="59"/>
        <v>0</v>
      </c>
      <c r="N329" s="1"/>
      <c r="O329" s="1"/>
      <c r="P329" s="1"/>
      <c r="Q329" s="55">
        <f t="shared" si="60"/>
        <v>0</v>
      </c>
      <c r="R329" s="55">
        <f t="shared" si="61"/>
        <v>0</v>
      </c>
      <c r="T329" s="4" t="s">
        <v>214</v>
      </c>
    </row>
    <row r="330" spans="1:20" ht="15.75" customHeight="1" x14ac:dyDescent="0.3">
      <c r="A330" s="72" t="s">
        <v>228</v>
      </c>
      <c r="B330" s="1"/>
      <c r="C330" s="1"/>
      <c r="D330" s="1"/>
      <c r="E330" s="55">
        <f t="shared" si="57"/>
        <v>0</v>
      </c>
      <c r="F330" s="1"/>
      <c r="G330" s="1"/>
      <c r="H330" s="1"/>
      <c r="I330" s="55">
        <f t="shared" si="58"/>
        <v>0</v>
      </c>
      <c r="J330" s="1"/>
      <c r="K330" s="1"/>
      <c r="L330" s="1"/>
      <c r="M330" s="55">
        <f t="shared" si="59"/>
        <v>0</v>
      </c>
      <c r="N330" s="1"/>
      <c r="O330" s="1"/>
      <c r="P330" s="1"/>
      <c r="Q330" s="55">
        <f t="shared" si="60"/>
        <v>0</v>
      </c>
      <c r="R330" s="55">
        <f t="shared" si="61"/>
        <v>0</v>
      </c>
      <c r="T330" s="4" t="s">
        <v>406</v>
      </c>
    </row>
    <row r="331" spans="1:20" ht="15.75" customHeight="1" x14ac:dyDescent="0.3">
      <c r="A331" s="72" t="s">
        <v>934</v>
      </c>
      <c r="B331" s="1"/>
      <c r="C331" s="1"/>
      <c r="D331" s="1"/>
      <c r="E331" s="55">
        <f t="shared" si="57"/>
        <v>0</v>
      </c>
      <c r="F331" s="1"/>
      <c r="G331" s="1"/>
      <c r="H331" s="1"/>
      <c r="I331" s="55">
        <f t="shared" si="58"/>
        <v>0</v>
      </c>
      <c r="J331" s="1"/>
      <c r="K331" s="1"/>
      <c r="L331" s="1"/>
      <c r="M331" s="55">
        <f t="shared" si="59"/>
        <v>0</v>
      </c>
      <c r="N331" s="1"/>
      <c r="O331" s="1"/>
      <c r="P331" s="1"/>
      <c r="Q331" s="55">
        <f t="shared" si="60"/>
        <v>0</v>
      </c>
      <c r="R331" s="55">
        <f t="shared" si="61"/>
        <v>0</v>
      </c>
      <c r="T331" s="4" t="s">
        <v>406</v>
      </c>
    </row>
    <row r="332" spans="1:20" ht="15.75" customHeight="1" x14ac:dyDescent="0.3">
      <c r="A332" s="72" t="s">
        <v>634</v>
      </c>
      <c r="B332" s="1"/>
      <c r="C332" s="1"/>
      <c r="D332" s="1"/>
      <c r="E332" s="55">
        <f>SUM(B332:D332)</f>
        <v>0</v>
      </c>
      <c r="F332" s="1"/>
      <c r="G332" s="1"/>
      <c r="H332" s="1"/>
      <c r="I332" s="55">
        <f>SUM(F332:H332)</f>
        <v>0</v>
      </c>
      <c r="J332" s="1"/>
      <c r="K332" s="1"/>
      <c r="L332" s="1"/>
      <c r="M332" s="55">
        <f>SUM(J332:L332)</f>
        <v>0</v>
      </c>
      <c r="N332" s="1"/>
      <c r="O332" s="1"/>
      <c r="P332" s="1"/>
      <c r="Q332" s="55">
        <f>SUM(N332:P332)</f>
        <v>0</v>
      </c>
      <c r="R332" s="55">
        <f>+E332+I332+M332+Q332</f>
        <v>0</v>
      </c>
      <c r="T332" s="4" t="s">
        <v>406</v>
      </c>
    </row>
    <row r="333" spans="1:20" ht="15.75" customHeight="1" x14ac:dyDescent="0.3">
      <c r="A333" s="72" t="s">
        <v>635</v>
      </c>
      <c r="B333" s="1"/>
      <c r="C333" s="1"/>
      <c r="D333" s="1"/>
      <c r="E333" s="55">
        <f t="shared" si="57"/>
        <v>0</v>
      </c>
      <c r="F333" s="1"/>
      <c r="G333" s="1"/>
      <c r="H333" s="1"/>
      <c r="I333" s="55">
        <f t="shared" si="58"/>
        <v>0</v>
      </c>
      <c r="J333" s="1"/>
      <c r="K333" s="1"/>
      <c r="L333" s="1"/>
      <c r="M333" s="55">
        <f t="shared" si="59"/>
        <v>0</v>
      </c>
      <c r="N333" s="1"/>
      <c r="O333" s="1"/>
      <c r="P333" s="1"/>
      <c r="Q333" s="55">
        <f t="shared" si="60"/>
        <v>0</v>
      </c>
      <c r="R333" s="55">
        <f t="shared" si="61"/>
        <v>0</v>
      </c>
      <c r="T333" s="4" t="s">
        <v>232</v>
      </c>
    </row>
    <row r="334" spans="1:20" ht="15.75" customHeight="1" x14ac:dyDescent="0.3">
      <c r="A334" s="72" t="s">
        <v>237</v>
      </c>
      <c r="B334" s="1"/>
      <c r="C334" s="1"/>
      <c r="D334" s="1"/>
      <c r="E334" s="55">
        <f t="shared" si="57"/>
        <v>0</v>
      </c>
      <c r="F334" s="1"/>
      <c r="G334" s="1"/>
      <c r="H334" s="1"/>
      <c r="I334" s="55">
        <f t="shared" si="58"/>
        <v>0</v>
      </c>
      <c r="J334" s="1"/>
      <c r="K334" s="1"/>
      <c r="L334" s="1"/>
      <c r="M334" s="55">
        <f t="shared" si="59"/>
        <v>0</v>
      </c>
      <c r="N334" s="1"/>
      <c r="O334" s="1"/>
      <c r="P334" s="1"/>
      <c r="Q334" s="55">
        <f t="shared" si="60"/>
        <v>0</v>
      </c>
      <c r="R334" s="55">
        <f t="shared" si="61"/>
        <v>0</v>
      </c>
      <c r="T334" s="4" t="s">
        <v>406</v>
      </c>
    </row>
    <row r="335" spans="1:20" ht="15.75" customHeight="1" x14ac:dyDescent="0.3">
      <c r="A335" s="15" t="s">
        <v>51</v>
      </c>
      <c r="B335" s="1"/>
      <c r="C335" s="1"/>
      <c r="D335" s="1"/>
      <c r="E335" s="55" t="s">
        <v>7</v>
      </c>
      <c r="F335" s="1"/>
      <c r="G335" s="1"/>
      <c r="H335" s="1"/>
      <c r="I335" s="55" t="s">
        <v>7</v>
      </c>
      <c r="J335" s="1"/>
      <c r="K335" s="1"/>
      <c r="L335" s="1"/>
      <c r="M335" s="55" t="s">
        <v>7</v>
      </c>
      <c r="N335" s="1"/>
      <c r="O335" s="1"/>
      <c r="P335" s="1"/>
      <c r="Q335" s="55" t="s">
        <v>7</v>
      </c>
      <c r="R335" s="55" t="s">
        <v>7</v>
      </c>
    </row>
    <row r="336" spans="1:20" ht="15.75" customHeight="1" x14ac:dyDescent="0.3">
      <c r="A336" s="72" t="s">
        <v>722</v>
      </c>
      <c r="B336" s="1"/>
      <c r="C336" s="1"/>
      <c r="D336" s="1"/>
      <c r="E336" s="55">
        <f>SUM(B336:D336)</f>
        <v>0</v>
      </c>
      <c r="F336" s="1"/>
      <c r="G336" s="1"/>
      <c r="H336" s="1"/>
      <c r="I336" s="55">
        <f>SUM(F336:H336)</f>
        <v>0</v>
      </c>
      <c r="J336" s="1"/>
      <c r="K336" s="1"/>
      <c r="L336" s="1"/>
      <c r="M336" s="55">
        <f>SUM(J336:L336)</f>
        <v>0</v>
      </c>
      <c r="N336" s="1"/>
      <c r="O336" s="1"/>
      <c r="P336" s="1"/>
      <c r="Q336" s="55">
        <f>SUM(N336:P336)</f>
        <v>0</v>
      </c>
      <c r="R336" s="55">
        <f>+E336+I336+M336+Q336</f>
        <v>0</v>
      </c>
      <c r="T336" s="4" t="s">
        <v>209</v>
      </c>
    </row>
    <row r="337" spans="1:39" ht="15.75" customHeight="1" x14ac:dyDescent="0.3">
      <c r="A337" s="72" t="s">
        <v>723</v>
      </c>
      <c r="B337" s="1"/>
      <c r="C337" s="1"/>
      <c r="D337" s="1"/>
      <c r="E337" s="55">
        <f>SUM(B337:D337)</f>
        <v>0</v>
      </c>
      <c r="F337" s="1">
        <v>3000</v>
      </c>
      <c r="G337" s="1">
        <v>3000</v>
      </c>
      <c r="H337" s="1">
        <v>3000</v>
      </c>
      <c r="I337" s="55">
        <f>SUM(F337:H337)</f>
        <v>9000</v>
      </c>
      <c r="J337" s="1"/>
      <c r="K337" s="1"/>
      <c r="L337" s="1"/>
      <c r="M337" s="55">
        <f>SUM(J337:L337)</f>
        <v>0</v>
      </c>
      <c r="N337" s="1"/>
      <c r="O337" s="1"/>
      <c r="P337" s="1"/>
      <c r="Q337" s="55">
        <f>SUM(N337:P337)</f>
        <v>0</v>
      </c>
      <c r="R337" s="55">
        <f>+E337+I337+M337+Q337</f>
        <v>9000</v>
      </c>
    </row>
    <row r="338" spans="1:39" ht="15.75" customHeight="1" x14ac:dyDescent="0.3">
      <c r="A338" s="72" t="s">
        <v>724</v>
      </c>
      <c r="B338" s="1"/>
      <c r="C338" s="1"/>
      <c r="D338" s="1"/>
      <c r="E338" s="55">
        <f>SUM(B338:D338)</f>
        <v>0</v>
      </c>
      <c r="F338" s="1"/>
      <c r="G338" s="1">
        <v>2096</v>
      </c>
      <c r="H338" s="1">
        <v>88</v>
      </c>
      <c r="I338" s="55">
        <f>SUM(F338:H338)</f>
        <v>2184</v>
      </c>
      <c r="J338" s="1">
        <v>816</v>
      </c>
      <c r="K338" s="1"/>
      <c r="L338" s="1"/>
      <c r="M338" s="55">
        <f>SUM(J338:L338)</f>
        <v>816</v>
      </c>
      <c r="N338" s="1"/>
      <c r="O338" s="1"/>
      <c r="P338" s="1"/>
      <c r="Q338" s="55">
        <f>SUM(N338:P338)</f>
        <v>0</v>
      </c>
      <c r="R338" s="55">
        <f>+E338+I338+M338+Q338</f>
        <v>3000</v>
      </c>
      <c r="T338" s="4" t="s">
        <v>214</v>
      </c>
    </row>
    <row r="339" spans="1:39" ht="15.75" customHeight="1" x14ac:dyDescent="0.3">
      <c r="A339" s="72" t="s">
        <v>935</v>
      </c>
      <c r="B339" s="1"/>
      <c r="C339" s="1"/>
      <c r="D339" s="1">
        <v>1000</v>
      </c>
      <c r="E339" s="55">
        <f>SUM(B339:D339)</f>
        <v>1000</v>
      </c>
      <c r="F339" s="1">
        <v>543</v>
      </c>
      <c r="G339" s="1">
        <v>1416</v>
      </c>
      <c r="H339" s="1">
        <v>299</v>
      </c>
      <c r="I339" s="55">
        <f>SUM(F339:H339)</f>
        <v>2258</v>
      </c>
      <c r="J339" s="1">
        <v>77</v>
      </c>
      <c r="K339" s="1">
        <v>1130</v>
      </c>
      <c r="L339" s="1"/>
      <c r="M339" s="55">
        <f>SUM(J339:L339)</f>
        <v>1207</v>
      </c>
      <c r="N339" s="1"/>
      <c r="O339" s="1"/>
      <c r="P339" s="1"/>
      <c r="Q339" s="55">
        <f>SUM(N339:P339)</f>
        <v>0</v>
      </c>
      <c r="R339" s="55">
        <f>+E339+I339+M339+Q339</f>
        <v>4465</v>
      </c>
      <c r="T339" s="4" t="s">
        <v>241</v>
      </c>
    </row>
    <row r="340" spans="1:39" ht="16.5" customHeight="1" thickBot="1" x14ac:dyDescent="0.35">
      <c r="A340" s="15" t="s">
        <v>53</v>
      </c>
      <c r="B340" s="1"/>
      <c r="C340" s="1"/>
      <c r="D340" s="1"/>
      <c r="E340" s="55" t="s">
        <v>7</v>
      </c>
      <c r="F340" s="1"/>
      <c r="G340" s="1"/>
      <c r="H340" s="1"/>
      <c r="I340" s="55" t="s">
        <v>7</v>
      </c>
      <c r="J340" s="1"/>
      <c r="K340" s="1"/>
      <c r="L340" s="1"/>
      <c r="M340" s="55" t="s">
        <v>7</v>
      </c>
      <c r="N340" s="1"/>
      <c r="O340" s="1"/>
      <c r="P340" s="1"/>
      <c r="Q340" s="55" t="s">
        <v>7</v>
      </c>
      <c r="R340" s="81" t="s">
        <v>7</v>
      </c>
      <c r="V340" s="4" t="s">
        <v>936</v>
      </c>
      <c r="W340" s="4" t="s">
        <v>937</v>
      </c>
    </row>
    <row r="341" spans="1:39" ht="16.5" customHeight="1" thickBot="1" x14ac:dyDescent="0.35">
      <c r="A341" s="109" t="s">
        <v>54</v>
      </c>
      <c r="B341" s="86">
        <f>SUM(B300:B340)</f>
        <v>1832</v>
      </c>
      <c r="C341" s="87">
        <f>SUM(C300:C340)</f>
        <v>1030</v>
      </c>
      <c r="D341" s="87">
        <f>SUM(D300:D340)</f>
        <v>2968</v>
      </c>
      <c r="E341" s="59">
        <f>SUM(B341:D341)</f>
        <v>5830</v>
      </c>
      <c r="F341" s="87">
        <f>SUM(F300:F340)</f>
        <v>5006</v>
      </c>
      <c r="G341" s="87">
        <f>SUM(G300:G340)</f>
        <v>9600</v>
      </c>
      <c r="H341" s="87">
        <f>SUM(H300:H340)</f>
        <v>12213</v>
      </c>
      <c r="I341" s="59">
        <f>SUM(F341:H341)</f>
        <v>26819</v>
      </c>
      <c r="J341" s="87">
        <f>SUM(J300:J340)</f>
        <v>7693</v>
      </c>
      <c r="K341" s="87">
        <f>SUM(K300:K340)</f>
        <v>7162</v>
      </c>
      <c r="L341" s="87">
        <f>SUM(L300:L340)</f>
        <v>7491</v>
      </c>
      <c r="M341" s="59">
        <f>SUM(J341:L341)</f>
        <v>22346</v>
      </c>
      <c r="N341" s="87">
        <f>SUM(N300:N340)</f>
        <v>9525</v>
      </c>
      <c r="O341" s="87">
        <f>SUM(O300:O340)</f>
        <v>7861</v>
      </c>
      <c r="P341" s="87">
        <f>SUM(P300:P340)</f>
        <v>6719</v>
      </c>
      <c r="Q341" s="59">
        <f>SUM(N341:P341)</f>
        <v>24105</v>
      </c>
      <c r="R341" s="59">
        <f>+E341+I341+M341+Q341</f>
        <v>79100</v>
      </c>
      <c r="T341" s="89"/>
      <c r="V341" s="4" t="s">
        <v>209</v>
      </c>
      <c r="W341" s="348">
        <v>0.18</v>
      </c>
    </row>
    <row r="342" spans="1:39" ht="15.75" customHeight="1" x14ac:dyDescent="0.3">
      <c r="A342" s="15" t="s">
        <v>55</v>
      </c>
      <c r="B342" s="1"/>
      <c r="C342" s="1"/>
      <c r="D342" s="1"/>
      <c r="E342" s="55" t="s">
        <v>7</v>
      </c>
      <c r="F342" s="1"/>
      <c r="G342" s="1"/>
      <c r="H342" s="1"/>
      <c r="I342" s="55" t="s">
        <v>7</v>
      </c>
      <c r="J342" s="1"/>
      <c r="K342" s="1"/>
      <c r="L342" s="1"/>
      <c r="M342" s="55" t="s">
        <v>7</v>
      </c>
      <c r="N342" s="1"/>
      <c r="O342" s="1"/>
      <c r="P342" s="1"/>
      <c r="Q342" s="55" t="s">
        <v>7</v>
      </c>
      <c r="R342" s="55" t="s">
        <v>7</v>
      </c>
      <c r="V342" s="4" t="s">
        <v>938</v>
      </c>
      <c r="W342" s="348">
        <v>0.52</v>
      </c>
    </row>
    <row r="343" spans="1:39" ht="15.75" customHeight="1" x14ac:dyDescent="0.3">
      <c r="A343" s="15" t="s">
        <v>242</v>
      </c>
      <c r="B343" s="1"/>
      <c r="C343" s="1"/>
      <c r="D343" s="1"/>
      <c r="E343" s="55"/>
      <c r="F343" s="1"/>
      <c r="G343" s="1"/>
      <c r="H343" s="1"/>
      <c r="I343" s="55"/>
      <c r="J343" s="1"/>
      <c r="K343" s="1"/>
      <c r="L343" s="1"/>
      <c r="M343" s="55"/>
      <c r="N343" s="1"/>
      <c r="O343" s="1"/>
      <c r="P343" s="1"/>
      <c r="Q343" s="55"/>
      <c r="R343" s="55"/>
      <c r="V343" s="4" t="s">
        <v>939</v>
      </c>
      <c r="W343" s="348">
        <v>0.3</v>
      </c>
    </row>
    <row r="344" spans="1:39" ht="15.75" customHeight="1" thickBot="1" x14ac:dyDescent="0.35">
      <c r="A344" s="15" t="s">
        <v>57</v>
      </c>
      <c r="B344" s="1"/>
      <c r="C344" s="1"/>
      <c r="D344" s="1"/>
      <c r="E344" s="55" t="s">
        <v>7</v>
      </c>
      <c r="F344" s="1"/>
      <c r="G344" s="1"/>
      <c r="H344" s="1"/>
      <c r="I344" s="55" t="s">
        <v>7</v>
      </c>
      <c r="J344" s="1"/>
      <c r="K344" s="1"/>
      <c r="L344" s="1"/>
      <c r="M344" s="55" t="s">
        <v>7</v>
      </c>
      <c r="N344" s="1"/>
      <c r="O344" s="1"/>
      <c r="P344" s="1"/>
      <c r="Q344" s="55" t="s">
        <v>7</v>
      </c>
      <c r="R344" s="55" t="s">
        <v>7</v>
      </c>
      <c r="W344" s="349">
        <f>+SUM(W341:W343)</f>
        <v>1</v>
      </c>
    </row>
    <row r="345" spans="1:39" s="123" customFormat="1" ht="15.75" customHeight="1" x14ac:dyDescent="0.3">
      <c r="A345" s="350" t="s">
        <v>1129</v>
      </c>
      <c r="B345" s="121"/>
      <c r="C345" s="121"/>
      <c r="D345" s="121"/>
      <c r="E345" s="113">
        <f>SUM(B345:D345)</f>
        <v>0</v>
      </c>
      <c r="F345" s="121"/>
      <c r="G345" s="121"/>
      <c r="H345" s="121"/>
      <c r="I345" s="113">
        <f>SUM(F345:H345)</f>
        <v>0</v>
      </c>
      <c r="J345" s="121"/>
      <c r="K345" s="121"/>
      <c r="L345" s="121"/>
      <c r="M345" s="113">
        <f>SUM(J345:L345)</f>
        <v>0</v>
      </c>
      <c r="N345" s="121"/>
      <c r="O345" s="1"/>
      <c r="P345" s="121"/>
      <c r="Q345" s="113">
        <f>SUM(N345:P345)</f>
        <v>0</v>
      </c>
      <c r="R345" s="113">
        <f t="shared" ref="R345:R353" si="62">+E345+I345+M345+Q345</f>
        <v>0</v>
      </c>
      <c r="V345" s="549" t="s">
        <v>941</v>
      </c>
      <c r="W345" s="550"/>
      <c r="X345" s="550"/>
      <c r="Y345" s="550"/>
      <c r="Z345" s="550"/>
      <c r="AA345" s="550"/>
      <c r="AB345" s="550"/>
      <c r="AC345" s="550"/>
      <c r="AD345" s="550"/>
      <c r="AE345" s="550"/>
      <c r="AF345" s="550"/>
      <c r="AG345" s="550"/>
      <c r="AH345" s="550"/>
      <c r="AI345" s="550"/>
      <c r="AJ345" s="550"/>
      <c r="AK345" s="550"/>
      <c r="AL345" s="550"/>
      <c r="AM345" s="551"/>
    </row>
    <row r="346" spans="1:39" ht="15.75" customHeight="1" x14ac:dyDescent="0.3">
      <c r="A346" s="72" t="s">
        <v>553</v>
      </c>
      <c r="B346" s="1">
        <v>148</v>
      </c>
      <c r="C346" s="1">
        <v>18</v>
      </c>
      <c r="D346" s="1">
        <v>2719</v>
      </c>
      <c r="E346" s="55">
        <f>SUM(B346:D346)</f>
        <v>2885</v>
      </c>
      <c r="F346" s="1">
        <v>3025</v>
      </c>
      <c r="G346" s="1">
        <v>1435</v>
      </c>
      <c r="H346" s="1">
        <v>1401</v>
      </c>
      <c r="I346" s="55">
        <f>SUM(F346:H346)</f>
        <v>5861</v>
      </c>
      <c r="J346" s="1">
        <v>1585</v>
      </c>
      <c r="K346" s="1">
        <v>2740</v>
      </c>
      <c r="L346" s="1">
        <v>1812</v>
      </c>
      <c r="M346" s="55">
        <f>SUM(J346:L346)</f>
        <v>6137</v>
      </c>
      <c r="N346" s="1">
        <v>594</v>
      </c>
      <c r="O346" s="1">
        <v>639</v>
      </c>
      <c r="P346" s="1">
        <v>36</v>
      </c>
      <c r="Q346" s="55">
        <f>SUM(N346:P346)</f>
        <v>1269</v>
      </c>
      <c r="R346" s="55">
        <f t="shared" si="62"/>
        <v>16152</v>
      </c>
      <c r="T346" s="4" t="s">
        <v>209</v>
      </c>
      <c r="V346" s="351" t="s">
        <v>729</v>
      </c>
      <c r="W346" s="28" t="s">
        <v>8</v>
      </c>
      <c r="X346" s="338" t="s">
        <v>9</v>
      </c>
      <c r="Y346" s="338" t="s">
        <v>10</v>
      </c>
      <c r="Z346" s="352" t="s">
        <v>11</v>
      </c>
      <c r="AA346" s="338" t="s">
        <v>12</v>
      </c>
      <c r="AB346" s="338" t="s">
        <v>13</v>
      </c>
      <c r="AC346" s="338" t="s">
        <v>14</v>
      </c>
      <c r="AD346" s="352" t="s">
        <v>15</v>
      </c>
      <c r="AE346" s="338" t="s">
        <v>16</v>
      </c>
      <c r="AF346" s="338" t="s">
        <v>17</v>
      </c>
      <c r="AG346" s="338" t="s">
        <v>18</v>
      </c>
      <c r="AH346" s="352" t="s">
        <v>19</v>
      </c>
      <c r="AI346" s="338" t="s">
        <v>20</v>
      </c>
      <c r="AJ346" s="338" t="s">
        <v>21</v>
      </c>
      <c r="AK346" s="338" t="s">
        <v>22</v>
      </c>
      <c r="AL346" s="352" t="s">
        <v>23</v>
      </c>
      <c r="AM346" s="353" t="s">
        <v>24</v>
      </c>
    </row>
    <row r="347" spans="1:39" ht="15.75" customHeight="1" x14ac:dyDescent="0.3">
      <c r="A347" s="72" t="s">
        <v>244</v>
      </c>
      <c r="B347" s="1"/>
      <c r="C347" s="1"/>
      <c r="D347" s="1"/>
      <c r="E347" s="55">
        <f>SUM(B347:D347)</f>
        <v>0</v>
      </c>
      <c r="F347" s="1"/>
      <c r="G347" s="1"/>
      <c r="H347" s="1"/>
      <c r="I347" s="55">
        <f>SUM(F347:H347)</f>
        <v>0</v>
      </c>
      <c r="J347" s="1"/>
      <c r="K347" s="1"/>
      <c r="L347" s="1"/>
      <c r="M347" s="55">
        <f>SUM(J347:L347)</f>
        <v>0</v>
      </c>
      <c r="N347" s="1"/>
      <c r="O347" s="1"/>
      <c r="P347" s="1"/>
      <c r="Q347" s="55">
        <f>SUM(N347:P347)</f>
        <v>0</v>
      </c>
      <c r="R347" s="55">
        <f t="shared" si="62"/>
        <v>0</v>
      </c>
      <c r="T347" s="4" t="s">
        <v>214</v>
      </c>
      <c r="V347" s="306" t="s">
        <v>942</v>
      </c>
      <c r="W347" s="354">
        <v>1500</v>
      </c>
      <c r="X347" s="354">
        <v>1500</v>
      </c>
      <c r="Y347" s="354">
        <v>6800</v>
      </c>
      <c r="Z347" s="4">
        <f>+SUM(W347:Y347)</f>
        <v>9800</v>
      </c>
      <c r="AA347" s="354">
        <f>8000+1500</f>
        <v>9500</v>
      </c>
      <c r="AB347" s="354">
        <f>10000+2000</f>
        <v>12000</v>
      </c>
      <c r="AC347" s="354">
        <f>12000+1500</f>
        <v>13500</v>
      </c>
      <c r="AD347" s="4">
        <f>+SUM(AA347:AC347)</f>
        <v>35000</v>
      </c>
      <c r="AE347" s="354">
        <v>25500</v>
      </c>
      <c r="AF347" s="354">
        <v>19000</v>
      </c>
      <c r="AG347" s="354">
        <v>4000</v>
      </c>
      <c r="AH347" s="4">
        <f>+SUM(AE347:AG347)</f>
        <v>48500</v>
      </c>
      <c r="AI347" s="354">
        <v>1500</v>
      </c>
      <c r="AJ347" s="354">
        <v>1000</v>
      </c>
      <c r="AK347" s="354">
        <v>1069</v>
      </c>
      <c r="AL347" s="4">
        <f>+SUM(AI347:AK347)</f>
        <v>3569</v>
      </c>
      <c r="AM347" s="307">
        <f>+Z347+AD347+AH347+AL347</f>
        <v>96869</v>
      </c>
    </row>
    <row r="348" spans="1:39" ht="15.75" customHeight="1" x14ac:dyDescent="0.3">
      <c r="A348" s="72" t="s">
        <v>245</v>
      </c>
      <c r="B348" s="1">
        <v>1300</v>
      </c>
      <c r="C348" s="1">
        <v>1554</v>
      </c>
      <c r="D348" s="1">
        <v>5897</v>
      </c>
      <c r="E348" s="55">
        <f t="shared" ref="E348:E353" si="63">SUM(B348:D348)</f>
        <v>8751</v>
      </c>
      <c r="F348" s="1">
        <v>7633</v>
      </c>
      <c r="G348" s="1">
        <v>5974</v>
      </c>
      <c r="H348" s="1">
        <v>8030</v>
      </c>
      <c r="I348" s="55">
        <f t="shared" ref="I348:I353" si="64">SUM(F348:H348)</f>
        <v>21637</v>
      </c>
      <c r="J348" s="1">
        <v>1033.9999999999975</v>
      </c>
      <c r="K348" s="1"/>
      <c r="L348" s="1">
        <v>4626</v>
      </c>
      <c r="M348" s="55">
        <f t="shared" ref="M348:M353" si="65">SUM(J348:L348)</f>
        <v>5659.9999999999973</v>
      </c>
      <c r="N348" s="1">
        <v>182</v>
      </c>
      <c r="O348" s="1"/>
      <c r="P348" s="1"/>
      <c r="Q348" s="55">
        <f t="shared" ref="Q348:Q353" si="66">SUM(N348:P348)</f>
        <v>182</v>
      </c>
      <c r="R348" s="55">
        <f t="shared" si="62"/>
        <v>36230</v>
      </c>
      <c r="T348" s="4" t="s">
        <v>910</v>
      </c>
      <c r="V348" s="306" t="s">
        <v>209</v>
      </c>
      <c r="W348" s="4">
        <f>+$W$341*W347</f>
        <v>270</v>
      </c>
      <c r="X348" s="4">
        <f>+$W$341*X347</f>
        <v>270</v>
      </c>
      <c r="Y348" s="4">
        <f>+$W$341*Y347</f>
        <v>1224</v>
      </c>
      <c r="Z348" s="4">
        <f>+SUM(W348:Y348)</f>
        <v>1764</v>
      </c>
      <c r="AA348" s="4">
        <f>+$W$341*AA347</f>
        <v>1710</v>
      </c>
      <c r="AB348" s="4">
        <f>+$W$341*AB347</f>
        <v>2160</v>
      </c>
      <c r="AC348" s="4">
        <f>+$W$341*AC347</f>
        <v>2430</v>
      </c>
      <c r="AD348" s="4">
        <f>+SUM(AA348:AC348)</f>
        <v>6300</v>
      </c>
      <c r="AE348" s="4">
        <f>+$W$341*AE347</f>
        <v>4590</v>
      </c>
      <c r="AF348" s="4">
        <f>+$W$341*AF347</f>
        <v>3420</v>
      </c>
      <c r="AG348" s="4">
        <f>+$W$341*AG347</f>
        <v>720</v>
      </c>
      <c r="AH348" s="4">
        <f>+SUM(AE348:AG348)</f>
        <v>8730</v>
      </c>
      <c r="AI348" s="4">
        <f>+$W$341*AI347</f>
        <v>270</v>
      </c>
      <c r="AJ348" s="4">
        <f>+$W$341*AJ347</f>
        <v>180</v>
      </c>
      <c r="AK348" s="4">
        <f>+$W$341*AK347</f>
        <v>192.42</v>
      </c>
      <c r="AL348" s="4">
        <f>+SUM(AI348:AK348)</f>
        <v>642.41999999999996</v>
      </c>
      <c r="AM348" s="307">
        <f>+Z348+AD348+AH348+AL348</f>
        <v>17436.419999999998</v>
      </c>
    </row>
    <row r="349" spans="1:39" ht="15.75" customHeight="1" x14ac:dyDescent="0.3">
      <c r="A349" s="72" t="s">
        <v>727</v>
      </c>
      <c r="B349" s="1">
        <v>4653</v>
      </c>
      <c r="C349" s="1">
        <v>3658</v>
      </c>
      <c r="D349" s="1">
        <v>11734</v>
      </c>
      <c r="E349" s="55">
        <f t="shared" si="63"/>
        <v>20045</v>
      </c>
      <c r="F349" s="1">
        <v>15751</v>
      </c>
      <c r="G349" s="1">
        <v>10651</v>
      </c>
      <c r="H349" s="1">
        <v>18261</v>
      </c>
      <c r="I349" s="55">
        <f t="shared" si="64"/>
        <v>44663</v>
      </c>
      <c r="J349" s="1">
        <v>9807</v>
      </c>
      <c r="K349" s="1">
        <v>11318</v>
      </c>
      <c r="L349" s="1">
        <v>7648</v>
      </c>
      <c r="M349" s="55">
        <f t="shared" si="65"/>
        <v>28773</v>
      </c>
      <c r="N349" s="1">
        <v>8618</v>
      </c>
      <c r="O349" s="1">
        <v>6332</v>
      </c>
      <c r="P349" s="1">
        <v>3304</v>
      </c>
      <c r="Q349" s="55">
        <f t="shared" si="66"/>
        <v>18254</v>
      </c>
      <c r="R349" s="55">
        <f t="shared" si="62"/>
        <v>111735</v>
      </c>
      <c r="T349" s="4" t="s">
        <v>209</v>
      </c>
      <c r="V349" s="306" t="s">
        <v>938</v>
      </c>
      <c r="W349" s="4">
        <f>+$W$342*W347</f>
        <v>780</v>
      </c>
      <c r="X349" s="4">
        <f>+$W$342*X347</f>
        <v>780</v>
      </c>
      <c r="Y349" s="4">
        <f>+$W$342*Y347</f>
        <v>3536</v>
      </c>
      <c r="Z349" s="4">
        <f>+SUM(W349:Y349)</f>
        <v>5096</v>
      </c>
      <c r="AA349" s="4">
        <f>+$W$342*AA347</f>
        <v>4940</v>
      </c>
      <c r="AB349" s="4">
        <f>+$W$342*AB347</f>
        <v>6240</v>
      </c>
      <c r="AC349" s="4">
        <f>+$W$342*AC347</f>
        <v>7020</v>
      </c>
      <c r="AD349" s="4">
        <f>+SUM(AA349:AC349)</f>
        <v>18200</v>
      </c>
      <c r="AE349" s="4">
        <f>+$W$342*AE347</f>
        <v>13260</v>
      </c>
      <c r="AF349" s="4">
        <f>+$W$342*AF347</f>
        <v>9880</v>
      </c>
      <c r="AG349" s="4">
        <f>+$W$342*AG347</f>
        <v>2080</v>
      </c>
      <c r="AH349" s="4">
        <f>+SUM(AE349:AG349)</f>
        <v>25220</v>
      </c>
      <c r="AI349" s="4">
        <f>+$W$342*AI347</f>
        <v>780</v>
      </c>
      <c r="AJ349" s="4">
        <f>+$W$342*AJ347</f>
        <v>520</v>
      </c>
      <c r="AK349" s="4">
        <f>+$W$342*AK347</f>
        <v>555.88</v>
      </c>
      <c r="AL349" s="4">
        <f>+SUM(AI349:AK349)</f>
        <v>1855.88</v>
      </c>
      <c r="AM349" s="307">
        <f>+Z349+AD349+AH349+AL349</f>
        <v>50371.88</v>
      </c>
    </row>
    <row r="350" spans="1:39" ht="15.75" customHeight="1" x14ac:dyDescent="0.3">
      <c r="A350" s="72" t="s">
        <v>943</v>
      </c>
      <c r="B350" s="1"/>
      <c r="C350" s="1"/>
      <c r="D350" s="1">
        <v>2096</v>
      </c>
      <c r="E350" s="55">
        <f t="shared" si="63"/>
        <v>2096</v>
      </c>
      <c r="F350" s="1">
        <v>2500</v>
      </c>
      <c r="G350" s="1">
        <v>2729</v>
      </c>
      <c r="H350" s="1"/>
      <c r="I350" s="55">
        <f t="shared" si="64"/>
        <v>5229</v>
      </c>
      <c r="J350" s="1"/>
      <c r="K350" s="1"/>
      <c r="L350" s="1"/>
      <c r="M350" s="55">
        <f>SUM(J350:L350)</f>
        <v>0</v>
      </c>
      <c r="N350" s="1"/>
      <c r="O350" s="1"/>
      <c r="P350" s="1">
        <v>266</v>
      </c>
      <c r="Q350" s="55">
        <f>SUM(N350:P350)</f>
        <v>266</v>
      </c>
      <c r="R350" s="55">
        <f t="shared" si="62"/>
        <v>7591</v>
      </c>
      <c r="T350" s="4" t="s">
        <v>944</v>
      </c>
      <c r="V350" s="306" t="s">
        <v>939</v>
      </c>
      <c r="W350" s="4">
        <f>+$W$343*W347</f>
        <v>450</v>
      </c>
      <c r="X350" s="4">
        <f>+$W$343*X347</f>
        <v>450</v>
      </c>
      <c r="Y350" s="4">
        <f>+$W$343*Y347</f>
        <v>2040</v>
      </c>
      <c r="Z350" s="4">
        <f>+SUM(W350:Y350)</f>
        <v>2940</v>
      </c>
      <c r="AA350" s="4">
        <f>+$W$343*AA347</f>
        <v>2850</v>
      </c>
      <c r="AB350" s="4">
        <f>+$W$343*AB347</f>
        <v>3600</v>
      </c>
      <c r="AC350" s="4">
        <f>+$W$343*AC347</f>
        <v>4050</v>
      </c>
      <c r="AD350" s="4">
        <f>+SUM(AA350:AC350)</f>
        <v>10500</v>
      </c>
      <c r="AE350" s="4">
        <f>+$W$343*AE347</f>
        <v>7650</v>
      </c>
      <c r="AF350" s="4">
        <f>+$W$343*AF347</f>
        <v>5700</v>
      </c>
      <c r="AG350" s="4">
        <f>+$W$343*AG347</f>
        <v>1200</v>
      </c>
      <c r="AH350" s="4">
        <f>+SUM(AE350:AG350)</f>
        <v>14550</v>
      </c>
      <c r="AI350" s="4">
        <f>+$W$343*AI347</f>
        <v>450</v>
      </c>
      <c r="AJ350" s="4">
        <f>+$W$343*AJ347</f>
        <v>300</v>
      </c>
      <c r="AK350" s="4">
        <f>+$W$343*AK347</f>
        <v>320.7</v>
      </c>
      <c r="AL350" s="4">
        <f>+$W$343*AL347</f>
        <v>1070.7</v>
      </c>
      <c r="AM350" s="307">
        <f>+Z350+AD350+AH350+AL350</f>
        <v>29060.7</v>
      </c>
    </row>
    <row r="351" spans="1:39" ht="15.75" customHeight="1" thickBot="1" x14ac:dyDescent="0.35">
      <c r="A351" s="72" t="s">
        <v>945</v>
      </c>
      <c r="B351" s="1">
        <v>664</v>
      </c>
      <c r="C351" s="1">
        <v>1571</v>
      </c>
      <c r="D351" s="1">
        <v>2828</v>
      </c>
      <c r="E351" s="55">
        <f t="shared" si="63"/>
        <v>5063</v>
      </c>
      <c r="F351" s="1">
        <v>2077</v>
      </c>
      <c r="G351" s="1">
        <v>1360</v>
      </c>
      <c r="H351" s="1"/>
      <c r="I351" s="55">
        <f t="shared" si="64"/>
        <v>3437</v>
      </c>
      <c r="J351" s="1"/>
      <c r="K351" s="1"/>
      <c r="L351" s="1"/>
      <c r="M351" s="55">
        <f t="shared" si="65"/>
        <v>0</v>
      </c>
      <c r="N351" s="1"/>
      <c r="O351" s="1"/>
      <c r="P351" s="1"/>
      <c r="Q351" s="55">
        <f t="shared" si="66"/>
        <v>0</v>
      </c>
      <c r="R351" s="55">
        <f t="shared" si="62"/>
        <v>8500</v>
      </c>
      <c r="T351" s="4" t="s">
        <v>214</v>
      </c>
      <c r="V351" s="311"/>
      <c r="W351" s="312"/>
      <c r="X351" s="312"/>
      <c r="Y351" s="312"/>
      <c r="Z351" s="312"/>
      <c r="AA351" s="312"/>
      <c r="AB351" s="312"/>
      <c r="AC351" s="312"/>
      <c r="AD351" s="312"/>
      <c r="AE351" s="312"/>
      <c r="AF351" s="312"/>
      <c r="AG351" s="312"/>
      <c r="AH351" s="312"/>
      <c r="AI351" s="312"/>
      <c r="AJ351" s="312"/>
      <c r="AK351" s="312"/>
      <c r="AL351" s="312"/>
      <c r="AM351" s="313"/>
    </row>
    <row r="352" spans="1:39" ht="15.75" customHeight="1" x14ac:dyDescent="0.3">
      <c r="A352" s="72" t="s">
        <v>946</v>
      </c>
      <c r="B352" s="1">
        <v>1250</v>
      </c>
      <c r="C352" s="1"/>
      <c r="D352" s="1"/>
      <c r="E352" s="55">
        <f t="shared" si="63"/>
        <v>1250</v>
      </c>
      <c r="F352" s="1"/>
      <c r="G352" s="1"/>
      <c r="H352" s="1"/>
      <c r="I352" s="55">
        <f t="shared" si="64"/>
        <v>0</v>
      </c>
      <c r="J352" s="1"/>
      <c r="K352" s="1"/>
      <c r="L352" s="1"/>
      <c r="M352" s="55">
        <f t="shared" si="65"/>
        <v>0</v>
      </c>
      <c r="N352" s="1"/>
      <c r="O352" s="1"/>
      <c r="P352" s="1">
        <v>3</v>
      </c>
      <c r="Q352" s="55">
        <f t="shared" si="66"/>
        <v>3</v>
      </c>
      <c r="R352" s="55">
        <f t="shared" si="62"/>
        <v>1253</v>
      </c>
      <c r="T352" s="4" t="s">
        <v>224</v>
      </c>
    </row>
    <row r="353" spans="1:20" ht="15.75" customHeight="1" x14ac:dyDescent="0.3">
      <c r="A353" s="72" t="s">
        <v>252</v>
      </c>
      <c r="B353" s="1"/>
      <c r="C353" s="1"/>
      <c r="D353" s="1">
        <v>17</v>
      </c>
      <c r="E353" s="55">
        <f t="shared" si="63"/>
        <v>17</v>
      </c>
      <c r="F353" s="1"/>
      <c r="G353" s="1"/>
      <c r="H353" s="1">
        <v>162</v>
      </c>
      <c r="I353" s="55">
        <f t="shared" si="64"/>
        <v>162</v>
      </c>
      <c r="J353" s="1">
        <v>93</v>
      </c>
      <c r="K353" s="1">
        <v>2559</v>
      </c>
      <c r="L353" s="1">
        <v>2167</v>
      </c>
      <c r="M353" s="55">
        <f t="shared" si="65"/>
        <v>4819</v>
      </c>
      <c r="N353" s="1">
        <f>37+1362+243+26</f>
        <v>1668</v>
      </c>
      <c r="O353" s="1">
        <f>224+757+81+46</f>
        <v>1108</v>
      </c>
      <c r="P353" s="1">
        <v>839</v>
      </c>
      <c r="Q353" s="55">
        <f t="shared" si="66"/>
        <v>3615</v>
      </c>
      <c r="R353" s="55">
        <f t="shared" si="62"/>
        <v>8613</v>
      </c>
    </row>
    <row r="354" spans="1:20" ht="15.75" customHeight="1" thickBot="1" x14ac:dyDescent="0.35">
      <c r="A354" s="15" t="s">
        <v>58</v>
      </c>
      <c r="B354" s="1"/>
      <c r="C354" s="1"/>
      <c r="D354" s="1"/>
      <c r="E354" s="55" t="s">
        <v>7</v>
      </c>
      <c r="F354" s="1"/>
      <c r="G354" s="1"/>
      <c r="H354" s="1"/>
      <c r="I354" s="55" t="s">
        <v>7</v>
      </c>
      <c r="J354" s="1"/>
      <c r="K354" s="1"/>
      <c r="L354" s="1"/>
      <c r="M354" s="55" t="s">
        <v>7</v>
      </c>
      <c r="N354" s="1"/>
      <c r="O354" s="1"/>
      <c r="P354" s="1"/>
      <c r="Q354" s="55" t="s">
        <v>7</v>
      </c>
      <c r="R354" s="55" t="s">
        <v>7</v>
      </c>
    </row>
    <row r="355" spans="1:20" ht="16.5" customHeight="1" thickBot="1" x14ac:dyDescent="0.35">
      <c r="A355" s="57" t="s">
        <v>59</v>
      </c>
      <c r="B355" s="86">
        <f>SUM(B342:B354)</f>
        <v>8015</v>
      </c>
      <c r="C355" s="87">
        <f>SUM(C342:C354)</f>
        <v>6801</v>
      </c>
      <c r="D355" s="87">
        <f>SUM(D342:D354)</f>
        <v>25291</v>
      </c>
      <c r="E355" s="59">
        <f>SUM(B355:D355)</f>
        <v>40107</v>
      </c>
      <c r="F355" s="87">
        <f>SUM(F342:F354)</f>
        <v>30986</v>
      </c>
      <c r="G355" s="87">
        <f>SUM(G342:G354)</f>
        <v>22149</v>
      </c>
      <c r="H355" s="87">
        <f>SUM(H342:H354)</f>
        <v>27854</v>
      </c>
      <c r="I355" s="59">
        <f>SUM(F355:H355)</f>
        <v>80989</v>
      </c>
      <c r="J355" s="87">
        <f>SUM(J342:J354)</f>
        <v>12518.999999999996</v>
      </c>
      <c r="K355" s="87">
        <f>SUM(K342:K354)</f>
        <v>16617</v>
      </c>
      <c r="L355" s="87">
        <f>SUM(L342:L354)</f>
        <v>16253</v>
      </c>
      <c r="M355" s="59">
        <f>SUM(J355:L355)</f>
        <v>45389</v>
      </c>
      <c r="N355" s="87">
        <f>SUM(N342:N354)</f>
        <v>11062</v>
      </c>
      <c r="O355" s="87">
        <f>SUM(O342:O354)</f>
        <v>8079</v>
      </c>
      <c r="P355" s="87">
        <f>SUM(P342:P354)</f>
        <v>4448</v>
      </c>
      <c r="Q355" s="59">
        <f>SUM(N355:P355)</f>
        <v>23589</v>
      </c>
      <c r="R355" s="59">
        <f>+E355+I355+M355+Q355</f>
        <v>190074</v>
      </c>
    </row>
    <row r="356" spans="1:20" ht="15.75" customHeight="1" x14ac:dyDescent="0.3">
      <c r="A356" s="15" t="s">
        <v>60</v>
      </c>
      <c r="B356" s="1"/>
      <c r="C356" s="1"/>
      <c r="D356" s="1"/>
      <c r="E356" s="55" t="s">
        <v>7</v>
      </c>
      <c r="F356" s="1"/>
      <c r="G356" s="1"/>
      <c r="H356" s="1"/>
      <c r="I356" s="55" t="s">
        <v>7</v>
      </c>
      <c r="J356" s="1"/>
      <c r="K356" s="1"/>
      <c r="L356" s="1"/>
      <c r="M356" s="55" t="s">
        <v>7</v>
      </c>
      <c r="N356" s="1"/>
      <c r="O356" s="1"/>
      <c r="P356" s="1"/>
      <c r="Q356" s="55" t="s">
        <v>7</v>
      </c>
      <c r="R356" s="55" t="s">
        <v>7</v>
      </c>
    </row>
    <row r="357" spans="1:20" ht="15.75" customHeight="1" x14ac:dyDescent="0.3">
      <c r="A357" s="15" t="s">
        <v>61</v>
      </c>
      <c r="B357" s="1"/>
      <c r="C357" s="1"/>
      <c r="D357" s="1"/>
      <c r="E357" s="55" t="s">
        <v>7</v>
      </c>
      <c r="F357" s="1"/>
      <c r="G357" s="1"/>
      <c r="H357" s="1"/>
      <c r="I357" s="55" t="s">
        <v>7</v>
      </c>
      <c r="J357" s="1"/>
      <c r="K357" s="1"/>
      <c r="L357" s="1"/>
      <c r="M357" s="55" t="s">
        <v>7</v>
      </c>
      <c r="N357" s="1"/>
      <c r="O357" s="1"/>
      <c r="P357" s="1"/>
      <c r="Q357" s="55" t="s">
        <v>7</v>
      </c>
      <c r="R357" s="55" t="s">
        <v>7</v>
      </c>
    </row>
    <row r="358" spans="1:20" ht="15.75" customHeight="1" x14ac:dyDescent="0.3">
      <c r="A358" s="72" t="s">
        <v>254</v>
      </c>
      <c r="B358" s="1">
        <v>2933</v>
      </c>
      <c r="C358" s="1">
        <v>6271</v>
      </c>
      <c r="D358" s="1">
        <v>8022</v>
      </c>
      <c r="E358" s="55">
        <f>SUM(B358:D358)</f>
        <v>17226</v>
      </c>
      <c r="F358" s="1">
        <v>10932</v>
      </c>
      <c r="G358" s="1">
        <v>7992</v>
      </c>
      <c r="H358" s="1">
        <v>10592</v>
      </c>
      <c r="I358" s="55">
        <f>SUM(F358:H358)</f>
        <v>29516</v>
      </c>
      <c r="J358" s="1">
        <v>7140</v>
      </c>
      <c r="K358" s="1">
        <v>6684</v>
      </c>
      <c r="L358" s="1">
        <v>4010</v>
      </c>
      <c r="M358" s="55">
        <f>SUM(J358:L358)</f>
        <v>17834</v>
      </c>
      <c r="N358" s="1">
        <v>3935</v>
      </c>
      <c r="O358" s="1">
        <v>421</v>
      </c>
      <c r="P358" s="1">
        <v>2424</v>
      </c>
      <c r="Q358" s="55">
        <f>SUM(N358:P358)</f>
        <v>6780</v>
      </c>
      <c r="R358" s="55">
        <f>+E358+I358+M358+Q358</f>
        <v>71356</v>
      </c>
      <c r="T358" s="4" t="s">
        <v>209</v>
      </c>
    </row>
    <row r="359" spans="1:20" ht="15.75" customHeight="1" x14ac:dyDescent="0.3">
      <c r="A359" s="72" t="s">
        <v>947</v>
      </c>
      <c r="B359" s="1">
        <v>3120</v>
      </c>
      <c r="C359" s="1">
        <v>818</v>
      </c>
      <c r="D359" s="1">
        <v>4507</v>
      </c>
      <c r="E359" s="55">
        <f>SUM(B359:D359)</f>
        <v>8445</v>
      </c>
      <c r="F359" s="1">
        <v>8091</v>
      </c>
      <c r="G359" s="1">
        <v>2443</v>
      </c>
      <c r="H359" s="1">
        <v>43</v>
      </c>
      <c r="I359" s="55">
        <f>SUM(F359:H359)</f>
        <v>10577</v>
      </c>
      <c r="J359" s="1">
        <v>2043</v>
      </c>
      <c r="K359" s="1">
        <f>2424+115</f>
        <v>2539</v>
      </c>
      <c r="L359" s="1">
        <v>1247</v>
      </c>
      <c r="M359" s="55">
        <f>SUM(J359:L359)</f>
        <v>5829</v>
      </c>
      <c r="N359" s="1">
        <v>1097</v>
      </c>
      <c r="O359" s="1">
        <v>783</v>
      </c>
      <c r="P359" s="1">
        <v>5257</v>
      </c>
      <c r="Q359" s="55">
        <f>SUM(N359:P359)</f>
        <v>7137</v>
      </c>
      <c r="R359" s="55">
        <f>+E359+I359+M359+Q359</f>
        <v>31988</v>
      </c>
      <c r="T359" s="4" t="s">
        <v>256</v>
      </c>
    </row>
    <row r="360" spans="1:20" ht="15.75" customHeight="1" x14ac:dyDescent="0.3">
      <c r="A360" s="15" t="s">
        <v>62</v>
      </c>
      <c r="B360" s="1"/>
      <c r="C360" s="1"/>
      <c r="D360" s="1"/>
      <c r="E360" s="55" t="s">
        <v>7</v>
      </c>
      <c r="F360" s="1"/>
      <c r="G360" s="1"/>
      <c r="H360" s="1"/>
      <c r="I360" s="55" t="s">
        <v>7</v>
      </c>
      <c r="J360" s="1"/>
      <c r="K360" s="1"/>
      <c r="L360" s="1"/>
      <c r="M360" s="55" t="s">
        <v>7</v>
      </c>
      <c r="N360" s="1"/>
      <c r="O360" s="1"/>
      <c r="P360" s="1"/>
      <c r="Q360" s="55" t="s">
        <v>7</v>
      </c>
      <c r="R360" s="55" t="s">
        <v>7</v>
      </c>
    </row>
    <row r="361" spans="1:20" ht="15.75" customHeight="1" x14ac:dyDescent="0.3">
      <c r="A361" s="72" t="s">
        <v>1130</v>
      </c>
      <c r="B361" s="1"/>
      <c r="C361" s="1">
        <v>972</v>
      </c>
      <c r="D361" s="1"/>
      <c r="E361" s="55">
        <f>SUM(B361:D361)</f>
        <v>972</v>
      </c>
      <c r="F361" s="1"/>
      <c r="G361" s="1"/>
      <c r="H361" s="1"/>
      <c r="I361" s="55">
        <f t="shared" ref="I361:I394" si="67">SUM(F361:H361)</f>
        <v>0</v>
      </c>
      <c r="J361" s="1"/>
      <c r="K361" s="1"/>
      <c r="L361" s="1"/>
      <c r="M361" s="55">
        <f t="shared" ref="M361:M394" si="68">SUM(J361:L361)</f>
        <v>0</v>
      </c>
      <c r="N361" s="1"/>
      <c r="O361" s="1"/>
      <c r="P361" s="1"/>
      <c r="Q361" s="55">
        <f t="shared" ref="Q361:Q394" si="69">SUM(N361:P361)</f>
        <v>0</v>
      </c>
      <c r="R361" s="55">
        <f>+E361+I361+M361+Q361</f>
        <v>972</v>
      </c>
      <c r="T361" s="4" t="s">
        <v>241</v>
      </c>
    </row>
    <row r="362" spans="1:20" ht="15.75" customHeight="1" x14ac:dyDescent="0.3">
      <c r="A362" s="72" t="s">
        <v>949</v>
      </c>
      <c r="B362" s="1">
        <v>536</v>
      </c>
      <c r="C362" s="1">
        <v>240</v>
      </c>
      <c r="D362" s="1"/>
      <c r="E362" s="55">
        <f t="shared" ref="E362:E394" si="70">SUM(B362:D362)</f>
        <v>776</v>
      </c>
      <c r="F362" s="1"/>
      <c r="G362" s="1"/>
      <c r="H362" s="1"/>
      <c r="I362" s="55">
        <f t="shared" si="67"/>
        <v>0</v>
      </c>
      <c r="J362" s="1"/>
      <c r="K362" s="1"/>
      <c r="L362" s="1"/>
      <c r="M362" s="55">
        <f t="shared" si="68"/>
        <v>0</v>
      </c>
      <c r="N362" s="1"/>
      <c r="O362" s="1"/>
      <c r="P362" s="1"/>
      <c r="Q362" s="55">
        <f t="shared" si="69"/>
        <v>0</v>
      </c>
      <c r="R362" s="55">
        <f>+E362+I362+M362+Q362</f>
        <v>776</v>
      </c>
      <c r="T362" s="4" t="s">
        <v>919</v>
      </c>
    </row>
    <row r="363" spans="1:20" ht="15.75" customHeight="1" x14ac:dyDescent="0.3">
      <c r="A363" s="72" t="s">
        <v>950</v>
      </c>
      <c r="B363" s="1"/>
      <c r="C363" s="1"/>
      <c r="D363" s="1"/>
      <c r="E363" s="55">
        <f t="shared" si="70"/>
        <v>0</v>
      </c>
      <c r="F363" s="1"/>
      <c r="G363" s="1"/>
      <c r="H363" s="1"/>
      <c r="I363" s="55">
        <f t="shared" si="67"/>
        <v>0</v>
      </c>
      <c r="J363" s="1"/>
      <c r="K363" s="1"/>
      <c r="L363" s="1"/>
      <c r="M363" s="55">
        <f t="shared" si="68"/>
        <v>0</v>
      </c>
      <c r="N363" s="1"/>
      <c r="O363" s="1"/>
      <c r="P363" s="1"/>
      <c r="Q363" s="55">
        <f t="shared" si="69"/>
        <v>0</v>
      </c>
      <c r="R363" s="55">
        <f>+E363+I363+M363+Q363</f>
        <v>0</v>
      </c>
      <c r="T363" s="4" t="s">
        <v>241</v>
      </c>
    </row>
    <row r="364" spans="1:20" ht="15.75" customHeight="1" x14ac:dyDescent="0.3">
      <c r="A364" s="72" t="s">
        <v>149</v>
      </c>
      <c r="B364" s="1"/>
      <c r="C364" s="1"/>
      <c r="D364" s="1"/>
      <c r="E364" s="55">
        <f t="shared" si="70"/>
        <v>0</v>
      </c>
      <c r="F364" s="1">
        <v>627</v>
      </c>
      <c r="G364" s="1"/>
      <c r="H364" s="1"/>
      <c r="I364" s="55">
        <f t="shared" si="67"/>
        <v>627</v>
      </c>
      <c r="J364" s="1"/>
      <c r="K364" s="1"/>
      <c r="L364" s="1"/>
      <c r="M364" s="55">
        <f t="shared" si="68"/>
        <v>0</v>
      </c>
      <c r="N364" s="1"/>
      <c r="O364" s="1"/>
      <c r="P364" s="1"/>
      <c r="Q364" s="55">
        <f t="shared" si="69"/>
        <v>0</v>
      </c>
      <c r="R364" s="55">
        <f t="shared" ref="R364:R393" si="71">+E364+I364+M364+Q364</f>
        <v>627</v>
      </c>
    </row>
    <row r="365" spans="1:20" ht="15.75" customHeight="1" x14ac:dyDescent="0.3">
      <c r="A365" s="72" t="s">
        <v>951</v>
      </c>
      <c r="B365" s="1"/>
      <c r="C365" s="1"/>
      <c r="D365" s="1"/>
      <c r="E365" s="55">
        <f t="shared" si="70"/>
        <v>0</v>
      </c>
      <c r="F365" s="1">
        <v>788</v>
      </c>
      <c r="G365" s="1">
        <v>6384</v>
      </c>
      <c r="H365" s="1">
        <v>6853</v>
      </c>
      <c r="I365" s="55">
        <f t="shared" si="67"/>
        <v>14025</v>
      </c>
      <c r="J365" s="1">
        <v>6690</v>
      </c>
      <c r="K365" s="1">
        <v>2285</v>
      </c>
      <c r="L365" s="1"/>
      <c r="M365" s="55">
        <f t="shared" si="68"/>
        <v>8975</v>
      </c>
      <c r="N365" s="1">
        <v>1324</v>
      </c>
      <c r="O365" s="1">
        <v>2834</v>
      </c>
      <c r="P365" s="1">
        <v>342</v>
      </c>
      <c r="Q365" s="55">
        <f t="shared" si="69"/>
        <v>4500</v>
      </c>
      <c r="R365" s="55">
        <f>+E365+I365+M365+Q365</f>
        <v>27500</v>
      </c>
      <c r="T365" s="4" t="s">
        <v>224</v>
      </c>
    </row>
    <row r="366" spans="1:20" ht="15.75" customHeight="1" x14ac:dyDescent="0.3">
      <c r="A366" s="72" t="s">
        <v>952</v>
      </c>
      <c r="B366" s="1"/>
      <c r="C366" s="1"/>
      <c r="D366" s="1">
        <v>3000</v>
      </c>
      <c r="E366" s="55">
        <f t="shared" si="70"/>
        <v>3000</v>
      </c>
      <c r="F366" s="1">
        <v>6000</v>
      </c>
      <c r="G366" s="1">
        <v>6000</v>
      </c>
      <c r="H366" s="1">
        <v>3000</v>
      </c>
      <c r="I366" s="55">
        <f t="shared" si="67"/>
        <v>15000</v>
      </c>
      <c r="J366" s="1"/>
      <c r="K366" s="1"/>
      <c r="L366" s="1"/>
      <c r="M366" s="55">
        <f t="shared" si="68"/>
        <v>0</v>
      </c>
      <c r="N366" s="1"/>
      <c r="O366" s="1"/>
      <c r="P366" s="1"/>
      <c r="Q366" s="55">
        <f t="shared" si="69"/>
        <v>0</v>
      </c>
      <c r="R366" s="55">
        <f t="shared" si="71"/>
        <v>18000</v>
      </c>
      <c r="T366" s="4" t="s">
        <v>209</v>
      </c>
    </row>
    <row r="367" spans="1:20" ht="15.75" customHeight="1" x14ac:dyDescent="0.3">
      <c r="A367" s="72" t="s">
        <v>953</v>
      </c>
      <c r="B367" s="1">
        <v>1032</v>
      </c>
      <c r="C367" s="1">
        <v>1558</v>
      </c>
      <c r="D367" s="1">
        <v>3000</v>
      </c>
      <c r="E367" s="55">
        <f t="shared" si="70"/>
        <v>5590</v>
      </c>
      <c r="F367" s="1">
        <v>2000</v>
      </c>
      <c r="G367" s="1">
        <v>481</v>
      </c>
      <c r="H367" s="1">
        <v>4369</v>
      </c>
      <c r="I367" s="55">
        <f t="shared" si="67"/>
        <v>6850</v>
      </c>
      <c r="J367" s="1">
        <v>8343</v>
      </c>
      <c r="K367" s="1">
        <v>2997</v>
      </c>
      <c r="L367" s="1">
        <v>4323</v>
      </c>
      <c r="M367" s="55">
        <f t="shared" si="68"/>
        <v>15663</v>
      </c>
      <c r="N367" s="1">
        <f>1071+109+1544+1294</f>
        <v>4018</v>
      </c>
      <c r="O367" s="1">
        <f>1118+184+493+699</f>
        <v>2494</v>
      </c>
      <c r="P367" s="1">
        <v>385</v>
      </c>
      <c r="Q367" s="55">
        <f t="shared" si="69"/>
        <v>6897</v>
      </c>
      <c r="R367" s="55">
        <f t="shared" si="71"/>
        <v>35000</v>
      </c>
    </row>
    <row r="368" spans="1:20" ht="15.75" customHeight="1" x14ac:dyDescent="0.3">
      <c r="A368" s="72" t="s">
        <v>641</v>
      </c>
      <c r="B368" s="1"/>
      <c r="C368" s="1">
        <v>2030</v>
      </c>
      <c r="D368" s="1">
        <v>3260</v>
      </c>
      <c r="E368" s="55">
        <f t="shared" si="70"/>
        <v>5290</v>
      </c>
      <c r="F368" s="1">
        <v>7810</v>
      </c>
      <c r="G368" s="1">
        <v>5690</v>
      </c>
      <c r="H368" s="1">
        <v>6320</v>
      </c>
      <c r="I368" s="55">
        <f t="shared" si="67"/>
        <v>19820</v>
      </c>
      <c r="J368" s="1">
        <v>1650</v>
      </c>
      <c r="K368" s="1">
        <v>1240</v>
      </c>
      <c r="L368" s="1"/>
      <c r="M368" s="55">
        <f t="shared" si="68"/>
        <v>2890</v>
      </c>
      <c r="N368" s="1"/>
      <c r="O368" s="1"/>
      <c r="P368" s="1"/>
      <c r="Q368" s="55">
        <f t="shared" si="69"/>
        <v>0</v>
      </c>
      <c r="R368" s="55">
        <f t="shared" si="71"/>
        <v>28000</v>
      </c>
      <c r="T368" s="4" t="s">
        <v>209</v>
      </c>
    </row>
    <row r="369" spans="1:20" ht="15.75" customHeight="1" x14ac:dyDescent="0.3">
      <c r="A369" s="72" t="s">
        <v>640</v>
      </c>
      <c r="B369" s="1"/>
      <c r="C369" s="1"/>
      <c r="D369" s="1"/>
      <c r="E369" s="55">
        <f>SUM(B369:D369)</f>
        <v>0</v>
      </c>
      <c r="F369" s="1"/>
      <c r="G369" s="1"/>
      <c r="H369" s="1"/>
      <c r="I369" s="55">
        <f t="shared" si="67"/>
        <v>0</v>
      </c>
      <c r="J369" s="1">
        <v>3780</v>
      </c>
      <c r="K369" s="1">
        <v>8470</v>
      </c>
      <c r="L369" s="1"/>
      <c r="M369" s="55">
        <f t="shared" si="68"/>
        <v>12250</v>
      </c>
      <c r="N369" s="1">
        <f>2311+200</f>
        <v>2511</v>
      </c>
      <c r="O369" s="1">
        <f>118+1031</f>
        <v>1149</v>
      </c>
      <c r="P369" s="1">
        <v>2169</v>
      </c>
      <c r="Q369" s="55">
        <f t="shared" si="69"/>
        <v>5829</v>
      </c>
      <c r="R369" s="55">
        <f t="shared" si="71"/>
        <v>18079</v>
      </c>
    </row>
    <row r="370" spans="1:20" ht="15.75" customHeight="1" x14ac:dyDescent="0.3">
      <c r="A370" s="72" t="s">
        <v>1131</v>
      </c>
      <c r="B370" s="1">
        <v>626</v>
      </c>
      <c r="C370" s="1">
        <v>1807</v>
      </c>
      <c r="D370" s="1">
        <v>3680</v>
      </c>
      <c r="E370" s="55">
        <f>SUM(B370:D370)</f>
        <v>6113</v>
      </c>
      <c r="F370" s="1">
        <v>5887</v>
      </c>
      <c r="G370" s="1"/>
      <c r="H370" s="1"/>
      <c r="I370" s="55">
        <f t="shared" si="67"/>
        <v>5887</v>
      </c>
      <c r="J370" s="1"/>
      <c r="K370" s="1"/>
      <c r="L370" s="1"/>
      <c r="M370" s="55">
        <f t="shared" si="68"/>
        <v>0</v>
      </c>
      <c r="N370" s="1"/>
      <c r="O370" s="1"/>
      <c r="P370" s="1"/>
      <c r="Q370" s="55">
        <f t="shared" si="69"/>
        <v>0</v>
      </c>
      <c r="R370" s="55">
        <f t="shared" si="71"/>
        <v>12000</v>
      </c>
    </row>
    <row r="371" spans="1:20" ht="15.75" customHeight="1" x14ac:dyDescent="0.3">
      <c r="A371" s="72" t="s">
        <v>955</v>
      </c>
      <c r="B371" s="1">
        <v>108</v>
      </c>
      <c r="C371" s="1">
        <v>60</v>
      </c>
      <c r="D371" s="1">
        <v>109</v>
      </c>
      <c r="E371" s="55">
        <f>SUM(B371:D371)</f>
        <v>277</v>
      </c>
      <c r="F371" s="1">
        <v>103</v>
      </c>
      <c r="G371" s="1">
        <v>89</v>
      </c>
      <c r="H371" s="1">
        <v>94</v>
      </c>
      <c r="I371" s="55">
        <f t="shared" si="67"/>
        <v>286</v>
      </c>
      <c r="J371" s="1">
        <v>102</v>
      </c>
      <c r="K371" s="1">
        <v>99</v>
      </c>
      <c r="L371" s="1">
        <v>90</v>
      </c>
      <c r="M371" s="55">
        <f t="shared" si="68"/>
        <v>291</v>
      </c>
      <c r="N371" s="1">
        <v>92</v>
      </c>
      <c r="O371" s="1"/>
      <c r="P371" s="1">
        <v>54</v>
      </c>
      <c r="Q371" s="55">
        <f t="shared" si="69"/>
        <v>146</v>
      </c>
      <c r="R371" s="55">
        <f>+E371+I371+M371+Q371</f>
        <v>1000</v>
      </c>
    </row>
    <row r="372" spans="1:20" ht="15.75" customHeight="1" x14ac:dyDescent="0.3">
      <c r="A372" s="72" t="s">
        <v>956</v>
      </c>
      <c r="B372" s="1"/>
      <c r="C372" s="1"/>
      <c r="D372" s="1"/>
      <c r="E372" s="55">
        <f>SUM(B372:D372)</f>
        <v>0</v>
      </c>
      <c r="F372" s="1">
        <v>500</v>
      </c>
      <c r="G372" s="1">
        <v>717</v>
      </c>
      <c r="H372" s="1"/>
      <c r="I372" s="55">
        <f t="shared" si="67"/>
        <v>1217</v>
      </c>
      <c r="J372" s="1"/>
      <c r="K372" s="1"/>
      <c r="L372" s="1"/>
      <c r="M372" s="55">
        <f t="shared" si="68"/>
        <v>0</v>
      </c>
      <c r="N372" s="1"/>
      <c r="O372" s="1"/>
      <c r="P372" s="1"/>
      <c r="Q372" s="55">
        <f t="shared" si="69"/>
        <v>0</v>
      </c>
      <c r="R372" s="55">
        <f t="shared" si="71"/>
        <v>1217</v>
      </c>
      <c r="T372" s="4" t="s">
        <v>241</v>
      </c>
    </row>
    <row r="373" spans="1:20" ht="15.75" customHeight="1" x14ac:dyDescent="0.3">
      <c r="A373" s="72" t="s">
        <v>957</v>
      </c>
      <c r="B373" s="1"/>
      <c r="C373" s="1"/>
      <c r="D373" s="1">
        <v>2</v>
      </c>
      <c r="E373" s="55">
        <f>SUM(B373:D373)</f>
        <v>2</v>
      </c>
      <c r="F373" s="1">
        <v>18</v>
      </c>
      <c r="G373" s="1"/>
      <c r="H373" s="1">
        <v>8</v>
      </c>
      <c r="I373" s="55">
        <f t="shared" si="67"/>
        <v>26</v>
      </c>
      <c r="J373" s="1">
        <v>6</v>
      </c>
      <c r="K373" s="1">
        <v>2</v>
      </c>
      <c r="L373" s="1">
        <v>8</v>
      </c>
      <c r="M373" s="55">
        <f t="shared" si="68"/>
        <v>16</v>
      </c>
      <c r="N373" s="1"/>
      <c r="O373" s="1"/>
      <c r="P373" s="1">
        <v>8</v>
      </c>
      <c r="Q373" s="55">
        <f t="shared" si="69"/>
        <v>8</v>
      </c>
      <c r="R373" s="55">
        <f>+E373+I373+M373+Q373</f>
        <v>52</v>
      </c>
      <c r="T373" s="4" t="s">
        <v>220</v>
      </c>
    </row>
    <row r="374" spans="1:20" ht="15.75" customHeight="1" x14ac:dyDescent="0.3">
      <c r="A374" s="72" t="s">
        <v>958</v>
      </c>
      <c r="B374" s="1">
        <v>368</v>
      </c>
      <c r="C374" s="1">
        <v>1007</v>
      </c>
      <c r="D374" s="1">
        <v>1144</v>
      </c>
      <c r="E374" s="55">
        <f t="shared" si="70"/>
        <v>2519</v>
      </c>
      <c r="F374" s="1">
        <v>1114</v>
      </c>
      <c r="G374" s="1">
        <v>972</v>
      </c>
      <c r="H374" s="1"/>
      <c r="I374" s="55">
        <f t="shared" si="67"/>
        <v>2086</v>
      </c>
      <c r="J374" s="1"/>
      <c r="K374" s="1"/>
      <c r="L374" s="1"/>
      <c r="M374" s="55">
        <f t="shared" si="68"/>
        <v>0</v>
      </c>
      <c r="N374" s="1"/>
      <c r="O374" s="1"/>
      <c r="P374" s="1"/>
      <c r="Q374" s="55">
        <f t="shared" si="69"/>
        <v>0</v>
      </c>
      <c r="R374" s="55">
        <f t="shared" si="71"/>
        <v>4605</v>
      </c>
      <c r="T374" s="4" t="s">
        <v>919</v>
      </c>
    </row>
    <row r="375" spans="1:20" ht="15.75" customHeight="1" x14ac:dyDescent="0.3">
      <c r="A375" s="72" t="s">
        <v>642</v>
      </c>
      <c r="B375" s="1">
        <v>1979</v>
      </c>
      <c r="C375" s="1">
        <v>1981</v>
      </c>
      <c r="D375" s="1">
        <v>1981</v>
      </c>
      <c r="E375" s="55">
        <f>SUM(B375:D375)</f>
        <v>5941</v>
      </c>
      <c r="F375" s="1">
        <v>1981</v>
      </c>
      <c r="G375" s="1"/>
      <c r="H375" s="1"/>
      <c r="I375" s="55">
        <f t="shared" si="67"/>
        <v>1981</v>
      </c>
      <c r="J375" s="1"/>
      <c r="K375" s="1"/>
      <c r="L375" s="1"/>
      <c r="M375" s="55">
        <f t="shared" si="68"/>
        <v>0</v>
      </c>
      <c r="N375" s="1"/>
      <c r="O375" s="1"/>
      <c r="P375" s="1"/>
      <c r="Q375" s="55">
        <f t="shared" si="69"/>
        <v>0</v>
      </c>
      <c r="R375" s="55">
        <f>+E375+I375+M375+Q375</f>
        <v>7922</v>
      </c>
    </row>
    <row r="376" spans="1:20" ht="15.75" customHeight="1" x14ac:dyDescent="0.3">
      <c r="A376" s="72" t="s">
        <v>737</v>
      </c>
      <c r="B376" s="1"/>
      <c r="C376" s="1"/>
      <c r="D376" s="1"/>
      <c r="E376" s="55">
        <f>SUM(B376:D376)</f>
        <v>0</v>
      </c>
      <c r="F376" s="1"/>
      <c r="G376" s="1"/>
      <c r="H376" s="1"/>
      <c r="I376" s="55">
        <f t="shared" si="67"/>
        <v>0</v>
      </c>
      <c r="J376" s="1"/>
      <c r="K376" s="1"/>
      <c r="L376" s="1"/>
      <c r="M376" s="55">
        <f t="shared" si="68"/>
        <v>0</v>
      </c>
      <c r="N376" s="1"/>
      <c r="O376" s="1"/>
      <c r="P376" s="1"/>
      <c r="Q376" s="55">
        <f t="shared" si="69"/>
        <v>0</v>
      </c>
      <c r="R376" s="55">
        <f>+E376+I376+M376+Q376</f>
        <v>0</v>
      </c>
    </row>
    <row r="377" spans="1:20" ht="15.75" customHeight="1" x14ac:dyDescent="0.3">
      <c r="A377" s="72" t="s">
        <v>959</v>
      </c>
      <c r="B377" s="1"/>
      <c r="C377" s="1"/>
      <c r="D377" s="1">
        <v>2000</v>
      </c>
      <c r="E377" s="55">
        <f>SUM(B377:D377)</f>
        <v>2000</v>
      </c>
      <c r="F377" s="1">
        <v>1000</v>
      </c>
      <c r="G377" s="1">
        <v>2000</v>
      </c>
      <c r="H377" s="1">
        <v>1000</v>
      </c>
      <c r="I377" s="55">
        <f t="shared" si="67"/>
        <v>4000</v>
      </c>
      <c r="J377" s="1"/>
      <c r="K377" s="1"/>
      <c r="L377" s="1"/>
      <c r="M377" s="55">
        <f t="shared" si="68"/>
        <v>0</v>
      </c>
      <c r="N377" s="1"/>
      <c r="O377" s="1"/>
      <c r="P377" s="1"/>
      <c r="Q377" s="55">
        <f t="shared" si="69"/>
        <v>0</v>
      </c>
      <c r="R377" s="55">
        <f>+E377+I377+M377+Q377</f>
        <v>6000</v>
      </c>
    </row>
    <row r="378" spans="1:20" ht="15.75" customHeight="1" x14ac:dyDescent="0.3">
      <c r="A378" s="72" t="s">
        <v>960</v>
      </c>
      <c r="B378" s="1"/>
      <c r="C378" s="1">
        <v>2000</v>
      </c>
      <c r="D378" s="1">
        <v>479</v>
      </c>
      <c r="E378" s="55">
        <f>SUM(B378:D378)</f>
        <v>2479</v>
      </c>
      <c r="F378" s="1">
        <v>1044</v>
      </c>
      <c r="G378" s="1">
        <v>1417</v>
      </c>
      <c r="H378" s="1">
        <v>1600</v>
      </c>
      <c r="I378" s="55">
        <f t="shared" si="67"/>
        <v>4061</v>
      </c>
      <c r="J378" s="1">
        <v>293</v>
      </c>
      <c r="K378" s="1"/>
      <c r="L378" s="1"/>
      <c r="M378" s="55">
        <f t="shared" si="68"/>
        <v>293</v>
      </c>
      <c r="N378" s="1"/>
      <c r="O378" s="1"/>
      <c r="P378" s="1"/>
      <c r="Q378" s="55">
        <f t="shared" si="69"/>
        <v>0</v>
      </c>
      <c r="R378" s="55">
        <f>+E378+I378+M378+Q378</f>
        <v>6833</v>
      </c>
      <c r="T378" s="4" t="s">
        <v>241</v>
      </c>
    </row>
    <row r="379" spans="1:20" ht="15.75" customHeight="1" x14ac:dyDescent="0.3">
      <c r="A379" s="72" t="s">
        <v>961</v>
      </c>
      <c r="B379" s="1"/>
      <c r="C379" s="1"/>
      <c r="D379" s="1"/>
      <c r="E379" s="55">
        <f t="shared" si="70"/>
        <v>0</v>
      </c>
      <c r="F379" s="1"/>
      <c r="G379" s="1"/>
      <c r="H379" s="1"/>
      <c r="I379" s="55">
        <f t="shared" si="67"/>
        <v>0</v>
      </c>
      <c r="J379" s="1"/>
      <c r="K379" s="1"/>
      <c r="L379" s="1"/>
      <c r="M379" s="55">
        <f t="shared" si="68"/>
        <v>0</v>
      </c>
      <c r="N379" s="1"/>
      <c r="O379" s="1"/>
      <c r="P379" s="1"/>
      <c r="Q379" s="55">
        <f t="shared" si="69"/>
        <v>0</v>
      </c>
      <c r="R379" s="55">
        <f t="shared" si="71"/>
        <v>0</v>
      </c>
      <c r="T379" s="4" t="s">
        <v>944</v>
      </c>
    </row>
    <row r="380" spans="1:20" ht="15.75" customHeight="1" x14ac:dyDescent="0.3">
      <c r="A380" s="72" t="s">
        <v>962</v>
      </c>
      <c r="B380" s="1"/>
      <c r="C380" s="1"/>
      <c r="D380" s="1"/>
      <c r="E380" s="55">
        <f>SUM(B380:D380)</f>
        <v>0</v>
      </c>
      <c r="F380" s="1">
        <v>1498</v>
      </c>
      <c r="G380" s="1"/>
      <c r="H380" s="1">
        <v>917</v>
      </c>
      <c r="I380" s="55">
        <f t="shared" si="67"/>
        <v>2415</v>
      </c>
      <c r="J380" s="1">
        <v>917</v>
      </c>
      <c r="K380" s="1">
        <f>2639+146</f>
        <v>2785</v>
      </c>
      <c r="L380" s="1">
        <f>2190+41</f>
        <v>2231</v>
      </c>
      <c r="M380" s="55">
        <f t="shared" si="68"/>
        <v>5933</v>
      </c>
      <c r="N380" s="1">
        <f>1102+59</f>
        <v>1161</v>
      </c>
      <c r="O380" s="1">
        <f>631+6</f>
        <v>637</v>
      </c>
      <c r="P380" s="1">
        <v>854</v>
      </c>
      <c r="Q380" s="55">
        <f t="shared" si="69"/>
        <v>2652</v>
      </c>
      <c r="R380" s="55">
        <f t="shared" si="71"/>
        <v>11000</v>
      </c>
      <c r="T380" s="4" t="s">
        <v>214</v>
      </c>
    </row>
    <row r="381" spans="1:20" ht="15.75" customHeight="1" x14ac:dyDescent="0.3">
      <c r="A381" s="72" t="s">
        <v>963</v>
      </c>
      <c r="B381" s="1"/>
      <c r="C381" s="1"/>
      <c r="D381" s="1"/>
      <c r="E381" s="55">
        <f>SUM(B381:D381)</f>
        <v>0</v>
      </c>
      <c r="F381" s="1"/>
      <c r="G381" s="1"/>
      <c r="H381" s="1"/>
      <c r="I381" s="55">
        <f t="shared" si="67"/>
        <v>0</v>
      </c>
      <c r="J381" s="1"/>
      <c r="K381" s="1"/>
      <c r="L381" s="1"/>
      <c r="M381" s="55">
        <f t="shared" si="68"/>
        <v>0</v>
      </c>
      <c r="N381" s="1"/>
      <c r="O381" s="1"/>
      <c r="P381" s="1"/>
      <c r="Q381" s="55">
        <f t="shared" si="69"/>
        <v>0</v>
      </c>
      <c r="R381" s="55">
        <f>+E381+I381+M381+Q381</f>
        <v>0</v>
      </c>
      <c r="T381" s="4" t="s">
        <v>919</v>
      </c>
    </row>
    <row r="382" spans="1:20" ht="15.75" customHeight="1" x14ac:dyDescent="0.3">
      <c r="A382" s="72" t="s">
        <v>964</v>
      </c>
      <c r="B382" s="1"/>
      <c r="C382" s="1"/>
      <c r="D382" s="1"/>
      <c r="E382" s="55">
        <f>SUM(B382:D382)</f>
        <v>0</v>
      </c>
      <c r="F382" s="1"/>
      <c r="G382" s="1"/>
      <c r="H382" s="1"/>
      <c r="I382" s="55">
        <f t="shared" si="67"/>
        <v>0</v>
      </c>
      <c r="J382" s="1"/>
      <c r="K382" s="1"/>
      <c r="L382" s="1"/>
      <c r="M382" s="55">
        <f t="shared" si="68"/>
        <v>0</v>
      </c>
      <c r="N382" s="1"/>
      <c r="O382" s="1"/>
      <c r="P382" s="1"/>
      <c r="Q382" s="55">
        <f t="shared" si="69"/>
        <v>0</v>
      </c>
      <c r="R382" s="55">
        <f>+E382+I382+M382+Q382</f>
        <v>0</v>
      </c>
      <c r="T382" s="4" t="s">
        <v>241</v>
      </c>
    </row>
    <row r="383" spans="1:20" ht="15.75" customHeight="1" x14ac:dyDescent="0.3">
      <c r="A383" s="72" t="s">
        <v>967</v>
      </c>
      <c r="B383" s="1"/>
      <c r="C383" s="1"/>
      <c r="D383" s="1"/>
      <c r="E383" s="55">
        <f>SUM(B383:D383)</f>
        <v>0</v>
      </c>
      <c r="F383" s="1"/>
      <c r="G383" s="1"/>
      <c r="H383" s="1"/>
      <c r="I383" s="55">
        <f t="shared" si="67"/>
        <v>0</v>
      </c>
      <c r="J383" s="1"/>
      <c r="K383" s="1"/>
      <c r="L383" s="1"/>
      <c r="M383" s="55">
        <f t="shared" si="68"/>
        <v>0</v>
      </c>
      <c r="N383" s="1"/>
      <c r="O383" s="1"/>
      <c r="P383" s="1"/>
      <c r="Q383" s="55">
        <f t="shared" si="69"/>
        <v>0</v>
      </c>
      <c r="R383" s="55">
        <f>+E383+I383+M383+Q383</f>
        <v>0</v>
      </c>
      <c r="T383" s="4" t="s">
        <v>919</v>
      </c>
    </row>
    <row r="384" spans="1:20" ht="15.75" customHeight="1" x14ac:dyDescent="0.3">
      <c r="A384" s="72" t="s">
        <v>968</v>
      </c>
      <c r="B384" s="1"/>
      <c r="C384" s="1"/>
      <c r="D384" s="1"/>
      <c r="E384" s="55">
        <f t="shared" si="70"/>
        <v>0</v>
      </c>
      <c r="F384" s="1"/>
      <c r="G384" s="1"/>
      <c r="H384" s="1">
        <v>169</v>
      </c>
      <c r="I384" s="55">
        <f t="shared" si="67"/>
        <v>169</v>
      </c>
      <c r="J384" s="1">
        <v>1122</v>
      </c>
      <c r="K384" s="1">
        <v>1127</v>
      </c>
      <c r="L384" s="1">
        <v>454</v>
      </c>
      <c r="M384" s="55">
        <f t="shared" si="68"/>
        <v>2703</v>
      </c>
      <c r="N384" s="1"/>
      <c r="O384" s="1"/>
      <c r="P384" s="1"/>
      <c r="Q384" s="55">
        <f t="shared" si="69"/>
        <v>0</v>
      </c>
      <c r="R384" s="55">
        <f t="shared" si="71"/>
        <v>2872</v>
      </c>
      <c r="T384" s="4" t="s">
        <v>919</v>
      </c>
    </row>
    <row r="385" spans="1:20" ht="15.75" customHeight="1" x14ac:dyDescent="0.3">
      <c r="A385" s="72" t="s">
        <v>969</v>
      </c>
      <c r="B385" s="1"/>
      <c r="C385" s="1"/>
      <c r="D385" s="1"/>
      <c r="E385" s="55">
        <f>SUM(B385:D385)</f>
        <v>0</v>
      </c>
      <c r="F385" s="1"/>
      <c r="G385" s="1"/>
      <c r="H385" s="1"/>
      <c r="I385" s="55">
        <f t="shared" si="67"/>
        <v>0</v>
      </c>
      <c r="J385" s="1"/>
      <c r="K385" s="1"/>
      <c r="L385" s="1"/>
      <c r="M385" s="55">
        <f t="shared" si="68"/>
        <v>0</v>
      </c>
      <c r="N385" s="1"/>
      <c r="O385" s="1"/>
      <c r="P385" s="1"/>
      <c r="Q385" s="55">
        <f t="shared" si="69"/>
        <v>0</v>
      </c>
      <c r="R385" s="55">
        <f t="shared" si="71"/>
        <v>0</v>
      </c>
      <c r="T385" s="4" t="s">
        <v>241</v>
      </c>
    </row>
    <row r="386" spans="1:20" ht="15.75" customHeight="1" x14ac:dyDescent="0.3">
      <c r="A386" s="72" t="s">
        <v>162</v>
      </c>
      <c r="B386" s="1"/>
      <c r="C386" s="1"/>
      <c r="D386" s="1"/>
      <c r="E386" s="55">
        <f t="shared" si="70"/>
        <v>0</v>
      </c>
      <c r="F386" s="1"/>
      <c r="G386" s="1">
        <v>1669</v>
      </c>
      <c r="H386" s="1"/>
      <c r="I386" s="55">
        <f t="shared" si="67"/>
        <v>1669</v>
      </c>
      <c r="J386" s="1"/>
      <c r="K386" s="1"/>
      <c r="L386" s="1"/>
      <c r="M386" s="55">
        <f t="shared" si="68"/>
        <v>0</v>
      </c>
      <c r="N386" s="1"/>
      <c r="O386" s="1"/>
      <c r="P386" s="1"/>
      <c r="Q386" s="55">
        <f t="shared" si="69"/>
        <v>0</v>
      </c>
      <c r="R386" s="55">
        <f t="shared" si="71"/>
        <v>1669</v>
      </c>
    </row>
    <row r="387" spans="1:20" ht="15.75" customHeight="1" x14ac:dyDescent="0.3">
      <c r="A387" s="72" t="s">
        <v>970</v>
      </c>
      <c r="B387" s="1"/>
      <c r="C387" s="1"/>
      <c r="D387" s="1"/>
      <c r="E387" s="55">
        <f>SUM(B387:D387)</f>
        <v>0</v>
      </c>
      <c r="F387" s="1"/>
      <c r="G387" s="1">
        <v>289</v>
      </c>
      <c r="H387" s="1"/>
      <c r="I387" s="55">
        <f t="shared" si="67"/>
        <v>289</v>
      </c>
      <c r="J387" s="1"/>
      <c r="K387" s="1"/>
      <c r="L387" s="1"/>
      <c r="M387" s="55">
        <f t="shared" si="68"/>
        <v>0</v>
      </c>
      <c r="N387" s="1"/>
      <c r="O387" s="1"/>
      <c r="P387" s="1"/>
      <c r="Q387" s="55">
        <f t="shared" si="69"/>
        <v>0</v>
      </c>
      <c r="R387" s="55">
        <f>+E387+I387+M387+Q387</f>
        <v>289</v>
      </c>
    </row>
    <row r="388" spans="1:20" ht="15.75" customHeight="1" x14ac:dyDescent="0.3">
      <c r="A388" s="72" t="s">
        <v>971</v>
      </c>
      <c r="B388" s="1"/>
      <c r="C388" s="1"/>
      <c r="D388" s="1"/>
      <c r="E388" s="55">
        <f t="shared" si="70"/>
        <v>0</v>
      </c>
      <c r="F388" s="1"/>
      <c r="G388" s="1">
        <v>188</v>
      </c>
      <c r="H388" s="1"/>
      <c r="I388" s="55">
        <f t="shared" si="67"/>
        <v>188</v>
      </c>
      <c r="J388" s="1">
        <v>400</v>
      </c>
      <c r="K388" s="1">
        <v>1156</v>
      </c>
      <c r="L388" s="1"/>
      <c r="M388" s="55">
        <f t="shared" si="68"/>
        <v>1556</v>
      </c>
      <c r="N388" s="1"/>
      <c r="O388" s="1"/>
      <c r="P388" s="1"/>
      <c r="Q388" s="55">
        <f t="shared" si="69"/>
        <v>0</v>
      </c>
      <c r="R388" s="55">
        <f t="shared" si="71"/>
        <v>1744</v>
      </c>
      <c r="T388" s="4" t="s">
        <v>919</v>
      </c>
    </row>
    <row r="389" spans="1:20" ht="15.75" customHeight="1" x14ac:dyDescent="0.3">
      <c r="A389" s="72" t="s">
        <v>742</v>
      </c>
      <c r="B389" s="1"/>
      <c r="C389" s="1">
        <v>38</v>
      </c>
      <c r="D389" s="1">
        <v>478</v>
      </c>
      <c r="E389" s="55">
        <f>SUM(B389:D389)</f>
        <v>516</v>
      </c>
      <c r="F389" s="1">
        <v>1043</v>
      </c>
      <c r="G389" s="1"/>
      <c r="H389" s="1"/>
      <c r="I389" s="55">
        <f t="shared" si="67"/>
        <v>1043</v>
      </c>
      <c r="J389" s="1"/>
      <c r="K389" s="1"/>
      <c r="L389" s="1"/>
      <c r="M389" s="55">
        <f t="shared" si="68"/>
        <v>0</v>
      </c>
      <c r="N389" s="1"/>
      <c r="O389" s="1"/>
      <c r="P389" s="1"/>
      <c r="Q389" s="55">
        <f t="shared" si="69"/>
        <v>0</v>
      </c>
      <c r="R389" s="55">
        <f>+E389+I389+M389+Q389</f>
        <v>1559</v>
      </c>
      <c r="T389" s="4" t="s">
        <v>241</v>
      </c>
    </row>
    <row r="390" spans="1:20" ht="15.75" customHeight="1" x14ac:dyDescent="0.3">
      <c r="A390" s="72" t="s">
        <v>973</v>
      </c>
      <c r="B390" s="1"/>
      <c r="C390" s="1">
        <v>774</v>
      </c>
      <c r="D390" s="1">
        <v>1142</v>
      </c>
      <c r="E390" s="55">
        <f t="shared" si="70"/>
        <v>1916</v>
      </c>
      <c r="F390" s="1">
        <v>1096</v>
      </c>
      <c r="G390" s="1">
        <v>1124</v>
      </c>
      <c r="H390" s="1">
        <v>900</v>
      </c>
      <c r="I390" s="55">
        <f t="shared" si="67"/>
        <v>3120</v>
      </c>
      <c r="J390" s="1"/>
      <c r="K390" s="1"/>
      <c r="L390" s="1"/>
      <c r="M390" s="55">
        <f t="shared" si="68"/>
        <v>0</v>
      </c>
      <c r="N390" s="1"/>
      <c r="O390" s="1"/>
      <c r="P390" s="1"/>
      <c r="Q390" s="55">
        <f t="shared" si="69"/>
        <v>0</v>
      </c>
      <c r="R390" s="55">
        <f t="shared" si="71"/>
        <v>5036</v>
      </c>
      <c r="T390" s="4" t="s">
        <v>919</v>
      </c>
    </row>
    <row r="391" spans="1:20" ht="15.75" customHeight="1" x14ac:dyDescent="0.3">
      <c r="A391" s="72" t="s">
        <v>974</v>
      </c>
      <c r="B391" s="1"/>
      <c r="C391" s="1"/>
      <c r="D391" s="1"/>
      <c r="E391" s="55">
        <f t="shared" si="70"/>
        <v>0</v>
      </c>
      <c r="F391" s="1"/>
      <c r="G391" s="1"/>
      <c r="H391" s="1"/>
      <c r="I391" s="55">
        <f t="shared" si="67"/>
        <v>0</v>
      </c>
      <c r="J391" s="1"/>
      <c r="K391" s="1"/>
      <c r="L391" s="1"/>
      <c r="M391" s="55">
        <f t="shared" si="68"/>
        <v>0</v>
      </c>
      <c r="N391" s="1"/>
      <c r="O391" s="1"/>
      <c r="P391" s="1"/>
      <c r="Q391" s="55">
        <f t="shared" si="69"/>
        <v>0</v>
      </c>
      <c r="R391" s="55">
        <f t="shared" si="71"/>
        <v>0</v>
      </c>
      <c r="T391" s="4" t="s">
        <v>241</v>
      </c>
    </row>
    <row r="392" spans="1:20" ht="15.75" customHeight="1" x14ac:dyDescent="0.3">
      <c r="A392" s="72" t="s">
        <v>171</v>
      </c>
      <c r="B392" s="1"/>
      <c r="C392" s="1"/>
      <c r="D392" s="1"/>
      <c r="E392" s="55">
        <f t="shared" si="70"/>
        <v>0</v>
      </c>
      <c r="F392" s="1"/>
      <c r="G392" s="1"/>
      <c r="H392" s="1"/>
      <c r="I392" s="55">
        <f t="shared" si="67"/>
        <v>0</v>
      </c>
      <c r="J392" s="1"/>
      <c r="K392" s="1"/>
      <c r="L392" s="1"/>
      <c r="M392" s="55">
        <f t="shared" si="68"/>
        <v>0</v>
      </c>
      <c r="N392" s="1"/>
      <c r="O392" s="1"/>
      <c r="P392" s="1"/>
      <c r="Q392" s="55">
        <f t="shared" si="69"/>
        <v>0</v>
      </c>
      <c r="R392" s="55">
        <f t="shared" si="71"/>
        <v>0</v>
      </c>
    </row>
    <row r="393" spans="1:20" ht="15.75" customHeight="1" thickBot="1" x14ac:dyDescent="0.35">
      <c r="A393" s="72" t="s">
        <v>975</v>
      </c>
      <c r="B393" s="1">
        <v>1478</v>
      </c>
      <c r="C393" s="1">
        <v>990</v>
      </c>
      <c r="D393" s="1">
        <v>2000</v>
      </c>
      <c r="E393" s="55">
        <f>SUM(B393:D393)</f>
        <v>4468</v>
      </c>
      <c r="F393" s="1">
        <v>1389</v>
      </c>
      <c r="G393" s="1"/>
      <c r="H393" s="1">
        <v>2096</v>
      </c>
      <c r="I393" s="55">
        <f t="shared" si="67"/>
        <v>3485</v>
      </c>
      <c r="J393" s="1">
        <v>2000</v>
      </c>
      <c r="K393" s="1">
        <v>7047</v>
      </c>
      <c r="L393" s="1">
        <v>2000</v>
      </c>
      <c r="M393" s="55">
        <f t="shared" si="68"/>
        <v>11047</v>
      </c>
      <c r="N393" s="1">
        <v>2000</v>
      </c>
      <c r="O393" s="1"/>
      <c r="P393" s="1">
        <v>4000</v>
      </c>
      <c r="Q393" s="55">
        <f t="shared" si="69"/>
        <v>6000</v>
      </c>
      <c r="R393" s="55">
        <f t="shared" si="71"/>
        <v>25000</v>
      </c>
    </row>
    <row r="394" spans="1:20" ht="16.5" customHeight="1" thickBot="1" x14ac:dyDescent="0.35">
      <c r="A394" s="114" t="s">
        <v>63</v>
      </c>
      <c r="B394" s="90">
        <f>SUM(B356:B393)</f>
        <v>12180</v>
      </c>
      <c r="C394" s="58">
        <f>SUM(C356:C393)</f>
        <v>20546</v>
      </c>
      <c r="D394" s="58">
        <f>SUM(D356:D393)</f>
        <v>34804</v>
      </c>
      <c r="E394" s="59">
        <f t="shared" si="70"/>
        <v>67530</v>
      </c>
      <c r="F394" s="58">
        <f>SUM(F356:F393)</f>
        <v>52921</v>
      </c>
      <c r="G394" s="58">
        <f>SUM(G356:G393)</f>
        <v>37455</v>
      </c>
      <c r="H394" s="58">
        <f>SUM(H356:H393)</f>
        <v>37961</v>
      </c>
      <c r="I394" s="59">
        <f t="shared" si="67"/>
        <v>128337</v>
      </c>
      <c r="J394" s="58">
        <f>SUM(J356:J393)</f>
        <v>34486</v>
      </c>
      <c r="K394" s="58">
        <f>SUM(K356:K393)</f>
        <v>36431</v>
      </c>
      <c r="L394" s="58">
        <f>SUM(L356:L393)</f>
        <v>14363</v>
      </c>
      <c r="M394" s="59">
        <f t="shared" si="68"/>
        <v>85280</v>
      </c>
      <c r="N394" s="58">
        <f>SUM(N356:N393)</f>
        <v>16138</v>
      </c>
      <c r="O394" s="58">
        <f>SUM(O356:O393)</f>
        <v>8318</v>
      </c>
      <c r="P394" s="58">
        <f>SUM(P356:P393)</f>
        <v>15493</v>
      </c>
      <c r="Q394" s="59">
        <f t="shared" si="69"/>
        <v>39949</v>
      </c>
      <c r="R394" s="59">
        <f>+E394+I394+M394+Q394</f>
        <v>321096</v>
      </c>
      <c r="T394" s="89"/>
    </row>
    <row r="395" spans="1:20" ht="15.75" customHeight="1" x14ac:dyDescent="0.3">
      <c r="A395" s="15" t="s">
        <v>64</v>
      </c>
      <c r="B395" s="1"/>
      <c r="C395" s="1"/>
      <c r="D395" s="1"/>
      <c r="E395" s="55" t="s">
        <v>7</v>
      </c>
      <c r="F395" s="1"/>
      <c r="G395" s="1"/>
      <c r="H395" s="1"/>
      <c r="I395" s="55" t="s">
        <v>7</v>
      </c>
      <c r="J395" s="1"/>
      <c r="K395" s="1"/>
      <c r="L395" s="1"/>
      <c r="M395" s="55" t="s">
        <v>7</v>
      </c>
      <c r="N395" s="1"/>
      <c r="O395" s="1"/>
      <c r="P395" s="1"/>
      <c r="Q395" s="55" t="s">
        <v>7</v>
      </c>
      <c r="R395" s="55" t="s">
        <v>7</v>
      </c>
    </row>
    <row r="396" spans="1:20" ht="15.75" customHeight="1" x14ac:dyDescent="0.3">
      <c r="A396" s="15" t="s">
        <v>594</v>
      </c>
      <c r="B396" s="1"/>
      <c r="C396" s="1"/>
      <c r="D396" s="1"/>
      <c r="E396" s="55" t="s">
        <v>7</v>
      </c>
      <c r="F396" s="1"/>
      <c r="G396" s="1"/>
      <c r="H396" s="1"/>
      <c r="I396" s="55" t="s">
        <v>7</v>
      </c>
      <c r="J396" s="1"/>
      <c r="K396" s="1"/>
      <c r="L396" s="1"/>
      <c r="M396" s="55" t="s">
        <v>7</v>
      </c>
      <c r="N396" s="1"/>
      <c r="O396" s="1"/>
      <c r="P396" s="1"/>
      <c r="Q396" s="55" t="s">
        <v>7</v>
      </c>
      <c r="R396" s="55" t="s">
        <v>7</v>
      </c>
    </row>
    <row r="397" spans="1:20" ht="15.75" customHeight="1" x14ac:dyDescent="0.3">
      <c r="A397" s="72" t="s">
        <v>976</v>
      </c>
      <c r="B397" s="1"/>
      <c r="C397" s="1"/>
      <c r="D397" s="1"/>
      <c r="E397" s="55">
        <f>SUM(B397:D397)</f>
        <v>0</v>
      </c>
      <c r="F397" s="1"/>
      <c r="G397" s="1"/>
      <c r="H397" s="1"/>
      <c r="I397" s="55">
        <f>SUM(F397:H397)</f>
        <v>0</v>
      </c>
      <c r="J397" s="1"/>
      <c r="K397" s="1">
        <v>979</v>
      </c>
      <c r="L397" s="1"/>
      <c r="M397" s="55">
        <f>SUM(J397:L397)</f>
        <v>979</v>
      </c>
      <c r="N397" s="1"/>
      <c r="O397" s="1"/>
      <c r="P397" s="1"/>
      <c r="Q397" s="55">
        <f>SUM(N397:P397)</f>
        <v>0</v>
      </c>
      <c r="R397" s="55">
        <f>+E397+I397+M397+Q397</f>
        <v>979</v>
      </c>
    </row>
    <row r="398" spans="1:20" ht="15.75" customHeight="1" x14ac:dyDescent="0.3">
      <c r="A398" s="15" t="s">
        <v>67</v>
      </c>
      <c r="B398" s="1"/>
      <c r="C398" s="1"/>
      <c r="D398" s="1"/>
      <c r="E398" s="55" t="s">
        <v>7</v>
      </c>
      <c r="F398" s="1"/>
      <c r="G398" s="1"/>
      <c r="H398" s="1"/>
      <c r="I398" s="55" t="s">
        <v>7</v>
      </c>
      <c r="J398" s="1"/>
      <c r="K398" s="1"/>
      <c r="L398" s="1"/>
      <c r="M398" s="55" t="s">
        <v>7</v>
      </c>
      <c r="N398" s="1"/>
      <c r="O398" s="1"/>
      <c r="P398" s="1"/>
      <c r="Q398" s="55" t="s">
        <v>7</v>
      </c>
      <c r="R398" s="55" t="s">
        <v>7</v>
      </c>
    </row>
    <row r="399" spans="1:20" ht="15.75" customHeight="1" x14ac:dyDescent="0.3">
      <c r="A399" s="72" t="s">
        <v>744</v>
      </c>
      <c r="B399" s="1"/>
      <c r="C399" s="1"/>
      <c r="D399" s="1"/>
      <c r="E399" s="55">
        <f>SUM(B399:D399)</f>
        <v>0</v>
      </c>
      <c r="F399" s="1"/>
      <c r="G399" s="1"/>
      <c r="H399" s="1"/>
      <c r="I399" s="55">
        <f>SUM(F399:H399)</f>
        <v>0</v>
      </c>
      <c r="J399" s="1"/>
      <c r="K399" s="1"/>
      <c r="L399" s="1"/>
      <c r="M399" s="55">
        <f>SUM(J399:L399)</f>
        <v>0</v>
      </c>
      <c r="N399" s="1"/>
      <c r="O399" s="1"/>
      <c r="P399" s="1"/>
      <c r="Q399" s="55">
        <f>SUM(N399:P399)</f>
        <v>0</v>
      </c>
      <c r="R399" s="55">
        <f>+E399+I399+M399+Q399</f>
        <v>0</v>
      </c>
    </row>
    <row r="400" spans="1:20" ht="15.75" customHeight="1" x14ac:dyDescent="0.3">
      <c r="A400" s="72" t="s">
        <v>745</v>
      </c>
      <c r="B400" s="1"/>
      <c r="C400" s="1"/>
      <c r="D400" s="1"/>
      <c r="E400" s="55">
        <f>SUM(B400:D400)</f>
        <v>0</v>
      </c>
      <c r="F400" s="1"/>
      <c r="G400" s="1">
        <v>1416</v>
      </c>
      <c r="H400" s="1">
        <v>584</v>
      </c>
      <c r="I400" s="55">
        <f>SUM(F400:H400)</f>
        <v>2000</v>
      </c>
      <c r="J400" s="1"/>
      <c r="K400" s="1">
        <v>1150</v>
      </c>
      <c r="L400" s="1">
        <v>5459</v>
      </c>
      <c r="M400" s="55">
        <f>SUM(J400:L400)</f>
        <v>6609</v>
      </c>
      <c r="N400" s="1"/>
      <c r="O400" s="1"/>
      <c r="P400" s="1"/>
      <c r="Q400" s="55">
        <f>SUM(N400:P400)</f>
        <v>0</v>
      </c>
      <c r="R400" s="55">
        <f>+E400+I400+M400+Q400</f>
        <v>8609</v>
      </c>
    </row>
    <row r="401" spans="1:20" ht="15.75" customHeight="1" x14ac:dyDescent="0.3">
      <c r="A401" s="15" t="s">
        <v>600</v>
      </c>
      <c r="B401" s="1"/>
      <c r="C401" s="1"/>
      <c r="D401" s="1"/>
      <c r="E401" s="55" t="s">
        <v>7</v>
      </c>
      <c r="F401" s="1"/>
      <c r="G401" s="1"/>
      <c r="H401" s="1"/>
      <c r="I401" s="55" t="s">
        <v>7</v>
      </c>
      <c r="J401" s="1"/>
      <c r="K401" s="1"/>
      <c r="L401" s="1"/>
      <c r="M401" s="55" t="s">
        <v>7</v>
      </c>
      <c r="N401" s="1"/>
      <c r="O401" s="1"/>
      <c r="P401" s="1"/>
      <c r="Q401" s="55" t="s">
        <v>7</v>
      </c>
      <c r="R401" s="55" t="s">
        <v>7</v>
      </c>
    </row>
    <row r="402" spans="1:20" ht="15.75" customHeight="1" x14ac:dyDescent="0.3">
      <c r="A402" s="72" t="s">
        <v>270</v>
      </c>
      <c r="B402" s="1"/>
      <c r="C402" s="1"/>
      <c r="D402" s="1"/>
      <c r="E402" s="55">
        <f t="shared" ref="E402:E407" si="72">SUM(B402:D402)</f>
        <v>0</v>
      </c>
      <c r="F402" s="1"/>
      <c r="G402" s="1"/>
      <c r="H402" s="1"/>
      <c r="I402" s="55">
        <f t="shared" ref="I402:I407" si="73">SUM(F402:H402)</f>
        <v>0</v>
      </c>
      <c r="J402" s="1"/>
      <c r="K402" s="1"/>
      <c r="L402" s="1"/>
      <c r="M402" s="55">
        <f t="shared" ref="M402:M407" si="74">SUM(J402:L402)</f>
        <v>0</v>
      </c>
      <c r="N402" s="1"/>
      <c r="O402" s="1"/>
      <c r="P402" s="1"/>
      <c r="Q402" s="55">
        <f t="shared" ref="Q402:Q407" si="75">SUM(N402:P402)</f>
        <v>0</v>
      </c>
      <c r="R402" s="55">
        <f t="shared" ref="R402:R407" si="76">+E402+I402+M402+Q402</f>
        <v>0</v>
      </c>
      <c r="T402" s="4" t="s">
        <v>224</v>
      </c>
    </row>
    <row r="403" spans="1:20" ht="15.75" customHeight="1" x14ac:dyDescent="0.3">
      <c r="A403" s="72" t="s">
        <v>646</v>
      </c>
      <c r="B403" s="1"/>
      <c r="C403" s="1"/>
      <c r="D403" s="1"/>
      <c r="E403" s="55">
        <f t="shared" si="72"/>
        <v>0</v>
      </c>
      <c r="F403" s="1"/>
      <c r="G403" s="1"/>
      <c r="H403" s="1"/>
      <c r="I403" s="55">
        <f t="shared" si="73"/>
        <v>0</v>
      </c>
      <c r="J403" s="1"/>
      <c r="K403" s="1">
        <v>3509</v>
      </c>
      <c r="L403" s="1">
        <v>2485</v>
      </c>
      <c r="M403" s="55">
        <f t="shared" si="74"/>
        <v>5994</v>
      </c>
      <c r="N403" s="1">
        <v>2439</v>
      </c>
      <c r="O403" s="1"/>
      <c r="P403" s="1"/>
      <c r="Q403" s="55">
        <f t="shared" si="75"/>
        <v>2439</v>
      </c>
      <c r="R403" s="55">
        <f t="shared" si="76"/>
        <v>8433</v>
      </c>
      <c r="T403" s="4" t="s">
        <v>224</v>
      </c>
    </row>
    <row r="404" spans="1:20" ht="15.75" customHeight="1" x14ac:dyDescent="0.3">
      <c r="A404" s="72" t="s">
        <v>271</v>
      </c>
      <c r="B404" s="1"/>
      <c r="C404" s="1"/>
      <c r="D404" s="1"/>
      <c r="E404" s="55">
        <f t="shared" si="72"/>
        <v>0</v>
      </c>
      <c r="F404" s="1"/>
      <c r="G404" s="1"/>
      <c r="H404" s="1">
        <v>1000</v>
      </c>
      <c r="I404" s="55">
        <f t="shared" si="73"/>
        <v>1000</v>
      </c>
      <c r="J404" s="1"/>
      <c r="K404" s="1"/>
      <c r="L404" s="1"/>
      <c r="M404" s="55">
        <f t="shared" si="74"/>
        <v>0</v>
      </c>
      <c r="N404" s="1"/>
      <c r="O404" s="1"/>
      <c r="P404" s="1"/>
      <c r="Q404" s="55">
        <f t="shared" si="75"/>
        <v>0</v>
      </c>
      <c r="R404" s="55">
        <f t="shared" si="76"/>
        <v>1000</v>
      </c>
      <c r="T404" s="4" t="s">
        <v>214</v>
      </c>
    </row>
    <row r="405" spans="1:20" ht="15.75" customHeight="1" x14ac:dyDescent="0.3">
      <c r="A405" s="72" t="s">
        <v>647</v>
      </c>
      <c r="B405" s="1"/>
      <c r="C405" s="1"/>
      <c r="D405" s="1"/>
      <c r="E405" s="55">
        <f t="shared" si="72"/>
        <v>0</v>
      </c>
      <c r="F405" s="1"/>
      <c r="G405" s="1"/>
      <c r="H405" s="1"/>
      <c r="I405" s="55">
        <f t="shared" si="73"/>
        <v>0</v>
      </c>
      <c r="J405" s="1"/>
      <c r="K405" s="1"/>
      <c r="L405" s="1"/>
      <c r="M405" s="55">
        <f t="shared" si="74"/>
        <v>0</v>
      </c>
      <c r="N405" s="1"/>
      <c r="O405" s="1"/>
      <c r="P405" s="1"/>
      <c r="Q405" s="55">
        <f t="shared" si="75"/>
        <v>0</v>
      </c>
      <c r="R405" s="55">
        <f t="shared" si="76"/>
        <v>0</v>
      </c>
    </row>
    <row r="406" spans="1:20" ht="15.75" customHeight="1" x14ac:dyDescent="0.3">
      <c r="A406" s="72" t="s">
        <v>652</v>
      </c>
      <c r="B406" s="1"/>
      <c r="C406" s="1"/>
      <c r="D406" s="1"/>
      <c r="E406" s="55">
        <f t="shared" si="72"/>
        <v>0</v>
      </c>
      <c r="F406" s="1"/>
      <c r="G406" s="1"/>
      <c r="H406" s="1"/>
      <c r="I406" s="55">
        <f t="shared" si="73"/>
        <v>0</v>
      </c>
      <c r="J406" s="1"/>
      <c r="K406" s="1"/>
      <c r="L406" s="1"/>
      <c r="M406" s="55">
        <f t="shared" si="74"/>
        <v>0</v>
      </c>
      <c r="N406" s="1"/>
      <c r="O406" s="1"/>
      <c r="P406" s="1"/>
      <c r="Q406" s="55">
        <f t="shared" si="75"/>
        <v>0</v>
      </c>
      <c r="R406" s="55">
        <f t="shared" si="76"/>
        <v>0</v>
      </c>
    </row>
    <row r="407" spans="1:20" ht="15.75" customHeight="1" x14ac:dyDescent="0.3">
      <c r="A407" s="72" t="s">
        <v>746</v>
      </c>
      <c r="B407" s="1"/>
      <c r="C407" s="1"/>
      <c r="D407" s="1"/>
      <c r="E407" s="55">
        <f t="shared" si="72"/>
        <v>0</v>
      </c>
      <c r="F407" s="1"/>
      <c r="G407" s="1"/>
      <c r="H407" s="1"/>
      <c r="I407" s="55">
        <f t="shared" si="73"/>
        <v>0</v>
      </c>
      <c r="J407" s="1"/>
      <c r="K407" s="1"/>
      <c r="L407" s="1"/>
      <c r="M407" s="55">
        <f t="shared" si="74"/>
        <v>0</v>
      </c>
      <c r="N407" s="1"/>
      <c r="O407" s="1"/>
      <c r="P407" s="1"/>
      <c r="Q407" s="55">
        <f t="shared" si="75"/>
        <v>0</v>
      </c>
      <c r="R407" s="55">
        <f t="shared" si="76"/>
        <v>0</v>
      </c>
      <c r="T407" s="4" t="s">
        <v>224</v>
      </c>
    </row>
    <row r="408" spans="1:20" ht="15.75" customHeight="1" x14ac:dyDescent="0.3">
      <c r="A408" s="15" t="s">
        <v>70</v>
      </c>
      <c r="B408" s="1"/>
      <c r="C408" s="1"/>
      <c r="D408" s="1"/>
      <c r="E408" s="55" t="s">
        <v>7</v>
      </c>
      <c r="F408" s="1"/>
      <c r="G408" s="1"/>
      <c r="H408" s="1"/>
      <c r="I408" s="55" t="s">
        <v>7</v>
      </c>
      <c r="J408" s="1"/>
      <c r="K408" s="1"/>
      <c r="L408" s="1"/>
      <c r="M408" s="55" t="s">
        <v>7</v>
      </c>
      <c r="N408" s="1"/>
      <c r="O408" s="1"/>
      <c r="P408" s="1"/>
      <c r="Q408" s="55" t="s">
        <v>7</v>
      </c>
      <c r="R408" s="55" t="s">
        <v>7</v>
      </c>
    </row>
    <row r="409" spans="1:20" ht="15.75" customHeight="1" x14ac:dyDescent="0.3">
      <c r="A409" s="72" t="s">
        <v>977</v>
      </c>
      <c r="B409" s="1"/>
      <c r="C409" s="1"/>
      <c r="D409" s="1"/>
      <c r="E409" s="55">
        <f>SUM(B409:D409)</f>
        <v>0</v>
      </c>
      <c r="F409" s="1"/>
      <c r="G409" s="1"/>
      <c r="H409" s="1"/>
      <c r="I409" s="55">
        <f>SUM(F409:H409)</f>
        <v>0</v>
      </c>
      <c r="J409" s="1"/>
      <c r="K409" s="1"/>
      <c r="L409" s="1"/>
      <c r="M409" s="55">
        <f>SUM(J409:L409)</f>
        <v>0</v>
      </c>
      <c r="N409" s="1"/>
      <c r="O409" s="1"/>
      <c r="P409" s="1"/>
      <c r="Q409" s="55">
        <f>SUM(N409:P409)</f>
        <v>0</v>
      </c>
      <c r="R409" s="55">
        <f>+E409+I409+M409+Q409</f>
        <v>0</v>
      </c>
      <c r="T409" s="4" t="s">
        <v>209</v>
      </c>
    </row>
    <row r="410" spans="1:20" ht="15.75" customHeight="1" x14ac:dyDescent="0.3">
      <c r="A410" s="72" t="s">
        <v>978</v>
      </c>
      <c r="B410" s="1"/>
      <c r="C410" s="1"/>
      <c r="D410" s="1"/>
      <c r="E410" s="55">
        <f>SUM(B410:D410)</f>
        <v>0</v>
      </c>
      <c r="F410" s="1"/>
      <c r="G410" s="1"/>
      <c r="H410" s="1"/>
      <c r="I410" s="55">
        <f>SUM(F410:H410)</f>
        <v>0</v>
      </c>
      <c r="J410" s="1"/>
      <c r="K410" s="1"/>
      <c r="L410" s="1"/>
      <c r="M410" s="55">
        <f>SUM(J410:L410)</f>
        <v>0</v>
      </c>
      <c r="N410" s="1"/>
      <c r="O410" s="1"/>
      <c r="P410" s="1"/>
      <c r="Q410" s="55">
        <f>SUM(N410:P410)</f>
        <v>0</v>
      </c>
      <c r="R410" s="55">
        <f>+E410+I410+M410+Q410</f>
        <v>0</v>
      </c>
      <c r="T410" s="4" t="s">
        <v>209</v>
      </c>
    </row>
    <row r="411" spans="1:20" ht="15.75" customHeight="1" x14ac:dyDescent="0.3">
      <c r="A411" s="72" t="s">
        <v>750</v>
      </c>
      <c r="B411" s="1"/>
      <c r="C411" s="1"/>
      <c r="D411" s="1"/>
      <c r="E411" s="55">
        <f>SUM(B411:D411)</f>
        <v>0</v>
      </c>
      <c r="F411" s="1"/>
      <c r="G411" s="1"/>
      <c r="H411" s="1"/>
      <c r="I411" s="55">
        <f>SUM(F411:H411)</f>
        <v>0</v>
      </c>
      <c r="J411" s="1"/>
      <c r="K411" s="1"/>
      <c r="L411" s="1"/>
      <c r="M411" s="55">
        <f>SUM(J411:L411)</f>
        <v>0</v>
      </c>
      <c r="N411" s="1"/>
      <c r="O411" s="1"/>
      <c r="P411" s="1"/>
      <c r="Q411" s="55">
        <f>SUM(N411:P411)</f>
        <v>0</v>
      </c>
      <c r="R411" s="55">
        <f>+E411+I411+M411+Q411</f>
        <v>0</v>
      </c>
    </row>
    <row r="412" spans="1:20" ht="15.75" customHeight="1" x14ac:dyDescent="0.3">
      <c r="A412" s="72" t="s">
        <v>751</v>
      </c>
      <c r="B412" s="1"/>
      <c r="C412" s="1"/>
      <c r="D412" s="1"/>
      <c r="E412" s="55">
        <f t="shared" ref="E412:E422" si="77">SUM(B412:D412)</f>
        <v>0</v>
      </c>
      <c r="F412" s="1"/>
      <c r="G412" s="1"/>
      <c r="H412" s="1"/>
      <c r="I412" s="55">
        <f t="shared" ref="I412:I422" si="78">SUM(F412:H412)</f>
        <v>0</v>
      </c>
      <c r="J412" s="1">
        <v>3200</v>
      </c>
      <c r="K412" s="1"/>
      <c r="L412" s="1"/>
      <c r="M412" s="55">
        <f t="shared" ref="M412:M422" si="79">SUM(J412:L412)</f>
        <v>3200</v>
      </c>
      <c r="N412" s="1"/>
      <c r="O412" s="1"/>
      <c r="P412" s="1">
        <v>500</v>
      </c>
      <c r="Q412" s="55">
        <f t="shared" ref="Q412:Q422" si="80">SUM(N412:P412)</f>
        <v>500</v>
      </c>
      <c r="R412" s="55">
        <f t="shared" ref="R412:R422" si="81">+E412+I412+M412+Q412</f>
        <v>3700</v>
      </c>
    </row>
    <row r="413" spans="1:20" ht="15.75" customHeight="1" x14ac:dyDescent="0.3">
      <c r="A413" s="72" t="s">
        <v>752</v>
      </c>
      <c r="B413" s="1"/>
      <c r="C413" s="1"/>
      <c r="D413" s="1"/>
      <c r="E413" s="55">
        <f>SUM(B413:D413)</f>
        <v>0</v>
      </c>
      <c r="F413" s="1"/>
      <c r="G413" s="1"/>
      <c r="H413" s="1"/>
      <c r="I413" s="55">
        <f>SUM(F413:H413)</f>
        <v>0</v>
      </c>
      <c r="J413" s="1"/>
      <c r="K413" s="1"/>
      <c r="L413" s="1"/>
      <c r="M413" s="55">
        <f>SUM(J413:L413)</f>
        <v>0</v>
      </c>
      <c r="N413" s="1"/>
      <c r="O413" s="1"/>
      <c r="P413" s="1"/>
      <c r="Q413" s="55">
        <f>SUM(N413:P413)</f>
        <v>0</v>
      </c>
      <c r="R413" s="55">
        <f>+E413+I413+M413+Q413</f>
        <v>0</v>
      </c>
    </row>
    <row r="414" spans="1:20" ht="15.75" customHeight="1" x14ac:dyDescent="0.3">
      <c r="A414" s="72" t="s">
        <v>753</v>
      </c>
      <c r="B414" s="1">
        <v>200</v>
      </c>
      <c r="C414" s="1">
        <v>300</v>
      </c>
      <c r="D414" s="1">
        <v>900</v>
      </c>
      <c r="E414" s="55">
        <f>SUM(B414:D414)</f>
        <v>1400</v>
      </c>
      <c r="F414" s="1">
        <v>900</v>
      </c>
      <c r="G414" s="1">
        <v>900</v>
      </c>
      <c r="H414" s="1"/>
      <c r="I414" s="55">
        <f>SUM(F414:H414)</f>
        <v>1800</v>
      </c>
      <c r="J414" s="1"/>
      <c r="K414" s="1"/>
      <c r="L414" s="1"/>
      <c r="M414" s="55">
        <f>SUM(J414:L414)</f>
        <v>0</v>
      </c>
      <c r="N414" s="1">
        <v>1000</v>
      </c>
      <c r="O414" s="1"/>
      <c r="P414" s="1"/>
      <c r="Q414" s="55">
        <f>SUM(N414:P414)</f>
        <v>1000</v>
      </c>
      <c r="R414" s="55">
        <f>+E414+I414+M414+Q414</f>
        <v>4200</v>
      </c>
      <c r="T414" s="4" t="s">
        <v>209</v>
      </c>
    </row>
    <row r="415" spans="1:20" ht="15.75" customHeight="1" x14ac:dyDescent="0.3">
      <c r="A415" s="72" t="s">
        <v>754</v>
      </c>
      <c r="B415" s="1"/>
      <c r="C415" s="1"/>
      <c r="D415" s="1"/>
      <c r="E415" s="55">
        <f>SUM(B415:D415)</f>
        <v>0</v>
      </c>
      <c r="F415" s="1"/>
      <c r="G415" s="1"/>
      <c r="H415" s="1"/>
      <c r="I415" s="55">
        <f>SUM(F415:H415)</f>
        <v>0</v>
      </c>
      <c r="J415" s="1"/>
      <c r="K415" s="1"/>
      <c r="L415" s="1"/>
      <c r="M415" s="55">
        <f>SUM(J415:L415)</f>
        <v>0</v>
      </c>
      <c r="N415" s="1"/>
      <c r="O415" s="1"/>
      <c r="P415" s="1"/>
      <c r="Q415" s="55">
        <f>SUM(N415:P415)</f>
        <v>0</v>
      </c>
      <c r="R415" s="55">
        <f>+E415+I415+M415+Q415</f>
        <v>0</v>
      </c>
    </row>
    <row r="416" spans="1:20" ht="15.75" customHeight="1" thickBot="1" x14ac:dyDescent="0.35">
      <c r="A416" s="72" t="s">
        <v>755</v>
      </c>
      <c r="B416" s="1"/>
      <c r="C416" s="1"/>
      <c r="D416" s="1"/>
      <c r="E416" s="55">
        <f>SUM(B416:D416)</f>
        <v>0</v>
      </c>
      <c r="F416" s="1"/>
      <c r="G416" s="1"/>
      <c r="H416" s="1">
        <v>1800</v>
      </c>
      <c r="I416" s="55">
        <f>SUM(F416:H416)</f>
        <v>1800</v>
      </c>
      <c r="J416" s="1">
        <v>1334</v>
      </c>
      <c r="K416" s="1"/>
      <c r="L416" s="1"/>
      <c r="M416" s="55">
        <f>SUM(J416:L416)</f>
        <v>1334</v>
      </c>
      <c r="N416" s="1"/>
      <c r="O416" s="1"/>
      <c r="P416" s="1">
        <v>464</v>
      </c>
      <c r="Q416" s="55">
        <f>SUM(N416:P416)</f>
        <v>464</v>
      </c>
      <c r="R416" s="55">
        <f>+E416+I416+M416+Q416</f>
        <v>3598</v>
      </c>
      <c r="T416" s="4" t="s">
        <v>214</v>
      </c>
    </row>
    <row r="417" spans="1:18" ht="16.5" customHeight="1" thickBot="1" x14ac:dyDescent="0.35">
      <c r="A417" s="57" t="s">
        <v>71</v>
      </c>
      <c r="B417" s="58">
        <f>SUM(B401:B416)</f>
        <v>200</v>
      </c>
      <c r="C417" s="58">
        <f>SUM(C401:C416)</f>
        <v>300</v>
      </c>
      <c r="D417" s="58">
        <f>SUM(D401:D416)</f>
        <v>900</v>
      </c>
      <c r="E417" s="60">
        <f t="shared" si="77"/>
        <v>1400</v>
      </c>
      <c r="F417" s="58">
        <f>SUM(F401:F416)</f>
        <v>900</v>
      </c>
      <c r="G417" s="58">
        <f>SUM(G401:G416)</f>
        <v>900</v>
      </c>
      <c r="H417" s="58">
        <f>SUM(H401:H416)</f>
        <v>2800</v>
      </c>
      <c r="I417" s="60">
        <f t="shared" si="78"/>
        <v>4600</v>
      </c>
      <c r="J417" s="58">
        <f>SUM(J401:J416)</f>
        <v>4534</v>
      </c>
      <c r="K417" s="58">
        <f>SUM(K401:K416)</f>
        <v>3509</v>
      </c>
      <c r="L417" s="58">
        <f>SUM(L401:L416)</f>
        <v>2485</v>
      </c>
      <c r="M417" s="60">
        <f t="shared" si="79"/>
        <v>10528</v>
      </c>
      <c r="N417" s="58">
        <f>SUM(N401:N416)</f>
        <v>3439</v>
      </c>
      <c r="O417" s="58">
        <f>SUM(O401:O416)</f>
        <v>0</v>
      </c>
      <c r="P417" s="58">
        <f>SUM(P401:P416)</f>
        <v>964</v>
      </c>
      <c r="Q417" s="60">
        <f t="shared" si="80"/>
        <v>4403</v>
      </c>
      <c r="R417" s="59">
        <f t="shared" si="81"/>
        <v>20931</v>
      </c>
    </row>
    <row r="418" spans="1:18" ht="16.5" customHeight="1" thickBot="1" x14ac:dyDescent="0.35">
      <c r="A418" s="114" t="s">
        <v>72</v>
      </c>
      <c r="B418" s="86">
        <f>SUM(B395:B416)</f>
        <v>200</v>
      </c>
      <c r="C418" s="87">
        <f>SUM(C395:C416)</f>
        <v>300</v>
      </c>
      <c r="D418" s="118">
        <f>SUM(D395:D416)</f>
        <v>900</v>
      </c>
      <c r="E418" s="60">
        <f t="shared" si="77"/>
        <v>1400</v>
      </c>
      <c r="F418" s="87">
        <f>SUM(F395:F416)</f>
        <v>900</v>
      </c>
      <c r="G418" s="87">
        <f>SUM(G395:G416)</f>
        <v>2316</v>
      </c>
      <c r="H418" s="87">
        <f>SUM(H395:H416)</f>
        <v>3384</v>
      </c>
      <c r="I418" s="60">
        <f t="shared" si="78"/>
        <v>6600</v>
      </c>
      <c r="J418" s="87">
        <f>SUM(J395:J416)</f>
        <v>4534</v>
      </c>
      <c r="K418" s="87">
        <f>SUM(K395:K416)</f>
        <v>5638</v>
      </c>
      <c r="L418" s="87">
        <f>SUM(L395:L416)</f>
        <v>7944</v>
      </c>
      <c r="M418" s="60">
        <f t="shared" si="79"/>
        <v>18116</v>
      </c>
      <c r="N418" s="87">
        <f>SUM(N395:N416)</f>
        <v>3439</v>
      </c>
      <c r="O418" s="87">
        <f>SUM(O395:O416)</f>
        <v>0</v>
      </c>
      <c r="P418" s="87">
        <f>SUM(P395:P416)</f>
        <v>964</v>
      </c>
      <c r="Q418" s="60">
        <f t="shared" si="80"/>
        <v>4403</v>
      </c>
      <c r="R418" s="59">
        <f t="shared" si="81"/>
        <v>30519</v>
      </c>
    </row>
    <row r="419" spans="1:18" ht="16.5" customHeight="1" thickBot="1" x14ac:dyDescent="0.35">
      <c r="A419" s="57" t="s">
        <v>73</v>
      </c>
      <c r="B419" s="90">
        <f>+B341+B355+B394+B418</f>
        <v>22227</v>
      </c>
      <c r="C419" s="58">
        <f>+C341+C355+C394+C418</f>
        <v>28677</v>
      </c>
      <c r="D419" s="58">
        <f>+D341+D355+D394+D418</f>
        <v>63963</v>
      </c>
      <c r="E419" s="59">
        <f t="shared" si="77"/>
        <v>114867</v>
      </c>
      <c r="F419" s="58">
        <f>+F341+F355+F394+F418</f>
        <v>89813</v>
      </c>
      <c r="G419" s="58">
        <f>+G341+G355+G394+G418</f>
        <v>71520</v>
      </c>
      <c r="H419" s="58">
        <f>+H341+H355+H394+H418</f>
        <v>81412</v>
      </c>
      <c r="I419" s="59">
        <f t="shared" si="78"/>
        <v>242745</v>
      </c>
      <c r="J419" s="58">
        <f>+J341+J355+J394+J418</f>
        <v>59232</v>
      </c>
      <c r="K419" s="58">
        <f>+K341+K355+K394+K418</f>
        <v>65848</v>
      </c>
      <c r="L419" s="58">
        <f>+L341+L355+L394+L418</f>
        <v>46051</v>
      </c>
      <c r="M419" s="59">
        <f t="shared" si="79"/>
        <v>171131</v>
      </c>
      <c r="N419" s="58">
        <f>+N341+N355+N394+N418</f>
        <v>40164</v>
      </c>
      <c r="O419" s="58">
        <f>+O341+O355+O394+O418</f>
        <v>24258</v>
      </c>
      <c r="P419" s="58">
        <f>+P341+P355+P394+P418</f>
        <v>27624</v>
      </c>
      <c r="Q419" s="59">
        <f t="shared" si="80"/>
        <v>92046</v>
      </c>
      <c r="R419" s="81">
        <f t="shared" si="81"/>
        <v>620789</v>
      </c>
    </row>
    <row r="420" spans="1:18" ht="15.75" customHeight="1" x14ac:dyDescent="0.3">
      <c r="A420" s="71" t="s">
        <v>756</v>
      </c>
      <c r="B420" s="1"/>
      <c r="C420" s="1"/>
      <c r="D420" s="1"/>
      <c r="E420" s="55">
        <f t="shared" si="77"/>
        <v>0</v>
      </c>
      <c r="F420" s="1"/>
      <c r="G420" s="1"/>
      <c r="H420" s="1"/>
      <c r="I420" s="55">
        <f t="shared" si="78"/>
        <v>0</v>
      </c>
      <c r="J420" s="1"/>
      <c r="K420" s="1"/>
      <c r="L420" s="1"/>
      <c r="M420" s="55">
        <f t="shared" si="79"/>
        <v>0</v>
      </c>
      <c r="N420" s="1"/>
      <c r="O420" s="1"/>
      <c r="P420" s="1"/>
      <c r="Q420" s="55">
        <f t="shared" si="80"/>
        <v>0</v>
      </c>
      <c r="R420" s="55">
        <f t="shared" si="81"/>
        <v>0</v>
      </c>
    </row>
    <row r="421" spans="1:18" ht="15.75" customHeight="1" x14ac:dyDescent="0.3">
      <c r="A421" s="71" t="s">
        <v>757</v>
      </c>
      <c r="B421" s="1"/>
      <c r="C421" s="1"/>
      <c r="D421" s="1"/>
      <c r="E421" s="55">
        <f t="shared" si="77"/>
        <v>0</v>
      </c>
      <c r="F421" s="1"/>
      <c r="G421" s="1"/>
      <c r="H421" s="1"/>
      <c r="I421" s="55">
        <f t="shared" si="78"/>
        <v>0</v>
      </c>
      <c r="J421" s="1"/>
      <c r="K421" s="1"/>
      <c r="L421" s="1"/>
      <c r="M421" s="55">
        <f t="shared" si="79"/>
        <v>0</v>
      </c>
      <c r="N421" s="1"/>
      <c r="O421" s="1"/>
      <c r="P421" s="1"/>
      <c r="Q421" s="55">
        <f t="shared" si="80"/>
        <v>0</v>
      </c>
      <c r="R421" s="55">
        <f t="shared" si="81"/>
        <v>0</v>
      </c>
    </row>
    <row r="422" spans="1:18" ht="16.5" customHeight="1" thickBot="1" x14ac:dyDescent="0.35">
      <c r="A422" s="73" t="s">
        <v>40</v>
      </c>
      <c r="B422" s="21">
        <v>155</v>
      </c>
      <c r="C422" s="21">
        <v>283</v>
      </c>
      <c r="D422" s="21">
        <v>435</v>
      </c>
      <c r="E422" s="81">
        <f t="shared" si="77"/>
        <v>873</v>
      </c>
      <c r="F422" s="21">
        <v>602</v>
      </c>
      <c r="G422" s="21">
        <v>711</v>
      </c>
      <c r="H422" s="21">
        <v>722</v>
      </c>
      <c r="I422" s="81">
        <f t="shared" si="78"/>
        <v>2035</v>
      </c>
      <c r="J422" s="21">
        <v>686</v>
      </c>
      <c r="K422" s="21">
        <v>519</v>
      </c>
      <c r="L422" s="21">
        <v>531</v>
      </c>
      <c r="M422" s="81">
        <f t="shared" si="79"/>
        <v>1736</v>
      </c>
      <c r="N422" s="21">
        <v>489</v>
      </c>
      <c r="O422" s="21">
        <v>389</v>
      </c>
      <c r="P422" s="21">
        <v>275</v>
      </c>
      <c r="Q422" s="81">
        <f t="shared" si="80"/>
        <v>1153</v>
      </c>
      <c r="R422" s="55">
        <f t="shared" si="81"/>
        <v>5797</v>
      </c>
    </row>
    <row r="423" spans="1:18" ht="16.5" customHeight="1" thickBot="1" x14ac:dyDescent="0.35">
      <c r="A423" s="74"/>
      <c r="B423" s="75"/>
      <c r="C423" s="75"/>
      <c r="D423" s="75"/>
      <c r="E423" s="59"/>
      <c r="F423" s="75"/>
      <c r="G423" s="75"/>
      <c r="H423" s="75"/>
      <c r="I423" s="59"/>
      <c r="J423" s="75"/>
      <c r="K423" s="75"/>
      <c r="L423" s="75"/>
      <c r="M423" s="59"/>
      <c r="N423" s="75"/>
      <c r="O423" s="75"/>
      <c r="P423" s="75"/>
      <c r="Q423" s="59"/>
      <c r="R423" s="59" t="s">
        <v>7</v>
      </c>
    </row>
    <row r="424" spans="1:18" ht="15.75" customHeight="1" x14ac:dyDescent="0.3">
      <c r="A424" s="76" t="s">
        <v>41</v>
      </c>
      <c r="B424" s="77">
        <f>SUM(B419:B422)</f>
        <v>22382</v>
      </c>
      <c r="C424" s="77">
        <f>SUM(C419:C422)</f>
        <v>28960</v>
      </c>
      <c r="D424" s="77">
        <f>SUM(D419:D422)</f>
        <v>64398</v>
      </c>
      <c r="E424" s="60">
        <f>SUM(B424:D424)</f>
        <v>115740</v>
      </c>
      <c r="F424" s="77">
        <f>SUM(F419:F422)</f>
        <v>90415</v>
      </c>
      <c r="G424" s="77">
        <f>SUM(G419:G422)</f>
        <v>72231</v>
      </c>
      <c r="H424" s="77">
        <f>SUM(H419:H422)</f>
        <v>82134</v>
      </c>
      <c r="I424" s="60">
        <f>SUM(F424:H424)</f>
        <v>244780</v>
      </c>
      <c r="J424" s="77">
        <f>SUM(J419:J422)</f>
        <v>59918</v>
      </c>
      <c r="K424" s="77">
        <f>SUM(K419:K422)</f>
        <v>66367</v>
      </c>
      <c r="L424" s="77">
        <f>SUM(L419:L422)</f>
        <v>46582</v>
      </c>
      <c r="M424" s="60">
        <f>SUM(J424:L424)</f>
        <v>172867</v>
      </c>
      <c r="N424" s="77">
        <f>SUM(N419:N422)</f>
        <v>40653</v>
      </c>
      <c r="O424" s="77">
        <f>SUM(O419:O422)</f>
        <v>24647</v>
      </c>
      <c r="P424" s="77">
        <f>SUM(P419:P422)</f>
        <v>27899</v>
      </c>
      <c r="Q424" s="60">
        <f>SUM(N424:P424)</f>
        <v>93199</v>
      </c>
      <c r="R424" s="60">
        <f>+E424+I424+M424+Q424</f>
        <v>626586</v>
      </c>
    </row>
    <row r="425" spans="1:18" ht="15.75" customHeight="1" x14ac:dyDescent="0.3">
      <c r="A425" s="79" t="s">
        <v>42</v>
      </c>
      <c r="B425" s="1">
        <f>(B424/B10)/1.983</f>
        <v>364.0948058497226</v>
      </c>
      <c r="C425" s="1">
        <f>(C424/C10)/1.983</f>
        <v>521.57625531301778</v>
      </c>
      <c r="D425" s="1">
        <f>(D424/D10)/1.983</f>
        <v>1047.5818652091161</v>
      </c>
      <c r="E425" s="55" t="s">
        <v>7</v>
      </c>
      <c r="F425" s="1">
        <f>(F424/F10)/1.983</f>
        <v>1519.8352664313329</v>
      </c>
      <c r="G425" s="1">
        <f>(G424/G10)/1.983</f>
        <v>1175.0036601434776</v>
      </c>
      <c r="H425" s="1">
        <f>(H424/H10)/1.983</f>
        <v>1380.6354009077156</v>
      </c>
      <c r="I425" s="55" t="s">
        <v>7</v>
      </c>
      <c r="J425" s="1">
        <f>(J424/J10)/1.983</f>
        <v>974.70434174352954</v>
      </c>
      <c r="K425" s="1">
        <f>(K424/K10)/1.983</f>
        <v>1079.6121874644152</v>
      </c>
      <c r="L425" s="1">
        <f>(L424/L10)/1.983</f>
        <v>783.02235669860477</v>
      </c>
      <c r="M425" s="55" t="s">
        <v>7</v>
      </c>
      <c r="N425" s="1">
        <f>(N424/N10)/1.983</f>
        <v>661.31472353716265</v>
      </c>
      <c r="O425" s="1">
        <f>(O424/O10)/1.983</f>
        <v>414.3049251975122</v>
      </c>
      <c r="P425" s="1">
        <f>(P424/P10)/1.983</f>
        <v>453.84152392107103</v>
      </c>
      <c r="Q425" s="55" t="s">
        <v>7</v>
      </c>
      <c r="R425" s="55" t="s">
        <v>7</v>
      </c>
    </row>
    <row r="426" spans="1:18" ht="15.75" customHeight="1" x14ac:dyDescent="0.3">
      <c r="A426" s="79" t="s">
        <v>289</v>
      </c>
      <c r="B426" s="1">
        <f>B424+B473</f>
        <v>39420</v>
      </c>
      <c r="C426" s="1">
        <f>C424+C473</f>
        <v>53934</v>
      </c>
      <c r="D426" s="1">
        <f>D424+D473</f>
        <v>97768</v>
      </c>
      <c r="E426" s="55">
        <f>SUM(B426:D426)</f>
        <v>191122</v>
      </c>
      <c r="F426" s="1">
        <f>F424+F473</f>
        <v>134550</v>
      </c>
      <c r="G426" s="1">
        <f>G424+G473</f>
        <v>101443</v>
      </c>
      <c r="H426" s="1">
        <f>H424+H473</f>
        <v>114371</v>
      </c>
      <c r="I426" s="55">
        <f>SUM(F426:H426)</f>
        <v>350364</v>
      </c>
      <c r="J426" s="1">
        <f>J424+J473</f>
        <v>101441</v>
      </c>
      <c r="K426" s="1">
        <f>K424+K473</f>
        <v>103649</v>
      </c>
      <c r="L426" s="1">
        <f>L424+L473</f>
        <v>72500</v>
      </c>
      <c r="M426" s="55">
        <f>SUM(J426:L426)</f>
        <v>277590</v>
      </c>
      <c r="N426" s="1">
        <f>N424+N473</f>
        <v>57674</v>
      </c>
      <c r="O426" s="1">
        <f>O424+O473</f>
        <v>32874</v>
      </c>
      <c r="P426" s="1">
        <f>P424+P473</f>
        <v>45862</v>
      </c>
      <c r="Q426" s="55">
        <f>SUM(N426:P426)</f>
        <v>136410</v>
      </c>
      <c r="R426" s="55">
        <f>+E426+I426+M426+Q426</f>
        <v>955486</v>
      </c>
    </row>
    <row r="427" spans="1:18" s="344" customFormat="1" ht="16.5" customHeight="1" thickBot="1" x14ac:dyDescent="0.35">
      <c r="A427" s="356" t="s">
        <v>290</v>
      </c>
      <c r="B427" s="357">
        <f>(B426/B10)/1.983</f>
        <v>641.25713727978132</v>
      </c>
      <c r="C427" s="357">
        <f>(C426/C10)/1.983</f>
        <v>971.36373460125355</v>
      </c>
      <c r="D427" s="357">
        <f>(D426/D10)/1.983</f>
        <v>1590.4218112016658</v>
      </c>
      <c r="E427" s="358" t="s">
        <v>7</v>
      </c>
      <c r="F427" s="357">
        <f>(F426/F10)/1.983</f>
        <v>2261.7246596066566</v>
      </c>
      <c r="G427" s="357">
        <f>(G426/G10)/1.983</f>
        <v>1650.2041546695298</v>
      </c>
      <c r="H427" s="357">
        <f>(H426/H10)/1.983</f>
        <v>1922.5247940830391</v>
      </c>
      <c r="I427" s="358" t="s">
        <v>7</v>
      </c>
      <c r="J427" s="357">
        <f>(J426/J10)/1.983</f>
        <v>1650.1716200608398</v>
      </c>
      <c r="K427" s="357">
        <f>(K426/K10)/1.983</f>
        <v>1686.089828054593</v>
      </c>
      <c r="L427" s="357">
        <f>(L426/L10)/1.983</f>
        <v>1218.6922171793578</v>
      </c>
      <c r="M427" s="358" t="s">
        <v>7</v>
      </c>
      <c r="N427" s="357">
        <f>(N426/N10)/1.983</f>
        <v>938.20051079335644</v>
      </c>
      <c r="O427" s="357">
        <f>(O426/O10)/1.983</f>
        <v>552.59707513867875</v>
      </c>
      <c r="P427" s="357">
        <f>(P426/P10)/1.983</f>
        <v>746.05111187025193</v>
      </c>
      <c r="Q427" s="358" t="s">
        <v>7</v>
      </c>
      <c r="R427" s="358" t="s">
        <v>7</v>
      </c>
    </row>
    <row r="428" spans="1:18" ht="15.75" customHeight="1" x14ac:dyDescent="0.3">
      <c r="A428" s="120" t="s">
        <v>291</v>
      </c>
      <c r="B428" s="121">
        <f>B$429+(SUMIF($T$293:$T$405,"FLG",B$300:B$421)/B10/1.98)+(SUMIF($T$293:$T$405,"FCA",B$300:B$421)/B10/1.98)+(SUMIF($T$293:$T$405,"NSC",B$300:B$421)/B10/1.98)</f>
        <v>309.40410399441191</v>
      </c>
      <c r="C428" s="121">
        <f>C$429+(SUMIF($T$293:$T$405,"FLG",C$300:C$421)/C10/1.98)+(SUMIF($T$293:$T$405,"FCA",C$300:C$421)/C10/1.98)+(SUMIF($T$293:$T$405,"NSC",C$300:C$421)/C10/1.98)</f>
        <v>485.51980252055893</v>
      </c>
      <c r="D428" s="121">
        <f>D$429+(SUMIF($T$293:$T$405,"FLG",D$300:D$421)/D10/1.98)+(SUMIF($T$293:$T$405,"FCA",D$300:D$421)/D10/1.98)+(SUMIF($T$293:$T$405,"NSC",D$300:D$421)/D10/1.98)</f>
        <v>624.29970487166327</v>
      </c>
      <c r="E428" s="122"/>
      <c r="F428" s="121">
        <f>F$429+(SUMIF($T$293:$T$405,"FLG",F$300:F$421)/F10/1.98)+(SUMIF($T$293:$T$405,"FCA",F$300:F$421)/F10/1.98)+(SUMIF($T$293:$T$405,"NSC",F$300:F$421)/F10/1.98)</f>
        <v>915.66043694636733</v>
      </c>
      <c r="G428" s="121">
        <f>G$429+(SUMIF($T$293:$T$405,"FLG",G$300:G$421)/G10/1.98)+(SUMIF($T$293:$T$405,"FCA",G$300:G$421)/G10/1.98)+(SUMIF($T$293:$T$405,"NSC",G$300:G$421)/G10/1.98)</f>
        <v>676.96002531784097</v>
      </c>
      <c r="H428" s="121">
        <f>H$429+(SUMIF($T$293:$T$405,"FLG",H$300:H$421)/H10/1.98)+(SUMIF($T$293:$T$405,"FCA",H$300:H$421)/H10/1.98)+(SUMIF($T$293:$T$405,"NSC",H$300:H$421)/H10/1.98)</f>
        <v>726.06447735040763</v>
      </c>
      <c r="I428" s="45"/>
      <c r="J428" s="121">
        <f>J$429+(SUMIF($T$293:$T$405,"FLG",J$300:J$421)/J10/1.98)+(SUMIF($T$293:$T$405,"FCA",J$300:J$421)/J10/1.98)+(SUMIF($T$293:$T$405,"NSC",J$300:J$421)/J10/1.98)</f>
        <v>801.01305870180011</v>
      </c>
      <c r="K428" s="121">
        <f>K$429+(SUMIF($T$293:$T$405,"FLG",K$300:K$421)/K10/1.98)+(SUMIF($T$293:$T$405,"FCA",K$300:K$421)/K10/1.98)+(SUMIF($T$293:$T$405,"NSC",K$300:K$421)/K10/1.98)</f>
        <v>730.8015245914811</v>
      </c>
      <c r="L428" s="121">
        <f>L$429+(SUMIF($T$293:$T$405,"FLG",L$300:L$421)/L10/1.98)+(SUMIF($T$293:$T$405,"FCA",L$300:L$421)/L10/1.98)+(SUMIF($T$293:$T$405,"NSC",L$300:L$421)/L10/1.98)</f>
        <v>520.5856853965779</v>
      </c>
      <c r="M428" s="45"/>
      <c r="N428" s="121">
        <f>N$429+(SUMIF($T$293:$T$405,"FLG",N$300:N$421)/N10/1.98)+(SUMIF($T$293:$T$405,"FCA",N$300:N$421)/N10/1.98)+(SUMIF($T$293:$T$405,"NSC",N$300:N$421)/N10/1.98)</f>
        <v>362.85841677721044</v>
      </c>
      <c r="O428" s="121">
        <f>O$429+(SUMIF($T$293:$T$405,"FLG",O$300:O$421)/O10/1.98)+(SUMIF($T$293:$T$405,"FCA",O$300:O$421)/O10/1.98)+(SUMIF($T$293:$T$405,"NSC",O$300:O$421)/O10/1.98)</f>
        <v>233.52784017685678</v>
      </c>
      <c r="P428" s="121">
        <f>P$429+(SUMIF($T$293:$T$405,"FLG",P$300:P$421)/P10/1.98)+(SUMIF($T$293:$T$405,"FCA",P$300:P$421)/P10/1.98)+(SUMIF($T$293:$T$405,"NSC",P$300:P$421)/P10/1.98)</f>
        <v>344.2460819211588</v>
      </c>
      <c r="Q428" s="45"/>
      <c r="R428" s="45"/>
    </row>
    <row r="429" spans="1:18" ht="15.75" customHeight="1" x14ac:dyDescent="0.3">
      <c r="A429" s="120" t="s">
        <v>292</v>
      </c>
      <c r="B429" s="121">
        <f>B$430+(SUMIF($T$293:$T$405,"FCI",B$300:B$421)/B10/1.98)+(SUMIF($T$293:$T$405,"FCC",B$300:B$421)/B10/1.98)</f>
        <v>309.40410399441191</v>
      </c>
      <c r="C429" s="121">
        <f>C$430+(SUMIF($T$293:$T$405,"FCI",C$300:C$421)/C10/1.98)+(SUMIF($T$293:$T$405,"FCC",C$300:C$421)/C10/1.98)</f>
        <v>485.51980252055893</v>
      </c>
      <c r="D429" s="121">
        <f>D$430+(SUMIF($T$293:$T$405,"FCI",D$300:D$421)/D10/1.98)+(SUMIF($T$293:$T$405,"FCC",D$300:D$421)/D10/1.98)</f>
        <v>624.29970487166327</v>
      </c>
      <c r="E429" s="122"/>
      <c r="F429" s="121">
        <f>F$430+(SUMIF($T$293:$T$405,"FCI",F$300:F$421)/F10/1.98)+(SUMIF($T$293:$T$405,"FCC",F$300:F$421)/F10/1.98)</f>
        <v>915.66043694636733</v>
      </c>
      <c r="G429" s="121">
        <f>G$430+(SUMIF($T$293:$T$405,"FCI",G$300:G$421)/G10/1.98)+(SUMIF($T$293:$T$405,"FCC",G$300:G$421)/G10/1.98)</f>
        <v>676.96002531784097</v>
      </c>
      <c r="H429" s="121">
        <f>H$430+(SUMIF($T$293:$T$405,"FCI",H$300:H$421)/H10/1.98)+(SUMIF($T$293:$T$405,"FCC",H$300:H$421)/H10/1.98)</f>
        <v>726.06447735040763</v>
      </c>
      <c r="I429" s="45"/>
      <c r="J429" s="121">
        <f>J$430+(SUMIF($T$293:$T$405,"FCI",J$300:J$421)/J10/1.98)+(SUMIF($T$293:$T$405,"FCC",J$300:J$421)/J10/1.98)</f>
        <v>801.01305870180011</v>
      </c>
      <c r="K429" s="121">
        <f>K$430+(SUMIF($T$293:$T$405,"FCI",K$300:K$421)/K10/1.98)+(SUMIF($T$293:$T$405,"FCC",K$300:K$421)/K10/1.98)</f>
        <v>730.8015245914811</v>
      </c>
      <c r="L429" s="121">
        <f>L$430+(SUMIF($T$293:$T$405,"FCI",L$300:L$421)/L10/1.98)+(SUMIF($T$293:$T$405,"FCC",L$300:L$421)/L10/1.98)</f>
        <v>520.5856853965779</v>
      </c>
      <c r="M429" s="45"/>
      <c r="N429" s="121">
        <f>N$430+(SUMIF($T$293:$T$405,"FCI",N$300:N$421)/N10/1.98)+(SUMIF($T$293:$T$405,"FCC",N$300:N$421)/N10/1.98)</f>
        <v>362.85841677721044</v>
      </c>
      <c r="O429" s="121">
        <f>O$430+(SUMIF($T$293:$T$405,"FCI",O$300:O$421)/O10/1.98)+(SUMIF($T$293:$T$405,"FCC",O$300:O$421)/O10/1.98)</f>
        <v>233.52784017685678</v>
      </c>
      <c r="P429" s="121">
        <f>P$430+(SUMIF($T$293:$T$405,"FCI",P$300:P$421)/P10/1.98)+(SUMIF($T$293:$T$405,"FCC",P$300:P$421)/P10/1.98)</f>
        <v>344.2460819211588</v>
      </c>
      <c r="Q429" s="45"/>
      <c r="R429" s="45"/>
    </row>
    <row r="430" spans="1:18" ht="15.75" customHeight="1" x14ac:dyDescent="0.3">
      <c r="A430" s="120" t="s">
        <v>293</v>
      </c>
      <c r="B430" s="121">
        <f>B$431+(SUMIF($T$293:$T$405,"PIL",B$300:B$421)/B10/1.98)+(SUMIF($T$293:$T$405,"KLK",B$300:B$421)/B10/1.98)</f>
        <v>309.40410399441191</v>
      </c>
      <c r="C430" s="121">
        <f>C$431+(SUMIF($T$293:$T$405,"PIL",C$300:C$421)/C10/1.98)+(SUMIF($T$293:$T$405,"KLK",C$300:C$421)/C10/1.98)</f>
        <v>485.51980252055893</v>
      </c>
      <c r="D430" s="121">
        <f>D$431+(SUMIF($T$293:$T$405,"PIL",D$300:D$421)/D10/1.98)+(SUMIF($T$293:$T$405,"KLK",D$300:D$421)/D10/1.98)</f>
        <v>624.29970487166327</v>
      </c>
      <c r="E430" s="122"/>
      <c r="F430" s="121">
        <f>F$431+(SUMIF($T$293:$T$405,"PIL",F$300:F$421)/F10/1.98)+(SUMIF($T$293:$T$405,"KLK",F$300:F$421)/F10/1.98)</f>
        <v>915.66043694636733</v>
      </c>
      <c r="G430" s="121">
        <f>G$431+(SUMIF($T$293:$T$405,"PIL",G$300:G$421)/G10/1.98)+(SUMIF($T$293:$T$405,"KLK",G$300:G$421)/G10/1.98)</f>
        <v>676.96002531784097</v>
      </c>
      <c r="H430" s="121">
        <f>H$431+(SUMIF($T$293:$T$405,"PIL",H$300:H$421)/H10/1.98)+(SUMIF($T$293:$T$405,"KLK",H$300:H$421)/H10/1.98)</f>
        <v>726.06447735040763</v>
      </c>
      <c r="I430" s="45"/>
      <c r="J430" s="121">
        <f>J$431+(SUMIF($T$293:$T$405,"PIL",J$300:J$421)/J10/1.98)+(SUMIF($T$293:$T$405,"KLK",J$300:J$421)/J10/1.98)</f>
        <v>801.01305870180011</v>
      </c>
      <c r="K430" s="121">
        <f>K$431+(SUMIF($T$293:$T$405,"PIL",K$300:K$421)/K10/1.98)+(SUMIF($T$293:$T$405,"KLK",K$300:K$421)/K10/1.98)</f>
        <v>730.8015245914811</v>
      </c>
      <c r="L430" s="121">
        <f>L$431+(SUMIF($T$293:$T$405,"PIL",L$300:L$421)/L10/1.98)+(SUMIF($T$293:$T$405,"KLK",L$300:L$421)/L10/1.98)</f>
        <v>520.5856853965779</v>
      </c>
      <c r="M430" s="45"/>
      <c r="N430" s="121">
        <f>N$431+(SUMIF($T$293:$T$405,"PIL",N$300:N$421)/N10/1.98)+(SUMIF($T$293:$T$405,"KLK",N$300:N$421)/N10/1.98)</f>
        <v>362.85841677721044</v>
      </c>
      <c r="O430" s="121">
        <f>O$431+(SUMIF($T$293:$T$405,"PIL",O$300:O$421)/O10/1.98)+(SUMIF($T$293:$T$405,"KLK",O$300:O$421)/O10/1.98)</f>
        <v>233.52784017685678</v>
      </c>
      <c r="P430" s="121">
        <f>P$431+(SUMIF($T$293:$T$405,"PIL",P$300:P$421)/P10/1.98)+(SUMIF($T$293:$T$405,"KLK",P$300:P$421)/P10/1.98)</f>
        <v>344.2460819211588</v>
      </c>
      <c r="Q430" s="45"/>
      <c r="R430" s="45"/>
    </row>
    <row r="431" spans="1:18" ht="15.75" customHeight="1" x14ac:dyDescent="0.3">
      <c r="A431" s="120" t="s">
        <v>294</v>
      </c>
      <c r="B431" s="121">
        <f>B$432+(SUMIF($T$293:$T$405,"CGE",B$300:B$421)/B10/1.98)</f>
        <v>309.40410399441191</v>
      </c>
      <c r="C431" s="121">
        <f>C$432+(SUMIF($T$293:$T$405,"CGE",C$300:C$421)/C10/1.98)</f>
        <v>485.51980252055893</v>
      </c>
      <c r="D431" s="121">
        <f>D$432+(SUMIF($T$293:$T$405,"CGE",D$300:D$421)/D10/1.98)</f>
        <v>575.42384954419504</v>
      </c>
      <c r="E431" s="122"/>
      <c r="F431" s="121">
        <f>F$432+(SUMIF($T$293:$T$405,"CGE",F$300:F$421)/F10/1.98)</f>
        <v>814.65033593626629</v>
      </c>
      <c r="G431" s="121">
        <f>G$432+(SUMIF($T$293:$T$405,"CGE",G$300:G$421)/G10/1.98)</f>
        <v>579.20831466290451</v>
      </c>
      <c r="H431" s="121">
        <f>H$432+(SUMIF($T$293:$T$405,"CGE",H$300:H$421)/H10/1.98)</f>
        <v>675.55942684535717</v>
      </c>
      <c r="I431" s="45"/>
      <c r="J431" s="121">
        <f>J$432+(SUMIF($T$293:$T$405,"CGE",J$300:J$421)/J10/1.98)</f>
        <v>801.01305870180011</v>
      </c>
      <c r="K431" s="121">
        <f>K$432+(SUMIF($T$293:$T$405,"CGE",K$300:K$421)/K10/1.98)</f>
        <v>730.8015245914811</v>
      </c>
      <c r="L431" s="121">
        <f>L$432+(SUMIF($T$293:$T$405,"CGE",L$300:L$421)/L10/1.98)</f>
        <v>520.5856853965779</v>
      </c>
      <c r="M431" s="45"/>
      <c r="N431" s="121">
        <f>N$432+(SUMIF($T$293:$T$405,"CGE",N$300:N$421)/N10/1.98)</f>
        <v>362.85841677721044</v>
      </c>
      <c r="O431" s="121">
        <f>O$432+(SUMIF($T$293:$T$405,"CGE",O$300:O$421)/O10/1.98)</f>
        <v>233.52784017685678</v>
      </c>
      <c r="P431" s="121">
        <f>P$432+(SUMIF($T$293:$T$405,"CGE",P$300:P$421)/P10/1.98)</f>
        <v>344.2460819211588</v>
      </c>
      <c r="Q431" s="45"/>
      <c r="R431" s="45"/>
    </row>
    <row r="432" spans="1:18" ht="15.75" customHeight="1" x14ac:dyDescent="0.3">
      <c r="A432" s="120" t="s">
        <v>295</v>
      </c>
      <c r="B432" s="121">
        <f>B$433+(SUMIF($T$293:$T$405,"SRO",B$300:B$421)/B10/1.98)</f>
        <v>309.40410399441191</v>
      </c>
      <c r="C432" s="121">
        <f>C$433+(SUMIF($T$293:$T$405,"SRO",C$300:C$421)/C10/1.98)</f>
        <v>485.51980252055893</v>
      </c>
      <c r="D432" s="121">
        <f>D$433+(SUMIF($T$293:$T$405,"SRO",D$300:D$421)/D10/1.98)</f>
        <v>575.42384954419504</v>
      </c>
      <c r="E432" s="122"/>
      <c r="F432" s="121">
        <f>F$433+(SUMIF($T$293:$T$405,"SRO",F$300:F$421)/F10/1.98)</f>
        <v>789.43148071741109</v>
      </c>
      <c r="G432" s="121">
        <f>G$433+(SUMIF($T$293:$T$405,"SRO",G$300:G$421)/G10/1.98)</f>
        <v>579.20831466290451</v>
      </c>
      <c r="H432" s="121">
        <f>H$433+(SUMIF($T$293:$T$405,"SRO",H$300:H$421)/H10/1.98)</f>
        <v>660.12171640764677</v>
      </c>
      <c r="I432" s="45"/>
      <c r="J432" s="121">
        <f>J$433+(SUMIF($T$293:$T$405,"SRO",J$300:J$421)/J10/1.98)</f>
        <v>786.07333892337067</v>
      </c>
      <c r="K432" s="121">
        <f>K$433+(SUMIF($T$293:$T$405,"SRO",K$300:K$421)/K10/1.98)</f>
        <v>685.42843889581479</v>
      </c>
      <c r="L432" s="121">
        <f>L$433+(SUMIF($T$293:$T$405,"SRO",L$300:L$421)/L10/1.98)</f>
        <v>483.02676283765538</v>
      </c>
      <c r="M432" s="45"/>
      <c r="N432" s="121">
        <f>N$433+(SUMIF($T$293:$T$405,"SRO",N$300:N$421)/N10/1.98)</f>
        <v>343.94346076548021</v>
      </c>
      <c r="O432" s="121">
        <f>O$433+(SUMIF($T$293:$T$405,"SRO",O$300:O$421)/O10/1.98)</f>
        <v>222.80393445295107</v>
      </c>
      <c r="P432" s="121">
        <f>P$433+(SUMIF($T$293:$T$405,"SRO",P$300:P$421)/P10/1.98)</f>
        <v>330.33275510460618</v>
      </c>
      <c r="Q432" s="45"/>
      <c r="R432" s="45"/>
    </row>
    <row r="433" spans="1:20" ht="15.75" customHeight="1" x14ac:dyDescent="0.3">
      <c r="A433" s="120" t="s">
        <v>296</v>
      </c>
      <c r="B433" s="121">
        <f>B$473/B10/1.983</f>
        <v>277.16233143005871</v>
      </c>
      <c r="C433" s="121">
        <f>C$473/C10/1.983</f>
        <v>449.78747928823572</v>
      </c>
      <c r="D433" s="121">
        <f>D$473/D10/1.983</f>
        <v>542.83994599254959</v>
      </c>
      <c r="E433" s="123"/>
      <c r="F433" s="121">
        <f>F$473/F10/1.983</f>
        <v>741.88939317532356</v>
      </c>
      <c r="G433" s="121">
        <f>G$473/G10/1.983</f>
        <v>475.20049452605207</v>
      </c>
      <c r="H433" s="121">
        <f>H$473/H10/1.983</f>
        <v>541.88939317532356</v>
      </c>
      <c r="I433" s="1"/>
      <c r="J433" s="121">
        <f>J$473/J10/1.983</f>
        <v>675.46727831731005</v>
      </c>
      <c r="K433" s="121">
        <f>K$473/K10/1.983</f>
        <v>606.47764059017777</v>
      </c>
      <c r="L433" s="121">
        <f>L$473/L10/1.983</f>
        <v>435.66986048075302</v>
      </c>
      <c r="N433" s="121">
        <f>N$473/N10/1.983</f>
        <v>276.88578725619379</v>
      </c>
      <c r="O433" s="121">
        <f>O$473/O10/1.983</f>
        <v>138.29214994116657</v>
      </c>
      <c r="P433" s="121">
        <f>P$473/P10/1.983</f>
        <v>292.20958794918096</v>
      </c>
      <c r="R433" s="45"/>
    </row>
    <row r="434" spans="1:20" ht="15.75" customHeight="1" x14ac:dyDescent="0.3">
      <c r="A434" s="120"/>
      <c r="B434" s="121"/>
      <c r="C434" s="121"/>
      <c r="D434" s="121"/>
      <c r="E434" s="123"/>
      <c r="F434" s="121"/>
      <c r="G434" s="121"/>
      <c r="H434" s="121"/>
      <c r="I434" s="1"/>
      <c r="J434" s="121"/>
      <c r="K434" s="121"/>
      <c r="L434" s="121"/>
      <c r="N434" s="121"/>
      <c r="O434" s="121"/>
      <c r="P434" s="121"/>
      <c r="R434" s="45"/>
    </row>
    <row r="435" spans="1:20" ht="15.75" customHeight="1" thickBot="1" x14ac:dyDescent="0.35">
      <c r="A435" s="28"/>
      <c r="B435" s="1"/>
      <c r="C435" s="1"/>
      <c r="D435" s="1"/>
      <c r="E435" s="1"/>
      <c r="F435" s="1"/>
      <c r="G435" s="1"/>
      <c r="H435" s="1"/>
      <c r="I435" s="1"/>
      <c r="J435" s="1"/>
      <c r="K435" s="1"/>
      <c r="L435" s="1"/>
      <c r="M435" s="1"/>
      <c r="N435" s="1"/>
      <c r="O435" s="1"/>
      <c r="P435" s="1"/>
      <c r="Q435" s="1"/>
      <c r="R435" s="2"/>
    </row>
    <row r="436" spans="1:20" ht="16.5" customHeight="1" thickBot="1" x14ac:dyDescent="0.35">
      <c r="A436" s="29" t="s">
        <v>297</v>
      </c>
      <c r="B436" s="30" t="s">
        <v>8</v>
      </c>
      <c r="C436" s="31" t="s">
        <v>9</v>
      </c>
      <c r="D436" s="31" t="s">
        <v>10</v>
      </c>
      <c r="E436" s="32" t="s">
        <v>11</v>
      </c>
      <c r="F436" s="31" t="s">
        <v>12</v>
      </c>
      <c r="G436" s="31" t="s">
        <v>13</v>
      </c>
      <c r="H436" s="31" t="s">
        <v>14</v>
      </c>
      <c r="I436" s="33" t="s">
        <v>15</v>
      </c>
      <c r="J436" s="31" t="s">
        <v>16</v>
      </c>
      <c r="K436" s="31" t="s">
        <v>17</v>
      </c>
      <c r="L436" s="31" t="s">
        <v>18</v>
      </c>
      <c r="M436" s="33" t="s">
        <v>19</v>
      </c>
      <c r="N436" s="31" t="s">
        <v>20</v>
      </c>
      <c r="O436" s="31" t="s">
        <v>21</v>
      </c>
      <c r="P436" s="31" t="s">
        <v>22</v>
      </c>
      <c r="Q436" s="33" t="s">
        <v>23</v>
      </c>
      <c r="R436" s="34" t="s">
        <v>24</v>
      </c>
    </row>
    <row r="437" spans="1:20" ht="16.5" customHeight="1" thickBot="1" x14ac:dyDescent="0.35">
      <c r="A437" s="59"/>
      <c r="B437" s="75"/>
      <c r="C437" s="75"/>
      <c r="D437" s="75"/>
      <c r="E437" s="69"/>
      <c r="F437" s="75"/>
      <c r="G437" s="75"/>
      <c r="H437" s="75"/>
      <c r="I437" s="82"/>
      <c r="J437" s="75"/>
      <c r="K437" s="75"/>
      <c r="L437" s="75"/>
      <c r="M437" s="82"/>
      <c r="N437" s="75"/>
      <c r="O437" s="75"/>
      <c r="P437" s="75"/>
      <c r="Q437" s="82"/>
      <c r="R437" s="100"/>
    </row>
    <row r="438" spans="1:20" ht="15.75" customHeight="1" x14ac:dyDescent="0.3">
      <c r="A438" s="15" t="s">
        <v>48</v>
      </c>
      <c r="B438" s="1" t="s">
        <v>7</v>
      </c>
      <c r="C438" s="1" t="s">
        <v>7</v>
      </c>
      <c r="D438" s="1" t="s">
        <v>7</v>
      </c>
      <c r="E438" s="55" t="s">
        <v>7</v>
      </c>
      <c r="F438" s="1" t="s">
        <v>7</v>
      </c>
      <c r="G438" s="1" t="s">
        <v>7</v>
      </c>
      <c r="H438" s="1" t="s">
        <v>7</v>
      </c>
      <c r="I438" s="55" t="s">
        <v>7</v>
      </c>
      <c r="J438" s="1" t="s">
        <v>7</v>
      </c>
      <c r="K438" s="1" t="s">
        <v>7</v>
      </c>
      <c r="L438" s="1" t="s">
        <v>7</v>
      </c>
      <c r="M438" s="55" t="s">
        <v>7</v>
      </c>
      <c r="N438" s="1" t="s">
        <v>7</v>
      </c>
      <c r="O438" s="1" t="s">
        <v>7</v>
      </c>
      <c r="P438" s="1" t="s">
        <v>7</v>
      </c>
      <c r="Q438" s="55" t="s">
        <v>7</v>
      </c>
      <c r="R438" s="55" t="s">
        <v>7</v>
      </c>
    </row>
    <row r="439" spans="1:20" ht="15.75" customHeight="1" x14ac:dyDescent="0.3">
      <c r="A439" s="15" t="s">
        <v>49</v>
      </c>
      <c r="B439" s="1"/>
      <c r="C439" s="1"/>
      <c r="D439" s="1"/>
      <c r="E439" s="55" t="s">
        <v>7</v>
      </c>
      <c r="F439" s="1"/>
      <c r="G439" s="1"/>
      <c r="H439" s="1"/>
      <c r="I439" s="55" t="s">
        <v>7</v>
      </c>
      <c r="J439" s="1"/>
      <c r="K439" s="1"/>
      <c r="L439" s="1"/>
      <c r="M439" s="55" t="s">
        <v>7</v>
      </c>
      <c r="N439" s="1"/>
      <c r="O439" s="1"/>
      <c r="P439" s="1"/>
      <c r="Q439" s="55" t="s">
        <v>7</v>
      </c>
      <c r="R439" s="55" t="s">
        <v>7</v>
      </c>
    </row>
    <row r="440" spans="1:20" ht="15.75" customHeight="1" x14ac:dyDescent="0.3">
      <c r="A440" s="71" t="s">
        <v>979</v>
      </c>
      <c r="B440" s="1">
        <v>0</v>
      </c>
      <c r="C440" s="1">
        <v>0</v>
      </c>
      <c r="D440" s="1">
        <v>0</v>
      </c>
      <c r="E440" s="55">
        <f>SUM(B440:D440)</f>
        <v>0</v>
      </c>
      <c r="F440" s="1">
        <v>0</v>
      </c>
      <c r="G440" s="1">
        <v>0</v>
      </c>
      <c r="H440" s="1">
        <v>1600</v>
      </c>
      <c r="I440" s="55">
        <f>SUM(F440:H440)</f>
        <v>1600</v>
      </c>
      <c r="J440" s="1">
        <v>12</v>
      </c>
      <c r="K440" s="1">
        <v>2</v>
      </c>
      <c r="L440" s="1">
        <v>1</v>
      </c>
      <c r="M440" s="55">
        <f>SUM(J440:L440)</f>
        <v>15</v>
      </c>
      <c r="N440" s="1"/>
      <c r="O440" s="1"/>
      <c r="P440" s="1"/>
      <c r="Q440" s="55">
        <f>SUM(N440:P440)</f>
        <v>0</v>
      </c>
      <c r="R440" s="55">
        <f>+E440+I440+M440+Q440</f>
        <v>1615</v>
      </c>
      <c r="T440" s="4" t="s">
        <v>938</v>
      </c>
    </row>
    <row r="441" spans="1:20" ht="15.75" customHeight="1" x14ac:dyDescent="0.3">
      <c r="A441" s="71" t="s">
        <v>980</v>
      </c>
      <c r="B441" s="1"/>
      <c r="C441" s="1"/>
      <c r="D441" s="1"/>
      <c r="E441" s="55">
        <f>SUM(B441:D441)</f>
        <v>0</v>
      </c>
      <c r="F441" s="1"/>
      <c r="G441" s="1">
        <v>1100</v>
      </c>
      <c r="H441" s="1"/>
      <c r="I441" s="55">
        <f>SUM(F441:H441)</f>
        <v>1100</v>
      </c>
      <c r="J441" s="1"/>
      <c r="K441" s="1"/>
      <c r="L441" s="1"/>
      <c r="M441" s="55">
        <f>SUM(J441:L441)</f>
        <v>0</v>
      </c>
      <c r="N441" s="1"/>
      <c r="O441" s="1"/>
      <c r="P441" s="1"/>
      <c r="Q441" s="55">
        <f>SUM(N441:P441)</f>
        <v>0</v>
      </c>
      <c r="R441" s="55">
        <f>+E441+I441+M441+Q441</f>
        <v>1100</v>
      </c>
      <c r="T441" s="4" t="s">
        <v>938</v>
      </c>
    </row>
    <row r="442" spans="1:20" ht="15.75" customHeight="1" x14ac:dyDescent="0.3">
      <c r="A442" s="72" t="s">
        <v>981</v>
      </c>
      <c r="B442" s="1"/>
      <c r="C442" s="1"/>
      <c r="D442" s="1"/>
      <c r="E442" s="55">
        <f>SUM(B442:D442)</f>
        <v>0</v>
      </c>
      <c r="F442" s="1"/>
      <c r="G442" s="1"/>
      <c r="H442" s="1">
        <v>2048</v>
      </c>
      <c r="I442" s="55">
        <f>SUM(F442:H442)</f>
        <v>2048</v>
      </c>
      <c r="J442" s="1"/>
      <c r="K442" s="1"/>
      <c r="L442" s="1"/>
      <c r="M442" s="55">
        <f>SUM(J442:L442)</f>
        <v>0</v>
      </c>
      <c r="N442" s="1"/>
      <c r="O442" s="1"/>
      <c r="P442" s="1"/>
      <c r="Q442" s="55">
        <f>SUM(N442:P442)</f>
        <v>0</v>
      </c>
      <c r="R442" s="55">
        <f>+E442+I442+M442+Q442</f>
        <v>2048</v>
      </c>
      <c r="T442" s="4" t="s">
        <v>938</v>
      </c>
    </row>
    <row r="443" spans="1:20" ht="15.75" customHeight="1" x14ac:dyDescent="0.3">
      <c r="A443" s="15" t="s">
        <v>50</v>
      </c>
      <c r="B443" s="1"/>
      <c r="C443" s="1"/>
      <c r="D443" s="1"/>
      <c r="E443" s="55" t="s">
        <v>7</v>
      </c>
      <c r="F443" s="1"/>
      <c r="G443" s="1"/>
      <c r="H443" s="1"/>
      <c r="I443" s="55" t="s">
        <v>7</v>
      </c>
      <c r="J443" s="1"/>
      <c r="K443" s="1"/>
      <c r="L443" s="1"/>
      <c r="M443" s="55" t="s">
        <v>7</v>
      </c>
      <c r="N443" s="1"/>
      <c r="O443" s="1"/>
      <c r="P443" s="1"/>
      <c r="Q443" s="55" t="s">
        <v>7</v>
      </c>
      <c r="R443" s="55" t="s">
        <v>7</v>
      </c>
    </row>
    <row r="444" spans="1:20" ht="15.75" customHeight="1" x14ac:dyDescent="0.3">
      <c r="A444" s="71" t="s">
        <v>758</v>
      </c>
      <c r="B444" s="1"/>
      <c r="C444" s="1"/>
      <c r="D444" s="1"/>
      <c r="E444" s="55">
        <f>SUM(B444:D444)</f>
        <v>0</v>
      </c>
      <c r="F444" s="1"/>
      <c r="G444" s="1"/>
      <c r="H444" s="1"/>
      <c r="I444" s="55">
        <f>SUM(F444:H444)</f>
        <v>0</v>
      </c>
      <c r="J444" s="1"/>
      <c r="K444" s="1"/>
      <c r="L444" s="1"/>
      <c r="M444" s="55">
        <f>SUM(J444:L444)</f>
        <v>0</v>
      </c>
      <c r="N444" s="1"/>
      <c r="O444" s="1"/>
      <c r="P444" s="1"/>
      <c r="Q444" s="55">
        <f>SUM(N444:P444)</f>
        <v>0</v>
      </c>
      <c r="R444" s="55">
        <f>+E444+I444+M444+Q444</f>
        <v>0</v>
      </c>
    </row>
    <row r="445" spans="1:20" ht="15.75" customHeight="1" x14ac:dyDescent="0.3">
      <c r="A445" s="71" t="s">
        <v>298</v>
      </c>
      <c r="B445" s="1"/>
      <c r="C445" s="1"/>
      <c r="D445" s="1"/>
      <c r="E445" s="55">
        <f>SUM(B445:D445)</f>
        <v>0</v>
      </c>
      <c r="F445" s="1"/>
      <c r="G445" s="1"/>
      <c r="H445" s="1"/>
      <c r="I445" s="55">
        <f>SUM(F445:H445)</f>
        <v>0</v>
      </c>
      <c r="J445" s="1"/>
      <c r="K445" s="1"/>
      <c r="L445" s="1"/>
      <c r="M445" s="55">
        <f>SUM(J445:L445)</f>
        <v>0</v>
      </c>
      <c r="N445" s="1"/>
      <c r="O445" s="1"/>
      <c r="P445" s="1"/>
      <c r="Q445" s="55">
        <f>SUM(N445:P445)</f>
        <v>0</v>
      </c>
      <c r="R445" s="55">
        <f>+E445+I445+M445+Q445</f>
        <v>0</v>
      </c>
    </row>
    <row r="446" spans="1:20" ht="15.75" customHeight="1" x14ac:dyDescent="0.3">
      <c r="A446" s="15" t="s">
        <v>51</v>
      </c>
      <c r="B446" s="1"/>
      <c r="C446" s="1"/>
      <c r="D446" s="1"/>
      <c r="E446" s="55" t="s">
        <v>7</v>
      </c>
      <c r="F446" s="1"/>
      <c r="G446" s="1"/>
      <c r="H446" s="1"/>
      <c r="I446" s="55" t="s">
        <v>7</v>
      </c>
      <c r="J446" s="1"/>
      <c r="K446" s="1"/>
      <c r="L446" s="1"/>
      <c r="M446" s="55" t="s">
        <v>7</v>
      </c>
      <c r="N446" s="1"/>
      <c r="O446" s="1"/>
      <c r="P446" s="1"/>
      <c r="Q446" s="55" t="s">
        <v>7</v>
      </c>
      <c r="R446" s="55" t="s">
        <v>7</v>
      </c>
    </row>
    <row r="447" spans="1:20" ht="15.75" customHeight="1" thickBot="1" x14ac:dyDescent="0.35">
      <c r="A447" s="15" t="s">
        <v>53</v>
      </c>
      <c r="B447" s="1"/>
      <c r="C447" s="1"/>
      <c r="D447" s="1"/>
      <c r="E447" s="55" t="s">
        <v>7</v>
      </c>
      <c r="F447" s="1"/>
      <c r="G447" s="1"/>
      <c r="H447" s="1"/>
      <c r="I447" s="55" t="s">
        <v>7</v>
      </c>
      <c r="J447" s="1"/>
      <c r="K447" s="1"/>
      <c r="L447" s="1"/>
      <c r="M447" s="55" t="s">
        <v>7</v>
      </c>
      <c r="N447" s="1"/>
      <c r="O447" s="1"/>
      <c r="P447" s="1"/>
      <c r="Q447" s="55" t="s">
        <v>7</v>
      </c>
      <c r="R447" s="55" t="s">
        <v>7</v>
      </c>
    </row>
    <row r="448" spans="1:20" ht="16.5" customHeight="1" thickBot="1" x14ac:dyDescent="0.35">
      <c r="A448" s="109" t="s">
        <v>54</v>
      </c>
      <c r="B448" s="86">
        <f>SUM(B438:B447)</f>
        <v>0</v>
      </c>
      <c r="C448" s="87">
        <f>SUM(C438:C447)</f>
        <v>0</v>
      </c>
      <c r="D448" s="87">
        <f>SUM(D438:D447)</f>
        <v>0</v>
      </c>
      <c r="E448" s="59">
        <f>SUM(B448:D448)</f>
        <v>0</v>
      </c>
      <c r="F448" s="87">
        <f>SUM(F438:F447)</f>
        <v>0</v>
      </c>
      <c r="G448" s="87">
        <f>SUM(G438:G447)</f>
        <v>1100</v>
      </c>
      <c r="H448" s="87">
        <f>SUM(H438:H447)</f>
        <v>3648</v>
      </c>
      <c r="I448" s="59">
        <f>SUM(F448:H448)</f>
        <v>4748</v>
      </c>
      <c r="J448" s="87">
        <f>SUM(J438:J447)</f>
        <v>12</v>
      </c>
      <c r="K448" s="87">
        <f>SUM(K438:K447)</f>
        <v>2</v>
      </c>
      <c r="L448" s="87">
        <f>SUM(L438:L447)</f>
        <v>1</v>
      </c>
      <c r="M448" s="59">
        <f>SUM(J448:L448)</f>
        <v>15</v>
      </c>
      <c r="N448" s="87">
        <f>SUM(N438:N447)</f>
        <v>0</v>
      </c>
      <c r="O448" s="87">
        <f>SUM(O438:O447)</f>
        <v>0</v>
      </c>
      <c r="P448" s="87">
        <f>SUM(P438:P447)</f>
        <v>0</v>
      </c>
      <c r="Q448" s="59">
        <f>SUM(N448:P448)</f>
        <v>0</v>
      </c>
      <c r="R448" s="59">
        <f>+E448+I448+M448+Q448</f>
        <v>4763</v>
      </c>
    </row>
    <row r="449" spans="1:20" ht="15.75" customHeight="1" x14ac:dyDescent="0.3">
      <c r="A449" s="15" t="s">
        <v>55</v>
      </c>
      <c r="B449" s="1"/>
      <c r="C449" s="1"/>
      <c r="D449" s="1"/>
      <c r="E449" s="55" t="s">
        <v>7</v>
      </c>
      <c r="F449" s="1"/>
      <c r="G449" s="1"/>
      <c r="H449" s="1"/>
      <c r="I449" s="55" t="s">
        <v>7</v>
      </c>
      <c r="J449" s="1"/>
      <c r="K449" s="1"/>
      <c r="L449" s="1"/>
      <c r="M449" s="55" t="s">
        <v>7</v>
      </c>
      <c r="N449" s="1" t="s">
        <v>7</v>
      </c>
      <c r="O449" s="1"/>
      <c r="P449" s="1"/>
      <c r="Q449" s="55" t="s">
        <v>7</v>
      </c>
      <c r="R449" s="55" t="s">
        <v>7</v>
      </c>
    </row>
    <row r="450" spans="1:20" ht="15.75" customHeight="1" x14ac:dyDescent="0.3">
      <c r="A450" s="15" t="s">
        <v>57</v>
      </c>
      <c r="B450" s="1"/>
      <c r="C450" s="1"/>
      <c r="D450" s="1"/>
      <c r="E450" s="55" t="s">
        <v>7</v>
      </c>
      <c r="F450" s="1"/>
      <c r="G450" s="1"/>
      <c r="H450" s="1"/>
      <c r="I450" s="55" t="s">
        <v>7</v>
      </c>
      <c r="J450" s="1"/>
      <c r="K450" s="1"/>
      <c r="L450" s="1"/>
      <c r="M450" s="55" t="s">
        <v>7</v>
      </c>
      <c r="N450" s="1"/>
      <c r="O450" s="1"/>
      <c r="P450" s="1"/>
      <c r="Q450" s="55" t="s">
        <v>7</v>
      </c>
      <c r="R450" s="55" t="s">
        <v>7</v>
      </c>
    </row>
    <row r="451" spans="1:20" ht="15.75" customHeight="1" x14ac:dyDescent="0.3">
      <c r="A451" s="71" t="s">
        <v>565</v>
      </c>
      <c r="B451" s="1">
        <v>1023</v>
      </c>
      <c r="C451" s="1">
        <v>2232</v>
      </c>
      <c r="D451" s="1">
        <v>5720</v>
      </c>
      <c r="E451" s="55">
        <f>SUM(B451:D451)</f>
        <v>8975</v>
      </c>
      <c r="F451" s="1">
        <v>10028</v>
      </c>
      <c r="G451" s="1">
        <v>1667</v>
      </c>
      <c r="H451" s="1">
        <v>4782</v>
      </c>
      <c r="I451" s="55">
        <f>SUM(F451:H451)</f>
        <v>16477</v>
      </c>
      <c r="J451" s="1">
        <v>12087</v>
      </c>
      <c r="K451" s="1">
        <v>11047</v>
      </c>
      <c r="L451" s="1">
        <v>5185</v>
      </c>
      <c r="M451" s="55">
        <f>SUM(J451:L451)</f>
        <v>28319</v>
      </c>
      <c r="N451" s="1">
        <v>2008</v>
      </c>
      <c r="O451" s="1">
        <v>319</v>
      </c>
      <c r="P451" s="1">
        <v>645</v>
      </c>
      <c r="Q451" s="55">
        <f>SUM(N451:P451)</f>
        <v>2972</v>
      </c>
      <c r="R451" s="55">
        <f>+E451+I451+M451+Q451</f>
        <v>56743</v>
      </c>
    </row>
    <row r="452" spans="1:20" ht="15.75" customHeight="1" thickBot="1" x14ac:dyDescent="0.35">
      <c r="A452" s="15" t="s">
        <v>58</v>
      </c>
      <c r="B452" s="1"/>
      <c r="C452" s="1"/>
      <c r="D452" s="1"/>
      <c r="E452" s="55" t="s">
        <v>7</v>
      </c>
      <c r="F452" s="1"/>
      <c r="G452" s="1"/>
      <c r="H452" s="1"/>
      <c r="I452" s="55" t="s">
        <v>7</v>
      </c>
      <c r="J452" s="1"/>
      <c r="K452" s="1"/>
      <c r="L452" s="1"/>
      <c r="M452" s="55" t="s">
        <v>7</v>
      </c>
      <c r="N452" s="1"/>
      <c r="O452" s="1"/>
      <c r="P452" s="1"/>
      <c r="Q452" s="55" t="s">
        <v>7</v>
      </c>
      <c r="R452" s="55" t="s">
        <v>7</v>
      </c>
    </row>
    <row r="453" spans="1:20" ht="16.5" customHeight="1" thickBot="1" x14ac:dyDescent="0.35">
      <c r="A453" s="57" t="s">
        <v>59</v>
      </c>
      <c r="B453" s="86">
        <f>SUM(B449:B452)</f>
        <v>1023</v>
      </c>
      <c r="C453" s="87">
        <f>SUM(C449:C452)</f>
        <v>2232</v>
      </c>
      <c r="D453" s="87">
        <f>SUM(D449:D452)</f>
        <v>5720</v>
      </c>
      <c r="E453" s="59">
        <f>SUM(B453:D453)</f>
        <v>8975</v>
      </c>
      <c r="F453" s="87">
        <f>SUM(F449:F452)</f>
        <v>10028</v>
      </c>
      <c r="G453" s="87">
        <f>SUM(G449:G452)</f>
        <v>1667</v>
      </c>
      <c r="H453" s="87">
        <f>SUM(H449:H452)</f>
        <v>4782</v>
      </c>
      <c r="I453" s="59">
        <f>SUM(F453:H453)</f>
        <v>16477</v>
      </c>
      <c r="J453" s="87">
        <f>SUM(J449:J452)</f>
        <v>12087</v>
      </c>
      <c r="K453" s="87">
        <f>SUM(K449:K452)</f>
        <v>11047</v>
      </c>
      <c r="L453" s="87">
        <f>SUM(L449:L452)</f>
        <v>5185</v>
      </c>
      <c r="M453" s="59">
        <f>SUM(J453:L453)</f>
        <v>28319</v>
      </c>
      <c r="N453" s="87">
        <f>SUM(N449:N452)</f>
        <v>2008</v>
      </c>
      <c r="O453" s="87">
        <f>SUM(O449:O452)</f>
        <v>319</v>
      </c>
      <c r="P453" s="87">
        <f>SUM(P449:P452)</f>
        <v>645</v>
      </c>
      <c r="Q453" s="59">
        <f>SUM(N453:P453)</f>
        <v>2972</v>
      </c>
      <c r="R453" s="59">
        <f>+E453+I453+M453+Q453</f>
        <v>56743</v>
      </c>
    </row>
    <row r="454" spans="1:20" ht="15.75" customHeight="1" x14ac:dyDescent="0.3">
      <c r="A454" s="15" t="s">
        <v>60</v>
      </c>
      <c r="B454" s="1"/>
      <c r="C454" s="1"/>
      <c r="D454" s="1"/>
      <c r="E454" s="55" t="s">
        <v>7</v>
      </c>
      <c r="F454" s="1"/>
      <c r="G454" s="1"/>
      <c r="H454" s="1"/>
      <c r="I454" s="55" t="s">
        <v>7</v>
      </c>
      <c r="J454" s="1"/>
      <c r="K454" s="1"/>
      <c r="L454" s="1"/>
      <c r="M454" s="55" t="s">
        <v>7</v>
      </c>
      <c r="N454" s="1"/>
      <c r="O454" s="1"/>
      <c r="P454" s="1"/>
      <c r="Q454" s="55" t="s">
        <v>7</v>
      </c>
      <c r="R454" s="55" t="s">
        <v>7</v>
      </c>
    </row>
    <row r="455" spans="1:20" ht="15.75" customHeight="1" x14ac:dyDescent="0.3">
      <c r="A455" s="15" t="s">
        <v>61</v>
      </c>
      <c r="B455" s="1"/>
      <c r="C455" s="1"/>
      <c r="D455" s="1"/>
      <c r="E455" s="55" t="s">
        <v>7</v>
      </c>
      <c r="F455" s="1"/>
      <c r="G455" s="1"/>
      <c r="H455" s="1"/>
      <c r="I455" s="55" t="s">
        <v>7</v>
      </c>
      <c r="J455" s="1"/>
      <c r="K455" s="1"/>
      <c r="L455" s="1"/>
      <c r="M455" s="55" t="s">
        <v>7</v>
      </c>
      <c r="N455" s="1"/>
      <c r="O455" s="1"/>
      <c r="P455" s="1"/>
      <c r="Q455" s="55" t="s">
        <v>7</v>
      </c>
      <c r="R455" s="55" t="s">
        <v>7</v>
      </c>
    </row>
    <row r="456" spans="1:20" ht="15.75" customHeight="1" x14ac:dyDescent="0.3">
      <c r="A456" s="15" t="s">
        <v>62</v>
      </c>
      <c r="B456" s="1"/>
      <c r="C456" s="1"/>
      <c r="D456" s="1"/>
      <c r="E456" s="55" t="s">
        <v>7</v>
      </c>
      <c r="F456" s="1"/>
      <c r="G456" s="1"/>
      <c r="H456" s="1"/>
      <c r="I456" s="55" t="s">
        <v>7</v>
      </c>
      <c r="J456" s="1"/>
      <c r="K456" s="1"/>
      <c r="L456" s="1"/>
      <c r="M456" s="55" t="s">
        <v>7</v>
      </c>
      <c r="N456" s="1"/>
      <c r="O456" s="1"/>
      <c r="P456" s="1"/>
      <c r="Q456" s="55" t="s">
        <v>7</v>
      </c>
      <c r="R456" s="55" t="s">
        <v>7</v>
      </c>
    </row>
    <row r="457" spans="1:20" ht="15.75" customHeight="1" thickBot="1" x14ac:dyDescent="0.35">
      <c r="A457" s="359" t="s">
        <v>982</v>
      </c>
      <c r="E457" s="55">
        <f>SUM(B457:D457)</f>
        <v>0</v>
      </c>
      <c r="F457" s="1"/>
      <c r="G457" s="1"/>
      <c r="H457" s="1"/>
      <c r="I457" s="55">
        <f>SUM(F457:H457)</f>
        <v>0</v>
      </c>
      <c r="J457" s="1"/>
      <c r="K457" s="1"/>
      <c r="L457" s="1"/>
      <c r="M457" s="55">
        <f>SUM(J457:L457)</f>
        <v>0</v>
      </c>
      <c r="N457" s="1"/>
      <c r="O457" s="1"/>
      <c r="P457" s="1"/>
      <c r="Q457" s="55">
        <f>SUM(N457:P457)</f>
        <v>0</v>
      </c>
      <c r="R457" s="55">
        <f>+E457+I457+M457+Q457</f>
        <v>0</v>
      </c>
      <c r="T457" s="4" t="s">
        <v>938</v>
      </c>
    </row>
    <row r="458" spans="1:20" ht="16.5" customHeight="1" thickBot="1" x14ac:dyDescent="0.35">
      <c r="A458" s="114" t="s">
        <v>63</v>
      </c>
      <c r="B458" s="86">
        <f>SUM(B454:B457)</f>
        <v>0</v>
      </c>
      <c r="C458" s="87">
        <f>SUM(C454:C457)</f>
        <v>0</v>
      </c>
      <c r="D458" s="87">
        <f>SUM(D454:D457)</f>
        <v>0</v>
      </c>
      <c r="E458" s="59">
        <f>SUM(B458:D458)</f>
        <v>0</v>
      </c>
      <c r="F458" s="87">
        <f>SUM(F454:F457)</f>
        <v>0</v>
      </c>
      <c r="G458" s="87">
        <f>SUM(G454:G457)</f>
        <v>0</v>
      </c>
      <c r="H458" s="87">
        <f>SUM(H454:H457)</f>
        <v>0</v>
      </c>
      <c r="I458" s="59">
        <f>SUM(F458:H458)</f>
        <v>0</v>
      </c>
      <c r="J458" s="87">
        <f>SUM(J454:J457)</f>
        <v>0</v>
      </c>
      <c r="K458" s="87">
        <f>SUM(K454:K457)</f>
        <v>0</v>
      </c>
      <c r="L458" s="87">
        <f>SUM(L454:L457)</f>
        <v>0</v>
      </c>
      <c r="M458" s="59">
        <f>SUM(J458:L458)</f>
        <v>0</v>
      </c>
      <c r="N458" s="87">
        <f>SUM(N454:N457)</f>
        <v>0</v>
      </c>
      <c r="O458" s="87">
        <f>SUM(O454:O457)</f>
        <v>0</v>
      </c>
      <c r="P458" s="87">
        <f>SUM(P454:P457)</f>
        <v>0</v>
      </c>
      <c r="Q458" s="59">
        <f>SUM(N458:P458)</f>
        <v>0</v>
      </c>
      <c r="R458" s="59">
        <f>+E458+I458+M458+Q458</f>
        <v>0</v>
      </c>
    </row>
    <row r="459" spans="1:20" ht="15.75" customHeight="1" x14ac:dyDescent="0.3">
      <c r="A459" s="15" t="s">
        <v>64</v>
      </c>
      <c r="B459" s="1"/>
      <c r="C459" s="1"/>
      <c r="D459" s="1"/>
      <c r="E459" s="55" t="s">
        <v>7</v>
      </c>
      <c r="F459" s="1"/>
      <c r="G459" s="1"/>
      <c r="H459" s="1"/>
      <c r="I459" s="55" t="s">
        <v>7</v>
      </c>
      <c r="J459" s="1"/>
      <c r="K459" s="1"/>
      <c r="L459" s="1"/>
      <c r="M459" s="55" t="s">
        <v>7</v>
      </c>
      <c r="N459" s="1"/>
      <c r="O459" s="1"/>
      <c r="P459" s="1"/>
      <c r="Q459" s="55" t="s">
        <v>7</v>
      </c>
      <c r="R459" s="55" t="s">
        <v>7</v>
      </c>
    </row>
    <row r="460" spans="1:20" ht="15.75" customHeight="1" x14ac:dyDescent="0.3">
      <c r="A460" s="15" t="s">
        <v>594</v>
      </c>
      <c r="B460" s="1"/>
      <c r="C460" s="1"/>
      <c r="D460" s="1"/>
      <c r="E460" s="55" t="s">
        <v>7</v>
      </c>
      <c r="F460" s="1"/>
      <c r="G460" s="1"/>
      <c r="H460" s="1"/>
      <c r="I460" s="55" t="s">
        <v>7</v>
      </c>
      <c r="J460" s="1"/>
      <c r="K460" s="1"/>
      <c r="L460" s="1"/>
      <c r="M460" s="55" t="s">
        <v>7</v>
      </c>
      <c r="N460" s="1"/>
      <c r="O460" s="1"/>
      <c r="P460" s="1"/>
      <c r="Q460" s="55" t="s">
        <v>7</v>
      </c>
      <c r="R460" s="55" t="s">
        <v>7</v>
      </c>
    </row>
    <row r="461" spans="1:20" ht="15.75" customHeight="1" x14ac:dyDescent="0.3">
      <c r="A461" s="15" t="s">
        <v>67</v>
      </c>
      <c r="B461" s="1"/>
      <c r="C461" s="1"/>
      <c r="D461" s="1"/>
      <c r="E461" s="55" t="s">
        <v>7</v>
      </c>
      <c r="F461" s="1"/>
      <c r="G461" s="1"/>
      <c r="H461" s="1"/>
      <c r="I461" s="55" t="s">
        <v>7</v>
      </c>
      <c r="J461" s="1"/>
      <c r="K461" s="1"/>
      <c r="L461" s="1"/>
      <c r="M461" s="55" t="s">
        <v>7</v>
      </c>
      <c r="N461" s="1"/>
      <c r="O461" s="1"/>
      <c r="P461" s="1"/>
      <c r="Q461" s="55" t="s">
        <v>7</v>
      </c>
      <c r="R461" s="55" t="s">
        <v>7</v>
      </c>
    </row>
    <row r="462" spans="1:20" ht="15.75" customHeight="1" x14ac:dyDescent="0.3">
      <c r="A462" s="15" t="s">
        <v>600</v>
      </c>
      <c r="B462" s="1"/>
      <c r="C462" s="1"/>
      <c r="D462" s="1"/>
      <c r="E462" s="55" t="s">
        <v>7</v>
      </c>
      <c r="F462" s="1"/>
      <c r="G462" s="1"/>
      <c r="H462" s="1"/>
      <c r="I462" s="55" t="s">
        <v>7</v>
      </c>
      <c r="J462" s="1"/>
      <c r="K462" s="1"/>
      <c r="L462" s="1"/>
      <c r="M462" s="55" t="s">
        <v>7</v>
      </c>
      <c r="N462" s="1"/>
      <c r="O462" s="1"/>
      <c r="P462" s="1"/>
      <c r="Q462" s="55" t="s">
        <v>7</v>
      </c>
      <c r="R462" s="55" t="s">
        <v>7</v>
      </c>
    </row>
    <row r="463" spans="1:20" ht="15.75" customHeight="1" x14ac:dyDescent="0.3">
      <c r="A463" s="15" t="s">
        <v>70</v>
      </c>
      <c r="B463" s="1"/>
      <c r="C463" s="1"/>
      <c r="D463" s="1"/>
      <c r="E463" s="55" t="s">
        <v>7</v>
      </c>
      <c r="F463" s="1"/>
      <c r="G463" s="1"/>
      <c r="H463" s="1"/>
      <c r="I463" s="55" t="s">
        <v>7</v>
      </c>
      <c r="J463" s="1"/>
      <c r="K463" s="1"/>
      <c r="L463" s="1"/>
      <c r="M463" s="55" t="s">
        <v>7</v>
      </c>
      <c r="N463" s="1"/>
      <c r="O463" s="1"/>
      <c r="P463" s="1"/>
      <c r="Q463" s="55" t="s">
        <v>7</v>
      </c>
      <c r="R463" s="55" t="s">
        <v>7</v>
      </c>
    </row>
    <row r="464" spans="1:20" ht="15.75" customHeight="1" x14ac:dyDescent="0.3">
      <c r="A464" s="71" t="s">
        <v>977</v>
      </c>
      <c r="B464" s="1"/>
      <c r="C464" s="1"/>
      <c r="D464" s="1"/>
      <c r="E464" s="55">
        <f t="shared" ref="E464:E469" si="82">SUM(B464:D464)</f>
        <v>0</v>
      </c>
      <c r="F464" s="1"/>
      <c r="G464" s="1"/>
      <c r="H464" s="1"/>
      <c r="I464" s="55">
        <f t="shared" ref="I464:I469" si="83">SUM(F464:H464)</f>
        <v>0</v>
      </c>
      <c r="J464" s="1"/>
      <c r="K464" s="1"/>
      <c r="L464" s="1"/>
      <c r="M464" s="55">
        <f t="shared" ref="M464:M469" si="84">SUM(J464:L464)</f>
        <v>0</v>
      </c>
      <c r="N464" s="1"/>
      <c r="O464" s="1"/>
      <c r="P464" s="1"/>
      <c r="Q464" s="55">
        <f t="shared" ref="Q464:Q469" si="85">SUM(N464:P464)</f>
        <v>0</v>
      </c>
      <c r="R464" s="55">
        <f t="shared" ref="R464:R469" si="86">+E464+I464+M464+Q464</f>
        <v>0</v>
      </c>
      <c r="T464" s="4" t="s">
        <v>938</v>
      </c>
    </row>
    <row r="465" spans="1:20" ht="15.75" customHeight="1" thickBot="1" x14ac:dyDescent="0.35">
      <c r="A465" s="71" t="s">
        <v>983</v>
      </c>
      <c r="B465" s="1"/>
      <c r="C465" s="1"/>
      <c r="D465" s="1"/>
      <c r="E465" s="55">
        <f t="shared" si="82"/>
        <v>0</v>
      </c>
      <c r="F465" s="1"/>
      <c r="G465" s="1"/>
      <c r="H465" s="1"/>
      <c r="I465" s="55">
        <f t="shared" si="83"/>
        <v>0</v>
      </c>
      <c r="J465" s="1"/>
      <c r="K465" s="1"/>
      <c r="L465" s="1"/>
      <c r="M465" s="55">
        <f t="shared" si="84"/>
        <v>0</v>
      </c>
      <c r="N465" s="1"/>
      <c r="O465" s="1"/>
      <c r="P465" s="1"/>
      <c r="Q465" s="55">
        <f t="shared" si="85"/>
        <v>0</v>
      </c>
      <c r="R465" s="55">
        <f t="shared" si="86"/>
        <v>0</v>
      </c>
      <c r="T465" s="4" t="s">
        <v>938</v>
      </c>
    </row>
    <row r="466" spans="1:20" ht="16.5" customHeight="1" thickBot="1" x14ac:dyDescent="0.35">
      <c r="A466" s="57" t="s">
        <v>71</v>
      </c>
      <c r="B466" s="58">
        <f>SUM(B462:B465)</f>
        <v>0</v>
      </c>
      <c r="C466" s="58">
        <f>SUM(C462:C465)</f>
        <v>0</v>
      </c>
      <c r="D466" s="58">
        <f>SUM(D462:D465)</f>
        <v>0</v>
      </c>
      <c r="E466" s="60">
        <f t="shared" si="82"/>
        <v>0</v>
      </c>
      <c r="F466" s="58">
        <f>SUM(F462:F465)</f>
        <v>0</v>
      </c>
      <c r="G466" s="58">
        <f>SUM(G462:G465)</f>
        <v>0</v>
      </c>
      <c r="H466" s="58">
        <f>SUM(H462:H465)</f>
        <v>0</v>
      </c>
      <c r="I466" s="60">
        <f t="shared" si="83"/>
        <v>0</v>
      </c>
      <c r="J466" s="58">
        <f>SUM(J462:J465)</f>
        <v>0</v>
      </c>
      <c r="K466" s="58">
        <f>SUM(K462:K465)</f>
        <v>0</v>
      </c>
      <c r="L466" s="58">
        <f>SUM(L462:L465)</f>
        <v>0</v>
      </c>
      <c r="M466" s="60">
        <f t="shared" si="84"/>
        <v>0</v>
      </c>
      <c r="N466" s="58">
        <f>SUM(N462:N465)</f>
        <v>0</v>
      </c>
      <c r="O466" s="58">
        <f>SUM(O462:O465)</f>
        <v>0</v>
      </c>
      <c r="P466" s="58">
        <f>SUM(P462:P465)</f>
        <v>0</v>
      </c>
      <c r="Q466" s="60">
        <f t="shared" si="85"/>
        <v>0</v>
      </c>
      <c r="R466" s="59">
        <f t="shared" si="86"/>
        <v>0</v>
      </c>
    </row>
    <row r="467" spans="1:20" ht="16.5" customHeight="1" thickBot="1" x14ac:dyDescent="0.35">
      <c r="A467" s="114" t="s">
        <v>72</v>
      </c>
      <c r="B467" s="86">
        <f>SUM(B459:B465)</f>
        <v>0</v>
      </c>
      <c r="C467" s="87">
        <f>SUM(C459:C465)</f>
        <v>0</v>
      </c>
      <c r="D467" s="118">
        <f>SUM(D459:D465)</f>
        <v>0</v>
      </c>
      <c r="E467" s="60">
        <f t="shared" si="82"/>
        <v>0</v>
      </c>
      <c r="F467" s="87">
        <f>SUM(F459:F465)</f>
        <v>0</v>
      </c>
      <c r="G467" s="87">
        <f>SUM(G459:G465)</f>
        <v>0</v>
      </c>
      <c r="H467" s="87">
        <f>SUM(H459:H465)</f>
        <v>0</v>
      </c>
      <c r="I467" s="60">
        <f t="shared" si="83"/>
        <v>0</v>
      </c>
      <c r="J467" s="87">
        <f>SUM(J459:J465)</f>
        <v>0</v>
      </c>
      <c r="K467" s="87">
        <f>SUM(K459:K465)</f>
        <v>0</v>
      </c>
      <c r="L467" s="87">
        <f>SUM(L459:L465)</f>
        <v>0</v>
      </c>
      <c r="M467" s="60">
        <f t="shared" si="84"/>
        <v>0</v>
      </c>
      <c r="N467" s="87">
        <f>SUM(N459:N465)</f>
        <v>0</v>
      </c>
      <c r="O467" s="87">
        <f>SUM(O459:O465)</f>
        <v>0</v>
      </c>
      <c r="P467" s="87">
        <f>SUM(P459:P465)</f>
        <v>0</v>
      </c>
      <c r="Q467" s="60">
        <f t="shared" si="85"/>
        <v>0</v>
      </c>
      <c r="R467" s="59">
        <f t="shared" si="86"/>
        <v>0</v>
      </c>
    </row>
    <row r="468" spans="1:20" ht="16.5" customHeight="1" thickBot="1" x14ac:dyDescent="0.35">
      <c r="A468" s="57" t="s">
        <v>73</v>
      </c>
      <c r="B468" s="90">
        <f>+B448+B453+B458+B467</f>
        <v>1023</v>
      </c>
      <c r="C468" s="58">
        <f>+C448+C453+C458+C467</f>
        <v>2232</v>
      </c>
      <c r="D468" s="58">
        <f>+D448+D453+D458+D467</f>
        <v>5720</v>
      </c>
      <c r="E468" s="59">
        <f t="shared" si="82"/>
        <v>8975</v>
      </c>
      <c r="F468" s="58">
        <f>+F448+F453+F458+F467</f>
        <v>10028</v>
      </c>
      <c r="G468" s="58">
        <f>+G448+G453+G458+G467</f>
        <v>2767</v>
      </c>
      <c r="H468" s="58">
        <f>+H448+H453+H458+H467</f>
        <v>8430</v>
      </c>
      <c r="I468" s="59">
        <f t="shared" si="83"/>
        <v>21225</v>
      </c>
      <c r="J468" s="58">
        <f>+J448+J453+J458+J467</f>
        <v>12099</v>
      </c>
      <c r="K468" s="58">
        <f>+K448+K453+K458+K467</f>
        <v>11049</v>
      </c>
      <c r="L468" s="58">
        <f>+L448+L453+L458+L467</f>
        <v>5186</v>
      </c>
      <c r="M468" s="59">
        <f t="shared" si="84"/>
        <v>28334</v>
      </c>
      <c r="N468" s="58">
        <f>+N448+N453+N458+N467</f>
        <v>2008</v>
      </c>
      <c r="O468" s="58">
        <f>+O448+O453+O458+O467</f>
        <v>319</v>
      </c>
      <c r="P468" s="58">
        <f>+P448+P453+P458+P467</f>
        <v>645</v>
      </c>
      <c r="Q468" s="59">
        <f t="shared" si="85"/>
        <v>2972</v>
      </c>
      <c r="R468" s="81">
        <f t="shared" si="86"/>
        <v>61506</v>
      </c>
    </row>
    <row r="469" spans="1:20" ht="16.5" customHeight="1" thickBot="1" x14ac:dyDescent="0.35">
      <c r="A469" s="39" t="s">
        <v>40</v>
      </c>
      <c r="B469" s="21">
        <v>9</v>
      </c>
      <c r="C469" s="21">
        <v>16</v>
      </c>
      <c r="D469" s="21">
        <v>25</v>
      </c>
      <c r="E469" s="55">
        <f t="shared" si="82"/>
        <v>50</v>
      </c>
      <c r="F469" s="21">
        <v>34</v>
      </c>
      <c r="G469" s="21">
        <v>41</v>
      </c>
      <c r="H469" s="21">
        <v>41</v>
      </c>
      <c r="I469" s="55">
        <f t="shared" si="83"/>
        <v>116</v>
      </c>
      <c r="J469" s="21">
        <v>39</v>
      </c>
      <c r="K469" s="21">
        <v>30</v>
      </c>
      <c r="L469" s="21">
        <v>30</v>
      </c>
      <c r="M469" s="55">
        <f t="shared" si="84"/>
        <v>99</v>
      </c>
      <c r="N469" s="21">
        <v>28</v>
      </c>
      <c r="O469" s="21">
        <v>22</v>
      </c>
      <c r="P469" s="21">
        <v>16</v>
      </c>
      <c r="Q469" s="55">
        <f t="shared" si="85"/>
        <v>66</v>
      </c>
      <c r="R469" s="55">
        <f t="shared" si="86"/>
        <v>331</v>
      </c>
    </row>
    <row r="470" spans="1:20" ht="16.5" customHeight="1" thickBot="1" x14ac:dyDescent="0.35">
      <c r="A470" s="74"/>
      <c r="B470" s="75"/>
      <c r="C470" s="75"/>
      <c r="D470" s="75"/>
      <c r="E470" s="59"/>
      <c r="F470" s="75"/>
      <c r="G470" s="75"/>
      <c r="H470" s="75"/>
      <c r="I470" s="59"/>
      <c r="J470" s="75"/>
      <c r="K470" s="75"/>
      <c r="L470" s="75"/>
      <c r="M470" s="59"/>
      <c r="N470" s="75"/>
      <c r="O470" s="75"/>
      <c r="P470" s="75"/>
      <c r="Q470" s="59"/>
      <c r="R470" s="59" t="s">
        <v>7</v>
      </c>
    </row>
    <row r="471" spans="1:20" ht="15.75" customHeight="1" x14ac:dyDescent="0.3">
      <c r="A471" s="76" t="s">
        <v>41</v>
      </c>
      <c r="B471" s="77">
        <f>SUM(B468:B469)</f>
        <v>1032</v>
      </c>
      <c r="C471" s="77">
        <f>SUM(C468:C469)</f>
        <v>2248</v>
      </c>
      <c r="D471" s="77">
        <f>SUM(D468:D469)</f>
        <v>5745</v>
      </c>
      <c r="E471" s="60">
        <f>SUM(B471:D471)</f>
        <v>9025</v>
      </c>
      <c r="F471" s="77">
        <f>SUM(F468:F469)</f>
        <v>10062</v>
      </c>
      <c r="G471" s="77">
        <f>SUM(G468:G469)</f>
        <v>2808</v>
      </c>
      <c r="H471" s="77">
        <f>SUM(H468:H469)</f>
        <v>8471</v>
      </c>
      <c r="I471" s="60">
        <f>SUM(F471:H471)</f>
        <v>21341</v>
      </c>
      <c r="J471" s="77">
        <f>SUM(J468:J469)</f>
        <v>12138</v>
      </c>
      <c r="K471" s="77">
        <f>SUM(K468:K469)</f>
        <v>11079</v>
      </c>
      <c r="L471" s="77">
        <f>SUM(L468:L469)</f>
        <v>5216</v>
      </c>
      <c r="M471" s="60">
        <f>SUM(J471:L471)</f>
        <v>28433</v>
      </c>
      <c r="N471" s="77">
        <f>SUM(N468:N469)</f>
        <v>2036</v>
      </c>
      <c r="O471" s="77">
        <f>SUM(O468:O469)</f>
        <v>341</v>
      </c>
      <c r="P471" s="77">
        <f>SUM(P468:P469)</f>
        <v>661</v>
      </c>
      <c r="Q471" s="60">
        <f>SUM(N471:P471)</f>
        <v>3038</v>
      </c>
      <c r="R471" s="60">
        <f>+E471+I471+M471+Q471</f>
        <v>61837</v>
      </c>
    </row>
    <row r="472" spans="1:20" ht="15.75" customHeight="1" x14ac:dyDescent="0.3">
      <c r="A472" s="79" t="s">
        <v>42</v>
      </c>
      <c r="B472" s="1">
        <f>(B471/B10)/1.983</f>
        <v>16.787858084036891</v>
      </c>
      <c r="C472" s="1">
        <f>(C471/C10)/1.983</f>
        <v>40.486996614076794</v>
      </c>
      <c r="D472" s="1">
        <f>(D471/D10)/1.983</f>
        <v>93.455663462007706</v>
      </c>
      <c r="E472" s="55" t="s">
        <v>7</v>
      </c>
      <c r="F472" s="1">
        <f>(F471/F10)/1.983</f>
        <v>169.13767019667168</v>
      </c>
      <c r="G472" s="1">
        <f>(G471/G10)/1.983</f>
        <v>45.678590600751548</v>
      </c>
      <c r="H472" s="1">
        <f>(H471/H10)/1.983</f>
        <v>142.39367961001849</v>
      </c>
      <c r="I472" s="55" t="s">
        <v>7</v>
      </c>
      <c r="J472" s="1">
        <f>(J471/J10)/1.983</f>
        <v>197.45254013957347</v>
      </c>
      <c r="K472" s="1">
        <f>(K471/K10)/1.983</f>
        <v>180.22546483822165</v>
      </c>
      <c r="L472" s="1">
        <f>(L471/L10)/1.983</f>
        <v>87.678601445621112</v>
      </c>
      <c r="M472" s="55" t="s">
        <v>7</v>
      </c>
      <c r="N472" s="1">
        <f>(N471/N10)/1.983</f>
        <v>33.12023164641387</v>
      </c>
      <c r="O472" s="1">
        <f>(O471/O10)/1.983</f>
        <v>5.7320558076987727</v>
      </c>
      <c r="P472" s="1">
        <f>(P471/P10)/1.983</f>
        <v>10.752688172043012</v>
      </c>
      <c r="Q472" s="55" t="s">
        <v>7</v>
      </c>
      <c r="R472" s="55" t="s">
        <v>7</v>
      </c>
    </row>
    <row r="473" spans="1:20" ht="15.75" customHeight="1" x14ac:dyDescent="0.3">
      <c r="A473" s="79" t="s">
        <v>303</v>
      </c>
      <c r="B473" s="1">
        <f>B471+B516</f>
        <v>17038</v>
      </c>
      <c r="C473" s="1">
        <f>C471+C516</f>
        <v>24974</v>
      </c>
      <c r="D473" s="1">
        <f>D471+D516</f>
        <v>33370</v>
      </c>
      <c r="E473" s="55">
        <f>SUM(B473:D473)</f>
        <v>75382</v>
      </c>
      <c r="F473" s="1">
        <f>F471+F516</f>
        <v>44135</v>
      </c>
      <c r="G473" s="1">
        <f>G471+G516</f>
        <v>29212</v>
      </c>
      <c r="H473" s="1">
        <f>H471+H516</f>
        <v>32237</v>
      </c>
      <c r="I473" s="55">
        <f>SUM(F473:H473)</f>
        <v>105584</v>
      </c>
      <c r="J473" s="1">
        <f>J471+J516</f>
        <v>41523</v>
      </c>
      <c r="K473" s="1">
        <f>K471+K516</f>
        <v>37282</v>
      </c>
      <c r="L473" s="1">
        <f>L471+L516</f>
        <v>25918</v>
      </c>
      <c r="M473" s="55">
        <f>SUM(J473:L473)</f>
        <v>104723</v>
      </c>
      <c r="N473" s="1">
        <f>N471+N516</f>
        <v>17021</v>
      </c>
      <c r="O473" s="1">
        <f>O471+O516</f>
        <v>8227</v>
      </c>
      <c r="P473" s="1">
        <f>P471+P516</f>
        <v>17963</v>
      </c>
      <c r="Q473" s="55">
        <f>SUM(N473:P473)</f>
        <v>43211</v>
      </c>
      <c r="R473" s="55">
        <f>+E473+I473+M473+Q473</f>
        <v>328900</v>
      </c>
    </row>
    <row r="474" spans="1:20" ht="16.5" customHeight="1" thickBot="1" x14ac:dyDescent="0.35">
      <c r="A474" s="80" t="s">
        <v>304</v>
      </c>
      <c r="B474" s="25">
        <f>(B473/B10)/1.983</f>
        <v>277.16233143005871</v>
      </c>
      <c r="C474" s="25">
        <f>(C473/C10)/1.983</f>
        <v>449.78747928823572</v>
      </c>
      <c r="D474" s="25">
        <f>(D473/D10)/1.983</f>
        <v>542.83994599254959</v>
      </c>
      <c r="E474" s="81" t="s">
        <v>7</v>
      </c>
      <c r="F474" s="25">
        <f>(F473/F10)/1.983</f>
        <v>741.88939317532356</v>
      </c>
      <c r="G474" s="25">
        <f>(G473/G10)/1.983</f>
        <v>475.20049452605207</v>
      </c>
      <c r="H474" s="25">
        <f>(H473/H10)/1.983</f>
        <v>541.88939317532356</v>
      </c>
      <c r="I474" s="81" t="s">
        <v>7</v>
      </c>
      <c r="J474" s="25">
        <f>(J473/J10)/1.983</f>
        <v>675.46727831731005</v>
      </c>
      <c r="K474" s="25">
        <f>(K473/K10)/1.983</f>
        <v>606.47764059017777</v>
      </c>
      <c r="L474" s="25">
        <f>(L473/L10)/1.983</f>
        <v>435.66986048075302</v>
      </c>
      <c r="M474" s="81" t="s">
        <v>7</v>
      </c>
      <c r="N474" s="25">
        <f>(N473/N10)/1.983</f>
        <v>276.88578725619379</v>
      </c>
      <c r="O474" s="25">
        <f>(O473/O10)/1.983</f>
        <v>138.29214994116657</v>
      </c>
      <c r="P474" s="25">
        <f>(P473/P10)/1.983</f>
        <v>292.20958794918096</v>
      </c>
      <c r="Q474" s="81" t="s">
        <v>7</v>
      </c>
      <c r="R474" s="81" t="s">
        <v>7</v>
      </c>
    </row>
    <row r="475" spans="1:20" ht="15.75" customHeight="1" x14ac:dyDescent="0.3">
      <c r="A475" s="2"/>
      <c r="B475" s="1"/>
      <c r="C475" s="1"/>
      <c r="D475" s="1"/>
      <c r="E475" s="1"/>
      <c r="F475" s="1"/>
      <c r="G475" s="1"/>
      <c r="H475" s="1"/>
      <c r="I475" s="1"/>
      <c r="J475" s="1"/>
      <c r="K475" s="1"/>
      <c r="L475" s="1"/>
      <c r="M475" s="1"/>
      <c r="N475" s="1"/>
      <c r="O475" s="1"/>
      <c r="P475" s="1"/>
      <c r="Q475" s="1"/>
      <c r="R475" s="2"/>
    </row>
    <row r="476" spans="1:20" ht="15.75" customHeight="1" thickBot="1" x14ac:dyDescent="0.35">
      <c r="A476" s="2"/>
      <c r="B476" s="1"/>
      <c r="C476" s="1"/>
      <c r="D476" s="1"/>
      <c r="E476" s="1"/>
      <c r="F476" s="1"/>
      <c r="G476" s="1"/>
      <c r="H476" s="1"/>
      <c r="I476" s="1"/>
      <c r="J476" s="1"/>
      <c r="K476" s="1"/>
      <c r="L476" s="1"/>
      <c r="M476" s="1"/>
      <c r="N476" s="1"/>
      <c r="O476" s="1"/>
      <c r="P476" s="1"/>
      <c r="Q476" s="1"/>
      <c r="R476" s="2"/>
    </row>
    <row r="477" spans="1:20" ht="16.5" customHeight="1" thickBot="1" x14ac:dyDescent="0.35">
      <c r="A477" s="124" t="s">
        <v>305</v>
      </c>
      <c r="B477" s="30" t="s">
        <v>8</v>
      </c>
      <c r="C477" s="31" t="s">
        <v>9</v>
      </c>
      <c r="D477" s="31" t="s">
        <v>10</v>
      </c>
      <c r="E477" s="32" t="s">
        <v>11</v>
      </c>
      <c r="F477" s="31" t="s">
        <v>12</v>
      </c>
      <c r="G477" s="31" t="s">
        <v>13</v>
      </c>
      <c r="H477" s="31" t="s">
        <v>14</v>
      </c>
      <c r="I477" s="33" t="s">
        <v>15</v>
      </c>
      <c r="J477" s="31" t="s">
        <v>16</v>
      </c>
      <c r="K477" s="31" t="s">
        <v>17</v>
      </c>
      <c r="L477" s="31" t="s">
        <v>18</v>
      </c>
      <c r="M477" s="33" t="s">
        <v>19</v>
      </c>
      <c r="N477" s="31" t="s">
        <v>20</v>
      </c>
      <c r="O477" s="31" t="s">
        <v>21</v>
      </c>
      <c r="P477" s="31" t="s">
        <v>22</v>
      </c>
      <c r="Q477" s="33" t="s">
        <v>23</v>
      </c>
      <c r="R477" s="34" t="s">
        <v>24</v>
      </c>
    </row>
    <row r="478" spans="1:20" ht="16.5" customHeight="1" thickBot="1" x14ac:dyDescent="0.35">
      <c r="A478" s="59"/>
      <c r="B478" s="75"/>
      <c r="C478" s="75"/>
      <c r="D478" s="75"/>
      <c r="E478" s="69"/>
      <c r="F478" s="75"/>
      <c r="G478" s="75"/>
      <c r="H478" s="75"/>
      <c r="I478" s="82"/>
      <c r="J478" s="75"/>
      <c r="K478" s="75"/>
      <c r="L478" s="75"/>
      <c r="M478" s="82"/>
      <c r="N478" s="75"/>
      <c r="O478" s="75"/>
      <c r="P478" s="75"/>
      <c r="Q478" s="82"/>
      <c r="R478" s="100"/>
    </row>
    <row r="479" spans="1:20" ht="15.75" customHeight="1" x14ac:dyDescent="0.3">
      <c r="A479" s="15" t="s">
        <v>48</v>
      </c>
      <c r="B479" s="1" t="s">
        <v>7</v>
      </c>
      <c r="C479" s="1" t="s">
        <v>7</v>
      </c>
      <c r="D479" s="1" t="s">
        <v>7</v>
      </c>
      <c r="E479" s="55" t="s">
        <v>7</v>
      </c>
      <c r="F479" s="1" t="s">
        <v>7</v>
      </c>
      <c r="G479" s="1" t="s">
        <v>7</v>
      </c>
      <c r="H479" s="1" t="s">
        <v>7</v>
      </c>
      <c r="I479" s="55" t="s">
        <v>7</v>
      </c>
      <c r="J479" s="1" t="s">
        <v>7</v>
      </c>
      <c r="K479" s="1" t="s">
        <v>7</v>
      </c>
      <c r="L479" s="1" t="s">
        <v>7</v>
      </c>
      <c r="M479" s="55" t="s">
        <v>7</v>
      </c>
      <c r="N479" s="1" t="s">
        <v>7</v>
      </c>
      <c r="O479" s="1" t="s">
        <v>7</v>
      </c>
      <c r="P479" s="1" t="s">
        <v>7</v>
      </c>
      <c r="Q479" s="55" t="s">
        <v>7</v>
      </c>
      <c r="R479" s="55" t="s">
        <v>7</v>
      </c>
    </row>
    <row r="480" spans="1:20" ht="15.75" customHeight="1" x14ac:dyDescent="0.3">
      <c r="A480" s="15" t="s">
        <v>49</v>
      </c>
      <c r="B480" s="1"/>
      <c r="C480" s="1"/>
      <c r="D480" s="1"/>
      <c r="E480" s="55" t="s">
        <v>7</v>
      </c>
      <c r="F480" s="1"/>
      <c r="G480" s="1"/>
      <c r="H480" s="1"/>
      <c r="I480" s="55" t="s">
        <v>7</v>
      </c>
      <c r="J480" s="1"/>
      <c r="K480" s="1"/>
      <c r="L480" s="1"/>
      <c r="M480" s="55" t="s">
        <v>7</v>
      </c>
      <c r="N480" s="1"/>
      <c r="O480" s="1"/>
      <c r="P480" s="1"/>
      <c r="Q480" s="55" t="s">
        <v>7</v>
      </c>
      <c r="R480" s="55" t="s">
        <v>7</v>
      </c>
    </row>
    <row r="481" spans="1:20" ht="15.75" customHeight="1" x14ac:dyDescent="0.3">
      <c r="A481" s="15" t="s">
        <v>984</v>
      </c>
      <c r="B481" s="1"/>
      <c r="C481" s="1"/>
      <c r="D481" s="1"/>
      <c r="E481" s="55">
        <f>SUM(B481:D481)</f>
        <v>0</v>
      </c>
      <c r="F481" s="1"/>
      <c r="G481" s="1">
        <v>1400</v>
      </c>
      <c r="H481" s="1"/>
      <c r="I481" s="55">
        <f>SUM(F481:H481)</f>
        <v>1400</v>
      </c>
      <c r="J481" s="1"/>
      <c r="K481" s="1"/>
      <c r="L481" s="1"/>
      <c r="M481" s="55">
        <f>SUM(J481:L481)</f>
        <v>0</v>
      </c>
      <c r="N481" s="1"/>
      <c r="O481" s="1"/>
      <c r="P481" s="1"/>
      <c r="Q481" s="55">
        <f>SUM(N481:P481)</f>
        <v>0</v>
      </c>
      <c r="R481" s="55">
        <f>+E481+I481+M481+Q481</f>
        <v>1400</v>
      </c>
      <c r="T481" s="4" t="s">
        <v>939</v>
      </c>
    </row>
    <row r="482" spans="1:20" ht="15.75" customHeight="1" x14ac:dyDescent="0.3">
      <c r="A482" s="71" t="s">
        <v>306</v>
      </c>
      <c r="B482" s="1"/>
      <c r="C482" s="1"/>
      <c r="D482" s="1">
        <v>317</v>
      </c>
      <c r="E482" s="55">
        <f>SUM(B482:D482)</f>
        <v>317</v>
      </c>
      <c r="F482" s="1">
        <v>159</v>
      </c>
      <c r="G482" s="1">
        <v>110</v>
      </c>
      <c r="H482" s="1"/>
      <c r="I482" s="55">
        <f>SUM(F482:H482)</f>
        <v>269</v>
      </c>
      <c r="J482" s="1">
        <v>414</v>
      </c>
      <c r="K482" s="1"/>
      <c r="L482" s="1"/>
      <c r="M482" s="55">
        <f>SUM(J482:L482)</f>
        <v>414</v>
      </c>
      <c r="N482" s="1"/>
      <c r="O482" s="1"/>
      <c r="P482" s="1"/>
      <c r="Q482" s="55">
        <f>SUM(N482:P482)</f>
        <v>0</v>
      </c>
      <c r="R482" s="55">
        <f>+E482+I482+M482+Q482</f>
        <v>1000</v>
      </c>
    </row>
    <row r="483" spans="1:20" ht="15.75" customHeight="1" x14ac:dyDescent="0.3">
      <c r="A483" s="71" t="s">
        <v>656</v>
      </c>
      <c r="B483" s="1"/>
      <c r="C483" s="1"/>
      <c r="D483" s="1"/>
      <c r="E483" s="55">
        <f>SUM(B483:D483)</f>
        <v>0</v>
      </c>
      <c r="F483" s="1">
        <v>500</v>
      </c>
      <c r="G483" s="1">
        <v>1107</v>
      </c>
      <c r="H483" s="1">
        <v>1110</v>
      </c>
      <c r="I483" s="55">
        <f>SUM(F483:H483)</f>
        <v>2717</v>
      </c>
      <c r="J483" s="1">
        <v>349</v>
      </c>
      <c r="K483" s="1">
        <v>934</v>
      </c>
      <c r="L483" s="1"/>
      <c r="M483" s="55">
        <f>SUM(J483:L483)</f>
        <v>1283</v>
      </c>
      <c r="N483" s="1"/>
      <c r="O483" s="1"/>
      <c r="P483" s="1"/>
      <c r="Q483" s="55">
        <f>SUM(N483:P483)</f>
        <v>0</v>
      </c>
      <c r="R483" s="55">
        <f>+E483+I483+M483+Q483</f>
        <v>4000</v>
      </c>
    </row>
    <row r="484" spans="1:20" ht="15.75" customHeight="1" x14ac:dyDescent="0.3">
      <c r="A484" s="71" t="s">
        <v>657</v>
      </c>
      <c r="B484" s="1"/>
      <c r="C484" s="1"/>
      <c r="D484" s="1"/>
      <c r="E484" s="55">
        <f>SUM(B484:D484)</f>
        <v>0</v>
      </c>
      <c r="F484" s="1"/>
      <c r="G484" s="1"/>
      <c r="H484" s="1"/>
      <c r="I484" s="55">
        <f>SUM(F484:H484)</f>
        <v>0</v>
      </c>
      <c r="J484" s="1">
        <v>250</v>
      </c>
      <c r="K484" s="1">
        <v>46</v>
      </c>
      <c r="L484" s="1">
        <v>363</v>
      </c>
      <c r="M484" s="55">
        <f>SUM(J484:L484)</f>
        <v>659</v>
      </c>
      <c r="N484" s="1">
        <v>56</v>
      </c>
      <c r="O484" s="1"/>
      <c r="P484" s="1">
        <v>42</v>
      </c>
      <c r="Q484" s="55">
        <f>SUM(N484:P484)</f>
        <v>98</v>
      </c>
      <c r="R484" s="55">
        <f>+E484+I484+M484+Q484</f>
        <v>757</v>
      </c>
    </row>
    <row r="485" spans="1:20" ht="15.75" customHeight="1" x14ac:dyDescent="0.3">
      <c r="A485" s="15" t="s">
        <v>50</v>
      </c>
      <c r="B485" s="1"/>
      <c r="C485" s="1"/>
      <c r="D485" s="1"/>
      <c r="E485" s="55" t="s">
        <v>7</v>
      </c>
      <c r="F485" s="1"/>
      <c r="G485" s="1"/>
      <c r="H485" s="1"/>
      <c r="I485" s="55" t="s">
        <v>7</v>
      </c>
      <c r="J485" s="1"/>
      <c r="K485" s="1"/>
      <c r="L485" s="1"/>
      <c r="M485" s="55" t="s">
        <v>7</v>
      </c>
      <c r="N485" s="1"/>
      <c r="O485" s="1"/>
      <c r="P485" s="1"/>
      <c r="Q485" s="55" t="s">
        <v>7</v>
      </c>
      <c r="R485" s="55" t="s">
        <v>7</v>
      </c>
    </row>
    <row r="486" spans="1:20" ht="15.75" customHeight="1" x14ac:dyDescent="0.3">
      <c r="A486" s="15" t="s">
        <v>51</v>
      </c>
      <c r="B486" s="1"/>
      <c r="C486" s="1"/>
      <c r="D486" s="1"/>
      <c r="E486" s="55" t="s">
        <v>7</v>
      </c>
      <c r="F486" s="1"/>
      <c r="G486" s="1"/>
      <c r="H486" s="1"/>
      <c r="I486" s="55" t="s">
        <v>7</v>
      </c>
      <c r="J486" s="1"/>
      <c r="K486" s="1"/>
      <c r="L486" s="1"/>
      <c r="M486" s="55" t="s">
        <v>7</v>
      </c>
      <c r="N486" s="1"/>
      <c r="O486" s="1"/>
      <c r="P486" s="1"/>
      <c r="Q486" s="55" t="s">
        <v>7</v>
      </c>
      <c r="R486" s="55" t="s">
        <v>7</v>
      </c>
    </row>
    <row r="487" spans="1:20" ht="15.75" customHeight="1" thickBot="1" x14ac:dyDescent="0.35">
      <c r="A487" s="15" t="s">
        <v>53</v>
      </c>
      <c r="B487" s="1"/>
      <c r="C487" s="1"/>
      <c r="D487" s="1"/>
      <c r="E487" s="55" t="s">
        <v>7</v>
      </c>
      <c r="F487" s="1"/>
      <c r="G487" s="1"/>
      <c r="H487" s="1"/>
      <c r="I487" s="55" t="s">
        <v>7</v>
      </c>
      <c r="J487" s="1"/>
      <c r="K487" s="1"/>
      <c r="L487" s="1"/>
      <c r="M487" s="55" t="s">
        <v>7</v>
      </c>
      <c r="N487" s="1"/>
      <c r="O487" s="1"/>
      <c r="P487" s="1"/>
      <c r="Q487" s="55" t="s">
        <v>7</v>
      </c>
      <c r="R487" s="55" t="s">
        <v>7</v>
      </c>
    </row>
    <row r="488" spans="1:20" ht="16.5" customHeight="1" thickBot="1" x14ac:dyDescent="0.35">
      <c r="A488" s="109" t="s">
        <v>54</v>
      </c>
      <c r="B488" s="86">
        <f>SUM(B479:B487)</f>
        <v>0</v>
      </c>
      <c r="C488" s="87">
        <f>SUM(C479:C487)</f>
        <v>0</v>
      </c>
      <c r="D488" s="87">
        <f>SUM(D479:D487)</f>
        <v>317</v>
      </c>
      <c r="E488" s="59">
        <f>SUM(B488:D488)</f>
        <v>317</v>
      </c>
      <c r="F488" s="87">
        <f>SUM(F479:F487)</f>
        <v>659</v>
      </c>
      <c r="G488" s="87">
        <f>SUM(G479:G487)</f>
        <v>2617</v>
      </c>
      <c r="H488" s="87">
        <f>SUM(H479:H487)</f>
        <v>1110</v>
      </c>
      <c r="I488" s="59">
        <f>SUM(F488:H488)</f>
        <v>4386</v>
      </c>
      <c r="J488" s="87">
        <f>SUM(J479:J487)</f>
        <v>1013</v>
      </c>
      <c r="K488" s="87">
        <f>SUM(K479:K487)</f>
        <v>980</v>
      </c>
      <c r="L488" s="87">
        <f>SUM(L479:L487)</f>
        <v>363</v>
      </c>
      <c r="M488" s="59">
        <f>SUM(J488:L488)</f>
        <v>2356</v>
      </c>
      <c r="N488" s="87">
        <f>SUM(N479:N487)</f>
        <v>56</v>
      </c>
      <c r="O488" s="87">
        <f>SUM(O479:O487)</f>
        <v>0</v>
      </c>
      <c r="P488" s="87">
        <f>SUM(P479:P487)</f>
        <v>42</v>
      </c>
      <c r="Q488" s="59">
        <f>SUM(N488:P488)</f>
        <v>98</v>
      </c>
      <c r="R488" s="59">
        <f>+E488+I488+M488+Q488</f>
        <v>7157</v>
      </c>
    </row>
    <row r="489" spans="1:20" ht="15.75" customHeight="1" x14ac:dyDescent="0.3">
      <c r="A489" s="15" t="s">
        <v>55</v>
      </c>
      <c r="B489" s="1"/>
      <c r="C489" s="1"/>
      <c r="D489" s="1"/>
      <c r="E489" s="60" t="s">
        <v>7</v>
      </c>
      <c r="F489" s="1"/>
      <c r="G489" s="1"/>
      <c r="H489" s="1"/>
      <c r="I489" s="60" t="s">
        <v>7</v>
      </c>
      <c r="J489" s="1"/>
      <c r="K489" s="1"/>
      <c r="L489" s="1"/>
      <c r="M489" s="60" t="s">
        <v>7</v>
      </c>
      <c r="N489" s="1"/>
      <c r="O489" s="1"/>
      <c r="P489" s="1"/>
      <c r="Q489" s="60" t="s">
        <v>7</v>
      </c>
      <c r="R489" s="125" t="s">
        <v>7</v>
      </c>
    </row>
    <row r="490" spans="1:20" ht="15.75" customHeight="1" x14ac:dyDescent="0.3">
      <c r="A490" s="15" t="s">
        <v>57</v>
      </c>
      <c r="B490" s="1"/>
      <c r="C490" s="1"/>
      <c r="D490" s="1"/>
      <c r="E490" s="55" t="s">
        <v>7</v>
      </c>
      <c r="F490" s="1"/>
      <c r="G490" s="1"/>
      <c r="H490" s="1"/>
      <c r="I490" s="55" t="s">
        <v>7</v>
      </c>
      <c r="J490" s="1"/>
      <c r="K490" s="1"/>
      <c r="L490" s="1"/>
      <c r="M490" s="55" t="s">
        <v>7</v>
      </c>
      <c r="N490" s="1"/>
      <c r="O490" s="1"/>
      <c r="P490" s="1"/>
      <c r="Q490" s="55" t="s">
        <v>7</v>
      </c>
      <c r="R490" s="125" t="s">
        <v>7</v>
      </c>
    </row>
    <row r="491" spans="1:20" ht="15.75" customHeight="1" x14ac:dyDescent="0.3">
      <c r="A491" s="71" t="s">
        <v>569</v>
      </c>
      <c r="B491" s="1">
        <v>918</v>
      </c>
      <c r="C491" s="1">
        <v>779</v>
      </c>
      <c r="D491" s="1">
        <v>3227</v>
      </c>
      <c r="E491" s="55">
        <f>SUM(B491:D491)</f>
        <v>4924</v>
      </c>
      <c r="F491" s="1">
        <v>6270</v>
      </c>
      <c r="G491" s="1">
        <v>0</v>
      </c>
      <c r="H491" s="1">
        <v>1926</v>
      </c>
      <c r="I491" s="55">
        <f>SUM(F491:H491)</f>
        <v>8196</v>
      </c>
      <c r="J491" s="1">
        <v>4326</v>
      </c>
      <c r="K491" s="1">
        <v>4284</v>
      </c>
      <c r="L491" s="1">
        <v>1818</v>
      </c>
      <c r="M491" s="55">
        <f>SUM(J491:L491)</f>
        <v>10428</v>
      </c>
      <c r="N491" s="1">
        <v>2011</v>
      </c>
      <c r="O491" s="1">
        <v>538</v>
      </c>
      <c r="P491" s="1">
        <v>566</v>
      </c>
      <c r="Q491" s="55">
        <f>SUM(N491:P491)</f>
        <v>3115</v>
      </c>
      <c r="R491" s="55">
        <f>+E491+I491+M491+Q491</f>
        <v>26663</v>
      </c>
      <c r="S491" s="4">
        <f>+SUM(R491,R451,R346)</f>
        <v>99558</v>
      </c>
      <c r="T491" s="4" t="s">
        <v>985</v>
      </c>
    </row>
    <row r="492" spans="1:20" ht="15.75" customHeight="1" x14ac:dyDescent="0.3">
      <c r="A492" s="71" t="s">
        <v>309</v>
      </c>
      <c r="B492" s="1"/>
      <c r="C492" s="1">
        <v>229</v>
      </c>
      <c r="D492" s="1">
        <v>271</v>
      </c>
      <c r="E492" s="55">
        <f>SUM(B492:D492)</f>
        <v>500</v>
      </c>
      <c r="F492" s="1"/>
      <c r="G492" s="1"/>
      <c r="H492" s="1"/>
      <c r="I492" s="55">
        <f>SUM(F492:H492)</f>
        <v>0</v>
      </c>
      <c r="J492" s="1"/>
      <c r="K492" s="1"/>
      <c r="L492" s="1"/>
      <c r="M492" s="55">
        <f>SUM(J492:L492)</f>
        <v>0</v>
      </c>
      <c r="N492" s="1"/>
      <c r="O492" s="1"/>
      <c r="P492" s="1">
        <v>35</v>
      </c>
      <c r="Q492" s="55">
        <f>SUM(N492:P492)</f>
        <v>35</v>
      </c>
      <c r="R492" s="55">
        <f>+E492+I492+M492+Q492</f>
        <v>535</v>
      </c>
    </row>
    <row r="493" spans="1:20" ht="15.75" customHeight="1" thickBot="1" x14ac:dyDescent="0.35">
      <c r="A493" s="15" t="s">
        <v>58</v>
      </c>
      <c r="B493" s="1"/>
      <c r="C493" s="1"/>
      <c r="D493" s="1"/>
      <c r="E493" s="55" t="s">
        <v>7</v>
      </c>
      <c r="F493" s="1"/>
      <c r="G493" s="1"/>
      <c r="H493" s="1"/>
      <c r="I493" s="55" t="s">
        <v>7</v>
      </c>
      <c r="J493" s="1"/>
      <c r="K493" s="1"/>
      <c r="L493" s="1"/>
      <c r="M493" s="55" t="s">
        <v>7</v>
      </c>
      <c r="N493" s="1"/>
      <c r="O493" s="1"/>
      <c r="P493" s="1"/>
      <c r="Q493" s="55" t="s">
        <v>7</v>
      </c>
      <c r="R493" s="125" t="s">
        <v>7</v>
      </c>
    </row>
    <row r="494" spans="1:20" ht="16.5" customHeight="1" thickBot="1" x14ac:dyDescent="0.35">
      <c r="A494" s="57" t="s">
        <v>59</v>
      </c>
      <c r="B494" s="86">
        <f>SUM(B489:B493)</f>
        <v>918</v>
      </c>
      <c r="C494" s="87">
        <f>SUM(C489:C493)</f>
        <v>1008</v>
      </c>
      <c r="D494" s="87">
        <f>SUM(D489:D493)</f>
        <v>3498</v>
      </c>
      <c r="E494" s="59">
        <f>SUM(B494:D494)</f>
        <v>5424</v>
      </c>
      <c r="F494" s="87">
        <f>SUM(F489:F493)</f>
        <v>6270</v>
      </c>
      <c r="G494" s="87">
        <f>SUM(G489:G493)</f>
        <v>0</v>
      </c>
      <c r="H494" s="87">
        <f>SUM(H489:H493)</f>
        <v>1926</v>
      </c>
      <c r="I494" s="59">
        <f>SUM(F494:H494)</f>
        <v>8196</v>
      </c>
      <c r="J494" s="87">
        <f>SUM(J489:J493)</f>
        <v>4326</v>
      </c>
      <c r="K494" s="87">
        <f>SUM(K489:K493)</f>
        <v>4284</v>
      </c>
      <c r="L494" s="87">
        <f>SUM(L489:L493)</f>
        <v>1818</v>
      </c>
      <c r="M494" s="59">
        <f>SUM(J494:L494)</f>
        <v>10428</v>
      </c>
      <c r="N494" s="87">
        <f>SUM(N489:N493)</f>
        <v>2011</v>
      </c>
      <c r="O494" s="87">
        <f>SUM(O489:O493)</f>
        <v>538</v>
      </c>
      <c r="P494" s="87">
        <f>SUM(P489:P493)</f>
        <v>601</v>
      </c>
      <c r="Q494" s="59">
        <f>SUM(N494:P494)</f>
        <v>3150</v>
      </c>
      <c r="R494" s="59">
        <f>+E494+I494+M494+Q494</f>
        <v>27198</v>
      </c>
    </row>
    <row r="495" spans="1:20" ht="15.75" customHeight="1" x14ac:dyDescent="0.3">
      <c r="A495" s="15" t="s">
        <v>60</v>
      </c>
      <c r="B495" s="1"/>
      <c r="C495" s="1"/>
      <c r="D495" s="1"/>
      <c r="E495" s="55" t="s">
        <v>7</v>
      </c>
      <c r="F495" s="1"/>
      <c r="G495" s="1"/>
      <c r="H495" s="1"/>
      <c r="I495" s="55" t="s">
        <v>7</v>
      </c>
      <c r="J495" s="1"/>
      <c r="K495" s="1"/>
      <c r="L495" s="1"/>
      <c r="M495" s="55" t="s">
        <v>7</v>
      </c>
      <c r="N495" s="1"/>
      <c r="O495" s="1"/>
      <c r="P495" s="1"/>
      <c r="Q495" s="55" t="s">
        <v>7</v>
      </c>
      <c r="R495" s="55" t="s">
        <v>7</v>
      </c>
    </row>
    <row r="496" spans="1:20" ht="15.75" customHeight="1" x14ac:dyDescent="0.3">
      <c r="A496" s="15" t="s">
        <v>61</v>
      </c>
      <c r="B496" s="1"/>
      <c r="C496" s="1"/>
      <c r="D496" s="1"/>
      <c r="E496" s="55" t="s">
        <v>7</v>
      </c>
      <c r="F496" s="1"/>
      <c r="G496" s="1"/>
      <c r="H496" s="1"/>
      <c r="I496" s="55" t="s">
        <v>7</v>
      </c>
      <c r="J496" s="1"/>
      <c r="K496" s="1"/>
      <c r="L496" s="1"/>
      <c r="M496" s="55" t="s">
        <v>7</v>
      </c>
      <c r="N496" s="1"/>
      <c r="O496" s="1"/>
      <c r="P496" s="1"/>
      <c r="Q496" s="55" t="s">
        <v>7</v>
      </c>
      <c r="R496" s="55" t="s">
        <v>7</v>
      </c>
    </row>
    <row r="497" spans="1:20" ht="15.75" customHeight="1" x14ac:dyDescent="0.3">
      <c r="A497" s="15" t="s">
        <v>62</v>
      </c>
      <c r="B497" s="1"/>
      <c r="C497" s="1"/>
      <c r="D497" s="1"/>
      <c r="E497" s="55" t="s">
        <v>7</v>
      </c>
      <c r="F497" s="1"/>
      <c r="G497" s="1"/>
      <c r="H497" s="1"/>
      <c r="I497" s="55" t="s">
        <v>7</v>
      </c>
      <c r="J497" s="1"/>
      <c r="K497" s="1"/>
      <c r="L497" s="1"/>
      <c r="M497" s="55" t="s">
        <v>7</v>
      </c>
      <c r="N497" s="1"/>
      <c r="O497" s="1"/>
      <c r="P497" s="1"/>
      <c r="Q497" s="55" t="s">
        <v>7</v>
      </c>
      <c r="R497" s="55" t="s">
        <v>7</v>
      </c>
    </row>
    <row r="498" spans="1:20" ht="15.75" customHeight="1" thickBot="1" x14ac:dyDescent="0.35">
      <c r="A498" s="359" t="s">
        <v>982</v>
      </c>
      <c r="B498" s="1"/>
      <c r="C498" s="1"/>
      <c r="D498" s="1"/>
      <c r="E498" s="55">
        <f>SUM(B498:D498)</f>
        <v>0</v>
      </c>
      <c r="F498" s="1"/>
      <c r="G498" s="1"/>
      <c r="H498" s="1"/>
      <c r="I498" s="55">
        <f>SUM(F498:H498)</f>
        <v>0</v>
      </c>
      <c r="J498" s="1"/>
      <c r="K498" s="1"/>
      <c r="L498" s="1"/>
      <c r="M498" s="55">
        <f>SUM(J498:L498)</f>
        <v>0</v>
      </c>
      <c r="N498" s="1"/>
      <c r="O498" s="1"/>
      <c r="P498" s="1"/>
      <c r="Q498" s="55">
        <f>SUM(N498:P498)</f>
        <v>0</v>
      </c>
      <c r="R498" s="55">
        <f>+E498+I498+M498+Q498</f>
        <v>0</v>
      </c>
      <c r="T498" s="4" t="s">
        <v>939</v>
      </c>
    </row>
    <row r="499" spans="1:20" ht="16.5" customHeight="1" thickBot="1" x14ac:dyDescent="0.35">
      <c r="A499" s="114" t="s">
        <v>63</v>
      </c>
      <c r="B499" s="86">
        <f>SUM(B495:B498)</f>
        <v>0</v>
      </c>
      <c r="C499" s="87">
        <f>SUM(C495:C498)</f>
        <v>0</v>
      </c>
      <c r="D499" s="87">
        <f>SUM(D495:D498)</f>
        <v>0</v>
      </c>
      <c r="E499" s="59">
        <f>SUM(B499:D499)</f>
        <v>0</v>
      </c>
      <c r="F499" s="87">
        <f>SUM(F495:F498)</f>
        <v>0</v>
      </c>
      <c r="G499" s="87">
        <f>SUM(G495:G498)</f>
        <v>0</v>
      </c>
      <c r="H499" s="87">
        <f>SUM(H495:H498)</f>
        <v>0</v>
      </c>
      <c r="I499" s="59">
        <f>SUM(F499:H499)</f>
        <v>0</v>
      </c>
      <c r="J499" s="87">
        <f>SUM(J495:J498)</f>
        <v>0</v>
      </c>
      <c r="K499" s="87">
        <f>SUM(K495:K498)</f>
        <v>0</v>
      </c>
      <c r="L499" s="87">
        <f>SUM(L495:L498)</f>
        <v>0</v>
      </c>
      <c r="M499" s="59">
        <f>SUM(J499:L499)</f>
        <v>0</v>
      </c>
      <c r="N499" s="87">
        <f>SUM(N495:N498)</f>
        <v>0</v>
      </c>
      <c r="O499" s="87">
        <f>SUM(O495:O498)</f>
        <v>0</v>
      </c>
      <c r="P499" s="87">
        <f>SUM(P495:P498)</f>
        <v>0</v>
      </c>
      <c r="Q499" s="59">
        <f>SUM(N499:P499)</f>
        <v>0</v>
      </c>
      <c r="R499" s="59">
        <f>+E499+I499+M499+Q499</f>
        <v>0</v>
      </c>
    </row>
    <row r="500" spans="1:20" ht="15.75" customHeight="1" x14ac:dyDescent="0.3">
      <c r="A500" s="15" t="s">
        <v>64</v>
      </c>
      <c r="B500" s="1"/>
      <c r="C500" s="1"/>
      <c r="D500" s="1"/>
      <c r="E500" s="55" t="s">
        <v>7</v>
      </c>
      <c r="F500" s="1"/>
      <c r="G500" s="1"/>
      <c r="H500" s="1"/>
      <c r="I500" s="55" t="s">
        <v>7</v>
      </c>
      <c r="J500" s="1"/>
      <c r="K500" s="1"/>
      <c r="L500" s="1"/>
      <c r="M500" s="55" t="s">
        <v>7</v>
      </c>
      <c r="N500" s="1"/>
      <c r="O500" s="1"/>
      <c r="P500" s="1"/>
      <c r="Q500" s="55" t="s">
        <v>7</v>
      </c>
      <c r="R500" s="55" t="s">
        <v>7</v>
      </c>
    </row>
    <row r="501" spans="1:20" ht="15.75" customHeight="1" x14ac:dyDescent="0.3">
      <c r="A501" s="15" t="s">
        <v>594</v>
      </c>
      <c r="B501" s="1"/>
      <c r="C501" s="1"/>
      <c r="D501" s="1"/>
      <c r="E501" s="55" t="s">
        <v>7</v>
      </c>
      <c r="F501" s="1"/>
      <c r="G501" s="1"/>
      <c r="H501" s="1"/>
      <c r="I501" s="55" t="s">
        <v>7</v>
      </c>
      <c r="J501" s="1"/>
      <c r="K501" s="1"/>
      <c r="L501" s="1"/>
      <c r="M501" s="55" t="s">
        <v>7</v>
      </c>
      <c r="N501" s="1"/>
      <c r="O501" s="1"/>
      <c r="P501" s="1"/>
      <c r="Q501" s="55" t="s">
        <v>7</v>
      </c>
      <c r="R501" s="55" t="s">
        <v>7</v>
      </c>
    </row>
    <row r="502" spans="1:20" ht="15.75" customHeight="1" x14ac:dyDescent="0.3">
      <c r="A502" s="15" t="s">
        <v>67</v>
      </c>
      <c r="B502" s="1"/>
      <c r="C502" s="1"/>
      <c r="D502" s="1"/>
      <c r="E502" s="55" t="s">
        <v>7</v>
      </c>
      <c r="F502" s="1"/>
      <c r="G502" s="1"/>
      <c r="H502" s="1"/>
      <c r="I502" s="55" t="s">
        <v>7</v>
      </c>
      <c r="J502" s="1"/>
      <c r="K502" s="1"/>
      <c r="L502" s="1"/>
      <c r="M502" s="55" t="s">
        <v>7</v>
      </c>
      <c r="N502" s="1"/>
      <c r="O502" s="1"/>
      <c r="P502" s="1"/>
      <c r="Q502" s="55" t="s">
        <v>7</v>
      </c>
      <c r="R502" s="55" t="s">
        <v>7</v>
      </c>
    </row>
    <row r="503" spans="1:20" ht="15.75" customHeight="1" x14ac:dyDescent="0.3">
      <c r="A503" s="15" t="s">
        <v>600</v>
      </c>
      <c r="B503" s="1"/>
      <c r="C503" s="1"/>
      <c r="D503" s="1"/>
      <c r="E503" s="55" t="s">
        <v>7</v>
      </c>
      <c r="F503" s="1"/>
      <c r="G503" s="1"/>
      <c r="H503" s="1"/>
      <c r="I503" s="55" t="s">
        <v>7</v>
      </c>
      <c r="J503" s="1"/>
      <c r="K503" s="1"/>
      <c r="L503" s="1"/>
      <c r="M503" s="55" t="s">
        <v>7</v>
      </c>
      <c r="N503" s="1"/>
      <c r="O503" s="1"/>
      <c r="P503" s="1"/>
      <c r="Q503" s="55" t="s">
        <v>7</v>
      </c>
      <c r="R503" s="55" t="s">
        <v>7</v>
      </c>
    </row>
    <row r="504" spans="1:20" ht="15.75" customHeight="1" x14ac:dyDescent="0.3">
      <c r="A504" s="71" t="s">
        <v>570</v>
      </c>
      <c r="B504" s="1"/>
      <c r="C504" s="1"/>
      <c r="D504" s="1"/>
      <c r="E504" s="55">
        <f>SUM(B504:D504)</f>
        <v>0</v>
      </c>
      <c r="F504" s="1"/>
      <c r="G504" s="1"/>
      <c r="H504" s="1"/>
      <c r="I504" s="55">
        <f>SUM(F504:H504)</f>
        <v>0</v>
      </c>
      <c r="J504" s="1"/>
      <c r="K504" s="1"/>
      <c r="L504" s="1"/>
      <c r="M504" s="55">
        <f>SUM(J504:L504)</f>
        <v>0</v>
      </c>
      <c r="N504" s="1"/>
      <c r="O504" s="1"/>
      <c r="P504" s="1"/>
      <c r="Q504" s="55">
        <f>SUM(N504:P504)</f>
        <v>0</v>
      </c>
      <c r="R504" s="55">
        <f>+E504+I504+M504+Q504</f>
        <v>0</v>
      </c>
    </row>
    <row r="505" spans="1:20" ht="15.75" customHeight="1" x14ac:dyDescent="0.3">
      <c r="A505" s="15" t="s">
        <v>70</v>
      </c>
      <c r="B505" s="1"/>
      <c r="C505" s="1"/>
      <c r="D505" s="1"/>
      <c r="E505" s="55"/>
      <c r="F505" s="1"/>
      <c r="G505" s="1"/>
      <c r="H505" s="1"/>
      <c r="I505" s="55"/>
      <c r="J505" s="1"/>
      <c r="K505" s="1"/>
      <c r="L505" s="1"/>
      <c r="M505" s="55"/>
      <c r="N505" s="1"/>
      <c r="O505" s="1"/>
      <c r="P505" s="1"/>
      <c r="Q505" s="55"/>
      <c r="R505" s="55" t="s">
        <v>7</v>
      </c>
    </row>
    <row r="506" spans="1:20" ht="15.75" customHeight="1" x14ac:dyDescent="0.3">
      <c r="A506" s="71" t="s">
        <v>977</v>
      </c>
      <c r="B506" s="1"/>
      <c r="C506" s="1"/>
      <c r="D506" s="1"/>
      <c r="E506" s="55">
        <f t="shared" ref="E506:E512" si="87">SUM(B506:D506)</f>
        <v>0</v>
      </c>
      <c r="F506" s="1"/>
      <c r="G506" s="1"/>
      <c r="H506" s="1"/>
      <c r="I506" s="55">
        <f t="shared" ref="I506:I512" si="88">SUM(F506:H506)</f>
        <v>0</v>
      </c>
      <c r="J506" s="1"/>
      <c r="K506" s="1"/>
      <c r="L506" s="1"/>
      <c r="M506" s="55">
        <f t="shared" ref="M506:M512" si="89">SUM(J506:L506)</f>
        <v>0</v>
      </c>
      <c r="N506" s="1"/>
      <c r="O506" s="1"/>
      <c r="P506" s="1"/>
      <c r="Q506" s="55">
        <f t="shared" ref="Q506:Q512" si="90">SUM(N506:P506)</f>
        <v>0</v>
      </c>
      <c r="R506" s="55">
        <f t="shared" ref="R506:R512" si="91">+E506+I506+M506+Q506</f>
        <v>0</v>
      </c>
      <c r="T506" s="4" t="s">
        <v>939</v>
      </c>
    </row>
    <row r="507" spans="1:20" ht="15.75" customHeight="1" x14ac:dyDescent="0.3">
      <c r="A507" s="71" t="s">
        <v>986</v>
      </c>
      <c r="B507" s="1"/>
      <c r="C507" s="1"/>
      <c r="D507" s="1"/>
      <c r="E507" s="55">
        <f>SUM(B507:D507)</f>
        <v>0</v>
      </c>
      <c r="F507" s="1"/>
      <c r="G507" s="1"/>
      <c r="H507" s="1"/>
      <c r="I507" s="55">
        <f>SUM(F507:H507)</f>
        <v>0</v>
      </c>
      <c r="J507" s="1"/>
      <c r="K507" s="1"/>
      <c r="L507" s="1"/>
      <c r="M507" s="55">
        <f>SUM(J507:L507)</f>
        <v>0</v>
      </c>
      <c r="N507" s="1"/>
      <c r="O507" s="1"/>
      <c r="P507" s="1"/>
      <c r="Q507" s="55">
        <f>SUM(N507:P507)</f>
        <v>0</v>
      </c>
      <c r="R507" s="55">
        <f>+E507+I507+M507+Q507</f>
        <v>0</v>
      </c>
      <c r="T507" s="4" t="s">
        <v>939</v>
      </c>
    </row>
    <row r="508" spans="1:20" ht="15.75" customHeight="1" thickBot="1" x14ac:dyDescent="0.35">
      <c r="A508" s="71" t="s">
        <v>761</v>
      </c>
      <c r="B508" s="1"/>
      <c r="C508" s="1"/>
      <c r="D508" s="1"/>
      <c r="E508" s="55">
        <f t="shared" si="87"/>
        <v>0</v>
      </c>
      <c r="F508" s="1"/>
      <c r="G508" s="1"/>
      <c r="H508" s="1"/>
      <c r="I508" s="55">
        <f t="shared" si="88"/>
        <v>0</v>
      </c>
      <c r="J508" s="1"/>
      <c r="K508" s="1"/>
      <c r="L508" s="1"/>
      <c r="M508" s="55">
        <f t="shared" si="89"/>
        <v>0</v>
      </c>
      <c r="N508" s="1"/>
      <c r="O508" s="1"/>
      <c r="P508" s="1"/>
      <c r="Q508" s="55">
        <f t="shared" si="90"/>
        <v>0</v>
      </c>
      <c r="R508" s="55">
        <f t="shared" si="91"/>
        <v>0</v>
      </c>
    </row>
    <row r="509" spans="1:20" ht="16.5" customHeight="1" thickBot="1" x14ac:dyDescent="0.35">
      <c r="A509" s="57" t="s">
        <v>71</v>
      </c>
      <c r="B509" s="58">
        <f>SUM(B503:B508)</f>
        <v>0</v>
      </c>
      <c r="C509" s="58">
        <f>SUM(C503:C508)</f>
        <v>0</v>
      </c>
      <c r="D509" s="58">
        <f>SUM(D503:D508)</f>
        <v>0</v>
      </c>
      <c r="E509" s="60">
        <f t="shared" si="87"/>
        <v>0</v>
      </c>
      <c r="F509" s="58">
        <f>SUM(F503:F508)</f>
        <v>0</v>
      </c>
      <c r="G509" s="58">
        <f>SUM(G503:G508)</f>
        <v>0</v>
      </c>
      <c r="H509" s="58">
        <f>SUM(H503:H508)</f>
        <v>0</v>
      </c>
      <c r="I509" s="60">
        <f t="shared" si="88"/>
        <v>0</v>
      </c>
      <c r="J509" s="58">
        <f>SUM(J503:J508)</f>
        <v>0</v>
      </c>
      <c r="K509" s="58">
        <f>SUM(K503:K508)</f>
        <v>0</v>
      </c>
      <c r="L509" s="58">
        <f>SUM(L503:L508)</f>
        <v>0</v>
      </c>
      <c r="M509" s="60">
        <f t="shared" si="89"/>
        <v>0</v>
      </c>
      <c r="N509" s="58">
        <f>SUM(N503:N508)</f>
        <v>0</v>
      </c>
      <c r="O509" s="58">
        <f>SUM(O503:O508)</f>
        <v>0</v>
      </c>
      <c r="P509" s="58">
        <f>SUM(P503:P508)</f>
        <v>0</v>
      </c>
      <c r="Q509" s="60">
        <f t="shared" si="90"/>
        <v>0</v>
      </c>
      <c r="R509" s="59">
        <f t="shared" si="91"/>
        <v>0</v>
      </c>
    </row>
    <row r="510" spans="1:20" ht="16.5" customHeight="1" thickBot="1" x14ac:dyDescent="0.35">
      <c r="A510" s="114" t="s">
        <v>72</v>
      </c>
      <c r="B510" s="86">
        <f>SUM(B500:B508)</f>
        <v>0</v>
      </c>
      <c r="C510" s="87">
        <f>SUM(C500:C508)</f>
        <v>0</v>
      </c>
      <c r="D510" s="118">
        <f>SUM(D500:D508)</f>
        <v>0</v>
      </c>
      <c r="E510" s="60">
        <f t="shared" si="87"/>
        <v>0</v>
      </c>
      <c r="F510" s="87">
        <f>SUM(F500:F508)</f>
        <v>0</v>
      </c>
      <c r="G510" s="87">
        <f>SUM(G500:G508)</f>
        <v>0</v>
      </c>
      <c r="H510" s="87">
        <f>SUM(H500:H508)</f>
        <v>0</v>
      </c>
      <c r="I510" s="60">
        <f t="shared" si="88"/>
        <v>0</v>
      </c>
      <c r="J510" s="87">
        <f>SUM(J500:J508)</f>
        <v>0</v>
      </c>
      <c r="K510" s="87">
        <f>SUM(K500:K508)</f>
        <v>0</v>
      </c>
      <c r="L510" s="87">
        <f>SUM(L500:L508)</f>
        <v>0</v>
      </c>
      <c r="M510" s="60">
        <f t="shared" si="89"/>
        <v>0</v>
      </c>
      <c r="N510" s="87">
        <f>SUM(N500:N508)</f>
        <v>0</v>
      </c>
      <c r="O510" s="87">
        <f>SUM(O500:O508)</f>
        <v>0</v>
      </c>
      <c r="P510" s="87">
        <f>SUM(P500:P508)</f>
        <v>0</v>
      </c>
      <c r="Q510" s="60">
        <f t="shared" si="90"/>
        <v>0</v>
      </c>
      <c r="R510" s="59">
        <f t="shared" si="91"/>
        <v>0</v>
      </c>
    </row>
    <row r="511" spans="1:20" ht="16.5" customHeight="1" thickBot="1" x14ac:dyDescent="0.35">
      <c r="A511" s="57" t="s">
        <v>73</v>
      </c>
      <c r="B511" s="90">
        <f>+B488+B494+B499+B510</f>
        <v>918</v>
      </c>
      <c r="C511" s="58">
        <f>+C488+C494+C499+C510</f>
        <v>1008</v>
      </c>
      <c r="D511" s="58">
        <f>+D488+D494+D499+D510</f>
        <v>3815</v>
      </c>
      <c r="E511" s="59">
        <f t="shared" si="87"/>
        <v>5741</v>
      </c>
      <c r="F511" s="58">
        <f>+F488+F494+F499+F510</f>
        <v>6929</v>
      </c>
      <c r="G511" s="58">
        <f>+G488+G494+G499+G510</f>
        <v>2617</v>
      </c>
      <c r="H511" s="58">
        <f>+H488+H494+H499+H510</f>
        <v>3036</v>
      </c>
      <c r="I511" s="59">
        <f t="shared" si="88"/>
        <v>12582</v>
      </c>
      <c r="J511" s="58">
        <f>+J488+J494+J499+J510</f>
        <v>5339</v>
      </c>
      <c r="K511" s="58">
        <f>+K488+K494+K499+K510</f>
        <v>5264</v>
      </c>
      <c r="L511" s="58">
        <f>+L488+L494+L499+L510</f>
        <v>2181</v>
      </c>
      <c r="M511" s="59">
        <f t="shared" si="89"/>
        <v>12784</v>
      </c>
      <c r="N511" s="58">
        <f>+N488+N494+N499+N510</f>
        <v>2067</v>
      </c>
      <c r="O511" s="58">
        <f>+O488+O494+O499+O510</f>
        <v>538</v>
      </c>
      <c r="P511" s="58">
        <f>+P488+P494+P499+P510</f>
        <v>643</v>
      </c>
      <c r="Q511" s="59">
        <f t="shared" si="90"/>
        <v>3248</v>
      </c>
      <c r="R511" s="81">
        <f t="shared" si="91"/>
        <v>34355</v>
      </c>
    </row>
    <row r="512" spans="1:20" ht="16.5" customHeight="1" thickBot="1" x14ac:dyDescent="0.35">
      <c r="A512" s="39" t="s">
        <v>40</v>
      </c>
      <c r="B512" s="21">
        <v>23</v>
      </c>
      <c r="C512" s="21">
        <v>43</v>
      </c>
      <c r="D512" s="21">
        <v>66</v>
      </c>
      <c r="E512" s="81">
        <f t="shared" si="87"/>
        <v>132</v>
      </c>
      <c r="F512" s="21">
        <v>91</v>
      </c>
      <c r="G512" s="21">
        <v>108</v>
      </c>
      <c r="H512" s="21">
        <v>109</v>
      </c>
      <c r="I512" s="81">
        <f t="shared" si="88"/>
        <v>308</v>
      </c>
      <c r="J512" s="21">
        <v>104</v>
      </c>
      <c r="K512" s="21">
        <v>79</v>
      </c>
      <c r="L512" s="21">
        <v>80</v>
      </c>
      <c r="M512" s="81">
        <f t="shared" si="89"/>
        <v>263</v>
      </c>
      <c r="N512" s="21">
        <v>74</v>
      </c>
      <c r="O512" s="21">
        <v>58</v>
      </c>
      <c r="P512" s="21">
        <v>42</v>
      </c>
      <c r="Q512" s="81">
        <f t="shared" si="90"/>
        <v>174</v>
      </c>
      <c r="R512" s="55">
        <f t="shared" si="91"/>
        <v>877</v>
      </c>
    </row>
    <row r="513" spans="1:20" ht="16.5" customHeight="1" thickBot="1" x14ac:dyDescent="0.35">
      <c r="A513" s="41"/>
      <c r="B513" s="36"/>
      <c r="C513" s="36"/>
      <c r="D513" s="36"/>
      <c r="E513" s="42"/>
      <c r="F513" s="36"/>
      <c r="G513" s="36"/>
      <c r="H513" s="36"/>
      <c r="I513" s="126"/>
      <c r="J513" s="36"/>
      <c r="K513" s="36"/>
      <c r="L513" s="36"/>
      <c r="M513" s="126"/>
      <c r="N513" s="36"/>
      <c r="O513" s="36"/>
      <c r="P513" s="36"/>
      <c r="Q513" s="126"/>
      <c r="R513" s="42"/>
    </row>
    <row r="514" spans="1:20" ht="15.75" customHeight="1" x14ac:dyDescent="0.3">
      <c r="A514" s="15" t="s">
        <v>314</v>
      </c>
      <c r="B514" s="77">
        <f>SUM(B511:B512)</f>
        <v>941</v>
      </c>
      <c r="C514" s="77">
        <f>SUM(C511:C512)</f>
        <v>1051</v>
      </c>
      <c r="D514" s="77">
        <f>SUM(D511:D512)</f>
        <v>3881</v>
      </c>
      <c r="E514" s="60">
        <f>SUM(B514:D514)</f>
        <v>5873</v>
      </c>
      <c r="F514" s="77">
        <f>SUM(F511:F512)</f>
        <v>7020</v>
      </c>
      <c r="G514" s="77">
        <f>SUM(G511:G512)</f>
        <v>2725</v>
      </c>
      <c r="H514" s="77">
        <f>SUM(H511:H512)</f>
        <v>3145</v>
      </c>
      <c r="I514" s="60">
        <f>SUM(F514:H514)</f>
        <v>12890</v>
      </c>
      <c r="J514" s="77">
        <f>SUM(J511:J512)</f>
        <v>5443</v>
      </c>
      <c r="K514" s="77">
        <f>SUM(K511:K512)</f>
        <v>5343</v>
      </c>
      <c r="L514" s="77">
        <f>SUM(L511:L512)</f>
        <v>2261</v>
      </c>
      <c r="M514" s="60">
        <f>SUM(J514:L514)</f>
        <v>13047</v>
      </c>
      <c r="N514" s="77">
        <f>SUM(N511:N512)</f>
        <v>2141</v>
      </c>
      <c r="O514" s="77">
        <f>SUM(O511:O512)</f>
        <v>596</v>
      </c>
      <c r="P514" s="77">
        <f>SUM(P511:P512)</f>
        <v>685</v>
      </c>
      <c r="Q514" s="60">
        <f>SUM(N514:P514)</f>
        <v>3422</v>
      </c>
      <c r="R514" s="60">
        <f>+E514+I514+M514+Q514</f>
        <v>35232</v>
      </c>
    </row>
    <row r="515" spans="1:20" ht="15.75" customHeight="1" x14ac:dyDescent="0.3">
      <c r="A515" s="15" t="s">
        <v>42</v>
      </c>
      <c r="B515" s="1">
        <f>(B514/B10)/1.983</f>
        <v>15.307533388642169</v>
      </c>
      <c r="C515" s="1">
        <f>(C514/C10)/1.983</f>
        <v>18.928751530869533</v>
      </c>
      <c r="D515" s="1">
        <f>(D514/D10)/1.983</f>
        <v>63.133408162933314</v>
      </c>
      <c r="E515" s="55" t="s">
        <v>7</v>
      </c>
      <c r="F515" s="1">
        <f>(F514/F10)/1.983</f>
        <v>118.00302571860816</v>
      </c>
      <c r="G515" s="1">
        <f>(G514/G10)/1.983</f>
        <v>44.328404340116798</v>
      </c>
      <c r="H515" s="1">
        <f>(H514/H10)/1.983</f>
        <v>52.866027903849378</v>
      </c>
      <c r="I515" s="55" t="s">
        <v>7</v>
      </c>
      <c r="J515" s="1">
        <f>(J514/J10)/1.983</f>
        <v>88.542937549818618</v>
      </c>
      <c r="K515" s="1">
        <f>(K514/K10)/1.983</f>
        <v>86.916207115318912</v>
      </c>
      <c r="L515" s="1">
        <f>(L514/L10)/1.983</f>
        <v>38.006387628172796</v>
      </c>
      <c r="M515" s="55" t="s">
        <v>7</v>
      </c>
      <c r="N515" s="1">
        <f>(N514/N10)/1.983</f>
        <v>34.828298602638554</v>
      </c>
      <c r="O515" s="1">
        <f>(O514/O10)/1.983</f>
        <v>10.018490502605479</v>
      </c>
      <c r="P515" s="1">
        <f>(P514/P10)/1.983</f>
        <v>11.143103476322938</v>
      </c>
      <c r="Q515" s="55" t="s">
        <v>7</v>
      </c>
      <c r="R515" s="55" t="s">
        <v>7</v>
      </c>
    </row>
    <row r="516" spans="1:20" ht="15.75" customHeight="1" x14ac:dyDescent="0.3">
      <c r="A516" s="15" t="s">
        <v>315</v>
      </c>
      <c r="B516" s="1">
        <f>B514+B572</f>
        <v>16006</v>
      </c>
      <c r="C516" s="1">
        <f>C514+C572</f>
        <v>22726</v>
      </c>
      <c r="D516" s="1">
        <f>D514+D572</f>
        <v>27625</v>
      </c>
      <c r="E516" s="55">
        <f>SUM(B516:D516)</f>
        <v>66357</v>
      </c>
      <c r="F516" s="1">
        <f>F514+F572</f>
        <v>34073</v>
      </c>
      <c r="G516" s="1">
        <f>G514+G572</f>
        <v>26404</v>
      </c>
      <c r="H516" s="1">
        <f>H514+H572</f>
        <v>23766</v>
      </c>
      <c r="I516" s="55">
        <f>SUM(F516:H516)</f>
        <v>84243</v>
      </c>
      <c r="J516" s="1">
        <f>J514+J572</f>
        <v>29385</v>
      </c>
      <c r="K516" s="1">
        <f>K514+K572</f>
        <v>26203</v>
      </c>
      <c r="L516" s="1">
        <f>L514+L572</f>
        <v>20702</v>
      </c>
      <c r="M516" s="55">
        <f>SUM(J516:L516)</f>
        <v>76290</v>
      </c>
      <c r="N516" s="1">
        <f>N514+N572</f>
        <v>14985</v>
      </c>
      <c r="O516" s="1">
        <f>O514+O572</f>
        <v>7886</v>
      </c>
      <c r="P516" s="1">
        <f>P514+P572</f>
        <v>17302</v>
      </c>
      <c r="Q516" s="55">
        <f>SUM(N516:P516)</f>
        <v>40173</v>
      </c>
      <c r="R516" s="55">
        <f>+E516+I516+M516+Q516</f>
        <v>267063</v>
      </c>
    </row>
    <row r="517" spans="1:20" ht="16.5" customHeight="1" thickBot="1" x14ac:dyDescent="0.35">
      <c r="A517" s="20" t="s">
        <v>316</v>
      </c>
      <c r="B517" s="25">
        <f>(B516/B10)/1.983</f>
        <v>260.37447334602183</v>
      </c>
      <c r="C517" s="25">
        <f>(C516/C10)/1.983</f>
        <v>409.3004826741589</v>
      </c>
      <c r="D517" s="25">
        <f>(D516/D10)/1.983</f>
        <v>449.38428253054184</v>
      </c>
      <c r="E517" s="81" t="s">
        <v>7</v>
      </c>
      <c r="F517" s="25">
        <f>(F516/F10)/1.983</f>
        <v>572.75172297865186</v>
      </c>
      <c r="G517" s="25">
        <f>(G516/G10)/1.983</f>
        <v>429.52190392530053</v>
      </c>
      <c r="H517" s="25">
        <f>(H516/H10)/1.983</f>
        <v>399.4957135653051</v>
      </c>
      <c r="I517" s="81" t="s">
        <v>7</v>
      </c>
      <c r="J517" s="25">
        <f>(J516/J10)/1.983</f>
        <v>478.01473817773655</v>
      </c>
      <c r="K517" s="25">
        <f>(K516/K10)/1.983</f>
        <v>426.25217575195614</v>
      </c>
      <c r="L517" s="25">
        <f>(L516/L10)/1.983</f>
        <v>347.99125903513197</v>
      </c>
      <c r="M517" s="81" t="s">
        <v>7</v>
      </c>
      <c r="N517" s="25">
        <f>(N516/N10)/1.983</f>
        <v>243.76555560977988</v>
      </c>
      <c r="O517" s="25">
        <f>(O516/O10)/1.983</f>
        <v>132.5600941334678</v>
      </c>
      <c r="P517" s="25">
        <f>(P516/P10)/1.983</f>
        <v>281.45689977713789</v>
      </c>
      <c r="Q517" s="81" t="s">
        <v>7</v>
      </c>
      <c r="R517" s="81" t="s">
        <v>7</v>
      </c>
    </row>
    <row r="518" spans="1:20" ht="15.75" customHeight="1" x14ac:dyDescent="0.3">
      <c r="A518" s="2"/>
      <c r="B518" s="1"/>
      <c r="C518" s="1"/>
      <c r="D518" s="1"/>
      <c r="E518" s="1"/>
      <c r="F518" s="1"/>
      <c r="G518" s="1"/>
      <c r="H518" s="1"/>
      <c r="I518" s="1"/>
      <c r="J518" s="1"/>
      <c r="K518" s="1"/>
      <c r="L518" s="1"/>
      <c r="M518" s="1"/>
      <c r="N518" s="1"/>
      <c r="O518" s="1"/>
      <c r="P518" s="1"/>
      <c r="Q518" s="1"/>
      <c r="R518" s="2"/>
    </row>
    <row r="519" spans="1:20" ht="15.75" customHeight="1" thickBot="1" x14ac:dyDescent="0.35">
      <c r="A519" s="2"/>
      <c r="B519" s="1"/>
      <c r="C519" s="1"/>
      <c r="D519" s="1"/>
      <c r="E519" s="1"/>
      <c r="F519" s="1"/>
      <c r="G519" s="1"/>
      <c r="H519" s="1"/>
      <c r="I519" s="1"/>
      <c r="J519" s="1"/>
      <c r="K519" s="1"/>
      <c r="L519" s="1"/>
      <c r="M519" s="1"/>
      <c r="N519" s="1"/>
      <c r="O519" s="1"/>
      <c r="P519" s="1"/>
      <c r="Q519" s="1"/>
      <c r="R519" s="2"/>
    </row>
    <row r="520" spans="1:20" ht="16.5" customHeight="1" thickBot="1" x14ac:dyDescent="0.35">
      <c r="A520" s="124" t="s">
        <v>317</v>
      </c>
      <c r="B520" s="30" t="s">
        <v>8</v>
      </c>
      <c r="C520" s="31" t="s">
        <v>9</v>
      </c>
      <c r="D520" s="31" t="s">
        <v>10</v>
      </c>
      <c r="E520" s="32" t="s">
        <v>11</v>
      </c>
      <c r="F520" s="31" t="s">
        <v>12</v>
      </c>
      <c r="G520" s="31" t="s">
        <v>13</v>
      </c>
      <c r="H520" s="31" t="s">
        <v>14</v>
      </c>
      <c r="I520" s="33" t="s">
        <v>15</v>
      </c>
      <c r="J520" s="31" t="s">
        <v>16</v>
      </c>
      <c r="K520" s="31" t="s">
        <v>17</v>
      </c>
      <c r="L520" s="31" t="s">
        <v>18</v>
      </c>
      <c r="M520" s="33" t="s">
        <v>19</v>
      </c>
      <c r="N520" s="31" t="s">
        <v>20</v>
      </c>
      <c r="O520" s="31" t="s">
        <v>21</v>
      </c>
      <c r="P520" s="31" t="s">
        <v>22</v>
      </c>
      <c r="Q520" s="33" t="s">
        <v>23</v>
      </c>
      <c r="R520" s="34" t="s">
        <v>24</v>
      </c>
    </row>
    <row r="521" spans="1:20" ht="16.5" customHeight="1" thickBot="1" x14ac:dyDescent="0.35">
      <c r="A521" s="59"/>
      <c r="B521" s="75"/>
      <c r="C521" s="75"/>
      <c r="D521" s="75"/>
      <c r="E521" s="69"/>
      <c r="F521" s="75"/>
      <c r="G521" s="75"/>
      <c r="H521" s="75"/>
      <c r="I521" s="82"/>
      <c r="J521" s="75"/>
      <c r="K521" s="75"/>
      <c r="L521" s="75"/>
      <c r="M521" s="82"/>
      <c r="N521" s="75"/>
      <c r="O521" s="75"/>
      <c r="P521" s="75"/>
      <c r="Q521" s="82"/>
      <c r="R521" s="100"/>
    </row>
    <row r="522" spans="1:20" ht="15.75" customHeight="1" x14ac:dyDescent="0.3">
      <c r="A522" s="15" t="s">
        <v>48</v>
      </c>
      <c r="B522" s="1" t="s">
        <v>7</v>
      </c>
      <c r="C522" s="1" t="s">
        <v>7</v>
      </c>
      <c r="D522" s="1" t="s">
        <v>7</v>
      </c>
      <c r="E522" s="55" t="s">
        <v>7</v>
      </c>
      <c r="F522" s="1" t="s">
        <v>7</v>
      </c>
      <c r="G522" s="1" t="s">
        <v>7</v>
      </c>
      <c r="H522" s="1" t="s">
        <v>7</v>
      </c>
      <c r="I522" s="55" t="s">
        <v>7</v>
      </c>
      <c r="J522" s="1" t="s">
        <v>7</v>
      </c>
      <c r="K522" s="1" t="s">
        <v>7</v>
      </c>
      <c r="L522" s="1" t="s">
        <v>7</v>
      </c>
      <c r="M522" s="55" t="s">
        <v>7</v>
      </c>
      <c r="N522" s="1" t="s">
        <v>7</v>
      </c>
      <c r="O522" s="1" t="s">
        <v>7</v>
      </c>
      <c r="P522" s="1" t="s">
        <v>7</v>
      </c>
      <c r="Q522" s="55" t="s">
        <v>7</v>
      </c>
      <c r="R522" s="55" t="s">
        <v>7</v>
      </c>
    </row>
    <row r="523" spans="1:20" ht="15.75" customHeight="1" x14ac:dyDescent="0.3">
      <c r="A523" s="15" t="s">
        <v>49</v>
      </c>
      <c r="B523" s="1"/>
      <c r="C523" s="1"/>
      <c r="D523" s="1"/>
      <c r="E523" s="55" t="s">
        <v>7</v>
      </c>
      <c r="F523" s="1"/>
      <c r="G523" s="1"/>
      <c r="H523" s="1"/>
      <c r="I523" s="55" t="s">
        <v>7</v>
      </c>
      <c r="J523" s="1"/>
      <c r="K523" s="1"/>
      <c r="L523" s="1"/>
      <c r="M523" s="55" t="s">
        <v>7</v>
      </c>
      <c r="N523" s="1"/>
      <c r="O523" s="1"/>
      <c r="P523" s="1"/>
      <c r="Q523" s="55" t="s">
        <v>7</v>
      </c>
      <c r="R523" s="55" t="s">
        <v>7</v>
      </c>
    </row>
    <row r="524" spans="1:20" ht="15.75" customHeight="1" x14ac:dyDescent="0.3">
      <c r="A524" s="71" t="s">
        <v>762</v>
      </c>
      <c r="B524" s="1">
        <v>546</v>
      </c>
      <c r="C524" s="1">
        <v>674</v>
      </c>
      <c r="D524" s="1">
        <v>584</v>
      </c>
      <c r="E524" s="55">
        <f t="shared" ref="E524:E531" si="92">SUM(B524:D524)</f>
        <v>1804</v>
      </c>
      <c r="F524" s="1">
        <v>622</v>
      </c>
      <c r="G524" s="1">
        <v>485</v>
      </c>
      <c r="H524" s="1">
        <v>79</v>
      </c>
      <c r="I524" s="55">
        <f t="shared" ref="I524:I531" si="93">SUM(F524:H524)</f>
        <v>1186</v>
      </c>
      <c r="J524" s="1">
        <v>630</v>
      </c>
      <c r="K524" s="1">
        <v>685</v>
      </c>
      <c r="L524" s="1">
        <v>702</v>
      </c>
      <c r="M524" s="55">
        <f t="shared" ref="M524:M531" si="94">SUM(J524:L524)</f>
        <v>2017</v>
      </c>
      <c r="N524" s="1">
        <v>207</v>
      </c>
      <c r="O524" s="1"/>
      <c r="P524" s="1">
        <v>5</v>
      </c>
      <c r="Q524" s="55">
        <f t="shared" ref="Q524:Q531" si="95">SUM(N524:P524)</f>
        <v>212</v>
      </c>
      <c r="R524" s="55">
        <f t="shared" ref="R524:R531" si="96">+E524+I524+M524+Q524</f>
        <v>5219</v>
      </c>
    </row>
    <row r="525" spans="1:20" ht="15.75" customHeight="1" x14ac:dyDescent="0.3">
      <c r="A525" s="71" t="s">
        <v>320</v>
      </c>
      <c r="B525" s="1">
        <v>0</v>
      </c>
      <c r="C525" s="1">
        <v>100</v>
      </c>
      <c r="D525" s="1">
        <v>200</v>
      </c>
      <c r="E525" s="55">
        <f>SUM(B525:D525)</f>
        <v>300</v>
      </c>
      <c r="F525" s="1">
        <v>700</v>
      </c>
      <c r="G525" s="1"/>
      <c r="H525" s="1"/>
      <c r="I525" s="55">
        <f>SUM(F525:H525)</f>
        <v>700</v>
      </c>
      <c r="J525" s="1"/>
      <c r="K525" s="1"/>
      <c r="L525" s="1"/>
      <c r="M525" s="55">
        <f>SUM(J525:L525)</f>
        <v>0</v>
      </c>
      <c r="N525" s="1"/>
      <c r="O525" s="1"/>
      <c r="P525" s="1"/>
      <c r="Q525" s="55">
        <f>SUM(N525:P525)</f>
        <v>0</v>
      </c>
      <c r="R525" s="55">
        <f>+E525+I525+M525+Q525</f>
        <v>1000</v>
      </c>
    </row>
    <row r="526" spans="1:20" ht="15.75" customHeight="1" x14ac:dyDescent="0.3">
      <c r="A526" s="71" t="s">
        <v>318</v>
      </c>
      <c r="B526" s="1">
        <v>0</v>
      </c>
      <c r="C526" s="1">
        <v>253</v>
      </c>
      <c r="D526" s="1">
        <v>0</v>
      </c>
      <c r="E526" s="55">
        <f t="shared" si="92"/>
        <v>253</v>
      </c>
      <c r="F526" s="1">
        <v>425</v>
      </c>
      <c r="G526" s="1">
        <v>666</v>
      </c>
      <c r="H526" s="1">
        <v>643</v>
      </c>
      <c r="I526" s="55">
        <f t="shared" si="93"/>
        <v>1734</v>
      </c>
      <c r="J526" s="1">
        <v>1866</v>
      </c>
      <c r="K526" s="1">
        <v>550</v>
      </c>
      <c r="L526" s="1"/>
      <c r="M526" s="55">
        <f t="shared" si="94"/>
        <v>2416</v>
      </c>
      <c r="N526" s="1"/>
      <c r="O526" s="1"/>
      <c r="P526" s="1"/>
      <c r="Q526" s="55">
        <f t="shared" si="95"/>
        <v>0</v>
      </c>
      <c r="R526" s="55">
        <f t="shared" si="96"/>
        <v>4403</v>
      </c>
      <c r="T526" s="4" t="s">
        <v>987</v>
      </c>
    </row>
    <row r="527" spans="1:20" ht="15.75" customHeight="1" x14ac:dyDescent="0.3">
      <c r="A527" s="71" t="s">
        <v>763</v>
      </c>
      <c r="B527" s="1"/>
      <c r="C527" s="1"/>
      <c r="D527" s="1"/>
      <c r="E527" s="55">
        <f>SUM(B527:D527)</f>
        <v>0</v>
      </c>
      <c r="F527" s="1"/>
      <c r="G527" s="1"/>
      <c r="H527" s="1"/>
      <c r="I527" s="55">
        <f>SUM(F527:H527)</f>
        <v>0</v>
      </c>
      <c r="J527" s="1"/>
      <c r="K527" s="1"/>
      <c r="L527" s="1"/>
      <c r="M527" s="55">
        <f>SUM(J527:L527)</f>
        <v>0</v>
      </c>
      <c r="N527" s="1"/>
      <c r="O527" s="1"/>
      <c r="P527" s="1"/>
      <c r="Q527" s="55">
        <f>SUM(N527:P527)</f>
        <v>0</v>
      </c>
      <c r="R527" s="55">
        <f>+E527+I527+M527+Q527</f>
        <v>0</v>
      </c>
      <c r="T527" s="4" t="s">
        <v>988</v>
      </c>
    </row>
    <row r="528" spans="1:20" ht="15.75" customHeight="1" x14ac:dyDescent="0.3">
      <c r="A528" s="71" t="s">
        <v>572</v>
      </c>
      <c r="B528" s="1"/>
      <c r="C528" s="1">
        <v>1000</v>
      </c>
      <c r="D528" s="1">
        <v>1051</v>
      </c>
      <c r="E528" s="55">
        <f t="shared" si="92"/>
        <v>2051</v>
      </c>
      <c r="F528" s="1">
        <v>1180</v>
      </c>
      <c r="G528" s="1">
        <v>374</v>
      </c>
      <c r="H528" s="1"/>
      <c r="I528" s="55">
        <f t="shared" si="93"/>
        <v>1554</v>
      </c>
      <c r="J528" s="1"/>
      <c r="K528" s="1"/>
      <c r="L528" s="1"/>
      <c r="M528" s="55">
        <f t="shared" si="94"/>
        <v>0</v>
      </c>
      <c r="N528" s="1"/>
      <c r="O528" s="1"/>
      <c r="P528" s="1"/>
      <c r="Q528" s="55">
        <f t="shared" si="95"/>
        <v>0</v>
      </c>
      <c r="R528" s="55">
        <f t="shared" si="96"/>
        <v>3605</v>
      </c>
      <c r="T528" s="4" t="s">
        <v>988</v>
      </c>
    </row>
    <row r="529" spans="1:20" ht="15.75" customHeight="1" x14ac:dyDescent="0.3">
      <c r="A529" s="71" t="s">
        <v>989</v>
      </c>
      <c r="B529" s="1"/>
      <c r="C529" s="1"/>
      <c r="D529" s="1"/>
      <c r="E529" s="55">
        <f>SUM(B529:D529)</f>
        <v>0</v>
      </c>
      <c r="F529" s="1"/>
      <c r="G529" s="1">
        <v>50</v>
      </c>
      <c r="H529" s="1">
        <v>25</v>
      </c>
      <c r="I529" s="55">
        <f>SUM(F529:H529)</f>
        <v>75</v>
      </c>
      <c r="J529" s="1">
        <v>75</v>
      </c>
      <c r="K529" s="1"/>
      <c r="L529" s="1"/>
      <c r="M529" s="55">
        <f>SUM(J529:L529)</f>
        <v>75</v>
      </c>
      <c r="N529" s="1"/>
      <c r="O529" s="1"/>
      <c r="P529" s="1"/>
      <c r="Q529" s="55">
        <f>SUM(N529:P529)</f>
        <v>0</v>
      </c>
      <c r="R529" s="55">
        <f>+E529+I529+M529+Q529</f>
        <v>150</v>
      </c>
    </row>
    <row r="530" spans="1:20" ht="15.75" customHeight="1" x14ac:dyDescent="0.3">
      <c r="A530" s="71" t="s">
        <v>319</v>
      </c>
      <c r="B530" s="1"/>
      <c r="C530" s="1"/>
      <c r="D530" s="1"/>
      <c r="E530" s="55">
        <f t="shared" si="92"/>
        <v>0</v>
      </c>
      <c r="F530" s="1"/>
      <c r="G530" s="1"/>
      <c r="H530" s="1"/>
      <c r="I530" s="55">
        <f t="shared" si="93"/>
        <v>0</v>
      </c>
      <c r="J530" s="1">
        <v>2800</v>
      </c>
      <c r="K530" s="1"/>
      <c r="L530" s="1"/>
      <c r="M530" s="55">
        <f t="shared" si="94"/>
        <v>2800</v>
      </c>
      <c r="N530" s="1"/>
      <c r="O530" s="1"/>
      <c r="P530" s="1"/>
      <c r="Q530" s="55">
        <f t="shared" si="95"/>
        <v>0</v>
      </c>
      <c r="R530" s="55">
        <f t="shared" si="96"/>
        <v>2800</v>
      </c>
      <c r="T530" s="4" t="s">
        <v>988</v>
      </c>
    </row>
    <row r="531" spans="1:20" ht="15.75" customHeight="1" x14ac:dyDescent="0.3">
      <c r="A531" s="71" t="s">
        <v>321</v>
      </c>
      <c r="B531" s="1"/>
      <c r="C531" s="1">
        <v>1257</v>
      </c>
      <c r="D531" s="1">
        <v>271</v>
      </c>
      <c r="E531" s="55">
        <f t="shared" si="92"/>
        <v>1528</v>
      </c>
      <c r="F531" s="1"/>
      <c r="G531" s="1"/>
      <c r="H531" s="1"/>
      <c r="I531" s="55">
        <f t="shared" si="93"/>
        <v>0</v>
      </c>
      <c r="J531" s="1"/>
      <c r="K531" s="1"/>
      <c r="L531" s="1"/>
      <c r="M531" s="55">
        <f t="shared" si="94"/>
        <v>0</v>
      </c>
      <c r="N531" s="1"/>
      <c r="O531" s="1"/>
      <c r="P531" s="1"/>
      <c r="Q531" s="55">
        <f t="shared" si="95"/>
        <v>0</v>
      </c>
      <c r="R531" s="55">
        <f t="shared" si="96"/>
        <v>1528</v>
      </c>
      <c r="T531" s="4" t="s">
        <v>988</v>
      </c>
    </row>
    <row r="532" spans="1:20" ht="15.75" customHeight="1" x14ac:dyDescent="0.3">
      <c r="A532" s="71" t="s">
        <v>764</v>
      </c>
      <c r="B532" s="1"/>
      <c r="C532" s="1">
        <v>744</v>
      </c>
      <c r="D532" s="1">
        <v>629</v>
      </c>
      <c r="E532" s="55">
        <f>SUM(B532:D532)</f>
        <v>1373</v>
      </c>
      <c r="F532" s="1">
        <v>1614</v>
      </c>
      <c r="G532" s="1"/>
      <c r="H532" s="1"/>
      <c r="I532" s="55">
        <f>SUM(F532:H532)</f>
        <v>1614</v>
      </c>
      <c r="J532" s="1"/>
      <c r="K532" s="1"/>
      <c r="L532" s="1"/>
      <c r="M532" s="55">
        <f>SUM(J532:L532)</f>
        <v>0</v>
      </c>
      <c r="N532" s="1"/>
      <c r="O532" s="1"/>
      <c r="P532" s="1"/>
      <c r="Q532" s="55">
        <f>SUM(N532:P532)</f>
        <v>0</v>
      </c>
      <c r="R532" s="55">
        <f>+E532+I532+M532+Q532</f>
        <v>2987</v>
      </c>
      <c r="T532" s="4" t="s">
        <v>987</v>
      </c>
    </row>
    <row r="533" spans="1:20" ht="15.75" customHeight="1" x14ac:dyDescent="0.3">
      <c r="A533" s="15" t="s">
        <v>50</v>
      </c>
      <c r="B533" s="1"/>
      <c r="C533" s="1"/>
      <c r="D533" s="1"/>
      <c r="E533" s="55" t="s">
        <v>7</v>
      </c>
      <c r="F533" s="1"/>
      <c r="G533" s="1"/>
      <c r="H533" s="1"/>
      <c r="I533" s="55" t="s">
        <v>7</v>
      </c>
      <c r="J533" s="1"/>
      <c r="K533" s="1"/>
      <c r="L533" s="1"/>
      <c r="M533" s="55" t="s">
        <v>7</v>
      </c>
      <c r="N533" s="1"/>
      <c r="O533" s="1"/>
      <c r="P533" s="1"/>
      <c r="Q533" s="55" t="s">
        <v>7</v>
      </c>
      <c r="R533" s="55" t="s">
        <v>7</v>
      </c>
    </row>
    <row r="534" spans="1:20" ht="15.75" customHeight="1" x14ac:dyDescent="0.3">
      <c r="A534" s="71" t="s">
        <v>321</v>
      </c>
      <c r="B534" s="1"/>
      <c r="C534" s="1"/>
      <c r="D534" s="1"/>
      <c r="E534" s="55">
        <f>SUM(B534:D534)</f>
        <v>0</v>
      </c>
      <c r="F534" s="1"/>
      <c r="G534" s="1"/>
      <c r="H534" s="1"/>
      <c r="I534" s="55">
        <f>SUM(F534:H534)</f>
        <v>0</v>
      </c>
      <c r="J534" s="1"/>
      <c r="K534" s="1"/>
      <c r="L534" s="1"/>
      <c r="M534" s="55">
        <f>SUM(J534:L534)</f>
        <v>0</v>
      </c>
      <c r="N534" s="1"/>
      <c r="O534" s="1"/>
      <c r="P534" s="1"/>
      <c r="Q534" s="55">
        <f>SUM(N534:P534)</f>
        <v>0</v>
      </c>
      <c r="R534" s="55">
        <f>+E534+I534+M534+Q534</f>
        <v>0</v>
      </c>
      <c r="T534" s="4" t="s">
        <v>988</v>
      </c>
    </row>
    <row r="535" spans="1:20" ht="15.75" customHeight="1" x14ac:dyDescent="0.3">
      <c r="A535" s="15" t="s">
        <v>51</v>
      </c>
      <c r="B535" s="1"/>
      <c r="C535" s="1"/>
      <c r="D535" s="1"/>
      <c r="E535" s="55" t="s">
        <v>7</v>
      </c>
      <c r="F535" s="1"/>
      <c r="G535" s="1"/>
      <c r="H535" s="1"/>
      <c r="I535" s="55" t="s">
        <v>7</v>
      </c>
      <c r="J535" s="1"/>
      <c r="K535" s="1"/>
      <c r="L535" s="1"/>
      <c r="M535" s="55" t="s">
        <v>7</v>
      </c>
      <c r="N535" s="1"/>
      <c r="O535" s="1"/>
      <c r="P535" s="1"/>
      <c r="Q535" s="55" t="s">
        <v>7</v>
      </c>
      <c r="R535" s="55" t="s">
        <v>7</v>
      </c>
    </row>
    <row r="536" spans="1:20" ht="15.75" customHeight="1" x14ac:dyDescent="0.3">
      <c r="A536" s="71" t="s">
        <v>326</v>
      </c>
      <c r="B536" s="1"/>
      <c r="C536" s="1"/>
      <c r="D536" s="1"/>
      <c r="E536" s="55">
        <f>SUM(B536:D536)</f>
        <v>0</v>
      </c>
      <c r="F536" s="1">
        <v>1008</v>
      </c>
      <c r="G536" s="1"/>
      <c r="H536" s="1"/>
      <c r="I536" s="55">
        <f>SUM(F536:H536)</f>
        <v>1008</v>
      </c>
      <c r="J536" s="1"/>
      <c r="K536" s="1"/>
      <c r="L536" s="1"/>
      <c r="M536" s="55">
        <f>SUM(J536:L536)</f>
        <v>0</v>
      </c>
      <c r="N536" s="1"/>
      <c r="O536" s="1"/>
      <c r="P536" s="1">
        <v>542</v>
      </c>
      <c r="Q536" s="55">
        <f>SUM(N536:P536)</f>
        <v>542</v>
      </c>
      <c r="R536" s="55">
        <f>+E536+I536+M536+Q536</f>
        <v>1550</v>
      </c>
      <c r="T536" s="4" t="s">
        <v>988</v>
      </c>
    </row>
    <row r="537" spans="1:20" ht="15.75" customHeight="1" thickBot="1" x14ac:dyDescent="0.35">
      <c r="A537" s="15" t="s">
        <v>53</v>
      </c>
      <c r="B537" s="1"/>
      <c r="C537" s="1"/>
      <c r="D537" s="1"/>
      <c r="E537" s="55" t="s">
        <v>7</v>
      </c>
      <c r="F537" s="1"/>
      <c r="G537" s="1"/>
      <c r="H537" s="1"/>
      <c r="I537" s="55" t="s">
        <v>7</v>
      </c>
      <c r="J537" s="1"/>
      <c r="K537" s="1"/>
      <c r="L537" s="1"/>
      <c r="M537" s="55" t="s">
        <v>7</v>
      </c>
      <c r="N537" s="1"/>
      <c r="O537" s="1"/>
      <c r="P537" s="1"/>
      <c r="Q537" s="55" t="s">
        <v>7</v>
      </c>
      <c r="R537" s="55" t="s">
        <v>7</v>
      </c>
    </row>
    <row r="538" spans="1:20" ht="16.5" customHeight="1" thickBot="1" x14ac:dyDescent="0.35">
      <c r="A538" s="109" t="s">
        <v>54</v>
      </c>
      <c r="B538" s="86">
        <f>SUM(B522:B537)</f>
        <v>546</v>
      </c>
      <c r="C538" s="87">
        <f>SUM(C522:C537)</f>
        <v>4028</v>
      </c>
      <c r="D538" s="87">
        <f>SUM(D522:D537)</f>
        <v>2735</v>
      </c>
      <c r="E538" s="59">
        <f>SUM(B538:D538)</f>
        <v>7309</v>
      </c>
      <c r="F538" s="87">
        <f>SUM(F522:F537)</f>
        <v>5549</v>
      </c>
      <c r="G538" s="87">
        <f>SUM(G522:G537)</f>
        <v>1575</v>
      </c>
      <c r="H538" s="87">
        <f>SUM(H522:H537)</f>
        <v>747</v>
      </c>
      <c r="I538" s="59">
        <f>SUM(F538:H538)</f>
        <v>7871</v>
      </c>
      <c r="J538" s="87">
        <f>SUM(J522:J537)</f>
        <v>5371</v>
      </c>
      <c r="K538" s="87">
        <f>SUM(K522:K537)</f>
        <v>1235</v>
      </c>
      <c r="L538" s="87">
        <f>SUM(L522:L537)</f>
        <v>702</v>
      </c>
      <c r="M538" s="59">
        <f>SUM(J538:L538)</f>
        <v>7308</v>
      </c>
      <c r="N538" s="87">
        <f>SUM(N522:N537)</f>
        <v>207</v>
      </c>
      <c r="O538" s="87">
        <f>SUM(O522:O537)</f>
        <v>0</v>
      </c>
      <c r="P538" s="87">
        <f>SUM(P522:P537)</f>
        <v>547</v>
      </c>
      <c r="Q538" s="59">
        <f>SUM(N538:P538)</f>
        <v>754</v>
      </c>
      <c r="R538" s="59">
        <f>+E538+I538+M538+Q538</f>
        <v>23242</v>
      </c>
    </row>
    <row r="539" spans="1:20" ht="15.75" customHeight="1" x14ac:dyDescent="0.3">
      <c r="A539" s="15" t="s">
        <v>55</v>
      </c>
      <c r="B539" s="1"/>
      <c r="C539" s="1"/>
      <c r="D539" s="1"/>
      <c r="E539" s="55" t="s">
        <v>7</v>
      </c>
      <c r="F539" s="1"/>
      <c r="G539" s="1"/>
      <c r="H539" s="1"/>
      <c r="I539" s="55" t="s">
        <v>7</v>
      </c>
      <c r="J539" s="1"/>
      <c r="K539" s="1"/>
      <c r="L539" s="1"/>
      <c r="M539" s="55" t="s">
        <v>7</v>
      </c>
      <c r="N539" s="1"/>
      <c r="O539" s="1"/>
      <c r="P539" s="1"/>
      <c r="Q539" s="55" t="s">
        <v>7</v>
      </c>
      <c r="R539" s="55" t="s">
        <v>7</v>
      </c>
    </row>
    <row r="540" spans="1:20" ht="15.75" customHeight="1" x14ac:dyDescent="0.3">
      <c r="A540" s="15" t="s">
        <v>57</v>
      </c>
      <c r="B540" s="1"/>
      <c r="C540" s="1"/>
      <c r="D540" s="1"/>
      <c r="E540" s="55" t="s">
        <v>7</v>
      </c>
      <c r="F540" s="1"/>
      <c r="G540" s="1"/>
      <c r="H540" s="1"/>
      <c r="I540" s="55" t="s">
        <v>7</v>
      </c>
      <c r="J540" s="1"/>
      <c r="K540" s="1"/>
      <c r="L540" s="1"/>
      <c r="M540" s="55" t="s">
        <v>7</v>
      </c>
      <c r="N540" s="1"/>
      <c r="O540" s="1"/>
      <c r="P540" s="1"/>
      <c r="Q540" s="55" t="s">
        <v>7</v>
      </c>
      <c r="R540" s="55" t="s">
        <v>7</v>
      </c>
    </row>
    <row r="541" spans="1:20" ht="15.75" customHeight="1" x14ac:dyDescent="0.3">
      <c r="A541" s="71" t="s">
        <v>324</v>
      </c>
      <c r="B541" s="1">
        <v>100</v>
      </c>
      <c r="C541" s="1">
        <v>50</v>
      </c>
      <c r="D541" s="1">
        <v>50</v>
      </c>
      <c r="E541" s="55">
        <f>SUM(B541:D541)</f>
        <v>200</v>
      </c>
      <c r="F541" s="1">
        <v>50</v>
      </c>
      <c r="G541" s="1">
        <v>50</v>
      </c>
      <c r="H541" s="1">
        <v>50</v>
      </c>
      <c r="I541" s="55">
        <f>SUM(F541:H541)</f>
        <v>150</v>
      </c>
      <c r="J541" s="1">
        <v>59</v>
      </c>
      <c r="K541" s="1"/>
      <c r="L541" s="1"/>
      <c r="M541" s="55">
        <f>SUM(J541:L541)</f>
        <v>59</v>
      </c>
      <c r="N541" s="1"/>
      <c r="O541" s="1"/>
      <c r="P541" s="1"/>
      <c r="Q541" s="55">
        <f>SUM(N541:P541)</f>
        <v>0</v>
      </c>
      <c r="R541" s="55">
        <f>+E541+I541+M541+Q541</f>
        <v>409</v>
      </c>
    </row>
    <row r="542" spans="1:20" ht="15.75" customHeight="1" x14ac:dyDescent="0.3">
      <c r="A542" s="71" t="s">
        <v>659</v>
      </c>
      <c r="B542" s="1"/>
      <c r="C542" s="1"/>
      <c r="D542" s="1"/>
      <c r="E542" s="55">
        <f>SUM(B542:D542)</f>
        <v>0</v>
      </c>
      <c r="F542" s="1"/>
      <c r="G542" s="1"/>
      <c r="H542" s="1"/>
      <c r="I542" s="55">
        <f>SUM(F542:H542)</f>
        <v>0</v>
      </c>
      <c r="J542" s="1"/>
      <c r="K542" s="1"/>
      <c r="L542" s="1"/>
      <c r="M542" s="55">
        <f>SUM(J542:L542)</f>
        <v>0</v>
      </c>
      <c r="N542" s="1"/>
      <c r="O542" s="1"/>
      <c r="P542" s="1"/>
      <c r="Q542" s="55">
        <f>SUM(N542:P542)</f>
        <v>0</v>
      </c>
      <c r="R542" s="55">
        <f>+E542+I542+M542+Q542</f>
        <v>0</v>
      </c>
    </row>
    <row r="543" spans="1:20" ht="15.75" customHeight="1" thickBot="1" x14ac:dyDescent="0.35">
      <c r="A543" s="15" t="s">
        <v>58</v>
      </c>
      <c r="B543" s="1"/>
      <c r="C543" s="1"/>
      <c r="D543" s="1"/>
      <c r="E543" s="55" t="s">
        <v>7</v>
      </c>
      <c r="F543" s="1"/>
      <c r="G543" s="1"/>
      <c r="H543" s="1"/>
      <c r="I543" s="55" t="s">
        <v>7</v>
      </c>
      <c r="J543" s="1"/>
      <c r="K543" s="1"/>
      <c r="L543" s="1"/>
      <c r="M543" s="55" t="s">
        <v>7</v>
      </c>
      <c r="N543" s="1"/>
      <c r="O543" s="1"/>
      <c r="P543" s="1"/>
      <c r="Q543" s="55" t="s">
        <v>7</v>
      </c>
      <c r="R543" s="55" t="s">
        <v>7</v>
      </c>
    </row>
    <row r="544" spans="1:20" ht="16.5" customHeight="1" thickBot="1" x14ac:dyDescent="0.35">
      <c r="A544" s="57" t="s">
        <v>59</v>
      </c>
      <c r="B544" s="86">
        <f>SUM(B539:B543)</f>
        <v>100</v>
      </c>
      <c r="C544" s="87">
        <f>SUM(C539:C543)</f>
        <v>50</v>
      </c>
      <c r="D544" s="87">
        <f>SUM(D539:D543)</f>
        <v>50</v>
      </c>
      <c r="E544" s="59">
        <f>SUM(B544:D544)</f>
        <v>200</v>
      </c>
      <c r="F544" s="87">
        <f>SUM(F539:F543)</f>
        <v>50</v>
      </c>
      <c r="G544" s="87">
        <f>SUM(G539:G543)</f>
        <v>50</v>
      </c>
      <c r="H544" s="87">
        <f>SUM(H539:H543)</f>
        <v>50</v>
      </c>
      <c r="I544" s="59">
        <f>SUM(F544:H544)</f>
        <v>150</v>
      </c>
      <c r="J544" s="87">
        <f>SUM(J539:J543)</f>
        <v>59</v>
      </c>
      <c r="K544" s="87">
        <f>SUM(K539:K543)</f>
        <v>0</v>
      </c>
      <c r="L544" s="87">
        <f>SUM(L539:L543)</f>
        <v>0</v>
      </c>
      <c r="M544" s="59">
        <f>SUM(J544:L544)</f>
        <v>59</v>
      </c>
      <c r="N544" s="87">
        <f>SUM(N539:N543)</f>
        <v>0</v>
      </c>
      <c r="O544" s="87">
        <f>SUM(O539:O543)</f>
        <v>0</v>
      </c>
      <c r="P544" s="87">
        <f>SUM(P539:P543)</f>
        <v>0</v>
      </c>
      <c r="Q544" s="59">
        <f>SUM(N544:P544)</f>
        <v>0</v>
      </c>
      <c r="R544" s="59">
        <f>+E544+I544+M544+Q544</f>
        <v>409</v>
      </c>
    </row>
    <row r="545" spans="1:20" ht="15.75" customHeight="1" x14ac:dyDescent="0.3">
      <c r="A545" s="15" t="s">
        <v>60</v>
      </c>
      <c r="B545" s="1"/>
      <c r="C545" s="1"/>
      <c r="D545" s="1"/>
      <c r="E545" s="55" t="s">
        <v>7</v>
      </c>
      <c r="F545" s="1"/>
      <c r="G545" s="1"/>
      <c r="H545" s="1"/>
      <c r="I545" s="55" t="s">
        <v>7</v>
      </c>
      <c r="J545" s="1"/>
      <c r="K545" s="1"/>
      <c r="L545" s="1"/>
      <c r="M545" s="55" t="s">
        <v>7</v>
      </c>
      <c r="N545" s="1"/>
      <c r="O545" s="1"/>
      <c r="P545" s="1"/>
      <c r="Q545" s="55" t="s">
        <v>7</v>
      </c>
      <c r="R545" s="55" t="s">
        <v>7</v>
      </c>
    </row>
    <row r="546" spans="1:20" ht="15.75" customHeight="1" x14ac:dyDescent="0.3">
      <c r="A546" s="15" t="s">
        <v>61</v>
      </c>
      <c r="B546" s="1"/>
      <c r="C546" s="1"/>
      <c r="D546" s="1"/>
      <c r="E546" s="55" t="s">
        <v>7</v>
      </c>
      <c r="F546" s="1"/>
      <c r="G546" s="1"/>
      <c r="H546" s="1"/>
      <c r="I546" s="55" t="s">
        <v>7</v>
      </c>
      <c r="J546" s="1"/>
      <c r="K546" s="1"/>
      <c r="L546" s="1"/>
      <c r="M546" s="55" t="s">
        <v>7</v>
      </c>
      <c r="N546" s="1"/>
      <c r="O546" s="1"/>
      <c r="P546" s="1"/>
      <c r="Q546" s="55" t="s">
        <v>7</v>
      </c>
      <c r="R546" s="55" t="s">
        <v>7</v>
      </c>
    </row>
    <row r="547" spans="1:20" ht="15.75" customHeight="1" x14ac:dyDescent="0.3">
      <c r="A547" s="15" t="s">
        <v>62</v>
      </c>
      <c r="B547" s="1"/>
      <c r="C547" s="1"/>
      <c r="D547" s="1"/>
      <c r="E547" s="55" t="s">
        <v>7</v>
      </c>
      <c r="F547" s="1"/>
      <c r="G547" s="1"/>
      <c r="H547" s="1"/>
      <c r="I547" s="55" t="s">
        <v>7</v>
      </c>
      <c r="J547" s="1"/>
      <c r="K547" s="1"/>
      <c r="L547" s="1"/>
      <c r="M547" s="55" t="s">
        <v>7</v>
      </c>
      <c r="N547" s="1"/>
      <c r="O547" s="1"/>
      <c r="P547" s="1"/>
      <c r="Q547" s="55" t="s">
        <v>7</v>
      </c>
      <c r="R547" s="55" t="s">
        <v>7</v>
      </c>
    </row>
    <row r="548" spans="1:20" ht="15.75" customHeight="1" x14ac:dyDescent="0.3">
      <c r="A548" s="71" t="s">
        <v>1132</v>
      </c>
      <c r="B548" s="1"/>
      <c r="C548" s="1"/>
      <c r="D548" s="1"/>
      <c r="E548" s="55">
        <f>SUM(B548:D548)</f>
        <v>0</v>
      </c>
      <c r="F548" s="1"/>
      <c r="G548" s="1"/>
      <c r="H548" s="1"/>
      <c r="I548" s="55">
        <f>SUM(F548:H548)</f>
        <v>0</v>
      </c>
      <c r="J548" s="1"/>
      <c r="K548" s="1"/>
      <c r="L548" s="1"/>
      <c r="M548" s="55">
        <f>SUM(J548:L548)</f>
        <v>0</v>
      </c>
      <c r="N548" s="1"/>
      <c r="O548" s="1"/>
      <c r="P548" s="1">
        <v>2551</v>
      </c>
      <c r="Q548" s="55">
        <f>SUM(N548:P548)</f>
        <v>2551</v>
      </c>
      <c r="R548" s="55">
        <f>+E548+I548+M548+Q548</f>
        <v>2551</v>
      </c>
    </row>
    <row r="549" spans="1:20" ht="15.75" customHeight="1" thickBot="1" x14ac:dyDescent="0.35">
      <c r="A549" s="71" t="s">
        <v>991</v>
      </c>
      <c r="B549" s="1"/>
      <c r="C549" s="1"/>
      <c r="D549" s="1"/>
      <c r="E549" s="55">
        <f>SUM(B549:D549)</f>
        <v>0</v>
      </c>
      <c r="F549" s="1"/>
      <c r="G549" s="1"/>
      <c r="H549" s="1"/>
      <c r="I549" s="55">
        <f>SUM(F549:H549)</f>
        <v>0</v>
      </c>
      <c r="J549" s="1"/>
      <c r="K549" s="1"/>
      <c r="L549" s="1"/>
      <c r="M549" s="55">
        <f>SUM(J549:L549)</f>
        <v>0</v>
      </c>
      <c r="N549" s="1"/>
      <c r="O549" s="1"/>
      <c r="P549" s="1"/>
      <c r="Q549" s="55">
        <f>SUM(N549:P549)</f>
        <v>0</v>
      </c>
      <c r="R549" s="55">
        <f>+E549+I549+M549+Q549</f>
        <v>0</v>
      </c>
      <c r="T549" s="4" t="s">
        <v>988</v>
      </c>
    </row>
    <row r="550" spans="1:20" ht="16.5" customHeight="1" thickBot="1" x14ac:dyDescent="0.35">
      <c r="A550" s="114" t="s">
        <v>63</v>
      </c>
      <c r="B550" s="86">
        <f>SUM(B545:B549)</f>
        <v>0</v>
      </c>
      <c r="C550" s="87">
        <f>SUM(C545:C549)</f>
        <v>0</v>
      </c>
      <c r="D550" s="87">
        <f>SUM(D545:D549)</f>
        <v>0</v>
      </c>
      <c r="E550" s="59">
        <f>SUM(B550:D550)</f>
        <v>0</v>
      </c>
      <c r="F550" s="87">
        <f>SUM(F545:F549)</f>
        <v>0</v>
      </c>
      <c r="G550" s="87">
        <f>SUM(G545:G549)</f>
        <v>0</v>
      </c>
      <c r="H550" s="87">
        <f>SUM(H545:H549)</f>
        <v>0</v>
      </c>
      <c r="I550" s="59">
        <f>SUM(F550:H550)</f>
        <v>0</v>
      </c>
      <c r="J550" s="87">
        <f>SUM(J545:J549)</f>
        <v>0</v>
      </c>
      <c r="K550" s="87">
        <f>SUM(K545:K549)</f>
        <v>0</v>
      </c>
      <c r="L550" s="87">
        <f>SUM(L545:L549)</f>
        <v>0</v>
      </c>
      <c r="M550" s="59">
        <f>SUM(J550:L550)</f>
        <v>0</v>
      </c>
      <c r="N550" s="87">
        <f>SUM(N545:N549)</f>
        <v>0</v>
      </c>
      <c r="O550" s="87">
        <f>SUM(O545:O549)</f>
        <v>0</v>
      </c>
      <c r="P550" s="87">
        <f>SUM(P545:P549)</f>
        <v>2551</v>
      </c>
      <c r="Q550" s="59">
        <f>SUM(N550:P550)</f>
        <v>2551</v>
      </c>
      <c r="R550" s="59">
        <f>+E550+I550+M550+Q550</f>
        <v>2551</v>
      </c>
    </row>
    <row r="551" spans="1:20" ht="15.75" customHeight="1" x14ac:dyDescent="0.3">
      <c r="A551" s="15" t="s">
        <v>64</v>
      </c>
      <c r="B551" s="1"/>
      <c r="C551" s="1"/>
      <c r="D551" s="1"/>
      <c r="E551" s="55" t="s">
        <v>7</v>
      </c>
      <c r="F551" s="1"/>
      <c r="G551" s="1"/>
      <c r="H551" s="1"/>
      <c r="I551" s="55" t="s">
        <v>7</v>
      </c>
      <c r="J551" s="1"/>
      <c r="K551" s="1"/>
      <c r="L551" s="1"/>
      <c r="M551" s="55" t="s">
        <v>7</v>
      </c>
      <c r="N551" s="1"/>
      <c r="O551" s="1"/>
      <c r="P551" s="1"/>
      <c r="Q551" s="55" t="s">
        <v>7</v>
      </c>
      <c r="R551" s="55" t="s">
        <v>7</v>
      </c>
    </row>
    <row r="552" spans="1:20" ht="15.75" customHeight="1" x14ac:dyDescent="0.3">
      <c r="A552" s="15" t="s">
        <v>594</v>
      </c>
      <c r="B552" s="1"/>
      <c r="C552" s="1"/>
      <c r="D552" s="1"/>
      <c r="E552" s="55" t="s">
        <v>7</v>
      </c>
      <c r="F552" s="1"/>
      <c r="G552" s="1"/>
      <c r="H552" s="1"/>
      <c r="I552" s="55" t="s">
        <v>7</v>
      </c>
      <c r="J552" s="1"/>
      <c r="K552" s="1"/>
      <c r="L552" s="1"/>
      <c r="M552" s="55" t="s">
        <v>7</v>
      </c>
      <c r="N552" s="1"/>
      <c r="O552" s="1"/>
      <c r="P552" s="1"/>
      <c r="Q552" s="55" t="s">
        <v>7</v>
      </c>
      <c r="R552" s="55" t="s">
        <v>7</v>
      </c>
    </row>
    <row r="553" spans="1:20" ht="15.75" customHeight="1" x14ac:dyDescent="0.3">
      <c r="A553" s="71" t="s">
        <v>326</v>
      </c>
      <c r="B553" s="1"/>
      <c r="C553" s="1"/>
      <c r="D553" s="1"/>
      <c r="E553" s="55">
        <f>SUM(B553:D553)</f>
        <v>0</v>
      </c>
      <c r="F553" s="1">
        <v>172</v>
      </c>
      <c r="G553" s="1">
        <v>594</v>
      </c>
      <c r="H553" s="1"/>
      <c r="I553" s="55">
        <f>SUM(F553:H553)</f>
        <v>766</v>
      </c>
      <c r="J553" s="1"/>
      <c r="K553" s="1"/>
      <c r="L553" s="1"/>
      <c r="M553" s="55">
        <f>SUM(J553:L553)</f>
        <v>0</v>
      </c>
      <c r="N553" s="1"/>
      <c r="O553" s="1"/>
      <c r="P553" s="1">
        <v>500</v>
      </c>
      <c r="Q553" s="55">
        <f>SUM(N553:P553)</f>
        <v>500</v>
      </c>
      <c r="R553" s="55">
        <f>+E553+I553+M553+Q553</f>
        <v>1266</v>
      </c>
      <c r="T553" s="4" t="s">
        <v>988</v>
      </c>
    </row>
    <row r="554" spans="1:20" ht="15.75" customHeight="1" x14ac:dyDescent="0.3">
      <c r="A554" s="71" t="s">
        <v>327</v>
      </c>
      <c r="B554" s="1"/>
      <c r="C554" s="1"/>
      <c r="D554" s="1"/>
      <c r="E554" s="55">
        <f>SUM(B554:D554)</f>
        <v>0</v>
      </c>
      <c r="F554" s="1"/>
      <c r="G554" s="1"/>
      <c r="H554" s="1"/>
      <c r="I554" s="55">
        <f>SUM(F554:H554)</f>
        <v>0</v>
      </c>
      <c r="J554" s="1"/>
      <c r="K554" s="1"/>
      <c r="L554" s="1"/>
      <c r="M554" s="55">
        <f>SUM(J554:L554)</f>
        <v>0</v>
      </c>
      <c r="N554" s="1"/>
      <c r="O554" s="1"/>
      <c r="P554" s="1"/>
      <c r="Q554" s="55">
        <f>SUM(N554:P554)</f>
        <v>0</v>
      </c>
      <c r="R554" s="55">
        <f>+E554+I554+M554+Q554</f>
        <v>0</v>
      </c>
      <c r="T554" s="4" t="s">
        <v>988</v>
      </c>
    </row>
    <row r="555" spans="1:20" ht="15.75" customHeight="1" x14ac:dyDescent="0.3">
      <c r="A555" s="15" t="s">
        <v>67</v>
      </c>
      <c r="B555" s="1"/>
      <c r="C555" s="1"/>
      <c r="D555" s="1"/>
      <c r="E555" s="55" t="s">
        <v>7</v>
      </c>
      <c r="F555" s="1"/>
      <c r="G555" s="1"/>
      <c r="H555" s="1"/>
      <c r="I555" s="55" t="s">
        <v>7</v>
      </c>
      <c r="J555" s="1"/>
      <c r="K555" s="1"/>
      <c r="L555" s="1"/>
      <c r="M555" s="55" t="s">
        <v>7</v>
      </c>
      <c r="N555" s="1"/>
      <c r="O555" s="1"/>
      <c r="P555" s="1"/>
      <c r="Q555" s="55" t="s">
        <v>7</v>
      </c>
      <c r="R555" s="55" t="s">
        <v>7</v>
      </c>
    </row>
    <row r="556" spans="1:20" ht="15.75" customHeight="1" x14ac:dyDescent="0.3">
      <c r="A556" s="71" t="s">
        <v>992</v>
      </c>
      <c r="B556" s="1"/>
      <c r="C556" s="1"/>
      <c r="D556" s="1"/>
      <c r="E556" s="55">
        <f>SUM(B556:D556)</f>
        <v>0</v>
      </c>
      <c r="F556" s="1"/>
      <c r="G556" s="1"/>
      <c r="H556" s="1"/>
      <c r="I556" s="55">
        <f>SUM(F556:H556)</f>
        <v>0</v>
      </c>
      <c r="J556" s="1"/>
      <c r="K556" s="1"/>
      <c r="L556" s="1"/>
      <c r="M556" s="55">
        <f>SUM(J556:L556)</f>
        <v>0</v>
      </c>
      <c r="N556" s="1">
        <v>166</v>
      </c>
      <c r="O556" s="1">
        <v>320</v>
      </c>
      <c r="P556" s="1">
        <v>614</v>
      </c>
      <c r="Q556" s="55">
        <f>SUM(N556:P556)</f>
        <v>1100</v>
      </c>
      <c r="R556" s="55">
        <f>+E556+I556+M556+Q556</f>
        <v>1100</v>
      </c>
    </row>
    <row r="557" spans="1:20" ht="15.75" customHeight="1" x14ac:dyDescent="0.3">
      <c r="A557" s="71" t="s">
        <v>768</v>
      </c>
      <c r="B557" s="1"/>
      <c r="C557" s="1"/>
      <c r="D557" s="1"/>
      <c r="E557" s="55">
        <f>SUM(B557:D557)</f>
        <v>0</v>
      </c>
      <c r="F557" s="1"/>
      <c r="G557" s="1"/>
      <c r="H557" s="1"/>
      <c r="I557" s="55">
        <f>SUM(F557:H557)</f>
        <v>0</v>
      </c>
      <c r="J557" s="1"/>
      <c r="K557" s="1"/>
      <c r="L557" s="1"/>
      <c r="M557" s="55">
        <f>SUM(J557:L557)</f>
        <v>0</v>
      </c>
      <c r="N557" s="1"/>
      <c r="O557" s="1"/>
      <c r="P557" s="1"/>
      <c r="Q557" s="55">
        <f>SUM(N557:P557)</f>
        <v>0</v>
      </c>
      <c r="R557" s="55">
        <f>+E557+I557+M557+Q557</f>
        <v>0</v>
      </c>
    </row>
    <row r="558" spans="1:20" ht="15.75" customHeight="1" x14ac:dyDescent="0.3">
      <c r="A558" s="71" t="s">
        <v>769</v>
      </c>
      <c r="B558" s="1"/>
      <c r="C558" s="1"/>
      <c r="D558" s="1"/>
      <c r="E558" s="55">
        <f>SUM(B558:D558)</f>
        <v>0</v>
      </c>
      <c r="F558" s="1"/>
      <c r="G558" s="1">
        <v>1307</v>
      </c>
      <c r="H558" s="1"/>
      <c r="I558" s="55">
        <f>SUM(F558:H558)</f>
        <v>1307</v>
      </c>
      <c r="J558" s="1">
        <v>539</v>
      </c>
      <c r="K558" s="1"/>
      <c r="L558" s="1"/>
      <c r="M558" s="55">
        <f>SUM(J558:L558)</f>
        <v>539</v>
      </c>
      <c r="N558" s="1"/>
      <c r="O558" s="1"/>
      <c r="P558" s="1">
        <v>100</v>
      </c>
      <c r="Q558" s="55">
        <f>SUM(N558:P558)</f>
        <v>100</v>
      </c>
      <c r="R558" s="55">
        <f>+E558+I558+M558+Q558</f>
        <v>1946</v>
      </c>
      <c r="T558" s="4" t="s">
        <v>988</v>
      </c>
    </row>
    <row r="559" spans="1:20" ht="15.75" customHeight="1" x14ac:dyDescent="0.3">
      <c r="A559" s="71" t="s">
        <v>770</v>
      </c>
      <c r="B559" s="1"/>
      <c r="C559" s="1"/>
      <c r="D559" s="1"/>
      <c r="E559" s="55">
        <f>SUM(B559:D559)</f>
        <v>0</v>
      </c>
      <c r="F559" s="1"/>
      <c r="G559" s="1"/>
      <c r="H559" s="1"/>
      <c r="I559" s="55">
        <f>SUM(F559:H559)</f>
        <v>0</v>
      </c>
      <c r="J559" s="1"/>
      <c r="K559" s="1"/>
      <c r="L559" s="1"/>
      <c r="M559" s="55">
        <f>SUM(J559:L559)</f>
        <v>0</v>
      </c>
      <c r="N559" s="1"/>
      <c r="O559" s="1"/>
      <c r="P559" s="1"/>
      <c r="Q559" s="55">
        <f>SUM(N559:P559)</f>
        <v>0</v>
      </c>
      <c r="R559" s="55">
        <f>+E559+I559+M559+Q559</f>
        <v>0</v>
      </c>
      <c r="T559" s="4" t="s">
        <v>988</v>
      </c>
    </row>
    <row r="560" spans="1:20" ht="15.75" customHeight="1" x14ac:dyDescent="0.3">
      <c r="A560" s="15" t="s">
        <v>600</v>
      </c>
      <c r="B560" s="1"/>
      <c r="C560" s="1"/>
      <c r="D560" s="1"/>
      <c r="E560" s="55" t="s">
        <v>7</v>
      </c>
      <c r="F560" s="1"/>
      <c r="G560" s="1"/>
      <c r="H560" s="1"/>
      <c r="I560" s="55" t="s">
        <v>7</v>
      </c>
      <c r="J560" s="1"/>
      <c r="K560" s="1"/>
      <c r="L560" s="1"/>
      <c r="M560" s="55" t="s">
        <v>7</v>
      </c>
      <c r="N560" s="1"/>
      <c r="O560" s="1"/>
      <c r="P560" s="1"/>
      <c r="Q560" s="55" t="s">
        <v>7</v>
      </c>
      <c r="R560" s="55" t="s">
        <v>7</v>
      </c>
    </row>
    <row r="561" spans="1:18" ht="15.75" customHeight="1" x14ac:dyDescent="0.3">
      <c r="A561" s="71" t="s">
        <v>326</v>
      </c>
      <c r="B561" s="1"/>
      <c r="C561" s="1"/>
      <c r="D561" s="1"/>
      <c r="E561" s="55">
        <f>SUM(B561:D561)</f>
        <v>0</v>
      </c>
      <c r="F561" s="1"/>
      <c r="G561" s="1"/>
      <c r="H561" s="1"/>
      <c r="I561" s="55">
        <f>SUM(F561:H561)</f>
        <v>0</v>
      </c>
      <c r="J561" s="1"/>
      <c r="K561" s="1"/>
      <c r="L561" s="1"/>
      <c r="M561" s="55">
        <f>SUM(J561:L561)</f>
        <v>0</v>
      </c>
      <c r="N561" s="1"/>
      <c r="O561" s="1"/>
      <c r="P561" s="1"/>
      <c r="Q561" s="55">
        <f>SUM(N561:P561)</f>
        <v>0</v>
      </c>
      <c r="R561" s="55">
        <f>+E561+I561+M561+Q561</f>
        <v>0</v>
      </c>
    </row>
    <row r="562" spans="1:18" ht="15.75" customHeight="1" x14ac:dyDescent="0.3">
      <c r="A562" s="15" t="s">
        <v>70</v>
      </c>
      <c r="B562" s="1"/>
      <c r="C562" s="1"/>
      <c r="D562" s="1"/>
      <c r="E562" s="55" t="s">
        <v>7</v>
      </c>
      <c r="F562" s="1"/>
      <c r="G562" s="1"/>
      <c r="H562" s="1"/>
      <c r="I562" s="55" t="s">
        <v>7</v>
      </c>
      <c r="J562" s="1"/>
      <c r="K562" s="1"/>
      <c r="L562" s="1"/>
      <c r="M562" s="55" t="s">
        <v>7</v>
      </c>
      <c r="N562" s="1"/>
      <c r="O562" s="1"/>
      <c r="P562" s="1"/>
      <c r="Q562" s="55" t="s">
        <v>7</v>
      </c>
      <c r="R562" s="55" t="s">
        <v>7</v>
      </c>
    </row>
    <row r="563" spans="1:18" ht="15.75" customHeight="1" x14ac:dyDescent="0.3">
      <c r="A563" s="71" t="s">
        <v>993</v>
      </c>
      <c r="B563" s="1"/>
      <c r="C563" s="1"/>
      <c r="D563" s="1"/>
      <c r="E563" s="55">
        <f t="shared" ref="E563:E568" si="97">SUM(B563:D563)</f>
        <v>0</v>
      </c>
      <c r="F563" s="1">
        <v>500</v>
      </c>
      <c r="G563" s="1"/>
      <c r="H563" s="1"/>
      <c r="I563" s="55">
        <f t="shared" ref="I563:I568" si="98">SUM(F563:H563)</f>
        <v>500</v>
      </c>
      <c r="J563" s="1"/>
      <c r="K563" s="1"/>
      <c r="L563" s="1"/>
      <c r="M563" s="55">
        <f t="shared" ref="M563:M568" si="99">SUM(J563:L563)</f>
        <v>0</v>
      </c>
      <c r="N563" s="1"/>
      <c r="O563" s="1"/>
      <c r="P563" s="1"/>
      <c r="Q563" s="55">
        <f t="shared" ref="Q563:Q568" si="100">SUM(N563:P563)</f>
        <v>0</v>
      </c>
      <c r="R563" s="55">
        <f t="shared" ref="R563:R568" si="101">+E563+I563+M563+Q563</f>
        <v>500</v>
      </c>
    </row>
    <row r="564" spans="1:18" ht="15.75" customHeight="1" thickBot="1" x14ac:dyDescent="0.35">
      <c r="A564" s="71" t="s">
        <v>771</v>
      </c>
      <c r="B564" s="1"/>
      <c r="C564" s="1"/>
      <c r="D564" s="1"/>
      <c r="E564" s="55">
        <f t="shared" si="97"/>
        <v>0</v>
      </c>
      <c r="F564" s="1"/>
      <c r="G564" s="1"/>
      <c r="H564" s="1"/>
      <c r="I564" s="55">
        <f t="shared" si="98"/>
        <v>0</v>
      </c>
      <c r="J564" s="1"/>
      <c r="K564" s="1">
        <v>880</v>
      </c>
      <c r="L564" s="1">
        <v>18</v>
      </c>
      <c r="M564" s="55">
        <f t="shared" si="99"/>
        <v>898</v>
      </c>
      <c r="N564" s="1"/>
      <c r="O564" s="1"/>
      <c r="P564" s="1"/>
      <c r="Q564" s="55">
        <f t="shared" si="100"/>
        <v>0</v>
      </c>
      <c r="R564" s="55">
        <f t="shared" si="101"/>
        <v>898</v>
      </c>
    </row>
    <row r="565" spans="1:18" ht="16.5" customHeight="1" thickBot="1" x14ac:dyDescent="0.35">
      <c r="A565" s="57" t="s">
        <v>71</v>
      </c>
      <c r="B565" s="146">
        <f>SUM(B560:B564)</f>
        <v>0</v>
      </c>
      <c r="C565" s="146">
        <f>SUM(C560:C564)</f>
        <v>0</v>
      </c>
      <c r="D565" s="146">
        <f>SUM(D560:D564)</f>
        <v>0</v>
      </c>
      <c r="E565" s="60">
        <f t="shared" si="97"/>
        <v>0</v>
      </c>
      <c r="F565" s="146">
        <f>SUM(F560:F564)</f>
        <v>500</v>
      </c>
      <c r="G565" s="146">
        <f>SUM(G560:G564)</f>
        <v>0</v>
      </c>
      <c r="H565" s="146">
        <f>SUM(H560:H564)</f>
        <v>0</v>
      </c>
      <c r="I565" s="60">
        <f t="shared" si="98"/>
        <v>500</v>
      </c>
      <c r="J565" s="146">
        <f>SUM(J560:J564)</f>
        <v>0</v>
      </c>
      <c r="K565" s="146">
        <f>SUM(K560:K564)</f>
        <v>880</v>
      </c>
      <c r="L565" s="146">
        <f>SUM(L560:L564)</f>
        <v>18</v>
      </c>
      <c r="M565" s="60">
        <f t="shared" si="99"/>
        <v>898</v>
      </c>
      <c r="N565" s="146">
        <f>SUM(N560:N564)</f>
        <v>0</v>
      </c>
      <c r="O565" s="146">
        <f>SUM(O560:O564)</f>
        <v>0</v>
      </c>
      <c r="P565" s="146">
        <f>SUM(P560:P564)</f>
        <v>0</v>
      </c>
      <c r="Q565" s="60">
        <f t="shared" si="100"/>
        <v>0</v>
      </c>
      <c r="R565" s="59">
        <f t="shared" si="101"/>
        <v>1398</v>
      </c>
    </row>
    <row r="566" spans="1:18" ht="16.5" customHeight="1" thickBot="1" x14ac:dyDescent="0.35">
      <c r="A566" s="114" t="s">
        <v>72</v>
      </c>
      <c r="B566" s="86">
        <f>SUM(B551:B564)</f>
        <v>0</v>
      </c>
      <c r="C566" s="87">
        <f>SUM(C551:C564)</f>
        <v>0</v>
      </c>
      <c r="D566" s="118">
        <f>SUM(D551:D564)</f>
        <v>0</v>
      </c>
      <c r="E566" s="60">
        <f t="shared" si="97"/>
        <v>0</v>
      </c>
      <c r="F566" s="86">
        <f>SUM(F551:F564)</f>
        <v>672</v>
      </c>
      <c r="G566" s="87">
        <f>SUM(G551:G564)</f>
        <v>1901</v>
      </c>
      <c r="H566" s="118">
        <f>SUM(H551:H564)</f>
        <v>0</v>
      </c>
      <c r="I566" s="60">
        <f t="shared" si="98"/>
        <v>2573</v>
      </c>
      <c r="J566" s="86">
        <f>SUM(J551:J564)</f>
        <v>539</v>
      </c>
      <c r="K566" s="87">
        <f>SUM(K551:K564)</f>
        <v>880</v>
      </c>
      <c r="L566" s="118">
        <f>SUM(L551:L564)</f>
        <v>18</v>
      </c>
      <c r="M566" s="60">
        <f t="shared" si="99"/>
        <v>1437</v>
      </c>
      <c r="N566" s="86">
        <f>SUM(N551:N564)</f>
        <v>166</v>
      </c>
      <c r="O566" s="87">
        <f>SUM(O551:O564)</f>
        <v>320</v>
      </c>
      <c r="P566" s="118">
        <f>SUM(P551:P564)</f>
        <v>1214</v>
      </c>
      <c r="Q566" s="60">
        <f t="shared" si="100"/>
        <v>1700</v>
      </c>
      <c r="R566" s="59">
        <f t="shared" si="101"/>
        <v>5710</v>
      </c>
    </row>
    <row r="567" spans="1:18" ht="16.5" customHeight="1" thickBot="1" x14ac:dyDescent="0.35">
      <c r="A567" s="57" t="s">
        <v>73</v>
      </c>
      <c r="B567" s="148">
        <f>+B538+B544+B550+B566</f>
        <v>646</v>
      </c>
      <c r="C567" s="149">
        <f>+C538+C544+C550+C566</f>
        <v>4078</v>
      </c>
      <c r="D567" s="149">
        <f>+D538+D544+D550+D566</f>
        <v>2785</v>
      </c>
      <c r="E567" s="59">
        <f t="shared" si="97"/>
        <v>7509</v>
      </c>
      <c r="F567" s="58">
        <f>+F538+F544+F550+F566</f>
        <v>6271</v>
      </c>
      <c r="G567" s="58">
        <f>+G538+G544+G550+G566</f>
        <v>3526</v>
      </c>
      <c r="H567" s="58">
        <f>+H538+H544+H550+H566</f>
        <v>797</v>
      </c>
      <c r="I567" s="59">
        <f t="shared" si="98"/>
        <v>10594</v>
      </c>
      <c r="J567" s="58">
        <f>+J538+J544+J550+J566</f>
        <v>5969</v>
      </c>
      <c r="K567" s="58">
        <f>+K538+K544+K550+K566</f>
        <v>2115</v>
      </c>
      <c r="L567" s="58">
        <f>+L538+L544+L550+L566</f>
        <v>720</v>
      </c>
      <c r="M567" s="59">
        <f t="shared" si="99"/>
        <v>8804</v>
      </c>
      <c r="N567" s="58">
        <f>+N538+N544+N550+N566</f>
        <v>373</v>
      </c>
      <c r="O567" s="58">
        <f>+O538+O544+O550+O566</f>
        <v>320</v>
      </c>
      <c r="P567" s="58">
        <f>+P538+P544+P550+P566</f>
        <v>4312</v>
      </c>
      <c r="Q567" s="59">
        <f t="shared" si="100"/>
        <v>5005</v>
      </c>
      <c r="R567" s="81">
        <f t="shared" si="101"/>
        <v>31912</v>
      </c>
    </row>
    <row r="568" spans="1:18" ht="16.5" customHeight="1" thickBot="1" x14ac:dyDescent="0.35">
      <c r="A568" s="39" t="s">
        <v>40</v>
      </c>
      <c r="B568" s="21">
        <v>17</v>
      </c>
      <c r="C568" s="21">
        <v>47</v>
      </c>
      <c r="D568" s="21">
        <v>84</v>
      </c>
      <c r="E568" s="55">
        <f t="shared" si="97"/>
        <v>148</v>
      </c>
      <c r="F568" s="21">
        <v>116</v>
      </c>
      <c r="G568" s="21">
        <v>132</v>
      </c>
      <c r="H568" s="21">
        <v>138</v>
      </c>
      <c r="I568" s="55">
        <f t="shared" si="98"/>
        <v>386</v>
      </c>
      <c r="J568" s="21">
        <v>126</v>
      </c>
      <c r="K568" s="21">
        <v>95</v>
      </c>
      <c r="L568" s="21">
        <v>99</v>
      </c>
      <c r="M568" s="55">
        <f t="shared" si="99"/>
        <v>320</v>
      </c>
      <c r="N568" s="21">
        <v>91</v>
      </c>
      <c r="O568" s="21">
        <v>67</v>
      </c>
      <c r="P568" s="21">
        <v>38</v>
      </c>
      <c r="Q568" s="55">
        <f t="shared" si="100"/>
        <v>196</v>
      </c>
      <c r="R568" s="55">
        <f t="shared" si="101"/>
        <v>1050</v>
      </c>
    </row>
    <row r="569" spans="1:18" ht="16.5" customHeight="1" thickBot="1" x14ac:dyDescent="0.35">
      <c r="A569" s="41"/>
      <c r="B569" s="36"/>
      <c r="C569" s="36"/>
      <c r="D569" s="36"/>
      <c r="E569" s="42"/>
      <c r="F569" s="36"/>
      <c r="G569" s="36"/>
      <c r="H569" s="36"/>
      <c r="I569" s="42"/>
      <c r="J569" s="36"/>
      <c r="K569" s="36"/>
      <c r="L569" s="36"/>
      <c r="M569" s="42"/>
      <c r="N569" s="36"/>
      <c r="O569" s="36"/>
      <c r="P569" s="36"/>
      <c r="Q569" s="42"/>
      <c r="R569" s="42"/>
    </row>
    <row r="570" spans="1:18" ht="15.75" customHeight="1" x14ac:dyDescent="0.3">
      <c r="A570" s="76" t="s">
        <v>314</v>
      </c>
      <c r="B570" s="77">
        <f>SUM(B567:B568)</f>
        <v>663</v>
      </c>
      <c r="C570" s="77">
        <f>SUM(C567:C568)</f>
        <v>4125</v>
      </c>
      <c r="D570" s="77">
        <f>SUM(D567:D568)</f>
        <v>2869</v>
      </c>
      <c r="E570" s="60">
        <f>SUM(B570:D570)</f>
        <v>7657</v>
      </c>
      <c r="F570" s="77">
        <f>SUM(F567:F568)</f>
        <v>6387</v>
      </c>
      <c r="G570" s="77">
        <f>SUM(G567:G568)</f>
        <v>3658</v>
      </c>
      <c r="H570" s="77">
        <f>SUM(H567:H568)</f>
        <v>935</v>
      </c>
      <c r="I570" s="60">
        <f>SUM(F570:H570)</f>
        <v>10980</v>
      </c>
      <c r="J570" s="77">
        <f>SUM(J567:J568)</f>
        <v>6095</v>
      </c>
      <c r="K570" s="77">
        <f>SUM(K567:K568)</f>
        <v>2210</v>
      </c>
      <c r="L570" s="77">
        <f>SUM(L567:L568)</f>
        <v>819</v>
      </c>
      <c r="M570" s="60">
        <f>SUM(J570:L570)</f>
        <v>9124</v>
      </c>
      <c r="N570" s="77">
        <f>SUM(N567:N568)</f>
        <v>464</v>
      </c>
      <c r="O570" s="77">
        <f>SUM(O567:O568)</f>
        <v>387</v>
      </c>
      <c r="P570" s="77">
        <f>SUM(P567:P568)</f>
        <v>4350</v>
      </c>
      <c r="Q570" s="60">
        <f>SUM(N570:P570)</f>
        <v>5201</v>
      </c>
      <c r="R570" s="60">
        <f>+E570+I570+M570+Q570</f>
        <v>32962</v>
      </c>
    </row>
    <row r="571" spans="1:18" ht="15.75" customHeight="1" x14ac:dyDescent="0.3">
      <c r="A571" s="79" t="s">
        <v>42</v>
      </c>
      <c r="B571" s="1">
        <f>(B570/B10)/1.983</f>
        <v>10.785222780733005</v>
      </c>
      <c r="C571" s="1">
        <f>(C570/C10)/1.983</f>
        <v>74.292197968446075</v>
      </c>
      <c r="D571" s="1">
        <f>(D570/D10)/1.983</f>
        <v>46.670896165796364</v>
      </c>
      <c r="E571" s="55" t="s">
        <v>7</v>
      </c>
      <c r="F571" s="1">
        <f>(F570/F10)/1.983</f>
        <v>107.36258194654563</v>
      </c>
      <c r="G571" s="1">
        <f>(G570/G10)/1.983</f>
        <v>59.50579929399899</v>
      </c>
      <c r="H571" s="1">
        <f>(H570/H10)/1.983</f>
        <v>15.716927214657925</v>
      </c>
      <c r="I571" s="55" t="s">
        <v>7</v>
      </c>
      <c r="J571" s="1">
        <f>(J570/J10)/1.983</f>
        <v>99.149219982756662</v>
      </c>
      <c r="K571" s="1">
        <f>(K570/K10)/1.983</f>
        <v>35.950742602443349</v>
      </c>
      <c r="L571" s="1">
        <f>(L570/L10)/1.983</f>
        <v>13.767019667170953</v>
      </c>
      <c r="M571" s="55" t="s">
        <v>7</v>
      </c>
      <c r="N571" s="1">
        <f>(N570/N10)/1.983</f>
        <v>7.5480292160786027</v>
      </c>
      <c r="O571" s="1">
        <f>(O570/O10)/1.983</f>
        <v>6.5052950075642961</v>
      </c>
      <c r="P571" s="1">
        <f>(P570/P10)/1.983</f>
        <v>70.762773900736903</v>
      </c>
      <c r="Q571" s="55" t="s">
        <v>7</v>
      </c>
      <c r="R571" s="55" t="s">
        <v>7</v>
      </c>
    </row>
    <row r="572" spans="1:18" ht="15.75" customHeight="1" x14ac:dyDescent="0.3">
      <c r="A572" s="79" t="s">
        <v>332</v>
      </c>
      <c r="B572" s="1">
        <f>B570+B582</f>
        <v>15065</v>
      </c>
      <c r="C572" s="1">
        <f>C570+C582</f>
        <v>21675</v>
      </c>
      <c r="D572" s="1">
        <f>D570+D582</f>
        <v>23744</v>
      </c>
      <c r="E572" s="55">
        <f>SUM(B572:D572)</f>
        <v>60484</v>
      </c>
      <c r="F572" s="1">
        <f>F570+F582</f>
        <v>27053</v>
      </c>
      <c r="G572" s="1">
        <f>G570+G582</f>
        <v>23679</v>
      </c>
      <c r="H572" s="1">
        <f>H570+H582</f>
        <v>20621</v>
      </c>
      <c r="I572" s="55">
        <f>SUM(F572:H572)</f>
        <v>71353</v>
      </c>
      <c r="J572" s="1">
        <f>J570+J582</f>
        <v>23942</v>
      </c>
      <c r="K572" s="1">
        <f>K570+K582</f>
        <v>20860</v>
      </c>
      <c r="L572" s="1">
        <f>L570+L582</f>
        <v>18441</v>
      </c>
      <c r="M572" s="55">
        <f>SUM(J572:L572)</f>
        <v>63243</v>
      </c>
      <c r="N572" s="1">
        <f>N570+N582</f>
        <v>12844</v>
      </c>
      <c r="O572" s="1">
        <f>O570+O582</f>
        <v>7290</v>
      </c>
      <c r="P572" s="1">
        <f>P570+P582</f>
        <v>16617</v>
      </c>
      <c r="Q572" s="55">
        <f>SUM(N572:P572)</f>
        <v>36751</v>
      </c>
      <c r="R572" s="55">
        <f>+E572+I572+M572+Q572</f>
        <v>231831</v>
      </c>
    </row>
    <row r="573" spans="1:18" ht="16.5" customHeight="1" thickBot="1" x14ac:dyDescent="0.35">
      <c r="A573" s="80" t="s">
        <v>333</v>
      </c>
      <c r="B573" s="25">
        <f>(B572/B10)/1.983</f>
        <v>245.06693995737965</v>
      </c>
      <c r="C573" s="25">
        <f>(C572/C10)/1.983</f>
        <v>390.37173114328937</v>
      </c>
      <c r="D573" s="25">
        <f>(D572/D10)/1.983</f>
        <v>386.2508743676085</v>
      </c>
      <c r="E573" s="81" t="s">
        <v>7</v>
      </c>
      <c r="F573" s="25">
        <f>(F572/F10)/1.983</f>
        <v>454.74869726004368</v>
      </c>
      <c r="G573" s="25">
        <f>(G572/G10)/1.983</f>
        <v>385.19349958518376</v>
      </c>
      <c r="H573" s="25">
        <f>(H572/H10)/1.983</f>
        <v>346.62968566145571</v>
      </c>
      <c r="I573" s="81" t="s">
        <v>7</v>
      </c>
      <c r="J573" s="25">
        <f>(J572/J10)/1.983</f>
        <v>389.47180062791796</v>
      </c>
      <c r="K573" s="25">
        <f>(K572/K10)/1.983</f>
        <v>339.33596863663718</v>
      </c>
      <c r="L573" s="25">
        <f>(L572/L10)/1.983</f>
        <v>309.98487140695914</v>
      </c>
      <c r="M573" s="81" t="s">
        <v>7</v>
      </c>
      <c r="N573" s="25">
        <f>(N572/N10)/1.983</f>
        <v>208.93725700714134</v>
      </c>
      <c r="O573" s="25">
        <f>(O572/O10)/1.983</f>
        <v>122.54160363086233</v>
      </c>
      <c r="P573" s="25">
        <f>(P572/P10)/1.983</f>
        <v>270.31379630081494</v>
      </c>
      <c r="Q573" s="81" t="s">
        <v>7</v>
      </c>
      <c r="R573" s="81" t="s">
        <v>7</v>
      </c>
    </row>
    <row r="574" spans="1:18" ht="15.75" customHeight="1" x14ac:dyDescent="0.3">
      <c r="A574" s="2"/>
      <c r="B574" s="1"/>
      <c r="C574" s="1"/>
      <c r="D574" s="1"/>
      <c r="E574" s="1"/>
      <c r="F574" s="1"/>
      <c r="G574" s="1"/>
      <c r="H574" s="1"/>
      <c r="I574" s="1"/>
      <c r="J574" s="1"/>
      <c r="K574" s="1"/>
      <c r="L574" s="1"/>
      <c r="M574" s="1"/>
      <c r="N574" s="1"/>
      <c r="O574" s="1"/>
      <c r="P574" s="1"/>
      <c r="Q574" s="1"/>
      <c r="R574" s="2"/>
    </row>
    <row r="575" spans="1:18" ht="16.5" customHeight="1" thickBot="1" x14ac:dyDescent="0.35">
      <c r="A575" s="106"/>
      <c r="B575" s="21"/>
      <c r="C575" s="21"/>
      <c r="D575" s="21"/>
      <c r="E575" s="21"/>
      <c r="F575" s="21"/>
      <c r="G575" s="21"/>
      <c r="H575" s="21"/>
      <c r="I575" s="21"/>
      <c r="J575" s="21"/>
      <c r="K575" s="21"/>
      <c r="L575" s="21"/>
      <c r="M575" s="21"/>
      <c r="N575" s="21"/>
      <c r="O575" s="21"/>
      <c r="P575" s="21"/>
      <c r="Q575" s="21"/>
      <c r="R575" s="106"/>
    </row>
    <row r="576" spans="1:18" ht="16.5" customHeight="1" thickBot="1" x14ac:dyDescent="0.35">
      <c r="A576" s="124" t="s">
        <v>334</v>
      </c>
      <c r="B576" s="30" t="s">
        <v>8</v>
      </c>
      <c r="C576" s="31" t="s">
        <v>9</v>
      </c>
      <c r="D576" s="31" t="s">
        <v>10</v>
      </c>
      <c r="E576" s="32" t="s">
        <v>11</v>
      </c>
      <c r="F576" s="31" t="s">
        <v>12</v>
      </c>
      <c r="G576" s="31" t="s">
        <v>13</v>
      </c>
      <c r="H576" s="31" t="s">
        <v>14</v>
      </c>
      <c r="I576" s="33" t="s">
        <v>15</v>
      </c>
      <c r="J576" s="31" t="s">
        <v>16</v>
      </c>
      <c r="K576" s="31" t="s">
        <v>17</v>
      </c>
      <c r="L576" s="31" t="s">
        <v>18</v>
      </c>
      <c r="M576" s="33" t="s">
        <v>19</v>
      </c>
      <c r="N576" s="31" t="s">
        <v>20</v>
      </c>
      <c r="O576" s="31" t="s">
        <v>21</v>
      </c>
      <c r="P576" s="31" t="s">
        <v>22</v>
      </c>
      <c r="Q576" s="32" t="s">
        <v>23</v>
      </c>
      <c r="R576" s="49" t="s">
        <v>24</v>
      </c>
    </row>
    <row r="577" spans="1:18" ht="16.5" customHeight="1" thickBot="1" x14ac:dyDescent="0.35">
      <c r="A577" s="41"/>
      <c r="B577" s="36"/>
      <c r="C577" s="36"/>
      <c r="D577" s="36"/>
      <c r="E577" s="37"/>
      <c r="F577" s="36"/>
      <c r="G577" s="36"/>
      <c r="H577" s="36"/>
      <c r="I577" s="37"/>
      <c r="J577" s="36"/>
      <c r="K577" s="36"/>
      <c r="L577" s="36"/>
      <c r="M577" s="37"/>
      <c r="N577" s="36"/>
      <c r="O577" s="36"/>
      <c r="P577" s="36"/>
      <c r="Q577" s="127"/>
      <c r="R577" s="128"/>
    </row>
    <row r="578" spans="1:18" ht="16.5" customHeight="1" thickBot="1" x14ac:dyDescent="0.35">
      <c r="A578" s="39" t="s">
        <v>40</v>
      </c>
      <c r="B578" s="21">
        <v>20</v>
      </c>
      <c r="C578" s="21">
        <v>22</v>
      </c>
      <c r="D578" s="21">
        <v>28</v>
      </c>
      <c r="E578" s="55">
        <f>SUM(B578:D578)</f>
        <v>70</v>
      </c>
      <c r="F578" s="21">
        <v>37</v>
      </c>
      <c r="G578" s="21">
        <v>42</v>
      </c>
      <c r="H578" s="21">
        <v>44</v>
      </c>
      <c r="I578" s="55">
        <f>SUM(F578:H578)</f>
        <v>123</v>
      </c>
      <c r="J578" s="21">
        <v>39</v>
      </c>
      <c r="K578" s="21">
        <v>36</v>
      </c>
      <c r="L578" s="21">
        <v>34</v>
      </c>
      <c r="M578" s="55">
        <f>SUM(J578:L578)</f>
        <v>109</v>
      </c>
      <c r="N578" s="21">
        <v>29</v>
      </c>
      <c r="O578" s="21">
        <v>23</v>
      </c>
      <c r="P578" s="21">
        <v>19</v>
      </c>
      <c r="Q578" s="55">
        <f>SUM(N578:P578)</f>
        <v>71</v>
      </c>
      <c r="R578" s="55">
        <f>+E578+I578+M578+Q578</f>
        <v>373</v>
      </c>
    </row>
    <row r="579" spans="1:18" ht="16.5" customHeight="1" thickBot="1" x14ac:dyDescent="0.35">
      <c r="A579" s="41"/>
      <c r="B579" s="36"/>
      <c r="C579" s="36"/>
      <c r="D579" s="36"/>
      <c r="E579" s="52"/>
      <c r="F579" s="36"/>
      <c r="G579" s="36"/>
      <c r="H579" s="36"/>
      <c r="I579" s="52"/>
      <c r="J579" s="36"/>
      <c r="K579" s="36"/>
      <c r="L579" s="36"/>
      <c r="M579" s="52"/>
      <c r="N579" s="36"/>
      <c r="O579" s="36"/>
      <c r="P579" s="36"/>
      <c r="Q579" s="52"/>
      <c r="R579" s="42"/>
    </row>
    <row r="580" spans="1:18" ht="15.75" customHeight="1" x14ac:dyDescent="0.3">
      <c r="A580" s="76" t="s">
        <v>314</v>
      </c>
      <c r="B580" s="77">
        <f>B578</f>
        <v>20</v>
      </c>
      <c r="C580" s="77">
        <f>C578</f>
        <v>22</v>
      </c>
      <c r="D580" s="77">
        <f>D578</f>
        <v>28</v>
      </c>
      <c r="E580" s="60">
        <f>SUM(B580:D580)</f>
        <v>70</v>
      </c>
      <c r="F580" s="77">
        <f>F578</f>
        <v>37</v>
      </c>
      <c r="G580" s="77">
        <f>G578</f>
        <v>42</v>
      </c>
      <c r="H580" s="77">
        <f>H578</f>
        <v>44</v>
      </c>
      <c r="I580" s="60">
        <f>SUM(F580:H580)</f>
        <v>123</v>
      </c>
      <c r="J580" s="77">
        <f>J578</f>
        <v>39</v>
      </c>
      <c r="K580" s="77">
        <f>K578</f>
        <v>36</v>
      </c>
      <c r="L580" s="77">
        <f>L578</f>
        <v>34</v>
      </c>
      <c r="M580" s="60">
        <f>SUM(J580:L580)</f>
        <v>109</v>
      </c>
      <c r="N580" s="77">
        <f>N578</f>
        <v>29</v>
      </c>
      <c r="O580" s="77">
        <f>O578</f>
        <v>23</v>
      </c>
      <c r="P580" s="77">
        <f>P578</f>
        <v>19</v>
      </c>
      <c r="Q580" s="60">
        <f>SUM(N580:P580)</f>
        <v>71</v>
      </c>
      <c r="R580" s="60">
        <f>+E580+I580+M580+Q580</f>
        <v>373</v>
      </c>
    </row>
    <row r="581" spans="1:18" ht="15.75" customHeight="1" x14ac:dyDescent="0.3">
      <c r="A581" s="79" t="s">
        <v>42</v>
      </c>
      <c r="B581" s="1">
        <f>(B580/B10)/1.983</f>
        <v>0.32534608689993977</v>
      </c>
      <c r="C581" s="1">
        <f>(C580/C10)/1.983</f>
        <v>0.39622505583171236</v>
      </c>
      <c r="D581" s="1">
        <f>(D580/D10)/1.983</f>
        <v>0.45548452165991571</v>
      </c>
      <c r="E581" s="55" t="s">
        <v>7</v>
      </c>
      <c r="F581" s="1">
        <f>(F580/F10)/1.983</f>
        <v>0.62195326945705165</v>
      </c>
      <c r="G581" s="1">
        <f>(G580/G10)/1.983</f>
        <v>0.68322678248987356</v>
      </c>
      <c r="H581" s="1">
        <f>(H580/H10)/1.983</f>
        <v>0.73962010421919644</v>
      </c>
      <c r="I581" s="55" t="s">
        <v>7</v>
      </c>
      <c r="J581" s="1">
        <f>(J580/J10)/1.983</f>
        <v>0.63442486945488263</v>
      </c>
      <c r="K581" s="1">
        <f>(K580/K10)/1.983</f>
        <v>0.5856229564198917</v>
      </c>
      <c r="L581" s="1">
        <f>(L580/L10)/1.983</f>
        <v>0.57152462598756093</v>
      </c>
      <c r="M581" s="55" t="s">
        <v>7</v>
      </c>
      <c r="N581" s="1">
        <f>(N580/N10)/1.983</f>
        <v>0.47175182600491267</v>
      </c>
      <c r="O581" s="1">
        <f>(O580/O10)/1.983</f>
        <v>0.38661959993276179</v>
      </c>
      <c r="P581" s="1">
        <f>(P580/P10)/1.983</f>
        <v>0.30907878255494281</v>
      </c>
      <c r="Q581" s="55" t="s">
        <v>7</v>
      </c>
      <c r="R581" s="55" t="s">
        <v>7</v>
      </c>
    </row>
    <row r="582" spans="1:18" ht="15.75" customHeight="1" x14ac:dyDescent="0.3">
      <c r="A582" s="79" t="s">
        <v>335</v>
      </c>
      <c r="B582" s="1">
        <f>B580+B618</f>
        <v>14402</v>
      </c>
      <c r="C582" s="1">
        <f>C580+C618</f>
        <v>17550</v>
      </c>
      <c r="D582" s="1">
        <f>D580+D618</f>
        <v>20875</v>
      </c>
      <c r="E582" s="55">
        <f>SUM(B582:D582)</f>
        <v>52827</v>
      </c>
      <c r="F582" s="1">
        <f>F580+F618</f>
        <v>20666</v>
      </c>
      <c r="G582" s="1">
        <f>G580+G618</f>
        <v>20021</v>
      </c>
      <c r="H582" s="1">
        <f>H580+H618</f>
        <v>19686</v>
      </c>
      <c r="I582" s="55">
        <f>SUM(F582:H582)</f>
        <v>60373</v>
      </c>
      <c r="J582" s="1">
        <f>J580+J618</f>
        <v>17847</v>
      </c>
      <c r="K582" s="1">
        <f>K580+K618</f>
        <v>18650</v>
      </c>
      <c r="L582" s="1">
        <f>L580+L618</f>
        <v>17622</v>
      </c>
      <c r="M582" s="55">
        <f>SUM(J582:L582)</f>
        <v>54119</v>
      </c>
      <c r="N582" s="1">
        <f>N580+N618</f>
        <v>12380</v>
      </c>
      <c r="O582" s="1">
        <f>O580+O618</f>
        <v>6903</v>
      </c>
      <c r="P582" s="1">
        <f>P580+P618</f>
        <v>12267</v>
      </c>
      <c r="Q582" s="55">
        <f>SUM(N582:P582)</f>
        <v>31550</v>
      </c>
      <c r="R582" s="55">
        <f>+E582+I582+M582+Q582</f>
        <v>198869</v>
      </c>
    </row>
    <row r="583" spans="1:18" ht="16.5" customHeight="1" thickBot="1" x14ac:dyDescent="0.35">
      <c r="A583" s="80" t="s">
        <v>336</v>
      </c>
      <c r="B583" s="25">
        <f>(B582/B10)/1.983</f>
        <v>234.28171717664665</v>
      </c>
      <c r="C583" s="25">
        <f>(C582/C10)/1.983</f>
        <v>316.07953317484333</v>
      </c>
      <c r="D583" s="25">
        <f>(D582/D10)/1.983</f>
        <v>339.57997820181214</v>
      </c>
      <c r="E583" s="81" t="s">
        <v>7</v>
      </c>
      <c r="F583" s="25">
        <f>(F582/F10)/1.983</f>
        <v>347.38611531349807</v>
      </c>
      <c r="G583" s="25">
        <f>(G582/G10)/1.983</f>
        <v>325.68770029118474</v>
      </c>
      <c r="H583" s="25">
        <f>(H582/H10)/1.983</f>
        <v>330.9127584467978</v>
      </c>
      <c r="I583" s="81" t="s">
        <v>7</v>
      </c>
      <c r="J583" s="25">
        <f>(J582/J10)/1.983</f>
        <v>290.32258064516128</v>
      </c>
      <c r="K583" s="25">
        <f>(K582/K10)/1.983</f>
        <v>303.38522603419386</v>
      </c>
      <c r="L583" s="25">
        <f>(L582/L10)/1.983</f>
        <v>296.21785173978816</v>
      </c>
      <c r="M583" s="81" t="s">
        <v>7</v>
      </c>
      <c r="N583" s="25">
        <f>(N582/N10)/1.983</f>
        <v>201.38922779106275</v>
      </c>
      <c r="O583" s="25">
        <f>(O582/O10)/1.983</f>
        <v>116.03630862329803</v>
      </c>
      <c r="P583" s="25">
        <f>(P582/P10)/1.983</f>
        <v>199.55102240007807</v>
      </c>
      <c r="Q583" s="81" t="s">
        <v>7</v>
      </c>
      <c r="R583" s="81" t="s">
        <v>7</v>
      </c>
    </row>
    <row r="584" spans="1:18" ht="15.75" customHeight="1" x14ac:dyDescent="0.3">
      <c r="A584" s="28"/>
      <c r="B584" s="1"/>
      <c r="C584" s="1"/>
      <c r="D584" s="1"/>
      <c r="E584" s="1"/>
      <c r="F584" s="1"/>
      <c r="G584" s="1"/>
      <c r="H584" s="1"/>
      <c r="I584" s="1"/>
      <c r="J584" s="1"/>
      <c r="K584" s="1"/>
      <c r="L584" s="1"/>
      <c r="M584" s="1"/>
      <c r="N584" s="1"/>
      <c r="O584" s="1"/>
      <c r="P584" s="1"/>
      <c r="Q584" s="1"/>
      <c r="R584" s="2"/>
    </row>
    <row r="585" spans="1:18" ht="15.75" customHeight="1" thickBot="1" x14ac:dyDescent="0.35">
      <c r="A585" s="28"/>
      <c r="B585" s="1"/>
      <c r="C585" s="1"/>
      <c r="D585" s="1"/>
      <c r="E585" s="1"/>
      <c r="F585" s="1"/>
      <c r="G585" s="1"/>
      <c r="H585" s="1"/>
      <c r="I585" s="1"/>
      <c r="J585" s="1"/>
      <c r="K585" s="1"/>
      <c r="L585" s="1"/>
      <c r="M585" s="1"/>
      <c r="N585" s="1"/>
      <c r="O585" s="1"/>
      <c r="P585" s="1"/>
      <c r="Q585" s="1"/>
      <c r="R585" s="2"/>
    </row>
    <row r="586" spans="1:18" ht="16.5" customHeight="1" thickBot="1" x14ac:dyDescent="0.35">
      <c r="A586" s="29" t="s">
        <v>337</v>
      </c>
      <c r="B586" s="30" t="s">
        <v>8</v>
      </c>
      <c r="C586" s="31" t="s">
        <v>9</v>
      </c>
      <c r="D586" s="31" t="s">
        <v>10</v>
      </c>
      <c r="E586" s="32" t="s">
        <v>11</v>
      </c>
      <c r="F586" s="31" t="s">
        <v>12</v>
      </c>
      <c r="G586" s="31" t="s">
        <v>13</v>
      </c>
      <c r="H586" s="31" t="s">
        <v>14</v>
      </c>
      <c r="I586" s="33" t="s">
        <v>15</v>
      </c>
      <c r="J586" s="31" t="s">
        <v>16</v>
      </c>
      <c r="K586" s="31" t="s">
        <v>17</v>
      </c>
      <c r="L586" s="31" t="s">
        <v>18</v>
      </c>
      <c r="M586" s="33" t="s">
        <v>19</v>
      </c>
      <c r="N586" s="31" t="s">
        <v>20</v>
      </c>
      <c r="O586" s="31" t="s">
        <v>21</v>
      </c>
      <c r="P586" s="31" t="s">
        <v>22</v>
      </c>
      <c r="Q586" s="33" t="s">
        <v>23</v>
      </c>
      <c r="R586" s="34" t="s">
        <v>24</v>
      </c>
    </row>
    <row r="587" spans="1:18" ht="16.5" customHeight="1" thickBot="1" x14ac:dyDescent="0.35">
      <c r="A587" s="41"/>
      <c r="B587" s="36"/>
      <c r="C587" s="36"/>
      <c r="D587" s="36"/>
      <c r="E587" s="52"/>
      <c r="F587" s="36"/>
      <c r="G587" s="36"/>
      <c r="H587" s="36"/>
      <c r="I587" s="52"/>
      <c r="J587" s="36"/>
      <c r="K587" s="36"/>
      <c r="L587" s="36"/>
      <c r="M587" s="52"/>
      <c r="N587" s="36"/>
      <c r="O587" s="36"/>
      <c r="P587" s="36"/>
      <c r="Q587" s="52"/>
      <c r="R587" s="38"/>
    </row>
    <row r="588" spans="1:18" ht="15.75" customHeight="1" x14ac:dyDescent="0.3">
      <c r="A588" s="15" t="s">
        <v>48</v>
      </c>
      <c r="B588" s="1" t="s">
        <v>7</v>
      </c>
      <c r="C588" s="1" t="s">
        <v>7</v>
      </c>
      <c r="D588" s="1" t="s">
        <v>7</v>
      </c>
      <c r="E588" s="55" t="s">
        <v>7</v>
      </c>
      <c r="F588" s="1" t="s">
        <v>7</v>
      </c>
      <c r="G588" s="1" t="s">
        <v>7</v>
      </c>
      <c r="H588" s="1" t="s">
        <v>7</v>
      </c>
      <c r="I588" s="55" t="s">
        <v>7</v>
      </c>
      <c r="J588" s="1" t="s">
        <v>7</v>
      </c>
      <c r="K588" s="1" t="s">
        <v>7</v>
      </c>
      <c r="L588" s="1" t="s">
        <v>7</v>
      </c>
      <c r="M588" s="55" t="s">
        <v>7</v>
      </c>
      <c r="N588" s="1" t="s">
        <v>7</v>
      </c>
      <c r="O588" s="1" t="s">
        <v>7</v>
      </c>
      <c r="P588" s="1" t="s">
        <v>7</v>
      </c>
      <c r="Q588" s="55" t="s">
        <v>7</v>
      </c>
      <c r="R588" s="55" t="s">
        <v>7</v>
      </c>
    </row>
    <row r="589" spans="1:18" ht="15.75" customHeight="1" x14ac:dyDescent="0.3">
      <c r="A589" s="15" t="s">
        <v>49</v>
      </c>
      <c r="B589" s="1"/>
      <c r="C589" s="1"/>
      <c r="D589" s="1"/>
      <c r="E589" s="55" t="s">
        <v>7</v>
      </c>
      <c r="F589" s="1"/>
      <c r="G589" s="1"/>
      <c r="H589" s="1"/>
      <c r="I589" s="55" t="s">
        <v>7</v>
      </c>
      <c r="J589" s="1"/>
      <c r="K589" s="1"/>
      <c r="L589" s="1"/>
      <c r="M589" s="55" t="s">
        <v>7</v>
      </c>
      <c r="N589" s="1"/>
      <c r="O589" s="1"/>
      <c r="P589" s="1"/>
      <c r="Q589" s="55" t="s">
        <v>7</v>
      </c>
      <c r="R589" s="55" t="s">
        <v>7</v>
      </c>
    </row>
    <row r="590" spans="1:18" ht="15.75" customHeight="1" x14ac:dyDescent="0.3">
      <c r="A590" s="71" t="s">
        <v>994</v>
      </c>
      <c r="B590" s="1">
        <v>114</v>
      </c>
      <c r="C590" s="1">
        <v>952</v>
      </c>
      <c r="D590" s="1">
        <v>1579</v>
      </c>
      <c r="E590" s="55">
        <f>SUM(B590:D590)</f>
        <v>2645</v>
      </c>
      <c r="F590" s="1">
        <v>741</v>
      </c>
      <c r="G590" s="1">
        <v>1328</v>
      </c>
      <c r="H590" s="1">
        <v>915</v>
      </c>
      <c r="I590" s="55">
        <f>SUM(F590:H590)</f>
        <v>2984</v>
      </c>
      <c r="J590" s="1">
        <v>1460</v>
      </c>
      <c r="K590" s="1">
        <v>1670</v>
      </c>
      <c r="L590" s="1">
        <v>1172</v>
      </c>
      <c r="M590" s="55">
        <f>SUM(J590:L590)</f>
        <v>4302</v>
      </c>
      <c r="N590" s="1">
        <v>480</v>
      </c>
      <c r="O590" s="1">
        <v>123</v>
      </c>
      <c r="P590" s="1">
        <v>353</v>
      </c>
      <c r="Q590" s="55">
        <f>SUM(N590:P590)</f>
        <v>956</v>
      </c>
      <c r="R590" s="55">
        <f>+E590+I590+M590+Q590</f>
        <v>10887</v>
      </c>
    </row>
    <row r="591" spans="1:18" ht="15.75" customHeight="1" x14ac:dyDescent="0.3">
      <c r="A591" s="71" t="s">
        <v>995</v>
      </c>
      <c r="B591" s="1"/>
      <c r="C591" s="1"/>
      <c r="D591" s="1"/>
      <c r="E591" s="55">
        <f>SUM(B591:D591)</f>
        <v>0</v>
      </c>
      <c r="F591" s="1"/>
      <c r="G591" s="1"/>
      <c r="H591" s="1"/>
      <c r="I591" s="55">
        <f>SUM(F591:H591)</f>
        <v>0</v>
      </c>
      <c r="J591" s="1"/>
      <c r="K591" s="1">
        <v>364</v>
      </c>
      <c r="L591" s="1">
        <v>956</v>
      </c>
      <c r="M591" s="55">
        <f>SUM(J591:L591)</f>
        <v>1320</v>
      </c>
      <c r="N591" s="1">
        <v>537</v>
      </c>
      <c r="O591" s="1">
        <v>200</v>
      </c>
      <c r="P591" s="1">
        <v>544</v>
      </c>
      <c r="Q591" s="55">
        <f>SUM(N591:P591)</f>
        <v>1281</v>
      </c>
      <c r="R591" s="55">
        <f>+E591+I591+M591+Q591</f>
        <v>2601</v>
      </c>
    </row>
    <row r="592" spans="1:18" ht="15.75" customHeight="1" x14ac:dyDescent="0.3">
      <c r="A592" s="71" t="s">
        <v>339</v>
      </c>
      <c r="B592" s="1"/>
      <c r="C592" s="1"/>
      <c r="D592" s="1"/>
      <c r="E592" s="55">
        <f>SUM(B592:D592)</f>
        <v>0</v>
      </c>
      <c r="F592" s="1"/>
      <c r="G592" s="1"/>
      <c r="H592" s="1"/>
      <c r="I592" s="55">
        <f>SUM(F592:H592)</f>
        <v>0</v>
      </c>
      <c r="J592" s="1"/>
      <c r="K592" s="1"/>
      <c r="L592" s="1"/>
      <c r="M592" s="55">
        <f>SUM(J592:L592)</f>
        <v>0</v>
      </c>
      <c r="N592" s="1"/>
      <c r="O592" s="1"/>
      <c r="P592" s="1"/>
      <c r="Q592" s="55">
        <f>SUM(N592:P592)</f>
        <v>0</v>
      </c>
      <c r="R592" s="55">
        <f>+E592+I592+M592+Q592</f>
        <v>0</v>
      </c>
    </row>
    <row r="593" spans="1:18" ht="15.75" customHeight="1" x14ac:dyDescent="0.3">
      <c r="A593" s="15" t="s">
        <v>50</v>
      </c>
      <c r="B593" s="1"/>
      <c r="C593" s="1"/>
      <c r="D593" s="1"/>
      <c r="E593" s="55" t="s">
        <v>7</v>
      </c>
      <c r="F593" s="1"/>
      <c r="G593" s="1"/>
      <c r="H593" s="1"/>
      <c r="I593" s="55" t="s">
        <v>7</v>
      </c>
      <c r="J593" s="1"/>
      <c r="K593" s="1"/>
      <c r="L593" s="1"/>
      <c r="M593" s="55" t="s">
        <v>7</v>
      </c>
      <c r="N593" s="1"/>
      <c r="O593" s="1"/>
      <c r="P593" s="1"/>
      <c r="Q593" s="55" t="s">
        <v>7</v>
      </c>
      <c r="R593" s="55" t="s">
        <v>7</v>
      </c>
    </row>
    <row r="594" spans="1:18" ht="15.75" customHeight="1" x14ac:dyDescent="0.3">
      <c r="A594" s="15" t="s">
        <v>51</v>
      </c>
      <c r="B594" s="1"/>
      <c r="C594" s="1"/>
      <c r="D594" s="1"/>
      <c r="E594" s="55" t="s">
        <v>7</v>
      </c>
      <c r="F594" s="1"/>
      <c r="G594" s="1"/>
      <c r="H594" s="1"/>
      <c r="I594" s="55" t="s">
        <v>7</v>
      </c>
      <c r="J594" s="1"/>
      <c r="K594" s="1"/>
      <c r="L594" s="1"/>
      <c r="M594" s="55" t="s">
        <v>7</v>
      </c>
      <c r="N594" s="1"/>
      <c r="O594" s="1"/>
      <c r="P594" s="1"/>
      <c r="Q594" s="55" t="s">
        <v>7</v>
      </c>
      <c r="R594" s="55" t="s">
        <v>7</v>
      </c>
    </row>
    <row r="595" spans="1:18" ht="15.75" customHeight="1" thickBot="1" x14ac:dyDescent="0.35">
      <c r="A595" s="15" t="s">
        <v>53</v>
      </c>
      <c r="B595" s="1"/>
      <c r="C595" s="1"/>
      <c r="D595" s="1"/>
      <c r="E595" s="55" t="s">
        <v>7</v>
      </c>
      <c r="F595" s="1"/>
      <c r="G595" s="1"/>
      <c r="H595" s="1"/>
      <c r="I595" s="55" t="s">
        <v>7</v>
      </c>
      <c r="J595" s="1"/>
      <c r="K595" s="1"/>
      <c r="L595" s="1"/>
      <c r="M595" s="55" t="s">
        <v>7</v>
      </c>
      <c r="N595" s="1"/>
      <c r="O595" s="1"/>
      <c r="P595" s="1"/>
      <c r="Q595" s="55" t="s">
        <v>7</v>
      </c>
      <c r="R595" s="55" t="s">
        <v>7</v>
      </c>
    </row>
    <row r="596" spans="1:18" ht="16.5" customHeight="1" thickBot="1" x14ac:dyDescent="0.35">
      <c r="A596" s="109" t="s">
        <v>54</v>
      </c>
      <c r="B596" s="86">
        <f>SUM(B588:B595)</f>
        <v>114</v>
      </c>
      <c r="C596" s="87">
        <f>SUM(C588:C595)</f>
        <v>952</v>
      </c>
      <c r="D596" s="87">
        <f>SUM(D588:D595)</f>
        <v>1579</v>
      </c>
      <c r="E596" s="59">
        <f>SUM(B596:D596)</f>
        <v>2645</v>
      </c>
      <c r="F596" s="87">
        <f>SUM(F588:F595)</f>
        <v>741</v>
      </c>
      <c r="G596" s="87">
        <f>SUM(G588:G595)</f>
        <v>1328</v>
      </c>
      <c r="H596" s="87">
        <f>SUM(H588:H595)</f>
        <v>915</v>
      </c>
      <c r="I596" s="59">
        <f>SUM(F596:H596)</f>
        <v>2984</v>
      </c>
      <c r="J596" s="87">
        <f>SUM(J588:J595)</f>
        <v>1460</v>
      </c>
      <c r="K596" s="87">
        <f>SUM(K588:K595)</f>
        <v>2034</v>
      </c>
      <c r="L596" s="87">
        <f>SUM(L588:L595)</f>
        <v>2128</v>
      </c>
      <c r="M596" s="59">
        <f>SUM(J596:L596)</f>
        <v>5622</v>
      </c>
      <c r="N596" s="87">
        <f>SUM(N588:N595)</f>
        <v>1017</v>
      </c>
      <c r="O596" s="87">
        <f>SUM(O588:O595)</f>
        <v>323</v>
      </c>
      <c r="P596" s="87">
        <f>SUM(P588:P595)</f>
        <v>897</v>
      </c>
      <c r="Q596" s="59">
        <f>SUM(N596:P596)</f>
        <v>2237</v>
      </c>
      <c r="R596" s="59">
        <f>+E596+I596+M596+Q596</f>
        <v>13488</v>
      </c>
    </row>
    <row r="597" spans="1:18" ht="15.75" customHeight="1" x14ac:dyDescent="0.3">
      <c r="A597" s="15" t="s">
        <v>55</v>
      </c>
      <c r="B597" s="1"/>
      <c r="C597" s="1"/>
      <c r="D597" s="1"/>
      <c r="E597" s="55" t="s">
        <v>7</v>
      </c>
      <c r="F597" s="1"/>
      <c r="G597" s="1"/>
      <c r="H597" s="1"/>
      <c r="I597" s="55" t="s">
        <v>7</v>
      </c>
      <c r="J597" s="1"/>
      <c r="K597" s="1"/>
      <c r="L597" s="1"/>
      <c r="M597" s="55" t="s">
        <v>7</v>
      </c>
      <c r="N597" s="1"/>
      <c r="O597" s="1"/>
      <c r="P597" s="1"/>
      <c r="Q597" s="55" t="s">
        <v>7</v>
      </c>
      <c r="R597" s="55" t="s">
        <v>7</v>
      </c>
    </row>
    <row r="598" spans="1:18" ht="15.75" customHeight="1" x14ac:dyDescent="0.3">
      <c r="A598" s="15" t="s">
        <v>57</v>
      </c>
      <c r="B598" s="1"/>
      <c r="C598" s="1"/>
      <c r="D598" s="1"/>
      <c r="E598" s="55" t="s">
        <v>7</v>
      </c>
      <c r="F598" s="1"/>
      <c r="G598" s="1"/>
      <c r="H598" s="1"/>
      <c r="I598" s="55" t="s">
        <v>7</v>
      </c>
      <c r="J598" s="1"/>
      <c r="K598" s="1"/>
      <c r="L598" s="1"/>
      <c r="M598" s="55" t="s">
        <v>7</v>
      </c>
      <c r="N598" s="1"/>
      <c r="O598" s="1"/>
      <c r="P598" s="1"/>
      <c r="Q598" s="55" t="s">
        <v>7</v>
      </c>
      <c r="R598" s="55" t="s">
        <v>7</v>
      </c>
    </row>
    <row r="599" spans="1:18" ht="15.75" customHeight="1" thickBot="1" x14ac:dyDescent="0.35">
      <c r="A599" s="15" t="s">
        <v>58</v>
      </c>
      <c r="B599" s="1"/>
      <c r="C599" s="1"/>
      <c r="D599" s="1"/>
      <c r="E599" s="55" t="s">
        <v>7</v>
      </c>
      <c r="F599" s="1"/>
      <c r="G599" s="1"/>
      <c r="H599" s="1"/>
      <c r="I599" s="55" t="s">
        <v>7</v>
      </c>
      <c r="J599" s="1"/>
      <c r="K599" s="1"/>
      <c r="L599" s="1"/>
      <c r="M599" s="55" t="s">
        <v>7</v>
      </c>
      <c r="N599" s="1"/>
      <c r="O599" s="1"/>
      <c r="P599" s="1"/>
      <c r="Q599" s="55" t="s">
        <v>7</v>
      </c>
      <c r="R599" s="55" t="s">
        <v>7</v>
      </c>
    </row>
    <row r="600" spans="1:18" ht="16.5" customHeight="1" thickBot="1" x14ac:dyDescent="0.35">
      <c r="A600" s="57" t="s">
        <v>59</v>
      </c>
      <c r="B600" s="86">
        <f>SUM(B597:B599)</f>
        <v>0</v>
      </c>
      <c r="C600" s="87">
        <f>SUM(C597:C599)</f>
        <v>0</v>
      </c>
      <c r="D600" s="87">
        <f>SUM(D597:D599)</f>
        <v>0</v>
      </c>
      <c r="E600" s="59">
        <f>SUM(B600:D600)</f>
        <v>0</v>
      </c>
      <c r="F600" s="87">
        <f>SUM(F597:F599)</f>
        <v>0</v>
      </c>
      <c r="G600" s="87">
        <f>SUM(G597:G599)</f>
        <v>0</v>
      </c>
      <c r="H600" s="87">
        <f>SUM(H597:H599)</f>
        <v>0</v>
      </c>
      <c r="I600" s="59">
        <f>SUM(F600:H600)</f>
        <v>0</v>
      </c>
      <c r="J600" s="87">
        <f>SUM(J597:J599)</f>
        <v>0</v>
      </c>
      <c r="K600" s="87">
        <f>SUM(K597:K599)</f>
        <v>0</v>
      </c>
      <c r="L600" s="87">
        <f>SUM(L597:L599)</f>
        <v>0</v>
      </c>
      <c r="M600" s="59">
        <f>SUM(J600:L600)</f>
        <v>0</v>
      </c>
      <c r="N600" s="87">
        <f>SUM(N597:N599)</f>
        <v>0</v>
      </c>
      <c r="O600" s="87">
        <f>SUM(O597:O599)</f>
        <v>0</v>
      </c>
      <c r="P600" s="87">
        <f>SUM(P597:P599)</f>
        <v>0</v>
      </c>
      <c r="Q600" s="59">
        <f>SUM(N600:P600)</f>
        <v>0</v>
      </c>
      <c r="R600" s="59">
        <f>+E600+I600+M600+Q600</f>
        <v>0</v>
      </c>
    </row>
    <row r="601" spans="1:18" ht="15.75" customHeight="1" x14ac:dyDescent="0.3">
      <c r="A601" s="15" t="s">
        <v>60</v>
      </c>
      <c r="B601" s="1"/>
      <c r="C601" s="1"/>
      <c r="D601" s="1"/>
      <c r="E601" s="55" t="s">
        <v>7</v>
      </c>
      <c r="F601" s="1"/>
      <c r="G601" s="1"/>
      <c r="H601" s="1"/>
      <c r="I601" s="55" t="s">
        <v>7</v>
      </c>
      <c r="J601" s="1"/>
      <c r="K601" s="1"/>
      <c r="L601" s="1"/>
      <c r="M601" s="55" t="s">
        <v>7</v>
      </c>
      <c r="N601" s="1"/>
      <c r="O601" s="1"/>
      <c r="P601" s="1"/>
      <c r="Q601" s="55" t="s">
        <v>7</v>
      </c>
      <c r="R601" s="55" t="s">
        <v>7</v>
      </c>
    </row>
    <row r="602" spans="1:18" ht="15.75" customHeight="1" x14ac:dyDescent="0.3">
      <c r="A602" s="15" t="s">
        <v>61</v>
      </c>
      <c r="B602" s="1"/>
      <c r="C602" s="1"/>
      <c r="D602" s="1"/>
      <c r="E602" s="55" t="s">
        <v>7</v>
      </c>
      <c r="F602" s="1"/>
      <c r="G602" s="1"/>
      <c r="H602" s="1"/>
      <c r="I602" s="55" t="s">
        <v>7</v>
      </c>
      <c r="J602" s="1"/>
      <c r="K602" s="1"/>
      <c r="L602" s="1"/>
      <c r="M602" s="55" t="s">
        <v>7</v>
      </c>
      <c r="N602" s="1"/>
      <c r="O602" s="1"/>
      <c r="P602" s="1"/>
      <c r="Q602" s="55" t="s">
        <v>7</v>
      </c>
      <c r="R602" s="55" t="s">
        <v>7</v>
      </c>
    </row>
    <row r="603" spans="1:18" ht="15.75" customHeight="1" thickBot="1" x14ac:dyDescent="0.35">
      <c r="A603" s="15" t="s">
        <v>62</v>
      </c>
      <c r="B603" s="1"/>
      <c r="C603" s="1"/>
      <c r="D603" s="1"/>
      <c r="E603" s="55" t="s">
        <v>7</v>
      </c>
      <c r="F603" s="1"/>
      <c r="G603" s="1"/>
      <c r="H603" s="1"/>
      <c r="I603" s="55" t="s">
        <v>7</v>
      </c>
      <c r="J603" s="1"/>
      <c r="K603" s="1"/>
      <c r="L603" s="1"/>
      <c r="M603" s="55" t="s">
        <v>7</v>
      </c>
      <c r="N603" s="1"/>
      <c r="O603" s="1"/>
      <c r="P603" s="1"/>
      <c r="Q603" s="55" t="s">
        <v>7</v>
      </c>
      <c r="R603" s="55" t="s">
        <v>7</v>
      </c>
    </row>
    <row r="604" spans="1:18" ht="16.5" customHeight="1" thickBot="1" x14ac:dyDescent="0.35">
      <c r="A604" s="114" t="s">
        <v>63</v>
      </c>
      <c r="B604" s="86">
        <f>SUM(B601:B603)</f>
        <v>0</v>
      </c>
      <c r="C604" s="87">
        <f>SUM(C601:C603)</f>
        <v>0</v>
      </c>
      <c r="D604" s="87">
        <f>SUM(D601:D603)</f>
        <v>0</v>
      </c>
      <c r="E604" s="59">
        <f>SUM(B604:D604)</f>
        <v>0</v>
      </c>
      <c r="F604" s="87">
        <f>SUM(F601:F603)</f>
        <v>0</v>
      </c>
      <c r="G604" s="87">
        <f>SUM(G601:G603)</f>
        <v>0</v>
      </c>
      <c r="H604" s="87">
        <f>SUM(H601:H603)</f>
        <v>0</v>
      </c>
      <c r="I604" s="59">
        <f>SUM(F604:H604)</f>
        <v>0</v>
      </c>
      <c r="J604" s="87">
        <f>SUM(J601:J603)</f>
        <v>0</v>
      </c>
      <c r="K604" s="87">
        <f>SUM(K601:K603)</f>
        <v>0</v>
      </c>
      <c r="L604" s="87">
        <f>SUM(L601:L603)</f>
        <v>0</v>
      </c>
      <c r="M604" s="59">
        <f>SUM(J604:L604)</f>
        <v>0</v>
      </c>
      <c r="N604" s="87">
        <f>SUM(N601:N603)</f>
        <v>0</v>
      </c>
      <c r="O604" s="87">
        <f>SUM(O601:O603)</f>
        <v>0</v>
      </c>
      <c r="P604" s="87">
        <f>SUM(P601:P603)</f>
        <v>0</v>
      </c>
      <c r="Q604" s="59">
        <f>SUM(N604:P604)</f>
        <v>0</v>
      </c>
      <c r="R604" s="59">
        <f>+E604+I604+M604+Q604</f>
        <v>0</v>
      </c>
    </row>
    <row r="605" spans="1:18" ht="15.75" customHeight="1" x14ac:dyDescent="0.3">
      <c r="A605" s="15" t="s">
        <v>64</v>
      </c>
      <c r="B605" s="1"/>
      <c r="C605" s="1"/>
      <c r="D605" s="1"/>
      <c r="E605" s="55" t="s">
        <v>7</v>
      </c>
      <c r="F605" s="1"/>
      <c r="G605" s="1"/>
      <c r="H605" s="1"/>
      <c r="I605" s="55" t="s">
        <v>7</v>
      </c>
      <c r="J605" s="1"/>
      <c r="K605" s="1"/>
      <c r="L605" s="1"/>
      <c r="M605" s="55" t="s">
        <v>7</v>
      </c>
      <c r="N605" s="1"/>
      <c r="O605" s="1"/>
      <c r="P605" s="1"/>
      <c r="Q605" s="55" t="s">
        <v>7</v>
      </c>
      <c r="R605" s="55" t="s">
        <v>7</v>
      </c>
    </row>
    <row r="606" spans="1:18" ht="15.75" customHeight="1" x14ac:dyDescent="0.3">
      <c r="A606" s="15" t="s">
        <v>594</v>
      </c>
      <c r="B606" s="1"/>
      <c r="C606" s="1"/>
      <c r="D606" s="1"/>
      <c r="E606" s="55" t="s">
        <v>7</v>
      </c>
      <c r="F606" s="1"/>
      <c r="G606" s="1"/>
      <c r="H606" s="1"/>
      <c r="I606" s="55" t="s">
        <v>7</v>
      </c>
      <c r="J606" s="1"/>
      <c r="K606" s="1"/>
      <c r="L606" s="1"/>
      <c r="M606" s="55" t="s">
        <v>7</v>
      </c>
      <c r="N606" s="1"/>
      <c r="O606" s="1"/>
      <c r="P606" s="1"/>
      <c r="Q606" s="55" t="s">
        <v>7</v>
      </c>
      <c r="R606" s="55" t="s">
        <v>7</v>
      </c>
    </row>
    <row r="607" spans="1:18" ht="15.75" customHeight="1" x14ac:dyDescent="0.3">
      <c r="A607" s="15" t="s">
        <v>67</v>
      </c>
      <c r="B607" s="1"/>
      <c r="C607" s="1"/>
      <c r="D607" s="1"/>
      <c r="E607" s="55" t="s">
        <v>7</v>
      </c>
      <c r="F607" s="1"/>
      <c r="G607" s="1"/>
      <c r="H607" s="1"/>
      <c r="I607" s="55" t="s">
        <v>7</v>
      </c>
      <c r="J607" s="1"/>
      <c r="K607" s="1"/>
      <c r="L607" s="1"/>
      <c r="M607" s="55" t="s">
        <v>7</v>
      </c>
      <c r="N607" s="1"/>
      <c r="O607" s="1"/>
      <c r="P607" s="1"/>
      <c r="Q607" s="55" t="s">
        <v>7</v>
      </c>
      <c r="R607" s="55" t="s">
        <v>7</v>
      </c>
    </row>
    <row r="608" spans="1:18" ht="15.75" customHeight="1" x14ac:dyDescent="0.3">
      <c r="A608" s="71" t="s">
        <v>773</v>
      </c>
      <c r="B608" s="1"/>
      <c r="C608" s="1"/>
      <c r="D608" s="1"/>
      <c r="E608" s="55">
        <f>SUM(B608:D608)</f>
        <v>0</v>
      </c>
      <c r="F608" s="1"/>
      <c r="G608" s="1"/>
      <c r="H608" s="1"/>
      <c r="I608" s="55">
        <f>SUM(F608:H608)</f>
        <v>0</v>
      </c>
      <c r="J608" s="1"/>
      <c r="K608" s="1"/>
      <c r="L608" s="1"/>
      <c r="M608" s="55">
        <f>SUM(J608:L608)</f>
        <v>0</v>
      </c>
      <c r="N608" s="1"/>
      <c r="O608" s="1"/>
      <c r="P608" s="1"/>
      <c r="Q608" s="55">
        <f>SUM(N608:P608)</f>
        <v>0</v>
      </c>
      <c r="R608" s="55">
        <f>+E608+I608+M608+Q608</f>
        <v>0</v>
      </c>
    </row>
    <row r="609" spans="1:18" ht="15.75" customHeight="1" x14ac:dyDescent="0.3">
      <c r="A609" s="15" t="s">
        <v>600</v>
      </c>
      <c r="B609" s="1"/>
      <c r="C609" s="1"/>
      <c r="D609" s="1"/>
      <c r="E609" s="55" t="s">
        <v>7</v>
      </c>
      <c r="F609" s="1"/>
      <c r="G609" s="1"/>
      <c r="H609" s="1"/>
      <c r="I609" s="55" t="s">
        <v>7</v>
      </c>
      <c r="J609" s="1"/>
      <c r="K609" s="1"/>
      <c r="L609" s="1"/>
      <c r="M609" s="55" t="s">
        <v>7</v>
      </c>
      <c r="N609" s="1"/>
      <c r="O609" s="1"/>
      <c r="P609" s="1"/>
      <c r="Q609" s="55" t="s">
        <v>7</v>
      </c>
      <c r="R609" s="55" t="s">
        <v>7</v>
      </c>
    </row>
    <row r="610" spans="1:18" ht="15.75" customHeight="1" thickBot="1" x14ac:dyDescent="0.35">
      <c r="A610" s="15" t="s">
        <v>70</v>
      </c>
      <c r="B610" s="1"/>
      <c r="C610" s="1"/>
      <c r="D610" s="1"/>
      <c r="E610" s="55" t="s">
        <v>7</v>
      </c>
      <c r="F610" s="1"/>
      <c r="G610" s="1"/>
      <c r="H610" s="1"/>
      <c r="I610" s="55" t="s">
        <v>7</v>
      </c>
      <c r="J610" s="1"/>
      <c r="K610" s="1"/>
      <c r="L610" s="1"/>
      <c r="M610" s="55" t="s">
        <v>7</v>
      </c>
      <c r="N610" s="1"/>
      <c r="O610" s="1"/>
      <c r="P610" s="1"/>
      <c r="Q610" s="55" t="s">
        <v>7</v>
      </c>
      <c r="R610" s="55" t="s">
        <v>7</v>
      </c>
    </row>
    <row r="611" spans="1:18" ht="16.5" customHeight="1" thickBot="1" x14ac:dyDescent="0.35">
      <c r="A611" s="57" t="s">
        <v>71</v>
      </c>
      <c r="B611" s="58">
        <f>SUM(B609:B610)</f>
        <v>0</v>
      </c>
      <c r="C611" s="58">
        <f>SUM(C609:C610)</f>
        <v>0</v>
      </c>
      <c r="D611" s="58">
        <f>SUM(D609:D610)</f>
        <v>0</v>
      </c>
      <c r="E611" s="60">
        <f>SUM(B611:D611)</f>
        <v>0</v>
      </c>
      <c r="F611" s="58">
        <f>SUM(F609:F610)</f>
        <v>0</v>
      </c>
      <c r="G611" s="58">
        <f>SUM(G609:G610)</f>
        <v>0</v>
      </c>
      <c r="H611" s="58">
        <f>SUM(H609:H610)</f>
        <v>0</v>
      </c>
      <c r="I611" s="60">
        <f>SUM(F611:H611)</f>
        <v>0</v>
      </c>
      <c r="J611" s="58">
        <f>SUM(J609:J610)</f>
        <v>0</v>
      </c>
      <c r="K611" s="58">
        <f>SUM(K609:K610)</f>
        <v>0</v>
      </c>
      <c r="L611" s="58">
        <f>SUM(L609:L610)</f>
        <v>0</v>
      </c>
      <c r="M611" s="60">
        <f>SUM(J611:L611)</f>
        <v>0</v>
      </c>
      <c r="N611" s="58">
        <f>SUM(N609:N610)</f>
        <v>0</v>
      </c>
      <c r="O611" s="58">
        <f>SUM(O609:O610)</f>
        <v>0</v>
      </c>
      <c r="P611" s="58">
        <f>SUM(P609:P610)</f>
        <v>0</v>
      </c>
      <c r="Q611" s="60">
        <f>SUM(N611:P611)</f>
        <v>0</v>
      </c>
      <c r="R611" s="59">
        <f>+E611+I611+M611+Q611</f>
        <v>0</v>
      </c>
    </row>
    <row r="612" spans="1:18" ht="16.5" customHeight="1" thickBot="1" x14ac:dyDescent="0.35">
      <c r="A612" s="114" t="s">
        <v>72</v>
      </c>
      <c r="B612" s="86">
        <f>SUM(B605:B610)</f>
        <v>0</v>
      </c>
      <c r="C612" s="87">
        <f>SUM(C605:C610)</f>
        <v>0</v>
      </c>
      <c r="D612" s="118">
        <f>SUM(D605:D610)</f>
        <v>0</v>
      </c>
      <c r="E612" s="60">
        <f>SUM(B612:D612)</f>
        <v>0</v>
      </c>
      <c r="F612" s="87">
        <f>SUM(F605:F610)</f>
        <v>0</v>
      </c>
      <c r="G612" s="87">
        <f>SUM(G605:G610)</f>
        <v>0</v>
      </c>
      <c r="H612" s="87">
        <f>SUM(H605:H610)</f>
        <v>0</v>
      </c>
      <c r="I612" s="60">
        <f>SUM(F612:H612)</f>
        <v>0</v>
      </c>
      <c r="J612" s="87">
        <f>SUM(J605:J610)</f>
        <v>0</v>
      </c>
      <c r="K612" s="87">
        <f>SUM(K605:K610)</f>
        <v>0</v>
      </c>
      <c r="L612" s="87">
        <f>SUM(L605:L610)</f>
        <v>0</v>
      </c>
      <c r="M612" s="60">
        <f>SUM(J612:L612)</f>
        <v>0</v>
      </c>
      <c r="N612" s="87">
        <f>SUM(N605:N610)</f>
        <v>0</v>
      </c>
      <c r="O612" s="87">
        <f>SUM(O605:O610)</f>
        <v>0</v>
      </c>
      <c r="P612" s="87">
        <f>SUM(P605:P610)</f>
        <v>0</v>
      </c>
      <c r="Q612" s="60">
        <f>SUM(N612:P612)</f>
        <v>0</v>
      </c>
      <c r="R612" s="59">
        <f>+E612+I612+M612+Q612</f>
        <v>0</v>
      </c>
    </row>
    <row r="613" spans="1:18" ht="16.5" customHeight="1" thickBot="1" x14ac:dyDescent="0.35">
      <c r="A613" s="57" t="s">
        <v>73</v>
      </c>
      <c r="B613" s="90">
        <f>+B596+B600+B604+B612</f>
        <v>114</v>
      </c>
      <c r="C613" s="58">
        <f>+C596+C600+C604+C612</f>
        <v>952</v>
      </c>
      <c r="D613" s="58">
        <f>+D596+D600+D604+D612</f>
        <v>1579</v>
      </c>
      <c r="E613" s="59">
        <f>SUM(B613:D613)</f>
        <v>2645</v>
      </c>
      <c r="F613" s="58">
        <f>+F596+F600+F604+F612</f>
        <v>741</v>
      </c>
      <c r="G613" s="58">
        <f>+G596+G600+G604+G612</f>
        <v>1328</v>
      </c>
      <c r="H613" s="58">
        <f>+H596+H600+H604+H612</f>
        <v>915</v>
      </c>
      <c r="I613" s="59">
        <f>SUM(F613:H613)</f>
        <v>2984</v>
      </c>
      <c r="J613" s="58">
        <f>+J596+J600+J604+J612</f>
        <v>1460</v>
      </c>
      <c r="K613" s="58">
        <f>+K596+K600+K604+K612</f>
        <v>2034</v>
      </c>
      <c r="L613" s="58">
        <f>+L596+L600+L604+L612</f>
        <v>2128</v>
      </c>
      <c r="M613" s="59">
        <f>SUM(J613:L613)</f>
        <v>5622</v>
      </c>
      <c r="N613" s="58">
        <f>+N596+N600+N604+N612</f>
        <v>1017</v>
      </c>
      <c r="O613" s="58">
        <f>+O596+O600+O604+O612</f>
        <v>323</v>
      </c>
      <c r="P613" s="58">
        <f>+P596+P600+P604+P612</f>
        <v>897</v>
      </c>
      <c r="Q613" s="59">
        <f>SUM(N613:P613)</f>
        <v>2237</v>
      </c>
      <c r="R613" s="81">
        <f>+E613+I613+M613+Q613</f>
        <v>13488</v>
      </c>
    </row>
    <row r="614" spans="1:18" ht="16.5" customHeight="1" thickBot="1" x14ac:dyDescent="0.35">
      <c r="A614" s="39" t="s">
        <v>40</v>
      </c>
      <c r="B614" s="21">
        <v>10</v>
      </c>
      <c r="C614" s="21">
        <v>11</v>
      </c>
      <c r="D614" s="21">
        <v>14</v>
      </c>
      <c r="E614" s="55">
        <f>SUM(B614:D614)</f>
        <v>35</v>
      </c>
      <c r="F614" s="21">
        <v>18</v>
      </c>
      <c r="G614" s="21">
        <v>21</v>
      </c>
      <c r="H614" s="21">
        <v>22</v>
      </c>
      <c r="I614" s="55">
        <f>SUM(F614:H614)</f>
        <v>61</v>
      </c>
      <c r="J614" s="21">
        <v>19</v>
      </c>
      <c r="K614" s="21">
        <v>17</v>
      </c>
      <c r="L614" s="21">
        <v>17</v>
      </c>
      <c r="M614" s="55">
        <f>SUM(J614:L614)</f>
        <v>53</v>
      </c>
      <c r="N614" s="21">
        <v>14</v>
      </c>
      <c r="O614" s="21">
        <v>11</v>
      </c>
      <c r="P614" s="21">
        <v>9</v>
      </c>
      <c r="Q614" s="55">
        <f>SUM(N614:P614)</f>
        <v>34</v>
      </c>
      <c r="R614" s="55">
        <f>+E614+I614+M614+Q614</f>
        <v>183</v>
      </c>
    </row>
    <row r="615" spans="1:18" ht="16.5" customHeight="1" thickBot="1" x14ac:dyDescent="0.35">
      <c r="A615" s="41"/>
      <c r="B615" s="36"/>
      <c r="C615" s="36"/>
      <c r="D615" s="36"/>
      <c r="E615" s="52"/>
      <c r="F615" s="36"/>
      <c r="G615" s="36"/>
      <c r="H615" s="36"/>
      <c r="I615" s="52"/>
      <c r="J615" s="36"/>
      <c r="K615" s="36"/>
      <c r="L615" s="36"/>
      <c r="M615" s="129"/>
      <c r="N615" s="36"/>
      <c r="O615" s="36"/>
      <c r="P615" s="36"/>
      <c r="Q615" s="129"/>
      <c r="R615" s="40"/>
    </row>
    <row r="616" spans="1:18" ht="15.75" customHeight="1" x14ac:dyDescent="0.3">
      <c r="A616" s="15" t="s">
        <v>314</v>
      </c>
      <c r="B616" s="1">
        <f>SUM(B613:B614)</f>
        <v>124</v>
      </c>
      <c r="C616" s="1">
        <f>SUM(C613:C614)</f>
        <v>963</v>
      </c>
      <c r="D616" s="1">
        <f>SUM(D613:D614)</f>
        <v>1593</v>
      </c>
      <c r="E616" s="55">
        <f>SUM(B616:D616)</f>
        <v>2680</v>
      </c>
      <c r="F616" s="1">
        <f>SUM(F613:F614)</f>
        <v>759</v>
      </c>
      <c r="G616" s="1">
        <f>SUM(G613:G614)</f>
        <v>1349</v>
      </c>
      <c r="H616" s="1">
        <f>SUM(H613:H614)</f>
        <v>937</v>
      </c>
      <c r="I616" s="60">
        <f>SUM(F616:H616)</f>
        <v>3045</v>
      </c>
      <c r="J616" s="1">
        <f>SUM(J613:J614)</f>
        <v>1479</v>
      </c>
      <c r="K616" s="1">
        <f>SUM(K613:K614)</f>
        <v>2051</v>
      </c>
      <c r="L616" s="1">
        <f>SUM(L613:L614)</f>
        <v>2145</v>
      </c>
      <c r="M616" s="60">
        <f>SUM(J616:L616)</f>
        <v>5675</v>
      </c>
      <c r="N616" s="1">
        <f>SUM(N613:N614)</f>
        <v>1031</v>
      </c>
      <c r="O616" s="1">
        <f>SUM(O613:O614)</f>
        <v>334</v>
      </c>
      <c r="P616" s="1">
        <f>SUM(P613:P614)</f>
        <v>906</v>
      </c>
      <c r="Q616" s="60">
        <f>SUM(N616:P616)</f>
        <v>2271</v>
      </c>
      <c r="R616" s="60">
        <f>+E616+I616+M616+Q616</f>
        <v>13671</v>
      </c>
    </row>
    <row r="617" spans="1:18" ht="15.75" customHeight="1" x14ac:dyDescent="0.3">
      <c r="A617" s="15" t="s">
        <v>42</v>
      </c>
      <c r="B617" s="1">
        <f>(B616/B10)/1.983</f>
        <v>2.0171457387796266</v>
      </c>
      <c r="C617" s="1">
        <f>(C616/C10)/1.983</f>
        <v>17.343851307542685</v>
      </c>
      <c r="D617" s="1">
        <f>(D616/D10)/1.983</f>
        <v>25.913815821580208</v>
      </c>
      <c r="E617" s="55" t="s">
        <v>7</v>
      </c>
      <c r="F617" s="1">
        <f>(F616/F10)/1.983</f>
        <v>12.75844679778114</v>
      </c>
      <c r="G617" s="1">
        <f>(G616/G10)/1.983</f>
        <v>21.944593561400939</v>
      </c>
      <c r="H617" s="1">
        <f>(H616/H10)/1.983</f>
        <v>15.750546310304253</v>
      </c>
      <c r="I617" s="55" t="s">
        <v>7</v>
      </c>
      <c r="J617" s="1">
        <f>(J616/J10)/1.983</f>
        <v>24.05934312625055</v>
      </c>
      <c r="K617" s="1">
        <f>(K616/K10)/1.983</f>
        <v>33.364241211588826</v>
      </c>
      <c r="L617" s="1">
        <f>(L616/L10)/1.983</f>
        <v>36.05648008068583</v>
      </c>
      <c r="M617" s="55" t="s">
        <v>7</v>
      </c>
      <c r="N617" s="1">
        <f>(N616/N10)/1.983</f>
        <v>16.771590779691895</v>
      </c>
      <c r="O617" s="1">
        <f>(O616/O10)/1.983</f>
        <v>5.6143889729366272</v>
      </c>
      <c r="P617" s="1">
        <f>(P616/P10)/1.983</f>
        <v>14.738177736567273</v>
      </c>
      <c r="Q617" s="55" t="s">
        <v>7</v>
      </c>
      <c r="R617" s="55" t="s">
        <v>7</v>
      </c>
    </row>
    <row r="618" spans="1:18" ht="15.75" customHeight="1" x14ac:dyDescent="0.3">
      <c r="A618" s="15" t="s">
        <v>341</v>
      </c>
      <c r="B618" s="1">
        <f>B616+B664</f>
        <v>14382</v>
      </c>
      <c r="C618" s="1">
        <f>C616+C664</f>
        <v>17528</v>
      </c>
      <c r="D618" s="1">
        <f>D616+D664</f>
        <v>20847</v>
      </c>
      <c r="E618" s="55">
        <f>SUM(B618:D618)</f>
        <v>52757</v>
      </c>
      <c r="F618" s="1">
        <f>F616+F664</f>
        <v>20629</v>
      </c>
      <c r="G618" s="1">
        <f>G616+G664</f>
        <v>19979</v>
      </c>
      <c r="H618" s="1">
        <f>H616+H664</f>
        <v>19642</v>
      </c>
      <c r="I618" s="55">
        <f>SUM(F618:H618)</f>
        <v>60250</v>
      </c>
      <c r="J618" s="1">
        <f>J616+J664</f>
        <v>17808</v>
      </c>
      <c r="K618" s="1">
        <f>K616+K664</f>
        <v>18614</v>
      </c>
      <c r="L618" s="1">
        <f>L616+L664</f>
        <v>17588</v>
      </c>
      <c r="M618" s="55">
        <f>SUM(J618:L618)</f>
        <v>54010</v>
      </c>
      <c r="N618" s="1">
        <f>N616+N664</f>
        <v>12351</v>
      </c>
      <c r="O618" s="1">
        <f>O616+O664</f>
        <v>6880</v>
      </c>
      <c r="P618" s="1">
        <f>P616+P664</f>
        <v>12248</v>
      </c>
      <c r="Q618" s="55">
        <f>SUM(N618:P618)</f>
        <v>31479</v>
      </c>
      <c r="R618" s="55">
        <f>+E618+I618+M618+Q618</f>
        <v>198496</v>
      </c>
    </row>
    <row r="619" spans="1:18" ht="16.5" customHeight="1" thickBot="1" x14ac:dyDescent="0.35">
      <c r="A619" s="20" t="s">
        <v>342</v>
      </c>
      <c r="B619" s="21">
        <f>(B618/B10)/1.983</f>
        <v>233.95637108974671</v>
      </c>
      <c r="C619" s="21">
        <f>(C618/C10)/1.983</f>
        <v>315.6833081190116</v>
      </c>
      <c r="D619" s="21">
        <f>(D618/D10)/1.983</f>
        <v>339.12449368015223</v>
      </c>
      <c r="E619" s="81" t="s">
        <v>7</v>
      </c>
      <c r="F619" s="21">
        <f>(F618/F10)/1.983</f>
        <v>346.76416204404097</v>
      </c>
      <c r="G619" s="21">
        <f>(G618/G10)/1.983</f>
        <v>325.00447350869484</v>
      </c>
      <c r="H619" s="21">
        <f>(H618/H10)/1.983</f>
        <v>330.17313834257857</v>
      </c>
      <c r="I619" s="81" t="s">
        <v>7</v>
      </c>
      <c r="J619" s="21">
        <f>(J618/J10)/1.983</f>
        <v>289.68815577570643</v>
      </c>
      <c r="K619" s="21">
        <f>(K618/K10)/1.983</f>
        <v>302.79960307777401</v>
      </c>
      <c r="L619" s="21">
        <f>(L618/L10)/1.983</f>
        <v>295.64632711380062</v>
      </c>
      <c r="M619" s="81" t="s">
        <v>7</v>
      </c>
      <c r="N619" s="21">
        <f>(N618/N10)/1.983</f>
        <v>200.91747596505783</v>
      </c>
      <c r="O619" s="21">
        <f>(O618/O10)/1.983</f>
        <v>115.64968902336527</v>
      </c>
      <c r="P619" s="21">
        <f>(P618/P10)/1.983</f>
        <v>199.24194361752313</v>
      </c>
      <c r="Q619" s="81" t="s">
        <v>7</v>
      </c>
      <c r="R619" s="81" t="s">
        <v>7</v>
      </c>
    </row>
    <row r="620" spans="1:18" ht="15.75" customHeight="1" x14ac:dyDescent="0.3">
      <c r="A620" s="2"/>
      <c r="B620" s="1"/>
      <c r="C620" s="1"/>
      <c r="D620" s="1"/>
      <c r="E620" s="1"/>
      <c r="F620" s="1"/>
      <c r="G620" s="1"/>
      <c r="H620" s="1"/>
      <c r="I620" s="1"/>
      <c r="J620" s="1"/>
      <c r="K620" s="1"/>
      <c r="L620" s="1"/>
      <c r="M620" s="1"/>
      <c r="N620" s="1"/>
      <c r="O620" s="1"/>
      <c r="P620" s="1"/>
      <c r="Q620" s="1"/>
      <c r="R620" s="2"/>
    </row>
    <row r="621" spans="1:18" ht="16.5" customHeight="1" thickBot="1" x14ac:dyDescent="0.35">
      <c r="A621" s="106"/>
      <c r="B621" s="21"/>
      <c r="C621" s="21"/>
      <c r="D621" s="21"/>
      <c r="E621" s="21"/>
      <c r="F621" s="21"/>
      <c r="G621" s="21"/>
      <c r="H621" s="21"/>
      <c r="I621" s="21"/>
      <c r="J621" s="21"/>
      <c r="K621" s="21"/>
      <c r="L621" s="21"/>
      <c r="M621" s="21"/>
      <c r="N621" s="21"/>
      <c r="O621" s="21"/>
      <c r="P621" s="21"/>
      <c r="Q621" s="21"/>
      <c r="R621" s="106"/>
    </row>
    <row r="622" spans="1:18" ht="15.75" customHeight="1" thickBot="1" x14ac:dyDescent="0.35">
      <c r="A622" s="107" t="s">
        <v>343</v>
      </c>
      <c r="B622" s="47" t="s">
        <v>8</v>
      </c>
      <c r="C622" s="48" t="s">
        <v>9</v>
      </c>
      <c r="D622" s="48" t="s">
        <v>10</v>
      </c>
      <c r="E622" s="32" t="s">
        <v>11</v>
      </c>
      <c r="F622" s="48" t="s">
        <v>12</v>
      </c>
      <c r="G622" s="48" t="s">
        <v>13</v>
      </c>
      <c r="H622" s="48" t="s">
        <v>14</v>
      </c>
      <c r="I622" s="32" t="s">
        <v>15</v>
      </c>
      <c r="J622" s="48" t="s">
        <v>16</v>
      </c>
      <c r="K622" s="48" t="s">
        <v>17</v>
      </c>
      <c r="L622" s="48" t="s">
        <v>18</v>
      </c>
      <c r="M622" s="32" t="s">
        <v>19</v>
      </c>
      <c r="N622" s="48" t="s">
        <v>20</v>
      </c>
      <c r="O622" s="48" t="s">
        <v>21</v>
      </c>
      <c r="P622" s="48" t="s">
        <v>22</v>
      </c>
      <c r="Q622" s="32" t="s">
        <v>23</v>
      </c>
      <c r="R622" s="49" t="s">
        <v>24</v>
      </c>
    </row>
    <row r="623" spans="1:18" ht="16.5" customHeight="1" thickBot="1" x14ac:dyDescent="0.35">
      <c r="A623" s="130"/>
      <c r="B623" s="51"/>
      <c r="C623" s="51"/>
      <c r="D623" s="51"/>
      <c r="E623" s="52"/>
      <c r="F623" s="51"/>
      <c r="G623" s="51"/>
      <c r="H623" s="51"/>
      <c r="I623" s="52"/>
      <c r="J623" s="51"/>
      <c r="K623" s="51"/>
      <c r="L623" s="51"/>
      <c r="M623" s="52"/>
      <c r="N623" s="51"/>
      <c r="O623" s="51"/>
      <c r="P623" s="51"/>
      <c r="Q623" s="52"/>
      <c r="R623" s="53"/>
    </row>
    <row r="624" spans="1:18" ht="15.75" customHeight="1" x14ac:dyDescent="0.3">
      <c r="A624" s="15" t="s">
        <v>48</v>
      </c>
      <c r="B624" s="1" t="s">
        <v>7</v>
      </c>
      <c r="C624" s="1" t="s">
        <v>7</v>
      </c>
      <c r="D624" s="1" t="s">
        <v>7</v>
      </c>
      <c r="E624" s="55" t="s">
        <v>7</v>
      </c>
      <c r="F624" s="1" t="s">
        <v>7</v>
      </c>
      <c r="G624" s="1" t="s">
        <v>7</v>
      </c>
      <c r="H624" s="1" t="s">
        <v>7</v>
      </c>
      <c r="I624" s="55" t="s">
        <v>7</v>
      </c>
      <c r="J624" s="1" t="s">
        <v>7</v>
      </c>
      <c r="K624" s="1" t="s">
        <v>7</v>
      </c>
      <c r="L624" s="1" t="s">
        <v>7</v>
      </c>
      <c r="M624" s="55" t="s">
        <v>7</v>
      </c>
      <c r="N624" s="1" t="s">
        <v>7</v>
      </c>
      <c r="O624" s="1" t="s">
        <v>7</v>
      </c>
      <c r="P624" s="1" t="s">
        <v>7</v>
      </c>
      <c r="Q624" s="55" t="s">
        <v>7</v>
      </c>
      <c r="R624" s="55" t="s">
        <v>7</v>
      </c>
    </row>
    <row r="625" spans="1:18" ht="15.75" customHeight="1" x14ac:dyDescent="0.3">
      <c r="A625" s="15" t="s">
        <v>49</v>
      </c>
      <c r="B625" s="1"/>
      <c r="C625" s="1"/>
      <c r="D625" s="1"/>
      <c r="E625" s="55" t="s">
        <v>7</v>
      </c>
      <c r="F625" s="1"/>
      <c r="G625" s="1"/>
      <c r="H625" s="1"/>
      <c r="I625" s="55" t="s">
        <v>7</v>
      </c>
      <c r="J625" s="1"/>
      <c r="K625" s="1"/>
      <c r="L625" s="1"/>
      <c r="M625" s="55" t="s">
        <v>7</v>
      </c>
      <c r="N625" s="1"/>
      <c r="O625" s="1"/>
      <c r="P625" s="1"/>
      <c r="Q625" s="55" t="s">
        <v>7</v>
      </c>
      <c r="R625" s="55" t="s">
        <v>7</v>
      </c>
    </row>
    <row r="626" spans="1:18" ht="15.75" customHeight="1" x14ac:dyDescent="0.3">
      <c r="A626" s="71" t="s">
        <v>344</v>
      </c>
      <c r="B626" s="1">
        <v>5646</v>
      </c>
      <c r="C626" s="1">
        <v>5903</v>
      </c>
      <c r="D626" s="1">
        <v>6813</v>
      </c>
      <c r="E626" s="55">
        <f>SUM(B626:D626)</f>
        <v>18362</v>
      </c>
      <c r="F626" s="1">
        <v>6575</v>
      </c>
      <c r="G626" s="1">
        <v>6702</v>
      </c>
      <c r="H626" s="1">
        <v>5343</v>
      </c>
      <c r="I626" s="55">
        <f>SUM(F626:H626)</f>
        <v>18620</v>
      </c>
      <c r="J626" s="1">
        <v>3574</v>
      </c>
      <c r="K626" s="1">
        <v>3735</v>
      </c>
      <c r="L626" s="1">
        <v>4265</v>
      </c>
      <c r="M626" s="55">
        <f>SUM(J626:L626)</f>
        <v>11574</v>
      </c>
      <c r="N626" s="1">
        <v>3553</v>
      </c>
      <c r="O626" s="1">
        <v>2700</v>
      </c>
      <c r="P626" s="1">
        <v>4595</v>
      </c>
      <c r="Q626" s="55">
        <f>SUM(N626:P626)</f>
        <v>10848</v>
      </c>
      <c r="R626" s="55">
        <f>+E626+I626+M626+Q626</f>
        <v>59404</v>
      </c>
    </row>
    <row r="627" spans="1:18" ht="15.75" customHeight="1" x14ac:dyDescent="0.3">
      <c r="A627" s="71" t="s">
        <v>345</v>
      </c>
      <c r="B627" s="1">
        <v>5314</v>
      </c>
      <c r="C627" s="1">
        <v>4705</v>
      </c>
      <c r="D627" s="1">
        <v>5496</v>
      </c>
      <c r="E627" s="55">
        <f>SUM(B627:D627)</f>
        <v>15515</v>
      </c>
      <c r="F627" s="1">
        <v>5252</v>
      </c>
      <c r="G627" s="1">
        <v>5474</v>
      </c>
      <c r="H627" s="1">
        <v>4749</v>
      </c>
      <c r="I627" s="55">
        <f>SUM(F627:H627)</f>
        <v>15475</v>
      </c>
      <c r="J627" s="1">
        <v>5345</v>
      </c>
      <c r="K627" s="1">
        <v>4980</v>
      </c>
      <c r="L627" s="1">
        <v>5002</v>
      </c>
      <c r="M627" s="55">
        <f>SUM(J627:L627)</f>
        <v>15327</v>
      </c>
      <c r="N627" s="1">
        <v>3931</v>
      </c>
      <c r="O627" s="1">
        <v>1643</v>
      </c>
      <c r="P627" s="1">
        <v>3618</v>
      </c>
      <c r="Q627" s="55">
        <f>SUM(N627:P627)</f>
        <v>9192</v>
      </c>
      <c r="R627" s="55">
        <f>+E627+I627+M627+Q627</f>
        <v>55509</v>
      </c>
    </row>
    <row r="628" spans="1:18" ht="15.75" customHeight="1" x14ac:dyDescent="0.3">
      <c r="A628" s="71" t="s">
        <v>997</v>
      </c>
      <c r="B628" s="1">
        <v>80</v>
      </c>
      <c r="C628" s="1">
        <v>80</v>
      </c>
      <c r="D628" s="1">
        <v>80</v>
      </c>
      <c r="E628" s="55">
        <f>SUM(B628:D628)</f>
        <v>240</v>
      </c>
      <c r="F628" s="1">
        <v>80</v>
      </c>
      <c r="G628" s="1">
        <v>90</v>
      </c>
      <c r="H628" s="1">
        <v>80</v>
      </c>
      <c r="I628" s="55">
        <f>SUM(F628:H628)</f>
        <v>250</v>
      </c>
      <c r="J628" s="1">
        <v>80</v>
      </c>
      <c r="K628" s="1">
        <v>80</v>
      </c>
      <c r="L628" s="1">
        <v>80</v>
      </c>
      <c r="M628" s="55">
        <f>SUM(J628:L628)</f>
        <v>240</v>
      </c>
      <c r="N628" s="1">
        <v>20</v>
      </c>
      <c r="O628" s="1">
        <v>20</v>
      </c>
      <c r="P628" s="1">
        <v>80</v>
      </c>
      <c r="Q628" s="55">
        <f>SUM(N628:P628)</f>
        <v>120</v>
      </c>
      <c r="R628" s="55">
        <f>+E628+I628+M628+Q628</f>
        <v>850</v>
      </c>
    </row>
    <row r="629" spans="1:18" ht="15.75" customHeight="1" x14ac:dyDescent="0.3">
      <c r="A629" s="71" t="s">
        <v>998</v>
      </c>
      <c r="B629" s="1">
        <v>184</v>
      </c>
      <c r="C629" s="1">
        <v>184</v>
      </c>
      <c r="D629" s="1">
        <v>184</v>
      </c>
      <c r="E629" s="55">
        <f>SUM(B629:D629)</f>
        <v>552</v>
      </c>
      <c r="F629" s="1">
        <v>184</v>
      </c>
      <c r="G629" s="1">
        <v>183</v>
      </c>
      <c r="H629" s="1">
        <v>183</v>
      </c>
      <c r="I629" s="55">
        <f>SUM(F629:H629)</f>
        <v>550</v>
      </c>
      <c r="J629" s="1">
        <v>183</v>
      </c>
      <c r="K629" s="1">
        <v>183</v>
      </c>
      <c r="L629" s="1">
        <v>183</v>
      </c>
      <c r="M629" s="55">
        <f>SUM(J629:L629)</f>
        <v>549</v>
      </c>
      <c r="N629" s="1">
        <v>183</v>
      </c>
      <c r="O629" s="1">
        <v>183</v>
      </c>
      <c r="P629" s="1">
        <v>183</v>
      </c>
      <c r="Q629" s="55">
        <f>SUM(N629:P629)</f>
        <v>549</v>
      </c>
      <c r="R629" s="55">
        <f>+E629+I629+M629+Q629</f>
        <v>2200</v>
      </c>
    </row>
    <row r="630" spans="1:18" ht="15.75" customHeight="1" x14ac:dyDescent="0.3">
      <c r="A630" s="71" t="s">
        <v>999</v>
      </c>
      <c r="B630" s="1">
        <v>100</v>
      </c>
      <c r="C630" s="1">
        <v>100</v>
      </c>
      <c r="D630" s="1">
        <v>100</v>
      </c>
      <c r="E630" s="55">
        <f>SUM(B630:D630)</f>
        <v>300</v>
      </c>
      <c r="F630" s="1">
        <v>100</v>
      </c>
      <c r="G630" s="1">
        <v>100</v>
      </c>
      <c r="H630" s="1">
        <v>100</v>
      </c>
      <c r="I630" s="55">
        <f>SUM(F630:H630)</f>
        <v>300</v>
      </c>
      <c r="J630" s="1">
        <v>100</v>
      </c>
      <c r="K630" s="1">
        <v>100</v>
      </c>
      <c r="L630" s="1">
        <v>100</v>
      </c>
      <c r="M630" s="55">
        <f>SUM(J630:L630)</f>
        <v>300</v>
      </c>
      <c r="N630" s="1"/>
      <c r="O630" s="1">
        <v>100</v>
      </c>
      <c r="P630" s="1">
        <v>100</v>
      </c>
      <c r="Q630" s="55">
        <f>SUM(N630:P630)</f>
        <v>200</v>
      </c>
      <c r="R630" s="55">
        <f>+E630+I630+M630+Q630</f>
        <v>1100</v>
      </c>
    </row>
    <row r="631" spans="1:18" ht="15.75" customHeight="1" x14ac:dyDescent="0.3">
      <c r="A631" s="15" t="s">
        <v>50</v>
      </c>
      <c r="B631" s="1"/>
      <c r="C631" s="1"/>
      <c r="D631" s="1"/>
      <c r="E631" s="55" t="s">
        <v>7</v>
      </c>
      <c r="F631" s="1"/>
      <c r="G631" s="1"/>
      <c r="H631" s="1"/>
      <c r="I631" s="55" t="s">
        <v>7</v>
      </c>
      <c r="J631" s="1"/>
      <c r="K631" s="1"/>
      <c r="L631" s="1"/>
      <c r="M631" s="55" t="s">
        <v>7</v>
      </c>
      <c r="N631" s="1"/>
      <c r="O631" s="1"/>
      <c r="P631" s="1"/>
      <c r="Q631" s="55" t="s">
        <v>7</v>
      </c>
      <c r="R631" s="55" t="s">
        <v>7</v>
      </c>
    </row>
    <row r="632" spans="1:18" ht="15.75" customHeight="1" x14ac:dyDescent="0.3">
      <c r="A632" s="15" t="s">
        <v>51</v>
      </c>
      <c r="B632" s="1"/>
      <c r="C632" s="1"/>
      <c r="D632" s="1"/>
      <c r="E632" s="55" t="s">
        <v>7</v>
      </c>
      <c r="F632" s="1"/>
      <c r="G632" s="1"/>
      <c r="H632" s="1"/>
      <c r="I632" s="55" t="s">
        <v>7</v>
      </c>
      <c r="J632" s="1"/>
      <c r="K632" s="1"/>
      <c r="L632" s="1"/>
      <c r="M632" s="55" t="s">
        <v>7</v>
      </c>
      <c r="N632" s="1"/>
      <c r="O632" s="1"/>
      <c r="P632" s="1"/>
      <c r="Q632" s="55" t="s">
        <v>7</v>
      </c>
      <c r="R632" s="55" t="s">
        <v>7</v>
      </c>
    </row>
    <row r="633" spans="1:18" ht="15.75" customHeight="1" thickBot="1" x14ac:dyDescent="0.35">
      <c r="A633" s="15" t="s">
        <v>53</v>
      </c>
      <c r="B633" s="1"/>
      <c r="C633" s="1"/>
      <c r="D633" s="1"/>
      <c r="E633" s="55" t="s">
        <v>7</v>
      </c>
      <c r="F633" s="1"/>
      <c r="G633" s="1"/>
      <c r="H633" s="1"/>
      <c r="I633" s="55" t="s">
        <v>7</v>
      </c>
      <c r="J633" s="1"/>
      <c r="K633" s="1"/>
      <c r="L633" s="1"/>
      <c r="M633" s="55" t="s">
        <v>7</v>
      </c>
      <c r="N633" s="1"/>
      <c r="O633" s="1"/>
      <c r="P633" s="1"/>
      <c r="Q633" s="55" t="s">
        <v>7</v>
      </c>
      <c r="R633" s="55" t="s">
        <v>7</v>
      </c>
    </row>
    <row r="634" spans="1:18" ht="16.5" customHeight="1" thickBot="1" x14ac:dyDescent="0.35">
      <c r="A634" s="109" t="s">
        <v>54</v>
      </c>
      <c r="B634" s="86">
        <f>SUM(B624:B633)</f>
        <v>11324</v>
      </c>
      <c r="C634" s="87">
        <f>SUM(C624:C633)</f>
        <v>10972</v>
      </c>
      <c r="D634" s="87">
        <f>SUM(D624:D633)</f>
        <v>12673</v>
      </c>
      <c r="E634" s="59">
        <f>SUM(B634:D634)</f>
        <v>34969</v>
      </c>
      <c r="F634" s="87">
        <f>SUM(F624:F633)</f>
        <v>12191</v>
      </c>
      <c r="G634" s="87">
        <f>SUM(G624:G633)</f>
        <v>12549</v>
      </c>
      <c r="H634" s="87">
        <f>SUM(H624:H633)</f>
        <v>10455</v>
      </c>
      <c r="I634" s="59">
        <f>SUM(F634:H634)</f>
        <v>35195</v>
      </c>
      <c r="J634" s="87">
        <f>SUM(J624:J633)</f>
        <v>9282</v>
      </c>
      <c r="K634" s="87">
        <f>SUM(K624:K633)</f>
        <v>9078</v>
      </c>
      <c r="L634" s="87">
        <f>SUM(L624:L633)</f>
        <v>9630</v>
      </c>
      <c r="M634" s="59">
        <f>SUM(J634:L634)</f>
        <v>27990</v>
      </c>
      <c r="N634" s="87">
        <f>SUM(N624:N633)</f>
        <v>7687</v>
      </c>
      <c r="O634" s="87">
        <f>SUM(O624:O633)</f>
        <v>4646</v>
      </c>
      <c r="P634" s="87">
        <f>SUM(P624:P633)</f>
        <v>8576</v>
      </c>
      <c r="Q634" s="59">
        <f>SUM(N634:P634)</f>
        <v>20909</v>
      </c>
      <c r="R634" s="59">
        <f>+E634+I634+M634+Q634</f>
        <v>119063</v>
      </c>
    </row>
    <row r="635" spans="1:18" ht="15.75" customHeight="1" x14ac:dyDescent="0.3">
      <c r="A635" s="15" t="s">
        <v>55</v>
      </c>
      <c r="B635" s="1"/>
      <c r="C635" s="1"/>
      <c r="D635" s="1"/>
      <c r="E635" s="55" t="s">
        <v>7</v>
      </c>
      <c r="F635" s="1"/>
      <c r="G635" s="1"/>
      <c r="H635" s="1"/>
      <c r="I635" s="55" t="s">
        <v>7</v>
      </c>
      <c r="J635" s="1"/>
      <c r="K635" s="1"/>
      <c r="L635" s="1"/>
      <c r="M635" s="55" t="s">
        <v>7</v>
      </c>
      <c r="N635" s="1"/>
      <c r="O635" s="1"/>
      <c r="P635" s="1"/>
      <c r="Q635" s="55" t="s">
        <v>7</v>
      </c>
      <c r="R635" s="55" t="s">
        <v>7</v>
      </c>
    </row>
    <row r="636" spans="1:18" ht="15.75" customHeight="1" x14ac:dyDescent="0.3">
      <c r="A636" s="15" t="s">
        <v>57</v>
      </c>
      <c r="B636" s="1"/>
      <c r="C636" s="1"/>
      <c r="D636" s="1"/>
      <c r="E636" s="55" t="s">
        <v>7</v>
      </c>
      <c r="F636" s="1"/>
      <c r="G636" s="1"/>
      <c r="H636" s="1"/>
      <c r="I636" s="55" t="s">
        <v>7</v>
      </c>
      <c r="J636" s="1"/>
      <c r="K636" s="1"/>
      <c r="L636" s="1"/>
      <c r="M636" s="55" t="s">
        <v>7</v>
      </c>
      <c r="N636" s="1"/>
      <c r="O636" s="1"/>
      <c r="P636" s="1"/>
      <c r="Q636" s="55" t="s">
        <v>7</v>
      </c>
      <c r="R636" s="55" t="s">
        <v>7</v>
      </c>
    </row>
    <row r="637" spans="1:18" ht="15.75" customHeight="1" thickBot="1" x14ac:dyDescent="0.35">
      <c r="A637" s="15" t="s">
        <v>58</v>
      </c>
      <c r="B637" s="1"/>
      <c r="C637" s="1"/>
      <c r="D637" s="1"/>
      <c r="E637" s="55" t="s">
        <v>7</v>
      </c>
      <c r="F637" s="1"/>
      <c r="G637" s="1"/>
      <c r="H637" s="1"/>
      <c r="I637" s="55" t="s">
        <v>7</v>
      </c>
      <c r="J637" s="1"/>
      <c r="K637" s="1"/>
      <c r="L637" s="1"/>
      <c r="M637" s="55" t="s">
        <v>7</v>
      </c>
      <c r="N637" s="1"/>
      <c r="O637" s="1"/>
      <c r="P637" s="1"/>
      <c r="Q637" s="55" t="s">
        <v>7</v>
      </c>
      <c r="R637" s="55" t="s">
        <v>7</v>
      </c>
    </row>
    <row r="638" spans="1:18" ht="16.5" customHeight="1" thickBot="1" x14ac:dyDescent="0.35">
      <c r="A638" s="57" t="s">
        <v>59</v>
      </c>
      <c r="B638" s="86">
        <f>SUM(B635:B637)</f>
        <v>0</v>
      </c>
      <c r="C638" s="87">
        <f>SUM(C635:C637)</f>
        <v>0</v>
      </c>
      <c r="D638" s="87">
        <f>SUM(D635:D637)</f>
        <v>0</v>
      </c>
      <c r="E638" s="59">
        <f>SUM(B638:D638)</f>
        <v>0</v>
      </c>
      <c r="F638" s="87">
        <f>SUM(F635:F637)</f>
        <v>0</v>
      </c>
      <c r="G638" s="87">
        <f>SUM(G635:G637)</f>
        <v>0</v>
      </c>
      <c r="H638" s="87">
        <f>SUM(H635:H637)</f>
        <v>0</v>
      </c>
      <c r="I638" s="59">
        <f>SUM(F638:H638)</f>
        <v>0</v>
      </c>
      <c r="J638" s="87">
        <f>SUM(J635:J637)</f>
        <v>0</v>
      </c>
      <c r="K638" s="87">
        <f>SUM(K635:K637)</f>
        <v>0</v>
      </c>
      <c r="L638" s="87">
        <f>SUM(L635:L637)</f>
        <v>0</v>
      </c>
      <c r="M638" s="59">
        <f>SUM(J638:L638)</f>
        <v>0</v>
      </c>
      <c r="N638" s="87">
        <f>SUM(N635:N637)</f>
        <v>0</v>
      </c>
      <c r="O638" s="87">
        <f>SUM(O635:O637)</f>
        <v>0</v>
      </c>
      <c r="P638" s="87">
        <f>SUM(P635:P637)</f>
        <v>0</v>
      </c>
      <c r="Q638" s="59">
        <f>SUM(N638:P638)</f>
        <v>0</v>
      </c>
      <c r="R638" s="59">
        <f>+E638+I638+M638+Q638</f>
        <v>0</v>
      </c>
    </row>
    <row r="639" spans="1:18" ht="15.75" customHeight="1" x14ac:dyDescent="0.3">
      <c r="A639" s="15" t="s">
        <v>60</v>
      </c>
      <c r="B639" s="1"/>
      <c r="C639" s="1"/>
      <c r="D639" s="1"/>
      <c r="E639" s="55" t="s">
        <v>7</v>
      </c>
      <c r="F639" s="1"/>
      <c r="G639" s="1"/>
      <c r="H639" s="1"/>
      <c r="I639" s="55" t="s">
        <v>7</v>
      </c>
      <c r="J639" s="1"/>
      <c r="K639" s="1"/>
      <c r="L639" s="1"/>
      <c r="M639" s="55" t="s">
        <v>7</v>
      </c>
      <c r="N639" s="1"/>
      <c r="O639" s="1"/>
      <c r="P639" s="1"/>
      <c r="Q639" s="55" t="s">
        <v>7</v>
      </c>
      <c r="R639" s="55" t="s">
        <v>7</v>
      </c>
    </row>
    <row r="640" spans="1:18" ht="15.75" customHeight="1" x14ac:dyDescent="0.3">
      <c r="A640" s="15" t="s">
        <v>61</v>
      </c>
      <c r="B640" s="1"/>
      <c r="C640" s="1"/>
      <c r="D640" s="1"/>
      <c r="E640" s="55" t="s">
        <v>7</v>
      </c>
      <c r="F640" s="1"/>
      <c r="G640" s="1"/>
      <c r="H640" s="1"/>
      <c r="I640" s="55" t="s">
        <v>7</v>
      </c>
      <c r="J640" s="1"/>
      <c r="K640" s="1"/>
      <c r="L640" s="1"/>
      <c r="M640" s="55" t="s">
        <v>7</v>
      </c>
      <c r="N640" s="1"/>
      <c r="O640" s="1"/>
      <c r="P640" s="1"/>
      <c r="Q640" s="55" t="s">
        <v>7</v>
      </c>
      <c r="R640" s="55" t="s">
        <v>7</v>
      </c>
    </row>
    <row r="641" spans="1:20" ht="15.75" customHeight="1" x14ac:dyDescent="0.3">
      <c r="A641" s="71" t="s">
        <v>346</v>
      </c>
      <c r="B641" s="1">
        <v>195</v>
      </c>
      <c r="C641" s="1">
        <v>263</v>
      </c>
      <c r="D641" s="1">
        <v>772</v>
      </c>
      <c r="E641" s="55">
        <f>SUM(B641:D641)</f>
        <v>1230</v>
      </c>
      <c r="F641" s="1">
        <v>2010</v>
      </c>
      <c r="G641" s="1">
        <v>1012</v>
      </c>
      <c r="H641" s="1">
        <v>1687</v>
      </c>
      <c r="I641" s="55">
        <f>SUM(F641:H641)</f>
        <v>4709</v>
      </c>
      <c r="J641" s="1">
        <v>1729</v>
      </c>
      <c r="K641" s="1">
        <v>1360</v>
      </c>
      <c r="L641" s="1">
        <v>833</v>
      </c>
      <c r="M641" s="55">
        <f>SUM(J641:L641)</f>
        <v>3922</v>
      </c>
      <c r="N641" s="1">
        <v>258</v>
      </c>
      <c r="O641" s="1">
        <v>243</v>
      </c>
      <c r="P641" s="1">
        <v>253</v>
      </c>
      <c r="Q641" s="55">
        <f>SUM(N641:P641)</f>
        <v>754</v>
      </c>
      <c r="R641" s="55">
        <f>+E641+I641+M641+Q641</f>
        <v>10615</v>
      </c>
      <c r="T641" s="4" t="s">
        <v>1000</v>
      </c>
    </row>
    <row r="642" spans="1:20" ht="15.75" customHeight="1" x14ac:dyDescent="0.3">
      <c r="A642" s="15" t="s">
        <v>62</v>
      </c>
      <c r="B642" s="1"/>
      <c r="C642" s="1"/>
      <c r="D642" s="1"/>
      <c r="E642" s="55" t="s">
        <v>7</v>
      </c>
      <c r="F642" s="1"/>
      <c r="G642" s="1"/>
      <c r="H642" s="1"/>
      <c r="I642" s="55" t="s">
        <v>7</v>
      </c>
      <c r="J642" s="1"/>
      <c r="K642" s="1"/>
      <c r="L642" s="1"/>
      <c r="M642" s="55" t="s">
        <v>7</v>
      </c>
      <c r="N642" s="1"/>
      <c r="O642" s="1"/>
      <c r="P642" s="1"/>
      <c r="Q642" s="55" t="s">
        <v>7</v>
      </c>
      <c r="R642" s="55" t="s">
        <v>7</v>
      </c>
    </row>
    <row r="643" spans="1:20" ht="15.75" customHeight="1" x14ac:dyDescent="0.3">
      <c r="A643" s="71" t="s">
        <v>1001</v>
      </c>
      <c r="B643" s="1">
        <v>42</v>
      </c>
      <c r="C643" s="1">
        <v>42</v>
      </c>
      <c r="D643" s="1">
        <v>42</v>
      </c>
      <c r="E643" s="55">
        <f>SUM(B643:D643)</f>
        <v>126</v>
      </c>
      <c r="F643" s="1">
        <v>64</v>
      </c>
      <c r="G643" s="1">
        <v>64</v>
      </c>
      <c r="H643" s="1">
        <v>64</v>
      </c>
      <c r="I643" s="55">
        <f>SUM(F643:H643)</f>
        <v>192</v>
      </c>
      <c r="J643" s="1">
        <v>64</v>
      </c>
      <c r="K643" s="1">
        <v>72</v>
      </c>
      <c r="L643" s="1">
        <v>46</v>
      </c>
      <c r="M643" s="55">
        <f>SUM(J643:L643)</f>
        <v>182</v>
      </c>
      <c r="N643" s="1"/>
      <c r="O643" s="1"/>
      <c r="P643" s="1"/>
      <c r="Q643" s="55">
        <f>SUM(N643:P643)</f>
        <v>0</v>
      </c>
      <c r="R643" s="55">
        <f>+E643+I643+M643+Q643</f>
        <v>500</v>
      </c>
      <c r="T643" s="4" t="s">
        <v>1002</v>
      </c>
    </row>
    <row r="644" spans="1:20" ht="15.75" customHeight="1" x14ac:dyDescent="0.3">
      <c r="A644" s="71" t="s">
        <v>1003</v>
      </c>
      <c r="B644" s="1">
        <v>34</v>
      </c>
      <c r="C644" s="1">
        <v>42</v>
      </c>
      <c r="D644" s="1">
        <v>42</v>
      </c>
      <c r="E644" s="55">
        <f>SUM(B644:D644)</f>
        <v>118</v>
      </c>
      <c r="F644" s="1">
        <v>20</v>
      </c>
      <c r="G644" s="1">
        <v>20</v>
      </c>
      <c r="H644" s="1">
        <v>20</v>
      </c>
      <c r="I644" s="55">
        <f>SUM(F644:H644)</f>
        <v>60</v>
      </c>
      <c r="J644" s="1">
        <v>20</v>
      </c>
      <c r="K644" s="1">
        <v>12</v>
      </c>
      <c r="L644" s="1"/>
      <c r="M644" s="55">
        <f>SUM(J644:L644)</f>
        <v>32</v>
      </c>
      <c r="N644" s="1"/>
      <c r="O644" s="1"/>
      <c r="P644" s="1">
        <v>150</v>
      </c>
      <c r="Q644" s="55">
        <f>SUM(N644:P644)</f>
        <v>150</v>
      </c>
      <c r="R644" s="55">
        <f>+E644+I644+M644+Q644</f>
        <v>360</v>
      </c>
      <c r="T644" s="4" t="s">
        <v>1002</v>
      </c>
    </row>
    <row r="645" spans="1:20" ht="15.75" customHeight="1" x14ac:dyDescent="0.3">
      <c r="A645" s="71" t="s">
        <v>1004</v>
      </c>
      <c r="B645" s="1">
        <v>174</v>
      </c>
      <c r="C645" s="1">
        <v>166</v>
      </c>
      <c r="D645" s="1">
        <v>166</v>
      </c>
      <c r="E645" s="55">
        <f>SUM(B645:D645)</f>
        <v>506</v>
      </c>
      <c r="F645" s="1">
        <v>166</v>
      </c>
      <c r="G645" s="1">
        <v>166</v>
      </c>
      <c r="H645" s="1">
        <v>166</v>
      </c>
      <c r="I645" s="55">
        <f>SUM(F645:H645)</f>
        <v>498</v>
      </c>
      <c r="J645" s="1">
        <v>166</v>
      </c>
      <c r="K645" s="1">
        <v>166</v>
      </c>
      <c r="L645" s="1">
        <v>204</v>
      </c>
      <c r="M645" s="55">
        <f>SUM(J645:L645)</f>
        <v>536</v>
      </c>
      <c r="N645" s="1">
        <v>100</v>
      </c>
      <c r="O645" s="1">
        <v>210</v>
      </c>
      <c r="P645" s="1">
        <v>150</v>
      </c>
      <c r="Q645" s="55">
        <f>SUM(N645:P645)</f>
        <v>460</v>
      </c>
      <c r="R645" s="55">
        <f>+E645+I645+M645+Q645</f>
        <v>2000</v>
      </c>
      <c r="T645" s="4" t="s">
        <v>1002</v>
      </c>
    </row>
    <row r="646" spans="1:20" ht="15.75" customHeight="1" thickBot="1" x14ac:dyDescent="0.35">
      <c r="A646" s="71" t="s">
        <v>775</v>
      </c>
      <c r="B646" s="1"/>
      <c r="C646" s="1"/>
      <c r="D646" s="1"/>
      <c r="E646" s="55">
        <f>SUM(B646:D646)</f>
        <v>0</v>
      </c>
      <c r="F646" s="1"/>
      <c r="G646" s="1"/>
      <c r="H646" s="1"/>
      <c r="I646" s="55">
        <f>SUM(F646:H646)</f>
        <v>0</v>
      </c>
      <c r="J646" s="1"/>
      <c r="K646" s="1"/>
      <c r="L646" s="1"/>
      <c r="M646" s="55">
        <f>SUM(J646:L646)</f>
        <v>0</v>
      </c>
      <c r="N646" s="1"/>
      <c r="O646" s="1"/>
      <c r="P646" s="1"/>
      <c r="Q646" s="55">
        <f>SUM(N646:P646)</f>
        <v>0</v>
      </c>
      <c r="R646" s="55">
        <f>+E646+I646+M646+Q646</f>
        <v>0</v>
      </c>
      <c r="T646" s="4" t="s">
        <v>1002</v>
      </c>
    </row>
    <row r="647" spans="1:20" ht="16.5" customHeight="1" thickBot="1" x14ac:dyDescent="0.35">
      <c r="A647" s="57" t="s">
        <v>63</v>
      </c>
      <c r="B647" s="86">
        <f>SUM(B639:B646)</f>
        <v>445</v>
      </c>
      <c r="C647" s="87">
        <f>SUM(C639:C646)</f>
        <v>513</v>
      </c>
      <c r="D647" s="87">
        <f>SUM(D639:D646)</f>
        <v>1022</v>
      </c>
      <c r="E647" s="59">
        <f>SUM(B647:D647)</f>
        <v>1980</v>
      </c>
      <c r="F647" s="87">
        <f>SUM(F639:F646)</f>
        <v>2260</v>
      </c>
      <c r="G647" s="87">
        <f>SUM(G639:G646)</f>
        <v>1262</v>
      </c>
      <c r="H647" s="87">
        <f>SUM(H639:H646)</f>
        <v>1937</v>
      </c>
      <c r="I647" s="59">
        <f>SUM(F647:H647)</f>
        <v>5459</v>
      </c>
      <c r="J647" s="87">
        <f>SUM(J639:J646)</f>
        <v>1979</v>
      </c>
      <c r="K647" s="87">
        <f>SUM(K639:K646)</f>
        <v>1610</v>
      </c>
      <c r="L647" s="87">
        <f>SUM(L639:L646)</f>
        <v>1083</v>
      </c>
      <c r="M647" s="59">
        <f>SUM(J647:L647)</f>
        <v>4672</v>
      </c>
      <c r="N647" s="87">
        <f>SUM(N639:N646)</f>
        <v>358</v>
      </c>
      <c r="O647" s="87">
        <f>SUM(O639:O646)</f>
        <v>453</v>
      </c>
      <c r="P647" s="87">
        <f>SUM(P639:P646)</f>
        <v>553</v>
      </c>
      <c r="Q647" s="59">
        <f>SUM(N647:P647)</f>
        <v>1364</v>
      </c>
      <c r="R647" s="118">
        <f>+E647+I647+M647+Q647</f>
        <v>13475</v>
      </c>
    </row>
    <row r="648" spans="1:20" ht="15.75" customHeight="1" x14ac:dyDescent="0.3">
      <c r="A648" s="15" t="s">
        <v>64</v>
      </c>
      <c r="B648" s="1"/>
      <c r="C648" s="1"/>
      <c r="D648" s="1"/>
      <c r="E648" s="55" t="s">
        <v>7</v>
      </c>
      <c r="F648" s="1"/>
      <c r="G648" s="1"/>
      <c r="H648" s="1"/>
      <c r="I648" s="55" t="s">
        <v>7</v>
      </c>
      <c r="J648" s="1"/>
      <c r="K648" s="1"/>
      <c r="L648" s="1"/>
      <c r="M648" s="55" t="s">
        <v>7</v>
      </c>
      <c r="N648" s="1"/>
      <c r="O648" s="1"/>
      <c r="P648" s="1"/>
      <c r="Q648" s="55" t="s">
        <v>7</v>
      </c>
      <c r="R648" s="55" t="s">
        <v>7</v>
      </c>
    </row>
    <row r="649" spans="1:20" ht="15.75" customHeight="1" x14ac:dyDescent="0.3">
      <c r="A649" s="15" t="s">
        <v>594</v>
      </c>
      <c r="B649" s="1"/>
      <c r="C649" s="1"/>
      <c r="D649" s="1"/>
      <c r="E649" s="55" t="s">
        <v>7</v>
      </c>
      <c r="F649" s="1"/>
      <c r="G649" s="1"/>
      <c r="H649" s="1"/>
      <c r="I649" s="55" t="s">
        <v>7</v>
      </c>
      <c r="J649" s="1"/>
      <c r="K649" s="1"/>
      <c r="L649" s="1"/>
      <c r="M649" s="55" t="s">
        <v>7</v>
      </c>
      <c r="N649" s="1"/>
      <c r="O649" s="1"/>
      <c r="P649" s="1"/>
      <c r="Q649" s="55" t="s">
        <v>7</v>
      </c>
      <c r="R649" s="55" t="s">
        <v>7</v>
      </c>
    </row>
    <row r="650" spans="1:20" ht="15.75" customHeight="1" x14ac:dyDescent="0.3">
      <c r="A650" s="15" t="s">
        <v>67</v>
      </c>
      <c r="B650" s="1"/>
      <c r="C650" s="1"/>
      <c r="D650" s="1"/>
      <c r="E650" s="55" t="s">
        <v>7</v>
      </c>
      <c r="F650" s="1"/>
      <c r="G650" s="1"/>
      <c r="H650" s="1"/>
      <c r="I650" s="55" t="s">
        <v>7</v>
      </c>
      <c r="J650" s="1"/>
      <c r="K650" s="1"/>
      <c r="L650" s="1"/>
      <c r="M650" s="55" t="s">
        <v>7</v>
      </c>
      <c r="N650" s="1"/>
      <c r="O650" s="1"/>
      <c r="P650" s="1"/>
      <c r="Q650" s="55" t="s">
        <v>7</v>
      </c>
      <c r="R650" s="55" t="s">
        <v>7</v>
      </c>
    </row>
    <row r="651" spans="1:20" ht="15.75" customHeight="1" x14ac:dyDescent="0.3">
      <c r="A651" s="71" t="s">
        <v>776</v>
      </c>
      <c r="B651" s="1"/>
      <c r="C651" s="1"/>
      <c r="D651" s="1"/>
      <c r="E651" s="55">
        <f>SUM(B651:D651)</f>
        <v>0</v>
      </c>
      <c r="F651" s="1"/>
      <c r="G651" s="1"/>
      <c r="H651" s="1"/>
      <c r="I651" s="55">
        <f>SUM(F651:H651)</f>
        <v>0</v>
      </c>
      <c r="J651" s="1"/>
      <c r="K651" s="1"/>
      <c r="L651" s="1"/>
      <c r="M651" s="55">
        <f>SUM(J651:L651)</f>
        <v>0</v>
      </c>
      <c r="N651" s="1"/>
      <c r="O651" s="1"/>
      <c r="P651" s="1"/>
      <c r="Q651" s="55">
        <f>SUM(N651:P651)</f>
        <v>0</v>
      </c>
      <c r="R651" s="55">
        <f>+E651+I651+M651+Q651</f>
        <v>0</v>
      </c>
    </row>
    <row r="652" spans="1:20" ht="15.75" customHeight="1" x14ac:dyDescent="0.3">
      <c r="A652" s="71" t="s">
        <v>777</v>
      </c>
      <c r="B652" s="1"/>
      <c r="C652" s="1"/>
      <c r="D652" s="1"/>
      <c r="E652" s="55">
        <f>SUM(B652:D652)</f>
        <v>0</v>
      </c>
      <c r="F652" s="1"/>
      <c r="G652" s="1"/>
      <c r="H652" s="1"/>
      <c r="I652" s="55">
        <f>SUM(F652:H652)</f>
        <v>0</v>
      </c>
      <c r="J652" s="1"/>
      <c r="K652" s="1"/>
      <c r="L652" s="1"/>
      <c r="M652" s="55">
        <f>SUM(J652:L652)</f>
        <v>0</v>
      </c>
      <c r="N652" s="1"/>
      <c r="O652" s="1"/>
      <c r="P652" s="1"/>
      <c r="Q652" s="55">
        <f>SUM(N652:P652)</f>
        <v>0</v>
      </c>
      <c r="R652" s="55">
        <f>+E652+I652+M652+Q652</f>
        <v>0</v>
      </c>
    </row>
    <row r="653" spans="1:20" ht="15.75" customHeight="1" x14ac:dyDescent="0.3">
      <c r="A653" s="71" t="s">
        <v>778</v>
      </c>
      <c r="B653" s="1">
        <v>1300</v>
      </c>
      <c r="C653" s="1">
        <v>1300</v>
      </c>
      <c r="D653" s="1">
        <v>1300</v>
      </c>
      <c r="E653" s="55">
        <f>SUM(B653:D653)</f>
        <v>3900</v>
      </c>
      <c r="F653" s="1">
        <v>1300</v>
      </c>
      <c r="G653" s="1">
        <v>1300</v>
      </c>
      <c r="H653" s="1">
        <v>1300</v>
      </c>
      <c r="I653" s="55">
        <f>SUM(F653:H653)</f>
        <v>3900</v>
      </c>
      <c r="J653" s="1">
        <v>1300</v>
      </c>
      <c r="K653" s="1">
        <v>1600</v>
      </c>
      <c r="L653" s="1">
        <v>1600</v>
      </c>
      <c r="M653" s="55">
        <f>SUM(J653:L653)</f>
        <v>4500</v>
      </c>
      <c r="N653" s="1"/>
      <c r="O653" s="1">
        <v>1000</v>
      </c>
      <c r="P653" s="1">
        <v>1054</v>
      </c>
      <c r="Q653" s="55">
        <f>SUM(N653:P653)</f>
        <v>2054</v>
      </c>
      <c r="R653" s="55">
        <f>+E653+I653+M653+Q653</f>
        <v>14354</v>
      </c>
    </row>
    <row r="654" spans="1:20" ht="15.75" customHeight="1" x14ac:dyDescent="0.3">
      <c r="A654" s="71" t="s">
        <v>779</v>
      </c>
      <c r="B654" s="1"/>
      <c r="C654" s="1"/>
      <c r="D654" s="1"/>
      <c r="E654" s="55">
        <f>SUM(B654:D654)</f>
        <v>0</v>
      </c>
      <c r="F654" s="1"/>
      <c r="G654" s="1"/>
      <c r="H654" s="1"/>
      <c r="I654" s="55">
        <f>SUM(F654:H654)</f>
        <v>0</v>
      </c>
      <c r="J654" s="1"/>
      <c r="K654" s="1"/>
      <c r="L654" s="1"/>
      <c r="M654" s="55">
        <f>SUM(J654:L654)</f>
        <v>0</v>
      </c>
      <c r="N654" s="1"/>
      <c r="O654" s="1"/>
      <c r="P654" s="1"/>
      <c r="Q654" s="55">
        <f>SUM(N654:P654)</f>
        <v>0</v>
      </c>
      <c r="R654" s="55">
        <f>+E654+I654+M654+Q654</f>
        <v>0</v>
      </c>
    </row>
    <row r="655" spans="1:20" ht="15.75" customHeight="1" x14ac:dyDescent="0.3">
      <c r="A655" s="15" t="s">
        <v>600</v>
      </c>
      <c r="B655" s="1"/>
      <c r="C655" s="1"/>
      <c r="D655" s="1"/>
      <c r="E655" s="55" t="s">
        <v>7</v>
      </c>
      <c r="F655" s="1"/>
      <c r="G655" s="1"/>
      <c r="H655" s="1"/>
      <c r="I655" s="55" t="s">
        <v>7</v>
      </c>
      <c r="J655" s="1"/>
      <c r="K655" s="1"/>
      <c r="L655" s="1"/>
      <c r="M655" s="55" t="s">
        <v>7</v>
      </c>
      <c r="N655" s="1"/>
      <c r="O655" s="1"/>
      <c r="P655" s="1"/>
      <c r="Q655" s="55" t="s">
        <v>7</v>
      </c>
      <c r="R655" s="55" t="s">
        <v>7</v>
      </c>
    </row>
    <row r="656" spans="1:20" ht="15.75" customHeight="1" thickBot="1" x14ac:dyDescent="0.35">
      <c r="A656" s="15" t="s">
        <v>70</v>
      </c>
      <c r="B656" s="1"/>
      <c r="C656" s="1"/>
      <c r="D656" s="1"/>
      <c r="E656" s="55" t="s">
        <v>7</v>
      </c>
      <c r="F656" s="1"/>
      <c r="G656" s="1"/>
      <c r="H656" s="1"/>
      <c r="I656" s="55" t="s">
        <v>7</v>
      </c>
      <c r="J656" s="1"/>
      <c r="K656" s="1"/>
      <c r="L656" s="1"/>
      <c r="M656" s="55" t="s">
        <v>7</v>
      </c>
      <c r="N656" s="1"/>
      <c r="O656" s="1"/>
      <c r="P656" s="1"/>
      <c r="Q656" s="55" t="s">
        <v>7</v>
      </c>
      <c r="R656" s="55" t="s">
        <v>7</v>
      </c>
    </row>
    <row r="657" spans="1:18" ht="16.5" customHeight="1" thickBot="1" x14ac:dyDescent="0.35">
      <c r="A657" s="57" t="s">
        <v>71</v>
      </c>
      <c r="B657" s="58">
        <f>SUM(B655:B656)</f>
        <v>0</v>
      </c>
      <c r="C657" s="58">
        <f>SUM(C655:C656)</f>
        <v>0</v>
      </c>
      <c r="D657" s="58">
        <f>SUM(D655:D656)</f>
        <v>0</v>
      </c>
      <c r="E657" s="60">
        <f>SUM(B657:D657)</f>
        <v>0</v>
      </c>
      <c r="F657" s="58">
        <f>SUM(F655:F656)</f>
        <v>0</v>
      </c>
      <c r="G657" s="58">
        <f>SUM(G655:G656)</f>
        <v>0</v>
      </c>
      <c r="H657" s="58">
        <f>SUM(H655:H656)</f>
        <v>0</v>
      </c>
      <c r="I657" s="60">
        <f>SUM(F657:H657)</f>
        <v>0</v>
      </c>
      <c r="J657" s="58">
        <f>SUM(J655:J656)</f>
        <v>0</v>
      </c>
      <c r="K657" s="58">
        <f>SUM(K655:K656)</f>
        <v>0</v>
      </c>
      <c r="L657" s="58">
        <f>SUM(L655:L656)</f>
        <v>0</v>
      </c>
      <c r="M657" s="60">
        <f>SUM(J657:L657)</f>
        <v>0</v>
      </c>
      <c r="N657" s="58">
        <f>SUM(N655:N656)</f>
        <v>0</v>
      </c>
      <c r="O657" s="58">
        <f>SUM(O655:O656)</f>
        <v>0</v>
      </c>
      <c r="P657" s="58">
        <f>SUM(P655:P656)</f>
        <v>0</v>
      </c>
      <c r="Q657" s="60">
        <f>SUM(N657:P657)</f>
        <v>0</v>
      </c>
      <c r="R657" s="59">
        <f>+E657+I657+M657+Q657</f>
        <v>0</v>
      </c>
    </row>
    <row r="658" spans="1:18" ht="16.5" customHeight="1" thickBot="1" x14ac:dyDescent="0.35">
      <c r="A658" s="114" t="s">
        <v>72</v>
      </c>
      <c r="B658" s="86">
        <f>SUM(B648:B656)</f>
        <v>1300</v>
      </c>
      <c r="C658" s="87">
        <f>SUM(C648:C656)</f>
        <v>1300</v>
      </c>
      <c r="D658" s="118">
        <f>SUM(D648:D656)</f>
        <v>1300</v>
      </c>
      <c r="E658" s="60">
        <f>SUM(B658:D658)</f>
        <v>3900</v>
      </c>
      <c r="F658" s="87">
        <f>SUM(F648:F656)</f>
        <v>1300</v>
      </c>
      <c r="G658" s="87">
        <f>SUM(G648:G656)</f>
        <v>1300</v>
      </c>
      <c r="H658" s="87">
        <f>SUM(H648:H656)</f>
        <v>1300</v>
      </c>
      <c r="I658" s="60">
        <f>SUM(F658:H658)</f>
        <v>3900</v>
      </c>
      <c r="J658" s="87">
        <f>SUM(J648:J656)</f>
        <v>1300</v>
      </c>
      <c r="K658" s="87">
        <f>SUM(K648:K656)</f>
        <v>1600</v>
      </c>
      <c r="L658" s="87">
        <f>SUM(L648:L656)</f>
        <v>1600</v>
      </c>
      <c r="M658" s="60">
        <f>SUM(J658:L658)</f>
        <v>4500</v>
      </c>
      <c r="N658" s="87">
        <f>SUM(N648:N656)</f>
        <v>0</v>
      </c>
      <c r="O658" s="87">
        <f>SUM(O648:O656)</f>
        <v>1000</v>
      </c>
      <c r="P658" s="87">
        <f>SUM(P648:P656)</f>
        <v>1054</v>
      </c>
      <c r="Q658" s="60">
        <f>SUM(N658:P658)</f>
        <v>2054</v>
      </c>
      <c r="R658" s="59">
        <f>+E658+I658+M658+Q658</f>
        <v>14354</v>
      </c>
    </row>
    <row r="659" spans="1:18" ht="16.5" customHeight="1" thickBot="1" x14ac:dyDescent="0.35">
      <c r="A659" s="57" t="s">
        <v>73</v>
      </c>
      <c r="B659" s="90">
        <f>+B634+B638+B647+B658</f>
        <v>13069</v>
      </c>
      <c r="C659" s="58">
        <f>+C634+C638+C647+C658</f>
        <v>12785</v>
      </c>
      <c r="D659" s="58">
        <f>+D634+D638+D647+D658</f>
        <v>14995</v>
      </c>
      <c r="E659" s="59">
        <f>SUM(B659:D659)</f>
        <v>40849</v>
      </c>
      <c r="F659" s="58">
        <f>+F634+F638+F647+F658</f>
        <v>15751</v>
      </c>
      <c r="G659" s="58">
        <f>+G634+G638+G647+G658</f>
        <v>15111</v>
      </c>
      <c r="H659" s="58">
        <f>+H634+H638+H647+H658</f>
        <v>13692</v>
      </c>
      <c r="I659" s="59">
        <f>SUM(F659:H659)</f>
        <v>44554</v>
      </c>
      <c r="J659" s="58">
        <f>+J634+J638+J647+J658</f>
        <v>12561</v>
      </c>
      <c r="K659" s="58">
        <f>+K634+K638+K647+K658</f>
        <v>12288</v>
      </c>
      <c r="L659" s="58">
        <f>+L634+L638+L647+L658</f>
        <v>12313</v>
      </c>
      <c r="M659" s="59">
        <f>SUM(J659:L659)</f>
        <v>37162</v>
      </c>
      <c r="N659" s="58">
        <f>+N634+N638+N647+N658</f>
        <v>8045</v>
      </c>
      <c r="O659" s="58">
        <f>+O634+O638+O647+O658</f>
        <v>6099</v>
      </c>
      <c r="P659" s="58">
        <f>+P634+P638+P647+P658</f>
        <v>10183</v>
      </c>
      <c r="Q659" s="59">
        <f>SUM(N659:P659)</f>
        <v>24327</v>
      </c>
      <c r="R659" s="81">
        <f>+E659+I659+M659+Q659</f>
        <v>146892</v>
      </c>
    </row>
    <row r="660" spans="1:18" ht="16.5" customHeight="1" thickBot="1" x14ac:dyDescent="0.35">
      <c r="A660" s="62" t="s">
        <v>40</v>
      </c>
      <c r="B660" s="21">
        <v>22</v>
      </c>
      <c r="C660" s="21">
        <v>24</v>
      </c>
      <c r="D660" s="21">
        <v>31</v>
      </c>
      <c r="E660" s="59">
        <f>SUM(B660:D660)</f>
        <v>77</v>
      </c>
      <c r="F660" s="21">
        <v>40</v>
      </c>
      <c r="G660" s="21">
        <v>45</v>
      </c>
      <c r="H660" s="21">
        <v>48</v>
      </c>
      <c r="I660" s="59">
        <f>SUM(F660:H660)</f>
        <v>133</v>
      </c>
      <c r="J660" s="21">
        <v>42</v>
      </c>
      <c r="K660" s="21">
        <v>39</v>
      </c>
      <c r="L660" s="21">
        <v>38</v>
      </c>
      <c r="M660" s="59">
        <f>SUM(J660:L660)</f>
        <v>119</v>
      </c>
      <c r="N660" s="21">
        <v>32</v>
      </c>
      <c r="O660" s="21">
        <v>25</v>
      </c>
      <c r="P660" s="21">
        <v>21</v>
      </c>
      <c r="Q660" s="59">
        <f>SUM(N660:P660)</f>
        <v>78</v>
      </c>
      <c r="R660" s="60">
        <f>+E660+I660+M660+Q660</f>
        <v>407</v>
      </c>
    </row>
    <row r="661" spans="1:18" ht="16.5" customHeight="1" thickBot="1" x14ac:dyDescent="0.35">
      <c r="A661" s="41"/>
      <c r="B661" s="36"/>
      <c r="C661" s="36"/>
      <c r="D661" s="36"/>
      <c r="E661" s="52"/>
      <c r="F661" s="36"/>
      <c r="G661" s="36"/>
      <c r="H661" s="36"/>
      <c r="I661" s="52"/>
      <c r="J661" s="36"/>
      <c r="K661" s="36"/>
      <c r="L661" s="36"/>
      <c r="M661" s="52"/>
      <c r="N661" s="36"/>
      <c r="O661" s="36"/>
      <c r="P661" s="36"/>
      <c r="Q661" s="52"/>
      <c r="R661" s="42"/>
    </row>
    <row r="662" spans="1:18" ht="15.75" customHeight="1" x14ac:dyDescent="0.3">
      <c r="A662" s="15" t="s">
        <v>314</v>
      </c>
      <c r="B662" s="1">
        <f>+SUM(B659:B660)</f>
        <v>13091</v>
      </c>
      <c r="C662" s="1">
        <f>+SUM(C659:C660)</f>
        <v>12809</v>
      </c>
      <c r="D662" s="1">
        <f>+SUM(D659:D660)</f>
        <v>15026</v>
      </c>
      <c r="E662" s="60">
        <f>SUM(B662:D662)</f>
        <v>40926</v>
      </c>
      <c r="F662" s="1">
        <f>+SUM(F659:F660)</f>
        <v>15791</v>
      </c>
      <c r="G662" s="1">
        <f>+SUM(G659:G660)</f>
        <v>15156</v>
      </c>
      <c r="H662" s="1">
        <f>+SUM(H659:H660)</f>
        <v>13740</v>
      </c>
      <c r="I662" s="60">
        <f>SUM(F662:H662)</f>
        <v>44687</v>
      </c>
      <c r="J662" s="1">
        <f>+SUM(J659:J660)</f>
        <v>12603</v>
      </c>
      <c r="K662" s="1">
        <f>+SUM(K659:K660)</f>
        <v>12327</v>
      </c>
      <c r="L662" s="1">
        <f>+SUM(L659:L660)</f>
        <v>12351</v>
      </c>
      <c r="M662" s="60">
        <f>SUM(J662:L662)</f>
        <v>37281</v>
      </c>
      <c r="N662" s="1">
        <f>+SUM(N659:N660)</f>
        <v>8077</v>
      </c>
      <c r="O662" s="1">
        <f>+SUM(O659:O660)</f>
        <v>6124</v>
      </c>
      <c r="P662" s="1">
        <f>+SUM(P659:P660)</f>
        <v>10204</v>
      </c>
      <c r="Q662" s="60">
        <f>SUM(N662:P662)</f>
        <v>24405</v>
      </c>
      <c r="R662" s="60">
        <f>+E662+I662+M662+Q662</f>
        <v>147299</v>
      </c>
    </row>
    <row r="663" spans="1:18" ht="15.75" customHeight="1" x14ac:dyDescent="0.3">
      <c r="A663" s="15" t="s">
        <v>42</v>
      </c>
      <c r="B663" s="1">
        <f>(B662/B10)/1.983</f>
        <v>212.9552811803556</v>
      </c>
      <c r="C663" s="1">
        <f>(C662/C10)/1.983</f>
        <v>230.69303364310929</v>
      </c>
      <c r="D663" s="1">
        <f>(D662/D10)/1.983</f>
        <v>244.43251508792477</v>
      </c>
      <c r="E663" s="55" t="s">
        <v>7</v>
      </c>
      <c r="F663" s="1">
        <f>(F662/F10)/1.983</f>
        <v>265.43956967557574</v>
      </c>
      <c r="G663" s="1">
        <f>(G662/G10)/1.983</f>
        <v>246.54726465277437</v>
      </c>
      <c r="H663" s="1">
        <f>(H662/H10)/1.983</f>
        <v>230.96318709026727</v>
      </c>
      <c r="I663" s="55" t="s">
        <v>7</v>
      </c>
      <c r="J663" s="1">
        <f>(J662/J10)/1.983</f>
        <v>205.01683665999707</v>
      </c>
      <c r="K663" s="1">
        <f>(K662/K10)/1.983</f>
        <v>200.52706066077789</v>
      </c>
      <c r="L663" s="1">
        <f>(L662/L10)/1.983</f>
        <v>207.61472516389307</v>
      </c>
      <c r="M663" s="55" t="s">
        <v>7</v>
      </c>
      <c r="N663" s="1">
        <f>(N662/N10)/1.983</f>
        <v>131.39101719454069</v>
      </c>
      <c r="O663" s="1">
        <f>(O662/O10)/1.983</f>
        <v>102.94167086905361</v>
      </c>
      <c r="P663" s="1">
        <f>(P662/P10)/1.983</f>
        <v>165.99157353634931</v>
      </c>
      <c r="Q663" s="55" t="s">
        <v>7</v>
      </c>
      <c r="R663" s="55" t="s">
        <v>7</v>
      </c>
    </row>
    <row r="664" spans="1:18" ht="15.75" customHeight="1" x14ac:dyDescent="0.3">
      <c r="A664" s="15" t="s">
        <v>351</v>
      </c>
      <c r="B664" s="1">
        <f>B662+B674</f>
        <v>14258</v>
      </c>
      <c r="C664" s="1">
        <f>C662+C674</f>
        <v>16565</v>
      </c>
      <c r="D664" s="1">
        <f>D662+D674</f>
        <v>19254</v>
      </c>
      <c r="E664" s="55">
        <f>SUM(B664:D664)</f>
        <v>50077</v>
      </c>
      <c r="F664" s="1">
        <f>F662+F674</f>
        <v>19870</v>
      </c>
      <c r="G664" s="1">
        <f>G662+G674</f>
        <v>18630</v>
      </c>
      <c r="H664" s="1">
        <f>H662+H674</f>
        <v>18705</v>
      </c>
      <c r="I664" s="55">
        <f>SUM(F664:H664)</f>
        <v>57205</v>
      </c>
      <c r="J664" s="1">
        <f>J662+J674</f>
        <v>16329</v>
      </c>
      <c r="K664" s="1">
        <f>K662+K674</f>
        <v>16563</v>
      </c>
      <c r="L664" s="1">
        <f>L662+L674</f>
        <v>15443</v>
      </c>
      <c r="M664" s="55">
        <f>SUM(J664:L664)</f>
        <v>48335</v>
      </c>
      <c r="N664" s="1">
        <f>N662+N674</f>
        <v>11320</v>
      </c>
      <c r="O664" s="1">
        <f>O662+O674</f>
        <v>6546</v>
      </c>
      <c r="P664" s="1">
        <f>P662+P674</f>
        <v>11342</v>
      </c>
      <c r="Q664" s="55">
        <f>SUM(N664:P664)</f>
        <v>29208</v>
      </c>
      <c r="R664" s="55">
        <f>+E664+I664+M664+Q664</f>
        <v>184825</v>
      </c>
    </row>
    <row r="665" spans="1:18" ht="16.5" customHeight="1" thickBot="1" x14ac:dyDescent="0.35">
      <c r="A665" s="20" t="s">
        <v>352</v>
      </c>
      <c r="B665" s="21">
        <f>(B664/B10)/1.983</f>
        <v>231.93922535096709</v>
      </c>
      <c r="C665" s="21">
        <f>(C664/C10)/1.983</f>
        <v>298.33945681146889</v>
      </c>
      <c r="D665" s="21">
        <f>(D664/D10)/1.983</f>
        <v>313.21067785857207</v>
      </c>
      <c r="E665" s="81" t="s">
        <v>7</v>
      </c>
      <c r="F665" s="21">
        <f>(F664/F10)/1.983</f>
        <v>334.00571524625985</v>
      </c>
      <c r="G665" s="21">
        <f>(G664/G10)/1.983</f>
        <v>303.05987994729395</v>
      </c>
      <c r="H665" s="21">
        <f>(H664/H10)/1.983</f>
        <v>314.42259203227434</v>
      </c>
      <c r="I665" s="81" t="s">
        <v>7</v>
      </c>
      <c r="J665" s="21">
        <f>(J664/J10)/1.983</f>
        <v>265.62881264945582</v>
      </c>
      <c r="K665" s="21">
        <f>(K664/K10)/1.983</f>
        <v>269.43536186618513</v>
      </c>
      <c r="L665" s="21">
        <f>(L664/L10)/1.983</f>
        <v>259.58984703311478</v>
      </c>
      <c r="M665" s="81" t="s">
        <v>7</v>
      </c>
      <c r="N665" s="21">
        <f>(N664/N10)/1.983</f>
        <v>184.14588518536593</v>
      </c>
      <c r="O665" s="21">
        <f>(O664/O10)/1.983</f>
        <v>110.03530005042863</v>
      </c>
      <c r="P665" s="21">
        <f>(P664/P10)/1.983</f>
        <v>184.50376588095585</v>
      </c>
      <c r="Q665" s="81" t="s">
        <v>7</v>
      </c>
      <c r="R665" s="81" t="s">
        <v>7</v>
      </c>
    </row>
    <row r="666" spans="1:18" ht="15.75" customHeight="1" x14ac:dyDescent="0.3">
      <c r="A666" s="2"/>
      <c r="B666" s="1"/>
      <c r="C666" s="1"/>
      <c r="D666" s="1"/>
      <c r="E666" s="1"/>
      <c r="F666" s="1"/>
      <c r="G666" s="1"/>
      <c r="H666" s="1"/>
      <c r="I666" s="1"/>
      <c r="J666" s="1"/>
      <c r="K666" s="1"/>
      <c r="L666" s="1"/>
      <c r="M666" s="1"/>
      <c r="N666" s="1"/>
      <c r="O666" s="1"/>
      <c r="P666" s="1"/>
      <c r="Q666" s="1"/>
      <c r="R666" s="2"/>
    </row>
    <row r="667" spans="1:18" ht="15.75" customHeight="1" thickBot="1" x14ac:dyDescent="0.35">
      <c r="A667" s="2"/>
      <c r="B667" s="1"/>
      <c r="C667" s="1"/>
      <c r="D667" s="1"/>
      <c r="E667" s="1"/>
      <c r="F667" s="1"/>
      <c r="G667" s="1"/>
      <c r="H667" s="1"/>
      <c r="I667" s="1"/>
      <c r="J667" s="1"/>
      <c r="K667" s="1"/>
      <c r="L667" s="1"/>
      <c r="M667" s="1"/>
      <c r="N667" s="1"/>
      <c r="O667" s="1"/>
      <c r="P667" s="1"/>
      <c r="Q667" s="1"/>
      <c r="R667" s="2"/>
    </row>
    <row r="668" spans="1:18" ht="16.5" customHeight="1" thickBot="1" x14ac:dyDescent="0.35">
      <c r="A668" s="124" t="s">
        <v>353</v>
      </c>
      <c r="B668" s="30" t="s">
        <v>8</v>
      </c>
      <c r="C668" s="31" t="s">
        <v>9</v>
      </c>
      <c r="D668" s="31" t="s">
        <v>10</v>
      </c>
      <c r="E668" s="32" t="s">
        <v>11</v>
      </c>
      <c r="F668" s="31" t="s">
        <v>12</v>
      </c>
      <c r="G668" s="31" t="s">
        <v>13</v>
      </c>
      <c r="H668" s="31" t="s">
        <v>14</v>
      </c>
      <c r="I668" s="33" t="s">
        <v>15</v>
      </c>
      <c r="J668" s="31" t="s">
        <v>16</v>
      </c>
      <c r="K668" s="31" t="s">
        <v>17</v>
      </c>
      <c r="L668" s="31" t="s">
        <v>18</v>
      </c>
      <c r="M668" s="33" t="s">
        <v>19</v>
      </c>
      <c r="N668" s="31" t="s">
        <v>20</v>
      </c>
      <c r="O668" s="31" t="s">
        <v>21</v>
      </c>
      <c r="P668" s="31" t="s">
        <v>22</v>
      </c>
      <c r="Q668" s="33" t="s">
        <v>23</v>
      </c>
      <c r="R668" s="34" t="s">
        <v>24</v>
      </c>
    </row>
    <row r="669" spans="1:18" ht="16.5" customHeight="1" thickBot="1" x14ac:dyDescent="0.35">
      <c r="A669" s="41"/>
      <c r="B669" s="36"/>
      <c r="C669" s="36"/>
      <c r="D669" s="36"/>
      <c r="E669" s="37"/>
      <c r="F669" s="36"/>
      <c r="G669" s="36"/>
      <c r="H669" s="36"/>
      <c r="I669" s="37"/>
      <c r="J669" s="36"/>
      <c r="K669" s="36"/>
      <c r="L669" s="36"/>
      <c r="M669" s="37"/>
      <c r="N669" s="36"/>
      <c r="O669" s="36"/>
      <c r="P669" s="36"/>
      <c r="Q669" s="37"/>
      <c r="R669" s="41"/>
    </row>
    <row r="670" spans="1:18" ht="16.5" customHeight="1" thickBot="1" x14ac:dyDescent="0.35">
      <c r="A670" s="39" t="s">
        <v>40</v>
      </c>
      <c r="B670" s="21">
        <v>2</v>
      </c>
      <c r="C670" s="21">
        <v>3</v>
      </c>
      <c r="D670" s="21">
        <v>5</v>
      </c>
      <c r="E670" s="55">
        <f>SUM(B670:D670)</f>
        <v>10</v>
      </c>
      <c r="F670" s="21">
        <v>7</v>
      </c>
      <c r="G670" s="21">
        <v>8</v>
      </c>
      <c r="H670" s="21">
        <v>9</v>
      </c>
      <c r="I670" s="55">
        <f>SUM(F670:H670)</f>
        <v>24</v>
      </c>
      <c r="J670" s="21">
        <v>7</v>
      </c>
      <c r="K670" s="21">
        <v>6</v>
      </c>
      <c r="L670" s="21">
        <v>6</v>
      </c>
      <c r="M670" s="55">
        <f>SUM(J670:L670)</f>
        <v>19</v>
      </c>
      <c r="N670" s="21">
        <v>5</v>
      </c>
      <c r="O670" s="21">
        <v>3</v>
      </c>
      <c r="P670" s="21">
        <v>2</v>
      </c>
      <c r="Q670" s="55">
        <f>SUM(N670:P670)</f>
        <v>10</v>
      </c>
      <c r="R670" s="60">
        <f>+E670+I670+M670+Q670</f>
        <v>63</v>
      </c>
    </row>
    <row r="671" spans="1:18" ht="16.5" customHeight="1" thickBot="1" x14ac:dyDescent="0.35">
      <c r="A671" s="41"/>
      <c r="B671" s="36"/>
      <c r="C671" s="36"/>
      <c r="D671" s="36"/>
      <c r="E671" s="52"/>
      <c r="F671" s="36"/>
      <c r="G671" s="36"/>
      <c r="H671" s="36"/>
      <c r="I671" s="52"/>
      <c r="J671" s="36"/>
      <c r="K671" s="36"/>
      <c r="L671" s="36"/>
      <c r="M671" s="52"/>
      <c r="N671" s="36"/>
      <c r="O671" s="36"/>
      <c r="P671" s="36"/>
      <c r="Q671" s="52"/>
      <c r="R671" s="42"/>
    </row>
    <row r="672" spans="1:18" ht="15.75" customHeight="1" x14ac:dyDescent="0.3">
      <c r="A672" s="15" t="s">
        <v>314</v>
      </c>
      <c r="B672" s="1">
        <f>B670</f>
        <v>2</v>
      </c>
      <c r="C672" s="1">
        <f>C670</f>
        <v>3</v>
      </c>
      <c r="D672" s="1">
        <f>D670</f>
        <v>5</v>
      </c>
      <c r="E672" s="60">
        <f>SUM(B672:D672)</f>
        <v>10</v>
      </c>
      <c r="F672" s="1">
        <f>F670</f>
        <v>7</v>
      </c>
      <c r="G672" s="1">
        <f>G670</f>
        <v>8</v>
      </c>
      <c r="H672" s="1">
        <f>H670</f>
        <v>9</v>
      </c>
      <c r="I672" s="60">
        <f>SUM(F672:H672)</f>
        <v>24</v>
      </c>
      <c r="J672" s="1">
        <f>J670</f>
        <v>7</v>
      </c>
      <c r="K672" s="1">
        <f>K670</f>
        <v>6</v>
      </c>
      <c r="L672" s="1">
        <f>L670</f>
        <v>6</v>
      </c>
      <c r="M672" s="60">
        <f>SUM(J672:L672)</f>
        <v>19</v>
      </c>
      <c r="N672" s="1">
        <f>N670</f>
        <v>5</v>
      </c>
      <c r="O672" s="1">
        <f>O670</f>
        <v>3</v>
      </c>
      <c r="P672" s="1">
        <f>P670</f>
        <v>2</v>
      </c>
      <c r="Q672" s="60">
        <f>SUM(N672:P672)</f>
        <v>10</v>
      </c>
      <c r="R672" s="60">
        <f>+E672+I672+M672+Q672</f>
        <v>63</v>
      </c>
    </row>
    <row r="673" spans="1:18" ht="15.75" customHeight="1" x14ac:dyDescent="0.3">
      <c r="A673" s="15" t="s">
        <v>42</v>
      </c>
      <c r="B673" s="1">
        <f>(B672/B10)/1.983</f>
        <v>3.2534608689993978E-2</v>
      </c>
      <c r="C673" s="1">
        <f>(C672/C10)/1.983</f>
        <v>5.403068943159714E-2</v>
      </c>
      <c r="D673" s="1">
        <f>(D672/D10)/1.983</f>
        <v>8.1336521724984942E-2</v>
      </c>
      <c r="E673" s="55" t="s">
        <v>7</v>
      </c>
      <c r="F673" s="1">
        <f>(F672/F10)/1.983</f>
        <v>0.1176668347621449</v>
      </c>
      <c r="G673" s="1">
        <f>(G672/G10)/1.983</f>
        <v>0.13013843475997591</v>
      </c>
      <c r="H673" s="1">
        <f>(H672/H10)/1.983</f>
        <v>0.15128593040847199</v>
      </c>
      <c r="I673" s="55" t="s">
        <v>7</v>
      </c>
      <c r="J673" s="1">
        <f>(J672/J10)/1.983</f>
        <v>0.11387113041497893</v>
      </c>
      <c r="K673" s="1">
        <f>(K672/K10)/1.983</f>
        <v>9.7603826069981942E-2</v>
      </c>
      <c r="L673" s="1">
        <f>(L672/L10)/1.983</f>
        <v>0.10085728693898134</v>
      </c>
      <c r="M673" s="55" t="s">
        <v>7</v>
      </c>
      <c r="N673" s="1">
        <f>(N672/N10)/1.983</f>
        <v>8.1336521724984942E-2</v>
      </c>
      <c r="O673" s="1">
        <f>(O672/O10)/1.983</f>
        <v>5.0428643469490671E-2</v>
      </c>
      <c r="P673" s="1">
        <f>(P672/P10)/1.983</f>
        <v>3.2534608689993978E-2</v>
      </c>
      <c r="Q673" s="55" t="s">
        <v>7</v>
      </c>
      <c r="R673" s="55" t="s">
        <v>7</v>
      </c>
    </row>
    <row r="674" spans="1:18" ht="15.75" customHeight="1" x14ac:dyDescent="0.3">
      <c r="A674" s="15" t="s">
        <v>354</v>
      </c>
      <c r="B674" s="1">
        <f>B672+B708+B756-B703</f>
        <v>1167</v>
      </c>
      <c r="C674" s="1">
        <f>C672+C708+C756-C703</f>
        <v>3756</v>
      </c>
      <c r="D674" s="1">
        <f>D672+D708+D756-D703</f>
        <v>4228</v>
      </c>
      <c r="E674" s="55">
        <f>SUM(B674:D674)</f>
        <v>9151</v>
      </c>
      <c r="F674" s="1">
        <f>F672+F708+F756-F703</f>
        <v>4079</v>
      </c>
      <c r="G674" s="1">
        <f>G672+G708+G756-G703</f>
        <v>3474</v>
      </c>
      <c r="H674" s="1">
        <f>H672+H708+H756-H703</f>
        <v>4965</v>
      </c>
      <c r="I674" s="55">
        <f>SUM(F674:H674)</f>
        <v>12518</v>
      </c>
      <c r="J674" s="1">
        <f>J672+J708+J756-J703</f>
        <v>3726</v>
      </c>
      <c r="K674" s="1">
        <f>K672+K708+K756-K703</f>
        <v>4236</v>
      </c>
      <c r="L674" s="1">
        <f>L672+L708+L756-L703</f>
        <v>3092</v>
      </c>
      <c r="M674" s="55">
        <f>SUM(J674:L674)</f>
        <v>11054</v>
      </c>
      <c r="N674" s="1">
        <f>N672+N708+N756-N703</f>
        <v>3243</v>
      </c>
      <c r="O674" s="1">
        <f>O672+O708+O756-O703</f>
        <v>422</v>
      </c>
      <c r="P674" s="1">
        <f>P672+P708+P756-P703</f>
        <v>1138</v>
      </c>
      <c r="Q674" s="55">
        <f>SUM(N674:P674)</f>
        <v>4803</v>
      </c>
      <c r="R674" s="55">
        <f>+E674+I674+M674+Q674</f>
        <v>37526</v>
      </c>
    </row>
    <row r="675" spans="1:18" ht="16.5" customHeight="1" thickBot="1" x14ac:dyDescent="0.35">
      <c r="A675" s="20" t="s">
        <v>355</v>
      </c>
      <c r="B675" s="21">
        <f>(B674/B10)/1.983</f>
        <v>18.983944170611487</v>
      </c>
      <c r="C675" s="21">
        <f>(C674/C10)/1.983</f>
        <v>67.646423168359618</v>
      </c>
      <c r="D675" s="21">
        <f>(D674/D10)/1.983</f>
        <v>68.77816277064727</v>
      </c>
      <c r="E675" s="81" t="s">
        <v>7</v>
      </c>
      <c r="F675" s="21">
        <f>(F674/F10)/1.983</f>
        <v>68.566145570684142</v>
      </c>
      <c r="G675" s="21">
        <f>(G674/G10)/1.983</f>
        <v>56.512615294519541</v>
      </c>
      <c r="H675" s="21">
        <f>(H674/H10)/1.983</f>
        <v>83.459404942007055</v>
      </c>
      <c r="I675" s="81" t="s">
        <v>7</v>
      </c>
      <c r="J675" s="21">
        <f>(J674/J10)/1.983</f>
        <v>60.611975989458784</v>
      </c>
      <c r="K675" s="21">
        <f>(K674/K10)/1.983</f>
        <v>68.908301205407255</v>
      </c>
      <c r="L675" s="21">
        <f>(L674/L10)/1.983</f>
        <v>51.975121869221717</v>
      </c>
      <c r="M675" s="81" t="s">
        <v>7</v>
      </c>
      <c r="N675" s="21">
        <f>(N674/N10)/1.983</f>
        <v>52.75486799082524</v>
      </c>
      <c r="O675" s="21">
        <f>(O674/O10)/1.983</f>
        <v>7.0936291813750207</v>
      </c>
      <c r="P675" s="21">
        <f>(P674/P10)/1.983</f>
        <v>18.512192344606575</v>
      </c>
      <c r="Q675" s="81" t="s">
        <v>7</v>
      </c>
      <c r="R675" s="81" t="s">
        <v>7</v>
      </c>
    </row>
    <row r="676" spans="1:18" ht="15.75" customHeight="1" x14ac:dyDescent="0.3">
      <c r="A676" s="2"/>
      <c r="B676" s="1"/>
      <c r="C676" s="1"/>
      <c r="D676" s="1"/>
      <c r="E676" s="1"/>
      <c r="F676" s="1"/>
      <c r="G676" s="1"/>
      <c r="H676" s="1"/>
      <c r="I676" s="1"/>
      <c r="J676" s="1"/>
      <c r="K676" s="1"/>
      <c r="L676" s="1"/>
      <c r="M676" s="1"/>
      <c r="N676" s="1"/>
      <c r="O676" s="1"/>
      <c r="P676" s="1"/>
      <c r="Q676" s="1"/>
      <c r="R676" s="2"/>
    </row>
    <row r="677" spans="1:18" ht="15.75" customHeight="1" thickBot="1" x14ac:dyDescent="0.35">
      <c r="A677" s="2"/>
      <c r="B677" s="1"/>
      <c r="C677" s="1"/>
      <c r="D677" s="1"/>
      <c r="E677" s="1"/>
      <c r="F677" s="1"/>
      <c r="G677" s="1"/>
      <c r="H677" s="1"/>
      <c r="I677" s="1"/>
      <c r="J677" s="1"/>
      <c r="K677" s="1"/>
      <c r="L677" s="1"/>
      <c r="M677" s="1"/>
      <c r="N677" s="1"/>
      <c r="O677" s="1"/>
      <c r="P677" s="1"/>
      <c r="Q677" s="1"/>
      <c r="R677" s="2"/>
    </row>
    <row r="678" spans="1:18" ht="16.5" customHeight="1" thickBot="1" x14ac:dyDescent="0.35">
      <c r="A678" s="124" t="s">
        <v>356</v>
      </c>
      <c r="B678" s="30" t="s">
        <v>8</v>
      </c>
      <c r="C678" s="31" t="s">
        <v>9</v>
      </c>
      <c r="D678" s="31" t="s">
        <v>10</v>
      </c>
      <c r="E678" s="33" t="s">
        <v>11</v>
      </c>
      <c r="F678" s="31" t="s">
        <v>12</v>
      </c>
      <c r="G678" s="31" t="s">
        <v>13</v>
      </c>
      <c r="H678" s="31" t="s">
        <v>14</v>
      </c>
      <c r="I678" s="33" t="s">
        <v>15</v>
      </c>
      <c r="J678" s="31" t="s">
        <v>16</v>
      </c>
      <c r="K678" s="31" t="s">
        <v>17</v>
      </c>
      <c r="L678" s="31" t="s">
        <v>18</v>
      </c>
      <c r="M678" s="33" t="s">
        <v>19</v>
      </c>
      <c r="N678" s="31" t="s">
        <v>20</v>
      </c>
      <c r="O678" s="31" t="s">
        <v>21</v>
      </c>
      <c r="P678" s="31" t="s">
        <v>22</v>
      </c>
      <c r="Q678" s="33" t="s">
        <v>23</v>
      </c>
      <c r="R678" s="131" t="s">
        <v>24</v>
      </c>
    </row>
    <row r="679" spans="1:18" ht="16.5" customHeight="1" thickBot="1" x14ac:dyDescent="0.35">
      <c r="A679" s="41"/>
      <c r="B679" s="36"/>
      <c r="C679" s="36"/>
      <c r="D679" s="36"/>
      <c r="E679" s="132"/>
      <c r="F679" s="36"/>
      <c r="G679" s="36"/>
      <c r="H679" s="36"/>
      <c r="I679" s="132"/>
      <c r="J679" s="36"/>
      <c r="K679" s="36"/>
      <c r="L679" s="36"/>
      <c r="M679" s="132"/>
      <c r="N679" s="36"/>
      <c r="O679" s="36"/>
      <c r="P679" s="36"/>
      <c r="Q679" s="132"/>
      <c r="R679" s="38"/>
    </row>
    <row r="680" spans="1:18" ht="15.75" customHeight="1" x14ac:dyDescent="0.3">
      <c r="A680" s="15" t="s">
        <v>48</v>
      </c>
      <c r="B680" s="1" t="s">
        <v>7</v>
      </c>
      <c r="C680" s="1" t="s">
        <v>7</v>
      </c>
      <c r="D680" s="1" t="s">
        <v>7</v>
      </c>
      <c r="E680" s="55" t="s">
        <v>7</v>
      </c>
      <c r="F680" s="1" t="s">
        <v>7</v>
      </c>
      <c r="G680" s="1" t="s">
        <v>7</v>
      </c>
      <c r="H680" s="1" t="s">
        <v>7</v>
      </c>
      <c r="I680" s="55" t="s">
        <v>7</v>
      </c>
      <c r="J680" s="1" t="s">
        <v>7</v>
      </c>
      <c r="K680" s="1" t="s">
        <v>7</v>
      </c>
      <c r="L680" s="1" t="s">
        <v>7</v>
      </c>
      <c r="M680" s="55" t="s">
        <v>7</v>
      </c>
      <c r="N680" s="1" t="s">
        <v>7</v>
      </c>
      <c r="O680" s="1" t="s">
        <v>7</v>
      </c>
      <c r="P680" s="1" t="s">
        <v>7</v>
      </c>
      <c r="Q680" s="55" t="s">
        <v>7</v>
      </c>
      <c r="R680" s="55" t="s">
        <v>7</v>
      </c>
    </row>
    <row r="681" spans="1:18" ht="15.75" customHeight="1" x14ac:dyDescent="0.3">
      <c r="A681" s="15" t="s">
        <v>49</v>
      </c>
      <c r="B681" s="1"/>
      <c r="C681" s="1"/>
      <c r="D681" s="1"/>
      <c r="E681" s="55" t="s">
        <v>7</v>
      </c>
      <c r="F681" s="1"/>
      <c r="G681" s="1"/>
      <c r="H681" s="1"/>
      <c r="I681" s="55" t="s">
        <v>7</v>
      </c>
      <c r="J681" s="1"/>
      <c r="K681" s="1"/>
      <c r="L681" s="1"/>
      <c r="M681" s="55" t="s">
        <v>7</v>
      </c>
      <c r="N681" s="1"/>
      <c r="O681" s="1"/>
      <c r="P681" s="1"/>
      <c r="Q681" s="55" t="s">
        <v>7</v>
      </c>
      <c r="R681" s="55" t="s">
        <v>7</v>
      </c>
    </row>
    <row r="682" spans="1:18" ht="15.75" customHeight="1" x14ac:dyDescent="0.3">
      <c r="A682" s="71" t="s">
        <v>357</v>
      </c>
      <c r="B682" s="1"/>
      <c r="C682" s="1"/>
      <c r="D682" s="1">
        <v>55</v>
      </c>
      <c r="E682" s="55">
        <f>SUM(B682:D682)</f>
        <v>55</v>
      </c>
      <c r="F682" s="1"/>
      <c r="G682" s="1"/>
      <c r="H682" s="1">
        <v>59</v>
      </c>
      <c r="I682" s="55">
        <f>SUM(F682:H682)</f>
        <v>59</v>
      </c>
      <c r="J682" s="1"/>
      <c r="K682" s="1"/>
      <c r="L682" s="1"/>
      <c r="M682" s="55">
        <f>SUM(J682:L682)</f>
        <v>0</v>
      </c>
      <c r="N682" s="1">
        <v>22</v>
      </c>
      <c r="O682" s="1"/>
      <c r="P682" s="1"/>
      <c r="Q682" s="55">
        <f>SUM(N682:P682)</f>
        <v>22</v>
      </c>
      <c r="R682" s="55">
        <f>+E682+I682+M682+Q682</f>
        <v>136</v>
      </c>
    </row>
    <row r="683" spans="1:18" ht="15.75" customHeight="1" x14ac:dyDescent="0.3">
      <c r="A683" s="15" t="s">
        <v>50</v>
      </c>
      <c r="B683" s="1"/>
      <c r="C683" s="1"/>
      <c r="D683" s="1"/>
      <c r="E683" s="55" t="s">
        <v>7</v>
      </c>
      <c r="F683" s="1"/>
      <c r="G683" s="1"/>
      <c r="H683" s="1"/>
      <c r="I683" s="55" t="s">
        <v>7</v>
      </c>
      <c r="J683" s="1"/>
      <c r="K683" s="1"/>
      <c r="L683" s="1"/>
      <c r="M683" s="55" t="s">
        <v>7</v>
      </c>
      <c r="N683" s="1"/>
      <c r="O683" s="1"/>
      <c r="P683" s="1"/>
      <c r="Q683" s="55" t="s">
        <v>7</v>
      </c>
      <c r="R683" s="55" t="s">
        <v>7</v>
      </c>
    </row>
    <row r="684" spans="1:18" ht="15.75" customHeight="1" x14ac:dyDescent="0.3">
      <c r="A684" s="15" t="s">
        <v>51</v>
      </c>
      <c r="B684" s="1"/>
      <c r="C684" s="1"/>
      <c r="D684" s="1"/>
      <c r="E684" s="55" t="s">
        <v>7</v>
      </c>
      <c r="F684" s="1"/>
      <c r="G684" s="1"/>
      <c r="H684" s="1"/>
      <c r="I684" s="55" t="s">
        <v>7</v>
      </c>
      <c r="J684" s="1"/>
      <c r="K684" s="1"/>
      <c r="L684" s="1"/>
      <c r="M684" s="55" t="s">
        <v>7</v>
      </c>
      <c r="N684" s="1"/>
      <c r="O684" s="1"/>
      <c r="P684" s="1"/>
      <c r="Q684" s="55" t="s">
        <v>7</v>
      </c>
      <c r="R684" s="55" t="s">
        <v>7</v>
      </c>
    </row>
    <row r="685" spans="1:18" ht="15.75" customHeight="1" thickBot="1" x14ac:dyDescent="0.35">
      <c r="A685" s="15" t="s">
        <v>53</v>
      </c>
      <c r="B685" s="1"/>
      <c r="C685" s="1"/>
      <c r="D685" s="1"/>
      <c r="E685" s="55" t="s">
        <v>7</v>
      </c>
      <c r="F685" s="1"/>
      <c r="G685" s="1"/>
      <c r="H685" s="1"/>
      <c r="I685" s="55" t="s">
        <v>7</v>
      </c>
      <c r="J685" s="1"/>
      <c r="K685" s="1"/>
      <c r="L685" s="1"/>
      <c r="M685" s="55" t="s">
        <v>7</v>
      </c>
      <c r="N685" s="1"/>
      <c r="O685" s="1"/>
      <c r="P685" s="1"/>
      <c r="Q685" s="55" t="s">
        <v>7</v>
      </c>
      <c r="R685" s="55" t="s">
        <v>7</v>
      </c>
    </row>
    <row r="686" spans="1:18" ht="16.5" customHeight="1" thickBot="1" x14ac:dyDescent="0.35">
      <c r="A686" s="57" t="s">
        <v>54</v>
      </c>
      <c r="B686" s="86">
        <f>SUM(B680:B685)</f>
        <v>0</v>
      </c>
      <c r="C686" s="87">
        <f>SUM(C680:C685)</f>
        <v>0</v>
      </c>
      <c r="D686" s="87">
        <f>SUM(D680:D685)</f>
        <v>55</v>
      </c>
      <c r="E686" s="59">
        <f>SUM(B686:D686)</f>
        <v>55</v>
      </c>
      <c r="F686" s="87">
        <f>SUM(F680:F685)</f>
        <v>0</v>
      </c>
      <c r="G686" s="87">
        <f>SUM(G680:G685)</f>
        <v>0</v>
      </c>
      <c r="H686" s="87">
        <f>SUM(H680:H685)</f>
        <v>59</v>
      </c>
      <c r="I686" s="59">
        <f>SUM(F686:H686)</f>
        <v>59</v>
      </c>
      <c r="J686" s="87">
        <f>SUM(J680:J685)</f>
        <v>0</v>
      </c>
      <c r="K686" s="87">
        <f>SUM(K680:K685)</f>
        <v>0</v>
      </c>
      <c r="L686" s="87">
        <f>SUM(L680:L685)</f>
        <v>0</v>
      </c>
      <c r="M686" s="59">
        <f>SUM(J686:L686)</f>
        <v>0</v>
      </c>
      <c r="N686" s="87">
        <f>SUM(N680:N685)</f>
        <v>22</v>
      </c>
      <c r="O686" s="87">
        <f>SUM(O680:O685)</f>
        <v>0</v>
      </c>
      <c r="P686" s="87">
        <f>SUM(P680:P685)</f>
        <v>0</v>
      </c>
      <c r="Q686" s="59">
        <f>SUM(N686:P686)</f>
        <v>22</v>
      </c>
      <c r="R686" s="59">
        <f>+E686+I686+M686+Q686</f>
        <v>136</v>
      </c>
    </row>
    <row r="687" spans="1:18" ht="15.75" customHeight="1" x14ac:dyDescent="0.3">
      <c r="A687" s="15" t="s">
        <v>55</v>
      </c>
      <c r="B687" s="1"/>
      <c r="C687" s="1"/>
      <c r="D687" s="1"/>
      <c r="E687" s="55" t="s">
        <v>7</v>
      </c>
      <c r="F687" s="1"/>
      <c r="G687" s="1"/>
      <c r="H687" s="1"/>
      <c r="I687" s="55" t="s">
        <v>7</v>
      </c>
      <c r="J687" s="1"/>
      <c r="K687" s="1"/>
      <c r="L687" s="1"/>
      <c r="M687" s="55" t="s">
        <v>7</v>
      </c>
      <c r="N687" s="1"/>
      <c r="O687" s="1"/>
      <c r="P687" s="1"/>
      <c r="Q687" s="55" t="s">
        <v>7</v>
      </c>
      <c r="R687" s="55" t="s">
        <v>7</v>
      </c>
    </row>
    <row r="688" spans="1:18" ht="15.75" customHeight="1" x14ac:dyDescent="0.3">
      <c r="A688" s="15" t="s">
        <v>57</v>
      </c>
      <c r="B688" s="1"/>
      <c r="C688" s="1"/>
      <c r="D688" s="1"/>
      <c r="E688" s="55" t="s">
        <v>7</v>
      </c>
      <c r="F688" s="1"/>
      <c r="G688" s="1"/>
      <c r="H688" s="1"/>
      <c r="I688" s="55" t="s">
        <v>7</v>
      </c>
      <c r="J688" s="1"/>
      <c r="K688" s="1"/>
      <c r="L688" s="1"/>
      <c r="M688" s="55" t="s">
        <v>7</v>
      </c>
      <c r="N688" s="1"/>
      <c r="O688" s="1"/>
      <c r="P688" s="1"/>
      <c r="Q688" s="55" t="s">
        <v>7</v>
      </c>
      <c r="R688" s="55" t="s">
        <v>7</v>
      </c>
    </row>
    <row r="689" spans="1:18" ht="15.75" customHeight="1" thickBot="1" x14ac:dyDescent="0.35">
      <c r="A689" s="15" t="s">
        <v>58</v>
      </c>
      <c r="B689" s="1"/>
      <c r="C689" s="1"/>
      <c r="D689" s="1"/>
      <c r="E689" s="55" t="s">
        <v>7</v>
      </c>
      <c r="F689" s="1"/>
      <c r="G689" s="1"/>
      <c r="H689" s="1"/>
      <c r="I689" s="55" t="s">
        <v>7</v>
      </c>
      <c r="J689" s="1"/>
      <c r="K689" s="1"/>
      <c r="L689" s="1"/>
      <c r="M689" s="55" t="s">
        <v>7</v>
      </c>
      <c r="N689" s="1"/>
      <c r="O689" s="1"/>
      <c r="P689" s="1"/>
      <c r="Q689" s="55" t="s">
        <v>7</v>
      </c>
      <c r="R689" s="55" t="s">
        <v>7</v>
      </c>
    </row>
    <row r="690" spans="1:18" ht="16.5" customHeight="1" thickBot="1" x14ac:dyDescent="0.35">
      <c r="A690" s="57" t="s">
        <v>59</v>
      </c>
      <c r="B690" s="86">
        <f>SUM(B687:B689)</f>
        <v>0</v>
      </c>
      <c r="C690" s="87">
        <f>SUM(C687:C689)</f>
        <v>0</v>
      </c>
      <c r="D690" s="87">
        <f>SUM(D687:D689)</f>
        <v>0</v>
      </c>
      <c r="E690" s="59">
        <f>SUM(B690:D690)</f>
        <v>0</v>
      </c>
      <c r="F690" s="87">
        <f>SUM(F687:F689)</f>
        <v>0</v>
      </c>
      <c r="G690" s="87">
        <f>SUM(G687:G689)</f>
        <v>0</v>
      </c>
      <c r="H690" s="87">
        <f>SUM(H687:H689)</f>
        <v>0</v>
      </c>
      <c r="I690" s="59">
        <f>SUM(F690:H690)</f>
        <v>0</v>
      </c>
      <c r="J690" s="87">
        <f>SUM(J687:J689)</f>
        <v>0</v>
      </c>
      <c r="K690" s="87">
        <f>SUM(K687:K689)</f>
        <v>0</v>
      </c>
      <c r="L690" s="87">
        <f>SUM(L687:L689)</f>
        <v>0</v>
      </c>
      <c r="M690" s="59">
        <f>SUM(J690:L690)</f>
        <v>0</v>
      </c>
      <c r="N690" s="87">
        <f>SUM(N687:N689)</f>
        <v>0</v>
      </c>
      <c r="O690" s="87">
        <f>SUM(O687:O689)</f>
        <v>0</v>
      </c>
      <c r="P690" s="87">
        <f>SUM(P687:P689)</f>
        <v>0</v>
      </c>
      <c r="Q690" s="59">
        <f>SUM(N690:P690)</f>
        <v>0</v>
      </c>
      <c r="R690" s="59">
        <f>+E690+I690+M690+Q690</f>
        <v>0</v>
      </c>
    </row>
    <row r="691" spans="1:18" ht="15.75" customHeight="1" x14ac:dyDescent="0.3">
      <c r="A691" s="15" t="s">
        <v>60</v>
      </c>
      <c r="B691" s="1"/>
      <c r="C691" s="1"/>
      <c r="D691" s="1"/>
      <c r="E691" s="55" t="s">
        <v>7</v>
      </c>
      <c r="F691" s="1"/>
      <c r="G691" s="1"/>
      <c r="H691" s="1"/>
      <c r="I691" s="55" t="s">
        <v>7</v>
      </c>
      <c r="J691" s="1"/>
      <c r="K691" s="1"/>
      <c r="L691" s="1"/>
      <c r="M691" s="55" t="s">
        <v>7</v>
      </c>
      <c r="N691" s="1"/>
      <c r="O691" s="1"/>
      <c r="P691" s="1"/>
      <c r="Q691" s="55" t="s">
        <v>7</v>
      </c>
      <c r="R691" s="55" t="s">
        <v>7</v>
      </c>
    </row>
    <row r="692" spans="1:18" ht="15.75" customHeight="1" x14ac:dyDescent="0.3">
      <c r="A692" s="15" t="s">
        <v>61</v>
      </c>
      <c r="B692" s="1"/>
      <c r="C692" s="1"/>
      <c r="D692" s="1"/>
      <c r="E692" s="55" t="s">
        <v>7</v>
      </c>
      <c r="F692" s="1"/>
      <c r="G692" s="1"/>
      <c r="H692" s="1"/>
      <c r="I692" s="55" t="s">
        <v>7</v>
      </c>
      <c r="J692" s="1"/>
      <c r="K692" s="1"/>
      <c r="L692" s="1"/>
      <c r="M692" s="55" t="s">
        <v>7</v>
      </c>
      <c r="N692" s="1"/>
      <c r="O692" s="1"/>
      <c r="P692" s="1"/>
      <c r="Q692" s="55" t="s">
        <v>7</v>
      </c>
      <c r="R692" s="55" t="s">
        <v>7</v>
      </c>
    </row>
    <row r="693" spans="1:18" ht="15.75" customHeight="1" thickBot="1" x14ac:dyDescent="0.35">
      <c r="A693" s="15" t="s">
        <v>62</v>
      </c>
      <c r="B693" s="1"/>
      <c r="C693" s="1"/>
      <c r="D693" s="1"/>
      <c r="E693" s="55" t="s">
        <v>7</v>
      </c>
      <c r="F693" s="1"/>
      <c r="G693" s="1"/>
      <c r="H693" s="1"/>
      <c r="I693" s="55" t="s">
        <v>7</v>
      </c>
      <c r="J693" s="1"/>
      <c r="K693" s="1"/>
      <c r="L693" s="1"/>
      <c r="M693" s="55" t="s">
        <v>7</v>
      </c>
      <c r="N693" s="1"/>
      <c r="O693" s="1"/>
      <c r="P693" s="1"/>
      <c r="Q693" s="55" t="s">
        <v>7</v>
      </c>
      <c r="R693" s="55" t="s">
        <v>7</v>
      </c>
    </row>
    <row r="694" spans="1:18" ht="16.5" customHeight="1" thickBot="1" x14ac:dyDescent="0.35">
      <c r="A694" s="57" t="s">
        <v>63</v>
      </c>
      <c r="B694" s="86">
        <f>SUM(B691:B693)</f>
        <v>0</v>
      </c>
      <c r="C694" s="87">
        <f>SUM(C691:C693)</f>
        <v>0</v>
      </c>
      <c r="D694" s="87">
        <f>SUM(D691:D693)</f>
        <v>0</v>
      </c>
      <c r="E694" s="59">
        <f>SUM(B694:D694)</f>
        <v>0</v>
      </c>
      <c r="F694" s="87">
        <f>SUM(F691:F693)</f>
        <v>0</v>
      </c>
      <c r="G694" s="87">
        <f>SUM(G691:G693)</f>
        <v>0</v>
      </c>
      <c r="H694" s="87">
        <f>SUM(H691:H693)</f>
        <v>0</v>
      </c>
      <c r="I694" s="59">
        <f>SUM(F694:H694)</f>
        <v>0</v>
      </c>
      <c r="J694" s="87">
        <f>SUM(J691:J693)</f>
        <v>0</v>
      </c>
      <c r="K694" s="87">
        <f>SUM(K691:K693)</f>
        <v>0</v>
      </c>
      <c r="L694" s="87">
        <f>SUM(L691:L693)</f>
        <v>0</v>
      </c>
      <c r="M694" s="59">
        <f>SUM(J694:L694)</f>
        <v>0</v>
      </c>
      <c r="N694" s="87">
        <f>SUM(N691:N693)</f>
        <v>0</v>
      </c>
      <c r="O694" s="87">
        <f>SUM(O691:O693)</f>
        <v>0</v>
      </c>
      <c r="P694" s="87">
        <f>SUM(P691:P693)</f>
        <v>0</v>
      </c>
      <c r="Q694" s="59">
        <f>SUM(N694:P694)</f>
        <v>0</v>
      </c>
      <c r="R694" s="59">
        <f>+E694+I694+M694+Q694</f>
        <v>0</v>
      </c>
    </row>
    <row r="695" spans="1:18" ht="15.75" customHeight="1" x14ac:dyDescent="0.3">
      <c r="A695" s="15" t="s">
        <v>64</v>
      </c>
      <c r="B695" s="1"/>
      <c r="C695" s="1"/>
      <c r="D695" s="1"/>
      <c r="E695" s="55" t="s">
        <v>7</v>
      </c>
      <c r="F695" s="1"/>
      <c r="G695" s="1"/>
      <c r="H695" s="1"/>
      <c r="I695" s="55" t="s">
        <v>7</v>
      </c>
      <c r="J695" s="1"/>
      <c r="K695" s="1"/>
      <c r="L695" s="1"/>
      <c r="M695" s="55" t="s">
        <v>7</v>
      </c>
      <c r="N695" s="1"/>
      <c r="O695" s="1"/>
      <c r="P695" s="1"/>
      <c r="Q695" s="55" t="s">
        <v>7</v>
      </c>
      <c r="R695" s="55" t="s">
        <v>7</v>
      </c>
    </row>
    <row r="696" spans="1:18" ht="15.75" customHeight="1" x14ac:dyDescent="0.3">
      <c r="A696" s="15" t="s">
        <v>594</v>
      </c>
      <c r="B696" s="1"/>
      <c r="C696" s="1"/>
      <c r="D696" s="1"/>
      <c r="E696" s="55" t="s">
        <v>7</v>
      </c>
      <c r="F696" s="1"/>
      <c r="G696" s="1"/>
      <c r="H696" s="1"/>
      <c r="I696" s="55" t="s">
        <v>7</v>
      </c>
      <c r="J696" s="1"/>
      <c r="K696" s="1"/>
      <c r="L696" s="1"/>
      <c r="M696" s="55" t="s">
        <v>7</v>
      </c>
      <c r="N696" s="1"/>
      <c r="O696" s="1"/>
      <c r="P696" s="1"/>
      <c r="Q696" s="55" t="s">
        <v>7</v>
      </c>
      <c r="R696" s="55" t="s">
        <v>7</v>
      </c>
    </row>
    <row r="697" spans="1:18" ht="15.75" customHeight="1" x14ac:dyDescent="0.3">
      <c r="A697" s="15" t="s">
        <v>67</v>
      </c>
      <c r="B697" s="1"/>
      <c r="C697" s="1"/>
      <c r="D697" s="1"/>
      <c r="E697" s="55" t="s">
        <v>7</v>
      </c>
      <c r="F697" s="1"/>
      <c r="G697" s="1"/>
      <c r="H697" s="1"/>
      <c r="I697" s="55" t="s">
        <v>7</v>
      </c>
      <c r="J697" s="1"/>
      <c r="K697" s="1"/>
      <c r="L697" s="1"/>
      <c r="M697" s="55" t="s">
        <v>7</v>
      </c>
      <c r="N697" s="1"/>
      <c r="O697" s="1"/>
      <c r="P697" s="1"/>
      <c r="Q697" s="55" t="s">
        <v>7</v>
      </c>
      <c r="R697" s="55" t="s">
        <v>7</v>
      </c>
    </row>
    <row r="698" spans="1:18" ht="15.75" customHeight="1" x14ac:dyDescent="0.3">
      <c r="A698" s="15" t="s">
        <v>600</v>
      </c>
      <c r="B698" s="1"/>
      <c r="C698" s="1"/>
      <c r="D698" s="1"/>
      <c r="E698" s="55" t="s">
        <v>7</v>
      </c>
      <c r="F698" s="1"/>
      <c r="G698" s="1"/>
      <c r="H698" s="1"/>
      <c r="I698" s="55" t="s">
        <v>7</v>
      </c>
      <c r="J698" s="1"/>
      <c r="K698" s="1"/>
      <c r="L698" s="1"/>
      <c r="M698" s="55" t="s">
        <v>7</v>
      </c>
      <c r="N698" s="1"/>
      <c r="O698" s="1"/>
      <c r="P698" s="1"/>
      <c r="Q698" s="55" t="s">
        <v>7</v>
      </c>
      <c r="R698" s="55" t="s">
        <v>7</v>
      </c>
    </row>
    <row r="699" spans="1:18" ht="15.75" customHeight="1" thickBot="1" x14ac:dyDescent="0.35">
      <c r="A699" s="15" t="s">
        <v>70</v>
      </c>
      <c r="B699" s="1"/>
      <c r="C699" s="1"/>
      <c r="D699" s="1"/>
      <c r="E699" s="55" t="s">
        <v>7</v>
      </c>
      <c r="F699" s="1"/>
      <c r="G699" s="1"/>
      <c r="H699" s="1"/>
      <c r="I699" s="55" t="s">
        <v>7</v>
      </c>
      <c r="J699" s="1"/>
      <c r="K699" s="1"/>
      <c r="L699" s="1"/>
      <c r="M699" s="55" t="s">
        <v>7</v>
      </c>
      <c r="N699" s="1"/>
      <c r="O699" s="1"/>
      <c r="P699" s="1"/>
      <c r="Q699" s="55" t="s">
        <v>7</v>
      </c>
      <c r="R699" s="55" t="s">
        <v>7</v>
      </c>
    </row>
    <row r="700" spans="1:18" ht="16.5" customHeight="1" thickBot="1" x14ac:dyDescent="0.35">
      <c r="A700" s="57" t="s">
        <v>71</v>
      </c>
      <c r="B700" s="58">
        <f>SUM(B698:B699)</f>
        <v>0</v>
      </c>
      <c r="C700" s="58">
        <f>SUM(C698:C699)</f>
        <v>0</v>
      </c>
      <c r="D700" s="58">
        <f>SUM(D698:D699)</f>
        <v>0</v>
      </c>
      <c r="E700" s="60">
        <f>SUM(B700:D700)</f>
        <v>0</v>
      </c>
      <c r="F700" s="58">
        <f>SUM(F698:F699)</f>
        <v>0</v>
      </c>
      <c r="G700" s="58">
        <f>SUM(G698:G699)</f>
        <v>0</v>
      </c>
      <c r="H700" s="58">
        <f>SUM(H698:H699)</f>
        <v>0</v>
      </c>
      <c r="I700" s="60">
        <f>SUM(F700:H700)</f>
        <v>0</v>
      </c>
      <c r="J700" s="58">
        <f>SUM(J698:J699)</f>
        <v>0</v>
      </c>
      <c r="K700" s="58">
        <f>SUM(K698:K699)</f>
        <v>0</v>
      </c>
      <c r="L700" s="58">
        <f>SUM(L698:L699)</f>
        <v>0</v>
      </c>
      <c r="M700" s="60">
        <f>SUM(J700:L700)</f>
        <v>0</v>
      </c>
      <c r="N700" s="58">
        <f>SUM(N698:N699)</f>
        <v>0</v>
      </c>
      <c r="O700" s="58">
        <f>SUM(O698:O699)</f>
        <v>0</v>
      </c>
      <c r="P700" s="58">
        <f>SUM(P698:P699)</f>
        <v>0</v>
      </c>
      <c r="Q700" s="60">
        <f>SUM(N700:P700)</f>
        <v>0</v>
      </c>
      <c r="R700" s="59">
        <f>+E700+I700+M700+Q700</f>
        <v>0</v>
      </c>
    </row>
    <row r="701" spans="1:18" ht="16.5" customHeight="1" thickBot="1" x14ac:dyDescent="0.35">
      <c r="A701" s="57" t="s">
        <v>72</v>
      </c>
      <c r="B701" s="86">
        <f>SUM(B695:B699)</f>
        <v>0</v>
      </c>
      <c r="C701" s="87">
        <f>SUM(C695:C699)</f>
        <v>0</v>
      </c>
      <c r="D701" s="118">
        <f>SUM(D695:D699)</f>
        <v>0</v>
      </c>
      <c r="E701" s="60">
        <f>SUM(B701:D701)</f>
        <v>0</v>
      </c>
      <c r="F701" s="87">
        <f>SUM(F695:F699)</f>
        <v>0</v>
      </c>
      <c r="G701" s="87">
        <f>SUM(G695:G699)</f>
        <v>0</v>
      </c>
      <c r="H701" s="87">
        <f>SUM(H695:H699)</f>
        <v>0</v>
      </c>
      <c r="I701" s="60">
        <f>SUM(F701:H701)</f>
        <v>0</v>
      </c>
      <c r="J701" s="87">
        <f>SUM(J695:J699)</f>
        <v>0</v>
      </c>
      <c r="K701" s="87">
        <f>SUM(K695:K699)</f>
        <v>0</v>
      </c>
      <c r="L701" s="87">
        <f>SUM(L695:L699)</f>
        <v>0</v>
      </c>
      <c r="M701" s="60">
        <f>SUM(J701:L701)</f>
        <v>0</v>
      </c>
      <c r="N701" s="87">
        <f>SUM(N695:N699)</f>
        <v>0</v>
      </c>
      <c r="O701" s="87">
        <f>SUM(O695:O699)</f>
        <v>0</v>
      </c>
      <c r="P701" s="87">
        <f>SUM(P695:P699)</f>
        <v>0</v>
      </c>
      <c r="Q701" s="60">
        <f>SUM(N701:P701)</f>
        <v>0</v>
      </c>
      <c r="R701" s="59">
        <f>+E701+I701+M701+Q701</f>
        <v>0</v>
      </c>
    </row>
    <row r="702" spans="1:18" ht="16.5" customHeight="1" thickBot="1" x14ac:dyDescent="0.35">
      <c r="A702" s="57" t="s">
        <v>73</v>
      </c>
      <c r="B702" s="90">
        <f>+B686+B690+B694+B701</f>
        <v>0</v>
      </c>
      <c r="C702" s="58">
        <f>+C686+C690+C694+C701</f>
        <v>0</v>
      </c>
      <c r="D702" s="58">
        <f>+D686+D690+D694+D701</f>
        <v>55</v>
      </c>
      <c r="E702" s="59">
        <f>SUM(B702:D702)</f>
        <v>55</v>
      </c>
      <c r="F702" s="58">
        <f>+F686+F690+F694+F701</f>
        <v>0</v>
      </c>
      <c r="G702" s="58">
        <f>+G686+G690+G694+G701</f>
        <v>0</v>
      </c>
      <c r="H702" s="58">
        <f>+H686+H690+H694+H701</f>
        <v>59</v>
      </c>
      <c r="I702" s="59">
        <f>SUM(F702:H702)</f>
        <v>59</v>
      </c>
      <c r="J702" s="58">
        <f>+J686+J690+J694+J701</f>
        <v>0</v>
      </c>
      <c r="K702" s="58">
        <f>+K686+K690+K694+K701</f>
        <v>0</v>
      </c>
      <c r="L702" s="58">
        <f>+L686+L690+L694+L701</f>
        <v>0</v>
      </c>
      <c r="M702" s="59">
        <f>SUM(J702:L702)</f>
        <v>0</v>
      </c>
      <c r="N702" s="58">
        <f>+N686+N690+N694+N701</f>
        <v>22</v>
      </c>
      <c r="O702" s="58">
        <f>+O686+O690+O694+O701</f>
        <v>0</v>
      </c>
      <c r="P702" s="58">
        <f>+P686+P690+P694+P701</f>
        <v>0</v>
      </c>
      <c r="Q702" s="59">
        <f>SUM(N702:P702)</f>
        <v>22</v>
      </c>
      <c r="R702" s="81">
        <f>+E702+I702+M702+Q702</f>
        <v>136</v>
      </c>
    </row>
    <row r="703" spans="1:18" ht="15.75" customHeight="1" x14ac:dyDescent="0.3">
      <c r="A703" s="71" t="s">
        <v>358</v>
      </c>
      <c r="B703" s="1">
        <v>1966</v>
      </c>
      <c r="C703" s="1">
        <v>3717</v>
      </c>
      <c r="D703" s="1">
        <v>5149</v>
      </c>
      <c r="E703" s="55">
        <f>SUM(B703:D703)</f>
        <v>10832</v>
      </c>
      <c r="F703" s="1">
        <v>5971</v>
      </c>
      <c r="G703" s="1">
        <v>6492</v>
      </c>
      <c r="H703" s="1">
        <v>5881</v>
      </c>
      <c r="I703" s="55">
        <f>SUM(F703:H703)</f>
        <v>18344</v>
      </c>
      <c r="J703" s="1">
        <v>5517</v>
      </c>
      <c r="K703" s="1">
        <v>5615</v>
      </c>
      <c r="L703" s="1">
        <v>4911</v>
      </c>
      <c r="M703" s="55">
        <f>SUM(J703:L703)</f>
        <v>16043</v>
      </c>
      <c r="N703" s="1">
        <v>4459</v>
      </c>
      <c r="O703" s="1">
        <v>3835</v>
      </c>
      <c r="P703" s="1">
        <v>4068</v>
      </c>
      <c r="Q703" s="55">
        <f>SUM(N703:P703)</f>
        <v>12362</v>
      </c>
      <c r="R703" s="55">
        <f>+E703+I703+M703+Q703</f>
        <v>57581</v>
      </c>
    </row>
    <row r="704" spans="1:18" ht="15.75" customHeight="1" thickBot="1" x14ac:dyDescent="0.35">
      <c r="A704" s="71" t="s">
        <v>40</v>
      </c>
      <c r="B704" s="1">
        <v>0</v>
      </c>
      <c r="C704" s="1">
        <v>0</v>
      </c>
      <c r="D704" s="1">
        <v>0</v>
      </c>
      <c r="E704" s="55">
        <f>SUM(B704:D704)</f>
        <v>0</v>
      </c>
      <c r="F704" s="1">
        <v>0</v>
      </c>
      <c r="G704" s="1">
        <v>0</v>
      </c>
      <c r="H704" s="1">
        <v>0</v>
      </c>
      <c r="I704" s="55">
        <f>SUM(F704:H704)</f>
        <v>0</v>
      </c>
      <c r="J704" s="1">
        <v>0</v>
      </c>
      <c r="K704" s="1">
        <v>0</v>
      </c>
      <c r="L704" s="1">
        <v>0</v>
      </c>
      <c r="M704" s="55">
        <f>SUM(J704:L704)</f>
        <v>0</v>
      </c>
      <c r="N704" s="1">
        <v>0</v>
      </c>
      <c r="O704" s="1">
        <v>0</v>
      </c>
      <c r="P704" s="1">
        <v>0</v>
      </c>
      <c r="Q704" s="55">
        <f>SUM(N704:P704)</f>
        <v>0</v>
      </c>
      <c r="R704" s="55">
        <f>+E704+I704+M704+Q704</f>
        <v>0</v>
      </c>
    </row>
    <row r="705" spans="1:20" ht="16.5" customHeight="1" thickBot="1" x14ac:dyDescent="0.35">
      <c r="A705" s="130"/>
      <c r="B705" s="51"/>
      <c r="C705" s="51"/>
      <c r="D705" s="51"/>
      <c r="E705" s="59" t="s">
        <v>7</v>
      </c>
      <c r="F705" s="51"/>
      <c r="G705" s="51"/>
      <c r="H705" s="51"/>
      <c r="I705" s="59" t="s">
        <v>7</v>
      </c>
      <c r="J705" s="51"/>
      <c r="K705" s="51"/>
      <c r="L705" s="51"/>
      <c r="M705" s="59" t="s">
        <v>7</v>
      </c>
      <c r="N705" s="51"/>
      <c r="O705" s="51"/>
      <c r="P705" s="51"/>
      <c r="Q705" s="59"/>
      <c r="R705" s="59"/>
    </row>
    <row r="706" spans="1:20" ht="15.75" customHeight="1" x14ac:dyDescent="0.3">
      <c r="A706" s="15" t="s">
        <v>41</v>
      </c>
      <c r="B706" s="1">
        <f>SUM(B702:B704)</f>
        <v>1966</v>
      </c>
      <c r="C706" s="1">
        <f>SUM(C702:C704)</f>
        <v>3717</v>
      </c>
      <c r="D706" s="1">
        <f>SUM(D702:D704)</f>
        <v>5204</v>
      </c>
      <c r="E706" s="60">
        <f>SUM(B706:D706)</f>
        <v>10887</v>
      </c>
      <c r="F706" s="1">
        <f>SUM(F702:F704)</f>
        <v>5971</v>
      </c>
      <c r="G706" s="1">
        <f>SUM(G702:G704)</f>
        <v>6492</v>
      </c>
      <c r="H706" s="1">
        <f>SUM(H702:H704)</f>
        <v>5940</v>
      </c>
      <c r="I706" s="60">
        <f>SUM(F706:H706)</f>
        <v>18403</v>
      </c>
      <c r="J706" s="1">
        <f>SUM(J702:J704)</f>
        <v>5517</v>
      </c>
      <c r="K706" s="1">
        <f>SUM(K702:K704)</f>
        <v>5615</v>
      </c>
      <c r="L706" s="1">
        <f>SUM(L702:L704)</f>
        <v>4911</v>
      </c>
      <c r="M706" s="60">
        <f>SUM(J706:L706)</f>
        <v>16043</v>
      </c>
      <c r="N706" s="1">
        <f>SUM(N702:N704)</f>
        <v>4481</v>
      </c>
      <c r="O706" s="1">
        <f>SUM(O702:O704)</f>
        <v>3835</v>
      </c>
      <c r="P706" s="1">
        <f>SUM(P702:P704)</f>
        <v>4068</v>
      </c>
      <c r="Q706" s="60">
        <f>SUM(N706:P706)</f>
        <v>12384</v>
      </c>
      <c r="R706" s="60">
        <f>+E706+I706+M706+Q706</f>
        <v>57717</v>
      </c>
    </row>
    <row r="707" spans="1:20" ht="15.75" customHeight="1" x14ac:dyDescent="0.3">
      <c r="A707" s="15" t="s">
        <v>42</v>
      </c>
      <c r="B707" s="1">
        <f>(B706/B10)/1.983</f>
        <v>31.981520342264083</v>
      </c>
      <c r="C707" s="1">
        <f>(C706/C10)/1.983</f>
        <v>66.94402420574886</v>
      </c>
      <c r="D707" s="1">
        <f>(D706/D10)/1.983</f>
        <v>84.655051811364331</v>
      </c>
      <c r="E707" s="55" t="s">
        <v>7</v>
      </c>
      <c r="F707" s="1">
        <f>(F706/F10)/1.983</f>
        <v>100.3698100521096</v>
      </c>
      <c r="G707" s="1">
        <f>(G706/G10)/1.983</f>
        <v>105.60733980772045</v>
      </c>
      <c r="H707" s="1">
        <f>(H706/H10)/1.983</f>
        <v>99.848714069591523</v>
      </c>
      <c r="I707" s="55" t="s">
        <v>7</v>
      </c>
      <c r="J707" s="1">
        <f>(J706/J10)/1.983</f>
        <v>89.746718071348397</v>
      </c>
      <c r="K707" s="1">
        <f>(K706/K10)/1.983</f>
        <v>91.340913897158089</v>
      </c>
      <c r="L707" s="1">
        <f>(L706/L10)/1.983</f>
        <v>82.551689359556221</v>
      </c>
      <c r="M707" s="55" t="s">
        <v>7</v>
      </c>
      <c r="N707" s="1">
        <f>(N706/N10)/1.983</f>
        <v>72.893790769931513</v>
      </c>
      <c r="O707" s="1">
        <f>(O706/O10)/1.983</f>
        <v>64.464615901832232</v>
      </c>
      <c r="P707" s="1">
        <f>(P706/P10)/1.983</f>
        <v>66.175394075447755</v>
      </c>
      <c r="Q707" s="55" t="s">
        <v>7</v>
      </c>
      <c r="R707" s="55" t="s">
        <v>7</v>
      </c>
    </row>
    <row r="708" spans="1:20" ht="15.75" customHeight="1" x14ac:dyDescent="0.3">
      <c r="A708" s="15" t="s">
        <v>359</v>
      </c>
      <c r="B708" s="1">
        <f>B706</f>
        <v>1966</v>
      </c>
      <c r="C708" s="1">
        <f>C706</f>
        <v>3717</v>
      </c>
      <c r="D708" s="1">
        <f>D706</f>
        <v>5204</v>
      </c>
      <c r="E708" s="55">
        <f>SUM(B708:D708)</f>
        <v>10887</v>
      </c>
      <c r="F708" s="1">
        <f>F706</f>
        <v>5971</v>
      </c>
      <c r="G708" s="1">
        <f>G706</f>
        <v>6492</v>
      </c>
      <c r="H708" s="1">
        <f>H706</f>
        <v>5940</v>
      </c>
      <c r="I708" s="55">
        <f>SUM(F708:H708)</f>
        <v>18403</v>
      </c>
      <c r="J708" s="1">
        <f>J706</f>
        <v>5517</v>
      </c>
      <c r="K708" s="1">
        <f>K706</f>
        <v>5615</v>
      </c>
      <c r="L708" s="1">
        <f>L706</f>
        <v>4911</v>
      </c>
      <c r="M708" s="55">
        <f>SUM(J708:L708)</f>
        <v>16043</v>
      </c>
      <c r="N708" s="1">
        <f>N706</f>
        <v>4481</v>
      </c>
      <c r="O708" s="1">
        <f>O706</f>
        <v>3835</v>
      </c>
      <c r="P708" s="1">
        <f>P706</f>
        <v>4068</v>
      </c>
      <c r="Q708" s="55">
        <f>SUM(N708:P708)</f>
        <v>12384</v>
      </c>
      <c r="R708" s="55">
        <f>+E708+I708+M708+Q708</f>
        <v>57717</v>
      </c>
    </row>
    <row r="709" spans="1:20" ht="16.5" customHeight="1" thickBot="1" x14ac:dyDescent="0.35">
      <c r="A709" s="20" t="s">
        <v>360</v>
      </c>
      <c r="B709" s="21">
        <f>(B708/B10)/1.983</f>
        <v>31.981520342264083</v>
      </c>
      <c r="C709" s="21">
        <f>(C708/C10)/1.983</f>
        <v>66.94402420574886</v>
      </c>
      <c r="D709" s="21">
        <f>(D708/D10)/1.983</f>
        <v>84.655051811364331</v>
      </c>
      <c r="E709" s="81" t="s">
        <v>7</v>
      </c>
      <c r="F709" s="21">
        <f>(F708/F10)/1.983</f>
        <v>100.3698100521096</v>
      </c>
      <c r="G709" s="21">
        <f>(G708/G10)/1.983</f>
        <v>105.60733980772045</v>
      </c>
      <c r="H709" s="21">
        <f>(H708/H10)/1.983</f>
        <v>99.848714069591523</v>
      </c>
      <c r="I709" s="81" t="s">
        <v>7</v>
      </c>
      <c r="J709" s="21">
        <f>(J708/J10)/1.983</f>
        <v>89.746718071348397</v>
      </c>
      <c r="K709" s="21">
        <f>(K708/K10)/1.983</f>
        <v>91.340913897158089</v>
      </c>
      <c r="L709" s="21">
        <f>(L708/L10)/1.983</f>
        <v>82.551689359556221</v>
      </c>
      <c r="M709" s="81" t="s">
        <v>7</v>
      </c>
      <c r="N709" s="21">
        <f>(N708/N10)/1.983</f>
        <v>72.893790769931513</v>
      </c>
      <c r="O709" s="21">
        <f>(O708/O10)/1.983</f>
        <v>64.464615901832232</v>
      </c>
      <c r="P709" s="21">
        <f>(P708/P10)/1.983</f>
        <v>66.175394075447755</v>
      </c>
      <c r="Q709" s="81" t="s">
        <v>7</v>
      </c>
      <c r="R709" s="81" t="s">
        <v>7</v>
      </c>
    </row>
    <row r="710" spans="1:20" ht="15.75" customHeight="1" x14ac:dyDescent="0.3">
      <c r="A710" s="2"/>
      <c r="B710" s="1"/>
      <c r="C710" s="1"/>
      <c r="D710" s="1"/>
      <c r="E710" s="1"/>
      <c r="F710" s="1"/>
      <c r="G710" s="1"/>
      <c r="H710" s="1"/>
      <c r="I710" s="1"/>
      <c r="J710" s="1"/>
      <c r="K710" s="1"/>
      <c r="L710" s="1"/>
      <c r="M710" s="1"/>
      <c r="N710" s="1"/>
      <c r="O710" s="1"/>
      <c r="P710" s="1"/>
      <c r="Q710" s="1"/>
      <c r="R710" s="2"/>
    </row>
    <row r="711" spans="1:20" ht="15.75" customHeight="1" thickBot="1" x14ac:dyDescent="0.35">
      <c r="A711" s="2"/>
      <c r="B711" s="1"/>
      <c r="C711" s="1"/>
      <c r="D711" s="1"/>
      <c r="E711" s="1"/>
      <c r="F711" s="1"/>
      <c r="G711" s="1"/>
      <c r="H711" s="1"/>
      <c r="I711" s="1"/>
      <c r="J711" s="1"/>
      <c r="K711" s="1"/>
      <c r="L711" s="1"/>
      <c r="M711" s="1"/>
      <c r="N711" s="1"/>
      <c r="O711" s="1"/>
      <c r="P711" s="1"/>
      <c r="Q711" s="1"/>
      <c r="R711" s="2"/>
    </row>
    <row r="712" spans="1:20" ht="16.5" customHeight="1" thickBot="1" x14ac:dyDescent="0.35">
      <c r="A712" s="124" t="s">
        <v>361</v>
      </c>
      <c r="B712" s="30" t="s">
        <v>8</v>
      </c>
      <c r="C712" s="31" t="s">
        <v>9</v>
      </c>
      <c r="D712" s="31" t="s">
        <v>10</v>
      </c>
      <c r="E712" s="32" t="s">
        <v>11</v>
      </c>
      <c r="F712" s="31" t="s">
        <v>12</v>
      </c>
      <c r="G712" s="31" t="s">
        <v>13</v>
      </c>
      <c r="H712" s="31" t="s">
        <v>14</v>
      </c>
      <c r="I712" s="33" t="s">
        <v>15</v>
      </c>
      <c r="J712" s="31" t="s">
        <v>16</v>
      </c>
      <c r="K712" s="31" t="s">
        <v>17</v>
      </c>
      <c r="L712" s="31" t="s">
        <v>18</v>
      </c>
      <c r="M712" s="33" t="s">
        <v>19</v>
      </c>
      <c r="N712" s="31" t="s">
        <v>20</v>
      </c>
      <c r="O712" s="31" t="s">
        <v>21</v>
      </c>
      <c r="P712" s="31" t="s">
        <v>22</v>
      </c>
      <c r="Q712" s="33" t="s">
        <v>23</v>
      </c>
      <c r="R712" s="133" t="s">
        <v>24</v>
      </c>
    </row>
    <row r="713" spans="1:20" ht="16.5" customHeight="1" thickBot="1" x14ac:dyDescent="0.35">
      <c r="A713" s="41"/>
      <c r="B713" s="36"/>
      <c r="C713" s="36"/>
      <c r="D713" s="36"/>
      <c r="E713" s="52"/>
      <c r="F713" s="36"/>
      <c r="G713" s="36"/>
      <c r="H713" s="36"/>
      <c r="I713" s="132"/>
      <c r="J713" s="36"/>
      <c r="K713" s="36"/>
      <c r="L713" s="36"/>
      <c r="M713" s="132"/>
      <c r="N713" s="36"/>
      <c r="O713" s="36"/>
      <c r="P713" s="36"/>
      <c r="Q713" s="134"/>
      <c r="R713" s="135"/>
    </row>
    <row r="714" spans="1:20" ht="15.75" customHeight="1" x14ac:dyDescent="0.3">
      <c r="A714" s="15" t="s">
        <v>48</v>
      </c>
      <c r="B714" s="1" t="s">
        <v>7</v>
      </c>
      <c r="C714" s="1" t="s">
        <v>7</v>
      </c>
      <c r="D714" s="1" t="s">
        <v>7</v>
      </c>
      <c r="E714" s="136"/>
      <c r="F714" s="1" t="s">
        <v>7</v>
      </c>
      <c r="G714" s="1" t="s">
        <v>7</v>
      </c>
      <c r="H714" s="1" t="s">
        <v>7</v>
      </c>
      <c r="I714" s="136"/>
      <c r="J714" s="1" t="s">
        <v>7</v>
      </c>
      <c r="K714" s="1" t="s">
        <v>7</v>
      </c>
      <c r="L714" s="1" t="s">
        <v>7</v>
      </c>
      <c r="M714" s="136"/>
      <c r="N714" s="1" t="s">
        <v>7</v>
      </c>
      <c r="O714" s="1" t="s">
        <v>7</v>
      </c>
      <c r="P714" s="1" t="s">
        <v>7</v>
      </c>
      <c r="Q714" s="137"/>
      <c r="R714" s="138" t="s">
        <v>7</v>
      </c>
    </row>
    <row r="715" spans="1:20" ht="15.75" customHeight="1" x14ac:dyDescent="0.3">
      <c r="A715" s="15" t="s">
        <v>49</v>
      </c>
      <c r="B715" s="1"/>
      <c r="C715" s="1"/>
      <c r="D715" s="1"/>
      <c r="E715" s="55" t="s">
        <v>7</v>
      </c>
      <c r="F715" s="1"/>
      <c r="G715" s="1"/>
      <c r="H715" s="1"/>
      <c r="I715" s="55" t="s">
        <v>7</v>
      </c>
      <c r="J715" s="1"/>
      <c r="K715" s="1"/>
      <c r="L715" s="1"/>
      <c r="M715" s="55" t="s">
        <v>7</v>
      </c>
      <c r="N715" s="1"/>
      <c r="O715" s="1"/>
      <c r="P715" s="1"/>
      <c r="Q715" s="55" t="s">
        <v>7</v>
      </c>
      <c r="R715" s="55" t="s">
        <v>7</v>
      </c>
    </row>
    <row r="716" spans="1:20" ht="15.75" customHeight="1" x14ac:dyDescent="0.3">
      <c r="A716" s="71" t="s">
        <v>362</v>
      </c>
      <c r="B716" s="1"/>
      <c r="C716" s="1"/>
      <c r="D716" s="1"/>
      <c r="E716" s="55">
        <f>SUM(B716:D716)</f>
        <v>0</v>
      </c>
      <c r="F716" s="1"/>
      <c r="G716" s="1"/>
      <c r="H716" s="1"/>
      <c r="I716" s="55">
        <f>SUM(F716:H716)</f>
        <v>0</v>
      </c>
      <c r="J716" s="1"/>
      <c r="K716" s="1"/>
      <c r="L716" s="1"/>
      <c r="M716" s="55">
        <f>SUM(J716:L716)</f>
        <v>0</v>
      </c>
      <c r="N716" s="1"/>
      <c r="O716" s="1"/>
      <c r="P716" s="1"/>
      <c r="Q716" s="55">
        <f>SUM(N716:P716)</f>
        <v>0</v>
      </c>
      <c r="R716" s="55">
        <f>+E716+I716+M716+Q716</f>
        <v>0</v>
      </c>
      <c r="T716" s="4" t="s">
        <v>1005</v>
      </c>
    </row>
    <row r="717" spans="1:20" ht="15.75" customHeight="1" x14ac:dyDescent="0.3">
      <c r="A717" s="71" t="s">
        <v>368</v>
      </c>
      <c r="B717" s="1"/>
      <c r="C717" s="1"/>
      <c r="D717" s="1">
        <v>500</v>
      </c>
      <c r="E717" s="55">
        <f>SUM(B717:D717)</f>
        <v>500</v>
      </c>
      <c r="F717" s="1"/>
      <c r="G717" s="1"/>
      <c r="H717" s="1"/>
      <c r="I717" s="55">
        <f>SUM(F717:H717)</f>
        <v>0</v>
      </c>
      <c r="J717" s="1"/>
      <c r="K717" s="1"/>
      <c r="L717" s="1"/>
      <c r="M717" s="55">
        <f>SUM(J717:L717)</f>
        <v>0</v>
      </c>
      <c r="N717" s="1"/>
      <c r="O717" s="1"/>
      <c r="P717" s="1"/>
      <c r="Q717" s="55">
        <f>SUM(N717:P717)</f>
        <v>0</v>
      </c>
      <c r="R717" s="55">
        <f>+E717+I717+M717+Q717</f>
        <v>500</v>
      </c>
    </row>
    <row r="718" spans="1:20" ht="15.75" customHeight="1" x14ac:dyDescent="0.3">
      <c r="A718" s="71" t="s">
        <v>1006</v>
      </c>
      <c r="B718" s="1">
        <v>50</v>
      </c>
      <c r="C718" s="1"/>
      <c r="D718" s="1"/>
      <c r="E718" s="55">
        <f>SUM(B718:D718)</f>
        <v>50</v>
      </c>
      <c r="F718" s="1"/>
      <c r="G718" s="1"/>
      <c r="H718" s="1"/>
      <c r="I718" s="55">
        <f>SUM(F718:H718)</f>
        <v>0</v>
      </c>
      <c r="J718" s="1"/>
      <c r="K718" s="1"/>
      <c r="L718" s="1"/>
      <c r="M718" s="55">
        <f>SUM(J718:L718)</f>
        <v>0</v>
      </c>
      <c r="N718" s="1"/>
      <c r="O718" s="1"/>
      <c r="P718" s="1"/>
      <c r="Q718" s="55">
        <f>SUM(N718:P718)</f>
        <v>0</v>
      </c>
      <c r="R718" s="55">
        <f>+E718+I718+M718+Q718</f>
        <v>50</v>
      </c>
    </row>
    <row r="719" spans="1:20" ht="15.75" customHeight="1" x14ac:dyDescent="0.3">
      <c r="A719" s="71" t="s">
        <v>664</v>
      </c>
      <c r="B719" s="1">
        <v>115</v>
      </c>
      <c r="C719" s="1">
        <v>2583</v>
      </c>
      <c r="D719" s="1">
        <v>2088</v>
      </c>
      <c r="E719" s="55">
        <f>SUM(B719:D719)</f>
        <v>4786</v>
      </c>
      <c r="F719" s="1">
        <v>2428</v>
      </c>
      <c r="G719" s="1">
        <v>1568</v>
      </c>
      <c r="H719" s="1">
        <v>2117</v>
      </c>
      <c r="I719" s="55">
        <f>SUM(F719:H719)</f>
        <v>6113</v>
      </c>
      <c r="J719" s="1">
        <v>1862</v>
      </c>
      <c r="K719" s="1">
        <v>2709</v>
      </c>
      <c r="L719" s="1">
        <v>1030</v>
      </c>
      <c r="M719" s="55">
        <f>SUM(J719:L719)</f>
        <v>5601</v>
      </c>
      <c r="N719" s="1"/>
      <c r="O719" s="1"/>
      <c r="P719" s="1"/>
      <c r="Q719" s="55">
        <f>SUM(N719:P719)</f>
        <v>0</v>
      </c>
      <c r="R719" s="55">
        <f>+E719+I719+M719+Q719</f>
        <v>16500</v>
      </c>
    </row>
    <row r="720" spans="1:20" ht="15.75" customHeight="1" x14ac:dyDescent="0.3">
      <c r="A720" s="15" t="s">
        <v>50</v>
      </c>
      <c r="B720" s="1"/>
      <c r="C720" s="1"/>
      <c r="D720" s="1"/>
      <c r="E720" s="55" t="s">
        <v>7</v>
      </c>
      <c r="F720" s="1"/>
      <c r="G720" s="1"/>
      <c r="H720" s="1"/>
      <c r="I720" s="55" t="s">
        <v>7</v>
      </c>
      <c r="J720" s="1"/>
      <c r="K720" s="1"/>
      <c r="L720" s="1"/>
      <c r="M720" s="55" t="s">
        <v>7</v>
      </c>
      <c r="N720" s="1"/>
      <c r="O720" s="1"/>
      <c r="P720" s="1"/>
      <c r="Q720" s="55" t="s">
        <v>7</v>
      </c>
      <c r="R720" s="55" t="s">
        <v>7</v>
      </c>
    </row>
    <row r="721" spans="1:20" ht="15.75" customHeight="1" x14ac:dyDescent="0.3">
      <c r="A721" s="15" t="s">
        <v>51</v>
      </c>
      <c r="B721" s="1"/>
      <c r="C721" s="1"/>
      <c r="D721" s="1"/>
      <c r="E721" s="55" t="s">
        <v>7</v>
      </c>
      <c r="F721" s="1"/>
      <c r="G721" s="1"/>
      <c r="H721" s="1"/>
      <c r="I721" s="55" t="s">
        <v>7</v>
      </c>
      <c r="J721" s="1"/>
      <c r="K721" s="1"/>
      <c r="L721" s="1"/>
      <c r="M721" s="55" t="s">
        <v>7</v>
      </c>
      <c r="N721" s="1"/>
      <c r="O721" s="1"/>
      <c r="P721" s="1"/>
      <c r="Q721" s="55" t="s">
        <v>7</v>
      </c>
      <c r="R721" s="55" t="s">
        <v>7</v>
      </c>
    </row>
    <row r="722" spans="1:20" ht="15.75" customHeight="1" x14ac:dyDescent="0.3">
      <c r="A722" s="71" t="s">
        <v>366</v>
      </c>
      <c r="B722" s="1"/>
      <c r="C722" s="1"/>
      <c r="D722" s="1"/>
      <c r="E722" s="55">
        <f>SUM(B722:D722)</f>
        <v>0</v>
      </c>
      <c r="F722" s="1"/>
      <c r="G722" s="1"/>
      <c r="H722" s="1"/>
      <c r="I722" s="55">
        <f>SUM(F722:H722)</f>
        <v>0</v>
      </c>
      <c r="J722" s="1"/>
      <c r="K722" s="1"/>
      <c r="L722" s="1">
        <v>288</v>
      </c>
      <c r="M722" s="55">
        <f>SUM(J722:L722)</f>
        <v>288</v>
      </c>
      <c r="N722" s="1">
        <v>1106</v>
      </c>
      <c r="O722" s="1"/>
      <c r="P722" s="1"/>
      <c r="Q722" s="55">
        <f>SUM(N722:P722)</f>
        <v>1106</v>
      </c>
      <c r="R722" s="55">
        <f>+E722+I722+M722+Q722</f>
        <v>1394</v>
      </c>
    </row>
    <row r="723" spans="1:20" ht="15.75" customHeight="1" thickBot="1" x14ac:dyDescent="0.35">
      <c r="A723" s="15" t="s">
        <v>53</v>
      </c>
      <c r="B723" s="1"/>
      <c r="C723" s="1"/>
      <c r="D723" s="1"/>
      <c r="E723" s="55" t="s">
        <v>7</v>
      </c>
      <c r="F723" s="1"/>
      <c r="G723" s="1"/>
      <c r="H723" s="1"/>
      <c r="I723" s="55" t="s">
        <v>7</v>
      </c>
      <c r="J723" s="1"/>
      <c r="K723" s="1"/>
      <c r="L723" s="1"/>
      <c r="M723" s="55" t="s">
        <v>7</v>
      </c>
      <c r="N723" s="1"/>
      <c r="O723" s="1"/>
      <c r="P723" s="1"/>
      <c r="Q723" s="55" t="s">
        <v>7</v>
      </c>
      <c r="R723" s="55" t="s">
        <v>7</v>
      </c>
    </row>
    <row r="724" spans="1:20" ht="16.5" customHeight="1" thickBot="1" x14ac:dyDescent="0.35">
      <c r="A724" s="57" t="s">
        <v>54</v>
      </c>
      <c r="B724" s="86">
        <f>SUM(B714:B723)</f>
        <v>165</v>
      </c>
      <c r="C724" s="87">
        <f>SUM(C714:C723)</f>
        <v>2583</v>
      </c>
      <c r="D724" s="87">
        <f>SUM(D714:D723)</f>
        <v>2588</v>
      </c>
      <c r="E724" s="59">
        <f>SUM(B724:D724)</f>
        <v>5336</v>
      </c>
      <c r="F724" s="87">
        <f>SUM(F714:F723)</f>
        <v>2428</v>
      </c>
      <c r="G724" s="87">
        <f>SUM(G714:G723)</f>
        <v>1568</v>
      </c>
      <c r="H724" s="87">
        <f>SUM(H714:H723)</f>
        <v>2117</v>
      </c>
      <c r="I724" s="59">
        <f>SUM(F724:H724)</f>
        <v>6113</v>
      </c>
      <c r="J724" s="87">
        <f>SUM(J714:J723)</f>
        <v>1862</v>
      </c>
      <c r="K724" s="87">
        <f>SUM(K714:K723)</f>
        <v>2709</v>
      </c>
      <c r="L724" s="87">
        <f>SUM(L714:L723)</f>
        <v>1318</v>
      </c>
      <c r="M724" s="59">
        <f>SUM(J724:L724)</f>
        <v>5889</v>
      </c>
      <c r="N724" s="87">
        <f>SUM(N714:N723)</f>
        <v>1106</v>
      </c>
      <c r="O724" s="87">
        <f>SUM(O714:O723)</f>
        <v>0</v>
      </c>
      <c r="P724" s="87">
        <f>SUM(P714:P723)</f>
        <v>0</v>
      </c>
      <c r="Q724" s="59">
        <f>SUM(N724:P724)</f>
        <v>1106</v>
      </c>
      <c r="R724" s="59">
        <f>+E724+I724+M724+Q724</f>
        <v>18444</v>
      </c>
    </row>
    <row r="725" spans="1:20" ht="15.75" customHeight="1" x14ac:dyDescent="0.3">
      <c r="A725" s="15" t="s">
        <v>55</v>
      </c>
      <c r="B725" s="1"/>
      <c r="C725" s="1"/>
      <c r="D725" s="1"/>
      <c r="E725" s="55" t="s">
        <v>7</v>
      </c>
      <c r="F725" s="1"/>
      <c r="G725" s="1"/>
      <c r="H725" s="1"/>
      <c r="I725" s="55" t="s">
        <v>7</v>
      </c>
      <c r="J725" s="1"/>
      <c r="K725" s="1"/>
      <c r="L725" s="1"/>
      <c r="M725" s="55" t="s">
        <v>7</v>
      </c>
      <c r="N725" s="1"/>
      <c r="O725" s="1"/>
      <c r="P725" s="1"/>
      <c r="Q725" s="55" t="s">
        <v>7</v>
      </c>
      <c r="R725" s="55" t="s">
        <v>7</v>
      </c>
    </row>
    <row r="726" spans="1:20" ht="15.75" customHeight="1" x14ac:dyDescent="0.3">
      <c r="A726" s="15" t="s">
        <v>57</v>
      </c>
      <c r="B726" s="1"/>
      <c r="C726" s="1"/>
      <c r="D726" s="1"/>
      <c r="E726" s="55" t="s">
        <v>7</v>
      </c>
      <c r="F726" s="1"/>
      <c r="G726" s="1"/>
      <c r="H726" s="1"/>
      <c r="I726" s="55" t="s">
        <v>7</v>
      </c>
      <c r="J726" s="1"/>
      <c r="K726" s="1"/>
      <c r="L726" s="1"/>
      <c r="M726" s="55" t="s">
        <v>7</v>
      </c>
      <c r="N726" s="1"/>
      <c r="O726" s="1"/>
      <c r="P726" s="1"/>
      <c r="Q726" s="55" t="s">
        <v>7</v>
      </c>
      <c r="R726" s="55" t="s">
        <v>7</v>
      </c>
    </row>
    <row r="727" spans="1:20" ht="15.75" customHeight="1" x14ac:dyDescent="0.3">
      <c r="A727" s="71" t="s">
        <v>781</v>
      </c>
      <c r="B727" s="1"/>
      <c r="C727" s="1"/>
      <c r="D727" s="1"/>
      <c r="E727" s="55">
        <f>SUM(B727:D727)</f>
        <v>0</v>
      </c>
      <c r="F727" s="1"/>
      <c r="G727" s="1"/>
      <c r="H727" s="1"/>
      <c r="I727" s="55">
        <f>SUM(F727:H727)</f>
        <v>0</v>
      </c>
      <c r="J727" s="1"/>
      <c r="K727" s="1"/>
      <c r="L727" s="1"/>
      <c r="M727" s="55">
        <f>SUM(J727:L727)</f>
        <v>0</v>
      </c>
      <c r="N727" s="1"/>
      <c r="O727" s="1"/>
      <c r="P727" s="1"/>
      <c r="Q727" s="55">
        <f>SUM(N727:P727)</f>
        <v>0</v>
      </c>
      <c r="R727" s="55">
        <f>+E727+I727+M727+Q727</f>
        <v>0</v>
      </c>
    </row>
    <row r="728" spans="1:20" ht="15.75" customHeight="1" thickBot="1" x14ac:dyDescent="0.35">
      <c r="A728" s="15" t="s">
        <v>58</v>
      </c>
      <c r="B728" s="1"/>
      <c r="C728" s="1"/>
      <c r="D728" s="1"/>
      <c r="E728" s="55" t="s">
        <v>7</v>
      </c>
      <c r="F728" s="1"/>
      <c r="G728" s="1"/>
      <c r="H728" s="1"/>
      <c r="I728" s="55" t="s">
        <v>7</v>
      </c>
      <c r="J728" s="1"/>
      <c r="K728" s="1"/>
      <c r="L728" s="1"/>
      <c r="M728" s="55" t="s">
        <v>7</v>
      </c>
      <c r="N728" s="1"/>
      <c r="O728" s="1"/>
      <c r="P728" s="1"/>
      <c r="Q728" s="55" t="s">
        <v>7</v>
      </c>
      <c r="R728" s="55" t="s">
        <v>7</v>
      </c>
    </row>
    <row r="729" spans="1:20" ht="16.5" customHeight="1" thickBot="1" x14ac:dyDescent="0.35">
      <c r="A729" s="57" t="s">
        <v>59</v>
      </c>
      <c r="B729" s="86">
        <f>SUM(B725:B728)</f>
        <v>0</v>
      </c>
      <c r="C729" s="87">
        <f>SUM(C725:C728)</f>
        <v>0</v>
      </c>
      <c r="D729" s="87">
        <f>SUM(D725:D728)</f>
        <v>0</v>
      </c>
      <c r="E729" s="59">
        <f>SUM(B729:D729)</f>
        <v>0</v>
      </c>
      <c r="F729" s="87">
        <f>SUM(F725:F728)</f>
        <v>0</v>
      </c>
      <c r="G729" s="87">
        <f>SUM(G725:G728)</f>
        <v>0</v>
      </c>
      <c r="H729" s="87">
        <f>SUM(H725:H728)</f>
        <v>0</v>
      </c>
      <c r="I729" s="59">
        <f>SUM(F729:H729)</f>
        <v>0</v>
      </c>
      <c r="J729" s="87">
        <f>SUM(J725:J728)</f>
        <v>0</v>
      </c>
      <c r="K729" s="87">
        <f>SUM(K725:K728)</f>
        <v>0</v>
      </c>
      <c r="L729" s="87">
        <f>SUM(L725:L728)</f>
        <v>0</v>
      </c>
      <c r="M729" s="59">
        <f>SUM(J729:L729)</f>
        <v>0</v>
      </c>
      <c r="N729" s="87">
        <f>SUM(N725:N728)</f>
        <v>0</v>
      </c>
      <c r="O729" s="87">
        <f>SUM(O725:O728)</f>
        <v>0</v>
      </c>
      <c r="P729" s="87">
        <f>SUM(P725:P728)</f>
        <v>0</v>
      </c>
      <c r="Q729" s="59">
        <f>SUM(N729:P729)</f>
        <v>0</v>
      </c>
      <c r="R729" s="59">
        <f>+E729+I729+M729+Q729</f>
        <v>0</v>
      </c>
    </row>
    <row r="730" spans="1:20" ht="15.75" customHeight="1" x14ac:dyDescent="0.3">
      <c r="A730" s="15" t="s">
        <v>60</v>
      </c>
      <c r="B730" s="1"/>
      <c r="C730" s="1"/>
      <c r="D730" s="1"/>
      <c r="E730" s="55" t="s">
        <v>7</v>
      </c>
      <c r="F730" s="1"/>
      <c r="G730" s="1"/>
      <c r="H730" s="1"/>
      <c r="I730" s="55" t="s">
        <v>7</v>
      </c>
      <c r="J730" s="1" t="s">
        <v>7</v>
      </c>
      <c r="K730" s="1"/>
      <c r="L730" s="1"/>
      <c r="M730" s="55" t="s">
        <v>7</v>
      </c>
      <c r="N730" s="1"/>
      <c r="O730" s="1"/>
      <c r="P730" s="1"/>
      <c r="Q730" s="55" t="s">
        <v>7</v>
      </c>
      <c r="R730" s="55" t="s">
        <v>7</v>
      </c>
    </row>
    <row r="731" spans="1:20" ht="18" customHeight="1" x14ac:dyDescent="0.3">
      <c r="A731" s="15" t="s">
        <v>61</v>
      </c>
      <c r="B731" s="1"/>
      <c r="C731" s="1"/>
      <c r="D731" s="1"/>
      <c r="E731" s="55" t="s">
        <v>7</v>
      </c>
      <c r="F731" s="1"/>
      <c r="G731" s="1"/>
      <c r="H731" s="1"/>
      <c r="I731" s="55" t="s">
        <v>7</v>
      </c>
      <c r="J731" s="1"/>
      <c r="K731" s="1"/>
      <c r="L731" s="1"/>
      <c r="M731" s="55" t="s">
        <v>7</v>
      </c>
      <c r="N731" s="1"/>
      <c r="O731" s="1"/>
      <c r="P731" s="1"/>
      <c r="Q731" s="55" t="s">
        <v>7</v>
      </c>
      <c r="R731" s="55" t="s">
        <v>7</v>
      </c>
    </row>
    <row r="732" spans="1:20" ht="15.75" customHeight="1" x14ac:dyDescent="0.3">
      <c r="A732" s="71" t="s">
        <v>1007</v>
      </c>
      <c r="B732" s="1">
        <v>175</v>
      </c>
      <c r="C732" s="1">
        <v>241</v>
      </c>
      <c r="D732" s="1">
        <v>676</v>
      </c>
      <c r="E732" s="55">
        <f>SUM(B732:D732)</f>
        <v>1092</v>
      </c>
      <c r="F732" s="1">
        <v>832</v>
      </c>
      <c r="G732" s="1">
        <v>898</v>
      </c>
      <c r="H732" s="1">
        <v>1186</v>
      </c>
      <c r="I732" s="55">
        <f>SUM(F732:H732)</f>
        <v>2916</v>
      </c>
      <c r="J732" s="1">
        <f>711+136</f>
        <v>847</v>
      </c>
      <c r="K732" s="1">
        <f>520+122</f>
        <v>642</v>
      </c>
      <c r="L732" s="1">
        <f>786+142</f>
        <v>928</v>
      </c>
      <c r="M732" s="55">
        <f>SUM(J732:L732)</f>
        <v>2417</v>
      </c>
      <c r="N732" s="1">
        <f>742+71</f>
        <v>813</v>
      </c>
      <c r="O732" s="1">
        <f>17+46</f>
        <v>63</v>
      </c>
      <c r="P732" s="1">
        <v>366</v>
      </c>
      <c r="Q732" s="55">
        <f>SUM(N732:P732)</f>
        <v>1242</v>
      </c>
      <c r="R732" s="55">
        <f>+E732+I732+M732+Q732</f>
        <v>7667</v>
      </c>
      <c r="T732" s="4" t="s">
        <v>1008</v>
      </c>
    </row>
    <row r="733" spans="1:20" ht="15.75" customHeight="1" x14ac:dyDescent="0.3">
      <c r="A733" s="71" t="s">
        <v>1009</v>
      </c>
      <c r="B733" s="1"/>
      <c r="C733" s="1"/>
      <c r="D733" s="1"/>
      <c r="E733" s="55">
        <f>SUM(B733:D733)</f>
        <v>0</v>
      </c>
      <c r="F733" s="1"/>
      <c r="G733" s="1"/>
      <c r="H733" s="1"/>
      <c r="I733" s="55">
        <f>SUM(F733:H733)</f>
        <v>0</v>
      </c>
      <c r="J733" s="1"/>
      <c r="K733" s="1"/>
      <c r="L733" s="1"/>
      <c r="M733" s="55">
        <f>SUM(J733:L733)</f>
        <v>0</v>
      </c>
      <c r="N733" s="1"/>
      <c r="O733" s="1"/>
      <c r="P733" s="1"/>
      <c r="Q733" s="55">
        <f>SUM(N733:P733)</f>
        <v>0</v>
      </c>
      <c r="R733" s="55">
        <f>+E733+I733+M733+Q733</f>
        <v>0</v>
      </c>
    </row>
    <row r="734" spans="1:20" ht="15.75" customHeight="1" x14ac:dyDescent="0.3">
      <c r="A734" s="15" t="s">
        <v>62</v>
      </c>
      <c r="B734" s="1"/>
      <c r="C734" s="1"/>
      <c r="D734" s="1"/>
      <c r="E734" s="55" t="s">
        <v>7</v>
      </c>
      <c r="F734" s="1"/>
      <c r="G734" s="1"/>
      <c r="H734" s="1"/>
      <c r="I734" s="55" t="s">
        <v>7</v>
      </c>
      <c r="J734" s="1"/>
      <c r="K734" s="1"/>
      <c r="L734" s="1"/>
      <c r="M734" s="55" t="s">
        <v>7</v>
      </c>
      <c r="N734" s="1"/>
      <c r="O734" s="1"/>
      <c r="P734" s="1"/>
      <c r="Q734" s="55" t="s">
        <v>7</v>
      </c>
      <c r="R734" s="55" t="s">
        <v>7</v>
      </c>
    </row>
    <row r="735" spans="1:20" ht="15.75" customHeight="1" x14ac:dyDescent="0.3">
      <c r="A735" s="71" t="s">
        <v>1011</v>
      </c>
      <c r="B735" s="1">
        <v>10</v>
      </c>
      <c r="C735" s="1">
        <v>20</v>
      </c>
      <c r="D735" s="1">
        <v>57</v>
      </c>
      <c r="E735" s="55">
        <f>SUM(B735:D735)</f>
        <v>87</v>
      </c>
      <c r="F735" s="1">
        <v>78</v>
      </c>
      <c r="G735" s="1">
        <v>74</v>
      </c>
      <c r="H735" s="1">
        <v>90</v>
      </c>
      <c r="I735" s="55">
        <f>SUM(F735:H735)</f>
        <v>242</v>
      </c>
      <c r="J735" s="1">
        <v>75</v>
      </c>
      <c r="K735" s="1">
        <v>77</v>
      </c>
      <c r="L735" s="1">
        <v>32</v>
      </c>
      <c r="M735" s="55">
        <f>SUM(J735:L735)</f>
        <v>184</v>
      </c>
      <c r="N735" s="1">
        <v>68</v>
      </c>
      <c r="O735" s="1">
        <v>35</v>
      </c>
      <c r="P735" s="1">
        <v>28</v>
      </c>
      <c r="Q735" s="55">
        <f>SUM(N735:P735)</f>
        <v>131</v>
      </c>
      <c r="R735" s="55">
        <f>+E735+I735+M735+Q735</f>
        <v>644</v>
      </c>
      <c r="T735" s="4" t="s">
        <v>1010</v>
      </c>
    </row>
    <row r="736" spans="1:20" ht="15.75" customHeight="1" x14ac:dyDescent="0.3">
      <c r="A736" s="71" t="s">
        <v>1012</v>
      </c>
      <c r="B736" s="1"/>
      <c r="C736" s="1"/>
      <c r="D736" s="1"/>
      <c r="E736" s="55">
        <f>SUM(B736:D736)</f>
        <v>0</v>
      </c>
      <c r="F736" s="1"/>
      <c r="G736" s="1"/>
      <c r="H736" s="1"/>
      <c r="I736" s="55">
        <f>SUM(F736:H736)</f>
        <v>0</v>
      </c>
      <c r="J736" s="1"/>
      <c r="K736" s="1"/>
      <c r="L736" s="1"/>
      <c r="M736" s="55">
        <f>SUM(J736:L736)</f>
        <v>0</v>
      </c>
      <c r="N736" s="1"/>
      <c r="O736" s="1"/>
      <c r="P736" s="1"/>
      <c r="Q736" s="55">
        <f>SUM(N736:P736)</f>
        <v>0</v>
      </c>
      <c r="R736" s="55">
        <f>+E736+I736+M736+Q736</f>
        <v>0</v>
      </c>
    </row>
    <row r="737" spans="1:20" ht="15.75" customHeight="1" x14ac:dyDescent="0.3">
      <c r="A737" s="71" t="s">
        <v>666</v>
      </c>
      <c r="B737" s="1"/>
      <c r="C737" s="1"/>
      <c r="D737" s="1"/>
      <c r="E737" s="55">
        <f>SUM(B737:D737)</f>
        <v>0</v>
      </c>
      <c r="F737" s="1"/>
      <c r="G737" s="1"/>
      <c r="H737" s="1"/>
      <c r="I737" s="55">
        <f>SUM(F737:H737)</f>
        <v>0</v>
      </c>
      <c r="J737" s="1"/>
      <c r="K737" s="1"/>
      <c r="L737" s="1"/>
      <c r="M737" s="55">
        <f>SUM(J737:L737)</f>
        <v>0</v>
      </c>
      <c r="N737" s="1"/>
      <c r="O737" s="1"/>
      <c r="P737" s="1"/>
      <c r="Q737" s="55">
        <f>SUM(N737:P737)</f>
        <v>0</v>
      </c>
      <c r="R737" s="55">
        <f>+E737+I737+M737+Q737</f>
        <v>0</v>
      </c>
      <c r="T737" s="4" t="s">
        <v>1005</v>
      </c>
    </row>
    <row r="738" spans="1:20" ht="15.75" customHeight="1" thickBot="1" x14ac:dyDescent="0.35">
      <c r="A738" s="71" t="s">
        <v>782</v>
      </c>
      <c r="B738" s="1">
        <v>804</v>
      </c>
      <c r="C738" s="1">
        <v>896</v>
      </c>
      <c r="D738" s="1">
        <v>830</v>
      </c>
      <c r="E738" s="55">
        <f>SUM(B738:D738)</f>
        <v>2530</v>
      </c>
      <c r="F738" s="1">
        <v>713</v>
      </c>
      <c r="G738" s="1">
        <v>903</v>
      </c>
      <c r="H738" s="1">
        <v>979</v>
      </c>
      <c r="I738" s="55">
        <f>SUM(F738:H738)</f>
        <v>2595</v>
      </c>
      <c r="J738" s="1">
        <f>302+608</f>
        <v>910</v>
      </c>
      <c r="K738" s="1">
        <f>275+506</f>
        <v>781</v>
      </c>
      <c r="L738" s="1">
        <f>238+551</f>
        <v>789</v>
      </c>
      <c r="M738" s="55">
        <f>SUM(J738:L738)</f>
        <v>2480</v>
      </c>
      <c r="N738" s="1">
        <f>131+281</f>
        <v>412</v>
      </c>
      <c r="O738" s="1">
        <f>229+79</f>
        <v>308</v>
      </c>
      <c r="P738" s="1">
        <v>731</v>
      </c>
      <c r="Q738" s="55">
        <f>SUM(N738:P738)</f>
        <v>1451</v>
      </c>
      <c r="R738" s="55">
        <f>+E738+I738+M738+Q738</f>
        <v>9056</v>
      </c>
      <c r="T738" s="4" t="s">
        <v>1013</v>
      </c>
    </row>
    <row r="739" spans="1:20" ht="16.5" customHeight="1" thickBot="1" x14ac:dyDescent="0.35">
      <c r="A739" s="57" t="s">
        <v>63</v>
      </c>
      <c r="B739" s="86">
        <f>SUM(B730:B738)</f>
        <v>989</v>
      </c>
      <c r="C739" s="87">
        <f>SUM(C730:C738)</f>
        <v>1157</v>
      </c>
      <c r="D739" s="87">
        <f>SUM(D730:D738)</f>
        <v>1563</v>
      </c>
      <c r="E739" s="59">
        <f>SUM(B739:D739)</f>
        <v>3709</v>
      </c>
      <c r="F739" s="87">
        <f>SUM(F730:F738)</f>
        <v>1623</v>
      </c>
      <c r="G739" s="87">
        <f>SUM(G730:G738)</f>
        <v>1875</v>
      </c>
      <c r="H739" s="87">
        <f>SUM(H730:H738)</f>
        <v>2255</v>
      </c>
      <c r="I739" s="59">
        <f>SUM(F739:H739)</f>
        <v>5753</v>
      </c>
      <c r="J739" s="87">
        <f>SUM(J730:J738)</f>
        <v>1832</v>
      </c>
      <c r="K739" s="87">
        <f>SUM(K730:K738)</f>
        <v>1500</v>
      </c>
      <c r="L739" s="87">
        <f>SUM(L730:L738)</f>
        <v>1749</v>
      </c>
      <c r="M739" s="59">
        <f>SUM(J739:L739)</f>
        <v>5081</v>
      </c>
      <c r="N739" s="87">
        <f>SUM(N730:N738)</f>
        <v>1293</v>
      </c>
      <c r="O739" s="87">
        <f>SUM(O730:O738)</f>
        <v>406</v>
      </c>
      <c r="P739" s="87">
        <f>SUM(P730:P738)</f>
        <v>1125</v>
      </c>
      <c r="Q739" s="59">
        <f>SUM(N739:P739)</f>
        <v>2824</v>
      </c>
      <c r="R739" s="59">
        <f>+E739+I739+M739+Q739</f>
        <v>17367</v>
      </c>
    </row>
    <row r="740" spans="1:20" ht="15.75" customHeight="1" x14ac:dyDescent="0.3">
      <c r="A740" s="15" t="s">
        <v>64</v>
      </c>
      <c r="B740" s="1"/>
      <c r="C740" s="1"/>
      <c r="D740" s="1"/>
      <c r="E740" s="55" t="s">
        <v>7</v>
      </c>
      <c r="F740" s="1"/>
      <c r="G740" s="1"/>
      <c r="H740" s="1"/>
      <c r="I740" s="55" t="s">
        <v>7</v>
      </c>
      <c r="J740" s="1"/>
      <c r="K740" s="1"/>
      <c r="L740" s="1"/>
      <c r="M740" s="55" t="s">
        <v>7</v>
      </c>
      <c r="N740" s="1"/>
      <c r="O740" s="1"/>
      <c r="P740" s="1"/>
      <c r="Q740" s="55" t="s">
        <v>7</v>
      </c>
      <c r="R740" s="55" t="s">
        <v>7</v>
      </c>
    </row>
    <row r="741" spans="1:20" ht="15.75" customHeight="1" x14ac:dyDescent="0.3">
      <c r="A741" s="15" t="s">
        <v>594</v>
      </c>
      <c r="B741" s="1"/>
      <c r="C741" s="1"/>
      <c r="D741" s="1"/>
      <c r="E741" s="55" t="s">
        <v>7</v>
      </c>
      <c r="F741" s="1"/>
      <c r="G741" s="1"/>
      <c r="H741" s="1"/>
      <c r="I741" s="55" t="s">
        <v>7</v>
      </c>
      <c r="J741" s="1"/>
      <c r="K741" s="1"/>
      <c r="L741" s="1"/>
      <c r="M741" s="55" t="s">
        <v>7</v>
      </c>
      <c r="N741" s="1"/>
      <c r="O741" s="1"/>
      <c r="P741" s="1"/>
      <c r="Q741" s="55" t="s">
        <v>7</v>
      </c>
      <c r="R741" s="55" t="s">
        <v>7</v>
      </c>
    </row>
    <row r="742" spans="1:20" ht="15.75" customHeight="1" x14ac:dyDescent="0.3">
      <c r="A742" s="71" t="s">
        <v>366</v>
      </c>
      <c r="B742" s="1"/>
      <c r="C742" s="1"/>
      <c r="D742" s="1"/>
      <c r="E742" s="55">
        <f>SUM(B742:D742)</f>
        <v>0</v>
      </c>
      <c r="F742" s="1"/>
      <c r="G742" s="1"/>
      <c r="H742" s="1"/>
      <c r="I742" s="55">
        <f>SUM(F742:H742)</f>
        <v>0</v>
      </c>
      <c r="J742" s="1"/>
      <c r="K742" s="1"/>
      <c r="L742" s="1"/>
      <c r="M742" s="55">
        <f>SUM(J742:L742)</f>
        <v>0</v>
      </c>
      <c r="N742" s="1"/>
      <c r="O742" s="1"/>
      <c r="P742" s="1"/>
      <c r="Q742" s="55">
        <f>SUM(N742:P742)</f>
        <v>0</v>
      </c>
      <c r="R742" s="55">
        <f>+E742+I742+M742+Q742</f>
        <v>0</v>
      </c>
    </row>
    <row r="743" spans="1:20" ht="15.75" customHeight="1" x14ac:dyDescent="0.3">
      <c r="A743" s="71" t="s">
        <v>367</v>
      </c>
      <c r="B743" s="1"/>
      <c r="C743" s="1"/>
      <c r="D743" s="1"/>
      <c r="E743" s="55">
        <f>SUM(B743:D743)</f>
        <v>0</v>
      </c>
      <c r="F743" s="1"/>
      <c r="G743" s="1"/>
      <c r="H743" s="1"/>
      <c r="I743" s="55">
        <f>SUM(F743:H743)</f>
        <v>0</v>
      </c>
      <c r="J743" s="1"/>
      <c r="K743" s="1"/>
      <c r="L743" s="1"/>
      <c r="M743" s="55">
        <f>SUM(J743:L743)</f>
        <v>0</v>
      </c>
      <c r="N743" s="1"/>
      <c r="O743" s="1"/>
      <c r="P743" s="1"/>
      <c r="Q743" s="55">
        <f>SUM(N743:P743)</f>
        <v>0</v>
      </c>
      <c r="R743" s="55">
        <f>+E743+I743+M743+Q743</f>
        <v>0</v>
      </c>
    </row>
    <row r="744" spans="1:20" ht="15.75" customHeight="1" x14ac:dyDescent="0.3">
      <c r="A744" s="15" t="s">
        <v>67</v>
      </c>
      <c r="B744" s="1"/>
      <c r="C744" s="1"/>
      <c r="D744" s="1"/>
      <c r="E744" s="55" t="s">
        <v>7</v>
      </c>
      <c r="F744" s="1"/>
      <c r="G744" s="1"/>
      <c r="H744" s="1"/>
      <c r="I744" s="55" t="s">
        <v>7</v>
      </c>
      <c r="J744" s="1"/>
      <c r="K744" s="1"/>
      <c r="L744" s="1"/>
      <c r="M744" s="55" t="s">
        <v>7</v>
      </c>
      <c r="N744" s="1"/>
      <c r="O744" s="1"/>
      <c r="P744" s="1"/>
      <c r="Q744" s="55" t="s">
        <v>7</v>
      </c>
      <c r="R744" s="55" t="s">
        <v>7</v>
      </c>
    </row>
    <row r="745" spans="1:20" ht="15.75" customHeight="1" x14ac:dyDescent="0.3">
      <c r="A745" s="71" t="s">
        <v>783</v>
      </c>
      <c r="B745" s="1"/>
      <c r="C745" s="1"/>
      <c r="D745" s="1"/>
      <c r="E745" s="55">
        <f>SUM(B745:D745)</f>
        <v>0</v>
      </c>
      <c r="F745" s="1"/>
      <c r="G745" s="1"/>
      <c r="H745" s="1">
        <v>500</v>
      </c>
      <c r="I745" s="55">
        <f>SUM(F745:H745)</f>
        <v>500</v>
      </c>
      <c r="J745" s="1"/>
      <c r="K745" s="1"/>
      <c r="L745" s="1"/>
      <c r="M745" s="55">
        <f>SUM(J745:L745)</f>
        <v>0</v>
      </c>
      <c r="N745" s="1">
        <v>800</v>
      </c>
      <c r="O745" s="1"/>
      <c r="P745" s="1"/>
      <c r="Q745" s="55">
        <f>SUM(N745:P745)</f>
        <v>800</v>
      </c>
      <c r="R745" s="55">
        <f>+E745+I745+M745+Q745</f>
        <v>1300</v>
      </c>
    </row>
    <row r="746" spans="1:20" ht="15.75" customHeight="1" x14ac:dyDescent="0.3">
      <c r="A746" s="71" t="s">
        <v>784</v>
      </c>
      <c r="B746" s="1"/>
      <c r="C746" s="1"/>
      <c r="D746" s="1"/>
      <c r="E746" s="55">
        <f>SUM(B746:D746)</f>
        <v>0</v>
      </c>
      <c r="F746" s="1"/>
      <c r="G746" s="1"/>
      <c r="H746" s="1"/>
      <c r="I746" s="55">
        <f>SUM(F746:H746)</f>
        <v>0</v>
      </c>
      <c r="J746" s="1"/>
      <c r="K746" s="1"/>
      <c r="L746" s="1"/>
      <c r="M746" s="55">
        <f>SUM(J746:L746)</f>
        <v>0</v>
      </c>
      <c r="N746" s="1"/>
      <c r="O746" s="1"/>
      <c r="P746" s="1"/>
      <c r="Q746" s="55">
        <f>SUM(N746:P746)</f>
        <v>0</v>
      </c>
      <c r="R746" s="55">
        <f>+E746+I746+M746+Q746</f>
        <v>0</v>
      </c>
    </row>
    <row r="747" spans="1:20" ht="15.75" customHeight="1" x14ac:dyDescent="0.3">
      <c r="A747" s="15" t="s">
        <v>600</v>
      </c>
      <c r="B747" s="1"/>
      <c r="C747" s="1"/>
      <c r="D747" s="1"/>
      <c r="E747" s="55" t="s">
        <v>7</v>
      </c>
      <c r="F747" s="1"/>
      <c r="G747" s="1"/>
      <c r="H747" s="1"/>
      <c r="I747" s="55" t="s">
        <v>7</v>
      </c>
      <c r="J747" s="1"/>
      <c r="K747" s="1"/>
      <c r="L747" s="1"/>
      <c r="M747" s="55" t="s">
        <v>7</v>
      </c>
      <c r="N747" s="1"/>
      <c r="O747" s="1"/>
      <c r="P747" s="1"/>
      <c r="Q747" s="55" t="s">
        <v>7</v>
      </c>
      <c r="R747" s="55" t="s">
        <v>7</v>
      </c>
    </row>
    <row r="748" spans="1:20" ht="15.75" customHeight="1" thickBot="1" x14ac:dyDescent="0.35">
      <c r="A748" s="15" t="s">
        <v>70</v>
      </c>
      <c r="B748" s="1"/>
      <c r="C748" s="1"/>
      <c r="D748" s="1"/>
      <c r="E748" s="55" t="s">
        <v>7</v>
      </c>
      <c r="F748" s="1"/>
      <c r="G748" s="1"/>
      <c r="H748" s="1"/>
      <c r="I748" s="55" t="s">
        <v>7</v>
      </c>
      <c r="J748" s="1"/>
      <c r="K748" s="1"/>
      <c r="L748" s="1"/>
      <c r="M748" s="55" t="s">
        <v>7</v>
      </c>
      <c r="N748" s="1"/>
      <c r="O748" s="1"/>
      <c r="P748" s="1"/>
      <c r="Q748" s="55" t="s">
        <v>7</v>
      </c>
      <c r="R748" s="55" t="s">
        <v>7</v>
      </c>
    </row>
    <row r="749" spans="1:20" ht="16.5" customHeight="1" thickBot="1" x14ac:dyDescent="0.35">
      <c r="A749" s="57" t="s">
        <v>71</v>
      </c>
      <c r="B749" s="58">
        <f>SUM(B747:B748)</f>
        <v>0</v>
      </c>
      <c r="C749" s="58">
        <f>SUM(C747:C748)</f>
        <v>0</v>
      </c>
      <c r="D749" s="58">
        <f>SUM(D747:D748)</f>
        <v>0</v>
      </c>
      <c r="E749" s="60">
        <f>SUM(B749:D749)</f>
        <v>0</v>
      </c>
      <c r="F749" s="58">
        <f>SUM(F747:F748)</f>
        <v>0</v>
      </c>
      <c r="G749" s="58">
        <f>SUM(G747:G748)</f>
        <v>0</v>
      </c>
      <c r="H749" s="58">
        <f>SUM(H747:H748)</f>
        <v>0</v>
      </c>
      <c r="I749" s="60">
        <f>SUM(F749:H749)</f>
        <v>0</v>
      </c>
      <c r="J749" s="58">
        <f>SUM(J747:J748)</f>
        <v>0</v>
      </c>
      <c r="K749" s="58">
        <f>SUM(K747:K748)</f>
        <v>0</v>
      </c>
      <c r="L749" s="58">
        <f>SUM(L747:L748)</f>
        <v>0</v>
      </c>
      <c r="M749" s="60">
        <f>SUM(J749:L749)</f>
        <v>0</v>
      </c>
      <c r="N749" s="58">
        <f>SUM(N747:N748)</f>
        <v>0</v>
      </c>
      <c r="O749" s="58">
        <f>SUM(O747:O748)</f>
        <v>0</v>
      </c>
      <c r="P749" s="58">
        <f>SUM(P747:P748)</f>
        <v>0</v>
      </c>
      <c r="Q749" s="60">
        <f>SUM(N749:P749)</f>
        <v>0</v>
      </c>
      <c r="R749" s="59">
        <f>+E749+I749+M749+Q749</f>
        <v>0</v>
      </c>
    </row>
    <row r="750" spans="1:20" ht="16.5" customHeight="1" thickBot="1" x14ac:dyDescent="0.35">
      <c r="A750" s="57" t="s">
        <v>72</v>
      </c>
      <c r="B750" s="86">
        <f>SUM(B740:B748)</f>
        <v>0</v>
      </c>
      <c r="C750" s="87">
        <f>SUM(C740:C748)</f>
        <v>0</v>
      </c>
      <c r="D750" s="118">
        <f>SUM(D740:D748)</f>
        <v>0</v>
      </c>
      <c r="E750" s="60">
        <f>SUM(B750:D750)</f>
        <v>0</v>
      </c>
      <c r="F750" s="87">
        <f>SUM(F740:F748)</f>
        <v>0</v>
      </c>
      <c r="G750" s="87">
        <f>SUM(G740:G748)</f>
        <v>0</v>
      </c>
      <c r="H750" s="87">
        <f>SUM(H740:H748)</f>
        <v>500</v>
      </c>
      <c r="I750" s="60">
        <f>SUM(F750:H750)</f>
        <v>500</v>
      </c>
      <c r="J750" s="87">
        <f>SUM(J740:J748)</f>
        <v>0</v>
      </c>
      <c r="K750" s="87">
        <f>SUM(K740:K748)</f>
        <v>0</v>
      </c>
      <c r="L750" s="87">
        <f>SUM(L740:L748)</f>
        <v>0</v>
      </c>
      <c r="M750" s="60">
        <f>SUM(J750:L750)</f>
        <v>0</v>
      </c>
      <c r="N750" s="87">
        <f>SUM(N740:N748)</f>
        <v>800</v>
      </c>
      <c r="O750" s="87">
        <f>SUM(O740:O748)</f>
        <v>0</v>
      </c>
      <c r="P750" s="87">
        <f>SUM(P740:P748)</f>
        <v>0</v>
      </c>
      <c r="Q750" s="60">
        <f>SUM(N750:P750)</f>
        <v>800</v>
      </c>
      <c r="R750" s="59">
        <f>+E750+I750+M750+Q750</f>
        <v>1300</v>
      </c>
    </row>
    <row r="751" spans="1:20" ht="16.5" customHeight="1" thickBot="1" x14ac:dyDescent="0.35">
      <c r="A751" s="57" t="s">
        <v>73</v>
      </c>
      <c r="B751" s="90">
        <f>+B724+B729+B739+B750</f>
        <v>1154</v>
      </c>
      <c r="C751" s="58">
        <f>+C724+C729+C739+C750</f>
        <v>3740</v>
      </c>
      <c r="D751" s="58">
        <f>+D724+D729+D739+D750</f>
        <v>4151</v>
      </c>
      <c r="E751" s="59">
        <f>SUM(B751:D751)</f>
        <v>9045</v>
      </c>
      <c r="F751" s="58">
        <f>+F724+F729+F739+F750</f>
        <v>4051</v>
      </c>
      <c r="G751" s="58">
        <f>+G724+G729+G739+G750</f>
        <v>3443</v>
      </c>
      <c r="H751" s="58">
        <f>+H724+H729+H739+H750</f>
        <v>4872</v>
      </c>
      <c r="I751" s="59">
        <f>SUM(F751:H751)</f>
        <v>12366</v>
      </c>
      <c r="J751" s="58">
        <f>+J724+J729+J739+J750</f>
        <v>3694</v>
      </c>
      <c r="K751" s="58">
        <f>+K724+K729+K739+K750</f>
        <v>4209</v>
      </c>
      <c r="L751" s="58">
        <f>+L724+L729+L739+L750</f>
        <v>3067</v>
      </c>
      <c r="M751" s="59">
        <f>SUM(J751:L751)</f>
        <v>10970</v>
      </c>
      <c r="N751" s="58">
        <f>+N724+N729+N739+N750</f>
        <v>3199</v>
      </c>
      <c r="O751" s="58">
        <f>+O724+O729+O739+O750</f>
        <v>406</v>
      </c>
      <c r="P751" s="58">
        <f>+P724+P729+P739+P750</f>
        <v>1125</v>
      </c>
      <c r="Q751" s="59">
        <f>SUM(N751:P751)</f>
        <v>4730</v>
      </c>
      <c r="R751" s="81">
        <f>+E751+I751+M751+Q751</f>
        <v>37111</v>
      </c>
    </row>
    <row r="752" spans="1:20" ht="16.5" customHeight="1" thickBot="1" x14ac:dyDescent="0.35">
      <c r="A752" s="39" t="s">
        <v>40</v>
      </c>
      <c r="B752" s="21">
        <v>11</v>
      </c>
      <c r="C752" s="21">
        <v>13</v>
      </c>
      <c r="D752" s="21">
        <v>17</v>
      </c>
      <c r="E752" s="55">
        <f>SUM(B752:D752)</f>
        <v>41</v>
      </c>
      <c r="F752" s="21">
        <v>21</v>
      </c>
      <c r="G752" s="21">
        <v>23</v>
      </c>
      <c r="H752" s="21">
        <v>25</v>
      </c>
      <c r="I752" s="55">
        <f>SUM(F752:H752)</f>
        <v>69</v>
      </c>
      <c r="J752" s="21">
        <v>25</v>
      </c>
      <c r="K752" s="21">
        <v>21</v>
      </c>
      <c r="L752" s="21">
        <v>19</v>
      </c>
      <c r="M752" s="55">
        <f>SUM(J752:L752)</f>
        <v>65</v>
      </c>
      <c r="N752" s="21">
        <v>17</v>
      </c>
      <c r="O752" s="21">
        <v>13</v>
      </c>
      <c r="P752" s="21">
        <v>11</v>
      </c>
      <c r="Q752" s="55">
        <f>SUM(N752:P752)</f>
        <v>41</v>
      </c>
      <c r="R752" s="55">
        <f>+E752+I752+M752+Q752</f>
        <v>216</v>
      </c>
    </row>
    <row r="753" spans="1:18" ht="16.5" customHeight="1" thickBot="1" x14ac:dyDescent="0.35">
      <c r="A753" s="41"/>
      <c r="B753" s="36"/>
      <c r="C753" s="36"/>
      <c r="D753" s="36"/>
      <c r="E753" s="59" t="s">
        <v>7</v>
      </c>
      <c r="F753" s="36"/>
      <c r="G753" s="36"/>
      <c r="H753" s="36"/>
      <c r="I753" s="59" t="s">
        <v>7</v>
      </c>
      <c r="J753" s="36"/>
      <c r="K753" s="36"/>
      <c r="L753" s="36"/>
      <c r="M753" s="59" t="s">
        <v>7</v>
      </c>
      <c r="N753" s="36"/>
      <c r="O753" s="36"/>
      <c r="P753" s="36"/>
      <c r="Q753" s="59" t="s">
        <v>7</v>
      </c>
      <c r="R753" s="59" t="s">
        <v>7</v>
      </c>
    </row>
    <row r="754" spans="1:18" ht="15.75" customHeight="1" x14ac:dyDescent="0.3">
      <c r="A754" s="15" t="s">
        <v>41</v>
      </c>
      <c r="B754" s="1">
        <f>SUM(B751:B752)</f>
        <v>1165</v>
      </c>
      <c r="C754" s="1">
        <f>SUM(C751:C752)</f>
        <v>3753</v>
      </c>
      <c r="D754" s="1">
        <f>SUM(D751:D752)</f>
        <v>4168</v>
      </c>
      <c r="E754" s="60">
        <f>SUM(B754:D754)</f>
        <v>9086</v>
      </c>
      <c r="F754" s="1">
        <f>SUM(F751:F752)</f>
        <v>4072</v>
      </c>
      <c r="G754" s="1">
        <f>SUM(G751:G752)</f>
        <v>3466</v>
      </c>
      <c r="H754" s="1">
        <f>SUM(H751:H752)</f>
        <v>4897</v>
      </c>
      <c r="I754" s="60">
        <f>SUM(F754:H754)</f>
        <v>12435</v>
      </c>
      <c r="J754" s="1">
        <f>SUM(J751:J752)</f>
        <v>3719</v>
      </c>
      <c r="K754" s="1">
        <f>SUM(K751:K752)</f>
        <v>4230</v>
      </c>
      <c r="L754" s="1">
        <f>SUM(L751:L752)</f>
        <v>3086</v>
      </c>
      <c r="M754" s="60">
        <f>SUM(J754:L754)</f>
        <v>11035</v>
      </c>
      <c r="N754" s="1">
        <f>SUM(N751:N752)</f>
        <v>3216</v>
      </c>
      <c r="O754" s="1">
        <f>SUM(O751:O752)</f>
        <v>419</v>
      </c>
      <c r="P754" s="1">
        <f>SUM(P751:P752)</f>
        <v>1136</v>
      </c>
      <c r="Q754" s="60">
        <f>SUM(N754:P754)</f>
        <v>4771</v>
      </c>
      <c r="R754" s="60">
        <f>+E754+I754+M754+Q754</f>
        <v>37327</v>
      </c>
    </row>
    <row r="755" spans="1:18" ht="15.75" customHeight="1" x14ac:dyDescent="0.3">
      <c r="A755" s="15" t="s">
        <v>42</v>
      </c>
      <c r="B755" s="1">
        <f>(B754/B10)/1.983</f>
        <v>18.951409561921491</v>
      </c>
      <c r="C755" s="1">
        <f>(C754/C10)/1.983</f>
        <v>67.592392478928019</v>
      </c>
      <c r="D755" s="1">
        <f>(D754/D10)/1.983</f>
        <v>67.802124509947447</v>
      </c>
      <c r="E755" s="55" t="s">
        <v>7</v>
      </c>
      <c r="F755" s="1">
        <f>(F754/F10)/1.983</f>
        <v>68.448478735921995</v>
      </c>
      <c r="G755" s="1">
        <f>(G754/G10)/1.983</f>
        <v>56.382476859759571</v>
      </c>
      <c r="H755" s="1">
        <f>(H754/H10)/1.983</f>
        <v>82.316355690031926</v>
      </c>
      <c r="I755" s="55" t="s">
        <v>7</v>
      </c>
      <c r="J755" s="1">
        <f>(J754/J10)/1.983</f>
        <v>60.498104859043806</v>
      </c>
      <c r="K755" s="1">
        <f>(K754/K10)/1.983</f>
        <v>68.810697379337256</v>
      </c>
      <c r="L755" s="1">
        <f>(L754/L10)/1.983</f>
        <v>51.874264582282734</v>
      </c>
      <c r="M755" s="55" t="s">
        <v>7</v>
      </c>
      <c r="N755" s="1">
        <f>(N754/N10)/1.983</f>
        <v>52.315650773510313</v>
      </c>
      <c r="O755" s="1">
        <f>(O754/O10)/1.983</f>
        <v>7.0432005379055305</v>
      </c>
      <c r="P755" s="1">
        <f>(P754/P10)/1.983</f>
        <v>18.479657735916582</v>
      </c>
      <c r="Q755" s="55" t="s">
        <v>7</v>
      </c>
      <c r="R755" s="55" t="s">
        <v>7</v>
      </c>
    </row>
    <row r="756" spans="1:18" ht="15.75" customHeight="1" x14ac:dyDescent="0.3">
      <c r="A756" s="15" t="s">
        <v>372</v>
      </c>
      <c r="B756" s="1">
        <f>B754</f>
        <v>1165</v>
      </c>
      <c r="C756" s="1">
        <f>C754</f>
        <v>3753</v>
      </c>
      <c r="D756" s="1">
        <f>D754</f>
        <v>4168</v>
      </c>
      <c r="E756" s="55">
        <f>SUM(B756:D756)</f>
        <v>9086</v>
      </c>
      <c r="F756" s="1">
        <f>F754</f>
        <v>4072</v>
      </c>
      <c r="G756" s="1">
        <f>G754</f>
        <v>3466</v>
      </c>
      <c r="H756" s="1">
        <f>H754</f>
        <v>4897</v>
      </c>
      <c r="I756" s="55">
        <f>SUM(F756:H756)</f>
        <v>12435</v>
      </c>
      <c r="J756" s="1">
        <f>J754</f>
        <v>3719</v>
      </c>
      <c r="K756" s="1">
        <f>K754</f>
        <v>4230</v>
      </c>
      <c r="L756" s="1">
        <f>L754</f>
        <v>3086</v>
      </c>
      <c r="M756" s="55">
        <f>SUM(J756:L756)</f>
        <v>11035</v>
      </c>
      <c r="N756" s="1">
        <f>N754</f>
        <v>3216</v>
      </c>
      <c r="O756" s="1">
        <f>O754</f>
        <v>419</v>
      </c>
      <c r="P756" s="1">
        <f>P754</f>
        <v>1136</v>
      </c>
      <c r="Q756" s="55">
        <f>SUM(N756:P756)</f>
        <v>4771</v>
      </c>
      <c r="R756" s="55">
        <f>+E756+I756+M756+Q756</f>
        <v>37327</v>
      </c>
    </row>
    <row r="757" spans="1:18" ht="16.5" customHeight="1" thickBot="1" x14ac:dyDescent="0.35">
      <c r="A757" s="20" t="s">
        <v>373</v>
      </c>
      <c r="B757" s="21">
        <f>(B756/B10)/1.983</f>
        <v>18.951409561921491</v>
      </c>
      <c r="C757" s="21">
        <f>(C756/C10)/1.983</f>
        <v>67.592392478928019</v>
      </c>
      <c r="D757" s="21">
        <f>(D756/D10)/1.983</f>
        <v>67.802124509947447</v>
      </c>
      <c r="E757" s="81" t="s">
        <v>7</v>
      </c>
      <c r="F757" s="21">
        <f>(F756/F10)/1.983</f>
        <v>68.448478735921995</v>
      </c>
      <c r="G757" s="21">
        <f>(G756/G10)/1.983</f>
        <v>56.382476859759571</v>
      </c>
      <c r="H757" s="21">
        <f>(H756/H10)/1.983</f>
        <v>82.316355690031926</v>
      </c>
      <c r="I757" s="81" t="s">
        <v>7</v>
      </c>
      <c r="J757" s="21">
        <f>(J756/J10)/1.983</f>
        <v>60.498104859043806</v>
      </c>
      <c r="K757" s="21">
        <f>(K756/K10)/1.983</f>
        <v>68.810697379337256</v>
      </c>
      <c r="L757" s="21">
        <f>(L756/L10)/1.983</f>
        <v>51.874264582282734</v>
      </c>
      <c r="M757" s="81" t="s">
        <v>7</v>
      </c>
      <c r="N757" s="21">
        <f>(N756/N10)/1.983</f>
        <v>52.315650773510313</v>
      </c>
      <c r="O757" s="21">
        <f>(O756/O10)/1.983</f>
        <v>7.0432005379055305</v>
      </c>
      <c r="P757" s="21">
        <f>(P756/P10)/1.983</f>
        <v>18.479657735916582</v>
      </c>
      <c r="Q757" s="81" t="s">
        <v>7</v>
      </c>
      <c r="R757" s="81" t="s">
        <v>7</v>
      </c>
    </row>
    <row r="758" spans="1:18" ht="15.75" customHeight="1" x14ac:dyDescent="0.3">
      <c r="A758" s="28"/>
      <c r="B758" s="1"/>
      <c r="C758" s="1"/>
      <c r="D758" s="1"/>
      <c r="E758" s="2"/>
      <c r="F758" s="1"/>
      <c r="G758" s="1"/>
      <c r="H758" s="1"/>
      <c r="I758" s="2"/>
      <c r="J758" s="1"/>
      <c r="K758" s="1"/>
      <c r="L758" s="1"/>
      <c r="M758" s="2"/>
      <c r="N758" s="1"/>
      <c r="O758" s="1"/>
      <c r="P758" s="1"/>
      <c r="Q758" s="2"/>
      <c r="R758" s="2"/>
    </row>
    <row r="759" spans="1:18" ht="15.75" customHeight="1" x14ac:dyDescent="0.3">
      <c r="A759" s="28"/>
      <c r="B759" s="1"/>
      <c r="C759" s="1"/>
      <c r="D759" s="1"/>
      <c r="E759" s="1"/>
      <c r="F759" s="1"/>
      <c r="G759" s="1"/>
      <c r="H759" s="1"/>
      <c r="I759" s="1"/>
      <c r="J759" s="1"/>
      <c r="K759" s="1"/>
      <c r="L759" s="1"/>
      <c r="M759" s="1"/>
      <c r="N759" s="1"/>
      <c r="O759" s="1"/>
      <c r="P759" s="1"/>
      <c r="Q759" s="338" t="str">
        <f>+Q1</f>
        <v xml:space="preserve">PRINTED:  </v>
      </c>
      <c r="R759" s="360">
        <f ca="1">+R1</f>
        <v>44909.46975358796</v>
      </c>
    </row>
    <row r="760" spans="1:18" ht="15.75" customHeight="1" x14ac:dyDescent="0.3">
      <c r="A760" s="499" t="s">
        <v>1</v>
      </c>
      <c r="B760" s="499"/>
      <c r="C760" s="499"/>
      <c r="D760" s="499"/>
      <c r="E760" s="499"/>
      <c r="F760" s="499"/>
      <c r="G760" s="499"/>
      <c r="H760" s="499"/>
      <c r="I760" s="499"/>
      <c r="J760" s="499"/>
      <c r="K760" s="499"/>
      <c r="L760" s="499"/>
      <c r="M760" s="499"/>
      <c r="N760" s="499"/>
      <c r="O760" s="499"/>
      <c r="P760" s="499"/>
      <c r="Q760" s="499"/>
      <c r="R760" s="499"/>
    </row>
    <row r="761" spans="1:18" ht="15.75" customHeight="1" x14ac:dyDescent="0.3">
      <c r="A761" s="499" t="s">
        <v>2</v>
      </c>
      <c r="B761" s="499"/>
      <c r="C761" s="499"/>
      <c r="D761" s="499"/>
      <c r="E761" s="499"/>
      <c r="F761" s="499"/>
      <c r="G761" s="499"/>
      <c r="H761" s="499"/>
      <c r="I761" s="499"/>
      <c r="J761" s="499"/>
      <c r="K761" s="499"/>
      <c r="L761" s="499"/>
      <c r="M761" s="499"/>
      <c r="N761" s="499"/>
      <c r="O761" s="499"/>
      <c r="P761" s="499"/>
      <c r="Q761" s="499"/>
      <c r="R761" s="499"/>
    </row>
    <row r="762" spans="1:18" ht="15.75" customHeight="1" x14ac:dyDescent="0.3">
      <c r="A762" s="499" t="s">
        <v>3</v>
      </c>
      <c r="B762" s="499"/>
      <c r="C762" s="499"/>
      <c r="D762" s="499"/>
      <c r="E762" s="499"/>
      <c r="F762" s="499"/>
      <c r="G762" s="499"/>
      <c r="H762" s="499"/>
      <c r="I762" s="499"/>
      <c r="J762" s="499"/>
      <c r="K762" s="499"/>
      <c r="L762" s="499"/>
      <c r="M762" s="499"/>
      <c r="N762" s="499"/>
      <c r="O762" s="499"/>
      <c r="P762" s="499"/>
      <c r="Q762" s="499"/>
      <c r="R762" s="499"/>
    </row>
    <row r="763" spans="1:18" ht="15.75" customHeight="1" x14ac:dyDescent="0.3">
      <c r="A763" s="504">
        <f>+A5</f>
        <v>2015</v>
      </c>
      <c r="B763" s="504"/>
      <c r="C763" s="504"/>
      <c r="D763" s="504"/>
      <c r="E763" s="504"/>
      <c r="F763" s="504"/>
      <c r="G763" s="504"/>
      <c r="H763" s="504"/>
      <c r="I763" s="504"/>
      <c r="J763" s="504"/>
      <c r="K763" s="504"/>
      <c r="L763" s="504"/>
      <c r="M763" s="504"/>
      <c r="N763" s="504"/>
      <c r="O763" s="504"/>
      <c r="P763" s="504"/>
      <c r="Q763" s="504"/>
      <c r="R763" s="504"/>
    </row>
    <row r="764" spans="1:18" ht="15.75" customHeight="1" x14ac:dyDescent="0.3">
      <c r="A764" s="1"/>
      <c r="B764" s="1"/>
      <c r="C764" s="1"/>
      <c r="D764" s="5"/>
      <c r="E764" s="5"/>
      <c r="F764" s="5"/>
      <c r="G764" s="6"/>
      <c r="H764" s="5"/>
      <c r="I764" s="5"/>
      <c r="J764" s="6"/>
      <c r="K764" s="6"/>
      <c r="L764" s="6"/>
      <c r="M764" s="6"/>
      <c r="N764" s="1"/>
      <c r="O764" s="6"/>
      <c r="P764" s="6"/>
      <c r="Q764" s="6"/>
      <c r="R764" s="6"/>
    </row>
    <row r="765" spans="1:18" ht="15.75" customHeight="1" x14ac:dyDescent="0.3">
      <c r="A765" s="499" t="str">
        <f>+A8</f>
        <v>Revised:  5/2/2016</v>
      </c>
      <c r="B765" s="499"/>
      <c r="C765" s="499"/>
      <c r="D765" s="499"/>
      <c r="E765" s="499"/>
      <c r="F765" s="499"/>
      <c r="G765" s="499"/>
      <c r="H765" s="499"/>
      <c r="I765" s="499"/>
      <c r="J765" s="499"/>
      <c r="K765" s="499"/>
      <c r="L765" s="499"/>
      <c r="M765" s="499"/>
      <c r="N765" s="499"/>
      <c r="O765" s="499"/>
      <c r="P765" s="499"/>
      <c r="Q765" s="499"/>
      <c r="R765" s="499"/>
    </row>
    <row r="766" spans="1:18" ht="15.75" customHeight="1" x14ac:dyDescent="0.3">
      <c r="A766" s="314"/>
      <c r="B766" s="314"/>
      <c r="C766" s="314"/>
      <c r="D766" s="314"/>
      <c r="E766" s="314"/>
      <c r="F766" s="314"/>
      <c r="G766" s="314"/>
      <c r="H766" s="314"/>
      <c r="I766" s="314"/>
      <c r="J766" s="314"/>
      <c r="K766" s="314"/>
      <c r="L766" s="314"/>
      <c r="M766" s="314"/>
      <c r="N766" s="314"/>
      <c r="O766" s="314"/>
      <c r="P766" s="314"/>
      <c r="Q766" s="314"/>
      <c r="R766" s="314"/>
    </row>
    <row r="767" spans="1:18" ht="15.75" customHeight="1" x14ac:dyDescent="0.3">
      <c r="A767" s="314"/>
      <c r="B767" s="314"/>
      <c r="C767" s="314"/>
      <c r="D767" s="314"/>
      <c r="E767" s="314"/>
      <c r="F767" s="314"/>
      <c r="G767" s="314"/>
      <c r="H767" s="314"/>
      <c r="I767" s="314"/>
      <c r="J767" s="314"/>
      <c r="K767" s="314"/>
      <c r="L767" s="314"/>
      <c r="M767" s="314"/>
      <c r="N767" s="314"/>
      <c r="O767" s="314"/>
      <c r="P767" s="314"/>
      <c r="Q767" s="314"/>
      <c r="R767" s="314"/>
    </row>
    <row r="768" spans="1:18" ht="15.75" customHeight="1" thickBot="1" x14ac:dyDescent="0.35">
      <c r="A768" s="28"/>
      <c r="B768" s="1"/>
      <c r="C768" s="1"/>
      <c r="D768" s="1"/>
      <c r="E768" s="1"/>
      <c r="F768" s="1"/>
      <c r="G768" s="1"/>
      <c r="H768" s="1"/>
      <c r="I768" s="1"/>
      <c r="J768" s="1"/>
      <c r="K768" s="1"/>
      <c r="L768" s="1"/>
      <c r="M768" s="1"/>
      <c r="N768" s="1"/>
      <c r="O768" s="1"/>
      <c r="P768" s="1"/>
      <c r="Q768" s="1"/>
      <c r="R768" s="2"/>
    </row>
    <row r="769" spans="1:20" ht="16.5" customHeight="1" thickBot="1" x14ac:dyDescent="0.35">
      <c r="A769" s="124" t="s">
        <v>374</v>
      </c>
      <c r="B769" s="30" t="s">
        <v>8</v>
      </c>
      <c r="C769" s="31" t="s">
        <v>9</v>
      </c>
      <c r="D769" s="31" t="s">
        <v>10</v>
      </c>
      <c r="E769" s="32" t="s">
        <v>11</v>
      </c>
      <c r="F769" s="31" t="s">
        <v>12</v>
      </c>
      <c r="G769" s="31" t="s">
        <v>13</v>
      </c>
      <c r="H769" s="31" t="s">
        <v>14</v>
      </c>
      <c r="I769" s="33" t="s">
        <v>15</v>
      </c>
      <c r="J769" s="31" t="s">
        <v>16</v>
      </c>
      <c r="K769" s="31" t="s">
        <v>17</v>
      </c>
      <c r="L769" s="31" t="s">
        <v>18</v>
      </c>
      <c r="M769" s="33" t="s">
        <v>19</v>
      </c>
      <c r="N769" s="31" t="s">
        <v>20</v>
      </c>
      <c r="O769" s="31" t="s">
        <v>21</v>
      </c>
      <c r="P769" s="31" t="s">
        <v>22</v>
      </c>
      <c r="Q769" s="33" t="s">
        <v>23</v>
      </c>
      <c r="R769" s="133" t="s">
        <v>24</v>
      </c>
    </row>
    <row r="770" spans="1:20" ht="16.5" customHeight="1" thickBot="1" x14ac:dyDescent="0.35">
      <c r="A770" s="41"/>
      <c r="B770" s="36"/>
      <c r="C770" s="36"/>
      <c r="D770" s="36"/>
      <c r="E770" s="52"/>
      <c r="F770" s="36"/>
      <c r="G770" s="36"/>
      <c r="H770" s="36"/>
      <c r="I770" s="132"/>
      <c r="J770" s="36"/>
      <c r="K770" s="36"/>
      <c r="L770" s="36"/>
      <c r="M770" s="132"/>
      <c r="N770" s="36"/>
      <c r="O770" s="36"/>
      <c r="P770" s="36"/>
      <c r="Q770" s="134"/>
      <c r="R770" s="135"/>
    </row>
    <row r="771" spans="1:20" ht="15.75" customHeight="1" x14ac:dyDescent="0.3">
      <c r="A771" s="15" t="s">
        <v>48</v>
      </c>
      <c r="B771" s="1" t="s">
        <v>7</v>
      </c>
      <c r="C771" s="1" t="s">
        <v>7</v>
      </c>
      <c r="D771" s="1" t="s">
        <v>7</v>
      </c>
      <c r="E771" s="136"/>
      <c r="F771" s="1" t="s">
        <v>7</v>
      </c>
      <c r="G771" s="1" t="s">
        <v>7</v>
      </c>
      <c r="H771" s="1" t="s">
        <v>7</v>
      </c>
      <c r="I771" s="136"/>
      <c r="J771" s="1" t="s">
        <v>7</v>
      </c>
      <c r="K771" s="1" t="s">
        <v>7</v>
      </c>
      <c r="L771" s="1" t="s">
        <v>7</v>
      </c>
      <c r="M771" s="136"/>
      <c r="N771" s="1" t="s">
        <v>7</v>
      </c>
      <c r="O771" s="1" t="s">
        <v>7</v>
      </c>
      <c r="P771" s="1" t="s">
        <v>7</v>
      </c>
      <c r="Q771" s="137"/>
      <c r="R771" s="138" t="s">
        <v>7</v>
      </c>
    </row>
    <row r="772" spans="1:20" ht="15.75" customHeight="1" x14ac:dyDescent="0.3">
      <c r="A772" s="315" t="s">
        <v>49</v>
      </c>
      <c r="B772" s="1">
        <f>+SUM(B71:B81)+SUM(B139:B181)+SUM(B301:B318)+SUM(B439:B442)+SUM(B480:B484)+SUM(B523:B532)+SUM(B589:B592)+SUM(B625:B630)+SUM(B681:B682)+SUM(B715:B719)</f>
        <v>25674</v>
      </c>
      <c r="C772" s="1">
        <f>+SUM(C71:C81)+SUM(C139:C181)+SUM(C301:C318)+SUM(C439:C442)+SUM(C480:C484)+SUM(C523:C532)+SUM(C589:C592)+SUM(C625:C630)+SUM(C681:C682)+SUM(C715:C719)</f>
        <v>32524</v>
      </c>
      <c r="D772" s="1">
        <f>+SUM(D71:D81)+SUM(D139:D181)+SUM(D301:D318)+SUM(D439:D442)+SUM(D480:D484)+SUM(D523:D532)+SUM(D589:D592)+SUM(D625:D630)+SUM(D681:D682)+SUM(D715:D719)</f>
        <v>40620</v>
      </c>
      <c r="E772" s="55">
        <f t="shared" ref="E772:E778" si="102">SUM(B772:D772)</f>
        <v>98818</v>
      </c>
      <c r="F772" s="1">
        <f>+SUM(F71:F81)+SUM(F139:F181)+SUM(F301:F318)+SUM(F439:F442)+SUM(F480:F484)+SUM(F523:F532)+SUM(F589:F592)+SUM(F625:F630)+SUM(F681:F682)+SUM(F715:F719)</f>
        <v>45102</v>
      </c>
      <c r="G772" s="1">
        <f>+SUM(G71:G81)+SUM(G139:G181)+SUM(G301:G318)+SUM(G439:G442)+SUM(G480:G484)+SUM(G523:G532)+SUM(G589:G592)+SUM(G625:G630)+SUM(G681:G682)+SUM(G715:G719)</f>
        <v>34042</v>
      </c>
      <c r="H772" s="1">
        <f>+SUM(H71:H81)+SUM(H139:H181)+SUM(H301:H318)+SUM(H439:H442)+SUM(H480:H484)+SUM(H523:H532)+SUM(H589:H592)+SUM(H625:H630)+SUM(H681:H682)+SUM(H715:H719)</f>
        <v>36741</v>
      </c>
      <c r="I772" s="55">
        <f t="shared" ref="I772:I778" si="103">SUM(F772:H772)</f>
        <v>115885</v>
      </c>
      <c r="J772" s="1">
        <f>+SUM(J71:J81)+SUM(J139:J181)+SUM(J301:J318)+SUM(J439:J442)+SUM(J480:J484)+SUM(J523:J532)+SUM(J589:J592)+SUM(J625:J630)+SUM(J681:J682)+SUM(J715:J719)</f>
        <v>66135</v>
      </c>
      <c r="K772" s="1">
        <f>+SUM(K71:K81)+SUM(K139:K181)+SUM(K301:K318)+SUM(K439:K442)+SUM(K480:K484)+SUM(K523:K532)+SUM(K589:K592)+SUM(K625:K630)+SUM(K681:K682)+SUM(K715:K719)</f>
        <v>55085</v>
      </c>
      <c r="L772" s="1">
        <f>+SUM(L71:L81)+SUM(L139:L181)+SUM(L301:L318)+SUM(L439:L442)+SUM(L480:L484)+SUM(L523:L532)+SUM(L589:L592)+SUM(L625:L630)+SUM(L681:L682)+SUM(L715:L719)</f>
        <v>52642</v>
      </c>
      <c r="M772" s="55">
        <f t="shared" ref="M772:M778" si="104">SUM(J772:L772)</f>
        <v>173862</v>
      </c>
      <c r="N772" s="1">
        <f>+SUM(N71:N81)+SUM(N139:N181)+SUM(N301:N318)+SUM(N439:N442)+SUM(N480:N484)+SUM(N523:N532)+SUM(N589:N592)+SUM(N625:N630)+SUM(N681:N682)+SUM(N715:N719)</f>
        <v>41572</v>
      </c>
      <c r="O772" s="1">
        <f>+SUM(O71:O81)+SUM(O139:O181)+SUM(O301:O318)+SUM(O439:O442)+SUM(O480:O484)+SUM(O523:O532)+SUM(O589:O592)+SUM(O625:O630)+SUM(O681:O682)+SUM(O715:O719)</f>
        <v>32776</v>
      </c>
      <c r="P772" s="1">
        <f>+SUM(P71:P81)+SUM(P139:P181)+SUM(P301:P318)+SUM(P439:P442)+SUM(P480:P484)+SUM(P523:P532)+SUM(P589:P592)+SUM(P625:P630)+SUM(P681:P682)+SUM(P715:P719)</f>
        <v>36091</v>
      </c>
      <c r="Q772" s="55">
        <f t="shared" ref="Q772:Q778" si="105">SUM(N772:P772)</f>
        <v>110439</v>
      </c>
      <c r="R772" s="55">
        <f t="shared" ref="R772:R778" si="106">+E772+I772+M772+Q772</f>
        <v>499004</v>
      </c>
    </row>
    <row r="773" spans="1:20" ht="15.75" customHeight="1" x14ac:dyDescent="0.3">
      <c r="A773" s="15" t="s">
        <v>1014</v>
      </c>
      <c r="B773" s="1">
        <f>+B38+SUM(B82:B84)+SUM(B183:B192)+SUM(B320:B334)+SUM(B444:B445)+B485+SUM(B533:B534)+B593+B631+B683+SUM(B720:B720)</f>
        <v>0</v>
      </c>
      <c r="C773" s="1">
        <f>+C38+SUM(C82:C84)+SUM(C183:C192)+SUM(C320:C334)+SUM(C444:C445)+C485+SUM(C533:C534)+C593+C631+C683+SUM(C720:C720)</f>
        <v>0</v>
      </c>
      <c r="D773" s="1">
        <f>+D38+SUM(D82:D84)+SUM(D183:D192)+SUM(D320:D334)+SUM(D444:D445)+D485+SUM(D533:D534)+D593+D631+D683+SUM(D720:D720)</f>
        <v>0</v>
      </c>
      <c r="E773" s="55">
        <f t="shared" si="102"/>
        <v>0</v>
      </c>
      <c r="F773" s="1">
        <f>+F38+SUM(F82:F84)+SUM(F183:F192)+SUM(F320:F334)+SUM(F444:F445)+F485+SUM(F533:F534)+F593+F631+F683+SUM(F720:F720)</f>
        <v>0</v>
      </c>
      <c r="G773" s="1">
        <f>+G38+SUM(G82:G84)+SUM(G183:G192)+SUM(G320:G334)+SUM(G444:G445)+G485+SUM(G533:G534)+G593+G631+G683+SUM(G720:G720)</f>
        <v>0</v>
      </c>
      <c r="H773" s="1">
        <f>+H38+SUM(H82:H84)+SUM(H183:H192)+SUM(H320:H334)+SUM(H444:H445)+H485+SUM(H533:H534)+H593+H631+H683+SUM(H720:H720)</f>
        <v>1250</v>
      </c>
      <c r="I773" s="55">
        <f t="shared" si="103"/>
        <v>1250</v>
      </c>
      <c r="J773" s="1">
        <f>+J38+SUM(J82:J84)+SUM(J183:J192)+SUM(J320:J334)+SUM(J444:J445)+J485+SUM(J533:J534)+J593+J631+J683+SUM(J720:J720)</f>
        <v>0</v>
      </c>
      <c r="K773" s="1">
        <f>+K38+SUM(K82:K84)+SUM(K183:K192)+SUM(K320:K334)+SUM(K444:K445)+K485+SUM(K533:K534)+K593+K631+K683+SUM(K720:K720)</f>
        <v>0</v>
      </c>
      <c r="L773" s="1">
        <f>+L38+SUM(L82:L84)+SUM(L183:L192)+SUM(L320:L334)+SUM(L444:L445)+L485+SUM(L533:L534)+L593+L631+L683+SUM(L720:L720)</f>
        <v>850</v>
      </c>
      <c r="M773" s="55">
        <f t="shared" si="104"/>
        <v>850</v>
      </c>
      <c r="N773" s="1">
        <f>+N38+SUM(N82:N84)+SUM(N183:N192)+SUM(N320:N334)+SUM(N444:N445)+N485+SUM(N533:N534)+N593+N631+N683+SUM(N720:N720)</f>
        <v>2154</v>
      </c>
      <c r="O773" s="1">
        <f>+O38+SUM(O82:O84)+SUM(O183:O192)+SUM(O320:O334)+SUM(O444:O445)+O485+SUM(O533:O534)+O593+O631+O683+SUM(O720:O720)</f>
        <v>746</v>
      </c>
      <c r="P773" s="1">
        <f>+P38+SUM(P82:P84)+SUM(P183:P192)+SUM(P320:P334)+SUM(P444:P445)+P485+SUM(P533:P534)+P593+P631+P683+SUM(P720:P720)</f>
        <v>0</v>
      </c>
      <c r="Q773" s="55">
        <f t="shared" si="105"/>
        <v>2900</v>
      </c>
      <c r="R773" s="55">
        <f t="shared" si="106"/>
        <v>5000</v>
      </c>
    </row>
    <row r="774" spans="1:20" ht="15.75" customHeight="1" x14ac:dyDescent="0.3">
      <c r="A774" s="315" t="s">
        <v>1015</v>
      </c>
      <c r="B774" s="1">
        <f>+SUM(B85:B87)+SUM(B193:B196)+SUM(B335:B339)+B446+B486+SUM(B535:B536)+B594+B632+B684+SUM(B721:B722)</f>
        <v>496</v>
      </c>
      <c r="C774" s="1">
        <f>+SUM(C85:C87)+SUM(C193:C196)+SUM(C335:C339)+C446+C486+SUM(C535:C536)+C594+C632+C684+SUM(C721:C722)</f>
        <v>409</v>
      </c>
      <c r="D774" s="1">
        <f>+SUM(D85:D87)+SUM(D193:D196)+SUM(D335:D339)+D446+D486+SUM(D535:D536)+D594+D632+D684+SUM(D721:D722)</f>
        <v>2734</v>
      </c>
      <c r="E774" s="55">
        <f t="shared" si="102"/>
        <v>3639</v>
      </c>
      <c r="F774" s="1">
        <f>+SUM(F85:F87)+SUM(F193:F196)+SUM(F335:F339)+F446+F486+SUM(F535:F536)+F594+F632+F684+SUM(F721:F722)</f>
        <v>6759</v>
      </c>
      <c r="G774" s="1">
        <f>+SUM(G85:G87)+SUM(G193:G196)+SUM(G335:G339)+G446+G486+SUM(G535:G536)+G594+G632+G684+SUM(G721:G722)</f>
        <v>8308</v>
      </c>
      <c r="H774" s="1">
        <f>+SUM(H85:H87)+SUM(H193:H196)+SUM(H335:H339)+H446+H486+SUM(H535:H536)+H594+H632+H684+SUM(H721:H722)</f>
        <v>5529</v>
      </c>
      <c r="I774" s="55">
        <f t="shared" si="103"/>
        <v>20596</v>
      </c>
      <c r="J774" s="1">
        <f>+SUM(J85:J87)+SUM(J193:J196)+SUM(J335:J339)+J446+J486+SUM(J535:J536)+J594+J632+J684+SUM(J721:J722)</f>
        <v>2644</v>
      </c>
      <c r="K774" s="1">
        <f>+SUM(K85:K87)+SUM(K193:K196)+SUM(K335:K339)+K446+K486+SUM(K535:K536)+K594+K632+K684+SUM(K721:K722)</f>
        <v>3725</v>
      </c>
      <c r="L774" s="1">
        <f>+SUM(L85:L87)+SUM(L193:L196)+SUM(L335:L339)+L446+L486+SUM(L535:L536)+L594+L632+L684+SUM(L721:L722)</f>
        <v>2244</v>
      </c>
      <c r="M774" s="55">
        <f t="shared" si="104"/>
        <v>8613</v>
      </c>
      <c r="N774" s="1">
        <f>+SUM(N85:N87)+SUM(N193:N196)+SUM(N335:N339)+N446+N486+SUM(N535:N536)+N594+N632+N684+SUM(N721:N722)</f>
        <v>1445</v>
      </c>
      <c r="O774" s="1">
        <f>+SUM(O85:O87)+SUM(O193:O196)+SUM(O335:O339)+O446+O486+SUM(O535:O536)+O594+O632+O684+SUM(O721:O722)</f>
        <v>18</v>
      </c>
      <c r="P774" s="1">
        <f>+SUM(P85:P87)+SUM(P193:P196)+SUM(P335:P339)+P446+P486+SUM(P535:P536)+P594+P632+P684+SUM(P721:P722)</f>
        <v>682</v>
      </c>
      <c r="Q774" s="55">
        <f t="shared" si="105"/>
        <v>2145</v>
      </c>
      <c r="R774" s="55">
        <f t="shared" si="106"/>
        <v>34993</v>
      </c>
    </row>
    <row r="775" spans="1:20" ht="15.75" customHeight="1" x14ac:dyDescent="0.3">
      <c r="A775" s="15" t="s">
        <v>1016</v>
      </c>
      <c r="B775" s="1">
        <f>+B278+B420+B421</f>
        <v>0</v>
      </c>
      <c r="C775" s="1">
        <f>+C278+C420+C421</f>
        <v>0</v>
      </c>
      <c r="D775" s="1">
        <f>+D278+D420+D421</f>
        <v>0</v>
      </c>
      <c r="E775" s="55">
        <f t="shared" si="102"/>
        <v>0</v>
      </c>
      <c r="F775" s="1">
        <f>+F278+F420+F421</f>
        <v>0</v>
      </c>
      <c r="G775" s="1">
        <f>+G278+G420+G421</f>
        <v>0</v>
      </c>
      <c r="H775" s="1">
        <f>+H278+H420+H421</f>
        <v>0</v>
      </c>
      <c r="I775" s="55">
        <f t="shared" si="103"/>
        <v>0</v>
      </c>
      <c r="J775" s="1">
        <f>+J278+J420+J421</f>
        <v>0</v>
      </c>
      <c r="K775" s="1">
        <f>+K278+K420+K421</f>
        <v>0</v>
      </c>
      <c r="L775" s="1">
        <f>+L278+L420+L421</f>
        <v>0</v>
      </c>
      <c r="M775" s="55">
        <f t="shared" si="104"/>
        <v>0</v>
      </c>
      <c r="N775" s="1">
        <f>+N278+N420+N421</f>
        <v>0</v>
      </c>
      <c r="O775" s="1">
        <f>+O278+O420+O421</f>
        <v>0</v>
      </c>
      <c r="P775" s="1">
        <f>+P278+P420+P421</f>
        <v>0</v>
      </c>
      <c r="Q775" s="55">
        <f t="shared" si="105"/>
        <v>0</v>
      </c>
      <c r="R775" s="55">
        <f t="shared" si="106"/>
        <v>0</v>
      </c>
    </row>
    <row r="776" spans="1:20" ht="15.75" customHeight="1" x14ac:dyDescent="0.3">
      <c r="A776" s="315" t="s">
        <v>377</v>
      </c>
      <c r="B776" s="1">
        <f>+B279</f>
        <v>8</v>
      </c>
      <c r="C776" s="1">
        <f>+C279</f>
        <v>10</v>
      </c>
      <c r="D776" s="1">
        <f>+D279</f>
        <v>24</v>
      </c>
      <c r="E776" s="55">
        <f>SUM(B776:D776)</f>
        <v>42</v>
      </c>
      <c r="F776" s="1">
        <f>+F279</f>
        <v>35</v>
      </c>
      <c r="G776" s="1">
        <f>+G279</f>
        <v>29</v>
      </c>
      <c r="H776" s="1">
        <f>+H279</f>
        <v>43</v>
      </c>
      <c r="I776" s="55">
        <f>SUM(F776:H776)</f>
        <v>107</v>
      </c>
      <c r="J776" s="1">
        <f>+J279</f>
        <v>62</v>
      </c>
      <c r="K776" s="1">
        <f>+K279</f>
        <v>38</v>
      </c>
      <c r="L776" s="1">
        <f>+L279</f>
        <v>37</v>
      </c>
      <c r="M776" s="55">
        <f>SUM(J776:L776)</f>
        <v>137</v>
      </c>
      <c r="N776" s="1">
        <f>+N279</f>
        <v>28</v>
      </c>
      <c r="O776" s="1">
        <f>+O279</f>
        <v>13</v>
      </c>
      <c r="P776" s="1">
        <f>+P279</f>
        <v>11</v>
      </c>
      <c r="Q776" s="55">
        <f t="shared" si="105"/>
        <v>52</v>
      </c>
      <c r="R776" s="55">
        <f>+E776+I776+M776+Q776</f>
        <v>338</v>
      </c>
    </row>
    <row r="777" spans="1:20" ht="15.75" customHeight="1" thickBot="1" x14ac:dyDescent="0.35">
      <c r="A777" s="15" t="s">
        <v>53</v>
      </c>
      <c r="B777" s="1">
        <f>+B88+B447+B487+B537+B595+B633+B685+B723</f>
        <v>0</v>
      </c>
      <c r="C777" s="1">
        <f>+C88+C447+C487+C537+C595+C633+C685+C723</f>
        <v>0</v>
      </c>
      <c r="D777" s="1">
        <f>+D88+D447+D487+D537+D595+D633+D685+D723</f>
        <v>0</v>
      </c>
      <c r="E777" s="55">
        <f t="shared" si="102"/>
        <v>0</v>
      </c>
      <c r="F777" s="1">
        <f>+F88+F447+F487+F537+F595+F633+F685+F723</f>
        <v>0</v>
      </c>
      <c r="G777" s="1">
        <f>+G88+G447+G487+G537+G595+G633+G685+G723</f>
        <v>0</v>
      </c>
      <c r="H777" s="1">
        <f>+H88+H447+H487+H537+H595+H633+H685+H723</f>
        <v>0</v>
      </c>
      <c r="I777" s="55">
        <f t="shared" si="103"/>
        <v>0</v>
      </c>
      <c r="J777" s="1">
        <f>+J88+J447+J487+J537+J595+J633+J685+J723</f>
        <v>0</v>
      </c>
      <c r="K777" s="1">
        <f>+K88+K447+K487+K537+K595+K633+K685+K723</f>
        <v>0</v>
      </c>
      <c r="L777" s="1">
        <f>+L88+L447+L487+L537+L595+L633+L685+L723</f>
        <v>0</v>
      </c>
      <c r="M777" s="55">
        <f t="shared" si="104"/>
        <v>0</v>
      </c>
      <c r="N777" s="1">
        <f>+N88+N447+N487+N537+N595+N633+N685+N723</f>
        <v>0</v>
      </c>
      <c r="O777" s="1">
        <f>+O88+O447+O487+O537+O595+O633+O685+O723</f>
        <v>0</v>
      </c>
      <c r="P777" s="1">
        <f>+P88+P447+P487+P537+P595+P633+P685+P723</f>
        <v>0</v>
      </c>
      <c r="Q777" s="55">
        <f t="shared" si="105"/>
        <v>0</v>
      </c>
      <c r="R777" s="55">
        <f t="shared" si="106"/>
        <v>0</v>
      </c>
    </row>
    <row r="778" spans="1:20" ht="16.5" customHeight="1" thickBot="1" x14ac:dyDescent="0.35">
      <c r="A778" s="57" t="s">
        <v>54</v>
      </c>
      <c r="B778" s="86">
        <f>SUM(B771:B777)</f>
        <v>26178</v>
      </c>
      <c r="C778" s="87">
        <f>SUM(C771:C777)</f>
        <v>32943</v>
      </c>
      <c r="D778" s="87">
        <f>SUM(D771:D777)</f>
        <v>43378</v>
      </c>
      <c r="E778" s="59">
        <f t="shared" si="102"/>
        <v>102499</v>
      </c>
      <c r="F778" s="87">
        <f>SUM(F771:F777)</f>
        <v>51896</v>
      </c>
      <c r="G778" s="87">
        <f>SUM(G771:G777)</f>
        <v>42379</v>
      </c>
      <c r="H778" s="87">
        <f>SUM(H771:H777)</f>
        <v>43563</v>
      </c>
      <c r="I778" s="59">
        <f t="shared" si="103"/>
        <v>137838</v>
      </c>
      <c r="J778" s="87">
        <f>SUM(J771:J777)</f>
        <v>68841</v>
      </c>
      <c r="K778" s="87">
        <f>SUM(K771:K777)</f>
        <v>58848</v>
      </c>
      <c r="L778" s="87">
        <f>SUM(L771:L777)</f>
        <v>55773</v>
      </c>
      <c r="M778" s="59">
        <f t="shared" si="104"/>
        <v>183462</v>
      </c>
      <c r="N778" s="87">
        <f>SUM(N771:N777)</f>
        <v>45199</v>
      </c>
      <c r="O778" s="87">
        <f>SUM(O771:O777)</f>
        <v>33553</v>
      </c>
      <c r="P778" s="87">
        <f>SUM(P771:P777)</f>
        <v>36784</v>
      </c>
      <c r="Q778" s="59">
        <f t="shared" si="105"/>
        <v>115536</v>
      </c>
      <c r="R778" s="59">
        <f t="shared" si="106"/>
        <v>539335</v>
      </c>
      <c r="T778" s="4">
        <f>+R778-R775-R774</f>
        <v>504342</v>
      </c>
    </row>
    <row r="779" spans="1:20" ht="15.75" customHeight="1" x14ac:dyDescent="0.3">
      <c r="A779" s="15" t="s">
        <v>55</v>
      </c>
      <c r="B779" s="1"/>
      <c r="C779" s="1"/>
      <c r="D779" s="1"/>
      <c r="E779" s="55" t="s">
        <v>7</v>
      </c>
      <c r="F779" s="1"/>
      <c r="G779" s="1"/>
      <c r="H779" s="1"/>
      <c r="I779" s="55" t="s">
        <v>7</v>
      </c>
      <c r="J779" s="1"/>
      <c r="K779" s="1"/>
      <c r="L779" s="1"/>
      <c r="M779" s="55" t="s">
        <v>7</v>
      </c>
      <c r="N779" s="1"/>
      <c r="O779" s="1"/>
      <c r="P779" s="1"/>
      <c r="Q779" s="55" t="s">
        <v>7</v>
      </c>
      <c r="R779" s="55" t="s">
        <v>7</v>
      </c>
    </row>
    <row r="780" spans="1:20" ht="15.75" customHeight="1" x14ac:dyDescent="0.3">
      <c r="A780" s="15" t="s">
        <v>56</v>
      </c>
      <c r="B780" s="1">
        <f>SUM(B43:B43)+SUM(B200:B200)+SUM(B91:B91)+SUM(B343:B343)</f>
        <v>0</v>
      </c>
      <c r="C780" s="1">
        <f>SUM(C43:C43)+SUM(C200:C200)+SUM(C91:C91)+SUM(C343:C343)</f>
        <v>0</v>
      </c>
      <c r="D780" s="1">
        <f>SUM(D43:D43)+SUM(D200:D200)+SUM(D91:D91)+SUM(D343:D343)</f>
        <v>0</v>
      </c>
      <c r="E780" s="55">
        <f>SUM(B780:D780)</f>
        <v>0</v>
      </c>
      <c r="F780" s="1">
        <f>SUM(F43:F43)+SUM(F200:F200)+SUM(F91:F91)+SUM(F343:F343)</f>
        <v>0</v>
      </c>
      <c r="G780" s="1">
        <f>SUM(G43:G43)+SUM(G200:G200)+SUM(G91:G91)+SUM(G343:G343)</f>
        <v>0</v>
      </c>
      <c r="H780" s="1">
        <f>SUM(H43:H43)+SUM(H200:H200)+SUM(H91:H91)+SUM(H343:H343)</f>
        <v>0</v>
      </c>
      <c r="I780" s="55">
        <f>SUM(F780:H780)</f>
        <v>0</v>
      </c>
      <c r="J780" s="1">
        <f>SUM(J43:J43)+SUM(J200:J200)+SUM(J91:J91)+SUM(J343:J343)</f>
        <v>0</v>
      </c>
      <c r="K780" s="1">
        <f>SUM(K43:K43)+SUM(K200:K200)+SUM(K91:K91)+SUM(K343:K343)</f>
        <v>0</v>
      </c>
      <c r="L780" s="1">
        <f>SUM(L43:L43)+SUM(L200:L200)+SUM(L91:L91)+SUM(L343:L343)</f>
        <v>0</v>
      </c>
      <c r="M780" s="55">
        <f>SUM(J780:L780)</f>
        <v>0</v>
      </c>
      <c r="N780" s="1">
        <f>SUM(N43:N43)+SUM(N200:N200)+SUM(N91:N91)+SUM(N343:N343)</f>
        <v>0</v>
      </c>
      <c r="O780" s="1">
        <f>SUM(O43:O43)+SUM(O200:O200)+SUM(O91:O91)+SUM(O343:O343)</f>
        <v>0</v>
      </c>
      <c r="P780" s="1">
        <f>SUM(P43:P43)+SUM(P200:P200)+SUM(P91:P91)+SUM(P343:P343)</f>
        <v>0</v>
      </c>
      <c r="Q780" s="55">
        <f>SUM(N780:P780)</f>
        <v>0</v>
      </c>
      <c r="R780" s="55">
        <f>+E780+I780+M780+Q780</f>
        <v>0</v>
      </c>
    </row>
    <row r="781" spans="1:20" ht="15.75" customHeight="1" x14ac:dyDescent="0.3">
      <c r="A781" s="315" t="s">
        <v>57</v>
      </c>
      <c r="B781" s="1">
        <f>+SUM(B93:B94)+SUM(B201:B203)+SUM(B344:B353)+B451+SUM(B490:B492)+SUM(B540:B542)+SUM(B598:B598)+B636+B688+SUM(B726:B727)</f>
        <v>10520</v>
      </c>
      <c r="C781" s="1">
        <f>+SUM(C93:C94)+SUM(C201:C203)+SUM(C344:C353)+C451+SUM(C490:C492)+SUM(C540:C542)+SUM(C598:C598)+C636+C688+SUM(C726:C727)</f>
        <v>10972</v>
      </c>
      <c r="D781" s="1">
        <f>+SUM(D93:D94)+SUM(D201:D203)+SUM(D344:D353)+D451+SUM(D490:D492)+SUM(D540:D542)+SUM(D598:D598)+D636+D688+SUM(D726:D727)</f>
        <v>36972</v>
      </c>
      <c r="E781" s="55">
        <f>SUM(B781:D781)</f>
        <v>58464</v>
      </c>
      <c r="F781" s="1">
        <f>+SUM(F93:F94)+SUM(F201:F203)+SUM(F344:F353)+F451+SUM(F490:F492)+SUM(F540:F542)+SUM(F598:F598)+F636+F688+SUM(F726:F727)</f>
        <v>52610</v>
      </c>
      <c r="G781" s="1">
        <f>+SUM(G93:G94)+SUM(G201:G203)+SUM(G344:G353)+G451+SUM(G490:G492)+SUM(G540:G542)+SUM(G598:G598)+G636+G688+SUM(G726:G727)</f>
        <v>28102</v>
      </c>
      <c r="H781" s="1">
        <f>+SUM(H93:H94)+SUM(H201:H203)+SUM(H344:H353)+H451+SUM(H490:H492)+SUM(H540:H542)+SUM(H598:H598)+H636+H688+SUM(H726:H727)</f>
        <v>39436</v>
      </c>
      <c r="I781" s="55">
        <f>SUM(F781:H781)</f>
        <v>120148</v>
      </c>
      <c r="J781" s="1">
        <f>+SUM(J93:J94)+SUM(J201:J203)+SUM(J344:J353)+J451+SUM(J490:J492)+SUM(J540:J542)+SUM(J598:J598)+J636+J688+SUM(J726:J727)</f>
        <v>33755</v>
      </c>
      <c r="K781" s="1">
        <f>+SUM(K93:K94)+SUM(K201:K203)+SUM(K344:K353)+K451+SUM(K490:K492)+SUM(K540:K542)+SUM(K598:K598)+K636+K688+SUM(K726:K727)</f>
        <v>38588</v>
      </c>
      <c r="L781" s="1">
        <f>+SUM(L93:L94)+SUM(L201:L203)+SUM(L344:L353)+L451+SUM(L490:L492)+SUM(L540:L542)+SUM(L598:L598)+L636+L688+SUM(L726:L727)</f>
        <v>29447</v>
      </c>
      <c r="M781" s="55">
        <f>SUM(J781:L781)</f>
        <v>101790</v>
      </c>
      <c r="N781" s="1">
        <f>+SUM(N93:N94)+SUM(N201:N203)+SUM(N344:N353)+N451+SUM(N490:N492)+SUM(N540:N542)+SUM(N598:N598)+N636+N688+SUM(N726:N727)</f>
        <v>18821</v>
      </c>
      <c r="O781" s="1">
        <f>+SUM(O93:O94)+SUM(O201:O203)+SUM(O344:O353)+O451+SUM(O490:O492)+SUM(O540:O542)+SUM(O598:O598)+O636+O688+SUM(O726:O727)</f>
        <v>10850</v>
      </c>
      <c r="P781" s="1">
        <f>+SUM(P93:P94)+SUM(P201:P203)+SUM(P344:P353)+P451+SUM(P490:P492)+SUM(P540:P542)+SUM(P598:P598)+P636+P688+SUM(P726:P727)</f>
        <v>8206</v>
      </c>
      <c r="Q781" s="55">
        <f>SUM(N781:P781)</f>
        <v>37877</v>
      </c>
      <c r="R781" s="55">
        <f>+E781+I781+M781+Q781</f>
        <v>318279</v>
      </c>
    </row>
    <row r="782" spans="1:20" ht="15.75" customHeight="1" thickBot="1" x14ac:dyDescent="0.35">
      <c r="A782" s="15" t="s">
        <v>58</v>
      </c>
      <c r="B782" s="1">
        <f>+B95+B452+B493+B543+B599+B637+B689+B728</f>
        <v>0</v>
      </c>
      <c r="C782" s="1">
        <f>+C95+C452+C493+C543+C599+C637+C689+C728</f>
        <v>0</v>
      </c>
      <c r="D782" s="1">
        <f>+D95+D452+D493+D543+D599+D637+D689+D728</f>
        <v>0</v>
      </c>
      <c r="E782" s="55">
        <f>SUM(B782:D782)</f>
        <v>0</v>
      </c>
      <c r="F782" s="1">
        <f>+F95+F452+F493+F543+F599+F637+F689+F728</f>
        <v>0</v>
      </c>
      <c r="G782" s="1">
        <f>+G95+G452+G493+G543+G599+G637+G689+G728</f>
        <v>0</v>
      </c>
      <c r="H782" s="1">
        <f>+H95+H452+H493+H543+H599+H637+H689+H728</f>
        <v>0</v>
      </c>
      <c r="I782" s="55">
        <f>SUM(F782:H782)</f>
        <v>0</v>
      </c>
      <c r="J782" s="1">
        <f>+J95+J452+J493+J543+J599+J637+J689+J728</f>
        <v>0</v>
      </c>
      <c r="K782" s="1">
        <f>+K95+K452+K493+K543+K599+K637+K689+K728</f>
        <v>0</v>
      </c>
      <c r="L782" s="1">
        <f>+L95+L452+L493+L543+L599+L637+L689+L728</f>
        <v>0</v>
      </c>
      <c r="M782" s="55">
        <f>SUM(J782:L782)</f>
        <v>0</v>
      </c>
      <c r="N782" s="1">
        <f>+N95+N452+N493+N543+N599+N637+N689+N728</f>
        <v>0</v>
      </c>
      <c r="O782" s="1">
        <f>+O95+O452+O493+O543+O599+O637+O689+O728</f>
        <v>0</v>
      </c>
      <c r="P782" s="1">
        <f>+P95+P452+P493+P543+P599+P637+P689+P728</f>
        <v>0</v>
      </c>
      <c r="Q782" s="55">
        <f>SUM(N782:P782)</f>
        <v>0</v>
      </c>
      <c r="R782" s="55">
        <f>+E782+I782+M782+Q782</f>
        <v>0</v>
      </c>
    </row>
    <row r="783" spans="1:20" ht="16.5" customHeight="1" thickBot="1" x14ac:dyDescent="0.35">
      <c r="A783" s="57" t="s">
        <v>59</v>
      </c>
      <c r="B783" s="86">
        <f>SUM(B779:B782)</f>
        <v>10520</v>
      </c>
      <c r="C783" s="87">
        <f>SUM(C779:C782)</f>
        <v>10972</v>
      </c>
      <c r="D783" s="87">
        <f>SUM(D779:D782)</f>
        <v>36972</v>
      </c>
      <c r="E783" s="59">
        <f>SUM(B783:D783)</f>
        <v>58464</v>
      </c>
      <c r="F783" s="87">
        <f>SUM(F779:F782)</f>
        <v>52610</v>
      </c>
      <c r="G783" s="87">
        <f>SUM(G779:G782)</f>
        <v>28102</v>
      </c>
      <c r="H783" s="87">
        <f>SUM(H779:H782)</f>
        <v>39436</v>
      </c>
      <c r="I783" s="59">
        <f>SUM(F783:H783)</f>
        <v>120148</v>
      </c>
      <c r="J783" s="87">
        <f>SUM(J779:J782)</f>
        <v>33755</v>
      </c>
      <c r="K783" s="87">
        <f>SUM(K779:K782)</f>
        <v>38588</v>
      </c>
      <c r="L783" s="87">
        <f>SUM(L779:L782)</f>
        <v>29447</v>
      </c>
      <c r="M783" s="59">
        <f>SUM(J783:L783)</f>
        <v>101790</v>
      </c>
      <c r="N783" s="87">
        <f>SUM(N779:N782)</f>
        <v>18821</v>
      </c>
      <c r="O783" s="87">
        <f>SUM(O779:O782)</f>
        <v>10850</v>
      </c>
      <c r="P783" s="87">
        <f>SUM(P779:P782)</f>
        <v>8206</v>
      </c>
      <c r="Q783" s="59">
        <f>SUM(N783:P783)</f>
        <v>37877</v>
      </c>
      <c r="R783" s="59">
        <f>+E783+I783+M783+Q783</f>
        <v>318279</v>
      </c>
    </row>
    <row r="784" spans="1:20" ht="15.75" customHeight="1" x14ac:dyDescent="0.3">
      <c r="A784" s="15" t="s">
        <v>60</v>
      </c>
      <c r="B784" s="1"/>
      <c r="C784" s="1"/>
      <c r="D784" s="1"/>
      <c r="E784" s="55" t="s">
        <v>7</v>
      </c>
      <c r="F784" s="1"/>
      <c r="G784" s="1"/>
      <c r="H784" s="1"/>
      <c r="I784" s="55" t="s">
        <v>7</v>
      </c>
      <c r="J784" s="1"/>
      <c r="K784" s="1"/>
      <c r="L784" s="1"/>
      <c r="M784" s="55" t="s">
        <v>7</v>
      </c>
      <c r="N784" s="1"/>
      <c r="O784" s="1"/>
      <c r="P784" s="1"/>
      <c r="Q784" s="55" t="s">
        <v>7</v>
      </c>
      <c r="R784" s="55" t="s">
        <v>7</v>
      </c>
    </row>
    <row r="785" spans="1:20" ht="15.75" customHeight="1" x14ac:dyDescent="0.3">
      <c r="A785" s="315" t="s">
        <v>61</v>
      </c>
      <c r="B785" s="1">
        <f>+B48+B98+B207+SUM(B357:B359)+B455+B496+B546+B602+SUM(B640:B641)+B692+SUM(B731:B733)</f>
        <v>6423</v>
      </c>
      <c r="C785" s="1">
        <f>+C48+C98+C207+SUM(C357:C359)+C455+C496+C546+C602+SUM(C640:C641)+C692+SUM(C731:C733)</f>
        <v>7593</v>
      </c>
      <c r="D785" s="1">
        <f>+D48+D98+D207+SUM(D357:D359)+D455+D496+D546+D602+SUM(D640:D641)+D692+SUM(D731:D733)</f>
        <v>13977</v>
      </c>
      <c r="E785" s="55">
        <f>SUM(B785:D785)</f>
        <v>27993</v>
      </c>
      <c r="F785" s="1">
        <f>+F48+F98+F207+SUM(F357:F359)+F455+F496+F546+F602+SUM(F640:F641)+F692+SUM(F731:F733)</f>
        <v>21865</v>
      </c>
      <c r="G785" s="1">
        <f>+G48+G98+G207+SUM(G357:G359)+G455+G496+G546+G602+SUM(G640:G641)+G692+SUM(G731:G733)</f>
        <v>12345</v>
      </c>
      <c r="H785" s="1">
        <f>+H48+H98+H207+SUM(H357:H359)+H455+H496+H546+H602+SUM(H640:H641)+H692+SUM(H731:H733)</f>
        <v>13508</v>
      </c>
      <c r="I785" s="55">
        <f>SUM(F785:H785)</f>
        <v>47718</v>
      </c>
      <c r="J785" s="1">
        <f>+J48+J98+J207+SUM(J357:J359)+J455+J496+J546+J602+SUM(J640:J641)+J692+SUM(J731:J733)</f>
        <v>11759</v>
      </c>
      <c r="K785" s="1">
        <f>+K48+K98+K207+SUM(K357:K359)+K455+K496+K546+K602+SUM(K640:K641)+K692+SUM(K731:K733)</f>
        <v>11225</v>
      </c>
      <c r="L785" s="1">
        <f>+L48+L98+L207+SUM(L357:L359)+L455+L496+L546+L602+SUM(L640:L641)+L692+SUM(L731:L733)</f>
        <v>7018</v>
      </c>
      <c r="M785" s="55">
        <f>SUM(J785:L785)</f>
        <v>30002</v>
      </c>
      <c r="N785" s="1">
        <f>+N48+N98+N207+SUM(N357:N359)+N455+N496+N546+N602+SUM(N640:N641)+N692+SUM(N731:N733)</f>
        <v>6103</v>
      </c>
      <c r="O785" s="1">
        <f>+O48+O98+O207+SUM(O357:O359)+O455+O496+O546+O602+SUM(O640:O641)+O692+SUM(O731:O733)</f>
        <v>1510</v>
      </c>
      <c r="P785" s="1">
        <f>+P48+P98+P207+SUM(P357:P359)+P455+P496+P546+P602+SUM(P640:P641)+P692+SUM(P731:P733)</f>
        <v>8300</v>
      </c>
      <c r="Q785" s="55">
        <f>SUM(N785:P785)</f>
        <v>15913</v>
      </c>
      <c r="R785" s="55">
        <f>+E785+I785+M785+Q785</f>
        <v>121626</v>
      </c>
    </row>
    <row r="786" spans="1:20" ht="15.75" customHeight="1" thickBot="1" x14ac:dyDescent="0.35">
      <c r="A786" s="315" t="s">
        <v>62</v>
      </c>
      <c r="B786" s="1">
        <f>+B49+SUM(B99:B107)+SUM(B208:B254)+SUM(B360:B393)+SUM(B456:B457)+SUM(B497:B498)+SUM(B547:B549)+B603+SUM(B642:B646)+B693+SUM(B734:B738)</f>
        <v>14107</v>
      </c>
      <c r="C786" s="1">
        <f>+C49+SUM(C99:C107)+SUM(C208:C254)+SUM(C360:C393)+SUM(C456:C457)+SUM(C497:C498)+SUM(C547:C549)+C603+SUM(C642:C646)+C693+SUM(C734:C738)</f>
        <v>24367</v>
      </c>
      <c r="D786" s="1">
        <f>+D49+SUM(D99:D107)+SUM(D208:D254)+SUM(D360:D393)+SUM(D456:D457)+SUM(D497:D498)+SUM(D547:D549)+D603+SUM(D642:D646)+D693+SUM(D734:D738)</f>
        <v>37789</v>
      </c>
      <c r="E786" s="55">
        <f>SUM(B786:D786)</f>
        <v>76263</v>
      </c>
      <c r="F786" s="1">
        <f>+F49+SUM(F99:F107)+SUM(F208:F254)+SUM(F360:F393)+SUM(F456:F457)+SUM(F497:F498)+SUM(F547:F549)+F603+SUM(F642:F646)+F693+SUM(F734:F738)</f>
        <v>53179</v>
      </c>
      <c r="G786" s="1">
        <f>+G49+SUM(G99:G107)+SUM(G208:G254)+SUM(G360:G393)+SUM(G456:G457)+SUM(G497:G498)+SUM(G547:G549)+G603+SUM(G642:G646)+G693+SUM(G734:G738)</f>
        <v>57829</v>
      </c>
      <c r="H786" s="1">
        <f>+H49+SUM(H99:H107)+SUM(H208:H254)+SUM(H360:H393)+SUM(H456:H457)+SUM(H497:H498)+SUM(H547:H549)+H603+SUM(H642:H646)+H693+SUM(H734:H738)</f>
        <v>61161</v>
      </c>
      <c r="I786" s="55">
        <f>SUM(F786:H786)</f>
        <v>172169</v>
      </c>
      <c r="J786" s="1">
        <f>+J49+SUM(J99:J107)+SUM(J208:J254)+SUM(J360:J393)+SUM(J456:J457)+SUM(J497:J498)+SUM(J547:J549)+J603+SUM(J642:J646)+J693+SUM(J734:J738)</f>
        <v>35024</v>
      </c>
      <c r="K786" s="1">
        <f>+K49+SUM(K99:K107)+SUM(K208:K254)+SUM(K360:K393)+SUM(K456:K457)+SUM(K497:K498)+SUM(K547:K549)+K603+SUM(K642:K646)+K693+SUM(K734:K738)</f>
        <v>44942</v>
      </c>
      <c r="L786" s="1">
        <f>+L49+SUM(L99:L107)+SUM(L208:L254)+SUM(L360:L393)+SUM(L456:L457)+SUM(L497:L498)+SUM(L547:L549)+L603+SUM(L642:L646)+L693+SUM(L734:L738)</f>
        <v>16809</v>
      </c>
      <c r="M786" s="55">
        <f>SUM(J786:L786)</f>
        <v>96775</v>
      </c>
      <c r="N786" s="1">
        <f>+N49+SUM(N99:N107)+SUM(N208:N254)+SUM(N360:N393)+SUM(N456:N457)+SUM(N497:N498)+SUM(N547:N549)+N603+SUM(N642:N646)+N693+SUM(N734:N738)</f>
        <v>14319</v>
      </c>
      <c r="O786" s="1">
        <f>+O49+SUM(O99:O107)+SUM(O208:O254)+SUM(O360:O393)+SUM(O456:O457)+SUM(O497:O498)+SUM(O547:O549)+O603+SUM(O642:O646)+O693+SUM(O734:O738)</f>
        <v>9637</v>
      </c>
      <c r="P786" s="1">
        <f>+P49+SUM(P99:P107)+SUM(P208:P254)+SUM(P360:P393)+SUM(P456:P457)+SUM(P497:P498)+SUM(P547:P549)+P603+SUM(P642:P646)+P693+SUM(P734:P738)</f>
        <v>16588</v>
      </c>
      <c r="Q786" s="55">
        <f>SUM(N786:P786)</f>
        <v>40544</v>
      </c>
      <c r="R786" s="55">
        <f>+E786+I786+M786+Q786</f>
        <v>385751</v>
      </c>
    </row>
    <row r="787" spans="1:20" ht="16.5" customHeight="1" thickBot="1" x14ac:dyDescent="0.35">
      <c r="A787" s="57" t="s">
        <v>63</v>
      </c>
      <c r="B787" s="86">
        <f>SUM(B784:B786)</f>
        <v>20530</v>
      </c>
      <c r="C787" s="87">
        <f>SUM(C784:C786)</f>
        <v>31960</v>
      </c>
      <c r="D787" s="118">
        <f>SUM(D784:D786)</f>
        <v>51766</v>
      </c>
      <c r="E787" s="59">
        <f>SUM(B787:D787)</f>
        <v>104256</v>
      </c>
      <c r="F787" s="87">
        <f>SUM(F784:F786)</f>
        <v>75044</v>
      </c>
      <c r="G787" s="87">
        <f>SUM(G784:G786)</f>
        <v>70174</v>
      </c>
      <c r="H787" s="87">
        <f>SUM(H784:H786)</f>
        <v>74669</v>
      </c>
      <c r="I787" s="59">
        <f>SUM(F787:H787)</f>
        <v>219887</v>
      </c>
      <c r="J787" s="87">
        <f>SUM(J784:J786)</f>
        <v>46783</v>
      </c>
      <c r="K787" s="87">
        <f>SUM(K784:K786)</f>
        <v>56167</v>
      </c>
      <c r="L787" s="87">
        <f>SUM(L784:L786)</f>
        <v>23827</v>
      </c>
      <c r="M787" s="59">
        <f>SUM(J787:L787)</f>
        <v>126777</v>
      </c>
      <c r="N787" s="87">
        <f>SUM(N784:N786)</f>
        <v>20422</v>
      </c>
      <c r="O787" s="87">
        <f>SUM(O784:O786)</f>
        <v>11147</v>
      </c>
      <c r="P787" s="87">
        <f>SUM(P784:P786)</f>
        <v>24888</v>
      </c>
      <c r="Q787" s="59">
        <f>SUM(N787:P787)</f>
        <v>56457</v>
      </c>
      <c r="R787" s="59">
        <f>+E787+I787+M787+Q787</f>
        <v>507377</v>
      </c>
      <c r="T787" s="4">
        <v>1600000</v>
      </c>
    </row>
    <row r="788" spans="1:20" ht="20.25" customHeight="1" x14ac:dyDescent="0.3">
      <c r="A788" s="15" t="s">
        <v>1018</v>
      </c>
      <c r="B788" s="1"/>
      <c r="C788" s="1"/>
      <c r="D788" s="1"/>
      <c r="E788" s="55" t="s">
        <v>7</v>
      </c>
      <c r="F788" s="1"/>
      <c r="G788" s="1"/>
      <c r="H788" s="1"/>
      <c r="I788" s="55" t="s">
        <v>7</v>
      </c>
      <c r="J788" s="1"/>
      <c r="K788" s="1"/>
      <c r="L788" s="1"/>
      <c r="M788" s="55" t="s">
        <v>7</v>
      </c>
      <c r="N788" s="1"/>
      <c r="O788" s="1"/>
      <c r="P788" s="1"/>
      <c r="Q788" s="55" t="s">
        <v>7</v>
      </c>
      <c r="R788" s="55" t="s">
        <v>7</v>
      </c>
      <c r="T788" s="4">
        <f>+T787-28000-R772-R773-400000-R785-R786+12000</f>
        <v>172619</v>
      </c>
    </row>
    <row r="789" spans="1:20" ht="15.75" customHeight="1" x14ac:dyDescent="0.3">
      <c r="A789" s="15" t="s">
        <v>1019</v>
      </c>
      <c r="B789" s="1">
        <f>SUM(B52:B52)+SUM(B110:B118)+SUM(B257:B261)+SUM(B396:B397)+SUM(B460:B460)+B501+SUM(B552:B554)+B606+B649+B696+SUM(B741:B743)</f>
        <v>0</v>
      </c>
      <c r="C789" s="1">
        <f>SUM(C52:C52)+SUM(C110:C118)+SUM(C257:C261)+SUM(C396:C397)+SUM(C460:C460)+C501+SUM(C552:C554)+C606+C649+C696+SUM(C741:C743)</f>
        <v>0</v>
      </c>
      <c r="D789" s="1">
        <f>SUM(D52:D52)+SUM(D110:D118)+SUM(D257:D261)+SUM(D396:D397)+SUM(D460:D460)+D501+SUM(D552:D554)+D606+D649+D696+SUM(D741:D743)</f>
        <v>0</v>
      </c>
      <c r="E789" s="55">
        <f t="shared" ref="E789:E797" si="107">SUM(B789:D789)</f>
        <v>0</v>
      </c>
      <c r="F789" s="1">
        <f>SUM(F52:F52)+SUM(F110:F118)+SUM(F257:F261)+SUM(F396:F397)+SUM(F460:F460)+F501+SUM(F552:F554)+F606+F649+F696+SUM(F741:F743)</f>
        <v>172</v>
      </c>
      <c r="G789" s="1">
        <f>SUM(G52:G52)+SUM(G110:G118)+SUM(G257:G261)+SUM(G396:G397)+SUM(G460:G460)+G501+SUM(G552:G554)+G606+G649+G696+SUM(G741:G743)</f>
        <v>594</v>
      </c>
      <c r="H789" s="1">
        <f>SUM(H52:H52)+SUM(H110:H118)+SUM(H257:H261)+SUM(H396:H397)+SUM(H460:H460)+H501+SUM(H552:H554)+H606+H649+H696+SUM(H741:H743)</f>
        <v>0</v>
      </c>
      <c r="I789" s="55">
        <f t="shared" ref="I789:I797" si="108">SUM(F789:H789)</f>
        <v>766</v>
      </c>
      <c r="J789" s="1">
        <f>SUM(J52:J52)+SUM(J110:J118)+SUM(J257:J261)+SUM(J396:J397)+SUM(J460:J460)+J501+SUM(J552:J554)+J606+J649+J696+SUM(J741:J743)</f>
        <v>0</v>
      </c>
      <c r="K789" s="1">
        <f>SUM(K52:K52)+SUM(K110:K118)+SUM(K257:K261)+SUM(K396:K397)+SUM(K460:K460)+K501+SUM(K552:K554)+K606+K649+K696+SUM(K741:K743)</f>
        <v>3179</v>
      </c>
      <c r="L789" s="1">
        <f>SUM(L52:L52)+SUM(L110:L118)+SUM(L257:L261)+SUM(L396:L397)+SUM(L460:L460)+L501+SUM(L552:L554)+L606+L649+L696+SUM(L741:L743)</f>
        <v>0</v>
      </c>
      <c r="M789" s="55">
        <f t="shared" ref="M789:M797" si="109">SUM(J789:L789)</f>
        <v>3179</v>
      </c>
      <c r="N789" s="1">
        <f>SUM(N52:N52)+SUM(N110:N118)+SUM(N257:N261)+SUM(N396:N397)+SUM(N460:N460)+N501+SUM(N552:N554)+N606+N649+N696+SUM(N741:N743)</f>
        <v>0</v>
      </c>
      <c r="O789" s="1">
        <f>SUM(O52:O52)+SUM(O110:O118)+SUM(O257:O261)+SUM(O396:O397)+SUM(O460:O460)+O501+SUM(O552:O554)+O606+O649+O696+SUM(O741:O743)</f>
        <v>0</v>
      </c>
      <c r="P789" s="1">
        <f>SUM(P52:P52)+SUM(P110:P118)+SUM(P257:P261)+SUM(P396:P397)+SUM(P460:P460)+P501+SUM(P552:P554)+P606+P649+P696+SUM(P741:P743)</f>
        <v>500</v>
      </c>
      <c r="Q789" s="55">
        <f t="shared" ref="Q789:Q797" si="110">SUM(N789:P789)</f>
        <v>500</v>
      </c>
      <c r="R789" s="55">
        <f>+E789+I789+M789+Q789</f>
        <v>4445</v>
      </c>
    </row>
    <row r="790" spans="1:20" ht="15.75" customHeight="1" x14ac:dyDescent="0.3">
      <c r="A790" s="15" t="s">
        <v>67</v>
      </c>
      <c r="B790" s="1">
        <f>SUM(B53:B54)+SUM(B119:B120)+SUM(B262:B263)+B265+B267+B269+B270+SUM(B398:B400)+B461+B502+SUM(B555:B556)+B558+SUM(B607:B608)+B651+B653+B697+SUM(B744:B745)</f>
        <v>1300</v>
      </c>
      <c r="C790" s="1">
        <f>SUM(C53:C54)+SUM(C119:C120)+SUM(C262:C263)+C265+C267+C269+C270+SUM(C398:C400)+C461+C502+SUM(C555:C556)+C558+SUM(C607:C608)+C651+C653+C697+SUM(C744:C745)</f>
        <v>1300</v>
      </c>
      <c r="D790" s="1">
        <f>SUM(D53:D54)+SUM(D119:D120)+SUM(D262:D263)+D265+D267+D269+D270+SUM(D398:D400)+D461+D502+SUM(D555:D556)+D558+SUM(D607:D608)+D651+D653+D697+SUM(D744:D745)</f>
        <v>1300</v>
      </c>
      <c r="E790" s="55">
        <f t="shared" si="107"/>
        <v>3900</v>
      </c>
      <c r="F790" s="1">
        <f>SUM(F53:F54)+SUM(F119:F120)+SUM(F262:F263)+F265+F267+F269+F270+SUM(F398:F400)+F461+F502+SUM(F555:F556)+F558+SUM(F607:F608)+F651+F653+F697+SUM(F744:F745)</f>
        <v>2183</v>
      </c>
      <c r="G790" s="1">
        <f>SUM(G53:G54)+SUM(G119:G120)+SUM(G262:G263)+G265+G267+G269+G270+SUM(G398:G400)+G461+G502+SUM(G555:G556)+G558+SUM(G607:G608)+G651+G653+G697+SUM(G744:G745)</f>
        <v>4646</v>
      </c>
      <c r="H790" s="1">
        <f>SUM(H53:H54)+SUM(H119:H120)+SUM(H262:H263)+H265+H267+H269+H270+SUM(H398:H400)+H461+H502+SUM(H555:H556)+H558+SUM(H607:H608)+H651+H653+H697+SUM(H744:H745)</f>
        <v>5583</v>
      </c>
      <c r="I790" s="55">
        <f t="shared" si="108"/>
        <v>12412</v>
      </c>
      <c r="J790" s="1">
        <f>SUM(J53:J54)+SUM(J119:J120)+SUM(J262:J263)+J265+J267+J269+J270+SUM(J398:J400)+J461+J502+SUM(J555:J556)+J558+SUM(J607:J608)+J651+J653+J697+SUM(J744:J745)</f>
        <v>3018</v>
      </c>
      <c r="K790" s="1">
        <f>SUM(K53:K54)+SUM(K119:K120)+SUM(K262:K263)+K265+K267+K269+K270+SUM(K398:K400)+K461+K502+SUM(K555:K556)+K558+SUM(K607:K608)+K651+K653+K697+SUM(K744:K745)</f>
        <v>4167</v>
      </c>
      <c r="L790" s="1">
        <f>SUM(L53:L54)+SUM(L119:L120)+SUM(L262:L263)+L265+L267+L269+L270+SUM(L398:L400)+L461+L502+SUM(L555:L556)+L558+SUM(L607:L608)+L651+L653+L697+SUM(L744:L745)</f>
        <v>10362</v>
      </c>
      <c r="M790" s="55">
        <f t="shared" si="109"/>
        <v>17547</v>
      </c>
      <c r="N790" s="1">
        <f>SUM(N53:N54)+SUM(N119:N120)+SUM(N262:N263)+N265+N267+N269+N270+SUM(N398:N400)+N461+N502+SUM(N555:N556)+N558+SUM(N607:N608)+N651+N653+N697+SUM(N744:N745)</f>
        <v>8676</v>
      </c>
      <c r="O790" s="1">
        <f>SUM(O53:O54)+SUM(O119:O120)+SUM(O262:O263)+O265+O267+O269+O270+SUM(O398:O400)+O461+O502+SUM(O555:O556)+O558+SUM(O607:O608)+O651+O653+O697+SUM(O744:O745)</f>
        <v>8198</v>
      </c>
      <c r="P790" s="1">
        <f>SUM(P53:P54)+SUM(P119:P120)+SUM(P262:P263)+P265+P267+P269+P270+SUM(P398:P400)+P461+P502+SUM(P555:P556)+P558+SUM(P607:P608)+P651+P653+P697+SUM(P744:P745)</f>
        <v>6711</v>
      </c>
      <c r="Q790" s="55">
        <f t="shared" si="110"/>
        <v>23585</v>
      </c>
      <c r="R790" s="55">
        <f t="shared" ref="R790:R797" si="111">+E790+I790+M790+Q790</f>
        <v>57444</v>
      </c>
    </row>
    <row r="791" spans="1:20" ht="15.75" customHeight="1" x14ac:dyDescent="0.3">
      <c r="A791" s="71" t="s">
        <v>378</v>
      </c>
      <c r="B791" s="1">
        <f>B121+B264+B266+B268+B557+B559+B652+B654+B746</f>
        <v>0</v>
      </c>
      <c r="C791" s="1">
        <f>C121+C264+C266+C268+C557+C559+C652+C654+C746</f>
        <v>0</v>
      </c>
      <c r="D791" s="1">
        <f>D121+D264+D266+D268+D557+D559+D652+D654+D746</f>
        <v>0</v>
      </c>
      <c r="E791" s="55">
        <f t="shared" si="107"/>
        <v>0</v>
      </c>
      <c r="F791" s="1">
        <f>F121+F264+F266+F268+F557+F559+F652+F654+F746</f>
        <v>0</v>
      </c>
      <c r="G791" s="1">
        <f>G121+G264+G266+G268+G557+G559+G652+G654+G746</f>
        <v>0</v>
      </c>
      <c r="H791" s="1">
        <f>H121+H264+H266+H268+H557+H559+H652+H654+H746</f>
        <v>0</v>
      </c>
      <c r="I791" s="55">
        <f t="shared" si="108"/>
        <v>0</v>
      </c>
      <c r="J791" s="1">
        <f>J121+J264+J266+J268+J557+J559+J652+J654+J746</f>
        <v>0</v>
      </c>
      <c r="K791" s="1">
        <f>K121+K264+K266+K268+K557+K559+K652+K654+K746</f>
        <v>0</v>
      </c>
      <c r="L791" s="1">
        <f>L121+L264+L266+L268+L557+L559+L652+L654+L746</f>
        <v>0</v>
      </c>
      <c r="M791" s="55">
        <f t="shared" si="109"/>
        <v>0</v>
      </c>
      <c r="N791" s="1">
        <f>N121+N264+N266+N268+N557+N559+N652+N654+N746</f>
        <v>0</v>
      </c>
      <c r="O791" s="1">
        <f>O121+O264+O266+O268+O557+O559+O652+O654+O746</f>
        <v>0</v>
      </c>
      <c r="P791" s="1">
        <f>P121+P264+P266+P268+P557+P559+P652+P654+P746</f>
        <v>0</v>
      </c>
      <c r="Q791" s="55">
        <f t="shared" si="110"/>
        <v>0</v>
      </c>
      <c r="R791" s="55">
        <f t="shared" si="111"/>
        <v>0</v>
      </c>
    </row>
    <row r="792" spans="1:20" ht="15.75" customHeight="1" x14ac:dyDescent="0.3">
      <c r="A792" s="15" t="s">
        <v>1020</v>
      </c>
      <c r="B792" s="1">
        <f>+B55+SUM(B122:B123)+SUM(B271:B271)+SUM(B401:B407)+SUM(B462:B462)+SUM(B503:B504)+B561+B609+B655+B747+B747</f>
        <v>0</v>
      </c>
      <c r="C792" s="1">
        <f>+C55+SUM(C122:C123)+SUM(C271:C271)+SUM(C401:C407)+SUM(C462:C462)+SUM(C503:C504)+C561+C609+C655+C747+C747</f>
        <v>0</v>
      </c>
      <c r="D792" s="1">
        <f>+D55+SUM(D122:D123)+SUM(D271:D271)+SUM(D401:D407)+SUM(D462:D462)+SUM(D503:D504)+D561+D609+D655+D747+D747</f>
        <v>0</v>
      </c>
      <c r="E792" s="55">
        <f t="shared" si="107"/>
        <v>0</v>
      </c>
      <c r="F792" s="1">
        <f>+F55+SUM(F122:F123)+SUM(F271:F271)+SUM(F401:F407)+SUM(F462:F462)+SUM(F503:F504)+F561+F609+F655+F747+F747</f>
        <v>0</v>
      </c>
      <c r="G792" s="1">
        <f>+G55+SUM(G122:G123)+SUM(G271:G271)+SUM(G401:G407)+SUM(G462:G462)+SUM(G503:G504)+G561+G609+G655+G747+G747</f>
        <v>0</v>
      </c>
      <c r="H792" s="1">
        <f>+H55+SUM(H122:H123)+SUM(H271:H271)+SUM(H401:H407)+SUM(H462:H462)+SUM(H503:H504)+H561+H609+H655+H747+H747</f>
        <v>1000</v>
      </c>
      <c r="I792" s="55">
        <f t="shared" si="108"/>
        <v>1000</v>
      </c>
      <c r="J792" s="1">
        <f>+J55+SUM(J122:J123)+SUM(J271:J271)+SUM(J401:J407)+SUM(J462:J462)+SUM(J503:J504)+J561+J609+J655+J747+J747</f>
        <v>0</v>
      </c>
      <c r="K792" s="1">
        <f>+K55+SUM(K122:K123)+SUM(K271:K271)+SUM(K401:K407)+SUM(K462:K462)+SUM(K503:K504)+K561+K609+K655+K747+K747</f>
        <v>3509</v>
      </c>
      <c r="L792" s="1">
        <f>+L55+SUM(L122:L123)+SUM(L271:L271)+SUM(L401:L407)+SUM(L462:L462)+SUM(L503:L504)+L561+L609+L655+L747+L747</f>
        <v>2485</v>
      </c>
      <c r="M792" s="55">
        <f t="shared" si="109"/>
        <v>5994</v>
      </c>
      <c r="N792" s="1">
        <f>+N55+SUM(N122:N123)+SUM(N271:N271)+SUM(N401:N407)+SUM(N462:N462)+SUM(N503:N504)+N561+N609+N655+N747+N747</f>
        <v>2439</v>
      </c>
      <c r="O792" s="1">
        <f>+O55+SUM(O122:O123)+SUM(O271:O271)+SUM(O401:O407)+SUM(O462:O462)+SUM(O503:O504)+O561+O609+O655+O747+O747</f>
        <v>0</v>
      </c>
      <c r="P792" s="1">
        <f>+P55+SUM(P122:P123)+SUM(P271:P271)+SUM(P401:P407)+SUM(P462:P462)+SUM(P503:P504)+P561+P609+P655+P747+P747</f>
        <v>0</v>
      </c>
      <c r="Q792" s="55">
        <f t="shared" si="110"/>
        <v>2439</v>
      </c>
      <c r="R792" s="55">
        <f>+E792+I792+M792+Q792</f>
        <v>9433</v>
      </c>
    </row>
    <row r="793" spans="1:20" ht="22.5" customHeight="1" x14ac:dyDescent="0.3">
      <c r="A793" s="15" t="s">
        <v>1021</v>
      </c>
      <c r="B793" s="1">
        <f>SUM(B124:B124)+SUM(B272:B272)+B409+B411+B412+B414+B416+SUM(B463:B464)+B506+B508+B562+SUM(B563:B564)+B610+B656+B699+B748</f>
        <v>200</v>
      </c>
      <c r="C793" s="1">
        <f>SUM(C124:C124)+SUM(C272:C272)+C409+C411+C412+C414+C416+SUM(C463:C464)+C506+C508+C562+SUM(C563:C564)+C610+C656+C699+C748</f>
        <v>300</v>
      </c>
      <c r="D793" s="1">
        <f>SUM(D124:D124)+SUM(D272:D272)+D409+D411+D412+D414+D416+SUM(D463:D464)+D506+D508+D562+SUM(D563:D564)+D610+D656+D699+D748</f>
        <v>900</v>
      </c>
      <c r="E793" s="55">
        <f t="shared" si="107"/>
        <v>1400</v>
      </c>
      <c r="F793" s="1">
        <f>SUM(F124:F124)+SUM(F272:F272)+F409+F411+F412+F414+F416+SUM(F463:F464)+F506+F508+F562+SUM(F563:F564)+F610+F656+F699+F748</f>
        <v>1400</v>
      </c>
      <c r="G793" s="1">
        <f>SUM(G124:G124)+SUM(G272:G272)+G409+G411+G412+G414+G416+SUM(G463:G464)+G506+G508+G562+SUM(G563:G564)+G610+G656+G699+G748</f>
        <v>900</v>
      </c>
      <c r="H793" s="1">
        <f>SUM(H124:H124)+SUM(H272:H272)+H409+H411+H412+H414+H416+SUM(H463:H464)+H506+H508+H562+SUM(H563:H564)+H610+H656+H699+H748</f>
        <v>1800</v>
      </c>
      <c r="I793" s="55">
        <f t="shared" si="108"/>
        <v>4100</v>
      </c>
      <c r="J793" s="1">
        <f>SUM(J124:J124)+SUM(J272:J272)+J409+J411+J412+J414+J416+SUM(J463:J464)+J506+J508+J562+SUM(J563:J564)+J610+J656+J699+J748</f>
        <v>4534</v>
      </c>
      <c r="K793" s="1">
        <f>SUM(K124:K124)+SUM(K272:K272)+K409+K411+K412+K414+K416+SUM(K463:K464)+K506+K508+K562+SUM(K563:K564)+K610+K656+K699+K748</f>
        <v>880</v>
      </c>
      <c r="L793" s="1">
        <f>SUM(L124:L124)+SUM(L272:L272)+L409+L411+L412+L414+L416+SUM(L463:L464)+L506+L508+L562+SUM(L563:L564)+L610+L656+L699+L748</f>
        <v>18</v>
      </c>
      <c r="M793" s="55">
        <f t="shared" si="109"/>
        <v>5432</v>
      </c>
      <c r="N793" s="1">
        <f>SUM(N124:N124)+SUM(N272:N272)+N409+N411+N412+N414+N416+SUM(N463:N464)+N506+N508+N562+SUM(N563:N564)+N610+N656+N699+N748</f>
        <v>1000</v>
      </c>
      <c r="O793" s="1">
        <f>SUM(O124:O124)+SUM(O272:O272)+O409+O411+O412+O414+O416+SUM(O463:O464)+O506+O508+O562+SUM(O563:O564)+O610+O656+O699+O748</f>
        <v>0</v>
      </c>
      <c r="P793" s="1">
        <f>SUM(P124:P124)+SUM(P272:P272)+P409+P411+P412+P414+P416+SUM(P463:P464)+P506+P508+P562+SUM(P563:P564)+P610+P656+P699+P748</f>
        <v>964</v>
      </c>
      <c r="Q793" s="55">
        <f t="shared" si="110"/>
        <v>1964</v>
      </c>
      <c r="R793" s="55">
        <f t="shared" si="111"/>
        <v>12896</v>
      </c>
    </row>
    <row r="794" spans="1:20" ht="15.75" customHeight="1" thickBot="1" x14ac:dyDescent="0.35">
      <c r="A794" s="71" t="s">
        <v>379</v>
      </c>
      <c r="B794" s="1">
        <f>+B410+B413+B415+B465</f>
        <v>0</v>
      </c>
      <c r="C794" s="1">
        <f>+C410+C413+C415+C465</f>
        <v>0</v>
      </c>
      <c r="D794" s="1">
        <f>+D410+D413+D415+D465</f>
        <v>0</v>
      </c>
      <c r="E794" s="55">
        <f>SUM(B794:D794)</f>
        <v>0</v>
      </c>
      <c r="F794" s="1">
        <f>+F410+F413+F415+F465</f>
        <v>0</v>
      </c>
      <c r="G794" s="1">
        <f>+G410+G413+G415+G465</f>
        <v>0</v>
      </c>
      <c r="H794" s="1">
        <f>+H410+H413+H415+H465</f>
        <v>0</v>
      </c>
      <c r="I794" s="55">
        <f>SUM(F794:H794)</f>
        <v>0</v>
      </c>
      <c r="J794" s="1">
        <f>+J410+J413+J415+J465</f>
        <v>0</v>
      </c>
      <c r="K794" s="1">
        <f>+K410+K413+K415+K465</f>
        <v>0</v>
      </c>
      <c r="L794" s="1">
        <f>+L410+L413+L415+L465</f>
        <v>0</v>
      </c>
      <c r="M794" s="55">
        <f>SUM(J794:L794)</f>
        <v>0</v>
      </c>
      <c r="N794" s="1">
        <f>+N410+N413+N415+N465</f>
        <v>0</v>
      </c>
      <c r="O794" s="1">
        <f>+O410+O413+O415+O465</f>
        <v>0</v>
      </c>
      <c r="P794" s="1">
        <f>+P410+P413+P415+P465</f>
        <v>0</v>
      </c>
      <c r="Q794" s="55">
        <f>SUM(N794:P794)</f>
        <v>0</v>
      </c>
      <c r="R794" s="55">
        <f>+E794+I794+M794+Q794</f>
        <v>0</v>
      </c>
    </row>
    <row r="795" spans="1:20" ht="16.5" customHeight="1" thickBot="1" x14ac:dyDescent="0.35">
      <c r="A795" s="57" t="s">
        <v>71</v>
      </c>
      <c r="B795" s="146">
        <f>SUM(B792:B794)</f>
        <v>200</v>
      </c>
      <c r="C795" s="146">
        <f>SUM(C792:C794)</f>
        <v>300</v>
      </c>
      <c r="D795" s="146">
        <f>SUM(D792:D794)</f>
        <v>900</v>
      </c>
      <c r="E795" s="60">
        <f t="shared" si="107"/>
        <v>1400</v>
      </c>
      <c r="F795" s="146">
        <f>SUM(F792:F794)</f>
        <v>1400</v>
      </c>
      <c r="G795" s="146">
        <f>SUM(G792:G794)</f>
        <v>900</v>
      </c>
      <c r="H795" s="146">
        <f>SUM(H792:H794)</f>
        <v>2800</v>
      </c>
      <c r="I795" s="60">
        <f t="shared" si="108"/>
        <v>5100</v>
      </c>
      <c r="J795" s="146">
        <f>SUM(J792:J794)</f>
        <v>4534</v>
      </c>
      <c r="K795" s="146">
        <f>SUM(K792:K794)</f>
        <v>4389</v>
      </c>
      <c r="L795" s="146">
        <f>SUM(L792:L794)</f>
        <v>2503</v>
      </c>
      <c r="M795" s="60">
        <f t="shared" si="109"/>
        <v>11426</v>
      </c>
      <c r="N795" s="146">
        <f>SUM(N792:N794)</f>
        <v>3439</v>
      </c>
      <c r="O795" s="146">
        <f>SUM(O792:O794)</f>
        <v>0</v>
      </c>
      <c r="P795" s="146">
        <f>SUM(P792:P794)</f>
        <v>964</v>
      </c>
      <c r="Q795" s="60">
        <f t="shared" si="110"/>
        <v>4403</v>
      </c>
      <c r="R795" s="59">
        <f t="shared" si="111"/>
        <v>22329</v>
      </c>
    </row>
    <row r="796" spans="1:20" ht="16.5" customHeight="1" thickBot="1" x14ac:dyDescent="0.35">
      <c r="A796" s="114" t="s">
        <v>72</v>
      </c>
      <c r="B796" s="86">
        <f>SUM(B788:B794)</f>
        <v>1500</v>
      </c>
      <c r="C796" s="87">
        <f>SUM(C788:C794)</f>
        <v>1600</v>
      </c>
      <c r="D796" s="118">
        <f>SUM(D788:D794)</f>
        <v>2200</v>
      </c>
      <c r="E796" s="147">
        <f t="shared" si="107"/>
        <v>5300</v>
      </c>
      <c r="F796" s="86">
        <f>SUM(F788:F794)</f>
        <v>3755</v>
      </c>
      <c r="G796" s="87">
        <f>SUM(G788:G794)</f>
        <v>6140</v>
      </c>
      <c r="H796" s="118">
        <f>SUM(H788:H794)</f>
        <v>8383</v>
      </c>
      <c r="I796" s="60">
        <f t="shared" si="108"/>
        <v>18278</v>
      </c>
      <c r="J796" s="86">
        <f>SUM(J788:J794)</f>
        <v>7552</v>
      </c>
      <c r="K796" s="87">
        <f>SUM(K788:K794)</f>
        <v>11735</v>
      </c>
      <c r="L796" s="118">
        <f>SUM(L788:L794)</f>
        <v>12865</v>
      </c>
      <c r="M796" s="60">
        <f t="shared" si="109"/>
        <v>32152</v>
      </c>
      <c r="N796" s="86">
        <f>SUM(N788:N794)</f>
        <v>12115</v>
      </c>
      <c r="O796" s="87">
        <f>SUM(O788:O794)</f>
        <v>8198</v>
      </c>
      <c r="P796" s="118">
        <f>SUM(P788:P794)</f>
        <v>8175</v>
      </c>
      <c r="Q796" s="60">
        <f t="shared" si="110"/>
        <v>28488</v>
      </c>
      <c r="R796" s="59">
        <f t="shared" si="111"/>
        <v>84218</v>
      </c>
    </row>
    <row r="797" spans="1:20" ht="16.5" customHeight="1" thickBot="1" x14ac:dyDescent="0.35">
      <c r="A797" s="57" t="s">
        <v>73</v>
      </c>
      <c r="B797" s="148">
        <f>+B778+B783+B787+B796</f>
        <v>58728</v>
      </c>
      <c r="C797" s="149">
        <f>+C778+C783+C787+C796</f>
        <v>77475</v>
      </c>
      <c r="D797" s="149">
        <f>+D778+D783+D787+D796</f>
        <v>134316</v>
      </c>
      <c r="E797" s="59">
        <f t="shared" si="107"/>
        <v>270519</v>
      </c>
      <c r="F797" s="58">
        <f>+F778+F783+F787+F796</f>
        <v>183305</v>
      </c>
      <c r="G797" s="58">
        <f>+G778+G783+G787+G796</f>
        <v>146795</v>
      </c>
      <c r="H797" s="58">
        <f>+H778+H783+H787+H796</f>
        <v>166051</v>
      </c>
      <c r="I797" s="59">
        <f t="shared" si="108"/>
        <v>496151</v>
      </c>
      <c r="J797" s="58">
        <f>+J778+J783+J787+J796</f>
        <v>156931</v>
      </c>
      <c r="K797" s="58">
        <f>+K778+K783+K787+K796</f>
        <v>165338</v>
      </c>
      <c r="L797" s="58">
        <f>+L778+L783+L787+L796</f>
        <v>121912</v>
      </c>
      <c r="M797" s="59">
        <f t="shared" si="109"/>
        <v>444181</v>
      </c>
      <c r="N797" s="58">
        <f>+N778+N783+N787+N796</f>
        <v>96557</v>
      </c>
      <c r="O797" s="58">
        <f>+O778+O783+O787+O796</f>
        <v>63748</v>
      </c>
      <c r="P797" s="58">
        <f>+P778+P783+P787+P796</f>
        <v>78053</v>
      </c>
      <c r="Q797" s="59">
        <f t="shared" si="110"/>
        <v>238358</v>
      </c>
      <c r="R797" s="81">
        <f t="shared" si="111"/>
        <v>1449209</v>
      </c>
    </row>
    <row r="798" spans="1:20" ht="15.75" customHeight="1" x14ac:dyDescent="0.3">
      <c r="A798" s="1" t="s">
        <v>1022</v>
      </c>
      <c r="B798" s="1"/>
      <c r="C798" s="1"/>
      <c r="D798" s="1"/>
      <c r="E798" s="1"/>
      <c r="F798" s="1"/>
      <c r="G798" s="1"/>
      <c r="H798" s="1"/>
      <c r="I798" s="1"/>
      <c r="J798" s="1"/>
      <c r="K798" s="1"/>
      <c r="L798" s="1"/>
      <c r="M798" s="1"/>
      <c r="N798" s="1"/>
      <c r="O798" s="316"/>
      <c r="P798" s="1"/>
      <c r="Q798" s="1"/>
      <c r="R798" s="2"/>
    </row>
    <row r="799" spans="1:20" ht="15.75" customHeight="1" x14ac:dyDescent="0.3">
      <c r="A799" s="1" t="s">
        <v>1023</v>
      </c>
      <c r="B799" s="1"/>
      <c r="C799" s="1"/>
      <c r="D799" s="1"/>
      <c r="E799" s="1"/>
      <c r="F799" s="1"/>
      <c r="G799" s="1"/>
      <c r="H799" s="1"/>
      <c r="I799" s="1"/>
      <c r="J799" s="1"/>
      <c r="K799" s="1"/>
      <c r="L799" s="1"/>
      <c r="M799" s="1"/>
      <c r="N799" s="1"/>
      <c r="O799" s="316"/>
      <c r="P799" s="1"/>
      <c r="Q799" s="1"/>
      <c r="R799" s="2"/>
    </row>
    <row r="800" spans="1:20" ht="15.75" customHeight="1" x14ac:dyDescent="0.3">
      <c r="A800" s="1"/>
      <c r="B800" s="1"/>
      <c r="C800" s="1"/>
      <c r="D800" s="1"/>
      <c r="E800" s="1"/>
      <c r="F800" s="1"/>
      <c r="G800" s="1"/>
      <c r="H800" s="1"/>
      <c r="I800" s="1"/>
      <c r="J800" s="1"/>
      <c r="K800" s="1"/>
      <c r="L800" s="1"/>
      <c r="M800" s="1"/>
      <c r="N800" s="1"/>
      <c r="O800" s="316"/>
      <c r="P800" s="1"/>
      <c r="Q800" s="338" t="str">
        <f>+Q1</f>
        <v xml:space="preserve">PRINTED:  </v>
      </c>
      <c r="R800" s="360">
        <f ca="1">+R1</f>
        <v>44909.46975358796</v>
      </c>
    </row>
    <row r="801" spans="1:46" ht="15.75" customHeight="1" x14ac:dyDescent="0.3">
      <c r="A801" s="499" t="s">
        <v>1</v>
      </c>
      <c r="B801" s="499"/>
      <c r="C801" s="499"/>
      <c r="D801" s="499"/>
      <c r="E801" s="499"/>
      <c r="F801" s="499"/>
      <c r="G801" s="499"/>
      <c r="H801" s="499"/>
      <c r="I801" s="499"/>
      <c r="J801" s="499"/>
      <c r="K801" s="499"/>
      <c r="L801" s="499"/>
      <c r="M801" s="499"/>
      <c r="N801" s="499"/>
      <c r="O801" s="499"/>
      <c r="P801" s="499"/>
      <c r="Q801" s="499"/>
      <c r="R801" s="499"/>
    </row>
    <row r="802" spans="1:46" ht="15.75" customHeight="1" x14ac:dyDescent="0.3">
      <c r="A802" s="499" t="s">
        <v>2</v>
      </c>
      <c r="B802" s="499"/>
      <c r="C802" s="499"/>
      <c r="D802" s="499"/>
      <c r="E802" s="499"/>
      <c r="F802" s="499"/>
      <c r="G802" s="499"/>
      <c r="H802" s="499"/>
      <c r="I802" s="499"/>
      <c r="J802" s="499"/>
      <c r="K802" s="499"/>
      <c r="L802" s="499"/>
      <c r="M802" s="499"/>
      <c r="N802" s="499"/>
      <c r="O802" s="499"/>
      <c r="P802" s="499"/>
      <c r="Q802" s="499"/>
      <c r="R802" s="499"/>
    </row>
    <row r="803" spans="1:46" ht="15.75" customHeight="1" x14ac:dyDescent="0.3">
      <c r="A803" s="499" t="s">
        <v>3</v>
      </c>
      <c r="B803" s="499"/>
      <c r="C803" s="499"/>
      <c r="D803" s="499"/>
      <c r="E803" s="499"/>
      <c r="F803" s="499"/>
      <c r="G803" s="499"/>
      <c r="H803" s="499"/>
      <c r="I803" s="499"/>
      <c r="J803" s="499"/>
      <c r="K803" s="499"/>
      <c r="L803" s="499"/>
      <c r="M803" s="499"/>
      <c r="N803" s="499"/>
      <c r="O803" s="499"/>
      <c r="P803" s="499"/>
      <c r="Q803" s="499"/>
      <c r="R803" s="499"/>
    </row>
    <row r="804" spans="1:46" ht="15.75" customHeight="1" x14ac:dyDescent="0.3">
      <c r="A804" s="499">
        <f>+A5</f>
        <v>2015</v>
      </c>
      <c r="B804" s="499"/>
      <c r="C804" s="499"/>
      <c r="D804" s="499"/>
      <c r="E804" s="499"/>
      <c r="F804" s="499"/>
      <c r="G804" s="499"/>
      <c r="H804" s="499"/>
      <c r="I804" s="499"/>
      <c r="J804" s="499"/>
      <c r="K804" s="499"/>
      <c r="L804" s="499"/>
      <c r="M804" s="499"/>
      <c r="N804" s="499"/>
      <c r="O804" s="499"/>
      <c r="P804" s="499"/>
      <c r="Q804" s="499"/>
      <c r="R804" s="499"/>
    </row>
    <row r="805" spans="1:46" ht="15.75" customHeight="1" x14ac:dyDescent="0.3">
      <c r="A805" s="1"/>
      <c r="B805" s="1"/>
      <c r="C805" s="1"/>
      <c r="D805" s="5"/>
      <c r="E805" s="5"/>
      <c r="F805" s="5"/>
      <c r="G805" s="6"/>
      <c r="H805" s="5"/>
      <c r="I805" s="5"/>
      <c r="J805" s="6"/>
      <c r="K805" s="6"/>
      <c r="L805" s="6"/>
      <c r="M805" s="6"/>
      <c r="N805" s="1"/>
      <c r="O805" s="6"/>
      <c r="P805" s="6"/>
      <c r="Q805" s="6"/>
      <c r="R805" s="6"/>
    </row>
    <row r="806" spans="1:46" ht="15.75" customHeight="1" x14ac:dyDescent="0.3">
      <c r="A806" s="499" t="str">
        <f>+A8</f>
        <v>Revised:  5/2/2016</v>
      </c>
      <c r="B806" s="499"/>
      <c r="C806" s="499"/>
      <c r="D806" s="499"/>
      <c r="E806" s="499"/>
      <c r="F806" s="499"/>
      <c r="G806" s="499"/>
      <c r="H806" s="499"/>
      <c r="I806" s="499"/>
      <c r="J806" s="499"/>
      <c r="K806" s="499"/>
      <c r="L806" s="499"/>
      <c r="M806" s="499"/>
      <c r="N806" s="499"/>
      <c r="O806" s="499"/>
      <c r="P806" s="499"/>
      <c r="Q806" s="499"/>
      <c r="R806" s="499"/>
    </row>
    <row r="807" spans="1:46" ht="15.75" customHeight="1" x14ac:dyDescent="0.3">
      <c r="A807" s="314"/>
      <c r="B807" s="314"/>
      <c r="C807" s="314"/>
      <c r="D807" s="314"/>
      <c r="E807" s="314"/>
      <c r="F807" s="314"/>
      <c r="G807" s="314"/>
      <c r="H807" s="314"/>
      <c r="I807" s="314"/>
      <c r="J807" s="314"/>
      <c r="K807" s="314"/>
      <c r="L807" s="314"/>
      <c r="M807" s="314"/>
      <c r="N807" s="314"/>
      <c r="O807" s="314"/>
      <c r="P807" s="314"/>
      <c r="Q807" s="314"/>
      <c r="R807" s="314"/>
    </row>
    <row r="808" spans="1:46" ht="15.75" customHeight="1" x14ac:dyDescent="0.3">
      <c r="A808" s="28"/>
      <c r="B808" s="1"/>
      <c r="C808" s="1"/>
      <c r="D808" s="1"/>
      <c r="E808" s="1"/>
      <c r="F808" s="1"/>
      <c r="G808" s="1"/>
      <c r="H808" s="1"/>
      <c r="I808" s="1"/>
      <c r="J808" s="1"/>
      <c r="K808" s="1"/>
      <c r="L808" s="1"/>
      <c r="M808" s="1"/>
      <c r="N808" s="1"/>
      <c r="O808" s="1"/>
      <c r="P808" s="1"/>
      <c r="Q808" s="1"/>
      <c r="R808" s="2"/>
    </row>
    <row r="809" spans="1:46" ht="15.75" customHeight="1" thickBot="1" x14ac:dyDescent="0.35">
      <c r="A809" s="1"/>
      <c r="B809" s="1"/>
      <c r="C809" s="1"/>
      <c r="D809" s="1"/>
      <c r="E809" s="1"/>
      <c r="F809" s="1"/>
      <c r="G809" s="1"/>
      <c r="H809" s="1"/>
      <c r="I809" s="1"/>
      <c r="J809" s="1"/>
      <c r="K809" s="1"/>
      <c r="L809" s="1"/>
      <c r="M809" s="1"/>
      <c r="N809" s="1"/>
      <c r="O809" s="316"/>
      <c r="P809" s="1"/>
      <c r="Q809" s="1"/>
      <c r="R809" s="2"/>
    </row>
    <row r="810" spans="1:46" ht="15.75" customHeight="1" thickBot="1" x14ac:dyDescent="0.35">
      <c r="A810" s="107" t="s">
        <v>380</v>
      </c>
      <c r="B810" s="47" t="s">
        <v>8</v>
      </c>
      <c r="C810" s="48" t="s">
        <v>9</v>
      </c>
      <c r="D810" s="48" t="s">
        <v>10</v>
      </c>
      <c r="E810" s="32" t="s">
        <v>11</v>
      </c>
      <c r="F810" s="48" t="s">
        <v>12</v>
      </c>
      <c r="G810" s="48" t="s">
        <v>13</v>
      </c>
      <c r="H810" s="48" t="s">
        <v>14</v>
      </c>
      <c r="I810" s="32" t="s">
        <v>15</v>
      </c>
      <c r="J810" s="48" t="s">
        <v>16</v>
      </c>
      <c r="K810" s="48" t="s">
        <v>17</v>
      </c>
      <c r="L810" s="48" t="s">
        <v>18</v>
      </c>
      <c r="M810" s="32" t="s">
        <v>19</v>
      </c>
      <c r="N810" s="48" t="s">
        <v>20</v>
      </c>
      <c r="O810" s="48" t="s">
        <v>21</v>
      </c>
      <c r="P810" s="48" t="s">
        <v>22</v>
      </c>
      <c r="Q810" s="32" t="s">
        <v>23</v>
      </c>
      <c r="R810" s="151" t="s">
        <v>24</v>
      </c>
    </row>
    <row r="811" spans="1:46" ht="16.5" customHeight="1" thickBot="1" x14ac:dyDescent="0.35">
      <c r="A811" s="152"/>
      <c r="B811" s="153"/>
      <c r="C811" s="153"/>
      <c r="D811" s="153"/>
      <c r="E811" s="52"/>
      <c r="F811" s="153"/>
      <c r="G811" s="153"/>
      <c r="H811" s="153"/>
      <c r="I811" s="37"/>
      <c r="J811" s="153"/>
      <c r="K811" s="153"/>
      <c r="L811" s="153"/>
      <c r="M811" s="37"/>
      <c r="N811" s="153"/>
      <c r="O811" s="153"/>
      <c r="P811" s="153"/>
      <c r="Q811" s="127"/>
      <c r="R811" s="154"/>
    </row>
    <row r="812" spans="1:46" ht="16.5" customHeight="1" thickBot="1" x14ac:dyDescent="0.35">
      <c r="A812" s="155" t="s">
        <v>381</v>
      </c>
      <c r="B812" s="156">
        <f>+B778</f>
        <v>26178</v>
      </c>
      <c r="C812" s="156">
        <f>+C778</f>
        <v>32943</v>
      </c>
      <c r="D812" s="156">
        <f>+D778</f>
        <v>43378</v>
      </c>
      <c r="E812" s="86">
        <f>+SUM(B812:D812)</f>
        <v>102499</v>
      </c>
      <c r="F812" s="156">
        <f>+F778</f>
        <v>51896</v>
      </c>
      <c r="G812" s="156">
        <f>+G778</f>
        <v>42379</v>
      </c>
      <c r="H812" s="156">
        <f>+H778</f>
        <v>43563</v>
      </c>
      <c r="I812" s="86">
        <f>+SUM(F812:H812)</f>
        <v>137838</v>
      </c>
      <c r="J812" s="156">
        <f>+J778</f>
        <v>68841</v>
      </c>
      <c r="K812" s="156">
        <f>+K778</f>
        <v>58848</v>
      </c>
      <c r="L812" s="156">
        <f>+L778</f>
        <v>55773</v>
      </c>
      <c r="M812" s="86">
        <f>+SUM(J812:L812)</f>
        <v>183462</v>
      </c>
      <c r="N812" s="156">
        <f>+N778</f>
        <v>45199</v>
      </c>
      <c r="O812" s="156">
        <f>+O778</f>
        <v>33553</v>
      </c>
      <c r="P812" s="156">
        <f>+P778</f>
        <v>36784</v>
      </c>
      <c r="Q812" s="86">
        <f>+SUM(N812:P812)</f>
        <v>115536</v>
      </c>
      <c r="R812" s="59">
        <f>+E812+I812+M812+Q812</f>
        <v>539335</v>
      </c>
    </row>
    <row r="813" spans="1:46" ht="16.5" customHeight="1" thickBot="1" x14ac:dyDescent="0.35">
      <c r="A813" s="33"/>
      <c r="B813" s="86"/>
      <c r="C813" s="86"/>
      <c r="D813" s="86"/>
      <c r="E813" s="86"/>
      <c r="F813" s="86"/>
      <c r="G813" s="86"/>
      <c r="H813" s="86"/>
      <c r="I813" s="86"/>
      <c r="J813" s="86"/>
      <c r="K813" s="86"/>
      <c r="L813" s="86"/>
      <c r="M813" s="86"/>
      <c r="N813" s="86"/>
      <c r="O813" s="86"/>
      <c r="P813" s="86"/>
      <c r="Q813" s="86"/>
      <c r="R813" s="59"/>
    </row>
    <row r="814" spans="1:46" ht="16.5" customHeight="1" thickBot="1" x14ac:dyDescent="0.35">
      <c r="A814" s="155" t="s">
        <v>382</v>
      </c>
      <c r="B814" s="156">
        <f>+B783</f>
        <v>10520</v>
      </c>
      <c r="C814" s="156">
        <f>+C783</f>
        <v>10972</v>
      </c>
      <c r="D814" s="156">
        <f>+D783</f>
        <v>36972</v>
      </c>
      <c r="E814" s="86">
        <f>+SUM(B814:D814)</f>
        <v>58464</v>
      </c>
      <c r="F814" s="156">
        <f>+F783</f>
        <v>52610</v>
      </c>
      <c r="G814" s="156">
        <f>+G783</f>
        <v>28102</v>
      </c>
      <c r="H814" s="156">
        <f>+H783</f>
        <v>39436</v>
      </c>
      <c r="I814" s="86">
        <f>+SUM(F814:H814)</f>
        <v>120148</v>
      </c>
      <c r="J814" s="156">
        <f>+J783</f>
        <v>33755</v>
      </c>
      <c r="K814" s="156">
        <f>+K783</f>
        <v>38588</v>
      </c>
      <c r="L814" s="156">
        <f>+L783</f>
        <v>29447</v>
      </c>
      <c r="M814" s="86">
        <f>+SUM(J814:L814)</f>
        <v>101790</v>
      </c>
      <c r="N814" s="156">
        <f>+N783</f>
        <v>18821</v>
      </c>
      <c r="O814" s="156">
        <f>+O783</f>
        <v>10850</v>
      </c>
      <c r="P814" s="156">
        <f>+P783</f>
        <v>8206</v>
      </c>
      <c r="Q814" s="86">
        <f>+SUM(N814:P814)</f>
        <v>37877</v>
      </c>
      <c r="R814" s="59">
        <f>+E814+I814+M814+Q814</f>
        <v>318279</v>
      </c>
    </row>
    <row r="815" spans="1:46" ht="16.5" customHeight="1" thickBot="1" x14ac:dyDescent="0.35">
      <c r="A815" s="33"/>
      <c r="B815" s="86"/>
      <c r="C815" s="86"/>
      <c r="D815" s="86"/>
      <c r="E815" s="86"/>
      <c r="F815" s="86"/>
      <c r="G815" s="86"/>
      <c r="H815" s="86"/>
      <c r="I815" s="86"/>
      <c r="J815" s="86"/>
      <c r="K815" s="86"/>
      <c r="L815" s="86"/>
      <c r="M815" s="86"/>
      <c r="N815" s="86"/>
      <c r="O815" s="86"/>
      <c r="P815" s="86"/>
      <c r="Q815" s="86"/>
      <c r="R815" s="59"/>
      <c r="AC815" s="318"/>
      <c r="AD815" s="319"/>
      <c r="AE815" s="321" t="s">
        <v>423</v>
      </c>
      <c r="AF815" s="319"/>
      <c r="AG815" s="319"/>
      <c r="AH815" s="319"/>
      <c r="AI815" s="319"/>
      <c r="AJ815" s="319"/>
      <c r="AK815" s="319" t="s">
        <v>424</v>
      </c>
      <c r="AL815" s="319"/>
      <c r="AM815" s="319" t="s">
        <v>7</v>
      </c>
      <c r="AN815" s="329" t="str">
        <f>+A8</f>
        <v>Revised:  5/2/2016</v>
      </c>
      <c r="AO815" s="319"/>
      <c r="AP815" s="319"/>
      <c r="AQ815" s="319"/>
      <c r="AR815" s="319"/>
      <c r="AS815" s="361" t="str">
        <f>+Q1</f>
        <v xml:space="preserve">PRINTED:  </v>
      </c>
      <c r="AT815" s="362">
        <f ca="1">+R1</f>
        <v>44909.46975358796</v>
      </c>
    </row>
    <row r="816" spans="1:46" ht="16.5" customHeight="1" thickBot="1" x14ac:dyDescent="0.35">
      <c r="A816" s="155" t="s">
        <v>383</v>
      </c>
      <c r="B816" s="156">
        <f>+B787</f>
        <v>20530</v>
      </c>
      <c r="C816" s="156">
        <f>+C787</f>
        <v>31960</v>
      </c>
      <c r="D816" s="156">
        <f>+D787</f>
        <v>51766</v>
      </c>
      <c r="E816" s="86">
        <f>+SUM(B816:D816)</f>
        <v>104256</v>
      </c>
      <c r="F816" s="156">
        <f>+F787</f>
        <v>75044</v>
      </c>
      <c r="G816" s="156">
        <f>+G787</f>
        <v>70174</v>
      </c>
      <c r="H816" s="156">
        <f>+H787</f>
        <v>74669</v>
      </c>
      <c r="I816" s="86">
        <f>+SUM(F816:H816)</f>
        <v>219887</v>
      </c>
      <c r="J816" s="156">
        <f>+J787</f>
        <v>46783</v>
      </c>
      <c r="K816" s="156">
        <f>+K787</f>
        <v>56167</v>
      </c>
      <c r="L816" s="156">
        <f>+L787</f>
        <v>23827</v>
      </c>
      <c r="M816" s="86">
        <f>+SUM(J816:L816)</f>
        <v>126777</v>
      </c>
      <c r="N816" s="156">
        <f>+N787</f>
        <v>20422</v>
      </c>
      <c r="O816" s="156">
        <f>+O787</f>
        <v>11147</v>
      </c>
      <c r="P816" s="156">
        <f>+P787</f>
        <v>24888</v>
      </c>
      <c r="Q816" s="86">
        <f>+SUM(N816:P816)</f>
        <v>56457</v>
      </c>
      <c r="R816" s="59">
        <f>+E816+I816+M816+Q816</f>
        <v>507377</v>
      </c>
      <c r="AC816" s="323"/>
      <c r="AD816" s="159"/>
      <c r="AE816" s="159"/>
      <c r="AF816" s="159">
        <f>++A5</f>
        <v>2015</v>
      </c>
      <c r="AG816" s="159"/>
      <c r="AH816" s="159"/>
      <c r="AI816" s="159"/>
      <c r="AJ816" s="159"/>
      <c r="AK816" s="159"/>
      <c r="AL816" s="159"/>
      <c r="AM816" s="159"/>
      <c r="AN816" s="159"/>
      <c r="AO816" s="159"/>
      <c r="AP816" s="159"/>
      <c r="AQ816" s="159"/>
      <c r="AR816" s="159"/>
      <c r="AS816" s="159"/>
      <c r="AT816" s="324"/>
    </row>
    <row r="817" spans="1:46" ht="16.5" customHeight="1" thickBot="1" x14ac:dyDescent="0.35">
      <c r="A817" s="33"/>
      <c r="B817" s="86"/>
      <c r="C817" s="86"/>
      <c r="D817" s="86"/>
      <c r="E817" s="86"/>
      <c r="F817" s="86"/>
      <c r="G817" s="86"/>
      <c r="H817" s="86"/>
      <c r="I817" s="86"/>
      <c r="J817" s="86"/>
      <c r="K817" s="86"/>
      <c r="L817" s="86"/>
      <c r="M817" s="86"/>
      <c r="N817" s="86"/>
      <c r="O817" s="86"/>
      <c r="P817" s="86"/>
      <c r="Q817" s="86"/>
      <c r="R817" s="59"/>
      <c r="AC817" s="323"/>
      <c r="AD817" s="159"/>
      <c r="AE817" s="159"/>
      <c r="AF817" s="159"/>
      <c r="AG817" s="159"/>
      <c r="AH817" s="159"/>
      <c r="AI817" s="159"/>
      <c r="AJ817" s="159"/>
      <c r="AK817" s="159"/>
      <c r="AL817" s="159"/>
      <c r="AM817" s="159"/>
      <c r="AN817" s="159"/>
      <c r="AO817" s="159"/>
      <c r="AP817" s="159"/>
      <c r="AQ817" s="159"/>
      <c r="AR817" s="159"/>
      <c r="AS817" s="159"/>
      <c r="AT817" s="324"/>
    </row>
    <row r="818" spans="1:46" ht="16.5" customHeight="1" thickBot="1" x14ac:dyDescent="0.35">
      <c r="A818" s="155" t="s">
        <v>384</v>
      </c>
      <c r="B818" s="156">
        <f>+B796</f>
        <v>1500</v>
      </c>
      <c r="C818" s="156">
        <f>+C796</f>
        <v>1600</v>
      </c>
      <c r="D818" s="156">
        <f>+D796</f>
        <v>2200</v>
      </c>
      <c r="E818" s="86">
        <f>+SUM(B818:D818)</f>
        <v>5300</v>
      </c>
      <c r="F818" s="156">
        <f>+F796</f>
        <v>3755</v>
      </c>
      <c r="G818" s="156">
        <f>+G796</f>
        <v>6140</v>
      </c>
      <c r="H818" s="156">
        <f>+H796</f>
        <v>8383</v>
      </c>
      <c r="I818" s="86">
        <f>+SUM(F818:H818)</f>
        <v>18278</v>
      </c>
      <c r="J818" s="156">
        <f>+J796</f>
        <v>7552</v>
      </c>
      <c r="K818" s="156">
        <f>+K796</f>
        <v>11735</v>
      </c>
      <c r="L818" s="156">
        <f>+L796</f>
        <v>12865</v>
      </c>
      <c r="M818" s="86">
        <f>+SUM(J818:L818)</f>
        <v>32152</v>
      </c>
      <c r="N818" s="156">
        <f>+N796</f>
        <v>12115</v>
      </c>
      <c r="O818" s="156">
        <f>+O796</f>
        <v>8198</v>
      </c>
      <c r="P818" s="156">
        <f>+P796</f>
        <v>8175</v>
      </c>
      <c r="Q818" s="86">
        <f>+SUM(N818:P818)</f>
        <v>28488</v>
      </c>
      <c r="R818" s="59">
        <f>+E818+I818+M818+Q818</f>
        <v>84218</v>
      </c>
      <c r="AC818" s="323"/>
      <c r="AD818" s="159"/>
      <c r="AE818" s="159"/>
      <c r="AF818" s="159"/>
      <c r="AG818" s="159"/>
      <c r="AH818" s="159"/>
      <c r="AI818" s="164" t="s">
        <v>425</v>
      </c>
      <c r="AJ818" s="159"/>
      <c r="AK818" s="159"/>
      <c r="AL818" s="159"/>
      <c r="AM818" s="159"/>
      <c r="AN818" s="159"/>
      <c r="AO818" s="159"/>
      <c r="AP818" s="159"/>
      <c r="AQ818" s="159"/>
      <c r="AR818" s="159"/>
      <c r="AS818" s="159"/>
      <c r="AT818" s="324"/>
    </row>
    <row r="819" spans="1:46" ht="16.5" customHeight="1" thickBot="1" x14ac:dyDescent="0.35">
      <c r="A819" s="33"/>
      <c r="B819" s="86"/>
      <c r="C819" s="86"/>
      <c r="D819" s="86"/>
      <c r="E819" s="86"/>
      <c r="F819" s="86"/>
      <c r="G819" s="86"/>
      <c r="H819" s="86"/>
      <c r="I819" s="86"/>
      <c r="J819" s="86"/>
      <c r="K819" s="86"/>
      <c r="L819" s="86"/>
      <c r="M819" s="86"/>
      <c r="N819" s="86"/>
      <c r="O819" s="86"/>
      <c r="P819" s="86"/>
      <c r="Q819" s="86"/>
      <c r="R819" s="59"/>
      <c r="AC819" s="323"/>
      <c r="AD819" s="159" t="s">
        <v>424</v>
      </c>
      <c r="AE819" s="159"/>
      <c r="AF819" s="164" t="s">
        <v>426</v>
      </c>
      <c r="AG819" s="164" t="s">
        <v>426</v>
      </c>
      <c r="AH819" s="164" t="s">
        <v>427</v>
      </c>
      <c r="AI819" s="164" t="s">
        <v>404</v>
      </c>
      <c r="AJ819" s="164" t="s">
        <v>428</v>
      </c>
      <c r="AK819" s="164" t="s">
        <v>429</v>
      </c>
      <c r="AL819" s="164" t="s">
        <v>422</v>
      </c>
      <c r="AM819" s="159" t="s">
        <v>424</v>
      </c>
      <c r="AN819" s="164" t="s">
        <v>430</v>
      </c>
      <c r="AO819" s="164" t="s">
        <v>430</v>
      </c>
      <c r="AP819" s="164" t="s">
        <v>430</v>
      </c>
      <c r="AQ819" s="159"/>
      <c r="AR819" s="159"/>
      <c r="AS819" s="159"/>
      <c r="AT819" s="324"/>
    </row>
    <row r="820" spans="1:46" ht="16.5" customHeight="1" thickBot="1" x14ac:dyDescent="0.4">
      <c r="A820" s="33" t="s">
        <v>385</v>
      </c>
      <c r="B820" s="90">
        <f t="shared" ref="B820:R820" si="112">+SUM(B812:B818)</f>
        <v>58728</v>
      </c>
      <c r="C820" s="90">
        <f t="shared" si="112"/>
        <v>77475</v>
      </c>
      <c r="D820" s="90">
        <f t="shared" si="112"/>
        <v>134316</v>
      </c>
      <c r="E820" s="90">
        <f t="shared" si="112"/>
        <v>270519</v>
      </c>
      <c r="F820" s="90">
        <f t="shared" si="112"/>
        <v>183305</v>
      </c>
      <c r="G820" s="90">
        <f t="shared" si="112"/>
        <v>146795</v>
      </c>
      <c r="H820" s="90">
        <f t="shared" si="112"/>
        <v>166051</v>
      </c>
      <c r="I820" s="90">
        <f t="shared" si="112"/>
        <v>496151</v>
      </c>
      <c r="J820" s="90">
        <f t="shared" si="112"/>
        <v>156931</v>
      </c>
      <c r="K820" s="90">
        <f t="shared" si="112"/>
        <v>165338</v>
      </c>
      <c r="L820" s="90">
        <f t="shared" si="112"/>
        <v>121912</v>
      </c>
      <c r="M820" s="90">
        <f t="shared" si="112"/>
        <v>444181</v>
      </c>
      <c r="N820" s="90">
        <f t="shared" si="112"/>
        <v>96557</v>
      </c>
      <c r="O820" s="90">
        <f t="shared" si="112"/>
        <v>63748</v>
      </c>
      <c r="P820" s="90">
        <f t="shared" si="112"/>
        <v>78053</v>
      </c>
      <c r="Q820" s="90">
        <f t="shared" si="112"/>
        <v>238358</v>
      </c>
      <c r="R820" s="157">
        <f t="shared" si="112"/>
        <v>1449209</v>
      </c>
      <c r="AC820" s="323"/>
      <c r="AD820" s="164" t="s">
        <v>394</v>
      </c>
      <c r="AE820" s="164" t="s">
        <v>431</v>
      </c>
      <c r="AF820" s="164" t="s">
        <v>432</v>
      </c>
      <c r="AG820" s="164" t="s">
        <v>432</v>
      </c>
      <c r="AH820" s="164" t="s">
        <v>433</v>
      </c>
      <c r="AI820" s="165" t="s">
        <v>434</v>
      </c>
      <c r="AJ820" s="164" t="s">
        <v>435</v>
      </c>
      <c r="AK820" s="164" t="s">
        <v>436</v>
      </c>
      <c r="AL820" s="164" t="s">
        <v>437</v>
      </c>
      <c r="AM820" s="159" t="s">
        <v>424</v>
      </c>
      <c r="AN820" s="164" t="s">
        <v>438</v>
      </c>
      <c r="AO820" s="164" t="s">
        <v>434</v>
      </c>
      <c r="AP820" s="164" t="s">
        <v>407</v>
      </c>
      <c r="AQ820" s="159"/>
      <c r="AR820" s="159"/>
      <c r="AS820" s="159"/>
      <c r="AT820" s="324"/>
    </row>
    <row r="821" spans="1:46" ht="15.75" customHeight="1" x14ac:dyDescent="0.35">
      <c r="A821" s="145"/>
      <c r="B821" s="158"/>
      <c r="C821" s="158"/>
      <c r="D821" s="158"/>
      <c r="E821" s="158"/>
      <c r="F821" s="158"/>
      <c r="G821" s="158"/>
      <c r="H821" s="317" t="s">
        <v>786</v>
      </c>
      <c r="I821" s="158"/>
      <c r="J821" s="158"/>
      <c r="K821" s="158"/>
      <c r="L821" s="158"/>
      <c r="M821" s="158"/>
      <c r="N821" s="158"/>
      <c r="O821" s="158"/>
      <c r="P821" s="158"/>
      <c r="Q821" s="158"/>
      <c r="R821" s="158"/>
      <c r="AC821" s="323"/>
      <c r="AD821" s="164" t="s">
        <v>406</v>
      </c>
      <c r="AE821" s="164" t="s">
        <v>439</v>
      </c>
      <c r="AF821" s="164" t="s">
        <v>440</v>
      </c>
      <c r="AG821" s="164" t="s">
        <v>441</v>
      </c>
      <c r="AH821" s="164" t="s">
        <v>442</v>
      </c>
      <c r="AI821" s="164" t="s">
        <v>442</v>
      </c>
      <c r="AJ821" s="164" t="s">
        <v>442</v>
      </c>
      <c r="AK821" s="164" t="s">
        <v>442</v>
      </c>
      <c r="AL821" s="164" t="s">
        <v>443</v>
      </c>
      <c r="AM821" s="159" t="s">
        <v>424</v>
      </c>
      <c r="AN821" s="164" t="s">
        <v>444</v>
      </c>
      <c r="AO821" s="164" t="s">
        <v>445</v>
      </c>
      <c r="AP821" s="164" t="s">
        <v>445</v>
      </c>
      <c r="AQ821" s="159"/>
      <c r="AR821" s="159"/>
      <c r="AS821" s="159"/>
      <c r="AT821" s="324"/>
    </row>
    <row r="822" spans="1:46" ht="15.75" customHeight="1" x14ac:dyDescent="0.35">
      <c r="A822" s="145"/>
      <c r="B822" s="158"/>
      <c r="C822" s="158"/>
      <c r="D822" s="158"/>
      <c r="E822" s="158"/>
      <c r="F822" s="158"/>
      <c r="G822" s="158"/>
      <c r="H822" s="317"/>
      <c r="I822" s="158"/>
      <c r="J822" s="158"/>
      <c r="K822" s="158"/>
      <c r="L822" s="158"/>
      <c r="M822" s="158"/>
      <c r="N822" s="158"/>
      <c r="O822" s="158"/>
      <c r="P822" s="158"/>
      <c r="Q822" s="158"/>
      <c r="R822" s="158"/>
      <c r="AC822" s="323"/>
      <c r="AD822" s="164" t="s">
        <v>446</v>
      </c>
      <c r="AE822" s="164" t="s">
        <v>447</v>
      </c>
      <c r="AF822" s="164" t="s">
        <v>448</v>
      </c>
      <c r="AG822" s="164" t="s">
        <v>448</v>
      </c>
      <c r="AH822" s="164" t="s">
        <v>448</v>
      </c>
      <c r="AI822" s="164" t="s">
        <v>448</v>
      </c>
      <c r="AJ822" s="164" t="s">
        <v>448</v>
      </c>
      <c r="AK822" s="164" t="s">
        <v>448</v>
      </c>
      <c r="AL822" s="164" t="s">
        <v>448</v>
      </c>
      <c r="AM822" s="159" t="s">
        <v>424</v>
      </c>
      <c r="AN822" s="164" t="s">
        <v>449</v>
      </c>
      <c r="AO822" s="164" t="s">
        <v>449</v>
      </c>
      <c r="AP822" s="164" t="s">
        <v>449</v>
      </c>
      <c r="AQ822" s="159"/>
      <c r="AR822" s="159"/>
      <c r="AS822" s="159"/>
      <c r="AT822" s="324"/>
    </row>
    <row r="823" spans="1:46" ht="15.75" customHeight="1" thickBot="1" x14ac:dyDescent="0.4">
      <c r="A823" s="145"/>
      <c r="B823" s="158"/>
      <c r="C823" s="158"/>
      <c r="D823" s="158"/>
      <c r="E823" s="158"/>
      <c r="F823" s="158"/>
      <c r="G823" s="158"/>
      <c r="H823" s="317"/>
      <c r="I823" s="158"/>
      <c r="J823" s="158"/>
      <c r="K823" s="158"/>
      <c r="L823" s="158"/>
      <c r="M823" s="158"/>
      <c r="N823" s="158"/>
      <c r="O823" s="158"/>
      <c r="P823" s="158"/>
      <c r="Q823" s="158"/>
      <c r="R823" s="158"/>
      <c r="AC823" s="323"/>
      <c r="AD823" s="159" t="s">
        <v>409</v>
      </c>
      <c r="AE823" s="159" t="s">
        <v>409</v>
      </c>
      <c r="AF823" s="159" t="s">
        <v>409</v>
      </c>
      <c r="AG823" s="159" t="s">
        <v>409</v>
      </c>
      <c r="AH823" s="159" t="s">
        <v>409</v>
      </c>
      <c r="AI823" s="159" t="s">
        <v>409</v>
      </c>
      <c r="AJ823" s="159" t="s">
        <v>409</v>
      </c>
      <c r="AK823" s="159" t="s">
        <v>409</v>
      </c>
      <c r="AL823" s="159" t="s">
        <v>409</v>
      </c>
      <c r="AM823" s="159" t="s">
        <v>424</v>
      </c>
      <c r="AN823" s="159" t="s">
        <v>409</v>
      </c>
      <c r="AO823" s="159" t="s">
        <v>409</v>
      </c>
      <c r="AP823" s="159" t="s">
        <v>409</v>
      </c>
      <c r="AQ823" s="159"/>
      <c r="AR823" s="159"/>
      <c r="AS823" s="159"/>
      <c r="AT823" s="324"/>
    </row>
    <row r="824" spans="1:46" ht="15.75" customHeight="1" x14ac:dyDescent="0.3">
      <c r="A824" s="363"/>
      <c r="B824" s="506" t="s">
        <v>386</v>
      </c>
      <c r="C824" s="506"/>
      <c r="D824" s="506"/>
      <c r="E824" s="506"/>
      <c r="F824" s="506"/>
      <c r="G824" s="506"/>
      <c r="H824" s="506"/>
      <c r="I824" s="506"/>
      <c r="J824" s="506"/>
      <c r="K824" s="506"/>
      <c r="L824" s="506"/>
      <c r="M824" s="506"/>
      <c r="N824" s="506"/>
      <c r="O824" s="506"/>
      <c r="P824" s="506"/>
      <c r="Q824" s="361" t="str">
        <f>+Q1</f>
        <v xml:space="preserve">PRINTED:  </v>
      </c>
      <c r="R824" s="362">
        <f ca="1">+R1</f>
        <v>44909.46975358796</v>
      </c>
      <c r="AC824" s="325" t="s">
        <v>410</v>
      </c>
      <c r="AD824" s="159">
        <f t="shared" ref="AD824:AD835" si="113">(F833)</f>
        <v>115675</v>
      </c>
      <c r="AE824" s="159">
        <f t="shared" ref="AE824:AE835" si="114">SUM($B$888:$E$888)+(T833-1526.8)/0.7702</f>
        <v>1638.1524430019012</v>
      </c>
      <c r="AF824" s="159">
        <f>(AD824*AE824/1000)</f>
        <v>189493.28384424493</v>
      </c>
      <c r="AG824" s="159">
        <f t="shared" ref="AG824:AG835" si="115">(((B833-F833)*B$888)+((C833-F833)*C$888)+((D833-F833)*D$888)+((E833-F833)*E$888))/1000</f>
        <v>84473.01</v>
      </c>
      <c r="AH824" s="159">
        <f>(AF824+AG824)</f>
        <v>273966.29384424491</v>
      </c>
      <c r="AI824" s="159">
        <f t="shared" ref="AI824:AI835" si="116">SUM(H890:Q890)</f>
        <v>22585</v>
      </c>
      <c r="AJ824" s="159">
        <f>+AH824+AI824</f>
        <v>296551.29384424491</v>
      </c>
      <c r="AK824" s="159">
        <f t="shared" ref="AK824:AK831" si="117">(G918)</f>
        <v>0</v>
      </c>
      <c r="AL824" s="159">
        <f t="shared" ref="AL824:AL835" si="118">(AJ824-AK824)</f>
        <v>296551.29384424491</v>
      </c>
      <c r="AM824" s="159" t="s">
        <v>424</v>
      </c>
      <c r="AN824" s="159">
        <f>+B833/31/1.98</f>
        <v>2853.4050179211472</v>
      </c>
      <c r="AO824" s="159">
        <f>(AD824*43560/31/24/3600)</f>
        <v>1881.2735215053763</v>
      </c>
      <c r="AP824" s="159">
        <f>+B295</f>
        <v>0</v>
      </c>
      <c r="AQ824" s="159"/>
      <c r="AR824" s="159"/>
      <c r="AS824" s="159"/>
      <c r="AT824" s="324"/>
    </row>
    <row r="825" spans="1:46" ht="15.75" customHeight="1" x14ac:dyDescent="0.3">
      <c r="A825" s="325"/>
      <c r="B825" s="503" t="str">
        <f>+A8</f>
        <v>Revised:  5/2/2016</v>
      </c>
      <c r="C825" s="503"/>
      <c r="D825" s="503"/>
      <c r="E825" s="503"/>
      <c r="F825" s="503"/>
      <c r="G825" s="503"/>
      <c r="H825" s="503"/>
      <c r="I825" s="503"/>
      <c r="J825" s="503"/>
      <c r="K825" s="503"/>
      <c r="L825" s="503"/>
      <c r="M825" s="503"/>
      <c r="N825" s="503"/>
      <c r="O825" s="503"/>
      <c r="P825" s="503"/>
      <c r="Q825" s="159"/>
      <c r="R825" s="324"/>
      <c r="AC825" s="325" t="s">
        <v>411</v>
      </c>
      <c r="AD825" s="159">
        <f t="shared" si="113"/>
        <v>24605</v>
      </c>
      <c r="AE825" s="159">
        <f t="shared" si="114"/>
        <v>1642.6450272656455</v>
      </c>
      <c r="AF825" s="159">
        <f>(AD825*AE825/1000)</f>
        <v>40417.280895871205</v>
      </c>
      <c r="AG825" s="159">
        <f t="shared" si="115"/>
        <v>119938.436</v>
      </c>
      <c r="AH825" s="159">
        <f t="shared" ref="AH825:AH835" si="119">(AF825+AG825)</f>
        <v>160355.71689587121</v>
      </c>
      <c r="AI825" s="159">
        <f t="shared" si="116"/>
        <v>32177</v>
      </c>
      <c r="AJ825" s="159">
        <f t="shared" ref="AJ825:AJ835" si="120">+AH825+AI825</f>
        <v>192532.71689587121</v>
      </c>
      <c r="AK825" s="159">
        <f t="shared" si="117"/>
        <v>40.07174076865109</v>
      </c>
      <c r="AL825" s="159">
        <f t="shared" si="118"/>
        <v>192492.64515510257</v>
      </c>
      <c r="AM825" s="159" t="s">
        <v>424</v>
      </c>
      <c r="AN825" s="159">
        <f>+B834/28/1.98</f>
        <v>1966.6847041847041</v>
      </c>
      <c r="AO825" s="159">
        <f>(AD825*43560/29/24/3600)</f>
        <v>427.75933908045971</v>
      </c>
      <c r="AP825" s="159">
        <f>+C295</f>
        <v>-4.68265975073842</v>
      </c>
      <c r="AQ825" s="159"/>
      <c r="AR825" s="159"/>
      <c r="AS825" s="159"/>
      <c r="AT825" s="324"/>
    </row>
    <row r="826" spans="1:46" ht="15.75" customHeight="1" x14ac:dyDescent="0.3">
      <c r="A826" s="325"/>
      <c r="B826" s="503" t="s">
        <v>1024</v>
      </c>
      <c r="C826" s="503"/>
      <c r="D826" s="503"/>
      <c r="E826" s="503"/>
      <c r="F826" s="503"/>
      <c r="G826" s="503"/>
      <c r="H826" s="503"/>
      <c r="I826" s="503"/>
      <c r="J826" s="503"/>
      <c r="K826" s="503"/>
      <c r="L826" s="503"/>
      <c r="M826" s="503"/>
      <c r="N826" s="503"/>
      <c r="O826" s="503"/>
      <c r="P826" s="503"/>
      <c r="Q826" s="159"/>
      <c r="R826" s="324"/>
      <c r="AC826" s="325" t="s">
        <v>412</v>
      </c>
      <c r="AD826" s="159">
        <f t="shared" si="113"/>
        <v>11698</v>
      </c>
      <c r="AE826" s="159">
        <f t="shared" si="114"/>
        <v>1646.592054011945</v>
      </c>
      <c r="AF826" s="159">
        <f t="shared" ref="AF826:AF835" si="121">(AD826*AE826/1000)</f>
        <v>19261.833847831735</v>
      </c>
      <c r="AG826" s="159">
        <f t="shared" si="115"/>
        <v>188632.83600000001</v>
      </c>
      <c r="AH826" s="159">
        <f t="shared" si="119"/>
        <v>207894.66984783174</v>
      </c>
      <c r="AI826" s="159">
        <f t="shared" si="116"/>
        <v>41711</v>
      </c>
      <c r="AJ826" s="159">
        <f t="shared" si="120"/>
        <v>249605.66984783174</v>
      </c>
      <c r="AK826" s="159">
        <f t="shared" si="117"/>
        <v>977.45697061039903</v>
      </c>
      <c r="AL826" s="159">
        <f t="shared" si="118"/>
        <v>248628.21287722135</v>
      </c>
      <c r="AM826" s="159" t="s">
        <v>424</v>
      </c>
      <c r="AN826" s="159">
        <f>+B835/31/1.98</f>
        <v>2358.4392310198764</v>
      </c>
      <c r="AO826" s="159">
        <f>(AD826*43560/31/24/3600)</f>
        <v>190.2497311827957</v>
      </c>
      <c r="AP826" s="159">
        <f>+D295</f>
        <v>-100.19032746083647</v>
      </c>
      <c r="AQ826" s="159"/>
      <c r="AR826" s="159"/>
      <c r="AS826" s="159"/>
      <c r="AT826" s="324"/>
    </row>
    <row r="827" spans="1:46" ht="15.75" customHeight="1" x14ac:dyDescent="0.3">
      <c r="A827" s="325"/>
      <c r="B827" s="503"/>
      <c r="C827" s="503"/>
      <c r="D827" s="503"/>
      <c r="E827" s="503"/>
      <c r="F827" s="503"/>
      <c r="G827" s="503"/>
      <c r="H827" s="503"/>
      <c r="I827" s="503"/>
      <c r="J827" s="503"/>
      <c r="K827" s="503"/>
      <c r="L827" s="503"/>
      <c r="M827" s="503"/>
      <c r="N827" s="503"/>
      <c r="O827" s="503"/>
      <c r="P827" s="503"/>
      <c r="Q827" s="159"/>
      <c r="R827" s="324"/>
      <c r="AC827" s="325" t="s">
        <v>413</v>
      </c>
      <c r="AD827" s="159">
        <f t="shared" si="113"/>
        <v>1058</v>
      </c>
      <c r="AE827" s="159">
        <f t="shared" si="114"/>
        <v>1645.8271291131655</v>
      </c>
      <c r="AF827" s="159">
        <f t="shared" si="121"/>
        <v>1741.285102601729</v>
      </c>
      <c r="AG827" s="159">
        <f t="shared" si="115"/>
        <v>218216.44099999999</v>
      </c>
      <c r="AH827" s="159">
        <f t="shared" si="119"/>
        <v>219957.72610260171</v>
      </c>
      <c r="AI827" s="159">
        <f t="shared" si="116"/>
        <v>49771</v>
      </c>
      <c r="AJ827" s="159">
        <f t="shared" si="120"/>
        <v>269728.72610260174</v>
      </c>
      <c r="AK827" s="159">
        <f t="shared" si="117"/>
        <v>5445.4378995573925</v>
      </c>
      <c r="AL827" s="159">
        <f t="shared" si="118"/>
        <v>264283.28820304433</v>
      </c>
      <c r="AM827" s="159" t="s">
        <v>424</v>
      </c>
      <c r="AN827" s="159">
        <f>+B836/30/1.98</f>
        <v>2615.7575757575755</v>
      </c>
      <c r="AO827" s="159">
        <f>(AD827*43560/30/24/3600)</f>
        <v>17.780277777777776</v>
      </c>
      <c r="AP827" s="159">
        <f>+F295</f>
        <v>-580.01344763825853</v>
      </c>
      <c r="AQ827" s="159"/>
      <c r="AR827" s="159"/>
      <c r="AS827" s="159"/>
      <c r="AT827" s="324"/>
    </row>
    <row r="828" spans="1:46" ht="15.75" customHeight="1" x14ac:dyDescent="0.3">
      <c r="A828" s="325"/>
      <c r="B828" s="509">
        <f>+A5</f>
        <v>2015</v>
      </c>
      <c r="C828" s="509"/>
      <c r="D828" s="509"/>
      <c r="E828" s="509"/>
      <c r="F828" s="509"/>
      <c r="G828" s="509"/>
      <c r="H828" s="509"/>
      <c r="I828" s="509"/>
      <c r="J828" s="509"/>
      <c r="K828" s="509"/>
      <c r="L828" s="509"/>
      <c r="M828" s="509"/>
      <c r="N828" s="509"/>
      <c r="O828" s="509"/>
      <c r="P828" s="509"/>
      <c r="Q828" s="159"/>
      <c r="R828" s="324"/>
      <c r="AC828" s="325" t="s">
        <v>414</v>
      </c>
      <c r="AD828" s="159">
        <f t="shared" si="113"/>
        <v>36939</v>
      </c>
      <c r="AE828" s="159">
        <f t="shared" si="114"/>
        <v>1642.8008309529996</v>
      </c>
      <c r="AF828" s="159">
        <f t="shared" si="121"/>
        <v>60683.419894572857</v>
      </c>
      <c r="AG828" s="159">
        <f t="shared" si="115"/>
        <v>197285.68599999999</v>
      </c>
      <c r="AH828" s="159">
        <f t="shared" si="119"/>
        <v>257969.10589457286</v>
      </c>
      <c r="AI828" s="159">
        <f t="shared" si="116"/>
        <v>40717</v>
      </c>
      <c r="AJ828" s="159">
        <f t="shared" si="120"/>
        <v>298686.10589457286</v>
      </c>
      <c r="AK828" s="159">
        <f t="shared" si="117"/>
        <v>542.52913338357257</v>
      </c>
      <c r="AL828" s="159">
        <f t="shared" si="118"/>
        <v>298143.57676118927</v>
      </c>
      <c r="AM828" s="159" t="s">
        <v>424</v>
      </c>
      <c r="AN828" s="159">
        <f>+B837/31/1.98</f>
        <v>2874.5845552297169</v>
      </c>
      <c r="AO828" s="159">
        <f>(AD828*43560/31/24/3600)</f>
        <v>600.75524193548392</v>
      </c>
      <c r="AP828" s="159">
        <f>+G295</f>
        <v>-57.195842077009416</v>
      </c>
      <c r="AQ828" s="159"/>
      <c r="AR828" s="159"/>
      <c r="AS828" s="159"/>
      <c r="AT828" s="324"/>
    </row>
    <row r="829" spans="1:46" ht="15.75" customHeight="1" x14ac:dyDescent="0.3">
      <c r="A829" s="325"/>
      <c r="B829" s="503" t="s">
        <v>1025</v>
      </c>
      <c r="C829" s="503"/>
      <c r="D829" s="503"/>
      <c r="E829" s="503"/>
      <c r="F829" s="503"/>
      <c r="G829" s="503"/>
      <c r="H829" s="503"/>
      <c r="I829" s="503"/>
      <c r="J829" s="503"/>
      <c r="K829" s="503"/>
      <c r="L829" s="503"/>
      <c r="M829" s="503"/>
      <c r="N829" s="503"/>
      <c r="O829" s="503"/>
      <c r="P829" s="503"/>
      <c r="Q829" s="159"/>
      <c r="R829" s="324"/>
      <c r="AC829" s="325" t="s">
        <v>415</v>
      </c>
      <c r="AD829" s="159">
        <f t="shared" si="113"/>
        <v>375</v>
      </c>
      <c r="AE829" s="159">
        <f t="shared" si="114"/>
        <v>1626.3375746559338</v>
      </c>
      <c r="AF829" s="159">
        <f t="shared" si="121"/>
        <v>609.87659049597528</v>
      </c>
      <c r="AG829" s="159">
        <f t="shared" si="115"/>
        <v>113799.67200000001</v>
      </c>
      <c r="AH829" s="159">
        <f t="shared" si="119"/>
        <v>114409.54859049598</v>
      </c>
      <c r="AI829" s="159">
        <f t="shared" si="116"/>
        <v>41685</v>
      </c>
      <c r="AJ829" s="159">
        <f t="shared" si="120"/>
        <v>156094.54859049598</v>
      </c>
      <c r="AK829" s="159">
        <f t="shared" si="117"/>
        <v>11299.225772418997</v>
      </c>
      <c r="AL829" s="159">
        <f t="shared" si="118"/>
        <v>144795.32281807699</v>
      </c>
      <c r="AM829" s="159" t="s">
        <v>424</v>
      </c>
      <c r="AN829" s="159">
        <f>+B838/30/1.98</f>
        <v>1371.4646464646464</v>
      </c>
      <c r="AO829" s="159">
        <f t="shared" ref="AO829:AO834" si="122">(AD829*43560/30/24/3600)</f>
        <v>6.302083333333333</v>
      </c>
      <c r="AP829" s="159">
        <f>+H295</f>
        <v>-1404.925197512187</v>
      </c>
      <c r="AQ829" s="159"/>
      <c r="AR829" s="159"/>
      <c r="AS829" s="159"/>
      <c r="AT829" s="324"/>
    </row>
    <row r="830" spans="1:46" ht="15.75" customHeight="1" x14ac:dyDescent="0.3">
      <c r="A830" s="325"/>
      <c r="B830" s="159"/>
      <c r="C830" s="159"/>
      <c r="D830" s="159"/>
      <c r="E830" s="159"/>
      <c r="F830" s="159"/>
      <c r="G830" s="159"/>
      <c r="H830" s="159"/>
      <c r="I830" s="159"/>
      <c r="J830" s="159"/>
      <c r="K830" s="159"/>
      <c r="L830" s="159"/>
      <c r="M830" s="159"/>
      <c r="N830" s="159"/>
      <c r="O830" s="159"/>
      <c r="P830" s="159"/>
      <c r="Q830" s="159"/>
      <c r="R830" s="324"/>
      <c r="AC830" s="325" t="s">
        <v>416</v>
      </c>
      <c r="AD830" s="159">
        <f t="shared" si="113"/>
        <v>0</v>
      </c>
      <c r="AE830" s="159">
        <f t="shared" si="114"/>
        <v>1614.093965893418</v>
      </c>
      <c r="AF830" s="159">
        <f t="shared" si="121"/>
        <v>0</v>
      </c>
      <c r="AG830" s="159">
        <f t="shared" si="115"/>
        <v>102219.63499999999</v>
      </c>
      <c r="AH830" s="159">
        <f t="shared" si="119"/>
        <v>102219.63499999999</v>
      </c>
      <c r="AI830" s="159">
        <f t="shared" si="116"/>
        <v>42281</v>
      </c>
      <c r="AJ830" s="159">
        <f t="shared" si="120"/>
        <v>144500.63500000001</v>
      </c>
      <c r="AK830" s="159">
        <f t="shared" si="117"/>
        <v>10640.15687130544</v>
      </c>
      <c r="AL830" s="159">
        <f t="shared" si="118"/>
        <v>133860.47812869458</v>
      </c>
      <c r="AM830" s="159" t="s">
        <v>424</v>
      </c>
      <c r="AN830" s="159">
        <f>+B839/31/1.98</f>
        <v>1189.540566959922</v>
      </c>
      <c r="AO830" s="159">
        <f t="shared" si="122"/>
        <v>0</v>
      </c>
      <c r="AP830" s="159">
        <f>+J295</f>
        <v>-1430.7094171424851</v>
      </c>
      <c r="AQ830" s="159"/>
      <c r="AR830" s="159"/>
      <c r="AS830" s="159"/>
      <c r="AT830" s="324"/>
    </row>
    <row r="831" spans="1:46" ht="15.75" customHeight="1" thickBot="1" x14ac:dyDescent="0.35">
      <c r="A831" s="325" t="s">
        <v>433</v>
      </c>
      <c r="B831" s="364" t="s">
        <v>390</v>
      </c>
      <c r="C831" s="364" t="s">
        <v>391</v>
      </c>
      <c r="D831" s="364" t="s">
        <v>392</v>
      </c>
      <c r="E831" s="364" t="s">
        <v>393</v>
      </c>
      <c r="F831" s="364" t="s">
        <v>394</v>
      </c>
      <c r="G831" s="364" t="s">
        <v>394</v>
      </c>
      <c r="H831" s="364" t="s">
        <v>395</v>
      </c>
      <c r="I831" s="364" t="s">
        <v>396</v>
      </c>
      <c r="J831" s="364" t="s">
        <v>397</v>
      </c>
      <c r="K831" s="364" t="s">
        <v>398</v>
      </c>
      <c r="L831" s="364" t="s">
        <v>399</v>
      </c>
      <c r="M831" s="364" t="s">
        <v>400</v>
      </c>
      <c r="N831" s="364" t="s">
        <v>401</v>
      </c>
      <c r="O831" s="364" t="s">
        <v>402</v>
      </c>
      <c r="P831" s="364" t="s">
        <v>403</v>
      </c>
      <c r="Q831" s="364" t="s">
        <v>404</v>
      </c>
      <c r="R831" s="324"/>
      <c r="T831" s="45" t="s">
        <v>1026</v>
      </c>
      <c r="AC831" s="325" t="s">
        <v>417</v>
      </c>
      <c r="AD831" s="159">
        <f t="shared" si="113"/>
        <v>0</v>
      </c>
      <c r="AE831" s="159">
        <f t="shared" si="114"/>
        <v>1600.6037637565339</v>
      </c>
      <c r="AF831" s="159">
        <f t="shared" si="121"/>
        <v>0</v>
      </c>
      <c r="AG831" s="159">
        <f t="shared" si="115"/>
        <v>98343.698999999993</v>
      </c>
      <c r="AH831" s="159">
        <f t="shared" si="119"/>
        <v>98343.698999999993</v>
      </c>
      <c r="AI831" s="159">
        <f t="shared" si="116"/>
        <v>40814</v>
      </c>
      <c r="AJ831" s="159">
        <f t="shared" si="120"/>
        <v>139157.69899999999</v>
      </c>
      <c r="AK831" s="159">
        <f t="shared" si="117"/>
        <v>10249.74223062979</v>
      </c>
      <c r="AL831" s="159">
        <f t="shared" si="118"/>
        <v>128907.9567693702</v>
      </c>
      <c r="AM831" s="159" t="s">
        <v>424</v>
      </c>
      <c r="AN831" s="159">
        <f>+B840/31/1.98</f>
        <v>1149.7719126751385</v>
      </c>
      <c r="AO831" s="159">
        <f t="shared" si="122"/>
        <v>0</v>
      </c>
      <c r="AP831" s="159">
        <f>+K295</f>
        <v>-1583.134058855107</v>
      </c>
      <c r="AQ831" s="159"/>
      <c r="AR831" s="159"/>
      <c r="AS831" s="159"/>
      <c r="AT831" s="324"/>
    </row>
    <row r="832" spans="1:46" ht="15.75" customHeight="1" x14ac:dyDescent="0.3">
      <c r="A832" s="325"/>
      <c r="B832" s="159"/>
      <c r="C832" s="159"/>
      <c r="D832" s="159"/>
      <c r="E832" s="159"/>
      <c r="F832" s="164" t="s">
        <v>406</v>
      </c>
      <c r="G832" s="164" t="s">
        <v>407</v>
      </c>
      <c r="H832" s="159"/>
      <c r="I832" s="159"/>
      <c r="J832" s="159"/>
      <c r="K832" s="159"/>
      <c r="L832" s="159"/>
      <c r="M832" s="159"/>
      <c r="N832" s="159"/>
      <c r="O832" s="159"/>
      <c r="P832" s="159"/>
      <c r="Q832" s="159"/>
      <c r="R832" s="324"/>
      <c r="AC832" s="325" t="s">
        <v>418</v>
      </c>
      <c r="AD832" s="159">
        <f t="shared" si="113"/>
        <v>41077</v>
      </c>
      <c r="AE832" s="159">
        <f t="shared" si="114"/>
        <v>1598.5266164632565</v>
      </c>
      <c r="AF832" s="159">
        <f t="shared" si="121"/>
        <v>65662.677824461178</v>
      </c>
      <c r="AG832" s="159">
        <f t="shared" si="115"/>
        <v>174483.30600000001</v>
      </c>
      <c r="AH832" s="159">
        <f t="shared" si="119"/>
        <v>240145.98382446117</v>
      </c>
      <c r="AI832" s="159">
        <f t="shared" si="116"/>
        <v>32495</v>
      </c>
      <c r="AJ832" s="159">
        <f t="shared" si="120"/>
        <v>272640.98382446117</v>
      </c>
      <c r="AK832" s="159">
        <v>0</v>
      </c>
      <c r="AL832" s="159">
        <f t="shared" si="118"/>
        <v>272640.98382446117</v>
      </c>
      <c r="AM832" s="159" t="s">
        <v>424</v>
      </c>
      <c r="AN832" s="159">
        <f>+B841/30/1.98</f>
        <v>2775.4713804713806</v>
      </c>
      <c r="AO832" s="159">
        <f t="shared" si="122"/>
        <v>690.32180555555556</v>
      </c>
      <c r="AP832" s="159">
        <f>+L295</f>
        <v>-33.80400067238191</v>
      </c>
      <c r="AQ832" s="159"/>
      <c r="AR832" s="159"/>
      <c r="AS832" s="159"/>
      <c r="AT832" s="324"/>
    </row>
    <row r="833" spans="1:50" ht="15.75" customHeight="1" x14ac:dyDescent="0.3">
      <c r="A833" s="365" t="s">
        <v>795</v>
      </c>
      <c r="B833" s="159">
        <f>+B29</f>
        <v>175142</v>
      </c>
      <c r="C833" s="159">
        <f>+B64</f>
        <v>175045</v>
      </c>
      <c r="D833" s="159">
        <f>+B132</f>
        <v>174949</v>
      </c>
      <c r="E833" s="159">
        <f>+B285</f>
        <v>173816</v>
      </c>
      <c r="F833" s="159">
        <f>+B280</f>
        <v>115675</v>
      </c>
      <c r="G833" s="159">
        <f>+B292</f>
        <v>0</v>
      </c>
      <c r="H833" s="159">
        <f>+B426</f>
        <v>39420</v>
      </c>
      <c r="I833" s="159">
        <f>+B473</f>
        <v>17038</v>
      </c>
      <c r="J833" s="159">
        <f>+B516</f>
        <v>16006</v>
      </c>
      <c r="K833" s="159">
        <f>+B572</f>
        <v>15065</v>
      </c>
      <c r="L833" s="159">
        <f>+B582</f>
        <v>14402</v>
      </c>
      <c r="M833" s="159">
        <f>+B618</f>
        <v>14382</v>
      </c>
      <c r="N833" s="159">
        <f>+B664</f>
        <v>14258</v>
      </c>
      <c r="O833" s="159">
        <f>+B674</f>
        <v>1167</v>
      </c>
      <c r="P833" s="159">
        <f>+B708</f>
        <v>1966</v>
      </c>
      <c r="Q833" s="159">
        <f>+B756</f>
        <v>1165</v>
      </c>
      <c r="R833" s="324"/>
      <c r="T833" s="366">
        <f>'[1]Lake Pleasant Forecast'!B35</f>
        <v>1690.1998116000643</v>
      </c>
      <c r="AC833" s="325" t="s">
        <v>419</v>
      </c>
      <c r="AD833" s="159">
        <f t="shared" si="113"/>
        <v>27691</v>
      </c>
      <c r="AE833" s="159">
        <f t="shared" si="114"/>
        <v>1607.0828356271095</v>
      </c>
      <c r="AF833" s="159">
        <f t="shared" si="121"/>
        <v>44501.730801350292</v>
      </c>
      <c r="AG833" s="159">
        <f t="shared" si="115"/>
        <v>127592.67200000001</v>
      </c>
      <c r="AH833" s="159">
        <f t="shared" si="119"/>
        <v>172094.40280135028</v>
      </c>
      <c r="AI833" s="159">
        <f t="shared" si="116"/>
        <v>24514</v>
      </c>
      <c r="AJ833" s="159">
        <f t="shared" si="120"/>
        <v>196608.40280135028</v>
      </c>
      <c r="AK833" s="159">
        <v>0</v>
      </c>
      <c r="AL833" s="159">
        <f t="shared" si="118"/>
        <v>196608.40280135028</v>
      </c>
      <c r="AM833" s="159" t="s">
        <v>424</v>
      </c>
      <c r="AN833" s="159">
        <f>+B842/31/1.98</f>
        <v>1920.7885304659499</v>
      </c>
      <c r="AO833" s="159">
        <f t="shared" si="122"/>
        <v>465.36263888888891</v>
      </c>
      <c r="AP833" s="159">
        <f>+N295</f>
        <v>-165.04806988433947</v>
      </c>
      <c r="AQ833" s="159"/>
      <c r="AR833" s="159"/>
      <c r="AS833" s="159"/>
      <c r="AT833" s="324"/>
    </row>
    <row r="834" spans="1:50" ht="15.75" customHeight="1" x14ac:dyDescent="0.3">
      <c r="A834" s="365" t="s">
        <v>9</v>
      </c>
      <c r="B834" s="159">
        <f>+C29</f>
        <v>109033</v>
      </c>
      <c r="C834" s="159">
        <f>+C64</f>
        <v>108885</v>
      </c>
      <c r="D834" s="159">
        <f>+C132</f>
        <v>108740</v>
      </c>
      <c r="E834" s="159">
        <f>+C285</f>
        <v>107205</v>
      </c>
      <c r="F834" s="159">
        <f>+C280</f>
        <v>24605</v>
      </c>
      <c r="G834" s="159">
        <f>+C292</f>
        <v>-260</v>
      </c>
      <c r="H834" s="159">
        <f>+C426</f>
        <v>53934</v>
      </c>
      <c r="I834" s="159">
        <f>+C473</f>
        <v>24974</v>
      </c>
      <c r="J834" s="159">
        <f>+C516</f>
        <v>22726</v>
      </c>
      <c r="K834" s="159">
        <f>+C572</f>
        <v>21675</v>
      </c>
      <c r="L834" s="159">
        <f>+C582</f>
        <v>17550</v>
      </c>
      <c r="M834" s="159">
        <f>+C618</f>
        <v>17528</v>
      </c>
      <c r="N834" s="159">
        <f>+C664</f>
        <v>16565</v>
      </c>
      <c r="O834" s="159">
        <f>+C674</f>
        <v>3756</v>
      </c>
      <c r="P834" s="159">
        <f>+C708</f>
        <v>3717</v>
      </c>
      <c r="Q834" s="159">
        <f>+C756</f>
        <v>3753</v>
      </c>
      <c r="R834" s="324"/>
      <c r="T834" s="366">
        <f>'[1]Lake Pleasant Forecast'!B37</f>
        <v>1693.66</v>
      </c>
      <c r="AC834" s="325" t="s">
        <v>420</v>
      </c>
      <c r="AD834" s="159">
        <f t="shared" si="113"/>
        <v>48256</v>
      </c>
      <c r="AE834" s="159">
        <f t="shared" si="114"/>
        <v>1617.5216826798235</v>
      </c>
      <c r="AF834" s="159">
        <f t="shared" si="121"/>
        <v>78055.126319397576</v>
      </c>
      <c r="AG834" s="159">
        <f t="shared" si="115"/>
        <v>97038.495999999999</v>
      </c>
      <c r="AH834" s="159">
        <f t="shared" si="119"/>
        <v>175093.62231939757</v>
      </c>
      <c r="AI834" s="159">
        <f t="shared" si="116"/>
        <v>13084</v>
      </c>
      <c r="AJ834" s="159">
        <f t="shared" si="120"/>
        <v>188177.62231939757</v>
      </c>
      <c r="AK834" s="159">
        <f>(G928)</f>
        <v>0</v>
      </c>
      <c r="AL834" s="159">
        <f t="shared" si="118"/>
        <v>188177.62231939757</v>
      </c>
      <c r="AM834" s="159" t="s">
        <v>424</v>
      </c>
      <c r="AN834" s="159">
        <f>+B843/30/1.98</f>
        <v>1970.0841750841753</v>
      </c>
      <c r="AO834" s="159">
        <f t="shared" si="122"/>
        <v>810.96888888888884</v>
      </c>
      <c r="AP834" s="159">
        <f>+O295</f>
        <v>0</v>
      </c>
      <c r="AQ834" s="159"/>
      <c r="AR834" s="159"/>
      <c r="AS834" s="159"/>
      <c r="AT834" s="324"/>
    </row>
    <row r="835" spans="1:50" ht="15.75" customHeight="1" x14ac:dyDescent="0.3">
      <c r="A835" s="365" t="s">
        <v>10</v>
      </c>
      <c r="B835" s="159">
        <f>+D29</f>
        <v>144761</v>
      </c>
      <c r="C835" s="159">
        <f>+D64</f>
        <v>144487</v>
      </c>
      <c r="D835" s="159">
        <f>+D132</f>
        <v>144226</v>
      </c>
      <c r="E835" s="159">
        <f>+D285</f>
        <v>140135</v>
      </c>
      <c r="F835" s="159">
        <f>+D280</f>
        <v>11698</v>
      </c>
      <c r="G835" s="159">
        <f>+D292</f>
        <v>-6159</v>
      </c>
      <c r="H835" s="159">
        <f>+D426</f>
        <v>97768</v>
      </c>
      <c r="I835" s="159">
        <f>+D473</f>
        <v>33370</v>
      </c>
      <c r="J835" s="159">
        <f>+D516</f>
        <v>27625</v>
      </c>
      <c r="K835" s="159">
        <f>+D572</f>
        <v>23744</v>
      </c>
      <c r="L835" s="159">
        <f>+D582</f>
        <v>20875</v>
      </c>
      <c r="M835" s="159">
        <f>+D618</f>
        <v>20847</v>
      </c>
      <c r="N835" s="159">
        <f>+D664</f>
        <v>19254</v>
      </c>
      <c r="O835" s="159">
        <f>+D674</f>
        <v>4228</v>
      </c>
      <c r="P835" s="159">
        <f>+D708</f>
        <v>5204</v>
      </c>
      <c r="Q835" s="159">
        <f>+D756</f>
        <v>4168</v>
      </c>
      <c r="R835" s="324"/>
      <c r="T835" s="366">
        <f>'[1]Lake Pleasant Forecast'!B39</f>
        <v>1696.7</v>
      </c>
      <c r="AC835" s="325" t="s">
        <v>421</v>
      </c>
      <c r="AD835" s="159">
        <f t="shared" si="113"/>
        <v>47232</v>
      </c>
      <c r="AE835" s="159">
        <f t="shared" si="114"/>
        <v>1621.0530797648637</v>
      </c>
      <c r="AF835" s="159">
        <f t="shared" si="121"/>
        <v>76565.579063454046</v>
      </c>
      <c r="AG835" s="159">
        <f t="shared" si="115"/>
        <v>114382.82799999999</v>
      </c>
      <c r="AH835" s="159">
        <f t="shared" si="119"/>
        <v>190948.40706345404</v>
      </c>
      <c r="AI835" s="159">
        <f t="shared" si="116"/>
        <v>23587</v>
      </c>
      <c r="AJ835" s="159">
        <f t="shared" si="120"/>
        <v>214535.40706345404</v>
      </c>
      <c r="AK835" s="159">
        <f>(G929)</f>
        <v>0</v>
      </c>
      <c r="AL835" s="159">
        <f t="shared" si="118"/>
        <v>214535.40706345404</v>
      </c>
      <c r="AM835" s="159" t="s">
        <v>424</v>
      </c>
      <c r="AN835" s="159">
        <f>+B844/31/1.98</f>
        <v>2090.3062886933858</v>
      </c>
      <c r="AO835" s="159">
        <f>(AD835*43560/31/24/3600)</f>
        <v>768.15483870967739</v>
      </c>
      <c r="AP835" s="159">
        <f>+P295</f>
        <v>0</v>
      </c>
      <c r="AQ835" s="159"/>
      <c r="AR835" s="159"/>
      <c r="AS835" s="159"/>
      <c r="AT835" s="324"/>
    </row>
    <row r="836" spans="1:50" ht="15.75" customHeight="1" x14ac:dyDescent="0.3">
      <c r="A836" s="365" t="s">
        <v>12</v>
      </c>
      <c r="B836" s="159">
        <f>+F29</f>
        <v>155376</v>
      </c>
      <c r="C836" s="159">
        <f>+F64</f>
        <v>155009</v>
      </c>
      <c r="D836" s="159">
        <f>+F132</f>
        <v>154659</v>
      </c>
      <c r="E836" s="159">
        <f>+F285</f>
        <v>147593</v>
      </c>
      <c r="F836" s="159">
        <f>+F280</f>
        <v>1058</v>
      </c>
      <c r="G836" s="159">
        <f>+F292</f>
        <v>-34505</v>
      </c>
      <c r="H836" s="159">
        <f>+F426</f>
        <v>134550</v>
      </c>
      <c r="I836" s="159">
        <f>+F473</f>
        <v>44135</v>
      </c>
      <c r="J836" s="159">
        <f>+F516</f>
        <v>34073</v>
      </c>
      <c r="K836" s="159">
        <f>+F572</f>
        <v>27053</v>
      </c>
      <c r="L836" s="159">
        <f>+F582</f>
        <v>20666</v>
      </c>
      <c r="M836" s="159">
        <f>+F618</f>
        <v>20629</v>
      </c>
      <c r="N836" s="159">
        <f>+F664</f>
        <v>19870</v>
      </c>
      <c r="O836" s="159">
        <f>+F674</f>
        <v>4079</v>
      </c>
      <c r="P836" s="159">
        <f>+F708</f>
        <v>5971</v>
      </c>
      <c r="Q836" s="159">
        <f>+F756</f>
        <v>4072</v>
      </c>
      <c r="R836" s="324"/>
      <c r="T836" s="366">
        <f>'[1]Lake Pleasant Forecast'!B41</f>
        <v>1696.11085484296</v>
      </c>
      <c r="AC836" s="323"/>
      <c r="AD836" s="159"/>
      <c r="AE836" s="159"/>
      <c r="AF836" s="159"/>
      <c r="AG836" s="159"/>
      <c r="AH836" s="159"/>
      <c r="AI836" s="159"/>
      <c r="AJ836" s="159"/>
      <c r="AK836" s="159"/>
      <c r="AL836" s="159"/>
      <c r="AM836" s="159" t="s">
        <v>424</v>
      </c>
      <c r="AN836" s="159"/>
      <c r="AO836" s="159"/>
      <c r="AP836" s="159"/>
      <c r="AQ836" s="159"/>
      <c r="AR836" s="159"/>
      <c r="AS836" s="159"/>
      <c r="AT836" s="324"/>
    </row>
    <row r="837" spans="1:50" ht="15.75" customHeight="1" x14ac:dyDescent="0.3">
      <c r="A837" s="365" t="s">
        <v>13</v>
      </c>
      <c r="B837" s="159">
        <f>+G29</f>
        <v>176442</v>
      </c>
      <c r="C837" s="159">
        <f>+G64</f>
        <v>176017</v>
      </c>
      <c r="D837" s="159">
        <f>+G132</f>
        <v>175615</v>
      </c>
      <c r="E837" s="159">
        <f>+G285</f>
        <v>169648</v>
      </c>
      <c r="F837" s="159">
        <f>+G280</f>
        <v>36939</v>
      </c>
      <c r="G837" s="159">
        <f>+G292</f>
        <v>-3516</v>
      </c>
      <c r="H837" s="159">
        <f>+G426</f>
        <v>101443</v>
      </c>
      <c r="I837" s="159">
        <f>+G473</f>
        <v>29212</v>
      </c>
      <c r="J837" s="159">
        <f>+G516</f>
        <v>26404</v>
      </c>
      <c r="K837" s="159">
        <f>+G572</f>
        <v>23679</v>
      </c>
      <c r="L837" s="159">
        <f>+G582</f>
        <v>20021</v>
      </c>
      <c r="M837" s="159">
        <f>+G618</f>
        <v>19979</v>
      </c>
      <c r="N837" s="159">
        <f>+G664</f>
        <v>18630</v>
      </c>
      <c r="O837" s="159">
        <f>+G674</f>
        <v>3474</v>
      </c>
      <c r="P837" s="159">
        <f>+G708</f>
        <v>6492</v>
      </c>
      <c r="Q837" s="159">
        <f>+G756</f>
        <v>3466</v>
      </c>
      <c r="R837" s="324"/>
      <c r="T837" s="366">
        <f>'[1]Lake Pleasant Forecast'!B43</f>
        <v>1693.7800000000002</v>
      </c>
      <c r="AC837" s="323" t="s">
        <v>422</v>
      </c>
      <c r="AD837" s="159">
        <f>SUM(AD824:AD835)</f>
        <v>354606</v>
      </c>
      <c r="AE837" s="159"/>
      <c r="AF837" s="159">
        <f t="shared" ref="AF837:AL837" si="123">SUM(AF824:AF835)</f>
        <v>576992.09418428154</v>
      </c>
      <c r="AG837" s="159">
        <f t="shared" si="123"/>
        <v>1636406.7170000002</v>
      </c>
      <c r="AH837" s="159">
        <f t="shared" si="123"/>
        <v>2213398.8111842815</v>
      </c>
      <c r="AI837" s="159">
        <f t="shared" si="123"/>
        <v>405421</v>
      </c>
      <c r="AJ837" s="159">
        <f t="shared" si="123"/>
        <v>2618819.8111842815</v>
      </c>
      <c r="AK837" s="159">
        <f t="shared" si="123"/>
        <v>39194.620618674242</v>
      </c>
      <c r="AL837" s="159">
        <f t="shared" si="123"/>
        <v>2579625.1905656075</v>
      </c>
      <c r="AM837" s="159"/>
      <c r="AN837" s="159"/>
      <c r="AO837" s="159"/>
      <c r="AP837" s="159"/>
      <c r="AQ837" s="159"/>
      <c r="AR837" s="159"/>
      <c r="AS837" s="159"/>
      <c r="AT837" s="324"/>
    </row>
    <row r="838" spans="1:50" ht="15.75" customHeight="1" x14ac:dyDescent="0.3">
      <c r="A838" s="365" t="s">
        <v>14</v>
      </c>
      <c r="B838" s="159">
        <f>+H29</f>
        <v>81465</v>
      </c>
      <c r="C838" s="159">
        <f>+H64</f>
        <v>81048</v>
      </c>
      <c r="D838" s="159">
        <f>+H132</f>
        <v>80652</v>
      </c>
      <c r="E838" s="159">
        <f>+H285</f>
        <v>73795</v>
      </c>
      <c r="F838" s="159">
        <f>+H280</f>
        <v>375</v>
      </c>
      <c r="G838" s="159">
        <f>+H292</f>
        <v>-83579</v>
      </c>
      <c r="H838" s="159">
        <f>+H426</f>
        <v>114371</v>
      </c>
      <c r="I838" s="159">
        <f>+H473</f>
        <v>32237</v>
      </c>
      <c r="J838" s="159">
        <f>+H516</f>
        <v>23766</v>
      </c>
      <c r="K838" s="159">
        <f>+H572</f>
        <v>20621</v>
      </c>
      <c r="L838" s="159">
        <f>+H582</f>
        <v>19686</v>
      </c>
      <c r="M838" s="159">
        <f>+H618</f>
        <v>19642</v>
      </c>
      <c r="N838" s="159">
        <f>+H664</f>
        <v>18705</v>
      </c>
      <c r="O838" s="159">
        <f>+H674</f>
        <v>4965</v>
      </c>
      <c r="P838" s="159">
        <f>+H708</f>
        <v>5940</v>
      </c>
      <c r="Q838" s="159">
        <f>+H756</f>
        <v>4897</v>
      </c>
      <c r="R838" s="324"/>
      <c r="T838" s="366">
        <f>'[1]Lake Pleasant Forecast'!B45</f>
        <v>1681.1000000000001</v>
      </c>
      <c r="AC838" s="323"/>
      <c r="AD838" s="159"/>
      <c r="AE838" s="159"/>
      <c r="AF838" s="159"/>
      <c r="AG838" s="159"/>
      <c r="AH838" s="159"/>
      <c r="AI838" s="159"/>
      <c r="AJ838" s="159"/>
      <c r="AK838" s="159"/>
      <c r="AL838" s="159"/>
      <c r="AM838" s="159"/>
      <c r="AN838" s="159"/>
      <c r="AO838" s="159"/>
      <c r="AP838" s="159"/>
      <c r="AQ838" s="159"/>
      <c r="AR838" s="159"/>
      <c r="AS838" s="159"/>
      <c r="AT838" s="324"/>
    </row>
    <row r="839" spans="1:50" ht="15.75" customHeight="1" x14ac:dyDescent="0.3">
      <c r="A839" s="365" t="s">
        <v>16</v>
      </c>
      <c r="B839" s="159">
        <f>+J29</f>
        <v>73014</v>
      </c>
      <c r="C839" s="159">
        <f>+J64</f>
        <v>72598</v>
      </c>
      <c r="D839" s="159">
        <f>+J132</f>
        <v>72204</v>
      </c>
      <c r="E839" s="159">
        <f>+J285</f>
        <v>65051</v>
      </c>
      <c r="F839" s="159">
        <f>+J280</f>
        <v>0</v>
      </c>
      <c r="G839" s="159">
        <f>+J292</f>
        <v>-87950</v>
      </c>
      <c r="H839" s="159">
        <f>+J426</f>
        <v>101441</v>
      </c>
      <c r="I839" s="159">
        <f>+J473</f>
        <v>41523</v>
      </c>
      <c r="J839" s="159">
        <f>+J516</f>
        <v>29385</v>
      </c>
      <c r="K839" s="159">
        <f>+J572</f>
        <v>23942</v>
      </c>
      <c r="L839" s="159">
        <f>+J582</f>
        <v>17847</v>
      </c>
      <c r="M839" s="159">
        <f>+J618</f>
        <v>17808</v>
      </c>
      <c r="N839" s="159">
        <f>+J664</f>
        <v>16329</v>
      </c>
      <c r="O839" s="159">
        <f>+J674</f>
        <v>3726</v>
      </c>
      <c r="P839" s="159">
        <f>+J708</f>
        <v>5517</v>
      </c>
      <c r="Q839" s="159">
        <f>+J756</f>
        <v>3719</v>
      </c>
      <c r="R839" s="324"/>
      <c r="T839" s="366">
        <f>'[1]Lake Pleasant Forecast'!B47</f>
        <v>1671.6699725311105</v>
      </c>
      <c r="AC839" s="323" t="s">
        <v>450</v>
      </c>
      <c r="AD839" s="159"/>
      <c r="AE839" s="159"/>
      <c r="AF839" s="159"/>
      <c r="AG839" s="159"/>
      <c r="AH839" s="159"/>
      <c r="AI839" s="159"/>
      <c r="AJ839" s="159"/>
      <c r="AK839" s="159"/>
      <c r="AL839" s="159"/>
      <c r="AM839" s="159"/>
      <c r="AN839" s="159"/>
      <c r="AO839" s="159"/>
      <c r="AP839" s="159"/>
      <c r="AQ839" s="159"/>
      <c r="AR839" s="159"/>
      <c r="AS839" s="159"/>
      <c r="AT839" s="324"/>
    </row>
    <row r="840" spans="1:50" ht="15.75" customHeight="1" x14ac:dyDescent="0.3">
      <c r="A840" s="365" t="s">
        <v>17</v>
      </c>
      <c r="B840" s="159">
        <f>+K29</f>
        <v>70573</v>
      </c>
      <c r="C840" s="159">
        <f>+K64</f>
        <v>70239</v>
      </c>
      <c r="D840" s="159">
        <f>+K132</f>
        <v>69921</v>
      </c>
      <c r="E840" s="159">
        <f>+K285</f>
        <v>60668</v>
      </c>
      <c r="F840" s="159">
        <f>+K280</f>
        <v>0</v>
      </c>
      <c r="G840" s="159">
        <f>+K292</f>
        <v>-97320</v>
      </c>
      <c r="H840" s="159">
        <f>+K426</f>
        <v>103649</v>
      </c>
      <c r="I840" s="159">
        <f>+K473</f>
        <v>37282</v>
      </c>
      <c r="J840" s="159">
        <f>+K516</f>
        <v>26203</v>
      </c>
      <c r="K840" s="159">
        <f>+K572</f>
        <v>20860</v>
      </c>
      <c r="L840" s="159">
        <f>+K582</f>
        <v>18650</v>
      </c>
      <c r="M840" s="159">
        <f>+K618</f>
        <v>18614</v>
      </c>
      <c r="N840" s="159">
        <f>+K664</f>
        <v>16563</v>
      </c>
      <c r="O840" s="159">
        <f>+K674</f>
        <v>4236</v>
      </c>
      <c r="P840" s="159">
        <f>+K708</f>
        <v>5615</v>
      </c>
      <c r="Q840" s="159">
        <f>+K756</f>
        <v>4230</v>
      </c>
      <c r="R840" s="324"/>
      <c r="T840" s="366">
        <f>'[1]Lake Pleasant Forecast'!B49</f>
        <v>1661.2798188452823</v>
      </c>
      <c r="AC840" s="323" t="s">
        <v>451</v>
      </c>
      <c r="AD840" s="159"/>
      <c r="AE840" s="159"/>
      <c r="AF840" s="159"/>
      <c r="AG840" s="159"/>
      <c r="AH840" s="159"/>
      <c r="AI840" s="159"/>
      <c r="AJ840" s="159"/>
      <c r="AK840" s="159"/>
      <c r="AL840" s="159"/>
      <c r="AM840" s="159"/>
      <c r="AN840" s="159"/>
      <c r="AO840" s="159"/>
      <c r="AP840" s="159"/>
      <c r="AQ840" s="159"/>
      <c r="AR840" s="159"/>
      <c r="AS840" s="159"/>
      <c r="AT840" s="324"/>
    </row>
    <row r="841" spans="1:50" ht="15.75" customHeight="1" x14ac:dyDescent="0.3">
      <c r="A841" s="365" t="s">
        <v>18</v>
      </c>
      <c r="B841" s="159">
        <f>+L29</f>
        <v>164863</v>
      </c>
      <c r="C841" s="159">
        <f>+L64</f>
        <v>164547</v>
      </c>
      <c r="D841" s="159">
        <f>+L132</f>
        <v>164246</v>
      </c>
      <c r="E841" s="159">
        <f>+L285</f>
        <v>156105</v>
      </c>
      <c r="F841" s="159">
        <f>+L280</f>
        <v>41077</v>
      </c>
      <c r="G841" s="159">
        <f>+L292</f>
        <v>-2011</v>
      </c>
      <c r="H841" s="159">
        <f>+L426</f>
        <v>72500</v>
      </c>
      <c r="I841" s="159">
        <f>+L473</f>
        <v>25918</v>
      </c>
      <c r="J841" s="159">
        <f>+L516</f>
        <v>20702</v>
      </c>
      <c r="K841" s="159">
        <f>+L572</f>
        <v>18441</v>
      </c>
      <c r="L841" s="159">
        <f>+L582</f>
        <v>17622</v>
      </c>
      <c r="M841" s="159">
        <f>+L618</f>
        <v>17588</v>
      </c>
      <c r="N841" s="159">
        <f>+L664</f>
        <v>15443</v>
      </c>
      <c r="O841" s="159">
        <f>+L674</f>
        <v>3092</v>
      </c>
      <c r="P841" s="159">
        <f>+L708</f>
        <v>4911</v>
      </c>
      <c r="Q841" s="159">
        <f>+L756</f>
        <v>3086</v>
      </c>
      <c r="R841" s="324"/>
      <c r="T841" s="366">
        <f>'[1]Lake Pleasant Forecast'!B51</f>
        <v>1659.68</v>
      </c>
      <c r="AC841" s="323"/>
      <c r="AD841" s="159"/>
      <c r="AE841" s="159"/>
      <c r="AF841" s="159"/>
      <c r="AG841" s="159"/>
      <c r="AH841" s="159"/>
      <c r="AI841" s="159"/>
      <c r="AJ841" s="159"/>
      <c r="AK841" s="159"/>
      <c r="AL841" s="159"/>
      <c r="AM841" s="159"/>
      <c r="AN841" s="159"/>
      <c r="AO841" s="159"/>
      <c r="AP841" s="159"/>
      <c r="AQ841" s="159"/>
      <c r="AR841" s="159"/>
      <c r="AS841" s="159"/>
      <c r="AT841" s="324"/>
    </row>
    <row r="842" spans="1:50" ht="15.75" customHeight="1" x14ac:dyDescent="0.3">
      <c r="A842" s="365" t="s">
        <v>20</v>
      </c>
      <c r="B842" s="159">
        <f>+N29</f>
        <v>117898</v>
      </c>
      <c r="C842" s="159">
        <f>+N64</f>
        <v>117613</v>
      </c>
      <c r="D842" s="159">
        <f>+N132</f>
        <v>117341</v>
      </c>
      <c r="E842" s="159">
        <f>+N285</f>
        <v>113622</v>
      </c>
      <c r="F842" s="159">
        <f>+N280</f>
        <v>27691</v>
      </c>
      <c r="G842" s="159">
        <f>+N292</f>
        <v>-10146</v>
      </c>
      <c r="H842" s="159">
        <f>+N426</f>
        <v>57674</v>
      </c>
      <c r="I842" s="159">
        <f>+N473</f>
        <v>17021</v>
      </c>
      <c r="J842" s="159">
        <f>+N516</f>
        <v>14985</v>
      </c>
      <c r="K842" s="159">
        <f>+N572</f>
        <v>12844</v>
      </c>
      <c r="L842" s="159">
        <f>+N582</f>
        <v>12380</v>
      </c>
      <c r="M842" s="159">
        <f>+N618</f>
        <v>12351</v>
      </c>
      <c r="N842" s="159">
        <f>+N664</f>
        <v>11320</v>
      </c>
      <c r="O842" s="159">
        <f>+N674</f>
        <v>3243</v>
      </c>
      <c r="P842" s="159">
        <f>+N708</f>
        <v>4481</v>
      </c>
      <c r="Q842" s="159">
        <f>+N756</f>
        <v>3216</v>
      </c>
      <c r="R842" s="324"/>
      <c r="T842" s="366">
        <f>'[1]Lake Pleasant Forecast'!B53</f>
        <v>1666.2699999999998</v>
      </c>
      <c r="AC842" s="323" t="s">
        <v>452</v>
      </c>
      <c r="AD842" s="159"/>
      <c r="AE842" s="159"/>
      <c r="AF842" s="159"/>
      <c r="AG842" s="159"/>
      <c r="AH842" s="159"/>
      <c r="AI842" s="159"/>
      <c r="AJ842" s="159"/>
      <c r="AK842" s="159"/>
      <c r="AL842" s="159"/>
      <c r="AM842" s="159"/>
      <c r="AN842" s="159"/>
      <c r="AO842" s="159"/>
      <c r="AP842" s="159"/>
      <c r="AQ842" s="159"/>
      <c r="AR842" s="159"/>
      <c r="AS842" s="159"/>
      <c r="AT842" s="324"/>
    </row>
    <row r="843" spans="1:50" ht="15.75" customHeight="1" x14ac:dyDescent="0.3">
      <c r="A843" s="365" t="s">
        <v>21</v>
      </c>
      <c r="B843" s="159">
        <f>+O29</f>
        <v>117023</v>
      </c>
      <c r="C843" s="159">
        <f>+O64</f>
        <v>116788</v>
      </c>
      <c r="D843" s="159">
        <f>+O132</f>
        <v>116562</v>
      </c>
      <c r="E843" s="159">
        <f>+O285</f>
        <v>112751</v>
      </c>
      <c r="F843" s="159">
        <f>+O280</f>
        <v>48256</v>
      </c>
      <c r="G843" s="159">
        <f>+O292</f>
        <v>0</v>
      </c>
      <c r="H843" s="159">
        <f>+O426</f>
        <v>32874</v>
      </c>
      <c r="I843" s="159">
        <f>+O473</f>
        <v>8227</v>
      </c>
      <c r="J843" s="159">
        <f>+O516</f>
        <v>7886</v>
      </c>
      <c r="K843" s="159">
        <f>+O572</f>
        <v>7290</v>
      </c>
      <c r="L843" s="159">
        <f>+O582</f>
        <v>6903</v>
      </c>
      <c r="M843" s="159">
        <f>+O618</f>
        <v>6880</v>
      </c>
      <c r="N843" s="159">
        <f>+O664</f>
        <v>6546</v>
      </c>
      <c r="O843" s="159">
        <f>+O674</f>
        <v>422</v>
      </c>
      <c r="P843" s="159">
        <f>+O708</f>
        <v>3835</v>
      </c>
      <c r="Q843" s="159">
        <f>+O756</f>
        <v>419</v>
      </c>
      <c r="R843" s="324"/>
      <c r="T843" s="366">
        <f>'[1]Lake Pleasant Forecast'!B55</f>
        <v>1674.31</v>
      </c>
      <c r="AC843" s="323"/>
      <c r="AD843" s="159"/>
      <c r="AE843" s="159"/>
      <c r="AF843" s="159"/>
      <c r="AG843" s="159"/>
      <c r="AH843" s="159"/>
      <c r="AI843" s="159"/>
      <c r="AJ843" s="159"/>
      <c r="AK843" s="159"/>
      <c r="AL843" s="159"/>
      <c r="AM843" s="159"/>
      <c r="AN843" s="159"/>
      <c r="AO843" s="159"/>
      <c r="AP843" s="159"/>
      <c r="AQ843" s="159"/>
      <c r="AR843" s="159"/>
      <c r="AS843" s="159"/>
      <c r="AT843" s="324"/>
    </row>
    <row r="844" spans="1:50" ht="15.75" customHeight="1" thickBot="1" x14ac:dyDescent="0.35">
      <c r="A844" s="365" t="s">
        <v>22</v>
      </c>
      <c r="B844" s="159">
        <f>+P29</f>
        <v>128303</v>
      </c>
      <c r="C844" s="159">
        <f>+P64</f>
        <v>128117</v>
      </c>
      <c r="D844" s="159">
        <f>+P132</f>
        <v>127938</v>
      </c>
      <c r="E844" s="159">
        <f>+P285</f>
        <v>123029</v>
      </c>
      <c r="F844" s="159">
        <f>+P280</f>
        <v>47232</v>
      </c>
      <c r="G844" s="159">
        <f>+P292</f>
        <v>0</v>
      </c>
      <c r="H844" s="159">
        <f>+P426</f>
        <v>45862</v>
      </c>
      <c r="I844" s="159">
        <f>+P473</f>
        <v>17963</v>
      </c>
      <c r="J844" s="159">
        <f>+P516</f>
        <v>17302</v>
      </c>
      <c r="K844" s="159">
        <f>+P572</f>
        <v>16617</v>
      </c>
      <c r="L844" s="159">
        <f>+P582</f>
        <v>12267</v>
      </c>
      <c r="M844" s="159">
        <f>+P618</f>
        <v>12248</v>
      </c>
      <c r="N844" s="159">
        <f>+P664</f>
        <v>11342</v>
      </c>
      <c r="O844" s="159">
        <f>+P674</f>
        <v>1138</v>
      </c>
      <c r="P844" s="159">
        <f>+P708</f>
        <v>4068</v>
      </c>
      <c r="Q844" s="159">
        <f>+P756</f>
        <v>1136</v>
      </c>
      <c r="R844" s="324"/>
      <c r="T844" s="366">
        <f>'[1]Lake Pleasant Forecast'!B57</f>
        <v>1677.029882034898</v>
      </c>
      <c r="AC844" s="326" t="s">
        <v>453</v>
      </c>
      <c r="AD844" s="327"/>
      <c r="AE844" s="327"/>
      <c r="AF844" s="327"/>
      <c r="AG844" s="327"/>
      <c r="AH844" s="327"/>
      <c r="AI844" s="327"/>
      <c r="AJ844" s="327"/>
      <c r="AK844" s="327"/>
      <c r="AL844" s="327"/>
      <c r="AM844" s="327"/>
      <c r="AN844" s="327"/>
      <c r="AO844" s="327"/>
      <c r="AP844" s="327"/>
      <c r="AQ844" s="327"/>
      <c r="AR844" s="327"/>
      <c r="AS844" s="327"/>
      <c r="AT844" s="328"/>
    </row>
    <row r="845" spans="1:50" ht="15.75" customHeight="1" x14ac:dyDescent="0.3">
      <c r="A845" s="325"/>
      <c r="B845" s="159"/>
      <c r="C845" s="159"/>
      <c r="D845" s="159"/>
      <c r="E845" s="159"/>
      <c r="F845" s="159"/>
      <c r="G845" s="159"/>
      <c r="H845" s="159"/>
      <c r="I845" s="159"/>
      <c r="J845" s="159"/>
      <c r="K845" s="159"/>
      <c r="L845" s="159"/>
      <c r="M845" s="159"/>
      <c r="N845" s="159"/>
      <c r="O845" s="159"/>
      <c r="P845" s="159"/>
      <c r="Q845" s="159"/>
      <c r="R845" s="324"/>
    </row>
    <row r="846" spans="1:50" ht="15.75" customHeight="1" thickBot="1" x14ac:dyDescent="0.35">
      <c r="A846" s="325" t="s">
        <v>422</v>
      </c>
      <c r="B846" s="159">
        <f t="shared" ref="B846:Q846" si="124">SUM(B833:B844)</f>
        <v>1513893</v>
      </c>
      <c r="C846" s="159">
        <f t="shared" si="124"/>
        <v>1510393</v>
      </c>
      <c r="D846" s="159">
        <f t="shared" si="124"/>
        <v>1507053</v>
      </c>
      <c r="E846" s="159">
        <f t="shared" si="124"/>
        <v>1443418</v>
      </c>
      <c r="F846" s="159">
        <f t="shared" si="124"/>
        <v>354606</v>
      </c>
      <c r="G846" s="159">
        <f t="shared" si="124"/>
        <v>-325446</v>
      </c>
      <c r="H846" s="159">
        <f t="shared" si="124"/>
        <v>955486</v>
      </c>
      <c r="I846" s="159">
        <f t="shared" si="124"/>
        <v>328900</v>
      </c>
      <c r="J846" s="159">
        <f t="shared" si="124"/>
        <v>267063</v>
      </c>
      <c r="K846" s="159">
        <f t="shared" si="124"/>
        <v>231831</v>
      </c>
      <c r="L846" s="159">
        <f t="shared" si="124"/>
        <v>198869</v>
      </c>
      <c r="M846" s="159">
        <f t="shared" si="124"/>
        <v>198496</v>
      </c>
      <c r="N846" s="159">
        <f t="shared" si="124"/>
        <v>184825</v>
      </c>
      <c r="O846" s="159">
        <f t="shared" si="124"/>
        <v>37526</v>
      </c>
      <c r="P846" s="159">
        <f t="shared" si="124"/>
        <v>57717</v>
      </c>
      <c r="Q846" s="159">
        <f t="shared" si="124"/>
        <v>37327</v>
      </c>
      <c r="R846" s="324"/>
    </row>
    <row r="847" spans="1:50" ht="15.75" customHeight="1" thickBot="1" x14ac:dyDescent="0.35">
      <c r="A847" s="312"/>
      <c r="B847" s="312"/>
      <c r="C847" s="312"/>
      <c r="D847" s="312"/>
      <c r="E847" s="312"/>
      <c r="F847" s="312"/>
      <c r="G847" s="312"/>
      <c r="H847" s="312"/>
      <c r="I847" s="312"/>
      <c r="J847" s="312"/>
      <c r="K847" s="312"/>
      <c r="L847" s="312"/>
      <c r="M847" s="312"/>
      <c r="N847" s="312"/>
      <c r="O847" s="312"/>
      <c r="P847" s="312"/>
      <c r="Q847" s="312"/>
      <c r="R847" s="328"/>
      <c r="AC847" s="318"/>
      <c r="AD847" s="319"/>
      <c r="AE847" s="319"/>
      <c r="AF847" s="319"/>
      <c r="AG847" s="319"/>
      <c r="AH847" s="319"/>
      <c r="AI847" s="319"/>
      <c r="AJ847" s="319"/>
      <c r="AK847" s="319"/>
      <c r="AL847" s="319"/>
      <c r="AM847" s="319"/>
      <c r="AN847" s="319"/>
      <c r="AO847" s="319"/>
      <c r="AP847" s="319"/>
      <c r="AQ847" s="319"/>
      <c r="AR847" s="319"/>
      <c r="AS847" s="361" t="str">
        <f>+Q1</f>
        <v xml:space="preserve">PRINTED:  </v>
      </c>
      <c r="AT847" s="367">
        <f ca="1">+R1</f>
        <v>44909.46975358796</v>
      </c>
      <c r="AU847" s="332"/>
      <c r="AW847" s="161" t="s">
        <v>467</v>
      </c>
      <c r="AX847" s="159"/>
    </row>
    <row r="848" spans="1:50" ht="15.75" customHeight="1" x14ac:dyDescent="0.35">
      <c r="A848" s="368"/>
      <c r="B848" s="368"/>
      <c r="C848" s="368"/>
      <c r="D848" s="368"/>
      <c r="E848" s="368"/>
      <c r="F848" s="368"/>
      <c r="G848" s="368"/>
      <c r="H848" s="368"/>
      <c r="I848" s="368"/>
      <c r="J848" s="368"/>
      <c r="K848" s="368"/>
      <c r="L848" s="368"/>
      <c r="M848" s="368"/>
      <c r="N848" s="368"/>
      <c r="O848" s="368"/>
      <c r="P848" s="368"/>
      <c r="Q848" s="368"/>
      <c r="R848" s="319"/>
      <c r="AC848" s="323"/>
      <c r="AD848" s="159"/>
      <c r="AE848" s="161" t="s">
        <v>460</v>
      </c>
      <c r="AF848" s="159"/>
      <c r="AG848" s="159"/>
      <c r="AH848" s="159"/>
      <c r="AI848" s="159"/>
      <c r="AJ848" s="159"/>
      <c r="AK848" s="159"/>
      <c r="AL848" s="159"/>
      <c r="AM848" s="159"/>
      <c r="AN848" s="167"/>
      <c r="AO848" s="161" t="s">
        <v>461</v>
      </c>
      <c r="AP848" s="159"/>
      <c r="AQ848" s="159"/>
      <c r="AR848" s="159"/>
      <c r="AS848" s="159"/>
      <c r="AT848" s="159"/>
      <c r="AU848" s="307"/>
      <c r="AW848" s="159" t="s">
        <v>468</v>
      </c>
      <c r="AX848" s="159"/>
    </row>
    <row r="849" spans="1:50" ht="16.5" customHeight="1" x14ac:dyDescent="0.3">
      <c r="A849" s="325" t="s">
        <v>7</v>
      </c>
      <c r="B849" s="159"/>
      <c r="C849" s="159"/>
      <c r="D849" s="159"/>
      <c r="E849" s="159"/>
      <c r="F849" s="159"/>
      <c r="G849" s="159"/>
      <c r="H849" s="159"/>
      <c r="I849" s="159"/>
      <c r="J849" s="159"/>
      <c r="K849" s="159"/>
      <c r="L849" s="159"/>
      <c r="M849" s="159"/>
      <c r="N849" s="159"/>
      <c r="O849" s="159"/>
      <c r="P849" s="159"/>
      <c r="Q849" s="159"/>
      <c r="R849" s="159"/>
      <c r="AC849" s="323"/>
      <c r="AD849" s="159"/>
      <c r="AE849" s="159"/>
      <c r="AF849" s="159"/>
      <c r="AG849" s="159" t="s">
        <v>7</v>
      </c>
      <c r="AH849" s="163" t="str">
        <f>+A8</f>
        <v>Revised:  5/2/2016</v>
      </c>
      <c r="AI849" s="159"/>
      <c r="AJ849" s="159"/>
      <c r="AK849" s="159"/>
      <c r="AL849" s="159"/>
      <c r="AM849" s="159"/>
      <c r="AN849" s="159"/>
      <c r="AO849" s="159"/>
      <c r="AP849" s="159"/>
      <c r="AQ849" s="159"/>
      <c r="AR849" s="159" t="s">
        <v>7</v>
      </c>
      <c r="AS849" s="163" t="str">
        <f>+A8</f>
        <v>Revised:  5/2/2016</v>
      </c>
      <c r="AT849" s="159"/>
      <c r="AU849" s="307"/>
      <c r="AW849" s="159"/>
      <c r="AX849" s="159"/>
    </row>
    <row r="850" spans="1:50" ht="15.75" customHeight="1" x14ac:dyDescent="0.3">
      <c r="A850" s="164"/>
      <c r="B850" s="159"/>
      <c r="C850" s="159"/>
      <c r="D850" s="159"/>
      <c r="E850" s="159"/>
      <c r="F850" s="159"/>
      <c r="G850" s="159"/>
      <c r="H850" s="159"/>
      <c r="I850" s="159"/>
      <c r="J850" s="159"/>
      <c r="K850" s="159"/>
      <c r="L850" s="159"/>
      <c r="M850" s="159"/>
      <c r="N850" s="159"/>
      <c r="O850" s="159"/>
      <c r="P850" s="159"/>
      <c r="Q850" s="159"/>
      <c r="R850" s="159"/>
      <c r="AC850" s="323"/>
      <c r="AD850" s="159"/>
      <c r="AE850" s="159"/>
      <c r="AF850" s="159" t="s">
        <v>787</v>
      </c>
      <c r="AG850" s="159"/>
      <c r="AH850" s="159"/>
      <c r="AI850" s="159"/>
      <c r="AJ850" s="159"/>
      <c r="AK850" s="159"/>
      <c r="AL850" s="159"/>
      <c r="AM850" s="159"/>
      <c r="AN850" s="159"/>
      <c r="AO850" s="159"/>
      <c r="AP850" s="159" t="s">
        <v>787</v>
      </c>
      <c r="AQ850" s="159"/>
      <c r="AR850" s="159"/>
      <c r="AS850" s="159"/>
      <c r="AT850" s="159"/>
      <c r="AU850" s="307"/>
      <c r="AW850" s="159" t="s">
        <v>424</v>
      </c>
      <c r="AX850" s="164" t="s">
        <v>442</v>
      </c>
    </row>
    <row r="851" spans="1:50" ht="15.75" customHeight="1" x14ac:dyDescent="0.3">
      <c r="A851" s="365"/>
      <c r="AC851" s="323"/>
      <c r="AD851" s="159"/>
      <c r="AE851" s="159"/>
      <c r="AF851" s="159"/>
      <c r="AG851" s="159"/>
      <c r="AH851" s="159"/>
      <c r="AI851" s="159"/>
      <c r="AJ851" s="159"/>
      <c r="AK851" s="159"/>
      <c r="AL851" s="159"/>
      <c r="AM851" s="159"/>
      <c r="AN851" s="159"/>
      <c r="AO851" s="159"/>
      <c r="AP851" s="159"/>
      <c r="AQ851" s="159"/>
      <c r="AR851" s="159"/>
      <c r="AS851" s="159"/>
      <c r="AT851" s="159"/>
      <c r="AU851" s="307"/>
      <c r="AW851" s="164" t="s">
        <v>442</v>
      </c>
      <c r="AX851" s="164" t="s">
        <v>439</v>
      </c>
    </row>
    <row r="852" spans="1:50" ht="15.75" customHeight="1" thickBot="1" x14ac:dyDescent="0.35">
      <c r="A852" s="365"/>
      <c r="AC852" s="323"/>
      <c r="AD852" s="159"/>
      <c r="AE852" s="159"/>
      <c r="AF852" s="159"/>
      <c r="AG852" s="159">
        <f>+A5</f>
        <v>2015</v>
      </c>
      <c r="AH852" s="159"/>
      <c r="AI852" s="159"/>
      <c r="AJ852" s="159"/>
      <c r="AK852" s="159"/>
      <c r="AL852" s="159"/>
      <c r="AM852" s="159"/>
      <c r="AN852" s="159"/>
      <c r="AO852" s="159"/>
      <c r="AP852" s="159"/>
      <c r="AQ852" s="159"/>
      <c r="AR852" s="159">
        <f>+A5</f>
        <v>2015</v>
      </c>
      <c r="AS852" s="159"/>
      <c r="AT852" s="159"/>
      <c r="AU852" s="307"/>
      <c r="AW852" s="164" t="s">
        <v>491</v>
      </c>
      <c r="AX852" s="164" t="s">
        <v>492</v>
      </c>
    </row>
    <row r="853" spans="1:50" ht="15.75" customHeight="1" x14ac:dyDescent="0.3">
      <c r="A853" s="363"/>
      <c r="B853" s="506" t="s">
        <v>454</v>
      </c>
      <c r="C853" s="506"/>
      <c r="D853" s="506"/>
      <c r="E853" s="506"/>
      <c r="F853" s="506"/>
      <c r="G853" s="506"/>
      <c r="H853" s="506"/>
      <c r="I853" s="506"/>
      <c r="J853" s="506"/>
      <c r="K853" s="506"/>
      <c r="L853" s="506"/>
      <c r="M853" s="506"/>
      <c r="N853" s="506"/>
      <c r="O853" s="506"/>
      <c r="P853" s="506"/>
      <c r="Q853" s="361" t="str">
        <f>+Q1</f>
        <v xml:space="preserve">PRINTED:  </v>
      </c>
      <c r="R853" s="362">
        <f ca="1">+R1</f>
        <v>44909.46975358796</v>
      </c>
      <c r="AC853" s="323"/>
      <c r="AD853" s="159"/>
      <c r="AE853" s="159"/>
      <c r="AF853" s="159"/>
      <c r="AG853" s="159" t="s">
        <v>457</v>
      </c>
      <c r="AH853" s="159"/>
      <c r="AI853" s="159"/>
      <c r="AJ853" s="159"/>
      <c r="AK853" s="159"/>
      <c r="AL853" s="159"/>
      <c r="AM853" s="159"/>
      <c r="AN853" s="159"/>
      <c r="AO853" s="159"/>
      <c r="AP853" s="159"/>
      <c r="AQ853" s="159"/>
      <c r="AR853" s="159" t="s">
        <v>457</v>
      </c>
      <c r="AS853" s="159"/>
      <c r="AT853" s="159"/>
      <c r="AU853" s="307"/>
      <c r="AW853" s="164" t="s">
        <v>409</v>
      </c>
      <c r="AX853" s="164" t="s">
        <v>409</v>
      </c>
    </row>
    <row r="854" spans="1:50" ht="15.75" customHeight="1" x14ac:dyDescent="0.3">
      <c r="A854" s="325"/>
      <c r="B854" s="503" t="str">
        <f>+A8</f>
        <v>Revised:  5/2/2016</v>
      </c>
      <c r="C854" s="503"/>
      <c r="D854" s="503"/>
      <c r="E854" s="503"/>
      <c r="F854" s="503"/>
      <c r="G854" s="503"/>
      <c r="H854" s="503"/>
      <c r="I854" s="503"/>
      <c r="J854" s="503"/>
      <c r="K854" s="503"/>
      <c r="L854" s="503"/>
      <c r="M854" s="503"/>
      <c r="N854" s="503"/>
      <c r="O854" s="503"/>
      <c r="P854" s="503"/>
      <c r="Q854" s="159"/>
      <c r="R854" s="324"/>
      <c r="AC854" s="323"/>
      <c r="AD854" s="159"/>
      <c r="AE854" s="159"/>
      <c r="AF854" s="159"/>
      <c r="AG854" s="159"/>
      <c r="AH854" s="159"/>
      <c r="AI854" s="159"/>
      <c r="AJ854" s="159"/>
      <c r="AK854" s="159"/>
      <c r="AL854" s="159"/>
      <c r="AM854" s="159"/>
      <c r="AN854" s="159"/>
      <c r="AO854" s="159"/>
      <c r="AP854" s="159"/>
      <c r="AQ854" s="159"/>
      <c r="AR854" s="159"/>
      <c r="AS854" s="159"/>
      <c r="AT854" s="159"/>
      <c r="AU854" s="307"/>
      <c r="AW854" s="159">
        <f t="shared" ref="AW854:AW865" si="125">SUM(L890:Q890)</f>
        <v>8116</v>
      </c>
      <c r="AX854" s="172">
        <v>2.4700000000000002</v>
      </c>
    </row>
    <row r="855" spans="1:50" ht="15.75" customHeight="1" x14ac:dyDescent="0.3">
      <c r="A855" s="325"/>
      <c r="B855" s="503" t="s">
        <v>1024</v>
      </c>
      <c r="C855" s="503"/>
      <c r="D855" s="503"/>
      <c r="E855" s="503"/>
      <c r="F855" s="503"/>
      <c r="G855" s="503"/>
      <c r="H855" s="503"/>
      <c r="I855" s="503"/>
      <c r="J855" s="503"/>
      <c r="K855" s="503"/>
      <c r="L855" s="503"/>
      <c r="M855" s="503"/>
      <c r="N855" s="503"/>
      <c r="O855" s="503"/>
      <c r="P855" s="503"/>
      <c r="Q855" s="159"/>
      <c r="R855" s="324"/>
      <c r="AC855" s="323" t="s">
        <v>389</v>
      </c>
      <c r="AD855" s="164" t="s">
        <v>390</v>
      </c>
      <c r="AE855" s="164" t="s">
        <v>391</v>
      </c>
      <c r="AF855" s="164" t="s">
        <v>392</v>
      </c>
      <c r="AG855" s="164" t="s">
        <v>393</v>
      </c>
      <c r="AH855" s="164" t="s">
        <v>394</v>
      </c>
      <c r="AI855" s="159"/>
      <c r="AJ855" s="164" t="s">
        <v>422</v>
      </c>
      <c r="AK855" s="159"/>
      <c r="AL855" s="159"/>
      <c r="AM855" s="159"/>
      <c r="AN855" s="159" t="s">
        <v>389</v>
      </c>
      <c r="AO855" s="164" t="s">
        <v>390</v>
      </c>
      <c r="AP855" s="164" t="s">
        <v>391</v>
      </c>
      <c r="AQ855" s="164" t="s">
        <v>392</v>
      </c>
      <c r="AR855" s="164" t="s">
        <v>393</v>
      </c>
      <c r="AS855" s="164" t="s">
        <v>394</v>
      </c>
      <c r="AT855" s="164" t="s">
        <v>422</v>
      </c>
      <c r="AU855" s="307"/>
      <c r="AW855" s="159">
        <f t="shared" si="125"/>
        <v>11631</v>
      </c>
      <c r="AX855" s="172">
        <v>2.4700000000000002</v>
      </c>
    </row>
    <row r="856" spans="1:50" ht="15.75" customHeight="1" x14ac:dyDescent="0.3">
      <c r="A856" s="325"/>
      <c r="B856" s="503"/>
      <c r="C856" s="503"/>
      <c r="D856" s="503"/>
      <c r="E856" s="503"/>
      <c r="F856" s="503"/>
      <c r="G856" s="503"/>
      <c r="H856" s="503"/>
      <c r="I856" s="503"/>
      <c r="J856" s="503"/>
      <c r="K856" s="503"/>
      <c r="L856" s="503"/>
      <c r="M856" s="503"/>
      <c r="N856" s="503"/>
      <c r="O856" s="503"/>
      <c r="P856" s="503"/>
      <c r="Q856" s="159"/>
      <c r="R856" s="324"/>
      <c r="AC856" s="323" t="s">
        <v>405</v>
      </c>
      <c r="AD856" s="159"/>
      <c r="AE856" s="159"/>
      <c r="AF856" s="159"/>
      <c r="AG856" s="159"/>
      <c r="AH856" s="164" t="s">
        <v>406</v>
      </c>
      <c r="AI856" s="159"/>
      <c r="AJ856" s="164" t="s">
        <v>465</v>
      </c>
      <c r="AK856" s="159"/>
      <c r="AL856" s="159"/>
      <c r="AM856" s="159"/>
      <c r="AN856" s="159" t="s">
        <v>405</v>
      </c>
      <c r="AO856" s="159"/>
      <c r="AP856" s="159"/>
      <c r="AQ856" s="159"/>
      <c r="AR856" s="159"/>
      <c r="AS856" s="164" t="s">
        <v>406</v>
      </c>
      <c r="AT856" s="164" t="s">
        <v>465</v>
      </c>
      <c r="AU856" s="307"/>
      <c r="AW856" s="159">
        <f t="shared" si="125"/>
        <v>13810</v>
      </c>
      <c r="AX856" s="172">
        <v>2.4700000000000002</v>
      </c>
    </row>
    <row r="857" spans="1:50" ht="15.75" customHeight="1" x14ac:dyDescent="0.3">
      <c r="A857" s="325"/>
      <c r="B857" s="509">
        <f>+A5</f>
        <v>2015</v>
      </c>
      <c r="C857" s="509"/>
      <c r="D857" s="509"/>
      <c r="E857" s="509"/>
      <c r="F857" s="509"/>
      <c r="G857" s="509"/>
      <c r="H857" s="509"/>
      <c r="I857" s="509"/>
      <c r="J857" s="509"/>
      <c r="K857" s="509"/>
      <c r="L857" s="509"/>
      <c r="M857" s="509"/>
      <c r="N857" s="509"/>
      <c r="O857" s="509"/>
      <c r="P857" s="509"/>
      <c r="Q857" s="159"/>
      <c r="R857" s="324"/>
      <c r="AC857" s="323" t="s">
        <v>408</v>
      </c>
      <c r="AD857" s="159">
        <f>+$B$888</f>
        <v>957</v>
      </c>
      <c r="AE857" s="159">
        <f>+C$888</f>
        <v>122</v>
      </c>
      <c r="AF857" s="159">
        <f>+D$888</f>
        <v>128</v>
      </c>
      <c r="AG857" s="159">
        <f>+E$888</f>
        <v>219</v>
      </c>
      <c r="AH857" s="159"/>
      <c r="AI857" s="159"/>
      <c r="AJ857" s="164" t="s">
        <v>442</v>
      </c>
      <c r="AK857" s="159"/>
      <c r="AL857" s="159"/>
      <c r="AM857" s="159"/>
      <c r="AN857" s="159" t="s">
        <v>408</v>
      </c>
      <c r="AO857" s="159">
        <f>+$B$888</f>
        <v>957</v>
      </c>
      <c r="AP857" s="159">
        <f>+C$888</f>
        <v>122</v>
      </c>
      <c r="AQ857" s="159">
        <f>+D$888</f>
        <v>128</v>
      </c>
      <c r="AR857" s="159">
        <f>+E$888</f>
        <v>219</v>
      </c>
      <c r="AS857" s="159"/>
      <c r="AT857" s="164" t="s">
        <v>442</v>
      </c>
      <c r="AU857" s="307"/>
      <c r="AW857" s="159">
        <f t="shared" si="125"/>
        <v>14106</v>
      </c>
      <c r="AX857" s="172">
        <v>2.4700000000000002</v>
      </c>
    </row>
    <row r="858" spans="1:50" ht="15.75" customHeight="1" x14ac:dyDescent="0.3">
      <c r="A858" s="325"/>
      <c r="B858" s="503" t="s">
        <v>1027</v>
      </c>
      <c r="C858" s="503"/>
      <c r="D858" s="503"/>
      <c r="E858" s="503"/>
      <c r="F858" s="503"/>
      <c r="G858" s="503"/>
      <c r="H858" s="503"/>
      <c r="I858" s="503"/>
      <c r="J858" s="503"/>
      <c r="K858" s="503"/>
      <c r="L858" s="503"/>
      <c r="M858" s="503"/>
      <c r="N858" s="503"/>
      <c r="O858" s="503"/>
      <c r="P858" s="503"/>
      <c r="Q858" s="159"/>
      <c r="R858" s="324"/>
      <c r="AC858" s="323"/>
      <c r="AD858" s="159" t="s">
        <v>409</v>
      </c>
      <c r="AE858" s="159" t="s">
        <v>409</v>
      </c>
      <c r="AF858" s="159" t="s">
        <v>409</v>
      </c>
      <c r="AG858" s="159" t="s">
        <v>409</v>
      </c>
      <c r="AH858" s="159" t="s">
        <v>409</v>
      </c>
      <c r="AI858" s="159"/>
      <c r="AJ858" s="159" t="s">
        <v>459</v>
      </c>
      <c r="AK858" s="159"/>
      <c r="AL858" s="159"/>
      <c r="AM858" s="159"/>
      <c r="AN858" s="159"/>
      <c r="AO858" s="159" t="s">
        <v>409</v>
      </c>
      <c r="AP858" s="159" t="s">
        <v>409</v>
      </c>
      <c r="AQ858" s="159" t="s">
        <v>409</v>
      </c>
      <c r="AR858" s="159" t="s">
        <v>409</v>
      </c>
      <c r="AS858" s="159" t="s">
        <v>409</v>
      </c>
      <c r="AT858" s="159" t="s">
        <v>459</v>
      </c>
      <c r="AU858" s="307"/>
      <c r="AW858" s="159">
        <f t="shared" si="125"/>
        <v>13445</v>
      </c>
      <c r="AX858" s="172">
        <v>2.4700000000000002</v>
      </c>
    </row>
    <row r="859" spans="1:50" ht="15.75" customHeight="1" x14ac:dyDescent="0.3">
      <c r="A859" s="325"/>
      <c r="B859" s="159"/>
      <c r="C859" s="159"/>
      <c r="D859" s="159"/>
      <c r="E859" s="159"/>
      <c r="F859" s="159"/>
      <c r="G859" s="159"/>
      <c r="H859" s="159"/>
      <c r="I859" s="159"/>
      <c r="J859" s="159"/>
      <c r="K859" s="159"/>
      <c r="L859" s="159"/>
      <c r="M859" s="159"/>
      <c r="N859" s="159"/>
      <c r="O859" s="159"/>
      <c r="P859" s="159"/>
      <c r="Q859" s="159"/>
      <c r="R859" s="324"/>
      <c r="AC859" s="325" t="s">
        <v>410</v>
      </c>
      <c r="AD859" s="159">
        <f t="shared" ref="AD859:AD870" si="126">ROUND($F833*$AD$857/1000,0)</f>
        <v>110701</v>
      </c>
      <c r="AE859" s="159">
        <f t="shared" ref="AE859:AE870" si="127">ROUND($F833*$AE$857/1000,0)</f>
        <v>14112</v>
      </c>
      <c r="AF859" s="159">
        <f t="shared" ref="AF859:AF870" si="128">ROUND($F833*$AF$857/1000,0)</f>
        <v>14806</v>
      </c>
      <c r="AG859" s="159">
        <f t="shared" ref="AG859:AG870" si="129">ROUND($F833*$AG$857/1000,0)</f>
        <v>25333</v>
      </c>
      <c r="AH859" s="159">
        <f t="shared" ref="AH859:AH870" si="130">(F833*((T833-1526.8)/0.7702))/1000</f>
        <v>24540.733844244933</v>
      </c>
      <c r="AI859" s="159"/>
      <c r="AJ859" s="159">
        <f t="shared" ref="AJ859:AJ870" si="131">SUM(AD859:AH859)</f>
        <v>189492.73384424494</v>
      </c>
      <c r="AK859" s="159"/>
      <c r="AL859" s="159"/>
      <c r="AM859" s="159"/>
      <c r="AN859" s="164" t="s">
        <v>410</v>
      </c>
      <c r="AO859" s="159">
        <f t="shared" ref="AO859:AO870" si="132">ROUND((B833-$F833)*$AO$857/1000,0)</f>
        <v>56910</v>
      </c>
      <c r="AP859" s="159">
        <f t="shared" ref="AP859:AP870" si="133">ROUND((C833-$F833)*$AP$857/1000,0)</f>
        <v>7243</v>
      </c>
      <c r="AQ859" s="159">
        <f t="shared" ref="AQ859:AQ870" si="134">ROUND((D833-$F833)*$AQ$857/1000,0)</f>
        <v>7587</v>
      </c>
      <c r="AR859" s="159">
        <f t="shared" ref="AR859:AR870" si="135">ROUND((E833-$F833)*$AR$857/1000,0)</f>
        <v>12733</v>
      </c>
      <c r="AS859" s="159">
        <f>((F833-$F833)*(('[1]Lake Pleasant Forecast'!B35-1526.8)/0.7702))/1000</f>
        <v>0</v>
      </c>
      <c r="AT859" s="159">
        <f t="shared" ref="AT859:AT870" si="136">SUM(AN859:AR859)</f>
        <v>84473</v>
      </c>
      <c r="AU859" s="307"/>
      <c r="AW859" s="159">
        <f t="shared" si="125"/>
        <v>14130</v>
      </c>
      <c r="AX859" s="172">
        <v>2.4700000000000002</v>
      </c>
    </row>
    <row r="860" spans="1:50" ht="15.75" customHeight="1" thickBot="1" x14ac:dyDescent="0.35">
      <c r="A860" s="325" t="s">
        <v>433</v>
      </c>
      <c r="B860" s="364" t="s">
        <v>390</v>
      </c>
      <c r="C860" s="364" t="s">
        <v>391</v>
      </c>
      <c r="D860" s="364" t="s">
        <v>392</v>
      </c>
      <c r="E860" s="364" t="s">
        <v>393</v>
      </c>
      <c r="F860" s="364" t="s">
        <v>394</v>
      </c>
      <c r="G860" s="364" t="s">
        <v>394</v>
      </c>
      <c r="H860" s="364" t="s">
        <v>395</v>
      </c>
      <c r="I860" s="364" t="s">
        <v>396</v>
      </c>
      <c r="J860" s="364" t="s">
        <v>397</v>
      </c>
      <c r="K860" s="364" t="s">
        <v>398</v>
      </c>
      <c r="L860" s="364" t="s">
        <v>399</v>
      </c>
      <c r="M860" s="364" t="s">
        <v>400</v>
      </c>
      <c r="N860" s="364" t="s">
        <v>401</v>
      </c>
      <c r="O860" s="364" t="s">
        <v>402</v>
      </c>
      <c r="P860" s="364" t="s">
        <v>403</v>
      </c>
      <c r="Q860" s="364" t="s">
        <v>404</v>
      </c>
      <c r="R860" s="324"/>
      <c r="AC860" s="325" t="s">
        <v>411</v>
      </c>
      <c r="AD860" s="159">
        <f t="shared" si="126"/>
        <v>23547</v>
      </c>
      <c r="AE860" s="159">
        <f t="shared" si="127"/>
        <v>3002</v>
      </c>
      <c r="AF860" s="159">
        <f t="shared" si="128"/>
        <v>3149</v>
      </c>
      <c r="AG860" s="159">
        <f t="shared" si="129"/>
        <v>5388</v>
      </c>
      <c r="AH860" s="159">
        <f t="shared" si="130"/>
        <v>5330.5508958712071</v>
      </c>
      <c r="AI860" s="159"/>
      <c r="AJ860" s="159">
        <f t="shared" si="131"/>
        <v>40416.550895871209</v>
      </c>
      <c r="AK860" s="159"/>
      <c r="AL860" s="159"/>
      <c r="AM860" s="159"/>
      <c r="AN860" s="164" t="s">
        <v>411</v>
      </c>
      <c r="AO860" s="159">
        <f t="shared" si="132"/>
        <v>80798</v>
      </c>
      <c r="AP860" s="159">
        <f t="shared" si="133"/>
        <v>10282</v>
      </c>
      <c r="AQ860" s="159">
        <f t="shared" si="134"/>
        <v>10769</v>
      </c>
      <c r="AR860" s="159">
        <f t="shared" si="135"/>
        <v>18089</v>
      </c>
      <c r="AS860" s="159">
        <f>((F834-$F834)*(('[1]Lake Pleasant Forecast'!B37-1526.8)/0.7702))/1000</f>
        <v>0</v>
      </c>
      <c r="AT860" s="159">
        <f t="shared" si="136"/>
        <v>119938</v>
      </c>
      <c r="AU860" s="307"/>
      <c r="AW860" s="159">
        <f t="shared" si="125"/>
        <v>12226</v>
      </c>
      <c r="AX860" s="172">
        <v>2.4700000000000002</v>
      </c>
    </row>
    <row r="861" spans="1:50" ht="15.75" customHeight="1" x14ac:dyDescent="0.3">
      <c r="A861" s="325"/>
      <c r="B861" s="159"/>
      <c r="C861" s="159"/>
      <c r="D861" s="159"/>
      <c r="E861" s="159"/>
      <c r="F861" s="164" t="s">
        <v>406</v>
      </c>
      <c r="G861" s="164" t="s">
        <v>407</v>
      </c>
      <c r="H861" s="159"/>
      <c r="I861" s="159"/>
      <c r="J861" s="159"/>
      <c r="K861" s="159"/>
      <c r="L861" s="159"/>
      <c r="M861" s="159"/>
      <c r="N861" s="159"/>
      <c r="O861" s="159"/>
      <c r="P861" s="159"/>
      <c r="Q861" s="159"/>
      <c r="R861" s="324"/>
      <c r="AC861" s="325" t="s">
        <v>412</v>
      </c>
      <c r="AD861" s="159">
        <f t="shared" si="126"/>
        <v>11195</v>
      </c>
      <c r="AE861" s="159">
        <f t="shared" si="127"/>
        <v>1427</v>
      </c>
      <c r="AF861" s="159">
        <f t="shared" si="128"/>
        <v>1497</v>
      </c>
      <c r="AG861" s="159">
        <f t="shared" si="129"/>
        <v>2562</v>
      </c>
      <c r="AH861" s="159">
        <f t="shared" si="130"/>
        <v>2580.4858478317337</v>
      </c>
      <c r="AI861" s="159"/>
      <c r="AJ861" s="159">
        <f t="shared" si="131"/>
        <v>19261.485847831733</v>
      </c>
      <c r="AK861" s="159"/>
      <c r="AL861" s="159"/>
      <c r="AM861" s="159"/>
      <c r="AN861" s="164" t="s">
        <v>412</v>
      </c>
      <c r="AO861" s="159">
        <f t="shared" si="132"/>
        <v>127341</v>
      </c>
      <c r="AP861" s="159">
        <f t="shared" si="133"/>
        <v>16200</v>
      </c>
      <c r="AQ861" s="159">
        <f t="shared" si="134"/>
        <v>16964</v>
      </c>
      <c r="AR861" s="159">
        <f t="shared" si="135"/>
        <v>28128</v>
      </c>
      <c r="AS861" s="159">
        <f>((F835-$F835)*(('[1]Lake Pleasant Forecast'!B39-1526.8)/0.7702))/1000</f>
        <v>0</v>
      </c>
      <c r="AT861" s="159">
        <f t="shared" si="136"/>
        <v>188633</v>
      </c>
      <c r="AU861" s="307"/>
      <c r="AW861" s="159">
        <f t="shared" si="125"/>
        <v>12820</v>
      </c>
      <c r="AX861" s="172">
        <v>2.4700000000000002</v>
      </c>
    </row>
    <row r="862" spans="1:50" ht="15.75" customHeight="1" x14ac:dyDescent="0.3">
      <c r="A862" s="365" t="s">
        <v>795</v>
      </c>
      <c r="B862" s="159">
        <f t="shared" ref="B862:Q862" si="137">(B833/$B$10/1.983)</f>
        <v>2849.088217591463</v>
      </c>
      <c r="C862" s="159">
        <f t="shared" si="137"/>
        <v>2847.5102890699982</v>
      </c>
      <c r="D862" s="159">
        <f t="shared" si="137"/>
        <v>2845.9486278528784</v>
      </c>
      <c r="E862" s="159">
        <f t="shared" si="137"/>
        <v>2827.5177720299966</v>
      </c>
      <c r="F862" s="159">
        <f t="shared" si="137"/>
        <v>1881.7204301075269</v>
      </c>
      <c r="G862" s="159">
        <f t="shared" si="137"/>
        <v>0</v>
      </c>
      <c r="H862" s="159">
        <f t="shared" si="137"/>
        <v>641.25713727978132</v>
      </c>
      <c r="I862" s="159">
        <f t="shared" si="137"/>
        <v>277.16233143005871</v>
      </c>
      <c r="J862" s="159">
        <f t="shared" si="137"/>
        <v>260.37447334602183</v>
      </c>
      <c r="K862" s="159">
        <f t="shared" si="137"/>
        <v>245.06693995737965</v>
      </c>
      <c r="L862" s="159">
        <f t="shared" si="137"/>
        <v>234.28171717664665</v>
      </c>
      <c r="M862" s="159">
        <f t="shared" si="137"/>
        <v>233.95637108974671</v>
      </c>
      <c r="N862" s="159">
        <f t="shared" si="137"/>
        <v>231.93922535096709</v>
      </c>
      <c r="O862" s="159">
        <f t="shared" si="137"/>
        <v>18.983944170611487</v>
      </c>
      <c r="P862" s="159">
        <f t="shared" si="137"/>
        <v>31.981520342264083</v>
      </c>
      <c r="Q862" s="159">
        <f t="shared" si="137"/>
        <v>18.951409561921491</v>
      </c>
      <c r="R862" s="324"/>
      <c r="AC862" s="325" t="s">
        <v>413</v>
      </c>
      <c r="AD862" s="159">
        <f t="shared" si="126"/>
        <v>1013</v>
      </c>
      <c r="AE862" s="159">
        <f t="shared" si="127"/>
        <v>129</v>
      </c>
      <c r="AF862" s="159">
        <f t="shared" si="128"/>
        <v>135</v>
      </c>
      <c r="AG862" s="159">
        <f t="shared" si="129"/>
        <v>232</v>
      </c>
      <c r="AH862" s="159">
        <f t="shared" si="130"/>
        <v>232.577102601729</v>
      </c>
      <c r="AI862" s="159"/>
      <c r="AJ862" s="159">
        <f t="shared" si="131"/>
        <v>1741.5771026017289</v>
      </c>
      <c r="AK862" s="159"/>
      <c r="AL862" s="159"/>
      <c r="AM862" s="159"/>
      <c r="AN862" s="164" t="s">
        <v>413</v>
      </c>
      <c r="AO862" s="159">
        <f t="shared" si="132"/>
        <v>147682</v>
      </c>
      <c r="AP862" s="159">
        <f t="shared" si="133"/>
        <v>18782</v>
      </c>
      <c r="AQ862" s="159">
        <f t="shared" si="134"/>
        <v>19661</v>
      </c>
      <c r="AR862" s="159">
        <f t="shared" si="135"/>
        <v>32091</v>
      </c>
      <c r="AS862" s="159">
        <f>((F836-$F836)*(('[1]Lake Pleasant Forecast'!B41-1526.8)/0.7702))/1000</f>
        <v>0</v>
      </c>
      <c r="AT862" s="159">
        <f t="shared" si="136"/>
        <v>218216</v>
      </c>
      <c r="AU862" s="307"/>
      <c r="AW862" s="159">
        <f t="shared" si="125"/>
        <v>11344</v>
      </c>
      <c r="AX862" s="172">
        <v>2.4700000000000002</v>
      </c>
    </row>
    <row r="863" spans="1:50" ht="15.75" customHeight="1" x14ac:dyDescent="0.3">
      <c r="A863" s="365" t="s">
        <v>9</v>
      </c>
      <c r="B863" s="159">
        <f t="shared" ref="B863:Q863" si="138">(B834/$C$10/1.983)</f>
        <v>1963.7093869317771</v>
      </c>
      <c r="C863" s="159">
        <f t="shared" si="138"/>
        <v>1961.0438729198183</v>
      </c>
      <c r="D863" s="159">
        <f t="shared" si="138"/>
        <v>1958.4323895972911</v>
      </c>
      <c r="E863" s="159">
        <f t="shared" si="138"/>
        <v>1930.7866868381241</v>
      </c>
      <c r="F863" s="159">
        <f t="shared" si="138"/>
        <v>443.14170448814923</v>
      </c>
      <c r="G863" s="159">
        <f t="shared" si="138"/>
        <v>-4.68265975073842</v>
      </c>
      <c r="H863" s="159">
        <f t="shared" si="138"/>
        <v>971.36373460125355</v>
      </c>
      <c r="I863" s="159">
        <f t="shared" si="138"/>
        <v>449.78747928823572</v>
      </c>
      <c r="J863" s="159">
        <f t="shared" si="138"/>
        <v>409.3004826741589</v>
      </c>
      <c r="K863" s="159">
        <f t="shared" si="138"/>
        <v>390.37173114328937</v>
      </c>
      <c r="L863" s="159">
        <f t="shared" si="138"/>
        <v>316.07953317484333</v>
      </c>
      <c r="M863" s="159">
        <f t="shared" si="138"/>
        <v>315.6833081190116</v>
      </c>
      <c r="N863" s="159">
        <f t="shared" si="138"/>
        <v>298.33945681146889</v>
      </c>
      <c r="O863" s="159">
        <f t="shared" si="138"/>
        <v>67.646423168359618</v>
      </c>
      <c r="P863" s="159">
        <f t="shared" si="138"/>
        <v>66.94402420574886</v>
      </c>
      <c r="Q863" s="159">
        <f t="shared" si="138"/>
        <v>67.592392478928019</v>
      </c>
      <c r="R863" s="324"/>
      <c r="AC863" s="325" t="s">
        <v>414</v>
      </c>
      <c r="AD863" s="159">
        <f t="shared" si="126"/>
        <v>35351</v>
      </c>
      <c r="AE863" s="159">
        <f t="shared" si="127"/>
        <v>4507</v>
      </c>
      <c r="AF863" s="159">
        <f t="shared" si="128"/>
        <v>4728</v>
      </c>
      <c r="AG863" s="159">
        <f t="shared" si="129"/>
        <v>8090</v>
      </c>
      <c r="AH863" s="159">
        <f t="shared" si="130"/>
        <v>8008.4058945728502</v>
      </c>
      <c r="AI863" s="159"/>
      <c r="AJ863" s="159">
        <f t="shared" si="131"/>
        <v>60684.405894572847</v>
      </c>
      <c r="AK863" s="159"/>
      <c r="AL863" s="159"/>
      <c r="AM863" s="159"/>
      <c r="AN863" s="164" t="s">
        <v>414</v>
      </c>
      <c r="AO863" s="159">
        <f t="shared" si="132"/>
        <v>133504</v>
      </c>
      <c r="AP863" s="159">
        <f t="shared" si="133"/>
        <v>16968</v>
      </c>
      <c r="AQ863" s="159">
        <f t="shared" si="134"/>
        <v>17751</v>
      </c>
      <c r="AR863" s="159">
        <f t="shared" si="135"/>
        <v>29063</v>
      </c>
      <c r="AS863" s="159">
        <f>((F837-$F837)*(('[1]Lake Pleasant Forecast'!B43-1526.8)/0.7702))/1000</f>
        <v>0</v>
      </c>
      <c r="AT863" s="159">
        <f t="shared" si="136"/>
        <v>197286</v>
      </c>
      <c r="AU863" s="307"/>
      <c r="AW863" s="159">
        <f t="shared" si="125"/>
        <v>9112</v>
      </c>
      <c r="AX863" s="172">
        <v>2.4700000000000002</v>
      </c>
    </row>
    <row r="864" spans="1:50" ht="15.75" customHeight="1" x14ac:dyDescent="0.3">
      <c r="A864" s="365" t="s">
        <v>10</v>
      </c>
      <c r="B864" s="159">
        <f t="shared" ref="B864:Q864" si="139">(B835/$D$10/1.983)</f>
        <v>2354.8712442861092</v>
      </c>
      <c r="C864" s="159">
        <f t="shared" si="139"/>
        <v>2350.4140028955803</v>
      </c>
      <c r="D864" s="159">
        <f t="shared" si="139"/>
        <v>2346.1682364615358</v>
      </c>
      <c r="E864" s="159">
        <f t="shared" si="139"/>
        <v>2279.618694386153</v>
      </c>
      <c r="F864" s="159">
        <f t="shared" si="139"/>
        <v>190.29492622777479</v>
      </c>
      <c r="G864" s="159">
        <f t="shared" si="139"/>
        <v>-100.19032746083647</v>
      </c>
      <c r="H864" s="159">
        <f t="shared" si="139"/>
        <v>1590.4218112016658</v>
      </c>
      <c r="I864" s="159">
        <f t="shared" si="139"/>
        <v>542.83994599254959</v>
      </c>
      <c r="J864" s="159">
        <f t="shared" si="139"/>
        <v>449.38428253054184</v>
      </c>
      <c r="K864" s="159">
        <f t="shared" si="139"/>
        <v>386.2508743676085</v>
      </c>
      <c r="L864" s="159">
        <f t="shared" si="139"/>
        <v>339.57997820181214</v>
      </c>
      <c r="M864" s="159">
        <f t="shared" si="139"/>
        <v>339.12449368015223</v>
      </c>
      <c r="N864" s="159">
        <f t="shared" si="139"/>
        <v>313.21067785857207</v>
      </c>
      <c r="O864" s="159">
        <f t="shared" si="139"/>
        <v>68.77816277064727</v>
      </c>
      <c r="P864" s="159">
        <f t="shared" si="139"/>
        <v>84.655051811364331</v>
      </c>
      <c r="Q864" s="159">
        <f t="shared" si="139"/>
        <v>67.802124509947447</v>
      </c>
      <c r="R864" s="324"/>
      <c r="AC864" s="325" t="s">
        <v>415</v>
      </c>
      <c r="AD864" s="159">
        <f t="shared" si="126"/>
        <v>359</v>
      </c>
      <c r="AE864" s="159">
        <f t="shared" si="127"/>
        <v>46</v>
      </c>
      <c r="AF864" s="159">
        <f t="shared" si="128"/>
        <v>48</v>
      </c>
      <c r="AG864" s="159">
        <f t="shared" si="129"/>
        <v>82</v>
      </c>
      <c r="AH864" s="159">
        <f t="shared" si="130"/>
        <v>75.126590495975165</v>
      </c>
      <c r="AI864" s="159"/>
      <c r="AJ864" s="159">
        <f t="shared" si="131"/>
        <v>610.12659049597517</v>
      </c>
      <c r="AK864" s="159"/>
      <c r="AL864" s="159"/>
      <c r="AM864" s="159"/>
      <c r="AN864" s="164" t="s">
        <v>415</v>
      </c>
      <c r="AO864" s="159">
        <f t="shared" si="132"/>
        <v>77603</v>
      </c>
      <c r="AP864" s="159">
        <f t="shared" si="133"/>
        <v>9842</v>
      </c>
      <c r="AQ864" s="159">
        <f t="shared" si="134"/>
        <v>10275</v>
      </c>
      <c r="AR864" s="159">
        <f t="shared" si="135"/>
        <v>16079</v>
      </c>
      <c r="AS864" s="159">
        <f>((F838-$F838)*(('[1]Lake Pleasant Forecast'!B45-1526.8)/0.7702))/1000</f>
        <v>0</v>
      </c>
      <c r="AT864" s="159">
        <f t="shared" si="136"/>
        <v>113799</v>
      </c>
      <c r="AU864" s="307"/>
      <c r="AW864" s="159">
        <f t="shared" si="125"/>
        <v>4712</v>
      </c>
      <c r="AX864" s="172">
        <v>2.4700000000000002</v>
      </c>
    </row>
    <row r="865" spans="1:50" ht="15.75" customHeight="1" x14ac:dyDescent="0.3">
      <c r="A865" s="365" t="s">
        <v>12</v>
      </c>
      <c r="B865" s="159">
        <f t="shared" ref="B865:Q865" si="140">(B836/$F$10/1.983)</f>
        <v>2611.8003025718608</v>
      </c>
      <c r="C865" s="159">
        <f t="shared" si="140"/>
        <v>2605.6311985207594</v>
      </c>
      <c r="D865" s="159">
        <f t="shared" si="140"/>
        <v>2599.7478567826524</v>
      </c>
      <c r="E865" s="159">
        <f t="shared" si="140"/>
        <v>2480.9715918641787</v>
      </c>
      <c r="F865" s="159">
        <f t="shared" si="140"/>
        <v>17.784501596907042</v>
      </c>
      <c r="G865" s="159">
        <f t="shared" si="140"/>
        <v>-580.01344763825853</v>
      </c>
      <c r="H865" s="159">
        <f t="shared" si="140"/>
        <v>2261.7246596066566</v>
      </c>
      <c r="I865" s="159">
        <f t="shared" si="140"/>
        <v>741.88939317532356</v>
      </c>
      <c r="J865" s="159">
        <f t="shared" si="140"/>
        <v>572.75172297865186</v>
      </c>
      <c r="K865" s="159">
        <f t="shared" si="140"/>
        <v>454.74869726004368</v>
      </c>
      <c r="L865" s="159">
        <f t="shared" si="140"/>
        <v>347.38611531349807</v>
      </c>
      <c r="M865" s="159">
        <f t="shared" si="140"/>
        <v>346.76416204404097</v>
      </c>
      <c r="N865" s="159">
        <f t="shared" si="140"/>
        <v>334.00571524625985</v>
      </c>
      <c r="O865" s="159">
        <f t="shared" si="140"/>
        <v>68.566145570684142</v>
      </c>
      <c r="P865" s="159">
        <f t="shared" si="140"/>
        <v>100.3698100521096</v>
      </c>
      <c r="Q865" s="159">
        <f t="shared" si="140"/>
        <v>68.448478735921995</v>
      </c>
      <c r="R865" s="324"/>
      <c r="AC865" s="325" t="s">
        <v>416</v>
      </c>
      <c r="AD865" s="159">
        <f t="shared" si="126"/>
        <v>0</v>
      </c>
      <c r="AE865" s="159">
        <f t="shared" si="127"/>
        <v>0</v>
      </c>
      <c r="AF865" s="159">
        <f t="shared" si="128"/>
        <v>0</v>
      </c>
      <c r="AG865" s="159">
        <f t="shared" si="129"/>
        <v>0</v>
      </c>
      <c r="AH865" s="159">
        <f t="shared" si="130"/>
        <v>0</v>
      </c>
      <c r="AI865" s="159"/>
      <c r="AJ865" s="159">
        <f t="shared" si="131"/>
        <v>0</v>
      </c>
      <c r="AK865" s="159"/>
      <c r="AL865" s="159"/>
      <c r="AM865" s="159"/>
      <c r="AN865" s="164" t="s">
        <v>416</v>
      </c>
      <c r="AO865" s="159">
        <f t="shared" si="132"/>
        <v>69874</v>
      </c>
      <c r="AP865" s="159">
        <f t="shared" si="133"/>
        <v>8857</v>
      </c>
      <c r="AQ865" s="159">
        <f t="shared" si="134"/>
        <v>9242</v>
      </c>
      <c r="AR865" s="159">
        <f t="shared" si="135"/>
        <v>14246</v>
      </c>
      <c r="AS865" s="159">
        <f>((F839-$F839)*(('[1]Lake Pleasant Forecast'!B47-1526.8)/0.7702))/1000</f>
        <v>0</v>
      </c>
      <c r="AT865" s="159">
        <f t="shared" si="136"/>
        <v>102219</v>
      </c>
      <c r="AU865" s="307"/>
      <c r="AW865" s="159">
        <f t="shared" si="125"/>
        <v>7618</v>
      </c>
      <c r="AX865" s="172">
        <v>2.4700000000000002</v>
      </c>
    </row>
    <row r="866" spans="1:50" ht="15.75" customHeight="1" x14ac:dyDescent="0.3">
      <c r="A866" s="365" t="s">
        <v>13</v>
      </c>
      <c r="B866" s="159">
        <f t="shared" ref="B866:Q866" si="141">(B837/$G$10/1.983)</f>
        <v>2870.2357132399588</v>
      </c>
      <c r="C866" s="159">
        <f t="shared" si="141"/>
        <v>2863.3221088933351</v>
      </c>
      <c r="D866" s="159">
        <f t="shared" si="141"/>
        <v>2856.7826525466462</v>
      </c>
      <c r="E866" s="159">
        <f t="shared" si="141"/>
        <v>2759.7156475200495</v>
      </c>
      <c r="F866" s="159">
        <f t="shared" si="141"/>
        <v>600.89795519984375</v>
      </c>
      <c r="G866" s="159">
        <f>(G837/$G$10/1.983)</f>
        <v>-57.195842077009416</v>
      </c>
      <c r="H866" s="159">
        <f t="shared" si="141"/>
        <v>1650.2041546695298</v>
      </c>
      <c r="I866" s="159">
        <f t="shared" si="141"/>
        <v>475.20049452605207</v>
      </c>
      <c r="J866" s="159">
        <f t="shared" si="141"/>
        <v>429.52190392530053</v>
      </c>
      <c r="K866" s="159">
        <f t="shared" si="141"/>
        <v>385.19349958518376</v>
      </c>
      <c r="L866" s="159">
        <f t="shared" si="141"/>
        <v>325.68770029118474</v>
      </c>
      <c r="M866" s="159">
        <f t="shared" si="141"/>
        <v>325.00447350869484</v>
      </c>
      <c r="N866" s="159">
        <f t="shared" si="141"/>
        <v>303.05987994729395</v>
      </c>
      <c r="O866" s="159">
        <f t="shared" si="141"/>
        <v>56.512615294519541</v>
      </c>
      <c r="P866" s="159">
        <f t="shared" si="141"/>
        <v>105.60733980772045</v>
      </c>
      <c r="Q866" s="159">
        <f t="shared" si="141"/>
        <v>56.382476859759571</v>
      </c>
      <c r="R866" s="324"/>
      <c r="AC866" s="325" t="s">
        <v>417</v>
      </c>
      <c r="AD866" s="159">
        <f t="shared" si="126"/>
        <v>0</v>
      </c>
      <c r="AE866" s="159">
        <f t="shared" si="127"/>
        <v>0</v>
      </c>
      <c r="AF866" s="159">
        <f t="shared" si="128"/>
        <v>0</v>
      </c>
      <c r="AG866" s="159">
        <f t="shared" si="129"/>
        <v>0</v>
      </c>
      <c r="AH866" s="159">
        <f t="shared" si="130"/>
        <v>0</v>
      </c>
      <c r="AI866" s="159"/>
      <c r="AJ866" s="159">
        <f t="shared" si="131"/>
        <v>0</v>
      </c>
      <c r="AK866" s="159"/>
      <c r="AL866" s="159"/>
      <c r="AM866" s="159"/>
      <c r="AN866" s="164" t="s">
        <v>417</v>
      </c>
      <c r="AO866" s="159">
        <f t="shared" si="132"/>
        <v>67538</v>
      </c>
      <c r="AP866" s="159">
        <f t="shared" si="133"/>
        <v>8569</v>
      </c>
      <c r="AQ866" s="159">
        <f t="shared" si="134"/>
        <v>8950</v>
      </c>
      <c r="AR866" s="159">
        <f t="shared" si="135"/>
        <v>13286</v>
      </c>
      <c r="AS866" s="159">
        <f>((F840-$F840)*(('[1]Lake Pleasant Forecast'!B49-1526.8)/0.7702))/1000</f>
        <v>0</v>
      </c>
      <c r="AT866" s="159">
        <f t="shared" si="136"/>
        <v>98343</v>
      </c>
      <c r="AU866" s="307"/>
      <c r="AW866" s="159"/>
      <c r="AX866" s="172"/>
    </row>
    <row r="867" spans="1:50" ht="15.75" customHeight="1" x14ac:dyDescent="0.3">
      <c r="A867" s="365" t="s">
        <v>14</v>
      </c>
      <c r="B867" s="159">
        <f t="shared" ref="B867:Q867" si="142">(B838/$H$10/1.983)</f>
        <v>1369.389813414019</v>
      </c>
      <c r="C867" s="159">
        <f t="shared" si="142"/>
        <v>1362.3802319717599</v>
      </c>
      <c r="D867" s="159">
        <f t="shared" si="142"/>
        <v>1355.7236510337871</v>
      </c>
      <c r="E867" s="159">
        <f t="shared" si="142"/>
        <v>1240.4605816103547</v>
      </c>
      <c r="F867" s="159">
        <f t="shared" si="142"/>
        <v>6.3035804336863333</v>
      </c>
      <c r="G867" s="159">
        <f t="shared" si="142"/>
        <v>-1404.925197512187</v>
      </c>
      <c r="H867" s="159">
        <f t="shared" si="142"/>
        <v>1922.5247940830391</v>
      </c>
      <c r="I867" s="159">
        <f t="shared" si="142"/>
        <v>541.88939317532356</v>
      </c>
      <c r="J867" s="159">
        <f t="shared" si="142"/>
        <v>399.4957135653051</v>
      </c>
      <c r="K867" s="159">
        <f t="shared" si="142"/>
        <v>346.62968566145571</v>
      </c>
      <c r="L867" s="159">
        <f t="shared" si="142"/>
        <v>330.9127584467978</v>
      </c>
      <c r="M867" s="159">
        <f t="shared" si="142"/>
        <v>330.17313834257857</v>
      </c>
      <c r="N867" s="159">
        <f t="shared" si="142"/>
        <v>314.42259203227434</v>
      </c>
      <c r="O867" s="159">
        <f t="shared" si="142"/>
        <v>83.459404942007055</v>
      </c>
      <c r="P867" s="159">
        <f t="shared" si="142"/>
        <v>99.848714069591523</v>
      </c>
      <c r="Q867" s="159">
        <f t="shared" si="142"/>
        <v>82.316355690031926</v>
      </c>
      <c r="R867" s="324"/>
      <c r="AC867" s="325" t="s">
        <v>418</v>
      </c>
      <c r="AD867" s="159">
        <f t="shared" si="126"/>
        <v>39311</v>
      </c>
      <c r="AE867" s="159">
        <f t="shared" si="127"/>
        <v>5011</v>
      </c>
      <c r="AF867" s="159">
        <f t="shared" si="128"/>
        <v>5258</v>
      </c>
      <c r="AG867" s="159">
        <f t="shared" si="129"/>
        <v>8996</v>
      </c>
      <c r="AH867" s="159">
        <f t="shared" si="130"/>
        <v>7086.8758244611845</v>
      </c>
      <c r="AI867" s="159"/>
      <c r="AJ867" s="159">
        <f t="shared" si="131"/>
        <v>65662.875824461182</v>
      </c>
      <c r="AK867" s="159"/>
      <c r="AL867" s="159"/>
      <c r="AM867" s="159"/>
      <c r="AN867" s="164" t="s">
        <v>418</v>
      </c>
      <c r="AO867" s="159">
        <f t="shared" si="132"/>
        <v>118463</v>
      </c>
      <c r="AP867" s="159">
        <f t="shared" si="133"/>
        <v>15063</v>
      </c>
      <c r="AQ867" s="159">
        <f t="shared" si="134"/>
        <v>15766</v>
      </c>
      <c r="AR867" s="159">
        <f t="shared" si="135"/>
        <v>25191</v>
      </c>
      <c r="AS867" s="159">
        <f>((F841-$F841)*(('[1]Lake Pleasant Forecast'!B51-1526.8)/0.7702))/1000</f>
        <v>0</v>
      </c>
      <c r="AT867" s="159">
        <f t="shared" si="136"/>
        <v>174483</v>
      </c>
      <c r="AU867" s="307"/>
      <c r="AW867" s="159">
        <f>(SUM(AW854:AW865))</f>
        <v>133070</v>
      </c>
      <c r="AX867" s="172"/>
    </row>
    <row r="868" spans="1:50" ht="15.75" customHeight="1" x14ac:dyDescent="0.3">
      <c r="A868" s="365" t="s">
        <v>16</v>
      </c>
      <c r="B868" s="159">
        <f t="shared" ref="B868:Q868" si="143">(B839/$J$10/1.983)</f>
        <v>1187.7409594456103</v>
      </c>
      <c r="C868" s="159">
        <f t="shared" si="143"/>
        <v>1180.9737608380915</v>
      </c>
      <c r="D868" s="159">
        <f t="shared" si="143"/>
        <v>1174.5644429261627</v>
      </c>
      <c r="E868" s="159">
        <f t="shared" si="143"/>
        <v>1058.2044149463993</v>
      </c>
      <c r="F868" s="159">
        <f t="shared" si="143"/>
        <v>0</v>
      </c>
      <c r="G868" s="159">
        <f t="shared" si="143"/>
        <v>-1430.7094171424851</v>
      </c>
      <c r="H868" s="159">
        <f t="shared" si="143"/>
        <v>1650.1716200608398</v>
      </c>
      <c r="I868" s="159">
        <f t="shared" si="143"/>
        <v>675.46727831731005</v>
      </c>
      <c r="J868" s="159">
        <f t="shared" si="143"/>
        <v>478.01473817773655</v>
      </c>
      <c r="K868" s="159">
        <f t="shared" si="143"/>
        <v>389.47180062791796</v>
      </c>
      <c r="L868" s="159">
        <f t="shared" si="143"/>
        <v>290.32258064516128</v>
      </c>
      <c r="M868" s="159">
        <f t="shared" si="143"/>
        <v>289.68815577570643</v>
      </c>
      <c r="N868" s="159">
        <f t="shared" si="143"/>
        <v>265.62881264945582</v>
      </c>
      <c r="O868" s="159">
        <f t="shared" si="143"/>
        <v>60.611975989458784</v>
      </c>
      <c r="P868" s="159">
        <f t="shared" si="143"/>
        <v>89.746718071348397</v>
      </c>
      <c r="Q868" s="159">
        <f t="shared" si="143"/>
        <v>60.498104859043806</v>
      </c>
      <c r="R868" s="324"/>
      <c r="AC868" s="325" t="s">
        <v>419</v>
      </c>
      <c r="AD868" s="159">
        <f t="shared" si="126"/>
        <v>26500</v>
      </c>
      <c r="AE868" s="159">
        <f t="shared" si="127"/>
        <v>3378</v>
      </c>
      <c r="AF868" s="159">
        <f t="shared" si="128"/>
        <v>3544</v>
      </c>
      <c r="AG868" s="159">
        <f t="shared" si="129"/>
        <v>6064</v>
      </c>
      <c r="AH868" s="159">
        <f t="shared" si="130"/>
        <v>5014.3648013502907</v>
      </c>
      <c r="AI868" s="159"/>
      <c r="AJ868" s="159">
        <f t="shared" si="131"/>
        <v>44500.36480135029</v>
      </c>
      <c r="AK868" s="159"/>
      <c r="AL868" s="159"/>
      <c r="AM868" s="159"/>
      <c r="AN868" s="164" t="s">
        <v>419</v>
      </c>
      <c r="AO868" s="159">
        <f t="shared" si="132"/>
        <v>86328</v>
      </c>
      <c r="AP868" s="159">
        <f t="shared" si="133"/>
        <v>10970</v>
      </c>
      <c r="AQ868" s="159">
        <f t="shared" si="134"/>
        <v>11475</v>
      </c>
      <c r="AR868" s="159">
        <f t="shared" si="135"/>
        <v>18819</v>
      </c>
      <c r="AS868" s="159">
        <f>((F842-$F842)*(('[1]Lake Pleasant Forecast'!B53-1526.8)/0.7702))/1000</f>
        <v>0</v>
      </c>
      <c r="AT868" s="159">
        <f t="shared" si="136"/>
        <v>127592</v>
      </c>
      <c r="AU868" s="307"/>
    </row>
    <row r="869" spans="1:50" ht="15.75" customHeight="1" x14ac:dyDescent="0.3">
      <c r="A869" s="365" t="s">
        <v>17</v>
      </c>
      <c r="B869" s="159">
        <f t="shared" ref="B869:Q869" si="144">(B840/$K$10/1.983)</f>
        <v>1148.0324695394725</v>
      </c>
      <c r="C869" s="159">
        <f t="shared" si="144"/>
        <v>1142.5991898882437</v>
      </c>
      <c r="D869" s="159">
        <f t="shared" si="144"/>
        <v>1137.4261871065346</v>
      </c>
      <c r="E869" s="159">
        <f t="shared" si="144"/>
        <v>986.90482000227735</v>
      </c>
      <c r="F869" s="159">
        <f t="shared" si="144"/>
        <v>0</v>
      </c>
      <c r="G869" s="159">
        <f t="shared" si="144"/>
        <v>-1583.134058855107</v>
      </c>
      <c r="H869" s="159">
        <f t="shared" si="144"/>
        <v>1686.089828054593</v>
      </c>
      <c r="I869" s="159">
        <f t="shared" si="144"/>
        <v>606.47764059017777</v>
      </c>
      <c r="J869" s="159">
        <f t="shared" si="144"/>
        <v>426.25217575195614</v>
      </c>
      <c r="K869" s="159">
        <f t="shared" si="144"/>
        <v>339.33596863663718</v>
      </c>
      <c r="L869" s="159">
        <f t="shared" si="144"/>
        <v>303.38522603419386</v>
      </c>
      <c r="M869" s="159">
        <f t="shared" si="144"/>
        <v>302.79960307777401</v>
      </c>
      <c r="N869" s="159">
        <f t="shared" si="144"/>
        <v>269.43536186618513</v>
      </c>
      <c r="O869" s="159">
        <f t="shared" si="144"/>
        <v>68.908301205407255</v>
      </c>
      <c r="P869" s="159">
        <f t="shared" si="144"/>
        <v>91.340913897158089</v>
      </c>
      <c r="Q869" s="159">
        <f t="shared" si="144"/>
        <v>68.810697379337256</v>
      </c>
      <c r="R869" s="324"/>
      <c r="AC869" s="325" t="s">
        <v>420</v>
      </c>
      <c r="AD869" s="159">
        <f t="shared" si="126"/>
        <v>46181</v>
      </c>
      <c r="AE869" s="159">
        <f t="shared" si="127"/>
        <v>5887</v>
      </c>
      <c r="AF869" s="159">
        <f t="shared" si="128"/>
        <v>6177</v>
      </c>
      <c r="AG869" s="159">
        <f t="shared" si="129"/>
        <v>10568</v>
      </c>
      <c r="AH869" s="159">
        <f t="shared" si="130"/>
        <v>9242.0703193975587</v>
      </c>
      <c r="AI869" s="159"/>
      <c r="AJ869" s="159">
        <f t="shared" si="131"/>
        <v>78055.070319397564</v>
      </c>
      <c r="AK869" s="159"/>
      <c r="AL869" s="159"/>
      <c r="AM869" s="159"/>
      <c r="AN869" s="164" t="s">
        <v>420</v>
      </c>
      <c r="AO869" s="159">
        <f t="shared" si="132"/>
        <v>65810</v>
      </c>
      <c r="AP869" s="159">
        <f t="shared" si="133"/>
        <v>8361</v>
      </c>
      <c r="AQ869" s="159">
        <f t="shared" si="134"/>
        <v>8743</v>
      </c>
      <c r="AR869" s="159">
        <f t="shared" si="135"/>
        <v>14124</v>
      </c>
      <c r="AS869" s="159">
        <f>((F843-$F843)*(('[1]Lake Pleasant Forecast'!B55-1526.8)/0.7702))/1000</f>
        <v>0</v>
      </c>
      <c r="AT869" s="159">
        <f t="shared" si="136"/>
        <v>97038</v>
      </c>
      <c r="AU869" s="307"/>
    </row>
    <row r="870" spans="1:50" ht="15.75" customHeight="1" x14ac:dyDescent="0.3">
      <c r="A870" s="365" t="s">
        <v>18</v>
      </c>
      <c r="B870" s="159">
        <f t="shared" ref="B870:Q870" si="145">(B841/$L$10/1.983)</f>
        <v>2771.2724827702132</v>
      </c>
      <c r="C870" s="159">
        <f t="shared" si="145"/>
        <v>2765.9606656580936</v>
      </c>
      <c r="D870" s="159">
        <f t="shared" si="145"/>
        <v>2760.9009917633216</v>
      </c>
      <c r="E870" s="159">
        <f t="shared" si="145"/>
        <v>2624.054462934947</v>
      </c>
      <c r="F870" s="159">
        <f t="shared" si="145"/>
        <v>690.48579593208945</v>
      </c>
      <c r="G870" s="159">
        <f t="shared" si="145"/>
        <v>-33.80400067238191</v>
      </c>
      <c r="H870" s="159">
        <f t="shared" si="145"/>
        <v>1218.6922171793578</v>
      </c>
      <c r="I870" s="159">
        <f t="shared" si="145"/>
        <v>435.66986048075302</v>
      </c>
      <c r="J870" s="159">
        <f t="shared" si="145"/>
        <v>347.99125903513197</v>
      </c>
      <c r="K870" s="159">
        <f t="shared" si="145"/>
        <v>309.98487140695914</v>
      </c>
      <c r="L870" s="159">
        <f t="shared" si="145"/>
        <v>296.21785173978816</v>
      </c>
      <c r="M870" s="159">
        <f t="shared" si="145"/>
        <v>295.64632711380062</v>
      </c>
      <c r="N870" s="159">
        <f t="shared" si="145"/>
        <v>259.58984703311478</v>
      </c>
      <c r="O870" s="159">
        <f t="shared" si="145"/>
        <v>51.975121869221717</v>
      </c>
      <c r="P870" s="159">
        <f t="shared" si="145"/>
        <v>82.551689359556221</v>
      </c>
      <c r="Q870" s="159">
        <f t="shared" si="145"/>
        <v>51.874264582282734</v>
      </c>
      <c r="R870" s="324"/>
      <c r="AC870" s="325" t="s">
        <v>421</v>
      </c>
      <c r="AD870" s="159">
        <f t="shared" si="126"/>
        <v>45201</v>
      </c>
      <c r="AE870" s="159">
        <f t="shared" si="127"/>
        <v>5762</v>
      </c>
      <c r="AF870" s="159">
        <f t="shared" si="128"/>
        <v>6046</v>
      </c>
      <c r="AG870" s="159">
        <f t="shared" si="129"/>
        <v>10344</v>
      </c>
      <c r="AH870" s="159">
        <f t="shared" si="130"/>
        <v>9212.7470634540477</v>
      </c>
      <c r="AI870" s="159"/>
      <c r="AJ870" s="159">
        <f t="shared" si="131"/>
        <v>76565.747063454051</v>
      </c>
      <c r="AK870" s="159"/>
      <c r="AL870" s="159"/>
      <c r="AM870" s="159"/>
      <c r="AN870" s="164" t="s">
        <v>421</v>
      </c>
      <c r="AO870" s="159">
        <f t="shared" si="132"/>
        <v>77585</v>
      </c>
      <c r="AP870" s="159">
        <f t="shared" si="133"/>
        <v>9868</v>
      </c>
      <c r="AQ870" s="159">
        <f t="shared" si="134"/>
        <v>10330</v>
      </c>
      <c r="AR870" s="159">
        <f t="shared" si="135"/>
        <v>16600</v>
      </c>
      <c r="AS870" s="159">
        <f>((F844-$F844)*(('[1]Lake Pleasant Forecast'!B57-1526.8)/0.7702))/1000</f>
        <v>0</v>
      </c>
      <c r="AT870" s="159">
        <f t="shared" si="136"/>
        <v>114383</v>
      </c>
      <c r="AU870" s="307"/>
    </row>
    <row r="871" spans="1:50" ht="15.75" customHeight="1" x14ac:dyDescent="0.3">
      <c r="A871" s="365" t="s">
        <v>20</v>
      </c>
      <c r="B871" s="159">
        <f t="shared" ref="B871:Q871" si="146">(B842/$N$10/1.983)</f>
        <v>1917.8826476664551</v>
      </c>
      <c r="C871" s="159">
        <f t="shared" si="146"/>
        <v>1913.2464659281309</v>
      </c>
      <c r="D871" s="159">
        <f t="shared" si="146"/>
        <v>1908.8217591462917</v>
      </c>
      <c r="E871" s="159">
        <f t="shared" si="146"/>
        <v>1848.3236542872478</v>
      </c>
      <c r="F871" s="159">
        <f t="shared" si="146"/>
        <v>450.45792461731162</v>
      </c>
      <c r="G871" s="159">
        <f t="shared" si="146"/>
        <v>-165.04806988433947</v>
      </c>
      <c r="H871" s="159">
        <f t="shared" si="146"/>
        <v>938.20051079335644</v>
      </c>
      <c r="I871" s="159">
        <f t="shared" si="146"/>
        <v>276.88578725619379</v>
      </c>
      <c r="J871" s="159">
        <f t="shared" si="146"/>
        <v>243.76555560977988</v>
      </c>
      <c r="K871" s="159">
        <f t="shared" si="146"/>
        <v>208.93725700714134</v>
      </c>
      <c r="L871" s="159">
        <f t="shared" si="146"/>
        <v>201.38922779106275</v>
      </c>
      <c r="M871" s="159">
        <f t="shared" si="146"/>
        <v>200.91747596505783</v>
      </c>
      <c r="N871" s="159">
        <f t="shared" si="146"/>
        <v>184.14588518536593</v>
      </c>
      <c r="O871" s="159">
        <f t="shared" si="146"/>
        <v>52.75486799082524</v>
      </c>
      <c r="P871" s="159">
        <f t="shared" si="146"/>
        <v>72.893790769931513</v>
      </c>
      <c r="Q871" s="159">
        <f t="shared" si="146"/>
        <v>52.315650773510313</v>
      </c>
      <c r="R871" s="324"/>
      <c r="AC871" s="323"/>
      <c r="AD871" s="159"/>
      <c r="AE871" s="159"/>
      <c r="AF871" s="159"/>
      <c r="AG871" s="159"/>
      <c r="AH871" s="159"/>
      <c r="AI871" s="159"/>
      <c r="AJ871" s="159"/>
      <c r="AK871" s="159"/>
      <c r="AL871" s="159"/>
      <c r="AM871" s="159"/>
      <c r="AN871" s="159"/>
      <c r="AO871" s="159"/>
      <c r="AP871" s="159"/>
      <c r="AQ871" s="159"/>
      <c r="AR871" s="159"/>
      <c r="AS871" s="159"/>
      <c r="AT871" s="159"/>
      <c r="AU871" s="307"/>
    </row>
    <row r="872" spans="1:50" ht="15.75" customHeight="1" thickBot="1" x14ac:dyDescent="0.35">
      <c r="A872" s="365" t="s">
        <v>21</v>
      </c>
      <c r="B872" s="159">
        <f t="shared" ref="B872:Q872" si="147">(B843/$O$10/1.983)</f>
        <v>1967.1037149100689</v>
      </c>
      <c r="C872" s="159">
        <f t="shared" si="147"/>
        <v>1963.1534711716254</v>
      </c>
      <c r="D872" s="159">
        <f t="shared" si="147"/>
        <v>1959.3545133635905</v>
      </c>
      <c r="E872" s="159">
        <f t="shared" si="147"/>
        <v>1895.2933266095142</v>
      </c>
      <c r="F872" s="159">
        <f t="shared" si="147"/>
        <v>811.16153975458053</v>
      </c>
      <c r="G872" s="159">
        <f t="shared" si="147"/>
        <v>0</v>
      </c>
      <c r="H872" s="159">
        <f t="shared" si="147"/>
        <v>552.59707513867875</v>
      </c>
      <c r="I872" s="159">
        <f t="shared" si="147"/>
        <v>138.29214994116657</v>
      </c>
      <c r="J872" s="159">
        <f t="shared" si="147"/>
        <v>132.5600941334678</v>
      </c>
      <c r="K872" s="159">
        <f t="shared" si="147"/>
        <v>122.54160363086233</v>
      </c>
      <c r="L872" s="159">
        <f t="shared" si="147"/>
        <v>116.03630862329803</v>
      </c>
      <c r="M872" s="159">
        <f t="shared" si="147"/>
        <v>115.64968902336527</v>
      </c>
      <c r="N872" s="159">
        <f t="shared" si="147"/>
        <v>110.03530005042863</v>
      </c>
      <c r="O872" s="159">
        <f t="shared" si="147"/>
        <v>7.0936291813750207</v>
      </c>
      <c r="P872" s="159">
        <f t="shared" si="147"/>
        <v>64.464615901832232</v>
      </c>
      <c r="Q872" s="159">
        <f t="shared" si="147"/>
        <v>7.0432005379055305</v>
      </c>
      <c r="R872" s="324"/>
      <c r="AC872" s="330" t="s">
        <v>422</v>
      </c>
      <c r="AD872" s="327">
        <f>SUM(AD859:AD870)</f>
        <v>339359</v>
      </c>
      <c r="AE872" s="327">
        <f>SUM(AE859:AE870)</f>
        <v>43261</v>
      </c>
      <c r="AF872" s="327">
        <f>SUM(AF859:AF870)</f>
        <v>45388</v>
      </c>
      <c r="AG872" s="327">
        <f>SUM(AG859:AG870)</f>
        <v>77659</v>
      </c>
      <c r="AH872" s="327">
        <f>SUM(AH859:AH870)</f>
        <v>71323.938184281506</v>
      </c>
      <c r="AI872" s="327"/>
      <c r="AJ872" s="327">
        <f>SUM(AJ859:AJ870)</f>
        <v>576990.93818428146</v>
      </c>
      <c r="AK872" s="327"/>
      <c r="AL872" s="327"/>
      <c r="AM872" s="327"/>
      <c r="AN872" s="335" t="s">
        <v>422</v>
      </c>
      <c r="AO872" s="327">
        <f t="shared" ref="AO872:AT872" si="148">SUM(AO859:AO870)</f>
        <v>1109436</v>
      </c>
      <c r="AP872" s="327">
        <f t="shared" si="148"/>
        <v>141005</v>
      </c>
      <c r="AQ872" s="327">
        <f t="shared" si="148"/>
        <v>147513</v>
      </c>
      <c r="AR872" s="327">
        <f t="shared" si="148"/>
        <v>238449</v>
      </c>
      <c r="AS872" s="327">
        <f t="shared" si="148"/>
        <v>0</v>
      </c>
      <c r="AT872" s="327">
        <f t="shared" si="148"/>
        <v>1636403</v>
      </c>
      <c r="AU872" s="313"/>
    </row>
    <row r="873" spans="1:50" ht="15.75" customHeight="1" thickBot="1" x14ac:dyDescent="0.35">
      <c r="A873" s="369" t="s">
        <v>22</v>
      </c>
      <c r="B873" s="327">
        <f t="shared" ref="B873:Q873" si="149">(B844/$P$10/1.983)</f>
        <v>2087.1439493761491</v>
      </c>
      <c r="C873" s="327">
        <f t="shared" si="149"/>
        <v>2084.1182307679796</v>
      </c>
      <c r="D873" s="327">
        <f t="shared" si="149"/>
        <v>2081.2063832902249</v>
      </c>
      <c r="E873" s="327">
        <f t="shared" si="149"/>
        <v>2001.3501862606345</v>
      </c>
      <c r="F873" s="327">
        <f t="shared" si="149"/>
        <v>768.33731882289771</v>
      </c>
      <c r="G873" s="327">
        <f t="shared" si="149"/>
        <v>0</v>
      </c>
      <c r="H873" s="327">
        <f t="shared" si="149"/>
        <v>746.05111187025193</v>
      </c>
      <c r="I873" s="327">
        <f t="shared" si="149"/>
        <v>292.20958794918096</v>
      </c>
      <c r="J873" s="327">
        <f t="shared" si="149"/>
        <v>281.45689977713789</v>
      </c>
      <c r="K873" s="327">
        <f t="shared" si="149"/>
        <v>270.31379630081494</v>
      </c>
      <c r="L873" s="327">
        <f t="shared" si="149"/>
        <v>199.55102240007807</v>
      </c>
      <c r="M873" s="327">
        <f t="shared" si="149"/>
        <v>199.24194361752313</v>
      </c>
      <c r="N873" s="327">
        <f t="shared" si="149"/>
        <v>184.50376588095585</v>
      </c>
      <c r="O873" s="327">
        <f t="shared" si="149"/>
        <v>18.512192344606575</v>
      </c>
      <c r="P873" s="327">
        <f t="shared" si="149"/>
        <v>66.175394075447755</v>
      </c>
      <c r="Q873" s="327">
        <f t="shared" si="149"/>
        <v>18.479657735916582</v>
      </c>
      <c r="R873" s="328"/>
    </row>
    <row r="874" spans="1:50" ht="15.75" customHeight="1" x14ac:dyDescent="0.3">
      <c r="R874" s="319"/>
      <c r="AC874" s="370"/>
      <c r="AD874" s="506" t="s">
        <v>1028</v>
      </c>
      <c r="AE874" s="517"/>
      <c r="AF874" s="517"/>
      <c r="AG874" s="517"/>
      <c r="AH874" s="517"/>
      <c r="AI874" s="517"/>
      <c r="AJ874" s="517"/>
      <c r="AK874" s="517"/>
      <c r="AL874" s="517"/>
      <c r="AM874" s="517"/>
      <c r="AN874" s="517"/>
      <c r="AO874" s="517"/>
      <c r="AP874" s="517"/>
      <c r="AQ874" s="517"/>
      <c r="AR874" s="361" t="str">
        <f>$Q$1</f>
        <v xml:space="preserve">PRINTED:  </v>
      </c>
      <c r="AS874" s="371">
        <f ca="1">$R$1</f>
        <v>44909.46975358796</v>
      </c>
    </row>
    <row r="875" spans="1:50" ht="15.75" customHeight="1" x14ac:dyDescent="0.3">
      <c r="R875" s="159"/>
      <c r="AC875" s="306"/>
      <c r="AD875" s="503" t="str">
        <f>+$A$8</f>
        <v>Revised:  5/2/2016</v>
      </c>
      <c r="AE875" s="516"/>
      <c r="AF875" s="516"/>
      <c r="AG875" s="516"/>
      <c r="AH875" s="516"/>
      <c r="AI875" s="516"/>
      <c r="AJ875" s="516"/>
      <c r="AK875" s="516"/>
      <c r="AL875" s="516"/>
      <c r="AM875" s="516"/>
      <c r="AN875" s="516"/>
      <c r="AO875" s="516"/>
      <c r="AP875" s="516"/>
      <c r="AQ875" s="516"/>
      <c r="AR875" s="365"/>
      <c r="AS875" s="307"/>
    </row>
    <row r="876" spans="1:50" ht="15.75" customHeight="1" x14ac:dyDescent="0.3">
      <c r="A876" s="365"/>
      <c r="AC876" s="306"/>
      <c r="AD876" s="503" t="s">
        <v>1024</v>
      </c>
      <c r="AE876" s="508"/>
      <c r="AF876" s="508"/>
      <c r="AG876" s="508"/>
      <c r="AH876" s="508"/>
      <c r="AI876" s="508"/>
      <c r="AJ876" s="508"/>
      <c r="AK876" s="508"/>
      <c r="AL876" s="508"/>
      <c r="AM876" s="508"/>
      <c r="AN876" s="508"/>
      <c r="AO876" s="508"/>
      <c r="AP876" s="508"/>
      <c r="AQ876" s="508"/>
      <c r="AS876" s="307"/>
    </row>
    <row r="877" spans="1:50" ht="15.75" customHeight="1" x14ac:dyDescent="0.3">
      <c r="A877" s="365"/>
      <c r="AC877" s="306"/>
      <c r="AS877" s="307"/>
    </row>
    <row r="878" spans="1:50" ht="15.75" customHeight="1" thickBot="1" x14ac:dyDescent="0.35">
      <c r="A878" s="365"/>
      <c r="AC878" s="306"/>
      <c r="AD878" s="509">
        <f>$A$5</f>
        <v>2015</v>
      </c>
      <c r="AE878" s="508"/>
      <c r="AF878" s="508"/>
      <c r="AG878" s="508"/>
      <c r="AH878" s="508"/>
      <c r="AI878" s="508"/>
      <c r="AJ878" s="508"/>
      <c r="AK878" s="508"/>
      <c r="AL878" s="508"/>
      <c r="AM878" s="508"/>
      <c r="AN878" s="508"/>
      <c r="AO878" s="508"/>
      <c r="AP878" s="508"/>
      <c r="AQ878" s="508"/>
      <c r="AS878" s="307"/>
    </row>
    <row r="879" spans="1:50" ht="15.75" customHeight="1" x14ac:dyDescent="0.3">
      <c r="A879" s="363"/>
      <c r="B879" s="506" t="s">
        <v>456</v>
      </c>
      <c r="C879" s="506"/>
      <c r="D879" s="506"/>
      <c r="E879" s="506"/>
      <c r="F879" s="506"/>
      <c r="G879" s="506"/>
      <c r="H879" s="506"/>
      <c r="I879" s="506"/>
      <c r="J879" s="506"/>
      <c r="K879" s="506"/>
      <c r="L879" s="506"/>
      <c r="M879" s="506"/>
      <c r="N879" s="506"/>
      <c r="O879" s="506"/>
      <c r="P879" s="506"/>
      <c r="Q879" s="361" t="str">
        <f>+Q1</f>
        <v xml:space="preserve">PRINTED:  </v>
      </c>
      <c r="R879" s="362">
        <f ca="1">+R1</f>
        <v>44909.46975358796</v>
      </c>
      <c r="AC879" s="306"/>
      <c r="AD879" s="503" t="s">
        <v>1029</v>
      </c>
      <c r="AE879" s="516"/>
      <c r="AF879" s="516"/>
      <c r="AG879" s="516"/>
      <c r="AH879" s="516"/>
      <c r="AI879" s="516"/>
      <c r="AJ879" s="516"/>
      <c r="AK879" s="516"/>
      <c r="AL879" s="516"/>
      <c r="AM879" s="516"/>
      <c r="AN879" s="516"/>
      <c r="AO879" s="516"/>
      <c r="AP879" s="516"/>
      <c r="AQ879" s="516"/>
      <c r="AR879" s="164"/>
      <c r="AS879" s="307"/>
    </row>
    <row r="880" spans="1:50" ht="16.5" customHeight="1" x14ac:dyDescent="0.3">
      <c r="A880" s="325"/>
      <c r="B880" s="503" t="str">
        <f>+A8</f>
        <v>Revised:  5/2/2016</v>
      </c>
      <c r="C880" s="503"/>
      <c r="D880" s="503"/>
      <c r="E880" s="503"/>
      <c r="F880" s="503"/>
      <c r="G880" s="503"/>
      <c r="H880" s="503"/>
      <c r="I880" s="503"/>
      <c r="J880" s="503"/>
      <c r="K880" s="503"/>
      <c r="L880" s="503"/>
      <c r="M880" s="503"/>
      <c r="N880" s="503"/>
      <c r="O880" s="503"/>
      <c r="P880" s="503"/>
      <c r="Q880" s="159"/>
      <c r="R880" s="324"/>
      <c r="AC880" s="306"/>
      <c r="AK880" s="372"/>
      <c r="AS880" s="307"/>
    </row>
    <row r="881" spans="1:45" ht="15.75" customHeight="1" thickBot="1" x14ac:dyDescent="0.35">
      <c r="A881" s="325"/>
      <c r="B881" s="503" t="s">
        <v>1024</v>
      </c>
      <c r="C881" s="503"/>
      <c r="D881" s="503"/>
      <c r="E881" s="503"/>
      <c r="F881" s="503"/>
      <c r="G881" s="503"/>
      <c r="H881" s="503"/>
      <c r="I881" s="503"/>
      <c r="J881" s="503"/>
      <c r="K881" s="503"/>
      <c r="L881" s="503"/>
      <c r="M881" s="503"/>
      <c r="N881" s="503"/>
      <c r="O881" s="503"/>
      <c r="P881" s="503"/>
      <c r="Q881" s="159"/>
      <c r="R881" s="324"/>
      <c r="AC881" s="306"/>
      <c r="AD881" s="364" t="s">
        <v>390</v>
      </c>
      <c r="AE881" s="364" t="s">
        <v>391</v>
      </c>
      <c r="AF881" s="364" t="s">
        <v>392</v>
      </c>
      <c r="AG881" s="364" t="s">
        <v>393</v>
      </c>
      <c r="AH881" s="364" t="s">
        <v>394</v>
      </c>
      <c r="AI881" s="364" t="s">
        <v>395</v>
      </c>
      <c r="AJ881" s="364" t="s">
        <v>396</v>
      </c>
      <c r="AK881" s="364" t="s">
        <v>397</v>
      </c>
      <c r="AL881" s="364" t="s">
        <v>398</v>
      </c>
      <c r="AM881" s="364" t="s">
        <v>399</v>
      </c>
      <c r="AN881" s="364" t="s">
        <v>400</v>
      </c>
      <c r="AO881" s="364" t="s">
        <v>401</v>
      </c>
      <c r="AP881" s="364" t="s">
        <v>402</v>
      </c>
      <c r="AQ881" s="364" t="s">
        <v>403</v>
      </c>
      <c r="AR881" s="364" t="s">
        <v>404</v>
      </c>
      <c r="AS881" s="373" t="s">
        <v>422</v>
      </c>
    </row>
    <row r="882" spans="1:45" ht="15.75" customHeight="1" x14ac:dyDescent="0.3">
      <c r="A882" s="325"/>
      <c r="B882" s="159"/>
      <c r="C882" s="159"/>
      <c r="D882" s="159"/>
      <c r="E882" s="159"/>
      <c r="F882" s="159"/>
      <c r="G882" s="159"/>
      <c r="H882" s="159"/>
      <c r="I882" s="159"/>
      <c r="J882" s="159"/>
      <c r="K882" s="159"/>
      <c r="L882" s="159"/>
      <c r="M882" s="159"/>
      <c r="N882" s="159"/>
      <c r="O882" s="159"/>
      <c r="P882" s="159"/>
      <c r="Q882" s="159"/>
      <c r="R882" s="324"/>
      <c r="AC882" s="306"/>
      <c r="AD882" s="159"/>
      <c r="AE882" s="159"/>
      <c r="AF882" s="159"/>
      <c r="AG882" s="159"/>
      <c r="AH882" s="164" t="s">
        <v>1030</v>
      </c>
      <c r="AI882" s="159"/>
      <c r="AJ882" s="159"/>
      <c r="AK882" s="159"/>
      <c r="AL882" s="159"/>
      <c r="AM882" s="159"/>
      <c r="AN882" s="159"/>
      <c r="AO882" s="159"/>
      <c r="AP882" s="159"/>
      <c r="AQ882" s="159"/>
      <c r="AR882" s="159"/>
      <c r="AS882" s="374"/>
    </row>
    <row r="883" spans="1:45" ht="15.75" customHeight="1" x14ac:dyDescent="0.3">
      <c r="A883" s="325"/>
      <c r="B883" s="509">
        <f>A5</f>
        <v>2015</v>
      </c>
      <c r="C883" s="509"/>
      <c r="D883" s="509"/>
      <c r="E883" s="509"/>
      <c r="F883" s="509"/>
      <c r="G883" s="509"/>
      <c r="H883" s="509"/>
      <c r="I883" s="509"/>
      <c r="J883" s="509"/>
      <c r="K883" s="509"/>
      <c r="L883" s="509"/>
      <c r="M883" s="509"/>
      <c r="N883" s="509"/>
      <c r="O883" s="509"/>
      <c r="P883" s="509"/>
      <c r="Q883" s="159"/>
      <c r="R883" s="324"/>
      <c r="S883" s="159"/>
      <c r="AC883" s="375" t="s">
        <v>1031</v>
      </c>
      <c r="AD883" s="376">
        <f>0.009+0.005</f>
        <v>1.3999999999999999E-2</v>
      </c>
      <c r="AE883" s="376">
        <f>0.009+0.005</f>
        <v>1.3999999999999999E-2</v>
      </c>
      <c r="AF883" s="376">
        <f>0.009+0.005</f>
        <v>1.3999999999999999E-2</v>
      </c>
      <c r="AG883" s="376">
        <f>0.009+0.005</f>
        <v>1.3999999999999999E-2</v>
      </c>
      <c r="AH883" s="376"/>
      <c r="AI883" s="376"/>
      <c r="AJ883" s="376"/>
      <c r="AK883" s="376"/>
      <c r="AL883" s="376"/>
      <c r="AM883" s="376"/>
      <c r="AN883" s="376"/>
      <c r="AO883" s="376"/>
      <c r="AP883" s="376"/>
      <c r="AQ883" s="376"/>
      <c r="AR883" s="376"/>
      <c r="AS883" s="377"/>
    </row>
    <row r="884" spans="1:45" ht="15.75" customHeight="1" x14ac:dyDescent="0.3">
      <c r="A884" s="325"/>
      <c r="B884" s="503" t="s">
        <v>1029</v>
      </c>
      <c r="C884" s="503"/>
      <c r="D884" s="503"/>
      <c r="E884" s="503"/>
      <c r="F884" s="503"/>
      <c r="G884" s="503"/>
      <c r="H884" s="503"/>
      <c r="I884" s="503"/>
      <c r="J884" s="503"/>
      <c r="K884" s="503"/>
      <c r="L884" s="503"/>
      <c r="M884" s="503"/>
      <c r="N884" s="503"/>
      <c r="O884" s="503"/>
      <c r="P884" s="503"/>
      <c r="Q884" s="159"/>
      <c r="R884" s="324"/>
      <c r="S884" s="159"/>
      <c r="AC884" s="375" t="s">
        <v>1032</v>
      </c>
      <c r="AD884" s="376"/>
      <c r="AE884" s="376">
        <v>0.03</v>
      </c>
      <c r="AF884" s="376"/>
      <c r="AG884" s="376"/>
      <c r="AH884" s="376"/>
      <c r="AI884" s="376"/>
      <c r="AJ884" s="376"/>
      <c r="AK884" s="376"/>
      <c r="AL884" s="376"/>
      <c r="AM884" s="376">
        <v>0.03</v>
      </c>
      <c r="AN884" s="376">
        <v>0.03</v>
      </c>
      <c r="AO884" s="376">
        <v>0.03</v>
      </c>
      <c r="AP884" s="376">
        <v>0.03</v>
      </c>
      <c r="AQ884" s="376">
        <v>0.03</v>
      </c>
      <c r="AR884" s="376">
        <v>0.03</v>
      </c>
      <c r="AS884" s="377"/>
    </row>
    <row r="885" spans="1:45" ht="15.75" customHeight="1" x14ac:dyDescent="0.3">
      <c r="A885" s="325"/>
      <c r="B885" s="159"/>
      <c r="C885" s="159"/>
      <c r="D885" s="159"/>
      <c r="E885" s="159"/>
      <c r="F885" s="159"/>
      <c r="G885" s="159"/>
      <c r="H885" s="159"/>
      <c r="I885" s="159"/>
      <c r="J885" s="159"/>
      <c r="K885" s="159"/>
      <c r="L885" s="159"/>
      <c r="M885" s="159"/>
      <c r="N885" s="159"/>
      <c r="O885" s="159"/>
      <c r="P885" s="159"/>
      <c r="Q885" s="159"/>
      <c r="R885" s="324"/>
      <c r="S885" s="159"/>
      <c r="AC885" s="375" t="s">
        <v>1033</v>
      </c>
      <c r="AD885" s="376"/>
      <c r="AE885" s="376"/>
      <c r="AF885" s="376">
        <v>0.03</v>
      </c>
      <c r="AG885" s="376">
        <v>0.03</v>
      </c>
      <c r="AH885" s="376"/>
      <c r="AI885" s="376"/>
      <c r="AJ885" s="376"/>
      <c r="AK885" s="376"/>
      <c r="AL885" s="376"/>
      <c r="AM885" s="376"/>
      <c r="AN885" s="376"/>
      <c r="AO885" s="376"/>
      <c r="AP885" s="376"/>
      <c r="AQ885" s="376"/>
      <c r="AR885" s="376"/>
      <c r="AS885" s="377"/>
    </row>
    <row r="886" spans="1:45" ht="15.75" customHeight="1" thickBot="1" x14ac:dyDescent="0.35">
      <c r="A886" s="325" t="s">
        <v>433</v>
      </c>
      <c r="B886" s="364" t="s">
        <v>390</v>
      </c>
      <c r="C886" s="364" t="s">
        <v>391</v>
      </c>
      <c r="D886" s="364" t="s">
        <v>392</v>
      </c>
      <c r="E886" s="364" t="s">
        <v>393</v>
      </c>
      <c r="F886" s="364" t="s">
        <v>394</v>
      </c>
      <c r="G886" s="364" t="s">
        <v>394</v>
      </c>
      <c r="H886" s="364" t="s">
        <v>395</v>
      </c>
      <c r="I886" s="364" t="s">
        <v>396</v>
      </c>
      <c r="J886" s="364" t="s">
        <v>397</v>
      </c>
      <c r="K886" s="364" t="s">
        <v>398</v>
      </c>
      <c r="L886" s="364" t="s">
        <v>399</v>
      </c>
      <c r="M886" s="364" t="s">
        <v>400</v>
      </c>
      <c r="N886" s="364" t="s">
        <v>401</v>
      </c>
      <c r="O886" s="364" t="s">
        <v>402</v>
      </c>
      <c r="P886" s="364" t="s">
        <v>403</v>
      </c>
      <c r="Q886" s="364" t="s">
        <v>404</v>
      </c>
      <c r="R886" s="373" t="s">
        <v>422</v>
      </c>
      <c r="S886" s="164"/>
      <c r="AC886" s="375" t="s">
        <v>822</v>
      </c>
      <c r="AD886" s="376"/>
      <c r="AE886" s="376"/>
      <c r="AF886" s="376"/>
      <c r="AG886" s="376"/>
      <c r="AH886" s="376"/>
      <c r="AI886" s="376">
        <v>0.03</v>
      </c>
      <c r="AJ886" s="376"/>
      <c r="AK886" s="376"/>
      <c r="AL886" s="376"/>
      <c r="AM886" s="376"/>
      <c r="AN886" s="376"/>
      <c r="AO886" s="376"/>
      <c r="AP886" s="376"/>
      <c r="AQ886" s="376"/>
      <c r="AR886" s="376"/>
      <c r="AS886" s="377"/>
    </row>
    <row r="887" spans="1:45" ht="15.75" customHeight="1" x14ac:dyDescent="0.3">
      <c r="A887" s="325"/>
      <c r="B887" s="159"/>
      <c r="C887" s="159"/>
      <c r="D887" s="159"/>
      <c r="E887" s="159"/>
      <c r="F887" s="164" t="s">
        <v>406</v>
      </c>
      <c r="G887" s="164" t="s">
        <v>407</v>
      </c>
      <c r="H887" s="159"/>
      <c r="I887" s="159"/>
      <c r="J887" s="159"/>
      <c r="K887" s="159"/>
      <c r="L887" s="159"/>
      <c r="M887" s="159"/>
      <c r="N887" s="159"/>
      <c r="O887" s="159"/>
      <c r="P887" s="159"/>
      <c r="Q887" s="159"/>
      <c r="R887" s="377" t="s">
        <v>458</v>
      </c>
      <c r="S887" s="164"/>
      <c r="AC887" s="375" t="s">
        <v>1034</v>
      </c>
      <c r="AD887" s="376">
        <v>0.03</v>
      </c>
      <c r="AE887" s="376"/>
      <c r="AF887" s="376"/>
      <c r="AG887" s="376"/>
      <c r="AH887" s="376"/>
      <c r="AI887" s="376"/>
      <c r="AJ887" s="376">
        <v>0.03</v>
      </c>
      <c r="AK887" s="376">
        <v>0.03</v>
      </c>
      <c r="AL887" s="376">
        <v>0.03</v>
      </c>
      <c r="AM887" s="376"/>
      <c r="AN887" s="376"/>
      <c r="AO887" s="376"/>
      <c r="AP887" s="376"/>
      <c r="AQ887" s="376"/>
      <c r="AR887" s="376"/>
      <c r="AS887" s="377"/>
    </row>
    <row r="888" spans="1:45" ht="15.75" customHeight="1" x14ac:dyDescent="0.3">
      <c r="A888" s="325" t="s">
        <v>1035</v>
      </c>
      <c r="B888" s="378">
        <v>957</v>
      </c>
      <c r="C888" s="378">
        <v>122</v>
      </c>
      <c r="D888" s="378">
        <v>128</v>
      </c>
      <c r="E888" s="378">
        <v>219</v>
      </c>
      <c r="F888" s="378"/>
      <c r="G888" s="378"/>
      <c r="H888" s="378">
        <v>97</v>
      </c>
      <c r="I888" s="378">
        <v>160</v>
      </c>
      <c r="J888" s="378">
        <v>250</v>
      </c>
      <c r="K888" s="378">
        <v>260</v>
      </c>
      <c r="L888" s="378">
        <v>100</v>
      </c>
      <c r="M888" s="378">
        <v>118</v>
      </c>
      <c r="N888" s="378">
        <v>250</v>
      </c>
      <c r="O888" s="378">
        <v>190</v>
      </c>
      <c r="P888" s="378">
        <v>340</v>
      </c>
      <c r="Q888" s="378">
        <v>450</v>
      </c>
      <c r="R888" s="377" t="s">
        <v>442</v>
      </c>
      <c r="S888" s="164"/>
      <c r="AC888" s="375" t="s">
        <v>422</v>
      </c>
      <c r="AD888" s="169">
        <f>SUM(AD883:AD887)</f>
        <v>4.3999999999999997E-2</v>
      </c>
      <c r="AE888" s="169">
        <f t="shared" ref="AE888:AR888" si="150">SUM(AE883:AE887)</f>
        <v>4.3999999999999997E-2</v>
      </c>
      <c r="AF888" s="169">
        <f t="shared" si="150"/>
        <v>4.3999999999999997E-2</v>
      </c>
      <c r="AG888" s="169">
        <f t="shared" si="150"/>
        <v>4.3999999999999997E-2</v>
      </c>
      <c r="AH888" s="169">
        <f t="shared" si="150"/>
        <v>0</v>
      </c>
      <c r="AI888" s="169">
        <f t="shared" si="150"/>
        <v>0.03</v>
      </c>
      <c r="AJ888" s="169">
        <f t="shared" si="150"/>
        <v>0.03</v>
      </c>
      <c r="AK888" s="169">
        <f t="shared" si="150"/>
        <v>0.03</v>
      </c>
      <c r="AL888" s="169">
        <f t="shared" si="150"/>
        <v>0.03</v>
      </c>
      <c r="AM888" s="169">
        <f t="shared" si="150"/>
        <v>0.03</v>
      </c>
      <c r="AN888" s="169">
        <f t="shared" si="150"/>
        <v>0.03</v>
      </c>
      <c r="AO888" s="169">
        <f t="shared" si="150"/>
        <v>0.03</v>
      </c>
      <c r="AP888" s="169">
        <f t="shared" si="150"/>
        <v>0.03</v>
      </c>
      <c r="AQ888" s="169">
        <f t="shared" si="150"/>
        <v>0.03</v>
      </c>
      <c r="AR888" s="169">
        <f t="shared" si="150"/>
        <v>0.03</v>
      </c>
      <c r="AS888" s="377"/>
    </row>
    <row r="889" spans="1:45" ht="15.75" customHeight="1" x14ac:dyDescent="0.3">
      <c r="A889" s="325"/>
      <c r="B889" s="164" t="s">
        <v>409</v>
      </c>
      <c r="C889" s="164" t="s">
        <v>409</v>
      </c>
      <c r="D889" s="164" t="s">
        <v>409</v>
      </c>
      <c r="E889" s="164" t="s">
        <v>409</v>
      </c>
      <c r="F889" s="164" t="s">
        <v>409</v>
      </c>
      <c r="G889" s="164" t="s">
        <v>409</v>
      </c>
      <c r="H889" s="164" t="s">
        <v>409</v>
      </c>
      <c r="I889" s="164" t="s">
        <v>409</v>
      </c>
      <c r="J889" s="164" t="s">
        <v>409</v>
      </c>
      <c r="K889" s="164" t="s">
        <v>409</v>
      </c>
      <c r="L889" s="164" t="s">
        <v>409</v>
      </c>
      <c r="M889" s="164" t="s">
        <v>409</v>
      </c>
      <c r="N889" s="164" t="s">
        <v>409</v>
      </c>
      <c r="O889" s="164" t="s">
        <v>409</v>
      </c>
      <c r="P889" s="164" t="s">
        <v>409</v>
      </c>
      <c r="Q889" s="164" t="s">
        <v>409</v>
      </c>
      <c r="R889" s="377" t="s">
        <v>459</v>
      </c>
      <c r="S889" s="164"/>
      <c r="T889" s="164"/>
      <c r="AC889" s="325" t="s">
        <v>409</v>
      </c>
      <c r="AD889" s="164" t="s">
        <v>409</v>
      </c>
      <c r="AE889" s="164" t="s">
        <v>409</v>
      </c>
      <c r="AF889" s="164" t="s">
        <v>409</v>
      </c>
      <c r="AG889" s="164" t="s">
        <v>409</v>
      </c>
      <c r="AH889" s="164" t="s">
        <v>409</v>
      </c>
      <c r="AI889" s="164" t="s">
        <v>409</v>
      </c>
      <c r="AJ889" s="164" t="s">
        <v>409</v>
      </c>
      <c r="AK889" s="164" t="s">
        <v>409</v>
      </c>
      <c r="AL889" s="164" t="s">
        <v>409</v>
      </c>
      <c r="AM889" s="164" t="s">
        <v>409</v>
      </c>
      <c r="AN889" s="164" t="s">
        <v>409</v>
      </c>
      <c r="AO889" s="164" t="s">
        <v>409</v>
      </c>
      <c r="AP889" s="164" t="s">
        <v>409</v>
      </c>
      <c r="AQ889" s="164" t="s">
        <v>409</v>
      </c>
      <c r="AR889" s="164" t="s">
        <v>409</v>
      </c>
      <c r="AS889" s="377" t="s">
        <v>409</v>
      </c>
    </row>
    <row r="890" spans="1:45" ht="15.75" customHeight="1" x14ac:dyDescent="0.3">
      <c r="A890" s="365" t="s">
        <v>795</v>
      </c>
      <c r="B890" s="159">
        <f>ROUND((B833*$B$888)/1000,0)</f>
        <v>167611</v>
      </c>
      <c r="C890" s="159">
        <f t="shared" ref="C890:C901" si="151">ROUND((C833*$C$888)/1000,0)</f>
        <v>21355</v>
      </c>
      <c r="D890" s="159">
        <f t="shared" ref="D890:D901" si="152">ROUND((D833*$D$888)/1000,0)</f>
        <v>22393</v>
      </c>
      <c r="E890" s="159">
        <f t="shared" ref="E890:E901" si="153">ROUND((E833*$E$888)/1000,0)</f>
        <v>38066</v>
      </c>
      <c r="F890" s="159">
        <f>(F833*((T833-1526.8)/0.7702))/1000</f>
        <v>24540.733844244933</v>
      </c>
      <c r="G890" s="159">
        <f t="shared" ref="G890:G901" si="154">(G833*((T833-1591.4)/0.6635))/1000</f>
        <v>0</v>
      </c>
      <c r="H890" s="159">
        <f t="shared" ref="H890:H901" si="155">ROUND((H833*$H$888)/1000,0)</f>
        <v>3824</v>
      </c>
      <c r="I890" s="159">
        <f t="shared" ref="I890:I901" si="156">ROUND((I833*$I$888)/1000,0)</f>
        <v>2726</v>
      </c>
      <c r="J890" s="159">
        <f t="shared" ref="J890:J901" si="157">ROUND((J833*$J$888)/1000,0)</f>
        <v>4002</v>
      </c>
      <c r="K890" s="159">
        <f t="shared" ref="K890:K901" si="158">ROUND((K833*$K$888)/1000,0)</f>
        <v>3917</v>
      </c>
      <c r="L890" s="159">
        <f t="shared" ref="L890:L901" si="159">ROUND((L833*$L$888)/1000,0)</f>
        <v>1440</v>
      </c>
      <c r="M890" s="159">
        <f t="shared" ref="M890:M901" si="160">ROUND((M833*$M$888)/1000,0)</f>
        <v>1697</v>
      </c>
      <c r="N890" s="159">
        <f t="shared" ref="N890:N901" si="161">ROUND((N833*$N$888)/1000,0)</f>
        <v>3565</v>
      </c>
      <c r="O890" s="159">
        <f t="shared" ref="O890:O901" si="162">ROUND((O833*$O$888)/1000,0)</f>
        <v>222</v>
      </c>
      <c r="P890" s="159">
        <f t="shared" ref="P890:P901" si="163">ROUND((P833*$P$888)/1000,0)</f>
        <v>668</v>
      </c>
      <c r="Q890" s="159">
        <f t="shared" ref="Q890:Q901" si="164">ROUND((Q833*$Q$888)/1000,0)</f>
        <v>524</v>
      </c>
      <c r="R890" s="379">
        <f>(SUM(B890:Q890))</f>
        <v>296550.73384424491</v>
      </c>
      <c r="S890" s="168"/>
      <c r="AC890" s="375" t="s">
        <v>795</v>
      </c>
      <c r="AD890" s="159">
        <f>ROUND(B890*$AD$888, 0)</f>
        <v>7375</v>
      </c>
      <c r="AE890" s="159">
        <f>ROUND(C890*$AE$888,0)</f>
        <v>940</v>
      </c>
      <c r="AF890" s="159">
        <f>ROUND(D890*$AF$888,0)</f>
        <v>985</v>
      </c>
      <c r="AG890" s="159">
        <f>ROUND(E890*$AG$888,0)</f>
        <v>1675</v>
      </c>
      <c r="AH890" s="159">
        <f>ROUND(F890*$AH$888,0)</f>
        <v>0</v>
      </c>
      <c r="AI890" s="159">
        <f>ROUND(H890*$AI$888,0)</f>
        <v>115</v>
      </c>
      <c r="AJ890" s="159">
        <f>ROUND(I890*$AJ$888,0)</f>
        <v>82</v>
      </c>
      <c r="AK890" s="159">
        <f>ROUND(J890*$AK$888,0)</f>
        <v>120</v>
      </c>
      <c r="AL890" s="159">
        <f>ROUND(K890*$AL$888,0)</f>
        <v>118</v>
      </c>
      <c r="AM890" s="159">
        <f>ROUND(L890*$AM$888,0)</f>
        <v>43</v>
      </c>
      <c r="AN890" s="159">
        <f>ROUND(M890*$AN$888,0)</f>
        <v>51</v>
      </c>
      <c r="AO890" s="159">
        <f>ROUND(N890*$AO$888,0)</f>
        <v>107</v>
      </c>
      <c r="AP890" s="159">
        <f>ROUND(O890*$AP$888,0)</f>
        <v>7</v>
      </c>
      <c r="AQ890" s="159">
        <f>ROUND(P890*$AQ$888,0)</f>
        <v>20</v>
      </c>
      <c r="AR890" s="159">
        <f>ROUND(Q890*$AR$888,0)</f>
        <v>16</v>
      </c>
      <c r="AS890" s="374">
        <f>SUM(AD890:AR890)</f>
        <v>11654</v>
      </c>
    </row>
    <row r="891" spans="1:45" ht="15.75" customHeight="1" x14ac:dyDescent="0.3">
      <c r="A891" s="365" t="s">
        <v>9</v>
      </c>
      <c r="B891" s="159">
        <f t="shared" ref="B891:B901" si="165">ROUND((B834*$B$888)/1000,0)</f>
        <v>104345</v>
      </c>
      <c r="C891" s="159">
        <f t="shared" si="151"/>
        <v>13284</v>
      </c>
      <c r="D891" s="159">
        <f t="shared" si="152"/>
        <v>13919</v>
      </c>
      <c r="E891" s="159">
        <f t="shared" si="153"/>
        <v>23478</v>
      </c>
      <c r="F891" s="159">
        <f t="shared" ref="F891:F901" si="166">(F834*((T834-1526.8)/0.7702))/1000</f>
        <v>5330.5508958712071</v>
      </c>
      <c r="G891" s="159">
        <f t="shared" si="154"/>
        <v>-40.07174076865109</v>
      </c>
      <c r="H891" s="159">
        <f t="shared" si="155"/>
        <v>5232</v>
      </c>
      <c r="I891" s="159">
        <f t="shared" si="156"/>
        <v>3996</v>
      </c>
      <c r="J891" s="159">
        <f t="shared" si="157"/>
        <v>5682</v>
      </c>
      <c r="K891" s="159">
        <f t="shared" si="158"/>
        <v>5636</v>
      </c>
      <c r="L891" s="159">
        <f t="shared" si="159"/>
        <v>1755</v>
      </c>
      <c r="M891" s="159">
        <f t="shared" si="160"/>
        <v>2068</v>
      </c>
      <c r="N891" s="159">
        <f t="shared" si="161"/>
        <v>4141</v>
      </c>
      <c r="O891" s="159">
        <f t="shared" si="162"/>
        <v>714</v>
      </c>
      <c r="P891" s="159">
        <f t="shared" si="163"/>
        <v>1264</v>
      </c>
      <c r="Q891" s="159">
        <f t="shared" si="164"/>
        <v>1689</v>
      </c>
      <c r="R891" s="379">
        <f t="shared" ref="R891:R901" si="167">(SUM(B891:Q891))</f>
        <v>192493.47915510257</v>
      </c>
      <c r="S891" s="168"/>
      <c r="AC891" s="375" t="s">
        <v>9</v>
      </c>
      <c r="AD891" s="159">
        <f t="shared" ref="AD891:AD901" si="168">ROUND(B891*$AD$888, 0)</f>
        <v>4591</v>
      </c>
      <c r="AE891" s="159">
        <f t="shared" ref="AE891:AE901" si="169">ROUND(C891*$AE$888,0)</f>
        <v>584</v>
      </c>
      <c r="AF891" s="159">
        <f t="shared" ref="AF891:AF901" si="170">ROUND(D891*$AF$888,0)</f>
        <v>612</v>
      </c>
      <c r="AG891" s="159">
        <f t="shared" ref="AG891:AG901" si="171">ROUND(E891*$AG$888,0)</f>
        <v>1033</v>
      </c>
      <c r="AH891" s="159">
        <f t="shared" ref="AH891:AH901" si="172">ROUND(F891*$AH$888,0)</f>
        <v>0</v>
      </c>
      <c r="AI891" s="159">
        <f t="shared" ref="AI891:AI901" si="173">ROUND(H891*$AI$888,0)</f>
        <v>157</v>
      </c>
      <c r="AJ891" s="159">
        <f t="shared" ref="AJ891:AJ901" si="174">ROUND(I891*$AJ$888,0)</f>
        <v>120</v>
      </c>
      <c r="AK891" s="159">
        <f t="shared" ref="AK891:AK901" si="175">ROUND(J891*$AK$888,0)</f>
        <v>170</v>
      </c>
      <c r="AL891" s="159">
        <f t="shared" ref="AL891:AL901" si="176">ROUND(K891*$AL$888,0)</f>
        <v>169</v>
      </c>
      <c r="AM891" s="159">
        <f t="shared" ref="AM891:AM901" si="177">ROUND(L891*$AM$888,0)</f>
        <v>53</v>
      </c>
      <c r="AN891" s="159">
        <f t="shared" ref="AN891:AN901" si="178">ROUND(M891*$AN$888,0)</f>
        <v>62</v>
      </c>
      <c r="AO891" s="159">
        <f t="shared" ref="AO891:AO901" si="179">ROUND(N891*$AO$888,0)</f>
        <v>124</v>
      </c>
      <c r="AP891" s="159">
        <f t="shared" ref="AP891:AP901" si="180">ROUND(O891*$AP$888,0)</f>
        <v>21</v>
      </c>
      <c r="AQ891" s="159">
        <f t="shared" ref="AQ891:AQ901" si="181">ROUND(P891*$AQ$888,0)</f>
        <v>38</v>
      </c>
      <c r="AR891" s="159">
        <f t="shared" ref="AR891:AR901" si="182">ROUND(Q891*$AR$888,0)</f>
        <v>51</v>
      </c>
      <c r="AS891" s="374">
        <f t="shared" ref="AS891:AS901" si="183">SUM(AD891:AR891)</f>
        <v>7785</v>
      </c>
    </row>
    <row r="892" spans="1:45" ht="15.75" customHeight="1" x14ac:dyDescent="0.3">
      <c r="A892" s="365" t="s">
        <v>10</v>
      </c>
      <c r="B892" s="159">
        <f t="shared" si="165"/>
        <v>138536</v>
      </c>
      <c r="C892" s="159">
        <f t="shared" si="151"/>
        <v>17627</v>
      </c>
      <c r="D892" s="159">
        <f t="shared" si="152"/>
        <v>18461</v>
      </c>
      <c r="E892" s="159">
        <f t="shared" si="153"/>
        <v>30690</v>
      </c>
      <c r="F892" s="159">
        <f t="shared" si="166"/>
        <v>2580.4858478317337</v>
      </c>
      <c r="G892" s="159">
        <f t="shared" si="154"/>
        <v>-977.45697061039903</v>
      </c>
      <c r="H892" s="159">
        <f t="shared" si="155"/>
        <v>9483</v>
      </c>
      <c r="I892" s="159">
        <f t="shared" si="156"/>
        <v>5339</v>
      </c>
      <c r="J892" s="159">
        <f t="shared" si="157"/>
        <v>6906</v>
      </c>
      <c r="K892" s="159">
        <f t="shared" si="158"/>
        <v>6173</v>
      </c>
      <c r="L892" s="159">
        <f t="shared" si="159"/>
        <v>2088</v>
      </c>
      <c r="M892" s="159">
        <f t="shared" si="160"/>
        <v>2460</v>
      </c>
      <c r="N892" s="159">
        <f t="shared" si="161"/>
        <v>4814</v>
      </c>
      <c r="O892" s="159">
        <f t="shared" si="162"/>
        <v>803</v>
      </c>
      <c r="P892" s="159">
        <f t="shared" si="163"/>
        <v>1769</v>
      </c>
      <c r="Q892" s="159">
        <f t="shared" si="164"/>
        <v>1876</v>
      </c>
      <c r="R892" s="379">
        <f t="shared" si="167"/>
        <v>248628.02887722134</v>
      </c>
      <c r="S892" s="168"/>
      <c r="AC892" s="375" t="s">
        <v>10</v>
      </c>
      <c r="AD892" s="159">
        <f t="shared" si="168"/>
        <v>6096</v>
      </c>
      <c r="AE892" s="159">
        <f t="shared" si="169"/>
        <v>776</v>
      </c>
      <c r="AF892" s="159">
        <f t="shared" si="170"/>
        <v>812</v>
      </c>
      <c r="AG892" s="159">
        <f t="shared" si="171"/>
        <v>1350</v>
      </c>
      <c r="AH892" s="159">
        <f t="shared" si="172"/>
        <v>0</v>
      </c>
      <c r="AI892" s="159">
        <f t="shared" si="173"/>
        <v>284</v>
      </c>
      <c r="AJ892" s="159">
        <f t="shared" si="174"/>
        <v>160</v>
      </c>
      <c r="AK892" s="159">
        <f t="shared" si="175"/>
        <v>207</v>
      </c>
      <c r="AL892" s="159">
        <f t="shared" si="176"/>
        <v>185</v>
      </c>
      <c r="AM892" s="159">
        <f t="shared" si="177"/>
        <v>63</v>
      </c>
      <c r="AN892" s="159">
        <f t="shared" si="178"/>
        <v>74</v>
      </c>
      <c r="AO892" s="159">
        <f t="shared" si="179"/>
        <v>144</v>
      </c>
      <c r="AP892" s="159">
        <f t="shared" si="180"/>
        <v>24</v>
      </c>
      <c r="AQ892" s="159">
        <f t="shared" si="181"/>
        <v>53</v>
      </c>
      <c r="AR892" s="159">
        <f t="shared" si="182"/>
        <v>56</v>
      </c>
      <c r="AS892" s="374">
        <f t="shared" si="183"/>
        <v>10284</v>
      </c>
    </row>
    <row r="893" spans="1:45" ht="15.75" customHeight="1" x14ac:dyDescent="0.3">
      <c r="A893" s="365" t="s">
        <v>12</v>
      </c>
      <c r="B893" s="159">
        <f t="shared" si="165"/>
        <v>148695</v>
      </c>
      <c r="C893" s="159">
        <f t="shared" si="151"/>
        <v>18911</v>
      </c>
      <c r="D893" s="159">
        <f t="shared" si="152"/>
        <v>19796</v>
      </c>
      <c r="E893" s="159">
        <f t="shared" si="153"/>
        <v>32323</v>
      </c>
      <c r="F893" s="159">
        <f t="shared" si="166"/>
        <v>232.577102601729</v>
      </c>
      <c r="G893" s="159">
        <f t="shared" si="154"/>
        <v>-5445.4378995573925</v>
      </c>
      <c r="H893" s="159">
        <f t="shared" si="155"/>
        <v>13051</v>
      </c>
      <c r="I893" s="159">
        <f t="shared" si="156"/>
        <v>7062</v>
      </c>
      <c r="J893" s="159">
        <f t="shared" si="157"/>
        <v>8518</v>
      </c>
      <c r="K893" s="159">
        <f t="shared" si="158"/>
        <v>7034</v>
      </c>
      <c r="L893" s="159">
        <f t="shared" si="159"/>
        <v>2067</v>
      </c>
      <c r="M893" s="159">
        <f t="shared" si="160"/>
        <v>2434</v>
      </c>
      <c r="N893" s="159">
        <f t="shared" si="161"/>
        <v>4968</v>
      </c>
      <c r="O893" s="159">
        <f t="shared" si="162"/>
        <v>775</v>
      </c>
      <c r="P893" s="159">
        <f t="shared" si="163"/>
        <v>2030</v>
      </c>
      <c r="Q893" s="159">
        <f t="shared" si="164"/>
        <v>1832</v>
      </c>
      <c r="R893" s="379">
        <f t="shared" si="167"/>
        <v>264283.13920304435</v>
      </c>
      <c r="S893" s="168"/>
      <c r="AC893" s="375" t="s">
        <v>12</v>
      </c>
      <c r="AD893" s="159">
        <f t="shared" si="168"/>
        <v>6543</v>
      </c>
      <c r="AE893" s="159">
        <f t="shared" si="169"/>
        <v>832</v>
      </c>
      <c r="AF893" s="159">
        <f t="shared" si="170"/>
        <v>871</v>
      </c>
      <c r="AG893" s="159">
        <f t="shared" si="171"/>
        <v>1422</v>
      </c>
      <c r="AH893" s="159">
        <f t="shared" si="172"/>
        <v>0</v>
      </c>
      <c r="AI893" s="159">
        <f t="shared" si="173"/>
        <v>392</v>
      </c>
      <c r="AJ893" s="159">
        <f t="shared" si="174"/>
        <v>212</v>
      </c>
      <c r="AK893" s="159">
        <f t="shared" si="175"/>
        <v>256</v>
      </c>
      <c r="AL893" s="159">
        <f t="shared" si="176"/>
        <v>211</v>
      </c>
      <c r="AM893" s="159">
        <f t="shared" si="177"/>
        <v>62</v>
      </c>
      <c r="AN893" s="159">
        <f t="shared" si="178"/>
        <v>73</v>
      </c>
      <c r="AO893" s="159">
        <f t="shared" si="179"/>
        <v>149</v>
      </c>
      <c r="AP893" s="159">
        <f t="shared" si="180"/>
        <v>23</v>
      </c>
      <c r="AQ893" s="159">
        <f t="shared" si="181"/>
        <v>61</v>
      </c>
      <c r="AR893" s="159">
        <f t="shared" si="182"/>
        <v>55</v>
      </c>
      <c r="AS893" s="374">
        <f t="shared" si="183"/>
        <v>11162</v>
      </c>
    </row>
    <row r="894" spans="1:45" ht="15.75" customHeight="1" x14ac:dyDescent="0.3">
      <c r="A894" s="365" t="s">
        <v>13</v>
      </c>
      <c r="B894" s="159">
        <f t="shared" si="165"/>
        <v>168855</v>
      </c>
      <c r="C894" s="159">
        <f t="shared" si="151"/>
        <v>21474</v>
      </c>
      <c r="D894" s="159">
        <f t="shared" si="152"/>
        <v>22479</v>
      </c>
      <c r="E894" s="159">
        <f t="shared" si="153"/>
        <v>37153</v>
      </c>
      <c r="F894" s="159">
        <f t="shared" si="166"/>
        <v>8008.4058945728502</v>
      </c>
      <c r="G894" s="159">
        <f t="shared" si="154"/>
        <v>-542.52913338357257</v>
      </c>
      <c r="H894" s="159">
        <f t="shared" si="155"/>
        <v>9840</v>
      </c>
      <c r="I894" s="159">
        <f t="shared" si="156"/>
        <v>4674</v>
      </c>
      <c r="J894" s="159">
        <f t="shared" si="157"/>
        <v>6601</v>
      </c>
      <c r="K894" s="159">
        <f t="shared" si="158"/>
        <v>6157</v>
      </c>
      <c r="L894" s="159">
        <f t="shared" si="159"/>
        <v>2002</v>
      </c>
      <c r="M894" s="159">
        <f t="shared" si="160"/>
        <v>2358</v>
      </c>
      <c r="N894" s="159">
        <f t="shared" si="161"/>
        <v>4658</v>
      </c>
      <c r="O894" s="159">
        <f t="shared" si="162"/>
        <v>660</v>
      </c>
      <c r="P894" s="159">
        <f t="shared" si="163"/>
        <v>2207</v>
      </c>
      <c r="Q894" s="159">
        <f t="shared" si="164"/>
        <v>1560</v>
      </c>
      <c r="R894" s="379">
        <f t="shared" si="167"/>
        <v>298143.87676118931</v>
      </c>
      <c r="S894" s="168"/>
      <c r="AC894" s="375" t="s">
        <v>13</v>
      </c>
      <c r="AD894" s="159">
        <f t="shared" si="168"/>
        <v>7430</v>
      </c>
      <c r="AE894" s="159">
        <f t="shared" si="169"/>
        <v>945</v>
      </c>
      <c r="AF894" s="159">
        <f t="shared" si="170"/>
        <v>989</v>
      </c>
      <c r="AG894" s="159">
        <f t="shared" si="171"/>
        <v>1635</v>
      </c>
      <c r="AH894" s="159">
        <f t="shared" si="172"/>
        <v>0</v>
      </c>
      <c r="AI894" s="159">
        <f t="shared" si="173"/>
        <v>295</v>
      </c>
      <c r="AJ894" s="159">
        <f t="shared" si="174"/>
        <v>140</v>
      </c>
      <c r="AK894" s="159">
        <f t="shared" si="175"/>
        <v>198</v>
      </c>
      <c r="AL894" s="159">
        <f t="shared" si="176"/>
        <v>185</v>
      </c>
      <c r="AM894" s="159">
        <f t="shared" si="177"/>
        <v>60</v>
      </c>
      <c r="AN894" s="159">
        <f t="shared" si="178"/>
        <v>71</v>
      </c>
      <c r="AO894" s="159">
        <f t="shared" si="179"/>
        <v>140</v>
      </c>
      <c r="AP894" s="159">
        <f t="shared" si="180"/>
        <v>20</v>
      </c>
      <c r="AQ894" s="159">
        <f t="shared" si="181"/>
        <v>66</v>
      </c>
      <c r="AR894" s="159">
        <f t="shared" si="182"/>
        <v>47</v>
      </c>
      <c r="AS894" s="374">
        <f t="shared" si="183"/>
        <v>12221</v>
      </c>
    </row>
    <row r="895" spans="1:45" ht="15.75" customHeight="1" x14ac:dyDescent="0.3">
      <c r="A895" s="365" t="s">
        <v>14</v>
      </c>
      <c r="B895" s="159">
        <f t="shared" si="165"/>
        <v>77962</v>
      </c>
      <c r="C895" s="159">
        <f t="shared" si="151"/>
        <v>9888</v>
      </c>
      <c r="D895" s="159">
        <f t="shared" si="152"/>
        <v>10323</v>
      </c>
      <c r="E895" s="159">
        <f t="shared" si="153"/>
        <v>16161</v>
      </c>
      <c r="F895" s="159">
        <f t="shared" si="166"/>
        <v>75.126590495975165</v>
      </c>
      <c r="G895" s="159">
        <f t="shared" si="154"/>
        <v>-11299.225772418997</v>
      </c>
      <c r="H895" s="159">
        <f t="shared" si="155"/>
        <v>11094</v>
      </c>
      <c r="I895" s="159">
        <f t="shared" si="156"/>
        <v>5158</v>
      </c>
      <c r="J895" s="159">
        <f t="shared" si="157"/>
        <v>5942</v>
      </c>
      <c r="K895" s="159">
        <f t="shared" si="158"/>
        <v>5361</v>
      </c>
      <c r="L895" s="159">
        <f t="shared" si="159"/>
        <v>1969</v>
      </c>
      <c r="M895" s="159">
        <f t="shared" si="160"/>
        <v>2318</v>
      </c>
      <c r="N895" s="159">
        <f t="shared" si="161"/>
        <v>4676</v>
      </c>
      <c r="O895" s="159">
        <f t="shared" si="162"/>
        <v>943</v>
      </c>
      <c r="P895" s="159">
        <f t="shared" si="163"/>
        <v>2020</v>
      </c>
      <c r="Q895" s="159">
        <f t="shared" si="164"/>
        <v>2204</v>
      </c>
      <c r="R895" s="379">
        <f>(SUM(B895:Q895))</f>
        <v>144794.90081807697</v>
      </c>
      <c r="S895" s="168"/>
      <c r="AC895" s="375" t="s">
        <v>14</v>
      </c>
      <c r="AD895" s="159">
        <f t="shared" si="168"/>
        <v>3430</v>
      </c>
      <c r="AE895" s="159">
        <f t="shared" si="169"/>
        <v>435</v>
      </c>
      <c r="AF895" s="159">
        <f t="shared" si="170"/>
        <v>454</v>
      </c>
      <c r="AG895" s="159">
        <f t="shared" si="171"/>
        <v>711</v>
      </c>
      <c r="AH895" s="159">
        <f t="shared" si="172"/>
        <v>0</v>
      </c>
      <c r="AI895" s="159">
        <f t="shared" si="173"/>
        <v>333</v>
      </c>
      <c r="AJ895" s="159">
        <f t="shared" si="174"/>
        <v>155</v>
      </c>
      <c r="AK895" s="159">
        <f t="shared" si="175"/>
        <v>178</v>
      </c>
      <c r="AL895" s="159">
        <f t="shared" si="176"/>
        <v>161</v>
      </c>
      <c r="AM895" s="159">
        <f t="shared" si="177"/>
        <v>59</v>
      </c>
      <c r="AN895" s="159">
        <f t="shared" si="178"/>
        <v>70</v>
      </c>
      <c r="AO895" s="159">
        <f t="shared" si="179"/>
        <v>140</v>
      </c>
      <c r="AP895" s="159">
        <f t="shared" si="180"/>
        <v>28</v>
      </c>
      <c r="AQ895" s="159">
        <f t="shared" si="181"/>
        <v>61</v>
      </c>
      <c r="AR895" s="159">
        <f t="shared" si="182"/>
        <v>66</v>
      </c>
      <c r="AS895" s="374">
        <f t="shared" si="183"/>
        <v>6281</v>
      </c>
    </row>
    <row r="896" spans="1:45" ht="15.75" customHeight="1" x14ac:dyDescent="0.3">
      <c r="A896" s="365" t="s">
        <v>16</v>
      </c>
      <c r="B896" s="159">
        <f t="shared" si="165"/>
        <v>69874</v>
      </c>
      <c r="C896" s="159">
        <f t="shared" si="151"/>
        <v>8857</v>
      </c>
      <c r="D896" s="159">
        <f t="shared" si="152"/>
        <v>9242</v>
      </c>
      <c r="E896" s="159">
        <f t="shared" si="153"/>
        <v>14246</v>
      </c>
      <c r="F896" s="159">
        <f t="shared" si="166"/>
        <v>0</v>
      </c>
      <c r="G896" s="159">
        <f t="shared" si="154"/>
        <v>-10640.15687130544</v>
      </c>
      <c r="H896" s="159">
        <f t="shared" si="155"/>
        <v>9840</v>
      </c>
      <c r="I896" s="159">
        <f t="shared" si="156"/>
        <v>6644</v>
      </c>
      <c r="J896" s="159">
        <f t="shared" si="157"/>
        <v>7346</v>
      </c>
      <c r="K896" s="159">
        <f t="shared" si="158"/>
        <v>6225</v>
      </c>
      <c r="L896" s="159">
        <f t="shared" si="159"/>
        <v>1785</v>
      </c>
      <c r="M896" s="159">
        <f t="shared" si="160"/>
        <v>2101</v>
      </c>
      <c r="N896" s="159">
        <f t="shared" si="161"/>
        <v>4082</v>
      </c>
      <c r="O896" s="159">
        <f t="shared" si="162"/>
        <v>708</v>
      </c>
      <c r="P896" s="159">
        <f t="shared" si="163"/>
        <v>1876</v>
      </c>
      <c r="Q896" s="159">
        <f t="shared" si="164"/>
        <v>1674</v>
      </c>
      <c r="R896" s="379">
        <f t="shared" si="167"/>
        <v>133859.84312869457</v>
      </c>
      <c r="S896" s="168"/>
      <c r="AC896" s="375" t="s">
        <v>16</v>
      </c>
      <c r="AD896" s="159">
        <f t="shared" si="168"/>
        <v>3074</v>
      </c>
      <c r="AE896" s="159">
        <f t="shared" si="169"/>
        <v>390</v>
      </c>
      <c r="AF896" s="159">
        <f t="shared" si="170"/>
        <v>407</v>
      </c>
      <c r="AG896" s="159">
        <f t="shared" si="171"/>
        <v>627</v>
      </c>
      <c r="AH896" s="159">
        <f t="shared" si="172"/>
        <v>0</v>
      </c>
      <c r="AI896" s="159">
        <f t="shared" si="173"/>
        <v>295</v>
      </c>
      <c r="AJ896" s="159">
        <f t="shared" si="174"/>
        <v>199</v>
      </c>
      <c r="AK896" s="159">
        <f t="shared" si="175"/>
        <v>220</v>
      </c>
      <c r="AL896" s="159">
        <f t="shared" si="176"/>
        <v>187</v>
      </c>
      <c r="AM896" s="159">
        <f t="shared" si="177"/>
        <v>54</v>
      </c>
      <c r="AN896" s="159">
        <f t="shared" si="178"/>
        <v>63</v>
      </c>
      <c r="AO896" s="159">
        <f t="shared" si="179"/>
        <v>122</v>
      </c>
      <c r="AP896" s="159">
        <f t="shared" si="180"/>
        <v>21</v>
      </c>
      <c r="AQ896" s="159">
        <f t="shared" si="181"/>
        <v>56</v>
      </c>
      <c r="AR896" s="159">
        <f t="shared" si="182"/>
        <v>50</v>
      </c>
      <c r="AS896" s="374">
        <f t="shared" si="183"/>
        <v>5765</v>
      </c>
    </row>
    <row r="897" spans="1:45" ht="15.75" customHeight="1" x14ac:dyDescent="0.3">
      <c r="A897" s="365" t="s">
        <v>17</v>
      </c>
      <c r="B897" s="159">
        <f t="shared" si="165"/>
        <v>67538</v>
      </c>
      <c r="C897" s="159">
        <f t="shared" si="151"/>
        <v>8569</v>
      </c>
      <c r="D897" s="159">
        <f t="shared" si="152"/>
        <v>8950</v>
      </c>
      <c r="E897" s="159">
        <f t="shared" si="153"/>
        <v>13286</v>
      </c>
      <c r="F897" s="159">
        <f t="shared" si="166"/>
        <v>0</v>
      </c>
      <c r="G897" s="159">
        <f t="shared" si="154"/>
        <v>-10249.74223062979</v>
      </c>
      <c r="H897" s="159">
        <f t="shared" si="155"/>
        <v>10054</v>
      </c>
      <c r="I897" s="159">
        <f t="shared" si="156"/>
        <v>5965</v>
      </c>
      <c r="J897" s="159">
        <f t="shared" si="157"/>
        <v>6551</v>
      </c>
      <c r="K897" s="159">
        <f t="shared" si="158"/>
        <v>5424</v>
      </c>
      <c r="L897" s="159">
        <f t="shared" si="159"/>
        <v>1865</v>
      </c>
      <c r="M897" s="159">
        <f t="shared" si="160"/>
        <v>2196</v>
      </c>
      <c r="N897" s="159">
        <f t="shared" si="161"/>
        <v>4141</v>
      </c>
      <c r="O897" s="159">
        <f t="shared" si="162"/>
        <v>805</v>
      </c>
      <c r="P897" s="159">
        <f t="shared" si="163"/>
        <v>1909</v>
      </c>
      <c r="Q897" s="159">
        <f t="shared" si="164"/>
        <v>1904</v>
      </c>
      <c r="R897" s="379">
        <f t="shared" si="167"/>
        <v>128907.2577693702</v>
      </c>
      <c r="S897" s="168"/>
      <c r="AC897" s="375" t="s">
        <v>17</v>
      </c>
      <c r="AD897" s="159">
        <f t="shared" si="168"/>
        <v>2972</v>
      </c>
      <c r="AE897" s="159">
        <f t="shared" si="169"/>
        <v>377</v>
      </c>
      <c r="AF897" s="159">
        <f t="shared" si="170"/>
        <v>394</v>
      </c>
      <c r="AG897" s="159">
        <f t="shared" si="171"/>
        <v>585</v>
      </c>
      <c r="AH897" s="159">
        <f t="shared" si="172"/>
        <v>0</v>
      </c>
      <c r="AI897" s="159">
        <f t="shared" si="173"/>
        <v>302</v>
      </c>
      <c r="AJ897" s="159">
        <f t="shared" si="174"/>
        <v>179</v>
      </c>
      <c r="AK897" s="159">
        <f t="shared" si="175"/>
        <v>197</v>
      </c>
      <c r="AL897" s="159">
        <f t="shared" si="176"/>
        <v>163</v>
      </c>
      <c r="AM897" s="159">
        <f t="shared" si="177"/>
        <v>56</v>
      </c>
      <c r="AN897" s="159">
        <f t="shared" si="178"/>
        <v>66</v>
      </c>
      <c r="AO897" s="159">
        <f t="shared" si="179"/>
        <v>124</v>
      </c>
      <c r="AP897" s="159">
        <f t="shared" si="180"/>
        <v>24</v>
      </c>
      <c r="AQ897" s="159">
        <f t="shared" si="181"/>
        <v>57</v>
      </c>
      <c r="AR897" s="159">
        <f t="shared" si="182"/>
        <v>57</v>
      </c>
      <c r="AS897" s="374">
        <f t="shared" si="183"/>
        <v>5553</v>
      </c>
    </row>
    <row r="898" spans="1:45" ht="15.75" customHeight="1" x14ac:dyDescent="0.3">
      <c r="A898" s="365" t="s">
        <v>18</v>
      </c>
      <c r="B898" s="159">
        <f t="shared" si="165"/>
        <v>157774</v>
      </c>
      <c r="C898" s="159">
        <f t="shared" si="151"/>
        <v>20075</v>
      </c>
      <c r="D898" s="159">
        <f t="shared" si="152"/>
        <v>21023</v>
      </c>
      <c r="E898" s="159">
        <f t="shared" si="153"/>
        <v>34187</v>
      </c>
      <c r="F898" s="159">
        <f t="shared" si="166"/>
        <v>7086.8758244611845</v>
      </c>
      <c r="G898" s="159">
        <f t="shared" si="154"/>
        <v>-206.94963074604362</v>
      </c>
      <c r="H898" s="159">
        <f t="shared" si="155"/>
        <v>7033</v>
      </c>
      <c r="I898" s="159">
        <f t="shared" si="156"/>
        <v>4147</v>
      </c>
      <c r="J898" s="159">
        <f t="shared" si="157"/>
        <v>5176</v>
      </c>
      <c r="K898" s="159">
        <f t="shared" si="158"/>
        <v>4795</v>
      </c>
      <c r="L898" s="159">
        <f t="shared" si="159"/>
        <v>1762</v>
      </c>
      <c r="M898" s="159">
        <f t="shared" si="160"/>
        <v>2075</v>
      </c>
      <c r="N898" s="159">
        <f t="shared" si="161"/>
        <v>3861</v>
      </c>
      <c r="O898" s="159">
        <f t="shared" si="162"/>
        <v>587</v>
      </c>
      <c r="P898" s="159">
        <f t="shared" si="163"/>
        <v>1670</v>
      </c>
      <c r="Q898" s="159">
        <f t="shared" si="164"/>
        <v>1389</v>
      </c>
      <c r="R898" s="379">
        <f t="shared" si="167"/>
        <v>272433.92619371519</v>
      </c>
      <c r="S898" s="168"/>
      <c r="AC898" s="375" t="s">
        <v>18</v>
      </c>
      <c r="AD898" s="159">
        <f t="shared" si="168"/>
        <v>6942</v>
      </c>
      <c r="AE898" s="159">
        <f t="shared" si="169"/>
        <v>883</v>
      </c>
      <c r="AF898" s="159">
        <f t="shared" si="170"/>
        <v>925</v>
      </c>
      <c r="AG898" s="159">
        <f t="shared" si="171"/>
        <v>1504</v>
      </c>
      <c r="AH898" s="159">
        <f t="shared" si="172"/>
        <v>0</v>
      </c>
      <c r="AI898" s="159">
        <f t="shared" si="173"/>
        <v>211</v>
      </c>
      <c r="AJ898" s="159">
        <f t="shared" si="174"/>
        <v>124</v>
      </c>
      <c r="AK898" s="159">
        <f t="shared" si="175"/>
        <v>155</v>
      </c>
      <c r="AL898" s="159">
        <f t="shared" si="176"/>
        <v>144</v>
      </c>
      <c r="AM898" s="159">
        <f t="shared" si="177"/>
        <v>53</v>
      </c>
      <c r="AN898" s="159">
        <f t="shared" si="178"/>
        <v>62</v>
      </c>
      <c r="AO898" s="159">
        <f t="shared" si="179"/>
        <v>116</v>
      </c>
      <c r="AP898" s="159">
        <f t="shared" si="180"/>
        <v>18</v>
      </c>
      <c r="AQ898" s="159">
        <f t="shared" si="181"/>
        <v>50</v>
      </c>
      <c r="AR898" s="159">
        <f t="shared" si="182"/>
        <v>42</v>
      </c>
      <c r="AS898" s="374">
        <f t="shared" si="183"/>
        <v>11229</v>
      </c>
    </row>
    <row r="899" spans="1:45" ht="15.75" customHeight="1" x14ac:dyDescent="0.3">
      <c r="A899" s="365" t="s">
        <v>20</v>
      </c>
      <c r="B899" s="159">
        <f t="shared" si="165"/>
        <v>112828</v>
      </c>
      <c r="C899" s="159">
        <f t="shared" si="151"/>
        <v>14349</v>
      </c>
      <c r="D899" s="159">
        <f t="shared" si="152"/>
        <v>15020</v>
      </c>
      <c r="E899" s="159">
        <f t="shared" si="153"/>
        <v>24883</v>
      </c>
      <c r="F899" s="159">
        <f t="shared" si="166"/>
        <v>5014.3648013502907</v>
      </c>
      <c r="G899" s="159">
        <f t="shared" si="154"/>
        <v>-1144.8847324792714</v>
      </c>
      <c r="H899" s="159">
        <f t="shared" si="155"/>
        <v>5594</v>
      </c>
      <c r="I899" s="159">
        <f t="shared" si="156"/>
        <v>2723</v>
      </c>
      <c r="J899" s="159">
        <f t="shared" si="157"/>
        <v>3746</v>
      </c>
      <c r="K899" s="159">
        <f t="shared" si="158"/>
        <v>3339</v>
      </c>
      <c r="L899" s="159">
        <f t="shared" si="159"/>
        <v>1238</v>
      </c>
      <c r="M899" s="159">
        <f t="shared" si="160"/>
        <v>1457</v>
      </c>
      <c r="N899" s="159">
        <f t="shared" si="161"/>
        <v>2830</v>
      </c>
      <c r="O899" s="159">
        <f t="shared" si="162"/>
        <v>616</v>
      </c>
      <c r="P899" s="159">
        <f t="shared" si="163"/>
        <v>1524</v>
      </c>
      <c r="Q899" s="159">
        <f t="shared" si="164"/>
        <v>1447</v>
      </c>
      <c r="R899" s="379">
        <f t="shared" si="167"/>
        <v>195463.48006887102</v>
      </c>
      <c r="S899" s="168"/>
      <c r="AC899" s="375" t="s">
        <v>20</v>
      </c>
      <c r="AD899" s="159">
        <f t="shared" si="168"/>
        <v>4964</v>
      </c>
      <c r="AE899" s="159">
        <f t="shared" si="169"/>
        <v>631</v>
      </c>
      <c r="AF899" s="159">
        <f t="shared" si="170"/>
        <v>661</v>
      </c>
      <c r="AG899" s="159">
        <f t="shared" si="171"/>
        <v>1095</v>
      </c>
      <c r="AH899" s="159">
        <f t="shared" si="172"/>
        <v>0</v>
      </c>
      <c r="AI899" s="159">
        <f t="shared" si="173"/>
        <v>168</v>
      </c>
      <c r="AJ899" s="159">
        <f t="shared" si="174"/>
        <v>82</v>
      </c>
      <c r="AK899" s="159">
        <f t="shared" si="175"/>
        <v>112</v>
      </c>
      <c r="AL899" s="159">
        <f t="shared" si="176"/>
        <v>100</v>
      </c>
      <c r="AM899" s="159">
        <f t="shared" si="177"/>
        <v>37</v>
      </c>
      <c r="AN899" s="159">
        <f t="shared" si="178"/>
        <v>44</v>
      </c>
      <c r="AO899" s="159">
        <f t="shared" si="179"/>
        <v>85</v>
      </c>
      <c r="AP899" s="159">
        <f t="shared" si="180"/>
        <v>18</v>
      </c>
      <c r="AQ899" s="159">
        <f t="shared" si="181"/>
        <v>46</v>
      </c>
      <c r="AR899" s="159">
        <f t="shared" si="182"/>
        <v>43</v>
      </c>
      <c r="AS899" s="374">
        <f t="shared" si="183"/>
        <v>8086</v>
      </c>
    </row>
    <row r="900" spans="1:45" ht="15.75" customHeight="1" x14ac:dyDescent="0.3">
      <c r="A900" s="365" t="s">
        <v>21</v>
      </c>
      <c r="B900" s="159">
        <f t="shared" si="165"/>
        <v>111991</v>
      </c>
      <c r="C900" s="159">
        <f t="shared" si="151"/>
        <v>14248</v>
      </c>
      <c r="D900" s="159">
        <f t="shared" si="152"/>
        <v>14920</v>
      </c>
      <c r="E900" s="159">
        <f t="shared" si="153"/>
        <v>24692</v>
      </c>
      <c r="F900" s="159">
        <f t="shared" si="166"/>
        <v>9242.0703193975587</v>
      </c>
      <c r="G900" s="159">
        <f t="shared" si="154"/>
        <v>0</v>
      </c>
      <c r="H900" s="159">
        <f t="shared" si="155"/>
        <v>3189</v>
      </c>
      <c r="I900" s="159">
        <f t="shared" si="156"/>
        <v>1316</v>
      </c>
      <c r="J900" s="159">
        <f t="shared" si="157"/>
        <v>1972</v>
      </c>
      <c r="K900" s="159">
        <f t="shared" si="158"/>
        <v>1895</v>
      </c>
      <c r="L900" s="159">
        <f t="shared" si="159"/>
        <v>690</v>
      </c>
      <c r="M900" s="159">
        <f t="shared" si="160"/>
        <v>812</v>
      </c>
      <c r="N900" s="159">
        <f t="shared" si="161"/>
        <v>1637</v>
      </c>
      <c r="O900" s="159">
        <f t="shared" si="162"/>
        <v>80</v>
      </c>
      <c r="P900" s="159">
        <f t="shared" si="163"/>
        <v>1304</v>
      </c>
      <c r="Q900" s="159">
        <f t="shared" si="164"/>
        <v>189</v>
      </c>
      <c r="R900" s="379">
        <f t="shared" si="167"/>
        <v>188177.07031939755</v>
      </c>
      <c r="S900" s="168"/>
      <c r="AC900" s="375" t="s">
        <v>21</v>
      </c>
      <c r="AD900" s="159">
        <f t="shared" si="168"/>
        <v>4928</v>
      </c>
      <c r="AE900" s="159">
        <f t="shared" si="169"/>
        <v>627</v>
      </c>
      <c r="AF900" s="159">
        <f t="shared" si="170"/>
        <v>656</v>
      </c>
      <c r="AG900" s="159">
        <f t="shared" si="171"/>
        <v>1086</v>
      </c>
      <c r="AH900" s="159">
        <f t="shared" si="172"/>
        <v>0</v>
      </c>
      <c r="AI900" s="159">
        <f t="shared" si="173"/>
        <v>96</v>
      </c>
      <c r="AJ900" s="159">
        <f t="shared" si="174"/>
        <v>39</v>
      </c>
      <c r="AK900" s="159">
        <f t="shared" si="175"/>
        <v>59</v>
      </c>
      <c r="AL900" s="159">
        <f t="shared" si="176"/>
        <v>57</v>
      </c>
      <c r="AM900" s="159">
        <f t="shared" si="177"/>
        <v>21</v>
      </c>
      <c r="AN900" s="159">
        <f t="shared" si="178"/>
        <v>24</v>
      </c>
      <c r="AO900" s="159">
        <f t="shared" si="179"/>
        <v>49</v>
      </c>
      <c r="AP900" s="159">
        <f t="shared" si="180"/>
        <v>2</v>
      </c>
      <c r="AQ900" s="159">
        <f t="shared" si="181"/>
        <v>39</v>
      </c>
      <c r="AR900" s="159">
        <f t="shared" si="182"/>
        <v>6</v>
      </c>
      <c r="AS900" s="374">
        <f t="shared" si="183"/>
        <v>7689</v>
      </c>
    </row>
    <row r="901" spans="1:45" ht="15.75" customHeight="1" x14ac:dyDescent="0.3">
      <c r="A901" s="365" t="s">
        <v>22</v>
      </c>
      <c r="B901" s="159">
        <f t="shared" si="165"/>
        <v>122786</v>
      </c>
      <c r="C901" s="159">
        <f t="shared" si="151"/>
        <v>15630</v>
      </c>
      <c r="D901" s="159">
        <f t="shared" si="152"/>
        <v>16376</v>
      </c>
      <c r="E901" s="159">
        <f t="shared" si="153"/>
        <v>26943</v>
      </c>
      <c r="F901" s="159">
        <f t="shared" si="166"/>
        <v>9212.7470634540477</v>
      </c>
      <c r="G901" s="159">
        <f t="shared" si="154"/>
        <v>0</v>
      </c>
      <c r="H901" s="159">
        <f t="shared" si="155"/>
        <v>4449</v>
      </c>
      <c r="I901" s="159">
        <f t="shared" si="156"/>
        <v>2874</v>
      </c>
      <c r="J901" s="159">
        <f t="shared" si="157"/>
        <v>4326</v>
      </c>
      <c r="K901" s="159">
        <f t="shared" si="158"/>
        <v>4320</v>
      </c>
      <c r="L901" s="159">
        <f t="shared" si="159"/>
        <v>1227</v>
      </c>
      <c r="M901" s="159">
        <f t="shared" si="160"/>
        <v>1445</v>
      </c>
      <c r="N901" s="159">
        <f t="shared" si="161"/>
        <v>2836</v>
      </c>
      <c r="O901" s="159">
        <f t="shared" si="162"/>
        <v>216</v>
      </c>
      <c r="P901" s="159">
        <f t="shared" si="163"/>
        <v>1383</v>
      </c>
      <c r="Q901" s="159">
        <f t="shared" si="164"/>
        <v>511</v>
      </c>
      <c r="R901" s="379">
        <f t="shared" si="167"/>
        <v>214534.74706345404</v>
      </c>
      <c r="S901" s="168"/>
      <c r="AC901" s="375" t="s">
        <v>22</v>
      </c>
      <c r="AD901" s="159">
        <f t="shared" si="168"/>
        <v>5403</v>
      </c>
      <c r="AE901" s="159">
        <f t="shared" si="169"/>
        <v>688</v>
      </c>
      <c r="AF901" s="159">
        <f t="shared" si="170"/>
        <v>721</v>
      </c>
      <c r="AG901" s="159">
        <f t="shared" si="171"/>
        <v>1185</v>
      </c>
      <c r="AH901" s="159">
        <f t="shared" si="172"/>
        <v>0</v>
      </c>
      <c r="AI901" s="159">
        <f t="shared" si="173"/>
        <v>133</v>
      </c>
      <c r="AJ901" s="159">
        <f t="shared" si="174"/>
        <v>86</v>
      </c>
      <c r="AK901" s="159">
        <f t="shared" si="175"/>
        <v>130</v>
      </c>
      <c r="AL901" s="159">
        <f t="shared" si="176"/>
        <v>130</v>
      </c>
      <c r="AM901" s="159">
        <f t="shared" si="177"/>
        <v>37</v>
      </c>
      <c r="AN901" s="159">
        <f t="shared" si="178"/>
        <v>43</v>
      </c>
      <c r="AO901" s="159">
        <f t="shared" si="179"/>
        <v>85</v>
      </c>
      <c r="AP901" s="159">
        <f t="shared" si="180"/>
        <v>6</v>
      </c>
      <c r="AQ901" s="159">
        <f t="shared" si="181"/>
        <v>41</v>
      </c>
      <c r="AR901" s="159">
        <f t="shared" si="182"/>
        <v>15</v>
      </c>
      <c r="AS901" s="374">
        <f t="shared" si="183"/>
        <v>8703</v>
      </c>
    </row>
    <row r="902" spans="1:45" ht="15.75" customHeight="1" x14ac:dyDescent="0.3">
      <c r="A902" s="325"/>
      <c r="B902" s="159"/>
      <c r="C902" s="159"/>
      <c r="D902" s="159"/>
      <c r="E902" s="159"/>
      <c r="F902" s="159"/>
      <c r="G902" s="159"/>
      <c r="H902" s="159"/>
      <c r="I902" s="159"/>
      <c r="J902" s="159"/>
      <c r="K902" s="159"/>
      <c r="L902" s="159"/>
      <c r="M902" s="159"/>
      <c r="N902" s="159"/>
      <c r="O902" s="159"/>
      <c r="P902" s="159"/>
      <c r="Q902" s="159"/>
      <c r="R902" s="374"/>
      <c r="S902" s="168"/>
      <c r="AC902" s="306"/>
      <c r="AD902" s="159"/>
      <c r="AE902" s="159"/>
      <c r="AF902" s="159"/>
      <c r="AG902" s="159"/>
      <c r="AH902" s="159"/>
      <c r="AI902" s="159"/>
      <c r="AJ902" s="159"/>
      <c r="AK902" s="159"/>
      <c r="AL902" s="159"/>
      <c r="AM902" s="159"/>
      <c r="AN902" s="159"/>
      <c r="AO902" s="159"/>
      <c r="AP902" s="159"/>
      <c r="AQ902" s="159"/>
      <c r="AR902" s="159"/>
      <c r="AS902" s="374"/>
    </row>
    <row r="903" spans="1:45" ht="15.75" customHeight="1" thickBot="1" x14ac:dyDescent="0.35">
      <c r="A903" s="325" t="s">
        <v>422</v>
      </c>
      <c r="B903" s="159">
        <f>SUM(B890:B901)</f>
        <v>1448795</v>
      </c>
      <c r="C903" s="159">
        <f t="shared" ref="C903:R903" si="184">SUM(C890:C901)</f>
        <v>184267</v>
      </c>
      <c r="D903" s="159">
        <f t="shared" si="184"/>
        <v>192902</v>
      </c>
      <c r="E903" s="159">
        <f t="shared" si="184"/>
        <v>316108</v>
      </c>
      <c r="F903" s="159">
        <f t="shared" si="184"/>
        <v>71323.938184281506</v>
      </c>
      <c r="G903" s="159">
        <f t="shared" si="184"/>
        <v>-40546.454981899558</v>
      </c>
      <c r="H903" s="159">
        <f t="shared" si="184"/>
        <v>92683</v>
      </c>
      <c r="I903" s="159">
        <f t="shared" si="184"/>
        <v>52624</v>
      </c>
      <c r="J903" s="159">
        <f t="shared" si="184"/>
        <v>66768</v>
      </c>
      <c r="K903" s="159">
        <f t="shared" si="184"/>
        <v>60276</v>
      </c>
      <c r="L903" s="159">
        <f t="shared" si="184"/>
        <v>19888</v>
      </c>
      <c r="M903" s="159">
        <f t="shared" si="184"/>
        <v>23421</v>
      </c>
      <c r="N903" s="159">
        <f t="shared" si="184"/>
        <v>46209</v>
      </c>
      <c r="O903" s="159">
        <f t="shared" si="184"/>
        <v>7129</v>
      </c>
      <c r="P903" s="159">
        <f t="shared" si="184"/>
        <v>19624</v>
      </c>
      <c r="Q903" s="159">
        <f t="shared" si="184"/>
        <v>16799</v>
      </c>
      <c r="R903" s="381">
        <f t="shared" si="184"/>
        <v>2578270.483202382</v>
      </c>
      <c r="S903" s="168"/>
      <c r="AC903" s="382" t="s">
        <v>422</v>
      </c>
      <c r="AD903" s="327">
        <f>SUM(AD890:AD901)</f>
        <v>63748</v>
      </c>
      <c r="AE903" s="327">
        <f t="shared" ref="AE903:AS903" si="185">SUM(AE890:AE901)</f>
        <v>8108</v>
      </c>
      <c r="AF903" s="327">
        <f t="shared" si="185"/>
        <v>8487</v>
      </c>
      <c r="AG903" s="327">
        <f t="shared" si="185"/>
        <v>13908</v>
      </c>
      <c r="AH903" s="327">
        <f t="shared" si="185"/>
        <v>0</v>
      </c>
      <c r="AI903" s="327">
        <f t="shared" si="185"/>
        <v>2781</v>
      </c>
      <c r="AJ903" s="327">
        <f t="shared" si="185"/>
        <v>1578</v>
      </c>
      <c r="AK903" s="327">
        <f t="shared" si="185"/>
        <v>2002</v>
      </c>
      <c r="AL903" s="327">
        <f t="shared" si="185"/>
        <v>1810</v>
      </c>
      <c r="AM903" s="327">
        <f t="shared" si="185"/>
        <v>598</v>
      </c>
      <c r="AN903" s="327">
        <f t="shared" si="185"/>
        <v>703</v>
      </c>
      <c r="AO903" s="327">
        <f t="shared" si="185"/>
        <v>1385</v>
      </c>
      <c r="AP903" s="327">
        <f t="shared" si="185"/>
        <v>212</v>
      </c>
      <c r="AQ903" s="327">
        <f t="shared" si="185"/>
        <v>588</v>
      </c>
      <c r="AR903" s="327">
        <f t="shared" si="185"/>
        <v>504</v>
      </c>
      <c r="AS903" s="383">
        <f t="shared" si="185"/>
        <v>106412</v>
      </c>
    </row>
    <row r="904" spans="1:45" ht="16.5" customHeight="1" thickBot="1" x14ac:dyDescent="0.35">
      <c r="A904" s="330" t="s">
        <v>7</v>
      </c>
      <c r="B904" s="327"/>
      <c r="C904" s="327"/>
      <c r="D904" s="327"/>
      <c r="E904" s="327"/>
      <c r="F904" s="327"/>
      <c r="G904" s="327"/>
      <c r="H904" s="327"/>
      <c r="I904" s="327"/>
      <c r="J904" s="327"/>
      <c r="K904" s="327"/>
      <c r="L904" s="327"/>
      <c r="M904" s="327"/>
      <c r="N904" s="327"/>
      <c r="O904" s="327"/>
      <c r="P904" s="327"/>
      <c r="Q904" s="327"/>
      <c r="R904" s="383"/>
      <c r="S904" s="159"/>
    </row>
    <row r="905" spans="1:45" ht="15.75" customHeight="1" x14ac:dyDescent="0.3">
      <c r="A905" s="159"/>
      <c r="B905" s="159"/>
      <c r="C905" s="159"/>
      <c r="D905" s="159"/>
      <c r="E905" s="159"/>
      <c r="F905" s="159"/>
      <c r="G905" s="159"/>
      <c r="H905" s="159"/>
      <c r="I905" s="159"/>
      <c r="J905" s="159"/>
      <c r="K905" s="159"/>
      <c r="L905" s="159"/>
      <c r="M905" s="159"/>
      <c r="N905" s="159"/>
      <c r="O905" s="159"/>
      <c r="P905" s="159"/>
      <c r="Q905" s="159"/>
      <c r="R905" s="159"/>
    </row>
    <row r="906" spans="1:45" ht="15.75" customHeight="1" x14ac:dyDescent="0.3"/>
    <row r="907" spans="1:45" ht="15.75" customHeight="1" thickBot="1" x14ac:dyDescent="0.35"/>
    <row r="908" spans="1:45" ht="15.75" customHeight="1" thickBot="1" x14ac:dyDescent="0.35">
      <c r="B908" s="519" t="s">
        <v>1038</v>
      </c>
      <c r="C908" s="506"/>
      <c r="D908" s="506"/>
      <c r="E908" s="506"/>
      <c r="F908" s="506"/>
      <c r="G908" s="506"/>
      <c r="H908" s="506"/>
      <c r="I908" s="506"/>
      <c r="J908" s="506"/>
      <c r="K908" s="506"/>
      <c r="L908" s="506"/>
      <c r="M908" s="506"/>
      <c r="N908" s="506"/>
      <c r="O908" s="506"/>
      <c r="P908" s="506"/>
      <c r="Q908" s="361" t="str">
        <f>+Q1</f>
        <v xml:space="preserve">PRINTED:  </v>
      </c>
      <c r="R908" s="367">
        <f ca="1">+R1</f>
        <v>44909.46975358796</v>
      </c>
      <c r="S908" s="450"/>
    </row>
    <row r="909" spans="1:45" ht="15.75" customHeight="1" x14ac:dyDescent="0.3">
      <c r="B909" s="520">
        <f>+A5</f>
        <v>2015</v>
      </c>
      <c r="C909" s="509"/>
      <c r="D909" s="509"/>
      <c r="E909" s="509"/>
      <c r="F909" s="509"/>
      <c r="G909" s="509"/>
      <c r="H909" s="509"/>
      <c r="I909" s="509"/>
      <c r="J909" s="509"/>
      <c r="K909" s="509"/>
      <c r="L909" s="509"/>
      <c r="M909" s="509"/>
      <c r="N909" s="509"/>
      <c r="O909" s="509"/>
      <c r="P909" s="509"/>
      <c r="Q909" s="159"/>
      <c r="R909" s="159"/>
      <c r="S909" s="324"/>
      <c r="AC909" s="370"/>
      <c r="AD909" s="506" t="s">
        <v>1039</v>
      </c>
      <c r="AE909" s="517"/>
      <c r="AF909" s="517"/>
      <c r="AG909" s="517"/>
      <c r="AH909" s="517"/>
      <c r="AI909" s="517"/>
      <c r="AJ909" s="517"/>
      <c r="AK909" s="517"/>
      <c r="AL909" s="517"/>
      <c r="AM909" s="517"/>
      <c r="AN909" s="517"/>
      <c r="AO909" s="517"/>
      <c r="AP909" s="517"/>
      <c r="AQ909" s="517"/>
      <c r="AR909" s="361" t="str">
        <f>$Q$1</f>
        <v xml:space="preserve">PRINTED:  </v>
      </c>
      <c r="AS909" s="371">
        <f ca="1">$R$1</f>
        <v>44909.46975358796</v>
      </c>
    </row>
    <row r="910" spans="1:45" ht="15.75" customHeight="1" x14ac:dyDescent="0.3">
      <c r="B910" s="518" t="str">
        <f>+A8</f>
        <v>Revised:  5/2/2016</v>
      </c>
      <c r="C910" s="503"/>
      <c r="D910" s="503"/>
      <c r="E910" s="503"/>
      <c r="F910" s="503"/>
      <c r="G910" s="503"/>
      <c r="H910" s="503"/>
      <c r="I910" s="503"/>
      <c r="J910" s="503"/>
      <c r="K910" s="503"/>
      <c r="L910" s="503"/>
      <c r="M910" s="503"/>
      <c r="N910" s="503"/>
      <c r="O910" s="503"/>
      <c r="P910" s="503"/>
      <c r="Q910" s="159"/>
      <c r="R910" s="159"/>
      <c r="S910" s="324"/>
      <c r="AC910" s="306"/>
      <c r="AD910" s="503" t="str">
        <f>+$A$8</f>
        <v>Revised:  5/2/2016</v>
      </c>
      <c r="AE910" s="516"/>
      <c r="AF910" s="516"/>
      <c r="AG910" s="516"/>
      <c r="AH910" s="516"/>
      <c r="AI910" s="516"/>
      <c r="AJ910" s="516"/>
      <c r="AK910" s="516"/>
      <c r="AL910" s="516"/>
      <c r="AM910" s="516"/>
      <c r="AN910" s="516"/>
      <c r="AO910" s="516"/>
      <c r="AP910" s="516"/>
      <c r="AQ910" s="516"/>
      <c r="AR910" s="365"/>
      <c r="AS910" s="307"/>
    </row>
    <row r="911" spans="1:45" ht="15.75" customHeight="1" thickBot="1" x14ac:dyDescent="0.35">
      <c r="B911" s="521" t="s">
        <v>1040</v>
      </c>
      <c r="C911" s="522"/>
      <c r="D911" s="522"/>
      <c r="E911" s="522"/>
      <c r="F911" s="522"/>
      <c r="G911" s="522"/>
      <c r="H911" s="522"/>
      <c r="I911" s="522"/>
      <c r="J911" s="522"/>
      <c r="K911" s="522"/>
      <c r="L911" s="522"/>
      <c r="M911" s="522"/>
      <c r="N911" s="522"/>
      <c r="O911" s="522"/>
      <c r="P911" s="522"/>
      <c r="Q911" s="159"/>
      <c r="R911" s="159"/>
      <c r="S911" s="324"/>
      <c r="AC911" s="306"/>
      <c r="AD911" s="503" t="s">
        <v>1024</v>
      </c>
      <c r="AE911" s="508"/>
      <c r="AF911" s="508"/>
      <c r="AG911" s="508"/>
      <c r="AH911" s="508"/>
      <c r="AI911" s="508"/>
      <c r="AJ911" s="508"/>
      <c r="AK911" s="508"/>
      <c r="AL911" s="508"/>
      <c r="AM911" s="508"/>
      <c r="AN911" s="508"/>
      <c r="AO911" s="508"/>
      <c r="AP911" s="508"/>
      <c r="AQ911" s="508"/>
      <c r="AS911" s="307"/>
    </row>
    <row r="912" spans="1:45" ht="15.75" customHeight="1" thickBot="1" x14ac:dyDescent="0.35">
      <c r="A912" s="384"/>
      <c r="B912" s="523" t="s">
        <v>1041</v>
      </c>
      <c r="C912" s="524"/>
      <c r="D912" s="524"/>
      <c r="E912" s="524"/>
      <c r="F912" s="525"/>
      <c r="G912" s="523" t="s">
        <v>1042</v>
      </c>
      <c r="H912" s="524"/>
      <c r="I912" s="524"/>
      <c r="J912" s="524"/>
      <c r="K912" s="524"/>
      <c r="L912" s="524"/>
      <c r="M912" s="526" t="s">
        <v>1043</v>
      </c>
      <c r="N912" s="536"/>
      <c r="O912" s="553"/>
      <c r="P912" s="524" t="s">
        <v>1044</v>
      </c>
      <c r="Q912" s="524"/>
      <c r="R912" s="525"/>
      <c r="S912" s="324"/>
      <c r="AC912" s="306"/>
      <c r="AS912" s="307"/>
    </row>
    <row r="913" spans="1:45" ht="15.75" customHeight="1" x14ac:dyDescent="0.3">
      <c r="A913" s="384"/>
      <c r="B913" s="325" t="s">
        <v>428</v>
      </c>
      <c r="C913" s="164"/>
      <c r="D913" s="164" t="s">
        <v>469</v>
      </c>
      <c r="E913" s="164" t="s">
        <v>470</v>
      </c>
      <c r="F913" s="333" t="s">
        <v>1045</v>
      </c>
      <c r="G913" s="325" t="s">
        <v>471</v>
      </c>
      <c r="H913" s="164"/>
      <c r="I913" s="164"/>
      <c r="J913" s="164" t="s">
        <v>472</v>
      </c>
      <c r="K913" s="164" t="s">
        <v>1046</v>
      </c>
      <c r="L913" s="164" t="s">
        <v>1047</v>
      </c>
      <c r="M913" s="537" t="s">
        <v>1133</v>
      </c>
      <c r="N913" s="538"/>
      <c r="O913" s="554"/>
      <c r="P913" s="164" t="s">
        <v>1049</v>
      </c>
      <c r="Q913" s="388" t="s">
        <v>486</v>
      </c>
      <c r="R913" s="389" t="s">
        <v>1050</v>
      </c>
      <c r="S913" s="324"/>
      <c r="AC913" s="306"/>
      <c r="AD913" s="509">
        <f>$A$5</f>
        <v>2015</v>
      </c>
      <c r="AE913" s="508"/>
      <c r="AF913" s="508"/>
      <c r="AG913" s="508"/>
      <c r="AH913" s="508"/>
      <c r="AI913" s="508"/>
      <c r="AJ913" s="508"/>
      <c r="AK913" s="508"/>
      <c r="AL913" s="508"/>
      <c r="AM913" s="508"/>
      <c r="AN913" s="508"/>
      <c r="AO913" s="508"/>
      <c r="AP913" s="508"/>
      <c r="AQ913" s="508"/>
      <c r="AS913" s="307"/>
    </row>
    <row r="914" spans="1:45" ht="15.75" customHeight="1" x14ac:dyDescent="0.3">
      <c r="A914" s="384"/>
      <c r="B914" s="390" t="s">
        <v>1051</v>
      </c>
      <c r="C914" s="391" t="s">
        <v>1052</v>
      </c>
      <c r="D914" s="391" t="s">
        <v>1053</v>
      </c>
      <c r="E914" s="164" t="s">
        <v>442</v>
      </c>
      <c r="F914" s="392" t="s">
        <v>1054</v>
      </c>
      <c r="G914" s="325" t="s">
        <v>429</v>
      </c>
      <c r="H914" s="164" t="s">
        <v>478</v>
      </c>
      <c r="I914" s="164" t="s">
        <v>479</v>
      </c>
      <c r="J914" s="391" t="s">
        <v>1055</v>
      </c>
      <c r="K914" s="164" t="s">
        <v>1034</v>
      </c>
      <c r="L914" s="391" t="s">
        <v>1056</v>
      </c>
      <c r="M914" s="393" t="s">
        <v>1057</v>
      </c>
      <c r="N914" s="385" t="s">
        <v>1058</v>
      </c>
      <c r="O914" s="394" t="s">
        <v>422</v>
      </c>
      <c r="P914" s="164" t="s">
        <v>1061</v>
      </c>
      <c r="Q914" s="164" t="s">
        <v>1062</v>
      </c>
      <c r="R914" s="333" t="s">
        <v>1063</v>
      </c>
      <c r="S914" s="324"/>
      <c r="AC914" s="306"/>
      <c r="AD914" s="503" t="s">
        <v>1029</v>
      </c>
      <c r="AE914" s="516"/>
      <c r="AF914" s="516"/>
      <c r="AG914" s="516"/>
      <c r="AH914" s="516"/>
      <c r="AI914" s="516"/>
      <c r="AJ914" s="516"/>
      <c r="AK914" s="516"/>
      <c r="AL914" s="516"/>
      <c r="AM914" s="516"/>
      <c r="AN914" s="516"/>
      <c r="AO914" s="516"/>
      <c r="AP914" s="516"/>
      <c r="AQ914" s="516"/>
      <c r="AR914" s="164"/>
      <c r="AS914" s="307"/>
    </row>
    <row r="915" spans="1:45" ht="15.75" customHeight="1" x14ac:dyDescent="0.3">
      <c r="A915" s="384"/>
      <c r="B915" s="395" t="s">
        <v>1064</v>
      </c>
      <c r="C915" s="169">
        <v>0</v>
      </c>
      <c r="D915" s="169"/>
      <c r="E915" s="164" t="s">
        <v>485</v>
      </c>
      <c r="F915" s="396" t="s">
        <v>1065</v>
      </c>
      <c r="G915" s="325" t="s">
        <v>1066</v>
      </c>
      <c r="H915" s="164" t="s">
        <v>442</v>
      </c>
      <c r="I915" s="164" t="s">
        <v>442</v>
      </c>
      <c r="J915" s="164" t="s">
        <v>442</v>
      </c>
      <c r="K915" s="164" t="s">
        <v>486</v>
      </c>
      <c r="L915" s="164" t="s">
        <v>1067</v>
      </c>
      <c r="M915" s="397" t="s">
        <v>434</v>
      </c>
      <c r="N915" s="386" t="s">
        <v>1068</v>
      </c>
      <c r="O915" s="394" t="s">
        <v>1069</v>
      </c>
      <c r="P915" s="164" t="s">
        <v>442</v>
      </c>
      <c r="Q915" s="164" t="s">
        <v>442</v>
      </c>
      <c r="R915" s="333" t="s">
        <v>442</v>
      </c>
      <c r="S915" s="324"/>
      <c r="AC915" s="306"/>
      <c r="AK915" s="372"/>
      <c r="AS915" s="307"/>
    </row>
    <row r="916" spans="1:45" ht="15.75" customHeight="1" thickBot="1" x14ac:dyDescent="0.35">
      <c r="A916" s="377" t="s">
        <v>1071</v>
      </c>
      <c r="B916" s="325" t="s">
        <v>491</v>
      </c>
      <c r="C916" s="164" t="s">
        <v>491</v>
      </c>
      <c r="D916" s="164" t="s">
        <v>491</v>
      </c>
      <c r="E916" s="164" t="s">
        <v>491</v>
      </c>
      <c r="F916" s="333" t="s">
        <v>491</v>
      </c>
      <c r="G916" s="325" t="s">
        <v>491</v>
      </c>
      <c r="H916" s="164" t="s">
        <v>491</v>
      </c>
      <c r="I916" s="164" t="s">
        <v>491</v>
      </c>
      <c r="J916" s="164" t="s">
        <v>491</v>
      </c>
      <c r="K916" s="164" t="s">
        <v>491</v>
      </c>
      <c r="L916" s="164" t="s">
        <v>491</v>
      </c>
      <c r="M916" s="397" t="s">
        <v>491</v>
      </c>
      <c r="N916" s="386" t="s">
        <v>491</v>
      </c>
      <c r="O916" s="394" t="s">
        <v>491</v>
      </c>
      <c r="P916" s="164" t="s">
        <v>491</v>
      </c>
      <c r="Q916" s="164" t="s">
        <v>491</v>
      </c>
      <c r="R916" s="333" t="s">
        <v>491</v>
      </c>
      <c r="S916" s="324"/>
      <c r="AC916" s="306"/>
      <c r="AD916" s="364" t="s">
        <v>390</v>
      </c>
      <c r="AE916" s="364" t="s">
        <v>391</v>
      </c>
      <c r="AF916" s="364" t="s">
        <v>392</v>
      </c>
      <c r="AG916" s="364" t="s">
        <v>393</v>
      </c>
      <c r="AH916" s="364" t="s">
        <v>394</v>
      </c>
      <c r="AI916" s="364" t="s">
        <v>395</v>
      </c>
      <c r="AJ916" s="364" t="s">
        <v>396</v>
      </c>
      <c r="AK916" s="364" t="s">
        <v>397</v>
      </c>
      <c r="AL916" s="364" t="s">
        <v>398</v>
      </c>
      <c r="AM916" s="364" t="s">
        <v>399</v>
      </c>
      <c r="AN916" s="364" t="s">
        <v>400</v>
      </c>
      <c r="AO916" s="364" t="s">
        <v>401</v>
      </c>
      <c r="AP916" s="364" t="s">
        <v>402</v>
      </c>
      <c r="AQ916" s="364" t="s">
        <v>403</v>
      </c>
      <c r="AR916" s="364" t="s">
        <v>404</v>
      </c>
      <c r="AS916" s="373" t="s">
        <v>422</v>
      </c>
    </row>
    <row r="917" spans="1:45" ht="15.75" customHeight="1" x14ac:dyDescent="0.3">
      <c r="A917" s="377" t="s">
        <v>409</v>
      </c>
      <c r="B917" s="325" t="s">
        <v>409</v>
      </c>
      <c r="C917" s="164" t="s">
        <v>409</v>
      </c>
      <c r="D917" s="164" t="s">
        <v>409</v>
      </c>
      <c r="E917" s="164" t="s">
        <v>493</v>
      </c>
      <c r="F917" s="333" t="s">
        <v>409</v>
      </c>
      <c r="G917" s="325" t="s">
        <v>409</v>
      </c>
      <c r="H917" s="164" t="s">
        <v>494</v>
      </c>
      <c r="I917" s="164" t="s">
        <v>494</v>
      </c>
      <c r="J917" s="164" t="s">
        <v>409</v>
      </c>
      <c r="K917" s="164" t="s">
        <v>409</v>
      </c>
      <c r="L917" s="164" t="s">
        <v>409</v>
      </c>
      <c r="M917" s="397" t="s">
        <v>409</v>
      </c>
      <c r="N917" s="386" t="s">
        <v>409</v>
      </c>
      <c r="O917" s="394" t="s">
        <v>409</v>
      </c>
      <c r="P917" s="164" t="s">
        <v>409</v>
      </c>
      <c r="Q917" s="164" t="s">
        <v>409</v>
      </c>
      <c r="R917" s="333" t="s">
        <v>409</v>
      </c>
      <c r="S917" s="324"/>
      <c r="AC917" s="306"/>
      <c r="AD917" s="159"/>
      <c r="AE917" s="159"/>
      <c r="AF917" s="159"/>
      <c r="AG917" s="159"/>
      <c r="AH917" s="164" t="s">
        <v>1030</v>
      </c>
      <c r="AI917" s="159"/>
      <c r="AJ917" s="159"/>
      <c r="AK917" s="159"/>
      <c r="AL917" s="159"/>
      <c r="AM917" s="159"/>
      <c r="AN917" s="159"/>
      <c r="AO917" s="159"/>
      <c r="AP917" s="159"/>
      <c r="AQ917" s="159"/>
      <c r="AR917" s="159"/>
      <c r="AS917" s="374"/>
    </row>
    <row r="918" spans="1:45" ht="15.75" customHeight="1" x14ac:dyDescent="0.3">
      <c r="A918" s="365" t="s">
        <v>795</v>
      </c>
      <c r="B918" s="325">
        <f>ROUND(R890-G890,0)</f>
        <v>296551</v>
      </c>
      <c r="C918" s="164">
        <f>+ROUND(B918*$C$915,0)</f>
        <v>0</v>
      </c>
      <c r="D918" s="164">
        <f>AS890</f>
        <v>11654</v>
      </c>
      <c r="E918" s="164">
        <f>+B918+C918</f>
        <v>296551</v>
      </c>
      <c r="F918" s="333">
        <f>(D918+E918)</f>
        <v>308205</v>
      </c>
      <c r="G918" s="325">
        <f>ABS(G890)</f>
        <v>0</v>
      </c>
      <c r="H918" s="398">
        <v>13928</v>
      </c>
      <c r="I918" s="398">
        <v>0</v>
      </c>
      <c r="J918" s="164">
        <f>(H918+I918)</f>
        <v>13928</v>
      </c>
      <c r="K918" s="398">
        <v>0</v>
      </c>
      <c r="L918" s="398">
        <v>0</v>
      </c>
      <c r="M918" s="399">
        <f>310496+6592</f>
        <v>317088</v>
      </c>
      <c r="N918" s="400"/>
      <c r="O918" s="394">
        <f>+M918+N918</f>
        <v>317088</v>
      </c>
      <c r="P918" s="402">
        <f>(F918-G918-J918-K918-L918-O918)</f>
        <v>-22811</v>
      </c>
      <c r="Q918" s="164" t="str">
        <f>+IF(P918&gt;=0,ABS(P918),"")</f>
        <v/>
      </c>
      <c r="R918" s="333">
        <f>+IF(P918&lt;=0,ABS(P918),"")</f>
        <v>22811</v>
      </c>
      <c r="S918" s="324"/>
      <c r="AC918" s="375" t="s">
        <v>1072</v>
      </c>
      <c r="AD918" s="376"/>
      <c r="AE918" s="376"/>
      <c r="AF918" s="376"/>
      <c r="AG918" s="376"/>
      <c r="AH918" s="376">
        <v>1.6E-2</v>
      </c>
      <c r="AI918" s="376">
        <v>1.6E-2</v>
      </c>
      <c r="AJ918" s="376">
        <v>1.6E-2</v>
      </c>
      <c r="AK918" s="376">
        <v>1.6E-2</v>
      </c>
      <c r="AL918" s="376">
        <v>1.6E-2</v>
      </c>
      <c r="AM918" s="376">
        <v>1.6E-2</v>
      </c>
      <c r="AN918" s="376">
        <v>1.6E-2</v>
      </c>
      <c r="AO918" s="376">
        <v>1.6E-2</v>
      </c>
      <c r="AP918" s="376">
        <v>1.6E-2</v>
      </c>
      <c r="AQ918" s="376">
        <v>1.6E-2</v>
      </c>
      <c r="AR918" s="376">
        <v>1.6E-2</v>
      </c>
      <c r="AS918" s="377"/>
    </row>
    <row r="919" spans="1:45" ht="15.75" customHeight="1" x14ac:dyDescent="0.3">
      <c r="A919" s="365" t="s">
        <v>9</v>
      </c>
      <c r="B919" s="325">
        <f t="shared" ref="B919:B929" si="186">ROUND(R891-G891,0)</f>
        <v>192534</v>
      </c>
      <c r="C919" s="164">
        <f t="shared" ref="C919:C929" si="187">+ROUND(B919*$C$915,0)</f>
        <v>0</v>
      </c>
      <c r="D919" s="164">
        <f t="shared" ref="D919:D929" si="188">AS891</f>
        <v>7785</v>
      </c>
      <c r="E919" s="164">
        <f t="shared" ref="E919:E929" si="189">+B919+C919</f>
        <v>192534</v>
      </c>
      <c r="F919" s="333">
        <f t="shared" ref="F919:F929" si="190">(D919+E919)</f>
        <v>200319</v>
      </c>
      <c r="G919" s="325">
        <f t="shared" ref="G919:G929" si="191">ABS(G891)</f>
        <v>40.07174076865109</v>
      </c>
      <c r="H919" s="398">
        <v>9942</v>
      </c>
      <c r="I919" s="398">
        <v>0</v>
      </c>
      <c r="J919" s="164">
        <f t="shared" ref="J919:J928" si="192">(H919+I919)</f>
        <v>9942</v>
      </c>
      <c r="K919" s="398">
        <v>0</v>
      </c>
      <c r="L919" s="398">
        <v>0</v>
      </c>
      <c r="M919" s="399">
        <v>200000</v>
      </c>
      <c r="N919" s="400"/>
      <c r="O919" s="394">
        <f t="shared" ref="O919:O931" si="193">+M919+N919</f>
        <v>200000</v>
      </c>
      <c r="P919" s="402">
        <f t="shared" ref="P919:P929" si="194">(F919-G919-J919-K919-L919-O919)</f>
        <v>-9663.0717407686461</v>
      </c>
      <c r="Q919" s="164" t="str">
        <f t="shared" ref="Q919:Q929" si="195">+IF(P919&gt;=0,ABS(P919),"")</f>
        <v/>
      </c>
      <c r="R919" s="333">
        <f t="shared" ref="R919:R929" si="196">+IF(P919&lt;=0,ABS(P919),"")</f>
        <v>9663.0717407686461</v>
      </c>
      <c r="S919" s="324"/>
      <c r="AC919" s="375" t="s">
        <v>1032</v>
      </c>
      <c r="AD919" s="376"/>
      <c r="AE919" s="376"/>
      <c r="AF919" s="376"/>
      <c r="AG919" s="376"/>
      <c r="AH919" s="376"/>
      <c r="AI919" s="376"/>
      <c r="AJ919" s="376"/>
      <c r="AK919" s="376"/>
      <c r="AL919" s="376"/>
      <c r="AM919" s="376"/>
      <c r="AN919" s="376"/>
      <c r="AO919" s="376"/>
      <c r="AP919" s="376"/>
      <c r="AQ919" s="376"/>
      <c r="AR919" s="376"/>
      <c r="AS919" s="377"/>
    </row>
    <row r="920" spans="1:45" ht="15.75" customHeight="1" x14ac:dyDescent="0.3">
      <c r="A920" s="365" t="s">
        <v>10</v>
      </c>
      <c r="B920" s="325">
        <f t="shared" si="186"/>
        <v>249605</v>
      </c>
      <c r="C920" s="164">
        <f t="shared" si="187"/>
        <v>0</v>
      </c>
      <c r="D920" s="164">
        <f t="shared" si="188"/>
        <v>10284</v>
      </c>
      <c r="E920" s="164">
        <f t="shared" si="189"/>
        <v>249605</v>
      </c>
      <c r="F920" s="333">
        <f t="shared" si="190"/>
        <v>259889</v>
      </c>
      <c r="G920" s="325">
        <f t="shared" si="191"/>
        <v>977.45697061039903</v>
      </c>
      <c r="H920" s="398">
        <v>16324</v>
      </c>
      <c r="I920" s="398">
        <v>0</v>
      </c>
      <c r="J920" s="164">
        <f t="shared" si="192"/>
        <v>16324</v>
      </c>
      <c r="K920" s="398">
        <v>0</v>
      </c>
      <c r="L920" s="398">
        <v>0</v>
      </c>
      <c r="M920" s="399">
        <v>252960</v>
      </c>
      <c r="N920" s="400"/>
      <c r="O920" s="394">
        <f t="shared" si="193"/>
        <v>252960</v>
      </c>
      <c r="P920" s="402">
        <f t="shared" si="194"/>
        <v>-10372.456970610394</v>
      </c>
      <c r="Q920" s="164" t="str">
        <f t="shared" si="195"/>
        <v/>
      </c>
      <c r="R920" s="333">
        <f t="shared" si="196"/>
        <v>10372.456970610394</v>
      </c>
      <c r="S920" s="324"/>
      <c r="AC920" s="375" t="s">
        <v>1033</v>
      </c>
      <c r="AD920" s="376"/>
      <c r="AE920" s="376"/>
      <c r="AF920" s="376"/>
      <c r="AG920" s="376"/>
      <c r="AH920" s="376"/>
      <c r="AI920" s="376"/>
      <c r="AJ920" s="376"/>
      <c r="AK920" s="376"/>
      <c r="AL920" s="376"/>
      <c r="AM920" s="376"/>
      <c r="AN920" s="376"/>
      <c r="AO920" s="376"/>
      <c r="AP920" s="376"/>
      <c r="AQ920" s="376"/>
      <c r="AR920" s="376"/>
      <c r="AS920" s="377"/>
    </row>
    <row r="921" spans="1:45" ht="15.75" customHeight="1" x14ac:dyDescent="0.3">
      <c r="A921" s="365" t="s">
        <v>12</v>
      </c>
      <c r="B921" s="325">
        <f t="shared" si="186"/>
        <v>269729</v>
      </c>
      <c r="C921" s="164">
        <f t="shared" si="187"/>
        <v>0</v>
      </c>
      <c r="D921" s="164">
        <f t="shared" si="188"/>
        <v>11162</v>
      </c>
      <c r="E921" s="164">
        <f t="shared" si="189"/>
        <v>269729</v>
      </c>
      <c r="F921" s="333">
        <f t="shared" si="190"/>
        <v>280891</v>
      </c>
      <c r="G921" s="325">
        <f t="shared" si="191"/>
        <v>5445.4378995573925</v>
      </c>
      <c r="H921" s="398">
        <v>17491</v>
      </c>
      <c r="I921" s="398">
        <v>0</v>
      </c>
      <c r="J921" s="164">
        <f t="shared" si="192"/>
        <v>17491</v>
      </c>
      <c r="K921" s="398">
        <v>0</v>
      </c>
      <c r="L921" s="398">
        <v>0</v>
      </c>
      <c r="M921" s="399">
        <f>286080+6592</f>
        <v>292672</v>
      </c>
      <c r="N921" s="400"/>
      <c r="O921" s="394">
        <f t="shared" si="193"/>
        <v>292672</v>
      </c>
      <c r="P921" s="402">
        <f t="shared" si="194"/>
        <v>-34717.437899557408</v>
      </c>
      <c r="Q921" s="164" t="str">
        <f t="shared" si="195"/>
        <v/>
      </c>
      <c r="R921" s="333">
        <f t="shared" si="196"/>
        <v>34717.437899557408</v>
      </c>
      <c r="S921" s="324"/>
      <c r="AC921" s="375" t="s">
        <v>822</v>
      </c>
      <c r="AD921" s="376"/>
      <c r="AE921" s="376"/>
      <c r="AF921" s="376"/>
      <c r="AG921" s="376"/>
      <c r="AH921" s="376"/>
      <c r="AI921" s="376"/>
      <c r="AJ921" s="376"/>
      <c r="AK921" s="376"/>
      <c r="AL921" s="376"/>
      <c r="AM921" s="376"/>
      <c r="AN921" s="376"/>
      <c r="AO921" s="376"/>
      <c r="AP921" s="376"/>
      <c r="AQ921" s="376"/>
      <c r="AR921" s="376"/>
      <c r="AS921" s="377"/>
    </row>
    <row r="922" spans="1:45" ht="15.75" customHeight="1" x14ac:dyDescent="0.3">
      <c r="A922" s="365" t="s">
        <v>13</v>
      </c>
      <c r="B922" s="325">
        <f t="shared" si="186"/>
        <v>298686</v>
      </c>
      <c r="C922" s="164">
        <f t="shared" si="187"/>
        <v>0</v>
      </c>
      <c r="D922" s="164">
        <f t="shared" si="188"/>
        <v>12221</v>
      </c>
      <c r="E922" s="164">
        <f t="shared" si="189"/>
        <v>298686</v>
      </c>
      <c r="F922" s="333">
        <f t="shared" si="190"/>
        <v>310907</v>
      </c>
      <c r="G922" s="325">
        <f t="shared" si="191"/>
        <v>542.52913338357257</v>
      </c>
      <c r="H922" s="398">
        <v>12706</v>
      </c>
      <c r="I922" s="398">
        <v>0</v>
      </c>
      <c r="J922" s="164">
        <f t="shared" si="192"/>
        <v>12706</v>
      </c>
      <c r="K922" s="398">
        <v>0</v>
      </c>
      <c r="L922" s="398">
        <v>0</v>
      </c>
      <c r="M922" s="399">
        <f>298344+8160</f>
        <v>306504</v>
      </c>
      <c r="N922" s="400">
        <v>11904</v>
      </c>
      <c r="O922" s="394">
        <f t="shared" si="193"/>
        <v>318408</v>
      </c>
      <c r="P922" s="402">
        <f t="shared" si="194"/>
        <v>-20749.529133383592</v>
      </c>
      <c r="Q922" s="164" t="str">
        <f t="shared" si="195"/>
        <v/>
      </c>
      <c r="R922" s="333">
        <f t="shared" si="196"/>
        <v>20749.529133383592</v>
      </c>
      <c r="S922" s="324"/>
      <c r="AC922" s="375" t="s">
        <v>1073</v>
      </c>
      <c r="AD922" s="376"/>
      <c r="AE922" s="376"/>
      <c r="AF922" s="376"/>
      <c r="AG922" s="376"/>
      <c r="AH922" s="376"/>
      <c r="AI922" s="376"/>
      <c r="AJ922" s="376">
        <v>2.5000000000000001E-2</v>
      </c>
      <c r="AK922" s="376">
        <v>2.5000000000000001E-2</v>
      </c>
      <c r="AL922" s="376">
        <v>2.5000000000000001E-2</v>
      </c>
      <c r="AM922" s="376">
        <v>2.5000000000000001E-2</v>
      </c>
      <c r="AN922" s="376">
        <v>2.5000000000000001E-2</v>
      </c>
      <c r="AO922" s="376">
        <v>2.5000000000000001E-2</v>
      </c>
      <c r="AP922" s="376">
        <v>2.5000000000000001E-2</v>
      </c>
      <c r="AQ922" s="376">
        <v>2.5000000000000001E-2</v>
      </c>
      <c r="AR922" s="376">
        <v>2.5000000000000001E-2</v>
      </c>
      <c r="AS922" s="377"/>
    </row>
    <row r="923" spans="1:45" ht="15.75" customHeight="1" x14ac:dyDescent="0.3">
      <c r="A923" s="365" t="s">
        <v>14</v>
      </c>
      <c r="B923" s="325">
        <f t="shared" si="186"/>
        <v>156094</v>
      </c>
      <c r="C923" s="164">
        <f t="shared" si="187"/>
        <v>0</v>
      </c>
      <c r="D923" s="164">
        <f t="shared" si="188"/>
        <v>6281</v>
      </c>
      <c r="E923" s="164">
        <f t="shared" si="189"/>
        <v>156094</v>
      </c>
      <c r="F923" s="333">
        <f t="shared" si="190"/>
        <v>162375</v>
      </c>
      <c r="G923" s="325">
        <f t="shared" si="191"/>
        <v>11299.225772418997</v>
      </c>
      <c r="H923" s="398">
        <v>11982</v>
      </c>
      <c r="I923" s="398">
        <v>0</v>
      </c>
      <c r="J923" s="164">
        <f t="shared" si="192"/>
        <v>11982</v>
      </c>
      <c r="K923" s="398">
        <v>0</v>
      </c>
      <c r="L923" s="398">
        <v>0</v>
      </c>
      <c r="M923" s="399">
        <v>143280</v>
      </c>
      <c r="N923" s="400"/>
      <c r="O923" s="394">
        <f t="shared" si="193"/>
        <v>143280</v>
      </c>
      <c r="P923" s="402">
        <f t="shared" si="194"/>
        <v>-4186.225772418984</v>
      </c>
      <c r="Q923" s="164" t="str">
        <f t="shared" si="195"/>
        <v/>
      </c>
      <c r="R923" s="333">
        <f t="shared" si="196"/>
        <v>4186.225772418984</v>
      </c>
      <c r="S923" s="324"/>
      <c r="AC923" s="375" t="s">
        <v>422</v>
      </c>
      <c r="AD923" s="169">
        <f>SUM(AD918:AD922)</f>
        <v>0</v>
      </c>
      <c r="AE923" s="169">
        <f t="shared" ref="AE923:AR923" si="197">SUM(AE918:AE922)</f>
        <v>0</v>
      </c>
      <c r="AF923" s="169">
        <f t="shared" si="197"/>
        <v>0</v>
      </c>
      <c r="AG923" s="169">
        <f t="shared" si="197"/>
        <v>0</v>
      </c>
      <c r="AH923" s="169">
        <f t="shared" si="197"/>
        <v>1.6E-2</v>
      </c>
      <c r="AI923" s="169">
        <f t="shared" si="197"/>
        <v>1.6E-2</v>
      </c>
      <c r="AJ923" s="169">
        <f t="shared" si="197"/>
        <v>4.1000000000000002E-2</v>
      </c>
      <c r="AK923" s="169">
        <f t="shared" si="197"/>
        <v>4.1000000000000002E-2</v>
      </c>
      <c r="AL923" s="169">
        <f t="shared" si="197"/>
        <v>4.1000000000000002E-2</v>
      </c>
      <c r="AM923" s="169">
        <f t="shared" si="197"/>
        <v>4.1000000000000002E-2</v>
      </c>
      <c r="AN923" s="169">
        <f t="shared" si="197"/>
        <v>4.1000000000000002E-2</v>
      </c>
      <c r="AO923" s="169">
        <f t="shared" si="197"/>
        <v>4.1000000000000002E-2</v>
      </c>
      <c r="AP923" s="169">
        <f t="shared" si="197"/>
        <v>4.1000000000000002E-2</v>
      </c>
      <c r="AQ923" s="169">
        <f t="shared" si="197"/>
        <v>4.1000000000000002E-2</v>
      </c>
      <c r="AR923" s="169">
        <f t="shared" si="197"/>
        <v>4.1000000000000002E-2</v>
      </c>
      <c r="AS923" s="377"/>
    </row>
    <row r="924" spans="1:45" ht="15.75" customHeight="1" x14ac:dyDescent="0.3">
      <c r="A924" s="365" t="s">
        <v>16</v>
      </c>
      <c r="B924" s="325">
        <f t="shared" si="186"/>
        <v>144500</v>
      </c>
      <c r="C924" s="164">
        <f t="shared" si="187"/>
        <v>0</v>
      </c>
      <c r="D924" s="164">
        <f t="shared" si="188"/>
        <v>5765</v>
      </c>
      <c r="E924" s="164">
        <f t="shared" si="189"/>
        <v>144500</v>
      </c>
      <c r="F924" s="333">
        <f t="shared" si="190"/>
        <v>150265</v>
      </c>
      <c r="G924" s="325">
        <f t="shared" si="191"/>
        <v>10640.15687130544</v>
      </c>
      <c r="H924" s="398">
        <v>10570</v>
      </c>
      <c r="I924" s="398">
        <v>0</v>
      </c>
      <c r="J924" s="164">
        <f t="shared" si="192"/>
        <v>10570</v>
      </c>
      <c r="K924" s="398">
        <v>0</v>
      </c>
      <c r="L924" s="398">
        <v>0</v>
      </c>
      <c r="M924" s="399">
        <v>150288</v>
      </c>
      <c r="N924" s="400"/>
      <c r="O924" s="394">
        <f t="shared" si="193"/>
        <v>150288</v>
      </c>
      <c r="P924" s="402">
        <f t="shared" si="194"/>
        <v>-21233.156871305429</v>
      </c>
      <c r="Q924" s="164" t="str">
        <f t="shared" si="195"/>
        <v/>
      </c>
      <c r="R924" s="333">
        <f t="shared" si="196"/>
        <v>21233.156871305429</v>
      </c>
      <c r="S924" s="324"/>
      <c r="AC924" s="325" t="s">
        <v>409</v>
      </c>
      <c r="AD924" s="164" t="s">
        <v>409</v>
      </c>
      <c r="AE924" s="164" t="s">
        <v>409</v>
      </c>
      <c r="AF924" s="164" t="s">
        <v>409</v>
      </c>
      <c r="AG924" s="164" t="s">
        <v>409</v>
      </c>
      <c r="AH924" s="164" t="s">
        <v>409</v>
      </c>
      <c r="AI924" s="164" t="s">
        <v>409</v>
      </c>
      <c r="AJ924" s="164" t="s">
        <v>409</v>
      </c>
      <c r="AK924" s="164" t="s">
        <v>409</v>
      </c>
      <c r="AL924" s="164" t="s">
        <v>409</v>
      </c>
      <c r="AM924" s="164" t="s">
        <v>409</v>
      </c>
      <c r="AN924" s="164" t="s">
        <v>409</v>
      </c>
      <c r="AO924" s="164" t="s">
        <v>409</v>
      </c>
      <c r="AP924" s="164" t="s">
        <v>409</v>
      </c>
      <c r="AQ924" s="164" t="s">
        <v>409</v>
      </c>
      <c r="AR924" s="164" t="s">
        <v>409</v>
      </c>
      <c r="AS924" s="377" t="s">
        <v>409</v>
      </c>
    </row>
    <row r="925" spans="1:45" ht="15.75" customHeight="1" x14ac:dyDescent="0.3">
      <c r="A925" s="365" t="s">
        <v>17</v>
      </c>
      <c r="B925" s="325">
        <f t="shared" si="186"/>
        <v>139157</v>
      </c>
      <c r="C925" s="164">
        <f t="shared" si="187"/>
        <v>0</v>
      </c>
      <c r="D925" s="164">
        <f t="shared" si="188"/>
        <v>5553</v>
      </c>
      <c r="E925" s="164">
        <f t="shared" si="189"/>
        <v>139157</v>
      </c>
      <c r="F925" s="333">
        <f t="shared" si="190"/>
        <v>144710</v>
      </c>
      <c r="G925" s="325">
        <f t="shared" si="191"/>
        <v>10249.74223062979</v>
      </c>
      <c r="H925" s="398">
        <v>11469</v>
      </c>
      <c r="I925" s="398">
        <v>0</v>
      </c>
      <c r="J925" s="164">
        <f t="shared" si="192"/>
        <v>11469</v>
      </c>
      <c r="K925" s="398">
        <v>0</v>
      </c>
      <c r="L925" s="398">
        <v>0</v>
      </c>
      <c r="M925" s="399">
        <v>157728</v>
      </c>
      <c r="N925" s="400"/>
      <c r="O925" s="394">
        <f t="shared" si="193"/>
        <v>157728</v>
      </c>
      <c r="P925" s="402">
        <f t="shared" si="194"/>
        <v>-34736.742230629781</v>
      </c>
      <c r="Q925" s="164" t="str">
        <f t="shared" si="195"/>
        <v/>
      </c>
      <c r="R925" s="333">
        <f t="shared" si="196"/>
        <v>34736.742230629781</v>
      </c>
      <c r="S925" s="324"/>
      <c r="AC925" s="375" t="s">
        <v>795</v>
      </c>
      <c r="AD925" s="159">
        <f>ROUND(B890*$AD$923, 0)</f>
        <v>0</v>
      </c>
      <c r="AE925" s="159">
        <f>ROUND(C890*$AE$923,0)</f>
        <v>0</v>
      </c>
      <c r="AF925" s="159">
        <f>ROUND(D890*$AF$923,0)</f>
        <v>0</v>
      </c>
      <c r="AG925" s="159">
        <f>ROUND(E890*$AG$923,0)</f>
        <v>0</v>
      </c>
      <c r="AH925" s="159">
        <f>ROUND(F890*$AH$923,0)</f>
        <v>393</v>
      </c>
      <c r="AI925" s="159">
        <f>ROUND(H890*$AI$923,0)</f>
        <v>61</v>
      </c>
      <c r="AJ925" s="159">
        <f>ROUND(I890*$AJ$923,0)</f>
        <v>112</v>
      </c>
      <c r="AK925" s="159">
        <f>ROUND(J890*$AK$923,0)</f>
        <v>164</v>
      </c>
      <c r="AL925" s="159">
        <f>ROUND(K890*$AL$923,0)</f>
        <v>161</v>
      </c>
      <c r="AM925" s="159">
        <f>ROUND(L890*$AM$923,0)</f>
        <v>59</v>
      </c>
      <c r="AN925" s="159">
        <f>ROUND(M890*$AN$923,0)</f>
        <v>70</v>
      </c>
      <c r="AO925" s="159">
        <f>ROUND(N890*$AO$923,0)</f>
        <v>146</v>
      </c>
      <c r="AP925" s="159">
        <f>ROUND(O890*$AP$923,0)</f>
        <v>9</v>
      </c>
      <c r="AQ925" s="159">
        <f>ROUND(P890*$AQ$923,0)</f>
        <v>27</v>
      </c>
      <c r="AR925" s="159">
        <f>ROUND(Q890*$AR$923,0)</f>
        <v>21</v>
      </c>
      <c r="AS925" s="374">
        <f>SUM(AD925:AR925)</f>
        <v>1223</v>
      </c>
    </row>
    <row r="926" spans="1:45" ht="15.75" customHeight="1" x14ac:dyDescent="0.3">
      <c r="A926" s="365" t="s">
        <v>18</v>
      </c>
      <c r="B926" s="325">
        <f t="shared" si="186"/>
        <v>272641</v>
      </c>
      <c r="C926" s="164">
        <f t="shared" si="187"/>
        <v>0</v>
      </c>
      <c r="D926" s="164">
        <f t="shared" si="188"/>
        <v>11229</v>
      </c>
      <c r="E926" s="164">
        <f t="shared" si="189"/>
        <v>272641</v>
      </c>
      <c r="F926" s="333">
        <f t="shared" si="190"/>
        <v>283870</v>
      </c>
      <c r="G926" s="325">
        <f t="shared" si="191"/>
        <v>206.94963074604362</v>
      </c>
      <c r="H926" s="398">
        <v>10506</v>
      </c>
      <c r="I926" s="398">
        <v>0</v>
      </c>
      <c r="J926" s="164">
        <v>10304</v>
      </c>
      <c r="K926" s="398">
        <v>0</v>
      </c>
      <c r="L926" s="398">
        <v>0</v>
      </c>
      <c r="M926" s="399">
        <v>226560</v>
      </c>
      <c r="N926" s="400">
        <v>71520</v>
      </c>
      <c r="O926" s="394">
        <f t="shared" si="193"/>
        <v>298080</v>
      </c>
      <c r="P926" s="402">
        <f t="shared" si="194"/>
        <v>-24720.949630746036</v>
      </c>
      <c r="Q926" s="164" t="str">
        <f t="shared" si="195"/>
        <v/>
      </c>
      <c r="R926" s="333">
        <f t="shared" si="196"/>
        <v>24720.949630746036</v>
      </c>
      <c r="S926" s="324"/>
      <c r="AC926" s="375" t="s">
        <v>9</v>
      </c>
      <c r="AD926" s="159">
        <f t="shared" ref="AD926:AD936" si="198">ROUND(B891*$AD$923, 0)</f>
        <v>0</v>
      </c>
      <c r="AE926" s="159">
        <f t="shared" ref="AE926:AE936" si="199">ROUND(C891*$AE$923,0)</f>
        <v>0</v>
      </c>
      <c r="AF926" s="159">
        <f t="shared" ref="AF926:AF936" si="200">ROUND(D891*$AF$923,0)</f>
        <v>0</v>
      </c>
      <c r="AG926" s="159">
        <f t="shared" ref="AG926:AG936" si="201">ROUND(E891*$AG$923,0)</f>
        <v>0</v>
      </c>
      <c r="AH926" s="159">
        <f t="shared" ref="AH926:AH936" si="202">ROUND(F891*$AH$923,0)</f>
        <v>85</v>
      </c>
      <c r="AI926" s="159">
        <f t="shared" ref="AI926:AI936" si="203">ROUND(H891*$AI$923,0)</f>
        <v>84</v>
      </c>
      <c r="AJ926" s="159">
        <f t="shared" ref="AJ926:AJ936" si="204">ROUND(I891*$AJ$923,0)</f>
        <v>164</v>
      </c>
      <c r="AK926" s="159">
        <f t="shared" ref="AK926:AK936" si="205">ROUND(J891*$AK$923,0)</f>
        <v>233</v>
      </c>
      <c r="AL926" s="159">
        <f t="shared" ref="AL926:AL936" si="206">ROUND(K891*$AL$923,0)</f>
        <v>231</v>
      </c>
      <c r="AM926" s="159">
        <f t="shared" ref="AM926:AM936" si="207">ROUND(L891*$AM$923,0)</f>
        <v>72</v>
      </c>
      <c r="AN926" s="159">
        <f t="shared" ref="AN926:AN936" si="208">ROUND(M891*$AN$923,0)</f>
        <v>85</v>
      </c>
      <c r="AO926" s="159">
        <f t="shared" ref="AO926:AO936" si="209">ROUND(N891*$AO$923,0)</f>
        <v>170</v>
      </c>
      <c r="AP926" s="159">
        <f t="shared" ref="AP926:AP936" si="210">ROUND(O891*$AP$923,0)</f>
        <v>29</v>
      </c>
      <c r="AQ926" s="159">
        <f t="shared" ref="AQ926:AQ936" si="211">ROUND(P891*$AQ$923,0)</f>
        <v>52</v>
      </c>
      <c r="AR926" s="159">
        <f t="shared" ref="AR926:AR936" si="212">ROUND(Q891*$AR$923,0)</f>
        <v>69</v>
      </c>
      <c r="AS926" s="374">
        <f t="shared" ref="AS926:AS936" si="213">SUM(AD926:AR926)</f>
        <v>1274</v>
      </c>
    </row>
    <row r="927" spans="1:45" ht="15.75" customHeight="1" x14ac:dyDescent="0.3">
      <c r="A927" s="365" t="s">
        <v>20</v>
      </c>
      <c r="B927" s="325">
        <f t="shared" si="186"/>
        <v>196608</v>
      </c>
      <c r="C927" s="164">
        <f t="shared" si="187"/>
        <v>0</v>
      </c>
      <c r="D927" s="164">
        <f t="shared" si="188"/>
        <v>8086</v>
      </c>
      <c r="E927" s="164">
        <f t="shared" si="189"/>
        <v>196608</v>
      </c>
      <c r="F927" s="333">
        <f t="shared" si="190"/>
        <v>204694</v>
      </c>
      <c r="G927" s="325">
        <f t="shared" si="191"/>
        <v>1144.8847324792714</v>
      </c>
      <c r="H927" s="398">
        <v>7000</v>
      </c>
      <c r="I927" s="398">
        <v>0</v>
      </c>
      <c r="J927" s="164">
        <f t="shared" si="192"/>
        <v>7000</v>
      </c>
      <c r="K927" s="398">
        <v>0</v>
      </c>
      <c r="L927" s="398">
        <v>0</v>
      </c>
      <c r="M927" s="399">
        <f>187488+6464</f>
        <v>193952</v>
      </c>
      <c r="N927" s="400"/>
      <c r="O927" s="394">
        <f t="shared" si="193"/>
        <v>193952</v>
      </c>
      <c r="P927" s="402">
        <f t="shared" si="194"/>
        <v>2597.1152675207413</v>
      </c>
      <c r="Q927" s="164">
        <f t="shared" si="195"/>
        <v>2597.1152675207413</v>
      </c>
      <c r="R927" s="333" t="str">
        <f t="shared" si="196"/>
        <v/>
      </c>
      <c r="S927" s="324"/>
      <c r="AC927" s="375" t="s">
        <v>10</v>
      </c>
      <c r="AD927" s="159">
        <f t="shared" si="198"/>
        <v>0</v>
      </c>
      <c r="AE927" s="159">
        <f t="shared" si="199"/>
        <v>0</v>
      </c>
      <c r="AF927" s="159">
        <f t="shared" si="200"/>
        <v>0</v>
      </c>
      <c r="AG927" s="159">
        <f t="shared" si="201"/>
        <v>0</v>
      </c>
      <c r="AH927" s="159">
        <f t="shared" si="202"/>
        <v>41</v>
      </c>
      <c r="AI927" s="159">
        <f t="shared" si="203"/>
        <v>152</v>
      </c>
      <c r="AJ927" s="159">
        <f t="shared" si="204"/>
        <v>219</v>
      </c>
      <c r="AK927" s="159">
        <f t="shared" si="205"/>
        <v>283</v>
      </c>
      <c r="AL927" s="159">
        <f t="shared" si="206"/>
        <v>253</v>
      </c>
      <c r="AM927" s="159">
        <f t="shared" si="207"/>
        <v>86</v>
      </c>
      <c r="AN927" s="159">
        <f t="shared" si="208"/>
        <v>101</v>
      </c>
      <c r="AO927" s="159">
        <f t="shared" si="209"/>
        <v>197</v>
      </c>
      <c r="AP927" s="159">
        <f t="shared" si="210"/>
        <v>33</v>
      </c>
      <c r="AQ927" s="159">
        <f t="shared" si="211"/>
        <v>73</v>
      </c>
      <c r="AR927" s="159">
        <f t="shared" si="212"/>
        <v>77</v>
      </c>
      <c r="AS927" s="374">
        <f t="shared" si="213"/>
        <v>1515</v>
      </c>
    </row>
    <row r="928" spans="1:45" ht="15.75" customHeight="1" x14ac:dyDescent="0.3">
      <c r="A928" s="365" t="s">
        <v>21</v>
      </c>
      <c r="B928" s="325">
        <f t="shared" si="186"/>
        <v>188177</v>
      </c>
      <c r="C928" s="164">
        <f t="shared" si="187"/>
        <v>0</v>
      </c>
      <c r="D928" s="164">
        <f t="shared" si="188"/>
        <v>7689</v>
      </c>
      <c r="E928" s="164">
        <f t="shared" si="189"/>
        <v>188177</v>
      </c>
      <c r="F928" s="333">
        <f t="shared" si="190"/>
        <v>195866</v>
      </c>
      <c r="G928" s="325">
        <f t="shared" si="191"/>
        <v>0</v>
      </c>
      <c r="H928" s="398">
        <v>10000</v>
      </c>
      <c r="I928" s="398">
        <v>0</v>
      </c>
      <c r="J928" s="164">
        <f t="shared" si="192"/>
        <v>10000</v>
      </c>
      <c r="K928" s="398">
        <v>0</v>
      </c>
      <c r="L928" s="398">
        <v>0</v>
      </c>
      <c r="M928" s="399">
        <f>185040+8160</f>
        <v>193200</v>
      </c>
      <c r="N928" s="400"/>
      <c r="O928" s="394">
        <f t="shared" si="193"/>
        <v>193200</v>
      </c>
      <c r="P928" s="402">
        <f t="shared" si="194"/>
        <v>-7334</v>
      </c>
      <c r="Q928" s="164" t="str">
        <f t="shared" si="195"/>
        <v/>
      </c>
      <c r="R928" s="333">
        <f t="shared" si="196"/>
        <v>7334</v>
      </c>
      <c r="S928" s="324"/>
      <c r="AC928" s="375" t="s">
        <v>12</v>
      </c>
      <c r="AD928" s="159">
        <f t="shared" si="198"/>
        <v>0</v>
      </c>
      <c r="AE928" s="159">
        <f t="shared" si="199"/>
        <v>0</v>
      </c>
      <c r="AF928" s="159">
        <f t="shared" si="200"/>
        <v>0</v>
      </c>
      <c r="AG928" s="159">
        <f t="shared" si="201"/>
        <v>0</v>
      </c>
      <c r="AH928" s="159">
        <f t="shared" si="202"/>
        <v>4</v>
      </c>
      <c r="AI928" s="159">
        <f t="shared" si="203"/>
        <v>209</v>
      </c>
      <c r="AJ928" s="159">
        <f t="shared" si="204"/>
        <v>290</v>
      </c>
      <c r="AK928" s="159">
        <f t="shared" si="205"/>
        <v>349</v>
      </c>
      <c r="AL928" s="159">
        <f t="shared" si="206"/>
        <v>288</v>
      </c>
      <c r="AM928" s="159">
        <f t="shared" si="207"/>
        <v>85</v>
      </c>
      <c r="AN928" s="159">
        <f t="shared" si="208"/>
        <v>100</v>
      </c>
      <c r="AO928" s="159">
        <f t="shared" si="209"/>
        <v>204</v>
      </c>
      <c r="AP928" s="159">
        <f t="shared" si="210"/>
        <v>32</v>
      </c>
      <c r="AQ928" s="159">
        <f t="shared" si="211"/>
        <v>83</v>
      </c>
      <c r="AR928" s="159">
        <f t="shared" si="212"/>
        <v>75</v>
      </c>
      <c r="AS928" s="374">
        <f t="shared" si="213"/>
        <v>1719</v>
      </c>
    </row>
    <row r="929" spans="1:45" ht="15.75" customHeight="1" x14ac:dyDescent="0.3">
      <c r="A929" s="365" t="s">
        <v>22</v>
      </c>
      <c r="B929" s="325">
        <f t="shared" si="186"/>
        <v>214535</v>
      </c>
      <c r="C929" s="164">
        <f t="shared" si="187"/>
        <v>0</v>
      </c>
      <c r="D929" s="164">
        <f t="shared" si="188"/>
        <v>8703</v>
      </c>
      <c r="E929" s="164">
        <f t="shared" si="189"/>
        <v>214535</v>
      </c>
      <c r="F929" s="333">
        <f t="shared" si="190"/>
        <v>223238</v>
      </c>
      <c r="G929" s="325">
        <f t="shared" si="191"/>
        <v>0</v>
      </c>
      <c r="H929" s="398">
        <v>7500</v>
      </c>
      <c r="I929" s="398">
        <v>0</v>
      </c>
      <c r="J929" s="164">
        <f>(H929+I929)</f>
        <v>7500</v>
      </c>
      <c r="K929" s="398">
        <v>0</v>
      </c>
      <c r="L929" s="398">
        <v>0</v>
      </c>
      <c r="M929" s="399">
        <f>189720+6528</f>
        <v>196248</v>
      </c>
      <c r="N929" s="400">
        <v>28296</v>
      </c>
      <c r="O929" s="394">
        <f t="shared" si="193"/>
        <v>224544</v>
      </c>
      <c r="P929" s="402">
        <f t="shared" si="194"/>
        <v>-8806</v>
      </c>
      <c r="Q929" s="164" t="str">
        <f t="shared" si="195"/>
        <v/>
      </c>
      <c r="R929" s="333">
        <f t="shared" si="196"/>
        <v>8806</v>
      </c>
      <c r="S929" s="324"/>
      <c r="AC929" s="375" t="s">
        <v>13</v>
      </c>
      <c r="AD929" s="159">
        <f t="shared" si="198"/>
        <v>0</v>
      </c>
      <c r="AE929" s="159">
        <f t="shared" si="199"/>
        <v>0</v>
      </c>
      <c r="AF929" s="159">
        <f t="shared" si="200"/>
        <v>0</v>
      </c>
      <c r="AG929" s="159">
        <f t="shared" si="201"/>
        <v>0</v>
      </c>
      <c r="AH929" s="159">
        <f t="shared" si="202"/>
        <v>128</v>
      </c>
      <c r="AI929" s="159">
        <f t="shared" si="203"/>
        <v>157</v>
      </c>
      <c r="AJ929" s="159">
        <f t="shared" si="204"/>
        <v>192</v>
      </c>
      <c r="AK929" s="159">
        <f t="shared" si="205"/>
        <v>271</v>
      </c>
      <c r="AL929" s="159">
        <f t="shared" si="206"/>
        <v>252</v>
      </c>
      <c r="AM929" s="159">
        <f t="shared" si="207"/>
        <v>82</v>
      </c>
      <c r="AN929" s="159">
        <f t="shared" si="208"/>
        <v>97</v>
      </c>
      <c r="AO929" s="159">
        <f t="shared" si="209"/>
        <v>191</v>
      </c>
      <c r="AP929" s="159">
        <f t="shared" si="210"/>
        <v>27</v>
      </c>
      <c r="AQ929" s="159">
        <f t="shared" si="211"/>
        <v>90</v>
      </c>
      <c r="AR929" s="159">
        <f t="shared" si="212"/>
        <v>64</v>
      </c>
      <c r="AS929" s="374">
        <f t="shared" si="213"/>
        <v>1551</v>
      </c>
    </row>
    <row r="930" spans="1:45" ht="15.75" customHeight="1" x14ac:dyDescent="0.3">
      <c r="A930" s="377" t="s">
        <v>424</v>
      </c>
      <c r="B930" s="325" t="s">
        <v>424</v>
      </c>
      <c r="C930" s="164"/>
      <c r="D930" s="164"/>
      <c r="E930" s="164" t="s">
        <v>7</v>
      </c>
      <c r="F930" s="333"/>
      <c r="G930" s="325"/>
      <c r="H930" s="164"/>
      <c r="I930" s="164" t="s">
        <v>7</v>
      </c>
      <c r="J930" s="164" t="s">
        <v>7</v>
      </c>
      <c r="K930" s="403"/>
      <c r="L930" s="164"/>
      <c r="M930" s="399"/>
      <c r="N930" s="400"/>
      <c r="O930" s="394">
        <f t="shared" si="193"/>
        <v>0</v>
      </c>
      <c r="P930" s="402"/>
      <c r="Q930" s="164"/>
      <c r="R930" s="333"/>
      <c r="S930" s="324"/>
      <c r="AC930" s="375" t="s">
        <v>14</v>
      </c>
      <c r="AD930" s="159">
        <f t="shared" si="198"/>
        <v>0</v>
      </c>
      <c r="AE930" s="159">
        <f t="shared" si="199"/>
        <v>0</v>
      </c>
      <c r="AF930" s="159">
        <f t="shared" si="200"/>
        <v>0</v>
      </c>
      <c r="AG930" s="159">
        <f t="shared" si="201"/>
        <v>0</v>
      </c>
      <c r="AH930" s="159">
        <f t="shared" si="202"/>
        <v>1</v>
      </c>
      <c r="AI930" s="159">
        <f t="shared" si="203"/>
        <v>178</v>
      </c>
      <c r="AJ930" s="159">
        <f t="shared" si="204"/>
        <v>211</v>
      </c>
      <c r="AK930" s="159">
        <f t="shared" si="205"/>
        <v>244</v>
      </c>
      <c r="AL930" s="159">
        <f t="shared" si="206"/>
        <v>220</v>
      </c>
      <c r="AM930" s="159">
        <f t="shared" si="207"/>
        <v>81</v>
      </c>
      <c r="AN930" s="159">
        <f t="shared" si="208"/>
        <v>95</v>
      </c>
      <c r="AO930" s="159">
        <f t="shared" si="209"/>
        <v>192</v>
      </c>
      <c r="AP930" s="159">
        <f t="shared" si="210"/>
        <v>39</v>
      </c>
      <c r="AQ930" s="159">
        <f t="shared" si="211"/>
        <v>83</v>
      </c>
      <c r="AR930" s="159">
        <f t="shared" si="212"/>
        <v>90</v>
      </c>
      <c r="AS930" s="374">
        <f t="shared" si="213"/>
        <v>1434</v>
      </c>
    </row>
    <row r="931" spans="1:45" ht="16.5" customHeight="1" thickBot="1" x14ac:dyDescent="0.35">
      <c r="A931" s="404" t="s">
        <v>422</v>
      </c>
      <c r="B931" s="330">
        <f>SUM(B918:B929)</f>
        <v>2618817</v>
      </c>
      <c r="C931" s="335">
        <f>+SUM(C918:C929)</f>
        <v>0</v>
      </c>
      <c r="D931" s="335">
        <f>SUM(D918:D929)</f>
        <v>106412</v>
      </c>
      <c r="E931" s="335">
        <f>(B931*1.005)</f>
        <v>2631911.0849999995</v>
      </c>
      <c r="F931" s="405">
        <f>SUM(F918:F929)</f>
        <v>2725229</v>
      </c>
      <c r="G931" s="330">
        <f>SUM(G918:G929)</f>
        <v>40546.454981899558</v>
      </c>
      <c r="H931" s="335">
        <f>SUM(H918:H929)</f>
        <v>139418</v>
      </c>
      <c r="I931" s="335">
        <f>SUM(I918:I929)</f>
        <v>0</v>
      </c>
      <c r="J931" s="335">
        <f>(H931+I931)</f>
        <v>139418</v>
      </c>
      <c r="K931" s="335">
        <f>SUM(K918:K929)</f>
        <v>0</v>
      </c>
      <c r="L931" s="335">
        <f>SUM(L918:L929)</f>
        <v>0</v>
      </c>
      <c r="M931" s="406">
        <f>SUM(M918:M929)</f>
        <v>2630480</v>
      </c>
      <c r="N931" s="407">
        <f>SUM(N918:N929)</f>
        <v>111720</v>
      </c>
      <c r="O931" s="408">
        <f t="shared" si="193"/>
        <v>2742200</v>
      </c>
      <c r="P931" s="411">
        <f>(F931-G931-J931-K931-L931-O931)</f>
        <v>-196935.45498189935</v>
      </c>
      <c r="Q931" s="335">
        <f>+SUM(Q918:Q929)</f>
        <v>2597.1152675207413</v>
      </c>
      <c r="R931" s="405">
        <f>+SUM(R918:R929)</f>
        <v>199330.57024942027</v>
      </c>
      <c r="S931" s="324"/>
      <c r="AC931" s="375" t="s">
        <v>16</v>
      </c>
      <c r="AD931" s="159">
        <f t="shared" si="198"/>
        <v>0</v>
      </c>
      <c r="AE931" s="159">
        <f t="shared" si="199"/>
        <v>0</v>
      </c>
      <c r="AF931" s="159">
        <f t="shared" si="200"/>
        <v>0</v>
      </c>
      <c r="AG931" s="159">
        <f t="shared" si="201"/>
        <v>0</v>
      </c>
      <c r="AH931" s="159">
        <f t="shared" si="202"/>
        <v>0</v>
      </c>
      <c r="AI931" s="159">
        <f t="shared" si="203"/>
        <v>157</v>
      </c>
      <c r="AJ931" s="159">
        <f t="shared" si="204"/>
        <v>272</v>
      </c>
      <c r="AK931" s="159">
        <f t="shared" si="205"/>
        <v>301</v>
      </c>
      <c r="AL931" s="159">
        <f t="shared" si="206"/>
        <v>255</v>
      </c>
      <c r="AM931" s="159">
        <f t="shared" si="207"/>
        <v>73</v>
      </c>
      <c r="AN931" s="159">
        <f t="shared" si="208"/>
        <v>86</v>
      </c>
      <c r="AO931" s="159">
        <f t="shared" si="209"/>
        <v>167</v>
      </c>
      <c r="AP931" s="159">
        <f t="shared" si="210"/>
        <v>29</v>
      </c>
      <c r="AQ931" s="159">
        <f t="shared" si="211"/>
        <v>77</v>
      </c>
      <c r="AR931" s="159">
        <f t="shared" si="212"/>
        <v>69</v>
      </c>
      <c r="AS931" s="374">
        <f t="shared" si="213"/>
        <v>1486</v>
      </c>
    </row>
    <row r="932" spans="1:45" ht="15.75" customHeight="1" x14ac:dyDescent="0.3">
      <c r="A932" s="306"/>
      <c r="B932" s="159"/>
      <c r="C932" s="159"/>
      <c r="D932" s="159"/>
      <c r="E932" s="159"/>
      <c r="F932" s="159" t="s">
        <v>424</v>
      </c>
      <c r="G932" s="159"/>
      <c r="H932" s="159"/>
      <c r="I932" s="159"/>
      <c r="K932" s="159"/>
      <c r="L932" s="159"/>
      <c r="M932" s="173"/>
      <c r="O932" s="307"/>
      <c r="P932" s="159"/>
      <c r="S932" s="307"/>
      <c r="AC932" s="375" t="s">
        <v>17</v>
      </c>
      <c r="AD932" s="159">
        <f t="shared" si="198"/>
        <v>0</v>
      </c>
      <c r="AE932" s="159">
        <f t="shared" si="199"/>
        <v>0</v>
      </c>
      <c r="AF932" s="159">
        <f t="shared" si="200"/>
        <v>0</v>
      </c>
      <c r="AG932" s="159">
        <f t="shared" si="201"/>
        <v>0</v>
      </c>
      <c r="AH932" s="159">
        <f t="shared" si="202"/>
        <v>0</v>
      </c>
      <c r="AI932" s="159">
        <f t="shared" si="203"/>
        <v>161</v>
      </c>
      <c r="AJ932" s="159">
        <f t="shared" si="204"/>
        <v>245</v>
      </c>
      <c r="AK932" s="159">
        <f t="shared" si="205"/>
        <v>269</v>
      </c>
      <c r="AL932" s="159">
        <f t="shared" si="206"/>
        <v>222</v>
      </c>
      <c r="AM932" s="159">
        <f t="shared" si="207"/>
        <v>76</v>
      </c>
      <c r="AN932" s="159">
        <f t="shared" si="208"/>
        <v>90</v>
      </c>
      <c r="AO932" s="159">
        <f t="shared" si="209"/>
        <v>170</v>
      </c>
      <c r="AP932" s="159">
        <f t="shared" si="210"/>
        <v>33</v>
      </c>
      <c r="AQ932" s="159">
        <f t="shared" si="211"/>
        <v>78</v>
      </c>
      <c r="AR932" s="159">
        <f t="shared" si="212"/>
        <v>78</v>
      </c>
      <c r="AS932" s="374">
        <f t="shared" si="213"/>
        <v>1422</v>
      </c>
    </row>
    <row r="933" spans="1:45" ht="15.75" customHeight="1" x14ac:dyDescent="0.3">
      <c r="A933" s="323" t="s">
        <v>1074</v>
      </c>
      <c r="O933" s="307"/>
      <c r="P933" s="159"/>
      <c r="Q933" s="159"/>
      <c r="R933" s="159"/>
      <c r="S933" s="307"/>
      <c r="AC933" s="375" t="s">
        <v>18</v>
      </c>
      <c r="AD933" s="159">
        <f t="shared" si="198"/>
        <v>0</v>
      </c>
      <c r="AE933" s="159">
        <f t="shared" si="199"/>
        <v>0</v>
      </c>
      <c r="AF933" s="159">
        <f t="shared" si="200"/>
        <v>0</v>
      </c>
      <c r="AG933" s="159">
        <f t="shared" si="201"/>
        <v>0</v>
      </c>
      <c r="AH933" s="159">
        <f t="shared" si="202"/>
        <v>113</v>
      </c>
      <c r="AI933" s="159">
        <f t="shared" si="203"/>
        <v>113</v>
      </c>
      <c r="AJ933" s="159">
        <f t="shared" si="204"/>
        <v>170</v>
      </c>
      <c r="AK933" s="159">
        <f t="shared" si="205"/>
        <v>212</v>
      </c>
      <c r="AL933" s="159">
        <f t="shared" si="206"/>
        <v>197</v>
      </c>
      <c r="AM933" s="159">
        <f t="shared" si="207"/>
        <v>72</v>
      </c>
      <c r="AN933" s="159">
        <f t="shared" si="208"/>
        <v>85</v>
      </c>
      <c r="AO933" s="159">
        <f t="shared" si="209"/>
        <v>158</v>
      </c>
      <c r="AP933" s="159">
        <f t="shared" si="210"/>
        <v>24</v>
      </c>
      <c r="AQ933" s="159">
        <f t="shared" si="211"/>
        <v>68</v>
      </c>
      <c r="AR933" s="159">
        <f t="shared" si="212"/>
        <v>57</v>
      </c>
      <c r="AS933" s="374">
        <f t="shared" si="213"/>
        <v>1269</v>
      </c>
    </row>
    <row r="934" spans="1:45" ht="15.75" customHeight="1" x14ac:dyDescent="0.3">
      <c r="A934" s="323" t="s">
        <v>498</v>
      </c>
      <c r="D934" s="159"/>
      <c r="E934" s="159"/>
      <c r="F934" s="159"/>
      <c r="G934" s="159"/>
      <c r="H934" s="159"/>
      <c r="I934" s="159"/>
      <c r="J934" s="159"/>
      <c r="K934" s="159"/>
      <c r="L934" s="159"/>
      <c r="M934" s="159"/>
      <c r="N934" s="159"/>
      <c r="O934" s="324"/>
      <c r="P934" s="159"/>
      <c r="Q934" s="159"/>
      <c r="R934" s="159"/>
      <c r="S934" s="307"/>
      <c r="AC934" s="375" t="s">
        <v>20</v>
      </c>
      <c r="AD934" s="159">
        <f t="shared" si="198"/>
        <v>0</v>
      </c>
      <c r="AE934" s="159">
        <f t="shared" si="199"/>
        <v>0</v>
      </c>
      <c r="AF934" s="159">
        <f t="shared" si="200"/>
        <v>0</v>
      </c>
      <c r="AG934" s="159">
        <f t="shared" si="201"/>
        <v>0</v>
      </c>
      <c r="AH934" s="159">
        <f t="shared" si="202"/>
        <v>80</v>
      </c>
      <c r="AI934" s="159">
        <f t="shared" si="203"/>
        <v>90</v>
      </c>
      <c r="AJ934" s="159">
        <f t="shared" si="204"/>
        <v>112</v>
      </c>
      <c r="AK934" s="159">
        <f t="shared" si="205"/>
        <v>154</v>
      </c>
      <c r="AL934" s="159">
        <f t="shared" si="206"/>
        <v>137</v>
      </c>
      <c r="AM934" s="159">
        <f t="shared" si="207"/>
        <v>51</v>
      </c>
      <c r="AN934" s="159">
        <f t="shared" si="208"/>
        <v>60</v>
      </c>
      <c r="AO934" s="159">
        <f t="shared" si="209"/>
        <v>116</v>
      </c>
      <c r="AP934" s="159">
        <f t="shared" si="210"/>
        <v>25</v>
      </c>
      <c r="AQ934" s="159">
        <f t="shared" si="211"/>
        <v>62</v>
      </c>
      <c r="AR934" s="159">
        <f t="shared" si="212"/>
        <v>59</v>
      </c>
      <c r="AS934" s="374">
        <f t="shared" si="213"/>
        <v>946</v>
      </c>
    </row>
    <row r="935" spans="1:45" ht="15.75" customHeight="1" x14ac:dyDescent="0.3">
      <c r="A935" s="323" t="s">
        <v>1075</v>
      </c>
      <c r="D935" s="159"/>
      <c r="E935" s="159"/>
      <c r="F935" s="159"/>
      <c r="G935" s="159"/>
      <c r="H935" s="159"/>
      <c r="I935" s="159"/>
      <c r="J935" s="159"/>
      <c r="K935" s="159"/>
      <c r="L935" s="159"/>
      <c r="M935" s="159"/>
      <c r="N935" s="159"/>
      <c r="O935" s="324"/>
      <c r="P935" s="159"/>
      <c r="Q935" s="159"/>
      <c r="R935" s="159"/>
      <c r="S935" s="307"/>
      <c r="AC935" s="375" t="s">
        <v>21</v>
      </c>
      <c r="AD935" s="159">
        <f t="shared" si="198"/>
        <v>0</v>
      </c>
      <c r="AE935" s="159">
        <f t="shared" si="199"/>
        <v>0</v>
      </c>
      <c r="AF935" s="159">
        <f t="shared" si="200"/>
        <v>0</v>
      </c>
      <c r="AG935" s="159">
        <f t="shared" si="201"/>
        <v>0</v>
      </c>
      <c r="AH935" s="159">
        <f t="shared" si="202"/>
        <v>148</v>
      </c>
      <c r="AI935" s="159">
        <f t="shared" si="203"/>
        <v>51</v>
      </c>
      <c r="AJ935" s="159">
        <f t="shared" si="204"/>
        <v>54</v>
      </c>
      <c r="AK935" s="159">
        <f t="shared" si="205"/>
        <v>81</v>
      </c>
      <c r="AL935" s="159">
        <f t="shared" si="206"/>
        <v>78</v>
      </c>
      <c r="AM935" s="159">
        <f t="shared" si="207"/>
        <v>28</v>
      </c>
      <c r="AN935" s="159">
        <f t="shared" si="208"/>
        <v>33</v>
      </c>
      <c r="AO935" s="159">
        <f t="shared" si="209"/>
        <v>67</v>
      </c>
      <c r="AP935" s="159">
        <f t="shared" si="210"/>
        <v>3</v>
      </c>
      <c r="AQ935" s="159">
        <f t="shared" si="211"/>
        <v>53</v>
      </c>
      <c r="AR935" s="159">
        <f t="shared" si="212"/>
        <v>8</v>
      </c>
      <c r="AS935" s="374">
        <f t="shared" si="213"/>
        <v>604</v>
      </c>
    </row>
    <row r="936" spans="1:45" ht="15.75" customHeight="1" thickBot="1" x14ac:dyDescent="0.35">
      <c r="A936" s="326" t="s">
        <v>1076</v>
      </c>
      <c r="B936" s="312"/>
      <c r="C936" s="312"/>
      <c r="D936" s="327"/>
      <c r="E936" s="327"/>
      <c r="F936" s="327"/>
      <c r="G936" s="327"/>
      <c r="H936" s="327"/>
      <c r="I936" s="327"/>
      <c r="J936" s="327"/>
      <c r="K936" s="327"/>
      <c r="L936" s="327"/>
      <c r="M936" s="327"/>
      <c r="N936" s="327"/>
      <c r="O936" s="328"/>
      <c r="P936" s="159"/>
      <c r="Q936" s="159"/>
      <c r="R936" s="159"/>
      <c r="S936" s="307"/>
      <c r="AC936" s="375" t="s">
        <v>22</v>
      </c>
      <c r="AD936" s="159">
        <f t="shared" si="198"/>
        <v>0</v>
      </c>
      <c r="AE936" s="159">
        <f t="shared" si="199"/>
        <v>0</v>
      </c>
      <c r="AF936" s="159">
        <f t="shared" si="200"/>
        <v>0</v>
      </c>
      <c r="AG936" s="159">
        <f t="shared" si="201"/>
        <v>0</v>
      </c>
      <c r="AH936" s="159">
        <f t="shared" si="202"/>
        <v>147</v>
      </c>
      <c r="AI936" s="159">
        <f t="shared" si="203"/>
        <v>71</v>
      </c>
      <c r="AJ936" s="159">
        <f t="shared" si="204"/>
        <v>118</v>
      </c>
      <c r="AK936" s="159">
        <f t="shared" si="205"/>
        <v>177</v>
      </c>
      <c r="AL936" s="159">
        <f t="shared" si="206"/>
        <v>177</v>
      </c>
      <c r="AM936" s="159">
        <f t="shared" si="207"/>
        <v>50</v>
      </c>
      <c r="AN936" s="159">
        <f t="shared" si="208"/>
        <v>59</v>
      </c>
      <c r="AO936" s="159">
        <f t="shared" si="209"/>
        <v>116</v>
      </c>
      <c r="AP936" s="159">
        <f t="shared" si="210"/>
        <v>9</v>
      </c>
      <c r="AQ936" s="159">
        <f t="shared" si="211"/>
        <v>57</v>
      </c>
      <c r="AR936" s="159">
        <f t="shared" si="212"/>
        <v>21</v>
      </c>
      <c r="AS936" s="374">
        <f t="shared" si="213"/>
        <v>1002</v>
      </c>
    </row>
    <row r="937" spans="1:45" ht="15.75" customHeight="1" thickBot="1" x14ac:dyDescent="0.35">
      <c r="A937" s="323"/>
      <c r="D937" s="159"/>
      <c r="E937" s="159"/>
      <c r="F937" s="159"/>
      <c r="G937" s="159"/>
      <c r="H937" s="159"/>
      <c r="I937" s="159"/>
      <c r="J937" s="159"/>
      <c r="K937" s="159"/>
      <c r="L937" s="159"/>
      <c r="M937" s="159"/>
      <c r="N937" s="159"/>
      <c r="O937" s="159"/>
      <c r="P937" s="159"/>
      <c r="Q937" s="159"/>
      <c r="R937" s="159"/>
      <c r="S937" s="307"/>
      <c r="AC937" s="306"/>
      <c r="AD937" s="159"/>
      <c r="AE937" s="159"/>
      <c r="AF937" s="159"/>
      <c r="AG937" s="159"/>
      <c r="AH937" s="159"/>
      <c r="AI937" s="159"/>
      <c r="AJ937" s="159"/>
      <c r="AK937" s="159"/>
      <c r="AL937" s="159"/>
      <c r="AM937" s="159"/>
      <c r="AN937" s="159"/>
      <c r="AO937" s="159"/>
      <c r="AP937" s="159"/>
      <c r="AQ937" s="159"/>
      <c r="AR937" s="159"/>
      <c r="AS937" s="374"/>
    </row>
    <row r="938" spans="1:45" ht="15.75" customHeight="1" thickBot="1" x14ac:dyDescent="0.35">
      <c r="A938" s="365"/>
      <c r="B938" s="534" t="s">
        <v>1077</v>
      </c>
      <c r="C938" s="535"/>
      <c r="D938" s="535"/>
      <c r="E938" s="535"/>
      <c r="F938" s="535"/>
      <c r="G938" s="535"/>
      <c r="H938" s="535"/>
      <c r="I938" s="535"/>
      <c r="J938" s="535"/>
      <c r="K938" s="535"/>
      <c r="L938" s="535"/>
      <c r="M938" s="535"/>
      <c r="N938" s="535"/>
      <c r="O938" s="535"/>
      <c r="P938" s="555"/>
      <c r="Q938" s="159"/>
      <c r="R938" s="159"/>
      <c r="S938" s="307"/>
      <c r="AC938" s="382" t="s">
        <v>422</v>
      </c>
      <c r="AD938" s="327">
        <f>SUM(AD925:AD936)</f>
        <v>0</v>
      </c>
      <c r="AE938" s="327">
        <f t="shared" ref="AE938:AS938" si="214">SUM(AE925:AE936)</f>
        <v>0</v>
      </c>
      <c r="AF938" s="327">
        <f t="shared" si="214"/>
        <v>0</v>
      </c>
      <c r="AG938" s="327">
        <f t="shared" si="214"/>
        <v>0</v>
      </c>
      <c r="AH938" s="327">
        <f t="shared" si="214"/>
        <v>1140</v>
      </c>
      <c r="AI938" s="327">
        <f t="shared" si="214"/>
        <v>1484</v>
      </c>
      <c r="AJ938" s="327">
        <f t="shared" si="214"/>
        <v>2159</v>
      </c>
      <c r="AK938" s="327">
        <f t="shared" si="214"/>
        <v>2738</v>
      </c>
      <c r="AL938" s="327">
        <f t="shared" si="214"/>
        <v>2471</v>
      </c>
      <c r="AM938" s="327">
        <f t="shared" si="214"/>
        <v>815</v>
      </c>
      <c r="AN938" s="327">
        <f t="shared" si="214"/>
        <v>961</v>
      </c>
      <c r="AO938" s="327">
        <f t="shared" si="214"/>
        <v>1894</v>
      </c>
      <c r="AP938" s="327">
        <f t="shared" si="214"/>
        <v>292</v>
      </c>
      <c r="AQ938" s="327">
        <f t="shared" si="214"/>
        <v>803</v>
      </c>
      <c r="AR938" s="327">
        <f t="shared" si="214"/>
        <v>688</v>
      </c>
      <c r="AS938" s="383">
        <f t="shared" si="214"/>
        <v>15445</v>
      </c>
    </row>
    <row r="939" spans="1:45" ht="15.75" customHeight="1" thickBot="1" x14ac:dyDescent="0.35">
      <c r="A939" s="365"/>
      <c r="B939" s="523" t="s">
        <v>1041</v>
      </c>
      <c r="C939" s="524"/>
      <c r="D939" s="524"/>
      <c r="E939" s="524"/>
      <c r="F939" s="525"/>
      <c r="G939" s="523" t="s">
        <v>1042</v>
      </c>
      <c r="H939" s="524"/>
      <c r="I939" s="524"/>
      <c r="J939" s="524"/>
      <c r="K939" s="524"/>
      <c r="L939" s="524"/>
      <c r="M939" s="526" t="s">
        <v>1043</v>
      </c>
      <c r="N939" s="536"/>
      <c r="O939" s="536"/>
      <c r="P939" s="523" t="s">
        <v>1044</v>
      </c>
      <c r="Q939" s="524"/>
      <c r="R939" s="525"/>
      <c r="S939" s="307"/>
    </row>
    <row r="940" spans="1:45" ht="15.75" customHeight="1" x14ac:dyDescent="0.3">
      <c r="A940" s="377"/>
      <c r="B940" s="325" t="s">
        <v>428</v>
      </c>
      <c r="C940" s="164"/>
      <c r="D940" s="164" t="s">
        <v>469</v>
      </c>
      <c r="E940" s="164" t="s">
        <v>470</v>
      </c>
      <c r="F940" s="333" t="s">
        <v>1045</v>
      </c>
      <c r="G940" s="325" t="s">
        <v>471</v>
      </c>
      <c r="H940" s="164"/>
      <c r="I940" s="164"/>
      <c r="J940" s="164" t="s">
        <v>472</v>
      </c>
      <c r="K940" s="164" t="s">
        <v>1046</v>
      </c>
      <c r="L940" s="164" t="s">
        <v>1047</v>
      </c>
      <c r="M940" s="537" t="str">
        <f>+M913</f>
        <v>(NE)* per WAPA 12/10/2014</v>
      </c>
      <c r="N940" s="538"/>
      <c r="O940" s="538"/>
      <c r="P940" s="325" t="s">
        <v>1049</v>
      </c>
      <c r="Q940" s="388" t="s">
        <v>486</v>
      </c>
      <c r="R940" s="389" t="s">
        <v>1050</v>
      </c>
      <c r="S940" s="307"/>
    </row>
    <row r="941" spans="1:45" ht="15.75" customHeight="1" x14ac:dyDescent="0.3">
      <c r="A941" s="377"/>
      <c r="B941" s="390" t="s">
        <v>1051</v>
      </c>
      <c r="C941" s="391" t="s">
        <v>1052</v>
      </c>
      <c r="D941" s="391" t="s">
        <v>1053</v>
      </c>
      <c r="E941" s="164" t="s">
        <v>442</v>
      </c>
      <c r="F941" s="392" t="s">
        <v>1054</v>
      </c>
      <c r="G941" s="325" t="s">
        <v>429</v>
      </c>
      <c r="H941" s="164" t="s">
        <v>478</v>
      </c>
      <c r="I941" s="164" t="s">
        <v>479</v>
      </c>
      <c r="J941" s="391" t="s">
        <v>1055</v>
      </c>
      <c r="K941" s="164" t="s">
        <v>1034</v>
      </c>
      <c r="L941" s="391" t="s">
        <v>1056</v>
      </c>
      <c r="M941" s="393" t="s">
        <v>1057</v>
      </c>
      <c r="N941" s="385" t="s">
        <v>1058</v>
      </c>
      <c r="O941" s="386" t="s">
        <v>422</v>
      </c>
      <c r="P941" s="325" t="s">
        <v>1061</v>
      </c>
      <c r="Q941" s="164" t="s">
        <v>1062</v>
      </c>
      <c r="R941" s="333" t="s">
        <v>1063</v>
      </c>
      <c r="S941" s="307"/>
    </row>
    <row r="942" spans="1:45" ht="15.75" customHeight="1" x14ac:dyDescent="0.3">
      <c r="A942" s="377"/>
      <c r="B942" s="395" t="s">
        <v>1064</v>
      </c>
      <c r="C942" s="169">
        <v>5.0000000000000001E-3</v>
      </c>
      <c r="D942" s="169">
        <v>4.2999999999999997E-2</v>
      </c>
      <c r="E942" s="164" t="s">
        <v>485</v>
      </c>
      <c r="F942" s="396" t="s">
        <v>1065</v>
      </c>
      <c r="G942" s="325" t="s">
        <v>1066</v>
      </c>
      <c r="H942" s="164" t="s">
        <v>442</v>
      </c>
      <c r="I942" s="164" t="s">
        <v>442</v>
      </c>
      <c r="J942" s="164" t="s">
        <v>442</v>
      </c>
      <c r="K942" s="164" t="s">
        <v>486</v>
      </c>
      <c r="L942" s="164" t="s">
        <v>1067</v>
      </c>
      <c r="M942" s="397" t="s">
        <v>434</v>
      </c>
      <c r="N942" s="386" t="s">
        <v>1068</v>
      </c>
      <c r="O942" s="386" t="s">
        <v>1069</v>
      </c>
      <c r="P942" s="325" t="s">
        <v>442</v>
      </c>
      <c r="Q942" s="164" t="s">
        <v>442</v>
      </c>
      <c r="R942" s="333" t="s">
        <v>442</v>
      </c>
      <c r="S942" s="307"/>
    </row>
    <row r="943" spans="1:45" ht="15.75" customHeight="1" x14ac:dyDescent="0.3">
      <c r="A943" s="377" t="s">
        <v>1071</v>
      </c>
      <c r="B943" s="325" t="s">
        <v>1078</v>
      </c>
      <c r="C943" s="164" t="s">
        <v>1078</v>
      </c>
      <c r="D943" s="164" t="s">
        <v>1078</v>
      </c>
      <c r="E943" s="164" t="s">
        <v>1078</v>
      </c>
      <c r="F943" s="164" t="s">
        <v>1078</v>
      </c>
      <c r="G943" s="325" t="s">
        <v>1078</v>
      </c>
      <c r="H943" s="164" t="s">
        <v>1078</v>
      </c>
      <c r="I943" s="164" t="s">
        <v>1078</v>
      </c>
      <c r="J943" s="164" t="s">
        <v>1078</v>
      </c>
      <c r="K943" s="164" t="s">
        <v>1078</v>
      </c>
      <c r="L943" s="164" t="s">
        <v>1078</v>
      </c>
      <c r="M943" s="397" t="s">
        <v>1078</v>
      </c>
      <c r="N943" s="386" t="s">
        <v>1079</v>
      </c>
      <c r="O943" s="386" t="s">
        <v>1078</v>
      </c>
      <c r="P943" s="325" t="s">
        <v>1078</v>
      </c>
      <c r="Q943" s="164" t="s">
        <v>1078</v>
      </c>
      <c r="R943" s="333" t="s">
        <v>1078</v>
      </c>
      <c r="S943" s="307"/>
    </row>
    <row r="944" spans="1:45" ht="15.75" customHeight="1" x14ac:dyDescent="0.3">
      <c r="A944" s="377" t="s">
        <v>409</v>
      </c>
      <c r="B944" s="325" t="s">
        <v>409</v>
      </c>
      <c r="C944" s="164" t="s">
        <v>409</v>
      </c>
      <c r="D944" s="164" t="s">
        <v>409</v>
      </c>
      <c r="E944" s="164" t="s">
        <v>493</v>
      </c>
      <c r="F944" s="333" t="s">
        <v>409</v>
      </c>
      <c r="G944" s="325" t="s">
        <v>409</v>
      </c>
      <c r="H944" s="164" t="s">
        <v>494</v>
      </c>
      <c r="I944" s="164" t="s">
        <v>494</v>
      </c>
      <c r="J944" s="164" t="s">
        <v>409</v>
      </c>
      <c r="K944" s="164" t="s">
        <v>409</v>
      </c>
      <c r="L944" s="164" t="s">
        <v>409</v>
      </c>
      <c r="M944" s="397" t="s">
        <v>409</v>
      </c>
      <c r="N944" s="386" t="s">
        <v>409</v>
      </c>
      <c r="O944" s="386" t="s">
        <v>409</v>
      </c>
      <c r="P944" s="325" t="s">
        <v>409</v>
      </c>
      <c r="Q944" s="164" t="s">
        <v>409</v>
      </c>
      <c r="R944" s="333" t="s">
        <v>409</v>
      </c>
      <c r="S944" s="307"/>
    </row>
    <row r="945" spans="1:19" ht="15.75" customHeight="1" x14ac:dyDescent="0.3">
      <c r="A945" s="365" t="s">
        <v>795</v>
      </c>
      <c r="B945" s="325">
        <f>+B918/($B$10*24)</f>
        <v>398.59005376344084</v>
      </c>
      <c r="C945" s="164">
        <f t="shared" ref="C945:P945" si="215">+C918/($B$10*24)</f>
        <v>0</v>
      </c>
      <c r="D945" s="164">
        <f t="shared" si="215"/>
        <v>15.663978494623656</v>
      </c>
      <c r="E945" s="164">
        <f t="shared" si="215"/>
        <v>398.59005376344084</v>
      </c>
      <c r="F945" s="333">
        <f t="shared" si="215"/>
        <v>414.25403225806451</v>
      </c>
      <c r="G945" s="164">
        <f t="shared" si="215"/>
        <v>0</v>
      </c>
      <c r="H945" s="164">
        <f t="shared" si="215"/>
        <v>18.72043010752688</v>
      </c>
      <c r="I945" s="164">
        <f t="shared" si="215"/>
        <v>0</v>
      </c>
      <c r="J945" s="164">
        <f t="shared" si="215"/>
        <v>18.72043010752688</v>
      </c>
      <c r="K945" s="164">
        <f t="shared" si="215"/>
        <v>0</v>
      </c>
      <c r="L945" s="164">
        <f t="shared" si="215"/>
        <v>0</v>
      </c>
      <c r="M945" s="399">
        <f>+M918/($B$10*24)</f>
        <v>426.19354838709677</v>
      </c>
      <c r="N945" s="400">
        <f t="shared" si="215"/>
        <v>0</v>
      </c>
      <c r="O945" s="386">
        <f t="shared" si="215"/>
        <v>426.19354838709677</v>
      </c>
      <c r="P945" s="414">
        <f t="shared" si="215"/>
        <v>-30.65994623655914</v>
      </c>
      <c r="Q945" s="164" t="str">
        <f>+IF(P945&gt;=0,ABS(P945),"")</f>
        <v/>
      </c>
      <c r="R945" s="333">
        <f>+IF(P945&lt;=0,ABS(P945),"")</f>
        <v>30.65994623655914</v>
      </c>
      <c r="S945" s="307"/>
    </row>
    <row r="946" spans="1:19" ht="15.75" customHeight="1" x14ac:dyDescent="0.3">
      <c r="A946" s="365" t="s">
        <v>9</v>
      </c>
      <c r="B946" s="325">
        <f>+B919/($C$10*24)</f>
        <v>286.50892857142856</v>
      </c>
      <c r="C946" s="164">
        <f t="shared" ref="C946:P946" si="216">+C919/($C$10*24)</f>
        <v>0</v>
      </c>
      <c r="D946" s="164">
        <f t="shared" si="216"/>
        <v>11.584821428571429</v>
      </c>
      <c r="E946" s="164">
        <f t="shared" si="216"/>
        <v>286.50892857142856</v>
      </c>
      <c r="F946" s="333">
        <f t="shared" si="216"/>
        <v>298.09375</v>
      </c>
      <c r="G946" s="164">
        <f t="shared" si="216"/>
        <v>5.9630566620016499E-2</v>
      </c>
      <c r="H946" s="164">
        <f t="shared" si="216"/>
        <v>14.794642857142858</v>
      </c>
      <c r="I946" s="164">
        <f t="shared" si="216"/>
        <v>0</v>
      </c>
      <c r="J946" s="164">
        <f t="shared" si="216"/>
        <v>14.794642857142858</v>
      </c>
      <c r="K946" s="164">
        <f t="shared" si="216"/>
        <v>0</v>
      </c>
      <c r="L946" s="164">
        <f t="shared" si="216"/>
        <v>0</v>
      </c>
      <c r="M946" s="399">
        <f t="shared" si="216"/>
        <v>297.61904761904759</v>
      </c>
      <c r="N946" s="400">
        <f t="shared" si="216"/>
        <v>0</v>
      </c>
      <c r="O946" s="386">
        <f t="shared" si="216"/>
        <v>297.61904761904759</v>
      </c>
      <c r="P946" s="414">
        <f t="shared" si="216"/>
        <v>-14.379571042810486</v>
      </c>
      <c r="Q946" s="164" t="str">
        <f t="shared" ref="Q946:Q956" si="217">+IF(P946&gt;=0,ABS(P946),"")</f>
        <v/>
      </c>
      <c r="R946" s="333">
        <f t="shared" ref="R946:R956" si="218">+IF(P946&lt;=0,ABS(P946),"")</f>
        <v>14.379571042810486</v>
      </c>
      <c r="S946" s="307"/>
    </row>
    <row r="947" spans="1:19" ht="15.75" customHeight="1" x14ac:dyDescent="0.3">
      <c r="A947" s="365" t="s">
        <v>10</v>
      </c>
      <c r="B947" s="325">
        <f>+B920/($D$10*24)</f>
        <v>335.49059139784947</v>
      </c>
      <c r="C947" s="164">
        <f t="shared" ref="C947:P947" si="219">+C920/($D$10*24)</f>
        <v>0</v>
      </c>
      <c r="D947" s="164">
        <f t="shared" si="219"/>
        <v>13.82258064516129</v>
      </c>
      <c r="E947" s="164">
        <f t="shared" si="219"/>
        <v>335.49059139784947</v>
      </c>
      <c r="F947" s="333">
        <f t="shared" si="219"/>
        <v>349.31317204301075</v>
      </c>
      <c r="G947" s="164">
        <f t="shared" si="219"/>
        <v>1.3137862508204288</v>
      </c>
      <c r="H947" s="164">
        <f t="shared" si="219"/>
        <v>21.940860215053764</v>
      </c>
      <c r="I947" s="164">
        <f t="shared" si="219"/>
        <v>0</v>
      </c>
      <c r="J947" s="164">
        <f t="shared" si="219"/>
        <v>21.940860215053764</v>
      </c>
      <c r="K947" s="164">
        <f t="shared" si="219"/>
        <v>0</v>
      </c>
      <c r="L947" s="164">
        <f t="shared" si="219"/>
        <v>0</v>
      </c>
      <c r="M947" s="399">
        <f t="shared" si="219"/>
        <v>340</v>
      </c>
      <c r="N947" s="400">
        <f t="shared" si="219"/>
        <v>0</v>
      </c>
      <c r="O947" s="386">
        <f t="shared" si="219"/>
        <v>340</v>
      </c>
      <c r="P947" s="414">
        <f t="shared" si="219"/>
        <v>-13.941474422863433</v>
      </c>
      <c r="Q947" s="164" t="str">
        <f t="shared" si="217"/>
        <v/>
      </c>
      <c r="R947" s="333">
        <f t="shared" si="218"/>
        <v>13.941474422863433</v>
      </c>
      <c r="S947" s="307"/>
    </row>
    <row r="948" spans="1:19" ht="15.75" customHeight="1" x14ac:dyDescent="0.3">
      <c r="A948" s="365" t="s">
        <v>12</v>
      </c>
      <c r="B948" s="325">
        <f>+B921/($F$10*24)</f>
        <v>374.62361111111113</v>
      </c>
      <c r="C948" s="164">
        <f t="shared" ref="C948:P948" si="220">+C921/($F$10*24)</f>
        <v>0</v>
      </c>
      <c r="D948" s="164">
        <f t="shared" si="220"/>
        <v>15.502777777777778</v>
      </c>
      <c r="E948" s="164">
        <f t="shared" si="220"/>
        <v>374.62361111111113</v>
      </c>
      <c r="F948" s="333">
        <f t="shared" si="220"/>
        <v>390.12638888888887</v>
      </c>
      <c r="G948" s="164">
        <f t="shared" si="220"/>
        <v>7.563108193829712</v>
      </c>
      <c r="H948" s="164">
        <f t="shared" si="220"/>
        <v>24.293055555555554</v>
      </c>
      <c r="I948" s="164">
        <f t="shared" si="220"/>
        <v>0</v>
      </c>
      <c r="J948" s="164">
        <f t="shared" si="220"/>
        <v>24.293055555555554</v>
      </c>
      <c r="K948" s="164">
        <f t="shared" si="220"/>
        <v>0</v>
      </c>
      <c r="L948" s="164">
        <f t="shared" si="220"/>
        <v>0</v>
      </c>
      <c r="M948" s="399">
        <f t="shared" si="220"/>
        <v>406.48888888888888</v>
      </c>
      <c r="N948" s="400">
        <f t="shared" si="220"/>
        <v>0</v>
      </c>
      <c r="O948" s="386">
        <f t="shared" si="220"/>
        <v>406.48888888888888</v>
      </c>
      <c r="P948" s="414">
        <f t="shared" si="220"/>
        <v>-48.218663749385286</v>
      </c>
      <c r="Q948" s="164" t="str">
        <f t="shared" si="217"/>
        <v/>
      </c>
      <c r="R948" s="333">
        <f t="shared" si="218"/>
        <v>48.218663749385286</v>
      </c>
      <c r="S948" s="307"/>
    </row>
    <row r="949" spans="1:19" ht="15.75" customHeight="1" x14ac:dyDescent="0.3">
      <c r="A949" s="365" t="s">
        <v>13</v>
      </c>
      <c r="B949" s="325">
        <f>+B922/($G$10*24)</f>
        <v>401.45967741935482</v>
      </c>
      <c r="C949" s="164">
        <f t="shared" ref="C949:P949" si="221">+C922/($G$10*24)</f>
        <v>0</v>
      </c>
      <c r="D949" s="164">
        <f t="shared" si="221"/>
        <v>16.426075268817204</v>
      </c>
      <c r="E949" s="164">
        <f t="shared" si="221"/>
        <v>401.45967741935482</v>
      </c>
      <c r="F949" s="333">
        <f t="shared" si="221"/>
        <v>417.88575268817203</v>
      </c>
      <c r="G949" s="164">
        <f t="shared" si="221"/>
        <v>0.7292058244402857</v>
      </c>
      <c r="H949" s="164">
        <f t="shared" si="221"/>
        <v>17.077956989247312</v>
      </c>
      <c r="I949" s="164">
        <f t="shared" si="221"/>
        <v>0</v>
      </c>
      <c r="J949" s="164">
        <f t="shared" si="221"/>
        <v>17.077956989247312</v>
      </c>
      <c r="K949" s="164">
        <f t="shared" si="221"/>
        <v>0</v>
      </c>
      <c r="L949" s="164">
        <f t="shared" si="221"/>
        <v>0</v>
      </c>
      <c r="M949" s="399">
        <f t="shared" si="221"/>
        <v>411.96774193548384</v>
      </c>
      <c r="N949" s="400">
        <f t="shared" si="221"/>
        <v>16</v>
      </c>
      <c r="O949" s="386">
        <f t="shared" si="221"/>
        <v>427.96774193548384</v>
      </c>
      <c r="P949" s="414">
        <f t="shared" si="221"/>
        <v>-27.88915206099945</v>
      </c>
      <c r="Q949" s="164" t="str">
        <f t="shared" si="217"/>
        <v/>
      </c>
      <c r="R949" s="333">
        <f t="shared" si="218"/>
        <v>27.88915206099945</v>
      </c>
      <c r="S949" s="307"/>
    </row>
    <row r="950" spans="1:19" ht="15.75" customHeight="1" x14ac:dyDescent="0.3">
      <c r="A950" s="365" t="s">
        <v>14</v>
      </c>
      <c r="B950" s="325">
        <f>+B923/($H$10*24)</f>
        <v>216.79722222222222</v>
      </c>
      <c r="C950" s="164">
        <f t="shared" ref="C950:P950" si="222">+C923/($H$10*24)</f>
        <v>0</v>
      </c>
      <c r="D950" s="164">
        <f t="shared" si="222"/>
        <v>8.7236111111111114</v>
      </c>
      <c r="E950" s="164">
        <f t="shared" si="222"/>
        <v>216.79722222222222</v>
      </c>
      <c r="F950" s="333">
        <f t="shared" si="222"/>
        <v>225.52083333333334</v>
      </c>
      <c r="G950" s="164">
        <f t="shared" si="222"/>
        <v>15.693369128359718</v>
      </c>
      <c r="H950" s="164">
        <f t="shared" si="222"/>
        <v>16.641666666666666</v>
      </c>
      <c r="I950" s="164">
        <f t="shared" si="222"/>
        <v>0</v>
      </c>
      <c r="J950" s="164">
        <f t="shared" si="222"/>
        <v>16.641666666666666</v>
      </c>
      <c r="K950" s="164">
        <f t="shared" si="222"/>
        <v>0</v>
      </c>
      <c r="L950" s="164">
        <f t="shared" si="222"/>
        <v>0</v>
      </c>
      <c r="M950" s="399">
        <f t="shared" si="222"/>
        <v>199</v>
      </c>
      <c r="N950" s="400">
        <f t="shared" si="222"/>
        <v>0</v>
      </c>
      <c r="O950" s="386">
        <f t="shared" si="222"/>
        <v>199</v>
      </c>
      <c r="P950" s="414">
        <f t="shared" si="222"/>
        <v>-5.814202461693033</v>
      </c>
      <c r="Q950" s="164" t="str">
        <f t="shared" si="217"/>
        <v/>
      </c>
      <c r="R950" s="333">
        <f t="shared" si="218"/>
        <v>5.814202461693033</v>
      </c>
      <c r="S950" s="307"/>
    </row>
    <row r="951" spans="1:19" ht="15.75" customHeight="1" x14ac:dyDescent="0.3">
      <c r="A951" s="365" t="s">
        <v>16</v>
      </c>
      <c r="B951" s="325">
        <f>+B924/($J$10*24)</f>
        <v>194.22043010752688</v>
      </c>
      <c r="C951" s="164">
        <f t="shared" ref="C951:P951" si="223">+C924/($J$10*24)</f>
        <v>0</v>
      </c>
      <c r="D951" s="164">
        <f t="shared" si="223"/>
        <v>7.748655913978495</v>
      </c>
      <c r="E951" s="164">
        <f t="shared" si="223"/>
        <v>194.22043010752688</v>
      </c>
      <c r="F951" s="333">
        <f t="shared" si="223"/>
        <v>201.96908602150538</v>
      </c>
      <c r="G951" s="164">
        <f t="shared" si="223"/>
        <v>14.301286117346022</v>
      </c>
      <c r="H951" s="164">
        <f t="shared" si="223"/>
        <v>14.206989247311828</v>
      </c>
      <c r="I951" s="164">
        <f t="shared" si="223"/>
        <v>0</v>
      </c>
      <c r="J951" s="164">
        <f t="shared" si="223"/>
        <v>14.206989247311828</v>
      </c>
      <c r="K951" s="164">
        <f t="shared" si="223"/>
        <v>0</v>
      </c>
      <c r="L951" s="164">
        <f t="shared" si="223"/>
        <v>0</v>
      </c>
      <c r="M951" s="399">
        <f t="shared" si="223"/>
        <v>202</v>
      </c>
      <c r="N951" s="400">
        <f t="shared" si="223"/>
        <v>0</v>
      </c>
      <c r="O951" s="386">
        <f t="shared" si="223"/>
        <v>202</v>
      </c>
      <c r="P951" s="414">
        <f t="shared" si="223"/>
        <v>-28.539189343152458</v>
      </c>
      <c r="Q951" s="164" t="str">
        <f t="shared" si="217"/>
        <v/>
      </c>
      <c r="R951" s="333">
        <f t="shared" si="218"/>
        <v>28.539189343152458</v>
      </c>
      <c r="S951" s="307"/>
    </row>
    <row r="952" spans="1:19" ht="15.75" customHeight="1" x14ac:dyDescent="0.3">
      <c r="A952" s="365" t="s">
        <v>17</v>
      </c>
      <c r="B952" s="325">
        <f>+B925/($K$10*24)</f>
        <v>187.03897849462365</v>
      </c>
      <c r="C952" s="164">
        <f t="shared" ref="C952:P952" si="224">+C925/($K$10*24)</f>
        <v>0</v>
      </c>
      <c r="D952" s="164">
        <f t="shared" si="224"/>
        <v>7.463709677419355</v>
      </c>
      <c r="E952" s="164">
        <f t="shared" si="224"/>
        <v>187.03897849462365</v>
      </c>
      <c r="F952" s="333">
        <f t="shared" si="224"/>
        <v>194.50268817204301</v>
      </c>
      <c r="G952" s="164">
        <f t="shared" si="224"/>
        <v>13.776535256222836</v>
      </c>
      <c r="H952" s="164">
        <f t="shared" si="224"/>
        <v>15.415322580645162</v>
      </c>
      <c r="I952" s="164">
        <f t="shared" si="224"/>
        <v>0</v>
      </c>
      <c r="J952" s="164">
        <f t="shared" si="224"/>
        <v>15.415322580645162</v>
      </c>
      <c r="K952" s="164">
        <f t="shared" si="224"/>
        <v>0</v>
      </c>
      <c r="L952" s="164">
        <f t="shared" si="224"/>
        <v>0</v>
      </c>
      <c r="M952" s="399">
        <f t="shared" si="224"/>
        <v>212</v>
      </c>
      <c r="N952" s="400">
        <f t="shared" si="224"/>
        <v>0</v>
      </c>
      <c r="O952" s="386">
        <f t="shared" si="224"/>
        <v>212</v>
      </c>
      <c r="P952" s="414">
        <f t="shared" si="224"/>
        <v>-46.689169664824973</v>
      </c>
      <c r="Q952" s="164" t="str">
        <f t="shared" si="217"/>
        <v/>
      </c>
      <c r="R952" s="333">
        <f t="shared" si="218"/>
        <v>46.689169664824973</v>
      </c>
      <c r="S952" s="307"/>
    </row>
    <row r="953" spans="1:19" ht="15.75" customHeight="1" x14ac:dyDescent="0.3">
      <c r="A953" s="365" t="s">
        <v>18</v>
      </c>
      <c r="B953" s="325">
        <f>+B926/($L$10*24)</f>
        <v>378.66805555555555</v>
      </c>
      <c r="C953" s="164">
        <f t="shared" ref="C953:P953" si="225">+C926/($L$10*24)</f>
        <v>0</v>
      </c>
      <c r="D953" s="164">
        <f t="shared" si="225"/>
        <v>15.595833333333333</v>
      </c>
      <c r="E953" s="164">
        <f t="shared" si="225"/>
        <v>378.66805555555555</v>
      </c>
      <c r="F953" s="333">
        <f t="shared" si="225"/>
        <v>394.26388888888891</v>
      </c>
      <c r="G953" s="164">
        <f t="shared" si="225"/>
        <v>0.28743004270283834</v>
      </c>
      <c r="H953" s="164">
        <f t="shared" si="225"/>
        <v>14.591666666666667</v>
      </c>
      <c r="I953" s="164">
        <f t="shared" si="225"/>
        <v>0</v>
      </c>
      <c r="J953" s="164">
        <f t="shared" si="225"/>
        <v>14.311111111111112</v>
      </c>
      <c r="K953" s="164">
        <f t="shared" si="225"/>
        <v>0</v>
      </c>
      <c r="L953" s="164">
        <f t="shared" si="225"/>
        <v>0</v>
      </c>
      <c r="M953" s="399">
        <f t="shared" si="225"/>
        <v>314.66666666666669</v>
      </c>
      <c r="N953" s="400">
        <f t="shared" si="225"/>
        <v>99.333333333333329</v>
      </c>
      <c r="O953" s="386">
        <f t="shared" si="225"/>
        <v>414</v>
      </c>
      <c r="P953" s="414">
        <f t="shared" si="225"/>
        <v>-34.334652264925047</v>
      </c>
      <c r="Q953" s="164" t="str">
        <f t="shared" si="217"/>
        <v/>
      </c>
      <c r="R953" s="333">
        <f t="shared" si="218"/>
        <v>34.334652264925047</v>
      </c>
      <c r="S953" s="307"/>
    </row>
    <row r="954" spans="1:19" ht="15.75" customHeight="1" x14ac:dyDescent="0.3">
      <c r="A954" s="365" t="s">
        <v>20</v>
      </c>
      <c r="B954" s="325">
        <f>+B927/($N$10*24)</f>
        <v>264.25806451612902</v>
      </c>
      <c r="C954" s="164">
        <f t="shared" ref="C954:P954" si="226">+C927/($N$10*24)</f>
        <v>0</v>
      </c>
      <c r="D954" s="164">
        <f t="shared" si="226"/>
        <v>10.868279569892474</v>
      </c>
      <c r="E954" s="164">
        <f t="shared" si="226"/>
        <v>264.25806451612902</v>
      </c>
      <c r="F954" s="333">
        <f t="shared" si="226"/>
        <v>275.1263440860215</v>
      </c>
      <c r="G954" s="164">
        <f t="shared" si="226"/>
        <v>1.538823565160311</v>
      </c>
      <c r="H954" s="164">
        <f t="shared" si="226"/>
        <v>9.408602150537634</v>
      </c>
      <c r="I954" s="164">
        <f t="shared" si="226"/>
        <v>0</v>
      </c>
      <c r="J954" s="164">
        <f t="shared" si="226"/>
        <v>9.408602150537634</v>
      </c>
      <c r="K954" s="164">
        <f t="shared" si="226"/>
        <v>0</v>
      </c>
      <c r="L954" s="164">
        <f t="shared" si="226"/>
        <v>0</v>
      </c>
      <c r="M954" s="399">
        <f t="shared" si="226"/>
        <v>260.68817204301075</v>
      </c>
      <c r="N954" s="400">
        <f t="shared" si="226"/>
        <v>0</v>
      </c>
      <c r="O954" s="386">
        <f t="shared" si="226"/>
        <v>260.68817204301075</v>
      </c>
      <c r="P954" s="414">
        <f t="shared" si="226"/>
        <v>3.4907463273128245</v>
      </c>
      <c r="Q954" s="164">
        <f t="shared" si="217"/>
        <v>3.4907463273128245</v>
      </c>
      <c r="R954" s="333" t="str">
        <f t="shared" si="218"/>
        <v/>
      </c>
      <c r="S954" s="307"/>
    </row>
    <row r="955" spans="1:19" ht="15.75" customHeight="1" x14ac:dyDescent="0.3">
      <c r="A955" s="365" t="s">
        <v>21</v>
      </c>
      <c r="B955" s="325">
        <f>+B928/($O$10*24)</f>
        <v>261.35694444444442</v>
      </c>
      <c r="C955" s="164">
        <f t="shared" ref="C955:P955" si="227">+C928/($O$10*24)</f>
        <v>0</v>
      </c>
      <c r="D955" s="164">
        <f t="shared" si="227"/>
        <v>10.679166666666667</v>
      </c>
      <c r="E955" s="164">
        <f t="shared" si="227"/>
        <v>261.35694444444442</v>
      </c>
      <c r="F955" s="333">
        <f t="shared" si="227"/>
        <v>272.0361111111111</v>
      </c>
      <c r="G955" s="164">
        <f t="shared" si="227"/>
        <v>0</v>
      </c>
      <c r="H955" s="164">
        <f t="shared" si="227"/>
        <v>13.888888888888889</v>
      </c>
      <c r="I955" s="164">
        <f t="shared" si="227"/>
        <v>0</v>
      </c>
      <c r="J955" s="164">
        <f t="shared" si="227"/>
        <v>13.888888888888889</v>
      </c>
      <c r="K955" s="164">
        <f t="shared" si="227"/>
        <v>0</v>
      </c>
      <c r="L955" s="164">
        <f t="shared" si="227"/>
        <v>0</v>
      </c>
      <c r="M955" s="399">
        <f t="shared" si="227"/>
        <v>268.33333333333331</v>
      </c>
      <c r="N955" s="400">
        <f t="shared" si="227"/>
        <v>0</v>
      </c>
      <c r="O955" s="386">
        <f t="shared" si="227"/>
        <v>268.33333333333331</v>
      </c>
      <c r="P955" s="414">
        <f t="shared" si="227"/>
        <v>-10.186111111111112</v>
      </c>
      <c r="Q955" s="164" t="str">
        <f t="shared" si="217"/>
        <v/>
      </c>
      <c r="R955" s="333">
        <f t="shared" si="218"/>
        <v>10.186111111111112</v>
      </c>
      <c r="S955" s="307"/>
    </row>
    <row r="956" spans="1:19" ht="15.75" customHeight="1" thickBot="1" x14ac:dyDescent="0.35">
      <c r="A956" s="365" t="s">
        <v>22</v>
      </c>
      <c r="B956" s="330">
        <f>+B929/($P$10*24)</f>
        <v>288.35349462365593</v>
      </c>
      <c r="C956" s="335">
        <f t="shared" ref="C956:P956" si="228">+C929/($P$10*24)</f>
        <v>0</v>
      </c>
      <c r="D956" s="335">
        <f t="shared" si="228"/>
        <v>11.69758064516129</v>
      </c>
      <c r="E956" s="335">
        <f t="shared" si="228"/>
        <v>288.35349462365593</v>
      </c>
      <c r="F956" s="405">
        <f t="shared" si="228"/>
        <v>300.05107526881721</v>
      </c>
      <c r="G956" s="335">
        <f t="shared" si="228"/>
        <v>0</v>
      </c>
      <c r="H956" s="335">
        <f t="shared" si="228"/>
        <v>10.080645161290322</v>
      </c>
      <c r="I956" s="335">
        <f t="shared" si="228"/>
        <v>0</v>
      </c>
      <c r="J956" s="335">
        <f t="shared" si="228"/>
        <v>10.080645161290322</v>
      </c>
      <c r="K956" s="335">
        <f t="shared" si="228"/>
        <v>0</v>
      </c>
      <c r="L956" s="335">
        <f t="shared" si="228"/>
        <v>0</v>
      </c>
      <c r="M956" s="451">
        <f t="shared" si="228"/>
        <v>263.77419354838707</v>
      </c>
      <c r="N956" s="410">
        <f t="shared" si="228"/>
        <v>38.032258064516128</v>
      </c>
      <c r="O956" s="407">
        <f t="shared" si="228"/>
        <v>301.80645161290323</v>
      </c>
      <c r="P956" s="415">
        <f t="shared" si="228"/>
        <v>-11.836021505376344</v>
      </c>
      <c r="Q956" s="335" t="str">
        <f t="shared" si="217"/>
        <v/>
      </c>
      <c r="R956" s="405">
        <f t="shared" si="218"/>
        <v>11.836021505376344</v>
      </c>
      <c r="S956" s="307"/>
    </row>
    <row r="957" spans="1:19" ht="15.75" customHeight="1" x14ac:dyDescent="0.3">
      <c r="A957" s="416"/>
      <c r="S957" s="307"/>
    </row>
    <row r="958" spans="1:19" ht="16.5" customHeight="1" thickBot="1" x14ac:dyDescent="0.35">
      <c r="A958" s="417"/>
      <c r="B958" s="312"/>
      <c r="C958" s="312"/>
      <c r="D958" s="312"/>
      <c r="E958" s="312"/>
      <c r="F958" s="312"/>
      <c r="G958" s="312"/>
      <c r="H958" s="312"/>
      <c r="I958" s="312"/>
      <c r="J958" s="312"/>
      <c r="K958" s="312"/>
      <c r="L958" s="312"/>
      <c r="M958" s="312"/>
      <c r="N958" s="312"/>
      <c r="O958" s="312"/>
      <c r="P958" s="312"/>
      <c r="Q958" s="312"/>
      <c r="R958" s="312"/>
      <c r="S958" s="313"/>
    </row>
    <row r="959" spans="1:19" ht="15.75" customHeight="1" x14ac:dyDescent="0.3">
      <c r="A959" s="166"/>
      <c r="B959" s="159"/>
      <c r="C959" s="159"/>
      <c r="D959" s="159"/>
      <c r="E959" s="159"/>
      <c r="F959" s="159"/>
      <c r="G959" s="159"/>
      <c r="H959" s="159"/>
      <c r="I959" s="159"/>
      <c r="J959" s="159"/>
      <c r="K959" s="159"/>
      <c r="L959" s="159"/>
      <c r="M959" s="159"/>
      <c r="N959" s="159"/>
      <c r="O959" s="159"/>
      <c r="P959" s="159"/>
      <c r="Q959" s="159"/>
      <c r="R959" s="159"/>
    </row>
    <row r="960" spans="1:19" ht="15.75" customHeight="1" x14ac:dyDescent="0.3">
      <c r="A960" s="418"/>
    </row>
    <row r="961" spans="1:50" ht="15.75" customHeight="1" thickBot="1" x14ac:dyDescent="0.35">
      <c r="A961" s="418"/>
    </row>
    <row r="962" spans="1:50" ht="15.75" customHeight="1" x14ac:dyDescent="0.3">
      <c r="A962" s="419"/>
      <c r="B962" s="506" t="s">
        <v>1080</v>
      </c>
      <c r="C962" s="506"/>
      <c r="D962" s="506"/>
      <c r="E962" s="506"/>
      <c r="F962" s="506"/>
      <c r="G962" s="506"/>
      <c r="H962" s="506"/>
      <c r="I962" s="506"/>
      <c r="J962" s="506"/>
      <c r="K962" s="506"/>
      <c r="L962" s="506"/>
      <c r="M962" s="506"/>
      <c r="N962" s="506"/>
      <c r="O962" s="506"/>
      <c r="P962" s="506"/>
      <c r="Q962" s="361" t="str">
        <f>+Q1</f>
        <v xml:space="preserve">PRINTED:  </v>
      </c>
      <c r="R962" s="367">
        <f ca="1">+R1</f>
        <v>44909.46975358796</v>
      </c>
      <c r="S962" s="332"/>
    </row>
    <row r="963" spans="1:50" ht="15.75" customHeight="1" x14ac:dyDescent="0.3">
      <c r="A963" s="420"/>
      <c r="B963" s="503" t="str">
        <f>+A8</f>
        <v>Revised:  5/2/2016</v>
      </c>
      <c r="C963" s="503"/>
      <c r="D963" s="503"/>
      <c r="E963" s="503"/>
      <c r="F963" s="503"/>
      <c r="G963" s="503"/>
      <c r="H963" s="503"/>
      <c r="I963" s="503"/>
      <c r="J963" s="503"/>
      <c r="K963" s="503"/>
      <c r="L963" s="503"/>
      <c r="M963" s="503"/>
      <c r="N963" s="503"/>
      <c r="O963" s="503"/>
      <c r="P963" s="503"/>
      <c r="Q963" s="159"/>
      <c r="R963" s="159"/>
      <c r="S963" s="307"/>
    </row>
    <row r="964" spans="1:50" ht="16.5" customHeight="1" x14ac:dyDescent="0.3">
      <c r="A964" s="420"/>
      <c r="B964" s="503" t="s">
        <v>1024</v>
      </c>
      <c r="C964" s="503"/>
      <c r="D964" s="503"/>
      <c r="E964" s="503"/>
      <c r="F964" s="503"/>
      <c r="G964" s="503"/>
      <c r="H964" s="503"/>
      <c r="I964" s="503"/>
      <c r="J964" s="503"/>
      <c r="K964" s="503"/>
      <c r="L964" s="503"/>
      <c r="M964" s="503"/>
      <c r="N964" s="503"/>
      <c r="O964" s="503"/>
      <c r="P964" s="503"/>
      <c r="Q964" s="159"/>
      <c r="R964" s="159"/>
      <c r="S964" s="307"/>
    </row>
    <row r="965" spans="1:50" ht="15.75" customHeight="1" x14ac:dyDescent="0.3">
      <c r="A965" s="420"/>
      <c r="B965" s="159"/>
      <c r="C965" s="159"/>
      <c r="D965" s="159"/>
      <c r="E965" s="159"/>
      <c r="F965" s="159"/>
      <c r="G965" s="159"/>
      <c r="H965" s="159"/>
      <c r="I965" s="159"/>
      <c r="J965" s="159"/>
      <c r="K965" s="159"/>
      <c r="L965" s="159"/>
      <c r="M965" s="159"/>
      <c r="N965" s="159"/>
      <c r="O965" s="159"/>
      <c r="P965" s="159"/>
      <c r="Q965" s="159"/>
      <c r="R965" s="159"/>
      <c r="S965" s="307"/>
      <c r="AG965" s="365"/>
    </row>
    <row r="966" spans="1:50" ht="15.75" customHeight="1" x14ac:dyDescent="0.3">
      <c r="A966" s="420"/>
      <c r="B966" s="539">
        <f>+A5</f>
        <v>2015</v>
      </c>
      <c r="C966" s="509"/>
      <c r="D966" s="509"/>
      <c r="E966" s="509"/>
      <c r="F966" s="509"/>
      <c r="G966" s="509"/>
      <c r="H966" s="509"/>
      <c r="I966" s="509"/>
      <c r="J966" s="509"/>
      <c r="K966" s="509"/>
      <c r="L966" s="509"/>
      <c r="M966" s="509"/>
      <c r="N966" s="509"/>
      <c r="O966" s="509"/>
      <c r="P966" s="509"/>
      <c r="Q966" s="159"/>
      <c r="R966" s="159"/>
      <c r="S966" s="307"/>
      <c r="AE966" s="4" t="s">
        <v>1081</v>
      </c>
      <c r="AF966" s="4" t="s">
        <v>1082</v>
      </c>
    </row>
    <row r="967" spans="1:50" ht="15.75" customHeight="1" thickBot="1" x14ac:dyDescent="0.35">
      <c r="A967" s="420"/>
      <c r="B967" s="503" t="s">
        <v>457</v>
      </c>
      <c r="C967" s="503"/>
      <c r="D967" s="503"/>
      <c r="E967" s="503"/>
      <c r="F967" s="503"/>
      <c r="G967" s="503"/>
      <c r="H967" s="503"/>
      <c r="I967" s="503"/>
      <c r="J967" s="503"/>
      <c r="K967" s="503"/>
      <c r="L967" s="503"/>
      <c r="M967" s="503"/>
      <c r="N967" s="503"/>
      <c r="O967" s="503"/>
      <c r="P967" s="503"/>
      <c r="Q967" s="159"/>
      <c r="R967" s="159"/>
      <c r="S967" s="307"/>
      <c r="AC967" s="4" t="s">
        <v>1083</v>
      </c>
      <c r="AD967" s="421" t="s">
        <v>10</v>
      </c>
      <c r="AE967" s="4" t="e">
        <f ca="1">DAY(DATE($A$5,MonthFromText(AD967)+1,1)-1)</f>
        <v>#NAME?</v>
      </c>
    </row>
    <row r="968" spans="1:50" ht="15.75" customHeight="1" x14ac:dyDescent="0.3">
      <c r="A968" s="420"/>
      <c r="B968" s="546" t="s">
        <v>1084</v>
      </c>
      <c r="C968" s="547"/>
      <c r="D968" s="548"/>
      <c r="E968" s="164"/>
      <c r="F968" s="164"/>
      <c r="G968" s="164"/>
      <c r="H968" s="164"/>
      <c r="I968" s="164"/>
      <c r="J968" s="164"/>
      <c r="K968" s="164"/>
      <c r="L968" s="164"/>
      <c r="M968" s="164"/>
      <c r="N968" s="164"/>
      <c r="O968" s="164"/>
      <c r="P968" s="164"/>
      <c r="Q968" s="159"/>
      <c r="R968" s="159"/>
      <c r="S968" s="422"/>
    </row>
    <row r="969" spans="1:50" ht="15.75" customHeight="1" thickBot="1" x14ac:dyDescent="0.35">
      <c r="A969" s="364" t="s">
        <v>1071</v>
      </c>
      <c r="B969" s="423" t="s">
        <v>1085</v>
      </c>
      <c r="C969" s="424" t="s">
        <v>1086</v>
      </c>
      <c r="D969" s="425" t="s">
        <v>1087</v>
      </c>
      <c r="E969" s="424" t="s">
        <v>391</v>
      </c>
      <c r="F969" s="424" t="s">
        <v>392</v>
      </c>
      <c r="G969" s="424" t="s">
        <v>393</v>
      </c>
      <c r="H969" s="424" t="s">
        <v>1088</v>
      </c>
      <c r="I969" s="424" t="s">
        <v>1089</v>
      </c>
      <c r="J969" s="424" t="s">
        <v>395</v>
      </c>
      <c r="K969" s="424" t="s">
        <v>396</v>
      </c>
      <c r="L969" s="424" t="s">
        <v>397</v>
      </c>
      <c r="M969" s="424" t="s">
        <v>398</v>
      </c>
      <c r="N969" s="424" t="s">
        <v>399</v>
      </c>
      <c r="O969" s="424" t="s">
        <v>400</v>
      </c>
      <c r="P969" s="424" t="s">
        <v>401</v>
      </c>
      <c r="Q969" s="424" t="s">
        <v>402</v>
      </c>
      <c r="R969" s="424" t="s">
        <v>403</v>
      </c>
      <c r="S969" s="425" t="s">
        <v>404</v>
      </c>
      <c r="T969" s="426" t="s">
        <v>1090</v>
      </c>
      <c r="U969" s="426" t="s">
        <v>1091</v>
      </c>
      <c r="V969" s="426" t="s">
        <v>1092</v>
      </c>
      <c r="AD969" s="364" t="s">
        <v>390</v>
      </c>
      <c r="AE969" s="364" t="s">
        <v>391</v>
      </c>
      <c r="AF969" s="364" t="s">
        <v>392</v>
      </c>
      <c r="AG969" s="364" t="s">
        <v>393</v>
      </c>
      <c r="AH969" s="364" t="s">
        <v>394</v>
      </c>
      <c r="AI969" s="364" t="s">
        <v>395</v>
      </c>
      <c r="AJ969" s="364" t="s">
        <v>396</v>
      </c>
      <c r="AK969" s="364" t="s">
        <v>397</v>
      </c>
      <c r="AL969" s="364" t="s">
        <v>398</v>
      </c>
      <c r="AM969" s="364" t="s">
        <v>399</v>
      </c>
      <c r="AN969" s="364" t="s">
        <v>400</v>
      </c>
      <c r="AO969" s="364" t="s">
        <v>401</v>
      </c>
      <c r="AP969" s="364" t="s">
        <v>402</v>
      </c>
      <c r="AQ969" s="364" t="s">
        <v>403</v>
      </c>
      <c r="AR969" s="364" t="s">
        <v>404</v>
      </c>
      <c r="AS969" s="364" t="s">
        <v>422</v>
      </c>
      <c r="AT969" s="364" t="s">
        <v>477</v>
      </c>
      <c r="AU969" s="364" t="s">
        <v>422</v>
      </c>
      <c r="AW969" s="426" t="s">
        <v>1093</v>
      </c>
      <c r="AX969" s="426" t="s">
        <v>1094</v>
      </c>
    </row>
    <row r="970" spans="1:50" ht="15.75" customHeight="1" x14ac:dyDescent="0.3">
      <c r="A970" s="375" t="s">
        <v>795</v>
      </c>
      <c r="B970" s="375">
        <f t="shared" ref="B970:C981" si="229">+F997</f>
        <v>245</v>
      </c>
      <c r="C970" s="365">
        <f t="shared" si="229"/>
        <v>0</v>
      </c>
      <c r="D970" s="427" t="s">
        <v>1095</v>
      </c>
      <c r="E970" s="365">
        <f t="shared" ref="E970:S970" si="230">+C890/$B$10/24</f>
        <v>28.702956989247312</v>
      </c>
      <c r="F970" s="365">
        <f t="shared" si="230"/>
        <v>30.098118279569892</v>
      </c>
      <c r="G970" s="365">
        <f t="shared" si="230"/>
        <v>51.163978494623656</v>
      </c>
      <c r="H970" s="365">
        <f t="shared" si="230"/>
        <v>32.98485731753351</v>
      </c>
      <c r="I970" s="365">
        <f t="shared" si="230"/>
        <v>0</v>
      </c>
      <c r="J970" s="365">
        <f t="shared" si="230"/>
        <v>5.139784946236559</v>
      </c>
      <c r="K970" s="365">
        <f t="shared" si="230"/>
        <v>3.663978494623656</v>
      </c>
      <c r="L970" s="365">
        <f t="shared" si="230"/>
        <v>5.379032258064516</v>
      </c>
      <c r="M970" s="365">
        <f t="shared" si="230"/>
        <v>5.264784946236559</v>
      </c>
      <c r="N970" s="365">
        <f t="shared" si="230"/>
        <v>1.935483870967742</v>
      </c>
      <c r="O970" s="365">
        <f t="shared" si="230"/>
        <v>2.2809139784946235</v>
      </c>
      <c r="P970" s="365">
        <f t="shared" si="230"/>
        <v>4.791666666666667</v>
      </c>
      <c r="Q970" s="365">
        <f t="shared" si="230"/>
        <v>0.29838709677419356</v>
      </c>
      <c r="R970" s="365">
        <f t="shared" si="230"/>
        <v>0.89784946236559138</v>
      </c>
      <c r="S970" s="427">
        <f t="shared" si="230"/>
        <v>0.70430107526881713</v>
      </c>
      <c r="T970" s="365">
        <f t="shared" ref="T970:T981" si="231">+B970+SUM(E970:S970)</f>
        <v>418.30609387667329</v>
      </c>
      <c r="U970" s="365">
        <f t="shared" ref="U970:U981" si="232">+C970+SUM(E970:S970)</f>
        <v>173.30609387667329</v>
      </c>
      <c r="V970" s="365" t="s">
        <v>1095</v>
      </c>
      <c r="AC970" s="4">
        <v>1</v>
      </c>
      <c r="AD970" s="365">
        <f t="shared" ref="AD970:AD975" si="233">IF($AF$967=1,VLOOKUP($AD$967,$A$997:$P$1008,12,FALSE),VLOOKUP($AD$967,$A$970:$S$981,2,FALSE))</f>
        <v>294</v>
      </c>
      <c r="AE970" s="365">
        <f>VLOOKUP($AD$967,$A$970:$S$981,5,FALSE)</f>
        <v>23.692204301075268</v>
      </c>
      <c r="AF970" s="365">
        <f>VLOOKUP($AD$967,$A$970:$S$981,6,FALSE)</f>
        <v>24.813172043010752</v>
      </c>
      <c r="AG970" s="365">
        <f>VLOOKUP($AD$967,$A$970:$S$981,7,FALSE)</f>
        <v>41.25</v>
      </c>
      <c r="AH970" s="365">
        <f>VLOOKUP($AD$967,$A$970:$S$981,8,FALSE)</f>
        <v>3.468394956763083</v>
      </c>
      <c r="AI970" s="365">
        <f>VLOOKUP($AD$967,$A$970:$S$981,10,FALSE)</f>
        <v>12.745967741935482</v>
      </c>
      <c r="AJ970" s="365">
        <f>VLOOKUP($AD$967,$A$970:$S$981,11,FALSE)</f>
        <v>7.176075268817204</v>
      </c>
      <c r="AK970" s="365">
        <f>VLOOKUP($AD$967,$A$970:$S$981,12,FALSE)</f>
        <v>9.2822580645161299</v>
      </c>
      <c r="AL970" s="365">
        <f>VLOOKUP($AD$967,$A$970:$S$981,13,FALSE)</f>
        <v>8.297043010752688</v>
      </c>
      <c r="AM970" s="365">
        <f>VLOOKUP($AD$967,$A$970:$S$981,14,FALSE)</f>
        <v>2.806451612903226</v>
      </c>
      <c r="AN970" s="365">
        <f>VLOOKUP($AD$967,$A$970:$S$981,15,FALSE)</f>
        <v>3.306451612903226</v>
      </c>
      <c r="AO970" s="365">
        <f>VLOOKUP($AD$967,$A$970:$S$981,16,FALSE)</f>
        <v>6.4704301075268811</v>
      </c>
      <c r="AP970" s="365">
        <f>VLOOKUP($AD$967,$A$970:$S$981,17,FALSE)</f>
        <v>1.0793010752688172</v>
      </c>
      <c r="AQ970" s="365">
        <f>VLOOKUP($AD$967,$A$970:$S$981,18,FALSE)</f>
        <v>2.3776881720430105</v>
      </c>
      <c r="AR970" s="365">
        <f>VLOOKUP($AD$967,$A$970:$S$981,19,FALSE)</f>
        <v>2.521505376344086</v>
      </c>
      <c r="AS970" s="365">
        <f>SUM(AD970:AR970)</f>
        <v>443.28694334385989</v>
      </c>
      <c r="AT970" s="365" t="e">
        <f ca="1">VLOOKUP($AD$967,$AC$890:$AS$901,17,FALSE)/$AE$967*(AS970/$AS$994)</f>
        <v>#NAME?</v>
      </c>
      <c r="AU970" s="365" t="e">
        <f ca="1">AS970+AT970</f>
        <v>#NAME?</v>
      </c>
      <c r="AW970" s="365" t="e">
        <f ca="1">VLOOKUP($AD$967,$A$918:$O$931,15,FALSE)/$AE$967/24</f>
        <v>#NAME?</v>
      </c>
      <c r="AX970" s="365" t="e">
        <f ca="1">AU970-AW970</f>
        <v>#NAME?</v>
      </c>
    </row>
    <row r="971" spans="1:50" ht="15.75" customHeight="1" x14ac:dyDescent="0.3">
      <c r="A971" s="375" t="s">
        <v>9</v>
      </c>
      <c r="B971" s="375">
        <f t="shared" si="229"/>
        <v>294</v>
      </c>
      <c r="C971" s="365">
        <f t="shared" si="229"/>
        <v>147</v>
      </c>
      <c r="D971" s="427" t="s">
        <v>1095</v>
      </c>
      <c r="E971" s="365">
        <f t="shared" ref="E971:S971" si="234">+C891/$C$10/24</f>
        <v>19.767857142857142</v>
      </c>
      <c r="F971" s="365">
        <f t="shared" si="234"/>
        <v>20.712797619047617</v>
      </c>
      <c r="G971" s="365">
        <f t="shared" si="234"/>
        <v>34.9375</v>
      </c>
      <c r="H971" s="365">
        <f t="shared" si="234"/>
        <v>7.9323674045702495</v>
      </c>
      <c r="I971" s="365">
        <f t="shared" si="234"/>
        <v>-5.9630566620016506E-2</v>
      </c>
      <c r="J971" s="365">
        <f t="shared" si="234"/>
        <v>7.7857142857142856</v>
      </c>
      <c r="K971" s="365">
        <f t="shared" si="234"/>
        <v>5.9464285714285721</v>
      </c>
      <c r="L971" s="365">
        <f t="shared" si="234"/>
        <v>8.4553571428571423</v>
      </c>
      <c r="M971" s="365">
        <f t="shared" si="234"/>
        <v>8.386904761904761</v>
      </c>
      <c r="N971" s="365">
        <f t="shared" si="234"/>
        <v>2.6116071428571428</v>
      </c>
      <c r="O971" s="365">
        <f t="shared" si="234"/>
        <v>3.0773809523809526</v>
      </c>
      <c r="P971" s="365">
        <f t="shared" si="234"/>
        <v>6.1622023809523805</v>
      </c>
      <c r="Q971" s="365">
        <f t="shared" si="234"/>
        <v>1.0625</v>
      </c>
      <c r="R971" s="365">
        <f t="shared" si="234"/>
        <v>1.8809523809523812</v>
      </c>
      <c r="S971" s="427">
        <f t="shared" si="234"/>
        <v>2.5133928571428572</v>
      </c>
      <c r="T971" s="365">
        <f t="shared" si="231"/>
        <v>425.17333207604543</v>
      </c>
      <c r="U971" s="365">
        <f t="shared" si="232"/>
        <v>278.17333207604543</v>
      </c>
      <c r="V971" s="365" t="s">
        <v>1095</v>
      </c>
      <c r="AC971" s="4">
        <v>2</v>
      </c>
      <c r="AD971" s="365">
        <f t="shared" si="233"/>
        <v>294</v>
      </c>
      <c r="AE971" s="365">
        <f t="shared" ref="AE971:AE993" si="235">VLOOKUP($AD$967,$A$970:$S$981,5,FALSE)</f>
        <v>23.692204301075268</v>
      </c>
      <c r="AF971" s="365">
        <f t="shared" ref="AF971:AF993" si="236">VLOOKUP($AD$967,$A$970:$S$981,6,FALSE)</f>
        <v>24.813172043010752</v>
      </c>
      <c r="AG971" s="365">
        <f t="shared" ref="AG971:AG993" si="237">VLOOKUP($AD$967,$A$970:$S$981,7,FALSE)</f>
        <v>41.25</v>
      </c>
      <c r="AH971" s="365">
        <f t="shared" ref="AH971:AH993" si="238">VLOOKUP($AD$967,$A$970:$S$981,8,FALSE)</f>
        <v>3.468394956763083</v>
      </c>
      <c r="AI971" s="365">
        <f t="shared" ref="AI971:AI993" si="239">VLOOKUP($AD$967,$A$970:$S$981,10,FALSE)</f>
        <v>12.745967741935482</v>
      </c>
      <c r="AJ971" s="365">
        <f t="shared" ref="AJ971:AJ993" si="240">VLOOKUP($AD$967,$A$970:$S$981,11,FALSE)</f>
        <v>7.176075268817204</v>
      </c>
      <c r="AK971" s="365">
        <f t="shared" ref="AK971:AK993" si="241">VLOOKUP($AD$967,$A$970:$S$981,12,FALSE)</f>
        <v>9.2822580645161299</v>
      </c>
      <c r="AL971" s="365">
        <f t="shared" ref="AL971:AL993" si="242">VLOOKUP($AD$967,$A$970:$S$981,13,FALSE)</f>
        <v>8.297043010752688</v>
      </c>
      <c r="AM971" s="365">
        <f t="shared" ref="AM971:AM993" si="243">VLOOKUP($AD$967,$A$970:$S$981,14,FALSE)</f>
        <v>2.806451612903226</v>
      </c>
      <c r="AN971" s="365">
        <f t="shared" ref="AN971:AN993" si="244">VLOOKUP($AD$967,$A$970:$S$981,15,FALSE)</f>
        <v>3.306451612903226</v>
      </c>
      <c r="AO971" s="365">
        <f t="shared" ref="AO971:AO993" si="245">VLOOKUP($AD$967,$A$970:$S$981,16,FALSE)</f>
        <v>6.4704301075268811</v>
      </c>
      <c r="AP971" s="365">
        <f t="shared" ref="AP971:AP993" si="246">VLOOKUP($AD$967,$A$970:$S$981,17,FALSE)</f>
        <v>1.0793010752688172</v>
      </c>
      <c r="AQ971" s="365">
        <f t="shared" ref="AQ971:AQ993" si="247">VLOOKUP($AD$967,$A$970:$S$981,18,FALSE)</f>
        <v>2.3776881720430105</v>
      </c>
      <c r="AR971" s="365">
        <f t="shared" ref="AR971:AR993" si="248">VLOOKUP($AD$967,$A$970:$S$981,19,FALSE)</f>
        <v>2.521505376344086</v>
      </c>
      <c r="AS971" s="365">
        <f t="shared" ref="AS971:AS993" si="249">SUM(AD971:AR971)</f>
        <v>443.28694334385989</v>
      </c>
      <c r="AT971" s="365" t="e">
        <f t="shared" ref="AT971:AT993" ca="1" si="250">VLOOKUP($AD$967,$AC$890:$AS$901,17,FALSE)/$AE$967*(AS971/$AS$994)</f>
        <v>#NAME?</v>
      </c>
      <c r="AU971" s="365" t="e">
        <f t="shared" ref="AU971:AU993" ca="1" si="251">AS971+AT971</f>
        <v>#NAME?</v>
      </c>
      <c r="AW971" s="365" t="e">
        <f t="shared" ref="AW971:AW993" ca="1" si="252">VLOOKUP($AD$967,$A$918:$O$931,15,FALSE)/$AE$967/24</f>
        <v>#NAME?</v>
      </c>
      <c r="AX971" s="365" t="e">
        <f t="shared" ref="AX971:AX993" ca="1" si="253">AU971-AW971</f>
        <v>#NAME?</v>
      </c>
    </row>
    <row r="972" spans="1:50" ht="15.75" customHeight="1" x14ac:dyDescent="0.3">
      <c r="A972" s="375" t="s">
        <v>10</v>
      </c>
      <c r="B972" s="375">
        <f t="shared" si="229"/>
        <v>294</v>
      </c>
      <c r="C972" s="365">
        <f t="shared" si="229"/>
        <v>196</v>
      </c>
      <c r="D972" s="427" t="s">
        <v>1095</v>
      </c>
      <c r="E972" s="365">
        <f t="shared" ref="E972:S972" si="254">+C892/$D$10/24</f>
        <v>23.692204301075268</v>
      </c>
      <c r="F972" s="365">
        <f t="shared" si="254"/>
        <v>24.813172043010752</v>
      </c>
      <c r="G972" s="365">
        <f t="shared" si="254"/>
        <v>41.25</v>
      </c>
      <c r="H972" s="365">
        <f t="shared" si="254"/>
        <v>3.468394956763083</v>
      </c>
      <c r="I972" s="365">
        <f t="shared" si="254"/>
        <v>-1.3137862508204288</v>
      </c>
      <c r="J972" s="365">
        <f t="shared" si="254"/>
        <v>12.745967741935482</v>
      </c>
      <c r="K972" s="365">
        <f t="shared" si="254"/>
        <v>7.176075268817204</v>
      </c>
      <c r="L972" s="365">
        <f t="shared" si="254"/>
        <v>9.2822580645161299</v>
      </c>
      <c r="M972" s="365">
        <f t="shared" si="254"/>
        <v>8.297043010752688</v>
      </c>
      <c r="N972" s="365">
        <f t="shared" si="254"/>
        <v>2.806451612903226</v>
      </c>
      <c r="O972" s="365">
        <f t="shared" si="254"/>
        <v>3.306451612903226</v>
      </c>
      <c r="P972" s="365">
        <f t="shared" si="254"/>
        <v>6.4704301075268811</v>
      </c>
      <c r="Q972" s="365">
        <f t="shared" si="254"/>
        <v>1.0793010752688172</v>
      </c>
      <c r="R972" s="365">
        <f t="shared" si="254"/>
        <v>2.3776881720430105</v>
      </c>
      <c r="S972" s="427">
        <f t="shared" si="254"/>
        <v>2.521505376344086</v>
      </c>
      <c r="T972" s="365">
        <f t="shared" si="231"/>
        <v>441.97315709303945</v>
      </c>
      <c r="U972" s="365">
        <f t="shared" si="232"/>
        <v>343.97315709303945</v>
      </c>
      <c r="V972" s="365" t="s">
        <v>1095</v>
      </c>
      <c r="AC972" s="4">
        <v>3</v>
      </c>
      <c r="AD972" s="365">
        <f t="shared" si="233"/>
        <v>294</v>
      </c>
      <c r="AE972" s="365">
        <f t="shared" si="235"/>
        <v>23.692204301075268</v>
      </c>
      <c r="AF972" s="365">
        <f t="shared" si="236"/>
        <v>24.813172043010752</v>
      </c>
      <c r="AG972" s="365">
        <f t="shared" si="237"/>
        <v>41.25</v>
      </c>
      <c r="AH972" s="365">
        <f t="shared" si="238"/>
        <v>3.468394956763083</v>
      </c>
      <c r="AI972" s="365">
        <f t="shared" si="239"/>
        <v>12.745967741935482</v>
      </c>
      <c r="AJ972" s="365">
        <f t="shared" si="240"/>
        <v>7.176075268817204</v>
      </c>
      <c r="AK972" s="365">
        <f t="shared" si="241"/>
        <v>9.2822580645161299</v>
      </c>
      <c r="AL972" s="365">
        <f t="shared" si="242"/>
        <v>8.297043010752688</v>
      </c>
      <c r="AM972" s="365">
        <f t="shared" si="243"/>
        <v>2.806451612903226</v>
      </c>
      <c r="AN972" s="365">
        <f t="shared" si="244"/>
        <v>3.306451612903226</v>
      </c>
      <c r="AO972" s="365">
        <f t="shared" si="245"/>
        <v>6.4704301075268811</v>
      </c>
      <c r="AP972" s="365">
        <f t="shared" si="246"/>
        <v>1.0793010752688172</v>
      </c>
      <c r="AQ972" s="365">
        <f t="shared" si="247"/>
        <v>2.3776881720430105</v>
      </c>
      <c r="AR972" s="365">
        <f t="shared" si="248"/>
        <v>2.521505376344086</v>
      </c>
      <c r="AS972" s="365">
        <f t="shared" si="249"/>
        <v>443.28694334385989</v>
      </c>
      <c r="AT972" s="365" t="e">
        <f t="shared" ca="1" si="250"/>
        <v>#NAME?</v>
      </c>
      <c r="AU972" s="365" t="e">
        <f t="shared" ca="1" si="251"/>
        <v>#NAME?</v>
      </c>
      <c r="AW972" s="365" t="e">
        <f t="shared" ca="1" si="252"/>
        <v>#NAME?</v>
      </c>
      <c r="AX972" s="365" t="e">
        <f t="shared" ca="1" si="253"/>
        <v>#NAME?</v>
      </c>
    </row>
    <row r="973" spans="1:50" ht="15.75" customHeight="1" x14ac:dyDescent="0.3">
      <c r="A973" s="375" t="s">
        <v>12</v>
      </c>
      <c r="B973" s="375">
        <f t="shared" si="229"/>
        <v>294</v>
      </c>
      <c r="C973" s="365">
        <f t="shared" si="229"/>
        <v>196</v>
      </c>
      <c r="D973" s="427" t="s">
        <v>1095</v>
      </c>
      <c r="E973" s="365">
        <f t="shared" ref="E973:S973" si="255">+C893/$F$10/24</f>
        <v>26.265277777777779</v>
      </c>
      <c r="F973" s="365">
        <f t="shared" si="255"/>
        <v>27.494444444444444</v>
      </c>
      <c r="G973" s="365">
        <f t="shared" si="255"/>
        <v>44.893055555555556</v>
      </c>
      <c r="H973" s="365">
        <f t="shared" si="255"/>
        <v>0.32302375361351249</v>
      </c>
      <c r="I973" s="365">
        <f t="shared" si="255"/>
        <v>-7.563108193829712</v>
      </c>
      <c r="J973" s="365">
        <f t="shared" si="255"/>
        <v>18.12638888888889</v>
      </c>
      <c r="K973" s="365">
        <f t="shared" si="255"/>
        <v>9.8083333333333336</v>
      </c>
      <c r="L973" s="365">
        <f t="shared" si="255"/>
        <v>11.830555555555556</v>
      </c>
      <c r="M973" s="365">
        <f t="shared" si="255"/>
        <v>9.7694444444444439</v>
      </c>
      <c r="N973" s="365">
        <f t="shared" si="255"/>
        <v>2.8708333333333336</v>
      </c>
      <c r="O973" s="365">
        <f t="shared" si="255"/>
        <v>3.380555555555556</v>
      </c>
      <c r="P973" s="365">
        <f t="shared" si="255"/>
        <v>6.8999999999999995</v>
      </c>
      <c r="Q973" s="365">
        <f t="shared" si="255"/>
        <v>1.0763888888888888</v>
      </c>
      <c r="R973" s="365">
        <f t="shared" si="255"/>
        <v>2.8194444444444446</v>
      </c>
      <c r="S973" s="427">
        <f t="shared" si="255"/>
        <v>2.5444444444444447</v>
      </c>
      <c r="T973" s="365">
        <f t="shared" si="231"/>
        <v>454.53908222645049</v>
      </c>
      <c r="U973" s="365">
        <f t="shared" si="232"/>
        <v>356.53908222645049</v>
      </c>
      <c r="V973" s="365" t="s">
        <v>1095</v>
      </c>
      <c r="AC973" s="4">
        <v>4</v>
      </c>
      <c r="AD973" s="365">
        <f t="shared" si="233"/>
        <v>294</v>
      </c>
      <c r="AE973" s="365">
        <f t="shared" si="235"/>
        <v>23.692204301075268</v>
      </c>
      <c r="AF973" s="365">
        <f t="shared" si="236"/>
        <v>24.813172043010752</v>
      </c>
      <c r="AG973" s="365">
        <f t="shared" si="237"/>
        <v>41.25</v>
      </c>
      <c r="AH973" s="365">
        <f t="shared" si="238"/>
        <v>3.468394956763083</v>
      </c>
      <c r="AI973" s="365">
        <f t="shared" si="239"/>
        <v>12.745967741935482</v>
      </c>
      <c r="AJ973" s="365">
        <f t="shared" si="240"/>
        <v>7.176075268817204</v>
      </c>
      <c r="AK973" s="365">
        <f t="shared" si="241"/>
        <v>9.2822580645161299</v>
      </c>
      <c r="AL973" s="365">
        <f t="shared" si="242"/>
        <v>8.297043010752688</v>
      </c>
      <c r="AM973" s="365">
        <f t="shared" si="243"/>
        <v>2.806451612903226</v>
      </c>
      <c r="AN973" s="365">
        <f t="shared" si="244"/>
        <v>3.306451612903226</v>
      </c>
      <c r="AO973" s="365">
        <f t="shared" si="245"/>
        <v>6.4704301075268811</v>
      </c>
      <c r="AP973" s="365">
        <f t="shared" si="246"/>
        <v>1.0793010752688172</v>
      </c>
      <c r="AQ973" s="365">
        <f t="shared" si="247"/>
        <v>2.3776881720430105</v>
      </c>
      <c r="AR973" s="365">
        <f t="shared" si="248"/>
        <v>2.521505376344086</v>
      </c>
      <c r="AS973" s="365">
        <f t="shared" si="249"/>
        <v>443.28694334385989</v>
      </c>
      <c r="AT973" s="365" t="e">
        <f t="shared" ca="1" si="250"/>
        <v>#NAME?</v>
      </c>
      <c r="AU973" s="365" t="e">
        <f t="shared" ca="1" si="251"/>
        <v>#NAME?</v>
      </c>
      <c r="AW973" s="365" t="e">
        <f t="shared" ca="1" si="252"/>
        <v>#NAME?</v>
      </c>
      <c r="AX973" s="365" t="e">
        <f t="shared" ca="1" si="253"/>
        <v>#NAME?</v>
      </c>
    </row>
    <row r="974" spans="1:50" ht="15.75" customHeight="1" x14ac:dyDescent="0.3">
      <c r="A974" s="375" t="s">
        <v>13</v>
      </c>
      <c r="B974" s="375">
        <f t="shared" si="229"/>
        <v>294</v>
      </c>
      <c r="C974" s="365">
        <f t="shared" si="229"/>
        <v>196</v>
      </c>
      <c r="D974" s="427" t="s">
        <v>1095</v>
      </c>
      <c r="E974" s="365">
        <f t="shared" ref="E974:S974" si="256">+C894/$G$10/24</f>
        <v>28.862903225806452</v>
      </c>
      <c r="F974" s="365">
        <f t="shared" si="256"/>
        <v>30.213709677419356</v>
      </c>
      <c r="G974" s="365">
        <f t="shared" si="256"/>
        <v>49.936827956989248</v>
      </c>
      <c r="H974" s="365">
        <f t="shared" si="256"/>
        <v>10.763986417436627</v>
      </c>
      <c r="I974" s="365">
        <f t="shared" si="256"/>
        <v>-0.7292058244402857</v>
      </c>
      <c r="J974" s="365">
        <f t="shared" si="256"/>
        <v>13.225806451612904</v>
      </c>
      <c r="K974" s="365">
        <f t="shared" si="256"/>
        <v>6.282258064516129</v>
      </c>
      <c r="L974" s="365">
        <f t="shared" si="256"/>
        <v>8.8723118279569899</v>
      </c>
      <c r="M974" s="365">
        <f t="shared" si="256"/>
        <v>8.275537634408602</v>
      </c>
      <c r="N974" s="365">
        <f t="shared" si="256"/>
        <v>2.6908602150537635</v>
      </c>
      <c r="O974" s="365">
        <f t="shared" si="256"/>
        <v>3.1693548387096775</v>
      </c>
      <c r="P974" s="365">
        <f t="shared" si="256"/>
        <v>6.260752688172043</v>
      </c>
      <c r="Q974" s="365">
        <f t="shared" si="256"/>
        <v>0.88709677419354838</v>
      </c>
      <c r="R974" s="365">
        <f t="shared" si="256"/>
        <v>2.9663978494623655</v>
      </c>
      <c r="S974" s="427">
        <f t="shared" si="256"/>
        <v>2.096774193548387</v>
      </c>
      <c r="T974" s="365">
        <f t="shared" si="231"/>
        <v>467.77537199084577</v>
      </c>
      <c r="U974" s="365">
        <f t="shared" si="232"/>
        <v>369.77537199084577</v>
      </c>
      <c r="V974" s="365" t="s">
        <v>1095</v>
      </c>
      <c r="AC974" s="4">
        <v>5</v>
      </c>
      <c r="AD974" s="365">
        <f t="shared" si="233"/>
        <v>294</v>
      </c>
      <c r="AE974" s="365">
        <f t="shared" si="235"/>
        <v>23.692204301075268</v>
      </c>
      <c r="AF974" s="365">
        <f t="shared" si="236"/>
        <v>24.813172043010752</v>
      </c>
      <c r="AG974" s="365">
        <f t="shared" si="237"/>
        <v>41.25</v>
      </c>
      <c r="AH974" s="365">
        <f t="shared" si="238"/>
        <v>3.468394956763083</v>
      </c>
      <c r="AI974" s="365">
        <f t="shared" si="239"/>
        <v>12.745967741935482</v>
      </c>
      <c r="AJ974" s="365">
        <f t="shared" si="240"/>
        <v>7.176075268817204</v>
      </c>
      <c r="AK974" s="365">
        <f t="shared" si="241"/>
        <v>9.2822580645161299</v>
      </c>
      <c r="AL974" s="365">
        <f t="shared" si="242"/>
        <v>8.297043010752688</v>
      </c>
      <c r="AM974" s="365">
        <f t="shared" si="243"/>
        <v>2.806451612903226</v>
      </c>
      <c r="AN974" s="365">
        <f t="shared" si="244"/>
        <v>3.306451612903226</v>
      </c>
      <c r="AO974" s="365">
        <f t="shared" si="245"/>
        <v>6.4704301075268811</v>
      </c>
      <c r="AP974" s="365">
        <f t="shared" si="246"/>
        <v>1.0793010752688172</v>
      </c>
      <c r="AQ974" s="365">
        <f t="shared" si="247"/>
        <v>2.3776881720430105</v>
      </c>
      <c r="AR974" s="365">
        <f t="shared" si="248"/>
        <v>2.521505376344086</v>
      </c>
      <c r="AS974" s="365">
        <f t="shared" si="249"/>
        <v>443.28694334385989</v>
      </c>
      <c r="AT974" s="365" t="e">
        <f t="shared" ca="1" si="250"/>
        <v>#NAME?</v>
      </c>
      <c r="AU974" s="365" t="e">
        <f t="shared" ca="1" si="251"/>
        <v>#NAME?</v>
      </c>
      <c r="AW974" s="365" t="e">
        <f t="shared" ca="1" si="252"/>
        <v>#NAME?</v>
      </c>
      <c r="AX974" s="365" t="e">
        <f t="shared" ca="1" si="253"/>
        <v>#NAME?</v>
      </c>
    </row>
    <row r="975" spans="1:50" ht="15.75" customHeight="1" x14ac:dyDescent="0.3">
      <c r="A975" s="375" t="s">
        <v>14</v>
      </c>
      <c r="B975" s="375">
        <f t="shared" si="229"/>
        <v>294</v>
      </c>
      <c r="C975" s="365">
        <f t="shared" si="229"/>
        <v>98</v>
      </c>
      <c r="D975" s="427">
        <f>H1002</f>
        <v>0</v>
      </c>
      <c r="E975" s="365">
        <f t="shared" ref="E975:S975" si="257">+C895/$H$10/24</f>
        <v>13.733333333333334</v>
      </c>
      <c r="F975" s="365">
        <f t="shared" si="257"/>
        <v>14.3375</v>
      </c>
      <c r="G975" s="365">
        <f t="shared" si="257"/>
        <v>22.445833333333336</v>
      </c>
      <c r="H975" s="365">
        <f t="shared" si="257"/>
        <v>0.10434248679996551</v>
      </c>
      <c r="I975" s="365">
        <f t="shared" si="257"/>
        <v>-15.693369128359718</v>
      </c>
      <c r="J975" s="365">
        <f t="shared" si="257"/>
        <v>15.408333333333333</v>
      </c>
      <c r="K975" s="365">
        <f t="shared" si="257"/>
        <v>7.1638888888888888</v>
      </c>
      <c r="L975" s="365">
        <f t="shared" si="257"/>
        <v>8.2527777777777782</v>
      </c>
      <c r="M975" s="365">
        <f t="shared" si="257"/>
        <v>7.4458333333333329</v>
      </c>
      <c r="N975" s="365">
        <f t="shared" si="257"/>
        <v>2.7347222222222225</v>
      </c>
      <c r="O975" s="365">
        <f t="shared" si="257"/>
        <v>3.2194444444444446</v>
      </c>
      <c r="P975" s="365">
        <f t="shared" si="257"/>
        <v>6.4944444444444445</v>
      </c>
      <c r="Q975" s="365">
        <f t="shared" si="257"/>
        <v>1.3097222222222222</v>
      </c>
      <c r="R975" s="365">
        <f t="shared" si="257"/>
        <v>2.8055555555555554</v>
      </c>
      <c r="S975" s="427">
        <f t="shared" si="257"/>
        <v>3.0611111111111113</v>
      </c>
      <c r="T975" s="365">
        <f t="shared" si="231"/>
        <v>386.82347335844025</v>
      </c>
      <c r="U975" s="365">
        <f t="shared" si="232"/>
        <v>190.82347335844025</v>
      </c>
      <c r="V975" s="428">
        <f>D975+SUM(E975:S975)</f>
        <v>92.823473358440253</v>
      </c>
      <c r="AC975" s="4">
        <v>6</v>
      </c>
      <c r="AD975" s="365">
        <f t="shared" si="233"/>
        <v>294</v>
      </c>
      <c r="AE975" s="365">
        <f t="shared" si="235"/>
        <v>23.692204301075268</v>
      </c>
      <c r="AF975" s="365">
        <f t="shared" si="236"/>
        <v>24.813172043010752</v>
      </c>
      <c r="AG975" s="365">
        <f t="shared" si="237"/>
        <v>41.25</v>
      </c>
      <c r="AH975" s="365">
        <f t="shared" si="238"/>
        <v>3.468394956763083</v>
      </c>
      <c r="AI975" s="365">
        <f t="shared" si="239"/>
        <v>12.745967741935482</v>
      </c>
      <c r="AJ975" s="365">
        <f t="shared" si="240"/>
        <v>7.176075268817204</v>
      </c>
      <c r="AK975" s="365">
        <f t="shared" si="241"/>
        <v>9.2822580645161299</v>
      </c>
      <c r="AL975" s="365">
        <f t="shared" si="242"/>
        <v>8.297043010752688</v>
      </c>
      <c r="AM975" s="365">
        <f t="shared" si="243"/>
        <v>2.806451612903226</v>
      </c>
      <c r="AN975" s="365">
        <f t="shared" si="244"/>
        <v>3.306451612903226</v>
      </c>
      <c r="AO975" s="365">
        <f t="shared" si="245"/>
        <v>6.4704301075268811</v>
      </c>
      <c r="AP975" s="365">
        <f t="shared" si="246"/>
        <v>1.0793010752688172</v>
      </c>
      <c r="AQ975" s="365">
        <f t="shared" si="247"/>
        <v>2.3776881720430105</v>
      </c>
      <c r="AR975" s="365">
        <f t="shared" si="248"/>
        <v>2.521505376344086</v>
      </c>
      <c r="AS975" s="365">
        <f t="shared" si="249"/>
        <v>443.28694334385989</v>
      </c>
      <c r="AT975" s="365" t="e">
        <f t="shared" ca="1" si="250"/>
        <v>#NAME?</v>
      </c>
      <c r="AU975" s="365" t="e">
        <f t="shared" ca="1" si="251"/>
        <v>#NAME?</v>
      </c>
      <c r="AW975" s="365" t="e">
        <f t="shared" ca="1" si="252"/>
        <v>#NAME?</v>
      </c>
      <c r="AX975" s="365" t="e">
        <f t="shared" ca="1" si="253"/>
        <v>#NAME?</v>
      </c>
    </row>
    <row r="976" spans="1:50" ht="15.75" customHeight="1" x14ac:dyDescent="0.3">
      <c r="A976" s="375" t="s">
        <v>16</v>
      </c>
      <c r="B976" s="375">
        <f t="shared" si="229"/>
        <v>147</v>
      </c>
      <c r="C976" s="365">
        <f t="shared" si="229"/>
        <v>98</v>
      </c>
      <c r="D976" s="427">
        <f>H1003</f>
        <v>0</v>
      </c>
      <c r="E976" s="365">
        <f t="shared" ref="E976:S976" si="258">+C896/$J$10/24</f>
        <v>11.904569892473118</v>
      </c>
      <c r="F976" s="365">
        <f t="shared" si="258"/>
        <v>12.422043010752688</v>
      </c>
      <c r="G976" s="365">
        <f t="shared" si="258"/>
        <v>19.147849462365592</v>
      </c>
      <c r="H976" s="365">
        <f t="shared" si="258"/>
        <v>0</v>
      </c>
      <c r="I976" s="365">
        <f t="shared" si="258"/>
        <v>-14.301286117346022</v>
      </c>
      <c r="J976" s="365">
        <f t="shared" si="258"/>
        <v>13.225806451612904</v>
      </c>
      <c r="K976" s="365">
        <f t="shared" si="258"/>
        <v>8.93010752688172</v>
      </c>
      <c r="L976" s="365">
        <f t="shared" si="258"/>
        <v>9.8736559139784941</v>
      </c>
      <c r="M976" s="365">
        <f t="shared" si="258"/>
        <v>8.366935483870968</v>
      </c>
      <c r="N976" s="365">
        <f t="shared" si="258"/>
        <v>2.3991935483870965</v>
      </c>
      <c r="O976" s="365">
        <f t="shared" si="258"/>
        <v>2.823924731182796</v>
      </c>
      <c r="P976" s="365">
        <f t="shared" si="258"/>
        <v>5.4865591397849469</v>
      </c>
      <c r="Q976" s="365">
        <f t="shared" si="258"/>
        <v>0.95161290322580649</v>
      </c>
      <c r="R976" s="365">
        <f t="shared" si="258"/>
        <v>2.521505376344086</v>
      </c>
      <c r="S976" s="427">
        <f t="shared" si="258"/>
        <v>2.25</v>
      </c>
      <c r="T976" s="365">
        <f t="shared" si="231"/>
        <v>233.0024773235142</v>
      </c>
      <c r="U976" s="365">
        <f t="shared" si="232"/>
        <v>184.0024773235142</v>
      </c>
      <c r="V976" s="428">
        <f>D976+SUM(E976:S976)</f>
        <v>86.002477323514199</v>
      </c>
      <c r="AC976" s="4">
        <v>7</v>
      </c>
      <c r="AD976" s="365">
        <f>IF($AF$967=1,VLOOKUP($AD$967,$A$997:$P$1008,12,FALSE),IF(OR($AD$967="JAN",$AD$967="FEB",$AD$967="NOV",$AD$967="DEC"),VLOOKUP($AD$967,$A$970:$S$981,2,FALSE),VLOOKUP($AD$967,$A$970:$S$981,3,FALSE)))</f>
        <v>196</v>
      </c>
      <c r="AE976" s="365">
        <f t="shared" si="235"/>
        <v>23.692204301075268</v>
      </c>
      <c r="AF976" s="365">
        <f t="shared" si="236"/>
        <v>24.813172043010752</v>
      </c>
      <c r="AG976" s="365">
        <f t="shared" si="237"/>
        <v>41.25</v>
      </c>
      <c r="AH976" s="365">
        <f t="shared" si="238"/>
        <v>3.468394956763083</v>
      </c>
      <c r="AI976" s="365">
        <f t="shared" si="239"/>
        <v>12.745967741935482</v>
      </c>
      <c r="AJ976" s="365">
        <f t="shared" si="240"/>
        <v>7.176075268817204</v>
      </c>
      <c r="AK976" s="365">
        <f t="shared" si="241"/>
        <v>9.2822580645161299</v>
      </c>
      <c r="AL976" s="365">
        <f t="shared" si="242"/>
        <v>8.297043010752688</v>
      </c>
      <c r="AM976" s="365">
        <f t="shared" si="243"/>
        <v>2.806451612903226</v>
      </c>
      <c r="AN976" s="365">
        <f t="shared" si="244"/>
        <v>3.306451612903226</v>
      </c>
      <c r="AO976" s="365">
        <f t="shared" si="245"/>
        <v>6.4704301075268811</v>
      </c>
      <c r="AP976" s="365">
        <f t="shared" si="246"/>
        <v>1.0793010752688172</v>
      </c>
      <c r="AQ976" s="365">
        <f t="shared" si="247"/>
        <v>2.3776881720430105</v>
      </c>
      <c r="AR976" s="365">
        <f t="shared" si="248"/>
        <v>2.521505376344086</v>
      </c>
      <c r="AS976" s="365">
        <f t="shared" si="249"/>
        <v>345.28694334385989</v>
      </c>
      <c r="AT976" s="365" t="e">
        <f t="shared" ca="1" si="250"/>
        <v>#NAME?</v>
      </c>
      <c r="AU976" s="365" t="e">
        <f t="shared" ca="1" si="251"/>
        <v>#NAME?</v>
      </c>
      <c r="AW976" s="365" t="e">
        <f t="shared" ca="1" si="252"/>
        <v>#NAME?</v>
      </c>
      <c r="AX976" s="365" t="e">
        <f t="shared" ca="1" si="253"/>
        <v>#NAME?</v>
      </c>
    </row>
    <row r="977" spans="1:50" ht="15.75" customHeight="1" x14ac:dyDescent="0.3">
      <c r="A977" s="375" t="s">
        <v>17</v>
      </c>
      <c r="B977" s="375">
        <f t="shared" si="229"/>
        <v>147</v>
      </c>
      <c r="C977" s="365">
        <f t="shared" si="229"/>
        <v>98</v>
      </c>
      <c r="D977" s="427">
        <f>H1004</f>
        <v>0</v>
      </c>
      <c r="E977" s="365">
        <f t="shared" ref="E977:S977" si="259">+C897/$K$10/24</f>
        <v>11.51747311827957</v>
      </c>
      <c r="F977" s="365">
        <f t="shared" si="259"/>
        <v>12.029569892473118</v>
      </c>
      <c r="G977" s="365">
        <f t="shared" si="259"/>
        <v>17.857526881720428</v>
      </c>
      <c r="H977" s="365">
        <f t="shared" si="259"/>
        <v>0</v>
      </c>
      <c r="I977" s="365">
        <f t="shared" si="259"/>
        <v>-13.776535256222836</v>
      </c>
      <c r="J977" s="365">
        <f t="shared" si="259"/>
        <v>13.513440860215054</v>
      </c>
      <c r="K977" s="365">
        <f t="shared" si="259"/>
        <v>8.01747311827957</v>
      </c>
      <c r="L977" s="365">
        <f t="shared" si="259"/>
        <v>8.80510752688172</v>
      </c>
      <c r="M977" s="365">
        <f t="shared" si="259"/>
        <v>7.290322580645161</v>
      </c>
      <c r="N977" s="365">
        <f t="shared" si="259"/>
        <v>2.506720430107527</v>
      </c>
      <c r="O977" s="365">
        <f t="shared" si="259"/>
        <v>2.9516129032258065</v>
      </c>
      <c r="P977" s="365">
        <f t="shared" si="259"/>
        <v>5.5658602150537639</v>
      </c>
      <c r="Q977" s="365">
        <f t="shared" si="259"/>
        <v>1.081989247311828</v>
      </c>
      <c r="R977" s="365">
        <f t="shared" si="259"/>
        <v>2.5658602150537635</v>
      </c>
      <c r="S977" s="427">
        <f t="shared" si="259"/>
        <v>2.5591397849462365</v>
      </c>
      <c r="T977" s="365">
        <f t="shared" si="231"/>
        <v>229.48556151797072</v>
      </c>
      <c r="U977" s="365">
        <f t="shared" si="232"/>
        <v>180.48556151797072</v>
      </c>
      <c r="V977" s="428">
        <f>D977+SUM(E977:S977)</f>
        <v>82.485561517970709</v>
      </c>
      <c r="AC977" s="4">
        <v>8</v>
      </c>
      <c r="AD977" s="365">
        <f>IF($AF$967=1,VLOOKUP($AD$967,$A$997:$P$1008,12,FALSE),VLOOKUP($AD$967,$A$970:$S$981,3,FALSE))</f>
        <v>196</v>
      </c>
      <c r="AE977" s="365">
        <f t="shared" si="235"/>
        <v>23.692204301075268</v>
      </c>
      <c r="AF977" s="365">
        <f t="shared" si="236"/>
        <v>24.813172043010752</v>
      </c>
      <c r="AG977" s="365">
        <f t="shared" si="237"/>
        <v>41.25</v>
      </c>
      <c r="AH977" s="365">
        <f t="shared" si="238"/>
        <v>3.468394956763083</v>
      </c>
      <c r="AI977" s="365">
        <f t="shared" si="239"/>
        <v>12.745967741935482</v>
      </c>
      <c r="AJ977" s="365">
        <f t="shared" si="240"/>
        <v>7.176075268817204</v>
      </c>
      <c r="AK977" s="365">
        <f t="shared" si="241"/>
        <v>9.2822580645161299</v>
      </c>
      <c r="AL977" s="365">
        <f t="shared" si="242"/>
        <v>8.297043010752688</v>
      </c>
      <c r="AM977" s="365">
        <f t="shared" si="243"/>
        <v>2.806451612903226</v>
      </c>
      <c r="AN977" s="365">
        <f t="shared" si="244"/>
        <v>3.306451612903226</v>
      </c>
      <c r="AO977" s="365">
        <f t="shared" si="245"/>
        <v>6.4704301075268811</v>
      </c>
      <c r="AP977" s="365">
        <f t="shared" si="246"/>
        <v>1.0793010752688172</v>
      </c>
      <c r="AQ977" s="365">
        <f t="shared" si="247"/>
        <v>2.3776881720430105</v>
      </c>
      <c r="AR977" s="365">
        <f t="shared" si="248"/>
        <v>2.521505376344086</v>
      </c>
      <c r="AS977" s="365">
        <f t="shared" si="249"/>
        <v>345.28694334385989</v>
      </c>
      <c r="AT977" s="365" t="e">
        <f t="shared" ca="1" si="250"/>
        <v>#NAME?</v>
      </c>
      <c r="AU977" s="365" t="e">
        <f t="shared" ca="1" si="251"/>
        <v>#NAME?</v>
      </c>
      <c r="AW977" s="365" t="e">
        <f t="shared" ca="1" si="252"/>
        <v>#NAME?</v>
      </c>
      <c r="AX977" s="365" t="e">
        <f t="shared" ca="1" si="253"/>
        <v>#NAME?</v>
      </c>
    </row>
    <row r="978" spans="1:50" ht="15.75" customHeight="1" x14ac:dyDescent="0.3">
      <c r="A978" s="375" t="s">
        <v>18</v>
      </c>
      <c r="B978" s="375">
        <f t="shared" si="229"/>
        <v>245</v>
      </c>
      <c r="C978" s="365">
        <f t="shared" si="229"/>
        <v>147</v>
      </c>
      <c r="D978" s="427" t="s">
        <v>1095</v>
      </c>
      <c r="E978" s="365">
        <f t="shared" ref="E978:S978" si="260">+C898/$L$10/24</f>
        <v>27.881944444444443</v>
      </c>
      <c r="F978" s="365">
        <f t="shared" si="260"/>
        <v>29.198611111111109</v>
      </c>
      <c r="G978" s="365">
        <f t="shared" si="260"/>
        <v>47.481944444444444</v>
      </c>
      <c r="H978" s="365">
        <f t="shared" si="260"/>
        <v>9.8428830895294226</v>
      </c>
      <c r="I978" s="365">
        <f t="shared" si="260"/>
        <v>-0.2874300427028384</v>
      </c>
      <c r="J978" s="365">
        <f t="shared" si="260"/>
        <v>9.7680555555555557</v>
      </c>
      <c r="K978" s="365">
        <f t="shared" si="260"/>
        <v>5.759722222222222</v>
      </c>
      <c r="L978" s="365">
        <f t="shared" si="260"/>
        <v>7.1888888888888891</v>
      </c>
      <c r="M978" s="365">
        <f t="shared" si="260"/>
        <v>6.6597222222222223</v>
      </c>
      <c r="N978" s="365">
        <f t="shared" si="260"/>
        <v>2.4472222222222224</v>
      </c>
      <c r="O978" s="365">
        <f t="shared" si="260"/>
        <v>2.8819444444444446</v>
      </c>
      <c r="P978" s="365">
        <f t="shared" si="260"/>
        <v>5.3624999999999998</v>
      </c>
      <c r="Q978" s="365">
        <f t="shared" si="260"/>
        <v>0.81527777777777777</v>
      </c>
      <c r="R978" s="365">
        <f t="shared" si="260"/>
        <v>2.3194444444444442</v>
      </c>
      <c r="S978" s="427">
        <f t="shared" si="260"/>
        <v>1.9291666666666665</v>
      </c>
      <c r="T978" s="365">
        <f t="shared" si="231"/>
        <v>404.2498974912711</v>
      </c>
      <c r="U978" s="365">
        <f t="shared" si="232"/>
        <v>306.2498974912711</v>
      </c>
      <c r="V978" s="365" t="s">
        <v>1095</v>
      </c>
      <c r="AC978" s="4">
        <v>9</v>
      </c>
      <c r="AD978" s="365">
        <f>IF($AF$967=1,VLOOKUP($AD$967,$A$997:$P$1008,12,FALSE),VLOOKUP($AD$967,$A$970:$S$981,3,FALSE))</f>
        <v>196</v>
      </c>
      <c r="AE978" s="365">
        <f t="shared" si="235"/>
        <v>23.692204301075268</v>
      </c>
      <c r="AF978" s="365">
        <f t="shared" si="236"/>
        <v>24.813172043010752</v>
      </c>
      <c r="AG978" s="365">
        <f t="shared" si="237"/>
        <v>41.25</v>
      </c>
      <c r="AH978" s="365">
        <f t="shared" si="238"/>
        <v>3.468394956763083</v>
      </c>
      <c r="AI978" s="365">
        <f t="shared" si="239"/>
        <v>12.745967741935482</v>
      </c>
      <c r="AJ978" s="365">
        <f t="shared" si="240"/>
        <v>7.176075268817204</v>
      </c>
      <c r="AK978" s="365">
        <f t="shared" si="241"/>
        <v>9.2822580645161299</v>
      </c>
      <c r="AL978" s="365">
        <f t="shared" si="242"/>
        <v>8.297043010752688</v>
      </c>
      <c r="AM978" s="365">
        <f t="shared" si="243"/>
        <v>2.806451612903226</v>
      </c>
      <c r="AN978" s="365">
        <f t="shared" si="244"/>
        <v>3.306451612903226</v>
      </c>
      <c r="AO978" s="365">
        <f t="shared" si="245"/>
        <v>6.4704301075268811</v>
      </c>
      <c r="AP978" s="365">
        <f t="shared" si="246"/>
        <v>1.0793010752688172</v>
      </c>
      <c r="AQ978" s="365">
        <f t="shared" si="247"/>
        <v>2.3776881720430105</v>
      </c>
      <c r="AR978" s="365">
        <f t="shared" si="248"/>
        <v>2.521505376344086</v>
      </c>
      <c r="AS978" s="365">
        <f t="shared" si="249"/>
        <v>345.28694334385989</v>
      </c>
      <c r="AT978" s="365" t="e">
        <f t="shared" ca="1" si="250"/>
        <v>#NAME?</v>
      </c>
      <c r="AU978" s="365" t="e">
        <f t="shared" ca="1" si="251"/>
        <v>#NAME?</v>
      </c>
      <c r="AW978" s="365" t="e">
        <f t="shared" ca="1" si="252"/>
        <v>#NAME?</v>
      </c>
      <c r="AX978" s="365" t="e">
        <f t="shared" ca="1" si="253"/>
        <v>#NAME?</v>
      </c>
    </row>
    <row r="979" spans="1:50" ht="15.75" customHeight="1" x14ac:dyDescent="0.3">
      <c r="A979" s="375" t="s">
        <v>20</v>
      </c>
      <c r="B979" s="375">
        <f t="shared" si="229"/>
        <v>245</v>
      </c>
      <c r="C979" s="365">
        <f t="shared" si="229"/>
        <v>147</v>
      </c>
      <c r="D979" s="427" t="s">
        <v>1095</v>
      </c>
      <c r="E979" s="365">
        <f t="shared" ref="E979:S979" si="261">+C899/$N$10/24</f>
        <v>19.286290322580644</v>
      </c>
      <c r="F979" s="365">
        <f t="shared" si="261"/>
        <v>20.188172043010752</v>
      </c>
      <c r="G979" s="365">
        <f t="shared" si="261"/>
        <v>33.44489247311828</v>
      </c>
      <c r="H979" s="365">
        <f t="shared" si="261"/>
        <v>6.7397376362235093</v>
      </c>
      <c r="I979" s="365">
        <f t="shared" si="261"/>
        <v>-1.538823565160311</v>
      </c>
      <c r="J979" s="365">
        <f t="shared" si="261"/>
        <v>7.518817204301075</v>
      </c>
      <c r="K979" s="365">
        <f t="shared" si="261"/>
        <v>3.65994623655914</v>
      </c>
      <c r="L979" s="365">
        <f t="shared" si="261"/>
        <v>5.03494623655914</v>
      </c>
      <c r="M979" s="365">
        <f t="shared" si="261"/>
        <v>4.4879032258064511</v>
      </c>
      <c r="N979" s="365">
        <f t="shared" si="261"/>
        <v>1.663978494623656</v>
      </c>
      <c r="O979" s="365">
        <f t="shared" si="261"/>
        <v>1.9583333333333333</v>
      </c>
      <c r="P979" s="365">
        <f t="shared" si="261"/>
        <v>3.8037634408602155</v>
      </c>
      <c r="Q979" s="365">
        <f t="shared" si="261"/>
        <v>0.82795698924731187</v>
      </c>
      <c r="R979" s="365">
        <f t="shared" si="261"/>
        <v>2.0483870967741935</v>
      </c>
      <c r="S979" s="427">
        <f t="shared" si="261"/>
        <v>1.9448924731182797</v>
      </c>
      <c r="T979" s="365">
        <f t="shared" si="231"/>
        <v>356.06919364095563</v>
      </c>
      <c r="U979" s="365">
        <f t="shared" si="232"/>
        <v>258.06919364095563</v>
      </c>
      <c r="V979" s="365" t="s">
        <v>1095</v>
      </c>
      <c r="AC979" s="4">
        <v>10</v>
      </c>
      <c r="AD979" s="365">
        <f>IF($AF$967=1,VLOOKUP($AD$967,$A$997:$P$1008,12,FALSE),VLOOKUP($AD$967,$A$970:$S$981,3,FALSE))</f>
        <v>196</v>
      </c>
      <c r="AE979" s="365">
        <f t="shared" si="235"/>
        <v>23.692204301075268</v>
      </c>
      <c r="AF979" s="365">
        <f t="shared" si="236"/>
        <v>24.813172043010752</v>
      </c>
      <c r="AG979" s="365">
        <f t="shared" si="237"/>
        <v>41.25</v>
      </c>
      <c r="AH979" s="365">
        <f t="shared" si="238"/>
        <v>3.468394956763083</v>
      </c>
      <c r="AI979" s="365">
        <f t="shared" si="239"/>
        <v>12.745967741935482</v>
      </c>
      <c r="AJ979" s="365">
        <f t="shared" si="240"/>
        <v>7.176075268817204</v>
      </c>
      <c r="AK979" s="365">
        <f t="shared" si="241"/>
        <v>9.2822580645161299</v>
      </c>
      <c r="AL979" s="365">
        <f t="shared" si="242"/>
        <v>8.297043010752688</v>
      </c>
      <c r="AM979" s="365">
        <f t="shared" si="243"/>
        <v>2.806451612903226</v>
      </c>
      <c r="AN979" s="365">
        <f t="shared" si="244"/>
        <v>3.306451612903226</v>
      </c>
      <c r="AO979" s="365">
        <f t="shared" si="245"/>
        <v>6.4704301075268811</v>
      </c>
      <c r="AP979" s="365">
        <f t="shared" si="246"/>
        <v>1.0793010752688172</v>
      </c>
      <c r="AQ979" s="365">
        <f t="shared" si="247"/>
        <v>2.3776881720430105</v>
      </c>
      <c r="AR979" s="365">
        <f t="shared" si="248"/>
        <v>2.521505376344086</v>
      </c>
      <c r="AS979" s="365">
        <f t="shared" si="249"/>
        <v>345.28694334385989</v>
      </c>
      <c r="AT979" s="365" t="e">
        <f t="shared" ca="1" si="250"/>
        <v>#NAME?</v>
      </c>
      <c r="AU979" s="365" t="e">
        <f t="shared" ca="1" si="251"/>
        <v>#NAME?</v>
      </c>
      <c r="AW979" s="365" t="e">
        <f t="shared" ca="1" si="252"/>
        <v>#NAME?</v>
      </c>
      <c r="AX979" s="365" t="e">
        <f t="shared" ca="1" si="253"/>
        <v>#NAME?</v>
      </c>
    </row>
    <row r="980" spans="1:50" ht="15.75" customHeight="1" x14ac:dyDescent="0.3">
      <c r="A980" s="375" t="s">
        <v>21</v>
      </c>
      <c r="B980" s="375">
        <f t="shared" si="229"/>
        <v>245</v>
      </c>
      <c r="C980" s="365">
        <f t="shared" si="229"/>
        <v>147</v>
      </c>
      <c r="D980" s="427" t="s">
        <v>1095</v>
      </c>
      <c r="E980" s="365">
        <f t="shared" ref="E980:S980" si="262">+C900/$O$10/24</f>
        <v>19.788888888888888</v>
      </c>
      <c r="F980" s="365">
        <f t="shared" si="262"/>
        <v>20.722222222222221</v>
      </c>
      <c r="G980" s="365">
        <f t="shared" si="262"/>
        <v>34.294444444444444</v>
      </c>
      <c r="H980" s="365">
        <f t="shared" si="262"/>
        <v>12.836208776941055</v>
      </c>
      <c r="I980" s="365">
        <f t="shared" si="262"/>
        <v>0</v>
      </c>
      <c r="J980" s="365">
        <f t="shared" si="262"/>
        <v>4.4291666666666663</v>
      </c>
      <c r="K980" s="365">
        <f t="shared" si="262"/>
        <v>1.8277777777777777</v>
      </c>
      <c r="L980" s="365">
        <f t="shared" si="262"/>
        <v>2.7388888888888889</v>
      </c>
      <c r="M980" s="365">
        <f t="shared" si="262"/>
        <v>2.6319444444444442</v>
      </c>
      <c r="N980" s="365">
        <f t="shared" si="262"/>
        <v>0.95833333333333337</v>
      </c>
      <c r="O980" s="365">
        <f t="shared" si="262"/>
        <v>1.1277777777777778</v>
      </c>
      <c r="P980" s="365">
        <f t="shared" si="262"/>
        <v>2.2736111111111112</v>
      </c>
      <c r="Q980" s="365">
        <f t="shared" si="262"/>
        <v>0.1111111111111111</v>
      </c>
      <c r="R980" s="365">
        <f t="shared" si="262"/>
        <v>1.8111111111111111</v>
      </c>
      <c r="S980" s="427">
        <f t="shared" si="262"/>
        <v>0.26250000000000001</v>
      </c>
      <c r="T980" s="365">
        <f t="shared" si="231"/>
        <v>350.81398655471884</v>
      </c>
      <c r="U980" s="365">
        <f t="shared" si="232"/>
        <v>252.81398655471884</v>
      </c>
      <c r="V980" s="365" t="s">
        <v>1095</v>
      </c>
      <c r="AC980" s="4">
        <v>11</v>
      </c>
      <c r="AD980" s="365">
        <f>IF($AF$967=1,VLOOKUP($AD$967,$A$997:$P$1008,12,FALSE),VLOOKUP($AD$967,$A$970:$S$981,3,FALSE))</f>
        <v>196</v>
      </c>
      <c r="AE980" s="365">
        <f t="shared" si="235"/>
        <v>23.692204301075268</v>
      </c>
      <c r="AF980" s="365">
        <f t="shared" si="236"/>
        <v>24.813172043010752</v>
      </c>
      <c r="AG980" s="365">
        <f t="shared" si="237"/>
        <v>41.25</v>
      </c>
      <c r="AH980" s="365">
        <f t="shared" si="238"/>
        <v>3.468394956763083</v>
      </c>
      <c r="AI980" s="365">
        <f t="shared" si="239"/>
        <v>12.745967741935482</v>
      </c>
      <c r="AJ980" s="365">
        <f t="shared" si="240"/>
        <v>7.176075268817204</v>
      </c>
      <c r="AK980" s="365">
        <f t="shared" si="241"/>
        <v>9.2822580645161299</v>
      </c>
      <c r="AL980" s="365">
        <f t="shared" si="242"/>
        <v>8.297043010752688</v>
      </c>
      <c r="AM980" s="365">
        <f t="shared" si="243"/>
        <v>2.806451612903226</v>
      </c>
      <c r="AN980" s="365">
        <f t="shared" si="244"/>
        <v>3.306451612903226</v>
      </c>
      <c r="AO980" s="365">
        <f t="shared" si="245"/>
        <v>6.4704301075268811</v>
      </c>
      <c r="AP980" s="365">
        <f t="shared" si="246"/>
        <v>1.0793010752688172</v>
      </c>
      <c r="AQ980" s="365">
        <f t="shared" si="247"/>
        <v>2.3776881720430105</v>
      </c>
      <c r="AR980" s="365">
        <f t="shared" si="248"/>
        <v>2.521505376344086</v>
      </c>
      <c r="AS980" s="365">
        <f t="shared" si="249"/>
        <v>345.28694334385989</v>
      </c>
      <c r="AT980" s="365" t="e">
        <f t="shared" ca="1" si="250"/>
        <v>#NAME?</v>
      </c>
      <c r="AU980" s="365" t="e">
        <f t="shared" ca="1" si="251"/>
        <v>#NAME?</v>
      </c>
      <c r="AW980" s="365" t="e">
        <f t="shared" ca="1" si="252"/>
        <v>#NAME?</v>
      </c>
      <c r="AX980" s="365" t="e">
        <f t="shared" ca="1" si="253"/>
        <v>#NAME?</v>
      </c>
    </row>
    <row r="981" spans="1:50" ht="15.75" customHeight="1" thickBot="1" x14ac:dyDescent="0.35">
      <c r="A981" s="382" t="s">
        <v>22</v>
      </c>
      <c r="B981" s="382">
        <f t="shared" si="229"/>
        <v>294</v>
      </c>
      <c r="C981" s="369">
        <f t="shared" si="229"/>
        <v>98</v>
      </c>
      <c r="D981" s="429" t="s">
        <v>1095</v>
      </c>
      <c r="E981" s="369">
        <f t="shared" ref="E981:S981" si="263">+C901/$P$10/24</f>
        <v>21.008064516129032</v>
      </c>
      <c r="F981" s="369">
        <f t="shared" si="263"/>
        <v>22.010752688172044</v>
      </c>
      <c r="G981" s="369">
        <f t="shared" si="263"/>
        <v>36.213709677419352</v>
      </c>
      <c r="H981" s="369">
        <f t="shared" si="263"/>
        <v>12.382724547653289</v>
      </c>
      <c r="I981" s="369">
        <f t="shared" si="263"/>
        <v>0</v>
      </c>
      <c r="J981" s="369">
        <f t="shared" si="263"/>
        <v>5.9798387096774199</v>
      </c>
      <c r="K981" s="369">
        <f t="shared" si="263"/>
        <v>3.8629032258064515</v>
      </c>
      <c r="L981" s="369">
        <f t="shared" si="263"/>
        <v>5.8145161290322589</v>
      </c>
      <c r="M981" s="369">
        <f t="shared" si="263"/>
        <v>5.8064516129032251</v>
      </c>
      <c r="N981" s="369">
        <f t="shared" si="263"/>
        <v>1.6491935483870968</v>
      </c>
      <c r="O981" s="369">
        <f t="shared" si="263"/>
        <v>1.9422043010752688</v>
      </c>
      <c r="P981" s="369">
        <f t="shared" si="263"/>
        <v>3.8118279569892475</v>
      </c>
      <c r="Q981" s="369">
        <f t="shared" si="263"/>
        <v>0.29032258064516131</v>
      </c>
      <c r="R981" s="369">
        <f t="shared" si="263"/>
        <v>1.8588709677419353</v>
      </c>
      <c r="S981" s="429">
        <f t="shared" si="263"/>
        <v>0.68682795698924737</v>
      </c>
      <c r="T981" s="365">
        <f t="shared" si="231"/>
        <v>417.318208418621</v>
      </c>
      <c r="U981" s="365">
        <f t="shared" si="232"/>
        <v>221.31820841862103</v>
      </c>
      <c r="V981" s="365" t="s">
        <v>1095</v>
      </c>
      <c r="AC981" s="4">
        <v>12</v>
      </c>
      <c r="AD981" s="365">
        <f>IF($AF$967=1,VLOOKUP($AD$967,$A$997:$P$1008,12,FALSE),VLOOKUP($AD$967,$A$970:$S$981,3,FALSE))</f>
        <v>196</v>
      </c>
      <c r="AE981" s="365">
        <f t="shared" si="235"/>
        <v>23.692204301075268</v>
      </c>
      <c r="AF981" s="365">
        <f t="shared" si="236"/>
        <v>24.813172043010752</v>
      </c>
      <c r="AG981" s="365">
        <f t="shared" si="237"/>
        <v>41.25</v>
      </c>
      <c r="AH981" s="365">
        <f t="shared" si="238"/>
        <v>3.468394956763083</v>
      </c>
      <c r="AI981" s="365">
        <f t="shared" si="239"/>
        <v>12.745967741935482</v>
      </c>
      <c r="AJ981" s="365">
        <f t="shared" si="240"/>
        <v>7.176075268817204</v>
      </c>
      <c r="AK981" s="365">
        <f t="shared" si="241"/>
        <v>9.2822580645161299</v>
      </c>
      <c r="AL981" s="365">
        <f t="shared" si="242"/>
        <v>8.297043010752688</v>
      </c>
      <c r="AM981" s="365">
        <f t="shared" si="243"/>
        <v>2.806451612903226</v>
      </c>
      <c r="AN981" s="365">
        <f t="shared" si="244"/>
        <v>3.306451612903226</v>
      </c>
      <c r="AO981" s="365">
        <f t="shared" si="245"/>
        <v>6.4704301075268811</v>
      </c>
      <c r="AP981" s="365">
        <f t="shared" si="246"/>
        <v>1.0793010752688172</v>
      </c>
      <c r="AQ981" s="365">
        <f t="shared" si="247"/>
        <v>2.3776881720430105</v>
      </c>
      <c r="AR981" s="365">
        <f t="shared" si="248"/>
        <v>2.521505376344086</v>
      </c>
      <c r="AS981" s="365">
        <f t="shared" si="249"/>
        <v>345.28694334385989</v>
      </c>
      <c r="AT981" s="365" t="e">
        <f t="shared" ca="1" si="250"/>
        <v>#NAME?</v>
      </c>
      <c r="AU981" s="365" t="e">
        <f t="shared" ca="1" si="251"/>
        <v>#NAME?</v>
      </c>
      <c r="AW981" s="365" t="e">
        <f t="shared" ca="1" si="252"/>
        <v>#NAME?</v>
      </c>
      <c r="AX981" s="365" t="e">
        <f t="shared" ca="1" si="253"/>
        <v>#NAME?</v>
      </c>
    </row>
    <row r="982" spans="1:50" ht="15.75" customHeight="1" x14ac:dyDescent="0.3">
      <c r="A982" s="418"/>
      <c r="AC982" s="4">
        <v>13</v>
      </c>
      <c r="AD982" s="365">
        <f>IF($AF$967=1,VLOOKUP($AD$967,$A$997:$P$1008,12,FALSE),IF(OR($AD$967="JUN",$AD$967="JUL",$AD$967="AUG"),VLOOKUP($AD$967,$A$970:$S$981,4,FALSE),VLOOKUP($AD$967,$A$970:$S$981,3,FALSE)))</f>
        <v>196</v>
      </c>
      <c r="AE982" s="365">
        <f t="shared" si="235"/>
        <v>23.692204301075268</v>
      </c>
      <c r="AF982" s="365">
        <f t="shared" si="236"/>
        <v>24.813172043010752</v>
      </c>
      <c r="AG982" s="365">
        <f t="shared" si="237"/>
        <v>41.25</v>
      </c>
      <c r="AH982" s="365">
        <f t="shared" si="238"/>
        <v>3.468394956763083</v>
      </c>
      <c r="AI982" s="365">
        <f t="shared" si="239"/>
        <v>12.745967741935482</v>
      </c>
      <c r="AJ982" s="365">
        <f t="shared" si="240"/>
        <v>7.176075268817204</v>
      </c>
      <c r="AK982" s="365">
        <f t="shared" si="241"/>
        <v>9.2822580645161299</v>
      </c>
      <c r="AL982" s="365">
        <f t="shared" si="242"/>
        <v>8.297043010752688</v>
      </c>
      <c r="AM982" s="365">
        <f t="shared" si="243"/>
        <v>2.806451612903226</v>
      </c>
      <c r="AN982" s="365">
        <f t="shared" si="244"/>
        <v>3.306451612903226</v>
      </c>
      <c r="AO982" s="365">
        <f t="shared" si="245"/>
        <v>6.4704301075268811</v>
      </c>
      <c r="AP982" s="365">
        <f t="shared" si="246"/>
        <v>1.0793010752688172</v>
      </c>
      <c r="AQ982" s="365">
        <f t="shared" si="247"/>
        <v>2.3776881720430105</v>
      </c>
      <c r="AR982" s="365">
        <f t="shared" si="248"/>
        <v>2.521505376344086</v>
      </c>
      <c r="AS982" s="365">
        <f t="shared" si="249"/>
        <v>345.28694334385989</v>
      </c>
      <c r="AT982" s="365" t="e">
        <f t="shared" ca="1" si="250"/>
        <v>#NAME?</v>
      </c>
      <c r="AU982" s="365" t="e">
        <f t="shared" ca="1" si="251"/>
        <v>#NAME?</v>
      </c>
      <c r="AW982" s="365" t="e">
        <f t="shared" ca="1" si="252"/>
        <v>#NAME?</v>
      </c>
      <c r="AX982" s="365" t="e">
        <f t="shared" ca="1" si="253"/>
        <v>#NAME?</v>
      </c>
    </row>
    <row r="983" spans="1:50" ht="15.75" customHeight="1" x14ac:dyDescent="0.3">
      <c r="A983" s="418" t="s">
        <v>1096</v>
      </c>
      <c r="AC983" s="4">
        <v>14</v>
      </c>
      <c r="AD983" s="365">
        <f t="shared" ref="AD983:AD989" si="264">IF($AF$967=1,VLOOKUP($AD$967,$A$997:$P$1008,12,FALSE),IF(OR($AD$967="JUN",$AD$967="JUL",$AD$967="AUG"),VLOOKUP($AD$967,$A$970:$S$981,4,FALSE),VLOOKUP($AD$967,$A$970:$S$981,3,FALSE)))</f>
        <v>196</v>
      </c>
      <c r="AE983" s="365">
        <f t="shared" si="235"/>
        <v>23.692204301075268</v>
      </c>
      <c r="AF983" s="365">
        <f t="shared" si="236"/>
        <v>24.813172043010752</v>
      </c>
      <c r="AG983" s="365">
        <f t="shared" si="237"/>
        <v>41.25</v>
      </c>
      <c r="AH983" s="365">
        <f t="shared" si="238"/>
        <v>3.468394956763083</v>
      </c>
      <c r="AI983" s="365">
        <f t="shared" si="239"/>
        <v>12.745967741935482</v>
      </c>
      <c r="AJ983" s="365">
        <f t="shared" si="240"/>
        <v>7.176075268817204</v>
      </c>
      <c r="AK983" s="365">
        <f t="shared" si="241"/>
        <v>9.2822580645161299</v>
      </c>
      <c r="AL983" s="365">
        <f t="shared" si="242"/>
        <v>8.297043010752688</v>
      </c>
      <c r="AM983" s="365">
        <f t="shared" si="243"/>
        <v>2.806451612903226</v>
      </c>
      <c r="AN983" s="365">
        <f t="shared" si="244"/>
        <v>3.306451612903226</v>
      </c>
      <c r="AO983" s="365">
        <f t="shared" si="245"/>
        <v>6.4704301075268811</v>
      </c>
      <c r="AP983" s="365">
        <f t="shared" si="246"/>
        <v>1.0793010752688172</v>
      </c>
      <c r="AQ983" s="365">
        <f t="shared" si="247"/>
        <v>2.3776881720430105</v>
      </c>
      <c r="AR983" s="365">
        <f t="shared" si="248"/>
        <v>2.521505376344086</v>
      </c>
      <c r="AS983" s="365">
        <f t="shared" si="249"/>
        <v>345.28694334385989</v>
      </c>
      <c r="AT983" s="365" t="e">
        <f t="shared" ca="1" si="250"/>
        <v>#NAME?</v>
      </c>
      <c r="AU983" s="365" t="e">
        <f t="shared" ca="1" si="251"/>
        <v>#NAME?</v>
      </c>
      <c r="AW983" s="365" t="e">
        <f t="shared" ca="1" si="252"/>
        <v>#NAME?</v>
      </c>
      <c r="AX983" s="365" t="e">
        <f t="shared" ca="1" si="253"/>
        <v>#NAME?</v>
      </c>
    </row>
    <row r="984" spans="1:50" ht="15.75" customHeight="1" x14ac:dyDescent="0.3">
      <c r="A984" s="418"/>
      <c r="AC984" s="4">
        <v>15</v>
      </c>
      <c r="AD984" s="365">
        <f t="shared" si="264"/>
        <v>196</v>
      </c>
      <c r="AE984" s="365">
        <f t="shared" si="235"/>
        <v>23.692204301075268</v>
      </c>
      <c r="AF984" s="365">
        <f t="shared" si="236"/>
        <v>24.813172043010752</v>
      </c>
      <c r="AG984" s="365">
        <f t="shared" si="237"/>
        <v>41.25</v>
      </c>
      <c r="AH984" s="365">
        <f t="shared" si="238"/>
        <v>3.468394956763083</v>
      </c>
      <c r="AI984" s="365">
        <f t="shared" si="239"/>
        <v>12.745967741935482</v>
      </c>
      <c r="AJ984" s="365">
        <f t="shared" si="240"/>
        <v>7.176075268817204</v>
      </c>
      <c r="AK984" s="365">
        <f t="shared" si="241"/>
        <v>9.2822580645161299</v>
      </c>
      <c r="AL984" s="365">
        <f t="shared" si="242"/>
        <v>8.297043010752688</v>
      </c>
      <c r="AM984" s="365">
        <f t="shared" si="243"/>
        <v>2.806451612903226</v>
      </c>
      <c r="AN984" s="365">
        <f t="shared" si="244"/>
        <v>3.306451612903226</v>
      </c>
      <c r="AO984" s="365">
        <f t="shared" si="245"/>
        <v>6.4704301075268811</v>
      </c>
      <c r="AP984" s="365">
        <f t="shared" si="246"/>
        <v>1.0793010752688172</v>
      </c>
      <c r="AQ984" s="365">
        <f t="shared" si="247"/>
        <v>2.3776881720430105</v>
      </c>
      <c r="AR984" s="365">
        <f t="shared" si="248"/>
        <v>2.521505376344086</v>
      </c>
      <c r="AS984" s="365">
        <f t="shared" si="249"/>
        <v>345.28694334385989</v>
      </c>
      <c r="AT984" s="365" t="e">
        <f t="shared" ca="1" si="250"/>
        <v>#NAME?</v>
      </c>
      <c r="AU984" s="365" t="e">
        <f t="shared" ca="1" si="251"/>
        <v>#NAME?</v>
      </c>
      <c r="AW984" s="365" t="e">
        <f t="shared" ca="1" si="252"/>
        <v>#NAME?</v>
      </c>
      <c r="AX984" s="365" t="e">
        <f t="shared" ca="1" si="253"/>
        <v>#NAME?</v>
      </c>
    </row>
    <row r="985" spans="1:50" ht="15.75" customHeight="1" x14ac:dyDescent="0.3">
      <c r="A985" s="418"/>
      <c r="AC985" s="4">
        <v>16</v>
      </c>
      <c r="AD985" s="365">
        <f t="shared" si="264"/>
        <v>196</v>
      </c>
      <c r="AE985" s="365">
        <f t="shared" si="235"/>
        <v>23.692204301075268</v>
      </c>
      <c r="AF985" s="365">
        <f t="shared" si="236"/>
        <v>24.813172043010752</v>
      </c>
      <c r="AG985" s="365">
        <f t="shared" si="237"/>
        <v>41.25</v>
      </c>
      <c r="AH985" s="365">
        <f t="shared" si="238"/>
        <v>3.468394956763083</v>
      </c>
      <c r="AI985" s="365">
        <f t="shared" si="239"/>
        <v>12.745967741935482</v>
      </c>
      <c r="AJ985" s="365">
        <f t="shared" si="240"/>
        <v>7.176075268817204</v>
      </c>
      <c r="AK985" s="365">
        <f t="shared" si="241"/>
        <v>9.2822580645161299</v>
      </c>
      <c r="AL985" s="365">
        <f t="shared" si="242"/>
        <v>8.297043010752688</v>
      </c>
      <c r="AM985" s="365">
        <f t="shared" si="243"/>
        <v>2.806451612903226</v>
      </c>
      <c r="AN985" s="365">
        <f t="shared" si="244"/>
        <v>3.306451612903226</v>
      </c>
      <c r="AO985" s="365">
        <f t="shared" si="245"/>
        <v>6.4704301075268811</v>
      </c>
      <c r="AP985" s="365">
        <f t="shared" si="246"/>
        <v>1.0793010752688172</v>
      </c>
      <c r="AQ985" s="365">
        <f t="shared" si="247"/>
        <v>2.3776881720430105</v>
      </c>
      <c r="AR985" s="365">
        <f t="shared" si="248"/>
        <v>2.521505376344086</v>
      </c>
      <c r="AS985" s="365">
        <f t="shared" si="249"/>
        <v>345.28694334385989</v>
      </c>
      <c r="AT985" s="365" t="e">
        <f t="shared" ca="1" si="250"/>
        <v>#NAME?</v>
      </c>
      <c r="AU985" s="365" t="e">
        <f t="shared" ca="1" si="251"/>
        <v>#NAME?</v>
      </c>
      <c r="AW985" s="365" t="e">
        <f t="shared" ca="1" si="252"/>
        <v>#NAME?</v>
      </c>
      <c r="AX985" s="365" t="e">
        <f t="shared" ca="1" si="253"/>
        <v>#NAME?</v>
      </c>
    </row>
    <row r="986" spans="1:50" ht="15.75" customHeight="1" thickBot="1" x14ac:dyDescent="0.35">
      <c r="A986" s="418"/>
      <c r="AC986" s="4">
        <v>17</v>
      </c>
      <c r="AD986" s="365">
        <f t="shared" si="264"/>
        <v>196</v>
      </c>
      <c r="AE986" s="365">
        <f t="shared" si="235"/>
        <v>23.692204301075268</v>
      </c>
      <c r="AF986" s="365">
        <f t="shared" si="236"/>
        <v>24.813172043010752</v>
      </c>
      <c r="AG986" s="365">
        <f t="shared" si="237"/>
        <v>41.25</v>
      </c>
      <c r="AH986" s="365">
        <f t="shared" si="238"/>
        <v>3.468394956763083</v>
      </c>
      <c r="AI986" s="365">
        <f t="shared" si="239"/>
        <v>12.745967741935482</v>
      </c>
      <c r="AJ986" s="365">
        <f t="shared" si="240"/>
        <v>7.176075268817204</v>
      </c>
      <c r="AK986" s="365">
        <f t="shared" si="241"/>
        <v>9.2822580645161299</v>
      </c>
      <c r="AL986" s="365">
        <f t="shared" si="242"/>
        <v>8.297043010752688</v>
      </c>
      <c r="AM986" s="365">
        <f t="shared" si="243"/>
        <v>2.806451612903226</v>
      </c>
      <c r="AN986" s="365">
        <f t="shared" si="244"/>
        <v>3.306451612903226</v>
      </c>
      <c r="AO986" s="365">
        <f t="shared" si="245"/>
        <v>6.4704301075268811</v>
      </c>
      <c r="AP986" s="365">
        <f t="shared" si="246"/>
        <v>1.0793010752688172</v>
      </c>
      <c r="AQ986" s="365">
        <f t="shared" si="247"/>
        <v>2.3776881720430105</v>
      </c>
      <c r="AR986" s="365">
        <f t="shared" si="248"/>
        <v>2.521505376344086</v>
      </c>
      <c r="AS986" s="365">
        <f t="shared" si="249"/>
        <v>345.28694334385989</v>
      </c>
      <c r="AT986" s="365" t="e">
        <f t="shared" ca="1" si="250"/>
        <v>#NAME?</v>
      </c>
      <c r="AU986" s="365" t="e">
        <f t="shared" ca="1" si="251"/>
        <v>#NAME?</v>
      </c>
      <c r="AW986" s="365" t="e">
        <f t="shared" ca="1" si="252"/>
        <v>#NAME?</v>
      </c>
      <c r="AX986" s="365" t="e">
        <f t="shared" ca="1" si="253"/>
        <v>#NAME?</v>
      </c>
    </row>
    <row r="987" spans="1:50" ht="15.75" customHeight="1" x14ac:dyDescent="0.3">
      <c r="A987" s="430"/>
      <c r="B987" s="506" t="s">
        <v>1097</v>
      </c>
      <c r="C987" s="506"/>
      <c r="D987" s="506"/>
      <c r="E987" s="506"/>
      <c r="F987" s="506"/>
      <c r="G987" s="506"/>
      <c r="H987" s="506"/>
      <c r="I987" s="506"/>
      <c r="J987" s="506"/>
      <c r="K987" s="506"/>
      <c r="L987" s="506"/>
      <c r="M987" s="506"/>
      <c r="N987" s="506"/>
      <c r="O987" s="506"/>
      <c r="P987" s="506"/>
      <c r="Q987" s="361" t="str">
        <f>+Q1</f>
        <v xml:space="preserve">PRINTED:  </v>
      </c>
      <c r="R987" s="362">
        <f ca="1">+R1</f>
        <v>44909.46975358796</v>
      </c>
      <c r="AC987" s="4">
        <v>18</v>
      </c>
      <c r="AD987" s="365">
        <f t="shared" si="264"/>
        <v>196</v>
      </c>
      <c r="AE987" s="365">
        <f t="shared" si="235"/>
        <v>23.692204301075268</v>
      </c>
      <c r="AF987" s="365">
        <f t="shared" si="236"/>
        <v>24.813172043010752</v>
      </c>
      <c r="AG987" s="365">
        <f t="shared" si="237"/>
        <v>41.25</v>
      </c>
      <c r="AH987" s="365">
        <f t="shared" si="238"/>
        <v>3.468394956763083</v>
      </c>
      <c r="AI987" s="365">
        <f t="shared" si="239"/>
        <v>12.745967741935482</v>
      </c>
      <c r="AJ987" s="365">
        <f t="shared" si="240"/>
        <v>7.176075268817204</v>
      </c>
      <c r="AK987" s="365">
        <f t="shared" si="241"/>
        <v>9.2822580645161299</v>
      </c>
      <c r="AL987" s="365">
        <f t="shared" si="242"/>
        <v>8.297043010752688</v>
      </c>
      <c r="AM987" s="365">
        <f t="shared" si="243"/>
        <v>2.806451612903226</v>
      </c>
      <c r="AN987" s="365">
        <f t="shared" si="244"/>
        <v>3.306451612903226</v>
      </c>
      <c r="AO987" s="365">
        <f t="shared" si="245"/>
        <v>6.4704301075268811</v>
      </c>
      <c r="AP987" s="365">
        <f t="shared" si="246"/>
        <v>1.0793010752688172</v>
      </c>
      <c r="AQ987" s="365">
        <f t="shared" si="247"/>
        <v>2.3776881720430105</v>
      </c>
      <c r="AR987" s="365">
        <f t="shared" si="248"/>
        <v>2.521505376344086</v>
      </c>
      <c r="AS987" s="365">
        <f t="shared" si="249"/>
        <v>345.28694334385989</v>
      </c>
      <c r="AT987" s="365" t="e">
        <f t="shared" ca="1" si="250"/>
        <v>#NAME?</v>
      </c>
      <c r="AU987" s="365" t="e">
        <f t="shared" ca="1" si="251"/>
        <v>#NAME?</v>
      </c>
      <c r="AW987" s="365" t="e">
        <f t="shared" ca="1" si="252"/>
        <v>#NAME?</v>
      </c>
      <c r="AX987" s="365" t="e">
        <f t="shared" ca="1" si="253"/>
        <v>#NAME?</v>
      </c>
    </row>
    <row r="988" spans="1:50" ht="16.5" customHeight="1" x14ac:dyDescent="0.3">
      <c r="A988" s="416"/>
      <c r="B988" s="503" t="str">
        <f>+A8</f>
        <v>Revised:  5/2/2016</v>
      </c>
      <c r="C988" s="503"/>
      <c r="D988" s="503"/>
      <c r="E988" s="503"/>
      <c r="F988" s="503"/>
      <c r="G988" s="503"/>
      <c r="H988" s="503"/>
      <c r="I988" s="503"/>
      <c r="J988" s="503"/>
      <c r="K988" s="503"/>
      <c r="L988" s="503"/>
      <c r="M988" s="503"/>
      <c r="N988" s="503"/>
      <c r="O988" s="503"/>
      <c r="P988" s="503"/>
      <c r="R988" s="307"/>
      <c r="AC988" s="4">
        <v>19</v>
      </c>
      <c r="AD988" s="365">
        <f t="shared" si="264"/>
        <v>196</v>
      </c>
      <c r="AE988" s="365">
        <f t="shared" si="235"/>
        <v>23.692204301075268</v>
      </c>
      <c r="AF988" s="365">
        <f t="shared" si="236"/>
        <v>24.813172043010752</v>
      </c>
      <c r="AG988" s="365">
        <f t="shared" si="237"/>
        <v>41.25</v>
      </c>
      <c r="AH988" s="365">
        <f t="shared" si="238"/>
        <v>3.468394956763083</v>
      </c>
      <c r="AI988" s="365">
        <f t="shared" si="239"/>
        <v>12.745967741935482</v>
      </c>
      <c r="AJ988" s="365">
        <f t="shared" si="240"/>
        <v>7.176075268817204</v>
      </c>
      <c r="AK988" s="365">
        <f t="shared" si="241"/>
        <v>9.2822580645161299</v>
      </c>
      <c r="AL988" s="365">
        <f t="shared" si="242"/>
        <v>8.297043010752688</v>
      </c>
      <c r="AM988" s="365">
        <f t="shared" si="243"/>
        <v>2.806451612903226</v>
      </c>
      <c r="AN988" s="365">
        <f t="shared" si="244"/>
        <v>3.306451612903226</v>
      </c>
      <c r="AO988" s="365">
        <f t="shared" si="245"/>
        <v>6.4704301075268811</v>
      </c>
      <c r="AP988" s="365">
        <f t="shared" si="246"/>
        <v>1.0793010752688172</v>
      </c>
      <c r="AQ988" s="365">
        <f t="shared" si="247"/>
        <v>2.3776881720430105</v>
      </c>
      <c r="AR988" s="365">
        <f t="shared" si="248"/>
        <v>2.521505376344086</v>
      </c>
      <c r="AS988" s="365">
        <f t="shared" si="249"/>
        <v>345.28694334385989</v>
      </c>
      <c r="AT988" s="365" t="e">
        <f t="shared" ca="1" si="250"/>
        <v>#NAME?</v>
      </c>
      <c r="AU988" s="365" t="e">
        <f t="shared" ca="1" si="251"/>
        <v>#NAME?</v>
      </c>
      <c r="AW988" s="365" t="e">
        <f t="shared" ca="1" si="252"/>
        <v>#NAME?</v>
      </c>
      <c r="AX988" s="365" t="e">
        <f t="shared" ca="1" si="253"/>
        <v>#NAME?</v>
      </c>
    </row>
    <row r="989" spans="1:50" ht="16.5" customHeight="1" x14ac:dyDescent="0.3">
      <c r="A989" s="416"/>
      <c r="B989" s="503" t="s">
        <v>1024</v>
      </c>
      <c r="C989" s="503"/>
      <c r="D989" s="503"/>
      <c r="E989" s="503"/>
      <c r="F989" s="503"/>
      <c r="G989" s="503"/>
      <c r="H989" s="503"/>
      <c r="I989" s="503"/>
      <c r="J989" s="503"/>
      <c r="K989" s="503"/>
      <c r="L989" s="503"/>
      <c r="M989" s="503"/>
      <c r="N989" s="503"/>
      <c r="O989" s="503"/>
      <c r="P989" s="503"/>
      <c r="R989" s="307"/>
      <c r="AC989" s="4">
        <v>20</v>
      </c>
      <c r="AD989" s="365">
        <f t="shared" si="264"/>
        <v>196</v>
      </c>
      <c r="AE989" s="365">
        <f t="shared" si="235"/>
        <v>23.692204301075268</v>
      </c>
      <c r="AF989" s="365">
        <f t="shared" si="236"/>
        <v>24.813172043010752</v>
      </c>
      <c r="AG989" s="365">
        <f t="shared" si="237"/>
        <v>41.25</v>
      </c>
      <c r="AH989" s="365">
        <f t="shared" si="238"/>
        <v>3.468394956763083</v>
      </c>
      <c r="AI989" s="365">
        <f t="shared" si="239"/>
        <v>12.745967741935482</v>
      </c>
      <c r="AJ989" s="365">
        <f t="shared" si="240"/>
        <v>7.176075268817204</v>
      </c>
      <c r="AK989" s="365">
        <f t="shared" si="241"/>
        <v>9.2822580645161299</v>
      </c>
      <c r="AL989" s="365">
        <f t="shared" si="242"/>
        <v>8.297043010752688</v>
      </c>
      <c r="AM989" s="365">
        <f t="shared" si="243"/>
        <v>2.806451612903226</v>
      </c>
      <c r="AN989" s="365">
        <f t="shared" si="244"/>
        <v>3.306451612903226</v>
      </c>
      <c r="AO989" s="365">
        <f t="shared" si="245"/>
        <v>6.4704301075268811</v>
      </c>
      <c r="AP989" s="365">
        <f t="shared" si="246"/>
        <v>1.0793010752688172</v>
      </c>
      <c r="AQ989" s="365">
        <f t="shared" si="247"/>
        <v>2.3776881720430105</v>
      </c>
      <c r="AR989" s="365">
        <f t="shared" si="248"/>
        <v>2.521505376344086</v>
      </c>
      <c r="AS989" s="365">
        <f t="shared" si="249"/>
        <v>345.28694334385989</v>
      </c>
      <c r="AT989" s="365" t="e">
        <f t="shared" ca="1" si="250"/>
        <v>#NAME?</v>
      </c>
      <c r="AU989" s="365" t="e">
        <f t="shared" ca="1" si="251"/>
        <v>#NAME?</v>
      </c>
      <c r="AW989" s="365" t="e">
        <f t="shared" ca="1" si="252"/>
        <v>#NAME?</v>
      </c>
      <c r="AX989" s="365" t="e">
        <f t="shared" ca="1" si="253"/>
        <v>#NAME?</v>
      </c>
    </row>
    <row r="990" spans="1:50" ht="16.5" customHeight="1" x14ac:dyDescent="0.3">
      <c r="A990" s="416"/>
      <c r="B990" s="159"/>
      <c r="C990" s="159"/>
      <c r="D990" s="159"/>
      <c r="E990" s="159"/>
      <c r="F990" s="159"/>
      <c r="G990" s="159"/>
      <c r="H990" s="159"/>
      <c r="I990" s="159"/>
      <c r="J990" s="159"/>
      <c r="K990" s="159"/>
      <c r="L990" s="159"/>
      <c r="M990" s="159"/>
      <c r="N990" s="159"/>
      <c r="O990" s="159"/>
      <c r="P990" s="159"/>
      <c r="R990" s="307"/>
      <c r="AC990" s="4">
        <v>21</v>
      </c>
      <c r="AD990" s="365">
        <f>IF($AF$967=1,VLOOKUP($AD$967,$A$997:$P$1008,12,FALSE),VLOOKUP($AD$967,$A$970:$S$981,3,FALSE))</f>
        <v>196</v>
      </c>
      <c r="AE990" s="365">
        <f t="shared" si="235"/>
        <v>23.692204301075268</v>
      </c>
      <c r="AF990" s="365">
        <f t="shared" si="236"/>
        <v>24.813172043010752</v>
      </c>
      <c r="AG990" s="365">
        <f t="shared" si="237"/>
        <v>41.25</v>
      </c>
      <c r="AH990" s="365">
        <f t="shared" si="238"/>
        <v>3.468394956763083</v>
      </c>
      <c r="AI990" s="365">
        <f t="shared" si="239"/>
        <v>12.745967741935482</v>
      </c>
      <c r="AJ990" s="365">
        <f t="shared" si="240"/>
        <v>7.176075268817204</v>
      </c>
      <c r="AK990" s="365">
        <f t="shared" si="241"/>
        <v>9.2822580645161299</v>
      </c>
      <c r="AL990" s="365">
        <f t="shared" si="242"/>
        <v>8.297043010752688</v>
      </c>
      <c r="AM990" s="365">
        <f t="shared" si="243"/>
        <v>2.806451612903226</v>
      </c>
      <c r="AN990" s="365">
        <f t="shared" si="244"/>
        <v>3.306451612903226</v>
      </c>
      <c r="AO990" s="365">
        <f t="shared" si="245"/>
        <v>6.4704301075268811</v>
      </c>
      <c r="AP990" s="365">
        <f t="shared" si="246"/>
        <v>1.0793010752688172</v>
      </c>
      <c r="AQ990" s="365">
        <f t="shared" si="247"/>
        <v>2.3776881720430105</v>
      </c>
      <c r="AR990" s="365">
        <f t="shared" si="248"/>
        <v>2.521505376344086</v>
      </c>
      <c r="AS990" s="365">
        <f t="shared" si="249"/>
        <v>345.28694334385989</v>
      </c>
      <c r="AT990" s="365" t="e">
        <f t="shared" ca="1" si="250"/>
        <v>#NAME?</v>
      </c>
      <c r="AU990" s="365" t="e">
        <f t="shared" ca="1" si="251"/>
        <v>#NAME?</v>
      </c>
      <c r="AW990" s="365" t="e">
        <f t="shared" ca="1" si="252"/>
        <v>#NAME?</v>
      </c>
      <c r="AX990" s="365" t="e">
        <f t="shared" ca="1" si="253"/>
        <v>#NAME?</v>
      </c>
    </row>
    <row r="991" spans="1:50" ht="16.5" customHeight="1" x14ac:dyDescent="0.3">
      <c r="A991" s="416"/>
      <c r="B991" s="539">
        <f>+A5</f>
        <v>2015</v>
      </c>
      <c r="C991" s="509"/>
      <c r="D991" s="509"/>
      <c r="E991" s="509"/>
      <c r="F991" s="509"/>
      <c r="G991" s="509"/>
      <c r="H991" s="509"/>
      <c r="I991" s="509"/>
      <c r="J991" s="509"/>
      <c r="K991" s="509"/>
      <c r="L991" s="509"/>
      <c r="M991" s="509"/>
      <c r="N991" s="509"/>
      <c r="O991" s="509"/>
      <c r="P991" s="509"/>
      <c r="R991" s="307"/>
      <c r="AC991" s="4">
        <v>22</v>
      </c>
      <c r="AD991" s="365">
        <f>IF($AF$967=1,VLOOKUP($AD$967,$A$997:$P$1008,12,FALSE),VLOOKUP($AD$967,$A$970:$S$981,3,FALSE))</f>
        <v>196</v>
      </c>
      <c r="AE991" s="365">
        <f t="shared" si="235"/>
        <v>23.692204301075268</v>
      </c>
      <c r="AF991" s="365">
        <f t="shared" si="236"/>
        <v>24.813172043010752</v>
      </c>
      <c r="AG991" s="365">
        <f t="shared" si="237"/>
        <v>41.25</v>
      </c>
      <c r="AH991" s="365">
        <f t="shared" si="238"/>
        <v>3.468394956763083</v>
      </c>
      <c r="AI991" s="365">
        <f t="shared" si="239"/>
        <v>12.745967741935482</v>
      </c>
      <c r="AJ991" s="365">
        <f t="shared" si="240"/>
        <v>7.176075268817204</v>
      </c>
      <c r="AK991" s="365">
        <f t="shared" si="241"/>
        <v>9.2822580645161299</v>
      </c>
      <c r="AL991" s="365">
        <f t="shared" si="242"/>
        <v>8.297043010752688</v>
      </c>
      <c r="AM991" s="365">
        <f t="shared" si="243"/>
        <v>2.806451612903226</v>
      </c>
      <c r="AN991" s="365">
        <f t="shared" si="244"/>
        <v>3.306451612903226</v>
      </c>
      <c r="AO991" s="365">
        <f t="shared" si="245"/>
        <v>6.4704301075268811</v>
      </c>
      <c r="AP991" s="365">
        <f t="shared" si="246"/>
        <v>1.0793010752688172</v>
      </c>
      <c r="AQ991" s="365">
        <f t="shared" si="247"/>
        <v>2.3776881720430105</v>
      </c>
      <c r="AR991" s="365">
        <f t="shared" si="248"/>
        <v>2.521505376344086</v>
      </c>
      <c r="AS991" s="365">
        <f t="shared" si="249"/>
        <v>345.28694334385989</v>
      </c>
      <c r="AT991" s="365" t="e">
        <f t="shared" ca="1" si="250"/>
        <v>#NAME?</v>
      </c>
      <c r="AU991" s="365" t="e">
        <f t="shared" ca="1" si="251"/>
        <v>#NAME?</v>
      </c>
      <c r="AW991" s="365" t="e">
        <f t="shared" ca="1" si="252"/>
        <v>#NAME?</v>
      </c>
      <c r="AX991" s="365" t="e">
        <f t="shared" ca="1" si="253"/>
        <v>#NAME?</v>
      </c>
    </row>
    <row r="992" spans="1:50" ht="15.75" customHeight="1" x14ac:dyDescent="0.3">
      <c r="A992" s="416"/>
      <c r="B992" s="503" t="s">
        <v>457</v>
      </c>
      <c r="C992" s="503"/>
      <c r="D992" s="503"/>
      <c r="E992" s="503"/>
      <c r="F992" s="503"/>
      <c r="G992" s="503"/>
      <c r="H992" s="503"/>
      <c r="I992" s="503"/>
      <c r="J992" s="503"/>
      <c r="K992" s="503"/>
      <c r="L992" s="503"/>
      <c r="M992" s="503"/>
      <c r="N992" s="503"/>
      <c r="O992" s="503"/>
      <c r="P992" s="503"/>
      <c r="R992" s="307"/>
      <c r="AC992" s="4">
        <v>23</v>
      </c>
      <c r="AD992" s="365">
        <f>IF($AF$967=1,VLOOKUP($AD$967,$A$997:$P$1008,12,FALSE),IF(OR($AD$967="JAN",$AD$967="FEB",$AD$967="NOV",$AD$967="DEC"),VLOOKUP($AD$967,$A$970:$S$981,3,FALSE),VLOOKUP($AD$967,$A$970:$S$981,2,FALSE)))</f>
        <v>294</v>
      </c>
      <c r="AE992" s="365">
        <f t="shared" si="235"/>
        <v>23.692204301075268</v>
      </c>
      <c r="AF992" s="365">
        <f t="shared" si="236"/>
        <v>24.813172043010752</v>
      </c>
      <c r="AG992" s="365">
        <f t="shared" si="237"/>
        <v>41.25</v>
      </c>
      <c r="AH992" s="365">
        <f t="shared" si="238"/>
        <v>3.468394956763083</v>
      </c>
      <c r="AI992" s="365">
        <f t="shared" si="239"/>
        <v>12.745967741935482</v>
      </c>
      <c r="AJ992" s="365">
        <f t="shared" si="240"/>
        <v>7.176075268817204</v>
      </c>
      <c r="AK992" s="365">
        <f t="shared" si="241"/>
        <v>9.2822580645161299</v>
      </c>
      <c r="AL992" s="365">
        <f t="shared" si="242"/>
        <v>8.297043010752688</v>
      </c>
      <c r="AM992" s="365">
        <f t="shared" si="243"/>
        <v>2.806451612903226</v>
      </c>
      <c r="AN992" s="365">
        <f t="shared" si="244"/>
        <v>3.306451612903226</v>
      </c>
      <c r="AO992" s="365">
        <f t="shared" si="245"/>
        <v>6.4704301075268811</v>
      </c>
      <c r="AP992" s="365">
        <f t="shared" si="246"/>
        <v>1.0793010752688172</v>
      </c>
      <c r="AQ992" s="365">
        <f t="shared" si="247"/>
        <v>2.3776881720430105</v>
      </c>
      <c r="AR992" s="365">
        <f t="shared" si="248"/>
        <v>2.521505376344086</v>
      </c>
      <c r="AS992" s="365">
        <f t="shared" si="249"/>
        <v>443.28694334385989</v>
      </c>
      <c r="AT992" s="365" t="e">
        <f t="shared" ca="1" si="250"/>
        <v>#NAME?</v>
      </c>
      <c r="AU992" s="365" t="e">
        <f t="shared" ca="1" si="251"/>
        <v>#NAME?</v>
      </c>
      <c r="AW992" s="365" t="e">
        <f t="shared" ca="1" si="252"/>
        <v>#NAME?</v>
      </c>
      <c r="AX992" s="365" t="e">
        <f t="shared" ca="1" si="253"/>
        <v>#NAME?</v>
      </c>
    </row>
    <row r="993" spans="1:50" ht="15.75" customHeight="1" thickBot="1" x14ac:dyDescent="0.35">
      <c r="A993" s="416"/>
      <c r="R993" s="307"/>
      <c r="AC993" s="4">
        <v>24</v>
      </c>
      <c r="AD993" s="365">
        <f>IF($AF$967=1,VLOOKUP($AD$967,$A$997:$P$1008,12,FALSE),VLOOKUP($AD$967,$A$970:$S$981,2,FALSE))</f>
        <v>294</v>
      </c>
      <c r="AE993" s="365">
        <f t="shared" si="235"/>
        <v>23.692204301075268</v>
      </c>
      <c r="AF993" s="365">
        <f t="shared" si="236"/>
        <v>24.813172043010752</v>
      </c>
      <c r="AG993" s="365">
        <f t="shared" si="237"/>
        <v>41.25</v>
      </c>
      <c r="AH993" s="365">
        <f t="shared" si="238"/>
        <v>3.468394956763083</v>
      </c>
      <c r="AI993" s="365">
        <f t="shared" si="239"/>
        <v>12.745967741935482</v>
      </c>
      <c r="AJ993" s="365">
        <f t="shared" si="240"/>
        <v>7.176075268817204</v>
      </c>
      <c r="AK993" s="365">
        <f t="shared" si="241"/>
        <v>9.2822580645161299</v>
      </c>
      <c r="AL993" s="365">
        <f t="shared" si="242"/>
        <v>8.297043010752688</v>
      </c>
      <c r="AM993" s="365">
        <f t="shared" si="243"/>
        <v>2.806451612903226</v>
      </c>
      <c r="AN993" s="365">
        <f t="shared" si="244"/>
        <v>3.306451612903226</v>
      </c>
      <c r="AO993" s="365">
        <f t="shared" si="245"/>
        <v>6.4704301075268811</v>
      </c>
      <c r="AP993" s="365">
        <f t="shared" si="246"/>
        <v>1.0793010752688172</v>
      </c>
      <c r="AQ993" s="365">
        <f t="shared" si="247"/>
        <v>2.3776881720430105</v>
      </c>
      <c r="AR993" s="365">
        <f t="shared" si="248"/>
        <v>2.521505376344086</v>
      </c>
      <c r="AS993" s="365">
        <f t="shared" si="249"/>
        <v>443.28694334385989</v>
      </c>
      <c r="AT993" s="365" t="e">
        <f t="shared" ca="1" si="250"/>
        <v>#NAME?</v>
      </c>
      <c r="AU993" s="365" t="e">
        <f t="shared" ca="1" si="251"/>
        <v>#NAME?</v>
      </c>
      <c r="AW993" s="365" t="e">
        <f t="shared" ca="1" si="252"/>
        <v>#NAME?</v>
      </c>
      <c r="AX993" s="365" t="e">
        <f t="shared" ca="1" si="253"/>
        <v>#NAME?</v>
      </c>
    </row>
    <row r="994" spans="1:50" ht="15.75" customHeight="1" x14ac:dyDescent="0.3">
      <c r="A994" s="416"/>
      <c r="B994" s="542" t="s">
        <v>1098</v>
      </c>
      <c r="C994" s="543"/>
      <c r="D994" s="543"/>
      <c r="E994" s="543"/>
      <c r="F994" s="543"/>
      <c r="G994" s="543"/>
      <c r="H994" s="543"/>
      <c r="I994" s="543"/>
      <c r="J994" s="543"/>
      <c r="K994" s="543"/>
      <c r="L994" s="544"/>
      <c r="M994" s="545" t="s">
        <v>1099</v>
      </c>
      <c r="N994" s="543"/>
      <c r="O994" s="543"/>
      <c r="P994" s="543"/>
      <c r="Q994" s="365" t="s">
        <v>1100</v>
      </c>
      <c r="R994" s="427" t="s">
        <v>1101</v>
      </c>
      <c r="AC994" s="4" t="s">
        <v>422</v>
      </c>
      <c r="AD994" s="365">
        <f>SUM(AD970:AD993)</f>
        <v>5488</v>
      </c>
      <c r="AE994" s="365">
        <f>SUM(AE970:AE993)</f>
        <v>568.61290322580658</v>
      </c>
      <c r="AF994" s="365">
        <f t="shared" ref="AF994:AW994" si="265">SUM(AF970:AF993)</f>
        <v>595.51612903225828</v>
      </c>
      <c r="AG994" s="365">
        <f t="shared" si="265"/>
        <v>990</v>
      </c>
      <c r="AH994" s="365">
        <f t="shared" si="265"/>
        <v>83.241478962313991</v>
      </c>
      <c r="AI994" s="365">
        <f t="shared" si="265"/>
        <v>305.90322580645164</v>
      </c>
      <c r="AJ994" s="365">
        <f t="shared" si="265"/>
        <v>172.22580645161293</v>
      </c>
      <c r="AK994" s="365">
        <f t="shared" si="265"/>
        <v>222.7741935483871</v>
      </c>
      <c r="AL994" s="365">
        <f t="shared" si="265"/>
        <v>199.12903225806463</v>
      </c>
      <c r="AM994" s="365">
        <f t="shared" si="265"/>
        <v>67.354838709677409</v>
      </c>
      <c r="AN994" s="365">
        <f t="shared" si="265"/>
        <v>79.354838709677423</v>
      </c>
      <c r="AO994" s="365">
        <f t="shared" si="265"/>
        <v>155.29032258064515</v>
      </c>
      <c r="AP994" s="365">
        <f t="shared" si="265"/>
        <v>25.903225806451609</v>
      </c>
      <c r="AQ994" s="365">
        <f t="shared" si="265"/>
        <v>57.064516129032235</v>
      </c>
      <c r="AR994" s="365">
        <f t="shared" si="265"/>
        <v>60.516129032258092</v>
      </c>
      <c r="AS994" s="365">
        <f t="shared" si="265"/>
        <v>9070.8866402526382</v>
      </c>
      <c r="AT994" s="365" t="e">
        <f t="shared" ca="1" si="265"/>
        <v>#NAME?</v>
      </c>
      <c r="AU994" s="365" t="e">
        <f t="shared" ca="1" si="265"/>
        <v>#NAME?</v>
      </c>
      <c r="AW994" s="365" t="e">
        <f t="shared" ca="1" si="265"/>
        <v>#NAME?</v>
      </c>
      <c r="AX994" s="365">
        <f ca="1">SUMIF(AX970:AX993,"&gt;0")</f>
        <v>0</v>
      </c>
    </row>
    <row r="995" spans="1:50" ht="15.75" customHeight="1" thickBot="1" x14ac:dyDescent="0.35">
      <c r="A995" s="416" t="s">
        <v>1071</v>
      </c>
      <c r="B995" s="431" t="s">
        <v>1102</v>
      </c>
      <c r="C995" s="432" t="s">
        <v>1085</v>
      </c>
      <c r="D995" s="432" t="s">
        <v>1086</v>
      </c>
      <c r="E995" s="432" t="s">
        <v>1103</v>
      </c>
      <c r="F995" s="432" t="s">
        <v>1085</v>
      </c>
      <c r="G995" s="432" t="s">
        <v>1086</v>
      </c>
      <c r="H995" s="432" t="s">
        <v>1087</v>
      </c>
      <c r="I995" s="432" t="s">
        <v>1085</v>
      </c>
      <c r="J995" s="432" t="s">
        <v>1086</v>
      </c>
      <c r="K995" s="432" t="s">
        <v>1087</v>
      </c>
      <c r="L995" s="433" t="s">
        <v>1104</v>
      </c>
      <c r="M995" s="431" t="s">
        <v>1105</v>
      </c>
      <c r="N995" s="432" t="s">
        <v>1085</v>
      </c>
      <c r="O995" s="432" t="s">
        <v>1085</v>
      </c>
      <c r="P995" s="433" t="s">
        <v>1104</v>
      </c>
      <c r="Q995" s="434" t="s">
        <v>422</v>
      </c>
      <c r="R995" s="435" t="s">
        <v>1106</v>
      </c>
      <c r="S995" s="365"/>
      <c r="AU995" s="365"/>
      <c r="AW995" s="365"/>
      <c r="AX995" s="365"/>
    </row>
    <row r="996" spans="1:50" ht="15.75" customHeight="1" thickTop="1" x14ac:dyDescent="0.3">
      <c r="A996" s="416"/>
      <c r="B996" s="436"/>
      <c r="C996" s="437" t="s">
        <v>1107</v>
      </c>
      <c r="D996" s="437" t="s">
        <v>1107</v>
      </c>
      <c r="E996" s="437" t="s">
        <v>1107</v>
      </c>
      <c r="F996" s="438" t="s">
        <v>1079</v>
      </c>
      <c r="G996" s="438" t="s">
        <v>1079</v>
      </c>
      <c r="H996" s="438" t="s">
        <v>1079</v>
      </c>
      <c r="I996" s="438" t="s">
        <v>1108</v>
      </c>
      <c r="J996" s="438" t="s">
        <v>1108</v>
      </c>
      <c r="K996" s="438" t="s">
        <v>1108</v>
      </c>
      <c r="L996" s="439" t="s">
        <v>1109</v>
      </c>
      <c r="M996" s="440"/>
      <c r="N996" s="437" t="s">
        <v>1107</v>
      </c>
      <c r="O996" s="438" t="s">
        <v>1079</v>
      </c>
      <c r="P996" s="439" t="s">
        <v>1108</v>
      </c>
      <c r="Q996" s="434" t="s">
        <v>1108</v>
      </c>
      <c r="R996" s="435" t="s">
        <v>1108</v>
      </c>
      <c r="S996" s="365"/>
    </row>
    <row r="997" spans="1:50" ht="15.75" customHeight="1" x14ac:dyDescent="0.3">
      <c r="A997" s="416" t="s">
        <v>795</v>
      </c>
      <c r="B997" s="375" t="e">
        <f ca="1">+$B$10-M997</f>
        <v>#NAME?</v>
      </c>
      <c r="C997" s="441">
        <v>5</v>
      </c>
      <c r="D997" s="441">
        <v>0</v>
      </c>
      <c r="E997" s="441" t="s">
        <v>1095</v>
      </c>
      <c r="F997" s="365">
        <f t="shared" ref="F997:H1008" si="266">+I997/8</f>
        <v>245</v>
      </c>
      <c r="G997" s="365">
        <f>+J997/16</f>
        <v>0</v>
      </c>
      <c r="H997" s="365" t="s">
        <v>1095</v>
      </c>
      <c r="I997" s="365">
        <f t="shared" ref="I997:K1008" si="267">+C997*49*8</f>
        <v>1960</v>
      </c>
      <c r="J997" s="365">
        <f>+D997*49*16</f>
        <v>0</v>
      </c>
      <c r="K997" s="365" t="s">
        <v>1095</v>
      </c>
      <c r="L997" s="427">
        <f t="shared" ref="L997:L1008" si="268">+J997+I997</f>
        <v>1960</v>
      </c>
      <c r="M997" s="375" t="e">
        <f ca="1">SUMPRODUCT(--(WEEKDAY(ROW(INDIRECT(DATE($B$991,MonthFromText(A997),1)&amp;":"&amp;DATE($B$991,MonthFromText(A997),$B$10))),1)=1))</f>
        <v>#NAME?</v>
      </c>
      <c r="N997" s="441">
        <v>5</v>
      </c>
      <c r="O997" s="4">
        <f t="shared" ref="O997:O1008" si="269">+P997/24</f>
        <v>245</v>
      </c>
      <c r="P997" s="427">
        <f t="shared" ref="P997:P1008" si="270">+N997*49*24</f>
        <v>5880</v>
      </c>
      <c r="Q997" s="365" t="e">
        <f t="shared" ref="Q997:Q1008" ca="1" si="271">+(L997*B997)+(M997*P997)</f>
        <v>#NAME?</v>
      </c>
      <c r="R997" s="427" t="e">
        <f t="shared" ref="R997:R1008" ca="1" si="272">+Q997-B890</f>
        <v>#NAME?</v>
      </c>
      <c r="S997" s="365"/>
    </row>
    <row r="998" spans="1:50" ht="15.75" customHeight="1" x14ac:dyDescent="0.3">
      <c r="A998" s="416" t="s">
        <v>9</v>
      </c>
      <c r="B998" s="375" t="e">
        <f ca="1">+$C$10-M998</f>
        <v>#NAME?</v>
      </c>
      <c r="C998" s="441">
        <v>6</v>
      </c>
      <c r="D998" s="441">
        <v>3</v>
      </c>
      <c r="E998" s="441" t="s">
        <v>1095</v>
      </c>
      <c r="F998" s="365">
        <f t="shared" si="266"/>
        <v>294</v>
      </c>
      <c r="G998" s="365">
        <f>+J998/16</f>
        <v>147</v>
      </c>
      <c r="H998" s="365" t="s">
        <v>1095</v>
      </c>
      <c r="I998" s="365">
        <f t="shared" si="267"/>
        <v>2352</v>
      </c>
      <c r="J998" s="365">
        <f>+D998*49*16</f>
        <v>2352</v>
      </c>
      <c r="K998" s="365" t="s">
        <v>1095</v>
      </c>
      <c r="L998" s="427">
        <f t="shared" si="268"/>
        <v>4704</v>
      </c>
      <c r="M998" s="375" t="e">
        <f ca="1">SUMPRODUCT(--(WEEKDAY(ROW(INDIRECT(DATE($B$991,MonthFromText(A998),1)&amp;":"&amp;DATE($B$991,MonthFromText(A998),$C$10))),1)=1))</f>
        <v>#NAME?</v>
      </c>
      <c r="N998" s="441">
        <v>6</v>
      </c>
      <c r="O998" s="4">
        <f t="shared" si="269"/>
        <v>294</v>
      </c>
      <c r="P998" s="427">
        <f t="shared" si="270"/>
        <v>7056</v>
      </c>
      <c r="Q998" s="365" t="e">
        <f t="shared" ca="1" si="271"/>
        <v>#NAME?</v>
      </c>
      <c r="R998" s="427" t="e">
        <f t="shared" ca="1" si="272"/>
        <v>#NAME?</v>
      </c>
      <c r="S998" s="365"/>
    </row>
    <row r="999" spans="1:50" ht="16.5" customHeight="1" x14ac:dyDescent="0.3">
      <c r="A999" s="416" t="s">
        <v>10</v>
      </c>
      <c r="B999" s="375" t="e">
        <f ca="1">+$D$10-M999</f>
        <v>#NAME?</v>
      </c>
      <c r="C999" s="441">
        <v>6</v>
      </c>
      <c r="D999" s="441">
        <v>4</v>
      </c>
      <c r="E999" s="441" t="s">
        <v>1095</v>
      </c>
      <c r="F999" s="365">
        <f t="shared" si="266"/>
        <v>294</v>
      </c>
      <c r="G999" s="365">
        <f>+J999/16</f>
        <v>196</v>
      </c>
      <c r="H999" s="365" t="s">
        <v>1095</v>
      </c>
      <c r="I999" s="365">
        <f t="shared" si="267"/>
        <v>2352</v>
      </c>
      <c r="J999" s="365">
        <f>+D999*49*16</f>
        <v>3136</v>
      </c>
      <c r="K999" s="365" t="s">
        <v>1095</v>
      </c>
      <c r="L999" s="427">
        <f t="shared" si="268"/>
        <v>5488</v>
      </c>
      <c r="M999" s="375" t="e">
        <f ca="1">SUMPRODUCT(--(WEEKDAY(ROW(INDIRECT(DATE($B$991,MonthFromText(A999),1)&amp;":"&amp;DATE($B$991,MonthFromText(A999),$D$10))),1)=1))</f>
        <v>#NAME?</v>
      </c>
      <c r="N999" s="441">
        <v>6</v>
      </c>
      <c r="O999" s="4">
        <f t="shared" si="269"/>
        <v>294</v>
      </c>
      <c r="P999" s="427">
        <f t="shared" si="270"/>
        <v>7056</v>
      </c>
      <c r="Q999" s="365" t="e">
        <f t="shared" ca="1" si="271"/>
        <v>#NAME?</v>
      </c>
      <c r="R999" s="427" t="e">
        <f t="shared" ca="1" si="272"/>
        <v>#NAME?</v>
      </c>
      <c r="S999" s="365"/>
    </row>
    <row r="1000" spans="1:50" ht="16.5" customHeight="1" x14ac:dyDescent="0.3">
      <c r="A1000" s="416" t="s">
        <v>12</v>
      </c>
      <c r="B1000" s="375" t="e">
        <f ca="1">+$F$10-M1000</f>
        <v>#NAME?</v>
      </c>
      <c r="C1000" s="441">
        <v>6</v>
      </c>
      <c r="D1000" s="441">
        <v>4</v>
      </c>
      <c r="E1000" s="441" t="s">
        <v>1095</v>
      </c>
      <c r="F1000" s="365">
        <f t="shared" si="266"/>
        <v>294</v>
      </c>
      <c r="G1000" s="365">
        <f>+J1000/16</f>
        <v>196</v>
      </c>
      <c r="H1000" s="365" t="s">
        <v>1095</v>
      </c>
      <c r="I1000" s="365">
        <f t="shared" si="267"/>
        <v>2352</v>
      </c>
      <c r="J1000" s="365">
        <f>+D1000*49*16</f>
        <v>3136</v>
      </c>
      <c r="K1000" s="365" t="s">
        <v>1095</v>
      </c>
      <c r="L1000" s="427">
        <f t="shared" si="268"/>
        <v>5488</v>
      </c>
      <c r="M1000" s="375" t="e">
        <f ca="1">SUMPRODUCT(--(WEEKDAY(ROW(INDIRECT(DATE($B$991,MonthFromText(A1000),1)&amp;":"&amp;DATE($B$991,MonthFromText(A1000),$F$10))),1)=1))</f>
        <v>#NAME?</v>
      </c>
      <c r="N1000" s="441">
        <v>6</v>
      </c>
      <c r="O1000" s="4">
        <f t="shared" si="269"/>
        <v>294</v>
      </c>
      <c r="P1000" s="427">
        <f t="shared" si="270"/>
        <v>7056</v>
      </c>
      <c r="Q1000" s="365" t="e">
        <f t="shared" ca="1" si="271"/>
        <v>#NAME?</v>
      </c>
      <c r="R1000" s="427" t="e">
        <f t="shared" ca="1" si="272"/>
        <v>#NAME?</v>
      </c>
      <c r="S1000" s="365"/>
    </row>
    <row r="1001" spans="1:50" ht="15.75" customHeight="1" x14ac:dyDescent="0.3">
      <c r="A1001" s="416" t="s">
        <v>13</v>
      </c>
      <c r="B1001" s="375" t="e">
        <f ca="1">+$G$10-M1001</f>
        <v>#NAME?</v>
      </c>
      <c r="C1001" s="441">
        <v>6</v>
      </c>
      <c r="D1001" s="441">
        <v>4</v>
      </c>
      <c r="E1001" s="441" t="s">
        <v>1095</v>
      </c>
      <c r="F1001" s="365">
        <f t="shared" si="266"/>
        <v>294</v>
      </c>
      <c r="G1001" s="365">
        <f>+J1001/16</f>
        <v>196</v>
      </c>
      <c r="H1001" s="365" t="s">
        <v>1095</v>
      </c>
      <c r="I1001" s="365">
        <f t="shared" si="267"/>
        <v>2352</v>
      </c>
      <c r="J1001" s="365">
        <f>+D1001*49*16</f>
        <v>3136</v>
      </c>
      <c r="K1001" s="365" t="s">
        <v>1095</v>
      </c>
      <c r="L1001" s="427">
        <f t="shared" si="268"/>
        <v>5488</v>
      </c>
      <c r="M1001" s="375" t="e">
        <f ca="1">SUMPRODUCT(--(WEEKDAY(ROW(INDIRECT(DATE($B$991,MonthFromText(A1001),1)&amp;":"&amp;DATE($B$991,MonthFromText(A1001),$G$10))),1)=1))</f>
        <v>#NAME?</v>
      </c>
      <c r="N1001" s="441">
        <v>6</v>
      </c>
      <c r="O1001" s="4">
        <f t="shared" si="269"/>
        <v>294</v>
      </c>
      <c r="P1001" s="427">
        <f t="shared" si="270"/>
        <v>7056</v>
      </c>
      <c r="Q1001" s="365" t="e">
        <f t="shared" ca="1" si="271"/>
        <v>#NAME?</v>
      </c>
      <c r="R1001" s="427" t="e">
        <f t="shared" ca="1" si="272"/>
        <v>#NAME?</v>
      </c>
      <c r="S1001" s="365"/>
    </row>
    <row r="1002" spans="1:50" ht="15.75" customHeight="1" x14ac:dyDescent="0.3">
      <c r="A1002" s="416" t="s">
        <v>14</v>
      </c>
      <c r="B1002" s="375" t="e">
        <f ca="1">+$H$10-M1002</f>
        <v>#NAME?</v>
      </c>
      <c r="C1002" s="441">
        <v>6</v>
      </c>
      <c r="D1002" s="441">
        <v>2</v>
      </c>
      <c r="E1002" s="441">
        <v>0</v>
      </c>
      <c r="F1002" s="365">
        <f t="shared" si="266"/>
        <v>294</v>
      </c>
      <c r="G1002" s="365">
        <f t="shared" si="266"/>
        <v>98</v>
      </c>
      <c r="H1002" s="365">
        <f t="shared" si="266"/>
        <v>0</v>
      </c>
      <c r="I1002" s="365">
        <f t="shared" si="267"/>
        <v>2352</v>
      </c>
      <c r="J1002" s="365">
        <f t="shared" si="267"/>
        <v>784</v>
      </c>
      <c r="K1002" s="365">
        <f t="shared" si="267"/>
        <v>0</v>
      </c>
      <c r="L1002" s="427">
        <f t="shared" si="268"/>
        <v>3136</v>
      </c>
      <c r="M1002" s="375" t="e">
        <f ca="1">SUMPRODUCT(--(WEEKDAY(ROW(INDIRECT(DATE($B$991,MonthFromText(A1002),1)&amp;":"&amp;DATE($B$991,MonthFromText(A1002),$H$10))),1)=1))</f>
        <v>#NAME?</v>
      </c>
      <c r="N1002" s="441">
        <v>5</v>
      </c>
      <c r="O1002" s="4">
        <f t="shared" si="269"/>
        <v>245</v>
      </c>
      <c r="P1002" s="427">
        <f t="shared" si="270"/>
        <v>5880</v>
      </c>
      <c r="Q1002" s="365" t="e">
        <f t="shared" ca="1" si="271"/>
        <v>#NAME?</v>
      </c>
      <c r="R1002" s="427" t="e">
        <f t="shared" ca="1" si="272"/>
        <v>#NAME?</v>
      </c>
      <c r="S1002" s="365"/>
    </row>
    <row r="1003" spans="1:50" ht="15.75" customHeight="1" x14ac:dyDescent="0.3">
      <c r="A1003" s="416" t="s">
        <v>16</v>
      </c>
      <c r="B1003" s="375" t="e">
        <f ca="1">+$J$10-M1003</f>
        <v>#NAME?</v>
      </c>
      <c r="C1003" s="441">
        <v>3</v>
      </c>
      <c r="D1003" s="441">
        <v>2</v>
      </c>
      <c r="E1003" s="441">
        <v>0</v>
      </c>
      <c r="F1003" s="365">
        <f t="shared" si="266"/>
        <v>147</v>
      </c>
      <c r="G1003" s="365">
        <f t="shared" si="266"/>
        <v>98</v>
      </c>
      <c r="H1003" s="365">
        <f t="shared" si="266"/>
        <v>0</v>
      </c>
      <c r="I1003" s="365">
        <f t="shared" si="267"/>
        <v>1176</v>
      </c>
      <c r="J1003" s="365">
        <f t="shared" si="267"/>
        <v>784</v>
      </c>
      <c r="K1003" s="365">
        <f t="shared" si="267"/>
        <v>0</v>
      </c>
      <c r="L1003" s="427">
        <f t="shared" si="268"/>
        <v>1960</v>
      </c>
      <c r="M1003" s="375" t="e">
        <f ca="1">SUMPRODUCT(--(WEEKDAY(ROW(INDIRECT(DATE($B$991,MonthFromText(A1003),1)&amp;":"&amp;DATE($B$991,MonthFromText(A1003),$J$10))),1)=1))</f>
        <v>#NAME?</v>
      </c>
      <c r="N1003" s="441">
        <v>3</v>
      </c>
      <c r="O1003" s="4">
        <f t="shared" si="269"/>
        <v>147</v>
      </c>
      <c r="P1003" s="427">
        <f t="shared" si="270"/>
        <v>3528</v>
      </c>
      <c r="Q1003" s="365" t="e">
        <f t="shared" ca="1" si="271"/>
        <v>#NAME?</v>
      </c>
      <c r="R1003" s="427" t="e">
        <f t="shared" ca="1" si="272"/>
        <v>#NAME?</v>
      </c>
      <c r="S1003" s="365"/>
    </row>
    <row r="1004" spans="1:50" ht="15.75" customHeight="1" x14ac:dyDescent="0.3">
      <c r="A1004" s="416" t="s">
        <v>17</v>
      </c>
      <c r="B1004" s="375" t="e">
        <f ca="1">+$K$10-M1004</f>
        <v>#NAME?</v>
      </c>
      <c r="C1004" s="441">
        <v>3</v>
      </c>
      <c r="D1004" s="441">
        <v>2</v>
      </c>
      <c r="E1004" s="441">
        <v>0</v>
      </c>
      <c r="F1004" s="365">
        <f t="shared" si="266"/>
        <v>147</v>
      </c>
      <c r="G1004" s="365">
        <f t="shared" si="266"/>
        <v>98</v>
      </c>
      <c r="H1004" s="365">
        <f t="shared" si="266"/>
        <v>0</v>
      </c>
      <c r="I1004" s="365">
        <f t="shared" si="267"/>
        <v>1176</v>
      </c>
      <c r="J1004" s="365">
        <f t="shared" si="267"/>
        <v>784</v>
      </c>
      <c r="K1004" s="365">
        <f t="shared" si="267"/>
        <v>0</v>
      </c>
      <c r="L1004" s="427">
        <f t="shared" si="268"/>
        <v>1960</v>
      </c>
      <c r="M1004" s="375" t="e">
        <f ca="1">SUMPRODUCT(--(WEEKDAY(ROW(INDIRECT(DATE($B$991,MonthFromText(A1004),1)&amp;":"&amp;DATE($B$991,MonthFromText(A1004),$K$10))),1)=1))</f>
        <v>#NAME?</v>
      </c>
      <c r="N1004" s="441">
        <v>3</v>
      </c>
      <c r="O1004" s="4">
        <f t="shared" si="269"/>
        <v>147</v>
      </c>
      <c r="P1004" s="427">
        <f t="shared" si="270"/>
        <v>3528</v>
      </c>
      <c r="Q1004" s="365" t="e">
        <f t="shared" ca="1" si="271"/>
        <v>#NAME?</v>
      </c>
      <c r="R1004" s="427" t="e">
        <f t="shared" ca="1" si="272"/>
        <v>#NAME?</v>
      </c>
      <c r="S1004" s="365"/>
    </row>
    <row r="1005" spans="1:50" ht="15.75" customHeight="1" x14ac:dyDescent="0.3">
      <c r="A1005" s="416" t="s">
        <v>18</v>
      </c>
      <c r="B1005" s="375" t="e">
        <f ca="1">+$L$10-M1005</f>
        <v>#NAME?</v>
      </c>
      <c r="C1005" s="441">
        <v>5</v>
      </c>
      <c r="D1005" s="441">
        <v>3</v>
      </c>
      <c r="E1005" s="441" t="s">
        <v>1095</v>
      </c>
      <c r="F1005" s="365">
        <f t="shared" si="266"/>
        <v>245</v>
      </c>
      <c r="G1005" s="365">
        <f>+J1005/16</f>
        <v>147</v>
      </c>
      <c r="H1005" s="365" t="s">
        <v>1095</v>
      </c>
      <c r="I1005" s="365">
        <f t="shared" si="267"/>
        <v>1960</v>
      </c>
      <c r="J1005" s="365">
        <f>+D1005*49*16</f>
        <v>2352</v>
      </c>
      <c r="K1005" s="365" t="s">
        <v>1095</v>
      </c>
      <c r="L1005" s="427">
        <f t="shared" si="268"/>
        <v>4312</v>
      </c>
      <c r="M1005" s="375" t="e">
        <f ca="1">SUMPRODUCT(--(WEEKDAY(ROW(INDIRECT(DATE($B$991,MonthFromText(A1005),1)&amp;":"&amp;DATE($B$991,MonthFromText(A1005),$L$10))),1)=1))</f>
        <v>#NAME?</v>
      </c>
      <c r="N1005" s="441">
        <v>5</v>
      </c>
      <c r="O1005" s="4">
        <f t="shared" si="269"/>
        <v>245</v>
      </c>
      <c r="P1005" s="427">
        <f t="shared" si="270"/>
        <v>5880</v>
      </c>
      <c r="Q1005" s="365" t="e">
        <f t="shared" ca="1" si="271"/>
        <v>#NAME?</v>
      </c>
      <c r="R1005" s="427" t="e">
        <f t="shared" ca="1" si="272"/>
        <v>#NAME?</v>
      </c>
      <c r="S1005" s="365"/>
    </row>
    <row r="1006" spans="1:50" ht="15.75" customHeight="1" x14ac:dyDescent="0.3">
      <c r="A1006" s="416" t="s">
        <v>20</v>
      </c>
      <c r="B1006" s="375" t="e">
        <f ca="1">+$N$10-M1006</f>
        <v>#NAME?</v>
      </c>
      <c r="C1006" s="441">
        <v>5</v>
      </c>
      <c r="D1006" s="441">
        <v>3</v>
      </c>
      <c r="E1006" s="441" t="s">
        <v>1095</v>
      </c>
      <c r="F1006" s="365">
        <f t="shared" si="266"/>
        <v>245</v>
      </c>
      <c r="G1006" s="365">
        <f>+J1006/16</f>
        <v>147</v>
      </c>
      <c r="H1006" s="365" t="s">
        <v>1095</v>
      </c>
      <c r="I1006" s="365">
        <f t="shared" si="267"/>
        <v>1960</v>
      </c>
      <c r="J1006" s="365">
        <f>+D1006*49*16</f>
        <v>2352</v>
      </c>
      <c r="K1006" s="365" t="s">
        <v>1095</v>
      </c>
      <c r="L1006" s="427">
        <f t="shared" si="268"/>
        <v>4312</v>
      </c>
      <c r="M1006" s="375" t="e">
        <f ca="1">SUMPRODUCT(--(WEEKDAY(ROW(INDIRECT(DATE($B$991,MonthFromText(A1006),1)&amp;":"&amp;DATE($B$991,MonthFromText(A1006),$N$10))),1)=1))</f>
        <v>#NAME?</v>
      </c>
      <c r="N1006" s="441">
        <v>5</v>
      </c>
      <c r="O1006" s="4">
        <f t="shared" si="269"/>
        <v>245</v>
      </c>
      <c r="P1006" s="427">
        <f t="shared" si="270"/>
        <v>5880</v>
      </c>
      <c r="Q1006" s="365" t="e">
        <f t="shared" ca="1" si="271"/>
        <v>#NAME?</v>
      </c>
      <c r="R1006" s="427" t="e">
        <f t="shared" ca="1" si="272"/>
        <v>#NAME?</v>
      </c>
      <c r="S1006" s="365"/>
    </row>
    <row r="1007" spans="1:50" ht="15.75" customHeight="1" x14ac:dyDescent="0.3">
      <c r="A1007" s="416" t="s">
        <v>21</v>
      </c>
      <c r="B1007" s="375" t="e">
        <f ca="1">+$O$10-M1007</f>
        <v>#NAME?</v>
      </c>
      <c r="C1007" s="441">
        <v>5</v>
      </c>
      <c r="D1007" s="441">
        <v>3</v>
      </c>
      <c r="E1007" s="441" t="s">
        <v>1095</v>
      </c>
      <c r="F1007" s="365">
        <f t="shared" si="266"/>
        <v>245</v>
      </c>
      <c r="G1007" s="365">
        <f>+J1007/16</f>
        <v>147</v>
      </c>
      <c r="H1007" s="365" t="s">
        <v>1095</v>
      </c>
      <c r="I1007" s="365">
        <f t="shared" si="267"/>
        <v>1960</v>
      </c>
      <c r="J1007" s="365">
        <f>+D1007*49*16</f>
        <v>2352</v>
      </c>
      <c r="K1007" s="365" t="s">
        <v>1095</v>
      </c>
      <c r="L1007" s="427">
        <f t="shared" si="268"/>
        <v>4312</v>
      </c>
      <c r="M1007" s="375" t="e">
        <f ca="1">SUMPRODUCT(--(WEEKDAY(ROW(INDIRECT(DATE($B$991,MonthFromText(A1007),1)&amp;":"&amp;DATE($B$991,MonthFromText(A1007),$O$10))),1)=1))</f>
        <v>#NAME?</v>
      </c>
      <c r="N1007" s="441">
        <v>6</v>
      </c>
      <c r="O1007" s="4">
        <f t="shared" si="269"/>
        <v>294</v>
      </c>
      <c r="P1007" s="427">
        <f t="shared" si="270"/>
        <v>7056</v>
      </c>
      <c r="Q1007" s="365" t="e">
        <f t="shared" ca="1" si="271"/>
        <v>#NAME?</v>
      </c>
      <c r="R1007" s="427" t="e">
        <f t="shared" ca="1" si="272"/>
        <v>#NAME?</v>
      </c>
      <c r="S1007" s="365"/>
    </row>
    <row r="1008" spans="1:50" ht="15.75" customHeight="1" thickBot="1" x14ac:dyDescent="0.35">
      <c r="A1008" s="416" t="s">
        <v>22</v>
      </c>
      <c r="B1008" s="382" t="e">
        <f ca="1">+$P$10-M1008</f>
        <v>#NAME?</v>
      </c>
      <c r="C1008" s="442">
        <v>6</v>
      </c>
      <c r="D1008" s="442">
        <v>2</v>
      </c>
      <c r="E1008" s="441" t="s">
        <v>1095</v>
      </c>
      <c r="F1008" s="365">
        <f t="shared" si="266"/>
        <v>294</v>
      </c>
      <c r="G1008" s="365">
        <f>+J1008/16</f>
        <v>98</v>
      </c>
      <c r="H1008" s="365" t="s">
        <v>1095</v>
      </c>
      <c r="I1008" s="365">
        <f t="shared" si="267"/>
        <v>2352</v>
      </c>
      <c r="J1008" s="365">
        <f>+D1008*49*16</f>
        <v>1568</v>
      </c>
      <c r="K1008" s="365" t="s">
        <v>1095</v>
      </c>
      <c r="L1008" s="427">
        <f t="shared" si="268"/>
        <v>3920</v>
      </c>
      <c r="M1008" s="382" t="e">
        <f ca="1">SUMPRODUCT(--(WEEKDAY(ROW(INDIRECT(DATE($B$991,MonthFromText(A1008),1)&amp;":"&amp;DATE($B$991,MonthFromText(A1008),$P$10))),1)=1))</f>
        <v>#NAME?</v>
      </c>
      <c r="N1008" s="442">
        <v>6</v>
      </c>
      <c r="O1008" s="312">
        <f t="shared" si="269"/>
        <v>294</v>
      </c>
      <c r="P1008" s="429">
        <f t="shared" si="270"/>
        <v>7056</v>
      </c>
      <c r="Q1008" s="443" t="e">
        <f t="shared" ca="1" si="271"/>
        <v>#NAME?</v>
      </c>
      <c r="R1008" s="444" t="e">
        <f t="shared" ca="1" si="272"/>
        <v>#NAME?</v>
      </c>
      <c r="S1008" s="365"/>
    </row>
    <row r="1009" spans="1:18" ht="15.75" customHeight="1" thickBot="1" x14ac:dyDescent="0.35">
      <c r="A1009" s="311"/>
      <c r="B1009" s="312"/>
      <c r="C1009" s="312"/>
      <c r="D1009" s="312"/>
      <c r="E1009" s="452"/>
      <c r="F1009" s="452"/>
      <c r="G1009" s="452"/>
      <c r="H1009" s="452"/>
      <c r="I1009" s="452"/>
      <c r="J1009" s="452"/>
      <c r="K1009" s="452"/>
      <c r="L1009" s="452"/>
      <c r="M1009" s="312"/>
      <c r="N1009" s="312"/>
      <c r="O1009" s="312"/>
      <c r="P1009" s="312"/>
      <c r="Q1009" s="369" t="e">
        <f ca="1">+SUM(Q997:Q1008)</f>
        <v>#NAME?</v>
      </c>
      <c r="R1009" s="429" t="e">
        <f ca="1">+Q1009-B903</f>
        <v>#NAME?</v>
      </c>
    </row>
    <row r="1010" spans="1:18" ht="15.75" customHeight="1" x14ac:dyDescent="0.3">
      <c r="A1010" s="418" t="s">
        <v>1110</v>
      </c>
      <c r="J1010" s="365"/>
    </row>
    <row r="1011" spans="1:18" ht="15.75" customHeight="1" x14ac:dyDescent="0.3">
      <c r="A1011" s="418" t="s">
        <v>1111</v>
      </c>
    </row>
    <row r="1012" spans="1:18" ht="15.75" customHeight="1" x14ac:dyDescent="0.3">
      <c r="A1012" s="418" t="s">
        <v>1112</v>
      </c>
    </row>
    <row r="1013" spans="1:18" ht="15.75" customHeight="1" x14ac:dyDescent="0.3"/>
    <row r="1014" spans="1:18" ht="15.75" customHeight="1" x14ac:dyDescent="0.3"/>
    <row r="1015" spans="1:18" ht="15.75" customHeight="1" x14ac:dyDescent="0.3"/>
    <row r="1016" spans="1:18" ht="15.75" customHeight="1" x14ac:dyDescent="0.3"/>
    <row r="1017" spans="1:18" ht="16.5" customHeight="1" x14ac:dyDescent="0.3"/>
    <row r="1018" spans="1:18" ht="15.75" customHeight="1" x14ac:dyDescent="0.3"/>
    <row r="1019" spans="1:18" ht="16.5" customHeight="1" x14ac:dyDescent="0.3"/>
    <row r="1020" spans="1:18" ht="15.75" customHeight="1" x14ac:dyDescent="0.3"/>
    <row r="1021" spans="1:18" ht="15.75" customHeight="1" x14ac:dyDescent="0.3"/>
    <row r="1022" spans="1:18" ht="15.75" customHeight="1" x14ac:dyDescent="0.3"/>
    <row r="1023" spans="1:18" ht="15.75" customHeight="1" x14ac:dyDescent="0.3"/>
    <row r="1024" spans="1:18" ht="15.75" customHeight="1" x14ac:dyDescent="0.3">
      <c r="I1024" s="365"/>
      <c r="J1024" s="365"/>
    </row>
    <row r="1025" spans="1:19" ht="15.75" customHeight="1" x14ac:dyDescent="0.3"/>
    <row r="1026" spans="1:19" ht="15.75" customHeight="1" x14ac:dyDescent="0.3"/>
    <row r="1027" spans="1:19" ht="15.75" customHeight="1" x14ac:dyDescent="0.3"/>
    <row r="1028" spans="1:19" ht="15.75" customHeight="1" x14ac:dyDescent="0.3"/>
    <row r="1029" spans="1:19" ht="15.75" customHeight="1" x14ac:dyDescent="0.3"/>
    <row r="1030" spans="1:19" ht="15.75" customHeight="1" x14ac:dyDescent="0.3"/>
    <row r="1031" spans="1:19" ht="15.75" customHeight="1" thickBot="1" x14ac:dyDescent="0.35"/>
    <row r="1032" spans="1:19" ht="15.75" customHeight="1" x14ac:dyDescent="0.35">
      <c r="A1032" s="318"/>
      <c r="B1032" s="319"/>
      <c r="C1032" s="336"/>
      <c r="D1032" s="336"/>
      <c r="E1032" s="336"/>
      <c r="F1032" s="336"/>
      <c r="G1032" s="336"/>
      <c r="H1032" s="321" t="s">
        <v>506</v>
      </c>
      <c r="I1032" s="319"/>
      <c r="J1032" s="319"/>
      <c r="K1032" s="319"/>
      <c r="L1032" s="319"/>
      <c r="M1032" s="319"/>
      <c r="N1032" s="319"/>
      <c r="O1032" s="319"/>
      <c r="P1032" s="319"/>
      <c r="Q1032" s="361" t="str">
        <f>+Q1</f>
        <v xml:space="preserve">PRINTED:  </v>
      </c>
      <c r="R1032" s="367">
        <f ca="1">+R1</f>
        <v>44909.46975358796</v>
      </c>
      <c r="S1032" s="332"/>
    </row>
    <row r="1033" spans="1:19" ht="15.75" customHeight="1" x14ac:dyDescent="0.35">
      <c r="A1033" s="323"/>
      <c r="B1033" s="159"/>
      <c r="C1033" s="167"/>
      <c r="D1033" s="167"/>
      <c r="E1033" s="167"/>
      <c r="F1033" s="167"/>
      <c r="G1033" s="167"/>
      <c r="H1033" s="159" t="s">
        <v>424</v>
      </c>
      <c r="I1033" s="159" t="s">
        <v>7</v>
      </c>
      <c r="J1033" s="163" t="str">
        <f>+A8</f>
        <v>Revised:  5/2/2016</v>
      </c>
      <c r="K1033" s="159"/>
      <c r="L1033" s="159"/>
      <c r="M1033" s="159"/>
      <c r="N1033" s="159"/>
      <c r="O1033" s="159"/>
      <c r="P1033" s="159"/>
      <c r="Q1033" s="159"/>
      <c r="R1033" s="159"/>
      <c r="S1033" s="307"/>
    </row>
    <row r="1034" spans="1:19" ht="15.75" customHeight="1" x14ac:dyDescent="0.35">
      <c r="A1034" s="323"/>
      <c r="B1034" s="159"/>
      <c r="C1034" s="167"/>
      <c r="D1034" s="167"/>
      <c r="E1034" s="167"/>
      <c r="F1034" s="167"/>
      <c r="G1034" s="167"/>
      <c r="H1034" s="159" t="s">
        <v>387</v>
      </c>
      <c r="I1034" s="159"/>
      <c r="J1034" s="159"/>
      <c r="K1034" s="159"/>
      <c r="L1034" s="159"/>
      <c r="M1034" s="159"/>
      <c r="N1034" s="159"/>
      <c r="O1034" s="159"/>
      <c r="P1034" s="159"/>
      <c r="Q1034" s="159"/>
      <c r="R1034" s="159"/>
      <c r="S1034" s="307"/>
    </row>
    <row r="1035" spans="1:19" ht="15.75" customHeight="1" x14ac:dyDescent="0.35">
      <c r="A1035" s="323"/>
      <c r="B1035" s="159"/>
      <c r="C1035" s="167"/>
      <c r="D1035" s="167"/>
      <c r="E1035" s="167"/>
      <c r="F1035" s="167"/>
      <c r="G1035" s="167"/>
      <c r="H1035" s="159"/>
      <c r="I1035" s="159"/>
      <c r="J1035" s="159"/>
      <c r="K1035" s="159"/>
      <c r="L1035" s="159"/>
      <c r="M1035" s="159"/>
      <c r="N1035" s="159"/>
      <c r="O1035" s="159"/>
      <c r="P1035" s="159"/>
      <c r="Q1035" s="159"/>
      <c r="R1035" s="159"/>
      <c r="S1035" s="307"/>
    </row>
    <row r="1036" spans="1:19" ht="15.75" customHeight="1" x14ac:dyDescent="0.35">
      <c r="A1036" s="323"/>
      <c r="B1036" s="159"/>
      <c r="C1036" s="167"/>
      <c r="D1036" s="167"/>
      <c r="E1036" s="167"/>
      <c r="F1036" s="167"/>
      <c r="G1036" s="167"/>
      <c r="H1036" s="159" t="s">
        <v>424</v>
      </c>
      <c r="I1036" s="446">
        <f>+A5</f>
        <v>2015</v>
      </c>
      <c r="J1036" s="159"/>
      <c r="K1036" s="159"/>
      <c r="L1036" s="159"/>
      <c r="M1036" s="159"/>
      <c r="N1036" s="159"/>
      <c r="O1036" s="159"/>
      <c r="P1036" s="159"/>
      <c r="Q1036" s="159"/>
      <c r="R1036" s="159"/>
      <c r="S1036" s="307"/>
    </row>
    <row r="1037" spans="1:19" ht="15.75" customHeight="1" x14ac:dyDescent="0.3">
      <c r="A1037" s="323"/>
      <c r="B1037" s="159"/>
      <c r="C1037" s="159"/>
      <c r="D1037" s="159"/>
      <c r="E1037" s="159"/>
      <c r="F1037" s="159"/>
      <c r="G1037" s="159"/>
      <c r="H1037" s="159"/>
      <c r="I1037" s="159"/>
      <c r="J1037" s="159"/>
      <c r="K1037" s="159"/>
      <c r="L1037" s="159"/>
      <c r="M1037" s="159"/>
      <c r="N1037" s="159"/>
      <c r="O1037" s="159"/>
      <c r="P1037" s="159"/>
      <c r="Q1037" s="159"/>
      <c r="R1037" s="159"/>
      <c r="S1037" s="307"/>
    </row>
    <row r="1038" spans="1:19" ht="15.75" customHeight="1" x14ac:dyDescent="0.3">
      <c r="A1038" s="323"/>
      <c r="B1038" s="159"/>
      <c r="C1038" s="161" t="s">
        <v>507</v>
      </c>
      <c r="D1038" s="159"/>
      <c r="E1038" s="159"/>
      <c r="F1038" s="159"/>
      <c r="G1038" s="161" t="s">
        <v>508</v>
      </c>
      <c r="H1038" s="159"/>
      <c r="I1038" s="159"/>
      <c r="J1038" s="159"/>
      <c r="K1038" s="160" t="s">
        <v>509</v>
      </c>
      <c r="L1038" s="159"/>
      <c r="M1038" s="159"/>
      <c r="N1038" s="159"/>
      <c r="O1038" s="160" t="s">
        <v>510</v>
      </c>
      <c r="P1038" s="159"/>
      <c r="Q1038" s="159"/>
      <c r="R1038" s="159"/>
      <c r="S1038" s="307"/>
    </row>
    <row r="1039" spans="1:19" ht="15.75" customHeight="1" x14ac:dyDescent="0.3">
      <c r="A1039" s="323"/>
      <c r="B1039" s="159"/>
      <c r="C1039" s="159">
        <f>+A5</f>
        <v>2015</v>
      </c>
      <c r="D1039" s="159"/>
      <c r="E1039" s="159"/>
      <c r="F1039" s="159" t="s">
        <v>511</v>
      </c>
      <c r="G1039" s="159"/>
      <c r="H1039" s="159"/>
      <c r="I1039" s="159"/>
      <c r="J1039" s="159"/>
      <c r="K1039" s="159">
        <f>+A5</f>
        <v>2015</v>
      </c>
      <c r="L1039" s="159"/>
      <c r="M1039" s="159"/>
      <c r="N1039" s="159"/>
      <c r="O1039" s="159">
        <f>+A5</f>
        <v>2015</v>
      </c>
      <c r="P1039" s="159"/>
      <c r="Q1039" s="159"/>
      <c r="R1039" s="159"/>
      <c r="S1039" s="307"/>
    </row>
    <row r="1040" spans="1:19" ht="15.75" customHeight="1" x14ac:dyDescent="0.3">
      <c r="A1040" s="323"/>
      <c r="B1040" s="159"/>
      <c r="C1040" s="159"/>
      <c r="D1040" s="159"/>
      <c r="E1040" s="159"/>
      <c r="F1040" s="159"/>
      <c r="G1040" s="159">
        <f>+A5</f>
        <v>2015</v>
      </c>
      <c r="H1040" s="159"/>
      <c r="I1040" s="159"/>
      <c r="J1040" s="159"/>
      <c r="K1040" s="159"/>
      <c r="L1040" s="159"/>
      <c r="M1040" s="159"/>
      <c r="N1040" s="159"/>
      <c r="O1040" s="159"/>
      <c r="P1040" s="159"/>
      <c r="Q1040" s="159"/>
      <c r="R1040" s="159"/>
      <c r="S1040" s="307"/>
    </row>
    <row r="1041" spans="1:19" ht="15.75" customHeight="1" x14ac:dyDescent="0.3">
      <c r="A1041" s="323"/>
      <c r="B1041" s="159"/>
      <c r="C1041" s="164" t="s">
        <v>475</v>
      </c>
      <c r="D1041" s="164" t="s">
        <v>512</v>
      </c>
      <c r="E1041" s="164" t="s">
        <v>513</v>
      </c>
      <c r="F1041" s="159"/>
      <c r="G1041" s="164" t="s">
        <v>473</v>
      </c>
      <c r="H1041" s="164" t="s">
        <v>512</v>
      </c>
      <c r="I1041" s="164" t="s">
        <v>514</v>
      </c>
      <c r="J1041" s="159"/>
      <c r="K1041" s="164" t="s">
        <v>472</v>
      </c>
      <c r="L1041" s="164" t="s">
        <v>512</v>
      </c>
      <c r="M1041" s="164" t="s">
        <v>515</v>
      </c>
      <c r="N1041" s="159"/>
      <c r="O1041" s="164" t="s">
        <v>472</v>
      </c>
      <c r="P1041" s="164" t="s">
        <v>512</v>
      </c>
      <c r="Q1041" s="164" t="s">
        <v>515</v>
      </c>
      <c r="R1041" s="159"/>
      <c r="S1041" s="307"/>
    </row>
    <row r="1042" spans="1:19" ht="15.75" customHeight="1" x14ac:dyDescent="0.3">
      <c r="A1042" s="323"/>
      <c r="B1042" s="159"/>
      <c r="C1042" s="164" t="s">
        <v>483</v>
      </c>
      <c r="D1042" s="164" t="s">
        <v>442</v>
      </c>
      <c r="E1042" s="164" t="s">
        <v>462</v>
      </c>
      <c r="F1042" s="159"/>
      <c r="G1042" s="164" t="s">
        <v>481</v>
      </c>
      <c r="H1042" s="164" t="s">
        <v>442</v>
      </c>
      <c r="I1042" s="164" t="s">
        <v>462</v>
      </c>
      <c r="J1042" s="159"/>
      <c r="K1042" s="164" t="s">
        <v>480</v>
      </c>
      <c r="L1042" s="164" t="s">
        <v>442</v>
      </c>
      <c r="M1042" s="164" t="s">
        <v>462</v>
      </c>
      <c r="N1042" s="159"/>
      <c r="O1042" s="164" t="s">
        <v>480</v>
      </c>
      <c r="P1042" s="164" t="s">
        <v>442</v>
      </c>
      <c r="Q1042" s="164" t="s">
        <v>462</v>
      </c>
      <c r="R1042" s="159"/>
      <c r="S1042" s="307"/>
    </row>
    <row r="1043" spans="1:19" ht="15.75" customHeight="1" x14ac:dyDescent="0.3">
      <c r="A1043" s="323"/>
      <c r="B1043" s="159"/>
      <c r="C1043" s="164" t="s">
        <v>442</v>
      </c>
      <c r="D1043" s="164" t="s">
        <v>439</v>
      </c>
      <c r="E1043" s="164" t="s">
        <v>463</v>
      </c>
      <c r="F1043" s="159"/>
      <c r="G1043" s="164" t="s">
        <v>486</v>
      </c>
      <c r="H1043" s="164" t="s">
        <v>439</v>
      </c>
      <c r="I1043" s="164" t="s">
        <v>463</v>
      </c>
      <c r="J1043" s="159"/>
      <c r="K1043" s="164" t="s">
        <v>442</v>
      </c>
      <c r="L1043" s="164" t="s">
        <v>439</v>
      </c>
      <c r="M1043" s="164" t="s">
        <v>463</v>
      </c>
      <c r="N1043" s="159"/>
      <c r="O1043" s="164" t="s">
        <v>442</v>
      </c>
      <c r="P1043" s="164" t="s">
        <v>439</v>
      </c>
      <c r="Q1043" s="164" t="s">
        <v>463</v>
      </c>
      <c r="R1043" s="159"/>
      <c r="S1043" s="307"/>
    </row>
    <row r="1044" spans="1:19" ht="15.75" customHeight="1" x14ac:dyDescent="0.3">
      <c r="A1044" s="323"/>
      <c r="B1044" s="159"/>
      <c r="C1044" s="164" t="s">
        <v>448</v>
      </c>
      <c r="D1044" s="164" t="s">
        <v>516</v>
      </c>
      <c r="E1044" s="164" t="s">
        <v>464</v>
      </c>
      <c r="F1044" s="159"/>
      <c r="G1044" s="164" t="s">
        <v>448</v>
      </c>
      <c r="H1044" s="164" t="s">
        <v>516</v>
      </c>
      <c r="I1044" s="164" t="s">
        <v>464</v>
      </c>
      <c r="J1044" s="159"/>
      <c r="K1044" s="164" t="s">
        <v>448</v>
      </c>
      <c r="L1044" s="164" t="s">
        <v>516</v>
      </c>
      <c r="M1044" s="164" t="s">
        <v>464</v>
      </c>
      <c r="N1044" s="159"/>
      <c r="O1044" s="164" t="s">
        <v>448</v>
      </c>
      <c r="P1044" s="164" t="s">
        <v>516</v>
      </c>
      <c r="Q1044" s="164" t="s">
        <v>464</v>
      </c>
      <c r="R1044" s="159"/>
      <c r="S1044" s="307"/>
    </row>
    <row r="1045" spans="1:19" ht="15.75" customHeight="1" x14ac:dyDescent="0.3">
      <c r="A1045" s="323"/>
      <c r="B1045" s="159"/>
      <c r="C1045" s="159" t="s">
        <v>409</v>
      </c>
      <c r="D1045" s="159" t="s">
        <v>409</v>
      </c>
      <c r="E1045" s="159" t="s">
        <v>409</v>
      </c>
      <c r="F1045" s="159"/>
      <c r="G1045" s="164" t="s">
        <v>409</v>
      </c>
      <c r="H1045" s="164" t="s">
        <v>409</v>
      </c>
      <c r="I1045" s="164" t="s">
        <v>409</v>
      </c>
      <c r="J1045" s="159"/>
      <c r="K1045" s="159" t="s">
        <v>409</v>
      </c>
      <c r="L1045" s="159" t="s">
        <v>409</v>
      </c>
      <c r="M1045" s="159" t="s">
        <v>409</v>
      </c>
      <c r="N1045" s="159"/>
      <c r="O1045" s="159" t="s">
        <v>409</v>
      </c>
      <c r="P1045" s="159" t="s">
        <v>409</v>
      </c>
      <c r="Q1045" s="159" t="s">
        <v>409</v>
      </c>
      <c r="R1045" s="159"/>
      <c r="S1045" s="307"/>
    </row>
    <row r="1046" spans="1:19" ht="15.75" customHeight="1" x14ac:dyDescent="0.3">
      <c r="A1046" s="325" t="s">
        <v>410</v>
      </c>
      <c r="B1046" s="159"/>
      <c r="C1046" s="159">
        <f t="shared" ref="C1046:C1057" si="273">(P918)</f>
        <v>-22811</v>
      </c>
      <c r="D1046" s="172">
        <v>0</v>
      </c>
      <c r="E1046" s="168">
        <f t="shared" ref="E1046:E1057" si="274">(P918*D1046/1000)</f>
        <v>0</v>
      </c>
      <c r="F1046" s="159"/>
      <c r="G1046" s="159">
        <v>0</v>
      </c>
      <c r="H1046" s="172">
        <v>0</v>
      </c>
      <c r="I1046" s="168">
        <f t="shared" ref="I1046:I1057" si="275">(G1046*H1046/1000)</f>
        <v>0</v>
      </c>
      <c r="J1046" s="159"/>
      <c r="K1046" s="447">
        <v>11848</v>
      </c>
      <c r="L1046" s="448">
        <v>0</v>
      </c>
      <c r="M1046" s="168">
        <f t="shared" ref="M1046:M1057" si="276">(K1046*L1046/1000)</f>
        <v>0</v>
      </c>
      <c r="N1046" s="159"/>
      <c r="O1046" s="447">
        <v>0</v>
      </c>
      <c r="P1046" s="172">
        <v>0</v>
      </c>
      <c r="Q1046" s="168">
        <f t="shared" ref="Q1046:Q1057" si="277">(O1046*P1046/1000)</f>
        <v>0</v>
      </c>
      <c r="R1046" s="159"/>
      <c r="S1046" s="307"/>
    </row>
    <row r="1047" spans="1:19" ht="15.75" customHeight="1" x14ac:dyDescent="0.3">
      <c r="A1047" s="325" t="s">
        <v>411</v>
      </c>
      <c r="B1047" s="159"/>
      <c r="C1047" s="159">
        <f t="shared" si="273"/>
        <v>-9663.0717407686461</v>
      </c>
      <c r="D1047" s="172">
        <v>0</v>
      </c>
      <c r="E1047" s="168">
        <f t="shared" si="274"/>
        <v>0</v>
      </c>
      <c r="F1047" s="159"/>
      <c r="G1047" s="159" t="e">
        <f>#REF!</f>
        <v>#REF!</v>
      </c>
      <c r="H1047" s="172">
        <v>0</v>
      </c>
      <c r="I1047" s="168" t="e">
        <f t="shared" si="275"/>
        <v>#REF!</v>
      </c>
      <c r="J1047" s="159"/>
      <c r="K1047" s="447">
        <v>11489</v>
      </c>
      <c r="L1047" s="448">
        <v>0</v>
      </c>
      <c r="M1047" s="168">
        <f t="shared" si="276"/>
        <v>0</v>
      </c>
      <c r="N1047" s="159"/>
      <c r="O1047" s="447">
        <v>0</v>
      </c>
      <c r="P1047" s="172">
        <v>0</v>
      </c>
      <c r="Q1047" s="168">
        <f t="shared" si="277"/>
        <v>0</v>
      </c>
      <c r="R1047" s="159"/>
      <c r="S1047" s="307"/>
    </row>
    <row r="1048" spans="1:19" ht="15.75" customHeight="1" x14ac:dyDescent="0.3">
      <c r="A1048" s="325" t="s">
        <v>412</v>
      </c>
      <c r="B1048" s="159"/>
      <c r="C1048" s="159">
        <f t="shared" si="273"/>
        <v>-10372.456970610394</v>
      </c>
      <c r="D1048" s="172">
        <v>0</v>
      </c>
      <c r="E1048" s="168">
        <f t="shared" si="274"/>
        <v>0</v>
      </c>
      <c r="F1048" s="159">
        <f>SUM(E1046:E1048)</f>
        <v>0</v>
      </c>
      <c r="G1048" s="159" t="e">
        <f>#REF!</f>
        <v>#REF!</v>
      </c>
      <c r="H1048" s="172">
        <v>0</v>
      </c>
      <c r="I1048" s="168" t="e">
        <f t="shared" si="275"/>
        <v>#REF!</v>
      </c>
      <c r="J1048" s="159" t="e">
        <f>SUM(I1046:I1048)</f>
        <v>#REF!</v>
      </c>
      <c r="K1048" s="447">
        <v>16247</v>
      </c>
      <c r="L1048" s="448">
        <v>0</v>
      </c>
      <c r="M1048" s="168">
        <f t="shared" si="276"/>
        <v>0</v>
      </c>
      <c r="N1048" s="159">
        <f>SUM(M1046:M1048)</f>
        <v>0</v>
      </c>
      <c r="O1048" s="447">
        <v>0</v>
      </c>
      <c r="P1048" s="172">
        <v>0</v>
      </c>
      <c r="Q1048" s="168">
        <f t="shared" si="277"/>
        <v>0</v>
      </c>
      <c r="R1048" s="159">
        <f>SUM(Q1046:Q1048)</f>
        <v>0</v>
      </c>
      <c r="S1048" s="307"/>
    </row>
    <row r="1049" spans="1:19" ht="15.75" customHeight="1" x14ac:dyDescent="0.3">
      <c r="A1049" s="325" t="s">
        <v>413</v>
      </c>
      <c r="B1049" s="159"/>
      <c r="C1049" s="159">
        <f t="shared" si="273"/>
        <v>-34717.437899557408</v>
      </c>
      <c r="D1049" s="172">
        <v>0</v>
      </c>
      <c r="E1049" s="168">
        <f t="shared" si="274"/>
        <v>0</v>
      </c>
      <c r="F1049" s="159"/>
      <c r="G1049" s="159" t="e">
        <f>#REF!</f>
        <v>#REF!</v>
      </c>
      <c r="H1049" s="172">
        <v>0</v>
      </c>
      <c r="I1049" s="168" t="e">
        <f t="shared" si="275"/>
        <v>#REF!</v>
      </c>
      <c r="J1049" s="159"/>
      <c r="K1049" s="447">
        <v>17740</v>
      </c>
      <c r="L1049" s="448">
        <v>0</v>
      </c>
      <c r="M1049" s="168">
        <f t="shared" si="276"/>
        <v>0</v>
      </c>
      <c r="N1049" s="159"/>
      <c r="O1049" s="447">
        <v>0</v>
      </c>
      <c r="P1049" s="172">
        <v>0</v>
      </c>
      <c r="Q1049" s="168">
        <f t="shared" si="277"/>
        <v>0</v>
      </c>
      <c r="R1049" s="159"/>
      <c r="S1049" s="307"/>
    </row>
    <row r="1050" spans="1:19" ht="15.75" customHeight="1" x14ac:dyDescent="0.3">
      <c r="A1050" s="325" t="s">
        <v>414</v>
      </c>
      <c r="B1050" s="159"/>
      <c r="C1050" s="159">
        <f t="shared" si="273"/>
        <v>-20749.529133383592</v>
      </c>
      <c r="D1050" s="172">
        <v>0</v>
      </c>
      <c r="E1050" s="168">
        <f t="shared" si="274"/>
        <v>0</v>
      </c>
      <c r="F1050" s="159"/>
      <c r="G1050" s="159" t="e">
        <f>#REF!</f>
        <v>#REF!</v>
      </c>
      <c r="H1050" s="172">
        <v>0</v>
      </c>
      <c r="I1050" s="168" t="e">
        <f t="shared" si="275"/>
        <v>#REF!</v>
      </c>
      <c r="J1050" s="159"/>
      <c r="K1050" s="447">
        <v>15434</v>
      </c>
      <c r="L1050" s="448">
        <v>0</v>
      </c>
      <c r="M1050" s="168">
        <f t="shared" si="276"/>
        <v>0</v>
      </c>
      <c r="N1050" s="159"/>
      <c r="O1050" s="447">
        <v>0</v>
      </c>
      <c r="P1050" s="172">
        <v>0</v>
      </c>
      <c r="Q1050" s="168">
        <f t="shared" si="277"/>
        <v>0</v>
      </c>
      <c r="R1050" s="159"/>
      <c r="S1050" s="307"/>
    </row>
    <row r="1051" spans="1:19" ht="15.75" customHeight="1" x14ac:dyDescent="0.3">
      <c r="A1051" s="325" t="s">
        <v>415</v>
      </c>
      <c r="B1051" s="159"/>
      <c r="C1051" s="159">
        <f t="shared" si="273"/>
        <v>-4186.225772418984</v>
      </c>
      <c r="D1051" s="172">
        <v>0</v>
      </c>
      <c r="E1051" s="168">
        <f t="shared" si="274"/>
        <v>0</v>
      </c>
      <c r="F1051" s="159">
        <f>SUM(E1049:E1051)</f>
        <v>0</v>
      </c>
      <c r="G1051" s="159" t="e">
        <f>#REF!</f>
        <v>#REF!</v>
      </c>
      <c r="H1051" s="172">
        <v>0</v>
      </c>
      <c r="I1051" s="168" t="e">
        <f t="shared" si="275"/>
        <v>#REF!</v>
      </c>
      <c r="J1051" s="159" t="e">
        <f>SUM(I1049:I1051)</f>
        <v>#REF!</v>
      </c>
      <c r="K1051" s="447">
        <v>14355</v>
      </c>
      <c r="L1051" s="448">
        <v>0</v>
      </c>
      <c r="M1051" s="168">
        <f t="shared" si="276"/>
        <v>0</v>
      </c>
      <c r="N1051" s="159">
        <f>SUM(M1049:M1051)</f>
        <v>0</v>
      </c>
      <c r="O1051" s="447">
        <v>0</v>
      </c>
      <c r="P1051" s="172">
        <v>0</v>
      </c>
      <c r="Q1051" s="168">
        <f t="shared" si="277"/>
        <v>0</v>
      </c>
      <c r="R1051" s="159">
        <f>SUM(Q1049:Q1051)</f>
        <v>0</v>
      </c>
      <c r="S1051" s="307"/>
    </row>
    <row r="1052" spans="1:19" ht="15.75" customHeight="1" x14ac:dyDescent="0.3">
      <c r="A1052" s="325" t="s">
        <v>416</v>
      </c>
      <c r="B1052" s="159"/>
      <c r="C1052" s="159">
        <f t="shared" si="273"/>
        <v>-21233.156871305429</v>
      </c>
      <c r="D1052" s="172">
        <v>0</v>
      </c>
      <c r="E1052" s="168">
        <f t="shared" si="274"/>
        <v>0</v>
      </c>
      <c r="F1052" s="159"/>
      <c r="G1052" s="159" t="e">
        <f>#REF!</f>
        <v>#REF!</v>
      </c>
      <c r="H1052" s="172">
        <v>0</v>
      </c>
      <c r="I1052" s="168" t="e">
        <f t="shared" si="275"/>
        <v>#REF!</v>
      </c>
      <c r="J1052" s="159"/>
      <c r="K1052" s="447">
        <v>13129</v>
      </c>
      <c r="L1052" s="448">
        <v>0</v>
      </c>
      <c r="M1052" s="168">
        <f t="shared" si="276"/>
        <v>0</v>
      </c>
      <c r="N1052" s="159"/>
      <c r="O1052" s="447">
        <v>0</v>
      </c>
      <c r="P1052" s="172">
        <v>0</v>
      </c>
      <c r="Q1052" s="168">
        <f t="shared" si="277"/>
        <v>0</v>
      </c>
      <c r="R1052" s="159"/>
      <c r="S1052" s="307"/>
    </row>
    <row r="1053" spans="1:19" ht="15.75" customHeight="1" x14ac:dyDescent="0.3">
      <c r="A1053" s="325" t="s">
        <v>417</v>
      </c>
      <c r="B1053" s="159"/>
      <c r="C1053" s="159">
        <f t="shared" si="273"/>
        <v>-34736.742230629781</v>
      </c>
      <c r="D1053" s="172">
        <v>0</v>
      </c>
      <c r="E1053" s="168">
        <f t="shared" si="274"/>
        <v>0</v>
      </c>
      <c r="F1053" s="159"/>
      <c r="G1053" s="159" t="e">
        <f>#REF!</f>
        <v>#REF!</v>
      </c>
      <c r="H1053" s="172">
        <v>0</v>
      </c>
      <c r="I1053" s="168" t="e">
        <f t="shared" si="275"/>
        <v>#REF!</v>
      </c>
      <c r="J1053" s="159"/>
      <c r="K1053" s="447">
        <v>12545</v>
      </c>
      <c r="L1053" s="448">
        <v>0</v>
      </c>
      <c r="M1053" s="168">
        <f t="shared" si="276"/>
        <v>0</v>
      </c>
      <c r="N1053" s="159"/>
      <c r="O1053" s="447">
        <v>0</v>
      </c>
      <c r="P1053" s="172">
        <v>0</v>
      </c>
      <c r="Q1053" s="168">
        <f t="shared" si="277"/>
        <v>0</v>
      </c>
      <c r="R1053" s="159"/>
      <c r="S1053" s="307"/>
    </row>
    <row r="1054" spans="1:19" ht="15.75" customHeight="1" x14ac:dyDescent="0.3">
      <c r="A1054" s="325" t="s">
        <v>418</v>
      </c>
      <c r="B1054" s="159"/>
      <c r="C1054" s="159">
        <f t="shared" si="273"/>
        <v>-24720.949630746036</v>
      </c>
      <c r="D1054" s="172">
        <v>0</v>
      </c>
      <c r="E1054" s="168">
        <f t="shared" si="274"/>
        <v>0</v>
      </c>
      <c r="F1054" s="159">
        <f>SUM(E1052:E1054)</f>
        <v>0</v>
      </c>
      <c r="G1054" s="159" t="e">
        <f>#REF!</f>
        <v>#REF!</v>
      </c>
      <c r="H1054" s="172">
        <v>0</v>
      </c>
      <c r="I1054" s="168" t="e">
        <f t="shared" si="275"/>
        <v>#REF!</v>
      </c>
      <c r="J1054" s="159" t="e">
        <f>SUM(I1052:I1054)</f>
        <v>#REF!</v>
      </c>
      <c r="K1054" s="447">
        <v>9350</v>
      </c>
      <c r="L1054" s="448">
        <v>0</v>
      </c>
      <c r="M1054" s="168">
        <f t="shared" si="276"/>
        <v>0</v>
      </c>
      <c r="N1054" s="159">
        <f>SUM(M1052:M1054)</f>
        <v>0</v>
      </c>
      <c r="O1054" s="447">
        <v>0</v>
      </c>
      <c r="P1054" s="172">
        <v>0</v>
      </c>
      <c r="Q1054" s="168">
        <f t="shared" si="277"/>
        <v>0</v>
      </c>
      <c r="R1054" s="159">
        <f>SUM(Q1052:Q1054)</f>
        <v>0</v>
      </c>
      <c r="S1054" s="307"/>
    </row>
    <row r="1055" spans="1:19" ht="15.75" customHeight="1" x14ac:dyDescent="0.3">
      <c r="A1055" s="325" t="s">
        <v>419</v>
      </c>
      <c r="B1055" s="159"/>
      <c r="C1055" s="159">
        <f t="shared" si="273"/>
        <v>2597.1152675207413</v>
      </c>
      <c r="D1055" s="172">
        <v>0</v>
      </c>
      <c r="E1055" s="168">
        <f t="shared" si="274"/>
        <v>0</v>
      </c>
      <c r="F1055" s="159"/>
      <c r="G1055" s="159" t="e">
        <f>#REF!</f>
        <v>#REF!</v>
      </c>
      <c r="H1055" s="172">
        <v>0</v>
      </c>
      <c r="I1055" s="168" t="e">
        <f t="shared" si="275"/>
        <v>#REF!</v>
      </c>
      <c r="J1055" s="159"/>
      <c r="K1055" s="447">
        <v>11649</v>
      </c>
      <c r="L1055" s="448">
        <v>0</v>
      </c>
      <c r="M1055" s="168">
        <f t="shared" si="276"/>
        <v>0</v>
      </c>
      <c r="N1055" s="159"/>
      <c r="O1055" s="447">
        <v>0</v>
      </c>
      <c r="P1055" s="172">
        <v>0</v>
      </c>
      <c r="Q1055" s="168">
        <f t="shared" si="277"/>
        <v>0</v>
      </c>
      <c r="R1055" s="159"/>
      <c r="S1055" s="307"/>
    </row>
    <row r="1056" spans="1:19" ht="15.75" customHeight="1" x14ac:dyDescent="0.3">
      <c r="A1056" s="325" t="s">
        <v>420</v>
      </c>
      <c r="B1056" s="159"/>
      <c r="C1056" s="159">
        <f t="shared" si="273"/>
        <v>-7334</v>
      </c>
      <c r="D1056" s="172">
        <v>0</v>
      </c>
      <c r="E1056" s="168">
        <f t="shared" si="274"/>
        <v>0</v>
      </c>
      <c r="F1056" s="159"/>
      <c r="G1056" s="159" t="e">
        <f>#REF!</f>
        <v>#REF!</v>
      </c>
      <c r="H1056" s="172">
        <v>0</v>
      </c>
      <c r="I1056" s="168" t="e">
        <f t="shared" si="275"/>
        <v>#REF!</v>
      </c>
      <c r="J1056" s="159"/>
      <c r="K1056" s="447">
        <v>8035</v>
      </c>
      <c r="L1056" s="448">
        <v>0</v>
      </c>
      <c r="M1056" s="168">
        <f t="shared" si="276"/>
        <v>0</v>
      </c>
      <c r="N1056" s="159"/>
      <c r="O1056" s="447">
        <v>0</v>
      </c>
      <c r="P1056" s="172">
        <v>0</v>
      </c>
      <c r="Q1056" s="168">
        <f t="shared" si="277"/>
        <v>0</v>
      </c>
      <c r="R1056" s="159"/>
      <c r="S1056" s="307"/>
    </row>
    <row r="1057" spans="1:19" ht="15.75" customHeight="1" x14ac:dyDescent="0.3">
      <c r="A1057" s="325" t="s">
        <v>421</v>
      </c>
      <c r="B1057" s="159"/>
      <c r="C1057" s="159">
        <f t="shared" si="273"/>
        <v>-8806</v>
      </c>
      <c r="D1057" s="172">
        <v>0</v>
      </c>
      <c r="E1057" s="168">
        <f t="shared" si="274"/>
        <v>0</v>
      </c>
      <c r="F1057" s="159">
        <f>SUM(E1055:E1057)</f>
        <v>0</v>
      </c>
      <c r="G1057" s="159" t="e">
        <f>#REF!</f>
        <v>#REF!</v>
      </c>
      <c r="H1057" s="172">
        <v>0</v>
      </c>
      <c r="I1057" s="168" t="e">
        <f t="shared" si="275"/>
        <v>#REF!</v>
      </c>
      <c r="J1057" s="159" t="e">
        <f>SUM(I1055:I1057)</f>
        <v>#REF!</v>
      </c>
      <c r="K1057" s="447">
        <v>8092</v>
      </c>
      <c r="L1057" s="448">
        <v>0</v>
      </c>
      <c r="M1057" s="168">
        <f t="shared" si="276"/>
        <v>0</v>
      </c>
      <c r="N1057" s="159">
        <f>SUM(M1055:M1057)</f>
        <v>0</v>
      </c>
      <c r="O1057" s="447">
        <v>0</v>
      </c>
      <c r="P1057" s="172">
        <v>0</v>
      </c>
      <c r="Q1057" s="168">
        <f t="shared" si="277"/>
        <v>0</v>
      </c>
      <c r="R1057" s="159">
        <f>SUM(Q1055:Q1057)</f>
        <v>0</v>
      </c>
      <c r="S1057" s="307"/>
    </row>
    <row r="1058" spans="1:19" ht="15.75" customHeight="1" x14ac:dyDescent="0.3">
      <c r="A1058" s="323"/>
      <c r="B1058" s="159"/>
      <c r="C1058" s="159"/>
      <c r="D1058" s="159"/>
      <c r="E1058" s="159"/>
      <c r="F1058" s="159"/>
      <c r="G1058" s="159"/>
      <c r="H1058" s="159"/>
      <c r="I1058" s="159"/>
      <c r="J1058" s="159"/>
      <c r="K1058" s="159"/>
      <c r="L1058" s="159"/>
      <c r="M1058" s="159"/>
      <c r="N1058" s="159"/>
      <c r="O1058" s="159"/>
      <c r="P1058" s="159"/>
      <c r="Q1058" s="159"/>
      <c r="R1058" s="159"/>
      <c r="S1058" s="307"/>
    </row>
    <row r="1059" spans="1:19" ht="15.75" customHeight="1" x14ac:dyDescent="0.3">
      <c r="A1059" s="323"/>
      <c r="B1059" s="159"/>
      <c r="C1059" s="159"/>
      <c r="D1059" s="159"/>
      <c r="E1059" s="159"/>
      <c r="F1059" s="159"/>
      <c r="G1059" s="159"/>
      <c r="H1059" s="159"/>
      <c r="I1059" s="159"/>
      <c r="J1059" s="159"/>
      <c r="K1059" s="159"/>
      <c r="L1059" s="159"/>
      <c r="M1059" s="159"/>
      <c r="N1059" s="159"/>
      <c r="O1059" s="159"/>
      <c r="P1059" s="159"/>
      <c r="Q1059" s="159"/>
      <c r="R1059" s="159"/>
      <c r="S1059" s="307"/>
    </row>
    <row r="1060" spans="1:19" ht="16.5" customHeight="1" thickBot="1" x14ac:dyDescent="0.35">
      <c r="A1060" s="326" t="s">
        <v>422</v>
      </c>
      <c r="B1060" s="327"/>
      <c r="C1060" s="327">
        <f>SUM(C1046:C1057)</f>
        <v>-196733.45498189953</v>
      </c>
      <c r="D1060" s="327"/>
      <c r="E1060" s="337">
        <f>SUM(E1046:E1057)</f>
        <v>0</v>
      </c>
      <c r="F1060" s="327"/>
      <c r="G1060" s="327" t="e">
        <f>SUM(G1046:G1057)</f>
        <v>#REF!</v>
      </c>
      <c r="H1060" s="327" t="s">
        <v>424</v>
      </c>
      <c r="I1060" s="337" t="e">
        <f>SUM(I1046:I1057)</f>
        <v>#REF!</v>
      </c>
      <c r="J1060" s="327"/>
      <c r="K1060" s="327">
        <f>SUM(K1046:K1057)</f>
        <v>149913</v>
      </c>
      <c r="L1060" s="327" t="s">
        <v>424</v>
      </c>
      <c r="M1060" s="337">
        <f>SUM(M1046:M1057)</f>
        <v>0</v>
      </c>
      <c r="N1060" s="327"/>
      <c r="O1060" s="327">
        <f>(SUM(O1046:O1057))</f>
        <v>0</v>
      </c>
      <c r="P1060" s="327" t="s">
        <v>424</v>
      </c>
      <c r="Q1060" s="337">
        <f>SUM(Q1046:Q1057)</f>
        <v>0</v>
      </c>
      <c r="R1060" s="327"/>
      <c r="S1060" s="313"/>
    </row>
  </sheetData>
  <scenarios current="0">
    <scenario name="Jan" count="1" user="Windows User" comment="Created by Windows User on 4/11/2013">
      <inputCells r="B280" val="57771.3688407242" numFmtId="37"/>
    </scenario>
  </scenarios>
  <autoFilter ref="A31:R821" xr:uid="{00000000-0009-0000-0000-00000F000000}"/>
  <mergeCells count="72">
    <mergeCell ref="B994:L994"/>
    <mergeCell ref="M994:P994"/>
    <mergeCell ref="B968:D968"/>
    <mergeCell ref="B987:P987"/>
    <mergeCell ref="B988:P988"/>
    <mergeCell ref="B989:P989"/>
    <mergeCell ref="B991:P991"/>
    <mergeCell ref="B992:P992"/>
    <mergeCell ref="B967:P967"/>
    <mergeCell ref="M913:O913"/>
    <mergeCell ref="AD913:AQ913"/>
    <mergeCell ref="AD914:AQ914"/>
    <mergeCell ref="B938:P938"/>
    <mergeCell ref="B939:F939"/>
    <mergeCell ref="G939:L939"/>
    <mergeCell ref="M939:O939"/>
    <mergeCell ref="P939:R939"/>
    <mergeCell ref="M940:O940"/>
    <mergeCell ref="B962:P962"/>
    <mergeCell ref="B963:P963"/>
    <mergeCell ref="B964:P964"/>
    <mergeCell ref="B966:P966"/>
    <mergeCell ref="B910:P910"/>
    <mergeCell ref="AD910:AQ910"/>
    <mergeCell ref="B911:P911"/>
    <mergeCell ref="AD911:AQ911"/>
    <mergeCell ref="B912:F912"/>
    <mergeCell ref="G912:L912"/>
    <mergeCell ref="M912:O912"/>
    <mergeCell ref="P912:R912"/>
    <mergeCell ref="AD909:AQ909"/>
    <mergeCell ref="AD875:AQ875"/>
    <mergeCell ref="AD876:AQ876"/>
    <mergeCell ref="AD878:AQ878"/>
    <mergeCell ref="B879:P879"/>
    <mergeCell ref="AD879:AQ879"/>
    <mergeCell ref="B880:P880"/>
    <mergeCell ref="B881:P881"/>
    <mergeCell ref="B883:P883"/>
    <mergeCell ref="B884:P884"/>
    <mergeCell ref="B908:P908"/>
    <mergeCell ref="B909:P909"/>
    <mergeCell ref="AD874:AQ874"/>
    <mergeCell ref="B825:P825"/>
    <mergeCell ref="B826:P826"/>
    <mergeCell ref="B827:P827"/>
    <mergeCell ref="B828:P828"/>
    <mergeCell ref="B829:P829"/>
    <mergeCell ref="B853:P853"/>
    <mergeCell ref="B854:P854"/>
    <mergeCell ref="B855:P855"/>
    <mergeCell ref="B856:P856"/>
    <mergeCell ref="B857:P857"/>
    <mergeCell ref="B858:P858"/>
    <mergeCell ref="B824:P824"/>
    <mergeCell ref="V345:AM345"/>
    <mergeCell ref="A760:R760"/>
    <mergeCell ref="A761:R761"/>
    <mergeCell ref="A762:R762"/>
    <mergeCell ref="A763:R763"/>
    <mergeCell ref="A765:R765"/>
    <mergeCell ref="A801:R801"/>
    <mergeCell ref="A802:R802"/>
    <mergeCell ref="A803:R803"/>
    <mergeCell ref="A804:R804"/>
    <mergeCell ref="A806:R806"/>
    <mergeCell ref="A8:R8"/>
    <mergeCell ref="A2:R2"/>
    <mergeCell ref="A3:R3"/>
    <mergeCell ref="A4:R4"/>
    <mergeCell ref="A5:R5"/>
    <mergeCell ref="A6:R6"/>
  </mergeCells>
  <conditionalFormatting sqref="P918:P931">
    <cfRule type="cellIs" dxfId="15" priority="3" operator="lessThan">
      <formula>0</formula>
    </cfRule>
    <cfRule type="cellIs" dxfId="14" priority="4" operator="greaterThan">
      <formula>0</formula>
    </cfRule>
  </conditionalFormatting>
  <conditionalFormatting sqref="P945:P956">
    <cfRule type="cellIs" dxfId="13" priority="1" operator="lessThan">
      <formula>0</formula>
    </cfRule>
    <cfRule type="cellIs" dxfId="12" priority="2" operator="greaterThan">
      <formula>0</formula>
    </cfRule>
  </conditionalFormatting>
  <printOptions horizontalCentered="1"/>
  <pageMargins left="0.25" right="0.25" top="0.25" bottom="0.25" header="0" footer="0"/>
  <pageSetup paperSize="17" scale="82" orientation="landscape" r:id="rId1"/>
  <headerFooter alignWithMargins="0"/>
  <rowBreaks count="5" manualBreakCount="5">
    <brk id="757" max="17" man="1"/>
    <brk id="797" max="17" man="1"/>
    <brk id="850" max="18" man="1"/>
    <brk id="878" max="18" man="1"/>
    <brk id="846" min="28" max="46"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BCF6C-4CF3-4077-AA6B-0CA3C4FB0C84}">
  <sheetPr codeName="Sheet15">
    <pageSetUpPr fitToPage="1"/>
  </sheetPr>
  <dimension ref="A1:AX1037"/>
  <sheetViews>
    <sheetView topLeftCell="A871" zoomScale="70" zoomScaleNormal="70" workbookViewId="0">
      <selection activeCell="V945" sqref="V945"/>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21875" style="4" bestFit="1" customWidth="1"/>
    <col min="9" max="9" width="13.109375" style="4" customWidth="1"/>
    <col min="10"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20" width="11.21875" style="4" bestFit="1" customWidth="1"/>
    <col min="21" max="21" width="8.77734375" style="4"/>
    <col min="22" max="22" width="10.44140625" style="4" customWidth="1"/>
    <col min="23" max="28" width="8.77734375" style="4"/>
    <col min="29" max="29" width="13.6640625" style="4" customWidth="1"/>
    <col min="30"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338" t="s">
        <v>791</v>
      </c>
      <c r="R1" s="3">
        <f ca="1">NOW()</f>
        <v>44909.46975358796</v>
      </c>
    </row>
    <row r="2" spans="1:36" ht="19.5" customHeight="1" x14ac:dyDescent="0.35">
      <c r="A2" s="500" t="s">
        <v>1</v>
      </c>
      <c r="B2" s="500"/>
      <c r="C2" s="500"/>
      <c r="D2" s="500"/>
      <c r="E2" s="500"/>
      <c r="F2" s="500"/>
      <c r="G2" s="500"/>
      <c r="H2" s="500"/>
      <c r="I2" s="500"/>
      <c r="J2" s="500"/>
      <c r="K2" s="500"/>
      <c r="L2" s="500"/>
      <c r="M2" s="500"/>
      <c r="N2" s="500"/>
      <c r="O2" s="500"/>
      <c r="P2" s="500"/>
      <c r="Q2" s="500"/>
      <c r="R2" s="500"/>
    </row>
    <row r="3" spans="1:36" ht="19.5" customHeight="1" x14ac:dyDescent="0.35">
      <c r="A3" s="500" t="s">
        <v>2</v>
      </c>
      <c r="B3" s="500"/>
      <c r="C3" s="500"/>
      <c r="D3" s="500"/>
      <c r="E3" s="500"/>
      <c r="F3" s="500"/>
      <c r="G3" s="500"/>
      <c r="H3" s="500"/>
      <c r="I3" s="500"/>
      <c r="J3" s="500"/>
      <c r="K3" s="500"/>
      <c r="L3" s="500"/>
      <c r="M3" s="500"/>
      <c r="N3" s="500"/>
      <c r="O3" s="500"/>
      <c r="P3" s="500"/>
      <c r="Q3" s="500"/>
      <c r="R3" s="500"/>
    </row>
    <row r="4" spans="1:36" ht="19.5" customHeight="1" x14ac:dyDescent="0.35">
      <c r="A4" s="501" t="s">
        <v>3</v>
      </c>
      <c r="B4" s="501"/>
      <c r="C4" s="501"/>
      <c r="D4" s="501"/>
      <c r="E4" s="501"/>
      <c r="F4" s="501"/>
      <c r="G4" s="501"/>
      <c r="H4" s="501"/>
      <c r="I4" s="501"/>
      <c r="J4" s="501"/>
      <c r="K4" s="501"/>
      <c r="L4" s="501"/>
      <c r="M4" s="501"/>
      <c r="N4" s="501"/>
      <c r="O4" s="501"/>
      <c r="P4" s="501"/>
      <c r="Q4" s="501"/>
      <c r="R4" s="501"/>
    </row>
    <row r="5" spans="1:36" ht="19.5" customHeight="1" x14ac:dyDescent="0.35">
      <c r="A5" s="502">
        <v>2014</v>
      </c>
      <c r="B5" s="502"/>
      <c r="C5" s="502"/>
      <c r="D5" s="502"/>
      <c r="E5" s="502"/>
      <c r="F5" s="502"/>
      <c r="G5" s="502"/>
      <c r="H5" s="502"/>
      <c r="I5" s="502"/>
      <c r="J5" s="502"/>
      <c r="K5" s="502"/>
      <c r="L5" s="502"/>
      <c r="M5" s="502"/>
      <c r="N5" s="502"/>
      <c r="O5" s="502"/>
      <c r="P5" s="502"/>
      <c r="Q5" s="502"/>
      <c r="R5" s="502"/>
    </row>
    <row r="6" spans="1:36" ht="19.5" customHeight="1" x14ac:dyDescent="0.35">
      <c r="A6" s="501" t="s">
        <v>1134</v>
      </c>
      <c r="B6" s="501"/>
      <c r="C6" s="501"/>
      <c r="D6" s="501"/>
      <c r="E6" s="501"/>
      <c r="F6" s="501"/>
      <c r="G6" s="501"/>
      <c r="H6" s="501"/>
      <c r="I6" s="501"/>
      <c r="J6" s="501"/>
      <c r="K6" s="501"/>
      <c r="L6" s="501"/>
      <c r="M6" s="501"/>
      <c r="N6" s="501"/>
      <c r="O6" s="501"/>
      <c r="P6" s="501"/>
      <c r="Q6" s="501"/>
      <c r="R6" s="501"/>
    </row>
    <row r="7" spans="1:36" ht="19.5" customHeight="1" x14ac:dyDescent="0.35">
      <c r="A7" s="296"/>
      <c r="B7" s="296"/>
      <c r="C7" s="296"/>
      <c r="D7" s="296"/>
      <c r="E7" s="296"/>
      <c r="F7" s="296"/>
      <c r="G7" s="296"/>
      <c r="H7" s="296"/>
      <c r="I7" s="296"/>
      <c r="J7" s="296"/>
      <c r="K7" s="296"/>
      <c r="L7" s="296"/>
      <c r="M7" s="296"/>
      <c r="N7" s="296"/>
      <c r="O7" s="296"/>
      <c r="P7" s="296"/>
      <c r="Q7" s="296"/>
      <c r="R7" s="296"/>
    </row>
    <row r="8" spans="1:36" ht="15.75" customHeight="1" x14ac:dyDescent="0.3">
      <c r="A8" s="499" t="s">
        <v>1135</v>
      </c>
      <c r="B8" s="499"/>
      <c r="C8" s="499"/>
      <c r="D8" s="499"/>
      <c r="E8" s="499"/>
      <c r="F8" s="499"/>
      <c r="G8" s="499"/>
      <c r="H8" s="499"/>
      <c r="I8" s="499"/>
      <c r="J8" s="499"/>
      <c r="K8" s="499"/>
      <c r="L8" s="499"/>
      <c r="M8" s="499"/>
      <c r="N8" s="499"/>
      <c r="O8" s="499"/>
      <c r="P8" s="499"/>
      <c r="Q8" s="499"/>
      <c r="R8" s="499"/>
    </row>
    <row r="9" spans="1:36" ht="15.75" customHeight="1" x14ac:dyDescent="0.3">
      <c r="A9" s="5"/>
      <c r="B9" s="6"/>
      <c r="C9" s="6"/>
      <c r="D9" s="6"/>
      <c r="E9" s="6"/>
      <c r="F9" s="6"/>
      <c r="G9" s="6"/>
      <c r="H9" s="6"/>
      <c r="I9" s="6"/>
      <c r="J9" s="6"/>
      <c r="K9" s="6"/>
      <c r="L9" s="6"/>
      <c r="M9" s="6"/>
      <c r="N9" s="6"/>
      <c r="O9" s="6"/>
      <c r="P9" s="6"/>
      <c r="Q9" s="6"/>
      <c r="R9" s="6"/>
    </row>
    <row r="10" spans="1:36" ht="15.75" customHeight="1" thickBot="1" x14ac:dyDescent="0.35">
      <c r="A10" s="1" t="s">
        <v>794</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297" t="s">
        <v>7</v>
      </c>
      <c r="B11" s="298" t="s">
        <v>795</v>
      </c>
      <c r="C11" s="48" t="s">
        <v>9</v>
      </c>
      <c r="D11" s="48" t="s">
        <v>10</v>
      </c>
      <c r="E11" s="32" t="s">
        <v>11</v>
      </c>
      <c r="F11" s="48" t="s">
        <v>12</v>
      </c>
      <c r="G11" s="48" t="s">
        <v>13</v>
      </c>
      <c r="H11" s="48" t="s">
        <v>14</v>
      </c>
      <c r="I11" s="32" t="s">
        <v>15</v>
      </c>
      <c r="J11" s="48" t="s">
        <v>16</v>
      </c>
      <c r="K11" s="48" t="s">
        <v>17</v>
      </c>
      <c r="L11" s="48" t="s">
        <v>18</v>
      </c>
      <c r="M11" s="32" t="s">
        <v>19</v>
      </c>
      <c r="N11" s="48" t="s">
        <v>20</v>
      </c>
      <c r="O11" s="48" t="s">
        <v>21</v>
      </c>
      <c r="P11" s="48" t="s">
        <v>22</v>
      </c>
      <c r="Q11" s="32" t="s">
        <v>23</v>
      </c>
      <c r="R11" s="49" t="s">
        <v>24</v>
      </c>
    </row>
    <row r="12" spans="1:36" ht="16.5" customHeight="1" thickBot="1" x14ac:dyDescent="0.35">
      <c r="A12" s="67"/>
      <c r="B12" s="51"/>
      <c r="C12" s="51"/>
      <c r="D12" s="51"/>
      <c r="E12" s="52"/>
      <c r="F12" s="51"/>
      <c r="G12" s="51"/>
      <c r="H12" s="51"/>
      <c r="I12" s="52"/>
      <c r="J12" s="51"/>
      <c r="K12" s="51"/>
      <c r="L12" s="51"/>
      <c r="M12" s="52"/>
      <c r="N12" s="51"/>
      <c r="O12" s="51"/>
      <c r="P12" s="51"/>
      <c r="Q12" s="52"/>
      <c r="R12" s="52"/>
    </row>
    <row r="13" spans="1:36" ht="15.75" customHeight="1" x14ac:dyDescent="0.3">
      <c r="A13" s="15" t="s">
        <v>25</v>
      </c>
      <c r="B13" s="1">
        <f>+B797</f>
        <v>54644</v>
      </c>
      <c r="C13" s="1">
        <f>+C797</f>
        <v>73683</v>
      </c>
      <c r="D13" s="1">
        <f>+D797</f>
        <v>123825</v>
      </c>
      <c r="E13" s="16">
        <f>SUM(B13:D13)</f>
        <v>252152</v>
      </c>
      <c r="F13" s="1">
        <f>+F797</f>
        <v>164245</v>
      </c>
      <c r="G13" s="1">
        <f>+G797</f>
        <v>187340</v>
      </c>
      <c r="H13" s="1">
        <f>+H797</f>
        <v>194295</v>
      </c>
      <c r="I13" s="16">
        <f t="shared" ref="I13:I19" si="0">SUM(F13:H13)</f>
        <v>545880</v>
      </c>
      <c r="J13" s="1">
        <f>+J797</f>
        <v>183511</v>
      </c>
      <c r="K13" s="1">
        <f>+K797</f>
        <v>165587</v>
      </c>
      <c r="L13" s="1">
        <f>+L797</f>
        <v>114740</v>
      </c>
      <c r="M13" s="16">
        <f t="shared" ref="M13:M20" si="1">SUM(J13:L13)</f>
        <v>463838</v>
      </c>
      <c r="N13" s="1">
        <f>+N797</f>
        <v>110496</v>
      </c>
      <c r="O13" s="1">
        <f>+O797</f>
        <v>82300</v>
      </c>
      <c r="P13" s="1">
        <f>+P797</f>
        <v>71294</v>
      </c>
      <c r="Q13" s="17">
        <f t="shared" ref="Q13:Q19" si="2">SUM(N13:P13)</f>
        <v>264090</v>
      </c>
      <c r="R13" s="16">
        <f t="shared" ref="R13:R20" si="3">+E13+I13+M13+Q13</f>
        <v>1525960</v>
      </c>
      <c r="S13" s="4">
        <v>1525991</v>
      </c>
      <c r="T13" s="4">
        <f>+R13-S13</f>
        <v>-31</v>
      </c>
      <c r="V13" s="339"/>
      <c r="W13" s="339"/>
      <c r="X13" s="339"/>
      <c r="Z13" s="339"/>
      <c r="AA13" s="339"/>
      <c r="AB13" s="339"/>
      <c r="AD13" s="339"/>
      <c r="AE13" s="339"/>
      <c r="AF13" s="339"/>
      <c r="AH13" s="339"/>
      <c r="AI13" s="339"/>
      <c r="AJ13" s="339"/>
    </row>
    <row r="14" spans="1:36" ht="15.75" customHeight="1" x14ac:dyDescent="0.3">
      <c r="A14" s="15" t="s">
        <v>27</v>
      </c>
      <c r="B14" s="1">
        <f>B25+B60+B127+B271+B406+B453+B495+B548+B558+B594+B638+B648+B682+B729</f>
        <v>739</v>
      </c>
      <c r="C14" s="1">
        <f>C25+C60+C127+C271+C406+C453+C495+C548+C558+C594+C638+C648+C682+C729</f>
        <v>1283</v>
      </c>
      <c r="D14" s="1">
        <f>D25+D60+D127+D271+D406+D453+D495+D548+D558+D594+D638+D648+D682+D729</f>
        <v>2185</v>
      </c>
      <c r="E14" s="16">
        <f t="shared" ref="E14:E19" si="4">SUM(B14:D14)</f>
        <v>4207</v>
      </c>
      <c r="F14" s="1">
        <f>F25+F60+F127+F271+F406+F453+F495+F548+F558+F594+F638+F648+F682+F729</f>
        <v>2959</v>
      </c>
      <c r="G14" s="1">
        <f>G25+G60+G127+G271+G406+G453+G495+G548+G558+G594+G638+G648+G682+G729</f>
        <v>3425</v>
      </c>
      <c r="H14" s="1">
        <f>H25+H60+H127+H271+H406+H453+H495+H548+H558+H594+H638+H648+H682+H729</f>
        <v>3464</v>
      </c>
      <c r="I14" s="16">
        <f t="shared" si="0"/>
        <v>9848</v>
      </c>
      <c r="J14" s="1">
        <f>J25+J60+J127+J271+J406+J453+J495+J548+J558+J594+J638+J648+J682+J729</f>
        <v>3382</v>
      </c>
      <c r="K14" s="1">
        <f>K25+K60+K127+K271+K406+K453+K495+K548+K558+K594+K638+K648+K682+K729</f>
        <v>2663</v>
      </c>
      <c r="L14" s="1">
        <f>L25+L60+L127+L271+L406+L453+L495+L548+L558+L594+L638+L648+L682+L729</f>
        <v>2559</v>
      </c>
      <c r="M14" s="16">
        <f t="shared" si="1"/>
        <v>8604</v>
      </c>
      <c r="N14" s="1">
        <f>N25+N60+N127+N271+N406+N453+N495+N548+N558+N594+N638+N648+N682+N729</f>
        <v>2343</v>
      </c>
      <c r="O14" s="1">
        <f>O25+O60+O127+O271+O406+O453+O495+O548+O558+O594+O638+O648+O682+O729</f>
        <v>1892</v>
      </c>
      <c r="P14" s="1">
        <f>P25+P60+P127+P271+P406+P453+P495+P548+P558+P594+P638+P648+P682+P729</f>
        <v>1423</v>
      </c>
      <c r="Q14" s="17">
        <f t="shared" si="2"/>
        <v>5658</v>
      </c>
      <c r="R14" s="16">
        <f t="shared" si="3"/>
        <v>28317</v>
      </c>
    </row>
    <row r="15" spans="1:36" ht="15.75" customHeight="1" x14ac:dyDescent="0.3">
      <c r="A15" s="15" t="s">
        <v>28</v>
      </c>
      <c r="B15" s="1">
        <f>B266</f>
        <v>0</v>
      </c>
      <c r="C15" s="1">
        <f>C266</f>
        <v>1766</v>
      </c>
      <c r="D15" s="1">
        <f>D266</f>
        <v>1290</v>
      </c>
      <c r="E15" s="16">
        <f t="shared" si="4"/>
        <v>3056</v>
      </c>
      <c r="F15" s="1">
        <f>F266</f>
        <v>1125</v>
      </c>
      <c r="G15" s="1">
        <f>G266</f>
        <v>1171</v>
      </c>
      <c r="H15" s="1">
        <f>H266</f>
        <v>2262</v>
      </c>
      <c r="I15" s="16">
        <f t="shared" si="0"/>
        <v>4558</v>
      </c>
      <c r="J15" s="1">
        <f>J266</f>
        <v>2262</v>
      </c>
      <c r="K15" s="1">
        <f>K266</f>
        <v>1003</v>
      </c>
      <c r="L15" s="1">
        <f>L266</f>
        <v>587</v>
      </c>
      <c r="M15" s="16">
        <f t="shared" si="1"/>
        <v>3852</v>
      </c>
      <c r="N15" s="1">
        <f>N266</f>
        <v>1897</v>
      </c>
      <c r="O15" s="1">
        <f>O266</f>
        <v>3570</v>
      </c>
      <c r="P15" s="1">
        <f>P266</f>
        <v>1040</v>
      </c>
      <c r="Q15" s="17">
        <f t="shared" si="2"/>
        <v>6507</v>
      </c>
      <c r="R15" s="16">
        <f t="shared" si="3"/>
        <v>17973</v>
      </c>
    </row>
    <row r="16" spans="1:36" ht="15.75" customHeight="1" x14ac:dyDescent="0.3">
      <c r="A16" s="18" t="s">
        <v>29</v>
      </c>
      <c r="B16" s="1">
        <f>+B267</f>
        <v>0</v>
      </c>
      <c r="C16" s="1">
        <f>+C267</f>
        <v>0</v>
      </c>
      <c r="D16" s="1">
        <f>+D267</f>
        <v>0</v>
      </c>
      <c r="E16" s="16">
        <f t="shared" si="4"/>
        <v>0</v>
      </c>
      <c r="F16" s="1">
        <f>+F267</f>
        <v>0</v>
      </c>
      <c r="G16" s="1">
        <f>+G267</f>
        <v>0</v>
      </c>
      <c r="H16" s="1">
        <f>+H267</f>
        <v>0</v>
      </c>
      <c r="I16" s="16">
        <f t="shared" si="0"/>
        <v>0</v>
      </c>
      <c r="J16" s="1">
        <f>+J267</f>
        <v>0</v>
      </c>
      <c r="K16" s="1">
        <f>+K267</f>
        <v>0</v>
      </c>
      <c r="L16" s="1">
        <f>+L267</f>
        <v>0</v>
      </c>
      <c r="M16" s="16">
        <f t="shared" si="1"/>
        <v>0</v>
      </c>
      <c r="N16" s="1">
        <f>+N267</f>
        <v>0</v>
      </c>
      <c r="O16" s="1">
        <f>+O267</f>
        <v>0</v>
      </c>
      <c r="P16" s="1">
        <f>+P267</f>
        <v>0</v>
      </c>
      <c r="Q16" s="17">
        <f t="shared" si="2"/>
        <v>0</v>
      </c>
      <c r="R16" s="16">
        <f t="shared" si="3"/>
        <v>0</v>
      </c>
    </row>
    <row r="17" spans="1:20" ht="15.75" customHeight="1" x14ac:dyDescent="0.3">
      <c r="A17" s="19" t="s">
        <v>31</v>
      </c>
      <c r="B17" s="1">
        <f>B270</f>
        <v>54111</v>
      </c>
      <c r="C17" s="1">
        <f>C270</f>
        <v>52725</v>
      </c>
      <c r="D17" s="1">
        <f>D270</f>
        <v>48127</v>
      </c>
      <c r="E17" s="16">
        <f t="shared" si="4"/>
        <v>154963</v>
      </c>
      <c r="F17" s="1">
        <f>F270</f>
        <v>9835</v>
      </c>
      <c r="G17" s="1">
        <f>G270</f>
        <v>1525</v>
      </c>
      <c r="H17" s="1">
        <f>H270</f>
        <v>0</v>
      </c>
      <c r="I17" s="16">
        <f t="shared" si="0"/>
        <v>11360</v>
      </c>
      <c r="J17" s="1">
        <f>J270</f>
        <v>0</v>
      </c>
      <c r="K17" s="1">
        <f>K270</f>
        <v>0</v>
      </c>
      <c r="L17" s="1">
        <f>L270</f>
        <v>27580</v>
      </c>
      <c r="M17" s="16">
        <f t="shared" si="1"/>
        <v>27580</v>
      </c>
      <c r="N17" s="1">
        <f>N270</f>
        <v>5000</v>
      </c>
      <c r="O17" s="1">
        <f>O270</f>
        <v>48000</v>
      </c>
      <c r="P17" s="1">
        <f>P270</f>
        <v>40000</v>
      </c>
      <c r="Q17" s="17">
        <f t="shared" si="2"/>
        <v>93000</v>
      </c>
      <c r="R17" s="16">
        <f t="shared" si="3"/>
        <v>286903</v>
      </c>
    </row>
    <row r="18" spans="1:20" ht="15.75" customHeight="1" x14ac:dyDescent="0.3">
      <c r="A18" s="19" t="s">
        <v>32</v>
      </c>
      <c r="B18" s="1">
        <f>B282</f>
        <v>-26551</v>
      </c>
      <c r="C18" s="1">
        <f>C282</f>
        <v>0</v>
      </c>
      <c r="D18" s="1">
        <f>D282</f>
        <v>0</v>
      </c>
      <c r="E18" s="16">
        <f t="shared" si="4"/>
        <v>-26551</v>
      </c>
      <c r="F18" s="1">
        <f>F282</f>
        <v>-359</v>
      </c>
      <c r="G18" s="1">
        <f>G282</f>
        <v>-9966</v>
      </c>
      <c r="H18" s="1">
        <f>H282</f>
        <v>-64683</v>
      </c>
      <c r="I18" s="16">
        <f t="shared" si="0"/>
        <v>-75008</v>
      </c>
      <c r="J18" s="1">
        <f>J282</f>
        <v>-93862</v>
      </c>
      <c r="K18" s="1">
        <f>K282</f>
        <v>-67548</v>
      </c>
      <c r="L18" s="1">
        <f>L282</f>
        <v>-5520</v>
      </c>
      <c r="M18" s="16">
        <f t="shared" si="1"/>
        <v>-166930</v>
      </c>
      <c r="N18" s="1">
        <f>N282</f>
        <v>0</v>
      </c>
      <c r="O18" s="1">
        <f>O282</f>
        <v>0</v>
      </c>
      <c r="P18" s="1">
        <f>P282</f>
        <v>0</v>
      </c>
      <c r="Q18" s="17">
        <f t="shared" si="2"/>
        <v>0</v>
      </c>
      <c r="R18" s="16">
        <f t="shared" si="3"/>
        <v>-268489</v>
      </c>
    </row>
    <row r="19" spans="1:20" ht="16.5" customHeight="1" thickBot="1" x14ac:dyDescent="0.35">
      <c r="A19" s="20" t="s">
        <v>33</v>
      </c>
      <c r="B19" s="21">
        <f>(B29)</f>
        <v>82943</v>
      </c>
      <c r="C19" s="21">
        <f>(C29)</f>
        <v>129457</v>
      </c>
      <c r="D19" s="21">
        <f>(D29)</f>
        <v>175427</v>
      </c>
      <c r="E19" s="22">
        <f t="shared" si="4"/>
        <v>387827</v>
      </c>
      <c r="F19" s="21">
        <f>(F29)</f>
        <v>177805</v>
      </c>
      <c r="G19" s="21">
        <f>(G29)</f>
        <v>183495</v>
      </c>
      <c r="H19" s="21">
        <f>(H29)</f>
        <v>135338</v>
      </c>
      <c r="I19" s="22">
        <f t="shared" si="0"/>
        <v>496638</v>
      </c>
      <c r="J19" s="21">
        <f>(J29)</f>
        <v>95293</v>
      </c>
      <c r="K19" s="21">
        <f>(K29)</f>
        <v>101705</v>
      </c>
      <c r="L19" s="21">
        <f>(L29)</f>
        <v>139946</v>
      </c>
      <c r="M19" s="22">
        <f t="shared" si="1"/>
        <v>336944</v>
      </c>
      <c r="N19" s="21">
        <f>(N29)</f>
        <v>119736</v>
      </c>
      <c r="O19" s="21">
        <f>(O29)</f>
        <v>135762</v>
      </c>
      <c r="P19" s="21">
        <f>(P29)</f>
        <v>113757</v>
      </c>
      <c r="Q19" s="23">
        <f t="shared" si="2"/>
        <v>369255</v>
      </c>
      <c r="R19" s="22">
        <f t="shared" si="3"/>
        <v>1590664</v>
      </c>
    </row>
    <row r="20" spans="1:20" ht="16.5" customHeight="1" thickBot="1" x14ac:dyDescent="0.35">
      <c r="A20" s="20" t="s">
        <v>36</v>
      </c>
      <c r="B20" s="21">
        <v>84467</v>
      </c>
      <c r="C20" s="21">
        <v>130265</v>
      </c>
      <c r="D20" s="21">
        <v>176237</v>
      </c>
      <c r="E20" s="22">
        <f>SUM(B20:D20)</f>
        <v>390969</v>
      </c>
      <c r="F20" s="21">
        <v>177897</v>
      </c>
      <c r="G20" s="21">
        <v>183603</v>
      </c>
      <c r="H20" s="21">
        <v>133051</v>
      </c>
      <c r="I20" s="22">
        <f>SUM(F20:H20)</f>
        <v>494551</v>
      </c>
      <c r="J20" s="21">
        <v>92532</v>
      </c>
      <c r="K20" s="21">
        <v>99382</v>
      </c>
      <c r="L20" s="21">
        <v>140046</v>
      </c>
      <c r="M20" s="22">
        <f t="shared" si="1"/>
        <v>331960</v>
      </c>
      <c r="N20" s="21">
        <f>+N19</f>
        <v>119736</v>
      </c>
      <c r="O20" s="21">
        <f>+O19</f>
        <v>135762</v>
      </c>
      <c r="P20" s="21">
        <f>+P19</f>
        <v>113757</v>
      </c>
      <c r="Q20" s="23">
        <f>SUM(N20:P20)</f>
        <v>369255</v>
      </c>
      <c r="R20" s="22">
        <f t="shared" si="3"/>
        <v>1586735</v>
      </c>
    </row>
    <row r="21" spans="1:20" ht="15.75" customHeight="1" x14ac:dyDescent="0.3">
      <c r="A21" s="1"/>
      <c r="B21" s="1"/>
      <c r="C21" s="1"/>
      <c r="D21" s="1"/>
      <c r="E21" s="1"/>
      <c r="F21" s="1"/>
      <c r="G21" s="1"/>
      <c r="H21" s="1"/>
      <c r="I21" s="1"/>
      <c r="J21" s="1"/>
      <c r="K21" s="1"/>
      <c r="L21" s="1"/>
      <c r="M21" s="1"/>
      <c r="N21" s="1"/>
      <c r="O21" s="1"/>
      <c r="P21" s="1"/>
      <c r="Q21" s="1"/>
      <c r="R21" s="2"/>
    </row>
    <row r="22" spans="1:20" ht="15.75" customHeight="1" thickBot="1" x14ac:dyDescent="0.35">
      <c r="A22" s="1"/>
      <c r="B22" s="1"/>
      <c r="C22" s="1"/>
      <c r="D22" s="1"/>
      <c r="E22" s="1"/>
      <c r="F22" s="27" t="s">
        <v>7</v>
      </c>
      <c r="G22" s="27" t="s">
        <v>7</v>
      </c>
      <c r="H22" s="1"/>
      <c r="I22" s="1"/>
      <c r="J22" s="1"/>
      <c r="K22" s="1"/>
      <c r="L22" s="1"/>
      <c r="M22" s="1"/>
      <c r="N22" s="27" t="s">
        <v>7</v>
      </c>
      <c r="O22" s="27" t="s">
        <v>7</v>
      </c>
      <c r="P22" s="27" t="s">
        <v>7</v>
      </c>
      <c r="Q22" s="27"/>
      <c r="R22" s="28" t="s">
        <v>7</v>
      </c>
    </row>
    <row r="23" spans="1:20" ht="16.5" customHeight="1" thickBot="1" x14ac:dyDescent="0.35">
      <c r="A23" s="29" t="s">
        <v>39</v>
      </c>
      <c r="B23" s="30" t="s">
        <v>8</v>
      </c>
      <c r="C23" s="31" t="s">
        <v>9</v>
      </c>
      <c r="D23" s="31" t="s">
        <v>10</v>
      </c>
      <c r="E23" s="32" t="s">
        <v>11</v>
      </c>
      <c r="F23" s="31" t="s">
        <v>12</v>
      </c>
      <c r="G23" s="31" t="s">
        <v>13</v>
      </c>
      <c r="H23" s="31" t="s">
        <v>14</v>
      </c>
      <c r="I23" s="33" t="s">
        <v>15</v>
      </c>
      <c r="J23" s="31" t="s">
        <v>16</v>
      </c>
      <c r="K23" s="31" t="s">
        <v>17</v>
      </c>
      <c r="L23" s="31" t="s">
        <v>18</v>
      </c>
      <c r="M23" s="33" t="s">
        <v>19</v>
      </c>
      <c r="N23" s="31" t="s">
        <v>20</v>
      </c>
      <c r="O23" s="31" t="s">
        <v>21</v>
      </c>
      <c r="P23" s="31" t="s">
        <v>22</v>
      </c>
      <c r="Q23" s="33" t="s">
        <v>23</v>
      </c>
      <c r="R23" s="34" t="s">
        <v>24</v>
      </c>
    </row>
    <row r="24" spans="1:20" ht="16.5" customHeight="1" thickBot="1" x14ac:dyDescent="0.35">
      <c r="A24" s="35"/>
      <c r="B24" s="36"/>
      <c r="C24" s="36"/>
      <c r="D24" s="36"/>
      <c r="E24" s="37"/>
      <c r="F24" s="36"/>
      <c r="G24" s="36"/>
      <c r="H24" s="36"/>
      <c r="I24" s="37"/>
      <c r="J24" s="36"/>
      <c r="K24" s="36"/>
      <c r="L24" s="36"/>
      <c r="M24" s="37"/>
      <c r="N24" s="36"/>
      <c r="O24" s="36"/>
      <c r="P24" s="36"/>
      <c r="Q24" s="37"/>
      <c r="R24" s="38"/>
    </row>
    <row r="25" spans="1:20" ht="16.5" customHeight="1" thickBot="1" x14ac:dyDescent="0.35">
      <c r="A25" s="39" t="s">
        <v>40</v>
      </c>
      <c r="B25" s="21">
        <v>97</v>
      </c>
      <c r="C25" s="21">
        <v>148</v>
      </c>
      <c r="D25" s="21">
        <v>274</v>
      </c>
      <c r="E25" s="40">
        <f>SUM(B25:D25)</f>
        <v>519</v>
      </c>
      <c r="F25" s="21">
        <v>367</v>
      </c>
      <c r="G25" s="21">
        <v>425</v>
      </c>
      <c r="H25" s="21">
        <v>417</v>
      </c>
      <c r="I25" s="40">
        <f>SUM(F25:H25)</f>
        <v>1209</v>
      </c>
      <c r="J25" s="21">
        <v>416</v>
      </c>
      <c r="K25" s="21">
        <v>334</v>
      </c>
      <c r="L25" s="21">
        <v>316</v>
      </c>
      <c r="M25" s="40">
        <f>SUM(J25:L25)</f>
        <v>1066</v>
      </c>
      <c r="N25" s="21">
        <v>285</v>
      </c>
      <c r="O25" s="21">
        <v>235</v>
      </c>
      <c r="P25" s="21">
        <v>186</v>
      </c>
      <c r="Q25" s="40">
        <f>SUM(N25:P25)</f>
        <v>706</v>
      </c>
      <c r="R25" s="22">
        <f>+E25+I25+M25+Q25</f>
        <v>3500</v>
      </c>
    </row>
    <row r="26" spans="1:20" ht="16.5" customHeight="1" thickBot="1" x14ac:dyDescent="0.35">
      <c r="A26" s="41"/>
      <c r="B26" s="36"/>
      <c r="C26" s="36"/>
      <c r="D26" s="36"/>
      <c r="E26" s="42"/>
      <c r="F26" s="36"/>
      <c r="G26" s="36"/>
      <c r="H26" s="36"/>
      <c r="I26" s="42"/>
      <c r="J26" s="36"/>
      <c r="K26" s="36"/>
      <c r="L26" s="36"/>
      <c r="M26" s="42"/>
      <c r="N26" s="36"/>
      <c r="O26" s="36"/>
      <c r="P26" s="36"/>
      <c r="Q26" s="42"/>
      <c r="R26" s="43"/>
    </row>
    <row r="27" spans="1:20" ht="15.75" customHeight="1" x14ac:dyDescent="0.3">
      <c r="A27" s="15" t="s">
        <v>41</v>
      </c>
      <c r="B27" s="1">
        <f>B25</f>
        <v>97</v>
      </c>
      <c r="C27" s="1">
        <f>C25</f>
        <v>148</v>
      </c>
      <c r="D27" s="1">
        <f>D25</f>
        <v>274</v>
      </c>
      <c r="E27" s="40">
        <f>SUM(B27:D27)</f>
        <v>519</v>
      </c>
      <c r="F27" s="1">
        <f>F25</f>
        <v>367</v>
      </c>
      <c r="G27" s="1">
        <f>G25</f>
        <v>425</v>
      </c>
      <c r="H27" s="1">
        <f>H25</f>
        <v>417</v>
      </c>
      <c r="I27" s="40">
        <f>SUM(F27:H27)</f>
        <v>1209</v>
      </c>
      <c r="J27" s="1">
        <f>J25</f>
        <v>416</v>
      </c>
      <c r="K27" s="1">
        <f>K25</f>
        <v>334</v>
      </c>
      <c r="L27" s="1">
        <f>L25</f>
        <v>316</v>
      </c>
      <c r="M27" s="40">
        <f>SUM(J27:L27)</f>
        <v>1066</v>
      </c>
      <c r="N27" s="1">
        <f>N25</f>
        <v>285</v>
      </c>
      <c r="O27" s="1">
        <f>O25</f>
        <v>235</v>
      </c>
      <c r="P27" s="1">
        <f>P25</f>
        <v>186</v>
      </c>
      <c r="Q27" s="44">
        <f>SUM(N27:P27)</f>
        <v>706</v>
      </c>
      <c r="R27" s="40">
        <f>+E27+I27+M27+Q27</f>
        <v>3500</v>
      </c>
    </row>
    <row r="28" spans="1:20" ht="15.75" customHeight="1" x14ac:dyDescent="0.3">
      <c r="A28" s="15" t="s">
        <v>42</v>
      </c>
      <c r="B28" s="1">
        <f>(B27/B10)/1.983</f>
        <v>1.5779285214647079</v>
      </c>
      <c r="C28" s="1">
        <f>(C27/C10)/1.983</f>
        <v>2.6655140119587926</v>
      </c>
      <c r="D28" s="1">
        <f>(D27/D10)/1.983</f>
        <v>4.457241390529175</v>
      </c>
      <c r="E28" s="16"/>
      <c r="F28" s="1">
        <f>(F27/F10)/1.983</f>
        <v>6.1691040511010247</v>
      </c>
      <c r="G28" s="1">
        <f>(G27/G10)/1.983</f>
        <v>6.9136043466237203</v>
      </c>
      <c r="H28" s="1">
        <f>(H27/H10)/1.983</f>
        <v>7.0095814422592033</v>
      </c>
      <c r="I28" s="16"/>
      <c r="J28" s="1">
        <f>(J27/J10)/1.983</f>
        <v>6.7671986075187478</v>
      </c>
      <c r="K28" s="1">
        <f>(K27/K10)/1.983</f>
        <v>5.433279651228994</v>
      </c>
      <c r="L28" s="1">
        <f>(L27/L10)/1.983</f>
        <v>5.3118171121196838</v>
      </c>
      <c r="M28" s="16"/>
      <c r="N28" s="1">
        <f>(N27/N10)/1.983</f>
        <v>4.6361817383241419</v>
      </c>
      <c r="O28" s="1">
        <f>(O27/O10)/1.983</f>
        <v>3.9502437384434357</v>
      </c>
      <c r="P28" s="1">
        <f>(P27/P10)/1.983</f>
        <v>3.02571860816944</v>
      </c>
      <c r="Q28" s="17"/>
      <c r="R28" s="16"/>
    </row>
    <row r="29" spans="1:20" ht="15.75" customHeight="1" x14ac:dyDescent="0.3">
      <c r="A29" s="15" t="s">
        <v>43</v>
      </c>
      <c r="B29" s="1">
        <f>B27+B64</f>
        <v>82943</v>
      </c>
      <c r="C29" s="1">
        <f>C27+C64</f>
        <v>129457</v>
      </c>
      <c r="D29" s="1">
        <f>D27+D64</f>
        <v>175427</v>
      </c>
      <c r="E29" s="16">
        <f>SUM(B29:D29)</f>
        <v>387827</v>
      </c>
      <c r="F29" s="1">
        <f>F27+F64</f>
        <v>177805</v>
      </c>
      <c r="G29" s="1">
        <f>G27+G64</f>
        <v>183495</v>
      </c>
      <c r="H29" s="1">
        <f>H27+H64</f>
        <v>135338</v>
      </c>
      <c r="I29" s="16">
        <f>SUM(F29:H29)</f>
        <v>496638</v>
      </c>
      <c r="J29" s="1">
        <f>J27+J64</f>
        <v>95293</v>
      </c>
      <c r="K29" s="1">
        <f>K27+K64</f>
        <v>101705</v>
      </c>
      <c r="L29" s="1">
        <f>L27+L64</f>
        <v>139946</v>
      </c>
      <c r="M29" s="16">
        <f>SUM(J29:L29)</f>
        <v>336944</v>
      </c>
      <c r="N29" s="1">
        <f>N27+N64</f>
        <v>119736</v>
      </c>
      <c r="O29" s="1">
        <f>O27+O64</f>
        <v>135762</v>
      </c>
      <c r="P29" s="1">
        <f>P27+P64</f>
        <v>113757</v>
      </c>
      <c r="Q29" s="17">
        <f>SUM(N29:P29)</f>
        <v>369255</v>
      </c>
      <c r="R29" s="16">
        <f>+E29+I29+M29+Q29</f>
        <v>1590664</v>
      </c>
    </row>
    <row r="30" spans="1:20" s="344" customFormat="1" ht="16.5" customHeight="1" thickBot="1" x14ac:dyDescent="0.35">
      <c r="A30" s="340" t="s">
        <v>44</v>
      </c>
      <c r="B30" s="341">
        <f>(B29/B10)/1.983</f>
        <v>1349.2590242870854</v>
      </c>
      <c r="C30" s="341">
        <f>(C29/C10)/1.983</f>
        <v>2331.5503205820905</v>
      </c>
      <c r="D30" s="341">
        <f>(D29/D10)/1.983</f>
        <v>2853.724399329787</v>
      </c>
      <c r="E30" s="342"/>
      <c r="F30" s="341">
        <f>(F29/F10)/1.983</f>
        <v>2988.8216506975959</v>
      </c>
      <c r="G30" s="341">
        <f>(G29/G10)/1.983</f>
        <v>2984.9690107852225</v>
      </c>
      <c r="H30" s="341">
        <f>(H29/H10)/1.983</f>
        <v>2274.9705832913091</v>
      </c>
      <c r="I30" s="342"/>
      <c r="J30" s="341">
        <f>(J29/J10)/1.983</f>
        <v>1550.1602329477982</v>
      </c>
      <c r="K30" s="341">
        <f>(K29/K10)/1.983</f>
        <v>1654.4661884079189</v>
      </c>
      <c r="L30" s="341">
        <f>(L29/L10)/1.983</f>
        <v>2352.4289796604471</v>
      </c>
      <c r="M30" s="342"/>
      <c r="N30" s="341">
        <f>(N29/N10)/1.983</f>
        <v>1947.7819530525596</v>
      </c>
      <c r="O30" s="341">
        <f>(O29/O10)/1.983</f>
        <v>2282.0978315683305</v>
      </c>
      <c r="P30" s="341">
        <f>(P29/P10)/1.983</f>
        <v>1850.5197403738225</v>
      </c>
      <c r="Q30" s="343"/>
      <c r="R30" s="342"/>
      <c r="T30" s="345" t="s">
        <v>45</v>
      </c>
    </row>
    <row r="31" spans="1:20" ht="15.75" customHeight="1" x14ac:dyDescent="0.3">
      <c r="A31" s="2"/>
      <c r="B31" s="1"/>
      <c r="C31" s="1"/>
      <c r="D31" s="1"/>
      <c r="E31" s="1"/>
      <c r="F31" s="1"/>
      <c r="G31" s="1"/>
      <c r="H31" s="1"/>
      <c r="I31" s="1"/>
      <c r="J31" s="1"/>
      <c r="K31" s="1"/>
      <c r="L31" s="1"/>
      <c r="M31" s="1"/>
      <c r="N31" s="1"/>
      <c r="O31" s="1"/>
      <c r="P31" s="1"/>
      <c r="Q31" s="1"/>
      <c r="R31" s="2"/>
      <c r="T31" s="45" t="s">
        <v>46</v>
      </c>
    </row>
    <row r="32" spans="1:20" ht="15.75" customHeight="1" thickBot="1" x14ac:dyDescent="0.35">
      <c r="A32" s="2"/>
      <c r="B32" s="1"/>
      <c r="C32" s="1"/>
      <c r="D32" s="1"/>
      <c r="E32" s="1"/>
      <c r="F32" s="1"/>
      <c r="G32" s="1"/>
      <c r="H32" s="1"/>
      <c r="I32" s="1"/>
      <c r="J32" s="1"/>
      <c r="K32" s="1"/>
      <c r="L32" s="1"/>
      <c r="M32" s="1"/>
      <c r="N32" s="1"/>
      <c r="O32" s="1"/>
      <c r="P32" s="1"/>
      <c r="Q32" s="1"/>
      <c r="R32" s="2"/>
    </row>
    <row r="33" spans="1:18" ht="15.75" customHeight="1" thickBot="1" x14ac:dyDescent="0.35">
      <c r="A33" s="46" t="s">
        <v>47</v>
      </c>
      <c r="B33" s="47" t="s">
        <v>8</v>
      </c>
      <c r="C33" s="48" t="s">
        <v>9</v>
      </c>
      <c r="D33" s="48" t="s">
        <v>10</v>
      </c>
      <c r="E33" s="32" t="s">
        <v>11</v>
      </c>
      <c r="F33" s="48" t="s">
        <v>12</v>
      </c>
      <c r="G33" s="48" t="s">
        <v>13</v>
      </c>
      <c r="H33" s="48" t="s">
        <v>14</v>
      </c>
      <c r="I33" s="32" t="s">
        <v>15</v>
      </c>
      <c r="J33" s="48" t="s">
        <v>16</v>
      </c>
      <c r="K33" s="48" t="s">
        <v>17</v>
      </c>
      <c r="L33" s="48" t="s">
        <v>18</v>
      </c>
      <c r="M33" s="32" t="s">
        <v>19</v>
      </c>
      <c r="N33" s="48" t="s">
        <v>20</v>
      </c>
      <c r="O33" s="48" t="s">
        <v>21</v>
      </c>
      <c r="P33" s="48" t="s">
        <v>22</v>
      </c>
      <c r="Q33" s="32" t="s">
        <v>23</v>
      </c>
      <c r="R33" s="49" t="s">
        <v>24</v>
      </c>
    </row>
    <row r="34" spans="1:18" ht="16.5" customHeight="1" thickBot="1" x14ac:dyDescent="0.35">
      <c r="A34" s="42"/>
      <c r="B34" s="50"/>
      <c r="C34" s="51"/>
      <c r="D34" s="51"/>
      <c r="E34" s="52"/>
      <c r="F34" s="51"/>
      <c r="G34" s="51"/>
      <c r="H34" s="51"/>
      <c r="I34" s="52"/>
      <c r="J34" s="51"/>
      <c r="K34" s="51"/>
      <c r="L34" s="51"/>
      <c r="M34" s="52"/>
      <c r="N34" s="51"/>
      <c r="O34" s="51"/>
      <c r="P34" s="51"/>
      <c r="Q34" s="52"/>
      <c r="R34" s="53"/>
    </row>
    <row r="35" spans="1:18" ht="15.75" customHeight="1" x14ac:dyDescent="0.3">
      <c r="A35" s="54" t="s">
        <v>48</v>
      </c>
      <c r="B35" s="28"/>
      <c r="C35" s="28"/>
      <c r="D35" s="28"/>
      <c r="E35" s="55" t="s">
        <v>7</v>
      </c>
      <c r="F35" s="28"/>
      <c r="G35" s="28"/>
      <c r="H35" s="28"/>
      <c r="I35" s="55" t="s">
        <v>7</v>
      </c>
      <c r="J35" s="28"/>
      <c r="K35" s="28"/>
      <c r="L35" s="28"/>
      <c r="M35" s="55" t="s">
        <v>7</v>
      </c>
      <c r="N35" s="28"/>
      <c r="O35" s="28"/>
      <c r="P35" s="28"/>
      <c r="Q35" s="55" t="s">
        <v>7</v>
      </c>
      <c r="R35" s="55" t="s">
        <v>7</v>
      </c>
    </row>
    <row r="36" spans="1:18" ht="15.75" customHeight="1" x14ac:dyDescent="0.3">
      <c r="A36" s="18" t="s">
        <v>49</v>
      </c>
      <c r="B36" s="28" t="s">
        <v>7</v>
      </c>
      <c r="C36" s="56"/>
      <c r="D36" s="56"/>
      <c r="E36" s="55" t="s">
        <v>7</v>
      </c>
      <c r="F36" s="56"/>
      <c r="G36" s="56"/>
      <c r="H36" s="56"/>
      <c r="I36" s="55" t="s">
        <v>7</v>
      </c>
      <c r="J36" s="56"/>
      <c r="K36" s="56"/>
      <c r="L36" s="56"/>
      <c r="M36" s="55" t="s">
        <v>7</v>
      </c>
      <c r="N36" s="56"/>
      <c r="O36" s="56"/>
      <c r="P36" s="56"/>
      <c r="Q36" s="55" t="s">
        <v>7</v>
      </c>
      <c r="R36" s="55" t="s">
        <v>7</v>
      </c>
    </row>
    <row r="37" spans="1:18" ht="15.75" customHeight="1" x14ac:dyDescent="0.3">
      <c r="A37" s="18" t="s">
        <v>50</v>
      </c>
      <c r="B37" s="28"/>
      <c r="C37" s="28"/>
      <c r="D37" s="28"/>
      <c r="E37" s="55" t="s">
        <v>7</v>
      </c>
      <c r="F37" s="28"/>
      <c r="G37" s="28"/>
      <c r="H37" s="28"/>
      <c r="I37" s="55" t="s">
        <v>7</v>
      </c>
      <c r="J37" s="28"/>
      <c r="K37" s="28"/>
      <c r="L37" s="28"/>
      <c r="M37" s="55" t="s">
        <v>7</v>
      </c>
      <c r="N37" s="28"/>
      <c r="O37" s="28"/>
      <c r="P37" s="28"/>
      <c r="Q37" s="55" t="s">
        <v>7</v>
      </c>
      <c r="R37" s="55" t="s">
        <v>7</v>
      </c>
    </row>
    <row r="38" spans="1:18" ht="15.75" customHeight="1" x14ac:dyDescent="0.3">
      <c r="A38" s="61" t="s">
        <v>797</v>
      </c>
      <c r="B38" s="1">
        <v>1</v>
      </c>
      <c r="C38" s="1">
        <v>231</v>
      </c>
      <c r="D38" s="1">
        <v>237</v>
      </c>
      <c r="E38" s="55">
        <f>SUM(B38:D38)</f>
        <v>469</v>
      </c>
      <c r="F38" s="1"/>
      <c r="G38" s="1"/>
      <c r="H38" s="1"/>
      <c r="I38" s="55">
        <f>SUM(F38:H38)</f>
        <v>0</v>
      </c>
      <c r="J38" s="1">
        <v>1</v>
      </c>
      <c r="K38" s="1">
        <v>0</v>
      </c>
      <c r="L38" s="1">
        <v>250</v>
      </c>
      <c r="M38" s="55">
        <f>SUM(J38:L38)</f>
        <v>251</v>
      </c>
      <c r="N38" s="1">
        <v>27</v>
      </c>
      <c r="O38" s="1">
        <v>2</v>
      </c>
      <c r="P38" s="1">
        <v>23</v>
      </c>
      <c r="Q38" s="55">
        <f>SUM(N38:P38)</f>
        <v>52</v>
      </c>
      <c r="R38" s="55">
        <f>+E38+I38+M38+Q38</f>
        <v>772</v>
      </c>
    </row>
    <row r="39" spans="1:18" ht="15.75" customHeight="1" x14ac:dyDescent="0.3">
      <c r="A39" s="18" t="s">
        <v>51</v>
      </c>
      <c r="B39" s="28"/>
      <c r="C39" s="28"/>
      <c r="D39" s="28"/>
      <c r="E39" s="55" t="s">
        <v>52</v>
      </c>
      <c r="F39" s="28"/>
      <c r="G39" s="28"/>
      <c r="H39" s="28"/>
      <c r="I39" s="55" t="s">
        <v>52</v>
      </c>
      <c r="J39" s="28"/>
      <c r="K39" s="28"/>
      <c r="L39" s="28"/>
      <c r="M39" s="55" t="s">
        <v>52</v>
      </c>
      <c r="N39" s="28"/>
      <c r="O39" s="28"/>
      <c r="P39" s="28"/>
      <c r="Q39" s="55" t="s">
        <v>52</v>
      </c>
      <c r="R39" s="55" t="s">
        <v>52</v>
      </c>
    </row>
    <row r="40" spans="1:18" ht="15.75" customHeight="1" thickBot="1" x14ac:dyDescent="0.35">
      <c r="A40" s="18" t="s">
        <v>53</v>
      </c>
      <c r="B40" s="56"/>
      <c r="C40" s="56"/>
      <c r="D40" s="56"/>
      <c r="E40" s="55" t="s">
        <v>7</v>
      </c>
      <c r="F40" s="56"/>
      <c r="G40" s="56"/>
      <c r="H40" s="56"/>
      <c r="I40" s="55" t="s">
        <v>7</v>
      </c>
      <c r="J40" s="56"/>
      <c r="K40" s="56"/>
      <c r="L40" s="56"/>
      <c r="M40" s="55" t="s">
        <v>7</v>
      </c>
      <c r="N40" s="56"/>
      <c r="O40" s="56"/>
      <c r="P40" s="56"/>
      <c r="Q40" s="55" t="s">
        <v>7</v>
      </c>
      <c r="R40" s="55" t="s">
        <v>7</v>
      </c>
    </row>
    <row r="41" spans="1:18" ht="16.5" customHeight="1" thickBot="1" x14ac:dyDescent="0.35">
      <c r="A41" s="57" t="s">
        <v>54</v>
      </c>
      <c r="B41" s="58">
        <f>SUM(B35:B40)</f>
        <v>1</v>
      </c>
      <c r="C41" s="58">
        <f>SUM(C35:C40)</f>
        <v>231</v>
      </c>
      <c r="D41" s="58">
        <f>SUM(D35:D40)</f>
        <v>237</v>
      </c>
      <c r="E41" s="59">
        <f>SUM(B41:D41)</f>
        <v>469</v>
      </c>
      <c r="F41" s="58">
        <f>SUM(F35:F40)</f>
        <v>0</v>
      </c>
      <c r="G41" s="58">
        <f>SUM(G35:G40)</f>
        <v>0</v>
      </c>
      <c r="H41" s="58">
        <f>SUM(H35:H40)</f>
        <v>0</v>
      </c>
      <c r="I41" s="59">
        <f>SUM(F41:H41)</f>
        <v>0</v>
      </c>
      <c r="J41" s="58">
        <f>SUM(J35:J40)</f>
        <v>1</v>
      </c>
      <c r="K41" s="58">
        <f>SUM(K35:K40)</f>
        <v>0</v>
      </c>
      <c r="L41" s="58">
        <f>SUM(L35:L40)</f>
        <v>250</v>
      </c>
      <c r="M41" s="59">
        <f>SUM(J41:L41)</f>
        <v>251</v>
      </c>
      <c r="N41" s="58">
        <f>SUM(N35:N40)</f>
        <v>27</v>
      </c>
      <c r="O41" s="58">
        <f>SUM(O35:O40)</f>
        <v>2</v>
      </c>
      <c r="P41" s="58">
        <f>SUM(P35:P40)</f>
        <v>23</v>
      </c>
      <c r="Q41" s="59">
        <f>SUM(N41:P41)</f>
        <v>52</v>
      </c>
      <c r="R41" s="59">
        <f>+E41+I41+M41+Q41</f>
        <v>772</v>
      </c>
    </row>
    <row r="42" spans="1:18" ht="15.75" customHeight="1" x14ac:dyDescent="0.3">
      <c r="A42" s="18" t="s">
        <v>55</v>
      </c>
      <c r="B42" s="56"/>
      <c r="C42" s="56"/>
      <c r="D42" s="56"/>
      <c r="E42" s="55" t="s">
        <v>7</v>
      </c>
      <c r="F42" s="56"/>
      <c r="G42" s="56"/>
      <c r="H42" s="56"/>
      <c r="I42" s="55" t="s">
        <v>7</v>
      </c>
      <c r="J42" s="56"/>
      <c r="K42" s="56"/>
      <c r="L42" s="56"/>
      <c r="M42" s="55" t="s">
        <v>7</v>
      </c>
      <c r="N42" s="56"/>
      <c r="O42" s="56"/>
      <c r="P42" s="56"/>
      <c r="Q42" s="55" t="s">
        <v>7</v>
      </c>
      <c r="R42" s="60" t="s">
        <v>7</v>
      </c>
    </row>
    <row r="43" spans="1:18" ht="15.75" customHeight="1" x14ac:dyDescent="0.3">
      <c r="A43" s="18" t="s">
        <v>56</v>
      </c>
      <c r="B43" s="56"/>
      <c r="C43" s="56"/>
      <c r="D43" s="56"/>
      <c r="E43" s="55"/>
      <c r="F43" s="56"/>
      <c r="G43" s="56"/>
      <c r="H43" s="56"/>
      <c r="I43" s="55"/>
      <c r="J43" s="56"/>
      <c r="K43" s="56"/>
      <c r="L43" s="56"/>
      <c r="M43" s="55"/>
      <c r="N43" s="56"/>
      <c r="O43" s="56"/>
      <c r="P43" s="56"/>
      <c r="Q43" s="55"/>
      <c r="R43" s="55"/>
    </row>
    <row r="44" spans="1:18" ht="15.75" customHeight="1" x14ac:dyDescent="0.3">
      <c r="A44" s="18" t="s">
        <v>57</v>
      </c>
      <c r="B44" s="56"/>
      <c r="C44" s="56"/>
      <c r="D44" s="56"/>
      <c r="E44" s="55" t="s">
        <v>7</v>
      </c>
      <c r="F44" s="56"/>
      <c r="G44" s="56"/>
      <c r="H44" s="56"/>
      <c r="I44" s="55" t="s">
        <v>7</v>
      </c>
      <c r="J44" s="56"/>
      <c r="K44" s="56"/>
      <c r="L44" s="56"/>
      <c r="M44" s="55" t="s">
        <v>7</v>
      </c>
      <c r="N44" s="56"/>
      <c r="O44" s="56"/>
      <c r="P44" s="56"/>
      <c r="Q44" s="55" t="s">
        <v>7</v>
      </c>
      <c r="R44" s="55" t="s">
        <v>7</v>
      </c>
    </row>
    <row r="45" spans="1:18" ht="15.75" customHeight="1" thickBot="1" x14ac:dyDescent="0.35">
      <c r="A45" s="18" t="s">
        <v>58</v>
      </c>
      <c r="B45" s="56"/>
      <c r="C45" s="56"/>
      <c r="D45" s="56"/>
      <c r="E45" s="55" t="s">
        <v>7</v>
      </c>
      <c r="F45" s="56"/>
      <c r="G45" s="56"/>
      <c r="H45" s="56"/>
      <c r="I45" s="55" t="s">
        <v>7</v>
      </c>
      <c r="J45" s="56"/>
      <c r="K45" s="56"/>
      <c r="L45" s="56"/>
      <c r="M45" s="55" t="s">
        <v>7</v>
      </c>
      <c r="N45" s="56"/>
      <c r="O45" s="56"/>
      <c r="P45" s="56"/>
      <c r="Q45" s="55" t="s">
        <v>7</v>
      </c>
      <c r="R45" s="55" t="s">
        <v>7</v>
      </c>
    </row>
    <row r="46" spans="1:18" ht="16.5" customHeight="1" thickBot="1" x14ac:dyDescent="0.35">
      <c r="A46" s="57" t="s">
        <v>59</v>
      </c>
      <c r="B46" s="58">
        <f>SUM(B42:B45)</f>
        <v>0</v>
      </c>
      <c r="C46" s="58">
        <f>SUM(C42:C45)</f>
        <v>0</v>
      </c>
      <c r="D46" s="58">
        <f>SUM(D42:D45)</f>
        <v>0</v>
      </c>
      <c r="E46" s="59">
        <f>SUM(B46:D46)</f>
        <v>0</v>
      </c>
      <c r="F46" s="58">
        <f>SUM(F42:F45)</f>
        <v>0</v>
      </c>
      <c r="G46" s="58">
        <f>SUM(G42:G45)</f>
        <v>0</v>
      </c>
      <c r="H46" s="58">
        <f>SUM(H42:H45)</f>
        <v>0</v>
      </c>
      <c r="I46" s="59">
        <f>SUM(F46:H46)</f>
        <v>0</v>
      </c>
      <c r="J46" s="58">
        <f>SUM(J42:J45)</f>
        <v>0</v>
      </c>
      <c r="K46" s="58">
        <f>SUM(K42:K45)</f>
        <v>0</v>
      </c>
      <c r="L46" s="58">
        <f>SUM(L42:L45)</f>
        <v>0</v>
      </c>
      <c r="M46" s="59">
        <f>SUM(J46:L46)</f>
        <v>0</v>
      </c>
      <c r="N46" s="58">
        <f>SUM(N42:N45)</f>
        <v>0</v>
      </c>
      <c r="O46" s="58">
        <f>SUM(O42:O45)</f>
        <v>0</v>
      </c>
      <c r="P46" s="58">
        <f>SUM(P42:P45)</f>
        <v>0</v>
      </c>
      <c r="Q46" s="59">
        <f>SUM(N46:P46)</f>
        <v>0</v>
      </c>
      <c r="R46" s="59">
        <f>+E46+I46+M46+Q46</f>
        <v>0</v>
      </c>
    </row>
    <row r="47" spans="1:18" ht="15.75" customHeight="1" x14ac:dyDescent="0.3">
      <c r="A47" s="18" t="s">
        <v>60</v>
      </c>
      <c r="B47" s="56"/>
      <c r="C47" s="56"/>
      <c r="D47" s="56"/>
      <c r="E47" s="55" t="s">
        <v>7</v>
      </c>
      <c r="F47" s="56"/>
      <c r="G47" s="56"/>
      <c r="H47" s="56"/>
      <c r="I47" s="55" t="s">
        <v>7</v>
      </c>
      <c r="J47" s="56"/>
      <c r="K47" s="56"/>
      <c r="L47" s="56"/>
      <c r="M47" s="55" t="s">
        <v>7</v>
      </c>
      <c r="N47" s="56"/>
      <c r="O47" s="56"/>
      <c r="P47" s="56"/>
      <c r="Q47" s="55" t="s">
        <v>7</v>
      </c>
      <c r="R47" s="55" t="s">
        <v>7</v>
      </c>
    </row>
    <row r="48" spans="1:18" ht="15.75" customHeight="1" x14ac:dyDescent="0.3">
      <c r="A48" s="18" t="s">
        <v>61</v>
      </c>
      <c r="B48" s="56"/>
      <c r="C48" s="56"/>
      <c r="D48" s="56"/>
      <c r="E48" s="55" t="s">
        <v>7</v>
      </c>
      <c r="F48" s="56"/>
      <c r="G48" s="56"/>
      <c r="H48" s="56"/>
      <c r="I48" s="55" t="s">
        <v>7</v>
      </c>
      <c r="J48" s="56"/>
      <c r="K48" s="56"/>
      <c r="L48" s="56"/>
      <c r="M48" s="55" t="s">
        <v>7</v>
      </c>
      <c r="N48" s="56"/>
      <c r="O48" s="56"/>
      <c r="P48" s="56"/>
      <c r="Q48" s="55" t="s">
        <v>7</v>
      </c>
      <c r="R48" s="55" t="s">
        <v>7</v>
      </c>
    </row>
    <row r="49" spans="1:18" ht="15.75" customHeight="1" thickBot="1" x14ac:dyDescent="0.35">
      <c r="A49" s="18" t="s">
        <v>62</v>
      </c>
      <c r="B49" s="56"/>
      <c r="C49" s="56"/>
      <c r="D49" s="56"/>
      <c r="E49" s="55"/>
      <c r="F49" s="56"/>
      <c r="G49" s="56"/>
      <c r="H49" s="56"/>
      <c r="I49" s="55"/>
      <c r="J49" s="56"/>
      <c r="K49" s="56"/>
      <c r="L49" s="56"/>
      <c r="M49" s="55"/>
      <c r="N49" s="56"/>
      <c r="O49" s="56"/>
      <c r="P49" s="56"/>
      <c r="Q49" s="55"/>
      <c r="R49" s="55"/>
    </row>
    <row r="50" spans="1:18" ht="16.5" customHeight="1" thickBot="1" x14ac:dyDescent="0.35">
      <c r="A50" s="57" t="s">
        <v>63</v>
      </c>
      <c r="B50" s="58">
        <f>SUM(B47:B49)</f>
        <v>0</v>
      </c>
      <c r="C50" s="58">
        <f>SUM(C47:C49)</f>
        <v>0</v>
      </c>
      <c r="D50" s="58">
        <f>SUM(D47:D49)</f>
        <v>0</v>
      </c>
      <c r="E50" s="59">
        <f>SUM(B50:D50)</f>
        <v>0</v>
      </c>
      <c r="F50" s="58">
        <f>SUM(F47:F49)</f>
        <v>0</v>
      </c>
      <c r="G50" s="58">
        <f>SUM(G47:G49)</f>
        <v>0</v>
      </c>
      <c r="H50" s="58">
        <f>SUM(H47:H49)</f>
        <v>0</v>
      </c>
      <c r="I50" s="59">
        <f>SUM(F50:H50)</f>
        <v>0</v>
      </c>
      <c r="J50" s="58">
        <f>SUM(J47:J49)</f>
        <v>0</v>
      </c>
      <c r="K50" s="58">
        <f>SUM(K47:K49)</f>
        <v>0</v>
      </c>
      <c r="L50" s="58">
        <f>SUM(L47:L49)</f>
        <v>0</v>
      </c>
      <c r="M50" s="59">
        <f>SUM(J50:L50)</f>
        <v>0</v>
      </c>
      <c r="N50" s="58">
        <f>SUM(N47:N49)</f>
        <v>0</v>
      </c>
      <c r="O50" s="58">
        <f>SUM(O47:O49)</f>
        <v>0</v>
      </c>
      <c r="P50" s="58">
        <f>SUM(P47:P49)</f>
        <v>0</v>
      </c>
      <c r="Q50" s="59">
        <f>SUM(N50:P50)</f>
        <v>0</v>
      </c>
      <c r="R50" s="59">
        <f>+E50+I50+M50+Q50</f>
        <v>0</v>
      </c>
    </row>
    <row r="51" spans="1:18" ht="15.75" customHeight="1" x14ac:dyDescent="0.3">
      <c r="A51" s="18" t="s">
        <v>64</v>
      </c>
      <c r="B51" s="56"/>
      <c r="C51" s="56"/>
      <c r="D51" s="56"/>
      <c r="E51" s="55" t="s">
        <v>7</v>
      </c>
      <c r="F51" s="56"/>
      <c r="G51" s="56"/>
      <c r="H51" s="56"/>
      <c r="I51" s="55" t="s">
        <v>7</v>
      </c>
      <c r="J51" s="56"/>
      <c r="K51" s="56"/>
      <c r="L51" s="56"/>
      <c r="M51" s="55" t="s">
        <v>7</v>
      </c>
      <c r="N51" s="56"/>
      <c r="O51" s="56"/>
      <c r="P51" s="56"/>
      <c r="Q51" s="55" t="s">
        <v>7</v>
      </c>
      <c r="R51" s="55" t="s">
        <v>7</v>
      </c>
    </row>
    <row r="52" spans="1:18" ht="15.75" customHeight="1" x14ac:dyDescent="0.3">
      <c r="A52" s="18" t="s">
        <v>594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67</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61" t="s">
        <v>685</v>
      </c>
      <c r="B54" s="1"/>
      <c r="C54" s="1"/>
      <c r="D54" s="1"/>
      <c r="E54" s="55">
        <f>SUM(B54:D54)</f>
        <v>0</v>
      </c>
      <c r="F54" s="1"/>
      <c r="G54" s="1"/>
      <c r="H54" s="1"/>
      <c r="I54" s="55">
        <f>SUM(F54:H54)</f>
        <v>0</v>
      </c>
      <c r="J54" s="1"/>
      <c r="K54" s="1"/>
      <c r="L54" s="1"/>
      <c r="M54" s="55">
        <f>SUM(J54:L54)</f>
        <v>0</v>
      </c>
      <c r="N54" s="1"/>
      <c r="O54" s="1"/>
      <c r="P54" s="1"/>
      <c r="Q54" s="55">
        <f>SUM(N54:P54)</f>
        <v>0</v>
      </c>
      <c r="R54" s="55">
        <f>+E54+I54+M54+Q54</f>
        <v>0</v>
      </c>
    </row>
    <row r="55" spans="1:18" ht="15.75" customHeight="1" x14ac:dyDescent="0.3">
      <c r="A55" s="18" t="s">
        <v>600</v>
      </c>
      <c r="B55" s="56"/>
      <c r="C55" s="56"/>
      <c r="D55" s="56"/>
      <c r="E55" s="55" t="s">
        <v>7</v>
      </c>
      <c r="F55" s="56"/>
      <c r="G55" s="56"/>
      <c r="H55" s="56"/>
      <c r="I55" s="55" t="s">
        <v>7</v>
      </c>
      <c r="J55" s="56"/>
      <c r="K55" s="56"/>
      <c r="L55" s="56"/>
      <c r="M55" s="55" t="s">
        <v>7</v>
      </c>
      <c r="N55" s="56"/>
      <c r="O55" s="56"/>
      <c r="P55" s="56"/>
      <c r="Q55" s="55" t="s">
        <v>7</v>
      </c>
      <c r="R55" s="55" t="s">
        <v>7</v>
      </c>
    </row>
    <row r="56" spans="1:18" ht="15.75" customHeight="1" thickBot="1" x14ac:dyDescent="0.35">
      <c r="A56" s="18" t="s">
        <v>70</v>
      </c>
      <c r="B56" s="56"/>
      <c r="C56" s="56"/>
      <c r="D56" s="56"/>
      <c r="E56" s="55" t="s">
        <v>7</v>
      </c>
      <c r="F56" s="56"/>
      <c r="G56" s="56"/>
      <c r="H56" s="56"/>
      <c r="I56" s="55" t="s">
        <v>7</v>
      </c>
      <c r="J56" s="56"/>
      <c r="K56" s="56"/>
      <c r="L56" s="56"/>
      <c r="M56" s="55" t="s">
        <v>7</v>
      </c>
      <c r="N56" s="56"/>
      <c r="O56" s="56"/>
      <c r="P56" s="56"/>
      <c r="Q56" s="55" t="s">
        <v>7</v>
      </c>
      <c r="R56" s="55" t="s">
        <v>7</v>
      </c>
    </row>
    <row r="57" spans="1:18" ht="16.5" customHeight="1" thickBot="1" x14ac:dyDescent="0.35">
      <c r="A57" s="57" t="s">
        <v>71</v>
      </c>
      <c r="B57" s="58">
        <f>SUM(B55:B56)</f>
        <v>0</v>
      </c>
      <c r="C57" s="58">
        <f>SUM(C55:C56)</f>
        <v>0</v>
      </c>
      <c r="D57" s="58">
        <f>SUM(D55:D56)</f>
        <v>0</v>
      </c>
      <c r="E57" s="60">
        <f>SUM(B57:D57)</f>
        <v>0</v>
      </c>
      <c r="F57" s="58">
        <f>SUM(F55:F56)</f>
        <v>0</v>
      </c>
      <c r="G57" s="58">
        <f>SUM(G55:G56)</f>
        <v>0</v>
      </c>
      <c r="H57" s="58">
        <f>SUM(H55:H56)</f>
        <v>0</v>
      </c>
      <c r="I57" s="60">
        <f>SUM(F57:H57)</f>
        <v>0</v>
      </c>
      <c r="J57" s="58">
        <f>SUM(J55:J56)</f>
        <v>0</v>
      </c>
      <c r="K57" s="58">
        <f>SUM(K55:K56)</f>
        <v>0</v>
      </c>
      <c r="L57" s="58">
        <f>SUM(L55:L56)</f>
        <v>0</v>
      </c>
      <c r="M57" s="60">
        <f>SUM(J57:L57)</f>
        <v>0</v>
      </c>
      <c r="N57" s="58">
        <f>SUM(N55:N56)</f>
        <v>0</v>
      </c>
      <c r="O57" s="58">
        <f>SUM(O55:O56)</f>
        <v>0</v>
      </c>
      <c r="P57" s="58">
        <f>SUM(P55:P56)</f>
        <v>0</v>
      </c>
      <c r="Q57" s="60">
        <f>SUM(N57:P57)</f>
        <v>0</v>
      </c>
      <c r="R57" s="59">
        <f>+E57+I57+M57+Q57</f>
        <v>0</v>
      </c>
    </row>
    <row r="58" spans="1:18" ht="16.5" customHeight="1" thickBot="1" x14ac:dyDescent="0.35">
      <c r="A58" s="57" t="s">
        <v>72</v>
      </c>
      <c r="B58" s="58">
        <f>SUM(B51:B56)</f>
        <v>0</v>
      </c>
      <c r="C58" s="58">
        <f>SUM(C51:C56)</f>
        <v>0</v>
      </c>
      <c r="D58" s="58">
        <f>SUM(D51:D56)</f>
        <v>0</v>
      </c>
      <c r="E58" s="60">
        <f>SUM(B58:D58)</f>
        <v>0</v>
      </c>
      <c r="F58" s="58">
        <f>SUM(F51:F56)</f>
        <v>0</v>
      </c>
      <c r="G58" s="58">
        <f>SUM(G51:G56)</f>
        <v>0</v>
      </c>
      <c r="H58" s="58">
        <f>SUM(H51:H56)</f>
        <v>0</v>
      </c>
      <c r="I58" s="60">
        <f>SUM(F58:H58)</f>
        <v>0</v>
      </c>
      <c r="J58" s="58">
        <f>SUM(J51:J56)</f>
        <v>0</v>
      </c>
      <c r="K58" s="58">
        <f>SUM(K51:K56)</f>
        <v>0</v>
      </c>
      <c r="L58" s="58">
        <f>SUM(L51:L56)</f>
        <v>0</v>
      </c>
      <c r="M58" s="60">
        <f>SUM(J58:L58)</f>
        <v>0</v>
      </c>
      <c r="N58" s="58">
        <f>SUM(N51:N56)</f>
        <v>0</v>
      </c>
      <c r="O58" s="58">
        <f>SUM(O51:O56)</f>
        <v>0</v>
      </c>
      <c r="P58" s="58">
        <f>SUM(P51:P56)</f>
        <v>0</v>
      </c>
      <c r="Q58" s="60">
        <f>SUM(N58:P58)</f>
        <v>0</v>
      </c>
      <c r="R58" s="59">
        <f>+E58+I58+M58+Q58</f>
        <v>0</v>
      </c>
    </row>
    <row r="59" spans="1:18" ht="16.5" customHeight="1" thickBot="1" x14ac:dyDescent="0.35">
      <c r="A59" s="57" t="s">
        <v>73</v>
      </c>
      <c r="B59" s="58">
        <f>+B41+B46+B50+B58</f>
        <v>1</v>
      </c>
      <c r="C59" s="58">
        <f>+C41+C46+C50+C58</f>
        <v>231</v>
      </c>
      <c r="D59" s="58">
        <f>+D41+D46+D50+D58</f>
        <v>237</v>
      </c>
      <c r="E59" s="59">
        <f>SUM(B59:D59)</f>
        <v>469</v>
      </c>
      <c r="F59" s="58">
        <f>+F41+F46+F50+F58</f>
        <v>0</v>
      </c>
      <c r="G59" s="58">
        <f>+G41+G46+G50+G58</f>
        <v>0</v>
      </c>
      <c r="H59" s="58">
        <f>+H41+H46+H50+H58</f>
        <v>0</v>
      </c>
      <c r="I59" s="59">
        <f>SUM(F59:H59)</f>
        <v>0</v>
      </c>
      <c r="J59" s="58">
        <f>+J41+J46+J50+J58</f>
        <v>1</v>
      </c>
      <c r="K59" s="58">
        <f>+K41+K46+K50+K58</f>
        <v>0</v>
      </c>
      <c r="L59" s="58">
        <f>+L41+L46+L50+L58</f>
        <v>250</v>
      </c>
      <c r="M59" s="59">
        <f>SUM(J59:L59)</f>
        <v>251</v>
      </c>
      <c r="N59" s="58">
        <f>+N41+N46+N50+N58</f>
        <v>27</v>
      </c>
      <c r="O59" s="58">
        <f>+O41+O46+O50+O58</f>
        <v>2</v>
      </c>
      <c r="P59" s="58">
        <f>+P41+P46+P50+P58</f>
        <v>23</v>
      </c>
      <c r="Q59" s="59">
        <f>SUM(N59:P59)</f>
        <v>52</v>
      </c>
      <c r="R59" s="59">
        <f>+E59+I59+M59+Q59</f>
        <v>772</v>
      </c>
    </row>
    <row r="60" spans="1:18" ht="16.5" customHeight="1" thickBot="1" x14ac:dyDescent="0.35">
      <c r="A60" s="62" t="s">
        <v>40</v>
      </c>
      <c r="B60" s="63">
        <v>96</v>
      </c>
      <c r="C60" s="63">
        <v>145</v>
      </c>
      <c r="D60" s="63">
        <v>261</v>
      </c>
      <c r="E60" s="42">
        <f>SUM(B60:D60)</f>
        <v>502</v>
      </c>
      <c r="F60" s="63">
        <v>350</v>
      </c>
      <c r="G60" s="63">
        <v>402</v>
      </c>
      <c r="H60" s="63">
        <v>396</v>
      </c>
      <c r="I60" s="42">
        <f>SUM(F60:H60)</f>
        <v>1148</v>
      </c>
      <c r="J60" s="63">
        <v>394</v>
      </c>
      <c r="K60" s="63">
        <v>318</v>
      </c>
      <c r="L60" s="63">
        <v>301</v>
      </c>
      <c r="M60" s="42">
        <f>SUM(J60:L60)</f>
        <v>1013</v>
      </c>
      <c r="N60" s="63">
        <v>272</v>
      </c>
      <c r="O60" s="63">
        <v>226</v>
      </c>
      <c r="P60" s="63">
        <v>179</v>
      </c>
      <c r="Q60" s="42">
        <f>SUM(N60:P60)</f>
        <v>677</v>
      </c>
      <c r="R60" s="42">
        <f>+E60+I60+M60+Q60</f>
        <v>3340</v>
      </c>
    </row>
    <row r="61" spans="1:18" ht="16.5" customHeight="1" thickBot="1" x14ac:dyDescent="0.35">
      <c r="A61" s="41"/>
      <c r="B61" s="36"/>
      <c r="C61" s="36"/>
      <c r="D61" s="36"/>
      <c r="E61" s="22"/>
      <c r="F61" s="36"/>
      <c r="G61" s="36"/>
      <c r="H61" s="36"/>
      <c r="I61" s="22"/>
      <c r="J61" s="36"/>
      <c r="K61" s="36"/>
      <c r="L61" s="36"/>
      <c r="M61" s="22"/>
      <c r="N61" s="36"/>
      <c r="O61" s="36"/>
      <c r="P61" s="36"/>
      <c r="Q61" s="22"/>
      <c r="R61" s="41"/>
    </row>
    <row r="62" spans="1:18" ht="15.75" customHeight="1" x14ac:dyDescent="0.3">
      <c r="A62" s="15" t="s">
        <v>41</v>
      </c>
      <c r="B62" s="1">
        <f>+B59+B60</f>
        <v>97</v>
      </c>
      <c r="C62" s="1">
        <f>+C59+C60</f>
        <v>376</v>
      </c>
      <c r="D62" s="1">
        <f>+D59+D60</f>
        <v>498</v>
      </c>
      <c r="E62" s="40">
        <f>SUM(B62:D62)</f>
        <v>971</v>
      </c>
      <c r="F62" s="1">
        <f>+F59+F60</f>
        <v>350</v>
      </c>
      <c r="G62" s="1">
        <f>+G59+G60</f>
        <v>402</v>
      </c>
      <c r="H62" s="1">
        <f>+H59+H60</f>
        <v>396</v>
      </c>
      <c r="I62" s="40">
        <f>SUM(F62:H62)</f>
        <v>1148</v>
      </c>
      <c r="J62" s="1">
        <f>+J59+J60</f>
        <v>395</v>
      </c>
      <c r="K62" s="1">
        <f>+K59+K60</f>
        <v>318</v>
      </c>
      <c r="L62" s="1">
        <f>+L59+L60</f>
        <v>551</v>
      </c>
      <c r="M62" s="40">
        <f>SUM(J62:L62)</f>
        <v>1264</v>
      </c>
      <c r="N62" s="1">
        <f>+N59+N60</f>
        <v>299</v>
      </c>
      <c r="O62" s="1">
        <f>+O59+O60</f>
        <v>228</v>
      </c>
      <c r="P62" s="1">
        <f>+P59+P60</f>
        <v>202</v>
      </c>
      <c r="Q62" s="44">
        <f>SUM(N62:P62)</f>
        <v>729</v>
      </c>
      <c r="R62" s="16">
        <f>+E62+I62+M62+Q62</f>
        <v>4112</v>
      </c>
    </row>
    <row r="63" spans="1:18" ht="15.75" customHeight="1" x14ac:dyDescent="0.3">
      <c r="A63" s="15" t="s">
        <v>42</v>
      </c>
      <c r="B63" s="1">
        <f>(B62/B10)/1.983</f>
        <v>1.5779285214647079</v>
      </c>
      <c r="C63" s="1">
        <f>(C62/C10)/1.983</f>
        <v>6.771846408760176</v>
      </c>
      <c r="D63" s="1">
        <f>(D62/D10)/1.983</f>
        <v>8.1011175638085025</v>
      </c>
      <c r="E63" s="16"/>
      <c r="F63" s="1">
        <f>(F62/F10)/1.983</f>
        <v>5.8833417381072444</v>
      </c>
      <c r="G63" s="1">
        <f>(G62/G10)/1.983</f>
        <v>6.5394563466887892</v>
      </c>
      <c r="H63" s="1">
        <f>(H62/H10)/1.983</f>
        <v>6.6565809379727678</v>
      </c>
      <c r="I63" s="16"/>
      <c r="J63" s="1">
        <f>(J62/J10)/1.983</f>
        <v>6.4255852162738112</v>
      </c>
      <c r="K63" s="1">
        <f>(K62/K10)/1.983</f>
        <v>5.1730027817090427</v>
      </c>
      <c r="L63" s="1">
        <f>(L62/L10)/1.983</f>
        <v>9.2620608505631203</v>
      </c>
      <c r="M63" s="16"/>
      <c r="N63" s="1">
        <f>(N62/N10)/1.983</f>
        <v>4.8639239991540997</v>
      </c>
      <c r="O63" s="1">
        <f>(O62/O10)/1.983</f>
        <v>3.8325769036812907</v>
      </c>
      <c r="P63" s="1">
        <f>(P62/P10)/1.983</f>
        <v>3.2859954776893923</v>
      </c>
      <c r="Q63" s="17"/>
      <c r="R63" s="64"/>
    </row>
    <row r="64" spans="1:18" ht="15.75" customHeight="1" x14ac:dyDescent="0.3">
      <c r="A64" s="15" t="s">
        <v>74</v>
      </c>
      <c r="B64" s="1">
        <f>B62+B131</f>
        <v>82846</v>
      </c>
      <c r="C64" s="1">
        <f>C62+C131</f>
        <v>129309</v>
      </c>
      <c r="D64" s="1">
        <f>D62+D131</f>
        <v>175153</v>
      </c>
      <c r="E64" s="16">
        <f>SUM(B64:D64)</f>
        <v>387308</v>
      </c>
      <c r="F64" s="1">
        <f>F62+F131</f>
        <v>177438</v>
      </c>
      <c r="G64" s="1">
        <f>G62+G131</f>
        <v>183070</v>
      </c>
      <c r="H64" s="1">
        <f>H62+H131</f>
        <v>134921</v>
      </c>
      <c r="I64" s="16">
        <f>SUM(F64:H64)</f>
        <v>495429</v>
      </c>
      <c r="J64" s="1">
        <f>J62+J131</f>
        <v>94877</v>
      </c>
      <c r="K64" s="1">
        <f>K62+K131</f>
        <v>101371</v>
      </c>
      <c r="L64" s="1">
        <f>L62+L131</f>
        <v>139630</v>
      </c>
      <c r="M64" s="16">
        <f>SUM(J64:L64)</f>
        <v>335878</v>
      </c>
      <c r="N64" s="1">
        <f>N62+N131</f>
        <v>119451</v>
      </c>
      <c r="O64" s="1">
        <f>O62+O131</f>
        <v>135527</v>
      </c>
      <c r="P64" s="1">
        <f>P62+P131</f>
        <v>113571</v>
      </c>
      <c r="Q64" s="17">
        <f>SUM(N64:P64)</f>
        <v>368549</v>
      </c>
      <c r="R64" s="16">
        <f>+E64+I64+M64+Q64</f>
        <v>1587164</v>
      </c>
    </row>
    <row r="65" spans="1:20" ht="16.5" customHeight="1" thickBot="1" x14ac:dyDescent="0.35">
      <c r="A65" s="20" t="s">
        <v>75</v>
      </c>
      <c r="B65" s="21">
        <f>(B64/B10)/1.983</f>
        <v>1347.6810957656207</v>
      </c>
      <c r="C65" s="21">
        <f>(C64/C10)/1.983</f>
        <v>2328.8848065701318</v>
      </c>
      <c r="D65" s="21">
        <f>(D64/D10)/1.983</f>
        <v>2849.2671579392577</v>
      </c>
      <c r="E65" s="22"/>
      <c r="F65" s="21">
        <f>(F64/F10)/1.983</f>
        <v>2982.6525466464955</v>
      </c>
      <c r="G65" s="21">
        <f>(G64/G10)/1.983</f>
        <v>2978.0554064385988</v>
      </c>
      <c r="H65" s="21">
        <f>(H64/H10)/1.983</f>
        <v>2267.9610018490503</v>
      </c>
      <c r="I65" s="22"/>
      <c r="J65" s="21">
        <f>(J64/J10)/1.983</f>
        <v>1543.3930343402794</v>
      </c>
      <c r="K65" s="21">
        <f>(K64/K10)/1.983</f>
        <v>1649.0329087566897</v>
      </c>
      <c r="L65" s="21">
        <f>(L64/L10)/1.983</f>
        <v>2347.1171625483271</v>
      </c>
      <c r="M65" s="22"/>
      <c r="N65" s="21">
        <f>(N64/N10)/1.983</f>
        <v>1943.1457713142356</v>
      </c>
      <c r="O65" s="21">
        <f>(O64/O10)/1.983</f>
        <v>2278.147587829887</v>
      </c>
      <c r="P65" s="21">
        <f>(P64/P10)/1.983</f>
        <v>1847.4940217656531</v>
      </c>
      <c r="Q65" s="23"/>
      <c r="R65" s="65" t="s">
        <v>7</v>
      </c>
    </row>
    <row r="66" spans="1:20" ht="15.75" customHeight="1" x14ac:dyDescent="0.3">
      <c r="A66" s="2"/>
      <c r="B66" s="1"/>
      <c r="C66" s="1"/>
      <c r="D66" s="1"/>
      <c r="E66" s="1"/>
      <c r="F66" s="1"/>
      <c r="G66" s="1"/>
      <c r="H66" s="1"/>
      <c r="I66" s="1"/>
      <c r="J66" s="1"/>
      <c r="K66" s="1"/>
      <c r="L66" s="1"/>
      <c r="M66" s="1"/>
      <c r="N66" s="1"/>
      <c r="O66" s="1"/>
      <c r="P66" s="1"/>
      <c r="Q66" s="1"/>
      <c r="R66" s="2"/>
    </row>
    <row r="67" spans="1:20" ht="15.75" customHeight="1" thickBot="1" x14ac:dyDescent="0.35">
      <c r="A67" s="2"/>
      <c r="B67" s="1"/>
      <c r="C67" s="1"/>
      <c r="D67" s="1"/>
      <c r="E67" s="1"/>
      <c r="F67" s="1"/>
      <c r="G67" s="1"/>
      <c r="H67" s="1"/>
      <c r="I67" s="1"/>
      <c r="J67" s="1"/>
      <c r="K67" s="1"/>
      <c r="L67" s="1"/>
      <c r="M67" s="1"/>
      <c r="N67" s="1"/>
      <c r="O67" s="1"/>
      <c r="P67" s="1"/>
      <c r="Q67" s="1"/>
      <c r="R67" s="2"/>
    </row>
    <row r="68" spans="1:20" ht="16.5" customHeight="1" thickBot="1" x14ac:dyDescent="0.35">
      <c r="A68" s="29" t="s">
        <v>76</v>
      </c>
      <c r="B68" s="30" t="s">
        <v>8</v>
      </c>
      <c r="C68" s="31" t="s">
        <v>9</v>
      </c>
      <c r="D68" s="31" t="s">
        <v>10</v>
      </c>
      <c r="E68" s="32" t="s">
        <v>11</v>
      </c>
      <c r="F68" s="31" t="s">
        <v>12</v>
      </c>
      <c r="G68" s="31" t="s">
        <v>13</v>
      </c>
      <c r="H68" s="31" t="s">
        <v>14</v>
      </c>
      <c r="I68" s="33" t="s">
        <v>15</v>
      </c>
      <c r="J68" s="31" t="s">
        <v>16</v>
      </c>
      <c r="K68" s="31" t="s">
        <v>17</v>
      </c>
      <c r="L68" s="31" t="s">
        <v>18</v>
      </c>
      <c r="M68" s="33" t="s">
        <v>19</v>
      </c>
      <c r="N68" s="31" t="s">
        <v>20</v>
      </c>
      <c r="O68" s="31" t="s">
        <v>21</v>
      </c>
      <c r="P68" s="31" t="s">
        <v>22</v>
      </c>
      <c r="Q68" s="33" t="s">
        <v>23</v>
      </c>
      <c r="R68" s="34" t="s">
        <v>24</v>
      </c>
    </row>
    <row r="69" spans="1:20" ht="16.5" customHeight="1" thickBot="1" x14ac:dyDescent="0.35">
      <c r="A69" s="66"/>
      <c r="B69" s="67"/>
      <c r="C69" s="68"/>
      <c r="D69" s="68"/>
      <c r="E69" s="69"/>
      <c r="F69" s="68"/>
      <c r="G69" s="68"/>
      <c r="H69" s="68"/>
      <c r="I69" s="69"/>
      <c r="J69" s="68"/>
      <c r="K69" s="68"/>
      <c r="L69" s="68"/>
      <c r="M69" s="69"/>
      <c r="N69" s="68"/>
      <c r="O69" s="68"/>
      <c r="P69" s="70"/>
      <c r="Q69" s="69"/>
      <c r="R69" s="59"/>
    </row>
    <row r="70" spans="1:20" ht="15.75" customHeight="1" x14ac:dyDescent="0.3">
      <c r="A70" s="54" t="s">
        <v>48</v>
      </c>
      <c r="B70" s="28"/>
      <c r="C70" s="28"/>
      <c r="D70" s="28"/>
      <c r="E70" s="55" t="s">
        <v>7</v>
      </c>
      <c r="F70" s="28"/>
      <c r="G70" s="28"/>
      <c r="H70" s="28"/>
      <c r="I70" s="55" t="s">
        <v>7</v>
      </c>
      <c r="J70" s="28"/>
      <c r="K70" s="28"/>
      <c r="L70" s="28"/>
      <c r="M70" s="55" t="s">
        <v>7</v>
      </c>
      <c r="N70" s="28"/>
      <c r="O70" s="28"/>
      <c r="P70" s="28"/>
      <c r="Q70" s="55" t="s">
        <v>7</v>
      </c>
      <c r="R70" s="55" t="s">
        <v>7</v>
      </c>
    </row>
    <row r="71" spans="1:20" ht="15.75" customHeight="1" x14ac:dyDescent="0.3">
      <c r="A71" s="18" t="s">
        <v>49</v>
      </c>
      <c r="B71" s="28"/>
      <c r="C71" s="56"/>
      <c r="D71" s="56"/>
      <c r="E71" s="55" t="s">
        <v>7</v>
      </c>
      <c r="F71" s="56"/>
      <c r="G71" s="56"/>
      <c r="H71" s="56"/>
      <c r="I71" s="55" t="s">
        <v>7</v>
      </c>
      <c r="J71" s="56"/>
      <c r="K71" s="56"/>
      <c r="L71" s="56"/>
      <c r="M71" s="55" t="s">
        <v>7</v>
      </c>
      <c r="N71" s="56"/>
      <c r="O71" s="56"/>
      <c r="P71" s="56"/>
      <c r="Q71" s="55" t="s">
        <v>7</v>
      </c>
      <c r="R71" s="55" t="s">
        <v>7</v>
      </c>
    </row>
    <row r="72" spans="1:20" ht="15.75" customHeight="1" x14ac:dyDescent="0.3">
      <c r="A72" s="71" t="s">
        <v>798</v>
      </c>
      <c r="B72" s="1"/>
      <c r="C72" s="1"/>
      <c r="D72" s="1"/>
      <c r="E72" s="55">
        <f t="shared" ref="E72:E81" si="5">SUM(B72:D72)</f>
        <v>0</v>
      </c>
      <c r="F72" s="1"/>
      <c r="G72" s="1"/>
      <c r="H72" s="1"/>
      <c r="I72" s="55">
        <f t="shared" ref="I72:I81" si="6">SUM(F72:H72)</f>
        <v>0</v>
      </c>
      <c r="J72" s="1"/>
      <c r="K72" s="1"/>
      <c r="L72" s="1"/>
      <c r="M72" s="55">
        <f t="shared" ref="M72:M81" si="7">SUM(J72:L72)</f>
        <v>0</v>
      </c>
      <c r="N72" s="1"/>
      <c r="O72" s="1"/>
      <c r="P72" s="1"/>
      <c r="Q72" s="55">
        <f t="shared" ref="Q72:Q81" si="8">SUM(N72:P72)</f>
        <v>0</v>
      </c>
      <c r="R72" s="55">
        <f t="shared" ref="R72:R81" si="9">+E72+I72+M72+Q72</f>
        <v>0</v>
      </c>
    </row>
    <row r="73" spans="1:20" ht="15.75" customHeight="1" x14ac:dyDescent="0.3">
      <c r="A73" s="71" t="s">
        <v>799</v>
      </c>
      <c r="B73" s="1"/>
      <c r="C73" s="1"/>
      <c r="D73" s="1"/>
      <c r="E73" s="55">
        <f>SUM(B73:D73)</f>
        <v>0</v>
      </c>
      <c r="F73" s="1"/>
      <c r="G73" s="1"/>
      <c r="H73" s="1"/>
      <c r="I73" s="55">
        <f>SUM(F73:H73)</f>
        <v>0</v>
      </c>
      <c r="J73" s="1"/>
      <c r="K73" s="1"/>
      <c r="L73" s="1"/>
      <c r="M73" s="55">
        <f>SUM(J73:L73)</f>
        <v>0</v>
      </c>
      <c r="N73" s="1"/>
      <c r="O73" s="1"/>
      <c r="P73" s="1"/>
      <c r="Q73" s="55">
        <f>SUM(N73:P73)</f>
        <v>0</v>
      </c>
      <c r="R73" s="55">
        <f>+E73+I73+M73+Q73</f>
        <v>0</v>
      </c>
    </row>
    <row r="74" spans="1:20" ht="15.75" customHeight="1" x14ac:dyDescent="0.3">
      <c r="A74" s="71" t="s">
        <v>524</v>
      </c>
      <c r="B74" s="1"/>
      <c r="C74" s="1"/>
      <c r="D74" s="1"/>
      <c r="E74" s="55">
        <f t="shared" si="5"/>
        <v>0</v>
      </c>
      <c r="F74" s="1"/>
      <c r="G74" s="1"/>
      <c r="H74" s="1"/>
      <c r="I74" s="55">
        <f t="shared" si="6"/>
        <v>0</v>
      </c>
      <c r="J74" s="1"/>
      <c r="K74" s="1"/>
      <c r="L74" s="1"/>
      <c r="M74" s="55">
        <f t="shared" si="7"/>
        <v>0</v>
      </c>
      <c r="N74" s="1"/>
      <c r="O74" s="1"/>
      <c r="P74" s="1"/>
      <c r="Q74" s="55">
        <f t="shared" si="8"/>
        <v>0</v>
      </c>
      <c r="R74" s="55">
        <f t="shared" si="9"/>
        <v>0</v>
      </c>
    </row>
    <row r="75" spans="1:20" ht="15.75" customHeight="1" x14ac:dyDescent="0.3">
      <c r="A75" s="71" t="s">
        <v>800</v>
      </c>
      <c r="B75" s="1"/>
      <c r="C75" s="1"/>
      <c r="D75" s="1"/>
      <c r="E75" s="55">
        <f t="shared" si="5"/>
        <v>0</v>
      </c>
      <c r="F75" s="1"/>
      <c r="G75" s="1"/>
      <c r="H75" s="1"/>
      <c r="I75" s="55">
        <f t="shared" si="6"/>
        <v>0</v>
      </c>
      <c r="J75" s="1"/>
      <c r="K75" s="1"/>
      <c r="L75" s="1"/>
      <c r="M75" s="55">
        <f t="shared" si="7"/>
        <v>0</v>
      </c>
      <c r="N75" s="1"/>
      <c r="O75" s="1"/>
      <c r="P75" s="1"/>
      <c r="Q75" s="55">
        <f t="shared" si="8"/>
        <v>0</v>
      </c>
      <c r="R75" s="55">
        <f t="shared" si="9"/>
        <v>0</v>
      </c>
      <c r="T75" s="4" t="s">
        <v>801</v>
      </c>
    </row>
    <row r="76" spans="1:20" ht="15.75" customHeight="1" x14ac:dyDescent="0.3">
      <c r="A76" s="71" t="s">
        <v>802</v>
      </c>
      <c r="B76" s="1"/>
      <c r="C76" s="1"/>
      <c r="D76" s="1"/>
      <c r="E76" s="55">
        <f t="shared" si="5"/>
        <v>0</v>
      </c>
      <c r="F76" s="1"/>
      <c r="G76" s="1"/>
      <c r="H76" s="1"/>
      <c r="I76" s="55">
        <f t="shared" si="6"/>
        <v>0</v>
      </c>
      <c r="J76" s="1"/>
      <c r="K76" s="1"/>
      <c r="L76" s="1"/>
      <c r="M76" s="55">
        <f t="shared" si="7"/>
        <v>0</v>
      </c>
      <c r="N76" s="1"/>
      <c r="O76" s="1"/>
      <c r="P76" s="1"/>
      <c r="Q76" s="55">
        <f t="shared" si="8"/>
        <v>0</v>
      </c>
      <c r="R76" s="55">
        <f t="shared" si="9"/>
        <v>0</v>
      </c>
      <c r="T76" s="4" t="s">
        <v>801</v>
      </c>
    </row>
    <row r="77" spans="1:20" ht="15.75" customHeight="1" x14ac:dyDescent="0.3">
      <c r="A77" s="71" t="s">
        <v>78</v>
      </c>
      <c r="B77" s="1"/>
      <c r="C77" s="1"/>
      <c r="D77" s="1"/>
      <c r="E77" s="55">
        <f t="shared" si="5"/>
        <v>0</v>
      </c>
      <c r="F77" s="1"/>
      <c r="G77" s="1"/>
      <c r="H77" s="1"/>
      <c r="I77" s="55">
        <f t="shared" si="6"/>
        <v>0</v>
      </c>
      <c r="J77" s="1"/>
      <c r="K77" s="1"/>
      <c r="L77" s="1"/>
      <c r="M77" s="55">
        <f t="shared" si="7"/>
        <v>0</v>
      </c>
      <c r="N77" s="1"/>
      <c r="O77" s="1"/>
      <c r="P77" s="1"/>
      <c r="Q77" s="55">
        <f t="shared" si="8"/>
        <v>0</v>
      </c>
      <c r="R77" s="55">
        <f t="shared" si="9"/>
        <v>0</v>
      </c>
    </row>
    <row r="78" spans="1:20" ht="15.75" customHeight="1" x14ac:dyDescent="0.3">
      <c r="A78" s="71" t="s">
        <v>525</v>
      </c>
      <c r="B78" s="1"/>
      <c r="C78" s="1"/>
      <c r="D78" s="1"/>
      <c r="E78" s="55">
        <f t="shared" si="5"/>
        <v>0</v>
      </c>
      <c r="F78" s="1"/>
      <c r="G78" s="1"/>
      <c r="H78" s="1"/>
      <c r="I78" s="55">
        <f t="shared" si="6"/>
        <v>0</v>
      </c>
      <c r="J78" s="1"/>
      <c r="K78" s="1"/>
      <c r="L78" s="1"/>
      <c r="M78" s="55">
        <f t="shared" si="7"/>
        <v>0</v>
      </c>
      <c r="N78" s="1"/>
      <c r="O78" s="1"/>
      <c r="P78" s="1"/>
      <c r="Q78" s="55">
        <f t="shared" si="8"/>
        <v>0</v>
      </c>
      <c r="R78" s="55">
        <f t="shared" si="9"/>
        <v>0</v>
      </c>
      <c r="T78" s="4" t="s">
        <v>803</v>
      </c>
    </row>
    <row r="79" spans="1:20" ht="15.75" customHeight="1" x14ac:dyDescent="0.3">
      <c r="A79" s="72" t="s">
        <v>79</v>
      </c>
      <c r="B79" s="1"/>
      <c r="C79" s="1"/>
      <c r="D79" s="1"/>
      <c r="E79" s="55">
        <f t="shared" si="5"/>
        <v>0</v>
      </c>
      <c r="F79" s="1"/>
      <c r="G79" s="1"/>
      <c r="H79" s="1"/>
      <c r="I79" s="55">
        <f t="shared" si="6"/>
        <v>0</v>
      </c>
      <c r="J79" s="1"/>
      <c r="K79" s="1"/>
      <c r="L79" s="1"/>
      <c r="M79" s="55">
        <f t="shared" si="7"/>
        <v>0</v>
      </c>
      <c r="N79" s="1">
        <v>2500</v>
      </c>
      <c r="O79" s="1"/>
      <c r="P79" s="1"/>
      <c r="Q79" s="55">
        <f t="shared" si="8"/>
        <v>2500</v>
      </c>
      <c r="R79" s="55">
        <f t="shared" si="9"/>
        <v>2500</v>
      </c>
    </row>
    <row r="80" spans="1:20" ht="15.75" customHeight="1" x14ac:dyDescent="0.3">
      <c r="A80" s="72" t="s">
        <v>804</v>
      </c>
      <c r="B80" s="1"/>
      <c r="C80" s="1"/>
      <c r="D80" s="1"/>
      <c r="E80" s="55">
        <f>SUM(B80:D80)</f>
        <v>0</v>
      </c>
      <c r="F80" s="1"/>
      <c r="G80" s="1"/>
      <c r="H80" s="1"/>
      <c r="I80" s="55">
        <f>SUM(F80:H80)</f>
        <v>0</v>
      </c>
      <c r="J80" s="1"/>
      <c r="K80" s="1">
        <v>1394</v>
      </c>
      <c r="L80" s="1">
        <v>7111</v>
      </c>
      <c r="M80" s="55">
        <f>SUM(J80:L80)</f>
        <v>8505</v>
      </c>
      <c r="N80" s="1">
        <v>991</v>
      </c>
      <c r="O80" s="1"/>
      <c r="P80" s="1"/>
      <c r="Q80" s="55">
        <f>SUM(N80:P80)</f>
        <v>991</v>
      </c>
      <c r="R80" s="55">
        <f>+E80+I80+M80+Q80</f>
        <v>9496</v>
      </c>
    </row>
    <row r="81" spans="1:20" ht="15.75" customHeight="1" x14ac:dyDescent="0.3">
      <c r="A81" s="72" t="s">
        <v>80</v>
      </c>
      <c r="B81" s="1"/>
      <c r="C81" s="1"/>
      <c r="D81" s="1"/>
      <c r="E81" s="55">
        <f t="shared" si="5"/>
        <v>0</v>
      </c>
      <c r="F81" s="1"/>
      <c r="G81" s="1"/>
      <c r="H81" s="1"/>
      <c r="I81" s="55">
        <f t="shared" si="6"/>
        <v>0</v>
      </c>
      <c r="J81" s="1"/>
      <c r="K81" s="1"/>
      <c r="L81" s="1"/>
      <c r="M81" s="55">
        <f t="shared" si="7"/>
        <v>0</v>
      </c>
      <c r="N81" s="1"/>
      <c r="O81" s="1"/>
      <c r="P81" s="1"/>
      <c r="Q81" s="55">
        <f t="shared" si="8"/>
        <v>0</v>
      </c>
      <c r="R81" s="55">
        <f t="shared" si="9"/>
        <v>0</v>
      </c>
      <c r="S81" s="4">
        <f>SUM(R72:R81)</f>
        <v>11996</v>
      </c>
    </row>
    <row r="82" spans="1:20" ht="15.75" customHeight="1" x14ac:dyDescent="0.3">
      <c r="A82" s="18" t="s">
        <v>50</v>
      </c>
      <c r="B82" s="28"/>
      <c r="C82" s="28"/>
      <c r="D82" s="28"/>
      <c r="E82" s="55" t="s">
        <v>7</v>
      </c>
      <c r="F82" s="28"/>
      <c r="G82" s="28"/>
      <c r="H82" s="28"/>
      <c r="I82" s="55" t="s">
        <v>7</v>
      </c>
      <c r="J82" s="28"/>
      <c r="K82" s="28"/>
      <c r="L82" s="28"/>
      <c r="M82" s="55" t="s">
        <v>7</v>
      </c>
      <c r="N82" s="28"/>
      <c r="O82" s="28"/>
      <c r="P82" s="28"/>
      <c r="Q82" s="55" t="s">
        <v>7</v>
      </c>
      <c r="R82" s="55" t="s">
        <v>7</v>
      </c>
    </row>
    <row r="83" spans="1:20" ht="15.75" customHeight="1" x14ac:dyDescent="0.3">
      <c r="A83" s="72" t="s">
        <v>81</v>
      </c>
      <c r="B83" s="1"/>
      <c r="C83" s="1"/>
      <c r="D83" s="1"/>
      <c r="E83" s="55">
        <f>SUM(B83:D83)</f>
        <v>0</v>
      </c>
      <c r="F83" s="1"/>
      <c r="G83" s="1"/>
      <c r="H83" s="1"/>
      <c r="I83" s="55">
        <f>SUM(F83:H83)</f>
        <v>0</v>
      </c>
      <c r="J83" s="1"/>
      <c r="K83" s="1"/>
      <c r="L83" s="1"/>
      <c r="M83" s="55">
        <f>SUM(J83:L83)</f>
        <v>0</v>
      </c>
      <c r="N83" s="1"/>
      <c r="O83" s="1"/>
      <c r="P83" s="1"/>
      <c r="Q83" s="55">
        <f>SUM(N83:P83)</f>
        <v>0</v>
      </c>
      <c r="R83" s="55">
        <f>+E83+I83+M83+Q83</f>
        <v>0</v>
      </c>
    </row>
    <row r="84" spans="1:20" ht="15.75" customHeight="1" x14ac:dyDescent="0.3">
      <c r="A84" s="72" t="s">
        <v>83</v>
      </c>
      <c r="B84" s="1"/>
      <c r="C84" s="1"/>
      <c r="D84" s="1"/>
      <c r="E84" s="55">
        <f>SUM(B84:D84)</f>
        <v>0</v>
      </c>
      <c r="F84" s="1"/>
      <c r="G84" s="1"/>
      <c r="H84" s="1"/>
      <c r="I84" s="55">
        <f>SUM(F84:H84)</f>
        <v>0</v>
      </c>
      <c r="J84" s="1">
        <v>245</v>
      </c>
      <c r="K84" s="1">
        <v>210</v>
      </c>
      <c r="L84" s="1">
        <v>55</v>
      </c>
      <c r="M84" s="55">
        <f>SUM(J84:L84)</f>
        <v>510</v>
      </c>
      <c r="N84" s="1"/>
      <c r="O84" s="1"/>
      <c r="P84" s="1"/>
      <c r="Q84" s="55">
        <f>SUM(N84:P84)</f>
        <v>0</v>
      </c>
      <c r="R84" s="55">
        <f>+E84+I84+M84+Q84</f>
        <v>510</v>
      </c>
    </row>
    <row r="85" spans="1:20" ht="15.75" customHeight="1" x14ac:dyDescent="0.3">
      <c r="A85" s="18" t="s">
        <v>51</v>
      </c>
      <c r="B85" s="28"/>
      <c r="C85" s="28"/>
      <c r="D85" s="28"/>
      <c r="E85" s="55" t="s">
        <v>52</v>
      </c>
      <c r="F85" s="28"/>
      <c r="G85" s="28"/>
      <c r="H85" s="28"/>
      <c r="I85" s="55" t="s">
        <v>52</v>
      </c>
      <c r="J85" s="28"/>
      <c r="K85" s="28"/>
      <c r="L85" s="28"/>
      <c r="M85" s="55" t="s">
        <v>52</v>
      </c>
      <c r="N85" s="28"/>
      <c r="O85" s="28"/>
      <c r="P85" s="28"/>
      <c r="Q85" s="55" t="s">
        <v>52</v>
      </c>
      <c r="R85" s="55" t="s">
        <v>52</v>
      </c>
    </row>
    <row r="86" spans="1:20" ht="15.75" customHeight="1" x14ac:dyDescent="0.3">
      <c r="A86" s="61" t="s">
        <v>689</v>
      </c>
      <c r="B86" s="1"/>
      <c r="C86" s="1"/>
      <c r="D86" s="1"/>
      <c r="E86" s="55">
        <f>SUM(B86:D86)</f>
        <v>0</v>
      </c>
      <c r="F86" s="1"/>
      <c r="G86" s="1"/>
      <c r="H86" s="1"/>
      <c r="I86" s="55">
        <f>SUM(F86:H86)</f>
        <v>0</v>
      </c>
      <c r="J86" s="1"/>
      <c r="K86" s="1"/>
      <c r="L86" s="1"/>
      <c r="M86" s="55">
        <f>SUM(J86:L86)</f>
        <v>0</v>
      </c>
      <c r="N86" s="1"/>
      <c r="O86" s="1"/>
      <c r="P86" s="1"/>
      <c r="Q86" s="55">
        <f>SUM(N86:P86)</f>
        <v>0</v>
      </c>
      <c r="R86" s="55">
        <f>+E86+I86+M86+Q86</f>
        <v>0</v>
      </c>
    </row>
    <row r="87" spans="1:20" ht="15.75" customHeight="1" x14ac:dyDescent="0.3">
      <c r="A87" s="61" t="s">
        <v>688</v>
      </c>
      <c r="B87" s="1">
        <v>500</v>
      </c>
      <c r="C87" s="1">
        <v>672</v>
      </c>
      <c r="D87" s="1">
        <v>1585</v>
      </c>
      <c r="E87" s="55">
        <f>SUM(B87:D87)</f>
        <v>2757</v>
      </c>
      <c r="F87" s="1">
        <v>2194</v>
      </c>
      <c r="G87" s="1">
        <v>1348</v>
      </c>
      <c r="H87" s="1">
        <v>1152</v>
      </c>
      <c r="I87" s="55">
        <f>SUM(F87:H87)</f>
        <v>4694</v>
      </c>
      <c r="J87" s="1">
        <v>1257</v>
      </c>
      <c r="K87" s="1">
        <v>181</v>
      </c>
      <c r="L87" s="1">
        <v>1284</v>
      </c>
      <c r="M87" s="55">
        <f>SUM(J87:L87)</f>
        <v>2722</v>
      </c>
      <c r="N87" s="1">
        <v>1274</v>
      </c>
      <c r="O87" s="1">
        <v>420</v>
      </c>
      <c r="P87" s="1"/>
      <c r="Q87" s="55">
        <f>SUM(N87:P87)</f>
        <v>1694</v>
      </c>
      <c r="R87" s="55">
        <f>+E87+I87+M87+Q87</f>
        <v>11867</v>
      </c>
      <c r="T87" s="4" t="s">
        <v>801</v>
      </c>
    </row>
    <row r="88" spans="1:20" ht="15.75" customHeight="1" thickBot="1" x14ac:dyDescent="0.35">
      <c r="A88" s="18" t="s">
        <v>53</v>
      </c>
      <c r="B88" s="56"/>
      <c r="C88" s="56"/>
      <c r="D88" s="56"/>
      <c r="E88" s="55" t="s">
        <v>7</v>
      </c>
      <c r="F88" s="56"/>
      <c r="G88" s="56"/>
      <c r="H88" s="56"/>
      <c r="I88" s="55" t="s">
        <v>7</v>
      </c>
      <c r="J88" s="56"/>
      <c r="K88" s="56"/>
      <c r="L88" s="56"/>
      <c r="M88" s="55" t="s">
        <v>7</v>
      </c>
      <c r="N88" s="56"/>
      <c r="O88" s="56"/>
      <c r="P88" s="56"/>
      <c r="Q88" s="55" t="s">
        <v>7</v>
      </c>
      <c r="R88" s="55" t="s">
        <v>7</v>
      </c>
    </row>
    <row r="89" spans="1:20" ht="16.5" customHeight="1" thickBot="1" x14ac:dyDescent="0.35">
      <c r="A89" s="57" t="s">
        <v>54</v>
      </c>
      <c r="B89" s="58">
        <f>SUM(B70:B88)</f>
        <v>500</v>
      </c>
      <c r="C89" s="58">
        <f>SUM(C70:C88)</f>
        <v>672</v>
      </c>
      <c r="D89" s="58">
        <f>SUM(D70:D88)</f>
        <v>1585</v>
      </c>
      <c r="E89" s="59">
        <f>SUM(B89:D89)</f>
        <v>2757</v>
      </c>
      <c r="F89" s="58">
        <f>SUM(F70:F88)</f>
        <v>2194</v>
      </c>
      <c r="G89" s="58">
        <f>SUM(G70:G88)</f>
        <v>1348</v>
      </c>
      <c r="H89" s="58">
        <f>SUM(H70:H88)</f>
        <v>1152</v>
      </c>
      <c r="I89" s="59">
        <f>SUM(F89:H89)</f>
        <v>4694</v>
      </c>
      <c r="J89" s="58">
        <f>SUM(J70:J88)</f>
        <v>1502</v>
      </c>
      <c r="K89" s="58">
        <f>SUM(K70:K88)</f>
        <v>1785</v>
      </c>
      <c r="L89" s="58">
        <f>SUM(L70:L88)</f>
        <v>8450</v>
      </c>
      <c r="M89" s="59">
        <f>SUM(J89:L89)</f>
        <v>11737</v>
      </c>
      <c r="N89" s="58">
        <f>SUM(N70:N88)</f>
        <v>4765</v>
      </c>
      <c r="O89" s="58">
        <f>SUM(O70:O88)</f>
        <v>420</v>
      </c>
      <c r="P89" s="58">
        <f>SUM(P70:P88)</f>
        <v>0</v>
      </c>
      <c r="Q89" s="59">
        <f>SUM(N89:P89)</f>
        <v>5185</v>
      </c>
      <c r="R89" s="59">
        <f>+E89+I89+M89+Q89</f>
        <v>24373</v>
      </c>
    </row>
    <row r="90" spans="1:20" ht="15.75" customHeight="1" x14ac:dyDescent="0.3">
      <c r="A90" s="18" t="s">
        <v>55</v>
      </c>
      <c r="B90" s="56"/>
      <c r="C90" s="56"/>
      <c r="D90" s="56"/>
      <c r="E90" s="55" t="s">
        <v>7</v>
      </c>
      <c r="F90" s="56"/>
      <c r="G90" s="56"/>
      <c r="H90" s="56"/>
      <c r="I90" s="55" t="s">
        <v>7</v>
      </c>
      <c r="J90" s="56"/>
      <c r="K90" s="56"/>
      <c r="L90" s="56"/>
      <c r="M90" s="55" t="s">
        <v>7</v>
      </c>
      <c r="N90" s="56"/>
      <c r="O90" s="56"/>
      <c r="P90" s="56"/>
      <c r="Q90" s="55" t="s">
        <v>7</v>
      </c>
      <c r="R90" s="60" t="s">
        <v>7</v>
      </c>
    </row>
    <row r="91" spans="1:20" ht="15.75" customHeight="1" x14ac:dyDescent="0.3">
      <c r="A91" s="18" t="s">
        <v>56</v>
      </c>
      <c r="B91" s="56"/>
      <c r="C91" s="56"/>
      <c r="D91" s="56"/>
      <c r="E91" s="55" t="s">
        <v>7</v>
      </c>
      <c r="F91" s="56"/>
      <c r="G91" s="56"/>
      <c r="H91" s="56"/>
      <c r="I91" s="55" t="s">
        <v>7</v>
      </c>
      <c r="J91" s="56"/>
      <c r="K91" s="56"/>
      <c r="L91" s="56"/>
      <c r="M91" s="55" t="s">
        <v>7</v>
      </c>
      <c r="N91" s="56"/>
      <c r="O91" s="56"/>
      <c r="P91" s="56"/>
      <c r="Q91" s="55" t="s">
        <v>7</v>
      </c>
      <c r="R91" s="55" t="s">
        <v>7</v>
      </c>
    </row>
    <row r="92" spans="1:20" ht="15.75" customHeight="1" x14ac:dyDescent="0.3">
      <c r="A92" s="18" t="s">
        <v>57</v>
      </c>
      <c r="B92" s="56"/>
      <c r="C92" s="56"/>
      <c r="D92" s="56"/>
      <c r="E92" s="55" t="s">
        <v>7</v>
      </c>
      <c r="F92" s="56"/>
      <c r="G92" s="56"/>
      <c r="H92" s="56"/>
      <c r="I92" s="55" t="s">
        <v>7</v>
      </c>
      <c r="J92" s="56"/>
      <c r="K92" s="56"/>
      <c r="L92" s="56"/>
      <c r="M92" s="55" t="s">
        <v>7</v>
      </c>
      <c r="N92" s="56"/>
      <c r="O92" s="56"/>
      <c r="P92" s="56"/>
      <c r="Q92" s="55" t="s">
        <v>7</v>
      </c>
      <c r="R92" s="55" t="s">
        <v>7</v>
      </c>
    </row>
    <row r="93" spans="1:20" ht="15.75" customHeight="1" x14ac:dyDescent="0.3">
      <c r="A93" s="72" t="s">
        <v>81</v>
      </c>
      <c r="B93" s="1">
        <v>685</v>
      </c>
      <c r="C93" s="1">
        <v>1253</v>
      </c>
      <c r="D93" s="1">
        <v>1919</v>
      </c>
      <c r="E93" s="55">
        <f>SUM(B93:D93)</f>
        <v>3857</v>
      </c>
      <c r="F93" s="1">
        <v>3306</v>
      </c>
      <c r="G93" s="1">
        <v>4795</v>
      </c>
      <c r="H93" s="1">
        <v>5106</v>
      </c>
      <c r="I93" s="55">
        <f>SUM(F93:H93)</f>
        <v>13207</v>
      </c>
      <c r="J93" s="1">
        <v>5375</v>
      </c>
      <c r="K93" s="1">
        <v>3820</v>
      </c>
      <c r="L93" s="1">
        <v>2777</v>
      </c>
      <c r="M93" s="55">
        <f>SUM(J93:L93)</f>
        <v>11972</v>
      </c>
      <c r="N93" s="1">
        <v>2694</v>
      </c>
      <c r="O93" s="1">
        <v>1174</v>
      </c>
      <c r="P93" s="1">
        <v>1676</v>
      </c>
      <c r="Q93" s="55">
        <f>SUM(N93:P93)</f>
        <v>5544</v>
      </c>
      <c r="R93" s="55">
        <f>+E93+I93+M93+Q93</f>
        <v>34580</v>
      </c>
      <c r="T93" s="4" t="s">
        <v>805</v>
      </c>
    </row>
    <row r="94" spans="1:20" ht="15.75" customHeight="1" x14ac:dyDescent="0.3">
      <c r="A94" s="72" t="s">
        <v>87</v>
      </c>
      <c r="B94" s="1"/>
      <c r="C94" s="1"/>
      <c r="D94" s="1"/>
      <c r="E94" s="55">
        <f>SUM(B94:D94)</f>
        <v>0</v>
      </c>
      <c r="F94" s="1"/>
      <c r="G94" s="1">
        <v>1000</v>
      </c>
      <c r="H94" s="1">
        <v>1000</v>
      </c>
      <c r="I94" s="55">
        <f>SUM(F94:H94)</f>
        <v>2000</v>
      </c>
      <c r="J94" s="1">
        <v>1000</v>
      </c>
      <c r="K94" s="1">
        <v>460</v>
      </c>
      <c r="L94" s="1"/>
      <c r="M94" s="55">
        <f>SUM(J94:L94)</f>
        <v>1460</v>
      </c>
      <c r="N94" s="1"/>
      <c r="O94" s="1"/>
      <c r="P94" s="1">
        <v>37</v>
      </c>
      <c r="Q94" s="55">
        <f>SUM(N94:P94)</f>
        <v>37</v>
      </c>
      <c r="R94" s="55">
        <f>+E94+I94+M94+Q94</f>
        <v>3497</v>
      </c>
      <c r="T94" s="4" t="s">
        <v>801</v>
      </c>
    </row>
    <row r="95" spans="1:20" ht="15.75" customHeight="1" thickBot="1" x14ac:dyDescent="0.35">
      <c r="A95" s="18" t="s">
        <v>58</v>
      </c>
      <c r="B95" s="56"/>
      <c r="C95" s="56"/>
      <c r="D95" s="56"/>
      <c r="E95" s="55" t="s">
        <v>7</v>
      </c>
      <c r="F95" s="56"/>
      <c r="G95" s="56"/>
      <c r="H95" s="56"/>
      <c r="I95" s="55" t="s">
        <v>7</v>
      </c>
      <c r="J95" s="56"/>
      <c r="K95" s="56"/>
      <c r="L95" s="56"/>
      <c r="M95" s="55" t="s">
        <v>7</v>
      </c>
      <c r="N95" s="56"/>
      <c r="O95" s="56"/>
      <c r="P95" s="56"/>
      <c r="Q95" s="55" t="s">
        <v>7</v>
      </c>
      <c r="R95" s="55" t="s">
        <v>7</v>
      </c>
    </row>
    <row r="96" spans="1:20" ht="16.5" customHeight="1" thickBot="1" x14ac:dyDescent="0.35">
      <c r="A96" s="57" t="s">
        <v>59</v>
      </c>
      <c r="B96" s="58">
        <f>SUM(B90:B95)</f>
        <v>685</v>
      </c>
      <c r="C96" s="58">
        <f>SUM(C90:C95)</f>
        <v>1253</v>
      </c>
      <c r="D96" s="58">
        <f>SUM(D90:D95)</f>
        <v>1919</v>
      </c>
      <c r="E96" s="59">
        <f>SUM(B96:D96)</f>
        <v>3857</v>
      </c>
      <c r="F96" s="58">
        <f>SUM(F90:F95)</f>
        <v>3306</v>
      </c>
      <c r="G96" s="58">
        <f>SUM(G90:G95)</f>
        <v>5795</v>
      </c>
      <c r="H96" s="58">
        <f>SUM(H90:H95)</f>
        <v>6106</v>
      </c>
      <c r="I96" s="59">
        <f>SUM(F96:H96)</f>
        <v>15207</v>
      </c>
      <c r="J96" s="58">
        <f>SUM(J90:J95)</f>
        <v>6375</v>
      </c>
      <c r="K96" s="58">
        <f>SUM(K90:K95)</f>
        <v>4280</v>
      </c>
      <c r="L96" s="58">
        <f>SUM(L90:L95)</f>
        <v>2777</v>
      </c>
      <c r="M96" s="59">
        <f>SUM(J96:L96)</f>
        <v>13432</v>
      </c>
      <c r="N96" s="58">
        <f>SUM(N90:N95)</f>
        <v>2694</v>
      </c>
      <c r="O96" s="58">
        <f>SUM(O90:O95)</f>
        <v>1174</v>
      </c>
      <c r="P96" s="58">
        <f>SUM(P90:P95)</f>
        <v>1713</v>
      </c>
      <c r="Q96" s="59">
        <f>SUM(N96:P96)</f>
        <v>5581</v>
      </c>
      <c r="R96" s="59">
        <f>+E96+I96+M96+Q96</f>
        <v>38077</v>
      </c>
    </row>
    <row r="97" spans="1:20" ht="15.75" customHeight="1" x14ac:dyDescent="0.3">
      <c r="A97" s="18" t="s">
        <v>60</v>
      </c>
      <c r="B97" s="56"/>
      <c r="C97" s="56"/>
      <c r="D97" s="56"/>
      <c r="E97" s="55" t="s">
        <v>7</v>
      </c>
      <c r="F97" s="56"/>
      <c r="G97" s="56"/>
      <c r="H97" s="56"/>
      <c r="I97" s="55" t="s">
        <v>7</v>
      </c>
      <c r="J97" s="56"/>
      <c r="K97" s="56"/>
      <c r="L97" s="56"/>
      <c r="M97" s="55" t="s">
        <v>7</v>
      </c>
      <c r="N97" s="56"/>
      <c r="O97" s="56"/>
      <c r="P97" s="56"/>
      <c r="Q97" s="55" t="s">
        <v>7</v>
      </c>
      <c r="R97" s="55" t="s">
        <v>7</v>
      </c>
    </row>
    <row r="98" spans="1:20" ht="15.75" customHeight="1" x14ac:dyDescent="0.3">
      <c r="A98" s="18" t="s">
        <v>61</v>
      </c>
      <c r="B98" s="56"/>
      <c r="C98" s="56"/>
      <c r="D98" s="56"/>
      <c r="E98" s="55" t="s">
        <v>7</v>
      </c>
      <c r="F98" s="56"/>
      <c r="G98" s="56"/>
      <c r="H98" s="56"/>
      <c r="I98" s="55" t="s">
        <v>7</v>
      </c>
      <c r="J98" s="56"/>
      <c r="K98" s="56"/>
      <c r="L98" s="56"/>
      <c r="M98" s="55" t="s">
        <v>7</v>
      </c>
      <c r="N98" s="56"/>
      <c r="O98" s="56"/>
      <c r="P98" s="56"/>
      <c r="Q98" s="55" t="s">
        <v>7</v>
      </c>
      <c r="R98" s="55" t="s">
        <v>7</v>
      </c>
    </row>
    <row r="99" spans="1:20" ht="15.75" customHeight="1" x14ac:dyDescent="0.3">
      <c r="A99" s="18" t="s">
        <v>62</v>
      </c>
      <c r="B99" s="56"/>
      <c r="C99" s="56"/>
      <c r="D99" s="56"/>
      <c r="E99" s="55"/>
      <c r="F99" s="56"/>
      <c r="G99" s="56"/>
      <c r="H99" s="56"/>
      <c r="I99" s="55"/>
      <c r="J99" s="56"/>
      <c r="K99" s="56"/>
      <c r="L99" s="56"/>
      <c r="M99" s="55"/>
      <c r="N99" s="56"/>
      <c r="O99" s="56"/>
      <c r="P99" s="56"/>
      <c r="Q99" s="55"/>
      <c r="R99" s="55"/>
    </row>
    <row r="100" spans="1:20" ht="15.75" customHeight="1" x14ac:dyDescent="0.3">
      <c r="A100" s="72" t="s">
        <v>88</v>
      </c>
      <c r="B100" s="1"/>
      <c r="C100" s="1"/>
      <c r="D100" s="1"/>
      <c r="E100" s="55">
        <f t="shared" ref="E100:E107" si="10">SUM(B100:D100)</f>
        <v>0</v>
      </c>
      <c r="F100" s="1"/>
      <c r="G100" s="1"/>
      <c r="H100" s="1"/>
      <c r="I100" s="55">
        <f t="shared" ref="I100:I107" si="11">SUM(F100:H100)</f>
        <v>0</v>
      </c>
      <c r="J100" s="1"/>
      <c r="K100" s="1"/>
      <c r="L100" s="1"/>
      <c r="M100" s="55">
        <f t="shared" ref="M100:M107" si="12">SUM(J100:L100)</f>
        <v>0</v>
      </c>
      <c r="N100" s="1"/>
      <c r="O100" s="1"/>
      <c r="P100" s="1"/>
      <c r="Q100" s="55">
        <f t="shared" ref="Q100:Q107" si="13">SUM(N100:P100)</f>
        <v>0</v>
      </c>
      <c r="R100" s="55">
        <f t="shared" ref="R100:R107" si="14">+E100+I100+M100+Q100</f>
        <v>0</v>
      </c>
    </row>
    <row r="101" spans="1:20" ht="15.75" customHeight="1" x14ac:dyDescent="0.3">
      <c r="A101" s="72" t="s">
        <v>89</v>
      </c>
      <c r="B101" s="1"/>
      <c r="C101" s="1"/>
      <c r="D101" s="1"/>
      <c r="E101" s="55">
        <f t="shared" si="10"/>
        <v>0</v>
      </c>
      <c r="F101" s="1"/>
      <c r="G101" s="1"/>
      <c r="H101" s="1"/>
      <c r="I101" s="55">
        <f t="shared" si="11"/>
        <v>0</v>
      </c>
      <c r="J101" s="1"/>
      <c r="K101" s="1"/>
      <c r="L101" s="1"/>
      <c r="M101" s="55">
        <f t="shared" si="12"/>
        <v>0</v>
      </c>
      <c r="N101" s="1"/>
      <c r="O101" s="1"/>
      <c r="P101" s="1"/>
      <c r="Q101" s="55">
        <f t="shared" si="13"/>
        <v>0</v>
      </c>
      <c r="R101" s="55">
        <f t="shared" si="14"/>
        <v>0</v>
      </c>
    </row>
    <row r="102" spans="1:20" ht="15.75" customHeight="1" x14ac:dyDescent="0.3">
      <c r="A102" s="72" t="s">
        <v>90</v>
      </c>
      <c r="B102" s="1"/>
      <c r="C102" s="1"/>
      <c r="D102" s="1"/>
      <c r="E102" s="55">
        <f>SUM(B102:D102)</f>
        <v>0</v>
      </c>
      <c r="F102" s="1"/>
      <c r="G102" s="1"/>
      <c r="H102" s="1"/>
      <c r="I102" s="55">
        <f>SUM(F102:H102)</f>
        <v>0</v>
      </c>
      <c r="J102" s="1"/>
      <c r="K102" s="1"/>
      <c r="L102" s="1"/>
      <c r="M102" s="55">
        <f>SUM(J102:L102)</f>
        <v>0</v>
      </c>
      <c r="N102" s="1"/>
      <c r="O102" s="1"/>
      <c r="P102" s="1"/>
      <c r="Q102" s="55">
        <f>SUM(N102:P102)</f>
        <v>0</v>
      </c>
      <c r="R102" s="55">
        <f>+E102+I102+M102+Q102</f>
        <v>0</v>
      </c>
    </row>
    <row r="103" spans="1:20" ht="15.75" customHeight="1" x14ac:dyDescent="0.3">
      <c r="A103" s="72" t="s">
        <v>690</v>
      </c>
      <c r="B103" s="1"/>
      <c r="C103" s="1"/>
      <c r="D103" s="1"/>
      <c r="E103" s="55">
        <f>SUM(B103:D103)</f>
        <v>0</v>
      </c>
      <c r="F103" s="1"/>
      <c r="G103" s="1"/>
      <c r="H103" s="1"/>
      <c r="I103" s="55">
        <f>SUM(F103:H103)</f>
        <v>0</v>
      </c>
      <c r="J103" s="1"/>
      <c r="K103" s="1"/>
      <c r="L103" s="1"/>
      <c r="M103" s="55">
        <f>SUM(J103:L103)</f>
        <v>0</v>
      </c>
      <c r="N103" s="1"/>
      <c r="O103" s="1"/>
      <c r="P103" s="1"/>
      <c r="Q103" s="55">
        <f>SUM(N103:P103)</f>
        <v>0</v>
      </c>
      <c r="R103" s="55">
        <f>+E103+I103+M103+Q103</f>
        <v>0</v>
      </c>
      <c r="T103" s="4" t="s">
        <v>803</v>
      </c>
    </row>
    <row r="104" spans="1:20" ht="15.75" customHeight="1" x14ac:dyDescent="0.3">
      <c r="A104" s="72" t="s">
        <v>528</v>
      </c>
      <c r="B104" s="1"/>
      <c r="C104" s="1"/>
      <c r="D104" s="1"/>
      <c r="E104" s="55">
        <f>SUM(B104:D104)</f>
        <v>0</v>
      </c>
      <c r="F104" s="1"/>
      <c r="G104" s="1"/>
      <c r="H104" s="1"/>
      <c r="I104" s="55">
        <f>SUM(F104:H104)</f>
        <v>0</v>
      </c>
      <c r="J104" s="1"/>
      <c r="K104" s="1"/>
      <c r="L104" s="1"/>
      <c r="M104" s="55">
        <f>SUM(J104:L104)</f>
        <v>0</v>
      </c>
      <c r="N104" s="1"/>
      <c r="O104" s="1"/>
      <c r="P104" s="1"/>
      <c r="Q104" s="55">
        <f>SUM(N104:P104)</f>
        <v>0</v>
      </c>
      <c r="R104" s="55">
        <f>+E104+I104+M104+Q104</f>
        <v>0</v>
      </c>
    </row>
    <row r="105" spans="1:20" ht="15.75" customHeight="1" x14ac:dyDescent="0.3">
      <c r="A105" s="72" t="s">
        <v>94</v>
      </c>
      <c r="B105" s="1"/>
      <c r="C105" s="1"/>
      <c r="D105" s="1"/>
      <c r="E105" s="55">
        <f t="shared" si="10"/>
        <v>0</v>
      </c>
      <c r="F105" s="1"/>
      <c r="G105" s="1"/>
      <c r="H105" s="1"/>
      <c r="I105" s="55">
        <f t="shared" si="11"/>
        <v>0</v>
      </c>
      <c r="J105" s="1"/>
      <c r="K105" s="1"/>
      <c r="L105" s="1"/>
      <c r="M105" s="55">
        <f t="shared" si="12"/>
        <v>0</v>
      </c>
      <c r="N105" s="1"/>
      <c r="O105" s="1"/>
      <c r="P105" s="1"/>
      <c r="Q105" s="55">
        <f t="shared" si="13"/>
        <v>0</v>
      </c>
      <c r="R105" s="55">
        <f t="shared" si="14"/>
        <v>0</v>
      </c>
    </row>
    <row r="106" spans="1:20" ht="15.75" customHeight="1" thickBot="1" x14ac:dyDescent="0.35">
      <c r="A106" s="72" t="s">
        <v>95</v>
      </c>
      <c r="B106" s="1"/>
      <c r="C106" s="1"/>
      <c r="D106" s="1"/>
      <c r="E106" s="55">
        <f t="shared" si="10"/>
        <v>0</v>
      </c>
      <c r="F106" s="1"/>
      <c r="G106" s="1"/>
      <c r="H106" s="1"/>
      <c r="I106" s="55">
        <f t="shared" si="11"/>
        <v>0</v>
      </c>
      <c r="J106" s="1"/>
      <c r="K106" s="1"/>
      <c r="L106" s="1"/>
      <c r="M106" s="55">
        <f t="shared" si="12"/>
        <v>0</v>
      </c>
      <c r="N106" s="1"/>
      <c r="O106" s="1"/>
      <c r="P106" s="1"/>
      <c r="Q106" s="55">
        <f t="shared" si="13"/>
        <v>0</v>
      </c>
      <c r="R106" s="55">
        <f t="shared" si="14"/>
        <v>0</v>
      </c>
    </row>
    <row r="107" spans="1:20" ht="16.5" customHeight="1" thickBot="1" x14ac:dyDescent="0.35">
      <c r="A107" s="57" t="s">
        <v>63</v>
      </c>
      <c r="B107" s="58">
        <f>SUM(B97:B106)</f>
        <v>0</v>
      </c>
      <c r="C107" s="58">
        <f>SUM(C97:C106)</f>
        <v>0</v>
      </c>
      <c r="D107" s="58">
        <f>SUM(D97:D106)</f>
        <v>0</v>
      </c>
      <c r="E107" s="59">
        <f t="shared" si="10"/>
        <v>0</v>
      </c>
      <c r="F107" s="58">
        <f>SUM(F97:F106)</f>
        <v>0</v>
      </c>
      <c r="G107" s="58">
        <f>SUM(G97:G106)</f>
        <v>0</v>
      </c>
      <c r="H107" s="58">
        <f>SUM(H97:H106)</f>
        <v>0</v>
      </c>
      <c r="I107" s="59">
        <f t="shared" si="11"/>
        <v>0</v>
      </c>
      <c r="J107" s="58">
        <f>SUM(J97:J106)</f>
        <v>0</v>
      </c>
      <c r="K107" s="58">
        <f>SUM(K97:K106)</f>
        <v>0</v>
      </c>
      <c r="L107" s="58">
        <f>SUM(L97:L106)</f>
        <v>0</v>
      </c>
      <c r="M107" s="59">
        <f t="shared" si="12"/>
        <v>0</v>
      </c>
      <c r="N107" s="58">
        <f>SUM(N97:N106)</f>
        <v>0</v>
      </c>
      <c r="O107" s="58">
        <f>SUM(O97:O106)</f>
        <v>0</v>
      </c>
      <c r="P107" s="58">
        <f>SUM(P97:P106)</f>
        <v>0</v>
      </c>
      <c r="Q107" s="59">
        <f t="shared" si="13"/>
        <v>0</v>
      </c>
      <c r="R107" s="59">
        <f t="shared" si="14"/>
        <v>0</v>
      </c>
    </row>
    <row r="108" spans="1:20" ht="15.75" customHeight="1" x14ac:dyDescent="0.3">
      <c r="A108" s="18" t="s">
        <v>64</v>
      </c>
      <c r="B108" s="56"/>
      <c r="C108" s="56"/>
      <c r="D108" s="56"/>
      <c r="E108" s="55" t="s">
        <v>7</v>
      </c>
      <c r="F108" s="56"/>
      <c r="G108" s="56"/>
      <c r="H108" s="56"/>
      <c r="I108" s="55" t="s">
        <v>7</v>
      </c>
      <c r="J108" s="56"/>
      <c r="K108" s="56"/>
      <c r="L108" s="56"/>
      <c r="M108" s="55" t="s">
        <v>7</v>
      </c>
      <c r="N108" s="56"/>
      <c r="O108" s="56"/>
      <c r="P108" s="56"/>
      <c r="Q108" s="55" t="s">
        <v>7</v>
      </c>
      <c r="R108" s="55" t="s">
        <v>7</v>
      </c>
    </row>
    <row r="109" spans="1:20" ht="15.75" customHeight="1" x14ac:dyDescent="0.3">
      <c r="A109" s="18" t="s">
        <v>594</v>
      </c>
      <c r="B109" s="56"/>
      <c r="C109" s="56"/>
      <c r="D109" s="56"/>
      <c r="E109" s="55" t="s">
        <v>7</v>
      </c>
      <c r="F109" s="56"/>
      <c r="G109" s="56"/>
      <c r="H109" s="56"/>
      <c r="I109" s="55" t="s">
        <v>7</v>
      </c>
      <c r="J109" s="56"/>
      <c r="K109" s="56"/>
      <c r="L109" s="56"/>
      <c r="M109" s="55" t="s">
        <v>7</v>
      </c>
      <c r="N109" s="56"/>
      <c r="O109" s="56"/>
      <c r="P109" s="56"/>
      <c r="Q109" s="55" t="s">
        <v>7</v>
      </c>
      <c r="R109" s="55" t="s">
        <v>7</v>
      </c>
    </row>
    <row r="110" spans="1:20" ht="15.75" customHeight="1" x14ac:dyDescent="0.3">
      <c r="A110" s="61" t="s">
        <v>806</v>
      </c>
      <c r="B110" s="1"/>
      <c r="C110" s="1"/>
      <c r="D110" s="1"/>
      <c r="E110" s="55">
        <f t="shared" ref="E110:E115" si="15">SUM(B110:D110)</f>
        <v>0</v>
      </c>
      <c r="F110" s="1"/>
      <c r="G110" s="1"/>
      <c r="H110" s="1"/>
      <c r="I110" s="55">
        <f t="shared" ref="I110:I115" si="16">SUM(F110:H110)</f>
        <v>0</v>
      </c>
      <c r="J110" s="1"/>
      <c r="K110" s="1"/>
      <c r="L110" s="1"/>
      <c r="M110" s="55">
        <f t="shared" ref="M110:M115" si="17">SUM(J110:L110)</f>
        <v>0</v>
      </c>
      <c r="N110" s="1"/>
      <c r="O110" s="1"/>
      <c r="P110" s="1"/>
      <c r="Q110" s="55">
        <f t="shared" ref="Q110:Q115" si="18">SUM(N110:P110)</f>
        <v>0</v>
      </c>
      <c r="R110" s="55">
        <f t="shared" ref="R110:R115" si="19">+E110+I110+M110+Q110</f>
        <v>0</v>
      </c>
    </row>
    <row r="111" spans="1:20" ht="15.75" customHeight="1" x14ac:dyDescent="0.3">
      <c r="A111" s="61" t="s">
        <v>97</v>
      </c>
      <c r="B111" s="1"/>
      <c r="C111" s="1"/>
      <c r="D111" s="1"/>
      <c r="E111" s="55">
        <f t="shared" si="15"/>
        <v>0</v>
      </c>
      <c r="F111" s="1"/>
      <c r="G111" s="1"/>
      <c r="H111" s="1"/>
      <c r="I111" s="55">
        <f t="shared" si="16"/>
        <v>0</v>
      </c>
      <c r="J111" s="1"/>
      <c r="K111" s="1"/>
      <c r="L111" s="1"/>
      <c r="M111" s="55">
        <f t="shared" si="17"/>
        <v>0</v>
      </c>
      <c r="N111" s="1"/>
      <c r="O111" s="1"/>
      <c r="P111" s="1"/>
      <c r="Q111" s="55">
        <f t="shared" si="18"/>
        <v>0</v>
      </c>
      <c r="R111" s="55">
        <f t="shared" si="19"/>
        <v>0</v>
      </c>
    </row>
    <row r="112" spans="1:20" ht="15.75" customHeight="1" x14ac:dyDescent="0.3">
      <c r="A112" s="61" t="s">
        <v>692</v>
      </c>
      <c r="B112" s="1"/>
      <c r="C112" s="1"/>
      <c r="D112" s="1"/>
      <c r="E112" s="55">
        <f t="shared" si="15"/>
        <v>0</v>
      </c>
      <c r="F112" s="1"/>
      <c r="G112" s="1"/>
      <c r="H112" s="1"/>
      <c r="I112" s="55">
        <f t="shared" si="16"/>
        <v>0</v>
      </c>
      <c r="J112" s="1"/>
      <c r="K112" s="1"/>
      <c r="L112" s="1"/>
      <c r="M112" s="55">
        <f t="shared" si="17"/>
        <v>0</v>
      </c>
      <c r="N112" s="1"/>
      <c r="O112" s="1"/>
      <c r="P112" s="1"/>
      <c r="Q112" s="55">
        <f t="shared" si="18"/>
        <v>0</v>
      </c>
      <c r="R112" s="55">
        <f t="shared" si="19"/>
        <v>0</v>
      </c>
    </row>
    <row r="113" spans="1:20" ht="15.75" customHeight="1" x14ac:dyDescent="0.3">
      <c r="A113" s="61" t="s">
        <v>530</v>
      </c>
      <c r="B113" s="1"/>
      <c r="C113" s="1"/>
      <c r="D113" s="1"/>
      <c r="E113" s="55">
        <f t="shared" si="15"/>
        <v>0</v>
      </c>
      <c r="F113" s="1"/>
      <c r="G113" s="1"/>
      <c r="H113" s="1"/>
      <c r="I113" s="55">
        <f t="shared" si="16"/>
        <v>0</v>
      </c>
      <c r="J113" s="1"/>
      <c r="K113" s="1"/>
      <c r="L113" s="1"/>
      <c r="M113" s="55">
        <f t="shared" si="17"/>
        <v>0</v>
      </c>
      <c r="N113" s="1"/>
      <c r="O113" s="1"/>
      <c r="P113" s="1"/>
      <c r="Q113" s="55">
        <f t="shared" si="18"/>
        <v>0</v>
      </c>
      <c r="R113" s="55">
        <f t="shared" si="19"/>
        <v>0</v>
      </c>
    </row>
    <row r="114" spans="1:20" ht="15.75" customHeight="1" x14ac:dyDescent="0.3">
      <c r="A114" s="61" t="s">
        <v>597</v>
      </c>
      <c r="B114" s="1"/>
      <c r="C114" s="1"/>
      <c r="D114" s="1"/>
      <c r="E114" s="55">
        <f t="shared" si="15"/>
        <v>0</v>
      </c>
      <c r="F114" s="1"/>
      <c r="G114" s="1"/>
      <c r="H114" s="1"/>
      <c r="I114" s="55">
        <f t="shared" si="16"/>
        <v>0</v>
      </c>
      <c r="J114" s="1"/>
      <c r="K114" s="1"/>
      <c r="L114" s="1"/>
      <c r="M114" s="55">
        <f t="shared" si="17"/>
        <v>0</v>
      </c>
      <c r="N114" s="1"/>
      <c r="O114" s="1"/>
      <c r="P114" s="1"/>
      <c r="Q114" s="55">
        <f t="shared" si="18"/>
        <v>0</v>
      </c>
      <c r="R114" s="55">
        <f t="shared" si="19"/>
        <v>0</v>
      </c>
    </row>
    <row r="115" spans="1:20" ht="15.75" customHeight="1" x14ac:dyDescent="0.3">
      <c r="A115" s="61" t="s">
        <v>807</v>
      </c>
      <c r="B115" s="1"/>
      <c r="C115" s="1"/>
      <c r="D115" s="1"/>
      <c r="E115" s="55">
        <f t="shared" si="15"/>
        <v>0</v>
      </c>
      <c r="F115" s="1"/>
      <c r="G115" s="1"/>
      <c r="H115" s="1"/>
      <c r="I115" s="55">
        <f t="shared" si="16"/>
        <v>0</v>
      </c>
      <c r="J115" s="1"/>
      <c r="K115" s="1"/>
      <c r="L115" s="1"/>
      <c r="M115" s="55">
        <f t="shared" si="17"/>
        <v>0</v>
      </c>
      <c r="N115" s="1"/>
      <c r="O115" s="1"/>
      <c r="P115" s="1"/>
      <c r="Q115" s="55">
        <f t="shared" si="18"/>
        <v>0</v>
      </c>
      <c r="R115" s="55">
        <f t="shared" si="19"/>
        <v>0</v>
      </c>
    </row>
    <row r="116" spans="1:20" ht="15.75" customHeight="1" x14ac:dyDescent="0.3">
      <c r="A116" s="61" t="s">
        <v>808</v>
      </c>
      <c r="B116" s="1"/>
      <c r="C116" s="1"/>
      <c r="D116" s="1"/>
      <c r="E116" s="55">
        <f>SUM(B116:D116)</f>
        <v>0</v>
      </c>
      <c r="F116" s="1"/>
      <c r="G116" s="1"/>
      <c r="H116" s="1"/>
      <c r="I116" s="55">
        <f>SUM(F116:H116)</f>
        <v>0</v>
      </c>
      <c r="J116" s="1"/>
      <c r="K116" s="1"/>
      <c r="L116" s="1"/>
      <c r="M116" s="55">
        <f>SUM(J116:L116)</f>
        <v>0</v>
      </c>
      <c r="N116" s="1"/>
      <c r="O116" s="1"/>
      <c r="P116" s="1"/>
      <c r="Q116" s="55">
        <f>SUM(N116:P116)</f>
        <v>0</v>
      </c>
      <c r="R116" s="55">
        <f>+E116+I116+M116+Q116</f>
        <v>0</v>
      </c>
    </row>
    <row r="117" spans="1:20" ht="15.75" customHeight="1" x14ac:dyDescent="0.3">
      <c r="A117" s="346" t="s">
        <v>702</v>
      </c>
      <c r="B117" s="1"/>
      <c r="C117" s="1"/>
      <c r="D117" s="1"/>
      <c r="E117" s="55">
        <f>SUM(B117:D117)</f>
        <v>0</v>
      </c>
      <c r="F117" s="1"/>
      <c r="G117" s="1"/>
      <c r="H117" s="1"/>
      <c r="I117" s="55">
        <f>SUM(F117:H117)</f>
        <v>0</v>
      </c>
      <c r="J117" s="1"/>
      <c r="K117" s="1"/>
      <c r="L117" s="1"/>
      <c r="M117" s="55">
        <f>SUM(J117:L117)</f>
        <v>0</v>
      </c>
      <c r="N117" s="1"/>
      <c r="O117" s="1"/>
      <c r="P117" s="1"/>
      <c r="Q117" s="55">
        <f>SUM(N117:P117)</f>
        <v>0</v>
      </c>
      <c r="R117" s="55">
        <f>+E117+I117+M117+Q117</f>
        <v>0</v>
      </c>
      <c r="T117" s="4" t="s">
        <v>809</v>
      </c>
    </row>
    <row r="118" spans="1:20" ht="15.75" customHeight="1" x14ac:dyDescent="0.3">
      <c r="A118" s="18" t="s">
        <v>67</v>
      </c>
      <c r="B118" s="56"/>
      <c r="C118" s="56"/>
      <c r="D118" s="56"/>
      <c r="E118" s="55" t="s">
        <v>7</v>
      </c>
      <c r="F118" s="56"/>
      <c r="G118" s="56"/>
      <c r="H118" s="56"/>
      <c r="I118" s="55" t="s">
        <v>7</v>
      </c>
      <c r="J118" s="56"/>
      <c r="K118" s="56"/>
      <c r="L118" s="56"/>
      <c r="M118" s="55" t="s">
        <v>7</v>
      </c>
      <c r="N118" s="56"/>
      <c r="O118" s="56"/>
      <c r="P118" s="56"/>
      <c r="Q118" s="55" t="s">
        <v>7</v>
      </c>
      <c r="R118" s="55" t="s">
        <v>7</v>
      </c>
    </row>
    <row r="119" spans="1:20" ht="15.75" customHeight="1" x14ac:dyDescent="0.3">
      <c r="A119" s="61" t="s">
        <v>810</v>
      </c>
      <c r="B119" s="1"/>
      <c r="C119" s="1"/>
      <c r="D119" s="1"/>
      <c r="E119" s="55">
        <f>SUM(B119:D119)</f>
        <v>0</v>
      </c>
      <c r="F119" s="1"/>
      <c r="G119" s="1"/>
      <c r="H119" s="1"/>
      <c r="I119" s="55">
        <f>SUM(F119:H119)</f>
        <v>0</v>
      </c>
      <c r="J119" s="1"/>
      <c r="K119" s="1"/>
      <c r="L119" s="1"/>
      <c r="M119" s="55">
        <f>SUM(J119:L119)</f>
        <v>0</v>
      </c>
      <c r="N119" s="1">
        <v>5006</v>
      </c>
      <c r="O119" s="1">
        <v>7829</v>
      </c>
      <c r="P119" s="1">
        <v>713</v>
      </c>
      <c r="Q119" s="55">
        <f>SUM(N119:P119)</f>
        <v>13548</v>
      </c>
      <c r="R119" s="55">
        <f>+E119+I119+M119+Q119</f>
        <v>13548</v>
      </c>
    </row>
    <row r="120" spans="1:20" ht="15.75" customHeight="1" x14ac:dyDescent="0.3">
      <c r="A120" s="61" t="s">
        <v>695</v>
      </c>
      <c r="B120" s="1"/>
      <c r="C120" s="1"/>
      <c r="D120" s="1"/>
      <c r="E120" s="55">
        <f>SUM(B120:D120)</f>
        <v>0</v>
      </c>
      <c r="F120" s="1"/>
      <c r="G120" s="1"/>
      <c r="H120" s="1"/>
      <c r="I120" s="55">
        <f>SUM(F120:H120)</f>
        <v>0</v>
      </c>
      <c r="J120" s="1"/>
      <c r="K120" s="1"/>
      <c r="L120" s="1"/>
      <c r="M120" s="55">
        <f>SUM(J120:L120)</f>
        <v>0</v>
      </c>
      <c r="N120" s="1"/>
      <c r="O120" s="1"/>
      <c r="P120" s="1"/>
      <c r="Q120" s="55">
        <f>SUM(N120:P120)</f>
        <v>0</v>
      </c>
      <c r="R120" s="55">
        <f>+E120+I120+M120+Q120</f>
        <v>0</v>
      </c>
    </row>
    <row r="121" spans="1:20" ht="15.75" customHeight="1" x14ac:dyDescent="0.3">
      <c r="A121" s="18" t="s">
        <v>600</v>
      </c>
      <c r="B121" s="56"/>
      <c r="C121" s="56"/>
      <c r="D121" s="56"/>
      <c r="E121" s="55" t="s">
        <v>7</v>
      </c>
      <c r="F121" s="56"/>
      <c r="G121" s="56"/>
      <c r="H121" s="56"/>
      <c r="I121" s="55" t="s">
        <v>7</v>
      </c>
      <c r="J121" s="56"/>
      <c r="K121" s="56"/>
      <c r="L121" s="56"/>
      <c r="M121" s="55" t="s">
        <v>7</v>
      </c>
      <c r="N121" s="56"/>
      <c r="O121" s="56"/>
      <c r="P121" s="56"/>
      <c r="Q121" s="55" t="s">
        <v>7</v>
      </c>
      <c r="R121" s="55" t="s">
        <v>7</v>
      </c>
    </row>
    <row r="122" spans="1:20" ht="15.75" customHeight="1" x14ac:dyDescent="0.3">
      <c r="A122" s="61" t="s">
        <v>105</v>
      </c>
      <c r="B122" s="1"/>
      <c r="C122" s="1"/>
      <c r="D122" s="1"/>
      <c r="E122" s="55">
        <f>SUM(B122:D122)</f>
        <v>0</v>
      </c>
      <c r="F122" s="1"/>
      <c r="G122" s="1"/>
      <c r="H122" s="1"/>
      <c r="I122" s="55">
        <f>SUM(F122:H122)</f>
        <v>0</v>
      </c>
      <c r="J122" s="1"/>
      <c r="K122" s="1">
        <v>1453</v>
      </c>
      <c r="L122" s="1"/>
      <c r="M122" s="55">
        <f>SUM(J122:L122)</f>
        <v>1453</v>
      </c>
      <c r="N122" s="1"/>
      <c r="O122" s="1">
        <v>110</v>
      </c>
      <c r="P122" s="1">
        <v>258</v>
      </c>
      <c r="Q122" s="55">
        <f>SUM(N122:P122)</f>
        <v>368</v>
      </c>
      <c r="R122" s="55">
        <f>+E122+I122+M122+Q122</f>
        <v>1821</v>
      </c>
      <c r="T122" s="4" t="s">
        <v>801</v>
      </c>
    </row>
    <row r="123" spans="1:20" ht="15.75" customHeight="1" thickBot="1" x14ac:dyDescent="0.35">
      <c r="A123" s="18" t="s">
        <v>70</v>
      </c>
      <c r="B123" s="56"/>
      <c r="C123" s="56"/>
      <c r="D123" s="56"/>
      <c r="E123" s="55" t="s">
        <v>7</v>
      </c>
      <c r="F123" s="56"/>
      <c r="G123" s="56"/>
      <c r="H123" s="56"/>
      <c r="I123" s="55" t="s">
        <v>7</v>
      </c>
      <c r="J123" s="56"/>
      <c r="K123" s="56"/>
      <c r="L123" s="56"/>
      <c r="M123" s="55" t="s">
        <v>7</v>
      </c>
      <c r="N123" s="56"/>
      <c r="O123" s="56"/>
      <c r="P123" s="56"/>
      <c r="Q123" s="55" t="s">
        <v>7</v>
      </c>
      <c r="R123" s="55" t="s">
        <v>7</v>
      </c>
    </row>
    <row r="124" spans="1:20" ht="16.5" customHeight="1" thickBot="1" x14ac:dyDescent="0.35">
      <c r="A124" s="57" t="s">
        <v>71</v>
      </c>
      <c r="B124" s="58">
        <f>SUM(B121:B123)</f>
        <v>0</v>
      </c>
      <c r="C124" s="58">
        <f>SUM(C121:C123)</f>
        <v>0</v>
      </c>
      <c r="D124" s="58">
        <f>SUM(D121:D123)</f>
        <v>0</v>
      </c>
      <c r="E124" s="60">
        <f>SUM(B124:D124)</f>
        <v>0</v>
      </c>
      <c r="F124" s="58">
        <f>SUM(F121:F123)</f>
        <v>0</v>
      </c>
      <c r="G124" s="58">
        <f>SUM(G121:G123)</f>
        <v>0</v>
      </c>
      <c r="H124" s="58">
        <f>SUM(H121:H123)</f>
        <v>0</v>
      </c>
      <c r="I124" s="60">
        <f>SUM(F124:H124)</f>
        <v>0</v>
      </c>
      <c r="J124" s="58">
        <f>SUM(J121:J123)</f>
        <v>0</v>
      </c>
      <c r="K124" s="58">
        <f>SUM(K121:K123)</f>
        <v>1453</v>
      </c>
      <c r="L124" s="58">
        <f>SUM(L121:L123)</f>
        <v>0</v>
      </c>
      <c r="M124" s="60">
        <f>SUM(J124:L124)</f>
        <v>1453</v>
      </c>
      <c r="N124" s="58">
        <f>SUM(N121:N123)</f>
        <v>0</v>
      </c>
      <c r="O124" s="58">
        <f>SUM(O121:O123)</f>
        <v>110</v>
      </c>
      <c r="P124" s="58">
        <f>SUM(P121:P123)</f>
        <v>258</v>
      </c>
      <c r="Q124" s="60">
        <f>SUM(N124:P124)</f>
        <v>368</v>
      </c>
      <c r="R124" s="59">
        <f>+E124+I124+M124+Q124</f>
        <v>1821</v>
      </c>
    </row>
    <row r="125" spans="1:20" ht="16.5" customHeight="1" thickBot="1" x14ac:dyDescent="0.35">
      <c r="A125" s="57" t="s">
        <v>72</v>
      </c>
      <c r="B125" s="58">
        <f>SUM(B108:B123)</f>
        <v>0</v>
      </c>
      <c r="C125" s="58">
        <f>SUM(C108:C123)</f>
        <v>0</v>
      </c>
      <c r="D125" s="58">
        <f>SUM(D108:D123)</f>
        <v>0</v>
      </c>
      <c r="E125" s="60">
        <f>SUM(B125:D125)</f>
        <v>0</v>
      </c>
      <c r="F125" s="58">
        <f>SUM(F108:F123)</f>
        <v>0</v>
      </c>
      <c r="G125" s="58">
        <f>SUM(G108:G123)</f>
        <v>0</v>
      </c>
      <c r="H125" s="58">
        <f>SUM(H108:H123)</f>
        <v>0</v>
      </c>
      <c r="I125" s="60">
        <f>SUM(F125:H125)</f>
        <v>0</v>
      </c>
      <c r="J125" s="58">
        <f>SUM(J108:J123)</f>
        <v>0</v>
      </c>
      <c r="K125" s="58">
        <f>SUM(K108:K123)</f>
        <v>1453</v>
      </c>
      <c r="L125" s="58">
        <f>SUM(L108:L123)</f>
        <v>0</v>
      </c>
      <c r="M125" s="60">
        <f>SUM(J125:L125)</f>
        <v>1453</v>
      </c>
      <c r="N125" s="58">
        <f>SUM(N108:N123)</f>
        <v>5006</v>
      </c>
      <c r="O125" s="58">
        <f>SUM(O108:O123)</f>
        <v>7939</v>
      </c>
      <c r="P125" s="58">
        <f>SUM(P108:P123)</f>
        <v>971</v>
      </c>
      <c r="Q125" s="60">
        <f>SUM(N125:P125)</f>
        <v>13916</v>
      </c>
      <c r="R125" s="59">
        <f>+E125+I125+M125+Q125</f>
        <v>15369</v>
      </c>
    </row>
    <row r="126" spans="1:20" ht="16.5" customHeight="1" thickBot="1" x14ac:dyDescent="0.35">
      <c r="A126" s="57" t="s">
        <v>73</v>
      </c>
      <c r="B126" s="58">
        <f>+B89+B96+B107+B125</f>
        <v>1185</v>
      </c>
      <c r="C126" s="58">
        <f>+C89+C96+C107+C125</f>
        <v>1925</v>
      </c>
      <c r="D126" s="58">
        <f>+D89+D96+D107+D125</f>
        <v>3504</v>
      </c>
      <c r="E126" s="59">
        <f>SUM(B126:D126)</f>
        <v>6614</v>
      </c>
      <c r="F126" s="58">
        <f>+F89+F96+F107+F125</f>
        <v>5500</v>
      </c>
      <c r="G126" s="58">
        <f>+G89+G96+G107+G125</f>
        <v>7143</v>
      </c>
      <c r="H126" s="58">
        <f>+H89+H96+H107+H125</f>
        <v>7258</v>
      </c>
      <c r="I126" s="59">
        <f>SUM(F126:H126)</f>
        <v>19901</v>
      </c>
      <c r="J126" s="58">
        <f>+J89+J96+J107+J125</f>
        <v>7877</v>
      </c>
      <c r="K126" s="58">
        <f>+K89+K96+K107+K125</f>
        <v>7518</v>
      </c>
      <c r="L126" s="58">
        <f>+L89+L96+L107+L125</f>
        <v>11227</v>
      </c>
      <c r="M126" s="59">
        <f>SUM(J126:L126)</f>
        <v>26622</v>
      </c>
      <c r="N126" s="58">
        <f>+N89+N96+N107+N125</f>
        <v>12465</v>
      </c>
      <c r="O126" s="58">
        <f>+O89+O96+O107+O125</f>
        <v>9533</v>
      </c>
      <c r="P126" s="58">
        <f>+P89+P96+P107+P125</f>
        <v>2684</v>
      </c>
      <c r="Q126" s="59">
        <f>SUM(N126:P126)</f>
        <v>24682</v>
      </c>
      <c r="R126" s="59">
        <f>+E126+I126+M126+Q126</f>
        <v>77819</v>
      </c>
    </row>
    <row r="127" spans="1:20" ht="16.5" customHeight="1" thickBot="1" x14ac:dyDescent="0.35">
      <c r="A127" s="73" t="s">
        <v>40</v>
      </c>
      <c r="B127" s="21">
        <v>173</v>
      </c>
      <c r="C127" s="21">
        <v>260</v>
      </c>
      <c r="D127" s="21">
        <v>471</v>
      </c>
      <c r="E127" s="55">
        <f>SUM(B127:D127)</f>
        <v>904</v>
      </c>
      <c r="F127" s="21">
        <v>629</v>
      </c>
      <c r="G127" s="21">
        <v>725</v>
      </c>
      <c r="H127" s="21">
        <v>712</v>
      </c>
      <c r="I127" s="55">
        <f>SUM(F127:H127)</f>
        <v>2066</v>
      </c>
      <c r="J127" s="21">
        <v>711</v>
      </c>
      <c r="K127" s="21">
        <v>573</v>
      </c>
      <c r="L127" s="21">
        <v>542</v>
      </c>
      <c r="M127" s="55">
        <f>SUM(J127:L127)</f>
        <v>1826</v>
      </c>
      <c r="N127" s="21">
        <v>490</v>
      </c>
      <c r="O127" s="21">
        <v>407</v>
      </c>
      <c r="P127" s="21">
        <v>323</v>
      </c>
      <c r="Q127" s="55">
        <f>SUM(N127:P127)</f>
        <v>1220</v>
      </c>
      <c r="R127" s="55">
        <f>+E127+I127+M127+Q127</f>
        <v>6016</v>
      </c>
    </row>
    <row r="128" spans="1:20" ht="16.5" customHeight="1" thickBot="1" x14ac:dyDescent="0.35">
      <c r="A128" s="74"/>
      <c r="B128" s="75"/>
      <c r="C128" s="75"/>
      <c r="D128" s="75"/>
      <c r="E128" s="59" t="s">
        <v>7</v>
      </c>
      <c r="F128" s="75"/>
      <c r="G128" s="75"/>
      <c r="H128" s="75"/>
      <c r="I128" s="59" t="s">
        <v>7</v>
      </c>
      <c r="J128" s="75"/>
      <c r="K128" s="75"/>
      <c r="L128" s="75"/>
      <c r="M128" s="59" t="s">
        <v>7</v>
      </c>
      <c r="N128" s="75"/>
      <c r="O128" s="75"/>
      <c r="P128" s="75"/>
      <c r="Q128" s="59" t="s">
        <v>7</v>
      </c>
      <c r="R128" s="59" t="s">
        <v>7</v>
      </c>
    </row>
    <row r="129" spans="1:20" ht="15.75" customHeight="1" x14ac:dyDescent="0.3">
      <c r="A129" s="76" t="s">
        <v>41</v>
      </c>
      <c r="B129" s="77">
        <f>+B126+B127</f>
        <v>1358</v>
      </c>
      <c r="C129" s="77">
        <f>+C126+C127</f>
        <v>2185</v>
      </c>
      <c r="D129" s="77">
        <f>+D126+D127</f>
        <v>3975</v>
      </c>
      <c r="E129" s="55">
        <f>SUM(B129:D129)</f>
        <v>7518</v>
      </c>
      <c r="F129" s="77">
        <f>+F126+F127</f>
        <v>6129</v>
      </c>
      <c r="G129" s="77">
        <f>+G126+G127</f>
        <v>7868</v>
      </c>
      <c r="H129" s="77">
        <f>+H126+H127</f>
        <v>7970</v>
      </c>
      <c r="I129" s="55">
        <f>SUM(F129:H129)</f>
        <v>21967</v>
      </c>
      <c r="J129" s="77">
        <f>+J126+J127</f>
        <v>8588</v>
      </c>
      <c r="K129" s="77">
        <f>+K126+K127</f>
        <v>8091</v>
      </c>
      <c r="L129" s="77">
        <f>+L126+L127</f>
        <v>11769</v>
      </c>
      <c r="M129" s="55">
        <f>SUM(J129:L129)</f>
        <v>28448</v>
      </c>
      <c r="N129" s="77">
        <f>+N126+N127</f>
        <v>12955</v>
      </c>
      <c r="O129" s="77">
        <f>+O126+O127</f>
        <v>9940</v>
      </c>
      <c r="P129" s="77">
        <f>+P126+P127</f>
        <v>3007</v>
      </c>
      <c r="Q129" s="55">
        <f>SUM(N129:P129)</f>
        <v>25902</v>
      </c>
      <c r="R129" s="55">
        <f>+E129+I129+M129+Q129</f>
        <v>83835</v>
      </c>
    </row>
    <row r="130" spans="1:20" ht="15.75" customHeight="1" x14ac:dyDescent="0.3">
      <c r="A130" s="78" t="s">
        <v>42</v>
      </c>
      <c r="B130" s="1">
        <f>(B129/B10)/1.983</f>
        <v>22.09099930050591</v>
      </c>
      <c r="C130" s="1">
        <f>(C129/C10)/1.983</f>
        <v>39.352352136013259</v>
      </c>
      <c r="D130" s="1">
        <f>(D129/D10)/1.983</f>
        <v>64.662534771363028</v>
      </c>
      <c r="E130" s="55" t="s">
        <v>7</v>
      </c>
      <c r="F130" s="1">
        <f>(F129/F10)/1.983</f>
        <v>103.02571860816944</v>
      </c>
      <c r="G130" s="1">
        <f>(G129/G10)/1.983</f>
        <v>127.99115058643632</v>
      </c>
      <c r="H130" s="1">
        <f>(H129/H10)/1.983</f>
        <v>133.97209615061354</v>
      </c>
      <c r="I130" s="55" t="s">
        <v>7</v>
      </c>
      <c r="J130" s="1">
        <f>(J129/J10)/1.983</f>
        <v>139.70360971483416</v>
      </c>
      <c r="K130" s="1">
        <f>(K129/K10)/1.983</f>
        <v>131.61875945537065</v>
      </c>
      <c r="L130" s="1">
        <f>(L129/L10)/1.983</f>
        <v>197.8315683308119</v>
      </c>
      <c r="M130" s="55" t="s">
        <v>7</v>
      </c>
      <c r="N130" s="1">
        <f>(N129/N10)/1.983</f>
        <v>210.74292778943598</v>
      </c>
      <c r="O130" s="1">
        <f>(O129/O10)/1.983</f>
        <v>167.08690536224574</v>
      </c>
      <c r="P130" s="1">
        <f>(P129/P10)/1.983</f>
        <v>48.915784165405945</v>
      </c>
      <c r="Q130" s="55" t="s">
        <v>7</v>
      </c>
      <c r="R130" s="55" t="s">
        <v>7</v>
      </c>
    </row>
    <row r="131" spans="1:20" ht="15.75" customHeight="1" x14ac:dyDescent="0.3">
      <c r="A131" s="79" t="s">
        <v>106</v>
      </c>
      <c r="B131" s="1">
        <f>B129+B275</f>
        <v>82749</v>
      </c>
      <c r="C131" s="1">
        <f>C129+C275</f>
        <v>128933</v>
      </c>
      <c r="D131" s="1">
        <f>D129+D275</f>
        <v>174655</v>
      </c>
      <c r="E131" s="55">
        <f>SUM(B131:D131)</f>
        <v>386337</v>
      </c>
      <c r="F131" s="1">
        <f>F129+F275</f>
        <v>177088</v>
      </c>
      <c r="G131" s="1">
        <f>G129+G275</f>
        <v>182668</v>
      </c>
      <c r="H131" s="1">
        <f>H129+H275</f>
        <v>134525</v>
      </c>
      <c r="I131" s="55">
        <f>SUM(F131:H131)</f>
        <v>494281</v>
      </c>
      <c r="J131" s="1">
        <f>J129+J275</f>
        <v>94482</v>
      </c>
      <c r="K131" s="1">
        <f>K129+K275</f>
        <v>101053</v>
      </c>
      <c r="L131" s="1">
        <f>L129+L275</f>
        <v>139079</v>
      </c>
      <c r="M131" s="55">
        <f>SUM(J131:L131)</f>
        <v>334614</v>
      </c>
      <c r="N131" s="1">
        <f>N129+N275</f>
        <v>119152</v>
      </c>
      <c r="O131" s="1">
        <f>O129+O275</f>
        <v>135299</v>
      </c>
      <c r="P131" s="1">
        <f>P129+P275</f>
        <v>113369</v>
      </c>
      <c r="Q131" s="55">
        <f>SUM(N131:P131)</f>
        <v>367820</v>
      </c>
      <c r="R131" s="55">
        <f>+E131+I131+M131+Q131</f>
        <v>1583052</v>
      </c>
    </row>
    <row r="132" spans="1:20" ht="16.5" customHeight="1" thickBot="1" x14ac:dyDescent="0.35">
      <c r="A132" s="80" t="s">
        <v>107</v>
      </c>
      <c r="B132" s="25">
        <f>(B131/B10)/1.983</f>
        <v>1346.1031672441559</v>
      </c>
      <c r="C132" s="25">
        <f>(C131/C10)/1.983</f>
        <v>2322.1129601613716</v>
      </c>
      <c r="D132" s="25">
        <f>(D131/D10)/1.983</f>
        <v>2841.166040375449</v>
      </c>
      <c r="E132" s="81" t="s">
        <v>7</v>
      </c>
      <c r="F132" s="25">
        <f>(F131/F10)/1.983</f>
        <v>2976.769204908388</v>
      </c>
      <c r="G132" s="25">
        <f>(G131/G10)/1.983</f>
        <v>2971.5159500919103</v>
      </c>
      <c r="H132" s="25">
        <f>(H131/H10)/1.983</f>
        <v>2261.3044209110776</v>
      </c>
      <c r="I132" s="81" t="s">
        <v>7</v>
      </c>
      <c r="J132" s="25">
        <f>(J131/J10)/1.983</f>
        <v>1536.9674491240057</v>
      </c>
      <c r="K132" s="25">
        <f>(K131/K10)/1.983</f>
        <v>1643.8599059749808</v>
      </c>
      <c r="L132" s="25">
        <f>(L131/L10)/1.983</f>
        <v>2337.855101697764</v>
      </c>
      <c r="M132" s="81" t="s">
        <v>7</v>
      </c>
      <c r="N132" s="25">
        <f>(N131/N10)/1.983</f>
        <v>1938.2818473150812</v>
      </c>
      <c r="O132" s="25">
        <f>(O131/O10)/1.983</f>
        <v>2274.3150109262056</v>
      </c>
      <c r="P132" s="25">
        <f>(P131/P10)/1.983</f>
        <v>1844.2080262879638</v>
      </c>
      <c r="Q132" s="81" t="s">
        <v>7</v>
      </c>
      <c r="R132" s="81" t="s">
        <v>7</v>
      </c>
    </row>
    <row r="133" spans="1:20" ht="15.75" customHeight="1" x14ac:dyDescent="0.3">
      <c r="A133" s="28"/>
      <c r="B133" s="1"/>
      <c r="C133" s="1"/>
      <c r="D133" s="1"/>
      <c r="E133" s="1"/>
      <c r="F133" s="1"/>
      <c r="G133" s="1"/>
      <c r="H133" s="1"/>
      <c r="I133" s="1"/>
      <c r="J133" s="1"/>
      <c r="K133" s="1"/>
      <c r="L133" s="1"/>
      <c r="M133" s="1"/>
      <c r="N133" s="1"/>
      <c r="O133" s="1"/>
      <c r="P133" s="1"/>
      <c r="Q133" s="1"/>
      <c r="R133" s="2"/>
    </row>
    <row r="134" spans="1:20" ht="15.75" customHeight="1" thickBot="1" x14ac:dyDescent="0.35">
      <c r="A134" s="28" t="s">
        <v>7</v>
      </c>
      <c r="B134" s="1"/>
      <c r="C134" s="1"/>
      <c r="D134" s="1"/>
      <c r="E134" s="1"/>
      <c r="F134" s="1"/>
      <c r="G134" s="1"/>
      <c r="H134" s="1"/>
      <c r="I134" s="1"/>
      <c r="J134" s="1"/>
      <c r="K134" s="1"/>
      <c r="L134" s="1"/>
      <c r="M134" s="1"/>
      <c r="N134" s="1"/>
      <c r="O134" s="1"/>
      <c r="P134" s="1"/>
      <c r="Q134" s="1"/>
      <c r="R134" s="2"/>
    </row>
    <row r="135" spans="1:20" ht="16.5" customHeight="1" thickBot="1" x14ac:dyDescent="0.35">
      <c r="A135" s="29" t="s">
        <v>108</v>
      </c>
      <c r="B135" s="30" t="s">
        <v>8</v>
      </c>
      <c r="C135" s="31" t="s">
        <v>9</v>
      </c>
      <c r="D135" s="31" t="s">
        <v>10</v>
      </c>
      <c r="E135" s="32" t="s">
        <v>11</v>
      </c>
      <c r="F135" s="31" t="s">
        <v>12</v>
      </c>
      <c r="G135" s="31" t="s">
        <v>13</v>
      </c>
      <c r="H135" s="31" t="s">
        <v>14</v>
      </c>
      <c r="I135" s="33" t="s">
        <v>15</v>
      </c>
      <c r="J135" s="31" t="s">
        <v>16</v>
      </c>
      <c r="K135" s="31" t="s">
        <v>17</v>
      </c>
      <c r="L135" s="31" t="s">
        <v>18</v>
      </c>
      <c r="M135" s="33" t="s">
        <v>19</v>
      </c>
      <c r="N135" s="31" t="s">
        <v>20</v>
      </c>
      <c r="O135" s="31" t="s">
        <v>21</v>
      </c>
      <c r="P135" s="31" t="s">
        <v>22</v>
      </c>
      <c r="Q135" s="33" t="s">
        <v>23</v>
      </c>
      <c r="R135" s="34" t="s">
        <v>24</v>
      </c>
    </row>
    <row r="136" spans="1:20" ht="16.5" customHeight="1" thickBot="1" x14ac:dyDescent="0.35">
      <c r="A136" s="74"/>
      <c r="B136" s="75"/>
      <c r="C136" s="75"/>
      <c r="D136" s="75"/>
      <c r="E136" s="82"/>
      <c r="F136" s="75"/>
      <c r="G136" s="75"/>
      <c r="H136" s="75"/>
      <c r="I136" s="82"/>
      <c r="J136" s="75"/>
      <c r="K136" s="75"/>
      <c r="L136" s="75"/>
      <c r="M136" s="82"/>
      <c r="N136" s="75"/>
      <c r="O136" s="75"/>
      <c r="P136" s="75"/>
      <c r="Q136" s="82"/>
      <c r="R136" s="74"/>
    </row>
    <row r="137" spans="1:20" ht="15.75" customHeight="1" x14ac:dyDescent="0.3">
      <c r="A137" s="15" t="s">
        <v>48</v>
      </c>
      <c r="B137" s="1" t="s">
        <v>7</v>
      </c>
      <c r="C137" s="1" t="s">
        <v>7</v>
      </c>
      <c r="D137" s="1" t="s">
        <v>7</v>
      </c>
      <c r="E137" s="55" t="s">
        <v>7</v>
      </c>
      <c r="F137" s="1" t="s">
        <v>7</v>
      </c>
      <c r="G137" s="1" t="s">
        <v>7</v>
      </c>
      <c r="H137" s="1" t="s">
        <v>7</v>
      </c>
      <c r="I137" s="55" t="s">
        <v>7</v>
      </c>
      <c r="J137" s="1" t="s">
        <v>7</v>
      </c>
      <c r="K137" s="1" t="s">
        <v>7</v>
      </c>
      <c r="L137" s="1" t="s">
        <v>7</v>
      </c>
      <c r="M137" s="55" t="s">
        <v>7</v>
      </c>
      <c r="N137" s="1" t="s">
        <v>7</v>
      </c>
      <c r="O137" s="1" t="s">
        <v>7</v>
      </c>
      <c r="P137" s="1" t="s">
        <v>7</v>
      </c>
      <c r="Q137" s="55" t="s">
        <v>7</v>
      </c>
      <c r="R137" s="83" t="s">
        <v>7</v>
      </c>
    </row>
    <row r="138" spans="1:20" ht="15.75" customHeight="1" x14ac:dyDescent="0.3">
      <c r="A138" s="15" t="s">
        <v>49</v>
      </c>
      <c r="B138" s="1"/>
      <c r="C138" s="1"/>
      <c r="D138" s="1"/>
      <c r="E138" s="55" t="s">
        <v>7</v>
      </c>
      <c r="F138" s="1"/>
      <c r="G138" s="1"/>
      <c r="H138" s="1"/>
      <c r="I138" s="55" t="s">
        <v>7</v>
      </c>
      <c r="J138" s="1"/>
      <c r="K138" s="1"/>
      <c r="L138" s="1"/>
      <c r="M138" s="55" t="s">
        <v>7</v>
      </c>
      <c r="N138" s="1"/>
      <c r="O138" s="1"/>
      <c r="P138" s="1"/>
      <c r="Q138" s="55" t="s">
        <v>7</v>
      </c>
      <c r="R138" s="83"/>
    </row>
    <row r="139" spans="1:20" ht="15.75" customHeight="1" x14ac:dyDescent="0.3">
      <c r="A139" s="84" t="s">
        <v>811</v>
      </c>
      <c r="B139" s="1"/>
      <c r="C139" s="1"/>
      <c r="D139" s="1">
        <v>800</v>
      </c>
      <c r="E139" s="55">
        <f t="shared" ref="E139:E153" si="20">SUM(B139:D139)</f>
        <v>800</v>
      </c>
      <c r="F139" s="1">
        <v>54</v>
      </c>
      <c r="G139" s="1">
        <v>720</v>
      </c>
      <c r="H139" s="1">
        <v>720</v>
      </c>
      <c r="I139" s="55">
        <f t="shared" ref="I139:I153" si="21">SUM(F139:H139)</f>
        <v>1494</v>
      </c>
      <c r="J139" s="1">
        <v>550</v>
      </c>
      <c r="K139" s="1">
        <v>538</v>
      </c>
      <c r="L139" s="1">
        <v>404</v>
      </c>
      <c r="M139" s="55">
        <f t="shared" ref="M139:M153" si="22">SUM(J139:L139)</f>
        <v>1492</v>
      </c>
      <c r="N139" s="1">
        <v>156</v>
      </c>
      <c r="O139" s="1">
        <v>247</v>
      </c>
      <c r="P139" s="1"/>
      <c r="Q139" s="55">
        <f>SUM(N139:P139)</f>
        <v>403</v>
      </c>
      <c r="R139" s="55">
        <f>+E139+I139+M139+Q139</f>
        <v>4189</v>
      </c>
      <c r="T139" s="4" t="s">
        <v>812</v>
      </c>
    </row>
    <row r="140" spans="1:20" ht="15.75" customHeight="1" x14ac:dyDescent="0.3">
      <c r="A140" s="84" t="s">
        <v>813</v>
      </c>
      <c r="B140" s="1"/>
      <c r="C140" s="1"/>
      <c r="D140" s="1">
        <v>897</v>
      </c>
      <c r="E140" s="55">
        <f t="shared" si="20"/>
        <v>897</v>
      </c>
      <c r="F140" s="1">
        <v>405</v>
      </c>
      <c r="G140" s="1">
        <v>1770</v>
      </c>
      <c r="H140" s="1">
        <v>1435</v>
      </c>
      <c r="I140" s="55">
        <f t="shared" si="21"/>
        <v>3610</v>
      </c>
      <c r="J140" s="1">
        <v>1471</v>
      </c>
      <c r="K140" s="1">
        <v>1215</v>
      </c>
      <c r="L140" s="1">
        <v>1008</v>
      </c>
      <c r="M140" s="55">
        <f t="shared" si="22"/>
        <v>3694</v>
      </c>
      <c r="N140" s="1">
        <v>1058</v>
      </c>
      <c r="O140" s="1">
        <v>1074</v>
      </c>
      <c r="P140" s="1">
        <v>348</v>
      </c>
      <c r="Q140" s="55">
        <f>SUM(N140:P140)</f>
        <v>2480</v>
      </c>
      <c r="R140" s="55">
        <f>+E140+I140+M140+Q140</f>
        <v>10681</v>
      </c>
      <c r="T140" s="4" t="s">
        <v>812</v>
      </c>
    </row>
    <row r="141" spans="1:20" ht="15.75" customHeight="1" x14ac:dyDescent="0.3">
      <c r="A141" s="84" t="s">
        <v>814</v>
      </c>
      <c r="B141" s="1"/>
      <c r="C141" s="1"/>
      <c r="D141" s="1">
        <v>604</v>
      </c>
      <c r="E141" s="55">
        <f t="shared" si="20"/>
        <v>604</v>
      </c>
      <c r="F141" s="1">
        <v>0</v>
      </c>
      <c r="G141" s="1">
        <v>410</v>
      </c>
      <c r="H141" s="1">
        <v>403</v>
      </c>
      <c r="I141" s="55">
        <f t="shared" si="21"/>
        <v>813</v>
      </c>
      <c r="J141" s="1">
        <v>343</v>
      </c>
      <c r="K141" s="1">
        <v>235</v>
      </c>
      <c r="L141" s="1">
        <v>188</v>
      </c>
      <c r="M141" s="55">
        <f t="shared" si="22"/>
        <v>766</v>
      </c>
      <c r="N141" s="1">
        <v>50</v>
      </c>
      <c r="O141" s="1">
        <v>139</v>
      </c>
      <c r="P141" s="1"/>
      <c r="Q141" s="55">
        <f>SUM(N141:P141)</f>
        <v>189</v>
      </c>
      <c r="R141" s="55">
        <f>+E141+I141+M141+Q141</f>
        <v>2372</v>
      </c>
      <c r="T141" s="4" t="s">
        <v>812</v>
      </c>
    </row>
    <row r="142" spans="1:20" ht="15.75" customHeight="1" x14ac:dyDescent="0.3">
      <c r="A142" s="84" t="s">
        <v>815</v>
      </c>
      <c r="B142" s="1"/>
      <c r="C142" s="1"/>
      <c r="D142" s="1">
        <v>521</v>
      </c>
      <c r="E142" s="55">
        <f t="shared" si="20"/>
        <v>521</v>
      </c>
      <c r="F142" s="1">
        <v>179</v>
      </c>
      <c r="G142" s="1">
        <v>438</v>
      </c>
      <c r="H142" s="1">
        <v>420</v>
      </c>
      <c r="I142" s="55">
        <f t="shared" si="21"/>
        <v>1037</v>
      </c>
      <c r="J142" s="1">
        <v>343</v>
      </c>
      <c r="K142" s="1">
        <v>290</v>
      </c>
      <c r="L142" s="1">
        <v>309</v>
      </c>
      <c r="M142" s="55">
        <f t="shared" si="22"/>
        <v>942</v>
      </c>
      <c r="N142" s="1">
        <v>224</v>
      </c>
      <c r="O142" s="1">
        <v>507</v>
      </c>
      <c r="P142" s="1"/>
      <c r="Q142" s="55">
        <f>SUM(N142:P142)</f>
        <v>731</v>
      </c>
      <c r="R142" s="55">
        <f>+E142+I142+M142+Q142</f>
        <v>3231</v>
      </c>
      <c r="T142" s="4" t="s">
        <v>812</v>
      </c>
    </row>
    <row r="143" spans="1:20" ht="15.75" customHeight="1" x14ac:dyDescent="0.3">
      <c r="A143" s="71" t="s">
        <v>111</v>
      </c>
      <c r="B143" s="1">
        <v>0</v>
      </c>
      <c r="C143" s="1">
        <v>0</v>
      </c>
      <c r="D143" s="1">
        <v>0</v>
      </c>
      <c r="E143" s="55">
        <f t="shared" si="20"/>
        <v>0</v>
      </c>
      <c r="F143" s="1">
        <v>0</v>
      </c>
      <c r="G143" s="1">
        <v>0</v>
      </c>
      <c r="H143" s="1">
        <v>0</v>
      </c>
      <c r="I143" s="55">
        <f t="shared" si="21"/>
        <v>0</v>
      </c>
      <c r="J143" s="1">
        <v>0</v>
      </c>
      <c r="K143" s="1">
        <v>0</v>
      </c>
      <c r="L143" s="1">
        <v>0</v>
      </c>
      <c r="M143" s="55">
        <f t="shared" si="22"/>
        <v>0</v>
      </c>
      <c r="N143" s="1">
        <v>0</v>
      </c>
      <c r="O143" s="1">
        <v>0</v>
      </c>
      <c r="P143" s="1">
        <v>0</v>
      </c>
      <c r="Q143" s="55">
        <f>SUM(N143:P143)</f>
        <v>0</v>
      </c>
      <c r="R143" s="55">
        <f>+E143+I143+M143+Q143</f>
        <v>0</v>
      </c>
      <c r="T143" s="4" t="s">
        <v>406</v>
      </c>
    </row>
    <row r="144" spans="1:20" ht="15.75" customHeight="1" x14ac:dyDescent="0.3">
      <c r="A144" s="84" t="s">
        <v>817</v>
      </c>
      <c r="B144" s="1"/>
      <c r="C144" s="1"/>
      <c r="D144" s="1"/>
      <c r="E144" s="55">
        <f t="shared" si="20"/>
        <v>0</v>
      </c>
      <c r="F144" s="1"/>
      <c r="G144" s="1"/>
      <c r="H144" s="1"/>
      <c r="I144" s="55">
        <f t="shared" si="21"/>
        <v>0</v>
      </c>
      <c r="J144" s="1"/>
      <c r="K144" s="1"/>
      <c r="L144" s="1"/>
      <c r="M144" s="55">
        <f t="shared" si="22"/>
        <v>0</v>
      </c>
      <c r="N144" s="1"/>
      <c r="O144" s="1"/>
      <c r="P144" s="1"/>
      <c r="Q144" s="55">
        <f t="shared" ref="Q144:Q172" si="23">SUM(N144:P144)</f>
        <v>0</v>
      </c>
      <c r="R144" s="55">
        <f t="shared" ref="R144:R172" si="24">+E144+I144+M144+Q144</f>
        <v>0</v>
      </c>
      <c r="T144" s="4" t="s">
        <v>818</v>
      </c>
    </row>
    <row r="145" spans="1:20" ht="15.75" customHeight="1" x14ac:dyDescent="0.3">
      <c r="A145" s="84" t="s">
        <v>112</v>
      </c>
      <c r="B145" s="1">
        <v>0</v>
      </c>
      <c r="C145" s="1">
        <v>923</v>
      </c>
      <c r="D145" s="1">
        <v>2000</v>
      </c>
      <c r="E145" s="55">
        <f t="shared" si="20"/>
        <v>2923</v>
      </c>
      <c r="F145" s="1">
        <v>1818</v>
      </c>
      <c r="G145" s="1">
        <v>661</v>
      </c>
      <c r="H145" s="1"/>
      <c r="I145" s="55">
        <f t="shared" si="21"/>
        <v>2479</v>
      </c>
      <c r="J145" s="1">
        <v>14</v>
      </c>
      <c r="K145" s="1"/>
      <c r="L145" s="1"/>
      <c r="M145" s="55">
        <f t="shared" si="22"/>
        <v>14</v>
      </c>
      <c r="N145" s="1"/>
      <c r="O145" s="1"/>
      <c r="P145" s="1"/>
      <c r="Q145" s="55">
        <f t="shared" si="23"/>
        <v>0</v>
      </c>
      <c r="R145" s="55">
        <f t="shared" si="24"/>
        <v>5416</v>
      </c>
      <c r="T145" s="4" t="s">
        <v>819</v>
      </c>
    </row>
    <row r="146" spans="1:20" ht="15.75" customHeight="1" x14ac:dyDescent="0.3">
      <c r="A146" s="84" t="s">
        <v>177</v>
      </c>
      <c r="B146" s="1"/>
      <c r="C146" s="1"/>
      <c r="D146" s="1">
        <v>1099</v>
      </c>
      <c r="E146" s="55">
        <f t="shared" si="20"/>
        <v>1099</v>
      </c>
      <c r="F146" s="1">
        <v>1496</v>
      </c>
      <c r="G146" s="1"/>
      <c r="H146" s="1"/>
      <c r="I146" s="55">
        <f t="shared" si="21"/>
        <v>1496</v>
      </c>
      <c r="J146" s="1">
        <v>1133</v>
      </c>
      <c r="K146" s="1">
        <v>639</v>
      </c>
      <c r="L146" s="1"/>
      <c r="M146" s="55">
        <f t="shared" si="22"/>
        <v>1772</v>
      </c>
      <c r="N146" s="1"/>
      <c r="O146" s="1"/>
      <c r="P146" s="1"/>
      <c r="Q146" s="55">
        <f t="shared" si="23"/>
        <v>0</v>
      </c>
      <c r="R146" s="55">
        <f t="shared" si="24"/>
        <v>4367</v>
      </c>
      <c r="T146" s="4" t="s">
        <v>818</v>
      </c>
    </row>
    <row r="147" spans="1:20" ht="15.75" customHeight="1" x14ac:dyDescent="0.3">
      <c r="A147" s="84" t="s">
        <v>178</v>
      </c>
      <c r="B147" s="1"/>
      <c r="C147" s="1">
        <v>157</v>
      </c>
      <c r="D147" s="1"/>
      <c r="E147" s="55">
        <f t="shared" si="20"/>
        <v>157</v>
      </c>
      <c r="F147" s="1"/>
      <c r="G147" s="1"/>
      <c r="H147" s="1"/>
      <c r="I147" s="55">
        <f t="shared" si="21"/>
        <v>0</v>
      </c>
      <c r="J147" s="1"/>
      <c r="K147" s="1">
        <v>950</v>
      </c>
      <c r="L147" s="1">
        <v>1000</v>
      </c>
      <c r="M147" s="55">
        <f t="shared" si="22"/>
        <v>1950</v>
      </c>
      <c r="N147" s="1">
        <v>1078</v>
      </c>
      <c r="O147" s="1">
        <v>444</v>
      </c>
      <c r="P147" s="1"/>
      <c r="Q147" s="55">
        <f t="shared" si="23"/>
        <v>1522</v>
      </c>
      <c r="R147" s="55">
        <f t="shared" si="24"/>
        <v>3629</v>
      </c>
      <c r="T147" s="4" t="s">
        <v>819</v>
      </c>
    </row>
    <row r="148" spans="1:20" ht="15.75" customHeight="1" x14ac:dyDescent="0.3">
      <c r="A148" s="71" t="s">
        <v>114</v>
      </c>
      <c r="B148" s="1">
        <v>28</v>
      </c>
      <c r="C148" s="1">
        <v>24</v>
      </c>
      <c r="D148" s="1">
        <v>35</v>
      </c>
      <c r="E148" s="55">
        <f t="shared" si="20"/>
        <v>87</v>
      </c>
      <c r="F148" s="1">
        <v>44</v>
      </c>
      <c r="G148" s="1">
        <v>41</v>
      </c>
      <c r="H148" s="1">
        <v>62</v>
      </c>
      <c r="I148" s="55">
        <f t="shared" si="21"/>
        <v>147</v>
      </c>
      <c r="J148" s="1">
        <v>61</v>
      </c>
      <c r="K148" s="1">
        <v>57</v>
      </c>
      <c r="L148" s="1">
        <v>41</v>
      </c>
      <c r="M148" s="55">
        <f t="shared" si="22"/>
        <v>159</v>
      </c>
      <c r="N148" s="1">
        <v>50</v>
      </c>
      <c r="O148" s="1">
        <v>36</v>
      </c>
      <c r="P148" s="1">
        <v>23</v>
      </c>
      <c r="Q148" s="55">
        <f t="shared" si="23"/>
        <v>109</v>
      </c>
      <c r="R148" s="55">
        <f t="shared" si="24"/>
        <v>502</v>
      </c>
      <c r="T148" s="4" t="s">
        <v>824</v>
      </c>
    </row>
    <row r="149" spans="1:20" ht="15.75" customHeight="1" x14ac:dyDescent="0.3">
      <c r="A149" s="71" t="s">
        <v>115</v>
      </c>
      <c r="B149" s="1">
        <v>106</v>
      </c>
      <c r="C149" s="1">
        <v>144</v>
      </c>
      <c r="D149" s="1">
        <v>161</v>
      </c>
      <c r="E149" s="55">
        <f t="shared" si="20"/>
        <v>411</v>
      </c>
      <c r="F149" s="1">
        <v>170</v>
      </c>
      <c r="G149" s="1">
        <v>180</v>
      </c>
      <c r="H149" s="1">
        <v>174</v>
      </c>
      <c r="I149" s="55">
        <f t="shared" si="21"/>
        <v>524</v>
      </c>
      <c r="J149" s="1">
        <v>223</v>
      </c>
      <c r="K149" s="1">
        <v>191</v>
      </c>
      <c r="L149" s="1">
        <v>170</v>
      </c>
      <c r="M149" s="55">
        <f t="shared" si="22"/>
        <v>584</v>
      </c>
      <c r="N149" s="1">
        <v>166</v>
      </c>
      <c r="O149" s="1">
        <v>167</v>
      </c>
      <c r="P149" s="1">
        <v>148</v>
      </c>
      <c r="Q149" s="55">
        <f t="shared" si="23"/>
        <v>481</v>
      </c>
      <c r="R149" s="55">
        <f t="shared" si="24"/>
        <v>2000</v>
      </c>
      <c r="T149" s="4" t="s">
        <v>825</v>
      </c>
    </row>
    <row r="150" spans="1:20" ht="15.75" customHeight="1" x14ac:dyDescent="0.3">
      <c r="A150" s="71" t="s">
        <v>826</v>
      </c>
      <c r="B150" s="1"/>
      <c r="C150" s="1">
        <v>47</v>
      </c>
      <c r="D150" s="1">
        <v>500</v>
      </c>
      <c r="E150" s="55">
        <f t="shared" si="20"/>
        <v>547</v>
      </c>
      <c r="F150" s="1"/>
      <c r="G150" s="1"/>
      <c r="H150" s="1"/>
      <c r="I150" s="55">
        <f t="shared" si="21"/>
        <v>0</v>
      </c>
      <c r="J150" s="1"/>
      <c r="K150" s="1"/>
      <c r="L150" s="1">
        <v>1550</v>
      </c>
      <c r="M150" s="55">
        <f t="shared" si="22"/>
        <v>1550</v>
      </c>
      <c r="N150" s="1">
        <f>500+500+500</f>
        <v>1500</v>
      </c>
      <c r="O150" s="1">
        <v>1000</v>
      </c>
      <c r="P150" s="1">
        <v>80</v>
      </c>
      <c r="Q150" s="55">
        <f t="shared" si="23"/>
        <v>2580</v>
      </c>
      <c r="R150" s="55">
        <f t="shared" si="24"/>
        <v>4677</v>
      </c>
    </row>
    <row r="151" spans="1:20" ht="15.75" customHeight="1" x14ac:dyDescent="0.3">
      <c r="A151" s="84" t="s">
        <v>827</v>
      </c>
      <c r="B151" s="1"/>
      <c r="C151" s="1"/>
      <c r="D151" s="1">
        <v>150</v>
      </c>
      <c r="E151" s="55">
        <f t="shared" si="20"/>
        <v>150</v>
      </c>
      <c r="F151" s="1"/>
      <c r="G151" s="1">
        <v>75</v>
      </c>
      <c r="H151" s="1">
        <v>75</v>
      </c>
      <c r="I151" s="55">
        <f t="shared" si="21"/>
        <v>150</v>
      </c>
      <c r="J151" s="1">
        <v>75</v>
      </c>
      <c r="K151" s="1">
        <v>75</v>
      </c>
      <c r="L151" s="1">
        <v>75</v>
      </c>
      <c r="M151" s="55">
        <f t="shared" si="22"/>
        <v>225</v>
      </c>
      <c r="N151" s="1">
        <v>75</v>
      </c>
      <c r="O151" s="1"/>
      <c r="P151" s="1"/>
      <c r="Q151" s="55">
        <f t="shared" si="23"/>
        <v>75</v>
      </c>
      <c r="R151" s="55">
        <f t="shared" si="24"/>
        <v>600</v>
      </c>
      <c r="T151" s="4" t="s">
        <v>812</v>
      </c>
    </row>
    <row r="152" spans="1:20" ht="15.75" customHeight="1" x14ac:dyDescent="0.3">
      <c r="A152" s="71" t="s">
        <v>828</v>
      </c>
      <c r="B152" s="1">
        <v>406</v>
      </c>
      <c r="C152" s="1">
        <v>385</v>
      </c>
      <c r="D152" s="1">
        <v>428</v>
      </c>
      <c r="E152" s="55">
        <f t="shared" si="20"/>
        <v>1219</v>
      </c>
      <c r="F152" s="1">
        <v>472</v>
      </c>
      <c r="G152" s="1">
        <v>522</v>
      </c>
      <c r="H152" s="1">
        <v>589</v>
      </c>
      <c r="I152" s="55">
        <f t="shared" si="21"/>
        <v>1583</v>
      </c>
      <c r="J152" s="1">
        <v>585</v>
      </c>
      <c r="K152" s="1">
        <v>546</v>
      </c>
      <c r="L152" s="1">
        <v>497</v>
      </c>
      <c r="M152" s="55">
        <f t="shared" si="22"/>
        <v>1628</v>
      </c>
      <c r="N152" s="1">
        <v>483</v>
      </c>
      <c r="O152" s="1">
        <v>512</v>
      </c>
      <c r="P152" s="1">
        <v>404</v>
      </c>
      <c r="Q152" s="55">
        <f t="shared" si="23"/>
        <v>1399</v>
      </c>
      <c r="R152" s="55">
        <f t="shared" si="24"/>
        <v>5829</v>
      </c>
      <c r="T152" s="4" t="s">
        <v>829</v>
      </c>
    </row>
    <row r="153" spans="1:20" ht="15.75" customHeight="1" x14ac:dyDescent="0.3">
      <c r="A153" s="84" t="s">
        <v>830</v>
      </c>
      <c r="B153" s="1"/>
      <c r="C153" s="1"/>
      <c r="D153" s="1"/>
      <c r="E153" s="55">
        <f t="shared" si="20"/>
        <v>0</v>
      </c>
      <c r="F153" s="1"/>
      <c r="G153" s="1"/>
      <c r="H153" s="1"/>
      <c r="I153" s="55">
        <f t="shared" si="21"/>
        <v>0</v>
      </c>
      <c r="J153" s="1">
        <v>508</v>
      </c>
      <c r="K153" s="1"/>
      <c r="L153" s="1"/>
      <c r="M153" s="55">
        <f t="shared" si="22"/>
        <v>508</v>
      </c>
      <c r="N153" s="1"/>
      <c r="O153" s="1"/>
      <c r="P153" s="1"/>
      <c r="Q153" s="55">
        <f t="shared" si="23"/>
        <v>0</v>
      </c>
      <c r="R153" s="55">
        <f t="shared" si="24"/>
        <v>508</v>
      </c>
      <c r="T153" s="4" t="s">
        <v>819</v>
      </c>
    </row>
    <row r="154" spans="1:20" ht="15.75" customHeight="1" x14ac:dyDescent="0.3">
      <c r="A154" s="71" t="s">
        <v>831</v>
      </c>
      <c r="B154" s="1"/>
      <c r="C154" s="1"/>
      <c r="D154" s="1"/>
      <c r="E154" s="55">
        <f t="shared" ref="E154:E169" si="25">SUM(B154:D154)</f>
        <v>0</v>
      </c>
      <c r="F154" s="1"/>
      <c r="G154" s="1"/>
      <c r="H154" s="1"/>
      <c r="I154" s="55">
        <f t="shared" ref="I154:I169" si="26">SUM(F154:H154)</f>
        <v>0</v>
      </c>
      <c r="J154" s="1"/>
      <c r="K154" s="1"/>
      <c r="L154" s="1">
        <v>442</v>
      </c>
      <c r="M154" s="55">
        <f t="shared" ref="M154:M169" si="27">SUM(J154:L154)</f>
        <v>442</v>
      </c>
      <c r="N154" s="1"/>
      <c r="O154" s="1"/>
      <c r="P154" s="1">
        <v>125</v>
      </c>
      <c r="Q154" s="55">
        <f t="shared" ref="Q154:Q168" si="28">SUM(N154:P154)</f>
        <v>125</v>
      </c>
      <c r="R154" s="55">
        <f t="shared" si="24"/>
        <v>567</v>
      </c>
      <c r="T154" s="4" t="s">
        <v>822</v>
      </c>
    </row>
    <row r="155" spans="1:20" s="123" customFormat="1" ht="15.75" customHeight="1" x14ac:dyDescent="0.3">
      <c r="A155" s="289" t="s">
        <v>697</v>
      </c>
      <c r="B155" s="121"/>
      <c r="C155" s="121"/>
      <c r="D155" s="121"/>
      <c r="E155" s="113">
        <f t="shared" si="25"/>
        <v>0</v>
      </c>
      <c r="F155" s="121"/>
      <c r="G155" s="121"/>
      <c r="H155" s="121"/>
      <c r="I155" s="113">
        <f t="shared" si="26"/>
        <v>0</v>
      </c>
      <c r="J155" s="121"/>
      <c r="K155" s="121"/>
      <c r="L155" s="121"/>
      <c r="M155" s="113">
        <f t="shared" si="27"/>
        <v>0</v>
      </c>
      <c r="N155" s="121"/>
      <c r="O155" s="121"/>
      <c r="P155" s="121"/>
      <c r="Q155" s="113">
        <f t="shared" si="28"/>
        <v>0</v>
      </c>
      <c r="R155" s="113">
        <f t="shared" si="24"/>
        <v>0</v>
      </c>
    </row>
    <row r="156" spans="1:20" ht="15.75" customHeight="1" x14ac:dyDescent="0.3">
      <c r="A156" s="71" t="s">
        <v>698</v>
      </c>
      <c r="B156" s="1"/>
      <c r="C156" s="1"/>
      <c r="D156" s="1"/>
      <c r="E156" s="55">
        <f>SUM(B156:D156)</f>
        <v>0</v>
      </c>
      <c r="F156" s="1"/>
      <c r="G156" s="1">
        <v>842</v>
      </c>
      <c r="H156" s="1">
        <v>1699</v>
      </c>
      <c r="I156" s="55">
        <f>SUM(F156:H156)</f>
        <v>2541</v>
      </c>
      <c r="J156" s="1">
        <v>1696</v>
      </c>
      <c r="K156" s="1">
        <v>1252</v>
      </c>
      <c r="L156" s="1">
        <v>949</v>
      </c>
      <c r="M156" s="55">
        <f>SUM(J156:L156)</f>
        <v>3897</v>
      </c>
      <c r="N156" s="1">
        <v>1054</v>
      </c>
      <c r="O156" s="1">
        <v>1265</v>
      </c>
      <c r="P156" s="1">
        <v>1422</v>
      </c>
      <c r="Q156" s="55">
        <f>SUM(N156:P156)</f>
        <v>3741</v>
      </c>
      <c r="R156" s="55">
        <f>+E156+I156+M156+Q156</f>
        <v>10179</v>
      </c>
      <c r="T156" s="4" t="s">
        <v>832</v>
      </c>
    </row>
    <row r="157" spans="1:20" ht="15.75" customHeight="1" x14ac:dyDescent="0.3">
      <c r="A157" s="84" t="s">
        <v>837</v>
      </c>
      <c r="B157" s="1"/>
      <c r="C157" s="1"/>
      <c r="D157" s="1"/>
      <c r="E157" s="55">
        <f>SUM(B157:D157)</f>
        <v>0</v>
      </c>
      <c r="F157" s="1"/>
      <c r="G157" s="1"/>
      <c r="H157" s="1"/>
      <c r="I157" s="55">
        <f>SUM(F157:H157)</f>
        <v>0</v>
      </c>
      <c r="J157" s="1"/>
      <c r="K157" s="1"/>
      <c r="L157" s="1"/>
      <c r="M157" s="55">
        <f>SUM(J157:L157)</f>
        <v>0</v>
      </c>
      <c r="N157" s="1"/>
      <c r="O157" s="1"/>
      <c r="P157" s="1"/>
      <c r="Q157" s="55">
        <f>SUM(N157:P157)</f>
        <v>0</v>
      </c>
      <c r="R157" s="55">
        <f>+E157+I157+M157+Q157</f>
        <v>0</v>
      </c>
      <c r="T157" s="4" t="s">
        <v>818</v>
      </c>
    </row>
    <row r="158" spans="1:20" ht="15.75" customHeight="1" x14ac:dyDescent="0.3">
      <c r="A158" s="84" t="s">
        <v>838</v>
      </c>
      <c r="B158" s="1"/>
      <c r="C158" s="1"/>
      <c r="D158" s="1"/>
      <c r="E158" s="55">
        <f>SUM(B158:D158)</f>
        <v>0</v>
      </c>
      <c r="F158" s="1">
        <v>610</v>
      </c>
      <c r="G158" s="1"/>
      <c r="H158" s="1"/>
      <c r="I158" s="55">
        <f>SUM(F158:H158)</f>
        <v>610</v>
      </c>
      <c r="J158" s="1"/>
      <c r="K158" s="1"/>
      <c r="L158" s="1"/>
      <c r="M158" s="55">
        <f>SUM(J158:L158)</f>
        <v>0</v>
      </c>
      <c r="N158" s="1"/>
      <c r="O158" s="1"/>
      <c r="P158" s="1"/>
      <c r="Q158" s="55">
        <f>SUM(N158:P158)</f>
        <v>0</v>
      </c>
      <c r="R158" s="55">
        <f>+E158+I158+M158+Q158</f>
        <v>610</v>
      </c>
      <c r="T158" s="4" t="s">
        <v>819</v>
      </c>
    </row>
    <row r="159" spans="1:20" ht="15.75" customHeight="1" x14ac:dyDescent="0.3">
      <c r="A159" s="71" t="s">
        <v>120</v>
      </c>
      <c r="B159" s="1">
        <v>40</v>
      </c>
      <c r="C159" s="1">
        <v>22</v>
      </c>
      <c r="D159" s="1">
        <v>46</v>
      </c>
      <c r="E159" s="55">
        <f>SUM(B159:D159)</f>
        <v>108</v>
      </c>
      <c r="F159" s="1">
        <v>49</v>
      </c>
      <c r="G159" s="1">
        <v>70</v>
      </c>
      <c r="H159" s="1">
        <v>82</v>
      </c>
      <c r="I159" s="55">
        <f>SUM(F159:H159)</f>
        <v>201</v>
      </c>
      <c r="J159" s="1">
        <v>73</v>
      </c>
      <c r="K159" s="1">
        <v>61</v>
      </c>
      <c r="L159" s="1">
        <v>33</v>
      </c>
      <c r="M159" s="55">
        <f>SUM(J159:L159)</f>
        <v>167</v>
      </c>
      <c r="N159" s="1">
        <v>66</v>
      </c>
      <c r="O159" s="1">
        <v>29</v>
      </c>
      <c r="P159" s="1">
        <v>15</v>
      </c>
      <c r="Q159" s="55">
        <f>SUM(N159:P159)</f>
        <v>110</v>
      </c>
      <c r="R159" s="55">
        <f>+E159+I159+M159+Q159</f>
        <v>586</v>
      </c>
      <c r="T159" s="4" t="s">
        <v>406</v>
      </c>
    </row>
    <row r="160" spans="1:20" ht="15.75" customHeight="1" x14ac:dyDescent="0.3">
      <c r="A160" s="84" t="s">
        <v>839</v>
      </c>
      <c r="B160" s="1"/>
      <c r="C160" s="1"/>
      <c r="D160" s="1"/>
      <c r="E160" s="55">
        <f>SUM(B160:D160)</f>
        <v>0</v>
      </c>
      <c r="F160" s="1">
        <v>503</v>
      </c>
      <c r="G160" s="1"/>
      <c r="H160" s="1"/>
      <c r="I160" s="55">
        <f>SUM(F160:H160)</f>
        <v>503</v>
      </c>
      <c r="J160" s="1"/>
      <c r="K160" s="1"/>
      <c r="L160" s="1"/>
      <c r="M160" s="55">
        <f>SUM(J160:L160)</f>
        <v>0</v>
      </c>
      <c r="N160" s="1"/>
      <c r="O160" s="1"/>
      <c r="P160" s="1"/>
      <c r="Q160" s="55">
        <f>SUM(N160:P160)</f>
        <v>0</v>
      </c>
      <c r="R160" s="55">
        <f t="shared" si="24"/>
        <v>503</v>
      </c>
      <c r="T160" s="4" t="s">
        <v>818</v>
      </c>
    </row>
    <row r="161" spans="1:20" ht="15.75" customHeight="1" x14ac:dyDescent="0.3">
      <c r="A161" s="84" t="s">
        <v>840</v>
      </c>
      <c r="B161" s="1"/>
      <c r="C161" s="1"/>
      <c r="D161" s="1"/>
      <c r="E161" s="55">
        <f t="shared" si="25"/>
        <v>0</v>
      </c>
      <c r="F161" s="1"/>
      <c r="G161" s="1"/>
      <c r="H161" s="1"/>
      <c r="I161" s="55">
        <f t="shared" si="26"/>
        <v>0</v>
      </c>
      <c r="J161" s="1"/>
      <c r="K161" s="1"/>
      <c r="L161" s="1"/>
      <c r="M161" s="55">
        <f t="shared" si="27"/>
        <v>0</v>
      </c>
      <c r="N161" s="1"/>
      <c r="O161" s="1"/>
      <c r="P161" s="1"/>
      <c r="Q161" s="55">
        <f t="shared" si="28"/>
        <v>0</v>
      </c>
      <c r="R161" s="55">
        <f t="shared" si="24"/>
        <v>0</v>
      </c>
      <c r="T161" s="4" t="s">
        <v>819</v>
      </c>
    </row>
    <row r="162" spans="1:20" ht="15.75" customHeight="1" x14ac:dyDescent="0.3">
      <c r="A162" s="84" t="s">
        <v>841</v>
      </c>
      <c r="B162" s="1"/>
      <c r="C162" s="1"/>
      <c r="D162" s="1"/>
      <c r="E162" s="55">
        <f t="shared" si="25"/>
        <v>0</v>
      </c>
      <c r="F162" s="1"/>
      <c r="G162" s="1">
        <v>88</v>
      </c>
      <c r="H162" s="1">
        <v>86</v>
      </c>
      <c r="I162" s="55">
        <f t="shared" si="26"/>
        <v>174</v>
      </c>
      <c r="J162" s="1">
        <v>82</v>
      </c>
      <c r="K162" s="1">
        <v>46</v>
      </c>
      <c r="L162" s="1">
        <v>53</v>
      </c>
      <c r="M162" s="55">
        <f t="shared" si="27"/>
        <v>181</v>
      </c>
      <c r="N162" s="1">
        <v>80</v>
      </c>
      <c r="O162" s="1">
        <v>40</v>
      </c>
      <c r="P162" s="1">
        <v>22</v>
      </c>
      <c r="Q162" s="55">
        <f t="shared" si="28"/>
        <v>142</v>
      </c>
      <c r="R162" s="55">
        <f t="shared" si="24"/>
        <v>497</v>
      </c>
      <c r="T162" s="4" t="s">
        <v>842</v>
      </c>
    </row>
    <row r="163" spans="1:20" ht="15.75" customHeight="1" x14ac:dyDescent="0.3">
      <c r="A163" s="84" t="s">
        <v>843</v>
      </c>
      <c r="B163" s="1"/>
      <c r="C163" s="1"/>
      <c r="D163" s="1"/>
      <c r="E163" s="55">
        <f t="shared" si="25"/>
        <v>0</v>
      </c>
      <c r="F163" s="1"/>
      <c r="G163" s="1">
        <v>107</v>
      </c>
      <c r="H163" s="1">
        <v>159</v>
      </c>
      <c r="I163" s="55">
        <f t="shared" si="26"/>
        <v>266</v>
      </c>
      <c r="J163" s="1">
        <v>115</v>
      </c>
      <c r="K163" s="1">
        <v>82</v>
      </c>
      <c r="L163" s="1">
        <v>132</v>
      </c>
      <c r="M163" s="55">
        <f t="shared" si="27"/>
        <v>329</v>
      </c>
      <c r="N163" s="1">
        <v>3</v>
      </c>
      <c r="O163" s="1">
        <v>51</v>
      </c>
      <c r="P163" s="1">
        <v>6</v>
      </c>
      <c r="Q163" s="55">
        <f t="shared" si="28"/>
        <v>60</v>
      </c>
      <c r="R163" s="55">
        <f t="shared" si="24"/>
        <v>655</v>
      </c>
      <c r="T163" s="4" t="s">
        <v>406</v>
      </c>
    </row>
    <row r="164" spans="1:20" ht="15.75" customHeight="1" x14ac:dyDescent="0.3">
      <c r="A164" s="84" t="s">
        <v>844</v>
      </c>
      <c r="B164" s="1"/>
      <c r="C164" s="1"/>
      <c r="D164" s="1"/>
      <c r="E164" s="55">
        <f t="shared" si="25"/>
        <v>0</v>
      </c>
      <c r="F164" s="1">
        <v>15</v>
      </c>
      <c r="G164" s="1">
        <v>23</v>
      </c>
      <c r="H164" s="1">
        <v>38</v>
      </c>
      <c r="I164" s="55">
        <f t="shared" si="26"/>
        <v>76</v>
      </c>
      <c r="J164" s="1">
        <v>33</v>
      </c>
      <c r="K164" s="1">
        <v>10</v>
      </c>
      <c r="L164" s="1">
        <v>3</v>
      </c>
      <c r="M164" s="55">
        <f t="shared" si="27"/>
        <v>46</v>
      </c>
      <c r="N164" s="1">
        <v>43</v>
      </c>
      <c r="O164" s="1">
        <v>1</v>
      </c>
      <c r="P164" s="1">
        <v>1</v>
      </c>
      <c r="Q164" s="55">
        <f t="shared" si="28"/>
        <v>45</v>
      </c>
      <c r="R164" s="55">
        <f t="shared" si="24"/>
        <v>167</v>
      </c>
      <c r="T164" s="4" t="s">
        <v>812</v>
      </c>
    </row>
    <row r="165" spans="1:20" ht="15.75" customHeight="1" x14ac:dyDescent="0.3">
      <c r="A165" s="71" t="s">
        <v>845</v>
      </c>
      <c r="B165" s="1"/>
      <c r="C165" s="1"/>
      <c r="D165" s="1"/>
      <c r="E165" s="55">
        <f t="shared" si="25"/>
        <v>0</v>
      </c>
      <c r="F165" s="1">
        <v>879</v>
      </c>
      <c r="G165" s="1">
        <v>1041</v>
      </c>
      <c r="H165" s="1">
        <v>977</v>
      </c>
      <c r="I165" s="55">
        <f t="shared" si="26"/>
        <v>2897</v>
      </c>
      <c r="J165" s="1">
        <v>1028</v>
      </c>
      <c r="K165" s="1">
        <v>983</v>
      </c>
      <c r="L165" s="1">
        <v>851</v>
      </c>
      <c r="M165" s="55">
        <f t="shared" si="27"/>
        <v>2862</v>
      </c>
      <c r="N165" s="1">
        <v>875</v>
      </c>
      <c r="O165" s="1">
        <v>864</v>
      </c>
      <c r="P165" s="1">
        <v>675</v>
      </c>
      <c r="Q165" s="55">
        <f t="shared" si="28"/>
        <v>2414</v>
      </c>
      <c r="R165" s="55">
        <f t="shared" si="24"/>
        <v>8173</v>
      </c>
      <c r="T165" s="4" t="s">
        <v>832</v>
      </c>
    </row>
    <row r="166" spans="1:20" ht="15.75" customHeight="1" x14ac:dyDescent="0.3">
      <c r="A166" s="71" t="s">
        <v>846</v>
      </c>
      <c r="B166" s="1"/>
      <c r="C166" s="1"/>
      <c r="D166" s="1"/>
      <c r="E166" s="55">
        <f t="shared" si="25"/>
        <v>0</v>
      </c>
      <c r="F166" s="1"/>
      <c r="G166" s="1"/>
      <c r="H166" s="1"/>
      <c r="I166" s="55">
        <f t="shared" si="26"/>
        <v>0</v>
      </c>
      <c r="J166" s="1">
        <v>1000</v>
      </c>
      <c r="K166" s="1">
        <v>1000</v>
      </c>
      <c r="L166" s="1">
        <v>1000</v>
      </c>
      <c r="M166" s="55">
        <f t="shared" si="27"/>
        <v>3000</v>
      </c>
      <c r="N166" s="1">
        <v>500</v>
      </c>
      <c r="O166" s="1"/>
      <c r="P166" s="1"/>
      <c r="Q166" s="55">
        <f t="shared" si="28"/>
        <v>500</v>
      </c>
      <c r="R166" s="55">
        <f t="shared" si="24"/>
        <v>3500</v>
      </c>
      <c r="T166" s="4" t="s">
        <v>822</v>
      </c>
    </row>
    <row r="167" spans="1:20" ht="15.75" customHeight="1" x14ac:dyDescent="0.3">
      <c r="A167" s="71" t="s">
        <v>847</v>
      </c>
      <c r="B167" s="1"/>
      <c r="C167" s="1"/>
      <c r="D167" s="1"/>
      <c r="E167" s="55">
        <f t="shared" si="25"/>
        <v>0</v>
      </c>
      <c r="F167" s="1"/>
      <c r="G167" s="1"/>
      <c r="H167" s="1"/>
      <c r="I167" s="55">
        <f t="shared" si="26"/>
        <v>0</v>
      </c>
      <c r="J167" s="1"/>
      <c r="K167" s="1"/>
      <c r="L167" s="1"/>
      <c r="M167" s="55">
        <f t="shared" si="27"/>
        <v>0</v>
      </c>
      <c r="N167" s="1"/>
      <c r="O167" s="1"/>
      <c r="P167" s="1"/>
      <c r="Q167" s="55">
        <f t="shared" si="28"/>
        <v>0</v>
      </c>
      <c r="R167" s="55">
        <f t="shared" si="24"/>
        <v>0</v>
      </c>
      <c r="T167" s="4" t="s">
        <v>822</v>
      </c>
    </row>
    <row r="168" spans="1:20" ht="15.75" customHeight="1" x14ac:dyDescent="0.3">
      <c r="A168" s="71" t="s">
        <v>122</v>
      </c>
      <c r="B168" s="1">
        <v>9240</v>
      </c>
      <c r="C168" s="1">
        <v>9328</v>
      </c>
      <c r="D168" s="1">
        <v>9350</v>
      </c>
      <c r="E168" s="55">
        <f t="shared" si="25"/>
        <v>27918</v>
      </c>
      <c r="F168" s="1">
        <v>8226</v>
      </c>
      <c r="G168" s="1"/>
      <c r="H168" s="1">
        <v>211</v>
      </c>
      <c r="I168" s="55">
        <f t="shared" si="26"/>
        <v>8437</v>
      </c>
      <c r="J168" s="1">
        <v>10792</v>
      </c>
      <c r="K168" s="1">
        <v>9376</v>
      </c>
      <c r="L168" s="1">
        <v>9137</v>
      </c>
      <c r="M168" s="55">
        <f t="shared" si="27"/>
        <v>29305</v>
      </c>
      <c r="N168" s="1">
        <v>10364</v>
      </c>
      <c r="O168" s="1">
        <v>9487</v>
      </c>
      <c r="P168" s="1">
        <v>8349</v>
      </c>
      <c r="Q168" s="55">
        <f t="shared" si="28"/>
        <v>28200</v>
      </c>
      <c r="R168" s="55">
        <f t="shared" si="24"/>
        <v>93860</v>
      </c>
      <c r="T168" s="4" t="s">
        <v>1136</v>
      </c>
    </row>
    <row r="169" spans="1:20" ht="15.75" customHeight="1" x14ac:dyDescent="0.3">
      <c r="A169" s="71" t="s">
        <v>849</v>
      </c>
      <c r="B169" s="1">
        <v>30</v>
      </c>
      <c r="C169" s="1">
        <v>30</v>
      </c>
      <c r="D169" s="1">
        <v>30</v>
      </c>
      <c r="E169" s="55">
        <f t="shared" si="25"/>
        <v>90</v>
      </c>
      <c r="F169" s="1">
        <v>35</v>
      </c>
      <c r="G169" s="1">
        <v>35</v>
      </c>
      <c r="H169" s="1">
        <v>35</v>
      </c>
      <c r="I169" s="55">
        <f t="shared" si="26"/>
        <v>105</v>
      </c>
      <c r="J169" s="1">
        <v>35</v>
      </c>
      <c r="K169" s="1">
        <v>35</v>
      </c>
      <c r="L169" s="1">
        <v>35</v>
      </c>
      <c r="M169" s="55">
        <f t="shared" si="27"/>
        <v>105</v>
      </c>
      <c r="N169" s="1">
        <v>35</v>
      </c>
      <c r="O169" s="1">
        <v>35</v>
      </c>
      <c r="P169" s="1">
        <v>30</v>
      </c>
      <c r="Q169" s="55">
        <f t="shared" si="23"/>
        <v>100</v>
      </c>
      <c r="R169" s="55">
        <f t="shared" si="24"/>
        <v>400</v>
      </c>
      <c r="T169" s="4" t="s">
        <v>822</v>
      </c>
    </row>
    <row r="170" spans="1:20" ht="15.75" customHeight="1" x14ac:dyDescent="0.3">
      <c r="A170" s="71" t="s">
        <v>124</v>
      </c>
      <c r="B170" s="1">
        <v>3283</v>
      </c>
      <c r="C170" s="1"/>
      <c r="D170" s="1"/>
      <c r="E170" s="55">
        <f>SUM(B170:D170)</f>
        <v>3283</v>
      </c>
      <c r="F170" s="1"/>
      <c r="G170" s="1"/>
      <c r="H170" s="1">
        <v>3352</v>
      </c>
      <c r="I170" s="55">
        <f>SUM(F170:H170)</f>
        <v>3352</v>
      </c>
      <c r="J170" s="1">
        <v>6469</v>
      </c>
      <c r="K170" s="1">
        <v>5256</v>
      </c>
      <c r="L170" s="1">
        <v>4544</v>
      </c>
      <c r="M170" s="55">
        <f>SUM(J170:L170)</f>
        <v>16269</v>
      </c>
      <c r="N170" s="1">
        <v>4552</v>
      </c>
      <c r="O170" s="1">
        <v>4033</v>
      </c>
      <c r="P170" s="1">
        <v>4641</v>
      </c>
      <c r="Q170" s="55">
        <f t="shared" si="23"/>
        <v>13226</v>
      </c>
      <c r="R170" s="55">
        <f t="shared" si="24"/>
        <v>36130</v>
      </c>
    </row>
    <row r="171" spans="1:20" ht="15.75" customHeight="1" x14ac:dyDescent="0.3">
      <c r="A171" s="84" t="s">
        <v>851</v>
      </c>
      <c r="B171" s="1"/>
      <c r="C171" s="1"/>
      <c r="D171" s="1"/>
      <c r="E171" s="55">
        <f>SUM(B171:D171)</f>
        <v>0</v>
      </c>
      <c r="F171" s="1"/>
      <c r="G171" s="1"/>
      <c r="H171" s="1"/>
      <c r="I171" s="55">
        <f>SUM(F171:H171)</f>
        <v>0</v>
      </c>
      <c r="J171" s="1"/>
      <c r="K171" s="1"/>
      <c r="L171" s="1"/>
      <c r="M171" s="55">
        <f>SUM(J171:L171)</f>
        <v>0</v>
      </c>
      <c r="N171" s="1"/>
      <c r="O171" s="1"/>
      <c r="P171" s="1"/>
      <c r="Q171" s="55">
        <f t="shared" si="23"/>
        <v>0</v>
      </c>
      <c r="R171" s="55">
        <f t="shared" si="24"/>
        <v>0</v>
      </c>
      <c r="T171" s="4" t="s">
        <v>818</v>
      </c>
    </row>
    <row r="172" spans="1:20" ht="15.75" customHeight="1" x14ac:dyDescent="0.3">
      <c r="A172" s="84" t="s">
        <v>852</v>
      </c>
      <c r="B172" s="1"/>
      <c r="C172" s="1"/>
      <c r="D172" s="1"/>
      <c r="E172" s="55">
        <f>SUM(B172:D172)</f>
        <v>0</v>
      </c>
      <c r="F172" s="1"/>
      <c r="G172" s="1"/>
      <c r="H172" s="1"/>
      <c r="I172" s="55">
        <f>SUM(F172:H172)</f>
        <v>0</v>
      </c>
      <c r="J172" s="1">
        <v>2285</v>
      </c>
      <c r="K172" s="1">
        <v>660</v>
      </c>
      <c r="L172" s="1">
        <v>822</v>
      </c>
      <c r="M172" s="55">
        <f>SUM(J172:L172)</f>
        <v>3767</v>
      </c>
      <c r="N172" s="1">
        <v>1676</v>
      </c>
      <c r="O172" s="1"/>
      <c r="P172" s="1"/>
      <c r="Q172" s="55">
        <f t="shared" si="23"/>
        <v>1676</v>
      </c>
      <c r="R172" s="55">
        <f t="shared" si="24"/>
        <v>5443</v>
      </c>
      <c r="T172" s="4" t="s">
        <v>819</v>
      </c>
    </row>
    <row r="173" spans="1:20" ht="15.75" customHeight="1" x14ac:dyDescent="0.3">
      <c r="A173" s="71" t="s">
        <v>854</v>
      </c>
      <c r="B173" s="1">
        <v>122</v>
      </c>
      <c r="C173" s="1">
        <v>300</v>
      </c>
      <c r="D173" s="1">
        <v>350</v>
      </c>
      <c r="E173" s="55">
        <f>SUM(B173:D173)</f>
        <v>772</v>
      </c>
      <c r="F173" s="1">
        <v>350</v>
      </c>
      <c r="G173" s="1">
        <v>400</v>
      </c>
      <c r="H173" s="1">
        <v>450</v>
      </c>
      <c r="I173" s="55">
        <f>SUM(F173:H173)</f>
        <v>1200</v>
      </c>
      <c r="J173" s="1">
        <v>493</v>
      </c>
      <c r="K173" s="1">
        <v>500</v>
      </c>
      <c r="L173" s="1">
        <v>400</v>
      </c>
      <c r="M173" s="55">
        <f>SUM(J173:L173)</f>
        <v>1393</v>
      </c>
      <c r="N173" s="1">
        <v>400</v>
      </c>
      <c r="O173" s="1">
        <v>300</v>
      </c>
      <c r="P173" s="1">
        <v>250</v>
      </c>
      <c r="Q173" s="55">
        <f>SUM(N173:P173)</f>
        <v>950</v>
      </c>
      <c r="R173" s="55">
        <f>+E173+I173+M173+Q173</f>
        <v>4315</v>
      </c>
      <c r="T173" s="4" t="s">
        <v>822</v>
      </c>
    </row>
    <row r="174" spans="1:20" ht="15.75" customHeight="1" x14ac:dyDescent="0.3">
      <c r="A174" s="71" t="s">
        <v>700</v>
      </c>
      <c r="B174" s="1">
        <v>3</v>
      </c>
      <c r="C174" s="1">
        <v>2</v>
      </c>
      <c r="D174" s="1">
        <v>2</v>
      </c>
      <c r="E174" s="55">
        <f>SUM(B174:D174)</f>
        <v>7</v>
      </c>
      <c r="F174" s="1">
        <v>3</v>
      </c>
      <c r="G174" s="1">
        <v>3</v>
      </c>
      <c r="H174" s="1">
        <v>3</v>
      </c>
      <c r="I174" s="55">
        <f>SUM(F174:H174)</f>
        <v>9</v>
      </c>
      <c r="J174" s="1">
        <v>3</v>
      </c>
      <c r="K174" s="1">
        <v>3</v>
      </c>
      <c r="L174" s="1">
        <v>2</v>
      </c>
      <c r="M174" s="55">
        <f>SUM(J174:L174)</f>
        <v>8</v>
      </c>
      <c r="N174" s="1">
        <v>2</v>
      </c>
      <c r="O174" s="1">
        <v>3</v>
      </c>
      <c r="P174" s="1">
        <v>2</v>
      </c>
      <c r="Q174" s="55">
        <f>SUM(N174:P174)</f>
        <v>7</v>
      </c>
      <c r="R174" s="55">
        <f>+E174+I174+M174+Q174</f>
        <v>31</v>
      </c>
      <c r="S174" s="4">
        <f>SUM(R139:R174)</f>
        <v>213617</v>
      </c>
    </row>
    <row r="175" spans="1:20" ht="15.75" customHeight="1" x14ac:dyDescent="0.3">
      <c r="A175" s="15" t="s">
        <v>50</v>
      </c>
      <c r="B175" s="1"/>
      <c r="C175" s="1"/>
      <c r="D175" s="1"/>
      <c r="E175" s="55" t="s">
        <v>7</v>
      </c>
      <c r="F175" s="1"/>
      <c r="G175" s="1"/>
      <c r="H175" s="1"/>
      <c r="I175" s="55" t="s">
        <v>7</v>
      </c>
      <c r="J175" s="1"/>
      <c r="K175" s="1"/>
      <c r="L175" s="1"/>
      <c r="M175" s="55" t="s">
        <v>7</v>
      </c>
      <c r="N175" s="1"/>
      <c r="O175" s="1"/>
      <c r="P175" s="1"/>
      <c r="Q175" s="55" t="s">
        <v>7</v>
      </c>
      <c r="R175" s="55" t="s">
        <v>7</v>
      </c>
    </row>
    <row r="176" spans="1:20" ht="15.75" customHeight="1" x14ac:dyDescent="0.3">
      <c r="A176" s="71" t="s">
        <v>701</v>
      </c>
      <c r="B176" s="1"/>
      <c r="C176" s="1"/>
      <c r="D176" s="1"/>
      <c r="E176" s="55">
        <f t="shared" ref="E176:E186" si="29">SUM(B176:D176)</f>
        <v>0</v>
      </c>
      <c r="F176" s="1"/>
      <c r="G176" s="1"/>
      <c r="H176" s="1"/>
      <c r="I176" s="55">
        <f t="shared" ref="I176:I186" si="30">SUM(F176:H176)</f>
        <v>0</v>
      </c>
      <c r="J176" s="1"/>
      <c r="K176" s="1"/>
      <c r="L176" s="1"/>
      <c r="M176" s="55">
        <f t="shared" ref="M176:M186" si="31">SUM(J176:L176)</f>
        <v>0</v>
      </c>
      <c r="N176" s="1"/>
      <c r="O176" s="1"/>
      <c r="P176" s="1"/>
      <c r="Q176" s="55">
        <f t="shared" ref="Q176:Q186" si="32">SUM(N176:P176)</f>
        <v>0</v>
      </c>
      <c r="R176" s="55">
        <f t="shared" ref="R176:R186" si="33">+E176+I176+M176+Q176</f>
        <v>0</v>
      </c>
    </row>
    <row r="177" spans="1:20" ht="15.75" customHeight="1" x14ac:dyDescent="0.3">
      <c r="A177" s="71" t="s">
        <v>127</v>
      </c>
      <c r="B177" s="1">
        <v>19</v>
      </c>
      <c r="C177" s="1">
        <v>19</v>
      </c>
      <c r="D177" s="1">
        <v>26</v>
      </c>
      <c r="E177" s="55">
        <f>SUM(B177:D177)</f>
        <v>64</v>
      </c>
      <c r="F177" s="1">
        <v>41</v>
      </c>
      <c r="G177" s="1">
        <v>52</v>
      </c>
      <c r="H177" s="1">
        <v>55</v>
      </c>
      <c r="I177" s="55">
        <f>SUM(F177:H177)</f>
        <v>148</v>
      </c>
      <c r="J177" s="1">
        <v>53</v>
      </c>
      <c r="K177" s="1">
        <v>43</v>
      </c>
      <c r="L177" s="1">
        <v>30</v>
      </c>
      <c r="M177" s="55">
        <f>SUM(J177:L177)</f>
        <v>126</v>
      </c>
      <c r="N177" s="1">
        <v>53</v>
      </c>
      <c r="O177" s="1">
        <v>33</v>
      </c>
      <c r="P177" s="1">
        <v>18</v>
      </c>
      <c r="Q177" s="55">
        <f>SUM(N177:P177)</f>
        <v>104</v>
      </c>
      <c r="R177" s="55">
        <f>+E177+I177+M177+Q177</f>
        <v>442</v>
      </c>
      <c r="T177" s="4" t="s">
        <v>406</v>
      </c>
    </row>
    <row r="178" spans="1:20" ht="15.75" customHeight="1" x14ac:dyDescent="0.3">
      <c r="A178" s="71" t="s">
        <v>128</v>
      </c>
      <c r="B178" s="1">
        <v>3</v>
      </c>
      <c r="C178" s="1">
        <v>2</v>
      </c>
      <c r="D178" s="1">
        <v>7</v>
      </c>
      <c r="E178" s="55">
        <f t="shared" si="29"/>
        <v>12</v>
      </c>
      <c r="F178" s="1">
        <v>7</v>
      </c>
      <c r="G178" s="1">
        <v>10</v>
      </c>
      <c r="H178" s="1">
        <v>19</v>
      </c>
      <c r="I178" s="55">
        <f t="shared" si="30"/>
        <v>36</v>
      </c>
      <c r="J178" s="1">
        <v>15</v>
      </c>
      <c r="K178" s="1">
        <v>9</v>
      </c>
      <c r="L178" s="1">
        <v>0</v>
      </c>
      <c r="M178" s="55">
        <f t="shared" si="31"/>
        <v>24</v>
      </c>
      <c r="N178" s="1">
        <v>8</v>
      </c>
      <c r="O178" s="1">
        <v>4</v>
      </c>
      <c r="P178" s="1">
        <v>1</v>
      </c>
      <c r="Q178" s="55">
        <f t="shared" si="32"/>
        <v>13</v>
      </c>
      <c r="R178" s="55">
        <f t="shared" si="33"/>
        <v>85</v>
      </c>
    </row>
    <row r="179" spans="1:20" ht="15.75" customHeight="1" x14ac:dyDescent="0.3">
      <c r="A179" s="71" t="s">
        <v>856</v>
      </c>
      <c r="B179" s="1">
        <v>35</v>
      </c>
      <c r="C179" s="1">
        <v>35</v>
      </c>
      <c r="D179" s="1">
        <v>35</v>
      </c>
      <c r="E179" s="55">
        <f t="shared" si="29"/>
        <v>105</v>
      </c>
      <c r="F179" s="1">
        <v>35</v>
      </c>
      <c r="G179" s="1">
        <v>35</v>
      </c>
      <c r="H179" s="1">
        <v>35</v>
      </c>
      <c r="I179" s="55">
        <f t="shared" si="30"/>
        <v>105</v>
      </c>
      <c r="J179" s="1">
        <v>50</v>
      </c>
      <c r="K179" s="1">
        <v>50</v>
      </c>
      <c r="L179" s="1">
        <v>50</v>
      </c>
      <c r="M179" s="55">
        <f t="shared" si="31"/>
        <v>150</v>
      </c>
      <c r="N179" s="1">
        <v>50</v>
      </c>
      <c r="O179" s="1">
        <v>50</v>
      </c>
      <c r="P179" s="1">
        <v>50</v>
      </c>
      <c r="Q179" s="55">
        <f t="shared" si="32"/>
        <v>150</v>
      </c>
      <c r="R179" s="55">
        <f t="shared" si="33"/>
        <v>510</v>
      </c>
      <c r="T179" s="4" t="s">
        <v>822</v>
      </c>
    </row>
    <row r="180" spans="1:20" ht="15.75" customHeight="1" x14ac:dyDescent="0.3">
      <c r="A180" s="71" t="s">
        <v>540</v>
      </c>
      <c r="B180" s="1"/>
      <c r="C180" s="1"/>
      <c r="D180" s="1"/>
      <c r="E180" s="55">
        <f t="shared" si="29"/>
        <v>0</v>
      </c>
      <c r="F180" s="1"/>
      <c r="G180" s="1"/>
      <c r="H180" s="1"/>
      <c r="I180" s="55">
        <f t="shared" si="30"/>
        <v>0</v>
      </c>
      <c r="J180" s="1"/>
      <c r="K180" s="1"/>
      <c r="L180" s="1"/>
      <c r="M180" s="55">
        <f t="shared" si="31"/>
        <v>0</v>
      </c>
      <c r="N180" s="1"/>
      <c r="O180" s="1"/>
      <c r="P180" s="1"/>
      <c r="Q180" s="55">
        <f t="shared" si="32"/>
        <v>0</v>
      </c>
      <c r="R180" s="55">
        <f t="shared" si="33"/>
        <v>0</v>
      </c>
    </row>
    <row r="181" spans="1:20" ht="15.75" customHeight="1" x14ac:dyDescent="0.3">
      <c r="A181" s="71" t="s">
        <v>120</v>
      </c>
      <c r="B181" s="1"/>
      <c r="C181" s="1"/>
      <c r="D181" s="1"/>
      <c r="E181" s="55">
        <f t="shared" si="29"/>
        <v>0</v>
      </c>
      <c r="F181" s="1"/>
      <c r="G181" s="1"/>
      <c r="H181" s="1"/>
      <c r="I181" s="55">
        <f t="shared" si="30"/>
        <v>0</v>
      </c>
      <c r="J181" s="1"/>
      <c r="K181" s="1"/>
      <c r="L181" s="1"/>
      <c r="M181" s="55">
        <f t="shared" si="31"/>
        <v>0</v>
      </c>
      <c r="N181" s="1"/>
      <c r="O181" s="1"/>
      <c r="P181" s="1"/>
      <c r="Q181" s="55">
        <f t="shared" si="32"/>
        <v>0</v>
      </c>
      <c r="R181" s="55">
        <f t="shared" si="33"/>
        <v>0</v>
      </c>
      <c r="T181" s="4" t="s">
        <v>406</v>
      </c>
    </row>
    <row r="182" spans="1:20" ht="15.75" customHeight="1" x14ac:dyDescent="0.3">
      <c r="A182" s="71" t="s">
        <v>132</v>
      </c>
      <c r="B182" s="1"/>
      <c r="C182" s="1"/>
      <c r="D182" s="1"/>
      <c r="E182" s="55">
        <f t="shared" si="29"/>
        <v>0</v>
      </c>
      <c r="F182" s="1"/>
      <c r="G182" s="1"/>
      <c r="H182" s="1"/>
      <c r="I182" s="55">
        <f t="shared" si="30"/>
        <v>0</v>
      </c>
      <c r="J182" s="1"/>
      <c r="K182" s="1"/>
      <c r="L182" s="1"/>
      <c r="M182" s="55">
        <f t="shared" si="31"/>
        <v>0</v>
      </c>
      <c r="N182" s="1"/>
      <c r="O182" s="1"/>
      <c r="P182" s="1"/>
      <c r="Q182" s="55">
        <f t="shared" si="32"/>
        <v>0</v>
      </c>
      <c r="R182" s="55">
        <f t="shared" si="33"/>
        <v>0</v>
      </c>
    </row>
    <row r="183" spans="1:20" ht="15.75" customHeight="1" x14ac:dyDescent="0.3">
      <c r="A183" s="84" t="s">
        <v>614</v>
      </c>
      <c r="B183" s="1"/>
      <c r="C183" s="1"/>
      <c r="D183" s="1"/>
      <c r="E183" s="55">
        <f t="shared" si="29"/>
        <v>0</v>
      </c>
      <c r="F183" s="1"/>
      <c r="G183" s="1"/>
      <c r="H183" s="1"/>
      <c r="I183" s="55">
        <f t="shared" si="30"/>
        <v>0</v>
      </c>
      <c r="J183" s="1"/>
      <c r="K183" s="1"/>
      <c r="L183" s="1"/>
      <c r="M183" s="55">
        <f t="shared" si="31"/>
        <v>0</v>
      </c>
      <c r="N183" s="1"/>
      <c r="O183" s="1"/>
      <c r="P183" s="1"/>
      <c r="Q183" s="55">
        <f t="shared" si="32"/>
        <v>0</v>
      </c>
      <c r="R183" s="55">
        <f t="shared" si="33"/>
        <v>0</v>
      </c>
    </row>
    <row r="184" spans="1:20" ht="15.75" customHeight="1" x14ac:dyDescent="0.3">
      <c r="A184" s="71" t="s">
        <v>857</v>
      </c>
      <c r="B184" s="1"/>
      <c r="C184" s="1"/>
      <c r="D184" s="1"/>
      <c r="E184" s="55">
        <f t="shared" si="29"/>
        <v>0</v>
      </c>
      <c r="F184" s="1"/>
      <c r="G184" s="1"/>
      <c r="H184" s="1"/>
      <c r="I184" s="55">
        <f t="shared" si="30"/>
        <v>0</v>
      </c>
      <c r="J184" s="1"/>
      <c r="K184" s="1"/>
      <c r="L184" s="1"/>
      <c r="M184" s="55">
        <f t="shared" si="31"/>
        <v>0</v>
      </c>
      <c r="N184" s="1"/>
      <c r="O184" s="1"/>
      <c r="P184" s="1"/>
      <c r="Q184" s="55">
        <f t="shared" si="32"/>
        <v>0</v>
      </c>
      <c r="R184" s="55">
        <f t="shared" si="33"/>
        <v>0</v>
      </c>
      <c r="T184" s="4" t="s">
        <v>822</v>
      </c>
    </row>
    <row r="185" spans="1:20" ht="15.75" customHeight="1" x14ac:dyDescent="0.3">
      <c r="A185" s="71" t="s">
        <v>858</v>
      </c>
      <c r="B185" s="1"/>
      <c r="C185" s="1"/>
      <c r="D185" s="1"/>
      <c r="E185" s="55">
        <f t="shared" si="29"/>
        <v>0</v>
      </c>
      <c r="F185" s="1"/>
      <c r="G185" s="1"/>
      <c r="H185" s="1"/>
      <c r="I185" s="55">
        <f t="shared" si="30"/>
        <v>0</v>
      </c>
      <c r="J185" s="1"/>
      <c r="K185" s="1"/>
      <c r="L185" s="1"/>
      <c r="M185" s="55">
        <f t="shared" si="31"/>
        <v>0</v>
      </c>
      <c r="N185" s="1"/>
      <c r="O185" s="1"/>
      <c r="P185" s="1"/>
      <c r="Q185" s="55">
        <f t="shared" si="32"/>
        <v>0</v>
      </c>
      <c r="R185" s="55">
        <f t="shared" si="33"/>
        <v>0</v>
      </c>
      <c r="T185" s="4" t="s">
        <v>859</v>
      </c>
    </row>
    <row r="186" spans="1:20" ht="15.75" customHeight="1" x14ac:dyDescent="0.3">
      <c r="A186" s="84" t="s">
        <v>135</v>
      </c>
      <c r="B186" s="1">
        <v>6</v>
      </c>
      <c r="C186" s="1">
        <v>2</v>
      </c>
      <c r="D186" s="1">
        <v>1</v>
      </c>
      <c r="E186" s="55">
        <f t="shared" si="29"/>
        <v>9</v>
      </c>
      <c r="F186" s="1">
        <v>0</v>
      </c>
      <c r="G186" s="1">
        <v>0</v>
      </c>
      <c r="H186" s="1">
        <v>1</v>
      </c>
      <c r="I186" s="55">
        <f t="shared" si="30"/>
        <v>1</v>
      </c>
      <c r="J186" s="1">
        <v>2</v>
      </c>
      <c r="K186" s="1">
        <v>2</v>
      </c>
      <c r="L186" s="1">
        <v>1</v>
      </c>
      <c r="M186" s="55">
        <f t="shared" si="31"/>
        <v>5</v>
      </c>
      <c r="N186" s="1">
        <v>2</v>
      </c>
      <c r="O186" s="1">
        <v>1</v>
      </c>
      <c r="P186" s="1"/>
      <c r="Q186" s="55">
        <f t="shared" si="32"/>
        <v>3</v>
      </c>
      <c r="R186" s="55">
        <f t="shared" si="33"/>
        <v>18</v>
      </c>
    </row>
    <row r="187" spans="1:20" ht="15.75" customHeight="1" x14ac:dyDescent="0.3">
      <c r="A187" s="15" t="s">
        <v>51</v>
      </c>
      <c r="B187" s="1"/>
      <c r="C187" s="1"/>
      <c r="D187" s="1"/>
      <c r="E187" s="55" t="s">
        <v>7</v>
      </c>
      <c r="F187" s="1"/>
      <c r="G187" s="1"/>
      <c r="H187" s="1"/>
      <c r="I187" s="55" t="s">
        <v>7</v>
      </c>
      <c r="J187" s="1"/>
      <c r="K187" s="1"/>
      <c r="L187" s="1"/>
      <c r="M187" s="55" t="s">
        <v>7</v>
      </c>
      <c r="N187" s="1"/>
      <c r="O187" s="1"/>
      <c r="P187" s="1"/>
      <c r="Q187" s="55" t="s">
        <v>7</v>
      </c>
      <c r="R187" s="55" t="s">
        <v>7</v>
      </c>
    </row>
    <row r="188" spans="1:20" ht="15.75" customHeight="1" x14ac:dyDescent="0.3">
      <c r="A188" s="85" t="s">
        <v>860</v>
      </c>
      <c r="B188" s="1"/>
      <c r="C188" s="1"/>
      <c r="D188" s="1"/>
      <c r="E188" s="55">
        <f>SUM(B188:D188)</f>
        <v>0</v>
      </c>
      <c r="F188" s="1"/>
      <c r="G188" s="1"/>
      <c r="H188" s="1"/>
      <c r="I188" s="55">
        <f>SUM(F188:H188)</f>
        <v>0</v>
      </c>
      <c r="J188" s="1"/>
      <c r="K188" s="1"/>
      <c r="L188" s="1"/>
      <c r="M188" s="55">
        <f>SUM(J188:L188)</f>
        <v>0</v>
      </c>
      <c r="N188" s="1"/>
      <c r="O188" s="1">
        <f>907+385</f>
        <v>1292</v>
      </c>
      <c r="P188" s="1"/>
      <c r="Q188" s="55">
        <f>SUM(N188:P188)</f>
        <v>1292</v>
      </c>
      <c r="R188" s="55">
        <f>+E188+I188+M188+Q188</f>
        <v>1292</v>
      </c>
      <c r="T188" s="4" t="s">
        <v>818</v>
      </c>
    </row>
    <row r="189" spans="1:20" ht="15.75" customHeight="1" x14ac:dyDescent="0.3">
      <c r="A189" s="85" t="s">
        <v>861</v>
      </c>
      <c r="B189" s="1"/>
      <c r="C189" s="1"/>
      <c r="D189" s="1"/>
      <c r="E189" s="55">
        <f>SUM(B189:D189)</f>
        <v>0</v>
      </c>
      <c r="F189" s="1"/>
      <c r="G189" s="1"/>
      <c r="H189" s="1"/>
      <c r="I189" s="55">
        <f>SUM(F189:H189)</f>
        <v>0</v>
      </c>
      <c r="J189" s="1"/>
      <c r="K189" s="1"/>
      <c r="L189" s="1"/>
      <c r="M189" s="55">
        <f>SUM(J189:L189)</f>
        <v>0</v>
      </c>
      <c r="N189" s="1"/>
      <c r="O189" s="1">
        <v>935</v>
      </c>
      <c r="P189" s="1">
        <v>1000</v>
      </c>
      <c r="Q189" s="55">
        <f>SUM(N189:P189)</f>
        <v>1935</v>
      </c>
      <c r="R189" s="55">
        <f>+E189+I189+M189+Q189</f>
        <v>1935</v>
      </c>
      <c r="T189" s="4" t="s">
        <v>819</v>
      </c>
    </row>
    <row r="190" spans="1:20" ht="15.75" customHeight="1" x14ac:dyDescent="0.3">
      <c r="A190" s="61" t="s">
        <v>705</v>
      </c>
      <c r="B190" s="1">
        <v>20</v>
      </c>
      <c r="C190" s="1">
        <v>20</v>
      </c>
      <c r="D190" s="1">
        <v>28</v>
      </c>
      <c r="E190" s="55">
        <f>SUM(B190:D190)</f>
        <v>68</v>
      </c>
      <c r="F190" s="1">
        <v>49</v>
      </c>
      <c r="G190" s="1">
        <v>74</v>
      </c>
      <c r="H190" s="1">
        <v>74</v>
      </c>
      <c r="I190" s="55">
        <f>SUM(F190:H190)</f>
        <v>197</v>
      </c>
      <c r="J190" s="1">
        <v>76</v>
      </c>
      <c r="K190" s="1">
        <v>47</v>
      </c>
      <c r="L190" s="1">
        <v>37</v>
      </c>
      <c r="M190" s="55">
        <f>SUM(J190:L190)</f>
        <v>160</v>
      </c>
      <c r="N190" s="1">
        <v>47</v>
      </c>
      <c r="O190" s="1">
        <v>25</v>
      </c>
      <c r="P190" s="1">
        <v>12</v>
      </c>
      <c r="Q190" s="55">
        <f>SUM(N190:P190)</f>
        <v>84</v>
      </c>
      <c r="R190" s="55">
        <f>+E190+I190+M190+Q190</f>
        <v>509</v>
      </c>
      <c r="T190" s="4" t="s">
        <v>862</v>
      </c>
    </row>
    <row r="191" spans="1:20" ht="15.75" customHeight="1" thickBot="1" x14ac:dyDescent="0.35">
      <c r="A191" s="15" t="s">
        <v>53</v>
      </c>
      <c r="B191" s="1"/>
      <c r="C191" s="1"/>
      <c r="D191" s="1"/>
      <c r="E191" s="55" t="s">
        <v>7</v>
      </c>
      <c r="F191" s="1"/>
      <c r="G191" s="1"/>
      <c r="H191" s="1"/>
      <c r="I191" s="55" t="s">
        <v>7</v>
      </c>
      <c r="J191" s="1"/>
      <c r="K191" s="1"/>
      <c r="L191" s="1"/>
      <c r="M191" s="55" t="s">
        <v>7</v>
      </c>
      <c r="N191" s="1"/>
      <c r="O191" s="1"/>
      <c r="P191" s="1"/>
      <c r="Q191" s="55" t="s">
        <v>7</v>
      </c>
      <c r="R191" s="55" t="s">
        <v>7</v>
      </c>
    </row>
    <row r="192" spans="1:20" ht="16.5" customHeight="1" thickBot="1" x14ac:dyDescent="0.35">
      <c r="A192" s="57" t="s">
        <v>54</v>
      </c>
      <c r="B192" s="86">
        <f>SUM(B137:B191)</f>
        <v>13341</v>
      </c>
      <c r="C192" s="87">
        <f>SUM(C137:C191)</f>
        <v>11440</v>
      </c>
      <c r="D192" s="87">
        <f>SUM(D137:D191)</f>
        <v>17070</v>
      </c>
      <c r="E192" s="59">
        <f>SUM(B192:D192)</f>
        <v>41851</v>
      </c>
      <c r="F192" s="87">
        <f>SUM(F137:F191)</f>
        <v>15440</v>
      </c>
      <c r="G192" s="87">
        <f>SUM(G137:G191)</f>
        <v>7597</v>
      </c>
      <c r="H192" s="87">
        <f>SUM(H137:H191)</f>
        <v>11154</v>
      </c>
      <c r="I192" s="59">
        <f>SUM(F192:H192)</f>
        <v>34191</v>
      </c>
      <c r="J192" s="87">
        <f>SUM(J137:J191)</f>
        <v>29606</v>
      </c>
      <c r="K192" s="87">
        <f>SUM(K137:K191)</f>
        <v>24151</v>
      </c>
      <c r="L192" s="87">
        <f>SUM(L137:L191)</f>
        <v>23763</v>
      </c>
      <c r="M192" s="59">
        <f>SUM(J192:L192)</f>
        <v>77520</v>
      </c>
      <c r="N192" s="87">
        <f>SUM(N137:N191)</f>
        <v>24650</v>
      </c>
      <c r="O192" s="87">
        <f>SUM(O137:O191)</f>
        <v>22574</v>
      </c>
      <c r="P192" s="87">
        <f>SUM(P137:P191)</f>
        <v>17622</v>
      </c>
      <c r="Q192" s="59">
        <f>SUM(N192:P192)</f>
        <v>64846</v>
      </c>
      <c r="R192" s="59">
        <f>+E192+I192+M192+Q192</f>
        <v>218408</v>
      </c>
    </row>
    <row r="193" spans="1:20" ht="15.75" customHeight="1" x14ac:dyDescent="0.3">
      <c r="A193" s="15" t="s">
        <v>55</v>
      </c>
      <c r="B193" s="1"/>
      <c r="C193" s="1"/>
      <c r="D193" s="1"/>
      <c r="E193" s="55" t="s">
        <v>7</v>
      </c>
      <c r="F193" s="1"/>
      <c r="G193" s="1"/>
      <c r="H193" s="1"/>
      <c r="I193" s="55" t="s">
        <v>7</v>
      </c>
      <c r="J193" s="1"/>
      <c r="K193" s="1"/>
      <c r="L193" s="1"/>
      <c r="M193" s="55" t="s">
        <v>7</v>
      </c>
      <c r="N193" s="1"/>
      <c r="O193" s="1"/>
      <c r="P193" s="1"/>
      <c r="Q193" s="55" t="s">
        <v>7</v>
      </c>
      <c r="R193" s="55" t="s">
        <v>7</v>
      </c>
    </row>
    <row r="194" spans="1:20" ht="15.75" customHeight="1" x14ac:dyDescent="0.3">
      <c r="A194" s="15" t="s">
        <v>56</v>
      </c>
      <c r="B194" s="1"/>
      <c r="C194" s="1"/>
      <c r="D194" s="1"/>
      <c r="E194" s="55" t="s">
        <v>7</v>
      </c>
      <c r="F194" s="1"/>
      <c r="G194" s="1"/>
      <c r="H194" s="1"/>
      <c r="I194" s="55" t="s">
        <v>7</v>
      </c>
      <c r="J194" s="1"/>
      <c r="K194" s="1"/>
      <c r="L194" s="1"/>
      <c r="M194" s="55" t="s">
        <v>7</v>
      </c>
      <c r="N194" s="1"/>
      <c r="O194" s="1"/>
      <c r="P194" s="1"/>
      <c r="Q194" s="55" t="s">
        <v>7</v>
      </c>
      <c r="R194" s="55" t="s">
        <v>7</v>
      </c>
    </row>
    <row r="195" spans="1:20" ht="15.75" customHeight="1" x14ac:dyDescent="0.3">
      <c r="A195" s="15" t="s">
        <v>57</v>
      </c>
      <c r="B195" s="1"/>
      <c r="C195" s="1"/>
      <c r="D195" s="1"/>
      <c r="E195" s="55" t="s">
        <v>7</v>
      </c>
      <c r="F195" s="1"/>
      <c r="G195" s="1"/>
      <c r="H195" s="1"/>
      <c r="I195" s="55" t="s">
        <v>7</v>
      </c>
      <c r="J195" s="1"/>
      <c r="K195" s="1"/>
      <c r="L195" s="1"/>
      <c r="M195" s="55" t="s">
        <v>7</v>
      </c>
      <c r="N195" s="1"/>
      <c r="O195" s="1"/>
      <c r="P195" s="1"/>
      <c r="Q195" s="55" t="s">
        <v>7</v>
      </c>
      <c r="R195" s="55" t="s">
        <v>7</v>
      </c>
    </row>
    <row r="196" spans="1:20" ht="15.75" customHeight="1" x14ac:dyDescent="0.3">
      <c r="A196" s="85" t="s">
        <v>616</v>
      </c>
      <c r="B196" s="1"/>
      <c r="C196" s="1"/>
      <c r="D196" s="1">
        <v>425</v>
      </c>
      <c r="E196" s="55">
        <f>SUM(B196:D196)</f>
        <v>425</v>
      </c>
      <c r="F196" s="1">
        <v>363</v>
      </c>
      <c r="G196" s="1">
        <v>712</v>
      </c>
      <c r="H196" s="1">
        <v>500</v>
      </c>
      <c r="I196" s="55">
        <f>SUM(F196:H196)</f>
        <v>1575</v>
      </c>
      <c r="J196" s="1">
        <v>500</v>
      </c>
      <c r="K196" s="1">
        <v>234</v>
      </c>
      <c r="L196" s="1">
        <v>11</v>
      </c>
      <c r="M196" s="55">
        <f>SUM(J196:L196)</f>
        <v>745</v>
      </c>
      <c r="N196" s="1">
        <v>1255</v>
      </c>
      <c r="O196" s="1"/>
      <c r="P196" s="1"/>
      <c r="Q196" s="55">
        <f>SUM(N196:P196)</f>
        <v>1255</v>
      </c>
      <c r="R196" s="55">
        <f>+E196+I196+M196+Q196</f>
        <v>4000</v>
      </c>
    </row>
    <row r="197" spans="1:20" ht="15.75" customHeight="1" x14ac:dyDescent="0.3">
      <c r="A197" s="72" t="s">
        <v>863</v>
      </c>
      <c r="B197" s="1"/>
      <c r="C197" s="1"/>
      <c r="D197" s="1"/>
      <c r="E197" s="55">
        <f>SUM(B197:D197)</f>
        <v>0</v>
      </c>
      <c r="F197" s="1">
        <v>500</v>
      </c>
      <c r="G197" s="1">
        <v>750</v>
      </c>
      <c r="H197" s="1">
        <v>750</v>
      </c>
      <c r="I197" s="55">
        <f>SUM(F197:H197)</f>
        <v>2000</v>
      </c>
      <c r="J197" s="1"/>
      <c r="K197" s="1"/>
      <c r="L197" s="1">
        <v>1000</v>
      </c>
      <c r="M197" s="55">
        <f>SUM(J197:L197)</f>
        <v>1000</v>
      </c>
      <c r="N197" s="1">
        <v>800</v>
      </c>
      <c r="O197" s="1"/>
      <c r="P197" s="1"/>
      <c r="Q197" s="55">
        <f>SUM(N197:P197)</f>
        <v>800</v>
      </c>
      <c r="R197" s="55">
        <f>+E197+I197+M197+Q197</f>
        <v>3800</v>
      </c>
      <c r="T197" s="4" t="s">
        <v>822</v>
      </c>
    </row>
    <row r="198" spans="1:20" ht="15.75" customHeight="1" thickBot="1" x14ac:dyDescent="0.35">
      <c r="A198" s="15" t="s">
        <v>58</v>
      </c>
      <c r="B198" s="1"/>
      <c r="C198" s="1"/>
      <c r="D198" s="1"/>
      <c r="E198" s="55" t="s">
        <v>7</v>
      </c>
      <c r="F198" s="1"/>
      <c r="G198" s="1"/>
      <c r="H198" s="1"/>
      <c r="I198" s="55" t="s">
        <v>7</v>
      </c>
      <c r="J198" s="1"/>
      <c r="K198" s="1"/>
      <c r="L198" s="1"/>
      <c r="M198" s="55" t="s">
        <v>7</v>
      </c>
      <c r="N198" s="1"/>
      <c r="O198" s="1"/>
      <c r="P198" s="1"/>
      <c r="Q198" s="55" t="s">
        <v>7</v>
      </c>
      <c r="R198" s="55" t="s">
        <v>7</v>
      </c>
    </row>
    <row r="199" spans="1:20" ht="16.5" customHeight="1" thickBot="1" x14ac:dyDescent="0.35">
      <c r="A199" s="57" t="s">
        <v>59</v>
      </c>
      <c r="B199" s="86">
        <f>SUM(B193:B198)</f>
        <v>0</v>
      </c>
      <c r="C199" s="87">
        <f>SUM(C193:C198)</f>
        <v>0</v>
      </c>
      <c r="D199" s="87">
        <f>SUM(D193:D198)</f>
        <v>425</v>
      </c>
      <c r="E199" s="59">
        <f>SUM(B199:D199)</f>
        <v>425</v>
      </c>
      <c r="F199" s="87">
        <f>SUM(F193:F198)</f>
        <v>863</v>
      </c>
      <c r="G199" s="87">
        <f>SUM(G193:G198)</f>
        <v>1462</v>
      </c>
      <c r="H199" s="87">
        <f>SUM(H193:H198)</f>
        <v>1250</v>
      </c>
      <c r="I199" s="59">
        <f>SUM(F199:H199)</f>
        <v>3575</v>
      </c>
      <c r="J199" s="87">
        <f>SUM(J193:J198)</f>
        <v>500</v>
      </c>
      <c r="K199" s="87">
        <f>SUM(K193:K198)</f>
        <v>234</v>
      </c>
      <c r="L199" s="87">
        <f>SUM(L193:L198)</f>
        <v>1011</v>
      </c>
      <c r="M199" s="59">
        <f>SUM(J199:L199)</f>
        <v>1745</v>
      </c>
      <c r="N199" s="87">
        <f>SUM(N193:N198)</f>
        <v>2055</v>
      </c>
      <c r="O199" s="87">
        <f>SUM(O193:O198)</f>
        <v>0</v>
      </c>
      <c r="P199" s="87">
        <f>SUM(P193:P198)</f>
        <v>0</v>
      </c>
      <c r="Q199" s="59">
        <f>SUM(N199:P199)</f>
        <v>2055</v>
      </c>
      <c r="R199" s="59">
        <f>+E199+I199+M199+Q199</f>
        <v>7800</v>
      </c>
    </row>
    <row r="200" spans="1:20" ht="15.75" customHeight="1" x14ac:dyDescent="0.3">
      <c r="A200" s="15" t="s">
        <v>60</v>
      </c>
      <c r="B200" s="1"/>
      <c r="C200" s="1"/>
      <c r="D200" s="1"/>
      <c r="E200" s="55" t="s">
        <v>7</v>
      </c>
      <c r="F200" s="1"/>
      <c r="G200" s="1"/>
      <c r="H200" s="1"/>
      <c r="I200" s="55" t="s">
        <v>7</v>
      </c>
      <c r="J200" s="1"/>
      <c r="K200" s="1"/>
      <c r="L200" s="1"/>
      <c r="M200" s="55" t="s">
        <v>7</v>
      </c>
      <c r="N200" s="1"/>
      <c r="O200" s="1"/>
      <c r="P200" s="1"/>
      <c r="Q200" s="55" t="s">
        <v>7</v>
      </c>
      <c r="R200" s="55" t="s">
        <v>7</v>
      </c>
    </row>
    <row r="201" spans="1:20" ht="15.75" customHeight="1" x14ac:dyDescent="0.3">
      <c r="A201" s="15" t="s">
        <v>61</v>
      </c>
      <c r="B201" s="1"/>
      <c r="C201" s="1"/>
      <c r="D201" s="1"/>
      <c r="E201" s="55" t="s">
        <v>7</v>
      </c>
      <c r="F201" s="1"/>
      <c r="G201" s="1"/>
      <c r="H201" s="1"/>
      <c r="I201" s="55" t="s">
        <v>7</v>
      </c>
      <c r="J201" s="1"/>
      <c r="K201" s="1"/>
      <c r="L201" s="1"/>
      <c r="M201" s="55" t="s">
        <v>7</v>
      </c>
      <c r="N201" s="1"/>
      <c r="O201" s="1"/>
      <c r="P201" s="1"/>
      <c r="Q201" s="55" t="s">
        <v>7</v>
      </c>
      <c r="R201" s="55" t="s">
        <v>7</v>
      </c>
    </row>
    <row r="202" spans="1:20" ht="15.75" customHeight="1" x14ac:dyDescent="0.3">
      <c r="A202" s="15" t="s">
        <v>62</v>
      </c>
      <c r="B202" s="1"/>
      <c r="C202" s="1"/>
      <c r="D202" s="1"/>
      <c r="E202" s="55" t="s">
        <v>7</v>
      </c>
      <c r="F202" s="1"/>
      <c r="G202" s="1"/>
      <c r="H202" s="1"/>
      <c r="I202" s="55" t="s">
        <v>7</v>
      </c>
      <c r="J202" s="1"/>
      <c r="K202" s="1"/>
      <c r="L202" s="1"/>
      <c r="M202" s="55" t="s">
        <v>7</v>
      </c>
      <c r="N202" s="1"/>
      <c r="O202" s="1"/>
      <c r="P202" s="1"/>
      <c r="Q202" s="55" t="s">
        <v>7</v>
      </c>
      <c r="R202" s="55" t="s">
        <v>7</v>
      </c>
    </row>
    <row r="203" spans="1:20" ht="15.75" customHeight="1" x14ac:dyDescent="0.3">
      <c r="A203" s="88" t="s">
        <v>142</v>
      </c>
      <c r="B203" s="1">
        <v>312</v>
      </c>
      <c r="C203" s="1">
        <v>285</v>
      </c>
      <c r="D203" s="1">
        <v>311</v>
      </c>
      <c r="E203" s="55">
        <f>SUM(B203:D203)</f>
        <v>908</v>
      </c>
      <c r="F203" s="1">
        <v>361</v>
      </c>
      <c r="G203" s="1">
        <v>445</v>
      </c>
      <c r="H203" s="1">
        <v>488</v>
      </c>
      <c r="I203" s="55">
        <f>SUM(F203:H203)</f>
        <v>1294</v>
      </c>
      <c r="J203" s="1">
        <v>494</v>
      </c>
      <c r="K203" s="1">
        <v>378</v>
      </c>
      <c r="L203" s="1">
        <v>344</v>
      </c>
      <c r="M203" s="55">
        <f>SUM(J203:L203)</f>
        <v>1216</v>
      </c>
      <c r="N203" s="1">
        <v>354</v>
      </c>
      <c r="O203" s="1">
        <v>352</v>
      </c>
      <c r="P203" s="1">
        <v>292</v>
      </c>
      <c r="Q203" s="55">
        <f>SUM(N203:P203)</f>
        <v>998</v>
      </c>
      <c r="R203" s="55">
        <f t="shared" ref="R203:R245" si="34">+E203+I203+M203+Q203</f>
        <v>4416</v>
      </c>
      <c r="T203" s="4" t="s">
        <v>865</v>
      </c>
    </row>
    <row r="204" spans="1:20" ht="15.75" customHeight="1" x14ac:dyDescent="0.3">
      <c r="A204" s="88" t="s">
        <v>143</v>
      </c>
      <c r="B204" s="1"/>
      <c r="C204" s="1"/>
      <c r="D204" s="1">
        <v>357</v>
      </c>
      <c r="E204" s="55">
        <f>SUM(B204:D204)</f>
        <v>357</v>
      </c>
      <c r="F204" s="1"/>
      <c r="G204" s="1"/>
      <c r="H204" s="1"/>
      <c r="I204" s="55">
        <f>SUM(F204:H204)</f>
        <v>0</v>
      </c>
      <c r="J204" s="1"/>
      <c r="K204" s="1"/>
      <c r="L204" s="1"/>
      <c r="M204" s="55">
        <f>SUM(J204:L204)</f>
        <v>0</v>
      </c>
      <c r="N204" s="1"/>
      <c r="O204" s="1"/>
      <c r="P204" s="1"/>
      <c r="Q204" s="55">
        <f>SUM(N204:P204)</f>
        <v>0</v>
      </c>
      <c r="R204" s="55">
        <f t="shared" si="34"/>
        <v>357</v>
      </c>
      <c r="T204" s="4" t="s">
        <v>812</v>
      </c>
    </row>
    <row r="205" spans="1:20" ht="15.75" customHeight="1" x14ac:dyDescent="0.3">
      <c r="A205" s="88" t="s">
        <v>145</v>
      </c>
      <c r="B205" s="1">
        <v>5</v>
      </c>
      <c r="C205" s="1">
        <v>9</v>
      </c>
      <c r="D205" s="1">
        <v>15</v>
      </c>
      <c r="E205" s="55">
        <f>SUM(B205:D205)</f>
        <v>29</v>
      </c>
      <c r="F205" s="1">
        <v>35</v>
      </c>
      <c r="G205" s="1">
        <v>50</v>
      </c>
      <c r="H205" s="1">
        <v>76</v>
      </c>
      <c r="I205" s="55">
        <f>SUM(F205:H205)</f>
        <v>161</v>
      </c>
      <c r="J205" s="1">
        <v>46</v>
      </c>
      <c r="K205" s="1">
        <v>51</v>
      </c>
      <c r="L205" s="1">
        <v>26</v>
      </c>
      <c r="M205" s="55">
        <f>SUM(J205:L205)</f>
        <v>123</v>
      </c>
      <c r="N205" s="1">
        <v>60</v>
      </c>
      <c r="O205" s="1">
        <v>31</v>
      </c>
      <c r="P205" s="1">
        <v>4</v>
      </c>
      <c r="Q205" s="55">
        <f>SUM(N205:P205)</f>
        <v>95</v>
      </c>
      <c r="R205" s="55">
        <f t="shared" si="34"/>
        <v>408</v>
      </c>
      <c r="T205" s="4" t="s">
        <v>406</v>
      </c>
    </row>
    <row r="206" spans="1:20" ht="15.75" customHeight="1" x14ac:dyDescent="0.3">
      <c r="A206" s="72" t="s">
        <v>868</v>
      </c>
      <c r="B206" s="1">
        <v>500</v>
      </c>
      <c r="C206" s="1">
        <v>453</v>
      </c>
      <c r="D206" s="1"/>
      <c r="E206" s="55">
        <f t="shared" ref="E206:E245" si="35">SUM(B206:D206)</f>
        <v>953</v>
      </c>
      <c r="F206" s="1"/>
      <c r="G206" s="1"/>
      <c r="H206" s="1"/>
      <c r="I206" s="55">
        <f t="shared" ref="I206:I245" si="36">SUM(F206:H206)</f>
        <v>0</v>
      </c>
      <c r="J206" s="1"/>
      <c r="K206" s="1"/>
      <c r="L206" s="1"/>
      <c r="M206" s="55">
        <f t="shared" ref="M206:M245" si="37">SUM(J206:L206)</f>
        <v>0</v>
      </c>
      <c r="N206" s="1"/>
      <c r="O206" s="1"/>
      <c r="P206" s="1"/>
      <c r="Q206" s="55">
        <f t="shared" ref="Q206:Q245" si="38">SUM(N206:P206)</f>
        <v>0</v>
      </c>
      <c r="R206" s="55">
        <f t="shared" si="34"/>
        <v>953</v>
      </c>
    </row>
    <row r="207" spans="1:20" ht="15.75" customHeight="1" x14ac:dyDescent="0.3">
      <c r="A207" s="72" t="s">
        <v>1119</v>
      </c>
      <c r="B207" s="1">
        <v>92</v>
      </c>
      <c r="C207" s="1"/>
      <c r="D207" s="1"/>
      <c r="E207" s="55">
        <f>SUM(B207:D207)</f>
        <v>92</v>
      </c>
      <c r="F207" s="1"/>
      <c r="G207" s="1"/>
      <c r="H207" s="1"/>
      <c r="I207" s="55">
        <f>SUM(F207:H207)</f>
        <v>0</v>
      </c>
      <c r="J207" s="1"/>
      <c r="K207" s="1"/>
      <c r="L207" s="1"/>
      <c r="M207" s="55">
        <f>SUM(J207:L207)</f>
        <v>0</v>
      </c>
      <c r="N207" s="1"/>
      <c r="O207" s="1"/>
      <c r="P207" s="1"/>
      <c r="Q207" s="55">
        <f>SUM(N207:P207)</f>
        <v>0</v>
      </c>
      <c r="R207" s="55">
        <f t="shared" si="34"/>
        <v>92</v>
      </c>
      <c r="T207" s="4" t="s">
        <v>919</v>
      </c>
    </row>
    <row r="208" spans="1:20" ht="15.75" customHeight="1" x14ac:dyDescent="0.3">
      <c r="A208" s="72" t="s">
        <v>148</v>
      </c>
      <c r="B208" s="1">
        <v>682</v>
      </c>
      <c r="C208" s="1"/>
      <c r="D208" s="1"/>
      <c r="E208" s="55">
        <f>SUM(B208:D208)</f>
        <v>682</v>
      </c>
      <c r="F208" s="1"/>
      <c r="G208" s="1"/>
      <c r="H208" s="1"/>
      <c r="I208" s="55">
        <f>SUM(F208:H208)</f>
        <v>0</v>
      </c>
      <c r="J208" s="1"/>
      <c r="K208" s="1"/>
      <c r="L208" s="1"/>
      <c r="M208" s="55">
        <f>SUM(J208:L208)</f>
        <v>0</v>
      </c>
      <c r="N208" s="1"/>
      <c r="O208" s="1"/>
      <c r="P208" s="1"/>
      <c r="Q208" s="55">
        <f>SUM(N208:P208)</f>
        <v>0</v>
      </c>
      <c r="R208" s="55">
        <f t="shared" si="34"/>
        <v>682</v>
      </c>
      <c r="T208" s="4" t="s">
        <v>832</v>
      </c>
    </row>
    <row r="209" spans="1:21" ht="15.75" customHeight="1" x14ac:dyDescent="0.3">
      <c r="A209" s="72" t="s">
        <v>149</v>
      </c>
      <c r="B209" s="1"/>
      <c r="C209" s="1"/>
      <c r="D209" s="1"/>
      <c r="E209" s="55">
        <f t="shared" si="35"/>
        <v>0</v>
      </c>
      <c r="F209" s="1"/>
      <c r="G209" s="1"/>
      <c r="H209" s="1"/>
      <c r="I209" s="55">
        <f t="shared" si="36"/>
        <v>0</v>
      </c>
      <c r="J209" s="1"/>
      <c r="K209" s="1"/>
      <c r="L209" s="1"/>
      <c r="M209" s="55">
        <f t="shared" si="37"/>
        <v>0</v>
      </c>
      <c r="N209" s="1"/>
      <c r="O209" s="1"/>
      <c r="P209" s="1"/>
      <c r="Q209" s="55">
        <f t="shared" si="38"/>
        <v>0</v>
      </c>
      <c r="R209" s="55">
        <f t="shared" si="34"/>
        <v>0</v>
      </c>
    </row>
    <row r="210" spans="1:21" ht="15.75" customHeight="1" x14ac:dyDescent="0.3">
      <c r="A210" s="72" t="s">
        <v>869</v>
      </c>
      <c r="B210" s="1">
        <v>1136</v>
      </c>
      <c r="C210" s="1"/>
      <c r="D210" s="1"/>
      <c r="E210" s="55">
        <f>SUM(B210:D210)</f>
        <v>1136</v>
      </c>
      <c r="F210" s="1"/>
      <c r="G210" s="1"/>
      <c r="H210" s="1"/>
      <c r="I210" s="55">
        <f>SUM(F210:H210)</f>
        <v>0</v>
      </c>
      <c r="J210" s="1"/>
      <c r="K210" s="1"/>
      <c r="L210" s="1"/>
      <c r="M210" s="55">
        <f>SUM(J210:L210)</f>
        <v>0</v>
      </c>
      <c r="N210" s="1"/>
      <c r="O210" s="1"/>
      <c r="P210" s="1"/>
      <c r="Q210" s="55">
        <f>SUM(N210:P210)</f>
        <v>0</v>
      </c>
      <c r="R210" s="55">
        <f t="shared" si="34"/>
        <v>1136</v>
      </c>
    </row>
    <row r="211" spans="1:21" ht="15.75" customHeight="1" x14ac:dyDescent="0.3">
      <c r="A211" s="72" t="s">
        <v>151</v>
      </c>
      <c r="B211" s="1">
        <v>23</v>
      </c>
      <c r="C211" s="1"/>
      <c r="D211" s="1"/>
      <c r="E211" s="55">
        <f t="shared" si="35"/>
        <v>23</v>
      </c>
      <c r="F211" s="1"/>
      <c r="G211" s="1"/>
      <c r="H211" s="1"/>
      <c r="I211" s="55">
        <f t="shared" si="36"/>
        <v>0</v>
      </c>
      <c r="J211" s="1"/>
      <c r="K211" s="1"/>
      <c r="L211" s="1"/>
      <c r="M211" s="55">
        <f t="shared" si="37"/>
        <v>0</v>
      </c>
      <c r="N211" s="1"/>
      <c r="O211" s="1"/>
      <c r="P211" s="1"/>
      <c r="Q211" s="55">
        <f t="shared" si="38"/>
        <v>0</v>
      </c>
      <c r="R211" s="55">
        <f t="shared" si="34"/>
        <v>23</v>
      </c>
    </row>
    <row r="212" spans="1:21" ht="15.75" customHeight="1" x14ac:dyDescent="0.3">
      <c r="A212" s="72" t="s">
        <v>870</v>
      </c>
      <c r="B212" s="1">
        <v>23</v>
      </c>
      <c r="C212" s="1"/>
      <c r="D212" s="1"/>
      <c r="E212" s="55">
        <f t="shared" si="35"/>
        <v>23</v>
      </c>
      <c r="F212" s="1"/>
      <c r="G212" s="1"/>
      <c r="H212" s="1"/>
      <c r="I212" s="55">
        <f t="shared" si="36"/>
        <v>0</v>
      </c>
      <c r="J212" s="1"/>
      <c r="K212" s="1"/>
      <c r="L212" s="1"/>
      <c r="M212" s="55">
        <f t="shared" si="37"/>
        <v>0</v>
      </c>
      <c r="N212" s="1"/>
      <c r="O212" s="1"/>
      <c r="P212" s="1"/>
      <c r="Q212" s="55">
        <f t="shared" si="38"/>
        <v>0</v>
      </c>
      <c r="R212" s="55">
        <f t="shared" si="34"/>
        <v>23</v>
      </c>
      <c r="T212" s="4" t="s">
        <v>822</v>
      </c>
    </row>
    <row r="213" spans="1:21" ht="15.75" customHeight="1" x14ac:dyDescent="0.3">
      <c r="A213" s="72" t="s">
        <v>871</v>
      </c>
      <c r="B213" s="1"/>
      <c r="C213" s="1"/>
      <c r="D213" s="1"/>
      <c r="E213" s="55">
        <f t="shared" si="35"/>
        <v>0</v>
      </c>
      <c r="F213" s="1"/>
      <c r="G213" s="1"/>
      <c r="H213" s="1"/>
      <c r="I213" s="55">
        <f t="shared" si="36"/>
        <v>0</v>
      </c>
      <c r="J213" s="1">
        <v>3000</v>
      </c>
      <c r="K213" s="1">
        <v>4000</v>
      </c>
      <c r="L213" s="1"/>
      <c r="M213" s="55">
        <f t="shared" si="37"/>
        <v>7000</v>
      </c>
      <c r="N213" s="1"/>
      <c r="O213" s="1"/>
      <c r="P213" s="1"/>
      <c r="Q213" s="55">
        <f t="shared" si="38"/>
        <v>0</v>
      </c>
      <c r="R213" s="55">
        <f t="shared" si="34"/>
        <v>7000</v>
      </c>
      <c r="T213" s="4" t="s">
        <v>822</v>
      </c>
    </row>
    <row r="214" spans="1:21" ht="15.75" customHeight="1" x14ac:dyDescent="0.3">
      <c r="A214" s="72" t="s">
        <v>153</v>
      </c>
      <c r="B214" s="1"/>
      <c r="C214" s="1"/>
      <c r="D214" s="1"/>
      <c r="E214" s="55">
        <f t="shared" si="35"/>
        <v>0</v>
      </c>
      <c r="F214" s="1"/>
      <c r="G214" s="1">
        <v>4300</v>
      </c>
      <c r="H214" s="1"/>
      <c r="I214" s="55">
        <f t="shared" si="36"/>
        <v>4300</v>
      </c>
      <c r="J214" s="1"/>
      <c r="K214" s="1"/>
      <c r="L214" s="1"/>
      <c r="M214" s="55">
        <f t="shared" si="37"/>
        <v>0</v>
      </c>
      <c r="N214" s="1"/>
      <c r="O214" s="1"/>
      <c r="P214" s="1"/>
      <c r="Q214" s="55">
        <f t="shared" si="38"/>
        <v>0</v>
      </c>
      <c r="R214" s="55">
        <f t="shared" si="34"/>
        <v>4300</v>
      </c>
    </row>
    <row r="215" spans="1:21" ht="15.75" customHeight="1" x14ac:dyDescent="0.3">
      <c r="A215" s="88" t="s">
        <v>872</v>
      </c>
      <c r="B215" s="1"/>
      <c r="C215" s="1"/>
      <c r="D215" s="1"/>
      <c r="E215" s="55">
        <f>SUM(B215:D215)</f>
        <v>0</v>
      </c>
      <c r="F215" s="1">
        <v>4498</v>
      </c>
      <c r="G215" s="1">
        <v>3002</v>
      </c>
      <c r="H215" s="1">
        <v>3000</v>
      </c>
      <c r="I215" s="55">
        <f>SUM(F215:H215)</f>
        <v>10500</v>
      </c>
      <c r="J215" s="1">
        <v>1500</v>
      </c>
      <c r="K215" s="1">
        <v>1000</v>
      </c>
      <c r="L215" s="1">
        <v>1000</v>
      </c>
      <c r="M215" s="55">
        <f>SUM(J215:L215)</f>
        <v>3500</v>
      </c>
      <c r="N215" s="1">
        <v>1000</v>
      </c>
      <c r="O215" s="1"/>
      <c r="P215" s="1"/>
      <c r="Q215" s="55">
        <f>SUM(N215:P215)</f>
        <v>1000</v>
      </c>
      <c r="R215" s="55">
        <f>+E215+I215+M215+Q215</f>
        <v>15000</v>
      </c>
    </row>
    <row r="216" spans="1:21" ht="15.75" customHeight="1" x14ac:dyDescent="0.3">
      <c r="A216" s="88" t="s">
        <v>876</v>
      </c>
      <c r="B216" s="1"/>
      <c r="C216" s="1">
        <v>1735</v>
      </c>
      <c r="D216" s="1">
        <v>1094</v>
      </c>
      <c r="E216" s="55">
        <f t="shared" si="35"/>
        <v>2829</v>
      </c>
      <c r="F216" s="1">
        <v>397</v>
      </c>
      <c r="G216" s="1"/>
      <c r="H216" s="1"/>
      <c r="I216" s="55">
        <f t="shared" si="36"/>
        <v>397</v>
      </c>
      <c r="J216" s="1"/>
      <c r="K216" s="1"/>
      <c r="L216" s="1"/>
      <c r="M216" s="55">
        <f t="shared" si="37"/>
        <v>0</v>
      </c>
      <c r="N216" s="1"/>
      <c r="O216" s="1"/>
      <c r="P216" s="1"/>
      <c r="Q216" s="55">
        <f t="shared" si="38"/>
        <v>0</v>
      </c>
      <c r="R216" s="55">
        <f t="shared" si="34"/>
        <v>3226</v>
      </c>
    </row>
    <row r="217" spans="1:21" ht="15.75" customHeight="1" x14ac:dyDescent="0.3">
      <c r="A217" s="88" t="s">
        <v>877</v>
      </c>
      <c r="B217" s="1">
        <v>855</v>
      </c>
      <c r="C217" s="1">
        <v>325</v>
      </c>
      <c r="D217" s="1"/>
      <c r="E217" s="55">
        <f t="shared" si="35"/>
        <v>1180</v>
      </c>
      <c r="F217" s="1"/>
      <c r="G217" s="1"/>
      <c r="H217" s="1"/>
      <c r="I217" s="55">
        <f t="shared" si="36"/>
        <v>0</v>
      </c>
      <c r="J217" s="1"/>
      <c r="K217" s="1"/>
      <c r="L217" s="1"/>
      <c r="M217" s="55">
        <f t="shared" si="37"/>
        <v>0</v>
      </c>
      <c r="N217" s="1"/>
      <c r="O217" s="1"/>
      <c r="P217" s="1"/>
      <c r="Q217" s="55">
        <f t="shared" si="38"/>
        <v>0</v>
      </c>
      <c r="R217" s="55">
        <f t="shared" si="34"/>
        <v>1180</v>
      </c>
    </row>
    <row r="218" spans="1:21" ht="15.75" customHeight="1" x14ac:dyDescent="0.3">
      <c r="A218" s="72" t="s">
        <v>878</v>
      </c>
      <c r="B218" s="1">
        <v>781</v>
      </c>
      <c r="C218" s="1">
        <v>735</v>
      </c>
      <c r="D218" s="1">
        <v>797</v>
      </c>
      <c r="E218" s="55">
        <f t="shared" si="35"/>
        <v>2313</v>
      </c>
      <c r="F218" s="1"/>
      <c r="G218" s="1"/>
      <c r="H218" s="1"/>
      <c r="I218" s="55">
        <f t="shared" si="36"/>
        <v>0</v>
      </c>
      <c r="J218" s="1"/>
      <c r="K218" s="1"/>
      <c r="L218" s="1"/>
      <c r="M218" s="55">
        <f t="shared" si="37"/>
        <v>0</v>
      </c>
      <c r="N218" s="1"/>
      <c r="O218" s="1"/>
      <c r="P218" s="1"/>
      <c r="Q218" s="55">
        <f t="shared" si="38"/>
        <v>0</v>
      </c>
      <c r="R218" s="55">
        <f t="shared" si="34"/>
        <v>2313</v>
      </c>
    </row>
    <row r="219" spans="1:21" ht="15.75" customHeight="1" x14ac:dyDescent="0.3">
      <c r="A219" s="84" t="s">
        <v>1137</v>
      </c>
      <c r="B219" s="1">
        <f>26+18</f>
        <v>44</v>
      </c>
      <c r="C219" s="1">
        <f>33+21</f>
        <v>54</v>
      </c>
      <c r="D219" s="1">
        <f>48+38</f>
        <v>86</v>
      </c>
      <c r="E219" s="55">
        <f>SUM(B219:D219)</f>
        <v>184</v>
      </c>
      <c r="F219" s="1">
        <f>19+78</f>
        <v>97</v>
      </c>
      <c r="G219" s="1"/>
      <c r="H219" s="1"/>
      <c r="I219" s="55">
        <f>SUM(F219:H219)</f>
        <v>97</v>
      </c>
      <c r="J219" s="1"/>
      <c r="K219" s="1"/>
      <c r="L219" s="1"/>
      <c r="M219" s="55">
        <f>SUM(J219:L219)</f>
        <v>0</v>
      </c>
      <c r="N219" s="1"/>
      <c r="O219" s="1"/>
      <c r="P219" s="1"/>
      <c r="Q219" s="55">
        <f>SUM(N219:P219)</f>
        <v>0</v>
      </c>
      <c r="R219" s="55">
        <f>+E219+I219+M219+Q219</f>
        <v>281</v>
      </c>
    </row>
    <row r="220" spans="1:21" ht="15.75" customHeight="1" x14ac:dyDescent="0.3">
      <c r="A220" s="72" t="s">
        <v>621</v>
      </c>
      <c r="B220" s="1"/>
      <c r="C220" s="1"/>
      <c r="D220" s="1"/>
      <c r="E220" s="55">
        <f t="shared" si="35"/>
        <v>0</v>
      </c>
      <c r="F220" s="1"/>
      <c r="G220" s="1">
        <v>4094</v>
      </c>
      <c r="H220" s="1">
        <v>10906</v>
      </c>
      <c r="I220" s="55">
        <f t="shared" si="36"/>
        <v>15000</v>
      </c>
      <c r="J220" s="1"/>
      <c r="K220" s="1"/>
      <c r="L220" s="1"/>
      <c r="M220" s="55">
        <f t="shared" si="37"/>
        <v>0</v>
      </c>
      <c r="N220" s="1"/>
      <c r="O220" s="1"/>
      <c r="P220" s="1"/>
      <c r="Q220" s="55">
        <f t="shared" si="38"/>
        <v>0</v>
      </c>
      <c r="R220" s="55">
        <f t="shared" si="34"/>
        <v>15000</v>
      </c>
    </row>
    <row r="221" spans="1:21" ht="15.75" customHeight="1" x14ac:dyDescent="0.3">
      <c r="A221" s="72" t="s">
        <v>622</v>
      </c>
      <c r="B221" s="1"/>
      <c r="C221" s="1"/>
      <c r="D221" s="1"/>
      <c r="E221" s="55">
        <f t="shared" si="35"/>
        <v>0</v>
      </c>
      <c r="F221" s="1">
        <v>1181</v>
      </c>
      <c r="G221" s="1">
        <v>6742</v>
      </c>
      <c r="H221" s="1">
        <v>4077</v>
      </c>
      <c r="I221" s="55">
        <f t="shared" si="36"/>
        <v>12000</v>
      </c>
      <c r="J221" s="1"/>
      <c r="K221" s="1"/>
      <c r="L221" s="1"/>
      <c r="M221" s="55">
        <f t="shared" si="37"/>
        <v>0</v>
      </c>
      <c r="N221" s="1"/>
      <c r="O221" s="1"/>
      <c r="P221" s="1"/>
      <c r="Q221" s="55">
        <f t="shared" si="38"/>
        <v>0</v>
      </c>
      <c r="R221" s="55">
        <f t="shared" si="34"/>
        <v>12000</v>
      </c>
    </row>
    <row r="222" spans="1:21" ht="15.75" customHeight="1" x14ac:dyDescent="0.3">
      <c r="A222" s="72" t="s">
        <v>159</v>
      </c>
      <c r="B222" s="1"/>
      <c r="C222" s="1"/>
      <c r="D222" s="1"/>
      <c r="E222" s="55">
        <f t="shared" si="35"/>
        <v>0</v>
      </c>
      <c r="F222" s="1"/>
      <c r="G222" s="1"/>
      <c r="H222" s="1"/>
      <c r="I222" s="55">
        <f t="shared" si="36"/>
        <v>0</v>
      </c>
      <c r="J222" s="1">
        <v>1700</v>
      </c>
      <c r="K222" s="1"/>
      <c r="L222" s="1"/>
      <c r="M222" s="55">
        <f t="shared" si="37"/>
        <v>1700</v>
      </c>
      <c r="N222" s="1"/>
      <c r="O222" s="1"/>
      <c r="P222" s="1"/>
      <c r="Q222" s="55">
        <f t="shared" si="38"/>
        <v>0</v>
      </c>
      <c r="R222" s="55">
        <f t="shared" si="34"/>
        <v>1700</v>
      </c>
    </row>
    <row r="223" spans="1:21" ht="15.75" customHeight="1" x14ac:dyDescent="0.3">
      <c r="A223" s="72" t="s">
        <v>884</v>
      </c>
      <c r="B223" s="1"/>
      <c r="C223" s="1"/>
      <c r="D223" s="1"/>
      <c r="E223" s="55">
        <f t="shared" si="35"/>
        <v>0</v>
      </c>
      <c r="F223" s="1"/>
      <c r="G223" s="1"/>
      <c r="H223" s="1"/>
      <c r="I223" s="55">
        <f t="shared" si="36"/>
        <v>0</v>
      </c>
      <c r="J223" s="1">
        <v>102</v>
      </c>
      <c r="K223" s="1">
        <v>392</v>
      </c>
      <c r="L223" s="1"/>
      <c r="M223" s="55">
        <f t="shared" si="37"/>
        <v>494</v>
      </c>
      <c r="N223" s="1"/>
      <c r="O223" s="1"/>
      <c r="P223" s="1"/>
      <c r="Q223" s="55">
        <f t="shared" si="38"/>
        <v>0</v>
      </c>
      <c r="R223" s="55">
        <f t="shared" si="34"/>
        <v>494</v>
      </c>
      <c r="S223" s="89"/>
      <c r="T223" s="89" t="s">
        <v>822</v>
      </c>
      <c r="U223" s="89"/>
    </row>
    <row r="224" spans="1:21" ht="15.75" customHeight="1" x14ac:dyDescent="0.3">
      <c r="A224" s="72" t="s">
        <v>161</v>
      </c>
      <c r="B224" s="1"/>
      <c r="C224" s="1"/>
      <c r="D224" s="1">
        <v>183</v>
      </c>
      <c r="E224" s="55">
        <f>SUM(B224:D224)</f>
        <v>183</v>
      </c>
      <c r="F224" s="1">
        <v>1105</v>
      </c>
      <c r="G224" s="1">
        <v>526</v>
      </c>
      <c r="H224" s="1"/>
      <c r="I224" s="55">
        <f>SUM(F224:H224)</f>
        <v>1631</v>
      </c>
      <c r="J224" s="1"/>
      <c r="K224" s="1"/>
      <c r="L224" s="1"/>
      <c r="M224" s="55">
        <f t="shared" si="37"/>
        <v>0</v>
      </c>
      <c r="N224" s="1"/>
      <c r="O224" s="1"/>
      <c r="P224" s="1"/>
      <c r="Q224" s="55">
        <f t="shared" si="38"/>
        <v>0</v>
      </c>
      <c r="R224" s="55">
        <f t="shared" si="34"/>
        <v>1814</v>
      </c>
      <c r="T224" s="4" t="s">
        <v>832</v>
      </c>
    </row>
    <row r="225" spans="1:20" ht="15.75" customHeight="1" x14ac:dyDescent="0.3">
      <c r="A225" s="72" t="s">
        <v>162</v>
      </c>
      <c r="B225" s="1"/>
      <c r="E225" s="55">
        <f t="shared" si="35"/>
        <v>0</v>
      </c>
      <c r="G225" s="1"/>
      <c r="H225" s="1"/>
      <c r="I225" s="55">
        <f t="shared" si="36"/>
        <v>0</v>
      </c>
      <c r="J225" s="1"/>
      <c r="K225" s="1"/>
      <c r="L225" s="1"/>
      <c r="M225" s="55">
        <f t="shared" si="37"/>
        <v>0</v>
      </c>
      <c r="N225" s="1"/>
      <c r="O225" s="1"/>
      <c r="P225" s="1"/>
      <c r="Q225" s="55">
        <f t="shared" si="38"/>
        <v>0</v>
      </c>
      <c r="R225" s="55">
        <f t="shared" si="34"/>
        <v>0</v>
      </c>
    </row>
    <row r="226" spans="1:20" ht="15.75" customHeight="1" x14ac:dyDescent="0.3">
      <c r="A226" s="72" t="s">
        <v>163</v>
      </c>
      <c r="B226" s="1"/>
      <c r="C226" s="1"/>
      <c r="D226" s="1"/>
      <c r="E226" s="55">
        <f t="shared" si="35"/>
        <v>0</v>
      </c>
      <c r="F226" s="1"/>
      <c r="G226" s="1">
        <v>3023</v>
      </c>
      <c r="H226" s="1"/>
      <c r="I226" s="55">
        <f t="shared" si="36"/>
        <v>3023</v>
      </c>
      <c r="J226" s="1"/>
      <c r="K226" s="1"/>
      <c r="L226" s="1"/>
      <c r="M226" s="55">
        <f t="shared" si="37"/>
        <v>0</v>
      </c>
      <c r="N226" s="1"/>
      <c r="O226" s="1"/>
      <c r="P226" s="1"/>
      <c r="Q226" s="55">
        <f t="shared" si="38"/>
        <v>0</v>
      </c>
      <c r="R226" s="55">
        <f t="shared" si="34"/>
        <v>3023</v>
      </c>
    </row>
    <row r="227" spans="1:20" ht="15.75" customHeight="1" x14ac:dyDescent="0.3">
      <c r="A227" s="72" t="s">
        <v>164</v>
      </c>
      <c r="B227" s="1">
        <v>60</v>
      </c>
      <c r="C227" s="1"/>
      <c r="D227" s="1"/>
      <c r="E227" s="55">
        <f t="shared" si="35"/>
        <v>60</v>
      </c>
      <c r="F227" s="1"/>
      <c r="G227" s="1"/>
      <c r="H227" s="1"/>
      <c r="I227" s="55">
        <f t="shared" si="36"/>
        <v>0</v>
      </c>
      <c r="J227" s="1"/>
      <c r="K227" s="1"/>
      <c r="L227" s="1"/>
      <c r="M227" s="55">
        <f t="shared" si="37"/>
        <v>0</v>
      </c>
      <c r="N227" s="1"/>
      <c r="O227" s="1"/>
      <c r="P227" s="1"/>
      <c r="Q227" s="55">
        <f t="shared" si="38"/>
        <v>0</v>
      </c>
      <c r="R227" s="55">
        <f t="shared" si="34"/>
        <v>60</v>
      </c>
    </row>
    <row r="228" spans="1:20" ht="15.75" customHeight="1" x14ac:dyDescent="0.3">
      <c r="A228" s="72" t="s">
        <v>887</v>
      </c>
      <c r="B228" s="1">
        <v>60</v>
      </c>
      <c r="C228" s="1"/>
      <c r="D228" s="1"/>
      <c r="E228" s="55">
        <f t="shared" si="35"/>
        <v>60</v>
      </c>
      <c r="F228" s="1"/>
      <c r="G228" s="1"/>
      <c r="H228" s="1"/>
      <c r="I228" s="55">
        <f t="shared" si="36"/>
        <v>0</v>
      </c>
      <c r="J228" s="1"/>
      <c r="K228" s="1"/>
      <c r="L228" s="1"/>
      <c r="M228" s="55">
        <f t="shared" si="37"/>
        <v>0</v>
      </c>
      <c r="N228" s="1"/>
      <c r="O228" s="1"/>
      <c r="P228" s="1"/>
      <c r="Q228" s="55">
        <f t="shared" si="38"/>
        <v>0</v>
      </c>
      <c r="R228" s="55">
        <f t="shared" si="34"/>
        <v>60</v>
      </c>
      <c r="T228" s="4" t="s">
        <v>822</v>
      </c>
    </row>
    <row r="229" spans="1:20" ht="15.75" customHeight="1" x14ac:dyDescent="0.3">
      <c r="A229" s="72" t="s">
        <v>888</v>
      </c>
      <c r="B229" s="1"/>
      <c r="C229" s="1"/>
      <c r="D229" s="1"/>
      <c r="E229" s="55">
        <f t="shared" si="35"/>
        <v>0</v>
      </c>
      <c r="F229" s="1"/>
      <c r="G229" s="1"/>
      <c r="H229" s="1"/>
      <c r="I229" s="55">
        <f t="shared" si="36"/>
        <v>0</v>
      </c>
      <c r="J229" s="1"/>
      <c r="K229" s="1"/>
      <c r="L229" s="1"/>
      <c r="M229" s="55">
        <f t="shared" si="37"/>
        <v>0</v>
      </c>
      <c r="N229" s="1"/>
      <c r="O229" s="1"/>
      <c r="P229" s="1"/>
      <c r="Q229" s="55">
        <f t="shared" si="38"/>
        <v>0</v>
      </c>
      <c r="R229" s="55">
        <f t="shared" si="34"/>
        <v>0</v>
      </c>
      <c r="T229" s="4" t="s">
        <v>822</v>
      </c>
    </row>
    <row r="230" spans="1:20" ht="15.75" customHeight="1" x14ac:dyDescent="0.3">
      <c r="A230" s="72" t="s">
        <v>1124</v>
      </c>
      <c r="B230" s="1">
        <v>738</v>
      </c>
      <c r="C230" s="1">
        <v>664</v>
      </c>
      <c r="D230" s="1">
        <v>884</v>
      </c>
      <c r="E230" s="55">
        <f t="shared" ref="E230:E235" si="39">SUM(B230:D230)</f>
        <v>2286</v>
      </c>
      <c r="F230" s="1">
        <v>1283</v>
      </c>
      <c r="G230" s="1">
        <v>740</v>
      </c>
      <c r="H230" s="1">
        <v>161</v>
      </c>
      <c r="I230" s="55">
        <f t="shared" ref="I230:I235" si="40">SUM(F230:H230)</f>
        <v>2184</v>
      </c>
      <c r="J230" s="1">
        <v>196</v>
      </c>
      <c r="K230" s="1">
        <v>845</v>
      </c>
      <c r="L230" s="1">
        <v>626</v>
      </c>
      <c r="M230" s="55">
        <f t="shared" ref="M230:M235" si="41">SUM(J230:L230)</f>
        <v>1667</v>
      </c>
      <c r="N230" s="1">
        <v>1044</v>
      </c>
      <c r="O230" s="1">
        <v>772</v>
      </c>
      <c r="P230" s="1">
        <v>827</v>
      </c>
      <c r="Q230" s="55">
        <f t="shared" ref="Q230:Q235" si="42">SUM(N230:P230)</f>
        <v>2643</v>
      </c>
      <c r="R230" s="55">
        <f t="shared" si="34"/>
        <v>8780</v>
      </c>
      <c r="T230" s="4" t="s">
        <v>822</v>
      </c>
    </row>
    <row r="231" spans="1:20" ht="15.75" customHeight="1" x14ac:dyDescent="0.3">
      <c r="A231" s="347" t="s">
        <v>890</v>
      </c>
      <c r="B231" s="1"/>
      <c r="C231" s="1"/>
      <c r="D231" s="1">
        <v>4500</v>
      </c>
      <c r="E231" s="55">
        <f t="shared" si="39"/>
        <v>4500</v>
      </c>
      <c r="F231" s="1">
        <v>4000</v>
      </c>
      <c r="G231" s="1">
        <v>9500</v>
      </c>
      <c r="H231" s="1"/>
      <c r="I231" s="55">
        <f t="shared" si="40"/>
        <v>13500</v>
      </c>
      <c r="J231" s="1">
        <v>2000</v>
      </c>
      <c r="K231" s="1"/>
      <c r="L231" s="1">
        <v>3000</v>
      </c>
      <c r="M231" s="55">
        <f t="shared" si="41"/>
        <v>5000</v>
      </c>
      <c r="N231" s="1">
        <v>3000</v>
      </c>
      <c r="O231" s="1">
        <v>2000</v>
      </c>
      <c r="P231" s="1"/>
      <c r="Q231" s="55">
        <f t="shared" si="42"/>
        <v>5000</v>
      </c>
      <c r="R231" s="55">
        <f t="shared" si="34"/>
        <v>28000</v>
      </c>
      <c r="T231" s="4" t="s">
        <v>822</v>
      </c>
    </row>
    <row r="232" spans="1:20" ht="15.75" customHeight="1" x14ac:dyDescent="0.3">
      <c r="A232" s="88" t="s">
        <v>891</v>
      </c>
      <c r="B232" s="1"/>
      <c r="C232" s="1"/>
      <c r="D232" s="1"/>
      <c r="E232" s="55">
        <f t="shared" si="39"/>
        <v>0</v>
      </c>
      <c r="F232" s="1"/>
      <c r="G232" s="1">
        <v>1432</v>
      </c>
      <c r="H232" s="1"/>
      <c r="I232" s="55">
        <f t="shared" si="40"/>
        <v>1432</v>
      </c>
      <c r="J232" s="1">
        <v>1134</v>
      </c>
      <c r="K232" s="1">
        <v>600</v>
      </c>
      <c r="L232" s="1"/>
      <c r="M232" s="55">
        <f t="shared" si="41"/>
        <v>1734</v>
      </c>
      <c r="N232" s="1"/>
      <c r="O232" s="1">
        <v>1000</v>
      </c>
      <c r="P232" s="1"/>
      <c r="Q232" s="55">
        <f t="shared" si="42"/>
        <v>1000</v>
      </c>
      <c r="R232" s="55">
        <f t="shared" si="34"/>
        <v>4166</v>
      </c>
      <c r="T232" s="4" t="s">
        <v>818</v>
      </c>
    </row>
    <row r="233" spans="1:20" ht="15.75" customHeight="1" x14ac:dyDescent="0.3">
      <c r="A233" s="88" t="s">
        <v>892</v>
      </c>
      <c r="B233" s="1"/>
      <c r="C233" s="1">
        <v>675</v>
      </c>
      <c r="D233" s="1">
        <v>1000</v>
      </c>
      <c r="E233" s="55">
        <f t="shared" si="39"/>
        <v>1675</v>
      </c>
      <c r="F233" s="1">
        <v>1325</v>
      </c>
      <c r="G233" s="1"/>
      <c r="H233" s="1"/>
      <c r="I233" s="55">
        <f t="shared" si="40"/>
        <v>1325</v>
      </c>
      <c r="J233" s="1"/>
      <c r="K233" s="1"/>
      <c r="L233" s="1">
        <v>952</v>
      </c>
      <c r="M233" s="55">
        <f t="shared" si="41"/>
        <v>952</v>
      </c>
      <c r="N233" s="1"/>
      <c r="O233" s="1">
        <v>2530</v>
      </c>
      <c r="P233" s="1">
        <v>293</v>
      </c>
      <c r="Q233" s="55">
        <f t="shared" si="42"/>
        <v>2823</v>
      </c>
      <c r="R233" s="55">
        <f t="shared" si="34"/>
        <v>6775</v>
      </c>
      <c r="T233" s="4" t="s">
        <v>819</v>
      </c>
    </row>
    <row r="234" spans="1:20" ht="15.75" customHeight="1" x14ac:dyDescent="0.3">
      <c r="A234" s="72" t="s">
        <v>893</v>
      </c>
      <c r="B234" s="1"/>
      <c r="C234" s="1"/>
      <c r="D234" s="1"/>
      <c r="E234" s="55">
        <f t="shared" si="39"/>
        <v>0</v>
      </c>
      <c r="F234" s="1"/>
      <c r="G234" s="1"/>
      <c r="H234" s="1"/>
      <c r="I234" s="55">
        <f t="shared" si="40"/>
        <v>0</v>
      </c>
      <c r="J234" s="1"/>
      <c r="K234" s="1">
        <v>1500</v>
      </c>
      <c r="L234" s="1">
        <v>450</v>
      </c>
      <c r="M234" s="55">
        <f>SUM(J234:L234)</f>
        <v>1950</v>
      </c>
      <c r="N234" s="1"/>
      <c r="O234" s="1"/>
      <c r="P234" s="1"/>
      <c r="Q234" s="55">
        <f t="shared" si="42"/>
        <v>0</v>
      </c>
      <c r="R234" s="55">
        <f t="shared" si="34"/>
        <v>1950</v>
      </c>
      <c r="T234" s="4" t="s">
        <v>822</v>
      </c>
    </row>
    <row r="235" spans="1:20" ht="15.75" customHeight="1" x14ac:dyDescent="0.3">
      <c r="A235" s="72" t="s">
        <v>894</v>
      </c>
      <c r="B235" s="1"/>
      <c r="C235" s="1"/>
      <c r="D235" s="1">
        <v>184</v>
      </c>
      <c r="E235" s="55">
        <f t="shared" si="39"/>
        <v>184</v>
      </c>
      <c r="F235" s="1">
        <v>568</v>
      </c>
      <c r="G235" s="1">
        <v>1212</v>
      </c>
      <c r="H235" s="1">
        <v>253</v>
      </c>
      <c r="I235" s="55">
        <f t="shared" si="40"/>
        <v>2033</v>
      </c>
      <c r="J235" s="1"/>
      <c r="K235" s="1"/>
      <c r="L235" s="1"/>
      <c r="M235" s="55">
        <f t="shared" si="41"/>
        <v>0</v>
      </c>
      <c r="N235" s="1"/>
      <c r="O235" s="1"/>
      <c r="P235" s="1"/>
      <c r="Q235" s="55">
        <f t="shared" si="42"/>
        <v>0</v>
      </c>
      <c r="R235" s="55">
        <f t="shared" si="34"/>
        <v>2217</v>
      </c>
      <c r="T235" s="4" t="s">
        <v>822</v>
      </c>
    </row>
    <row r="236" spans="1:20" ht="15.75" customHeight="1" x14ac:dyDescent="0.3">
      <c r="A236" s="72" t="s">
        <v>170</v>
      </c>
      <c r="B236" s="1">
        <v>436</v>
      </c>
      <c r="C236" s="1">
        <v>1250</v>
      </c>
      <c r="D236" s="1">
        <v>1164</v>
      </c>
      <c r="E236" s="55">
        <f t="shared" si="35"/>
        <v>2850</v>
      </c>
      <c r="F236" s="1"/>
      <c r="G236" s="1"/>
      <c r="H236" s="1"/>
      <c r="I236" s="55">
        <f t="shared" si="36"/>
        <v>0</v>
      </c>
      <c r="J236" s="1"/>
      <c r="K236" s="1"/>
      <c r="L236" s="1"/>
      <c r="M236" s="55">
        <f t="shared" si="37"/>
        <v>0</v>
      </c>
      <c r="N236" s="1"/>
      <c r="O236" s="1"/>
      <c r="P236" s="1"/>
      <c r="Q236" s="55">
        <f t="shared" si="38"/>
        <v>0</v>
      </c>
      <c r="R236" s="55">
        <f t="shared" si="34"/>
        <v>2850</v>
      </c>
      <c r="T236" s="4" t="s">
        <v>832</v>
      </c>
    </row>
    <row r="237" spans="1:20" ht="15.75" customHeight="1" x14ac:dyDescent="0.3">
      <c r="A237" s="72" t="s">
        <v>171</v>
      </c>
      <c r="B237" s="1"/>
      <c r="C237" s="1"/>
      <c r="D237" s="1"/>
      <c r="E237" s="55">
        <f t="shared" si="35"/>
        <v>0</v>
      </c>
      <c r="F237" s="1"/>
      <c r="G237" s="1"/>
      <c r="H237" s="1"/>
      <c r="I237" s="55">
        <f t="shared" si="36"/>
        <v>0</v>
      </c>
      <c r="J237" s="1"/>
      <c r="K237" s="1"/>
      <c r="L237" s="1"/>
      <c r="M237" s="55">
        <f t="shared" si="37"/>
        <v>0</v>
      </c>
      <c r="N237" s="1"/>
      <c r="O237" s="1"/>
      <c r="P237" s="1"/>
      <c r="Q237" s="55">
        <f t="shared" si="38"/>
        <v>0</v>
      </c>
      <c r="R237" s="55">
        <f t="shared" si="34"/>
        <v>0</v>
      </c>
    </row>
    <row r="238" spans="1:20" ht="15.75" customHeight="1" x14ac:dyDescent="0.3">
      <c r="A238" s="72" t="s">
        <v>172</v>
      </c>
      <c r="B238" s="1"/>
      <c r="C238" s="1"/>
      <c r="D238" s="1"/>
      <c r="E238" s="55">
        <f t="shared" si="35"/>
        <v>0</v>
      </c>
      <c r="F238" s="1">
        <v>2753</v>
      </c>
      <c r="G238" s="1">
        <v>1997</v>
      </c>
      <c r="H238" s="1"/>
      <c r="I238" s="55">
        <f t="shared" si="36"/>
        <v>4750</v>
      </c>
      <c r="J238" s="1"/>
      <c r="K238" s="1"/>
      <c r="L238" s="1"/>
      <c r="M238" s="55">
        <f t="shared" si="37"/>
        <v>0</v>
      </c>
      <c r="N238" s="1"/>
      <c r="O238" s="1"/>
      <c r="P238" s="1"/>
      <c r="Q238" s="55">
        <f t="shared" si="38"/>
        <v>0</v>
      </c>
      <c r="R238" s="55">
        <f t="shared" si="34"/>
        <v>4750</v>
      </c>
    </row>
    <row r="239" spans="1:20" ht="15.75" customHeight="1" x14ac:dyDescent="0.3">
      <c r="A239" s="72" t="s">
        <v>173</v>
      </c>
      <c r="B239" s="1">
        <v>95</v>
      </c>
      <c r="C239" s="1"/>
      <c r="D239" s="1"/>
      <c r="E239" s="55">
        <f t="shared" si="35"/>
        <v>95</v>
      </c>
      <c r="F239" s="1"/>
      <c r="G239" s="1"/>
      <c r="H239" s="1"/>
      <c r="I239" s="55">
        <f t="shared" si="36"/>
        <v>0</v>
      </c>
      <c r="J239" s="1"/>
      <c r="K239" s="1"/>
      <c r="L239" s="1"/>
      <c r="M239" s="55">
        <f t="shared" si="37"/>
        <v>0</v>
      </c>
      <c r="N239" s="1"/>
      <c r="O239" s="1"/>
      <c r="P239" s="1"/>
      <c r="Q239" s="55">
        <f t="shared" si="38"/>
        <v>0</v>
      </c>
      <c r="R239" s="55">
        <f t="shared" si="34"/>
        <v>95</v>
      </c>
    </row>
    <row r="240" spans="1:20" ht="15.75" customHeight="1" x14ac:dyDescent="0.3">
      <c r="A240" s="72" t="s">
        <v>895</v>
      </c>
      <c r="B240" s="1">
        <v>95</v>
      </c>
      <c r="C240" s="1"/>
      <c r="D240" s="1"/>
      <c r="E240" s="55">
        <f t="shared" si="35"/>
        <v>95</v>
      </c>
      <c r="F240" s="1"/>
      <c r="G240" s="1"/>
      <c r="H240" s="1"/>
      <c r="I240" s="55">
        <f t="shared" si="36"/>
        <v>0</v>
      </c>
      <c r="J240" s="1"/>
      <c r="K240" s="1"/>
      <c r="L240" s="1"/>
      <c r="M240" s="55">
        <f t="shared" si="37"/>
        <v>0</v>
      </c>
      <c r="N240" s="1"/>
      <c r="O240" s="1"/>
      <c r="P240" s="1"/>
      <c r="Q240" s="55">
        <f t="shared" si="38"/>
        <v>0</v>
      </c>
      <c r="R240" s="55">
        <f t="shared" si="34"/>
        <v>95</v>
      </c>
      <c r="T240" s="4" t="s">
        <v>822</v>
      </c>
    </row>
    <row r="241" spans="1:21" ht="15.75" customHeight="1" x14ac:dyDescent="0.3">
      <c r="A241" s="72" t="s">
        <v>896</v>
      </c>
      <c r="B241" s="1"/>
      <c r="C241" s="1"/>
      <c r="D241" s="1"/>
      <c r="E241" s="55">
        <f>SUM(B241:D241)</f>
        <v>0</v>
      </c>
      <c r="F241" s="1">
        <v>3000</v>
      </c>
      <c r="G241" s="1">
        <v>2557</v>
      </c>
      <c r="H241" s="1">
        <v>3443</v>
      </c>
      <c r="I241" s="55">
        <f>SUM(F241:H241)</f>
        <v>9000</v>
      </c>
      <c r="J241" s="1"/>
      <c r="K241" s="1"/>
      <c r="L241" s="1"/>
      <c r="M241" s="55">
        <f>SUM(J241:L241)</f>
        <v>0</v>
      </c>
      <c r="N241" s="1"/>
      <c r="O241" s="1"/>
      <c r="P241" s="1"/>
      <c r="Q241" s="55">
        <f>SUM(N241:P241)</f>
        <v>0</v>
      </c>
      <c r="R241" s="55">
        <f>+E241+I241+M241+Q241</f>
        <v>9000</v>
      </c>
    </row>
    <row r="242" spans="1:21" ht="15.75" customHeight="1" x14ac:dyDescent="0.3">
      <c r="A242" s="72" t="s">
        <v>709</v>
      </c>
      <c r="B242" s="1">
        <v>884</v>
      </c>
      <c r="C242" s="1">
        <v>3368</v>
      </c>
      <c r="D242" s="1">
        <v>4129</v>
      </c>
      <c r="E242" s="55">
        <f>SUM(B242:D242)</f>
        <v>8381</v>
      </c>
      <c r="F242" s="1">
        <v>4119</v>
      </c>
      <c r="G242" s="1"/>
      <c r="H242" s="1"/>
      <c r="I242" s="55">
        <f>SUM(F242:H242)</f>
        <v>4119</v>
      </c>
      <c r="J242" s="1"/>
      <c r="K242" s="1"/>
      <c r="L242" s="1"/>
      <c r="M242" s="55">
        <f>SUM(J242:L242)</f>
        <v>0</v>
      </c>
      <c r="N242" s="1"/>
      <c r="O242" s="1"/>
      <c r="P242" s="1"/>
      <c r="Q242" s="55">
        <f>SUM(N242:P242)</f>
        <v>0</v>
      </c>
      <c r="R242" s="55">
        <f>+E242+I242+M242+Q242</f>
        <v>12500</v>
      </c>
    </row>
    <row r="243" spans="1:21" ht="15.75" customHeight="1" x14ac:dyDescent="0.3">
      <c r="A243" s="72" t="s">
        <v>175</v>
      </c>
      <c r="B243" s="1">
        <v>500</v>
      </c>
      <c r="C243" s="1"/>
      <c r="D243" s="1"/>
      <c r="E243" s="55">
        <f t="shared" si="35"/>
        <v>500</v>
      </c>
      <c r="F243" s="1"/>
      <c r="G243" s="1"/>
      <c r="H243" s="1"/>
      <c r="I243" s="55">
        <f t="shared" si="36"/>
        <v>0</v>
      </c>
      <c r="J243" s="1"/>
      <c r="K243" s="1"/>
      <c r="L243" s="1"/>
      <c r="M243" s="55">
        <f t="shared" si="37"/>
        <v>0</v>
      </c>
      <c r="N243" s="1"/>
      <c r="O243" s="1"/>
      <c r="P243" s="1"/>
      <c r="Q243" s="55">
        <f t="shared" si="38"/>
        <v>0</v>
      </c>
      <c r="R243" s="55">
        <f t="shared" si="34"/>
        <v>500</v>
      </c>
    </row>
    <row r="244" spans="1:21" ht="15.75" customHeight="1" thickBot="1" x14ac:dyDescent="0.35">
      <c r="A244" s="72" t="s">
        <v>1138</v>
      </c>
      <c r="B244" s="1"/>
      <c r="C244" s="1"/>
      <c r="D244" s="1"/>
      <c r="E244" s="55">
        <f>SUM(B244:D244)</f>
        <v>0</v>
      </c>
      <c r="F244" s="1"/>
      <c r="G244" s="1"/>
      <c r="H244" s="1"/>
      <c r="I244" s="55">
        <f>SUM(F244:H244)</f>
        <v>0</v>
      </c>
      <c r="J244" s="1"/>
      <c r="K244" s="1"/>
      <c r="L244" s="1"/>
      <c r="M244" s="55">
        <f>SUM(J244:L244)</f>
        <v>0</v>
      </c>
      <c r="N244" s="1"/>
      <c r="O244" s="1"/>
      <c r="P244" s="1"/>
      <c r="Q244" s="55">
        <f>SUM(N244:P244)</f>
        <v>0</v>
      </c>
      <c r="R244" s="55">
        <f>+E244+I244+M244+Q244</f>
        <v>0</v>
      </c>
    </row>
    <row r="245" spans="1:21" ht="16.5" customHeight="1" thickBot="1" x14ac:dyDescent="0.35">
      <c r="A245" s="57" t="s">
        <v>63</v>
      </c>
      <c r="B245" s="86">
        <f>SUM(B200:B244)</f>
        <v>7321</v>
      </c>
      <c r="C245" s="87">
        <f>SUM(C200:C244)</f>
        <v>9553</v>
      </c>
      <c r="D245" s="87">
        <f>SUM(D200:D244)</f>
        <v>14704</v>
      </c>
      <c r="E245" s="59">
        <f t="shared" si="35"/>
        <v>31578</v>
      </c>
      <c r="F245" s="87">
        <f>SUM(F200:F244)</f>
        <v>24722</v>
      </c>
      <c r="G245" s="87">
        <f>SUM(G200:G244)</f>
        <v>39620</v>
      </c>
      <c r="H245" s="87">
        <f>SUM(H200:H244)</f>
        <v>22404</v>
      </c>
      <c r="I245" s="59">
        <f t="shared" si="36"/>
        <v>86746</v>
      </c>
      <c r="J245" s="87">
        <f>SUM(J200:J244)</f>
        <v>10172</v>
      </c>
      <c r="K245" s="87">
        <f>SUM(K200:K244)</f>
        <v>8766</v>
      </c>
      <c r="L245" s="87">
        <f>SUM(L200:L244)</f>
        <v>6398</v>
      </c>
      <c r="M245" s="59">
        <f t="shared" si="37"/>
        <v>25336</v>
      </c>
      <c r="N245" s="87">
        <f>SUM(N200:N244)</f>
        <v>5458</v>
      </c>
      <c r="O245" s="87">
        <f>SUM(O200:O244)</f>
        <v>6685</v>
      </c>
      <c r="P245" s="87">
        <f>SUM(P200:P244)</f>
        <v>1416</v>
      </c>
      <c r="Q245" s="59">
        <f t="shared" si="38"/>
        <v>13559</v>
      </c>
      <c r="R245" s="59">
        <f t="shared" si="34"/>
        <v>157219</v>
      </c>
    </row>
    <row r="246" spans="1:21" ht="15.75" customHeight="1" x14ac:dyDescent="0.3">
      <c r="A246" s="15" t="s">
        <v>64</v>
      </c>
      <c r="B246" s="1"/>
      <c r="C246" s="1"/>
      <c r="D246" s="1"/>
      <c r="E246" s="55" t="s">
        <v>7</v>
      </c>
      <c r="F246" s="1"/>
      <c r="G246" s="1"/>
      <c r="H246" s="1"/>
      <c r="I246" s="55" t="s">
        <v>7</v>
      </c>
      <c r="J246" s="1"/>
      <c r="K246" s="1"/>
      <c r="L246" s="1"/>
      <c r="M246" s="55" t="s">
        <v>7</v>
      </c>
      <c r="N246" s="1"/>
      <c r="O246" s="1"/>
      <c r="P246" s="1"/>
      <c r="Q246" s="55" t="s">
        <v>7</v>
      </c>
      <c r="R246" s="55" t="s">
        <v>7</v>
      </c>
    </row>
    <row r="247" spans="1:21" ht="15.75" customHeight="1" x14ac:dyDescent="0.3">
      <c r="A247" s="15" t="s">
        <v>594</v>
      </c>
      <c r="B247" s="1"/>
      <c r="C247" s="1"/>
      <c r="D247" s="1"/>
      <c r="E247" s="55" t="s">
        <v>7</v>
      </c>
      <c r="F247" s="1"/>
      <c r="G247" s="1"/>
      <c r="H247" s="1"/>
      <c r="I247" s="55" t="s">
        <v>7</v>
      </c>
      <c r="J247" s="1"/>
      <c r="K247" s="1"/>
      <c r="L247" s="1"/>
      <c r="M247" s="55" t="s">
        <v>7</v>
      </c>
      <c r="N247" s="1"/>
      <c r="O247" s="1"/>
      <c r="P247" s="1"/>
      <c r="Q247" s="55" t="s">
        <v>7</v>
      </c>
      <c r="R247" s="55" t="s">
        <v>7</v>
      </c>
    </row>
    <row r="248" spans="1:21" ht="15.75" customHeight="1" x14ac:dyDescent="0.3">
      <c r="A248" s="346" t="s">
        <v>899</v>
      </c>
      <c r="B248" s="1"/>
      <c r="C248" s="1"/>
      <c r="D248" s="1"/>
      <c r="E248" s="55">
        <f>SUM(B248:D248)</f>
        <v>0</v>
      </c>
      <c r="F248" s="1"/>
      <c r="G248" s="1"/>
      <c r="H248" s="1"/>
      <c r="I248" s="55">
        <f>SUM(F248:H248)</f>
        <v>0</v>
      </c>
      <c r="J248" s="1"/>
      <c r="K248" s="1"/>
      <c r="L248" s="1"/>
      <c r="M248" s="55">
        <f>SUM(J248:L248)</f>
        <v>0</v>
      </c>
      <c r="N248" s="1"/>
      <c r="O248" s="1"/>
      <c r="P248" s="1"/>
      <c r="Q248" s="55">
        <f>SUM(N248:P248)</f>
        <v>0</v>
      </c>
      <c r="R248" s="55">
        <f>+E248+I248+M248+Q248</f>
        <v>0</v>
      </c>
      <c r="T248" s="4" t="s">
        <v>822</v>
      </c>
      <c r="U248" s="4" t="s">
        <v>1139</v>
      </c>
    </row>
    <row r="249" spans="1:21" ht="15.75" customHeight="1" x14ac:dyDescent="0.3">
      <c r="A249" s="85" t="s">
        <v>177</v>
      </c>
      <c r="B249" s="1"/>
      <c r="C249" s="1"/>
      <c r="D249" s="1"/>
      <c r="E249" s="55">
        <f>SUM(B249:D249)</f>
        <v>0</v>
      </c>
      <c r="F249" s="1"/>
      <c r="G249" s="1"/>
      <c r="H249" s="1"/>
      <c r="I249" s="55">
        <f>SUM(F249:H249)</f>
        <v>0</v>
      </c>
      <c r="J249" s="1"/>
      <c r="K249" s="1"/>
      <c r="L249" s="1"/>
      <c r="M249" s="55">
        <f>SUM(J249:L249)</f>
        <v>0</v>
      </c>
      <c r="N249" s="1"/>
      <c r="O249" s="1"/>
      <c r="P249" s="1"/>
      <c r="Q249" s="55">
        <f>SUM(N249:P249)</f>
        <v>0</v>
      </c>
      <c r="R249" s="55">
        <f>+E249+I249+M249+Q249</f>
        <v>0</v>
      </c>
      <c r="T249" s="4" t="s">
        <v>818</v>
      </c>
    </row>
    <row r="250" spans="1:21" ht="15.75" customHeight="1" x14ac:dyDescent="0.3">
      <c r="A250" s="85" t="s">
        <v>178</v>
      </c>
      <c r="B250" s="1"/>
      <c r="C250" s="1"/>
      <c r="D250" s="1"/>
      <c r="E250" s="55">
        <f>SUM(B250:D250)</f>
        <v>0</v>
      </c>
      <c r="F250" s="1"/>
      <c r="G250" s="1"/>
      <c r="H250" s="1"/>
      <c r="I250" s="55">
        <f>SUM(F250:H250)</f>
        <v>0</v>
      </c>
      <c r="J250" s="1"/>
      <c r="K250" s="1"/>
      <c r="L250" s="1"/>
      <c r="M250" s="55">
        <f>SUM(J250:L250)</f>
        <v>0</v>
      </c>
      <c r="N250" s="1"/>
      <c r="O250" s="1"/>
      <c r="P250" s="1"/>
      <c r="Q250" s="55">
        <f>SUM(N250:P250)</f>
        <v>0</v>
      </c>
      <c r="R250" s="55">
        <f>+E250+I250+M250+Q250</f>
        <v>0</v>
      </c>
      <c r="T250" s="4" t="s">
        <v>819</v>
      </c>
    </row>
    <row r="251" spans="1:21" ht="15.75" customHeight="1" x14ac:dyDescent="0.3">
      <c r="A251" s="91" t="s">
        <v>1127</v>
      </c>
      <c r="B251" s="1"/>
      <c r="C251" s="1"/>
      <c r="D251" s="1"/>
      <c r="E251" s="55">
        <f>SUM(B251:D251)</f>
        <v>0</v>
      </c>
      <c r="F251" s="1"/>
      <c r="G251" s="1"/>
      <c r="H251" s="1"/>
      <c r="I251" s="55">
        <f>SUM(F251:H251)</f>
        <v>0</v>
      </c>
      <c r="J251" s="1"/>
      <c r="K251" s="1"/>
      <c r="L251" s="1"/>
      <c r="M251" s="55">
        <f>SUM(J251:L251)</f>
        <v>0</v>
      </c>
      <c r="N251" s="1"/>
      <c r="O251" s="1"/>
      <c r="P251" s="1"/>
      <c r="Q251" s="55">
        <f>SUM(N251:P251)</f>
        <v>0</v>
      </c>
      <c r="R251" s="55">
        <f>+E251+I251+M251+Q251</f>
        <v>0</v>
      </c>
      <c r="T251" s="4" t="s">
        <v>822</v>
      </c>
    </row>
    <row r="252" spans="1:21" ht="15.75" customHeight="1" x14ac:dyDescent="0.3">
      <c r="A252" s="15" t="s">
        <v>67</v>
      </c>
      <c r="B252" s="1"/>
      <c r="C252" s="1"/>
      <c r="D252" s="1"/>
      <c r="E252" s="55" t="s">
        <v>7</v>
      </c>
      <c r="F252" s="1"/>
      <c r="G252" s="1"/>
      <c r="H252" s="1"/>
      <c r="I252" s="55" t="s">
        <v>7</v>
      </c>
      <c r="J252" s="1"/>
      <c r="K252" s="1"/>
      <c r="L252" s="1"/>
      <c r="M252" s="55" t="s">
        <v>7</v>
      </c>
      <c r="N252" s="1"/>
      <c r="O252" s="1"/>
      <c r="P252" s="1"/>
      <c r="Q252" s="55" t="s">
        <v>7</v>
      </c>
      <c r="R252" s="55" t="s">
        <v>7</v>
      </c>
    </row>
    <row r="253" spans="1:21" ht="15.75" customHeight="1" x14ac:dyDescent="0.3">
      <c r="A253" s="85" t="s">
        <v>900</v>
      </c>
      <c r="B253" s="1"/>
      <c r="C253" s="1">
        <v>548</v>
      </c>
      <c r="D253" s="1"/>
      <c r="E253" s="55">
        <f>SUM(B253:D253)</f>
        <v>548</v>
      </c>
      <c r="F253" s="1"/>
      <c r="G253" s="1"/>
      <c r="H253" s="1"/>
      <c r="I253" s="55">
        <f>SUM(F253:H253)</f>
        <v>0</v>
      </c>
      <c r="J253" s="1">
        <v>1132</v>
      </c>
      <c r="K253" s="1"/>
      <c r="L253" s="1"/>
      <c r="M253" s="55">
        <f>SUM(J253:L253)</f>
        <v>1132</v>
      </c>
      <c r="N253" s="1">
        <v>149</v>
      </c>
      <c r="O253" s="1">
        <v>59</v>
      </c>
      <c r="P253" s="1">
        <v>2029</v>
      </c>
      <c r="Q253" s="55">
        <f>SUM(N253:P253)</f>
        <v>2237</v>
      </c>
      <c r="R253" s="55">
        <f>+E253+I253+M253+Q253</f>
        <v>3917</v>
      </c>
    </row>
    <row r="254" spans="1:21" ht="15.75" customHeight="1" x14ac:dyDescent="0.3">
      <c r="A254" s="85" t="s">
        <v>711</v>
      </c>
      <c r="B254" s="1"/>
      <c r="C254" s="1"/>
      <c r="D254" s="1"/>
      <c r="E254" s="55">
        <f>SUM(B254:D254)</f>
        <v>0</v>
      </c>
      <c r="F254" s="1"/>
      <c r="G254" s="1"/>
      <c r="H254" s="1"/>
      <c r="I254" s="55">
        <f>SUM(F254:H254)</f>
        <v>0</v>
      </c>
      <c r="J254" s="1"/>
      <c r="K254" s="1"/>
      <c r="L254" s="1"/>
      <c r="M254" s="55">
        <f>SUM(J254:L254)</f>
        <v>0</v>
      </c>
      <c r="N254" s="1"/>
      <c r="O254" s="1"/>
      <c r="P254" s="1"/>
      <c r="Q254" s="55">
        <f>SUM(N254:P254)</f>
        <v>0</v>
      </c>
      <c r="R254" s="55">
        <f>+E254+I254+M254+Q254</f>
        <v>0</v>
      </c>
    </row>
    <row r="255" spans="1:21" ht="15.75" customHeight="1" x14ac:dyDescent="0.3">
      <c r="A255" s="71" t="s">
        <v>712</v>
      </c>
      <c r="B255" s="1"/>
      <c r="C255" s="1"/>
      <c r="D255" s="1"/>
      <c r="E255" s="55">
        <f t="shared" ref="E255:E260" si="43">SUM(B255:D255)</f>
        <v>0</v>
      </c>
      <c r="F255" s="1"/>
      <c r="G255" s="1"/>
      <c r="H255" s="1"/>
      <c r="I255" s="55">
        <f t="shared" ref="I255:I260" si="44">SUM(F255:H255)</f>
        <v>0</v>
      </c>
      <c r="J255" s="1"/>
      <c r="K255" s="1"/>
      <c r="L255" s="1"/>
      <c r="M255" s="55">
        <f t="shared" ref="M255:M260" si="45">SUM(J255:L255)</f>
        <v>0</v>
      </c>
      <c r="N255" s="1"/>
      <c r="O255" s="1"/>
      <c r="P255" s="1"/>
      <c r="Q255" s="55">
        <f t="shared" ref="Q255:Q260" si="46">SUM(N255:P255)</f>
        <v>0</v>
      </c>
      <c r="R255" s="55">
        <f t="shared" ref="R255:R260" si="47">+E255+I255+M255+Q255</f>
        <v>0</v>
      </c>
    </row>
    <row r="256" spans="1:21" ht="15.75" customHeight="1" x14ac:dyDescent="0.3">
      <c r="A256" s="71" t="s">
        <v>713</v>
      </c>
      <c r="B256" s="1"/>
      <c r="C256" s="1"/>
      <c r="D256" s="1"/>
      <c r="E256" s="55">
        <f t="shared" si="43"/>
        <v>0</v>
      </c>
      <c r="F256" s="1"/>
      <c r="G256" s="1"/>
      <c r="H256" s="1"/>
      <c r="I256" s="55">
        <f t="shared" si="44"/>
        <v>0</v>
      </c>
      <c r="J256" s="1"/>
      <c r="K256" s="1"/>
      <c r="L256" s="1"/>
      <c r="M256" s="55">
        <f t="shared" si="45"/>
        <v>0</v>
      </c>
      <c r="N256" s="1"/>
      <c r="O256" s="1"/>
      <c r="P256" s="1"/>
      <c r="Q256" s="55">
        <f t="shared" si="46"/>
        <v>0</v>
      </c>
      <c r="R256" s="55">
        <f t="shared" si="47"/>
        <v>0</v>
      </c>
    </row>
    <row r="257" spans="1:18" ht="15.75" customHeight="1" x14ac:dyDescent="0.3">
      <c r="A257" s="84" t="s">
        <v>1140</v>
      </c>
      <c r="B257" s="1"/>
      <c r="C257" s="1"/>
      <c r="D257" s="1">
        <v>1320</v>
      </c>
      <c r="E257" s="55">
        <f t="shared" si="43"/>
        <v>1320</v>
      </c>
      <c r="F257" s="1">
        <v>680</v>
      </c>
      <c r="G257" s="1"/>
      <c r="H257" s="1"/>
      <c r="I257" s="55">
        <f t="shared" si="44"/>
        <v>680</v>
      </c>
      <c r="J257" s="1"/>
      <c r="K257" s="1">
        <v>660</v>
      </c>
      <c r="L257" s="1"/>
      <c r="M257" s="55">
        <f t="shared" si="45"/>
        <v>660</v>
      </c>
      <c r="N257" s="1">
        <v>1807</v>
      </c>
      <c r="O257" s="1"/>
      <c r="P257" s="1">
        <v>501</v>
      </c>
      <c r="Q257" s="55">
        <f t="shared" si="46"/>
        <v>2308</v>
      </c>
      <c r="R257" s="55">
        <f t="shared" si="47"/>
        <v>4968</v>
      </c>
    </row>
    <row r="258" spans="1:18" ht="15.75" customHeight="1" x14ac:dyDescent="0.3">
      <c r="A258" s="84" t="s">
        <v>715</v>
      </c>
      <c r="B258" s="1"/>
      <c r="C258" s="1"/>
      <c r="D258" s="1"/>
      <c r="E258" s="55">
        <f t="shared" si="43"/>
        <v>0</v>
      </c>
      <c r="F258" s="1"/>
      <c r="G258" s="1"/>
      <c r="H258" s="1"/>
      <c r="I258" s="55">
        <f t="shared" si="44"/>
        <v>0</v>
      </c>
      <c r="J258" s="1"/>
      <c r="K258" s="1"/>
      <c r="L258" s="1"/>
      <c r="M258" s="55">
        <f t="shared" si="45"/>
        <v>0</v>
      </c>
      <c r="N258" s="1"/>
      <c r="O258" s="1"/>
      <c r="P258" s="1"/>
      <c r="Q258" s="55">
        <f t="shared" si="46"/>
        <v>0</v>
      </c>
      <c r="R258" s="55">
        <f t="shared" si="47"/>
        <v>0</v>
      </c>
    </row>
    <row r="259" spans="1:18" ht="15.75" customHeight="1" x14ac:dyDescent="0.3">
      <c r="A259" s="61" t="s">
        <v>716</v>
      </c>
      <c r="B259" s="1"/>
      <c r="C259" s="1"/>
      <c r="D259" s="1"/>
      <c r="E259" s="55">
        <f t="shared" si="43"/>
        <v>0</v>
      </c>
      <c r="F259" s="1"/>
      <c r="G259" s="1"/>
      <c r="H259" s="1"/>
      <c r="I259" s="55">
        <f t="shared" si="44"/>
        <v>0</v>
      </c>
      <c r="J259" s="1"/>
      <c r="K259" s="1"/>
      <c r="L259" s="1"/>
      <c r="M259" s="55">
        <f t="shared" si="45"/>
        <v>0</v>
      </c>
      <c r="N259" s="1"/>
      <c r="O259" s="1"/>
      <c r="P259" s="1"/>
      <c r="Q259" s="55">
        <f t="shared" si="46"/>
        <v>0</v>
      </c>
      <c r="R259" s="55">
        <f t="shared" si="47"/>
        <v>0</v>
      </c>
    </row>
    <row r="260" spans="1:18" ht="15.75" customHeight="1" x14ac:dyDescent="0.3">
      <c r="A260" s="61" t="s">
        <v>717</v>
      </c>
      <c r="B260" s="1"/>
      <c r="C260" s="1"/>
      <c r="D260" s="1"/>
      <c r="E260" s="55">
        <f t="shared" si="43"/>
        <v>0</v>
      </c>
      <c r="F260" s="1"/>
      <c r="G260" s="1"/>
      <c r="H260" s="1"/>
      <c r="I260" s="55">
        <f t="shared" si="44"/>
        <v>0</v>
      </c>
      <c r="J260" s="1"/>
      <c r="K260" s="1"/>
      <c r="L260" s="1"/>
      <c r="M260" s="55">
        <f t="shared" si="45"/>
        <v>0</v>
      </c>
      <c r="N260" s="1"/>
      <c r="O260" s="1"/>
      <c r="P260" s="1"/>
      <c r="Q260" s="55">
        <f t="shared" si="46"/>
        <v>0</v>
      </c>
      <c r="R260" s="55">
        <f t="shared" si="47"/>
        <v>0</v>
      </c>
    </row>
    <row r="261" spans="1:18" ht="15.75" customHeight="1" x14ac:dyDescent="0.3">
      <c r="A261" s="15" t="s">
        <v>600</v>
      </c>
      <c r="B261" s="1"/>
      <c r="C261" s="1"/>
      <c r="D261" s="1"/>
      <c r="E261" s="55" t="s">
        <v>7</v>
      </c>
      <c r="F261" s="1"/>
      <c r="G261" s="1"/>
      <c r="H261" s="1"/>
      <c r="I261" s="55" t="s">
        <v>7</v>
      </c>
      <c r="J261" s="1"/>
      <c r="K261" s="1"/>
      <c r="L261" s="1"/>
      <c r="M261" s="55" t="s">
        <v>7</v>
      </c>
      <c r="N261" s="1"/>
      <c r="O261" s="1"/>
      <c r="P261" s="1"/>
      <c r="Q261" s="55" t="s">
        <v>7</v>
      </c>
      <c r="R261" s="55" t="s">
        <v>7</v>
      </c>
    </row>
    <row r="262" spans="1:18" ht="15.75" customHeight="1" thickBot="1" x14ac:dyDescent="0.35">
      <c r="A262" s="15" t="s">
        <v>70</v>
      </c>
      <c r="B262" s="1"/>
      <c r="C262" s="1"/>
      <c r="D262" s="1"/>
      <c r="E262" s="55" t="s">
        <v>7</v>
      </c>
      <c r="F262" s="1"/>
      <c r="G262" s="1"/>
      <c r="H262" s="1"/>
      <c r="I262" s="55" t="s">
        <v>7</v>
      </c>
      <c r="J262" s="1"/>
      <c r="K262" s="1"/>
      <c r="L262" s="1"/>
      <c r="M262" s="55" t="s">
        <v>7</v>
      </c>
      <c r="N262" s="1"/>
      <c r="O262" s="1"/>
      <c r="P262" s="1"/>
      <c r="Q262" s="55" t="s">
        <v>7</v>
      </c>
      <c r="R262" s="55" t="s">
        <v>7</v>
      </c>
    </row>
    <row r="263" spans="1:18" ht="16.5" customHeight="1" thickBot="1" x14ac:dyDescent="0.35">
      <c r="A263" s="57" t="s">
        <v>71</v>
      </c>
      <c r="B263" s="58">
        <f>SUM(B261:B262)</f>
        <v>0</v>
      </c>
      <c r="C263" s="58">
        <f>SUM(C261:C262)</f>
        <v>0</v>
      </c>
      <c r="D263" s="58">
        <f>SUM(D261:D262)</f>
        <v>0</v>
      </c>
      <c r="E263" s="60">
        <f t="shared" ref="E263:E271" si="48">SUM(B263:D263)</f>
        <v>0</v>
      </c>
      <c r="F263" s="58">
        <f>SUM(F261:F262)</f>
        <v>0</v>
      </c>
      <c r="G263" s="58">
        <f>SUM(G261:G262)</f>
        <v>0</v>
      </c>
      <c r="H263" s="58">
        <f>SUM(H261:H262)</f>
        <v>0</v>
      </c>
      <c r="I263" s="60">
        <f t="shared" ref="I263:I271" si="49">SUM(F263:H263)</f>
        <v>0</v>
      </c>
      <c r="J263" s="58">
        <f>SUM(J261:J262)</f>
        <v>0</v>
      </c>
      <c r="K263" s="58">
        <f>SUM(K261:K262)</f>
        <v>0</v>
      </c>
      <c r="L263" s="58">
        <f>SUM(L261:L262)</f>
        <v>0</v>
      </c>
      <c r="M263" s="60">
        <f t="shared" ref="M263:M271" si="50">SUM(J263:L263)</f>
        <v>0</v>
      </c>
      <c r="N263" s="58">
        <f>SUM(N261:N262)</f>
        <v>0</v>
      </c>
      <c r="O263" s="58">
        <f>SUM(O261:O262)</f>
        <v>0</v>
      </c>
      <c r="P263" s="58">
        <f>SUM(P261:P262)</f>
        <v>0</v>
      </c>
      <c r="Q263" s="60">
        <f t="shared" ref="Q263:Q271" si="51">SUM(N263:P263)</f>
        <v>0</v>
      </c>
      <c r="R263" s="59">
        <f t="shared" ref="R263:R271" si="52">+E263+I263+M263+Q263</f>
        <v>0</v>
      </c>
    </row>
    <row r="264" spans="1:18" ht="16.5" customHeight="1" thickBot="1" x14ac:dyDescent="0.35">
      <c r="A264" s="57" t="s">
        <v>72</v>
      </c>
      <c r="B264" s="86">
        <f>SUM(B246:B262)</f>
        <v>0</v>
      </c>
      <c r="C264" s="87">
        <f>SUM(C246:C262)</f>
        <v>548</v>
      </c>
      <c r="D264" s="87">
        <f>SUM(D246:D262)</f>
        <v>1320</v>
      </c>
      <c r="E264" s="59">
        <f t="shared" si="48"/>
        <v>1868</v>
      </c>
      <c r="F264" s="87">
        <f>SUM(F246:F262)</f>
        <v>680</v>
      </c>
      <c r="G264" s="87">
        <f>SUM(G246:G262)</f>
        <v>0</v>
      </c>
      <c r="H264" s="87">
        <f>SUM(H246:H262)</f>
        <v>0</v>
      </c>
      <c r="I264" s="59">
        <f t="shared" si="49"/>
        <v>680</v>
      </c>
      <c r="J264" s="87">
        <f>SUM(J246:J262)</f>
        <v>1132</v>
      </c>
      <c r="K264" s="87">
        <f>SUM(K246:K262)</f>
        <v>660</v>
      </c>
      <c r="L264" s="87">
        <f>SUM(L246:L262)</f>
        <v>0</v>
      </c>
      <c r="M264" s="59">
        <f t="shared" si="50"/>
        <v>1792</v>
      </c>
      <c r="N264" s="87">
        <f>SUM(N246:N262)</f>
        <v>1956</v>
      </c>
      <c r="O264" s="87">
        <f>SUM(O246:O262)</f>
        <v>59</v>
      </c>
      <c r="P264" s="87">
        <f>SUM(P246:P262)</f>
        <v>2530</v>
      </c>
      <c r="Q264" s="59">
        <f t="shared" si="51"/>
        <v>4545</v>
      </c>
      <c r="R264" s="59">
        <f t="shared" si="52"/>
        <v>8885</v>
      </c>
    </row>
    <row r="265" spans="1:18" ht="16.5" customHeight="1" thickBot="1" x14ac:dyDescent="0.35">
      <c r="A265" s="57" t="s">
        <v>73</v>
      </c>
      <c r="B265" s="90">
        <f>+B192+B199+B245+B264</f>
        <v>20662</v>
      </c>
      <c r="C265" s="58">
        <f>+C192+C199+C245+C264</f>
        <v>21541</v>
      </c>
      <c r="D265" s="58">
        <f>+D192+D199+D245+D264</f>
        <v>33519</v>
      </c>
      <c r="E265" s="81">
        <f t="shared" si="48"/>
        <v>75722</v>
      </c>
      <c r="F265" s="58">
        <f>+F192+F199+F245+F264</f>
        <v>41705</v>
      </c>
      <c r="G265" s="58">
        <f>+G192+G199+G245+G264</f>
        <v>48679</v>
      </c>
      <c r="H265" s="58">
        <f>+H192+H199+H245+H264</f>
        <v>34808</v>
      </c>
      <c r="I265" s="81">
        <f t="shared" si="49"/>
        <v>125192</v>
      </c>
      <c r="J265" s="58">
        <f>+J192+J199+J245+J264</f>
        <v>41410</v>
      </c>
      <c r="K265" s="58">
        <f>+K192+K199+K245+K264</f>
        <v>33811</v>
      </c>
      <c r="L265" s="58">
        <f>+L192+L199+L245+L264</f>
        <v>31172</v>
      </c>
      <c r="M265" s="81">
        <f t="shared" si="50"/>
        <v>106393</v>
      </c>
      <c r="N265" s="58">
        <f>+N192+N199+N245+N264</f>
        <v>34119</v>
      </c>
      <c r="O265" s="58">
        <f>+O192+O199+O245+O264</f>
        <v>29318</v>
      </c>
      <c r="P265" s="58">
        <f>+P192+P199+P245+P264</f>
        <v>21568</v>
      </c>
      <c r="Q265" s="81">
        <f t="shared" si="51"/>
        <v>85005</v>
      </c>
      <c r="R265" s="81">
        <f t="shared" si="52"/>
        <v>392312</v>
      </c>
    </row>
    <row r="266" spans="1:18" ht="15.75" customHeight="1" x14ac:dyDescent="0.3">
      <c r="A266" s="88" t="s">
        <v>905</v>
      </c>
      <c r="B266" s="1"/>
      <c r="C266" s="1">
        <v>1766</v>
      </c>
      <c r="D266" s="1">
        <f>5044-425-357-2972</f>
        <v>1290</v>
      </c>
      <c r="E266" s="55">
        <f t="shared" si="48"/>
        <v>3056</v>
      </c>
      <c r="F266" s="1">
        <f>6639-363-15-4498-638</f>
        <v>1125</v>
      </c>
      <c r="G266" s="1">
        <f>8321-712-23-3002-3413</f>
        <v>1171</v>
      </c>
      <c r="H266" s="1">
        <f>8853-500-38-3000-3053</f>
        <v>2262</v>
      </c>
      <c r="I266" s="55">
        <f t="shared" si="49"/>
        <v>4558</v>
      </c>
      <c r="J266" s="1">
        <f>7077-500-33-1500-2782</f>
        <v>2262</v>
      </c>
      <c r="K266" s="1">
        <f>4600-234-10-1000-2353</f>
        <v>1003</v>
      </c>
      <c r="L266" s="1">
        <f>3585-11-3-1000-1984</f>
        <v>587</v>
      </c>
      <c r="M266" s="55">
        <f t="shared" si="50"/>
        <v>3852</v>
      </c>
      <c r="N266" s="1">
        <v>1897</v>
      </c>
      <c r="O266" s="1">
        <v>3570</v>
      </c>
      <c r="P266" s="1">
        <v>1040</v>
      </c>
      <c r="Q266" s="55">
        <f t="shared" si="51"/>
        <v>6507</v>
      </c>
      <c r="R266" s="55">
        <f t="shared" si="52"/>
        <v>17973</v>
      </c>
    </row>
    <row r="267" spans="1:18" ht="15.75" customHeight="1" x14ac:dyDescent="0.3">
      <c r="A267" s="91" t="s">
        <v>193</v>
      </c>
      <c r="B267" s="1"/>
      <c r="C267" s="1"/>
      <c r="D267" s="1"/>
      <c r="E267" s="55">
        <f t="shared" si="48"/>
        <v>0</v>
      </c>
      <c r="F267" s="1"/>
      <c r="G267" s="1"/>
      <c r="H267" s="1"/>
      <c r="I267" s="55">
        <f t="shared" si="49"/>
        <v>0</v>
      </c>
      <c r="J267" s="1"/>
      <c r="K267" s="1"/>
      <c r="L267" s="1"/>
      <c r="M267" s="55">
        <f t="shared" si="50"/>
        <v>0</v>
      </c>
      <c r="N267" s="1"/>
      <c r="O267" s="1"/>
      <c r="P267" s="1"/>
      <c r="Q267" s="55">
        <f t="shared" si="51"/>
        <v>0</v>
      </c>
      <c r="R267" s="55">
        <f t="shared" si="52"/>
        <v>0</v>
      </c>
    </row>
    <row r="268" spans="1:18" ht="15.75" customHeight="1" x14ac:dyDescent="0.3">
      <c r="A268" s="71" t="s">
        <v>718</v>
      </c>
      <c r="B268" s="1"/>
      <c r="C268" s="1"/>
      <c r="D268" s="1"/>
      <c r="E268" s="55">
        <f t="shared" si="48"/>
        <v>0</v>
      </c>
      <c r="F268" s="1"/>
      <c r="G268" s="1"/>
      <c r="H268" s="1"/>
      <c r="I268" s="55">
        <f t="shared" si="49"/>
        <v>0</v>
      </c>
      <c r="J268" s="1"/>
      <c r="K268" s="1"/>
      <c r="L268" s="1"/>
      <c r="M268" s="55">
        <f t="shared" si="50"/>
        <v>0</v>
      </c>
      <c r="N268" s="1"/>
      <c r="O268" s="1"/>
      <c r="P268" s="1"/>
      <c r="Q268" s="55">
        <f t="shared" si="51"/>
        <v>0</v>
      </c>
      <c r="R268" s="55">
        <f t="shared" si="52"/>
        <v>0</v>
      </c>
    </row>
    <row r="269" spans="1:18" ht="15.75" customHeight="1" x14ac:dyDescent="0.3">
      <c r="A269" s="91" t="s">
        <v>195</v>
      </c>
      <c r="B269" s="1">
        <v>17</v>
      </c>
      <c r="C269" s="1">
        <v>34</v>
      </c>
      <c r="D269" s="1">
        <v>11</v>
      </c>
      <c r="E269" s="55">
        <f>SUM(B269:D269)</f>
        <v>62</v>
      </c>
      <c r="F269" s="1">
        <v>17</v>
      </c>
      <c r="G269" s="1">
        <v>13</v>
      </c>
      <c r="H269" s="1">
        <v>15</v>
      </c>
      <c r="I269" s="55">
        <f>SUM(F269:H269)</f>
        <v>45</v>
      </c>
      <c r="J269" s="1">
        <v>11</v>
      </c>
      <c r="K269" s="1">
        <v>17</v>
      </c>
      <c r="L269" s="1">
        <v>37</v>
      </c>
      <c r="M269" s="55">
        <f>SUM(J269:L269)</f>
        <v>65</v>
      </c>
      <c r="N269" s="1">
        <v>30</v>
      </c>
      <c r="O269" s="1">
        <v>56</v>
      </c>
      <c r="P269" s="1">
        <v>8</v>
      </c>
      <c r="Q269" s="55">
        <f>SUM(N269:P269)</f>
        <v>94</v>
      </c>
      <c r="R269" s="55">
        <f t="shared" si="52"/>
        <v>266</v>
      </c>
    </row>
    <row r="270" spans="1:18" ht="15.75" customHeight="1" x14ac:dyDescent="0.3">
      <c r="A270" s="84" t="s">
        <v>196</v>
      </c>
      <c r="B270" s="1">
        <v>54111</v>
      </c>
      <c r="C270" s="1">
        <v>52725</v>
      </c>
      <c r="D270" s="1">
        <v>48127</v>
      </c>
      <c r="E270" s="55">
        <f t="shared" si="48"/>
        <v>154963</v>
      </c>
      <c r="F270" s="1">
        <v>9835</v>
      </c>
      <c r="G270" s="1">
        <v>1525</v>
      </c>
      <c r="H270" s="1"/>
      <c r="I270" s="55">
        <f t="shared" si="49"/>
        <v>11360</v>
      </c>
      <c r="J270" s="1"/>
      <c r="K270" s="1"/>
      <c r="L270" s="1">
        <v>27580</v>
      </c>
      <c r="M270" s="55">
        <f t="shared" si="50"/>
        <v>27580</v>
      </c>
      <c r="N270" s="1">
        <v>5000</v>
      </c>
      <c r="O270" s="1">
        <v>48000</v>
      </c>
      <c r="P270" s="1">
        <v>40000</v>
      </c>
      <c r="Q270" s="55">
        <f t="shared" si="51"/>
        <v>93000</v>
      </c>
      <c r="R270" s="55">
        <f t="shared" si="52"/>
        <v>286903</v>
      </c>
    </row>
    <row r="271" spans="1:18" ht="16.5" customHeight="1" thickBot="1" x14ac:dyDescent="0.35">
      <c r="A271" s="39" t="s">
        <v>40</v>
      </c>
      <c r="B271" s="21">
        <v>104</v>
      </c>
      <c r="C271" s="21">
        <v>268</v>
      </c>
      <c r="D271" s="21">
        <v>474</v>
      </c>
      <c r="E271" s="55">
        <f t="shared" si="48"/>
        <v>846</v>
      </c>
      <c r="F271" s="21">
        <v>647</v>
      </c>
      <c r="G271" s="21">
        <v>742</v>
      </c>
      <c r="H271" s="21">
        <v>781</v>
      </c>
      <c r="I271" s="55">
        <f t="shared" si="49"/>
        <v>2170</v>
      </c>
      <c r="J271" s="21">
        <v>774</v>
      </c>
      <c r="K271" s="21">
        <v>596</v>
      </c>
      <c r="L271" s="21">
        <v>546</v>
      </c>
      <c r="M271" s="55">
        <f t="shared" si="50"/>
        <v>1916</v>
      </c>
      <c r="N271" s="21">
        <v>517</v>
      </c>
      <c r="O271" s="21">
        <v>413</v>
      </c>
      <c r="P271" s="21">
        <v>302</v>
      </c>
      <c r="Q271" s="55">
        <f t="shared" si="51"/>
        <v>1232</v>
      </c>
      <c r="R271" s="55">
        <f t="shared" si="52"/>
        <v>6164</v>
      </c>
    </row>
    <row r="272" spans="1:18" ht="16.5" customHeight="1" thickBot="1" x14ac:dyDescent="0.35">
      <c r="A272" s="74"/>
      <c r="B272" s="75"/>
      <c r="C272" s="75"/>
      <c r="D272" s="75"/>
      <c r="E272" s="60"/>
      <c r="F272" s="75"/>
      <c r="G272" s="75"/>
      <c r="H272" s="75"/>
      <c r="I272" s="59"/>
      <c r="J272" s="75"/>
      <c r="K272" s="75"/>
      <c r="L272" s="75"/>
      <c r="M272" s="59"/>
      <c r="N272" s="75"/>
      <c r="O272" s="75"/>
      <c r="P272" s="75"/>
      <c r="Q272" s="59"/>
      <c r="R272" s="59" t="s">
        <v>7</v>
      </c>
    </row>
    <row r="273" spans="1:18" ht="15.75" customHeight="1" x14ac:dyDescent="0.3">
      <c r="A273" s="76" t="s">
        <v>41</v>
      </c>
      <c r="B273" s="77">
        <f>SUM(B265:B271)</f>
        <v>74894</v>
      </c>
      <c r="C273" s="77">
        <f>SUM(C265:C271)</f>
        <v>76334</v>
      </c>
      <c r="D273" s="77">
        <f>SUM(D265:D271)</f>
        <v>83421</v>
      </c>
      <c r="E273" s="60">
        <f>SUM(B273:D273)</f>
        <v>234649</v>
      </c>
      <c r="F273" s="77">
        <f>SUM(F265:F271)</f>
        <v>53329</v>
      </c>
      <c r="G273" s="77">
        <f>SUM(G265:G271)</f>
        <v>52130</v>
      </c>
      <c r="H273" s="77">
        <f>SUM(H265:H271)</f>
        <v>37866</v>
      </c>
      <c r="I273" s="60">
        <f>SUM(F273:H273)</f>
        <v>143325</v>
      </c>
      <c r="J273" s="77">
        <f>SUM(J265:J271)</f>
        <v>44457</v>
      </c>
      <c r="K273" s="77">
        <f>SUM(K265:K271)</f>
        <v>35427</v>
      </c>
      <c r="L273" s="77">
        <f>SUM(L265:L271)</f>
        <v>59922</v>
      </c>
      <c r="M273" s="60">
        <f>SUM(J273:L273)</f>
        <v>139806</v>
      </c>
      <c r="N273" s="77">
        <f>SUM(N265:N271)</f>
        <v>41563</v>
      </c>
      <c r="O273" s="77">
        <f>SUM(O265:O271)</f>
        <v>81357</v>
      </c>
      <c r="P273" s="77">
        <f>SUM(P265:P271)</f>
        <v>62918</v>
      </c>
      <c r="Q273" s="92">
        <f>SUM(N273:P273)</f>
        <v>185838</v>
      </c>
      <c r="R273" s="60">
        <f>+E273+I273+M273+Q273</f>
        <v>703618</v>
      </c>
    </row>
    <row r="274" spans="1:18" ht="15.75" customHeight="1" x14ac:dyDescent="0.3">
      <c r="A274" s="79" t="s">
        <v>42</v>
      </c>
      <c r="B274" s="1">
        <f>(B273/B10)/1.983</f>
        <v>1218.3234916142046</v>
      </c>
      <c r="C274" s="1">
        <f>(C273/C10)/1.983</f>
        <v>1374.7928823571788</v>
      </c>
      <c r="D274" s="1">
        <f>(D273/D10)/1.983</f>
        <v>1357.0347957639938</v>
      </c>
      <c r="E274" s="55" t="s">
        <v>7</v>
      </c>
      <c r="F274" s="1">
        <f>(F273/F10)/1.983</f>
        <v>896.4363758614893</v>
      </c>
      <c r="G274" s="1">
        <f>(G273/G10)/1.983</f>
        <v>848.01457550469297</v>
      </c>
      <c r="H274" s="1">
        <f>(H273/H10)/1.983</f>
        <v>636.51033787191125</v>
      </c>
      <c r="I274" s="55" t="s">
        <v>7</v>
      </c>
      <c r="J274" s="1">
        <f>(J273/J10)/1.983</f>
        <v>723.1955492655311</v>
      </c>
      <c r="K274" s="1">
        <f>(K273/K10)/1.983</f>
        <v>576.30179103020828</v>
      </c>
      <c r="L274" s="1">
        <f>(L273/L10)/1.983</f>
        <v>1007.2617246596067</v>
      </c>
      <c r="M274" s="55" t="s">
        <v>7</v>
      </c>
      <c r="N274" s="1">
        <f>(N273/N10)/1.983</f>
        <v>676.11797049110987</v>
      </c>
      <c r="O274" s="1">
        <f>(O273/O10)/1.983</f>
        <v>1367.5743822491174</v>
      </c>
      <c r="P274" s="1">
        <f>(P273/P10)/1.983</f>
        <v>1023.5062547785205</v>
      </c>
      <c r="Q274" s="93" t="s">
        <v>7</v>
      </c>
      <c r="R274" s="55" t="s">
        <v>7</v>
      </c>
    </row>
    <row r="275" spans="1:18" ht="15.75" customHeight="1" x14ac:dyDescent="0.3">
      <c r="A275" s="79" t="s">
        <v>197</v>
      </c>
      <c r="B275" s="1">
        <f>(+B273+B410)+B282</f>
        <v>81391</v>
      </c>
      <c r="C275" s="1">
        <f>(+C273+C410)+C282</f>
        <v>126748</v>
      </c>
      <c r="D275" s="1">
        <f>(+D273+D410)+D282</f>
        <v>170680</v>
      </c>
      <c r="E275" s="55">
        <f>SUM(B275:D275)</f>
        <v>378819</v>
      </c>
      <c r="F275" s="1">
        <f>(+F273+F410)+F282</f>
        <v>170959</v>
      </c>
      <c r="G275" s="1">
        <f>(+G273+G410)+G282</f>
        <v>174800</v>
      </c>
      <c r="H275" s="1">
        <f>(+H273+H410)+H282</f>
        <v>126555</v>
      </c>
      <c r="I275" s="55">
        <f>SUM(F275:H275)</f>
        <v>472314</v>
      </c>
      <c r="J275" s="1">
        <f>(+J273+J410)+J282</f>
        <v>85894</v>
      </c>
      <c r="K275" s="1">
        <f>(+K273+K410)+K282</f>
        <v>92962</v>
      </c>
      <c r="L275" s="1">
        <f>(+L273+L410)+L282</f>
        <v>127310</v>
      </c>
      <c r="M275" s="55">
        <f>SUM(J275:L275)</f>
        <v>306166</v>
      </c>
      <c r="N275" s="1">
        <f>(+N273+N410)+N282</f>
        <v>106197</v>
      </c>
      <c r="O275" s="1">
        <f>(+O273+O410)+O282</f>
        <v>125359</v>
      </c>
      <c r="P275" s="1">
        <f>(+P273+P410)+P282</f>
        <v>110362</v>
      </c>
      <c r="Q275" s="93">
        <f>SUM(N275:P275)</f>
        <v>341918</v>
      </c>
      <c r="R275" s="55">
        <f>+E275+I275+M275+Q275</f>
        <v>1499217</v>
      </c>
    </row>
    <row r="276" spans="1:18" ht="16.5" customHeight="1" thickBot="1" x14ac:dyDescent="0.35">
      <c r="A276" s="80" t="s">
        <v>198</v>
      </c>
      <c r="B276" s="25">
        <f>(B275/B10)/1.983</f>
        <v>1324.01216794365</v>
      </c>
      <c r="C276" s="25">
        <f>(C275/C10)/1.983</f>
        <v>2282.7606080253581</v>
      </c>
      <c r="D276" s="25">
        <f>(D275/D10)/1.983</f>
        <v>2776.5035056040865</v>
      </c>
      <c r="E276" s="81" t="s">
        <v>7</v>
      </c>
      <c r="F276" s="25">
        <f>(F275/F10)/1.983</f>
        <v>2873.7434863002181</v>
      </c>
      <c r="G276" s="25">
        <f>(G275/G10)/1.983</f>
        <v>2843.5247995054738</v>
      </c>
      <c r="H276" s="25">
        <f>(H275/H10)/1.983</f>
        <v>2127.332324760464</v>
      </c>
      <c r="I276" s="81" t="s">
        <v>7</v>
      </c>
      <c r="J276" s="25">
        <f>(J275/J10)/1.983</f>
        <v>1397.2638394091716</v>
      </c>
      <c r="K276" s="25">
        <f>(K275/K10)/1.983</f>
        <v>1512.2411465196103</v>
      </c>
      <c r="L276" s="25">
        <f>(L275/L10)/1.983</f>
        <v>2140.0235333669525</v>
      </c>
      <c r="M276" s="81" t="s">
        <v>7</v>
      </c>
      <c r="N276" s="25">
        <f>(N275/N10)/1.983</f>
        <v>1727.5389195256453</v>
      </c>
      <c r="O276" s="25">
        <f>(O275/O10)/1.983</f>
        <v>2107.2281055639601</v>
      </c>
      <c r="P276" s="25">
        <f>(P275/P10)/1.983</f>
        <v>1795.2922421225578</v>
      </c>
      <c r="Q276" s="94" t="s">
        <v>7</v>
      </c>
      <c r="R276" s="81" t="s">
        <v>7</v>
      </c>
    </row>
    <row r="277" spans="1:18" ht="16.5" customHeight="1" thickBot="1" x14ac:dyDescent="0.35">
      <c r="A277" s="95" t="s">
        <v>199</v>
      </c>
      <c r="B277" s="96">
        <f>+(B275-(B139+B140+B141+B142+B144+B145+B146+B147+B151+B153+B157+B158+B160+B161+B162+B163+B164+B171+B172+B183+B186+B188+B189+B196+B203+B204+B205+B215+B216+B217+B219+B232+B233+B249+B250+B253+B254+B257+B258+B266+B270+B278)-B282)/(B10*1.983)</f>
        <v>818.39181429245355</v>
      </c>
      <c r="C277" s="96">
        <f>+(C275-(C139+C140+C141+C142+C144+C145+C146+C147+C151+C153+C157+C158+C160+C161+C162+C163+C164+C171+C172+C183+C186+C188+C189+C196+C203+C204+C205+C215+C216+C217+C219+C232+C233+C249+C250+C253+C254+C257+C258+C266+C270+C278)-C282)/(C10*1.983)</f>
        <v>1180.4625027015345</v>
      </c>
      <c r="D277" s="96">
        <f>+(D275-(D139+D140+D141+D142+D144+D145+D146+D147+D151+D153+D157+D158+D160+D161+D162+D163+D164+D171+D172+D183+D186+D188+D189+D196+D203+D204+D205+D215+D216+D217+D219+D232+D233+D249+D250+D253+D254+D257+D258+D266+D270+D278)-D282)/(D10*1.983)</f>
        <v>1758.2190555203097</v>
      </c>
      <c r="E277" s="97"/>
      <c r="F277" s="96">
        <f>+(F275-(F139+F140+F141+F142+F144+F145+F146+F147+F151+F153+F157+F158+F160+F161+F162+F163+F164+F171+F172+F183+F186+F188+F189+F196+F203+F204+F205+F215+F216+F217+F219+F232+F233+F249+F250+F253+F254+F257+F258+F266+F270+F278)-F282)/(F10*1.983)</f>
        <v>2439.4351991931417</v>
      </c>
      <c r="G277" s="96">
        <f>+(G275-(G139+G140+G141+G142+G144+G145+G146+G147+G151+G153+G157+G158+G160+G161+G162+G163+G164+G171+G172+G183+G186+G188+G189+G196+G203+G204+G205+G215+G216+G217+G219+G232+G233+G249+G250+G253+G254+G257+G258+G266+G270+G278)-G282)/(G10*1.983)</f>
        <v>2759.5367071722544</v>
      </c>
      <c r="H277" s="96">
        <f>+(H275-(H139+H140+H141+H142+H144+H145+H146+H147+H151+H153+H157+H158+H160+H161+H162+H163+H164+H171+H172+H183+H186+H188+H189+H196+H203+H204+H205+H215+H216+H217+H219+H232+H233+H249+H250+H253+H254+H257+H258+H266+H270+H278)-H282)/(H10*1.983)</f>
        <v>3011.8507312153301</v>
      </c>
      <c r="I277" s="97"/>
      <c r="J277" s="96">
        <f>+(J275-(J139+J140+J141+J142+J144+J145+J146+J147+J151+J153+J157+J158+J160+J161+J162+J163+J164+J171+J172+J183+J186+J188+J189+J196+J203+J204+J205+J215+J216+J217+J219+J232+J233+J249+J250+J253+J254+J257+J258+J266+J270+J278)-J282)/(J10*1.983)</f>
        <v>2655.3771574512384</v>
      </c>
      <c r="K277" s="96">
        <f>+(K275-(K139+K140+K141+K142+K144+K145+K146+K147+K151+K153+K157+K158+K160+K161+K162+K163+K164+K171+K172+K183+K186+K188+K189+K196+K203+K204+K205+K215+K216+K217+K219+K232+K233+K249+K250+K253+K254+K257+K258+K266+K270+K278)-K282)/(K10*1.983)</f>
        <v>2429.3917654905404</v>
      </c>
      <c r="L277" s="96">
        <f>+(L275-(L139+L140+L141+L142+L144+L145+L146+L147+L151+L153+L157+L158+L160+L161+L162+L163+L164+L171+L172+L183+L186+L188+L189+L196+L203+L204+L205+L215+L216+L217+L219+L232+L233+L249+L250+L253+L254+L257+L258+L266+L270+L278)-L282)/(L10*1.983)</f>
        <v>1610.9430156328795</v>
      </c>
      <c r="M277" s="97"/>
      <c r="N277" s="96">
        <f>+(N275-(N139+N140+N141+N142+N144+N145+N146+N147+N151+N153+N157+N158+N160+N161+N162+N163+N164+N171+N172+N183+N186+N188+N189+N196+N203+N204+N205+N215+N216+N217+N219+N232+N233+N249+N250+N253+N254+N257+N258+N266+N270+N278)-N282)/(N10*1.983)</f>
        <v>1427.1306101865857</v>
      </c>
      <c r="O277" s="96">
        <f>+(O275-(O139+O140+O141+O142+O144+O145+O146+O147+O151+O153+O157+O158+O160+O161+O162+O163+O164+O171+O172+O183+O186+O188+O189+O196+O203+O204+O205+O215+O216+O217+O219+O232+O233+O249+O250+O253+O254+O257+O258+O266+O270+O278)-O282)/(O10*1.983)</f>
        <v>1052.0423600605143</v>
      </c>
      <c r="P277" s="96">
        <f>+(P275-(P139+P140+P141+P142+P144+P145+P146+P147+P151+P153+P157+P158+P160+P161+P162+P163+P164+P171+P172+P183+P186+P188+P189+P196+P203+P204+P205+P215+P216+P217+P219+P232+P233+P249+P250+P253+P254+P257+P258+P266+P270+P278)-P282)/(P10*1.983)</f>
        <v>1013.8760106062823</v>
      </c>
      <c r="Q277" s="98"/>
      <c r="R277" s="97"/>
    </row>
    <row r="278" spans="1:18" ht="15.75" customHeight="1" x14ac:dyDescent="0.3">
      <c r="A278" s="299" t="s">
        <v>719</v>
      </c>
      <c r="B278" s="1">
        <v>2300</v>
      </c>
      <c r="C278" s="1">
        <v>2000</v>
      </c>
      <c r="D278" s="1">
        <v>2500</v>
      </c>
      <c r="E278" s="1"/>
      <c r="F278" s="1">
        <v>2400</v>
      </c>
      <c r="G278" s="1">
        <v>2500</v>
      </c>
      <c r="H278" s="1">
        <v>2400</v>
      </c>
      <c r="I278" s="1"/>
      <c r="J278" s="1">
        <v>2500</v>
      </c>
      <c r="K278" s="1">
        <v>2500</v>
      </c>
      <c r="L278" s="1">
        <v>2500</v>
      </c>
      <c r="M278" s="1"/>
      <c r="N278" s="1">
        <v>2500</v>
      </c>
      <c r="O278" s="1">
        <v>2500</v>
      </c>
      <c r="P278" s="1">
        <v>2500</v>
      </c>
      <c r="Q278" s="1"/>
      <c r="R278" s="2"/>
    </row>
    <row r="279" spans="1:18" ht="15.75" customHeight="1" thickBot="1" x14ac:dyDescent="0.35">
      <c r="A279" s="28"/>
      <c r="B279" s="1"/>
      <c r="C279" s="1"/>
      <c r="D279" s="1"/>
      <c r="E279" s="1"/>
      <c r="F279" s="1"/>
      <c r="G279" s="1"/>
      <c r="H279" s="1"/>
      <c r="I279" s="1"/>
      <c r="J279" s="1"/>
      <c r="K279" s="1"/>
      <c r="L279" s="1"/>
      <c r="M279" s="1"/>
      <c r="N279" s="1"/>
      <c r="O279" s="1"/>
      <c r="P279" s="1"/>
      <c r="Q279" s="1"/>
      <c r="R279" s="2"/>
    </row>
    <row r="280" spans="1:18" ht="16.5" customHeight="1" thickBot="1" x14ac:dyDescent="0.35">
      <c r="A280" s="29" t="s">
        <v>201</v>
      </c>
      <c r="B280" s="30" t="s">
        <v>8</v>
      </c>
      <c r="C280" s="31" t="s">
        <v>9</v>
      </c>
      <c r="D280" s="31" t="s">
        <v>10</v>
      </c>
      <c r="E280" s="32" t="s">
        <v>11</v>
      </c>
      <c r="F280" s="31" t="s">
        <v>12</v>
      </c>
      <c r="G280" s="31" t="s">
        <v>13</v>
      </c>
      <c r="H280" s="31" t="s">
        <v>14</v>
      </c>
      <c r="I280" s="33" t="s">
        <v>15</v>
      </c>
      <c r="J280" s="31" t="s">
        <v>16</v>
      </c>
      <c r="K280" s="31" t="s">
        <v>17</v>
      </c>
      <c r="L280" s="31" t="s">
        <v>18</v>
      </c>
      <c r="M280" s="33" t="s">
        <v>19</v>
      </c>
      <c r="N280" s="31" t="s">
        <v>20</v>
      </c>
      <c r="O280" s="31" t="s">
        <v>21</v>
      </c>
      <c r="P280" s="31" t="s">
        <v>22</v>
      </c>
      <c r="Q280" s="33" t="s">
        <v>23</v>
      </c>
      <c r="R280" s="34" t="s">
        <v>24</v>
      </c>
    </row>
    <row r="281" spans="1:18" ht="16.5" customHeight="1" thickBot="1" x14ac:dyDescent="0.35">
      <c r="A281" s="74"/>
      <c r="B281" s="75"/>
      <c r="C281" s="75"/>
      <c r="D281" s="75"/>
      <c r="E281" s="82"/>
      <c r="F281" s="75"/>
      <c r="G281" s="75"/>
      <c r="H281" s="75"/>
      <c r="I281" s="82"/>
      <c r="J281" s="75"/>
      <c r="K281" s="75"/>
      <c r="L281" s="75"/>
      <c r="M281" s="82"/>
      <c r="N281" s="75"/>
      <c r="O281" s="75"/>
      <c r="P281" s="75"/>
      <c r="Q281" s="82"/>
      <c r="R281" s="100"/>
    </row>
    <row r="282" spans="1:18" ht="15.75" customHeight="1" thickBot="1" x14ac:dyDescent="0.35">
      <c r="A282" s="71" t="s">
        <v>202</v>
      </c>
      <c r="B282" s="1">
        <v>-26551</v>
      </c>
      <c r="C282" s="1"/>
      <c r="D282" s="1"/>
      <c r="E282" s="55">
        <f>SUM(B282:D282)</f>
        <v>-26551</v>
      </c>
      <c r="F282" s="1">
        <v>-359</v>
      </c>
      <c r="G282" s="1">
        <v>-9966</v>
      </c>
      <c r="H282" s="1">
        <v>-64683</v>
      </c>
      <c r="I282" s="55">
        <f>SUM(F282:H282)</f>
        <v>-75008</v>
      </c>
      <c r="J282" s="1">
        <v>-93862</v>
      </c>
      <c r="K282" s="1">
        <v>-67548</v>
      </c>
      <c r="L282" s="1">
        <v>-5520</v>
      </c>
      <c r="M282" s="55">
        <f>SUM(J282:L282)</f>
        <v>-166930</v>
      </c>
      <c r="N282" s="1"/>
      <c r="O282" s="1"/>
      <c r="P282" s="1"/>
      <c r="Q282" s="55">
        <f>SUM(N282:P282)</f>
        <v>0</v>
      </c>
      <c r="R282" s="55">
        <f>+E282+I282+M282+Q282</f>
        <v>-268489</v>
      </c>
    </row>
    <row r="283" spans="1:18" ht="16.5" customHeight="1" thickBot="1" x14ac:dyDescent="0.35">
      <c r="A283" s="101"/>
      <c r="B283" s="102"/>
      <c r="C283" s="102"/>
      <c r="D283" s="102"/>
      <c r="E283" s="103"/>
      <c r="F283" s="102"/>
      <c r="G283" s="102"/>
      <c r="H283" s="102"/>
      <c r="I283" s="103"/>
      <c r="J283" s="102"/>
      <c r="K283" s="102"/>
      <c r="L283" s="102"/>
      <c r="M283" s="103"/>
      <c r="N283" s="102"/>
      <c r="O283" s="102"/>
      <c r="P283" s="102"/>
      <c r="Q283" s="103"/>
      <c r="R283" s="104"/>
    </row>
    <row r="284" spans="1:18" ht="15.75" customHeight="1" x14ac:dyDescent="0.3">
      <c r="A284" s="15" t="s">
        <v>32</v>
      </c>
      <c r="B284" s="1">
        <f>B282</f>
        <v>-26551</v>
      </c>
      <c r="C284" s="1">
        <f>C282</f>
        <v>0</v>
      </c>
      <c r="D284" s="1">
        <f>D282</f>
        <v>0</v>
      </c>
      <c r="E284" s="55">
        <f>SUM(B284:D284)</f>
        <v>-26551</v>
      </c>
      <c r="F284" s="1">
        <f>F282</f>
        <v>-359</v>
      </c>
      <c r="G284" s="1">
        <f>G282</f>
        <v>-9966</v>
      </c>
      <c r="H284" s="1">
        <f>H282</f>
        <v>-64683</v>
      </c>
      <c r="I284" s="55">
        <f>SUM(F284:H284)</f>
        <v>-75008</v>
      </c>
      <c r="J284" s="1">
        <f>J282</f>
        <v>-93862</v>
      </c>
      <c r="K284" s="1">
        <f>K282</f>
        <v>-67548</v>
      </c>
      <c r="L284" s="1">
        <f>L282</f>
        <v>-5520</v>
      </c>
      <c r="M284" s="55">
        <f>SUM(J284:L284)</f>
        <v>-166930</v>
      </c>
      <c r="N284" s="1">
        <f>N282</f>
        <v>0</v>
      </c>
      <c r="O284" s="1">
        <f>O282</f>
        <v>0</v>
      </c>
      <c r="P284" s="1">
        <f>P282</f>
        <v>0</v>
      </c>
      <c r="Q284" s="55">
        <f>SUM(N284:P284)</f>
        <v>0</v>
      </c>
      <c r="R284" s="105">
        <f>R282</f>
        <v>-268489</v>
      </c>
    </row>
    <row r="285" spans="1:18" ht="16.5" customHeight="1" thickBot="1" x14ac:dyDescent="0.35">
      <c r="A285" s="20" t="s">
        <v>42</v>
      </c>
      <c r="B285" s="21">
        <f>(B284/B10)/1.983</f>
        <v>-431.91319766401506</v>
      </c>
      <c r="C285" s="21">
        <f>(C284/C10)/1.983</f>
        <v>0</v>
      </c>
      <c r="D285" s="21">
        <f>(D284/D10)/1.983</f>
        <v>0</v>
      </c>
      <c r="E285" s="81"/>
      <c r="F285" s="21">
        <f>(F284/F10)/1.983</f>
        <v>-6.034627668515717</v>
      </c>
      <c r="G285" s="21">
        <f>(G284/G10)/1.983</f>
        <v>-162.11995510224</v>
      </c>
      <c r="H285" s="21">
        <f>(H284/H10)/1.983</f>
        <v>-1087.2919818456883</v>
      </c>
      <c r="I285" s="81"/>
      <c r="J285" s="21">
        <f>(J284/J10)/1.983</f>
        <v>-1526.8817204301076</v>
      </c>
      <c r="K285" s="21">
        <f>(K284/K10)/1.983</f>
        <v>-1098.8238738958567</v>
      </c>
      <c r="L285" s="21">
        <f>(L284/L10)/1.983</f>
        <v>-92.788703983862831</v>
      </c>
      <c r="M285" s="81"/>
      <c r="N285" s="21">
        <f>(N284/N10)/1.983</f>
        <v>0</v>
      </c>
      <c r="O285" s="21">
        <f>(O284/O10)/1.983</f>
        <v>0</v>
      </c>
      <c r="P285" s="21">
        <f>(P284/P10)/1.983</f>
        <v>0</v>
      </c>
      <c r="Q285" s="81"/>
      <c r="R285" s="100" t="s">
        <v>7</v>
      </c>
    </row>
    <row r="286" spans="1:18" ht="15.75" customHeight="1" x14ac:dyDescent="0.3">
      <c r="A286" s="2"/>
      <c r="B286" s="1"/>
      <c r="C286" s="1"/>
      <c r="D286" s="1"/>
      <c r="E286" s="1"/>
      <c r="F286" s="1"/>
      <c r="G286" s="1"/>
      <c r="H286" s="1"/>
      <c r="I286" s="1"/>
      <c r="J286" s="1"/>
      <c r="K286" s="1"/>
      <c r="L286" s="1"/>
      <c r="M286" s="1"/>
      <c r="N286" s="1"/>
      <c r="O286" s="1"/>
      <c r="P286" s="1"/>
      <c r="Q286" s="1"/>
      <c r="R286" s="2"/>
    </row>
    <row r="287" spans="1:18" ht="16.5" customHeight="1" thickBot="1" x14ac:dyDescent="0.35">
      <c r="A287" s="106"/>
      <c r="B287" s="21"/>
      <c r="C287" s="21"/>
      <c r="D287" s="21"/>
      <c r="E287" s="21"/>
      <c r="F287" s="21"/>
      <c r="G287" s="21"/>
      <c r="H287" s="21"/>
      <c r="I287" s="21"/>
      <c r="J287" s="21"/>
      <c r="K287" s="21"/>
      <c r="L287" s="21"/>
      <c r="M287" s="21"/>
      <c r="N287" s="21"/>
      <c r="O287" s="21"/>
      <c r="P287" s="21"/>
      <c r="Q287" s="21"/>
      <c r="R287" s="106"/>
    </row>
    <row r="288" spans="1:18" ht="16.5" customHeight="1" thickBot="1" x14ac:dyDescent="0.35">
      <c r="A288" s="107" t="s">
        <v>203</v>
      </c>
      <c r="B288" s="30" t="s">
        <v>8</v>
      </c>
      <c r="C288" s="31" t="s">
        <v>9</v>
      </c>
      <c r="D288" s="31" t="s">
        <v>10</v>
      </c>
      <c r="E288" s="32" t="s">
        <v>11</v>
      </c>
      <c r="F288" s="31" t="s">
        <v>12</v>
      </c>
      <c r="G288" s="31" t="s">
        <v>13</v>
      </c>
      <c r="H288" s="31" t="s">
        <v>14</v>
      </c>
      <c r="I288" s="33" t="s">
        <v>15</v>
      </c>
      <c r="J288" s="31" t="s">
        <v>16</v>
      </c>
      <c r="K288" s="31" t="s">
        <v>17</v>
      </c>
      <c r="L288" s="31" t="s">
        <v>18</v>
      </c>
      <c r="M288" s="33" t="s">
        <v>19</v>
      </c>
      <c r="N288" s="31" t="s">
        <v>20</v>
      </c>
      <c r="O288" s="31" t="s">
        <v>21</v>
      </c>
      <c r="P288" s="31" t="s">
        <v>22</v>
      </c>
      <c r="Q288" s="33" t="s">
        <v>23</v>
      </c>
      <c r="R288" s="34" t="s">
        <v>24</v>
      </c>
    </row>
    <row r="289" spans="1:20" ht="16.5" customHeight="1" thickBot="1" x14ac:dyDescent="0.35">
      <c r="A289" s="59"/>
      <c r="B289" s="75"/>
      <c r="C289" s="75"/>
      <c r="D289" s="75"/>
      <c r="E289" s="69"/>
      <c r="F289" s="75"/>
      <c r="G289" s="75"/>
      <c r="H289" s="75"/>
      <c r="I289" s="82"/>
      <c r="J289" s="75"/>
      <c r="K289" s="75"/>
      <c r="L289" s="75"/>
      <c r="M289" s="82"/>
      <c r="N289" s="75"/>
      <c r="O289" s="75"/>
      <c r="P289" s="75"/>
      <c r="Q289" s="82"/>
      <c r="R289" s="105"/>
    </row>
    <row r="290" spans="1:20" ht="15.75" customHeight="1" x14ac:dyDescent="0.3">
      <c r="A290" s="15" t="s">
        <v>48</v>
      </c>
      <c r="B290" s="1" t="s">
        <v>7</v>
      </c>
      <c r="C290" s="1" t="s">
        <v>7</v>
      </c>
      <c r="D290" s="1" t="s">
        <v>7</v>
      </c>
      <c r="E290" s="55" t="s">
        <v>7</v>
      </c>
      <c r="F290" s="1" t="s">
        <v>7</v>
      </c>
      <c r="G290" s="1" t="s">
        <v>7</v>
      </c>
      <c r="H290" s="1" t="s">
        <v>7</v>
      </c>
      <c r="I290" s="55" t="s">
        <v>7</v>
      </c>
      <c r="J290" s="1" t="s">
        <v>7</v>
      </c>
      <c r="K290" s="1" t="s">
        <v>7</v>
      </c>
      <c r="L290" s="1" t="s">
        <v>7</v>
      </c>
      <c r="M290" s="55" t="s">
        <v>7</v>
      </c>
      <c r="N290" s="1" t="s">
        <v>7</v>
      </c>
      <c r="O290" s="1" t="s">
        <v>7</v>
      </c>
      <c r="P290" s="1" t="s">
        <v>7</v>
      </c>
      <c r="Q290" s="55" t="s">
        <v>7</v>
      </c>
      <c r="R290" s="60" t="s">
        <v>7</v>
      </c>
    </row>
    <row r="291" spans="1:20" ht="15.75" customHeight="1" x14ac:dyDescent="0.3">
      <c r="A291" s="15" t="s">
        <v>49</v>
      </c>
      <c r="B291" s="1"/>
      <c r="C291" s="1"/>
      <c r="D291" s="1"/>
      <c r="E291" s="55" t="s">
        <v>7</v>
      </c>
      <c r="F291" s="1"/>
      <c r="G291" s="1"/>
      <c r="H291" s="1"/>
      <c r="I291" s="55" t="s">
        <v>7</v>
      </c>
      <c r="J291" s="1"/>
      <c r="K291" s="1"/>
      <c r="L291" s="1"/>
      <c r="M291" s="55" t="s">
        <v>7</v>
      </c>
      <c r="N291" s="1"/>
      <c r="O291" s="1"/>
      <c r="P291" s="1"/>
      <c r="Q291" s="55" t="s">
        <v>7</v>
      </c>
      <c r="R291" s="55" t="s">
        <v>7</v>
      </c>
    </row>
    <row r="292" spans="1:20" ht="15.75" customHeight="1" x14ac:dyDescent="0.3">
      <c r="A292" s="72" t="s">
        <v>906</v>
      </c>
      <c r="B292" s="1">
        <v>113</v>
      </c>
      <c r="C292" s="108">
        <v>89</v>
      </c>
      <c r="D292" s="1">
        <v>117</v>
      </c>
      <c r="E292" s="55">
        <f t="shared" ref="E292:E307" si="53">SUM(B292:D292)</f>
        <v>319</v>
      </c>
      <c r="F292" s="1">
        <v>82</v>
      </c>
      <c r="G292" s="1">
        <v>114</v>
      </c>
      <c r="H292" s="1">
        <v>109</v>
      </c>
      <c r="I292" s="55">
        <f t="shared" ref="I292:I307" si="54">SUM(F292:H292)</f>
        <v>305</v>
      </c>
      <c r="J292" s="1">
        <v>98</v>
      </c>
      <c r="K292" s="1">
        <v>93</v>
      </c>
      <c r="L292" s="1">
        <v>73</v>
      </c>
      <c r="M292" s="55">
        <f t="shared" ref="M292:M307" si="55">SUM(J292:L292)</f>
        <v>264</v>
      </c>
      <c r="N292" s="1">
        <v>101</v>
      </c>
      <c r="O292" s="1">
        <v>95</v>
      </c>
      <c r="P292" s="1">
        <v>140</v>
      </c>
      <c r="Q292" s="55">
        <f t="shared" ref="Q292:Q307" si="56">SUM(N292:P292)</f>
        <v>336</v>
      </c>
      <c r="R292" s="55">
        <f t="shared" ref="R292:R307" si="57">+E292+I292+M292+Q292</f>
        <v>1224</v>
      </c>
      <c r="T292" s="4" t="s">
        <v>907</v>
      </c>
    </row>
    <row r="293" spans="1:20" ht="15.75" customHeight="1" x14ac:dyDescent="0.3">
      <c r="A293" s="72" t="s">
        <v>1141</v>
      </c>
      <c r="B293" s="1"/>
      <c r="C293" s="108"/>
      <c r="D293" s="1"/>
      <c r="E293" s="55">
        <f t="shared" si="53"/>
        <v>0</v>
      </c>
      <c r="F293" s="1"/>
      <c r="G293" s="1"/>
      <c r="H293" s="1">
        <v>100</v>
      </c>
      <c r="I293" s="55">
        <f t="shared" si="54"/>
        <v>100</v>
      </c>
      <c r="J293" s="1"/>
      <c r="K293" s="1"/>
      <c r="L293" s="1"/>
      <c r="M293" s="55">
        <f t="shared" si="55"/>
        <v>0</v>
      </c>
      <c r="N293" s="1"/>
      <c r="O293" s="1"/>
      <c r="P293" s="1"/>
      <c r="Q293" s="55">
        <f t="shared" si="56"/>
        <v>0</v>
      </c>
      <c r="R293" s="55">
        <f t="shared" si="57"/>
        <v>100</v>
      </c>
      <c r="T293" s="4" t="s">
        <v>241</v>
      </c>
    </row>
    <row r="294" spans="1:20" ht="15.75" customHeight="1" x14ac:dyDescent="0.3">
      <c r="A294" s="72" t="s">
        <v>913</v>
      </c>
      <c r="B294" s="1">
        <v>176</v>
      </c>
      <c r="C294" s="1">
        <v>127</v>
      </c>
      <c r="D294" s="1">
        <v>212</v>
      </c>
      <c r="E294" s="55">
        <f t="shared" si="53"/>
        <v>515</v>
      </c>
      <c r="F294" s="1">
        <v>249</v>
      </c>
      <c r="G294" s="1">
        <v>350</v>
      </c>
      <c r="H294" s="1">
        <v>414</v>
      </c>
      <c r="I294" s="55">
        <f t="shared" si="54"/>
        <v>1013</v>
      </c>
      <c r="J294" s="1">
        <v>301</v>
      </c>
      <c r="K294" s="1">
        <v>382</v>
      </c>
      <c r="L294" s="1">
        <v>190</v>
      </c>
      <c r="M294" s="55">
        <f t="shared" si="55"/>
        <v>873</v>
      </c>
      <c r="N294" s="1">
        <v>402</v>
      </c>
      <c r="O294" s="1">
        <v>216</v>
      </c>
      <c r="P294" s="1">
        <v>82</v>
      </c>
      <c r="Q294" s="55">
        <f t="shared" si="56"/>
        <v>700</v>
      </c>
      <c r="R294" s="55">
        <f t="shared" si="57"/>
        <v>3101</v>
      </c>
      <c r="T294" s="4" t="s">
        <v>914</v>
      </c>
    </row>
    <row r="295" spans="1:20" ht="15.75" customHeight="1" x14ac:dyDescent="0.3">
      <c r="A295" s="72" t="s">
        <v>208</v>
      </c>
      <c r="B295" s="1">
        <v>46</v>
      </c>
      <c r="C295" s="1">
        <v>50</v>
      </c>
      <c r="D295" s="1">
        <v>67</v>
      </c>
      <c r="E295" s="55">
        <f t="shared" si="53"/>
        <v>163</v>
      </c>
      <c r="F295" s="1">
        <v>108</v>
      </c>
      <c r="G295" s="1">
        <v>180</v>
      </c>
      <c r="H295" s="1">
        <v>318</v>
      </c>
      <c r="I295" s="55">
        <f t="shared" si="54"/>
        <v>606</v>
      </c>
      <c r="J295" s="1">
        <v>264</v>
      </c>
      <c r="K295" s="1">
        <v>315</v>
      </c>
      <c r="L295" s="1">
        <v>206</v>
      </c>
      <c r="M295" s="55">
        <f t="shared" si="55"/>
        <v>785</v>
      </c>
      <c r="N295" s="1">
        <v>202</v>
      </c>
      <c r="O295" s="1">
        <v>75</v>
      </c>
      <c r="P295" s="1">
        <v>97</v>
      </c>
      <c r="Q295" s="55">
        <f t="shared" si="56"/>
        <v>374</v>
      </c>
      <c r="R295" s="55">
        <f t="shared" si="57"/>
        <v>1928</v>
      </c>
      <c r="T295" s="4" t="s">
        <v>209</v>
      </c>
    </row>
    <row r="296" spans="1:20" ht="15.75" customHeight="1" x14ac:dyDescent="0.3">
      <c r="A296" s="72" t="s">
        <v>917</v>
      </c>
      <c r="B296" s="1"/>
      <c r="C296" s="1"/>
      <c r="D296" s="1"/>
      <c r="E296" s="55">
        <f t="shared" si="53"/>
        <v>0</v>
      </c>
      <c r="F296" s="1"/>
      <c r="G296" s="1"/>
      <c r="H296" s="1"/>
      <c r="I296" s="55">
        <f t="shared" si="54"/>
        <v>0</v>
      </c>
      <c r="J296" s="1"/>
      <c r="K296" s="1"/>
      <c r="L296" s="1"/>
      <c r="M296" s="55">
        <f t="shared" si="55"/>
        <v>0</v>
      </c>
      <c r="N296" s="1"/>
      <c r="O296" s="1"/>
      <c r="P296" s="1"/>
      <c r="Q296" s="55">
        <f t="shared" si="56"/>
        <v>0</v>
      </c>
      <c r="R296" s="55">
        <f t="shared" si="57"/>
        <v>0</v>
      </c>
      <c r="T296" s="4" t="s">
        <v>241</v>
      </c>
    </row>
    <row r="297" spans="1:20" ht="15.75" customHeight="1" x14ac:dyDescent="0.3">
      <c r="A297" s="72" t="s">
        <v>918</v>
      </c>
      <c r="B297" s="1"/>
      <c r="C297" s="1"/>
      <c r="D297" s="1"/>
      <c r="E297" s="55">
        <f t="shared" si="53"/>
        <v>0</v>
      </c>
      <c r="F297" s="1"/>
      <c r="G297" s="1">
        <v>938</v>
      </c>
      <c r="H297" s="1">
        <v>1097</v>
      </c>
      <c r="I297" s="55">
        <f t="shared" si="54"/>
        <v>2035</v>
      </c>
      <c r="J297" s="1">
        <v>370</v>
      </c>
      <c r="K297" s="1"/>
      <c r="L297" s="1"/>
      <c r="M297" s="55">
        <f t="shared" si="55"/>
        <v>370</v>
      </c>
      <c r="N297" s="1">
        <v>1155</v>
      </c>
      <c r="O297" s="1">
        <v>1027</v>
      </c>
      <c r="P297" s="1">
        <v>1158</v>
      </c>
      <c r="Q297" s="55">
        <f t="shared" si="56"/>
        <v>3340</v>
      </c>
      <c r="R297" s="55">
        <f t="shared" si="57"/>
        <v>5745</v>
      </c>
      <c r="T297" s="4" t="s">
        <v>919</v>
      </c>
    </row>
    <row r="298" spans="1:20" ht="15.75" customHeight="1" x14ac:dyDescent="0.3">
      <c r="A298" s="72" t="s">
        <v>920</v>
      </c>
      <c r="B298" s="1">
        <v>29</v>
      </c>
      <c r="C298" s="1">
        <v>26</v>
      </c>
      <c r="D298" s="1">
        <v>27</v>
      </c>
      <c r="E298" s="55">
        <f t="shared" si="53"/>
        <v>82</v>
      </c>
      <c r="F298" s="1">
        <v>16</v>
      </c>
      <c r="G298" s="1">
        <v>1663</v>
      </c>
      <c r="H298" s="1">
        <v>20</v>
      </c>
      <c r="I298" s="55">
        <f t="shared" si="54"/>
        <v>1699</v>
      </c>
      <c r="J298" s="1">
        <v>19</v>
      </c>
      <c r="K298" s="1">
        <v>23</v>
      </c>
      <c r="L298" s="1">
        <v>8</v>
      </c>
      <c r="M298" s="55">
        <f t="shared" si="55"/>
        <v>50</v>
      </c>
      <c r="N298" s="1">
        <v>52</v>
      </c>
      <c r="O298" s="1">
        <v>49</v>
      </c>
      <c r="P298" s="1">
        <v>12</v>
      </c>
      <c r="Q298" s="55">
        <f t="shared" si="56"/>
        <v>113</v>
      </c>
      <c r="R298" s="55">
        <f t="shared" si="57"/>
        <v>1944</v>
      </c>
      <c r="T298" s="4" t="s">
        <v>209</v>
      </c>
    </row>
    <row r="299" spans="1:20" ht="15.75" customHeight="1" x14ac:dyDescent="0.3">
      <c r="A299" s="72" t="s">
        <v>921</v>
      </c>
      <c r="B299" s="1"/>
      <c r="C299" s="1"/>
      <c r="D299" s="1"/>
      <c r="E299" s="55">
        <f t="shared" si="53"/>
        <v>0</v>
      </c>
      <c r="F299" s="1"/>
      <c r="G299" s="1"/>
      <c r="H299" s="1">
        <v>2048</v>
      </c>
      <c r="I299" s="55">
        <f t="shared" si="54"/>
        <v>2048</v>
      </c>
      <c r="J299" s="1"/>
      <c r="K299" s="1"/>
      <c r="L299" s="1"/>
      <c r="M299" s="55">
        <f t="shared" si="55"/>
        <v>0</v>
      </c>
      <c r="N299" s="1"/>
      <c r="O299" s="1"/>
      <c r="P299" s="1"/>
      <c r="Q299" s="55">
        <f t="shared" si="56"/>
        <v>0</v>
      </c>
      <c r="R299" s="55">
        <f t="shared" si="57"/>
        <v>2048</v>
      </c>
      <c r="T299" s="4" t="s">
        <v>209</v>
      </c>
    </row>
    <row r="300" spans="1:20" ht="15.75" customHeight="1" x14ac:dyDescent="0.3">
      <c r="A300" s="72" t="s">
        <v>922</v>
      </c>
      <c r="B300" s="1"/>
      <c r="C300" s="1"/>
      <c r="D300" s="1"/>
      <c r="E300" s="55">
        <f>SUM(B300:D300)</f>
        <v>0</v>
      </c>
      <c r="F300" s="1"/>
      <c r="G300" s="1"/>
      <c r="H300" s="1"/>
      <c r="I300" s="55">
        <f>SUM(F300:H300)</f>
        <v>0</v>
      </c>
      <c r="J300" s="1"/>
      <c r="K300" s="1"/>
      <c r="L300" s="1"/>
      <c r="M300" s="55">
        <f>SUM(J300:L300)</f>
        <v>0</v>
      </c>
      <c r="N300" s="1"/>
      <c r="O300" s="1"/>
      <c r="P300" s="1"/>
      <c r="Q300" s="55">
        <f>SUM(N300:P300)</f>
        <v>0</v>
      </c>
      <c r="R300" s="55">
        <f t="shared" si="57"/>
        <v>0</v>
      </c>
      <c r="T300" s="4" t="s">
        <v>241</v>
      </c>
    </row>
    <row r="301" spans="1:20" ht="15.75" customHeight="1" x14ac:dyDescent="0.3">
      <c r="A301" s="72" t="s">
        <v>118</v>
      </c>
      <c r="B301" s="1"/>
      <c r="C301" s="1"/>
      <c r="D301" s="1"/>
      <c r="E301" s="55">
        <f t="shared" si="53"/>
        <v>0</v>
      </c>
      <c r="F301" s="1"/>
      <c r="G301" s="1"/>
      <c r="H301" s="1"/>
      <c r="I301" s="55">
        <f t="shared" si="54"/>
        <v>0</v>
      </c>
      <c r="J301" s="1"/>
      <c r="K301" s="1"/>
      <c r="L301" s="1">
        <v>349</v>
      </c>
      <c r="M301" s="55">
        <f t="shared" si="55"/>
        <v>349</v>
      </c>
      <c r="N301" s="1">
        <v>1133</v>
      </c>
      <c r="O301" s="1">
        <v>1025</v>
      </c>
      <c r="P301" s="1">
        <v>1127</v>
      </c>
      <c r="Q301" s="55">
        <f t="shared" si="56"/>
        <v>3285</v>
      </c>
      <c r="R301" s="55">
        <f t="shared" si="57"/>
        <v>3634</v>
      </c>
      <c r="T301" s="4" t="s">
        <v>919</v>
      </c>
    </row>
    <row r="302" spans="1:20" ht="15.75" customHeight="1" x14ac:dyDescent="0.3">
      <c r="A302" s="72" t="s">
        <v>923</v>
      </c>
      <c r="B302" s="1"/>
      <c r="C302" s="1"/>
      <c r="D302" s="1"/>
      <c r="E302" s="55">
        <f>SUM(B302:D302)</f>
        <v>0</v>
      </c>
      <c r="F302" s="1"/>
      <c r="G302" s="1">
        <v>5273</v>
      </c>
      <c r="H302" s="1">
        <v>2288</v>
      </c>
      <c r="I302" s="55">
        <f>SUM(F302:H302)</f>
        <v>7561</v>
      </c>
      <c r="J302" s="1"/>
      <c r="K302" s="1"/>
      <c r="L302" s="1"/>
      <c r="M302" s="55">
        <f>SUM(J302:L302)</f>
        <v>0</v>
      </c>
      <c r="N302" s="1"/>
      <c r="O302" s="1"/>
      <c r="P302" s="1"/>
      <c r="Q302" s="55">
        <f>SUM(N302:P302)</f>
        <v>0</v>
      </c>
      <c r="R302" s="55">
        <f>+E302+I302+M302+Q302</f>
        <v>7561</v>
      </c>
      <c r="T302" s="4" t="s">
        <v>241</v>
      </c>
    </row>
    <row r="303" spans="1:20" ht="15.75" customHeight="1" x14ac:dyDescent="0.3">
      <c r="A303" s="72" t="s">
        <v>924</v>
      </c>
      <c r="B303" s="1">
        <v>24</v>
      </c>
      <c r="C303" s="1">
        <v>38</v>
      </c>
      <c r="D303" s="1">
        <v>59</v>
      </c>
      <c r="E303" s="55">
        <f t="shared" si="53"/>
        <v>121</v>
      </c>
      <c r="F303" s="1">
        <v>26</v>
      </c>
      <c r="G303" s="1"/>
      <c r="H303" s="1"/>
      <c r="I303" s="55">
        <f t="shared" si="54"/>
        <v>26</v>
      </c>
      <c r="J303" s="1"/>
      <c r="K303" s="1"/>
      <c r="L303" s="1"/>
      <c r="M303" s="55">
        <f t="shared" si="55"/>
        <v>0</v>
      </c>
      <c r="N303" s="1"/>
      <c r="O303" s="1"/>
      <c r="P303" s="1"/>
      <c r="Q303" s="55">
        <f t="shared" si="56"/>
        <v>0</v>
      </c>
      <c r="R303" s="55">
        <f t="shared" si="57"/>
        <v>147</v>
      </c>
      <c r="S303" s="300"/>
      <c r="T303" s="4" t="s">
        <v>214</v>
      </c>
    </row>
    <row r="304" spans="1:20" ht="15.75" customHeight="1" x14ac:dyDescent="0.3">
      <c r="A304" s="72" t="s">
        <v>215</v>
      </c>
      <c r="B304" s="1">
        <v>630</v>
      </c>
      <c r="C304" s="1">
        <v>1439</v>
      </c>
      <c r="D304" s="1">
        <v>2270</v>
      </c>
      <c r="E304" s="55">
        <f t="shared" si="53"/>
        <v>4339</v>
      </c>
      <c r="F304" s="1">
        <v>585</v>
      </c>
      <c r="G304" s="1">
        <v>1180</v>
      </c>
      <c r="H304" s="1">
        <v>5103</v>
      </c>
      <c r="I304" s="55">
        <f t="shared" si="54"/>
        <v>6868</v>
      </c>
      <c r="J304" s="1">
        <v>5283</v>
      </c>
      <c r="K304" s="1">
        <v>4740</v>
      </c>
      <c r="L304" s="1">
        <v>3377</v>
      </c>
      <c r="M304" s="55">
        <f t="shared" si="55"/>
        <v>13400</v>
      </c>
      <c r="N304" s="1">
        <v>3480</v>
      </c>
      <c r="O304" s="1">
        <v>4530</v>
      </c>
      <c r="P304" s="1">
        <v>4317</v>
      </c>
      <c r="Q304" s="55">
        <f t="shared" si="56"/>
        <v>12327</v>
      </c>
      <c r="R304" s="55">
        <f t="shared" si="57"/>
        <v>36934</v>
      </c>
      <c r="T304" s="4" t="s">
        <v>210</v>
      </c>
    </row>
    <row r="305" spans="1:20" ht="15.75" customHeight="1" x14ac:dyDescent="0.3">
      <c r="A305" s="72" t="s">
        <v>720</v>
      </c>
      <c r="B305" s="1"/>
      <c r="C305" s="1"/>
      <c r="D305" s="1"/>
      <c r="E305" s="55">
        <f t="shared" si="53"/>
        <v>0</v>
      </c>
      <c r="F305" s="1"/>
      <c r="G305" s="1"/>
      <c r="H305" s="1"/>
      <c r="I305" s="55">
        <f t="shared" si="54"/>
        <v>0</v>
      </c>
      <c r="J305" s="1"/>
      <c r="K305" s="1"/>
      <c r="L305" s="1"/>
      <c r="M305" s="55">
        <f t="shared" si="55"/>
        <v>0</v>
      </c>
      <c r="N305" s="1"/>
      <c r="O305" s="1"/>
      <c r="P305" s="1"/>
      <c r="Q305" s="55">
        <f t="shared" si="56"/>
        <v>0</v>
      </c>
      <c r="R305" s="55">
        <f t="shared" si="57"/>
        <v>0</v>
      </c>
    </row>
    <row r="306" spans="1:20" ht="15.75" customHeight="1" x14ac:dyDescent="0.3">
      <c r="A306" s="71" t="s">
        <v>929</v>
      </c>
      <c r="B306" s="1"/>
      <c r="C306" s="1"/>
      <c r="D306" s="1">
        <v>37</v>
      </c>
      <c r="E306" s="55">
        <f>SUM(B306:D306)</f>
        <v>37</v>
      </c>
      <c r="F306" s="1"/>
      <c r="G306" s="1"/>
      <c r="H306" s="1"/>
      <c r="I306" s="55">
        <f>SUM(F306:H306)</f>
        <v>0</v>
      </c>
      <c r="J306" s="1"/>
      <c r="K306" s="1"/>
      <c r="L306" s="1"/>
      <c r="M306" s="55">
        <f>SUM(J306:L306)</f>
        <v>0</v>
      </c>
      <c r="N306" s="1"/>
      <c r="O306" s="1"/>
      <c r="P306" s="1"/>
      <c r="Q306" s="55">
        <f>SUM(N306:P306)</f>
        <v>0</v>
      </c>
      <c r="R306" s="55">
        <f>+E306+I306+M306+Q306</f>
        <v>37</v>
      </c>
    </row>
    <row r="307" spans="1:20" ht="15.75" customHeight="1" x14ac:dyDescent="0.3">
      <c r="A307" s="72" t="s">
        <v>930</v>
      </c>
      <c r="B307" s="1"/>
      <c r="C307" s="1"/>
      <c r="D307" s="1"/>
      <c r="E307" s="55">
        <f t="shared" si="53"/>
        <v>0</v>
      </c>
      <c r="F307" s="1"/>
      <c r="G307" s="1">
        <v>102</v>
      </c>
      <c r="H307" s="1">
        <v>175</v>
      </c>
      <c r="I307" s="55">
        <f t="shared" si="54"/>
        <v>277</v>
      </c>
      <c r="J307" s="1">
        <v>71</v>
      </c>
      <c r="K307" s="1"/>
      <c r="L307" s="1"/>
      <c r="M307" s="55">
        <f t="shared" si="55"/>
        <v>71</v>
      </c>
      <c r="N307" s="1"/>
      <c r="O307" s="1"/>
      <c r="P307" s="1"/>
      <c r="Q307" s="55">
        <f t="shared" si="56"/>
        <v>0</v>
      </c>
      <c r="R307" s="55">
        <f t="shared" si="57"/>
        <v>348</v>
      </c>
      <c r="S307" s="4">
        <f>SUM(R292:R307)</f>
        <v>64751</v>
      </c>
      <c r="T307" s="4" t="s">
        <v>214</v>
      </c>
    </row>
    <row r="308" spans="1:20" ht="15.75" customHeight="1" x14ac:dyDescent="0.3">
      <c r="A308" s="15" t="s">
        <v>50</v>
      </c>
      <c r="B308" s="1"/>
      <c r="C308" s="1"/>
      <c r="D308" s="1"/>
      <c r="E308" s="55" t="s">
        <v>7</v>
      </c>
      <c r="F308" s="1"/>
      <c r="G308" s="1"/>
      <c r="H308" s="1"/>
      <c r="I308" s="55" t="s">
        <v>7</v>
      </c>
      <c r="J308" s="1"/>
      <c r="K308" s="1"/>
      <c r="L308" s="1"/>
      <c r="M308" s="55" t="s">
        <v>7</v>
      </c>
      <c r="N308" s="1"/>
      <c r="O308" s="1"/>
      <c r="P308" s="1"/>
      <c r="Q308" s="55" t="s">
        <v>7</v>
      </c>
      <c r="R308" s="55" t="s">
        <v>7</v>
      </c>
    </row>
    <row r="309" spans="1:20" ht="15.75" customHeight="1" x14ac:dyDescent="0.3">
      <c r="A309" s="72" t="s">
        <v>217</v>
      </c>
      <c r="B309" s="1"/>
      <c r="C309" s="1"/>
      <c r="D309" s="1"/>
      <c r="E309" s="55">
        <f t="shared" ref="E309:E322" si="58">SUM(B309:D309)</f>
        <v>0</v>
      </c>
      <c r="F309" s="1"/>
      <c r="G309" s="1"/>
      <c r="H309" s="1"/>
      <c r="I309" s="55">
        <f t="shared" ref="I309:I322" si="59">SUM(F309:H309)</f>
        <v>0</v>
      </c>
      <c r="J309" s="1"/>
      <c r="K309" s="1"/>
      <c r="L309" s="1"/>
      <c r="M309" s="55">
        <f t="shared" ref="M309:M322" si="60">SUM(J309:L309)</f>
        <v>0</v>
      </c>
      <c r="N309" s="1"/>
      <c r="O309" s="1"/>
      <c r="P309" s="1"/>
      <c r="Q309" s="55">
        <f t="shared" ref="Q309:Q322" si="61">SUM(N309:P309)</f>
        <v>0</v>
      </c>
      <c r="R309" s="55">
        <f t="shared" ref="R309:R322" si="62">+E309+I309+M309+Q309</f>
        <v>0</v>
      </c>
    </row>
    <row r="310" spans="1:20" ht="15.75" customHeight="1" x14ac:dyDescent="0.3">
      <c r="A310" s="72" t="s">
        <v>932</v>
      </c>
      <c r="B310" s="1"/>
      <c r="C310" s="1"/>
      <c r="D310" s="1">
        <v>8</v>
      </c>
      <c r="E310" s="55">
        <f>SUM(B310:D310)</f>
        <v>8</v>
      </c>
      <c r="F310" s="1">
        <v>8</v>
      </c>
      <c r="G310" s="1"/>
      <c r="H310" s="1">
        <v>12</v>
      </c>
      <c r="I310" s="55">
        <f>SUM(F310:H310)</f>
        <v>20</v>
      </c>
      <c r="J310" s="1">
        <v>9</v>
      </c>
      <c r="K310" s="1">
        <v>9</v>
      </c>
      <c r="L310" s="1"/>
      <c r="M310" s="55">
        <f>SUM(J310:L310)</f>
        <v>18</v>
      </c>
      <c r="N310" s="1">
        <v>8</v>
      </c>
      <c r="O310" s="1">
        <v>19</v>
      </c>
      <c r="P310" s="1"/>
      <c r="Q310" s="55">
        <f>SUM(N310:P310)</f>
        <v>27</v>
      </c>
      <c r="R310" s="55">
        <f>+E310+I310+M310+Q310</f>
        <v>73</v>
      </c>
      <c r="T310" s="4" t="s">
        <v>220</v>
      </c>
    </row>
    <row r="311" spans="1:20" ht="15.75" customHeight="1" x14ac:dyDescent="0.3">
      <c r="A311" s="72" t="s">
        <v>924</v>
      </c>
      <c r="B311" s="1"/>
      <c r="C311" s="1"/>
      <c r="D311" s="1"/>
      <c r="E311" s="55">
        <f t="shared" si="58"/>
        <v>0</v>
      </c>
      <c r="F311" s="1">
        <v>20</v>
      </c>
      <c r="G311" s="1">
        <v>39</v>
      </c>
      <c r="H311" s="1">
        <v>20</v>
      </c>
      <c r="I311" s="55">
        <f t="shared" si="59"/>
        <v>79</v>
      </c>
      <c r="J311" s="1">
        <v>34</v>
      </c>
      <c r="K311" s="1">
        <v>114</v>
      </c>
      <c r="L311" s="1">
        <v>72</v>
      </c>
      <c r="M311" s="55">
        <f t="shared" si="60"/>
        <v>220</v>
      </c>
      <c r="N311" s="1">
        <v>87</v>
      </c>
      <c r="O311" s="1">
        <v>15</v>
      </c>
      <c r="P311" s="1"/>
      <c r="Q311" s="55">
        <f t="shared" si="61"/>
        <v>102</v>
      </c>
      <c r="R311" s="55">
        <f>+E311+I311+M311+Q311</f>
        <v>401</v>
      </c>
      <c r="T311" s="4" t="s">
        <v>214</v>
      </c>
    </row>
    <row r="312" spans="1:20" ht="15.75" customHeight="1" x14ac:dyDescent="0.3">
      <c r="A312" s="72" t="s">
        <v>721</v>
      </c>
      <c r="B312" s="1">
        <v>4</v>
      </c>
      <c r="C312" s="1">
        <v>7</v>
      </c>
      <c r="D312" s="1">
        <v>20</v>
      </c>
      <c r="E312" s="55">
        <f>SUM(B312:D312)</f>
        <v>31</v>
      </c>
      <c r="F312" s="1">
        <v>7</v>
      </c>
      <c r="G312" s="1">
        <v>2</v>
      </c>
      <c r="H312" s="1">
        <v>11</v>
      </c>
      <c r="I312" s="55">
        <f>SUM(F312:H312)</f>
        <v>20</v>
      </c>
      <c r="J312" s="1">
        <v>9</v>
      </c>
      <c r="K312" s="1">
        <v>5</v>
      </c>
      <c r="L312" s="1"/>
      <c r="M312" s="55">
        <f>SUM(J312:L312)</f>
        <v>14</v>
      </c>
      <c r="N312" s="1"/>
      <c r="O312" s="1">
        <v>2</v>
      </c>
      <c r="P312" s="1"/>
      <c r="Q312" s="55">
        <f>SUM(N312:P312)</f>
        <v>2</v>
      </c>
      <c r="R312" s="55">
        <f>+E312+I312+M312+Q312</f>
        <v>67</v>
      </c>
      <c r="T312" s="4" t="s">
        <v>218</v>
      </c>
    </row>
    <row r="313" spans="1:20" ht="15.75" customHeight="1" x14ac:dyDescent="0.3">
      <c r="A313" s="72" t="s">
        <v>633</v>
      </c>
      <c r="B313" s="1">
        <v>31</v>
      </c>
      <c r="C313" s="1">
        <v>21</v>
      </c>
      <c r="D313" s="1">
        <v>44</v>
      </c>
      <c r="E313" s="55">
        <f t="shared" si="58"/>
        <v>96</v>
      </c>
      <c r="F313" s="1">
        <v>53</v>
      </c>
      <c r="G313" s="1">
        <v>64</v>
      </c>
      <c r="H313" s="1">
        <v>82</v>
      </c>
      <c r="I313" s="55">
        <f t="shared" si="59"/>
        <v>199</v>
      </c>
      <c r="J313" s="1">
        <v>66</v>
      </c>
      <c r="K313" s="1">
        <v>68</v>
      </c>
      <c r="L313" s="1">
        <v>22</v>
      </c>
      <c r="M313" s="55">
        <f t="shared" si="60"/>
        <v>156</v>
      </c>
      <c r="N313" s="1">
        <v>40</v>
      </c>
      <c r="O313" s="1">
        <v>36</v>
      </c>
      <c r="P313" s="1">
        <v>9</v>
      </c>
      <c r="Q313" s="55">
        <f t="shared" si="61"/>
        <v>85</v>
      </c>
      <c r="R313" s="55">
        <f t="shared" si="62"/>
        <v>536</v>
      </c>
      <c r="T313" s="4" t="s">
        <v>406</v>
      </c>
    </row>
    <row r="314" spans="1:20" ht="15.75" customHeight="1" x14ac:dyDescent="0.3">
      <c r="A314" s="72" t="s">
        <v>222</v>
      </c>
      <c r="B314" s="1"/>
      <c r="C314" s="1"/>
      <c r="D314" s="1"/>
      <c r="E314" s="55">
        <f t="shared" si="58"/>
        <v>0</v>
      </c>
      <c r="F314" s="1"/>
      <c r="G314" s="1"/>
      <c r="H314" s="1"/>
      <c r="I314" s="55">
        <f t="shared" si="59"/>
        <v>0</v>
      </c>
      <c r="J314" s="1"/>
      <c r="K314" s="1"/>
      <c r="L314" s="1"/>
      <c r="M314" s="55">
        <f t="shared" si="60"/>
        <v>0</v>
      </c>
      <c r="N314" s="1"/>
      <c r="O314" s="1"/>
      <c r="P314" s="1"/>
      <c r="Q314" s="55">
        <f t="shared" si="61"/>
        <v>0</v>
      </c>
      <c r="R314" s="55">
        <f t="shared" si="62"/>
        <v>0</v>
      </c>
    </row>
    <row r="315" spans="1:20" ht="15.75" customHeight="1" x14ac:dyDescent="0.3">
      <c r="A315" s="72" t="s">
        <v>933</v>
      </c>
      <c r="B315" s="1"/>
      <c r="C315" s="1"/>
      <c r="D315" s="1">
        <v>9</v>
      </c>
      <c r="E315" s="55">
        <f t="shared" si="58"/>
        <v>9</v>
      </c>
      <c r="F315" s="1"/>
      <c r="G315" s="1">
        <v>34</v>
      </c>
      <c r="H315" s="1">
        <v>72</v>
      </c>
      <c r="I315" s="55">
        <f t="shared" si="59"/>
        <v>106</v>
      </c>
      <c r="J315" s="1">
        <v>86</v>
      </c>
      <c r="K315" s="1">
        <v>81</v>
      </c>
      <c r="L315" s="1">
        <v>57</v>
      </c>
      <c r="M315" s="55">
        <f t="shared" si="60"/>
        <v>224</v>
      </c>
      <c r="N315" s="1">
        <v>42</v>
      </c>
      <c r="O315" s="1">
        <v>26</v>
      </c>
      <c r="P315" s="1">
        <v>1</v>
      </c>
      <c r="Q315" s="55">
        <f t="shared" si="61"/>
        <v>69</v>
      </c>
      <c r="R315" s="55">
        <f t="shared" si="62"/>
        <v>408</v>
      </c>
      <c r="T315" s="4" t="s">
        <v>226</v>
      </c>
    </row>
    <row r="316" spans="1:20" ht="15.75" customHeight="1" x14ac:dyDescent="0.3">
      <c r="A316" s="72" t="s">
        <v>227</v>
      </c>
      <c r="B316" s="1">
        <v>1</v>
      </c>
      <c r="C316" s="1">
        <v>3</v>
      </c>
      <c r="D316" s="1">
        <v>1</v>
      </c>
      <c r="E316" s="55">
        <f t="shared" si="58"/>
        <v>5</v>
      </c>
      <c r="F316" s="1">
        <v>1</v>
      </c>
      <c r="G316" s="1">
        <v>4</v>
      </c>
      <c r="H316" s="1">
        <v>3</v>
      </c>
      <c r="I316" s="55">
        <f t="shared" si="59"/>
        <v>8</v>
      </c>
      <c r="J316" s="1">
        <v>3</v>
      </c>
      <c r="K316" s="1">
        <v>3</v>
      </c>
      <c r="L316" s="1">
        <v>1</v>
      </c>
      <c r="M316" s="55">
        <f t="shared" si="60"/>
        <v>7</v>
      </c>
      <c r="N316" s="1">
        <v>1</v>
      </c>
      <c r="O316" s="1"/>
      <c r="P316" s="1"/>
      <c r="Q316" s="55">
        <f t="shared" si="61"/>
        <v>1</v>
      </c>
      <c r="R316" s="55">
        <f t="shared" si="62"/>
        <v>21</v>
      </c>
      <c r="T316" s="4" t="s">
        <v>226</v>
      </c>
    </row>
    <row r="317" spans="1:20" ht="15.75" customHeight="1" x14ac:dyDescent="0.3">
      <c r="A317" s="72" t="s">
        <v>1128</v>
      </c>
      <c r="B317" s="1"/>
      <c r="C317" s="1"/>
      <c r="D317" s="1"/>
      <c r="E317" s="55">
        <f t="shared" si="58"/>
        <v>0</v>
      </c>
      <c r="F317" s="1"/>
      <c r="G317" s="1"/>
      <c r="H317" s="1"/>
      <c r="I317" s="55">
        <f t="shared" si="59"/>
        <v>0</v>
      </c>
      <c r="J317" s="1">
        <v>7</v>
      </c>
      <c r="K317" s="1">
        <v>45</v>
      </c>
      <c r="L317" s="1"/>
      <c r="M317" s="55">
        <f t="shared" si="60"/>
        <v>52</v>
      </c>
      <c r="N317" s="1"/>
      <c r="O317" s="1"/>
      <c r="P317" s="1"/>
      <c r="Q317" s="55">
        <f t="shared" si="61"/>
        <v>0</v>
      </c>
      <c r="R317" s="55">
        <f t="shared" si="62"/>
        <v>52</v>
      </c>
      <c r="T317" s="4" t="s">
        <v>214</v>
      </c>
    </row>
    <row r="318" spans="1:20" ht="15.75" customHeight="1" x14ac:dyDescent="0.3">
      <c r="A318" s="72" t="s">
        <v>228</v>
      </c>
      <c r="B318" s="1">
        <v>32</v>
      </c>
      <c r="C318" s="1">
        <v>23</v>
      </c>
      <c r="D318" s="1">
        <v>41</v>
      </c>
      <c r="E318" s="55">
        <f t="shared" si="58"/>
        <v>96</v>
      </c>
      <c r="F318" s="1">
        <v>45</v>
      </c>
      <c r="G318" s="1">
        <v>58</v>
      </c>
      <c r="H318" s="1">
        <v>80</v>
      </c>
      <c r="I318" s="55">
        <f t="shared" si="59"/>
        <v>183</v>
      </c>
      <c r="J318" s="1">
        <v>59</v>
      </c>
      <c r="K318" s="1">
        <v>27</v>
      </c>
      <c r="L318" s="1"/>
      <c r="M318" s="55">
        <f t="shared" si="60"/>
        <v>86</v>
      </c>
      <c r="N318" s="1">
        <v>10</v>
      </c>
      <c r="O318" s="1">
        <v>20</v>
      </c>
      <c r="P318" s="1">
        <v>2</v>
      </c>
      <c r="Q318" s="55">
        <f t="shared" si="61"/>
        <v>32</v>
      </c>
      <c r="R318" s="55">
        <f t="shared" si="62"/>
        <v>397</v>
      </c>
      <c r="T318" s="4" t="s">
        <v>406</v>
      </c>
    </row>
    <row r="319" spans="1:20" ht="15.75" customHeight="1" x14ac:dyDescent="0.3">
      <c r="A319" s="72" t="s">
        <v>934</v>
      </c>
      <c r="B319" s="1">
        <v>1</v>
      </c>
      <c r="C319" s="1">
        <v>1</v>
      </c>
      <c r="D319" s="1">
        <v>1</v>
      </c>
      <c r="E319" s="55">
        <f t="shared" si="58"/>
        <v>3</v>
      </c>
      <c r="F319" s="1">
        <v>1</v>
      </c>
      <c r="G319" s="1">
        <v>2</v>
      </c>
      <c r="H319" s="1">
        <v>2</v>
      </c>
      <c r="I319" s="55">
        <f t="shared" si="59"/>
        <v>5</v>
      </c>
      <c r="J319" s="1">
        <v>2</v>
      </c>
      <c r="K319" s="1">
        <v>2</v>
      </c>
      <c r="L319" s="1">
        <v>1</v>
      </c>
      <c r="M319" s="55">
        <f t="shared" si="60"/>
        <v>5</v>
      </c>
      <c r="N319" s="1">
        <v>1</v>
      </c>
      <c r="O319" s="1">
        <v>1</v>
      </c>
      <c r="P319" s="1">
        <v>1</v>
      </c>
      <c r="Q319" s="55">
        <f t="shared" si="61"/>
        <v>3</v>
      </c>
      <c r="R319" s="55">
        <f t="shared" si="62"/>
        <v>16</v>
      </c>
      <c r="T319" s="4" t="s">
        <v>406</v>
      </c>
    </row>
    <row r="320" spans="1:20" ht="15.75" customHeight="1" x14ac:dyDescent="0.3">
      <c r="A320" s="72" t="s">
        <v>634</v>
      </c>
      <c r="B320" s="1"/>
      <c r="C320" s="1"/>
      <c r="D320" s="1">
        <v>6</v>
      </c>
      <c r="E320" s="55">
        <f>SUM(B320:D320)</f>
        <v>6</v>
      </c>
      <c r="F320" s="1">
        <v>12</v>
      </c>
      <c r="G320" s="1">
        <v>20</v>
      </c>
      <c r="H320" s="1">
        <v>11</v>
      </c>
      <c r="I320" s="55">
        <f>SUM(F320:H320)</f>
        <v>43</v>
      </c>
      <c r="J320" s="1">
        <v>13</v>
      </c>
      <c r="K320" s="1"/>
      <c r="L320" s="1">
        <v>4</v>
      </c>
      <c r="M320" s="55">
        <f>SUM(J320:L320)</f>
        <v>17</v>
      </c>
      <c r="N320" s="1"/>
      <c r="O320" s="1"/>
      <c r="P320" s="1"/>
      <c r="Q320" s="55">
        <f>SUM(N320:P320)</f>
        <v>0</v>
      </c>
      <c r="R320" s="55">
        <f>+E320+I320+M320+Q320</f>
        <v>66</v>
      </c>
      <c r="T320" s="4" t="s">
        <v>406</v>
      </c>
    </row>
    <row r="321" spans="1:20" ht="15.75" customHeight="1" x14ac:dyDescent="0.3">
      <c r="A321" s="72" t="s">
        <v>635</v>
      </c>
      <c r="B321" s="1"/>
      <c r="C321" s="1"/>
      <c r="D321" s="1"/>
      <c r="E321" s="55">
        <f t="shared" si="58"/>
        <v>0</v>
      </c>
      <c r="F321" s="1"/>
      <c r="G321" s="1"/>
      <c r="H321" s="1">
        <v>22</v>
      </c>
      <c r="I321" s="55">
        <f t="shared" si="59"/>
        <v>22</v>
      </c>
      <c r="J321" s="1">
        <v>12</v>
      </c>
      <c r="K321" s="1">
        <v>8</v>
      </c>
      <c r="L321" s="1">
        <v>0</v>
      </c>
      <c r="M321" s="55">
        <f t="shared" si="60"/>
        <v>20</v>
      </c>
      <c r="N321" s="1">
        <v>8</v>
      </c>
      <c r="O321" s="1">
        <v>4</v>
      </c>
      <c r="P321" s="1"/>
      <c r="Q321" s="55">
        <f t="shared" si="61"/>
        <v>12</v>
      </c>
      <c r="R321" s="55">
        <f t="shared" si="62"/>
        <v>54</v>
      </c>
      <c r="T321" s="4" t="s">
        <v>232</v>
      </c>
    </row>
    <row r="322" spans="1:20" ht="15.75" customHeight="1" x14ac:dyDescent="0.3">
      <c r="A322" s="72" t="s">
        <v>237</v>
      </c>
      <c r="B322" s="1">
        <v>27</v>
      </c>
      <c r="C322" s="1">
        <v>19</v>
      </c>
      <c r="D322" s="1">
        <v>36</v>
      </c>
      <c r="E322" s="55">
        <f t="shared" si="58"/>
        <v>82</v>
      </c>
      <c r="F322" s="1">
        <v>48</v>
      </c>
      <c r="G322" s="1">
        <v>67</v>
      </c>
      <c r="H322" s="1">
        <v>50</v>
      </c>
      <c r="I322" s="55">
        <f t="shared" si="59"/>
        <v>165</v>
      </c>
      <c r="J322" s="1">
        <v>22</v>
      </c>
      <c r="K322" s="1">
        <v>55</v>
      </c>
      <c r="L322" s="1">
        <v>136</v>
      </c>
      <c r="M322" s="55">
        <f t="shared" si="60"/>
        <v>213</v>
      </c>
      <c r="N322" s="1"/>
      <c r="O322" s="1">
        <v>2</v>
      </c>
      <c r="P322" s="1">
        <v>6</v>
      </c>
      <c r="Q322" s="55">
        <f t="shared" si="61"/>
        <v>8</v>
      </c>
      <c r="R322" s="55">
        <f t="shared" si="62"/>
        <v>468</v>
      </c>
      <c r="T322" s="4" t="s">
        <v>406</v>
      </c>
    </row>
    <row r="323" spans="1:20" ht="15.75" customHeight="1" x14ac:dyDescent="0.3">
      <c r="A323" s="15" t="s">
        <v>51</v>
      </c>
      <c r="B323" s="1"/>
      <c r="C323" s="1"/>
      <c r="D323" s="1"/>
      <c r="E323" s="55" t="s">
        <v>7</v>
      </c>
      <c r="F323" s="1"/>
      <c r="G323" s="1"/>
      <c r="H323" s="1"/>
      <c r="I323" s="55" t="s">
        <v>7</v>
      </c>
      <c r="J323" s="1"/>
      <c r="K323" s="1"/>
      <c r="L323" s="1"/>
      <c r="M323" s="55" t="s">
        <v>7</v>
      </c>
      <c r="N323" s="1"/>
      <c r="O323" s="1"/>
      <c r="P323" s="1"/>
      <c r="Q323" s="55" t="s">
        <v>7</v>
      </c>
      <c r="R323" s="55" t="s">
        <v>7</v>
      </c>
    </row>
    <row r="324" spans="1:20" ht="15.75" customHeight="1" x14ac:dyDescent="0.3">
      <c r="A324" s="72" t="s">
        <v>722</v>
      </c>
      <c r="B324" s="1"/>
      <c r="C324" s="1"/>
      <c r="D324" s="1"/>
      <c r="E324" s="55">
        <f>SUM(B324:D324)</f>
        <v>0</v>
      </c>
      <c r="F324" s="1"/>
      <c r="G324" s="1"/>
      <c r="H324" s="1"/>
      <c r="I324" s="55">
        <f>SUM(F324:H324)</f>
        <v>0</v>
      </c>
      <c r="J324" s="1"/>
      <c r="K324" s="1"/>
      <c r="L324" s="1"/>
      <c r="M324" s="55">
        <f>SUM(J324:L324)</f>
        <v>0</v>
      </c>
      <c r="N324" s="1">
        <v>385</v>
      </c>
      <c r="O324" s="1"/>
      <c r="P324" s="1"/>
      <c r="Q324" s="55">
        <f>SUM(N324:P324)</f>
        <v>385</v>
      </c>
      <c r="R324" s="55">
        <f>+E324+I324+M324+Q324</f>
        <v>385</v>
      </c>
      <c r="T324" s="4" t="s">
        <v>209</v>
      </c>
    </row>
    <row r="325" spans="1:20" ht="15.75" customHeight="1" x14ac:dyDescent="0.3">
      <c r="A325" s="72" t="s">
        <v>723</v>
      </c>
      <c r="B325" s="1"/>
      <c r="C325" s="1"/>
      <c r="D325" s="1"/>
      <c r="E325" s="55">
        <f>SUM(B325:D325)</f>
        <v>0</v>
      </c>
      <c r="F325" s="1"/>
      <c r="G325" s="1">
        <v>2617</v>
      </c>
      <c r="H325" s="1">
        <v>3000</v>
      </c>
      <c r="I325" s="55">
        <f>SUM(F325:H325)</f>
        <v>5617</v>
      </c>
      <c r="J325" s="1">
        <v>3383</v>
      </c>
      <c r="K325" s="1"/>
      <c r="L325" s="1"/>
      <c r="M325" s="55">
        <f>SUM(J325:L325)</f>
        <v>3383</v>
      </c>
      <c r="N325" s="1"/>
      <c r="O325" s="1"/>
      <c r="P325" s="1"/>
      <c r="Q325" s="55">
        <f>SUM(N325:P325)</f>
        <v>0</v>
      </c>
      <c r="R325" s="55">
        <f>+E325+I325+M325+Q325</f>
        <v>9000</v>
      </c>
    </row>
    <row r="326" spans="1:20" ht="15.75" customHeight="1" x14ac:dyDescent="0.3">
      <c r="A326" s="72" t="s">
        <v>724</v>
      </c>
      <c r="B326" s="1"/>
      <c r="C326" s="1"/>
      <c r="D326" s="1"/>
      <c r="E326" s="55">
        <f>SUM(B326:D326)</f>
        <v>0</v>
      </c>
      <c r="F326" s="1"/>
      <c r="G326" s="1"/>
      <c r="H326" s="1">
        <v>1088</v>
      </c>
      <c r="I326" s="55">
        <f>SUM(F326:H326)</f>
        <v>1088</v>
      </c>
      <c r="J326" s="1"/>
      <c r="K326" s="1">
        <v>1000</v>
      </c>
      <c r="L326" s="1"/>
      <c r="M326" s="55">
        <f>SUM(J326:L326)</f>
        <v>1000</v>
      </c>
      <c r="N326" s="1">
        <v>359</v>
      </c>
      <c r="O326" s="1">
        <v>553</v>
      </c>
      <c r="P326" s="1"/>
      <c r="Q326" s="55">
        <f>SUM(N326:P326)</f>
        <v>912</v>
      </c>
      <c r="R326" s="55">
        <f>+E326+I326+M326+Q326</f>
        <v>3000</v>
      </c>
      <c r="T326" s="4" t="s">
        <v>214</v>
      </c>
    </row>
    <row r="327" spans="1:20" ht="15.75" customHeight="1" x14ac:dyDescent="0.3">
      <c r="A327" s="72" t="s">
        <v>935</v>
      </c>
      <c r="B327" s="1">
        <v>0</v>
      </c>
      <c r="C327" s="1">
        <v>1500</v>
      </c>
      <c r="D327" s="1">
        <v>1000</v>
      </c>
      <c r="E327" s="55">
        <f>SUM(B327:D327)</f>
        <v>2500</v>
      </c>
      <c r="F327" s="1">
        <v>814</v>
      </c>
      <c r="G327" s="1"/>
      <c r="H327" s="1"/>
      <c r="I327" s="55">
        <f>SUM(F327:H327)</f>
        <v>814</v>
      </c>
      <c r="J327" s="1"/>
      <c r="K327" s="1"/>
      <c r="L327" s="1"/>
      <c r="M327" s="55">
        <f>SUM(J327:L327)</f>
        <v>0</v>
      </c>
      <c r="N327" s="1"/>
      <c r="O327" s="1"/>
      <c r="P327" s="1"/>
      <c r="Q327" s="55">
        <f>SUM(N327:P327)</f>
        <v>0</v>
      </c>
      <c r="R327" s="55">
        <f>+E327+I327+M327+Q327</f>
        <v>3314</v>
      </c>
      <c r="T327" s="4" t="s">
        <v>241</v>
      </c>
    </row>
    <row r="328" spans="1:20" ht="16.5" customHeight="1" thickBot="1" x14ac:dyDescent="0.35">
      <c r="A328" s="15" t="s">
        <v>53</v>
      </c>
      <c r="B328" s="1"/>
      <c r="C328" s="1"/>
      <c r="D328" s="1"/>
      <c r="E328" s="55" t="s">
        <v>7</v>
      </c>
      <c r="F328" s="1"/>
      <c r="G328" s="1"/>
      <c r="H328" s="1"/>
      <c r="I328" s="55" t="s">
        <v>7</v>
      </c>
      <c r="J328" s="1"/>
      <c r="K328" s="1"/>
      <c r="L328" s="1"/>
      <c r="M328" s="55" t="s">
        <v>7</v>
      </c>
      <c r="N328" s="1"/>
      <c r="O328" s="1"/>
      <c r="P328" s="1"/>
      <c r="Q328" s="55" t="s">
        <v>7</v>
      </c>
      <c r="R328" s="81" t="s">
        <v>7</v>
      </c>
    </row>
    <row r="329" spans="1:20" ht="16.5" customHeight="1" thickBot="1" x14ac:dyDescent="0.35">
      <c r="A329" s="109" t="s">
        <v>54</v>
      </c>
      <c r="B329" s="86">
        <f>SUM(B290:B328)</f>
        <v>1114</v>
      </c>
      <c r="C329" s="87">
        <f>SUM(C290:C328)</f>
        <v>3343</v>
      </c>
      <c r="D329" s="87">
        <f>SUM(D290:D328)</f>
        <v>3955</v>
      </c>
      <c r="E329" s="59">
        <f>SUM(B329:D329)</f>
        <v>8412</v>
      </c>
      <c r="F329" s="87">
        <f>SUM(F290:F328)</f>
        <v>2075</v>
      </c>
      <c r="G329" s="87">
        <f>SUM(G290:G328)</f>
        <v>12707</v>
      </c>
      <c r="H329" s="87">
        <f>SUM(H290:H328)</f>
        <v>16125</v>
      </c>
      <c r="I329" s="59">
        <f>SUM(F329:H329)</f>
        <v>30907</v>
      </c>
      <c r="J329" s="87">
        <f>SUM(J290:J328)</f>
        <v>10111</v>
      </c>
      <c r="K329" s="87">
        <f>SUM(K290:K328)</f>
        <v>6970</v>
      </c>
      <c r="L329" s="87">
        <f>SUM(L290:L328)</f>
        <v>4496</v>
      </c>
      <c r="M329" s="59">
        <f>SUM(J329:L329)</f>
        <v>21577</v>
      </c>
      <c r="N329" s="87">
        <f>SUM(N290:N328)</f>
        <v>7466</v>
      </c>
      <c r="O329" s="87">
        <f>SUM(O290:O328)</f>
        <v>7695</v>
      </c>
      <c r="P329" s="87">
        <f>SUM(P290:P328)</f>
        <v>6952</v>
      </c>
      <c r="Q329" s="59">
        <f>SUM(N329:P329)</f>
        <v>22113</v>
      </c>
      <c r="R329" s="59">
        <f>+E329+I329+M329+Q329</f>
        <v>83009</v>
      </c>
      <c r="T329" s="89"/>
    </row>
    <row r="330" spans="1:20" ht="15.75" customHeight="1" x14ac:dyDescent="0.3">
      <c r="A330" s="15" t="s">
        <v>55</v>
      </c>
      <c r="B330" s="1"/>
      <c r="C330" s="1"/>
      <c r="D330" s="1"/>
      <c r="E330" s="55" t="s">
        <v>7</v>
      </c>
      <c r="F330" s="1"/>
      <c r="G330" s="1"/>
      <c r="H330" s="1"/>
      <c r="I330" s="55" t="s">
        <v>7</v>
      </c>
      <c r="J330" s="1"/>
      <c r="K330" s="1"/>
      <c r="L330" s="1"/>
      <c r="M330" s="55" t="s">
        <v>7</v>
      </c>
      <c r="N330" s="1"/>
      <c r="O330" s="1"/>
      <c r="P330" s="1"/>
      <c r="Q330" s="55" t="s">
        <v>7</v>
      </c>
      <c r="R330" s="55" t="s">
        <v>7</v>
      </c>
    </row>
    <row r="331" spans="1:20" ht="15.75" customHeight="1" x14ac:dyDescent="0.3">
      <c r="A331" s="15" t="s">
        <v>242</v>
      </c>
      <c r="B331" s="1"/>
      <c r="C331" s="1"/>
      <c r="D331" s="1"/>
      <c r="E331" s="55"/>
      <c r="F331" s="1"/>
      <c r="G331" s="1"/>
      <c r="H331" s="1"/>
      <c r="I331" s="55"/>
      <c r="J331" s="1"/>
      <c r="K331" s="1"/>
      <c r="L331" s="1"/>
      <c r="M331" s="55"/>
      <c r="N331" s="1"/>
      <c r="O331" s="1"/>
      <c r="P331" s="1"/>
      <c r="Q331" s="55"/>
      <c r="R331" s="55"/>
    </row>
    <row r="332" spans="1:20" ht="15.75" customHeight="1" x14ac:dyDescent="0.3">
      <c r="A332" s="15" t="s">
        <v>57</v>
      </c>
      <c r="B332" s="1"/>
      <c r="C332" s="1"/>
      <c r="D332" s="1"/>
      <c r="E332" s="55" t="s">
        <v>7</v>
      </c>
      <c r="F332" s="1"/>
      <c r="G332" s="1"/>
      <c r="H332" s="1"/>
      <c r="I332" s="55" t="s">
        <v>7</v>
      </c>
      <c r="J332" s="1"/>
      <c r="K332" s="1"/>
      <c r="L332" s="1"/>
      <c r="M332" s="55" t="s">
        <v>7</v>
      </c>
      <c r="N332" s="1"/>
      <c r="O332" s="1"/>
      <c r="P332" s="1"/>
      <c r="Q332" s="55" t="s">
        <v>7</v>
      </c>
      <c r="R332" s="55" t="s">
        <v>7</v>
      </c>
    </row>
    <row r="333" spans="1:20" ht="15.75" customHeight="1" x14ac:dyDescent="0.3">
      <c r="A333" s="72" t="s">
        <v>553</v>
      </c>
      <c r="B333" s="1">
        <v>42</v>
      </c>
      <c r="C333" s="1">
        <v>52</v>
      </c>
      <c r="D333" s="1">
        <v>83</v>
      </c>
      <c r="E333" s="55">
        <f>SUM(B333:D333)</f>
        <v>177</v>
      </c>
      <c r="F333" s="1">
        <v>2659</v>
      </c>
      <c r="G333" s="1">
        <v>1575</v>
      </c>
      <c r="H333" s="1">
        <v>3230</v>
      </c>
      <c r="I333" s="55">
        <f>SUM(F333:H333)</f>
        <v>7464</v>
      </c>
      <c r="J333" s="1">
        <v>3569</v>
      </c>
      <c r="K333" s="1">
        <v>3938</v>
      </c>
      <c r="L333" s="1">
        <v>2707</v>
      </c>
      <c r="M333" s="55">
        <f>SUM(J333:L333)</f>
        <v>10214</v>
      </c>
      <c r="N333" s="1">
        <v>1845</v>
      </c>
      <c r="O333" s="1">
        <v>760</v>
      </c>
      <c r="P333" s="1">
        <v>1488</v>
      </c>
      <c r="Q333" s="55">
        <f>SUM(N333:P333)</f>
        <v>4093</v>
      </c>
      <c r="R333" s="55">
        <f t="shared" ref="R333:R340" si="63">+E333+I333+M333+Q333</f>
        <v>21948</v>
      </c>
      <c r="T333" s="4" t="s">
        <v>209</v>
      </c>
    </row>
    <row r="334" spans="1:20" ht="15.75" customHeight="1" x14ac:dyDescent="0.3">
      <c r="A334" s="72" t="s">
        <v>244</v>
      </c>
      <c r="B334" s="1"/>
      <c r="C334" s="1"/>
      <c r="D334" s="1">
        <v>67</v>
      </c>
      <c r="E334" s="55">
        <f>SUM(B334:D334)</f>
        <v>67</v>
      </c>
      <c r="F334" s="1">
        <v>42</v>
      </c>
      <c r="G334" s="1">
        <v>49</v>
      </c>
      <c r="H334" s="1">
        <v>17</v>
      </c>
      <c r="I334" s="55">
        <f>SUM(F334:H334)</f>
        <v>108</v>
      </c>
      <c r="J334" s="1">
        <v>41</v>
      </c>
      <c r="K334" s="1">
        <v>41</v>
      </c>
      <c r="L334" s="1">
        <v>25</v>
      </c>
      <c r="M334" s="55">
        <f>SUM(J334:L334)</f>
        <v>107</v>
      </c>
      <c r="N334" s="1"/>
      <c r="O334" s="1"/>
      <c r="P334" s="1"/>
      <c r="Q334" s="55">
        <f>SUM(N334:P334)</f>
        <v>0</v>
      </c>
      <c r="R334" s="55">
        <f t="shared" si="63"/>
        <v>282</v>
      </c>
      <c r="T334" s="4" t="s">
        <v>214</v>
      </c>
    </row>
    <row r="335" spans="1:20" ht="15.75" customHeight="1" x14ac:dyDescent="0.3">
      <c r="A335" s="72" t="s">
        <v>245</v>
      </c>
      <c r="B335" s="1">
        <v>846</v>
      </c>
      <c r="C335" s="1">
        <v>2265</v>
      </c>
      <c r="D335" s="1">
        <v>6590</v>
      </c>
      <c r="E335" s="55">
        <f t="shared" ref="E335:E340" si="64">SUM(B335:D335)</f>
        <v>9701</v>
      </c>
      <c r="F335" s="1">
        <v>7708</v>
      </c>
      <c r="G335" s="1">
        <v>9207</v>
      </c>
      <c r="H335" s="1">
        <v>9282</v>
      </c>
      <c r="I335" s="55">
        <f t="shared" ref="I335:I340" si="65">SUM(F335:H335)</f>
        <v>26197</v>
      </c>
      <c r="J335" s="1">
        <v>1875</v>
      </c>
      <c r="K335" s="1">
        <v>3179</v>
      </c>
      <c r="L335" s="1"/>
      <c r="M335" s="55">
        <f t="shared" ref="M335:M340" si="66">SUM(J335:L335)</f>
        <v>5054</v>
      </c>
      <c r="N335" s="1"/>
      <c r="O335" s="1"/>
      <c r="P335" s="1">
        <v>44</v>
      </c>
      <c r="Q335" s="55">
        <f t="shared" ref="Q335:Q340" si="67">SUM(N335:P335)</f>
        <v>44</v>
      </c>
      <c r="R335" s="55">
        <f t="shared" si="63"/>
        <v>40996</v>
      </c>
      <c r="T335" s="4" t="s">
        <v>910</v>
      </c>
    </row>
    <row r="336" spans="1:20" ht="15.75" customHeight="1" x14ac:dyDescent="0.3">
      <c r="A336" s="72" t="s">
        <v>727</v>
      </c>
      <c r="B336" s="1">
        <v>3054</v>
      </c>
      <c r="C336" s="1">
        <v>7305</v>
      </c>
      <c r="D336" s="1">
        <v>8045</v>
      </c>
      <c r="E336" s="55">
        <f t="shared" si="64"/>
        <v>18404</v>
      </c>
      <c r="F336" s="1">
        <v>17442</v>
      </c>
      <c r="G336" s="1">
        <v>20155</v>
      </c>
      <c r="H336" s="1">
        <v>21264</v>
      </c>
      <c r="I336" s="55">
        <f t="shared" si="65"/>
        <v>58861</v>
      </c>
      <c r="J336" s="1">
        <v>12298</v>
      </c>
      <c r="K336" s="1">
        <v>10785</v>
      </c>
      <c r="L336" s="1">
        <v>7461</v>
      </c>
      <c r="M336" s="55">
        <f t="shared" si="66"/>
        <v>30544</v>
      </c>
      <c r="N336" s="1">
        <v>9953</v>
      </c>
      <c r="O336" s="1">
        <v>4219</v>
      </c>
      <c r="P336" s="1">
        <v>2565</v>
      </c>
      <c r="Q336" s="55">
        <f t="shared" si="67"/>
        <v>16737</v>
      </c>
      <c r="R336" s="55">
        <f t="shared" si="63"/>
        <v>124546</v>
      </c>
      <c r="T336" s="4" t="s">
        <v>209</v>
      </c>
    </row>
    <row r="337" spans="1:20" ht="15.75" customHeight="1" x14ac:dyDescent="0.3">
      <c r="A337" s="72" t="s">
        <v>943</v>
      </c>
      <c r="B337" s="1">
        <v>2324</v>
      </c>
      <c r="C337" s="1">
        <v>3633</v>
      </c>
      <c r="D337" s="1">
        <v>3124</v>
      </c>
      <c r="E337" s="55">
        <f t="shared" si="64"/>
        <v>9081</v>
      </c>
      <c r="F337" s="1">
        <v>3650</v>
      </c>
      <c r="G337" s="1">
        <v>3250</v>
      </c>
      <c r="H337" s="1">
        <v>2200</v>
      </c>
      <c r="I337" s="55">
        <f t="shared" si="65"/>
        <v>9100</v>
      </c>
      <c r="J337" s="1">
        <v>3512</v>
      </c>
      <c r="K337" s="1">
        <v>2806</v>
      </c>
      <c r="L337" s="1">
        <v>3973</v>
      </c>
      <c r="M337" s="55">
        <f t="shared" si="66"/>
        <v>10291</v>
      </c>
      <c r="N337" s="1">
        <v>1868</v>
      </c>
      <c r="O337" s="1"/>
      <c r="P337" s="1"/>
      <c r="Q337" s="55">
        <f t="shared" si="67"/>
        <v>1868</v>
      </c>
      <c r="R337" s="55">
        <f t="shared" si="63"/>
        <v>30340</v>
      </c>
      <c r="T337" s="4" t="s">
        <v>944</v>
      </c>
    </row>
    <row r="338" spans="1:20" ht="15.75" customHeight="1" x14ac:dyDescent="0.3">
      <c r="A338" s="72" t="s">
        <v>945</v>
      </c>
      <c r="B338" s="1">
        <v>596</v>
      </c>
      <c r="C338" s="1">
        <v>1899</v>
      </c>
      <c r="D338" s="1">
        <v>2713</v>
      </c>
      <c r="E338" s="55">
        <f t="shared" si="64"/>
        <v>5208</v>
      </c>
      <c r="F338" s="1">
        <v>3678</v>
      </c>
      <c r="G338" s="1">
        <v>3114</v>
      </c>
      <c r="H338" s="1"/>
      <c r="I338" s="55">
        <f t="shared" si="65"/>
        <v>6792</v>
      </c>
      <c r="J338" s="1"/>
      <c r="K338" s="1"/>
      <c r="L338" s="1"/>
      <c r="M338" s="55">
        <f t="shared" si="66"/>
        <v>0</v>
      </c>
      <c r="N338" s="1"/>
      <c r="O338" s="1"/>
      <c r="P338" s="1">
        <v>6</v>
      </c>
      <c r="Q338" s="55">
        <f t="shared" si="67"/>
        <v>6</v>
      </c>
      <c r="R338" s="55">
        <f t="shared" si="63"/>
        <v>12006</v>
      </c>
      <c r="T338" s="4" t="s">
        <v>214</v>
      </c>
    </row>
    <row r="339" spans="1:20" ht="15.75" customHeight="1" x14ac:dyDescent="0.3">
      <c r="A339" s="72" t="s">
        <v>946</v>
      </c>
      <c r="B339" s="1">
        <v>1631</v>
      </c>
      <c r="C339" s="1">
        <v>2894</v>
      </c>
      <c r="D339" s="1">
        <v>475</v>
      </c>
      <c r="E339" s="55">
        <f t="shared" si="64"/>
        <v>5000</v>
      </c>
      <c r="F339" s="1"/>
      <c r="G339" s="1"/>
      <c r="H339" s="1"/>
      <c r="I339" s="55">
        <f t="shared" si="65"/>
        <v>0</v>
      </c>
      <c r="J339" s="1"/>
      <c r="K339" s="1"/>
      <c r="L339" s="1"/>
      <c r="M339" s="55">
        <f t="shared" si="66"/>
        <v>0</v>
      </c>
      <c r="N339" s="1"/>
      <c r="O339" s="1"/>
      <c r="P339" s="1"/>
      <c r="Q339" s="55">
        <f t="shared" si="67"/>
        <v>0</v>
      </c>
      <c r="R339" s="55">
        <f t="shared" si="63"/>
        <v>5000</v>
      </c>
      <c r="T339" s="4" t="s">
        <v>224</v>
      </c>
    </row>
    <row r="340" spans="1:20" ht="15.75" customHeight="1" x14ac:dyDescent="0.3">
      <c r="A340" s="72" t="s">
        <v>252</v>
      </c>
      <c r="B340" s="1">
        <v>0</v>
      </c>
      <c r="C340" s="1">
        <v>9</v>
      </c>
      <c r="D340" s="1">
        <v>0</v>
      </c>
      <c r="E340" s="55">
        <f t="shared" si="64"/>
        <v>9</v>
      </c>
      <c r="F340" s="1">
        <v>14</v>
      </c>
      <c r="G340" s="1">
        <v>35</v>
      </c>
      <c r="H340" s="1">
        <v>1681</v>
      </c>
      <c r="I340" s="55">
        <f t="shared" si="65"/>
        <v>1730</v>
      </c>
      <c r="J340" s="1">
        <v>2967</v>
      </c>
      <c r="K340" s="1">
        <v>2475</v>
      </c>
      <c r="L340" s="1">
        <v>1000</v>
      </c>
      <c r="M340" s="55">
        <f t="shared" si="66"/>
        <v>6442</v>
      </c>
      <c r="N340" s="1">
        <v>2161</v>
      </c>
      <c r="O340" s="1">
        <v>785</v>
      </c>
      <c r="P340" s="1">
        <v>116</v>
      </c>
      <c r="Q340" s="55">
        <f t="shared" si="67"/>
        <v>3062</v>
      </c>
      <c r="R340" s="55">
        <f t="shared" si="63"/>
        <v>11243</v>
      </c>
    </row>
    <row r="341" spans="1:20" ht="15.75" customHeight="1" thickBot="1" x14ac:dyDescent="0.35">
      <c r="A341" s="15" t="s">
        <v>58</v>
      </c>
      <c r="B341" s="1"/>
      <c r="C341" s="1"/>
      <c r="D341" s="1"/>
      <c r="E341" s="55" t="s">
        <v>7</v>
      </c>
      <c r="F341" s="1"/>
      <c r="G341" s="1"/>
      <c r="H341" s="1"/>
      <c r="I341" s="55" t="s">
        <v>7</v>
      </c>
      <c r="J341" s="1"/>
      <c r="K341" s="1"/>
      <c r="L341" s="1"/>
      <c r="M341" s="55" t="s">
        <v>7</v>
      </c>
      <c r="N341" s="1"/>
      <c r="O341" s="1"/>
      <c r="P341" s="1"/>
      <c r="Q341" s="55" t="s">
        <v>7</v>
      </c>
      <c r="R341" s="55" t="s">
        <v>7</v>
      </c>
    </row>
    <row r="342" spans="1:20" ht="16.5" customHeight="1" thickBot="1" x14ac:dyDescent="0.35">
      <c r="A342" s="57" t="s">
        <v>59</v>
      </c>
      <c r="B342" s="86">
        <f>SUM(B330:B341)</f>
        <v>8493</v>
      </c>
      <c r="C342" s="87">
        <f>SUM(C330:C341)</f>
        <v>18057</v>
      </c>
      <c r="D342" s="87">
        <f>SUM(D330:D341)</f>
        <v>21097</v>
      </c>
      <c r="E342" s="59">
        <f>SUM(B342:D342)</f>
        <v>47647</v>
      </c>
      <c r="F342" s="87">
        <f>SUM(F330:F341)</f>
        <v>35193</v>
      </c>
      <c r="G342" s="87">
        <f>SUM(G330:G341)</f>
        <v>37385</v>
      </c>
      <c r="H342" s="87">
        <f>SUM(H330:H341)</f>
        <v>37674</v>
      </c>
      <c r="I342" s="59">
        <f>SUM(F342:H342)</f>
        <v>110252</v>
      </c>
      <c r="J342" s="87">
        <f>SUM(J330:J341)</f>
        <v>24262</v>
      </c>
      <c r="K342" s="87">
        <f>SUM(K330:K341)</f>
        <v>23224</v>
      </c>
      <c r="L342" s="87">
        <f>SUM(L330:L341)</f>
        <v>15166</v>
      </c>
      <c r="M342" s="59">
        <f>SUM(J342:L342)</f>
        <v>62652</v>
      </c>
      <c r="N342" s="87">
        <f>SUM(N330:N341)</f>
        <v>15827</v>
      </c>
      <c r="O342" s="87">
        <f>SUM(O330:O341)</f>
        <v>5764</v>
      </c>
      <c r="P342" s="87">
        <f>SUM(P330:P341)</f>
        <v>4219</v>
      </c>
      <c r="Q342" s="59">
        <f>SUM(N342:P342)</f>
        <v>25810</v>
      </c>
      <c r="R342" s="59">
        <f>+E342+I342+M342+Q342</f>
        <v>246361</v>
      </c>
    </row>
    <row r="343" spans="1:20" ht="15.75" customHeight="1" x14ac:dyDescent="0.3">
      <c r="A343" s="15" t="s">
        <v>60</v>
      </c>
      <c r="B343" s="1"/>
      <c r="C343" s="1"/>
      <c r="D343" s="1"/>
      <c r="E343" s="55" t="s">
        <v>7</v>
      </c>
      <c r="F343" s="1"/>
      <c r="G343" s="1"/>
      <c r="H343" s="1"/>
      <c r="I343" s="55" t="s">
        <v>7</v>
      </c>
      <c r="J343" s="1"/>
      <c r="K343" s="1"/>
      <c r="L343" s="1"/>
      <c r="M343" s="55" t="s">
        <v>7</v>
      </c>
      <c r="N343" s="1"/>
      <c r="O343" s="1"/>
      <c r="P343" s="1"/>
      <c r="Q343" s="55" t="s">
        <v>7</v>
      </c>
      <c r="R343" s="55" t="s">
        <v>7</v>
      </c>
    </row>
    <row r="344" spans="1:20" ht="15.75" customHeight="1" x14ac:dyDescent="0.3">
      <c r="A344" s="15" t="s">
        <v>61</v>
      </c>
      <c r="B344" s="1"/>
      <c r="C344" s="1"/>
      <c r="D344" s="1"/>
      <c r="E344" s="55" t="s">
        <v>7</v>
      </c>
      <c r="F344" s="1"/>
      <c r="G344" s="1"/>
      <c r="H344" s="1"/>
      <c r="I344" s="55" t="s">
        <v>7</v>
      </c>
      <c r="J344" s="1"/>
      <c r="K344" s="1"/>
      <c r="L344" s="1"/>
      <c r="M344" s="55" t="s">
        <v>7</v>
      </c>
      <c r="N344" s="1"/>
      <c r="O344" s="1"/>
      <c r="P344" s="1"/>
      <c r="Q344" s="55" t="s">
        <v>7</v>
      </c>
      <c r="R344" s="55" t="s">
        <v>7</v>
      </c>
    </row>
    <row r="345" spans="1:20" ht="15.75" customHeight="1" x14ac:dyDescent="0.3">
      <c r="A345" s="72" t="s">
        <v>254</v>
      </c>
      <c r="B345" s="1">
        <v>3917</v>
      </c>
      <c r="C345" s="1">
        <v>4988</v>
      </c>
      <c r="D345" s="1">
        <v>7358</v>
      </c>
      <c r="E345" s="55">
        <f>SUM(B345:D345)</f>
        <v>16263</v>
      </c>
      <c r="F345" s="1">
        <v>9468</v>
      </c>
      <c r="G345" s="1">
        <v>10780</v>
      </c>
      <c r="H345" s="1">
        <v>12428</v>
      </c>
      <c r="I345" s="55">
        <f>SUM(F345:H345)</f>
        <v>32676</v>
      </c>
      <c r="J345" s="1">
        <v>6449</v>
      </c>
      <c r="K345" s="1">
        <v>6253</v>
      </c>
      <c r="L345" s="1">
        <v>3543</v>
      </c>
      <c r="M345" s="55">
        <f>SUM(J345:L345)</f>
        <v>16245</v>
      </c>
      <c r="N345" s="1">
        <v>2894</v>
      </c>
      <c r="O345" s="1">
        <v>2852</v>
      </c>
      <c r="P345" s="1">
        <v>1722</v>
      </c>
      <c r="Q345" s="55">
        <f>SUM(N345:P345)</f>
        <v>7468</v>
      </c>
      <c r="R345" s="55">
        <f>+E345+I345+M345+Q345</f>
        <v>72652</v>
      </c>
      <c r="T345" s="4" t="s">
        <v>209</v>
      </c>
    </row>
    <row r="346" spans="1:20" ht="15.75" customHeight="1" x14ac:dyDescent="0.3">
      <c r="A346" s="72" t="s">
        <v>947</v>
      </c>
      <c r="B346" s="1"/>
      <c r="C346" s="1"/>
      <c r="D346" s="1"/>
      <c r="E346" s="55">
        <f>SUM(B346:D346)</f>
        <v>0</v>
      </c>
      <c r="F346" s="1"/>
      <c r="G346" s="1">
        <v>5953</v>
      </c>
      <c r="H346" s="1">
        <v>10715</v>
      </c>
      <c r="I346" s="55">
        <f>SUM(F346:H346)</f>
        <v>16668</v>
      </c>
      <c r="J346" s="1">
        <v>10817</v>
      </c>
      <c r="K346" s="1">
        <v>13938</v>
      </c>
      <c r="L346" s="1">
        <v>4739</v>
      </c>
      <c r="M346" s="55">
        <f>SUM(J346:L346)</f>
        <v>29494</v>
      </c>
      <c r="N346" s="1">
        <v>4550</v>
      </c>
      <c r="O346" s="1">
        <v>4206</v>
      </c>
      <c r="P346" s="1">
        <v>1925</v>
      </c>
      <c r="Q346" s="55">
        <f>SUM(N346:P346)</f>
        <v>10681</v>
      </c>
      <c r="R346" s="55">
        <f>+E346+I346+M346+Q346</f>
        <v>56843</v>
      </c>
      <c r="T346" s="4" t="s">
        <v>256</v>
      </c>
    </row>
    <row r="347" spans="1:20" ht="15.75" customHeight="1" x14ac:dyDescent="0.3">
      <c r="A347" s="15" t="s">
        <v>62</v>
      </c>
      <c r="B347" s="1"/>
      <c r="C347" s="1"/>
      <c r="D347" s="1"/>
      <c r="E347" s="55" t="s">
        <v>7</v>
      </c>
      <c r="F347" s="1"/>
      <c r="G347" s="1"/>
      <c r="H347" s="1"/>
      <c r="I347" s="55" t="s">
        <v>7</v>
      </c>
      <c r="J347" s="1"/>
      <c r="K347" s="1"/>
      <c r="L347" s="1"/>
      <c r="M347" s="55" t="s">
        <v>7</v>
      </c>
      <c r="N347" s="1"/>
      <c r="O347" s="1"/>
      <c r="P347" s="1"/>
      <c r="Q347" s="55" t="s">
        <v>7</v>
      </c>
      <c r="R347" s="55" t="s">
        <v>7</v>
      </c>
    </row>
    <row r="348" spans="1:20" ht="15.75" customHeight="1" x14ac:dyDescent="0.3">
      <c r="A348" s="72" t="s">
        <v>1142</v>
      </c>
      <c r="B348" s="1">
        <v>19</v>
      </c>
      <c r="C348" s="1"/>
      <c r="D348" s="1"/>
      <c r="E348" s="55">
        <f>SUM(B348:D348)</f>
        <v>19</v>
      </c>
      <c r="F348" s="1"/>
      <c r="G348" s="1"/>
      <c r="H348" s="1"/>
      <c r="I348" s="55">
        <f>SUM(F348:H348)</f>
        <v>0</v>
      </c>
      <c r="J348" s="1"/>
      <c r="K348" s="1"/>
      <c r="L348" s="1"/>
      <c r="M348" s="55">
        <f>SUM(J348:L348)</f>
        <v>0</v>
      </c>
      <c r="N348" s="1"/>
      <c r="O348" s="1"/>
      <c r="P348" s="1"/>
      <c r="Q348" s="55">
        <f>SUM(N348:P348)</f>
        <v>0</v>
      </c>
      <c r="R348" s="55">
        <f>+E348+I348+M348+Q348</f>
        <v>19</v>
      </c>
      <c r="T348" s="4" t="s">
        <v>919</v>
      </c>
    </row>
    <row r="349" spans="1:20" ht="15.75" customHeight="1" x14ac:dyDescent="0.3">
      <c r="A349" s="72" t="s">
        <v>949</v>
      </c>
      <c r="B349" s="1">
        <v>680</v>
      </c>
      <c r="C349" s="1">
        <v>765</v>
      </c>
      <c r="D349" s="1"/>
      <c r="E349" s="55">
        <f t="shared" ref="E349:E377" si="68">SUM(B349:D349)</f>
        <v>1445</v>
      </c>
      <c r="F349" s="1"/>
      <c r="G349" s="1"/>
      <c r="H349" s="1"/>
      <c r="I349" s="55">
        <f t="shared" ref="I349:I377" si="69">SUM(F349:H349)</f>
        <v>0</v>
      </c>
      <c r="J349" s="1"/>
      <c r="K349" s="1"/>
      <c r="L349" s="1"/>
      <c r="M349" s="55">
        <f t="shared" ref="M349:M377" si="70">SUM(J349:L349)</f>
        <v>0</v>
      </c>
      <c r="N349" s="1"/>
      <c r="O349" s="1"/>
      <c r="P349" s="1"/>
      <c r="Q349" s="55">
        <f t="shared" ref="Q349:Q377" si="71">SUM(N349:P349)</f>
        <v>0</v>
      </c>
      <c r="R349" s="55">
        <f>+E349+I349+M349+Q349</f>
        <v>1445</v>
      </c>
      <c r="T349" s="4" t="s">
        <v>919</v>
      </c>
    </row>
    <row r="350" spans="1:20" ht="15.75" customHeight="1" x14ac:dyDescent="0.3">
      <c r="A350" s="72" t="s">
        <v>950</v>
      </c>
      <c r="B350" s="1"/>
      <c r="C350" s="1"/>
      <c r="D350" s="1"/>
      <c r="E350" s="55">
        <f t="shared" si="68"/>
        <v>0</v>
      </c>
      <c r="F350" s="1"/>
      <c r="G350" s="1"/>
      <c r="H350" s="1"/>
      <c r="I350" s="55">
        <f t="shared" si="69"/>
        <v>0</v>
      </c>
      <c r="J350" s="1"/>
      <c r="K350" s="1"/>
      <c r="L350" s="1"/>
      <c r="M350" s="55">
        <f t="shared" si="70"/>
        <v>0</v>
      </c>
      <c r="N350" s="1"/>
      <c r="O350" s="1"/>
      <c r="P350" s="1"/>
      <c r="Q350" s="55">
        <f t="shared" si="71"/>
        <v>0</v>
      </c>
      <c r="R350" s="55">
        <f>+E350+I350+M350+Q350</f>
        <v>0</v>
      </c>
      <c r="T350" s="4" t="s">
        <v>241</v>
      </c>
    </row>
    <row r="351" spans="1:20" ht="15.75" customHeight="1" x14ac:dyDescent="0.3">
      <c r="A351" s="72" t="s">
        <v>149</v>
      </c>
      <c r="B351" s="1"/>
      <c r="C351" s="1"/>
      <c r="D351" s="1"/>
      <c r="E351" s="55">
        <f t="shared" si="68"/>
        <v>0</v>
      </c>
      <c r="F351" s="1">
        <v>627</v>
      </c>
      <c r="G351" s="1"/>
      <c r="H351" s="1"/>
      <c r="I351" s="55">
        <f t="shared" si="69"/>
        <v>627</v>
      </c>
      <c r="J351" s="1"/>
      <c r="K351" s="1"/>
      <c r="L351" s="1"/>
      <c r="M351" s="55">
        <f t="shared" si="70"/>
        <v>0</v>
      </c>
      <c r="N351" s="1"/>
      <c r="O351" s="1"/>
      <c r="P351" s="1"/>
      <c r="Q351" s="55">
        <f t="shared" si="71"/>
        <v>0</v>
      </c>
      <c r="R351" s="55">
        <f t="shared" ref="R351:R376" si="72">+E351+I351+M351+Q351</f>
        <v>627</v>
      </c>
    </row>
    <row r="352" spans="1:20" ht="15.75" customHeight="1" x14ac:dyDescent="0.3">
      <c r="A352" s="72" t="s">
        <v>951</v>
      </c>
      <c r="B352" s="1"/>
      <c r="C352" s="1"/>
      <c r="D352" s="1"/>
      <c r="E352" s="55">
        <f t="shared" si="68"/>
        <v>0</v>
      </c>
      <c r="F352" s="1">
        <v>4473</v>
      </c>
      <c r="G352" s="1">
        <v>6296</v>
      </c>
      <c r="H352" s="1">
        <v>7089</v>
      </c>
      <c r="I352" s="55">
        <f>SUM(F352:H352)</f>
        <v>17858</v>
      </c>
      <c r="J352" s="1">
        <v>2127</v>
      </c>
      <c r="K352" s="1">
        <v>5355</v>
      </c>
      <c r="L352" s="1">
        <v>2660</v>
      </c>
      <c r="M352" s="55">
        <f>SUM(J352:L352)</f>
        <v>10142</v>
      </c>
      <c r="N352" s="1"/>
      <c r="O352" s="1"/>
      <c r="P352" s="1"/>
      <c r="Q352" s="55">
        <f>SUM(N352:P352)</f>
        <v>0</v>
      </c>
      <c r="R352" s="55">
        <f>+E352+I352+M352+Q352</f>
        <v>28000</v>
      </c>
      <c r="T352" s="4" t="s">
        <v>224</v>
      </c>
    </row>
    <row r="353" spans="1:20" ht="15.75" customHeight="1" x14ac:dyDescent="0.3">
      <c r="A353" s="72" t="s">
        <v>1143</v>
      </c>
      <c r="B353" s="1"/>
      <c r="C353" s="1"/>
      <c r="D353" s="1"/>
      <c r="E353" s="55">
        <f t="shared" si="68"/>
        <v>0</v>
      </c>
      <c r="F353" s="1"/>
      <c r="G353" s="1"/>
      <c r="H353" s="1"/>
      <c r="I353" s="55">
        <f t="shared" si="69"/>
        <v>0</v>
      </c>
      <c r="J353" s="1"/>
      <c r="K353" s="1"/>
      <c r="L353" s="1"/>
      <c r="M353" s="55">
        <f t="shared" si="70"/>
        <v>0</v>
      </c>
      <c r="N353" s="1"/>
      <c r="O353" s="1"/>
      <c r="P353" s="1"/>
      <c r="Q353" s="55">
        <f t="shared" si="71"/>
        <v>0</v>
      </c>
      <c r="R353" s="55">
        <f t="shared" si="72"/>
        <v>0</v>
      </c>
      <c r="T353" s="4" t="s">
        <v>209</v>
      </c>
    </row>
    <row r="354" spans="1:20" ht="15.75" customHeight="1" x14ac:dyDescent="0.3">
      <c r="A354" s="72" t="s">
        <v>953</v>
      </c>
      <c r="B354" s="1"/>
      <c r="C354" s="1"/>
      <c r="D354" s="1">
        <v>3000</v>
      </c>
      <c r="E354" s="55">
        <f t="shared" si="68"/>
        <v>3000</v>
      </c>
      <c r="F354" s="1">
        <v>3500</v>
      </c>
      <c r="G354" s="1">
        <v>2000</v>
      </c>
      <c r="H354" s="1">
        <v>3000</v>
      </c>
      <c r="I354" s="55">
        <f t="shared" si="69"/>
        <v>8500</v>
      </c>
      <c r="J354" s="1">
        <v>2000</v>
      </c>
      <c r="K354" s="1">
        <v>3675</v>
      </c>
      <c r="L354" s="1"/>
      <c r="M354" s="55">
        <f t="shared" si="70"/>
        <v>5675</v>
      </c>
      <c r="N354" s="1">
        <v>1699</v>
      </c>
      <c r="O354" s="1">
        <v>1126</v>
      </c>
      <c r="P354" s="1"/>
      <c r="Q354" s="55">
        <f t="shared" si="71"/>
        <v>2825</v>
      </c>
      <c r="R354" s="55">
        <f t="shared" si="72"/>
        <v>20000</v>
      </c>
    </row>
    <row r="355" spans="1:20" ht="15.75" customHeight="1" x14ac:dyDescent="0.3">
      <c r="A355" s="72" t="s">
        <v>641</v>
      </c>
      <c r="B355" s="1"/>
      <c r="C355" s="1">
        <v>2035</v>
      </c>
      <c r="D355" s="1">
        <v>3264</v>
      </c>
      <c r="E355" s="55">
        <f t="shared" si="68"/>
        <v>5299</v>
      </c>
      <c r="F355" s="1">
        <v>4787</v>
      </c>
      <c r="G355" s="1">
        <v>5695</v>
      </c>
      <c r="H355" s="1">
        <v>8315</v>
      </c>
      <c r="I355" s="55">
        <f t="shared" si="69"/>
        <v>18797</v>
      </c>
      <c r="J355" s="1">
        <v>2660</v>
      </c>
      <c r="K355" s="1">
        <v>2455</v>
      </c>
      <c r="L355" s="1">
        <v>2500</v>
      </c>
      <c r="M355" s="55">
        <f t="shared" si="70"/>
        <v>7615</v>
      </c>
      <c r="N355" s="1">
        <v>1766</v>
      </c>
      <c r="O355" s="1">
        <v>1317</v>
      </c>
      <c r="P355" s="1">
        <v>206</v>
      </c>
      <c r="Q355" s="55">
        <f t="shared" si="71"/>
        <v>3289</v>
      </c>
      <c r="R355" s="55">
        <f t="shared" si="72"/>
        <v>35000</v>
      </c>
      <c r="T355" s="4" t="s">
        <v>209</v>
      </c>
    </row>
    <row r="356" spans="1:20" ht="15.75" customHeight="1" x14ac:dyDescent="0.3">
      <c r="A356" s="72" t="s">
        <v>640</v>
      </c>
      <c r="B356" s="1"/>
      <c r="C356" s="1"/>
      <c r="D356" s="1"/>
      <c r="E356" s="55">
        <f>SUM(B356:D356)</f>
        <v>0</v>
      </c>
      <c r="F356" s="1"/>
      <c r="G356" s="1"/>
      <c r="H356" s="1"/>
      <c r="I356" s="55">
        <f>SUM(F356:H356)</f>
        <v>0</v>
      </c>
      <c r="J356" s="1">
        <v>6702</v>
      </c>
      <c r="K356" s="1">
        <v>5172</v>
      </c>
      <c r="L356" s="1">
        <v>4618</v>
      </c>
      <c r="M356" s="55">
        <f>SUM(J356:L356)</f>
        <v>16492</v>
      </c>
      <c r="N356" s="1">
        <v>3153</v>
      </c>
      <c r="O356" s="1">
        <v>2071</v>
      </c>
      <c r="P356" s="1">
        <v>3284</v>
      </c>
      <c r="Q356" s="55">
        <f>SUM(N356:P356)</f>
        <v>8508</v>
      </c>
      <c r="R356" s="55">
        <f t="shared" si="72"/>
        <v>25000</v>
      </c>
    </row>
    <row r="357" spans="1:20" ht="15.75" customHeight="1" x14ac:dyDescent="0.3">
      <c r="A357" s="72" t="s">
        <v>1131</v>
      </c>
      <c r="B357" s="1"/>
      <c r="C357" s="1"/>
      <c r="D357" s="1"/>
      <c r="E357" s="55">
        <f>SUM(B357:D357)</f>
        <v>0</v>
      </c>
      <c r="F357" s="1"/>
      <c r="G357" s="1"/>
      <c r="H357" s="1"/>
      <c r="I357" s="55">
        <f>SUM(F357:H357)</f>
        <v>0</v>
      </c>
      <c r="J357" s="1">
        <v>5500</v>
      </c>
      <c r="K357" s="1"/>
      <c r="L357" s="1"/>
      <c r="M357" s="55">
        <f>SUM(J357:L357)</f>
        <v>5500</v>
      </c>
      <c r="N357" s="1"/>
      <c r="O357" s="1">
        <v>1162</v>
      </c>
      <c r="P357" s="1">
        <v>1256</v>
      </c>
      <c r="Q357" s="55">
        <f>SUM(N357:P357)</f>
        <v>2418</v>
      </c>
      <c r="R357" s="55">
        <f>+E357+I357+M357+Q357</f>
        <v>7918</v>
      </c>
    </row>
    <row r="358" spans="1:20" ht="15.75" customHeight="1" x14ac:dyDescent="0.3">
      <c r="A358" s="72" t="s">
        <v>956</v>
      </c>
      <c r="B358" s="1"/>
      <c r="C358" s="1"/>
      <c r="D358" s="1"/>
      <c r="E358" s="55">
        <f>SUM(B358:D358)</f>
        <v>0</v>
      </c>
      <c r="F358" s="1"/>
      <c r="G358" s="1"/>
      <c r="H358" s="1">
        <v>1343</v>
      </c>
      <c r="I358" s="55">
        <f>SUM(F358:H358)</f>
        <v>1343</v>
      </c>
      <c r="J358" s="1">
        <v>1249</v>
      </c>
      <c r="K358" s="1"/>
      <c r="L358" s="1"/>
      <c r="M358" s="55">
        <f>SUM(J358:L358)</f>
        <v>1249</v>
      </c>
      <c r="N358" s="1"/>
      <c r="O358" s="1"/>
      <c r="P358" s="1"/>
      <c r="Q358" s="55">
        <f>SUM(N358:P358)</f>
        <v>0</v>
      </c>
      <c r="R358" s="55">
        <f>+E358+I358+M358+Q358</f>
        <v>2592</v>
      </c>
      <c r="T358" s="4" t="s">
        <v>241</v>
      </c>
    </row>
    <row r="359" spans="1:20" ht="15.75" customHeight="1" x14ac:dyDescent="0.3">
      <c r="A359" s="72" t="s">
        <v>958</v>
      </c>
      <c r="B359" s="1">
        <v>571</v>
      </c>
      <c r="C359" s="1">
        <v>1015</v>
      </c>
      <c r="D359" s="1">
        <v>1133</v>
      </c>
      <c r="E359" s="55">
        <f t="shared" si="68"/>
        <v>2719</v>
      </c>
      <c r="F359" s="1">
        <v>1125</v>
      </c>
      <c r="G359" s="1">
        <v>194</v>
      </c>
      <c r="H359" s="1"/>
      <c r="I359" s="55">
        <f t="shared" si="69"/>
        <v>1319</v>
      </c>
      <c r="J359" s="1"/>
      <c r="K359" s="1"/>
      <c r="L359" s="1"/>
      <c r="M359" s="55">
        <f t="shared" si="70"/>
        <v>0</v>
      </c>
      <c r="N359" s="1"/>
      <c r="O359" s="1"/>
      <c r="P359" s="1"/>
      <c r="Q359" s="55">
        <f t="shared" si="71"/>
        <v>0</v>
      </c>
      <c r="R359" s="55">
        <f t="shared" si="72"/>
        <v>4038</v>
      </c>
      <c r="T359" s="4" t="s">
        <v>919</v>
      </c>
    </row>
    <row r="360" spans="1:20" ht="15.75" customHeight="1" x14ac:dyDescent="0.3">
      <c r="A360" s="72" t="s">
        <v>642</v>
      </c>
      <c r="B360" s="1">
        <v>1683</v>
      </c>
      <c r="C360" s="1">
        <v>1684</v>
      </c>
      <c r="D360" s="1">
        <v>1684</v>
      </c>
      <c r="E360" s="55">
        <f>SUM(B360:D360)</f>
        <v>5051</v>
      </c>
      <c r="F360" s="1">
        <v>1684</v>
      </c>
      <c r="G360" s="1"/>
      <c r="H360" s="1"/>
      <c r="I360" s="55">
        <f>SUM(F360:H360)</f>
        <v>1684</v>
      </c>
      <c r="J360" s="1"/>
      <c r="K360" s="1"/>
      <c r="L360" s="1"/>
      <c r="M360" s="55">
        <f>SUM(J360:L360)</f>
        <v>0</v>
      </c>
      <c r="N360" s="1"/>
      <c r="O360" s="1"/>
      <c r="P360" s="1"/>
      <c r="Q360" s="55">
        <f>SUM(N360:P360)</f>
        <v>0</v>
      </c>
      <c r="R360" s="55">
        <f>+E360+I360+M360+Q360</f>
        <v>6735</v>
      </c>
    </row>
    <row r="361" spans="1:20" ht="15.75" customHeight="1" x14ac:dyDescent="0.3">
      <c r="A361" s="72" t="s">
        <v>737</v>
      </c>
      <c r="B361" s="1"/>
      <c r="C361" s="1"/>
      <c r="D361" s="1"/>
      <c r="E361" s="55">
        <f>SUM(B361:D361)</f>
        <v>0</v>
      </c>
      <c r="F361" s="1"/>
      <c r="G361" s="1"/>
      <c r="H361" s="1"/>
      <c r="I361" s="55">
        <f>SUM(F361:H361)</f>
        <v>0</v>
      </c>
      <c r="J361" s="1"/>
      <c r="K361" s="1"/>
      <c r="L361" s="1"/>
      <c r="M361" s="55">
        <f>SUM(J361:L361)</f>
        <v>0</v>
      </c>
      <c r="N361" s="1"/>
      <c r="O361" s="1"/>
      <c r="P361" s="1"/>
      <c r="Q361" s="55">
        <f>SUM(N361:P361)</f>
        <v>0</v>
      </c>
      <c r="R361" s="55">
        <f>+E361+I361+M361+Q361</f>
        <v>0</v>
      </c>
    </row>
    <row r="362" spans="1:20" ht="15.75" customHeight="1" x14ac:dyDescent="0.3">
      <c r="A362" s="72" t="s">
        <v>960</v>
      </c>
      <c r="B362" s="1">
        <v>412</v>
      </c>
      <c r="C362" s="1">
        <v>2000</v>
      </c>
      <c r="D362" s="1">
        <v>2000</v>
      </c>
      <c r="E362" s="55">
        <f>SUM(B362:D362)</f>
        <v>4412</v>
      </c>
      <c r="F362" s="1">
        <v>2352</v>
      </c>
      <c r="G362" s="1">
        <v>169.00000000000193</v>
      </c>
      <c r="H362" s="1"/>
      <c r="I362" s="55">
        <f>SUM(F362:H362)</f>
        <v>2521.0000000000018</v>
      </c>
      <c r="J362" s="1"/>
      <c r="K362" s="1"/>
      <c r="L362" s="1"/>
      <c r="M362" s="55">
        <f>SUM(J362:L362)</f>
        <v>0</v>
      </c>
      <c r="N362" s="1"/>
      <c r="O362" s="1"/>
      <c r="P362" s="1"/>
      <c r="Q362" s="55">
        <f>SUM(N362:P362)</f>
        <v>0</v>
      </c>
      <c r="R362" s="55">
        <f>+E362+I362+M362+Q362</f>
        <v>6933.0000000000018</v>
      </c>
      <c r="T362" s="4" t="s">
        <v>241</v>
      </c>
    </row>
    <row r="363" spans="1:20" ht="15.75" customHeight="1" x14ac:dyDescent="0.3">
      <c r="A363" s="72" t="s">
        <v>961</v>
      </c>
      <c r="B363" s="1"/>
      <c r="C363" s="1"/>
      <c r="D363" s="1"/>
      <c r="E363" s="55">
        <f t="shared" si="68"/>
        <v>0</v>
      </c>
      <c r="F363" s="1"/>
      <c r="G363" s="1"/>
      <c r="H363" s="1"/>
      <c r="I363" s="55">
        <f t="shared" si="69"/>
        <v>0</v>
      </c>
      <c r="J363" s="1"/>
      <c r="K363" s="1"/>
      <c r="L363" s="1"/>
      <c r="M363" s="55">
        <f t="shared" si="70"/>
        <v>0</v>
      </c>
      <c r="N363" s="1"/>
      <c r="O363" s="1"/>
      <c r="P363" s="1"/>
      <c r="Q363" s="55">
        <f t="shared" si="71"/>
        <v>0</v>
      </c>
      <c r="R363" s="55">
        <f t="shared" si="72"/>
        <v>0</v>
      </c>
      <c r="T363" s="4" t="s">
        <v>944</v>
      </c>
    </row>
    <row r="364" spans="1:20" ht="15.75" customHeight="1" x14ac:dyDescent="0.3">
      <c r="A364" s="72" t="s">
        <v>962</v>
      </c>
      <c r="B364" s="1"/>
      <c r="C364" s="1"/>
      <c r="D364" s="1"/>
      <c r="E364" s="55">
        <f>SUM(B364:D364)</f>
        <v>0</v>
      </c>
      <c r="F364" s="1"/>
      <c r="G364" s="1">
        <v>631</v>
      </c>
      <c r="H364" s="1">
        <v>3000</v>
      </c>
      <c r="I364" s="55">
        <f>SUM(F364:H364)</f>
        <v>3631</v>
      </c>
      <c r="J364" s="1">
        <v>3762</v>
      </c>
      <c r="K364" s="1">
        <v>917</v>
      </c>
      <c r="L364" s="1">
        <v>898</v>
      </c>
      <c r="M364" s="55">
        <f>SUM(J364:L364)</f>
        <v>5577</v>
      </c>
      <c r="N364" s="1">
        <v>776</v>
      </c>
      <c r="O364" s="1">
        <v>1016</v>
      </c>
      <c r="P364" s="1"/>
      <c r="Q364" s="55">
        <f>SUM(N364:P364)</f>
        <v>1792</v>
      </c>
      <c r="R364" s="55">
        <f t="shared" si="72"/>
        <v>11000</v>
      </c>
      <c r="T364" s="4" t="s">
        <v>214</v>
      </c>
    </row>
    <row r="365" spans="1:20" ht="15.75" customHeight="1" x14ac:dyDescent="0.3">
      <c r="A365" s="72" t="s">
        <v>963</v>
      </c>
      <c r="B365" s="1"/>
      <c r="C365" s="1"/>
      <c r="D365" s="1"/>
      <c r="E365" s="55">
        <f>SUM(B365:D365)</f>
        <v>0</v>
      </c>
      <c r="F365" s="1"/>
      <c r="G365" s="1"/>
      <c r="H365" s="1"/>
      <c r="I365" s="55">
        <f>SUM(F365:H365)</f>
        <v>0</v>
      </c>
      <c r="J365" s="1"/>
      <c r="K365" s="1"/>
      <c r="L365" s="1"/>
      <c r="M365" s="55">
        <f>SUM(J365:L365)</f>
        <v>0</v>
      </c>
      <c r="N365" s="1"/>
      <c r="O365" s="1"/>
      <c r="P365" s="1"/>
      <c r="Q365" s="55">
        <f>SUM(N365:P365)</f>
        <v>0</v>
      </c>
      <c r="R365" s="55">
        <f>+E365+I365+M365+Q365</f>
        <v>0</v>
      </c>
      <c r="T365" s="4" t="s">
        <v>919</v>
      </c>
    </row>
    <row r="366" spans="1:20" ht="15.75" customHeight="1" x14ac:dyDescent="0.3">
      <c r="A366" s="72" t="s">
        <v>964</v>
      </c>
      <c r="B366" s="1"/>
      <c r="C366" s="1"/>
      <c r="D366" s="1"/>
      <c r="E366" s="55">
        <f>SUM(B366:D366)</f>
        <v>0</v>
      </c>
      <c r="F366" s="1"/>
      <c r="G366" s="1"/>
      <c r="H366" s="1"/>
      <c r="I366" s="55">
        <f>SUM(F366:H366)</f>
        <v>0</v>
      </c>
      <c r="J366" s="1"/>
      <c r="K366" s="1"/>
      <c r="L366" s="1"/>
      <c r="M366" s="55">
        <f>SUM(J366:L366)</f>
        <v>0</v>
      </c>
      <c r="N366" s="1"/>
      <c r="O366" s="1"/>
      <c r="P366" s="1"/>
      <c r="Q366" s="55">
        <f>SUM(N366:P366)</f>
        <v>0</v>
      </c>
      <c r="R366" s="55">
        <f>+E366+I366+M366+Q366</f>
        <v>0</v>
      </c>
      <c r="T366" s="4" t="s">
        <v>241</v>
      </c>
    </row>
    <row r="367" spans="1:20" ht="15.75" customHeight="1" x14ac:dyDescent="0.3">
      <c r="A367" s="72" t="s">
        <v>159</v>
      </c>
      <c r="B367" s="1"/>
      <c r="C367" s="1"/>
      <c r="D367" s="1"/>
      <c r="E367" s="55">
        <f>SUM(B367:D367)</f>
        <v>0</v>
      </c>
      <c r="F367" s="1"/>
      <c r="G367" s="1"/>
      <c r="H367" s="1"/>
      <c r="I367" s="55">
        <f>SUM(F367:H367)</f>
        <v>0</v>
      </c>
      <c r="J367" s="1">
        <v>763</v>
      </c>
      <c r="K367" s="1">
        <v>123</v>
      </c>
      <c r="L367" s="1"/>
      <c r="M367" s="55">
        <f>SUM(J367:L367)</f>
        <v>886</v>
      </c>
      <c r="N367" s="1"/>
      <c r="O367" s="1"/>
      <c r="P367" s="1"/>
      <c r="Q367" s="55">
        <f>SUM(N367:P367)</f>
        <v>0</v>
      </c>
      <c r="R367" s="55">
        <f>+E367+I367+M367+Q367</f>
        <v>886</v>
      </c>
      <c r="T367" s="4" t="s">
        <v>919</v>
      </c>
    </row>
    <row r="368" spans="1:20" ht="15.75" customHeight="1" x14ac:dyDescent="0.3">
      <c r="A368" s="72" t="s">
        <v>968</v>
      </c>
      <c r="B368" s="1"/>
      <c r="C368" s="1"/>
      <c r="D368" s="1"/>
      <c r="E368" s="55">
        <f t="shared" si="68"/>
        <v>0</v>
      </c>
      <c r="F368" s="1"/>
      <c r="G368" s="1"/>
      <c r="H368" s="1">
        <v>580</v>
      </c>
      <c r="I368" s="55">
        <f t="shared" si="69"/>
        <v>580</v>
      </c>
      <c r="J368" s="1">
        <v>1151</v>
      </c>
      <c r="K368" s="1">
        <v>1141</v>
      </c>
      <c r="L368" s="1">
        <v>722</v>
      </c>
      <c r="M368" s="55">
        <f t="shared" si="70"/>
        <v>3014</v>
      </c>
      <c r="N368" s="1"/>
      <c r="O368" s="1"/>
      <c r="P368" s="1"/>
      <c r="Q368" s="55">
        <f t="shared" si="71"/>
        <v>0</v>
      </c>
      <c r="R368" s="55">
        <f t="shared" si="72"/>
        <v>3594</v>
      </c>
      <c r="T368" s="4" t="s">
        <v>919</v>
      </c>
    </row>
    <row r="369" spans="1:20" ht="15.75" customHeight="1" x14ac:dyDescent="0.3">
      <c r="A369" s="72" t="s">
        <v>969</v>
      </c>
      <c r="B369" s="1"/>
      <c r="C369" s="1"/>
      <c r="D369" s="1"/>
      <c r="E369" s="55">
        <f>SUM(B369:D369)</f>
        <v>0</v>
      </c>
      <c r="F369" s="1"/>
      <c r="G369" s="1"/>
      <c r="H369" s="1"/>
      <c r="I369" s="55">
        <f>SUM(F369:H369)</f>
        <v>0</v>
      </c>
      <c r="J369" s="1"/>
      <c r="K369" s="1"/>
      <c r="L369" s="1"/>
      <c r="M369" s="55">
        <f>SUM(J369:L369)</f>
        <v>0</v>
      </c>
      <c r="N369" s="1"/>
      <c r="O369" s="1"/>
      <c r="P369" s="1"/>
      <c r="Q369" s="55">
        <f>SUM(N369:P369)</f>
        <v>0</v>
      </c>
      <c r="R369" s="55">
        <f t="shared" si="72"/>
        <v>0</v>
      </c>
      <c r="T369" s="4" t="s">
        <v>241</v>
      </c>
    </row>
    <row r="370" spans="1:20" ht="15.75" customHeight="1" x14ac:dyDescent="0.3">
      <c r="A370" s="72" t="s">
        <v>162</v>
      </c>
      <c r="B370" s="1"/>
      <c r="C370" s="1"/>
      <c r="D370" s="1"/>
      <c r="E370" s="55">
        <f t="shared" si="68"/>
        <v>0</v>
      </c>
      <c r="F370" s="1">
        <v>823</v>
      </c>
      <c r="G370" s="1">
        <v>846</v>
      </c>
      <c r="H370" s="1"/>
      <c r="I370" s="55">
        <f t="shared" si="69"/>
        <v>1669</v>
      </c>
      <c r="J370" s="1"/>
      <c r="K370" s="1"/>
      <c r="L370" s="1"/>
      <c r="M370" s="55">
        <f t="shared" si="70"/>
        <v>0</v>
      </c>
      <c r="N370" s="1"/>
      <c r="O370" s="1"/>
      <c r="P370" s="1"/>
      <c r="Q370" s="55">
        <f t="shared" si="71"/>
        <v>0</v>
      </c>
      <c r="R370" s="55">
        <f t="shared" si="72"/>
        <v>1669</v>
      </c>
    </row>
    <row r="371" spans="1:20" ht="15.75" customHeight="1" x14ac:dyDescent="0.3">
      <c r="A371" s="72" t="s">
        <v>971</v>
      </c>
      <c r="B371" s="1"/>
      <c r="C371" s="1"/>
      <c r="D371" s="1"/>
      <c r="E371" s="55">
        <f t="shared" si="68"/>
        <v>0</v>
      </c>
      <c r="F371" s="1"/>
      <c r="G371" s="1"/>
      <c r="H371" s="1"/>
      <c r="I371" s="55">
        <f t="shared" si="69"/>
        <v>0</v>
      </c>
      <c r="J371" s="1"/>
      <c r="K371" s="1">
        <v>1019</v>
      </c>
      <c r="L371" s="1">
        <v>1095</v>
      </c>
      <c r="M371" s="55">
        <f t="shared" si="70"/>
        <v>2114</v>
      </c>
      <c r="N371" s="1"/>
      <c r="O371" s="1"/>
      <c r="P371" s="1"/>
      <c r="Q371" s="55">
        <f t="shared" si="71"/>
        <v>0</v>
      </c>
      <c r="R371" s="55">
        <f t="shared" si="72"/>
        <v>2114</v>
      </c>
      <c r="T371" s="4" t="s">
        <v>919</v>
      </c>
    </row>
    <row r="372" spans="1:20" ht="15.75" customHeight="1" x14ac:dyDescent="0.3">
      <c r="A372" s="72" t="s">
        <v>742</v>
      </c>
      <c r="B372" s="1"/>
      <c r="C372" s="1"/>
      <c r="D372" s="1"/>
      <c r="E372" s="55">
        <f>SUM(B372:D372)</f>
        <v>0</v>
      </c>
      <c r="F372" s="1"/>
      <c r="G372" s="1"/>
      <c r="H372" s="1"/>
      <c r="I372" s="55">
        <f>SUM(F372:H372)</f>
        <v>0</v>
      </c>
      <c r="J372" s="1"/>
      <c r="K372" s="1"/>
      <c r="L372" s="1"/>
      <c r="M372" s="55">
        <f>SUM(J372:L372)</f>
        <v>0</v>
      </c>
      <c r="N372" s="1"/>
      <c r="O372" s="1"/>
      <c r="P372" s="1"/>
      <c r="Q372" s="55">
        <f>SUM(N372:P372)</f>
        <v>0</v>
      </c>
      <c r="R372" s="55">
        <f>+E372+I372+M372+Q372</f>
        <v>0</v>
      </c>
      <c r="T372" s="4" t="s">
        <v>241</v>
      </c>
    </row>
    <row r="373" spans="1:20" ht="15.75" customHeight="1" x14ac:dyDescent="0.3">
      <c r="A373" s="72" t="s">
        <v>973</v>
      </c>
      <c r="B373" s="1"/>
      <c r="C373" s="1">
        <v>280</v>
      </c>
      <c r="D373" s="1">
        <v>1152</v>
      </c>
      <c r="E373" s="55">
        <f t="shared" si="68"/>
        <v>1432</v>
      </c>
      <c r="F373" s="1">
        <v>1087</v>
      </c>
      <c r="G373" s="1">
        <v>1154</v>
      </c>
      <c r="H373" s="1">
        <v>534</v>
      </c>
      <c r="I373" s="55">
        <f t="shared" si="69"/>
        <v>2775</v>
      </c>
      <c r="J373" s="1"/>
      <c r="K373" s="1"/>
      <c r="L373" s="1"/>
      <c r="M373" s="55">
        <f t="shared" si="70"/>
        <v>0</v>
      </c>
      <c r="N373" s="1"/>
      <c r="O373" s="1"/>
      <c r="P373" s="1"/>
      <c r="Q373" s="55">
        <f t="shared" si="71"/>
        <v>0</v>
      </c>
      <c r="R373" s="55">
        <f t="shared" si="72"/>
        <v>4207</v>
      </c>
      <c r="T373" s="4" t="s">
        <v>919</v>
      </c>
    </row>
    <row r="374" spans="1:20" ht="15.75" customHeight="1" x14ac:dyDescent="0.3">
      <c r="A374" s="72" t="s">
        <v>974</v>
      </c>
      <c r="B374" s="1"/>
      <c r="C374" s="1"/>
      <c r="D374" s="1"/>
      <c r="E374" s="55">
        <f t="shared" si="68"/>
        <v>0</v>
      </c>
      <c r="F374" s="1"/>
      <c r="G374" s="1"/>
      <c r="H374" s="1"/>
      <c r="I374" s="55">
        <f t="shared" si="69"/>
        <v>0</v>
      </c>
      <c r="J374" s="1"/>
      <c r="K374" s="1"/>
      <c r="L374" s="1"/>
      <c r="M374" s="55">
        <f t="shared" si="70"/>
        <v>0</v>
      </c>
      <c r="N374" s="1"/>
      <c r="O374" s="1"/>
      <c r="P374" s="1"/>
      <c r="Q374" s="55">
        <f t="shared" si="71"/>
        <v>0</v>
      </c>
      <c r="R374" s="55">
        <f t="shared" si="72"/>
        <v>0</v>
      </c>
      <c r="T374" s="4" t="s">
        <v>241</v>
      </c>
    </row>
    <row r="375" spans="1:20" ht="15.75" customHeight="1" x14ac:dyDescent="0.3">
      <c r="A375" s="72" t="s">
        <v>171</v>
      </c>
      <c r="B375" s="1"/>
      <c r="C375" s="1"/>
      <c r="D375" s="1"/>
      <c r="E375" s="55">
        <f t="shared" si="68"/>
        <v>0</v>
      </c>
      <c r="F375" s="1"/>
      <c r="G375" s="1">
        <v>2622</v>
      </c>
      <c r="H375" s="1"/>
      <c r="I375" s="55">
        <f t="shared" si="69"/>
        <v>2622</v>
      </c>
      <c r="J375" s="1"/>
      <c r="K375" s="1"/>
      <c r="L375" s="1"/>
      <c r="M375" s="55">
        <f t="shared" si="70"/>
        <v>0</v>
      </c>
      <c r="N375" s="1"/>
      <c r="O375" s="1"/>
      <c r="P375" s="1"/>
      <c r="Q375" s="55">
        <f t="shared" si="71"/>
        <v>0</v>
      </c>
      <c r="R375" s="55">
        <f t="shared" si="72"/>
        <v>2622</v>
      </c>
    </row>
    <row r="376" spans="1:20" ht="15.75" customHeight="1" thickBot="1" x14ac:dyDescent="0.35">
      <c r="A376" s="72" t="s">
        <v>975</v>
      </c>
      <c r="B376" s="1"/>
      <c r="C376" s="1"/>
      <c r="D376" s="1">
        <v>361</v>
      </c>
      <c r="E376" s="55">
        <f>SUM(B376:D376)</f>
        <v>361</v>
      </c>
      <c r="F376" s="1">
        <v>2044</v>
      </c>
      <c r="G376" s="1">
        <v>2000</v>
      </c>
      <c r="H376" s="1">
        <v>4085</v>
      </c>
      <c r="I376" s="55">
        <f>SUM(F376:H376)</f>
        <v>8129</v>
      </c>
      <c r="J376" s="1">
        <v>3757</v>
      </c>
      <c r="K376" s="1">
        <v>3000</v>
      </c>
      <c r="L376" s="1"/>
      <c r="M376" s="55">
        <f>SUM(J376:L376)</f>
        <v>6757</v>
      </c>
      <c r="N376" s="1">
        <v>2102</v>
      </c>
      <c r="O376" s="1">
        <v>1924</v>
      </c>
      <c r="P376" s="1">
        <v>5727</v>
      </c>
      <c r="Q376" s="55">
        <f>SUM(N376:P376)</f>
        <v>9753</v>
      </c>
      <c r="R376" s="55">
        <f t="shared" si="72"/>
        <v>25000</v>
      </c>
    </row>
    <row r="377" spans="1:20" ht="16.5" customHeight="1" thickBot="1" x14ac:dyDescent="0.35">
      <c r="A377" s="114" t="s">
        <v>63</v>
      </c>
      <c r="B377" s="90">
        <f>SUM(B343:B376)</f>
        <v>7282</v>
      </c>
      <c r="C377" s="58">
        <f>SUM(C343:C376)</f>
        <v>12767</v>
      </c>
      <c r="D377" s="58">
        <f>SUM(D343:D376)</f>
        <v>19952</v>
      </c>
      <c r="E377" s="59">
        <f t="shared" si="68"/>
        <v>40001</v>
      </c>
      <c r="F377" s="58">
        <f>SUM(F343:F376)</f>
        <v>31970</v>
      </c>
      <c r="G377" s="58">
        <f>SUM(G343:G376)</f>
        <v>38340</v>
      </c>
      <c r="H377" s="58">
        <f>SUM(H343:H376)</f>
        <v>51089</v>
      </c>
      <c r="I377" s="59">
        <f t="shared" si="69"/>
        <v>121399</v>
      </c>
      <c r="J377" s="58">
        <f>SUM(J343:J376)</f>
        <v>46937</v>
      </c>
      <c r="K377" s="58">
        <f>SUM(K343:K376)</f>
        <v>43048</v>
      </c>
      <c r="L377" s="58">
        <f>SUM(L343:L376)</f>
        <v>20775</v>
      </c>
      <c r="M377" s="59">
        <f t="shared" si="70"/>
        <v>110760</v>
      </c>
      <c r="N377" s="58">
        <f>SUM(N343:N376)</f>
        <v>16940</v>
      </c>
      <c r="O377" s="58">
        <f>SUM(O343:O376)</f>
        <v>15674</v>
      </c>
      <c r="P377" s="58">
        <f>SUM(P343:P376)</f>
        <v>14120</v>
      </c>
      <c r="Q377" s="59">
        <f t="shared" si="71"/>
        <v>46734</v>
      </c>
      <c r="R377" s="59">
        <f>+E377+I377+M377+Q377</f>
        <v>318894</v>
      </c>
      <c r="T377" s="89"/>
    </row>
    <row r="378" spans="1:20" ht="15.75" customHeight="1" x14ac:dyDescent="0.3">
      <c r="A378" s="15" t="s">
        <v>64</v>
      </c>
      <c r="B378" s="1"/>
      <c r="C378" s="1"/>
      <c r="D378" s="1"/>
      <c r="E378" s="55" t="s">
        <v>7</v>
      </c>
      <c r="F378" s="1"/>
      <c r="G378" s="1"/>
      <c r="H378" s="1"/>
      <c r="I378" s="55" t="s">
        <v>7</v>
      </c>
      <c r="J378" s="1"/>
      <c r="K378" s="1"/>
      <c r="L378" s="1"/>
      <c r="M378" s="55" t="s">
        <v>7</v>
      </c>
      <c r="N378" s="1"/>
      <c r="O378" s="1"/>
      <c r="P378" s="1"/>
      <c r="Q378" s="55" t="s">
        <v>7</v>
      </c>
      <c r="R378" s="55" t="s">
        <v>7</v>
      </c>
    </row>
    <row r="379" spans="1:20" ht="15.75" customHeight="1" x14ac:dyDescent="0.3">
      <c r="A379" s="15" t="s">
        <v>594</v>
      </c>
      <c r="B379" s="1"/>
      <c r="C379" s="1"/>
      <c r="D379" s="1"/>
      <c r="E379" s="55" t="s">
        <v>7</v>
      </c>
      <c r="F379" s="1"/>
      <c r="G379" s="1"/>
      <c r="H379" s="1"/>
      <c r="I379" s="55" t="s">
        <v>7</v>
      </c>
      <c r="J379" s="1"/>
      <c r="K379" s="1"/>
      <c r="L379" s="1"/>
      <c r="M379" s="55" t="s">
        <v>7</v>
      </c>
      <c r="N379" s="1"/>
      <c r="O379" s="1"/>
      <c r="P379" s="1"/>
      <c r="Q379" s="55" t="s">
        <v>7</v>
      </c>
      <c r="R379" s="55" t="s">
        <v>7</v>
      </c>
    </row>
    <row r="380" spans="1:20" ht="15.75" customHeight="1" x14ac:dyDescent="0.3">
      <c r="A380" s="72" t="s">
        <v>976</v>
      </c>
      <c r="B380" s="1"/>
      <c r="C380" s="1"/>
      <c r="D380" s="1"/>
      <c r="E380" s="55">
        <f>SUM(B380:D380)</f>
        <v>0</v>
      </c>
      <c r="F380" s="1"/>
      <c r="G380" s="1"/>
      <c r="H380" s="1"/>
      <c r="I380" s="55">
        <f>SUM(F380:H380)</f>
        <v>0</v>
      </c>
      <c r="J380" s="1"/>
      <c r="K380" s="1"/>
      <c r="L380" s="1"/>
      <c r="M380" s="55">
        <f>SUM(J380:L380)</f>
        <v>0</v>
      </c>
      <c r="N380" s="1"/>
      <c r="O380" s="1"/>
      <c r="P380" s="1"/>
      <c r="Q380" s="55">
        <f>SUM(N380:P380)</f>
        <v>0</v>
      </c>
      <c r="R380" s="55">
        <f>+E380+I380+M380+Q380</f>
        <v>0</v>
      </c>
    </row>
    <row r="381" spans="1:20" ht="15.75" customHeight="1" x14ac:dyDescent="0.3">
      <c r="A381" s="15" t="s">
        <v>67</v>
      </c>
      <c r="B381" s="1"/>
      <c r="C381" s="1"/>
      <c r="D381" s="1"/>
      <c r="E381" s="55" t="s">
        <v>7</v>
      </c>
      <c r="F381" s="1"/>
      <c r="G381" s="1"/>
      <c r="H381" s="1"/>
      <c r="I381" s="55" t="s">
        <v>7</v>
      </c>
      <c r="J381" s="1"/>
      <c r="K381" s="1"/>
      <c r="L381" s="1"/>
      <c r="M381" s="55" t="s">
        <v>7</v>
      </c>
      <c r="N381" s="1"/>
      <c r="O381" s="1"/>
      <c r="P381" s="1"/>
      <c r="Q381" s="55" t="s">
        <v>7</v>
      </c>
      <c r="R381" s="55" t="s">
        <v>7</v>
      </c>
    </row>
    <row r="382" spans="1:20" ht="15.75" customHeight="1" x14ac:dyDescent="0.3">
      <c r="A382" s="72" t="s">
        <v>744</v>
      </c>
      <c r="B382" s="1"/>
      <c r="C382" s="1"/>
      <c r="D382" s="1"/>
      <c r="E382" s="55">
        <f>SUM(B382:D382)</f>
        <v>0</v>
      </c>
      <c r="F382" s="1"/>
      <c r="G382" s="1"/>
      <c r="H382" s="1"/>
      <c r="I382" s="55">
        <f>SUM(F382:H382)</f>
        <v>0</v>
      </c>
      <c r="J382" s="1"/>
      <c r="K382" s="1"/>
      <c r="L382" s="1"/>
      <c r="M382" s="55">
        <f>SUM(J382:L382)</f>
        <v>0</v>
      </c>
      <c r="N382" s="1"/>
      <c r="O382" s="1"/>
      <c r="P382" s="1"/>
      <c r="Q382" s="55">
        <f>SUM(N382:P382)</f>
        <v>0</v>
      </c>
      <c r="R382" s="55">
        <f>+E382+I382+M382+Q382</f>
        <v>0</v>
      </c>
    </row>
    <row r="383" spans="1:20" ht="15.75" customHeight="1" x14ac:dyDescent="0.3">
      <c r="A383" s="72" t="s">
        <v>745</v>
      </c>
      <c r="B383" s="1"/>
      <c r="C383" s="1">
        <v>1020</v>
      </c>
      <c r="D383" s="1">
        <v>1921</v>
      </c>
      <c r="E383" s="55">
        <f>SUM(B383:D383)</f>
        <v>2941</v>
      </c>
      <c r="F383" s="1">
        <v>1559</v>
      </c>
      <c r="G383" s="1"/>
      <c r="H383" s="1"/>
      <c r="I383" s="55">
        <f>SUM(F383:H383)</f>
        <v>1559</v>
      </c>
      <c r="J383" s="1">
        <v>2</v>
      </c>
      <c r="K383" s="1"/>
      <c r="L383" s="1"/>
      <c r="M383" s="55">
        <f>SUM(J383:L383)</f>
        <v>2</v>
      </c>
      <c r="N383" s="1"/>
      <c r="O383" s="1"/>
      <c r="P383" s="1"/>
      <c r="Q383" s="55">
        <f>SUM(N383:P383)</f>
        <v>0</v>
      </c>
      <c r="R383" s="55">
        <f>+E383+I383+M383+Q383</f>
        <v>4502</v>
      </c>
    </row>
    <row r="384" spans="1:20" ht="15.75" customHeight="1" x14ac:dyDescent="0.3">
      <c r="A384" s="15" t="s">
        <v>600</v>
      </c>
      <c r="B384" s="1"/>
      <c r="C384" s="1"/>
      <c r="D384" s="1"/>
      <c r="E384" s="55" t="s">
        <v>7</v>
      </c>
      <c r="F384" s="1"/>
      <c r="G384" s="1"/>
      <c r="H384" s="1"/>
      <c r="I384" s="55" t="s">
        <v>7</v>
      </c>
      <c r="J384" s="1"/>
      <c r="K384" s="1"/>
      <c r="L384" s="1"/>
      <c r="M384" s="55" t="s">
        <v>7</v>
      </c>
      <c r="N384" s="1"/>
      <c r="O384" s="1"/>
      <c r="P384" s="1"/>
      <c r="Q384" s="55" t="s">
        <v>7</v>
      </c>
      <c r="R384" s="55" t="s">
        <v>7</v>
      </c>
    </row>
    <row r="385" spans="1:20" ht="15.75" customHeight="1" x14ac:dyDescent="0.3">
      <c r="A385" s="72" t="s">
        <v>270</v>
      </c>
      <c r="B385" s="1"/>
      <c r="C385" s="1"/>
      <c r="D385" s="1"/>
      <c r="E385" s="55">
        <f t="shared" ref="E385:E390" si="73">SUM(B385:D385)</f>
        <v>0</v>
      </c>
      <c r="F385" s="1"/>
      <c r="G385" s="1"/>
      <c r="H385" s="1"/>
      <c r="I385" s="55">
        <f t="shared" ref="I385:I390" si="74">SUM(F385:H385)</f>
        <v>0</v>
      </c>
      <c r="J385" s="1"/>
      <c r="K385" s="1"/>
      <c r="L385" s="1"/>
      <c r="M385" s="55">
        <f t="shared" ref="M385:M390" si="75">SUM(J385:L385)</f>
        <v>0</v>
      </c>
      <c r="N385" s="1"/>
      <c r="O385" s="1"/>
      <c r="P385" s="1"/>
      <c r="Q385" s="55">
        <f t="shared" ref="Q385:Q390" si="76">SUM(N385:P385)</f>
        <v>0</v>
      </c>
      <c r="R385" s="55">
        <f t="shared" ref="R385:R390" si="77">+E385+I385+M385+Q385</f>
        <v>0</v>
      </c>
      <c r="T385" s="4" t="s">
        <v>224</v>
      </c>
    </row>
    <row r="386" spans="1:20" ht="15.75" customHeight="1" x14ac:dyDescent="0.3">
      <c r="A386" s="72" t="s">
        <v>646</v>
      </c>
      <c r="B386" s="1"/>
      <c r="C386" s="1"/>
      <c r="D386" s="1">
        <v>3941</v>
      </c>
      <c r="E386" s="55">
        <f t="shared" si="73"/>
        <v>3941</v>
      </c>
      <c r="F386" s="1">
        <v>1643</v>
      </c>
      <c r="G386" s="1"/>
      <c r="H386" s="1"/>
      <c r="I386" s="55">
        <f t="shared" si="74"/>
        <v>1643</v>
      </c>
      <c r="J386" s="1"/>
      <c r="K386" s="1"/>
      <c r="L386" s="1">
        <v>38</v>
      </c>
      <c r="M386" s="55">
        <f t="shared" si="75"/>
        <v>38</v>
      </c>
      <c r="N386" s="1">
        <v>3798</v>
      </c>
      <c r="O386" s="1">
        <v>1961</v>
      </c>
      <c r="P386" s="1"/>
      <c r="Q386" s="55">
        <f t="shared" si="76"/>
        <v>5759</v>
      </c>
      <c r="R386" s="55">
        <f t="shared" si="77"/>
        <v>11381</v>
      </c>
      <c r="T386" s="4" t="s">
        <v>224</v>
      </c>
    </row>
    <row r="387" spans="1:20" ht="15.75" customHeight="1" x14ac:dyDescent="0.3">
      <c r="A387" s="72" t="s">
        <v>271</v>
      </c>
      <c r="B387" s="1"/>
      <c r="C387" s="1"/>
      <c r="D387" s="1"/>
      <c r="E387" s="55">
        <f t="shared" si="73"/>
        <v>0</v>
      </c>
      <c r="F387" s="1"/>
      <c r="G387" s="1"/>
      <c r="H387" s="1"/>
      <c r="I387" s="55">
        <f t="shared" si="74"/>
        <v>0</v>
      </c>
      <c r="J387" s="1"/>
      <c r="K387" s="1"/>
      <c r="L387" s="1"/>
      <c r="M387" s="55">
        <f t="shared" si="75"/>
        <v>0</v>
      </c>
      <c r="N387" s="1"/>
      <c r="O387" s="1">
        <v>152</v>
      </c>
      <c r="P387" s="1">
        <v>560</v>
      </c>
      <c r="Q387" s="55">
        <f t="shared" si="76"/>
        <v>712</v>
      </c>
      <c r="R387" s="55">
        <f t="shared" si="77"/>
        <v>712</v>
      </c>
      <c r="T387" s="4" t="s">
        <v>214</v>
      </c>
    </row>
    <row r="388" spans="1:20" ht="15.75" customHeight="1" x14ac:dyDescent="0.3">
      <c r="A388" s="72" t="s">
        <v>647</v>
      </c>
      <c r="B388" s="1"/>
      <c r="C388" s="1"/>
      <c r="D388" s="1"/>
      <c r="E388" s="55">
        <f t="shared" si="73"/>
        <v>0</v>
      </c>
      <c r="F388" s="1"/>
      <c r="G388" s="1"/>
      <c r="H388" s="1"/>
      <c r="I388" s="55">
        <f t="shared" si="74"/>
        <v>0</v>
      </c>
      <c r="J388" s="1"/>
      <c r="K388" s="1"/>
      <c r="L388" s="1"/>
      <c r="M388" s="55">
        <f t="shared" si="75"/>
        <v>0</v>
      </c>
      <c r="N388" s="1"/>
      <c r="O388" s="1">
        <v>15</v>
      </c>
      <c r="P388" s="1"/>
      <c r="Q388" s="55">
        <f t="shared" si="76"/>
        <v>15</v>
      </c>
      <c r="R388" s="55">
        <f t="shared" si="77"/>
        <v>15</v>
      </c>
    </row>
    <row r="389" spans="1:20" ht="15.75" customHeight="1" x14ac:dyDescent="0.3">
      <c r="A389" s="72" t="s">
        <v>652</v>
      </c>
      <c r="B389" s="1"/>
      <c r="C389" s="1"/>
      <c r="D389" s="1"/>
      <c r="E389" s="55">
        <f t="shared" si="73"/>
        <v>0</v>
      </c>
      <c r="F389" s="1"/>
      <c r="G389" s="1"/>
      <c r="H389" s="1"/>
      <c r="I389" s="55">
        <f t="shared" si="74"/>
        <v>0</v>
      </c>
      <c r="J389" s="1"/>
      <c r="K389" s="1"/>
      <c r="L389" s="1"/>
      <c r="M389" s="55">
        <f t="shared" si="75"/>
        <v>0</v>
      </c>
      <c r="N389" s="1"/>
      <c r="O389" s="1"/>
      <c r="P389" s="1"/>
      <c r="Q389" s="55">
        <f t="shared" si="76"/>
        <v>0</v>
      </c>
      <c r="R389" s="55">
        <f t="shared" si="77"/>
        <v>0</v>
      </c>
    </row>
    <row r="390" spans="1:20" ht="15.75" customHeight="1" x14ac:dyDescent="0.3">
      <c r="A390" s="72" t="s">
        <v>746</v>
      </c>
      <c r="B390" s="1"/>
      <c r="C390" s="1"/>
      <c r="D390" s="1"/>
      <c r="E390" s="55">
        <f t="shared" si="73"/>
        <v>0</v>
      </c>
      <c r="F390" s="1"/>
      <c r="G390" s="1"/>
      <c r="H390" s="1"/>
      <c r="I390" s="55">
        <f t="shared" si="74"/>
        <v>0</v>
      </c>
      <c r="J390" s="1"/>
      <c r="K390" s="1"/>
      <c r="L390" s="1"/>
      <c r="M390" s="55">
        <f t="shared" si="75"/>
        <v>0</v>
      </c>
      <c r="N390" s="1"/>
      <c r="O390" s="1"/>
      <c r="P390" s="1"/>
      <c r="Q390" s="55">
        <f t="shared" si="76"/>
        <v>0</v>
      </c>
      <c r="R390" s="55">
        <f t="shared" si="77"/>
        <v>0</v>
      </c>
      <c r="T390" s="4" t="s">
        <v>224</v>
      </c>
    </row>
    <row r="391" spans="1:20" ht="15.75" customHeight="1" x14ac:dyDescent="0.3">
      <c r="A391" s="15" t="s">
        <v>70</v>
      </c>
      <c r="B391" s="1"/>
      <c r="C391" s="1"/>
      <c r="D391" s="1"/>
      <c r="E391" s="55" t="s">
        <v>7</v>
      </c>
      <c r="F391" s="1"/>
      <c r="G391" s="1"/>
      <c r="H391" s="1"/>
      <c r="I391" s="55" t="s">
        <v>7</v>
      </c>
      <c r="J391" s="1"/>
      <c r="K391" s="1"/>
      <c r="L391" s="1"/>
      <c r="M391" s="55" t="s">
        <v>7</v>
      </c>
      <c r="N391" s="1"/>
      <c r="O391" s="1"/>
      <c r="P391" s="1"/>
      <c r="Q391" s="55" t="s">
        <v>7</v>
      </c>
      <c r="R391" s="55" t="s">
        <v>7</v>
      </c>
    </row>
    <row r="392" spans="1:20" ht="15.75" customHeight="1" x14ac:dyDescent="0.3">
      <c r="A392" s="72" t="s">
        <v>643</v>
      </c>
      <c r="B392" s="1"/>
      <c r="C392" s="1"/>
      <c r="D392" s="1"/>
      <c r="E392" s="55">
        <f>SUM(B392:D392)</f>
        <v>0</v>
      </c>
      <c r="F392" s="1">
        <v>3361</v>
      </c>
      <c r="G392" s="1">
        <v>1639</v>
      </c>
      <c r="H392" s="1"/>
      <c r="I392" s="55">
        <f>SUM(F392:H392)</f>
        <v>5000</v>
      </c>
      <c r="J392" s="1"/>
      <c r="K392" s="1"/>
      <c r="L392" s="1"/>
      <c r="M392" s="55">
        <f>SUM(J392:L392)</f>
        <v>0</v>
      </c>
      <c r="N392" s="1"/>
      <c r="O392" s="1"/>
      <c r="P392" s="1"/>
      <c r="Q392" s="55">
        <f>SUM(N392:P392)</f>
        <v>0</v>
      </c>
      <c r="R392" s="55">
        <f>+E392+I392+M392+Q392</f>
        <v>5000</v>
      </c>
      <c r="T392" s="4" t="s">
        <v>256</v>
      </c>
    </row>
    <row r="393" spans="1:20" ht="15.75" customHeight="1" x14ac:dyDescent="0.3">
      <c r="A393" s="72" t="s">
        <v>977</v>
      </c>
      <c r="B393" s="1"/>
      <c r="C393" s="1"/>
      <c r="D393" s="1"/>
      <c r="E393" s="55">
        <f>SUM(B393:D393)</f>
        <v>0</v>
      </c>
      <c r="F393" s="1"/>
      <c r="G393" s="1"/>
      <c r="H393" s="1"/>
      <c r="I393" s="55">
        <f>SUM(F393:H393)</f>
        <v>0</v>
      </c>
      <c r="J393" s="1"/>
      <c r="K393" s="1"/>
      <c r="L393" s="1"/>
      <c r="M393" s="55">
        <f>SUM(J393:L393)</f>
        <v>0</v>
      </c>
      <c r="N393" s="1"/>
      <c r="O393" s="1"/>
      <c r="P393" s="1">
        <v>1700</v>
      </c>
      <c r="Q393" s="55">
        <f>SUM(N393:P393)</f>
        <v>1700</v>
      </c>
      <c r="R393" s="55">
        <f>+E393+I393+M393+Q393</f>
        <v>1700</v>
      </c>
      <c r="T393" s="4" t="s">
        <v>209</v>
      </c>
    </row>
    <row r="394" spans="1:20" ht="15.75" customHeight="1" x14ac:dyDescent="0.3">
      <c r="A394" s="72" t="s">
        <v>978</v>
      </c>
      <c r="B394" s="1"/>
      <c r="C394" s="1"/>
      <c r="D394" s="1"/>
      <c r="E394" s="55">
        <f>SUM(B394:D394)</f>
        <v>0</v>
      </c>
      <c r="F394" s="1"/>
      <c r="G394" s="1"/>
      <c r="H394" s="1"/>
      <c r="I394" s="55">
        <f>SUM(F394:H394)</f>
        <v>0</v>
      </c>
      <c r="J394" s="1"/>
      <c r="K394" s="1"/>
      <c r="L394" s="1"/>
      <c r="M394" s="55">
        <f>SUM(J394:L394)</f>
        <v>0</v>
      </c>
      <c r="N394" s="1"/>
      <c r="O394" s="1"/>
      <c r="P394" s="1"/>
      <c r="Q394" s="55">
        <f>SUM(N394:P394)</f>
        <v>0</v>
      </c>
      <c r="R394" s="55">
        <f>+E394+I394+M394+Q394</f>
        <v>0</v>
      </c>
      <c r="T394" s="4" t="s">
        <v>209</v>
      </c>
    </row>
    <row r="395" spans="1:20" ht="15.75" customHeight="1" x14ac:dyDescent="0.3">
      <c r="A395" s="72" t="s">
        <v>750</v>
      </c>
      <c r="B395" s="1"/>
      <c r="C395" s="1"/>
      <c r="D395" s="1"/>
      <c r="E395" s="55">
        <f>SUM(B395:D395)</f>
        <v>0</v>
      </c>
      <c r="F395" s="1"/>
      <c r="G395" s="1"/>
      <c r="H395" s="1"/>
      <c r="I395" s="55">
        <f>SUM(F395:H395)</f>
        <v>0</v>
      </c>
      <c r="J395" s="1"/>
      <c r="K395" s="1"/>
      <c r="L395" s="1"/>
      <c r="M395" s="55">
        <f>SUM(J395:L395)</f>
        <v>0</v>
      </c>
      <c r="N395" s="1"/>
      <c r="O395" s="1"/>
      <c r="P395" s="1"/>
      <c r="Q395" s="55">
        <f>SUM(N395:P395)</f>
        <v>0</v>
      </c>
      <c r="R395" s="55">
        <f>+E395+I395+M395+Q395</f>
        <v>0</v>
      </c>
    </row>
    <row r="396" spans="1:20" ht="15.75" customHeight="1" x14ac:dyDescent="0.3">
      <c r="A396" s="72" t="s">
        <v>751</v>
      </c>
      <c r="B396" s="1"/>
      <c r="C396" s="1"/>
      <c r="D396" s="1"/>
      <c r="E396" s="55">
        <f t="shared" ref="E396:E406" si="78">SUM(B396:D396)</f>
        <v>0</v>
      </c>
      <c r="F396" s="1"/>
      <c r="G396" s="1"/>
      <c r="H396" s="1">
        <v>2907</v>
      </c>
      <c r="I396" s="55">
        <f t="shared" ref="I396:I406" si="79">SUM(F396:H396)</f>
        <v>2907</v>
      </c>
      <c r="J396" s="1">
        <v>2793</v>
      </c>
      <c r="K396" s="1"/>
      <c r="L396" s="1"/>
      <c r="M396" s="55">
        <f t="shared" ref="M396:M406" si="80">SUM(J396:L396)</f>
        <v>2793</v>
      </c>
      <c r="N396" s="1"/>
      <c r="O396" s="1"/>
      <c r="P396" s="1"/>
      <c r="Q396" s="55">
        <f t="shared" ref="Q396:Q406" si="81">SUM(N396:P396)</f>
        <v>0</v>
      </c>
      <c r="R396" s="55">
        <f t="shared" ref="R396:R406" si="82">+E396+I396+M396+Q396</f>
        <v>5700</v>
      </c>
    </row>
    <row r="397" spans="1:20" ht="15.75" customHeight="1" x14ac:dyDescent="0.3">
      <c r="A397" s="72" t="s">
        <v>752</v>
      </c>
      <c r="B397" s="1"/>
      <c r="C397" s="1"/>
      <c r="D397" s="1"/>
      <c r="E397" s="55">
        <f>SUM(B397:D397)</f>
        <v>0</v>
      </c>
      <c r="F397" s="1"/>
      <c r="G397" s="1"/>
      <c r="H397" s="1"/>
      <c r="I397" s="55">
        <f>SUM(F397:H397)</f>
        <v>0</v>
      </c>
      <c r="J397" s="1"/>
      <c r="K397" s="1"/>
      <c r="L397" s="1"/>
      <c r="M397" s="55">
        <f>SUM(J397:L397)</f>
        <v>0</v>
      </c>
      <c r="N397" s="1"/>
      <c r="O397" s="1"/>
      <c r="P397" s="1"/>
      <c r="Q397" s="55">
        <f>SUM(N397:P397)</f>
        <v>0</v>
      </c>
      <c r="R397" s="55">
        <f>+E397+I397+M397+Q397</f>
        <v>0</v>
      </c>
    </row>
    <row r="398" spans="1:20" ht="15.75" customHeight="1" x14ac:dyDescent="0.3">
      <c r="A398" s="72" t="s">
        <v>753</v>
      </c>
      <c r="B398" s="1">
        <v>400</v>
      </c>
      <c r="C398" s="1">
        <v>500</v>
      </c>
      <c r="D398" s="1">
        <v>900</v>
      </c>
      <c r="E398" s="55">
        <f>SUM(B398:D398)</f>
        <v>1800</v>
      </c>
      <c r="F398" s="1">
        <v>900</v>
      </c>
      <c r="G398" s="1">
        <v>900</v>
      </c>
      <c r="H398" s="1">
        <v>500</v>
      </c>
      <c r="I398" s="55">
        <f>SUM(F398:H398)</f>
        <v>2300</v>
      </c>
      <c r="J398" s="1">
        <v>200</v>
      </c>
      <c r="K398" s="1">
        <v>200</v>
      </c>
      <c r="L398" s="1">
        <v>400</v>
      </c>
      <c r="M398" s="55">
        <f>SUM(J398:L398)</f>
        <v>800</v>
      </c>
      <c r="N398" s="1">
        <v>400</v>
      </c>
      <c r="O398" s="1">
        <v>1100</v>
      </c>
      <c r="P398" s="1">
        <v>300</v>
      </c>
      <c r="Q398" s="55">
        <f>SUM(N398:P398)</f>
        <v>1800</v>
      </c>
      <c r="R398" s="55">
        <f>+E398+I398+M398+Q398</f>
        <v>6700</v>
      </c>
      <c r="T398" s="4" t="s">
        <v>209</v>
      </c>
    </row>
    <row r="399" spans="1:20" ht="15.75" customHeight="1" x14ac:dyDescent="0.3">
      <c r="A399" s="72" t="s">
        <v>754</v>
      </c>
      <c r="B399" s="1"/>
      <c r="C399" s="1"/>
      <c r="D399" s="1"/>
      <c r="E399" s="55">
        <f>SUM(B399:D399)</f>
        <v>0</v>
      </c>
      <c r="F399" s="1"/>
      <c r="G399" s="1"/>
      <c r="H399" s="1"/>
      <c r="I399" s="55">
        <f>SUM(F399:H399)</f>
        <v>0</v>
      </c>
      <c r="J399" s="1"/>
      <c r="K399" s="1"/>
      <c r="L399" s="1"/>
      <c r="M399" s="55">
        <f>SUM(J399:L399)</f>
        <v>0</v>
      </c>
      <c r="N399" s="1"/>
      <c r="O399" s="1"/>
      <c r="P399" s="1"/>
      <c r="Q399" s="55">
        <f>SUM(N399:P399)</f>
        <v>0</v>
      </c>
      <c r="R399" s="55">
        <f>+E399+I399+M399+Q399</f>
        <v>0</v>
      </c>
    </row>
    <row r="400" spans="1:20" ht="15.75" customHeight="1" thickBot="1" x14ac:dyDescent="0.35">
      <c r="A400" s="72" t="s">
        <v>755</v>
      </c>
      <c r="B400" s="1"/>
      <c r="C400" s="1"/>
      <c r="D400" s="1"/>
      <c r="E400" s="55">
        <f>SUM(B400:D400)</f>
        <v>0</v>
      </c>
      <c r="F400" s="1"/>
      <c r="G400" s="1"/>
      <c r="H400" s="1"/>
      <c r="I400" s="55">
        <f>SUM(F400:H400)</f>
        <v>0</v>
      </c>
      <c r="J400" s="1"/>
      <c r="K400" s="1">
        <v>1207</v>
      </c>
      <c r="L400" s="1"/>
      <c r="M400" s="55">
        <f>SUM(J400:L400)</f>
        <v>1207</v>
      </c>
      <c r="N400" s="1">
        <v>23</v>
      </c>
      <c r="O400" s="1"/>
      <c r="P400" s="1"/>
      <c r="Q400" s="55">
        <f>SUM(N400:P400)</f>
        <v>23</v>
      </c>
      <c r="R400" s="55">
        <f>+E400+I400+M400+Q400</f>
        <v>1230</v>
      </c>
      <c r="T400" s="4" t="s">
        <v>214</v>
      </c>
    </row>
    <row r="401" spans="1:18" ht="16.5" customHeight="1" thickBot="1" x14ac:dyDescent="0.35">
      <c r="A401" s="57" t="s">
        <v>71</v>
      </c>
      <c r="B401" s="58">
        <f>SUM(B384:B400)</f>
        <v>400</v>
      </c>
      <c r="C401" s="58">
        <f>SUM(C384:C400)</f>
        <v>500</v>
      </c>
      <c r="D401" s="58">
        <f>SUM(D384:D400)</f>
        <v>4841</v>
      </c>
      <c r="E401" s="60">
        <f t="shared" si="78"/>
        <v>5741</v>
      </c>
      <c r="F401" s="58">
        <f>SUM(F384:F400)</f>
        <v>5904</v>
      </c>
      <c r="G401" s="58">
        <f>SUM(G384:G400)</f>
        <v>2539</v>
      </c>
      <c r="H401" s="58">
        <f>SUM(H384:H400)</f>
        <v>3407</v>
      </c>
      <c r="I401" s="60">
        <f t="shared" si="79"/>
        <v>11850</v>
      </c>
      <c r="J401" s="58">
        <f>SUM(J384:J400)</f>
        <v>2993</v>
      </c>
      <c r="K401" s="58">
        <f>SUM(K384:K400)</f>
        <v>1407</v>
      </c>
      <c r="L401" s="58">
        <f>SUM(L384:L400)</f>
        <v>438</v>
      </c>
      <c r="M401" s="60">
        <f t="shared" si="80"/>
        <v>4838</v>
      </c>
      <c r="N401" s="58">
        <f>SUM(N384:N400)</f>
        <v>4221</v>
      </c>
      <c r="O401" s="58">
        <f>SUM(O384:O400)</f>
        <v>3228</v>
      </c>
      <c r="P401" s="58">
        <f>SUM(P384:P400)</f>
        <v>2560</v>
      </c>
      <c r="Q401" s="60">
        <f t="shared" si="81"/>
        <v>10009</v>
      </c>
      <c r="R401" s="59">
        <f t="shared" si="82"/>
        <v>32438</v>
      </c>
    </row>
    <row r="402" spans="1:18" ht="16.5" customHeight="1" thickBot="1" x14ac:dyDescent="0.35">
      <c r="A402" s="114" t="s">
        <v>72</v>
      </c>
      <c r="B402" s="86">
        <f>SUM(B378:B400)</f>
        <v>400</v>
      </c>
      <c r="C402" s="87">
        <f>SUM(C378:C400)</f>
        <v>1520</v>
      </c>
      <c r="D402" s="118">
        <f>SUM(D378:D400)</f>
        <v>6762</v>
      </c>
      <c r="E402" s="60">
        <f t="shared" si="78"/>
        <v>8682</v>
      </c>
      <c r="F402" s="87">
        <f>SUM(F378:F400)</f>
        <v>7463</v>
      </c>
      <c r="G402" s="87">
        <f>SUM(G378:G400)</f>
        <v>2539</v>
      </c>
      <c r="H402" s="87">
        <f>SUM(H378:H400)</f>
        <v>3407</v>
      </c>
      <c r="I402" s="60">
        <f t="shared" si="79"/>
        <v>13409</v>
      </c>
      <c r="J402" s="87">
        <f>SUM(J378:J400)</f>
        <v>2995</v>
      </c>
      <c r="K402" s="87">
        <f>SUM(K378:K400)</f>
        <v>1407</v>
      </c>
      <c r="L402" s="87">
        <f>SUM(L378:L400)</f>
        <v>438</v>
      </c>
      <c r="M402" s="60">
        <f t="shared" si="80"/>
        <v>4840</v>
      </c>
      <c r="N402" s="87">
        <f>SUM(N378:N400)</f>
        <v>4221</v>
      </c>
      <c r="O402" s="87">
        <f>SUM(O378:O400)</f>
        <v>3228</v>
      </c>
      <c r="P402" s="87">
        <f>SUM(P378:P400)</f>
        <v>2560</v>
      </c>
      <c r="Q402" s="60">
        <f t="shared" si="81"/>
        <v>10009</v>
      </c>
      <c r="R402" s="59">
        <f t="shared" si="82"/>
        <v>36940</v>
      </c>
    </row>
    <row r="403" spans="1:18" ht="16.5" customHeight="1" thickBot="1" x14ac:dyDescent="0.35">
      <c r="A403" s="57" t="s">
        <v>73</v>
      </c>
      <c r="B403" s="90">
        <f>+B329+B342+B377+B402</f>
        <v>17289</v>
      </c>
      <c r="C403" s="58">
        <f>+C329+C342+C377+C402</f>
        <v>35687</v>
      </c>
      <c r="D403" s="58">
        <f>+D329+D342+D377+D402</f>
        <v>51766</v>
      </c>
      <c r="E403" s="59">
        <f t="shared" si="78"/>
        <v>104742</v>
      </c>
      <c r="F403" s="58">
        <f>+F329+F342+F377+F402</f>
        <v>76701</v>
      </c>
      <c r="G403" s="58">
        <f>+G329+G342+G377+G402</f>
        <v>90971</v>
      </c>
      <c r="H403" s="58">
        <f>+H329+H342+H377+H402</f>
        <v>108295</v>
      </c>
      <c r="I403" s="59">
        <f t="shared" si="79"/>
        <v>275967</v>
      </c>
      <c r="J403" s="58">
        <f>+J329+J342+J377+J402</f>
        <v>84305</v>
      </c>
      <c r="K403" s="58">
        <f>+K329+K342+K377+K402</f>
        <v>74649</v>
      </c>
      <c r="L403" s="58">
        <f>+L329+L342+L377+L402</f>
        <v>40875</v>
      </c>
      <c r="M403" s="59">
        <f t="shared" si="80"/>
        <v>199829</v>
      </c>
      <c r="N403" s="58">
        <f>+N329+N342+N377+N402</f>
        <v>44454</v>
      </c>
      <c r="O403" s="58">
        <f>+O329+O342+O377+O402</f>
        <v>32361</v>
      </c>
      <c r="P403" s="58">
        <f>+P329+P342+P377+P402</f>
        <v>27851</v>
      </c>
      <c r="Q403" s="59">
        <f t="shared" si="81"/>
        <v>104666</v>
      </c>
      <c r="R403" s="81">
        <f t="shared" si="82"/>
        <v>685204</v>
      </c>
    </row>
    <row r="404" spans="1:18" ht="15.75" customHeight="1" x14ac:dyDescent="0.3">
      <c r="A404" s="71" t="s">
        <v>756</v>
      </c>
      <c r="B404" s="1"/>
      <c r="C404" s="1"/>
      <c r="D404" s="1"/>
      <c r="E404" s="55">
        <f t="shared" si="78"/>
        <v>0</v>
      </c>
      <c r="F404" s="1"/>
      <c r="G404" s="1"/>
      <c r="H404" s="1"/>
      <c r="I404" s="55">
        <f t="shared" si="79"/>
        <v>0</v>
      </c>
      <c r="J404" s="1"/>
      <c r="K404" s="1"/>
      <c r="L404" s="1"/>
      <c r="M404" s="55">
        <f t="shared" si="80"/>
        <v>0</v>
      </c>
      <c r="N404" s="1"/>
      <c r="O404" s="1"/>
      <c r="P404" s="1"/>
      <c r="Q404" s="55">
        <f t="shared" si="81"/>
        <v>0</v>
      </c>
      <c r="R404" s="55">
        <f t="shared" si="82"/>
        <v>0</v>
      </c>
    </row>
    <row r="405" spans="1:18" ht="15.75" customHeight="1" x14ac:dyDescent="0.3">
      <c r="A405" s="71" t="s">
        <v>757</v>
      </c>
      <c r="B405" s="1"/>
      <c r="C405" s="1"/>
      <c r="D405" s="1"/>
      <c r="E405" s="55">
        <f t="shared" si="78"/>
        <v>0</v>
      </c>
      <c r="F405" s="1"/>
      <c r="G405" s="1"/>
      <c r="H405" s="1"/>
      <c r="I405" s="55">
        <f t="shared" si="79"/>
        <v>0</v>
      </c>
      <c r="J405" s="1"/>
      <c r="K405" s="1"/>
      <c r="L405" s="1"/>
      <c r="M405" s="55">
        <f t="shared" si="80"/>
        <v>0</v>
      </c>
      <c r="N405" s="1"/>
      <c r="O405" s="1"/>
      <c r="P405" s="1"/>
      <c r="Q405" s="55">
        <f t="shared" si="81"/>
        <v>0</v>
      </c>
      <c r="R405" s="55">
        <f t="shared" si="82"/>
        <v>0</v>
      </c>
    </row>
    <row r="406" spans="1:18" ht="16.5" customHeight="1" thickBot="1" x14ac:dyDescent="0.35">
      <c r="A406" s="73" t="s">
        <v>40</v>
      </c>
      <c r="B406" s="21">
        <v>155</v>
      </c>
      <c r="C406" s="21">
        <v>283</v>
      </c>
      <c r="D406" s="21">
        <v>435</v>
      </c>
      <c r="E406" s="81">
        <f t="shared" si="78"/>
        <v>873</v>
      </c>
      <c r="F406" s="21">
        <v>602</v>
      </c>
      <c r="G406" s="21">
        <v>711</v>
      </c>
      <c r="H406" s="21">
        <v>722</v>
      </c>
      <c r="I406" s="81">
        <f t="shared" si="79"/>
        <v>2035</v>
      </c>
      <c r="J406" s="21">
        <v>686</v>
      </c>
      <c r="K406" s="21">
        <v>519</v>
      </c>
      <c r="L406" s="21">
        <v>531</v>
      </c>
      <c r="M406" s="81">
        <f t="shared" si="80"/>
        <v>1736</v>
      </c>
      <c r="N406" s="21">
        <v>489</v>
      </c>
      <c r="O406" s="21">
        <v>389</v>
      </c>
      <c r="P406" s="21">
        <v>275</v>
      </c>
      <c r="Q406" s="81">
        <f t="shared" si="81"/>
        <v>1153</v>
      </c>
      <c r="R406" s="55">
        <f t="shared" si="82"/>
        <v>5797</v>
      </c>
    </row>
    <row r="407" spans="1:18" ht="16.5" customHeight="1" thickBot="1" x14ac:dyDescent="0.35">
      <c r="A407" s="74"/>
      <c r="B407" s="75"/>
      <c r="C407" s="75"/>
      <c r="D407" s="75"/>
      <c r="E407" s="59"/>
      <c r="F407" s="75"/>
      <c r="G407" s="75"/>
      <c r="H407" s="75"/>
      <c r="I407" s="59"/>
      <c r="J407" s="75"/>
      <c r="K407" s="75"/>
      <c r="L407" s="75"/>
      <c r="M407" s="59"/>
      <c r="N407" s="75"/>
      <c r="O407" s="75"/>
      <c r="P407" s="75"/>
      <c r="Q407" s="59"/>
      <c r="R407" s="59" t="s">
        <v>7</v>
      </c>
    </row>
    <row r="408" spans="1:18" ht="15.75" customHeight="1" x14ac:dyDescent="0.3">
      <c r="A408" s="76" t="s">
        <v>41</v>
      </c>
      <c r="B408" s="77">
        <f>SUM(B403:B406)</f>
        <v>17444</v>
      </c>
      <c r="C408" s="77">
        <f>SUM(C403:C406)</f>
        <v>35970</v>
      </c>
      <c r="D408" s="77">
        <f>SUM(D403:D406)</f>
        <v>52201</v>
      </c>
      <c r="E408" s="60">
        <f>SUM(B408:D408)</f>
        <v>105615</v>
      </c>
      <c r="F408" s="77">
        <f>SUM(F403:F406)</f>
        <v>77303</v>
      </c>
      <c r="G408" s="77">
        <f>SUM(G403:G406)</f>
        <v>91682</v>
      </c>
      <c r="H408" s="77">
        <f>SUM(H403:H406)</f>
        <v>109017</v>
      </c>
      <c r="I408" s="60">
        <f>SUM(F408:H408)</f>
        <v>278002</v>
      </c>
      <c r="J408" s="77">
        <f>SUM(J403:J406)</f>
        <v>84991</v>
      </c>
      <c r="K408" s="77">
        <f>SUM(K403:K406)</f>
        <v>75168</v>
      </c>
      <c r="L408" s="77">
        <f>SUM(L403:L406)</f>
        <v>41406</v>
      </c>
      <c r="M408" s="60">
        <f>SUM(J408:L408)</f>
        <v>201565</v>
      </c>
      <c r="N408" s="77">
        <f>SUM(N403:N406)</f>
        <v>44943</v>
      </c>
      <c r="O408" s="77">
        <f>SUM(O403:O406)</f>
        <v>32750</v>
      </c>
      <c r="P408" s="77">
        <f>SUM(P403:P406)</f>
        <v>28126</v>
      </c>
      <c r="Q408" s="60">
        <f>SUM(N408:P408)</f>
        <v>105819</v>
      </c>
      <c r="R408" s="60">
        <f>+E408+I408+M408+Q408</f>
        <v>691001</v>
      </c>
    </row>
    <row r="409" spans="1:18" ht="15.75" customHeight="1" x14ac:dyDescent="0.3">
      <c r="A409" s="79" t="s">
        <v>42</v>
      </c>
      <c r="B409" s="1">
        <f>(B408/B10)/1.983</f>
        <v>283.76685699412752</v>
      </c>
      <c r="C409" s="1">
        <f>(C408/C10)/1.983</f>
        <v>647.82796628484971</v>
      </c>
      <c r="D409" s="1">
        <f>(D408/D10)/1.983</f>
        <v>849.16955411318793</v>
      </c>
      <c r="E409" s="55" t="s">
        <v>7</v>
      </c>
      <c r="F409" s="1">
        <f>(F408/F10)/1.983</f>
        <v>1299.4284753740126</v>
      </c>
      <c r="G409" s="1">
        <f>(G408/G10)/1.983</f>
        <v>1491.4189969580141</v>
      </c>
      <c r="H409" s="1">
        <f>(H408/H10)/1.983</f>
        <v>1832.5264750378215</v>
      </c>
      <c r="I409" s="55" t="s">
        <v>7</v>
      </c>
      <c r="J409" s="1">
        <f>(J408/J10)/1.983</f>
        <v>1382.574463585639</v>
      </c>
      <c r="K409" s="1">
        <f>(K408/K10)/1.983</f>
        <v>1222.7807330047337</v>
      </c>
      <c r="L409" s="1">
        <f>(L408/L10)/1.983</f>
        <v>696.01613716591021</v>
      </c>
      <c r="M409" s="55" t="s">
        <v>7</v>
      </c>
      <c r="N409" s="1">
        <f>(N408/N10)/1.983</f>
        <v>731.10145917719967</v>
      </c>
      <c r="O409" s="1">
        <f>(O408/O10)/1.983</f>
        <v>550.5126912086065</v>
      </c>
      <c r="P409" s="1">
        <f>(P408/P10)/1.983</f>
        <v>457.53420200738532</v>
      </c>
      <c r="Q409" s="55" t="s">
        <v>7</v>
      </c>
      <c r="R409" s="55" t="s">
        <v>7</v>
      </c>
    </row>
    <row r="410" spans="1:18" ht="15.75" customHeight="1" x14ac:dyDescent="0.3">
      <c r="A410" s="79" t="s">
        <v>289</v>
      </c>
      <c r="B410" s="1">
        <f>B408+B457</f>
        <v>33048</v>
      </c>
      <c r="C410" s="1">
        <f>C408+C457</f>
        <v>50414</v>
      </c>
      <c r="D410" s="1">
        <f>D408+D457</f>
        <v>87259</v>
      </c>
      <c r="E410" s="55">
        <f>SUM(B410:D410)</f>
        <v>170721</v>
      </c>
      <c r="F410" s="1">
        <f>F408+F457</f>
        <v>117989</v>
      </c>
      <c r="G410" s="1">
        <f>G408+G457</f>
        <v>132636</v>
      </c>
      <c r="H410" s="1">
        <f>H408+H457</f>
        <v>153372</v>
      </c>
      <c r="I410" s="55">
        <f>SUM(F410:H410)</f>
        <v>403997</v>
      </c>
      <c r="J410" s="1">
        <f>J408+J457</f>
        <v>135299</v>
      </c>
      <c r="K410" s="1">
        <f>K408+K457</f>
        <v>125083</v>
      </c>
      <c r="L410" s="1">
        <f>L408+L457</f>
        <v>72908</v>
      </c>
      <c r="M410" s="55">
        <f>SUM(J410:L410)</f>
        <v>333290</v>
      </c>
      <c r="N410" s="1">
        <f>N408+N457</f>
        <v>64634</v>
      </c>
      <c r="O410" s="1">
        <f>O408+O457</f>
        <v>44002</v>
      </c>
      <c r="P410" s="1">
        <f>P408+P457</f>
        <v>47444</v>
      </c>
      <c r="Q410" s="55">
        <f>SUM(N410:P410)</f>
        <v>156080</v>
      </c>
      <c r="R410" s="55">
        <f>+E410+I410+M410+Q410</f>
        <v>1064088</v>
      </c>
    </row>
    <row r="411" spans="1:18" s="344" customFormat="1" ht="16.5" customHeight="1" thickBot="1" x14ac:dyDescent="0.35">
      <c r="A411" s="356" t="s">
        <v>290</v>
      </c>
      <c r="B411" s="357">
        <f>(B410/B10)/1.983</f>
        <v>537.60187399346046</v>
      </c>
      <c r="C411" s="357">
        <f>(C410/C10)/1.983</f>
        <v>907.96772566817947</v>
      </c>
      <c r="D411" s="357">
        <f>(D410/D10)/1.983</f>
        <v>1419.4687098400925</v>
      </c>
      <c r="E411" s="358" t="s">
        <v>7</v>
      </c>
      <c r="F411" s="357">
        <f>(F410/F10)/1.983</f>
        <v>1983.3417381072447</v>
      </c>
      <c r="G411" s="357">
        <f>(G410/G10)/1.983</f>
        <v>2157.630179103021</v>
      </c>
      <c r="H411" s="357">
        <f>(H410/H10)/1.983</f>
        <v>2578.1139687342406</v>
      </c>
      <c r="I411" s="358" t="s">
        <v>7</v>
      </c>
      <c r="J411" s="357">
        <f>(J410/J10)/1.983</f>
        <v>2200.9500105737475</v>
      </c>
      <c r="K411" s="357">
        <f>(K410/K10)/1.983</f>
        <v>2034.7632293852585</v>
      </c>
      <c r="L411" s="357">
        <f>(L410/L10)/1.983</f>
        <v>1225.5505126912087</v>
      </c>
      <c r="M411" s="358" t="s">
        <v>7</v>
      </c>
      <c r="N411" s="357">
        <f>(N410/N10)/1.983</f>
        <v>1051.4209490345354</v>
      </c>
      <c r="O411" s="357">
        <f>(O410/O10)/1.983</f>
        <v>739.65372331484275</v>
      </c>
      <c r="P411" s="357">
        <f>(P410/P10)/1.983</f>
        <v>771.78598734403715</v>
      </c>
      <c r="Q411" s="358" t="s">
        <v>7</v>
      </c>
      <c r="R411" s="358" t="s">
        <v>7</v>
      </c>
    </row>
    <row r="412" spans="1:18" ht="15.75" customHeight="1" x14ac:dyDescent="0.3">
      <c r="A412" s="120" t="s">
        <v>291</v>
      </c>
      <c r="B412" s="121">
        <f>B$413+(SUMIF($T$283:$T$388,"FLG",B$290:B$405)/B10/1.98)+(SUMIF($T$283:$T$388,"FCA",B$290:B$405)/B10/1.98)+(SUMIF($T$283:$T$388,"NSC",B$290:B$405)/B10/1.98)</f>
        <v>287.96665596968171</v>
      </c>
      <c r="C412" s="121">
        <f>C$413+(SUMIF($T$283:$T$388,"FLG",C$290:C$405)/C10/1.98)+(SUMIF($T$283:$T$388,"FCA",C$290:C$405)/C10/1.98)+(SUMIF($T$283:$T$388,"NSC",C$290:C$405)/C10/1.98)</f>
        <v>326.75231349588387</v>
      </c>
      <c r="D412" s="121">
        <f>D$413+(SUMIF($T$283:$T$388,"FLG",D$290:D$405)/D10/1.98)+(SUMIF($T$283:$T$388,"FCA",D$290:D$405)/D10/1.98)+(SUMIF($T$283:$T$388,"NSC",D$290:D$405)/D10/1.98)</f>
        <v>630.92150828474087</v>
      </c>
      <c r="E412" s="122"/>
      <c r="F412" s="121">
        <f>F$413+(SUMIF($T$283:$T$388,"FLG",F$290:F$405)/F10/1.98)+(SUMIF($T$283:$T$388,"FCA",F$290:F$405)/F10/1.98)+(SUMIF($T$283:$T$388,"NSC",F$290:F$405)/F10/1.98)</f>
        <v>827.398111218081</v>
      </c>
      <c r="G412" s="121">
        <f>G$413+(SUMIF($T$283:$T$388,"FLG",G$290:G$405)/G10/1.98)+(SUMIF($T$283:$T$388,"FCA",G$290:G$405)/G10/1.98)+(SUMIF($T$283:$T$388,"NSC",G$290:G$405)/G10/1.98)</f>
        <v>858.01633040176785</v>
      </c>
      <c r="H412" s="121">
        <f>H$413+(SUMIF($T$283:$T$388,"FLG",H$290:H$405)/H10/1.98)+(SUMIF($T$283:$T$388,"FCA",H$290:H$405)/H10/1.98)+(SUMIF($T$283:$T$388,"NSC",H$290:H$405)/H10/1.98)</f>
        <v>931.74910985803569</v>
      </c>
      <c r="I412" s="45"/>
      <c r="J412" s="121">
        <f>J$413+(SUMIF($T$283:$T$388,"FLG",J$290:J$405)/J10/1.98)+(SUMIF($T$283:$T$388,"FCA",J$290:J$405)/J10/1.98)+(SUMIF($T$283:$T$388,"NSC",J$290:J$405)/J10/1.98)</f>
        <v>901.48079299658036</v>
      </c>
      <c r="K412" s="121">
        <f>K$413+(SUMIF($T$283:$T$388,"FLG",K$290:K$405)/K10/1.98)+(SUMIF($T$283:$T$388,"FCA",K$290:K$405)/K10/1.98)+(SUMIF($T$283:$T$388,"NSC",K$290:K$405)/K10/1.98)</f>
        <v>940.281616615129</v>
      </c>
      <c r="L412" s="121">
        <f>L$413+(SUMIF($T$283:$T$388,"FLG",L$290:L$405)/L10/1.98)+(SUMIF($T$283:$T$388,"FCA",L$290:L$405)/L10/1.98)+(SUMIF($T$283:$T$388,"NSC",L$290:L$405)/L10/1.98)</f>
        <v>591.15053714145995</v>
      </c>
      <c r="M412" s="45"/>
      <c r="N412" s="121">
        <f>N$413+(SUMIF($T$283:$T$388,"FLG",N$290:N$405)/N10/1.98)+(SUMIF($T$283:$T$388,"FCA",N$290:N$405)/N10/1.98)+(SUMIF($T$283:$T$388,"NSC",N$290:N$405)/N10/1.98)</f>
        <v>355.52639764488868</v>
      </c>
      <c r="O412" s="121">
        <f>O$413+(SUMIF($T$283:$T$388,"FLG",O$290:O$405)/O10/1.98)+(SUMIF($T$283:$T$388,"FCA",O$290:O$405)/O10/1.98)+(SUMIF($T$283:$T$388,"NSC",O$290:O$405)/O10/1.98)</f>
        <v>202.35652032172456</v>
      </c>
      <c r="P412" s="121">
        <f>P$413+(SUMIF($T$283:$T$388,"FLG",P$290:P$405)/P10/1.98)+(SUMIF($T$283:$T$388,"FCA",P$290:P$405)/P10/1.98)+(SUMIF($T$283:$T$388,"NSC",P$290:P$405)/P10/1.98)</f>
        <v>316.1416517426473</v>
      </c>
      <c r="Q412" s="45"/>
      <c r="R412" s="45"/>
    </row>
    <row r="413" spans="1:18" ht="15.75" customHeight="1" x14ac:dyDescent="0.3">
      <c r="A413" s="120" t="s">
        <v>292</v>
      </c>
      <c r="B413" s="121">
        <f>B$414+(SUMIF($T$283:$T$388,"FCI",B$290:B$405)/B10/1.98)+(SUMIF($T$283:$T$388,"FCC",B$290:B$405)/B10/1.98)</f>
        <v>287.96665596968171</v>
      </c>
      <c r="C413" s="121">
        <f>C$414+(SUMIF($T$283:$T$388,"FCI",C$290:C$405)/C10/1.98)+(SUMIF($T$283:$T$388,"FCC",C$290:C$405)/C10/1.98)</f>
        <v>326.75231349588387</v>
      </c>
      <c r="D413" s="121">
        <f>D$414+(SUMIF($T$283:$T$388,"FCI",D$290:D$405)/D10/1.98)+(SUMIF($T$283:$T$388,"FCC",D$290:D$405)/D10/1.98)</f>
        <v>630.92150828474087</v>
      </c>
      <c r="E413" s="122"/>
      <c r="F413" s="121">
        <f>F$414+(SUMIF($T$283:$T$388,"FCI",F$290:F$405)/F10/1.98)+(SUMIF($T$283:$T$388,"FCC",F$290:F$405)/F10/1.98)</f>
        <v>827.398111218081</v>
      </c>
      <c r="G413" s="121">
        <f>G$414+(SUMIF($T$283:$T$388,"FCI",G$290:G$405)/G10/1.98)+(SUMIF($T$283:$T$388,"FCC",G$290:G$405)/G10/1.98)</f>
        <v>858.01633040176785</v>
      </c>
      <c r="H413" s="121">
        <f>H$414+(SUMIF($T$283:$T$388,"FCI",H$290:H$405)/H10/1.98)+(SUMIF($T$283:$T$388,"FCC",H$290:H$405)/H10/1.98)</f>
        <v>931.74910985803569</v>
      </c>
      <c r="I413" s="45"/>
      <c r="J413" s="121">
        <f>J$414+(SUMIF($T$283:$T$388,"FCI",J$290:J$405)/J10/1.98)+(SUMIF($T$283:$T$388,"FCC",J$290:J$405)/J10/1.98)</f>
        <v>901.48079299658036</v>
      </c>
      <c r="K413" s="121">
        <f>K$414+(SUMIF($T$283:$T$388,"FCI",K$290:K$405)/K10/1.98)+(SUMIF($T$283:$T$388,"FCC",K$290:K$405)/K10/1.98)</f>
        <v>940.281616615129</v>
      </c>
      <c r="L413" s="121">
        <f>L$414+(SUMIF($T$283:$T$388,"FCI",L$290:L$405)/L10/1.98)+(SUMIF($T$283:$T$388,"FCC",L$290:L$405)/L10/1.98)</f>
        <v>591.15053714145995</v>
      </c>
      <c r="M413" s="45"/>
      <c r="N413" s="121">
        <f>N$414+(SUMIF($T$283:$T$388,"FCI",N$290:N$405)/N10/1.98)+(SUMIF($T$283:$T$388,"FCC",N$290:N$405)/N10/1.98)</f>
        <v>355.52639764488868</v>
      </c>
      <c r="O413" s="121">
        <f>O$414+(SUMIF($T$283:$T$388,"FCI",O$290:O$405)/O10/1.98)+(SUMIF($T$283:$T$388,"FCC",O$290:O$405)/O10/1.98)</f>
        <v>202.35652032172456</v>
      </c>
      <c r="P413" s="121">
        <f>P$414+(SUMIF($T$283:$T$388,"FCI",P$290:P$405)/P10/1.98)+(SUMIF($T$283:$T$388,"FCC",P$290:P$405)/P10/1.98)</f>
        <v>316.1416517426473</v>
      </c>
      <c r="Q413" s="45"/>
      <c r="R413" s="45"/>
    </row>
    <row r="414" spans="1:18" ht="15.75" customHeight="1" x14ac:dyDescent="0.3">
      <c r="A414" s="120" t="s">
        <v>293</v>
      </c>
      <c r="B414" s="121">
        <f>B$415+(SUMIF($T$283:$T$388,"PIL",B$290:B$405)/B10/1.98)+(SUMIF($T$283:$T$388,"KLK",B$290:B$405)/B10/1.98)</f>
        <v>287.96665596968171</v>
      </c>
      <c r="C414" s="121">
        <f>C$415+(SUMIF($T$283:$T$388,"PIL",C$290:C$405)/C10/1.98)+(SUMIF($T$283:$T$388,"KLK",C$290:C$405)/C10/1.98)</f>
        <v>326.75231349588387</v>
      </c>
      <c r="D414" s="121">
        <f>D$415+(SUMIF($T$283:$T$388,"PIL",D$290:D$405)/D10/1.98)+(SUMIF($T$283:$T$388,"KLK",D$290:D$405)/D10/1.98)</f>
        <v>630.92150828474087</v>
      </c>
      <c r="E414" s="122"/>
      <c r="F414" s="121">
        <f>F$415+(SUMIF($T$283:$T$388,"PIL",F$290:F$405)/F10/1.98)+(SUMIF($T$283:$T$388,"KLK",F$290:F$405)/F10/1.98)</f>
        <v>827.398111218081</v>
      </c>
      <c r="G414" s="121">
        <f>G$415+(SUMIF($T$283:$T$388,"PIL",G$290:G$405)/G10/1.98)+(SUMIF($T$283:$T$388,"KLK",G$290:G$405)/G10/1.98)</f>
        <v>858.01633040176785</v>
      </c>
      <c r="H414" s="121">
        <f>H$415+(SUMIF($T$283:$T$388,"PIL",H$290:H$405)/H10/1.98)+(SUMIF($T$283:$T$388,"KLK",H$290:H$405)/H10/1.98)</f>
        <v>931.74910985803569</v>
      </c>
      <c r="I414" s="45"/>
      <c r="J414" s="121">
        <f>J$415+(SUMIF($T$283:$T$388,"PIL",J$290:J$405)/J10/1.98)+(SUMIF($T$283:$T$388,"KLK",J$290:J$405)/J10/1.98)</f>
        <v>901.48079299658036</v>
      </c>
      <c r="K414" s="121">
        <f>K$415+(SUMIF($T$283:$T$388,"PIL",K$290:K$405)/K10/1.98)+(SUMIF($T$283:$T$388,"KLK",K$290:K$405)/K10/1.98)</f>
        <v>940.281616615129</v>
      </c>
      <c r="L414" s="121">
        <f>L$415+(SUMIF($T$283:$T$388,"PIL",L$290:L$405)/L10/1.98)+(SUMIF($T$283:$T$388,"KLK",L$290:L$405)/L10/1.98)</f>
        <v>591.15053714145995</v>
      </c>
      <c r="M414" s="45"/>
      <c r="N414" s="121">
        <f>N$415+(SUMIF($T$283:$T$388,"PIL",N$290:N$405)/N10/1.98)+(SUMIF($T$283:$T$388,"KLK",N$290:N$405)/N10/1.98)</f>
        <v>355.52639764488868</v>
      </c>
      <c r="O414" s="121">
        <f>O$415+(SUMIF($T$283:$T$388,"PIL",O$290:O$405)/O10/1.98)+(SUMIF($T$283:$T$388,"KLK",O$290:O$405)/O10/1.98)</f>
        <v>202.35652032172456</v>
      </c>
      <c r="P414" s="121">
        <f>P$415+(SUMIF($T$283:$T$388,"PIL",P$290:P$405)/P10/1.98)+(SUMIF($T$283:$T$388,"KLK",P$290:P$405)/P10/1.98)</f>
        <v>316.1416517426473</v>
      </c>
      <c r="Q414" s="45"/>
      <c r="R414" s="45"/>
    </row>
    <row r="415" spans="1:18" ht="15.75" customHeight="1" x14ac:dyDescent="0.3">
      <c r="A415" s="120" t="s">
        <v>294</v>
      </c>
      <c r="B415" s="121">
        <f>B$416+(SUMIF($T$283:$T$388,"CGE",B$290:B$405)/B10/1.98)</f>
        <v>287.96665596968171</v>
      </c>
      <c r="C415" s="121">
        <f>C$416+(SUMIF($T$283:$T$388,"CGE",C$290:C$405)/C10/1.98)</f>
        <v>326.75231349588387</v>
      </c>
      <c r="D415" s="121">
        <f>D$416+(SUMIF($T$283:$T$388,"CGE",D$290:D$405)/D10/1.98)</f>
        <v>630.92150828474087</v>
      </c>
      <c r="E415" s="122"/>
      <c r="F415" s="121">
        <f>F$416+(SUMIF($T$283:$T$388,"CGE",F$290:F$405)/F10/1.98)</f>
        <v>827.398111218081</v>
      </c>
      <c r="G415" s="121">
        <f>G$416+(SUMIF($T$283:$T$388,"CGE",G$290:G$405)/G10/1.98)</f>
        <v>858.01633040176785</v>
      </c>
      <c r="H415" s="121">
        <f>H$416+(SUMIF($T$283:$T$388,"CGE",H$290:H$405)/H10/1.98)</f>
        <v>931.74910985803569</v>
      </c>
      <c r="I415" s="45"/>
      <c r="J415" s="121">
        <f>J$416+(SUMIF($T$283:$T$388,"CGE",J$290:J$405)/J10/1.98)</f>
        <v>901.48079299658036</v>
      </c>
      <c r="K415" s="121">
        <f>K$416+(SUMIF($T$283:$T$388,"CGE",K$290:K$405)/K10/1.98)</f>
        <v>940.281616615129</v>
      </c>
      <c r="L415" s="121">
        <f>L$416+(SUMIF($T$283:$T$388,"CGE",L$290:L$405)/L10/1.98)</f>
        <v>591.15053714145995</v>
      </c>
      <c r="M415" s="45"/>
      <c r="N415" s="121">
        <f>N$416+(SUMIF($T$283:$T$388,"CGE",N$290:N$405)/N10/1.98)</f>
        <v>355.52639764488868</v>
      </c>
      <c r="O415" s="121">
        <f>O$416+(SUMIF($T$283:$T$388,"CGE",O$290:O$405)/O10/1.98)</f>
        <v>202.35652032172456</v>
      </c>
      <c r="P415" s="121">
        <f>P$416+(SUMIF($T$283:$T$388,"CGE",P$290:P$405)/P10/1.98)</f>
        <v>316.1416517426473</v>
      </c>
      <c r="Q415" s="45"/>
      <c r="R415" s="45"/>
    </row>
    <row r="416" spans="1:18" ht="15.75" customHeight="1" x14ac:dyDescent="0.3">
      <c r="A416" s="120" t="s">
        <v>295</v>
      </c>
      <c r="B416" s="121">
        <f>B$417+(SUMIF($T$283:$T$388,"SRO",B$290:B$405)/B10/1.98)</f>
        <v>287.96665596968171</v>
      </c>
      <c r="C416" s="121">
        <f>C$417+(SUMIF($T$283:$T$388,"SRO",C$290:C$405)/C10/1.98)</f>
        <v>326.75231349588387</v>
      </c>
      <c r="D416" s="121">
        <f>D$417+(SUMIF($T$283:$T$388,"SRO",D$290:D$405)/D10/1.98)</f>
        <v>630.92150828474087</v>
      </c>
      <c r="E416" s="122"/>
      <c r="F416" s="121">
        <f>F$417+(SUMIF($T$283:$T$388,"SRO",F$290:F$405)/F10/1.98)</f>
        <v>827.398111218081</v>
      </c>
      <c r="G416" s="121">
        <f>G$417+(SUMIF($T$283:$T$388,"SRO",G$290:G$405)/G10/1.98)</f>
        <v>858.01633040176785</v>
      </c>
      <c r="H416" s="121">
        <f>H$417+(SUMIF($T$283:$T$388,"SRO",H$290:H$405)/H10/1.98)</f>
        <v>931.74910985803569</v>
      </c>
      <c r="I416" s="45"/>
      <c r="J416" s="121">
        <f>J$417+(SUMIF($T$283:$T$388,"SRO",J$290:J$405)/J10/1.98)</f>
        <v>901.36674933414963</v>
      </c>
      <c r="K416" s="121">
        <f>K$417+(SUMIF($T$283:$T$388,"SRO",K$290:K$405)/K10/1.98)</f>
        <v>939.54847878521696</v>
      </c>
      <c r="L416" s="121">
        <f>L$417+(SUMIF($T$283:$T$388,"SRO",L$290:L$405)/L10/1.98)</f>
        <v>591.15053714145995</v>
      </c>
      <c r="M416" s="45"/>
      <c r="N416" s="121">
        <f>N$417+(SUMIF($T$283:$T$388,"SRO",N$290:N$405)/N10/1.98)</f>
        <v>355.52639764488868</v>
      </c>
      <c r="O416" s="121">
        <f>O$417+(SUMIF($T$283:$T$388,"SRO",O$290:O$405)/O10/1.98)</f>
        <v>202.35652032172456</v>
      </c>
      <c r="P416" s="121">
        <f>P$417+(SUMIF($T$283:$T$388,"SRO",P$290:P$405)/P10/1.98)</f>
        <v>316.1416517426473</v>
      </c>
      <c r="Q416" s="45"/>
      <c r="R416" s="45"/>
    </row>
    <row r="417" spans="1:20" ht="15.75" customHeight="1" x14ac:dyDescent="0.3">
      <c r="A417" s="120" t="s">
        <v>296</v>
      </c>
      <c r="B417" s="121">
        <f>B$457/B10/1.983</f>
        <v>253.83501699933305</v>
      </c>
      <c r="C417" s="121">
        <f>C$457/C10/1.983</f>
        <v>260.13975938332976</v>
      </c>
      <c r="D417" s="121">
        <f>D$457/D10/1.983</f>
        <v>570.29915572690447</v>
      </c>
      <c r="E417" s="123"/>
      <c r="F417" s="121">
        <f>F$457/F10/1.983</f>
        <v>683.9132627332325</v>
      </c>
      <c r="G417" s="121">
        <f>G$457/G10/1.983</f>
        <v>666.21118214500666</v>
      </c>
      <c r="H417" s="121">
        <f>H$457/H10/1.983</f>
        <v>745.58749369641953</v>
      </c>
      <c r="I417" s="1"/>
      <c r="J417" s="121">
        <f>J$457/J10/1.983</f>
        <v>818.37554698810857</v>
      </c>
      <c r="K417" s="121">
        <f>K$457/K10/1.983</f>
        <v>811.98249638052482</v>
      </c>
      <c r="L417" s="121">
        <f>L$457/L10/1.983</f>
        <v>529.53437552529829</v>
      </c>
      <c r="N417" s="121">
        <f>N$457/N10/1.983</f>
        <v>320.31948985733572</v>
      </c>
      <c r="O417" s="121">
        <f>O$457/O10/1.983</f>
        <v>189.14103210623634</v>
      </c>
      <c r="P417" s="121">
        <f>P$457/P10/1.983</f>
        <v>314.25178533665184</v>
      </c>
      <c r="R417" s="45"/>
    </row>
    <row r="418" spans="1:20" ht="15.75" customHeight="1" x14ac:dyDescent="0.3">
      <c r="A418" s="120"/>
      <c r="B418" s="121"/>
      <c r="C418" s="121"/>
      <c r="D418" s="121"/>
      <c r="E418" s="123"/>
      <c r="F418" s="121"/>
      <c r="G418" s="121"/>
      <c r="H418" s="121"/>
      <c r="I418" s="1"/>
      <c r="J418" s="121"/>
      <c r="K418" s="121"/>
      <c r="L418" s="121"/>
      <c r="N418" s="121"/>
      <c r="O418" s="121"/>
      <c r="P418" s="121"/>
      <c r="R418" s="45"/>
    </row>
    <row r="419" spans="1:20" ht="15.75" customHeight="1" thickBot="1" x14ac:dyDescent="0.35">
      <c r="A419" s="28"/>
      <c r="B419" s="1"/>
      <c r="C419" s="1"/>
      <c r="D419" s="1"/>
      <c r="E419" s="1"/>
      <c r="F419" s="1"/>
      <c r="G419" s="1"/>
      <c r="H419" s="1"/>
      <c r="I419" s="1"/>
      <c r="J419" s="1"/>
      <c r="K419" s="1"/>
      <c r="L419" s="1"/>
      <c r="M419" s="1"/>
      <c r="N419" s="1"/>
      <c r="O419" s="1"/>
      <c r="P419" s="1"/>
      <c r="Q419" s="1"/>
      <c r="R419" s="2"/>
    </row>
    <row r="420" spans="1:20" ht="16.5" customHeight="1" thickBot="1" x14ac:dyDescent="0.35">
      <c r="A420" s="29" t="s">
        <v>297</v>
      </c>
      <c r="B420" s="30" t="s">
        <v>8</v>
      </c>
      <c r="C420" s="31" t="s">
        <v>9</v>
      </c>
      <c r="D420" s="31" t="s">
        <v>10</v>
      </c>
      <c r="E420" s="32" t="s">
        <v>11</v>
      </c>
      <c r="F420" s="31" t="s">
        <v>12</v>
      </c>
      <c r="G420" s="31" t="s">
        <v>13</v>
      </c>
      <c r="H420" s="31" t="s">
        <v>14</v>
      </c>
      <c r="I420" s="33" t="s">
        <v>15</v>
      </c>
      <c r="J420" s="31" t="s">
        <v>16</v>
      </c>
      <c r="K420" s="31" t="s">
        <v>17</v>
      </c>
      <c r="L420" s="31" t="s">
        <v>18</v>
      </c>
      <c r="M420" s="33" t="s">
        <v>19</v>
      </c>
      <c r="N420" s="31" t="s">
        <v>20</v>
      </c>
      <c r="O420" s="31" t="s">
        <v>21</v>
      </c>
      <c r="P420" s="31" t="s">
        <v>22</v>
      </c>
      <c r="Q420" s="33" t="s">
        <v>23</v>
      </c>
      <c r="R420" s="34" t="s">
        <v>24</v>
      </c>
    </row>
    <row r="421" spans="1:20" ht="16.5" customHeight="1" thickBot="1" x14ac:dyDescent="0.35">
      <c r="A421" s="59"/>
      <c r="B421" s="75"/>
      <c r="C421" s="75"/>
      <c r="D421" s="75"/>
      <c r="E421" s="69"/>
      <c r="F421" s="75"/>
      <c r="G421" s="75"/>
      <c r="H421" s="75"/>
      <c r="I421" s="82"/>
      <c r="J421" s="75"/>
      <c r="K421" s="75"/>
      <c r="L421" s="75"/>
      <c r="M421" s="82"/>
      <c r="N421" s="75"/>
      <c r="O421" s="75"/>
      <c r="P421" s="75"/>
      <c r="Q421" s="82"/>
      <c r="R421" s="100"/>
    </row>
    <row r="422" spans="1:20" ht="15.75" customHeight="1" x14ac:dyDescent="0.3">
      <c r="A422" s="15" t="s">
        <v>48</v>
      </c>
      <c r="B422" s="1" t="s">
        <v>7</v>
      </c>
      <c r="C422" s="1" t="s">
        <v>7</v>
      </c>
      <c r="D422" s="1" t="s">
        <v>7</v>
      </c>
      <c r="E422" s="55" t="s">
        <v>7</v>
      </c>
      <c r="F422" s="1" t="s">
        <v>7</v>
      </c>
      <c r="G422" s="1" t="s">
        <v>7</v>
      </c>
      <c r="H422" s="1" t="s">
        <v>7</v>
      </c>
      <c r="I422" s="55" t="s">
        <v>7</v>
      </c>
      <c r="J422" s="1" t="s">
        <v>7</v>
      </c>
      <c r="K422" s="1" t="s">
        <v>7</v>
      </c>
      <c r="L422" s="1" t="s">
        <v>7</v>
      </c>
      <c r="M422" s="55" t="s">
        <v>7</v>
      </c>
      <c r="N422" s="1" t="s">
        <v>7</v>
      </c>
      <c r="O422" s="1" t="s">
        <v>7</v>
      </c>
      <c r="P422" s="1" t="s">
        <v>7</v>
      </c>
      <c r="Q422" s="55" t="s">
        <v>7</v>
      </c>
      <c r="R422" s="55" t="s">
        <v>7</v>
      </c>
    </row>
    <row r="423" spans="1:20" ht="15.75" customHeight="1" x14ac:dyDescent="0.3">
      <c r="A423" s="15" t="s">
        <v>49</v>
      </c>
      <c r="B423" s="1"/>
      <c r="C423" s="1"/>
      <c r="D423" s="1"/>
      <c r="E423" s="55" t="s">
        <v>7</v>
      </c>
      <c r="F423" s="1"/>
      <c r="G423" s="1"/>
      <c r="H423" s="1"/>
      <c r="I423" s="55" t="s">
        <v>7</v>
      </c>
      <c r="J423" s="1"/>
      <c r="K423" s="1"/>
      <c r="L423" s="1"/>
      <c r="M423" s="55" t="s">
        <v>7</v>
      </c>
      <c r="N423" s="1"/>
      <c r="O423" s="1"/>
      <c r="P423" s="1"/>
      <c r="Q423" s="55" t="s">
        <v>7</v>
      </c>
      <c r="R423" s="55" t="s">
        <v>7</v>
      </c>
    </row>
    <row r="424" spans="1:20" ht="15.75" customHeight="1" x14ac:dyDescent="0.3">
      <c r="A424" s="71" t="s">
        <v>979</v>
      </c>
      <c r="B424" s="1"/>
      <c r="C424" s="1"/>
      <c r="D424" s="1"/>
      <c r="E424" s="55">
        <f>SUM(B424:D424)</f>
        <v>0</v>
      </c>
      <c r="F424" s="1"/>
      <c r="G424" s="1"/>
      <c r="H424" s="1"/>
      <c r="I424" s="55">
        <f>SUM(F424:H424)</f>
        <v>0</v>
      </c>
      <c r="J424" s="1"/>
      <c r="K424" s="1"/>
      <c r="L424" s="1"/>
      <c r="M424" s="55">
        <f>SUM(J424:L424)</f>
        <v>0</v>
      </c>
      <c r="N424" s="1"/>
      <c r="O424" s="1"/>
      <c r="P424" s="1"/>
      <c r="Q424" s="55">
        <f>SUM(N424:P424)</f>
        <v>0</v>
      </c>
      <c r="R424" s="55">
        <f>+E424+I424+M424+Q424</f>
        <v>0</v>
      </c>
      <c r="T424" s="4" t="s">
        <v>938</v>
      </c>
    </row>
    <row r="425" spans="1:20" ht="15.75" customHeight="1" x14ac:dyDescent="0.3">
      <c r="A425" s="72" t="s">
        <v>981</v>
      </c>
      <c r="B425" s="1"/>
      <c r="C425" s="1"/>
      <c r="D425" s="1"/>
      <c r="E425" s="55">
        <f>SUM(B425:D425)</f>
        <v>0</v>
      </c>
      <c r="F425" s="1"/>
      <c r="G425" s="1"/>
      <c r="H425" s="1"/>
      <c r="I425" s="55">
        <f>SUM(F425:H425)</f>
        <v>0</v>
      </c>
      <c r="J425" s="1"/>
      <c r="K425" s="1"/>
      <c r="L425" s="1"/>
      <c r="M425" s="55">
        <f>SUM(J425:L425)</f>
        <v>0</v>
      </c>
      <c r="N425" s="1"/>
      <c r="O425" s="1"/>
      <c r="P425" s="1"/>
      <c r="Q425" s="55">
        <f>SUM(N425:P425)</f>
        <v>0</v>
      </c>
      <c r="R425" s="55">
        <f>+E425+I425+M425+Q425</f>
        <v>0</v>
      </c>
      <c r="T425" s="4" t="s">
        <v>938</v>
      </c>
    </row>
    <row r="426" spans="1:20" ht="15.75" customHeight="1" x14ac:dyDescent="0.3">
      <c r="A426" s="15" t="s">
        <v>50</v>
      </c>
      <c r="B426" s="1"/>
      <c r="C426" s="1"/>
      <c r="D426" s="1"/>
      <c r="E426" s="55" t="s">
        <v>7</v>
      </c>
      <c r="F426" s="1"/>
      <c r="G426" s="1"/>
      <c r="H426" s="1"/>
      <c r="I426" s="55" t="s">
        <v>7</v>
      </c>
      <c r="J426" s="1"/>
      <c r="K426" s="1"/>
      <c r="L426" s="1"/>
      <c r="M426" s="55" t="s">
        <v>7</v>
      </c>
      <c r="N426" s="1"/>
      <c r="O426" s="1"/>
      <c r="P426" s="1"/>
      <c r="Q426" s="55" t="s">
        <v>7</v>
      </c>
      <c r="R426" s="55" t="s">
        <v>7</v>
      </c>
    </row>
    <row r="427" spans="1:20" ht="15.75" customHeight="1" x14ac:dyDescent="0.3">
      <c r="A427" s="71" t="s">
        <v>211</v>
      </c>
      <c r="B427" s="1"/>
      <c r="C427" s="1"/>
      <c r="D427" s="1"/>
      <c r="E427" s="55">
        <f>SUM(B427:D427)</f>
        <v>0</v>
      </c>
      <c r="F427" s="1"/>
      <c r="G427" s="1"/>
      <c r="H427" s="1"/>
      <c r="I427" s="55">
        <f>SUM(F427:H427)</f>
        <v>0</v>
      </c>
      <c r="J427" s="1"/>
      <c r="K427" s="1"/>
      <c r="L427" s="1"/>
      <c r="M427" s="55">
        <f>SUM(J427:L427)</f>
        <v>0</v>
      </c>
      <c r="N427" s="1"/>
      <c r="O427" s="1"/>
      <c r="P427" s="1"/>
      <c r="Q427" s="55">
        <f>SUM(N427:P427)</f>
        <v>0</v>
      </c>
      <c r="R427" s="55">
        <f>+E427+I427+M427+Q427</f>
        <v>0</v>
      </c>
    </row>
    <row r="428" spans="1:20" ht="15.75" customHeight="1" x14ac:dyDescent="0.3">
      <c r="A428" s="71" t="s">
        <v>758</v>
      </c>
      <c r="B428" s="1"/>
      <c r="C428" s="1"/>
      <c r="D428" s="1"/>
      <c r="E428" s="55">
        <f>SUM(B428:D428)</f>
        <v>0</v>
      </c>
      <c r="F428" s="1"/>
      <c r="G428" s="1"/>
      <c r="H428" s="1"/>
      <c r="I428" s="55">
        <f>SUM(F428:H428)</f>
        <v>0</v>
      </c>
      <c r="J428" s="1"/>
      <c r="K428" s="1"/>
      <c r="L428" s="1"/>
      <c r="M428" s="55">
        <f>SUM(J428:L428)</f>
        <v>0</v>
      </c>
      <c r="N428" s="1"/>
      <c r="O428" s="1"/>
      <c r="P428" s="1"/>
      <c r="Q428" s="55">
        <f>SUM(N428:P428)</f>
        <v>0</v>
      </c>
      <c r="R428" s="55">
        <f>+E428+I428+M428+Q428</f>
        <v>0</v>
      </c>
    </row>
    <row r="429" spans="1:20" ht="15.75" customHeight="1" x14ac:dyDescent="0.3">
      <c r="A429" s="71" t="s">
        <v>298</v>
      </c>
      <c r="B429" s="1"/>
      <c r="C429" s="1"/>
      <c r="D429" s="1">
        <v>2</v>
      </c>
      <c r="E429" s="55">
        <f>SUM(B429:D429)</f>
        <v>2</v>
      </c>
      <c r="F429" s="1"/>
      <c r="G429" s="1"/>
      <c r="H429" s="1"/>
      <c r="I429" s="55">
        <f>SUM(F429:H429)</f>
        <v>0</v>
      </c>
      <c r="J429" s="1">
        <v>1</v>
      </c>
      <c r="K429" s="1"/>
      <c r="L429" s="1"/>
      <c r="M429" s="55">
        <f>SUM(J429:L429)</f>
        <v>1</v>
      </c>
      <c r="N429" s="1"/>
      <c r="O429" s="1"/>
      <c r="P429" s="1"/>
      <c r="Q429" s="55">
        <f>SUM(N429:P429)</f>
        <v>0</v>
      </c>
      <c r="R429" s="55">
        <f>+E429+I429+M429+Q429</f>
        <v>3</v>
      </c>
    </row>
    <row r="430" spans="1:20" ht="15.75" customHeight="1" x14ac:dyDescent="0.3">
      <c r="A430" s="15" t="s">
        <v>51</v>
      </c>
      <c r="B430" s="1"/>
      <c r="C430" s="1"/>
      <c r="D430" s="1"/>
      <c r="E430" s="55" t="s">
        <v>7</v>
      </c>
      <c r="F430" s="1"/>
      <c r="G430" s="1"/>
      <c r="H430" s="1"/>
      <c r="I430" s="55" t="s">
        <v>7</v>
      </c>
      <c r="J430" s="1"/>
      <c r="K430" s="1"/>
      <c r="L430" s="1"/>
      <c r="M430" s="55" t="s">
        <v>7</v>
      </c>
      <c r="N430" s="1"/>
      <c r="O430" s="1"/>
      <c r="P430" s="1"/>
      <c r="Q430" s="55" t="s">
        <v>7</v>
      </c>
      <c r="R430" s="55" t="s">
        <v>7</v>
      </c>
    </row>
    <row r="431" spans="1:20" ht="15.75" customHeight="1" thickBot="1" x14ac:dyDescent="0.35">
      <c r="A431" s="15" t="s">
        <v>53</v>
      </c>
      <c r="B431" s="1"/>
      <c r="C431" s="1"/>
      <c r="D431" s="1"/>
      <c r="E431" s="55" t="s">
        <v>7</v>
      </c>
      <c r="F431" s="1"/>
      <c r="G431" s="1"/>
      <c r="H431" s="1"/>
      <c r="I431" s="55" t="s">
        <v>7</v>
      </c>
      <c r="J431" s="1"/>
      <c r="K431" s="1"/>
      <c r="L431" s="1"/>
      <c r="M431" s="55" t="s">
        <v>7</v>
      </c>
      <c r="N431" s="1"/>
      <c r="O431" s="1"/>
      <c r="P431" s="1"/>
      <c r="Q431" s="55" t="s">
        <v>7</v>
      </c>
      <c r="R431" s="55" t="s">
        <v>7</v>
      </c>
    </row>
    <row r="432" spans="1:20" ht="16.5" customHeight="1" thickBot="1" x14ac:dyDescent="0.35">
      <c r="A432" s="109" t="s">
        <v>54</v>
      </c>
      <c r="B432" s="86">
        <f>SUM(B422:B431)</f>
        <v>0</v>
      </c>
      <c r="C432" s="87">
        <f>SUM(C422:C431)</f>
        <v>0</v>
      </c>
      <c r="D432" s="87">
        <f>SUM(D422:D431)</f>
        <v>2</v>
      </c>
      <c r="E432" s="59">
        <f>SUM(B432:D432)</f>
        <v>2</v>
      </c>
      <c r="F432" s="87">
        <f>SUM(F422:F431)</f>
        <v>0</v>
      </c>
      <c r="G432" s="87">
        <f>SUM(G422:G431)</f>
        <v>0</v>
      </c>
      <c r="H432" s="87">
        <f>SUM(H422:H431)</f>
        <v>0</v>
      </c>
      <c r="I432" s="59">
        <f>SUM(F432:H432)</f>
        <v>0</v>
      </c>
      <c r="J432" s="87">
        <f>SUM(J422:J431)</f>
        <v>1</v>
      </c>
      <c r="K432" s="87">
        <f>SUM(K422:K431)</f>
        <v>0</v>
      </c>
      <c r="L432" s="87">
        <f>SUM(L422:L431)</f>
        <v>0</v>
      </c>
      <c r="M432" s="59">
        <f>SUM(J432:L432)</f>
        <v>1</v>
      </c>
      <c r="N432" s="87">
        <f>SUM(N422:N431)</f>
        <v>0</v>
      </c>
      <c r="O432" s="87">
        <f>SUM(O422:O431)</f>
        <v>0</v>
      </c>
      <c r="P432" s="87">
        <f>SUM(P422:P431)</f>
        <v>0</v>
      </c>
      <c r="Q432" s="59">
        <f>SUM(N432:P432)</f>
        <v>0</v>
      </c>
      <c r="R432" s="59">
        <f>+E432+I432+M432+Q432</f>
        <v>3</v>
      </c>
    </row>
    <row r="433" spans="1:20" ht="15.75" customHeight="1" x14ac:dyDescent="0.3">
      <c r="A433" s="15" t="s">
        <v>55</v>
      </c>
      <c r="B433" s="1"/>
      <c r="C433" s="1"/>
      <c r="D433" s="1"/>
      <c r="E433" s="55" t="s">
        <v>7</v>
      </c>
      <c r="F433" s="1"/>
      <c r="G433" s="1"/>
      <c r="H433" s="1"/>
      <c r="I433" s="55" t="s">
        <v>7</v>
      </c>
      <c r="J433" s="1"/>
      <c r="K433" s="1"/>
      <c r="L433" s="1"/>
      <c r="M433" s="55" t="s">
        <v>7</v>
      </c>
      <c r="N433" s="1" t="s">
        <v>7</v>
      </c>
      <c r="O433" s="1"/>
      <c r="P433" s="1"/>
      <c r="Q433" s="55" t="s">
        <v>7</v>
      </c>
      <c r="R433" s="55" t="s">
        <v>7</v>
      </c>
    </row>
    <row r="434" spans="1:20" ht="15.75" customHeight="1" x14ac:dyDescent="0.3">
      <c r="A434" s="15" t="s">
        <v>57</v>
      </c>
      <c r="B434" s="1"/>
      <c r="C434" s="1"/>
      <c r="D434" s="1"/>
      <c r="E434" s="55" t="s">
        <v>7</v>
      </c>
      <c r="F434" s="1"/>
      <c r="G434" s="1"/>
      <c r="H434" s="1"/>
      <c r="I434" s="55" t="s">
        <v>7</v>
      </c>
      <c r="J434" s="1"/>
      <c r="K434" s="1"/>
      <c r="L434" s="1"/>
      <c r="M434" s="55" t="s">
        <v>7</v>
      </c>
      <c r="N434" s="1"/>
      <c r="O434" s="1"/>
      <c r="P434" s="1"/>
      <c r="Q434" s="55" t="s">
        <v>7</v>
      </c>
      <c r="R434" s="55" t="s">
        <v>7</v>
      </c>
    </row>
    <row r="435" spans="1:20" ht="15.75" customHeight="1" x14ac:dyDescent="0.3">
      <c r="A435" s="71" t="s">
        <v>565</v>
      </c>
      <c r="B435" s="1"/>
      <c r="C435" s="1">
        <v>238</v>
      </c>
      <c r="D435" s="1">
        <v>7581</v>
      </c>
      <c r="E435" s="55">
        <f>SUM(B435:D435)</f>
        <v>7819</v>
      </c>
      <c r="F435" s="1">
        <v>0</v>
      </c>
      <c r="G435" s="1">
        <v>532</v>
      </c>
      <c r="H435" s="1">
        <v>16223</v>
      </c>
      <c r="I435" s="55">
        <f>SUM(F435:H435)</f>
        <v>16755</v>
      </c>
      <c r="J435" s="1">
        <v>19354</v>
      </c>
      <c r="K435" s="1">
        <v>17218</v>
      </c>
      <c r="L435" s="1">
        <v>6815</v>
      </c>
      <c r="M435" s="55">
        <f>SUM(J435:L435)</f>
        <v>43387</v>
      </c>
      <c r="N435" s="1">
        <v>2928</v>
      </c>
      <c r="O435" s="1">
        <v>39</v>
      </c>
      <c r="P435" s="1">
        <v>654</v>
      </c>
      <c r="Q435" s="55">
        <f>SUM(N435:P435)</f>
        <v>3621</v>
      </c>
      <c r="R435" s="55">
        <f>+E435+I435+M435+Q435</f>
        <v>71582</v>
      </c>
    </row>
    <row r="436" spans="1:20" ht="15.75" customHeight="1" thickBot="1" x14ac:dyDescent="0.35">
      <c r="A436" s="15" t="s">
        <v>58</v>
      </c>
      <c r="B436" s="1"/>
      <c r="C436" s="1"/>
      <c r="D436" s="1"/>
      <c r="E436" s="55" t="s">
        <v>7</v>
      </c>
      <c r="F436" s="1"/>
      <c r="G436" s="1"/>
      <c r="H436" s="1"/>
      <c r="I436" s="55" t="s">
        <v>7</v>
      </c>
      <c r="J436" s="1"/>
      <c r="K436" s="1"/>
      <c r="L436" s="1"/>
      <c r="M436" s="55" t="s">
        <v>7</v>
      </c>
      <c r="N436" s="1"/>
      <c r="O436" s="1"/>
      <c r="P436" s="1"/>
      <c r="Q436" s="55" t="s">
        <v>7</v>
      </c>
      <c r="R436" s="55" t="s">
        <v>7</v>
      </c>
    </row>
    <row r="437" spans="1:20" ht="16.5" customHeight="1" thickBot="1" x14ac:dyDescent="0.35">
      <c r="A437" s="57" t="s">
        <v>59</v>
      </c>
      <c r="B437" s="86">
        <f>SUM(B433:B436)</f>
        <v>0</v>
      </c>
      <c r="C437" s="87">
        <f>SUM(C433:C436)</f>
        <v>238</v>
      </c>
      <c r="D437" s="87">
        <f>SUM(D433:D436)</f>
        <v>7581</v>
      </c>
      <c r="E437" s="59">
        <f>SUM(B437:D437)</f>
        <v>7819</v>
      </c>
      <c r="F437" s="87">
        <f>SUM(F433:F436)</f>
        <v>0</v>
      </c>
      <c r="G437" s="87">
        <f>SUM(G433:G436)</f>
        <v>532</v>
      </c>
      <c r="H437" s="87">
        <f>SUM(H433:H436)</f>
        <v>16223</v>
      </c>
      <c r="I437" s="59">
        <f>SUM(F437:H437)</f>
        <v>16755</v>
      </c>
      <c r="J437" s="87">
        <f>SUM(J433:J436)</f>
        <v>19354</v>
      </c>
      <c r="K437" s="87">
        <f>SUM(K433:K436)</f>
        <v>17218</v>
      </c>
      <c r="L437" s="87">
        <f>SUM(L433:L436)</f>
        <v>6815</v>
      </c>
      <c r="M437" s="59">
        <f>SUM(J437:L437)</f>
        <v>43387</v>
      </c>
      <c r="N437" s="87">
        <f>SUM(N433:N436)</f>
        <v>2928</v>
      </c>
      <c r="O437" s="87">
        <f>SUM(O433:O436)</f>
        <v>39</v>
      </c>
      <c r="P437" s="87">
        <f>SUM(P433:P436)</f>
        <v>654</v>
      </c>
      <c r="Q437" s="59">
        <f>SUM(N437:P437)</f>
        <v>3621</v>
      </c>
      <c r="R437" s="59">
        <f>+E437+I437+M437+Q437</f>
        <v>71582</v>
      </c>
    </row>
    <row r="438" spans="1:20" ht="15.75" customHeight="1" x14ac:dyDescent="0.3">
      <c r="A438" s="15" t="s">
        <v>60</v>
      </c>
      <c r="B438" s="1"/>
      <c r="C438" s="1"/>
      <c r="D438" s="1"/>
      <c r="E438" s="55" t="s">
        <v>7</v>
      </c>
      <c r="F438" s="1"/>
      <c r="G438" s="1"/>
      <c r="H438" s="1"/>
      <c r="I438" s="55" t="s">
        <v>7</v>
      </c>
      <c r="J438" s="1"/>
      <c r="K438" s="1"/>
      <c r="L438" s="1"/>
      <c r="M438" s="55" t="s">
        <v>7</v>
      </c>
      <c r="N438" s="1"/>
      <c r="O438" s="1"/>
      <c r="P438" s="1"/>
      <c r="Q438" s="55" t="s">
        <v>7</v>
      </c>
      <c r="R438" s="55" t="s">
        <v>7</v>
      </c>
    </row>
    <row r="439" spans="1:20" ht="15.75" customHeight="1" x14ac:dyDescent="0.3">
      <c r="A439" s="15" t="s">
        <v>61</v>
      </c>
      <c r="B439" s="1"/>
      <c r="C439" s="1"/>
      <c r="D439" s="1"/>
      <c r="E439" s="55" t="s">
        <v>7</v>
      </c>
      <c r="F439" s="1"/>
      <c r="G439" s="1"/>
      <c r="H439" s="1"/>
      <c r="I439" s="55" t="s">
        <v>7</v>
      </c>
      <c r="J439" s="1"/>
      <c r="K439" s="1"/>
      <c r="L439" s="1"/>
      <c r="M439" s="55" t="s">
        <v>7</v>
      </c>
      <c r="N439" s="1"/>
      <c r="O439" s="1"/>
      <c r="P439" s="1"/>
      <c r="Q439" s="55" t="s">
        <v>7</v>
      </c>
      <c r="R439" s="55" t="s">
        <v>7</v>
      </c>
    </row>
    <row r="440" spans="1:20" ht="15.75" customHeight="1" x14ac:dyDescent="0.3">
      <c r="A440" s="15" t="s">
        <v>62</v>
      </c>
      <c r="B440" s="1"/>
      <c r="C440" s="1"/>
      <c r="D440" s="1"/>
      <c r="E440" s="55" t="s">
        <v>7</v>
      </c>
      <c r="F440" s="1"/>
      <c r="G440" s="1"/>
      <c r="H440" s="1"/>
      <c r="I440" s="55" t="s">
        <v>7</v>
      </c>
      <c r="J440" s="1"/>
      <c r="K440" s="1"/>
      <c r="L440" s="1"/>
      <c r="M440" s="55" t="s">
        <v>7</v>
      </c>
      <c r="N440" s="1"/>
      <c r="O440" s="1"/>
      <c r="P440" s="1"/>
      <c r="Q440" s="55" t="s">
        <v>7</v>
      </c>
      <c r="R440" s="55" t="s">
        <v>7</v>
      </c>
    </row>
    <row r="441" spans="1:20" ht="15.75" customHeight="1" thickBot="1" x14ac:dyDescent="0.35">
      <c r="A441" s="359" t="s">
        <v>982</v>
      </c>
      <c r="D441" s="4">
        <v>1500</v>
      </c>
      <c r="E441" s="55">
        <f>SUM(B441:D441)</f>
        <v>1500</v>
      </c>
      <c r="F441" s="1">
        <v>6000</v>
      </c>
      <c r="G441" s="1">
        <v>5000</v>
      </c>
      <c r="H441" s="1"/>
      <c r="I441" s="55">
        <f>SUM(F441:H441)</f>
        <v>11000</v>
      </c>
      <c r="J441" s="1"/>
      <c r="K441" s="1"/>
      <c r="L441" s="1"/>
      <c r="M441" s="55">
        <f>SUM(J441:L441)</f>
        <v>0</v>
      </c>
      <c r="N441" s="1"/>
      <c r="O441" s="1"/>
      <c r="P441" s="1"/>
      <c r="Q441" s="55">
        <f>SUM(N441:P441)</f>
        <v>0</v>
      </c>
      <c r="R441" s="55">
        <f>+E441+I441+M441+Q441</f>
        <v>12500</v>
      </c>
      <c r="T441" s="4" t="s">
        <v>938</v>
      </c>
    </row>
    <row r="442" spans="1:20" ht="16.5" customHeight="1" thickBot="1" x14ac:dyDescent="0.35">
      <c r="A442" s="114" t="s">
        <v>63</v>
      </c>
      <c r="B442" s="86">
        <f>SUM(B438:B441)</f>
        <v>0</v>
      </c>
      <c r="C442" s="87">
        <f>SUM(C438:C441)</f>
        <v>0</v>
      </c>
      <c r="D442" s="87">
        <f>SUM(D438:D441)</f>
        <v>1500</v>
      </c>
      <c r="E442" s="59">
        <f>SUM(B442:D442)</f>
        <v>1500</v>
      </c>
      <c r="F442" s="87">
        <f>SUM(F438:F441)</f>
        <v>6000</v>
      </c>
      <c r="G442" s="87">
        <f>SUM(G438:G441)</f>
        <v>5000</v>
      </c>
      <c r="H442" s="87">
        <f>SUM(H438:H441)</f>
        <v>0</v>
      </c>
      <c r="I442" s="59">
        <f>SUM(F442:H442)</f>
        <v>11000</v>
      </c>
      <c r="J442" s="87">
        <f>SUM(J438:J441)</f>
        <v>0</v>
      </c>
      <c r="K442" s="87">
        <f>SUM(K438:K441)</f>
        <v>0</v>
      </c>
      <c r="L442" s="87">
        <f>SUM(L438:L441)</f>
        <v>0</v>
      </c>
      <c r="M442" s="59">
        <f>SUM(J442:L442)</f>
        <v>0</v>
      </c>
      <c r="N442" s="87">
        <f>SUM(N438:N441)</f>
        <v>0</v>
      </c>
      <c r="O442" s="87">
        <f>SUM(O438:O441)</f>
        <v>0</v>
      </c>
      <c r="P442" s="87">
        <f>SUM(P438:P441)</f>
        <v>0</v>
      </c>
      <c r="Q442" s="59">
        <f>SUM(N442:P442)</f>
        <v>0</v>
      </c>
      <c r="R442" s="59">
        <f>+E442+I442+M442+Q442</f>
        <v>12500</v>
      </c>
    </row>
    <row r="443" spans="1:20" ht="15.75" customHeight="1" x14ac:dyDescent="0.3">
      <c r="A443" s="15" t="s">
        <v>64</v>
      </c>
      <c r="B443" s="1"/>
      <c r="C443" s="1"/>
      <c r="D443" s="1"/>
      <c r="E443" s="55" t="s">
        <v>7</v>
      </c>
      <c r="F443" s="1"/>
      <c r="G443" s="1"/>
      <c r="H443" s="1"/>
      <c r="I443" s="55" t="s">
        <v>7</v>
      </c>
      <c r="J443" s="1"/>
      <c r="K443" s="1"/>
      <c r="L443" s="1"/>
      <c r="M443" s="55" t="s">
        <v>7</v>
      </c>
      <c r="N443" s="1"/>
      <c r="O443" s="1"/>
      <c r="P443" s="1"/>
      <c r="Q443" s="55" t="s">
        <v>7</v>
      </c>
      <c r="R443" s="55" t="s">
        <v>7</v>
      </c>
    </row>
    <row r="444" spans="1:20" ht="15.75" customHeight="1" x14ac:dyDescent="0.3">
      <c r="A444" s="15" t="s">
        <v>594</v>
      </c>
      <c r="B444" s="1"/>
      <c r="C444" s="1"/>
      <c r="D444" s="1"/>
      <c r="E444" s="55" t="s">
        <v>7</v>
      </c>
      <c r="F444" s="1"/>
      <c r="G444" s="1"/>
      <c r="H444" s="1"/>
      <c r="I444" s="55" t="s">
        <v>7</v>
      </c>
      <c r="J444" s="1"/>
      <c r="K444" s="1"/>
      <c r="L444" s="1"/>
      <c r="M444" s="55" t="s">
        <v>7</v>
      </c>
      <c r="N444" s="1"/>
      <c r="O444" s="1"/>
      <c r="P444" s="1"/>
      <c r="Q444" s="55" t="s">
        <v>7</v>
      </c>
      <c r="R444" s="55" t="s">
        <v>7</v>
      </c>
    </row>
    <row r="445" spans="1:20" ht="15.75" customHeight="1" x14ac:dyDescent="0.3">
      <c r="A445" s="15" t="s">
        <v>67</v>
      </c>
      <c r="B445" s="1"/>
      <c r="C445" s="1"/>
      <c r="D445" s="1"/>
      <c r="E445" s="55" t="s">
        <v>7</v>
      </c>
      <c r="F445" s="1"/>
      <c r="G445" s="1"/>
      <c r="H445" s="1"/>
      <c r="I445" s="55" t="s">
        <v>7</v>
      </c>
      <c r="J445" s="1"/>
      <c r="K445" s="1"/>
      <c r="L445" s="1"/>
      <c r="M445" s="55" t="s">
        <v>7</v>
      </c>
      <c r="N445" s="1"/>
      <c r="O445" s="1"/>
      <c r="P445" s="1"/>
      <c r="Q445" s="55" t="s">
        <v>7</v>
      </c>
      <c r="R445" s="55" t="s">
        <v>7</v>
      </c>
    </row>
    <row r="446" spans="1:20" ht="15.75" customHeight="1" x14ac:dyDescent="0.3">
      <c r="A446" s="15" t="s">
        <v>600</v>
      </c>
      <c r="B446" s="1"/>
      <c r="C446" s="1"/>
      <c r="D446" s="1"/>
      <c r="E446" s="55" t="s">
        <v>7</v>
      </c>
      <c r="F446" s="1"/>
      <c r="G446" s="1"/>
      <c r="H446" s="1"/>
      <c r="I446" s="55" t="s">
        <v>7</v>
      </c>
      <c r="J446" s="1"/>
      <c r="K446" s="1"/>
      <c r="L446" s="1"/>
      <c r="M446" s="55" t="s">
        <v>7</v>
      </c>
      <c r="N446" s="1"/>
      <c r="O446" s="1"/>
      <c r="P446" s="1"/>
      <c r="Q446" s="55" t="s">
        <v>7</v>
      </c>
      <c r="R446" s="55" t="s">
        <v>7</v>
      </c>
    </row>
    <row r="447" spans="1:20" ht="15.75" customHeight="1" x14ac:dyDescent="0.3">
      <c r="A447" s="15" t="s">
        <v>70</v>
      </c>
      <c r="B447" s="1"/>
      <c r="C447" s="1"/>
      <c r="D447" s="1"/>
      <c r="E447" s="55" t="s">
        <v>7</v>
      </c>
      <c r="F447" s="1"/>
      <c r="G447" s="1"/>
      <c r="H447" s="1"/>
      <c r="I447" s="55" t="s">
        <v>7</v>
      </c>
      <c r="J447" s="1"/>
      <c r="K447" s="1"/>
      <c r="L447" s="1"/>
      <c r="M447" s="55" t="s">
        <v>7</v>
      </c>
      <c r="N447" s="1"/>
      <c r="O447" s="1"/>
      <c r="P447" s="1"/>
      <c r="Q447" s="55" t="s">
        <v>7</v>
      </c>
      <c r="R447" s="55" t="s">
        <v>7</v>
      </c>
    </row>
    <row r="448" spans="1:20" ht="15.75" customHeight="1" x14ac:dyDescent="0.3">
      <c r="A448" s="71" t="s">
        <v>1144</v>
      </c>
      <c r="B448" s="1"/>
      <c r="C448" s="1"/>
      <c r="D448" s="1"/>
      <c r="E448" s="55">
        <f t="shared" ref="E448:E453" si="83">SUM(B448:D448)</f>
        <v>0</v>
      </c>
      <c r="F448" s="1"/>
      <c r="G448" s="1"/>
      <c r="H448" s="1"/>
      <c r="I448" s="55">
        <f t="shared" ref="I448:I453" si="84">SUM(F448:H448)</f>
        <v>0</v>
      </c>
      <c r="J448" s="1"/>
      <c r="K448" s="1"/>
      <c r="L448" s="1"/>
      <c r="M448" s="55">
        <f t="shared" ref="M448:M453" si="85">SUM(J448:L448)</f>
        <v>0</v>
      </c>
      <c r="N448" s="1"/>
      <c r="O448" s="1"/>
      <c r="P448" s="1"/>
      <c r="Q448" s="55">
        <f t="shared" ref="Q448:Q453" si="86">SUM(N448:P448)</f>
        <v>0</v>
      </c>
      <c r="R448" s="55">
        <f t="shared" ref="R448:R453" si="87">+E448+I448+M448+Q448</f>
        <v>0</v>
      </c>
      <c r="T448" s="4" t="s">
        <v>938</v>
      </c>
    </row>
    <row r="449" spans="1:20" ht="15.75" customHeight="1" thickBot="1" x14ac:dyDescent="0.35">
      <c r="A449" s="71" t="s">
        <v>983</v>
      </c>
      <c r="B449" s="1"/>
      <c r="C449" s="1"/>
      <c r="D449" s="1"/>
      <c r="E449" s="55">
        <f t="shared" si="83"/>
        <v>0</v>
      </c>
      <c r="F449" s="1"/>
      <c r="G449" s="1"/>
      <c r="H449" s="1"/>
      <c r="I449" s="55">
        <f t="shared" si="84"/>
        <v>0</v>
      </c>
      <c r="J449" s="1"/>
      <c r="K449" s="1"/>
      <c r="L449" s="1"/>
      <c r="M449" s="55">
        <f t="shared" si="85"/>
        <v>0</v>
      </c>
      <c r="N449" s="1"/>
      <c r="O449" s="1"/>
      <c r="P449" s="1"/>
      <c r="Q449" s="55">
        <f t="shared" si="86"/>
        <v>0</v>
      </c>
      <c r="R449" s="55">
        <f t="shared" si="87"/>
        <v>0</v>
      </c>
      <c r="T449" s="4" t="s">
        <v>938</v>
      </c>
    </row>
    <row r="450" spans="1:20" ht="16.5" customHeight="1" thickBot="1" x14ac:dyDescent="0.35">
      <c r="A450" s="57" t="s">
        <v>71</v>
      </c>
      <c r="B450" s="58">
        <f>SUM(B446:B449)</f>
        <v>0</v>
      </c>
      <c r="C450" s="58">
        <f>SUM(C446:C449)</f>
        <v>0</v>
      </c>
      <c r="D450" s="58">
        <f>SUM(D446:D449)</f>
        <v>0</v>
      </c>
      <c r="E450" s="60">
        <f t="shared" si="83"/>
        <v>0</v>
      </c>
      <c r="F450" s="58">
        <f>SUM(F446:F449)</f>
        <v>0</v>
      </c>
      <c r="G450" s="58">
        <f>SUM(G446:G449)</f>
        <v>0</v>
      </c>
      <c r="H450" s="58">
        <f>SUM(H446:H449)</f>
        <v>0</v>
      </c>
      <c r="I450" s="60">
        <f t="shared" si="84"/>
        <v>0</v>
      </c>
      <c r="J450" s="58">
        <f>SUM(J446:J449)</f>
        <v>0</v>
      </c>
      <c r="K450" s="58">
        <f>SUM(K446:K449)</f>
        <v>0</v>
      </c>
      <c r="L450" s="58">
        <f>SUM(L446:L449)</f>
        <v>0</v>
      </c>
      <c r="M450" s="60">
        <f t="shared" si="85"/>
        <v>0</v>
      </c>
      <c r="N450" s="58">
        <f>SUM(N446:N449)</f>
        <v>0</v>
      </c>
      <c r="O450" s="58">
        <f>SUM(O446:O449)</f>
        <v>0</v>
      </c>
      <c r="P450" s="58">
        <f>SUM(P446:P449)</f>
        <v>0</v>
      </c>
      <c r="Q450" s="60">
        <f t="shared" si="86"/>
        <v>0</v>
      </c>
      <c r="R450" s="59">
        <f t="shared" si="87"/>
        <v>0</v>
      </c>
    </row>
    <row r="451" spans="1:20" ht="16.5" customHeight="1" thickBot="1" x14ac:dyDescent="0.35">
      <c r="A451" s="114" t="s">
        <v>72</v>
      </c>
      <c r="B451" s="86">
        <f>SUM(B443:B449)</f>
        <v>0</v>
      </c>
      <c r="C451" s="87">
        <f>SUM(C443:C449)</f>
        <v>0</v>
      </c>
      <c r="D451" s="118">
        <f>SUM(D443:D449)</f>
        <v>0</v>
      </c>
      <c r="E451" s="60">
        <f t="shared" si="83"/>
        <v>0</v>
      </c>
      <c r="F451" s="87">
        <f>SUM(F443:F449)</f>
        <v>0</v>
      </c>
      <c r="G451" s="87">
        <f>SUM(G443:G449)</f>
        <v>0</v>
      </c>
      <c r="H451" s="87">
        <f>SUM(H443:H449)</f>
        <v>0</v>
      </c>
      <c r="I451" s="60">
        <f t="shared" si="84"/>
        <v>0</v>
      </c>
      <c r="J451" s="87">
        <f>SUM(J443:J449)</f>
        <v>0</v>
      </c>
      <c r="K451" s="87">
        <f>SUM(K443:K449)</f>
        <v>0</v>
      </c>
      <c r="L451" s="87">
        <f>SUM(L443:L449)</f>
        <v>0</v>
      </c>
      <c r="M451" s="60">
        <f t="shared" si="85"/>
        <v>0</v>
      </c>
      <c r="N451" s="87">
        <f>SUM(N443:N449)</f>
        <v>0</v>
      </c>
      <c r="O451" s="87">
        <f>SUM(O443:O449)</f>
        <v>0</v>
      </c>
      <c r="P451" s="87">
        <f>SUM(P443:P449)</f>
        <v>0</v>
      </c>
      <c r="Q451" s="60">
        <f t="shared" si="86"/>
        <v>0</v>
      </c>
      <c r="R451" s="59">
        <f t="shared" si="87"/>
        <v>0</v>
      </c>
    </row>
    <row r="452" spans="1:20" ht="16.5" customHeight="1" thickBot="1" x14ac:dyDescent="0.35">
      <c r="A452" s="57" t="s">
        <v>73</v>
      </c>
      <c r="B452" s="90">
        <f>+B432+B437+B442+B451</f>
        <v>0</v>
      </c>
      <c r="C452" s="58">
        <f>+C432+C437+C442+C451</f>
        <v>238</v>
      </c>
      <c r="D452" s="58">
        <f>+D432+D437+D442+D451</f>
        <v>9083</v>
      </c>
      <c r="E452" s="59">
        <f t="shared" si="83"/>
        <v>9321</v>
      </c>
      <c r="F452" s="58">
        <f>+F432+F437+F442+F451</f>
        <v>6000</v>
      </c>
      <c r="G452" s="58">
        <f>+G432+G437+G442+G451</f>
        <v>5532</v>
      </c>
      <c r="H452" s="58">
        <f>+H432+H437+H442+H451</f>
        <v>16223</v>
      </c>
      <c r="I452" s="59">
        <f t="shared" si="84"/>
        <v>27755</v>
      </c>
      <c r="J452" s="58">
        <f>+J432+J437+J442+J451</f>
        <v>19355</v>
      </c>
      <c r="K452" s="58">
        <f>+K432+K437+K442+K451</f>
        <v>17218</v>
      </c>
      <c r="L452" s="58">
        <f>+L432+L437+L442+L451</f>
        <v>6815</v>
      </c>
      <c r="M452" s="59">
        <f t="shared" si="85"/>
        <v>43388</v>
      </c>
      <c r="N452" s="58">
        <f>+N432+N437+N442+N451</f>
        <v>2928</v>
      </c>
      <c r="O452" s="58">
        <f>+O432+O437+O442+O451</f>
        <v>39</v>
      </c>
      <c r="P452" s="58">
        <f>+P432+P437+P442+P451</f>
        <v>654</v>
      </c>
      <c r="Q452" s="59">
        <f t="shared" si="86"/>
        <v>3621</v>
      </c>
      <c r="R452" s="81">
        <f t="shared" si="87"/>
        <v>84085</v>
      </c>
    </row>
    <row r="453" spans="1:20" ht="16.5" customHeight="1" thickBot="1" x14ac:dyDescent="0.35">
      <c r="A453" s="39" t="s">
        <v>40</v>
      </c>
      <c r="B453" s="21">
        <v>9</v>
      </c>
      <c r="C453" s="21">
        <v>16</v>
      </c>
      <c r="D453" s="21">
        <v>25</v>
      </c>
      <c r="E453" s="55">
        <f t="shared" si="83"/>
        <v>50</v>
      </c>
      <c r="F453" s="21">
        <v>34</v>
      </c>
      <c r="G453" s="21">
        <v>41</v>
      </c>
      <c r="H453" s="21">
        <v>41</v>
      </c>
      <c r="I453" s="55">
        <f t="shared" si="84"/>
        <v>116</v>
      </c>
      <c r="J453" s="21">
        <v>39</v>
      </c>
      <c r="K453" s="21">
        <v>30</v>
      </c>
      <c r="L453" s="21">
        <v>30</v>
      </c>
      <c r="M453" s="55">
        <f t="shared" si="85"/>
        <v>99</v>
      </c>
      <c r="N453" s="21">
        <v>28</v>
      </c>
      <c r="O453" s="21">
        <v>22</v>
      </c>
      <c r="P453" s="21">
        <v>16</v>
      </c>
      <c r="Q453" s="55">
        <f t="shared" si="86"/>
        <v>66</v>
      </c>
      <c r="R453" s="55">
        <f t="shared" si="87"/>
        <v>331</v>
      </c>
    </row>
    <row r="454" spans="1:20" ht="16.5" customHeight="1" thickBot="1" x14ac:dyDescent="0.35">
      <c r="A454" s="74"/>
      <c r="B454" s="75"/>
      <c r="C454" s="75"/>
      <c r="D454" s="75"/>
      <c r="E454" s="59"/>
      <c r="F454" s="75"/>
      <c r="G454" s="75"/>
      <c r="H454" s="75"/>
      <c r="I454" s="59"/>
      <c r="J454" s="75"/>
      <c r="K454" s="75"/>
      <c r="L454" s="75"/>
      <c r="M454" s="59"/>
      <c r="N454" s="75"/>
      <c r="O454" s="75"/>
      <c r="P454" s="75"/>
      <c r="Q454" s="59"/>
      <c r="R454" s="59" t="s">
        <v>7</v>
      </c>
    </row>
    <row r="455" spans="1:20" ht="15.75" customHeight="1" x14ac:dyDescent="0.3">
      <c r="A455" s="76" t="s">
        <v>41</v>
      </c>
      <c r="B455" s="77">
        <f>SUM(B452:B453)</f>
        <v>9</v>
      </c>
      <c r="C455" s="77">
        <f>SUM(C452:C453)</f>
        <v>254</v>
      </c>
      <c r="D455" s="77">
        <f>SUM(D452:D453)</f>
        <v>9108</v>
      </c>
      <c r="E455" s="60">
        <f>SUM(B455:D455)</f>
        <v>9371</v>
      </c>
      <c r="F455" s="77">
        <f>SUM(F452:F453)</f>
        <v>6034</v>
      </c>
      <c r="G455" s="77">
        <f>SUM(G452:G453)</f>
        <v>5573</v>
      </c>
      <c r="H455" s="77">
        <f>SUM(H452:H453)</f>
        <v>16264</v>
      </c>
      <c r="I455" s="60">
        <f>SUM(F455:H455)</f>
        <v>27871</v>
      </c>
      <c r="J455" s="77">
        <f>SUM(J452:J453)</f>
        <v>19394</v>
      </c>
      <c r="K455" s="77">
        <f>SUM(K452:K453)</f>
        <v>17248</v>
      </c>
      <c r="L455" s="77">
        <f>SUM(L452:L453)</f>
        <v>6845</v>
      </c>
      <c r="M455" s="60">
        <f>SUM(J455:L455)</f>
        <v>43487</v>
      </c>
      <c r="N455" s="77">
        <f>SUM(N452:N453)</f>
        <v>2956</v>
      </c>
      <c r="O455" s="77">
        <f>SUM(O452:O453)</f>
        <v>61</v>
      </c>
      <c r="P455" s="77">
        <f>SUM(P452:P453)</f>
        <v>670</v>
      </c>
      <c r="Q455" s="60">
        <f>SUM(N455:P455)</f>
        <v>3687</v>
      </c>
      <c r="R455" s="60">
        <f>+E455+I455+M455+Q455</f>
        <v>84416</v>
      </c>
    </row>
    <row r="456" spans="1:20" ht="15.75" customHeight="1" x14ac:dyDescent="0.3">
      <c r="A456" s="79" t="s">
        <v>42</v>
      </c>
      <c r="B456" s="1">
        <f>(B455/B10)/1.983</f>
        <v>0.14640573910497293</v>
      </c>
      <c r="C456" s="1">
        <f>(C455/C10)/1.983</f>
        <v>4.5745983718752248</v>
      </c>
      <c r="D456" s="1">
        <f>(D455/D10)/1.983</f>
        <v>148.16260797423257</v>
      </c>
      <c r="E456" s="55" t="s">
        <v>7</v>
      </c>
      <c r="F456" s="1">
        <f>(F455/F10)/1.983</f>
        <v>101.4288115649689</v>
      </c>
      <c r="G456" s="1">
        <f>(G455/G10)/1.983</f>
        <v>90.657687114668221</v>
      </c>
      <c r="H456" s="1">
        <f>(H455/H10)/1.983</f>
        <v>273.39048579593208</v>
      </c>
      <c r="I456" s="55" t="s">
        <v>7</v>
      </c>
      <c r="J456" s="1">
        <f>(J455/J10)/1.983</f>
        <v>315.48810046687163</v>
      </c>
      <c r="K456" s="1">
        <f>(K455/K10)/1.983</f>
        <v>280.57846534250808</v>
      </c>
      <c r="L456" s="1">
        <f>(L455/L10)/1.983</f>
        <v>115.06135484955453</v>
      </c>
      <c r="M456" s="55" t="s">
        <v>7</v>
      </c>
      <c r="N456" s="1">
        <f>(N455/N10)/1.983</f>
        <v>48.086151643811107</v>
      </c>
      <c r="O456" s="1">
        <f>(O455/O10)/1.983</f>
        <v>1.0253824172129768</v>
      </c>
      <c r="P456" s="1">
        <f>(P455/P10)/1.983</f>
        <v>10.899093911147983</v>
      </c>
      <c r="Q456" s="55" t="s">
        <v>7</v>
      </c>
      <c r="R456" s="55" t="s">
        <v>7</v>
      </c>
    </row>
    <row r="457" spans="1:20" ht="15.75" customHeight="1" x14ac:dyDescent="0.3">
      <c r="A457" s="79" t="s">
        <v>303</v>
      </c>
      <c r="B457" s="1">
        <f>B455+B499</f>
        <v>15604</v>
      </c>
      <c r="C457" s="1">
        <f>C455+C499</f>
        <v>14444</v>
      </c>
      <c r="D457" s="1">
        <f>D455+D499</f>
        <v>35058</v>
      </c>
      <c r="E457" s="55">
        <f>SUM(B457:D457)</f>
        <v>65106</v>
      </c>
      <c r="F457" s="1">
        <f>F455+F499</f>
        <v>40686</v>
      </c>
      <c r="G457" s="1">
        <f>G455+G499</f>
        <v>40954</v>
      </c>
      <c r="H457" s="1">
        <f>H455+H499</f>
        <v>44355</v>
      </c>
      <c r="I457" s="55">
        <f>SUM(F457:H457)</f>
        <v>125995</v>
      </c>
      <c r="J457" s="1">
        <f>J455+J499</f>
        <v>50308</v>
      </c>
      <c r="K457" s="1">
        <f>K455+K499</f>
        <v>49915</v>
      </c>
      <c r="L457" s="1">
        <f>L455+L499</f>
        <v>31502</v>
      </c>
      <c r="M457" s="55">
        <f>SUM(J457:L457)</f>
        <v>131725</v>
      </c>
      <c r="N457" s="1">
        <f>N455+N499</f>
        <v>19691</v>
      </c>
      <c r="O457" s="1">
        <f>O455+O499</f>
        <v>11252</v>
      </c>
      <c r="P457" s="1">
        <f>P455+P499</f>
        <v>19318</v>
      </c>
      <c r="Q457" s="55">
        <f>SUM(N457:P457)</f>
        <v>50261</v>
      </c>
      <c r="R457" s="55">
        <f>+E457+I457+M457+Q457</f>
        <v>373087</v>
      </c>
    </row>
    <row r="458" spans="1:20" ht="16.5" customHeight="1" thickBot="1" x14ac:dyDescent="0.35">
      <c r="A458" s="80" t="s">
        <v>304</v>
      </c>
      <c r="B458" s="25">
        <f>(B457/B10)/1.983</f>
        <v>253.83501699933305</v>
      </c>
      <c r="C458" s="25">
        <f>(C457/C10)/1.983</f>
        <v>260.13975938332976</v>
      </c>
      <c r="D458" s="25">
        <f>(D457/D10)/1.983</f>
        <v>570.29915572690447</v>
      </c>
      <c r="E458" s="81" t="s">
        <v>7</v>
      </c>
      <c r="F458" s="25">
        <f>(F457/F10)/1.983</f>
        <v>683.9132627332325</v>
      </c>
      <c r="G458" s="25">
        <f>(G457/G10)/1.983</f>
        <v>666.21118214500666</v>
      </c>
      <c r="H458" s="25">
        <f>(H457/H10)/1.983</f>
        <v>745.58749369641953</v>
      </c>
      <c r="I458" s="81" t="s">
        <v>7</v>
      </c>
      <c r="J458" s="25">
        <f>(J457/J10)/1.983</f>
        <v>818.37554698810857</v>
      </c>
      <c r="K458" s="25">
        <f>(K457/K10)/1.983</f>
        <v>811.98249638052482</v>
      </c>
      <c r="L458" s="25">
        <f>(L457/L10)/1.983</f>
        <v>529.53437552529829</v>
      </c>
      <c r="M458" s="81" t="s">
        <v>7</v>
      </c>
      <c r="N458" s="25">
        <f>(N457/N10)/1.983</f>
        <v>320.31948985733572</v>
      </c>
      <c r="O458" s="25">
        <f>(O457/O10)/1.983</f>
        <v>189.14103210623634</v>
      </c>
      <c r="P458" s="25">
        <f>(P457/P10)/1.983</f>
        <v>314.25178533665184</v>
      </c>
      <c r="Q458" s="81" t="s">
        <v>7</v>
      </c>
      <c r="R458" s="81" t="s">
        <v>7</v>
      </c>
    </row>
    <row r="459" spans="1:20" ht="15.75" customHeight="1" x14ac:dyDescent="0.3">
      <c r="A459" s="2"/>
      <c r="B459" s="1"/>
      <c r="C459" s="1"/>
      <c r="D459" s="1"/>
      <c r="E459" s="1"/>
      <c r="F459" s="1"/>
      <c r="G459" s="1"/>
      <c r="H459" s="1"/>
      <c r="I459" s="1"/>
      <c r="J459" s="1"/>
      <c r="K459" s="1"/>
      <c r="L459" s="1"/>
      <c r="M459" s="1"/>
      <c r="N459" s="1"/>
      <c r="O459" s="1"/>
      <c r="P459" s="1"/>
      <c r="Q459" s="1"/>
      <c r="R459" s="2"/>
    </row>
    <row r="460" spans="1:20" ht="15.75" customHeight="1" thickBot="1" x14ac:dyDescent="0.35">
      <c r="A460" s="2"/>
      <c r="B460" s="1"/>
      <c r="C460" s="1"/>
      <c r="D460" s="1"/>
      <c r="E460" s="1"/>
      <c r="F460" s="1"/>
      <c r="G460" s="1"/>
      <c r="H460" s="1"/>
      <c r="I460" s="1"/>
      <c r="J460" s="1"/>
      <c r="K460" s="1"/>
      <c r="L460" s="1"/>
      <c r="M460" s="1"/>
      <c r="N460" s="1"/>
      <c r="O460" s="1"/>
      <c r="P460" s="1"/>
      <c r="Q460" s="1"/>
      <c r="R460" s="2"/>
    </row>
    <row r="461" spans="1:20" ht="16.5" customHeight="1" thickBot="1" x14ac:dyDescent="0.35">
      <c r="A461" s="124" t="s">
        <v>305</v>
      </c>
      <c r="B461" s="30" t="s">
        <v>8</v>
      </c>
      <c r="C461" s="31" t="s">
        <v>9</v>
      </c>
      <c r="D461" s="31" t="s">
        <v>10</v>
      </c>
      <c r="E461" s="32" t="s">
        <v>11</v>
      </c>
      <c r="F461" s="31" t="s">
        <v>12</v>
      </c>
      <c r="G461" s="31" t="s">
        <v>13</v>
      </c>
      <c r="H461" s="31" t="s">
        <v>14</v>
      </c>
      <c r="I461" s="33" t="s">
        <v>15</v>
      </c>
      <c r="J461" s="31" t="s">
        <v>16</v>
      </c>
      <c r="K461" s="31" t="s">
        <v>17</v>
      </c>
      <c r="L461" s="31" t="s">
        <v>18</v>
      </c>
      <c r="M461" s="33" t="s">
        <v>19</v>
      </c>
      <c r="N461" s="31" t="s">
        <v>20</v>
      </c>
      <c r="O461" s="31" t="s">
        <v>21</v>
      </c>
      <c r="P461" s="31" t="s">
        <v>22</v>
      </c>
      <c r="Q461" s="33" t="s">
        <v>23</v>
      </c>
      <c r="R461" s="34" t="s">
        <v>24</v>
      </c>
    </row>
    <row r="462" spans="1:20" ht="16.5" customHeight="1" thickBot="1" x14ac:dyDescent="0.35">
      <c r="A462" s="59"/>
      <c r="B462" s="75"/>
      <c r="C462" s="75"/>
      <c r="D462" s="75"/>
      <c r="E462" s="69"/>
      <c r="F462" s="75"/>
      <c r="G462" s="75"/>
      <c r="H462" s="75"/>
      <c r="I462" s="82"/>
      <c r="J462" s="75"/>
      <c r="K462" s="75"/>
      <c r="L462" s="75"/>
      <c r="M462" s="82"/>
      <c r="N462" s="75"/>
      <c r="O462" s="75"/>
      <c r="P462" s="75"/>
      <c r="Q462" s="82"/>
      <c r="R462" s="100"/>
    </row>
    <row r="463" spans="1:20" ht="15.75" customHeight="1" x14ac:dyDescent="0.3">
      <c r="A463" s="15" t="s">
        <v>48</v>
      </c>
      <c r="B463" s="1" t="s">
        <v>7</v>
      </c>
      <c r="C463" s="1" t="s">
        <v>7</v>
      </c>
      <c r="D463" s="1" t="s">
        <v>7</v>
      </c>
      <c r="E463" s="55" t="s">
        <v>7</v>
      </c>
      <c r="F463" s="1" t="s">
        <v>7</v>
      </c>
      <c r="G463" s="1" t="s">
        <v>7</v>
      </c>
      <c r="H463" s="1" t="s">
        <v>7</v>
      </c>
      <c r="I463" s="55" t="s">
        <v>7</v>
      </c>
      <c r="J463" s="1" t="s">
        <v>7</v>
      </c>
      <c r="K463" s="1" t="s">
        <v>7</v>
      </c>
      <c r="L463" s="1" t="s">
        <v>7</v>
      </c>
      <c r="M463" s="55" t="s">
        <v>7</v>
      </c>
      <c r="N463" s="1" t="s">
        <v>7</v>
      </c>
      <c r="O463" s="1" t="s">
        <v>7</v>
      </c>
      <c r="P463" s="1" t="s">
        <v>7</v>
      </c>
      <c r="Q463" s="55" t="s">
        <v>7</v>
      </c>
      <c r="R463" s="55" t="s">
        <v>7</v>
      </c>
    </row>
    <row r="464" spans="1:20" ht="15.75" customHeight="1" x14ac:dyDescent="0.3">
      <c r="A464" s="15" t="s">
        <v>49</v>
      </c>
      <c r="B464" s="1"/>
      <c r="C464" s="1"/>
      <c r="D464" s="1"/>
      <c r="E464" s="55" t="s">
        <v>7</v>
      </c>
      <c r="F464" s="1"/>
      <c r="G464" s="1"/>
      <c r="H464" s="1"/>
      <c r="I464" s="55" t="s">
        <v>7</v>
      </c>
      <c r="J464" s="1"/>
      <c r="K464" s="1"/>
      <c r="L464" s="1"/>
      <c r="M464" s="55" t="s">
        <v>7</v>
      </c>
      <c r="N464" s="1"/>
      <c r="O464" s="1"/>
      <c r="P464" s="1"/>
      <c r="Q464" s="55" t="s">
        <v>7</v>
      </c>
      <c r="R464" s="55" t="s">
        <v>7</v>
      </c>
    </row>
    <row r="465" spans="1:20" ht="15.75" customHeight="1" x14ac:dyDescent="0.3">
      <c r="A465" s="71" t="s">
        <v>306</v>
      </c>
      <c r="B465" s="1">
        <v>241</v>
      </c>
      <c r="C465" s="1"/>
      <c r="D465" s="1"/>
      <c r="E465" s="55">
        <f>SUM(B465:D465)</f>
        <v>241</v>
      </c>
      <c r="F465" s="1">
        <v>217</v>
      </c>
      <c r="G465" s="1"/>
      <c r="H465" s="1">
        <v>542</v>
      </c>
      <c r="I465" s="55">
        <f>SUM(F465:H465)</f>
        <v>759</v>
      </c>
      <c r="J465" s="1"/>
      <c r="K465" s="1"/>
      <c r="L465" s="1"/>
      <c r="M465" s="55">
        <f>SUM(J465:L465)</f>
        <v>0</v>
      </c>
      <c r="N465" s="1"/>
      <c r="O465" s="1"/>
      <c r="P465" s="1"/>
      <c r="Q465" s="55">
        <f>SUM(N465:P465)</f>
        <v>0</v>
      </c>
      <c r="R465" s="55">
        <f>+E465+I465+M465+Q465</f>
        <v>1000</v>
      </c>
    </row>
    <row r="466" spans="1:20" ht="15.75" customHeight="1" x14ac:dyDescent="0.3">
      <c r="A466" s="71" t="s">
        <v>656</v>
      </c>
      <c r="B466" s="1"/>
      <c r="C466" s="1"/>
      <c r="D466" s="1"/>
      <c r="E466" s="55">
        <f>SUM(B466:D466)</f>
        <v>0</v>
      </c>
      <c r="F466" s="1"/>
      <c r="G466" s="1">
        <v>250</v>
      </c>
      <c r="H466" s="1">
        <v>900</v>
      </c>
      <c r="I466" s="55">
        <f>SUM(F466:H466)</f>
        <v>1150</v>
      </c>
      <c r="J466" s="1">
        <v>1455</v>
      </c>
      <c r="K466" s="1">
        <v>1395</v>
      </c>
      <c r="L466" s="1"/>
      <c r="M466" s="55">
        <f>SUM(J466:L466)</f>
        <v>2850</v>
      </c>
      <c r="N466" s="1"/>
      <c r="O466" s="1"/>
      <c r="P466" s="1"/>
      <c r="Q466" s="55">
        <f>SUM(N466:P466)</f>
        <v>0</v>
      </c>
      <c r="R466" s="55">
        <f>+E466+I466+M466+Q466</f>
        <v>4000</v>
      </c>
    </row>
    <row r="467" spans="1:20" ht="15.75" customHeight="1" x14ac:dyDescent="0.3">
      <c r="A467" s="71" t="s">
        <v>657</v>
      </c>
      <c r="B467" s="1"/>
      <c r="C467" s="1"/>
      <c r="D467" s="1"/>
      <c r="E467" s="55">
        <f>SUM(B467:D467)</f>
        <v>0</v>
      </c>
      <c r="F467" s="1"/>
      <c r="G467" s="1">
        <v>742</v>
      </c>
      <c r="H467" s="1">
        <v>0</v>
      </c>
      <c r="I467" s="55">
        <f>SUM(F467:H467)</f>
        <v>742</v>
      </c>
      <c r="J467" s="1">
        <v>0</v>
      </c>
      <c r="K467" s="1">
        <v>34</v>
      </c>
      <c r="L467" s="1">
        <v>452</v>
      </c>
      <c r="M467" s="55">
        <f>SUM(J467:L467)</f>
        <v>486</v>
      </c>
      <c r="N467" s="1">
        <v>189</v>
      </c>
      <c r="O467" s="1">
        <v>109</v>
      </c>
      <c r="P467" s="1">
        <v>330</v>
      </c>
      <c r="Q467" s="55">
        <f>SUM(N467:P467)</f>
        <v>628</v>
      </c>
      <c r="R467" s="55">
        <f>+E467+I467+M467+Q467</f>
        <v>1856</v>
      </c>
    </row>
    <row r="468" spans="1:20" ht="15.75" customHeight="1" x14ac:dyDescent="0.3">
      <c r="A468" s="15" t="s">
        <v>50</v>
      </c>
      <c r="B468" s="1"/>
      <c r="C468" s="1"/>
      <c r="D468" s="1"/>
      <c r="E468" s="55" t="s">
        <v>7</v>
      </c>
      <c r="F468" s="1"/>
      <c r="G468" s="1"/>
      <c r="H468" s="1"/>
      <c r="I468" s="55" t="s">
        <v>7</v>
      </c>
      <c r="J468" s="1"/>
      <c r="K468" s="1"/>
      <c r="L468" s="1"/>
      <c r="M468" s="55" t="s">
        <v>7</v>
      </c>
      <c r="N468" s="1"/>
      <c r="O468" s="1"/>
      <c r="P468" s="1"/>
      <c r="Q468" s="55" t="s">
        <v>7</v>
      </c>
      <c r="R468" s="55" t="s">
        <v>7</v>
      </c>
    </row>
    <row r="469" spans="1:20" ht="15.75" customHeight="1" x14ac:dyDescent="0.3">
      <c r="A469" s="15" t="s">
        <v>51</v>
      </c>
      <c r="B469" s="1"/>
      <c r="C469" s="1"/>
      <c r="D469" s="1"/>
      <c r="E469" s="55" t="s">
        <v>7</v>
      </c>
      <c r="F469" s="1"/>
      <c r="G469" s="1"/>
      <c r="H469" s="1"/>
      <c r="I469" s="55" t="s">
        <v>7</v>
      </c>
      <c r="J469" s="1"/>
      <c r="K469" s="1"/>
      <c r="L469" s="1"/>
      <c r="M469" s="55" t="s">
        <v>7</v>
      </c>
      <c r="N469" s="1"/>
      <c r="O469" s="1"/>
      <c r="P469" s="1"/>
      <c r="Q469" s="55" t="s">
        <v>7</v>
      </c>
      <c r="R469" s="55" t="s">
        <v>7</v>
      </c>
    </row>
    <row r="470" spans="1:20" ht="15.75" customHeight="1" thickBot="1" x14ac:dyDescent="0.35">
      <c r="A470" s="15" t="s">
        <v>53</v>
      </c>
      <c r="B470" s="1"/>
      <c r="C470" s="1"/>
      <c r="D470" s="1"/>
      <c r="E470" s="55" t="s">
        <v>7</v>
      </c>
      <c r="F470" s="1"/>
      <c r="G470" s="1"/>
      <c r="H470" s="1"/>
      <c r="I470" s="55" t="s">
        <v>7</v>
      </c>
      <c r="J470" s="1"/>
      <c r="K470" s="1"/>
      <c r="L470" s="1"/>
      <c r="M470" s="55" t="s">
        <v>7</v>
      </c>
      <c r="N470" s="1"/>
      <c r="O470" s="1"/>
      <c r="P470" s="1"/>
      <c r="Q470" s="55" t="s">
        <v>7</v>
      </c>
      <c r="R470" s="55" t="s">
        <v>7</v>
      </c>
    </row>
    <row r="471" spans="1:20" ht="16.5" customHeight="1" thickBot="1" x14ac:dyDescent="0.35">
      <c r="A471" s="109" t="s">
        <v>54</v>
      </c>
      <c r="B471" s="86">
        <f>SUM(B463:B470)</f>
        <v>241</v>
      </c>
      <c r="C471" s="87">
        <f>SUM(C463:C470)</f>
        <v>0</v>
      </c>
      <c r="D471" s="87">
        <f>SUM(D463:D470)</f>
        <v>0</v>
      </c>
      <c r="E471" s="59">
        <f>SUM(B471:D471)</f>
        <v>241</v>
      </c>
      <c r="F471" s="87">
        <f>SUM(F463:F470)</f>
        <v>217</v>
      </c>
      <c r="G471" s="87">
        <f>SUM(G463:G470)</f>
        <v>992</v>
      </c>
      <c r="H471" s="87">
        <f>SUM(H463:H470)</f>
        <v>1442</v>
      </c>
      <c r="I471" s="59">
        <f>SUM(F471:H471)</f>
        <v>2651</v>
      </c>
      <c r="J471" s="87">
        <f>SUM(J463:J470)</f>
        <v>1455</v>
      </c>
      <c r="K471" s="87">
        <f>SUM(K463:K470)</f>
        <v>1429</v>
      </c>
      <c r="L471" s="87">
        <f>SUM(L463:L470)</f>
        <v>452</v>
      </c>
      <c r="M471" s="59">
        <f>SUM(J471:L471)</f>
        <v>3336</v>
      </c>
      <c r="N471" s="87">
        <f>SUM(N463:N470)</f>
        <v>189</v>
      </c>
      <c r="O471" s="87">
        <f>SUM(O463:O470)</f>
        <v>109</v>
      </c>
      <c r="P471" s="87">
        <f>SUM(P463:P470)</f>
        <v>330</v>
      </c>
      <c r="Q471" s="59">
        <f>SUM(N471:P471)</f>
        <v>628</v>
      </c>
      <c r="R471" s="59">
        <f>+E471+I471+M471+Q471</f>
        <v>6856</v>
      </c>
    </row>
    <row r="472" spans="1:20" ht="15.75" customHeight="1" x14ac:dyDescent="0.3">
      <c r="A472" s="15" t="s">
        <v>55</v>
      </c>
      <c r="B472" s="1"/>
      <c r="C472" s="1"/>
      <c r="D472" s="1"/>
      <c r="E472" s="60" t="s">
        <v>7</v>
      </c>
      <c r="F472" s="1"/>
      <c r="G472" s="1"/>
      <c r="H472" s="1"/>
      <c r="I472" s="60" t="s">
        <v>7</v>
      </c>
      <c r="J472" s="1"/>
      <c r="K472" s="1"/>
      <c r="L472" s="1"/>
      <c r="M472" s="60" t="s">
        <v>7</v>
      </c>
      <c r="N472" s="1"/>
      <c r="O472" s="1"/>
      <c r="P472" s="1"/>
      <c r="Q472" s="60" t="s">
        <v>7</v>
      </c>
      <c r="R472" s="125" t="s">
        <v>7</v>
      </c>
    </row>
    <row r="473" spans="1:20" ht="15.75" customHeight="1" x14ac:dyDescent="0.3">
      <c r="A473" s="15" t="s">
        <v>57</v>
      </c>
      <c r="B473" s="1"/>
      <c r="C473" s="1"/>
      <c r="D473" s="1"/>
      <c r="E473" s="55" t="s">
        <v>7</v>
      </c>
      <c r="F473" s="1"/>
      <c r="G473" s="1"/>
      <c r="H473" s="1"/>
      <c r="I473" s="55" t="s">
        <v>7</v>
      </c>
      <c r="J473" s="1"/>
      <c r="K473" s="1"/>
      <c r="L473" s="1"/>
      <c r="M473" s="55" t="s">
        <v>7</v>
      </c>
      <c r="N473" s="1"/>
      <c r="O473" s="1"/>
      <c r="P473" s="1"/>
      <c r="Q473" s="55" t="s">
        <v>7</v>
      </c>
      <c r="R473" s="125" t="s">
        <v>7</v>
      </c>
    </row>
    <row r="474" spans="1:20" ht="15.75" customHeight="1" x14ac:dyDescent="0.3">
      <c r="A474" s="71" t="s">
        <v>569</v>
      </c>
      <c r="B474" s="1">
        <v>284</v>
      </c>
      <c r="C474" s="1">
        <v>240</v>
      </c>
      <c r="D474" s="1">
        <v>2746</v>
      </c>
      <c r="E474" s="55">
        <f>SUM(B474:D474)</f>
        <v>3270</v>
      </c>
      <c r="F474" s="1">
        <v>2737</v>
      </c>
      <c r="G474" s="1">
        <v>5119</v>
      </c>
      <c r="H474" s="1">
        <v>6134</v>
      </c>
      <c r="I474" s="55">
        <f>SUM(F474:H474)</f>
        <v>13990</v>
      </c>
      <c r="J474" s="1">
        <v>7046</v>
      </c>
      <c r="K474" s="1">
        <v>5761</v>
      </c>
      <c r="L474" s="1">
        <v>1628</v>
      </c>
      <c r="M474" s="55">
        <f>SUM(J474:L474)</f>
        <v>14435</v>
      </c>
      <c r="N474" s="1">
        <v>1295</v>
      </c>
      <c r="O474" s="1">
        <v>258</v>
      </c>
      <c r="P474" s="1">
        <v>200</v>
      </c>
      <c r="Q474" s="55">
        <f>SUM(N474:P474)</f>
        <v>1753</v>
      </c>
      <c r="R474" s="55">
        <f>+E474+I474+M474+Q474</f>
        <v>33448</v>
      </c>
      <c r="S474" s="4">
        <f>+SUM(R474,R435,R333)</f>
        <v>126978</v>
      </c>
      <c r="T474" s="4" t="s">
        <v>985</v>
      </c>
    </row>
    <row r="475" spans="1:20" ht="15.75" customHeight="1" x14ac:dyDescent="0.3">
      <c r="A475" s="71" t="s">
        <v>309</v>
      </c>
      <c r="B475" s="1"/>
      <c r="C475" s="1">
        <v>408</v>
      </c>
      <c r="D475" s="1">
        <v>170</v>
      </c>
      <c r="E475" s="55">
        <f>SUM(B475:D475)</f>
        <v>578</v>
      </c>
      <c r="F475" s="1">
        <v>422</v>
      </c>
      <c r="G475" s="1"/>
      <c r="H475" s="1"/>
      <c r="I475" s="55">
        <f>SUM(F475:H475)</f>
        <v>422</v>
      </c>
      <c r="J475" s="1"/>
      <c r="K475" s="1"/>
      <c r="L475" s="1"/>
      <c r="M475" s="55">
        <f>SUM(J475:L475)</f>
        <v>0</v>
      </c>
      <c r="N475" s="1"/>
      <c r="O475" s="1"/>
      <c r="P475" s="1"/>
      <c r="Q475" s="55">
        <f>SUM(N475:P475)</f>
        <v>0</v>
      </c>
      <c r="R475" s="55">
        <f>+E475+I475+M475+Q475</f>
        <v>1000</v>
      </c>
    </row>
    <row r="476" spans="1:20" ht="15.75" customHeight="1" thickBot="1" x14ac:dyDescent="0.35">
      <c r="A476" s="15" t="s">
        <v>58</v>
      </c>
      <c r="B476" s="1"/>
      <c r="C476" s="1"/>
      <c r="D476" s="1"/>
      <c r="E476" s="55" t="s">
        <v>7</v>
      </c>
      <c r="F476" s="1"/>
      <c r="G476" s="1"/>
      <c r="H476" s="1"/>
      <c r="I476" s="55" t="s">
        <v>7</v>
      </c>
      <c r="J476" s="1"/>
      <c r="K476" s="1"/>
      <c r="L476" s="1"/>
      <c r="M476" s="55" t="s">
        <v>7</v>
      </c>
      <c r="N476" s="1"/>
      <c r="O476" s="1"/>
      <c r="P476" s="1"/>
      <c r="Q476" s="55" t="s">
        <v>7</v>
      </c>
      <c r="R476" s="125" t="s">
        <v>7</v>
      </c>
    </row>
    <row r="477" spans="1:20" ht="16.5" customHeight="1" thickBot="1" x14ac:dyDescent="0.35">
      <c r="A477" s="57" t="s">
        <v>59</v>
      </c>
      <c r="B477" s="86">
        <f>SUM(B472:B476)</f>
        <v>284</v>
      </c>
      <c r="C477" s="87">
        <f>SUM(C472:C476)</f>
        <v>648</v>
      </c>
      <c r="D477" s="87">
        <f>SUM(D472:D476)</f>
        <v>2916</v>
      </c>
      <c r="E477" s="59">
        <f>SUM(B477:D477)</f>
        <v>3848</v>
      </c>
      <c r="F477" s="87">
        <f>SUM(F472:F476)</f>
        <v>3159</v>
      </c>
      <c r="G477" s="87">
        <f>SUM(G472:G476)</f>
        <v>5119</v>
      </c>
      <c r="H477" s="87">
        <f>SUM(H472:H476)</f>
        <v>6134</v>
      </c>
      <c r="I477" s="59">
        <f>SUM(F477:H477)</f>
        <v>14412</v>
      </c>
      <c r="J477" s="87">
        <f>SUM(J472:J476)</f>
        <v>7046</v>
      </c>
      <c r="K477" s="87">
        <f>SUM(K472:K476)</f>
        <v>5761</v>
      </c>
      <c r="L477" s="87">
        <f>SUM(L472:L476)</f>
        <v>1628</v>
      </c>
      <c r="M477" s="59">
        <f>SUM(J477:L477)</f>
        <v>14435</v>
      </c>
      <c r="N477" s="87">
        <f>SUM(N472:N476)</f>
        <v>1295</v>
      </c>
      <c r="O477" s="87">
        <f>SUM(O472:O476)</f>
        <v>258</v>
      </c>
      <c r="P477" s="87">
        <f>SUM(P472:P476)</f>
        <v>200</v>
      </c>
      <c r="Q477" s="59">
        <f>SUM(N477:P477)</f>
        <v>1753</v>
      </c>
      <c r="R477" s="59">
        <f>+E477+I477+M477+Q477</f>
        <v>34448</v>
      </c>
    </row>
    <row r="478" spans="1:20" ht="15.75" customHeight="1" x14ac:dyDescent="0.3">
      <c r="A478" s="15" t="s">
        <v>60</v>
      </c>
      <c r="B478" s="1"/>
      <c r="C478" s="1"/>
      <c r="D478" s="1"/>
      <c r="E478" s="55" t="s">
        <v>7</v>
      </c>
      <c r="F478" s="1"/>
      <c r="G478" s="1"/>
      <c r="H478" s="1"/>
      <c r="I478" s="55" t="s">
        <v>7</v>
      </c>
      <c r="J478" s="1"/>
      <c r="K478" s="1"/>
      <c r="L478" s="1"/>
      <c r="M478" s="55" t="s">
        <v>7</v>
      </c>
      <c r="N478" s="1"/>
      <c r="O478" s="1"/>
      <c r="P478" s="1"/>
      <c r="Q478" s="55" t="s">
        <v>7</v>
      </c>
      <c r="R478" s="55" t="s">
        <v>7</v>
      </c>
    </row>
    <row r="479" spans="1:20" ht="15.75" customHeight="1" x14ac:dyDescent="0.3">
      <c r="A479" s="15" t="s">
        <v>61</v>
      </c>
      <c r="B479" s="1"/>
      <c r="C479" s="1"/>
      <c r="D479" s="1"/>
      <c r="E479" s="55" t="s">
        <v>7</v>
      </c>
      <c r="F479" s="1"/>
      <c r="G479" s="1"/>
      <c r="H479" s="1"/>
      <c r="I479" s="55" t="s">
        <v>7</v>
      </c>
      <c r="J479" s="1"/>
      <c r="K479" s="1"/>
      <c r="L479" s="1"/>
      <c r="M479" s="55" t="s">
        <v>7</v>
      </c>
      <c r="N479" s="1"/>
      <c r="O479" s="1"/>
      <c r="P479" s="1"/>
      <c r="Q479" s="55" t="s">
        <v>7</v>
      </c>
      <c r="R479" s="55" t="s">
        <v>7</v>
      </c>
    </row>
    <row r="480" spans="1:20" ht="15.75" customHeight="1" x14ac:dyDescent="0.3">
      <c r="A480" s="15" t="s">
        <v>62</v>
      </c>
      <c r="B480" s="1"/>
      <c r="C480" s="1"/>
      <c r="D480" s="1"/>
      <c r="E480" s="55" t="s">
        <v>7</v>
      </c>
      <c r="F480" s="1"/>
      <c r="G480" s="1"/>
      <c r="H480" s="1"/>
      <c r="I480" s="55" t="s">
        <v>7</v>
      </c>
      <c r="J480" s="1"/>
      <c r="K480" s="1"/>
      <c r="L480" s="1"/>
      <c r="M480" s="55" t="s">
        <v>7</v>
      </c>
      <c r="N480" s="1"/>
      <c r="O480" s="1"/>
      <c r="P480" s="1"/>
      <c r="Q480" s="55" t="s">
        <v>7</v>
      </c>
      <c r="R480" s="55" t="s">
        <v>7</v>
      </c>
    </row>
    <row r="481" spans="1:20" ht="15.75" customHeight="1" thickBot="1" x14ac:dyDescent="0.35">
      <c r="A481" s="359" t="s">
        <v>982</v>
      </c>
      <c r="B481" s="1"/>
      <c r="C481" s="1"/>
      <c r="D481" s="1">
        <v>1500</v>
      </c>
      <c r="E481" s="55">
        <f>SUM(B481:D481)</f>
        <v>1500</v>
      </c>
      <c r="F481" s="1">
        <v>6000</v>
      </c>
      <c r="G481" s="1">
        <v>5000</v>
      </c>
      <c r="H481" s="1"/>
      <c r="I481" s="55">
        <f>SUM(F481:H481)</f>
        <v>11000</v>
      </c>
      <c r="J481" s="1"/>
      <c r="K481" s="1"/>
      <c r="L481" s="1"/>
      <c r="M481" s="55">
        <f>SUM(J481:L481)</f>
        <v>0</v>
      </c>
      <c r="N481" s="1"/>
      <c r="O481" s="1"/>
      <c r="P481" s="1"/>
      <c r="Q481" s="55">
        <f>SUM(N481:P481)</f>
        <v>0</v>
      </c>
      <c r="R481" s="55">
        <f>+E481+I481+M481+Q481</f>
        <v>12500</v>
      </c>
      <c r="T481" s="4" t="s">
        <v>939</v>
      </c>
    </row>
    <row r="482" spans="1:20" ht="16.5" customHeight="1" thickBot="1" x14ac:dyDescent="0.35">
      <c r="A482" s="114" t="s">
        <v>63</v>
      </c>
      <c r="B482" s="86">
        <f>SUM(B478:B481)</f>
        <v>0</v>
      </c>
      <c r="C482" s="87">
        <f>SUM(C478:C481)</f>
        <v>0</v>
      </c>
      <c r="D482" s="87">
        <f>SUM(D478:D481)</f>
        <v>1500</v>
      </c>
      <c r="E482" s="59">
        <f>SUM(B482:D482)</f>
        <v>1500</v>
      </c>
      <c r="F482" s="87">
        <f>SUM(F478:F481)</f>
        <v>6000</v>
      </c>
      <c r="G482" s="87">
        <f>SUM(G478:G481)</f>
        <v>5000</v>
      </c>
      <c r="H482" s="87">
        <f>SUM(H478:H481)</f>
        <v>0</v>
      </c>
      <c r="I482" s="59">
        <f>SUM(F482:H482)</f>
        <v>11000</v>
      </c>
      <c r="J482" s="87">
        <f>SUM(J478:J481)</f>
        <v>0</v>
      </c>
      <c r="K482" s="87">
        <f>SUM(K478:K481)</f>
        <v>0</v>
      </c>
      <c r="L482" s="87">
        <f>SUM(L478:L481)</f>
        <v>0</v>
      </c>
      <c r="M482" s="59">
        <f>SUM(J482:L482)</f>
        <v>0</v>
      </c>
      <c r="N482" s="87">
        <f>SUM(N478:N481)</f>
        <v>0</v>
      </c>
      <c r="O482" s="87">
        <f>SUM(O478:O481)</f>
        <v>0</v>
      </c>
      <c r="P482" s="87">
        <f>SUM(P478:P481)</f>
        <v>0</v>
      </c>
      <c r="Q482" s="59">
        <f>SUM(N482:P482)</f>
        <v>0</v>
      </c>
      <c r="R482" s="59">
        <f>+E482+I482+M482+Q482</f>
        <v>12500</v>
      </c>
    </row>
    <row r="483" spans="1:20" ht="15.75" customHeight="1" x14ac:dyDescent="0.3">
      <c r="A483" s="15" t="s">
        <v>64</v>
      </c>
      <c r="B483" s="1"/>
      <c r="C483" s="1"/>
      <c r="D483" s="1"/>
      <c r="E483" s="55" t="s">
        <v>7</v>
      </c>
      <c r="F483" s="1"/>
      <c r="G483" s="1"/>
      <c r="H483" s="1"/>
      <c r="I483" s="55" t="s">
        <v>7</v>
      </c>
      <c r="J483" s="1"/>
      <c r="K483" s="1"/>
      <c r="L483" s="1"/>
      <c r="M483" s="55" t="s">
        <v>7</v>
      </c>
      <c r="N483" s="1"/>
      <c r="O483" s="1"/>
      <c r="P483" s="1"/>
      <c r="Q483" s="55" t="s">
        <v>7</v>
      </c>
      <c r="R483" s="55" t="s">
        <v>7</v>
      </c>
    </row>
    <row r="484" spans="1:20" ht="15.75" customHeight="1" x14ac:dyDescent="0.3">
      <c r="A484" s="15" t="s">
        <v>594</v>
      </c>
      <c r="B484" s="1"/>
      <c r="C484" s="1"/>
      <c r="D484" s="1"/>
      <c r="E484" s="55" t="s">
        <v>7</v>
      </c>
      <c r="F484" s="1"/>
      <c r="G484" s="1"/>
      <c r="H484" s="1"/>
      <c r="I484" s="55" t="s">
        <v>7</v>
      </c>
      <c r="J484" s="1"/>
      <c r="K484" s="1"/>
      <c r="L484" s="1"/>
      <c r="M484" s="55" t="s">
        <v>7</v>
      </c>
      <c r="N484" s="1"/>
      <c r="O484" s="1"/>
      <c r="P484" s="1"/>
      <c r="Q484" s="55" t="s">
        <v>7</v>
      </c>
      <c r="R484" s="55" t="s">
        <v>7</v>
      </c>
    </row>
    <row r="485" spans="1:20" ht="15.75" customHeight="1" x14ac:dyDescent="0.3">
      <c r="A485" s="15" t="s">
        <v>67</v>
      </c>
      <c r="B485" s="1"/>
      <c r="C485" s="1"/>
      <c r="D485" s="1"/>
      <c r="E485" s="55" t="s">
        <v>7</v>
      </c>
      <c r="F485" s="1"/>
      <c r="G485" s="1"/>
      <c r="H485" s="1"/>
      <c r="I485" s="55" t="s">
        <v>7</v>
      </c>
      <c r="J485" s="1"/>
      <c r="K485" s="1"/>
      <c r="L485" s="1"/>
      <c r="M485" s="55" t="s">
        <v>7</v>
      </c>
      <c r="N485" s="1"/>
      <c r="O485" s="1"/>
      <c r="P485" s="1"/>
      <c r="Q485" s="55" t="s">
        <v>7</v>
      </c>
      <c r="R485" s="55" t="s">
        <v>7</v>
      </c>
    </row>
    <row r="486" spans="1:20" ht="15.75" customHeight="1" x14ac:dyDescent="0.3">
      <c r="A486" s="15" t="s">
        <v>600</v>
      </c>
      <c r="B486" s="1"/>
      <c r="C486" s="1"/>
      <c r="D486" s="1"/>
      <c r="E486" s="55" t="s">
        <v>7</v>
      </c>
      <c r="F486" s="1"/>
      <c r="G486" s="1"/>
      <c r="H486" s="1"/>
      <c r="I486" s="55" t="s">
        <v>7</v>
      </c>
      <c r="J486" s="1"/>
      <c r="K486" s="1"/>
      <c r="L486" s="1"/>
      <c r="M486" s="55" t="s">
        <v>7</v>
      </c>
      <c r="N486" s="1"/>
      <c r="O486" s="1"/>
      <c r="P486" s="1"/>
      <c r="Q486" s="55" t="s">
        <v>7</v>
      </c>
      <c r="R486" s="55" t="s">
        <v>7</v>
      </c>
    </row>
    <row r="487" spans="1:20" ht="15.75" customHeight="1" x14ac:dyDescent="0.3">
      <c r="A487" s="71" t="s">
        <v>570</v>
      </c>
      <c r="B487" s="1"/>
      <c r="C487" s="1"/>
      <c r="D487" s="1"/>
      <c r="E487" s="55">
        <f>SUM(B487:D487)</f>
        <v>0</v>
      </c>
      <c r="F487" s="1"/>
      <c r="G487" s="1"/>
      <c r="H487" s="1"/>
      <c r="I487" s="55">
        <f>SUM(F487:H487)</f>
        <v>0</v>
      </c>
      <c r="J487" s="1"/>
      <c r="K487" s="1"/>
      <c r="L487" s="1"/>
      <c r="M487" s="55">
        <f>SUM(J487:L487)</f>
        <v>0</v>
      </c>
      <c r="N487" s="1"/>
      <c r="O487" s="1"/>
      <c r="P487" s="1"/>
      <c r="Q487" s="55">
        <f>SUM(N487:P487)</f>
        <v>0</v>
      </c>
      <c r="R487" s="55">
        <f>+E487+I487+M487+Q487</f>
        <v>0</v>
      </c>
    </row>
    <row r="488" spans="1:20" ht="15.75" customHeight="1" x14ac:dyDescent="0.3">
      <c r="A488" s="15" t="s">
        <v>70</v>
      </c>
      <c r="B488" s="1"/>
      <c r="C488" s="1"/>
      <c r="D488" s="1"/>
      <c r="E488" s="55"/>
      <c r="F488" s="1"/>
      <c r="G488" s="1"/>
      <c r="H488" s="1"/>
      <c r="I488" s="55"/>
      <c r="J488" s="1"/>
      <c r="K488" s="1"/>
      <c r="L488" s="1"/>
      <c r="M488" s="55"/>
      <c r="N488" s="1"/>
      <c r="O488" s="1"/>
      <c r="P488" s="1"/>
      <c r="Q488" s="55"/>
      <c r="R488" s="55" t="s">
        <v>7</v>
      </c>
    </row>
    <row r="489" spans="1:20" ht="15.75" customHeight="1" x14ac:dyDescent="0.3">
      <c r="A489" s="71" t="s">
        <v>1145</v>
      </c>
      <c r="B489" s="1"/>
      <c r="C489" s="1"/>
      <c r="D489" s="1"/>
      <c r="E489" s="55">
        <f t="shared" ref="E489:E495" si="88">SUM(B489:D489)</f>
        <v>0</v>
      </c>
      <c r="F489" s="1"/>
      <c r="G489" s="1"/>
      <c r="H489" s="1"/>
      <c r="I489" s="55">
        <f t="shared" ref="I489:I495" si="89">SUM(F489:H489)</f>
        <v>0</v>
      </c>
      <c r="J489" s="1"/>
      <c r="K489" s="1"/>
      <c r="L489" s="1"/>
      <c r="M489" s="55">
        <f t="shared" ref="M489:M495" si="90">SUM(J489:L489)</f>
        <v>0</v>
      </c>
      <c r="N489" s="1"/>
      <c r="O489" s="1"/>
      <c r="P489" s="1"/>
      <c r="Q489" s="55">
        <f t="shared" ref="Q489:Q495" si="91">SUM(N489:P489)</f>
        <v>0</v>
      </c>
      <c r="R489" s="55">
        <f t="shared" ref="R489:R495" si="92">+E489+I489+M489+Q489</f>
        <v>0</v>
      </c>
      <c r="T489" s="4" t="s">
        <v>939</v>
      </c>
    </row>
    <row r="490" spans="1:20" ht="15.75" customHeight="1" x14ac:dyDescent="0.3">
      <c r="A490" s="71" t="s">
        <v>986</v>
      </c>
      <c r="B490" s="1"/>
      <c r="C490" s="1"/>
      <c r="D490" s="1"/>
      <c r="E490" s="55">
        <f>SUM(B490:D490)</f>
        <v>0</v>
      </c>
      <c r="F490" s="1"/>
      <c r="G490" s="1"/>
      <c r="H490" s="1"/>
      <c r="I490" s="55">
        <f>SUM(F490:H490)</f>
        <v>0</v>
      </c>
      <c r="J490" s="1"/>
      <c r="K490" s="1"/>
      <c r="L490" s="1"/>
      <c r="M490" s="55">
        <f>SUM(J490:L490)</f>
        <v>0</v>
      </c>
      <c r="N490" s="1"/>
      <c r="O490" s="1"/>
      <c r="P490" s="1"/>
      <c r="Q490" s="55">
        <f>SUM(N490:P490)</f>
        <v>0</v>
      </c>
      <c r="R490" s="55">
        <f>+E490+I490+M490+Q490</f>
        <v>0</v>
      </c>
      <c r="T490" s="4" t="s">
        <v>939</v>
      </c>
    </row>
    <row r="491" spans="1:20" ht="15.75" customHeight="1" thickBot="1" x14ac:dyDescent="0.35">
      <c r="A491" s="71" t="s">
        <v>761</v>
      </c>
      <c r="B491" s="1"/>
      <c r="C491" s="1"/>
      <c r="D491" s="1"/>
      <c r="E491" s="55">
        <f t="shared" si="88"/>
        <v>0</v>
      </c>
      <c r="F491" s="1"/>
      <c r="G491" s="1"/>
      <c r="H491" s="1"/>
      <c r="I491" s="55">
        <f t="shared" si="89"/>
        <v>0</v>
      </c>
      <c r="J491" s="1"/>
      <c r="K491" s="1"/>
      <c r="L491" s="1"/>
      <c r="M491" s="55">
        <f t="shared" si="90"/>
        <v>0</v>
      </c>
      <c r="N491" s="1"/>
      <c r="O491" s="1"/>
      <c r="P491" s="1"/>
      <c r="Q491" s="55">
        <f t="shared" si="91"/>
        <v>0</v>
      </c>
      <c r="R491" s="55">
        <f t="shared" si="92"/>
        <v>0</v>
      </c>
    </row>
    <row r="492" spans="1:20" ht="16.5" customHeight="1" thickBot="1" x14ac:dyDescent="0.35">
      <c r="A492" s="57" t="s">
        <v>71</v>
      </c>
      <c r="B492" s="58">
        <f>SUM(B486:B491)</f>
        <v>0</v>
      </c>
      <c r="C492" s="58">
        <f>SUM(C486:C491)</f>
        <v>0</v>
      </c>
      <c r="D492" s="58">
        <f>SUM(D486:D491)</f>
        <v>0</v>
      </c>
      <c r="E492" s="60">
        <f t="shared" si="88"/>
        <v>0</v>
      </c>
      <c r="F492" s="58">
        <f>SUM(F486:F491)</f>
        <v>0</v>
      </c>
      <c r="G492" s="58">
        <f>SUM(G486:G491)</f>
        <v>0</v>
      </c>
      <c r="H492" s="58">
        <f>SUM(H486:H491)</f>
        <v>0</v>
      </c>
      <c r="I492" s="60">
        <f t="shared" si="89"/>
        <v>0</v>
      </c>
      <c r="J492" s="58">
        <f>SUM(J486:J491)</f>
        <v>0</v>
      </c>
      <c r="K492" s="58">
        <f>SUM(K486:K491)</f>
        <v>0</v>
      </c>
      <c r="L492" s="58">
        <f>SUM(L486:L491)</f>
        <v>0</v>
      </c>
      <c r="M492" s="60">
        <f t="shared" si="90"/>
        <v>0</v>
      </c>
      <c r="N492" s="58">
        <f>SUM(N486:N491)</f>
        <v>0</v>
      </c>
      <c r="O492" s="58">
        <f>SUM(O486:O491)</f>
        <v>0</v>
      </c>
      <c r="P492" s="58">
        <f>SUM(P486:P491)</f>
        <v>0</v>
      </c>
      <c r="Q492" s="60">
        <f t="shared" si="91"/>
        <v>0</v>
      </c>
      <c r="R492" s="59">
        <f t="shared" si="92"/>
        <v>0</v>
      </c>
    </row>
    <row r="493" spans="1:20" ht="16.5" customHeight="1" thickBot="1" x14ac:dyDescent="0.35">
      <c r="A493" s="114" t="s">
        <v>72</v>
      </c>
      <c r="B493" s="86">
        <f>SUM(B483:B491)</f>
        <v>0</v>
      </c>
      <c r="C493" s="87">
        <f>SUM(C483:C491)</f>
        <v>0</v>
      </c>
      <c r="D493" s="118">
        <f>SUM(D483:D491)</f>
        <v>0</v>
      </c>
      <c r="E493" s="60">
        <f t="shared" si="88"/>
        <v>0</v>
      </c>
      <c r="F493" s="87">
        <f>SUM(F483:F491)</f>
        <v>0</v>
      </c>
      <c r="G493" s="87">
        <f>SUM(G483:G491)</f>
        <v>0</v>
      </c>
      <c r="H493" s="87">
        <f>SUM(H483:H491)</f>
        <v>0</v>
      </c>
      <c r="I493" s="60">
        <f t="shared" si="89"/>
        <v>0</v>
      </c>
      <c r="J493" s="87">
        <f>SUM(J483:J491)</f>
        <v>0</v>
      </c>
      <c r="K493" s="87">
        <f>SUM(K483:K491)</f>
        <v>0</v>
      </c>
      <c r="L493" s="87">
        <f>SUM(L483:L491)</f>
        <v>0</v>
      </c>
      <c r="M493" s="60">
        <f t="shared" si="90"/>
        <v>0</v>
      </c>
      <c r="N493" s="87">
        <f>SUM(N483:N491)</f>
        <v>0</v>
      </c>
      <c r="O493" s="87">
        <f>SUM(O483:O491)</f>
        <v>0</v>
      </c>
      <c r="P493" s="87">
        <f>SUM(P483:P491)</f>
        <v>0</v>
      </c>
      <c r="Q493" s="60">
        <f t="shared" si="91"/>
        <v>0</v>
      </c>
      <c r="R493" s="59">
        <f t="shared" si="92"/>
        <v>0</v>
      </c>
    </row>
    <row r="494" spans="1:20" ht="16.5" customHeight="1" thickBot="1" x14ac:dyDescent="0.35">
      <c r="A494" s="57" t="s">
        <v>73</v>
      </c>
      <c r="B494" s="90">
        <f>+B471+B477+B482+B493</f>
        <v>525</v>
      </c>
      <c r="C494" s="58">
        <f>+C471+C477+C482+C493</f>
        <v>648</v>
      </c>
      <c r="D494" s="58">
        <f>+D471+D477+D482+D493</f>
        <v>4416</v>
      </c>
      <c r="E494" s="59">
        <f t="shared" si="88"/>
        <v>5589</v>
      </c>
      <c r="F494" s="58">
        <f>+F471+F477+F482+F493</f>
        <v>9376</v>
      </c>
      <c r="G494" s="58">
        <f>+G471+G477+G482+G493</f>
        <v>11111</v>
      </c>
      <c r="H494" s="58">
        <f>+H471+H477+H482+H493</f>
        <v>7576</v>
      </c>
      <c r="I494" s="59">
        <f t="shared" si="89"/>
        <v>28063</v>
      </c>
      <c r="J494" s="58">
        <f>+J471+J477+J482+J493</f>
        <v>8501</v>
      </c>
      <c r="K494" s="58">
        <f>+K471+K477+K482+K493</f>
        <v>7190</v>
      </c>
      <c r="L494" s="58">
        <f>+L471+L477+L482+L493</f>
        <v>2080</v>
      </c>
      <c r="M494" s="59">
        <f t="shared" si="90"/>
        <v>17771</v>
      </c>
      <c r="N494" s="58">
        <f>+N471+N477+N482+N493</f>
        <v>1484</v>
      </c>
      <c r="O494" s="58">
        <f>+O471+O477+O482+O493</f>
        <v>367</v>
      </c>
      <c r="P494" s="58">
        <f>+P471+P477+P482+P493</f>
        <v>530</v>
      </c>
      <c r="Q494" s="59">
        <f t="shared" si="91"/>
        <v>2381</v>
      </c>
      <c r="R494" s="81">
        <f t="shared" si="92"/>
        <v>53804</v>
      </c>
    </row>
    <row r="495" spans="1:20" ht="16.5" customHeight="1" thickBot="1" x14ac:dyDescent="0.35">
      <c r="A495" s="39" t="s">
        <v>40</v>
      </c>
      <c r="B495" s="21">
        <v>23</v>
      </c>
      <c r="C495" s="21">
        <v>43</v>
      </c>
      <c r="D495" s="21">
        <v>66</v>
      </c>
      <c r="E495" s="81">
        <f t="shared" si="88"/>
        <v>132</v>
      </c>
      <c r="F495" s="21">
        <v>91</v>
      </c>
      <c r="G495" s="21">
        <v>108</v>
      </c>
      <c r="H495" s="21">
        <v>109</v>
      </c>
      <c r="I495" s="81">
        <f t="shared" si="89"/>
        <v>308</v>
      </c>
      <c r="J495" s="21">
        <v>104</v>
      </c>
      <c r="K495" s="21">
        <v>79</v>
      </c>
      <c r="L495" s="21">
        <v>80</v>
      </c>
      <c r="M495" s="81">
        <f t="shared" si="90"/>
        <v>263</v>
      </c>
      <c r="N495" s="21">
        <v>74</v>
      </c>
      <c r="O495" s="21">
        <v>58</v>
      </c>
      <c r="P495" s="21">
        <v>42</v>
      </c>
      <c r="Q495" s="81">
        <f t="shared" si="91"/>
        <v>174</v>
      </c>
      <c r="R495" s="55">
        <f t="shared" si="92"/>
        <v>877</v>
      </c>
    </row>
    <row r="496" spans="1:20" ht="16.5" customHeight="1" thickBot="1" x14ac:dyDescent="0.35">
      <c r="A496" s="41"/>
      <c r="B496" s="36"/>
      <c r="C496" s="36"/>
      <c r="D496" s="36"/>
      <c r="E496" s="42"/>
      <c r="F496" s="36"/>
      <c r="G496" s="36"/>
      <c r="H496" s="36"/>
      <c r="I496" s="126"/>
      <c r="J496" s="36"/>
      <c r="K496" s="36"/>
      <c r="L496" s="36"/>
      <c r="M496" s="126"/>
      <c r="N496" s="36"/>
      <c r="O496" s="36"/>
      <c r="P496" s="36"/>
      <c r="Q496" s="126"/>
      <c r="R496" s="42"/>
    </row>
    <row r="497" spans="1:20" ht="15.75" customHeight="1" x14ac:dyDescent="0.3">
      <c r="A497" s="15" t="s">
        <v>314</v>
      </c>
      <c r="B497" s="77">
        <f>SUM(B494:B495)</f>
        <v>548</v>
      </c>
      <c r="C497" s="77">
        <f>SUM(C494:C495)</f>
        <v>691</v>
      </c>
      <c r="D497" s="77">
        <f>SUM(D494:D495)</f>
        <v>4482</v>
      </c>
      <c r="E497" s="60">
        <f>SUM(B497:D497)</f>
        <v>5721</v>
      </c>
      <c r="F497" s="77">
        <f>SUM(F494:F495)</f>
        <v>9467</v>
      </c>
      <c r="G497" s="77">
        <f>SUM(G494:G495)</f>
        <v>11219</v>
      </c>
      <c r="H497" s="77">
        <f>SUM(H494:H495)</f>
        <v>7685</v>
      </c>
      <c r="I497" s="60">
        <f>SUM(F497:H497)</f>
        <v>28371</v>
      </c>
      <c r="J497" s="77">
        <f>SUM(J494:J495)</f>
        <v>8605</v>
      </c>
      <c r="K497" s="77">
        <f>SUM(K494:K495)</f>
        <v>7269</v>
      </c>
      <c r="L497" s="77">
        <f>SUM(L494:L495)</f>
        <v>2160</v>
      </c>
      <c r="M497" s="60">
        <f>SUM(J497:L497)</f>
        <v>18034</v>
      </c>
      <c r="N497" s="77">
        <f>SUM(N494:N495)</f>
        <v>1558</v>
      </c>
      <c r="O497" s="77">
        <f>SUM(O494:O495)</f>
        <v>425</v>
      </c>
      <c r="P497" s="77">
        <f>SUM(P494:P495)</f>
        <v>572</v>
      </c>
      <c r="Q497" s="60">
        <f>SUM(N497:P497)</f>
        <v>2555</v>
      </c>
      <c r="R497" s="60">
        <f>+E497+I497+M497+Q497</f>
        <v>54681</v>
      </c>
    </row>
    <row r="498" spans="1:20" ht="15.75" customHeight="1" x14ac:dyDescent="0.3">
      <c r="A498" s="15" t="s">
        <v>42</v>
      </c>
      <c r="B498" s="1">
        <f>(B497/B10)/1.983</f>
        <v>8.91448278105835</v>
      </c>
      <c r="C498" s="1">
        <f>(C497/C10)/1.983</f>
        <v>12.445068799077875</v>
      </c>
      <c r="D498" s="1">
        <f>(D497/D10)/1.983</f>
        <v>72.91005807427652</v>
      </c>
      <c r="E498" s="55" t="s">
        <v>7</v>
      </c>
      <c r="F498" s="1">
        <f>(F497/F10)/1.983</f>
        <v>159.13598924188938</v>
      </c>
      <c r="G498" s="1">
        <f>(G497/G10)/1.983</f>
        <v>182.50288744652121</v>
      </c>
      <c r="H498" s="1">
        <f>(H497/H10)/1.983</f>
        <v>129.18137502101195</v>
      </c>
      <c r="I498" s="55" t="s">
        <v>7</v>
      </c>
      <c r="J498" s="1">
        <f>(J497/J10)/1.983</f>
        <v>139.98015388869908</v>
      </c>
      <c r="K498" s="1">
        <f>(K497/K10)/1.983</f>
        <v>118.24703528378311</v>
      </c>
      <c r="L498" s="1">
        <f>(L497/L10)/1.983</f>
        <v>36.308623298033282</v>
      </c>
      <c r="M498" s="55" t="s">
        <v>7</v>
      </c>
      <c r="N498" s="1">
        <f>(N497/N10)/1.983</f>
        <v>25.344460169505311</v>
      </c>
      <c r="O498" s="1">
        <f>(O497/O10)/1.983</f>
        <v>7.144057824844511</v>
      </c>
      <c r="P498" s="1">
        <f>(P497/P10)/1.983</f>
        <v>9.3048980853382783</v>
      </c>
      <c r="Q498" s="55" t="s">
        <v>7</v>
      </c>
      <c r="R498" s="55" t="s">
        <v>7</v>
      </c>
    </row>
    <row r="499" spans="1:20" ht="15.75" customHeight="1" x14ac:dyDescent="0.3">
      <c r="A499" s="15" t="s">
        <v>315</v>
      </c>
      <c r="B499" s="1">
        <f>B497+B552</f>
        <v>15595</v>
      </c>
      <c r="C499" s="1">
        <f>C497+C552</f>
        <v>14190</v>
      </c>
      <c r="D499" s="1">
        <f>D497+D552</f>
        <v>25950</v>
      </c>
      <c r="E499" s="55">
        <f>SUM(B499:D499)</f>
        <v>55735</v>
      </c>
      <c r="F499" s="1">
        <f>F497+F552</f>
        <v>34652</v>
      </c>
      <c r="G499" s="1">
        <f>G497+G552</f>
        <v>35381</v>
      </c>
      <c r="H499" s="1">
        <f>H497+H552</f>
        <v>28091</v>
      </c>
      <c r="I499" s="55">
        <f>SUM(F499:H499)</f>
        <v>98124</v>
      </c>
      <c r="J499" s="1">
        <f>J497+J552</f>
        <v>30914</v>
      </c>
      <c r="K499" s="1">
        <f>K497+K552</f>
        <v>32667</v>
      </c>
      <c r="L499" s="1">
        <f>L497+L552</f>
        <v>24657</v>
      </c>
      <c r="M499" s="55">
        <f>SUM(J499:L499)</f>
        <v>88238</v>
      </c>
      <c r="N499" s="1">
        <f>N497+N552</f>
        <v>16735</v>
      </c>
      <c r="O499" s="1">
        <f>O497+O552</f>
        <v>11191</v>
      </c>
      <c r="P499" s="1">
        <f>P497+P552</f>
        <v>18648</v>
      </c>
      <c r="Q499" s="55">
        <f>SUM(N499:P499)</f>
        <v>46574</v>
      </c>
      <c r="R499" s="55">
        <f>+E499+I499+M499+Q499</f>
        <v>288671</v>
      </c>
    </row>
    <row r="500" spans="1:20" ht="16.5" customHeight="1" thickBot="1" x14ac:dyDescent="0.35">
      <c r="A500" s="20" t="s">
        <v>316</v>
      </c>
      <c r="B500" s="25">
        <f>(B499/B10)/1.983</f>
        <v>253.68861126022804</v>
      </c>
      <c r="C500" s="25">
        <f>(C499/C10)/1.983</f>
        <v>255.56516101145448</v>
      </c>
      <c r="D500" s="25">
        <f>(D499/D10)/1.983</f>
        <v>422.1365477526719</v>
      </c>
      <c r="E500" s="81" t="s">
        <v>7</v>
      </c>
      <c r="F500" s="25">
        <f>(F499/F10)/1.983</f>
        <v>582.48445116826349</v>
      </c>
      <c r="G500" s="25">
        <f>(G499/G10)/1.983</f>
        <v>575.55349503033847</v>
      </c>
      <c r="H500" s="25">
        <f>(H499/H10)/1.983</f>
        <v>472.19700790048745</v>
      </c>
      <c r="I500" s="81" t="s">
        <v>7</v>
      </c>
      <c r="J500" s="25">
        <f>(J499/J10)/1.983</f>
        <v>502.88744652123694</v>
      </c>
      <c r="K500" s="25">
        <f>(K499/K10)/1.983</f>
        <v>531.40403103801668</v>
      </c>
      <c r="L500" s="25">
        <f>(L499/L10)/1.983</f>
        <v>414.47302067574378</v>
      </c>
      <c r="M500" s="81" t="s">
        <v>7</v>
      </c>
      <c r="N500" s="25">
        <f>(N499/N10)/1.983</f>
        <v>272.23333821352463</v>
      </c>
      <c r="O500" s="25">
        <f>(O499/O10)/1.983</f>
        <v>188.11564968902337</v>
      </c>
      <c r="P500" s="25">
        <f>(P499/P10)/1.983</f>
        <v>303.35269142550385</v>
      </c>
      <c r="Q500" s="81" t="s">
        <v>7</v>
      </c>
      <c r="R500" s="81" t="s">
        <v>7</v>
      </c>
    </row>
    <row r="501" spans="1:20" ht="15.75" customHeight="1" x14ac:dyDescent="0.3">
      <c r="A501" s="2"/>
      <c r="B501" s="1"/>
      <c r="C501" s="1"/>
      <c r="D501" s="1"/>
      <c r="E501" s="1"/>
      <c r="F501" s="1"/>
      <c r="G501" s="1"/>
      <c r="H501" s="1"/>
      <c r="I501" s="1"/>
      <c r="J501" s="1"/>
      <c r="K501" s="1"/>
      <c r="L501" s="1"/>
      <c r="M501" s="1"/>
      <c r="N501" s="1"/>
      <c r="O501" s="1"/>
      <c r="P501" s="1"/>
      <c r="Q501" s="1"/>
      <c r="R501" s="2"/>
    </row>
    <row r="502" spans="1:20" ht="15.75" customHeight="1" thickBot="1" x14ac:dyDescent="0.35">
      <c r="A502" s="2"/>
      <c r="B502" s="1"/>
      <c r="C502" s="1"/>
      <c r="D502" s="1"/>
      <c r="E502" s="1"/>
      <c r="F502" s="1"/>
      <c r="G502" s="1"/>
      <c r="H502" s="1"/>
      <c r="I502" s="1"/>
      <c r="J502" s="1"/>
      <c r="K502" s="1"/>
      <c r="L502" s="1"/>
      <c r="M502" s="1"/>
      <c r="N502" s="1"/>
      <c r="O502" s="1"/>
      <c r="P502" s="1"/>
      <c r="Q502" s="1"/>
      <c r="R502" s="2"/>
    </row>
    <row r="503" spans="1:20" ht="16.5" customHeight="1" thickBot="1" x14ac:dyDescent="0.35">
      <c r="A503" s="124" t="s">
        <v>317</v>
      </c>
      <c r="B503" s="30" t="s">
        <v>8</v>
      </c>
      <c r="C503" s="31" t="s">
        <v>9</v>
      </c>
      <c r="D503" s="31" t="s">
        <v>10</v>
      </c>
      <c r="E503" s="32" t="s">
        <v>11</v>
      </c>
      <c r="F503" s="31" t="s">
        <v>12</v>
      </c>
      <c r="G503" s="31" t="s">
        <v>13</v>
      </c>
      <c r="H503" s="31" t="s">
        <v>14</v>
      </c>
      <c r="I503" s="33" t="s">
        <v>15</v>
      </c>
      <c r="J503" s="31" t="s">
        <v>16</v>
      </c>
      <c r="K503" s="31" t="s">
        <v>17</v>
      </c>
      <c r="L503" s="31" t="s">
        <v>18</v>
      </c>
      <c r="M503" s="33" t="s">
        <v>19</v>
      </c>
      <c r="N503" s="31" t="s">
        <v>20</v>
      </c>
      <c r="O503" s="31" t="s">
        <v>21</v>
      </c>
      <c r="P503" s="31" t="s">
        <v>22</v>
      </c>
      <c r="Q503" s="33" t="s">
        <v>23</v>
      </c>
      <c r="R503" s="34" t="s">
        <v>24</v>
      </c>
    </row>
    <row r="504" spans="1:20" ht="16.5" customHeight="1" thickBot="1" x14ac:dyDescent="0.35">
      <c r="A504" s="59"/>
      <c r="B504" s="75"/>
      <c r="C504" s="75"/>
      <c r="D504" s="75"/>
      <c r="E504" s="69"/>
      <c r="F504" s="75"/>
      <c r="G504" s="75"/>
      <c r="H504" s="75"/>
      <c r="I504" s="82"/>
      <c r="J504" s="75"/>
      <c r="K504" s="75"/>
      <c r="L504" s="75"/>
      <c r="M504" s="82"/>
      <c r="N504" s="75"/>
      <c r="O504" s="75"/>
      <c r="P504" s="75"/>
      <c r="Q504" s="82"/>
      <c r="R504" s="100"/>
    </row>
    <row r="505" spans="1:20" ht="15.75" customHeight="1" x14ac:dyDescent="0.3">
      <c r="A505" s="15" t="s">
        <v>48</v>
      </c>
      <c r="B505" s="1" t="s">
        <v>7</v>
      </c>
      <c r="C505" s="1" t="s">
        <v>7</v>
      </c>
      <c r="D505" s="1" t="s">
        <v>7</v>
      </c>
      <c r="E505" s="55" t="s">
        <v>7</v>
      </c>
      <c r="F505" s="1" t="s">
        <v>7</v>
      </c>
      <c r="G505" s="1" t="s">
        <v>7</v>
      </c>
      <c r="H505" s="1" t="s">
        <v>7</v>
      </c>
      <c r="I505" s="55" t="s">
        <v>7</v>
      </c>
      <c r="J505" s="1" t="s">
        <v>7</v>
      </c>
      <c r="K505" s="1" t="s">
        <v>7</v>
      </c>
      <c r="L505" s="1" t="s">
        <v>7</v>
      </c>
      <c r="M505" s="55" t="s">
        <v>7</v>
      </c>
      <c r="N505" s="1" t="s">
        <v>7</v>
      </c>
      <c r="O505" s="1" t="s">
        <v>7</v>
      </c>
      <c r="P505" s="1" t="s">
        <v>7</v>
      </c>
      <c r="Q505" s="55" t="s">
        <v>7</v>
      </c>
      <c r="R505" s="55" t="s">
        <v>7</v>
      </c>
    </row>
    <row r="506" spans="1:20" ht="15.75" customHeight="1" x14ac:dyDescent="0.3">
      <c r="A506" s="15" t="s">
        <v>49</v>
      </c>
      <c r="B506" s="1"/>
      <c r="C506" s="1"/>
      <c r="D506" s="1"/>
      <c r="E506" s="55" t="s">
        <v>7</v>
      </c>
      <c r="F506" s="1"/>
      <c r="G506" s="1"/>
      <c r="H506" s="1"/>
      <c r="I506" s="55" t="s">
        <v>7</v>
      </c>
      <c r="J506" s="1"/>
      <c r="K506" s="1"/>
      <c r="L506" s="1"/>
      <c r="M506" s="55" t="s">
        <v>7</v>
      </c>
      <c r="N506" s="1"/>
      <c r="O506" s="1"/>
      <c r="P506" s="1"/>
      <c r="Q506" s="55" t="s">
        <v>7</v>
      </c>
      <c r="R506" s="55" t="s">
        <v>7</v>
      </c>
    </row>
    <row r="507" spans="1:20" ht="15.75" customHeight="1" x14ac:dyDescent="0.3">
      <c r="A507" s="71" t="s">
        <v>762</v>
      </c>
      <c r="B507" s="1">
        <v>467</v>
      </c>
      <c r="C507" s="1">
        <v>436</v>
      </c>
      <c r="D507" s="1">
        <v>766</v>
      </c>
      <c r="E507" s="55">
        <f t="shared" ref="E507:E513" si="93">SUM(B507:D507)</f>
        <v>1669</v>
      </c>
      <c r="F507" s="1">
        <v>704</v>
      </c>
      <c r="G507" s="1">
        <v>758</v>
      </c>
      <c r="H507" s="1">
        <v>541</v>
      </c>
      <c r="I507" s="55">
        <f t="shared" ref="I507:I513" si="94">SUM(F507:H507)</f>
        <v>2003</v>
      </c>
      <c r="J507" s="1">
        <v>558</v>
      </c>
      <c r="K507" s="1">
        <v>687</v>
      </c>
      <c r="L507" s="1">
        <v>662</v>
      </c>
      <c r="M507" s="55">
        <f t="shared" ref="M507:M513" si="95">SUM(J507:L507)</f>
        <v>1907</v>
      </c>
      <c r="N507" s="1">
        <v>472</v>
      </c>
      <c r="O507" s="1">
        <v>166</v>
      </c>
      <c r="P507" s="1">
        <v>15</v>
      </c>
      <c r="Q507" s="55">
        <f t="shared" ref="Q507:Q513" si="96">SUM(N507:P507)</f>
        <v>653</v>
      </c>
      <c r="R507" s="55">
        <f t="shared" ref="R507:R513" si="97">+E507+I507+M507+Q507</f>
        <v>6232</v>
      </c>
    </row>
    <row r="508" spans="1:20" ht="15.75" customHeight="1" x14ac:dyDescent="0.3">
      <c r="A508" s="71" t="s">
        <v>320</v>
      </c>
      <c r="B508" s="1"/>
      <c r="C508" s="1"/>
      <c r="D508" s="1"/>
      <c r="E508" s="55">
        <f>SUM(B508:D508)</f>
        <v>0</v>
      </c>
      <c r="F508" s="1"/>
      <c r="G508" s="1"/>
      <c r="H508" s="1"/>
      <c r="I508" s="55">
        <f>SUM(F508:H508)</f>
        <v>0</v>
      </c>
      <c r="J508" s="1">
        <v>100</v>
      </c>
      <c r="K508" s="1"/>
      <c r="L508" s="1"/>
      <c r="M508" s="55">
        <f>SUM(J508:L508)</f>
        <v>100</v>
      </c>
      <c r="N508" s="1"/>
      <c r="O508" s="1"/>
      <c r="P508" s="1"/>
      <c r="Q508" s="55">
        <f>SUM(N508:P508)</f>
        <v>0</v>
      </c>
      <c r="R508" s="55">
        <f>+E508+I508+M508+Q508</f>
        <v>100</v>
      </c>
    </row>
    <row r="509" spans="1:20" ht="15.75" customHeight="1" x14ac:dyDescent="0.3">
      <c r="A509" s="71" t="s">
        <v>318</v>
      </c>
      <c r="B509" s="1"/>
      <c r="C509" s="1"/>
      <c r="D509" s="1">
        <v>465</v>
      </c>
      <c r="E509" s="55">
        <f t="shared" si="93"/>
        <v>465</v>
      </c>
      <c r="F509" s="1">
        <v>2022</v>
      </c>
      <c r="G509" s="1"/>
      <c r="H509" s="1">
        <v>750</v>
      </c>
      <c r="I509" s="55">
        <f t="shared" si="94"/>
        <v>2772</v>
      </c>
      <c r="J509" s="1">
        <v>1121</v>
      </c>
      <c r="K509" s="1"/>
      <c r="L509" s="1"/>
      <c r="M509" s="55">
        <f t="shared" si="95"/>
        <v>1121</v>
      </c>
      <c r="N509" s="1"/>
      <c r="O509" s="1"/>
      <c r="P509" s="1"/>
      <c r="Q509" s="55">
        <f t="shared" si="96"/>
        <v>0</v>
      </c>
      <c r="R509" s="55">
        <f t="shared" si="97"/>
        <v>4358</v>
      </c>
      <c r="T509" s="4" t="s">
        <v>987</v>
      </c>
    </row>
    <row r="510" spans="1:20" ht="15.75" customHeight="1" x14ac:dyDescent="0.3">
      <c r="A510" s="71" t="s">
        <v>763</v>
      </c>
      <c r="B510" s="1"/>
      <c r="C510" s="1"/>
      <c r="D510" s="1"/>
      <c r="E510" s="55">
        <f>SUM(B510:D510)</f>
        <v>0</v>
      </c>
      <c r="F510" s="1"/>
      <c r="G510" s="1"/>
      <c r="H510" s="1"/>
      <c r="I510" s="55">
        <f>SUM(F510:H510)</f>
        <v>0</v>
      </c>
      <c r="J510" s="1"/>
      <c r="K510" s="1"/>
      <c r="L510" s="1"/>
      <c r="M510" s="55">
        <f>SUM(J510:L510)</f>
        <v>0</v>
      </c>
      <c r="N510" s="1"/>
      <c r="O510" s="1"/>
      <c r="P510" s="1"/>
      <c r="Q510" s="55">
        <f>SUM(N510:P510)</f>
        <v>0</v>
      </c>
      <c r="R510" s="55">
        <f>+E510+I510+M510+Q510</f>
        <v>0</v>
      </c>
      <c r="T510" s="4" t="s">
        <v>988</v>
      </c>
    </row>
    <row r="511" spans="1:20" ht="15.75" customHeight="1" x14ac:dyDescent="0.3">
      <c r="A511" s="71" t="s">
        <v>572</v>
      </c>
      <c r="B511" s="1">
        <v>500</v>
      </c>
      <c r="C511" s="1">
        <v>129</v>
      </c>
      <c r="D511" s="1"/>
      <c r="E511" s="55">
        <f t="shared" si="93"/>
        <v>629</v>
      </c>
      <c r="F511" s="1"/>
      <c r="G511" s="1"/>
      <c r="H511" s="1"/>
      <c r="I511" s="55">
        <f t="shared" si="94"/>
        <v>0</v>
      </c>
      <c r="J511" s="1">
        <v>1371</v>
      </c>
      <c r="K511" s="1"/>
      <c r="L511" s="1"/>
      <c r="M511" s="55">
        <f t="shared" si="95"/>
        <v>1371</v>
      </c>
      <c r="N511" s="1"/>
      <c r="O511" s="1"/>
      <c r="P511" s="1"/>
      <c r="Q511" s="55">
        <f t="shared" si="96"/>
        <v>0</v>
      </c>
      <c r="R511" s="55">
        <f t="shared" si="97"/>
        <v>2000</v>
      </c>
      <c r="T511" s="4" t="s">
        <v>988</v>
      </c>
    </row>
    <row r="512" spans="1:20" ht="15.75" customHeight="1" x14ac:dyDescent="0.3">
      <c r="A512" s="71" t="s">
        <v>319</v>
      </c>
      <c r="B512" s="1"/>
      <c r="C512" s="1"/>
      <c r="D512" s="1"/>
      <c r="E512" s="55">
        <f t="shared" si="93"/>
        <v>0</v>
      </c>
      <c r="F512" s="1"/>
      <c r="G512" s="1"/>
      <c r="H512" s="1"/>
      <c r="I512" s="55">
        <f t="shared" si="94"/>
        <v>0</v>
      </c>
      <c r="J512" s="1">
        <v>1013</v>
      </c>
      <c r="K512" s="1">
        <v>1787</v>
      </c>
      <c r="L512" s="1"/>
      <c r="M512" s="55">
        <f t="shared" si="95"/>
        <v>2800</v>
      </c>
      <c r="N512" s="1"/>
      <c r="O512" s="1"/>
      <c r="P512" s="1"/>
      <c r="Q512" s="55">
        <f t="shared" si="96"/>
        <v>0</v>
      </c>
      <c r="R512" s="55">
        <f t="shared" si="97"/>
        <v>2800</v>
      </c>
      <c r="T512" s="4" t="s">
        <v>988</v>
      </c>
    </row>
    <row r="513" spans="1:20" ht="15.75" customHeight="1" x14ac:dyDescent="0.3">
      <c r="A513" s="71" t="s">
        <v>321</v>
      </c>
      <c r="B513" s="1">
        <v>1528</v>
      </c>
      <c r="C513" s="1"/>
      <c r="D513" s="1"/>
      <c r="E513" s="55">
        <f t="shared" si="93"/>
        <v>1528</v>
      </c>
      <c r="F513" s="1"/>
      <c r="G513" s="1"/>
      <c r="H513" s="1"/>
      <c r="I513" s="55">
        <f t="shared" si="94"/>
        <v>0</v>
      </c>
      <c r="J513" s="1"/>
      <c r="K513" s="1"/>
      <c r="L513" s="1"/>
      <c r="M513" s="55">
        <f t="shared" si="95"/>
        <v>0</v>
      </c>
      <c r="N513" s="1"/>
      <c r="O513" s="1"/>
      <c r="P513" s="1"/>
      <c r="Q513" s="55">
        <f t="shared" si="96"/>
        <v>0</v>
      </c>
      <c r="R513" s="55">
        <f t="shared" si="97"/>
        <v>1528</v>
      </c>
      <c r="T513" s="4" t="s">
        <v>988</v>
      </c>
    </row>
    <row r="514" spans="1:20" ht="15.75" customHeight="1" x14ac:dyDescent="0.3">
      <c r="A514" s="71" t="s">
        <v>764</v>
      </c>
      <c r="B514" s="1"/>
      <c r="C514" s="1"/>
      <c r="D514" s="1"/>
      <c r="E514" s="55">
        <f>SUM(B514:D514)</f>
        <v>0</v>
      </c>
      <c r="F514" s="1"/>
      <c r="G514" s="1"/>
      <c r="H514" s="1"/>
      <c r="I514" s="55">
        <f>SUM(F514:H514)</f>
        <v>0</v>
      </c>
      <c r="J514" s="1"/>
      <c r="K514" s="1">
        <v>180</v>
      </c>
      <c r="L514" s="1"/>
      <c r="M514" s="55">
        <f>SUM(J514:L514)</f>
        <v>180</v>
      </c>
      <c r="N514" s="1"/>
      <c r="O514" s="1"/>
      <c r="P514" s="1"/>
      <c r="Q514" s="55">
        <f>SUM(N514:P514)</f>
        <v>0</v>
      </c>
      <c r="R514" s="55">
        <f>+E514+I514+M514+Q514</f>
        <v>180</v>
      </c>
      <c r="T514" s="4" t="s">
        <v>987</v>
      </c>
    </row>
    <row r="515" spans="1:20" ht="15.75" customHeight="1" x14ac:dyDescent="0.3">
      <c r="A515" s="15" t="s">
        <v>50</v>
      </c>
      <c r="B515" s="1"/>
      <c r="C515" s="1"/>
      <c r="D515" s="1"/>
      <c r="E515" s="55" t="s">
        <v>7</v>
      </c>
      <c r="F515" s="1"/>
      <c r="G515" s="1"/>
      <c r="H515" s="1"/>
      <c r="I515" s="55" t="s">
        <v>7</v>
      </c>
      <c r="J515" s="1"/>
      <c r="K515" s="1"/>
      <c r="L515" s="1"/>
      <c r="M515" s="55" t="s">
        <v>7</v>
      </c>
      <c r="N515" s="1"/>
      <c r="O515" s="1"/>
      <c r="P515" s="1"/>
      <c r="Q515" s="55" t="s">
        <v>7</v>
      </c>
      <c r="R515" s="55" t="s">
        <v>7</v>
      </c>
    </row>
    <row r="516" spans="1:20" ht="15.75" customHeight="1" x14ac:dyDescent="0.3">
      <c r="A516" s="71" t="s">
        <v>321</v>
      </c>
      <c r="B516" s="1"/>
      <c r="C516" s="1"/>
      <c r="D516" s="1"/>
      <c r="E516" s="55">
        <f>SUM(B516:D516)</f>
        <v>0</v>
      </c>
      <c r="F516" s="1"/>
      <c r="G516" s="1"/>
      <c r="H516" s="1"/>
      <c r="I516" s="55">
        <f>SUM(F516:H516)</f>
        <v>0</v>
      </c>
      <c r="J516" s="1"/>
      <c r="K516" s="1"/>
      <c r="L516" s="1"/>
      <c r="M516" s="55">
        <f>SUM(J516:L516)</f>
        <v>0</v>
      </c>
      <c r="N516" s="1"/>
      <c r="O516" s="1"/>
      <c r="P516" s="1"/>
      <c r="Q516" s="55">
        <f>SUM(N516:P516)</f>
        <v>0</v>
      </c>
      <c r="R516" s="55">
        <f>+E516+I516+M516+Q516</f>
        <v>0</v>
      </c>
      <c r="T516" s="4" t="s">
        <v>988</v>
      </c>
    </row>
    <row r="517" spans="1:20" ht="15.75" customHeight="1" x14ac:dyDescent="0.3">
      <c r="A517" s="15" t="s">
        <v>51</v>
      </c>
      <c r="B517" s="1"/>
      <c r="C517" s="1"/>
      <c r="D517" s="1"/>
      <c r="E517" s="55" t="s">
        <v>7</v>
      </c>
      <c r="F517" s="1"/>
      <c r="G517" s="1"/>
      <c r="H517" s="1"/>
      <c r="I517" s="55" t="s">
        <v>7</v>
      </c>
      <c r="J517" s="1"/>
      <c r="K517" s="1"/>
      <c r="L517" s="1"/>
      <c r="M517" s="55" t="s">
        <v>7</v>
      </c>
      <c r="N517" s="1"/>
      <c r="O517" s="1"/>
      <c r="P517" s="1"/>
      <c r="Q517" s="55" t="s">
        <v>7</v>
      </c>
      <c r="R517" s="55" t="s">
        <v>7</v>
      </c>
    </row>
    <row r="518" spans="1:20" ht="15.75" customHeight="1" x14ac:dyDescent="0.3">
      <c r="A518" s="71" t="s">
        <v>326</v>
      </c>
      <c r="B518" s="1"/>
      <c r="C518" s="1"/>
      <c r="D518" s="1"/>
      <c r="E518" s="55">
        <f>SUM(B518:D518)</f>
        <v>0</v>
      </c>
      <c r="F518" s="1"/>
      <c r="G518" s="1"/>
      <c r="H518" s="1"/>
      <c r="I518" s="55">
        <f>SUM(F518:H518)</f>
        <v>0</v>
      </c>
      <c r="J518" s="1"/>
      <c r="K518" s="1">
        <v>600</v>
      </c>
      <c r="L518" s="1"/>
      <c r="M518" s="55">
        <f>SUM(J518:L518)</f>
        <v>600</v>
      </c>
      <c r="N518" s="1"/>
      <c r="O518" s="1"/>
      <c r="P518" s="1"/>
      <c r="Q518" s="55">
        <f>SUM(N518:P518)</f>
        <v>0</v>
      </c>
      <c r="R518" s="55">
        <f>+E518+I518+M518+Q518</f>
        <v>600</v>
      </c>
      <c r="T518" s="4" t="s">
        <v>988</v>
      </c>
    </row>
    <row r="519" spans="1:20" ht="15.75" customHeight="1" thickBot="1" x14ac:dyDescent="0.35">
      <c r="A519" s="15" t="s">
        <v>53</v>
      </c>
      <c r="B519" s="1"/>
      <c r="C519" s="1"/>
      <c r="D519" s="1"/>
      <c r="E519" s="55" t="s">
        <v>7</v>
      </c>
      <c r="F519" s="1"/>
      <c r="G519" s="1"/>
      <c r="H519" s="1"/>
      <c r="I519" s="55" t="s">
        <v>7</v>
      </c>
      <c r="J519" s="1"/>
      <c r="K519" s="1"/>
      <c r="L519" s="1"/>
      <c r="M519" s="55" t="s">
        <v>7</v>
      </c>
      <c r="N519" s="1"/>
      <c r="O519" s="1"/>
      <c r="P519" s="1"/>
      <c r="Q519" s="55" t="s">
        <v>7</v>
      </c>
      <c r="R519" s="55" t="s">
        <v>7</v>
      </c>
    </row>
    <row r="520" spans="1:20" ht="16.5" customHeight="1" thickBot="1" x14ac:dyDescent="0.35">
      <c r="A520" s="109" t="s">
        <v>54</v>
      </c>
      <c r="B520" s="86">
        <f>SUM(B505:B519)</f>
        <v>2495</v>
      </c>
      <c r="C520" s="87">
        <f>SUM(C505:C519)</f>
        <v>565</v>
      </c>
      <c r="D520" s="87">
        <f>SUM(D505:D519)</f>
        <v>1231</v>
      </c>
      <c r="E520" s="59">
        <f>SUM(B520:D520)</f>
        <v>4291</v>
      </c>
      <c r="F520" s="87">
        <f>SUM(F505:F519)</f>
        <v>2726</v>
      </c>
      <c r="G520" s="87">
        <f>SUM(G505:G519)</f>
        <v>758</v>
      </c>
      <c r="H520" s="87">
        <f>SUM(H505:H519)</f>
        <v>1291</v>
      </c>
      <c r="I520" s="59">
        <f>SUM(F520:H520)</f>
        <v>4775</v>
      </c>
      <c r="J520" s="87">
        <f>SUM(J505:J519)</f>
        <v>4163</v>
      </c>
      <c r="K520" s="87">
        <f>SUM(K505:K519)</f>
        <v>3254</v>
      </c>
      <c r="L520" s="87">
        <f>SUM(L505:L519)</f>
        <v>662</v>
      </c>
      <c r="M520" s="59">
        <f>SUM(J520:L520)</f>
        <v>8079</v>
      </c>
      <c r="N520" s="87">
        <f>SUM(N505:N519)</f>
        <v>472</v>
      </c>
      <c r="O520" s="87">
        <f>SUM(O505:O519)</f>
        <v>166</v>
      </c>
      <c r="P520" s="87">
        <f>SUM(P505:P519)</f>
        <v>15</v>
      </c>
      <c r="Q520" s="59">
        <f>SUM(N520:P520)</f>
        <v>653</v>
      </c>
      <c r="R520" s="59">
        <f>+E520+I520+M520+Q520</f>
        <v>17798</v>
      </c>
    </row>
    <row r="521" spans="1:20" ht="15.75" customHeight="1" x14ac:dyDescent="0.3">
      <c r="A521" s="15" t="s">
        <v>55</v>
      </c>
      <c r="B521" s="1"/>
      <c r="C521" s="1"/>
      <c r="D521" s="1"/>
      <c r="E521" s="55" t="s">
        <v>7</v>
      </c>
      <c r="F521" s="1"/>
      <c r="G521" s="1"/>
      <c r="H521" s="1"/>
      <c r="I521" s="55" t="s">
        <v>7</v>
      </c>
      <c r="J521" s="1"/>
      <c r="K521" s="1"/>
      <c r="L521" s="1"/>
      <c r="M521" s="55" t="s">
        <v>7</v>
      </c>
      <c r="N521" s="1"/>
      <c r="O521" s="1"/>
      <c r="P521" s="1"/>
      <c r="Q521" s="55" t="s">
        <v>7</v>
      </c>
      <c r="R521" s="55" t="s">
        <v>7</v>
      </c>
    </row>
    <row r="522" spans="1:20" ht="15.75" customHeight="1" x14ac:dyDescent="0.3">
      <c r="A522" s="15" t="s">
        <v>57</v>
      </c>
      <c r="B522" s="1"/>
      <c r="C522" s="1"/>
      <c r="D522" s="1"/>
      <c r="E522" s="55" t="s">
        <v>7</v>
      </c>
      <c r="F522" s="1"/>
      <c r="G522" s="1"/>
      <c r="H522" s="1"/>
      <c r="I522" s="55" t="s">
        <v>7</v>
      </c>
      <c r="J522" s="1"/>
      <c r="K522" s="1"/>
      <c r="L522" s="1"/>
      <c r="M522" s="55" t="s">
        <v>7</v>
      </c>
      <c r="N522" s="1"/>
      <c r="O522" s="1"/>
      <c r="P522" s="1"/>
      <c r="Q522" s="55" t="s">
        <v>7</v>
      </c>
      <c r="R522" s="55" t="s">
        <v>7</v>
      </c>
    </row>
    <row r="523" spans="1:20" ht="15.75" customHeight="1" x14ac:dyDescent="0.3">
      <c r="A523" s="71" t="s">
        <v>324</v>
      </c>
      <c r="B523" s="1"/>
      <c r="C523" s="1">
        <v>750</v>
      </c>
      <c r="D523" s="1">
        <v>250</v>
      </c>
      <c r="E523" s="55">
        <f>SUM(B523:D523)</f>
        <v>1000</v>
      </c>
      <c r="F523" s="1">
        <v>250</v>
      </c>
      <c r="G523" s="1">
        <v>250</v>
      </c>
      <c r="H523" s="1">
        <v>135</v>
      </c>
      <c r="I523" s="55">
        <f>SUM(F523:H523)</f>
        <v>635</v>
      </c>
      <c r="J523" s="1"/>
      <c r="K523" s="1"/>
      <c r="L523" s="1"/>
      <c r="M523" s="55">
        <f>SUM(J523:L523)</f>
        <v>0</v>
      </c>
      <c r="N523" s="1"/>
      <c r="O523" s="1"/>
      <c r="P523" s="1"/>
      <c r="Q523" s="55">
        <f>SUM(N523:P523)</f>
        <v>0</v>
      </c>
      <c r="R523" s="55">
        <f>+E523+I523+M523+Q523</f>
        <v>1635</v>
      </c>
    </row>
    <row r="524" spans="1:20" ht="15.75" customHeight="1" x14ac:dyDescent="0.3">
      <c r="A524" s="71" t="s">
        <v>659</v>
      </c>
      <c r="B524" s="1"/>
      <c r="C524" s="1"/>
      <c r="D524" s="1"/>
      <c r="E524" s="55">
        <f>SUM(B524:D524)</f>
        <v>0</v>
      </c>
      <c r="F524" s="1"/>
      <c r="G524" s="1"/>
      <c r="H524" s="1"/>
      <c r="I524" s="55">
        <f>SUM(F524:H524)</f>
        <v>0</v>
      </c>
      <c r="J524" s="1"/>
      <c r="K524" s="1"/>
      <c r="L524" s="1"/>
      <c r="M524" s="55">
        <f>SUM(J524:L524)</f>
        <v>0</v>
      </c>
      <c r="N524" s="1"/>
      <c r="O524" s="1"/>
      <c r="P524" s="1"/>
      <c r="Q524" s="55">
        <f>SUM(N524:P524)</f>
        <v>0</v>
      </c>
      <c r="R524" s="55">
        <f>+E524+I524+M524+Q524</f>
        <v>0</v>
      </c>
    </row>
    <row r="525" spans="1:20" ht="15.75" customHeight="1" thickBot="1" x14ac:dyDescent="0.35">
      <c r="A525" s="15" t="s">
        <v>58</v>
      </c>
      <c r="B525" s="1"/>
      <c r="C525" s="1"/>
      <c r="D525" s="1"/>
      <c r="E525" s="55" t="s">
        <v>7</v>
      </c>
      <c r="F525" s="1"/>
      <c r="G525" s="1"/>
      <c r="H525" s="1"/>
      <c r="I525" s="55" t="s">
        <v>7</v>
      </c>
      <c r="J525" s="1"/>
      <c r="K525" s="1"/>
      <c r="L525" s="1"/>
      <c r="M525" s="55" t="s">
        <v>7</v>
      </c>
      <c r="N525" s="1"/>
      <c r="O525" s="1"/>
      <c r="P525" s="1"/>
      <c r="Q525" s="55" t="s">
        <v>7</v>
      </c>
      <c r="R525" s="55" t="s">
        <v>7</v>
      </c>
    </row>
    <row r="526" spans="1:20" ht="16.5" customHeight="1" thickBot="1" x14ac:dyDescent="0.35">
      <c r="A526" s="57" t="s">
        <v>59</v>
      </c>
      <c r="B526" s="86">
        <f>SUM(B521:B525)</f>
        <v>0</v>
      </c>
      <c r="C526" s="87">
        <f>SUM(C521:C525)</f>
        <v>750</v>
      </c>
      <c r="D526" s="87">
        <f>SUM(D521:D525)</f>
        <v>250</v>
      </c>
      <c r="E526" s="59">
        <f>SUM(B526:D526)</f>
        <v>1000</v>
      </c>
      <c r="F526" s="87">
        <f>SUM(F521:F525)</f>
        <v>250</v>
      </c>
      <c r="G526" s="87">
        <f>SUM(G521:G525)</f>
        <v>250</v>
      </c>
      <c r="H526" s="87">
        <f>SUM(H521:H525)</f>
        <v>135</v>
      </c>
      <c r="I526" s="59">
        <f>SUM(F526:H526)</f>
        <v>635</v>
      </c>
      <c r="J526" s="87">
        <f>SUM(J521:J525)</f>
        <v>0</v>
      </c>
      <c r="K526" s="87">
        <f>SUM(K521:K525)</f>
        <v>0</v>
      </c>
      <c r="L526" s="87">
        <f>SUM(L521:L525)</f>
        <v>0</v>
      </c>
      <c r="M526" s="59">
        <f>SUM(J526:L526)</f>
        <v>0</v>
      </c>
      <c r="N526" s="87">
        <f>SUM(N521:N525)</f>
        <v>0</v>
      </c>
      <c r="O526" s="87">
        <f>SUM(O521:O525)</f>
        <v>0</v>
      </c>
      <c r="P526" s="87">
        <f>SUM(P521:P525)</f>
        <v>0</v>
      </c>
      <c r="Q526" s="59">
        <f>SUM(N526:P526)</f>
        <v>0</v>
      </c>
      <c r="R526" s="59">
        <f>+E526+I526+M526+Q526</f>
        <v>1635</v>
      </c>
    </row>
    <row r="527" spans="1:20" ht="15.75" customHeight="1" x14ac:dyDescent="0.3">
      <c r="A527" s="15" t="s">
        <v>60</v>
      </c>
      <c r="B527" s="1"/>
      <c r="C527" s="1"/>
      <c r="D527" s="1"/>
      <c r="E527" s="55" t="s">
        <v>7</v>
      </c>
      <c r="F527" s="1"/>
      <c r="G527" s="1"/>
      <c r="H527" s="1"/>
      <c r="I527" s="55" t="s">
        <v>7</v>
      </c>
      <c r="J527" s="1"/>
      <c r="K527" s="1"/>
      <c r="L527" s="1"/>
      <c r="M527" s="55" t="s">
        <v>7</v>
      </c>
      <c r="N527" s="1"/>
      <c r="O527" s="1"/>
      <c r="P527" s="1"/>
      <c r="Q527" s="55" t="s">
        <v>7</v>
      </c>
      <c r="R527" s="55" t="s">
        <v>7</v>
      </c>
    </row>
    <row r="528" spans="1:20" ht="15.75" customHeight="1" x14ac:dyDescent="0.3">
      <c r="A528" s="15" t="s">
        <v>61</v>
      </c>
      <c r="B528" s="1"/>
      <c r="C528" s="1"/>
      <c r="D528" s="1"/>
      <c r="E528" s="55" t="s">
        <v>7</v>
      </c>
      <c r="F528" s="1"/>
      <c r="G528" s="1"/>
      <c r="H528" s="1"/>
      <c r="I528" s="55" t="s">
        <v>7</v>
      </c>
      <c r="J528" s="1"/>
      <c r="K528" s="1"/>
      <c r="L528" s="1"/>
      <c r="M528" s="55" t="s">
        <v>7</v>
      </c>
      <c r="N528" s="1"/>
      <c r="O528" s="1"/>
      <c r="P528" s="1"/>
      <c r="Q528" s="55" t="s">
        <v>7</v>
      </c>
      <c r="R528" s="55" t="s">
        <v>7</v>
      </c>
    </row>
    <row r="529" spans="1:20" ht="15.75" customHeight="1" x14ac:dyDescent="0.3">
      <c r="A529" s="15" t="s">
        <v>62</v>
      </c>
      <c r="B529" s="1"/>
      <c r="C529" s="1"/>
      <c r="D529" s="1"/>
      <c r="E529" s="55" t="s">
        <v>7</v>
      </c>
      <c r="F529" s="1"/>
      <c r="G529" s="1"/>
      <c r="H529" s="1"/>
      <c r="I529" s="55" t="s">
        <v>7</v>
      </c>
      <c r="J529" s="1"/>
      <c r="K529" s="1"/>
      <c r="L529" s="1"/>
      <c r="M529" s="55" t="s">
        <v>7</v>
      </c>
      <c r="N529" s="1"/>
      <c r="O529" s="1"/>
      <c r="P529" s="1"/>
      <c r="Q529" s="55" t="s">
        <v>7</v>
      </c>
      <c r="R529" s="55" t="s">
        <v>7</v>
      </c>
    </row>
    <row r="530" spans="1:20" ht="15.75" customHeight="1" thickBot="1" x14ac:dyDescent="0.35">
      <c r="A530" s="71" t="s">
        <v>991</v>
      </c>
      <c r="B530" s="1"/>
      <c r="C530" s="1"/>
      <c r="D530" s="1"/>
      <c r="E530" s="55">
        <f>SUM(B530:D530)</f>
        <v>0</v>
      </c>
      <c r="F530" s="1"/>
      <c r="G530" s="1"/>
      <c r="H530" s="1"/>
      <c r="I530" s="55">
        <f>SUM(F530:H530)</f>
        <v>0</v>
      </c>
      <c r="J530" s="1"/>
      <c r="K530" s="1"/>
      <c r="L530" s="1"/>
      <c r="M530" s="55">
        <f>SUM(J530:L530)</f>
        <v>0</v>
      </c>
      <c r="N530" s="1"/>
      <c r="O530" s="1"/>
      <c r="P530" s="1"/>
      <c r="Q530" s="55">
        <f>SUM(N530:P530)</f>
        <v>0</v>
      </c>
      <c r="R530" s="55">
        <f>+E530+I530+M530+Q530</f>
        <v>0</v>
      </c>
      <c r="T530" s="4" t="s">
        <v>988</v>
      </c>
    </row>
    <row r="531" spans="1:20" ht="16.5" customHeight="1" thickBot="1" x14ac:dyDescent="0.35">
      <c r="A531" s="114" t="s">
        <v>63</v>
      </c>
      <c r="B531" s="86">
        <f>SUM(B527:B530)</f>
        <v>0</v>
      </c>
      <c r="C531" s="87">
        <f>SUM(C527:C530)</f>
        <v>0</v>
      </c>
      <c r="D531" s="87">
        <f>SUM(D527:D530)</f>
        <v>0</v>
      </c>
      <c r="E531" s="59">
        <f>SUM(B531:D531)</f>
        <v>0</v>
      </c>
      <c r="F531" s="87">
        <f>SUM(F527:F530)</f>
        <v>0</v>
      </c>
      <c r="G531" s="87">
        <f>SUM(G527:G530)</f>
        <v>0</v>
      </c>
      <c r="H531" s="87">
        <f>SUM(H527:H530)</f>
        <v>0</v>
      </c>
      <c r="I531" s="59">
        <f>SUM(F531:H531)</f>
        <v>0</v>
      </c>
      <c r="J531" s="87">
        <f>SUM(J527:J530)</f>
        <v>0</v>
      </c>
      <c r="K531" s="87">
        <f>SUM(K527:K530)</f>
        <v>0</v>
      </c>
      <c r="L531" s="87">
        <f>SUM(L527:L530)</f>
        <v>0</v>
      </c>
      <c r="M531" s="59">
        <f>SUM(J531:L531)</f>
        <v>0</v>
      </c>
      <c r="N531" s="87">
        <f>SUM(N527:N530)</f>
        <v>0</v>
      </c>
      <c r="O531" s="87">
        <f>SUM(O527:O530)</f>
        <v>0</v>
      </c>
      <c r="P531" s="87">
        <f>SUM(P527:P530)</f>
        <v>0</v>
      </c>
      <c r="Q531" s="59">
        <f>SUM(N531:P531)</f>
        <v>0</v>
      </c>
      <c r="R531" s="59">
        <f>+E531+I531+M531+Q531</f>
        <v>0</v>
      </c>
    </row>
    <row r="532" spans="1:20" ht="15.75" customHeight="1" x14ac:dyDescent="0.3">
      <c r="A532" s="15" t="s">
        <v>64</v>
      </c>
      <c r="B532" s="1"/>
      <c r="C532" s="1"/>
      <c r="D532" s="1"/>
      <c r="E532" s="55" t="s">
        <v>7</v>
      </c>
      <c r="F532" s="1"/>
      <c r="G532" s="1"/>
      <c r="H532" s="1"/>
      <c r="I532" s="55" t="s">
        <v>7</v>
      </c>
      <c r="J532" s="1"/>
      <c r="K532" s="1"/>
      <c r="L532" s="1"/>
      <c r="M532" s="55" t="s">
        <v>7</v>
      </c>
      <c r="N532" s="1"/>
      <c r="O532" s="1"/>
      <c r="P532" s="1"/>
      <c r="Q532" s="55" t="s">
        <v>7</v>
      </c>
      <c r="R532" s="55" t="s">
        <v>7</v>
      </c>
    </row>
    <row r="533" spans="1:20" ht="15.75" customHeight="1" x14ac:dyDescent="0.3">
      <c r="A533" s="15" t="s">
        <v>594</v>
      </c>
      <c r="B533" s="1"/>
      <c r="C533" s="1"/>
      <c r="D533" s="1"/>
      <c r="E533" s="55" t="s">
        <v>7</v>
      </c>
      <c r="F533" s="1"/>
      <c r="G533" s="1"/>
      <c r="H533" s="1"/>
      <c r="I533" s="55" t="s">
        <v>7</v>
      </c>
      <c r="J533" s="1"/>
      <c r="K533" s="1"/>
      <c r="L533" s="1"/>
      <c r="M533" s="55" t="s">
        <v>7</v>
      </c>
      <c r="N533" s="1"/>
      <c r="O533" s="1"/>
      <c r="P533" s="1"/>
      <c r="Q533" s="55" t="s">
        <v>7</v>
      </c>
      <c r="R533" s="55" t="s">
        <v>7</v>
      </c>
    </row>
    <row r="534" spans="1:20" ht="15.75" customHeight="1" x14ac:dyDescent="0.3">
      <c r="A534" s="71" t="s">
        <v>326</v>
      </c>
      <c r="B534" s="1">
        <v>1200</v>
      </c>
      <c r="C534" s="1"/>
      <c r="D534" s="1"/>
      <c r="E534" s="55">
        <f>SUM(B534:D534)</f>
        <v>1200</v>
      </c>
      <c r="F534" s="1"/>
      <c r="G534" s="1"/>
      <c r="H534" s="1"/>
      <c r="I534" s="55">
        <f>SUM(F534:H534)</f>
        <v>0</v>
      </c>
      <c r="J534" s="1"/>
      <c r="K534" s="1">
        <v>270</v>
      </c>
      <c r="L534" s="1"/>
      <c r="M534" s="55">
        <f>SUM(J534:L534)</f>
        <v>270</v>
      </c>
      <c r="N534" s="1"/>
      <c r="O534" s="1"/>
      <c r="P534" s="1"/>
      <c r="Q534" s="55">
        <f>SUM(N534:P534)</f>
        <v>0</v>
      </c>
      <c r="R534" s="55">
        <f>+E534+I534+M534+Q534</f>
        <v>1470</v>
      </c>
      <c r="T534" s="4" t="s">
        <v>988</v>
      </c>
    </row>
    <row r="535" spans="1:20" ht="15.75" customHeight="1" x14ac:dyDescent="0.3">
      <c r="A535" s="71" t="s">
        <v>327</v>
      </c>
      <c r="B535" s="1"/>
      <c r="C535" s="1"/>
      <c r="D535" s="1"/>
      <c r="E535" s="55">
        <f>SUM(B535:D535)</f>
        <v>0</v>
      </c>
      <c r="F535" s="1"/>
      <c r="G535" s="1"/>
      <c r="H535" s="1"/>
      <c r="I535" s="55">
        <f>SUM(F535:H535)</f>
        <v>0</v>
      </c>
      <c r="J535" s="1"/>
      <c r="K535" s="1"/>
      <c r="L535" s="1"/>
      <c r="M535" s="55">
        <f>SUM(J535:L535)</f>
        <v>0</v>
      </c>
      <c r="N535" s="1"/>
      <c r="O535" s="1"/>
      <c r="P535" s="1"/>
      <c r="Q535" s="55">
        <f>SUM(N535:P535)</f>
        <v>0</v>
      </c>
      <c r="R535" s="55">
        <f>+E535+I535+M535+Q535</f>
        <v>0</v>
      </c>
      <c r="T535" s="4" t="s">
        <v>988</v>
      </c>
    </row>
    <row r="536" spans="1:20" ht="15.75" customHeight="1" x14ac:dyDescent="0.3">
      <c r="A536" s="15" t="s">
        <v>67</v>
      </c>
      <c r="B536" s="1"/>
      <c r="C536" s="1"/>
      <c r="D536" s="1"/>
      <c r="E536" s="55" t="s">
        <v>7</v>
      </c>
      <c r="F536" s="1"/>
      <c r="G536" s="1"/>
      <c r="H536" s="1"/>
      <c r="I536" s="55" t="s">
        <v>7</v>
      </c>
      <c r="J536" s="1"/>
      <c r="K536" s="1"/>
      <c r="L536" s="1"/>
      <c r="M536" s="55" t="s">
        <v>7</v>
      </c>
      <c r="N536" s="1"/>
      <c r="O536" s="1"/>
      <c r="P536" s="1"/>
      <c r="Q536" s="55" t="s">
        <v>7</v>
      </c>
      <c r="R536" s="55" t="s">
        <v>7</v>
      </c>
    </row>
    <row r="537" spans="1:20" ht="15.75" customHeight="1" x14ac:dyDescent="0.3">
      <c r="A537" s="71" t="s">
        <v>992</v>
      </c>
      <c r="B537" s="1"/>
      <c r="C537" s="1"/>
      <c r="D537" s="1"/>
      <c r="E537" s="55">
        <f>SUM(B537:D537)</f>
        <v>0</v>
      </c>
      <c r="F537" s="1"/>
      <c r="G537" s="1"/>
      <c r="H537" s="1"/>
      <c r="I537" s="55">
        <f>SUM(F537:H537)</f>
        <v>0</v>
      </c>
      <c r="J537" s="1"/>
      <c r="K537" s="1"/>
      <c r="L537" s="1"/>
      <c r="M537" s="55">
        <f>SUM(J537:L537)</f>
        <v>0</v>
      </c>
      <c r="N537" s="1"/>
      <c r="O537" s="1"/>
      <c r="P537" s="1">
        <v>624</v>
      </c>
      <c r="Q537" s="55">
        <f>SUM(N537:P537)</f>
        <v>624</v>
      </c>
      <c r="R537" s="55">
        <f>+E537+I537+M537+Q537</f>
        <v>624</v>
      </c>
    </row>
    <row r="538" spans="1:20" ht="15.75" customHeight="1" x14ac:dyDescent="0.3">
      <c r="A538" s="71" t="s">
        <v>768</v>
      </c>
      <c r="B538" s="1"/>
      <c r="C538" s="1"/>
      <c r="D538" s="1"/>
      <c r="E538" s="55">
        <f>SUM(B538:D538)</f>
        <v>0</v>
      </c>
      <c r="F538" s="1"/>
      <c r="G538" s="1"/>
      <c r="H538" s="1"/>
      <c r="I538" s="55">
        <f>SUM(F538:H538)</f>
        <v>0</v>
      </c>
      <c r="J538" s="1"/>
      <c r="K538" s="1"/>
      <c r="L538" s="1"/>
      <c r="M538" s="55">
        <f>SUM(J538:L538)</f>
        <v>0</v>
      </c>
      <c r="N538" s="1"/>
      <c r="O538" s="1"/>
      <c r="P538" s="1"/>
      <c r="Q538" s="55">
        <f>SUM(N538:P538)</f>
        <v>0</v>
      </c>
      <c r="R538" s="55">
        <f>+E538+I538+M538+Q538</f>
        <v>0</v>
      </c>
    </row>
    <row r="539" spans="1:20" ht="15.75" customHeight="1" x14ac:dyDescent="0.3">
      <c r="A539" s="71" t="s">
        <v>769</v>
      </c>
      <c r="B539" s="1">
        <v>1000</v>
      </c>
      <c r="C539" s="1">
        <v>1000</v>
      </c>
      <c r="D539" s="1"/>
      <c r="E539" s="55">
        <f>SUM(B539:D539)</f>
        <v>2000</v>
      </c>
      <c r="F539" s="1"/>
      <c r="G539" s="1"/>
      <c r="H539" s="1"/>
      <c r="I539" s="55">
        <f>SUM(F539:H539)</f>
        <v>0</v>
      </c>
      <c r="J539" s="1"/>
      <c r="K539" s="1">
        <v>1490</v>
      </c>
      <c r="L539" s="1">
        <v>3010</v>
      </c>
      <c r="M539" s="55">
        <f>SUM(J539:L539)</f>
        <v>4500</v>
      </c>
      <c r="N539" s="1">
        <v>1160</v>
      </c>
      <c r="O539" s="1">
        <v>1688</v>
      </c>
      <c r="P539" s="1">
        <v>508</v>
      </c>
      <c r="Q539" s="55">
        <f>SUM(N539:P539)</f>
        <v>3356</v>
      </c>
      <c r="R539" s="55">
        <f>+E539+I539+M539+Q539</f>
        <v>9856</v>
      </c>
      <c r="T539" s="4" t="s">
        <v>988</v>
      </c>
    </row>
    <row r="540" spans="1:20" ht="15.75" customHeight="1" x14ac:dyDescent="0.3">
      <c r="A540" s="71" t="s">
        <v>770</v>
      </c>
      <c r="B540" s="1"/>
      <c r="C540" s="1"/>
      <c r="D540" s="1"/>
      <c r="E540" s="55">
        <f>SUM(B540:D540)</f>
        <v>0</v>
      </c>
      <c r="F540" s="1"/>
      <c r="G540" s="1"/>
      <c r="H540" s="1"/>
      <c r="I540" s="55">
        <f>SUM(F540:H540)</f>
        <v>0</v>
      </c>
      <c r="J540" s="1"/>
      <c r="K540" s="1"/>
      <c r="L540" s="1"/>
      <c r="M540" s="55">
        <f>SUM(J540:L540)</f>
        <v>0</v>
      </c>
      <c r="N540" s="1"/>
      <c r="O540" s="1"/>
      <c r="P540" s="1"/>
      <c r="Q540" s="55">
        <f>SUM(N540:P540)</f>
        <v>0</v>
      </c>
      <c r="R540" s="55">
        <f>+E540+I540+M540+Q540</f>
        <v>0</v>
      </c>
      <c r="T540" s="4" t="s">
        <v>988</v>
      </c>
    </row>
    <row r="541" spans="1:20" ht="15.75" customHeight="1" x14ac:dyDescent="0.3">
      <c r="A541" s="15" t="s">
        <v>600</v>
      </c>
      <c r="B541" s="1"/>
      <c r="C541" s="1"/>
      <c r="D541" s="1"/>
      <c r="E541" s="55" t="s">
        <v>7</v>
      </c>
      <c r="F541" s="1"/>
      <c r="G541" s="1"/>
      <c r="H541" s="1"/>
      <c r="I541" s="55" t="s">
        <v>7</v>
      </c>
      <c r="J541" s="1"/>
      <c r="K541" s="1"/>
      <c r="L541" s="1"/>
      <c r="M541" s="55" t="s">
        <v>7</v>
      </c>
      <c r="N541" s="1"/>
      <c r="O541" s="1"/>
      <c r="P541" s="1"/>
      <c r="Q541" s="55" t="s">
        <v>7</v>
      </c>
      <c r="R541" s="55" t="s">
        <v>7</v>
      </c>
    </row>
    <row r="542" spans="1:20" ht="15.75" customHeight="1" x14ac:dyDescent="0.3">
      <c r="A542" s="15" t="s">
        <v>70</v>
      </c>
      <c r="B542" s="1"/>
      <c r="C542" s="1"/>
      <c r="D542" s="1"/>
      <c r="E542" s="55" t="s">
        <v>7</v>
      </c>
      <c r="F542" s="1"/>
      <c r="G542" s="1"/>
      <c r="H542" s="1"/>
      <c r="I542" s="55" t="s">
        <v>7</v>
      </c>
      <c r="J542" s="1"/>
      <c r="K542" s="1"/>
      <c r="L542" s="1"/>
      <c r="M542" s="55" t="s">
        <v>7</v>
      </c>
      <c r="N542" s="1"/>
      <c r="O542" s="1"/>
      <c r="P542" s="1"/>
      <c r="Q542" s="55" t="s">
        <v>7</v>
      </c>
      <c r="R542" s="55" t="s">
        <v>7</v>
      </c>
    </row>
    <row r="543" spans="1:20" ht="15.75" customHeight="1" x14ac:dyDescent="0.3">
      <c r="A543" s="71" t="s">
        <v>993</v>
      </c>
      <c r="B543" s="1"/>
      <c r="C543" s="1"/>
      <c r="D543" s="1"/>
      <c r="E543" s="55">
        <f t="shared" ref="E543:E548" si="98">SUM(B543:D543)</f>
        <v>0</v>
      </c>
      <c r="F543" s="1"/>
      <c r="G543" s="1"/>
      <c r="H543" s="1"/>
      <c r="I543" s="55">
        <f t="shared" ref="I543:I548" si="99">SUM(F543:H543)</f>
        <v>0</v>
      </c>
      <c r="J543" s="1"/>
      <c r="K543" s="1"/>
      <c r="L543" s="1"/>
      <c r="M543" s="55">
        <f t="shared" ref="M543:M548" si="100">SUM(J543:L543)</f>
        <v>0</v>
      </c>
      <c r="N543" s="1"/>
      <c r="O543" s="1"/>
      <c r="P543" s="1"/>
      <c r="Q543" s="55">
        <f t="shared" ref="Q543:Q548" si="101">SUM(N543:P543)</f>
        <v>0</v>
      </c>
      <c r="R543" s="55">
        <f t="shared" ref="R543:R548" si="102">+E543+I543+M543+Q543</f>
        <v>0</v>
      </c>
    </row>
    <row r="544" spans="1:20" ht="15.75" customHeight="1" thickBot="1" x14ac:dyDescent="0.35">
      <c r="A544" s="71" t="s">
        <v>771</v>
      </c>
      <c r="B544" s="1"/>
      <c r="C544" s="1"/>
      <c r="D544" s="1"/>
      <c r="E544" s="55">
        <f t="shared" si="98"/>
        <v>0</v>
      </c>
      <c r="F544" s="1"/>
      <c r="G544" s="1">
        <v>211</v>
      </c>
      <c r="H544" s="1">
        <v>355</v>
      </c>
      <c r="I544" s="55">
        <f t="shared" si="99"/>
        <v>566</v>
      </c>
      <c r="J544" s="1">
        <v>423</v>
      </c>
      <c r="K544" s="1">
        <v>715</v>
      </c>
      <c r="L544" s="1">
        <v>148</v>
      </c>
      <c r="M544" s="55">
        <f t="shared" si="100"/>
        <v>1286</v>
      </c>
      <c r="N544" s="1"/>
      <c r="O544" s="1"/>
      <c r="P544" s="1"/>
      <c r="Q544" s="55">
        <f t="shared" si="101"/>
        <v>0</v>
      </c>
      <c r="R544" s="55">
        <f t="shared" si="102"/>
        <v>1852</v>
      </c>
    </row>
    <row r="545" spans="1:18" ht="16.5" customHeight="1" thickBot="1" x14ac:dyDescent="0.35">
      <c r="A545" s="57" t="s">
        <v>71</v>
      </c>
      <c r="B545" s="146">
        <f>SUM(B541:B544)</f>
        <v>0</v>
      </c>
      <c r="C545" s="146">
        <f>SUM(C541:C544)</f>
        <v>0</v>
      </c>
      <c r="D545" s="146">
        <f>SUM(D541:D544)</f>
        <v>0</v>
      </c>
      <c r="E545" s="60">
        <f t="shared" si="98"/>
        <v>0</v>
      </c>
      <c r="F545" s="146">
        <f>SUM(F541:F544)</f>
        <v>0</v>
      </c>
      <c r="G545" s="146">
        <f>SUM(G541:G544)</f>
        <v>211</v>
      </c>
      <c r="H545" s="146">
        <f>SUM(H541:H544)</f>
        <v>355</v>
      </c>
      <c r="I545" s="60">
        <f t="shared" si="99"/>
        <v>566</v>
      </c>
      <c r="J545" s="146">
        <f>SUM(J541:J544)</f>
        <v>423</v>
      </c>
      <c r="K545" s="146">
        <f>SUM(K541:K544)</f>
        <v>715</v>
      </c>
      <c r="L545" s="146">
        <f>SUM(L541:L544)</f>
        <v>148</v>
      </c>
      <c r="M545" s="60">
        <f t="shared" si="100"/>
        <v>1286</v>
      </c>
      <c r="N545" s="146">
        <f>SUM(N541:N544)</f>
        <v>0</v>
      </c>
      <c r="O545" s="146">
        <f>SUM(O541:O544)</f>
        <v>0</v>
      </c>
      <c r="P545" s="146">
        <f>SUM(P541:P544)</f>
        <v>0</v>
      </c>
      <c r="Q545" s="60">
        <f t="shared" si="101"/>
        <v>0</v>
      </c>
      <c r="R545" s="59">
        <f t="shared" si="102"/>
        <v>1852</v>
      </c>
    </row>
    <row r="546" spans="1:18" ht="16.5" customHeight="1" thickBot="1" x14ac:dyDescent="0.35">
      <c r="A546" s="114" t="s">
        <v>72</v>
      </c>
      <c r="B546" s="86">
        <f>SUM(B532:B544)</f>
        <v>2200</v>
      </c>
      <c r="C546" s="87">
        <f>SUM(C532:C544)</f>
        <v>1000</v>
      </c>
      <c r="D546" s="118">
        <f>SUM(D532:D544)</f>
        <v>0</v>
      </c>
      <c r="E546" s="60">
        <f t="shared" si="98"/>
        <v>3200</v>
      </c>
      <c r="F546" s="86">
        <f>SUM(F532:F544)</f>
        <v>0</v>
      </c>
      <c r="G546" s="87">
        <f>SUM(G532:G544)</f>
        <v>211</v>
      </c>
      <c r="H546" s="118">
        <f>SUM(H532:H544)</f>
        <v>355</v>
      </c>
      <c r="I546" s="60">
        <f t="shared" si="99"/>
        <v>566</v>
      </c>
      <c r="J546" s="86">
        <f>SUM(J532:J544)</f>
        <v>423</v>
      </c>
      <c r="K546" s="87">
        <f>SUM(K532:K544)</f>
        <v>2475</v>
      </c>
      <c r="L546" s="118">
        <f>SUM(L532:L544)</f>
        <v>3158</v>
      </c>
      <c r="M546" s="60">
        <f t="shared" si="100"/>
        <v>6056</v>
      </c>
      <c r="N546" s="86">
        <f>SUM(N532:N544)</f>
        <v>1160</v>
      </c>
      <c r="O546" s="87">
        <f>SUM(O532:O544)</f>
        <v>1688</v>
      </c>
      <c r="P546" s="118">
        <f>SUM(P532:P544)</f>
        <v>1132</v>
      </c>
      <c r="Q546" s="60">
        <f t="shared" si="101"/>
        <v>3980</v>
      </c>
      <c r="R546" s="59">
        <f t="shared" si="102"/>
        <v>13802</v>
      </c>
    </row>
    <row r="547" spans="1:18" ht="16.5" customHeight="1" thickBot="1" x14ac:dyDescent="0.35">
      <c r="A547" s="57" t="s">
        <v>73</v>
      </c>
      <c r="B547" s="148">
        <f>+B520+B526+B531+B546</f>
        <v>4695</v>
      </c>
      <c r="C547" s="149">
        <f>+C520+C526+C531+C546</f>
        <v>2315</v>
      </c>
      <c r="D547" s="149">
        <f>+D520+D526+D531+D546</f>
        <v>1481</v>
      </c>
      <c r="E547" s="59">
        <f t="shared" si="98"/>
        <v>8491</v>
      </c>
      <c r="F547" s="58">
        <f>+F520+F526+F531+F546</f>
        <v>2976</v>
      </c>
      <c r="G547" s="58">
        <f>+G520+G526+G531+G546</f>
        <v>1219</v>
      </c>
      <c r="H547" s="58">
        <f>+H520+H526+H531+H546</f>
        <v>1781</v>
      </c>
      <c r="I547" s="59">
        <f t="shared" si="99"/>
        <v>5976</v>
      </c>
      <c r="J547" s="58">
        <f>+J520+J526+J531+J546</f>
        <v>4586</v>
      </c>
      <c r="K547" s="58">
        <f>+K520+K526+K531+K546</f>
        <v>5729</v>
      </c>
      <c r="L547" s="58">
        <f>+L520+L526+L531+L546</f>
        <v>3820</v>
      </c>
      <c r="M547" s="59">
        <f t="shared" si="100"/>
        <v>14135</v>
      </c>
      <c r="N547" s="58">
        <f>+N520+N526+N531+N546</f>
        <v>1632</v>
      </c>
      <c r="O547" s="58">
        <f>+O520+O526+O531+O546</f>
        <v>1854</v>
      </c>
      <c r="P547" s="58">
        <f>+P520+P526+P531+P546</f>
        <v>1147</v>
      </c>
      <c r="Q547" s="59">
        <f t="shared" si="101"/>
        <v>4633</v>
      </c>
      <c r="R547" s="81">
        <f t="shared" si="102"/>
        <v>33235</v>
      </c>
    </row>
    <row r="548" spans="1:18" ht="16.5" customHeight="1" thickBot="1" x14ac:dyDescent="0.35">
      <c r="A548" s="39" t="s">
        <v>40</v>
      </c>
      <c r="B548" s="21">
        <v>17</v>
      </c>
      <c r="C548" s="21">
        <v>47</v>
      </c>
      <c r="D548" s="21">
        <v>84</v>
      </c>
      <c r="E548" s="55">
        <f t="shared" si="98"/>
        <v>148</v>
      </c>
      <c r="F548" s="21">
        <v>116</v>
      </c>
      <c r="G548" s="21">
        <v>132</v>
      </c>
      <c r="H548" s="21">
        <v>138</v>
      </c>
      <c r="I548" s="55">
        <f t="shared" si="99"/>
        <v>386</v>
      </c>
      <c r="J548" s="21">
        <v>126</v>
      </c>
      <c r="K548" s="21">
        <v>95</v>
      </c>
      <c r="L548" s="21">
        <v>99</v>
      </c>
      <c r="M548" s="55">
        <f t="shared" si="100"/>
        <v>320</v>
      </c>
      <c r="N548" s="21">
        <v>91</v>
      </c>
      <c r="O548" s="21">
        <v>67</v>
      </c>
      <c r="P548" s="21">
        <v>38</v>
      </c>
      <c r="Q548" s="55">
        <f t="shared" si="101"/>
        <v>196</v>
      </c>
      <c r="R548" s="55">
        <f t="shared" si="102"/>
        <v>1050</v>
      </c>
    </row>
    <row r="549" spans="1:18" ht="16.5" customHeight="1" thickBot="1" x14ac:dyDescent="0.35">
      <c r="A549" s="41"/>
      <c r="B549" s="36"/>
      <c r="C549" s="36"/>
      <c r="D549" s="36"/>
      <c r="E549" s="42"/>
      <c r="F549" s="36"/>
      <c r="G549" s="36"/>
      <c r="H549" s="36"/>
      <c r="I549" s="42"/>
      <c r="J549" s="36"/>
      <c r="K549" s="36"/>
      <c r="L549" s="36"/>
      <c r="M549" s="42"/>
      <c r="N549" s="36"/>
      <c r="O549" s="36"/>
      <c r="P549" s="36"/>
      <c r="Q549" s="42"/>
      <c r="R549" s="42"/>
    </row>
    <row r="550" spans="1:18" ht="15.75" customHeight="1" x14ac:dyDescent="0.3">
      <c r="A550" s="76" t="s">
        <v>314</v>
      </c>
      <c r="B550" s="77">
        <f>SUM(B547:B548)</f>
        <v>4712</v>
      </c>
      <c r="C550" s="77">
        <f>SUM(C547:C548)</f>
        <v>2362</v>
      </c>
      <c r="D550" s="77">
        <f>SUM(D547:D548)</f>
        <v>1565</v>
      </c>
      <c r="E550" s="60">
        <f>SUM(B550:D550)</f>
        <v>8639</v>
      </c>
      <c r="F550" s="77">
        <f>SUM(F547:F548)</f>
        <v>3092</v>
      </c>
      <c r="G550" s="77">
        <f>SUM(G547:G548)</f>
        <v>1351</v>
      </c>
      <c r="H550" s="77">
        <f>SUM(H547:H548)</f>
        <v>1919</v>
      </c>
      <c r="I550" s="60">
        <f>SUM(F550:H550)</f>
        <v>6362</v>
      </c>
      <c r="J550" s="77">
        <f>SUM(J547:J548)</f>
        <v>4712</v>
      </c>
      <c r="K550" s="77">
        <f>SUM(K547:K548)</f>
        <v>5824</v>
      </c>
      <c r="L550" s="77">
        <f>SUM(L547:L548)</f>
        <v>3919</v>
      </c>
      <c r="M550" s="60">
        <f>SUM(J550:L550)</f>
        <v>14455</v>
      </c>
      <c r="N550" s="77">
        <f>SUM(N547:N548)</f>
        <v>1723</v>
      </c>
      <c r="O550" s="77">
        <f>SUM(O547:O548)</f>
        <v>1921</v>
      </c>
      <c r="P550" s="77">
        <f>SUM(P547:P548)</f>
        <v>1185</v>
      </c>
      <c r="Q550" s="60">
        <f>SUM(N550:P550)</f>
        <v>4829</v>
      </c>
      <c r="R550" s="60">
        <f>+E550+I550+M550+Q550</f>
        <v>34285</v>
      </c>
    </row>
    <row r="551" spans="1:18" ht="15.75" customHeight="1" x14ac:dyDescent="0.3">
      <c r="A551" s="79" t="s">
        <v>42</v>
      </c>
      <c r="B551" s="1">
        <f>(B550/B10)/1.983</f>
        <v>76.651538073625815</v>
      </c>
      <c r="C551" s="1">
        <f>(C550/C10)/1.983</f>
        <v>42.54016281247749</v>
      </c>
      <c r="D551" s="1">
        <f>(D550/D10)/1.983</f>
        <v>25.458331299920289</v>
      </c>
      <c r="E551" s="55" t="s">
        <v>7</v>
      </c>
      <c r="F551" s="1">
        <f>(F550/F10)/1.983</f>
        <v>51.975121869221717</v>
      </c>
      <c r="G551" s="1">
        <f>(G550/G10)/1.983</f>
        <v>21.977128170090932</v>
      </c>
      <c r="H551" s="1">
        <f>(H550/H10)/1.983</f>
        <v>32.257522272650867</v>
      </c>
      <c r="I551" s="55" t="s">
        <v>7</v>
      </c>
      <c r="J551" s="1">
        <f>(J550/J10)/1.983</f>
        <v>76.651538073625815</v>
      </c>
      <c r="K551" s="1">
        <f>(K550/K10)/1.983</f>
        <v>94.740780505262464</v>
      </c>
      <c r="L551" s="1">
        <f>(L550/L10)/1.983</f>
        <v>65.876617918977971</v>
      </c>
      <c r="M551" s="55" t="s">
        <v>7</v>
      </c>
      <c r="N551" s="1">
        <f>(N550/N10)/1.983</f>
        <v>28.028565386429811</v>
      </c>
      <c r="O551" s="1">
        <f>(O550/O10)/1.983</f>
        <v>32.29114136829719</v>
      </c>
      <c r="P551" s="1">
        <f>(P550/P10)/1.983</f>
        <v>19.276755648821432</v>
      </c>
      <c r="Q551" s="55" t="s">
        <v>7</v>
      </c>
      <c r="R551" s="55" t="s">
        <v>7</v>
      </c>
    </row>
    <row r="552" spans="1:18" ht="15.75" customHeight="1" x14ac:dyDescent="0.3">
      <c r="A552" s="79" t="s">
        <v>332</v>
      </c>
      <c r="B552" s="1">
        <f>B550+B562</f>
        <v>15047</v>
      </c>
      <c r="C552" s="1">
        <f>C550+C562</f>
        <v>13499</v>
      </c>
      <c r="D552" s="1">
        <f>D550+D562</f>
        <v>21468</v>
      </c>
      <c r="E552" s="55">
        <f>SUM(B552:D552)</f>
        <v>50014</v>
      </c>
      <c r="F552" s="1">
        <f>F550+F562</f>
        <v>25185</v>
      </c>
      <c r="G552" s="1">
        <f>G550+G562</f>
        <v>24162</v>
      </c>
      <c r="H552" s="1">
        <f>H550+H562</f>
        <v>20406</v>
      </c>
      <c r="I552" s="55">
        <f>SUM(F552:H552)</f>
        <v>69753</v>
      </c>
      <c r="J552" s="1">
        <f>J550+J562</f>
        <v>22309</v>
      </c>
      <c r="K552" s="1">
        <f>K550+K562</f>
        <v>25398</v>
      </c>
      <c r="L552" s="1">
        <f>L550+L562</f>
        <v>22497</v>
      </c>
      <c r="M552" s="55">
        <f>SUM(J552:L552)</f>
        <v>70204</v>
      </c>
      <c r="N552" s="1">
        <f>N550+N562</f>
        <v>15177</v>
      </c>
      <c r="O552" s="1">
        <f>O550+O562</f>
        <v>10766</v>
      </c>
      <c r="P552" s="1">
        <f>P550+P562</f>
        <v>18076</v>
      </c>
      <c r="Q552" s="55">
        <f>SUM(N552:P552)</f>
        <v>44019</v>
      </c>
      <c r="R552" s="55">
        <f>+E552+I552+M552+Q552</f>
        <v>233990</v>
      </c>
    </row>
    <row r="553" spans="1:18" ht="16.5" customHeight="1" thickBot="1" x14ac:dyDescent="0.35">
      <c r="A553" s="80" t="s">
        <v>333</v>
      </c>
      <c r="B553" s="25">
        <f>(B552/B10)/1.983</f>
        <v>244.77412847916969</v>
      </c>
      <c r="C553" s="25">
        <f>(C552/C10)/1.983</f>
        <v>243.12009221237662</v>
      </c>
      <c r="D553" s="25">
        <f>(D552/D10)/1.983</f>
        <v>349.22648967839535</v>
      </c>
      <c r="E553" s="81" t="s">
        <v>7</v>
      </c>
      <c r="F553" s="25">
        <f>(F552/F10)/1.983</f>
        <v>423.34846192637417</v>
      </c>
      <c r="G553" s="25">
        <f>(G552/G10)/1.983</f>
        <v>393.05060758381723</v>
      </c>
      <c r="H553" s="25">
        <f>(H552/H10)/1.983</f>
        <v>343.01563287947556</v>
      </c>
      <c r="I553" s="81" t="s">
        <v>7</v>
      </c>
      <c r="J553" s="25">
        <f>(J552/J10)/1.983</f>
        <v>362.90729263253786</v>
      </c>
      <c r="K553" s="25">
        <f>(K552/K10)/1.983</f>
        <v>413.15699575423355</v>
      </c>
      <c r="L553" s="25">
        <f>(L552/L10)/1.983</f>
        <v>378.16439737771049</v>
      </c>
      <c r="M553" s="81" t="s">
        <v>7</v>
      </c>
      <c r="N553" s="25">
        <f>(N552/N10)/1.983</f>
        <v>246.88887804401929</v>
      </c>
      <c r="O553" s="25">
        <f>(O552/O10)/1.983</f>
        <v>180.97159186417886</v>
      </c>
      <c r="P553" s="25">
        <f>(P552/P10)/1.983</f>
        <v>294.04779334016558</v>
      </c>
      <c r="Q553" s="81" t="s">
        <v>7</v>
      </c>
      <c r="R553" s="81" t="s">
        <v>7</v>
      </c>
    </row>
    <row r="554" spans="1:18" ht="15.75" customHeight="1" x14ac:dyDescent="0.3">
      <c r="A554" s="2"/>
      <c r="B554" s="1"/>
      <c r="C554" s="1"/>
      <c r="D554" s="1"/>
      <c r="E554" s="1"/>
      <c r="F554" s="1"/>
      <c r="G554" s="1"/>
      <c r="H554" s="1"/>
      <c r="I554" s="1"/>
      <c r="J554" s="1"/>
      <c r="K554" s="1"/>
      <c r="L554" s="1"/>
      <c r="M554" s="1"/>
      <c r="N554" s="1"/>
      <c r="O554" s="1"/>
      <c r="P554" s="1"/>
      <c r="Q554" s="1"/>
      <c r="R554" s="2"/>
    </row>
    <row r="555" spans="1:18" ht="16.5" customHeight="1" thickBot="1" x14ac:dyDescent="0.35">
      <c r="A555" s="106"/>
      <c r="B555" s="21"/>
      <c r="C555" s="21"/>
      <c r="D555" s="21"/>
      <c r="E555" s="21"/>
      <c r="F555" s="21"/>
      <c r="G555" s="21"/>
      <c r="H555" s="21"/>
      <c r="I555" s="21"/>
      <c r="J555" s="21"/>
      <c r="K555" s="21"/>
      <c r="L555" s="21"/>
      <c r="M555" s="21"/>
      <c r="N555" s="21"/>
      <c r="O555" s="21"/>
      <c r="P555" s="21"/>
      <c r="Q555" s="21"/>
      <c r="R555" s="106"/>
    </row>
    <row r="556" spans="1:18" ht="16.5" customHeight="1" thickBot="1" x14ac:dyDescent="0.35">
      <c r="A556" s="124" t="s">
        <v>334</v>
      </c>
      <c r="B556" s="30" t="s">
        <v>8</v>
      </c>
      <c r="C556" s="31" t="s">
        <v>9</v>
      </c>
      <c r="D556" s="31" t="s">
        <v>10</v>
      </c>
      <c r="E556" s="32" t="s">
        <v>11</v>
      </c>
      <c r="F556" s="31" t="s">
        <v>12</v>
      </c>
      <c r="G556" s="31" t="s">
        <v>13</v>
      </c>
      <c r="H556" s="31" t="s">
        <v>14</v>
      </c>
      <c r="I556" s="33" t="s">
        <v>15</v>
      </c>
      <c r="J556" s="31" t="s">
        <v>16</v>
      </c>
      <c r="K556" s="31" t="s">
        <v>17</v>
      </c>
      <c r="L556" s="31" t="s">
        <v>18</v>
      </c>
      <c r="M556" s="33" t="s">
        <v>19</v>
      </c>
      <c r="N556" s="31" t="s">
        <v>20</v>
      </c>
      <c r="O556" s="31" t="s">
        <v>21</v>
      </c>
      <c r="P556" s="31" t="s">
        <v>22</v>
      </c>
      <c r="Q556" s="32" t="s">
        <v>23</v>
      </c>
      <c r="R556" s="49" t="s">
        <v>24</v>
      </c>
    </row>
    <row r="557" spans="1:18" ht="16.5" customHeight="1" thickBot="1" x14ac:dyDescent="0.35">
      <c r="A557" s="41"/>
      <c r="B557" s="36"/>
      <c r="C557" s="36"/>
      <c r="D557" s="36"/>
      <c r="E557" s="37"/>
      <c r="F557" s="36"/>
      <c r="G557" s="36"/>
      <c r="H557" s="36"/>
      <c r="I557" s="37"/>
      <c r="J557" s="36"/>
      <c r="K557" s="36"/>
      <c r="L557" s="36"/>
      <c r="M557" s="37"/>
      <c r="N557" s="36"/>
      <c r="O557" s="36"/>
      <c r="P557" s="36"/>
      <c r="Q557" s="127"/>
      <c r="R557" s="128"/>
    </row>
    <row r="558" spans="1:18" ht="16.5" customHeight="1" thickBot="1" x14ac:dyDescent="0.35">
      <c r="A558" s="39" t="s">
        <v>40</v>
      </c>
      <c r="B558" s="21">
        <v>20</v>
      </c>
      <c r="C558" s="21">
        <v>22</v>
      </c>
      <c r="D558" s="21">
        <v>28</v>
      </c>
      <c r="E558" s="55">
        <f>SUM(B558:D558)</f>
        <v>70</v>
      </c>
      <c r="F558" s="21">
        <v>37</v>
      </c>
      <c r="G558" s="21">
        <v>42</v>
      </c>
      <c r="H558" s="21">
        <v>44</v>
      </c>
      <c r="I558" s="55">
        <f>SUM(F558:H558)</f>
        <v>123</v>
      </c>
      <c r="J558" s="21">
        <v>39</v>
      </c>
      <c r="K558" s="21">
        <v>36</v>
      </c>
      <c r="L558" s="21">
        <v>34</v>
      </c>
      <c r="M558" s="55">
        <f>SUM(J558:L558)</f>
        <v>109</v>
      </c>
      <c r="N558" s="21">
        <v>29</v>
      </c>
      <c r="O558" s="21">
        <v>23</v>
      </c>
      <c r="P558" s="21">
        <v>19</v>
      </c>
      <c r="Q558" s="55">
        <f>SUM(N558:P558)</f>
        <v>71</v>
      </c>
      <c r="R558" s="55">
        <f>+E558+I558+M558+Q558</f>
        <v>373</v>
      </c>
    </row>
    <row r="559" spans="1:18" ht="16.5" customHeight="1" thickBot="1" x14ac:dyDescent="0.35">
      <c r="A559" s="41"/>
      <c r="B559" s="36"/>
      <c r="C559" s="36"/>
      <c r="D559" s="36"/>
      <c r="E559" s="52"/>
      <c r="F559" s="36"/>
      <c r="G559" s="36"/>
      <c r="H559" s="36"/>
      <c r="I559" s="52"/>
      <c r="J559" s="36"/>
      <c r="K559" s="36"/>
      <c r="L559" s="36"/>
      <c r="M559" s="52"/>
      <c r="N559" s="36"/>
      <c r="O559" s="36"/>
      <c r="P559" s="36"/>
      <c r="Q559" s="52"/>
      <c r="R559" s="42"/>
    </row>
    <row r="560" spans="1:18" ht="15.75" customHeight="1" x14ac:dyDescent="0.3">
      <c r="A560" s="76" t="s">
        <v>314</v>
      </c>
      <c r="B560" s="77">
        <f>B558</f>
        <v>20</v>
      </c>
      <c r="C560" s="77">
        <f>C558</f>
        <v>22</v>
      </c>
      <c r="D560" s="77">
        <f>D558</f>
        <v>28</v>
      </c>
      <c r="E560" s="60">
        <f>SUM(B560:D560)</f>
        <v>70</v>
      </c>
      <c r="F560" s="77">
        <f>F558</f>
        <v>37</v>
      </c>
      <c r="G560" s="77">
        <f>G558</f>
        <v>42</v>
      </c>
      <c r="H560" s="77">
        <f>H558</f>
        <v>44</v>
      </c>
      <c r="I560" s="60">
        <f>SUM(F560:H560)</f>
        <v>123</v>
      </c>
      <c r="J560" s="77">
        <f>J558</f>
        <v>39</v>
      </c>
      <c r="K560" s="77">
        <f>K558</f>
        <v>36</v>
      </c>
      <c r="L560" s="77">
        <f>L558</f>
        <v>34</v>
      </c>
      <c r="M560" s="60">
        <f>SUM(J560:L560)</f>
        <v>109</v>
      </c>
      <c r="N560" s="77">
        <f>N558</f>
        <v>29</v>
      </c>
      <c r="O560" s="77">
        <f>O558</f>
        <v>23</v>
      </c>
      <c r="P560" s="77">
        <f>P558</f>
        <v>19</v>
      </c>
      <c r="Q560" s="60">
        <f>SUM(N560:P560)</f>
        <v>71</v>
      </c>
      <c r="R560" s="60">
        <f>+E560+I560+M560+Q560</f>
        <v>373</v>
      </c>
    </row>
    <row r="561" spans="1:18" ht="15.75" customHeight="1" x14ac:dyDescent="0.3">
      <c r="A561" s="79" t="s">
        <v>42</v>
      </c>
      <c r="B561" s="1">
        <f>(B560/B10)/1.983</f>
        <v>0.32534608689993977</v>
      </c>
      <c r="C561" s="1">
        <f>(C560/C10)/1.983</f>
        <v>0.39622505583171236</v>
      </c>
      <c r="D561" s="1">
        <f>(D560/D10)/1.983</f>
        <v>0.45548452165991571</v>
      </c>
      <c r="E561" s="55" t="s">
        <v>7</v>
      </c>
      <c r="F561" s="1">
        <f>(F560/F10)/1.983</f>
        <v>0.62195326945705165</v>
      </c>
      <c r="G561" s="1">
        <f>(G560/G10)/1.983</f>
        <v>0.68322678248987356</v>
      </c>
      <c r="H561" s="1">
        <f>(H560/H10)/1.983</f>
        <v>0.73962010421919644</v>
      </c>
      <c r="I561" s="55" t="s">
        <v>7</v>
      </c>
      <c r="J561" s="1">
        <f>(J560/J10)/1.983</f>
        <v>0.63442486945488263</v>
      </c>
      <c r="K561" s="1">
        <f>(K560/K10)/1.983</f>
        <v>0.5856229564198917</v>
      </c>
      <c r="L561" s="1">
        <f>(L560/L10)/1.983</f>
        <v>0.57152462598756093</v>
      </c>
      <c r="M561" s="55" t="s">
        <v>7</v>
      </c>
      <c r="N561" s="1">
        <f>(N560/N10)/1.983</f>
        <v>0.47175182600491267</v>
      </c>
      <c r="O561" s="1">
        <f>(O560/O10)/1.983</f>
        <v>0.38661959993276179</v>
      </c>
      <c r="P561" s="1">
        <f>(P560/P10)/1.983</f>
        <v>0.30907878255494281</v>
      </c>
      <c r="Q561" s="55" t="s">
        <v>7</v>
      </c>
      <c r="R561" s="55" t="s">
        <v>7</v>
      </c>
    </row>
    <row r="562" spans="1:18" ht="15.75" customHeight="1" x14ac:dyDescent="0.3">
      <c r="A562" s="79" t="s">
        <v>335</v>
      </c>
      <c r="B562" s="1">
        <f>B560+B598</f>
        <v>10335</v>
      </c>
      <c r="C562" s="1">
        <f>C560+C598</f>
        <v>11137</v>
      </c>
      <c r="D562" s="1">
        <f>D560+D598</f>
        <v>19903</v>
      </c>
      <c r="E562" s="55">
        <f>SUM(B562:D562)</f>
        <v>41375</v>
      </c>
      <c r="F562" s="1">
        <f>F560+F598</f>
        <v>22093</v>
      </c>
      <c r="G562" s="1">
        <f>G560+G598</f>
        <v>22811</v>
      </c>
      <c r="H562" s="1">
        <f>H560+H598</f>
        <v>18487</v>
      </c>
      <c r="I562" s="55">
        <f>SUM(F562:H562)</f>
        <v>63391</v>
      </c>
      <c r="J562" s="1">
        <f>J560+J598</f>
        <v>17597</v>
      </c>
      <c r="K562" s="1">
        <f>K560+K598</f>
        <v>19574</v>
      </c>
      <c r="L562" s="1">
        <f>L560+L598</f>
        <v>18578</v>
      </c>
      <c r="M562" s="55">
        <f>SUM(J562:L562)</f>
        <v>55749</v>
      </c>
      <c r="N562" s="1">
        <f>N560+N598</f>
        <v>13454</v>
      </c>
      <c r="O562" s="1">
        <f>O560+O598</f>
        <v>8845</v>
      </c>
      <c r="P562" s="1">
        <f>P560+P598</f>
        <v>16891</v>
      </c>
      <c r="Q562" s="55">
        <f>SUM(N562:P562)</f>
        <v>39190</v>
      </c>
      <c r="R562" s="55">
        <f>+E562+I562+M562+Q562</f>
        <v>199705</v>
      </c>
    </row>
    <row r="563" spans="1:18" ht="16.5" customHeight="1" thickBot="1" x14ac:dyDescent="0.35">
      <c r="A563" s="80" t="s">
        <v>336</v>
      </c>
      <c r="B563" s="25">
        <f>(B562/B10)/1.983</f>
        <v>168.12259040554389</v>
      </c>
      <c r="C563" s="25">
        <f>(C562/C10)/1.983</f>
        <v>200.57992939989913</v>
      </c>
      <c r="D563" s="25">
        <f>(D562/D10)/1.983</f>
        <v>323.76815837847505</v>
      </c>
      <c r="E563" s="81" t="s">
        <v>7</v>
      </c>
      <c r="F563" s="25">
        <f>(F562/F10)/1.983</f>
        <v>371.3733400571524</v>
      </c>
      <c r="G563" s="25">
        <f>(G562/G10)/1.983</f>
        <v>371.07347941372637</v>
      </c>
      <c r="H563" s="25">
        <f>(H562/H10)/1.983</f>
        <v>310.75811060682469</v>
      </c>
      <c r="I563" s="81" t="s">
        <v>7</v>
      </c>
      <c r="J563" s="25">
        <f>(J562/J10)/1.983</f>
        <v>286.25575455891203</v>
      </c>
      <c r="K563" s="25">
        <f>(K562/K10)/1.983</f>
        <v>318.41621524897107</v>
      </c>
      <c r="L563" s="25">
        <f>(L562/L10)/1.983</f>
        <v>312.28777945873253</v>
      </c>
      <c r="M563" s="81" t="s">
        <v>7</v>
      </c>
      <c r="N563" s="25">
        <f>(N562/N10)/1.983</f>
        <v>218.8603126575895</v>
      </c>
      <c r="O563" s="25">
        <f>(O562/O10)/1.983</f>
        <v>148.68045049588164</v>
      </c>
      <c r="P563" s="25">
        <f>(P562/P10)/1.983</f>
        <v>274.77103769134413</v>
      </c>
      <c r="Q563" s="81" t="s">
        <v>7</v>
      </c>
      <c r="R563" s="81" t="s">
        <v>7</v>
      </c>
    </row>
    <row r="564" spans="1:18" ht="15.75" customHeight="1" x14ac:dyDescent="0.3">
      <c r="A564" s="28"/>
      <c r="B564" s="1"/>
      <c r="C564" s="1"/>
      <c r="D564" s="1"/>
      <c r="E564" s="1"/>
      <c r="F564" s="1"/>
      <c r="G564" s="1"/>
      <c r="H564" s="1"/>
      <c r="I564" s="1"/>
      <c r="J564" s="1"/>
      <c r="K564" s="1"/>
      <c r="L564" s="1"/>
      <c r="M564" s="1"/>
      <c r="N564" s="1"/>
      <c r="O564" s="1"/>
      <c r="P564" s="1"/>
      <c r="Q564" s="1"/>
      <c r="R564" s="2"/>
    </row>
    <row r="565" spans="1:18" ht="15.75" customHeight="1" thickBot="1" x14ac:dyDescent="0.35">
      <c r="A565" s="28"/>
      <c r="B565" s="1"/>
      <c r="C565" s="1"/>
      <c r="D565" s="1"/>
      <c r="E565" s="1"/>
      <c r="F565" s="1"/>
      <c r="G565" s="1"/>
      <c r="H565" s="1"/>
      <c r="I565" s="1"/>
      <c r="J565" s="1"/>
      <c r="K565" s="1"/>
      <c r="L565" s="1"/>
      <c r="M565" s="1"/>
      <c r="N565" s="1"/>
      <c r="O565" s="1"/>
      <c r="P565" s="1"/>
      <c r="Q565" s="1"/>
      <c r="R565" s="2"/>
    </row>
    <row r="566" spans="1:18" ht="16.5" customHeight="1" thickBot="1" x14ac:dyDescent="0.35">
      <c r="A566" s="29" t="s">
        <v>337</v>
      </c>
      <c r="B566" s="30" t="s">
        <v>8</v>
      </c>
      <c r="C566" s="31" t="s">
        <v>9</v>
      </c>
      <c r="D566" s="31" t="s">
        <v>10</v>
      </c>
      <c r="E566" s="32" t="s">
        <v>11</v>
      </c>
      <c r="F566" s="31" t="s">
        <v>12</v>
      </c>
      <c r="G566" s="31" t="s">
        <v>13</v>
      </c>
      <c r="H566" s="31" t="s">
        <v>14</v>
      </c>
      <c r="I566" s="33" t="s">
        <v>15</v>
      </c>
      <c r="J566" s="31" t="s">
        <v>16</v>
      </c>
      <c r="K566" s="31" t="s">
        <v>17</v>
      </c>
      <c r="L566" s="31" t="s">
        <v>18</v>
      </c>
      <c r="M566" s="33" t="s">
        <v>19</v>
      </c>
      <c r="N566" s="31" t="s">
        <v>20</v>
      </c>
      <c r="O566" s="31" t="s">
        <v>21</v>
      </c>
      <c r="P566" s="31" t="s">
        <v>22</v>
      </c>
      <c r="Q566" s="33" t="s">
        <v>23</v>
      </c>
      <c r="R566" s="34" t="s">
        <v>24</v>
      </c>
    </row>
    <row r="567" spans="1:18" ht="16.5" customHeight="1" thickBot="1" x14ac:dyDescent="0.35">
      <c r="A567" s="41"/>
      <c r="B567" s="36"/>
      <c r="C567" s="36"/>
      <c r="D567" s="36"/>
      <c r="E567" s="52"/>
      <c r="F567" s="36"/>
      <c r="G567" s="36"/>
      <c r="H567" s="36"/>
      <c r="I567" s="52"/>
      <c r="J567" s="36"/>
      <c r="K567" s="36"/>
      <c r="L567" s="36"/>
      <c r="M567" s="52"/>
      <c r="N567" s="36"/>
      <c r="O567" s="36"/>
      <c r="P567" s="36"/>
      <c r="Q567" s="52"/>
      <c r="R567" s="38"/>
    </row>
    <row r="568" spans="1:18" ht="15.75" customHeight="1" x14ac:dyDescent="0.3">
      <c r="A568" s="15" t="s">
        <v>48</v>
      </c>
      <c r="B568" s="1" t="s">
        <v>7</v>
      </c>
      <c r="C568" s="1" t="s">
        <v>7</v>
      </c>
      <c r="D568" s="1" t="s">
        <v>7</v>
      </c>
      <c r="E568" s="55" t="s">
        <v>7</v>
      </c>
      <c r="F568" s="1" t="s">
        <v>7</v>
      </c>
      <c r="G568" s="1" t="s">
        <v>7</v>
      </c>
      <c r="H568" s="1" t="s">
        <v>7</v>
      </c>
      <c r="I568" s="55" t="s">
        <v>7</v>
      </c>
      <c r="J568" s="1" t="s">
        <v>7</v>
      </c>
      <c r="K568" s="1" t="s">
        <v>7</v>
      </c>
      <c r="L568" s="1" t="s">
        <v>7</v>
      </c>
      <c r="M568" s="55" t="s">
        <v>7</v>
      </c>
      <c r="N568" s="1" t="s">
        <v>7</v>
      </c>
      <c r="O568" s="1" t="s">
        <v>7</v>
      </c>
      <c r="P568" s="1" t="s">
        <v>7</v>
      </c>
      <c r="Q568" s="55" t="s">
        <v>7</v>
      </c>
      <c r="R568" s="55" t="s">
        <v>7</v>
      </c>
    </row>
    <row r="569" spans="1:18" ht="15.75" customHeight="1" x14ac:dyDescent="0.3">
      <c r="A569" s="15" t="s">
        <v>49</v>
      </c>
      <c r="B569" s="1"/>
      <c r="C569" s="1"/>
      <c r="D569" s="1"/>
      <c r="E569" s="55" t="s">
        <v>7</v>
      </c>
      <c r="F569" s="1"/>
      <c r="G569" s="1"/>
      <c r="H569" s="1"/>
      <c r="I569" s="55" t="s">
        <v>7</v>
      </c>
      <c r="J569" s="1"/>
      <c r="K569" s="1"/>
      <c r="L569" s="1"/>
      <c r="M569" s="55" t="s">
        <v>7</v>
      </c>
      <c r="N569" s="1"/>
      <c r="O569" s="1"/>
      <c r="P569" s="1"/>
      <c r="Q569" s="55" t="s">
        <v>7</v>
      </c>
      <c r="R569" s="55" t="s">
        <v>7</v>
      </c>
    </row>
    <row r="570" spans="1:18" ht="15.75" customHeight="1" x14ac:dyDescent="0.3">
      <c r="A570" s="71" t="s">
        <v>994</v>
      </c>
      <c r="B570" s="1"/>
      <c r="C570" s="1">
        <v>69</v>
      </c>
      <c r="D570" s="1">
        <v>557</v>
      </c>
      <c r="E570" s="55">
        <f>SUM(B570:D570)</f>
        <v>626</v>
      </c>
      <c r="F570" s="1">
        <v>1506</v>
      </c>
      <c r="G570" s="1">
        <v>1296</v>
      </c>
      <c r="H570" s="1">
        <v>1832</v>
      </c>
      <c r="I570" s="55">
        <f>SUM(F570:H570)</f>
        <v>4634</v>
      </c>
      <c r="J570" s="1">
        <v>1870</v>
      </c>
      <c r="K570" s="1">
        <v>1622</v>
      </c>
      <c r="L570" s="1">
        <v>692</v>
      </c>
      <c r="M570" s="55">
        <f>SUM(J570:L570)</f>
        <v>4184</v>
      </c>
      <c r="N570" s="1">
        <v>387</v>
      </c>
      <c r="O570" s="1">
        <v>96</v>
      </c>
      <c r="P570" s="1">
        <v>18</v>
      </c>
      <c r="Q570" s="55">
        <f>SUM(N570:P570)</f>
        <v>501</v>
      </c>
      <c r="R570" s="55">
        <f>+E570+I570+M570+Q570</f>
        <v>9945</v>
      </c>
    </row>
    <row r="571" spans="1:18" ht="15.75" customHeight="1" x14ac:dyDescent="0.3">
      <c r="A571" s="71" t="s">
        <v>995</v>
      </c>
      <c r="B571" s="1"/>
      <c r="C571" s="1"/>
      <c r="D571" s="1"/>
      <c r="E571" s="55">
        <f>SUM(B571:D571)</f>
        <v>0</v>
      </c>
      <c r="F571" s="1">
        <v>26</v>
      </c>
      <c r="G571" s="1"/>
      <c r="H571" s="1">
        <v>131</v>
      </c>
      <c r="I571" s="55">
        <f>SUM(F571:H571)</f>
        <v>157</v>
      </c>
      <c r="J571" s="1">
        <v>533</v>
      </c>
      <c r="K571" s="1">
        <v>594</v>
      </c>
      <c r="L571" s="1">
        <v>783</v>
      </c>
      <c r="M571" s="55">
        <f>SUM(J571:L571)</f>
        <v>1910</v>
      </c>
      <c r="N571" s="1">
        <v>446</v>
      </c>
      <c r="O571" s="1">
        <v>206</v>
      </c>
      <c r="P571" s="1">
        <v>748</v>
      </c>
      <c r="Q571" s="55">
        <f>SUM(N571:P571)</f>
        <v>1400</v>
      </c>
      <c r="R571" s="55">
        <f>+E571+I571+M571+Q571</f>
        <v>3467</v>
      </c>
    </row>
    <row r="572" spans="1:18" ht="15.75" customHeight="1" x14ac:dyDescent="0.3">
      <c r="A572" s="71" t="s">
        <v>339</v>
      </c>
      <c r="B572" s="1"/>
      <c r="C572" s="1"/>
      <c r="D572" s="1"/>
      <c r="E572" s="55">
        <f>SUM(B572:D572)</f>
        <v>0</v>
      </c>
      <c r="F572" s="1">
        <v>75</v>
      </c>
      <c r="G572" s="1"/>
      <c r="H572" s="1"/>
      <c r="I572" s="55">
        <f>SUM(F572:H572)</f>
        <v>75</v>
      </c>
      <c r="J572" s="1">
        <v>181</v>
      </c>
      <c r="K572" s="1">
        <v>69</v>
      </c>
      <c r="L572" s="1"/>
      <c r="M572" s="55">
        <f>SUM(J572:L572)</f>
        <v>250</v>
      </c>
      <c r="N572" s="1"/>
      <c r="O572" s="1"/>
      <c r="P572" s="1"/>
      <c r="Q572" s="55">
        <f>SUM(N572:P572)</f>
        <v>0</v>
      </c>
      <c r="R572" s="55">
        <f>+E572+I572+M572+Q572</f>
        <v>325</v>
      </c>
    </row>
    <row r="573" spans="1:18" ht="15.75" customHeight="1" x14ac:dyDescent="0.3">
      <c r="A573" s="15" t="s">
        <v>50</v>
      </c>
      <c r="B573" s="1"/>
      <c r="C573" s="1"/>
      <c r="D573" s="1"/>
      <c r="E573" s="55" t="s">
        <v>7</v>
      </c>
      <c r="F573" s="1"/>
      <c r="G573" s="1"/>
      <c r="H573" s="1"/>
      <c r="I573" s="55" t="s">
        <v>7</v>
      </c>
      <c r="J573" s="1"/>
      <c r="K573" s="1"/>
      <c r="L573" s="1"/>
      <c r="M573" s="55" t="s">
        <v>7</v>
      </c>
      <c r="N573" s="1"/>
      <c r="O573" s="1"/>
      <c r="P573" s="1"/>
      <c r="Q573" s="55" t="s">
        <v>7</v>
      </c>
      <c r="R573" s="55" t="s">
        <v>7</v>
      </c>
    </row>
    <row r="574" spans="1:18" ht="15.75" customHeight="1" x14ac:dyDescent="0.3">
      <c r="A574" s="15" t="s">
        <v>51</v>
      </c>
      <c r="B574" s="1"/>
      <c r="C574" s="1"/>
      <c r="D574" s="1"/>
      <c r="E574" s="55" t="s">
        <v>7</v>
      </c>
      <c r="F574" s="1"/>
      <c r="G574" s="1"/>
      <c r="H574" s="1"/>
      <c r="I574" s="55" t="s">
        <v>7</v>
      </c>
      <c r="J574" s="1"/>
      <c r="K574" s="1"/>
      <c r="L574" s="1"/>
      <c r="M574" s="55" t="s">
        <v>7</v>
      </c>
      <c r="N574" s="1"/>
      <c r="O574" s="1"/>
      <c r="P574" s="1"/>
      <c r="Q574" s="55" t="s">
        <v>7</v>
      </c>
      <c r="R574" s="55" t="s">
        <v>7</v>
      </c>
    </row>
    <row r="575" spans="1:18" ht="15.75" customHeight="1" thickBot="1" x14ac:dyDescent="0.35">
      <c r="A575" s="15" t="s">
        <v>53</v>
      </c>
      <c r="B575" s="1"/>
      <c r="C575" s="1"/>
      <c r="D575" s="1"/>
      <c r="E575" s="55" t="s">
        <v>7</v>
      </c>
      <c r="F575" s="1"/>
      <c r="G575" s="1"/>
      <c r="H575" s="1"/>
      <c r="I575" s="55" t="s">
        <v>7</v>
      </c>
      <c r="J575" s="1"/>
      <c r="K575" s="1"/>
      <c r="L575" s="1"/>
      <c r="M575" s="55" t="s">
        <v>7</v>
      </c>
      <c r="N575" s="1"/>
      <c r="O575" s="1"/>
      <c r="P575" s="1"/>
      <c r="Q575" s="55" t="s">
        <v>7</v>
      </c>
      <c r="R575" s="55" t="s">
        <v>7</v>
      </c>
    </row>
    <row r="576" spans="1:18" ht="16.5" customHeight="1" thickBot="1" x14ac:dyDescent="0.35">
      <c r="A576" s="109" t="s">
        <v>54</v>
      </c>
      <c r="B576" s="86">
        <f>SUM(B568:B575)</f>
        <v>0</v>
      </c>
      <c r="C576" s="87">
        <f>SUM(C568:C575)</f>
        <v>69</v>
      </c>
      <c r="D576" s="87">
        <f>SUM(D568:D575)</f>
        <v>557</v>
      </c>
      <c r="E576" s="59">
        <f>SUM(B576:D576)</f>
        <v>626</v>
      </c>
      <c r="F576" s="87">
        <f>SUM(F568:F575)</f>
        <v>1607</v>
      </c>
      <c r="G576" s="87">
        <f>SUM(G568:G575)</f>
        <v>1296</v>
      </c>
      <c r="H576" s="87">
        <f>SUM(H568:H575)</f>
        <v>1963</v>
      </c>
      <c r="I576" s="59">
        <f>SUM(F576:H576)</f>
        <v>4866</v>
      </c>
      <c r="J576" s="87">
        <f>SUM(J568:J575)</f>
        <v>2584</v>
      </c>
      <c r="K576" s="87">
        <f>SUM(K568:K575)</f>
        <v>2285</v>
      </c>
      <c r="L576" s="87">
        <f>SUM(L568:L575)</f>
        <v>1475</v>
      </c>
      <c r="M576" s="59">
        <f>SUM(J576:L576)</f>
        <v>6344</v>
      </c>
      <c r="N576" s="87">
        <f>SUM(N568:N575)</f>
        <v>833</v>
      </c>
      <c r="O576" s="87">
        <f>SUM(O568:O575)</f>
        <v>302</v>
      </c>
      <c r="P576" s="87">
        <f>SUM(P568:P575)</f>
        <v>766</v>
      </c>
      <c r="Q576" s="59">
        <f>SUM(N576:P576)</f>
        <v>1901</v>
      </c>
      <c r="R576" s="59">
        <f>+E576+I576+M576+Q576</f>
        <v>13737</v>
      </c>
    </row>
    <row r="577" spans="1:18" ht="15.75" customHeight="1" x14ac:dyDescent="0.3">
      <c r="A577" s="15" t="s">
        <v>55</v>
      </c>
      <c r="B577" s="1"/>
      <c r="C577" s="1"/>
      <c r="D577" s="1"/>
      <c r="E577" s="55" t="s">
        <v>7</v>
      </c>
      <c r="F577" s="1"/>
      <c r="G577" s="1"/>
      <c r="H577" s="1"/>
      <c r="I577" s="55" t="s">
        <v>7</v>
      </c>
      <c r="J577" s="1"/>
      <c r="K577" s="1"/>
      <c r="L577" s="1"/>
      <c r="M577" s="55" t="s">
        <v>7</v>
      </c>
      <c r="N577" s="1"/>
      <c r="O577" s="1"/>
      <c r="P577" s="1"/>
      <c r="Q577" s="55" t="s">
        <v>7</v>
      </c>
      <c r="R577" s="55" t="s">
        <v>7</v>
      </c>
    </row>
    <row r="578" spans="1:18" ht="15.75" customHeight="1" x14ac:dyDescent="0.3">
      <c r="A578" s="15" t="s">
        <v>57</v>
      </c>
      <c r="B578" s="1"/>
      <c r="C578" s="1"/>
      <c r="D578" s="1"/>
      <c r="E578" s="55" t="s">
        <v>7</v>
      </c>
      <c r="F578" s="1"/>
      <c r="G578" s="1"/>
      <c r="H578" s="1"/>
      <c r="I578" s="55" t="s">
        <v>7</v>
      </c>
      <c r="J578" s="1"/>
      <c r="K578" s="1"/>
      <c r="L578" s="1"/>
      <c r="M578" s="55" t="s">
        <v>7</v>
      </c>
      <c r="N578" s="1"/>
      <c r="O578" s="1"/>
      <c r="P578" s="1"/>
      <c r="Q578" s="55" t="s">
        <v>7</v>
      </c>
      <c r="R578" s="55" t="s">
        <v>7</v>
      </c>
    </row>
    <row r="579" spans="1:18" ht="15.75" customHeight="1" thickBot="1" x14ac:dyDescent="0.35">
      <c r="A579" s="15" t="s">
        <v>58</v>
      </c>
      <c r="B579" s="1"/>
      <c r="C579" s="1"/>
      <c r="D579" s="1"/>
      <c r="E579" s="55" t="s">
        <v>7</v>
      </c>
      <c r="F579" s="1"/>
      <c r="G579" s="1"/>
      <c r="H579" s="1"/>
      <c r="I579" s="55" t="s">
        <v>7</v>
      </c>
      <c r="J579" s="1"/>
      <c r="K579" s="1"/>
      <c r="L579" s="1"/>
      <c r="M579" s="55" t="s">
        <v>7</v>
      </c>
      <c r="N579" s="1"/>
      <c r="O579" s="1"/>
      <c r="P579" s="1"/>
      <c r="Q579" s="55" t="s">
        <v>7</v>
      </c>
      <c r="R579" s="55" t="s">
        <v>7</v>
      </c>
    </row>
    <row r="580" spans="1:18" ht="16.5" customHeight="1" thickBot="1" x14ac:dyDescent="0.35">
      <c r="A580" s="57" t="s">
        <v>59</v>
      </c>
      <c r="B580" s="86">
        <f>SUM(B577:B579)</f>
        <v>0</v>
      </c>
      <c r="C580" s="87">
        <f>SUM(C577:C579)</f>
        <v>0</v>
      </c>
      <c r="D580" s="87">
        <f>SUM(D577:D579)</f>
        <v>0</v>
      </c>
      <c r="E580" s="59">
        <f>SUM(B580:D580)</f>
        <v>0</v>
      </c>
      <c r="F580" s="87">
        <f>SUM(F577:F579)</f>
        <v>0</v>
      </c>
      <c r="G580" s="87">
        <f>SUM(G577:G579)</f>
        <v>0</v>
      </c>
      <c r="H580" s="87">
        <f>SUM(H577:H579)</f>
        <v>0</v>
      </c>
      <c r="I580" s="59">
        <f>SUM(F580:H580)</f>
        <v>0</v>
      </c>
      <c r="J580" s="87">
        <f>SUM(J577:J579)</f>
        <v>0</v>
      </c>
      <c r="K580" s="87">
        <f>SUM(K577:K579)</f>
        <v>0</v>
      </c>
      <c r="L580" s="87">
        <f>SUM(L577:L579)</f>
        <v>0</v>
      </c>
      <c r="M580" s="59">
        <f>SUM(J580:L580)</f>
        <v>0</v>
      </c>
      <c r="N580" s="87">
        <f>SUM(N577:N579)</f>
        <v>0</v>
      </c>
      <c r="O580" s="87">
        <f>SUM(O577:O579)</f>
        <v>0</v>
      </c>
      <c r="P580" s="87">
        <f>SUM(P577:P579)</f>
        <v>0</v>
      </c>
      <c r="Q580" s="59">
        <f>SUM(N580:P580)</f>
        <v>0</v>
      </c>
      <c r="R580" s="59">
        <f>+E580+I580+M580+Q580</f>
        <v>0</v>
      </c>
    </row>
    <row r="581" spans="1:18" ht="15.75" customHeight="1" x14ac:dyDescent="0.3">
      <c r="A581" s="15" t="s">
        <v>60</v>
      </c>
      <c r="B581" s="1"/>
      <c r="C581" s="1"/>
      <c r="D581" s="1"/>
      <c r="E581" s="55" t="s">
        <v>7</v>
      </c>
      <c r="F581" s="1"/>
      <c r="G581" s="1"/>
      <c r="H581" s="1"/>
      <c r="I581" s="55" t="s">
        <v>7</v>
      </c>
      <c r="J581" s="1"/>
      <c r="K581" s="1"/>
      <c r="L581" s="1"/>
      <c r="M581" s="55" t="s">
        <v>7</v>
      </c>
      <c r="N581" s="1"/>
      <c r="O581" s="1"/>
      <c r="P581" s="1"/>
      <c r="Q581" s="55" t="s">
        <v>7</v>
      </c>
      <c r="R581" s="55" t="s">
        <v>7</v>
      </c>
    </row>
    <row r="582" spans="1:18" ht="15.75" customHeight="1" x14ac:dyDescent="0.3">
      <c r="A582" s="15" t="s">
        <v>61</v>
      </c>
      <c r="B582" s="1"/>
      <c r="C582" s="1"/>
      <c r="D582" s="1"/>
      <c r="E582" s="55" t="s">
        <v>7</v>
      </c>
      <c r="F582" s="1"/>
      <c r="G582" s="1"/>
      <c r="H582" s="1"/>
      <c r="I582" s="55" t="s">
        <v>7</v>
      </c>
      <c r="J582" s="1"/>
      <c r="K582" s="1"/>
      <c r="L582" s="1"/>
      <c r="M582" s="55" t="s">
        <v>7</v>
      </c>
      <c r="N582" s="1"/>
      <c r="O582" s="1"/>
      <c r="P582" s="1"/>
      <c r="Q582" s="55" t="s">
        <v>7</v>
      </c>
      <c r="R582" s="55" t="s">
        <v>7</v>
      </c>
    </row>
    <row r="583" spans="1:18" ht="15.75" customHeight="1" thickBot="1" x14ac:dyDescent="0.35">
      <c r="A583" s="15" t="s">
        <v>62</v>
      </c>
      <c r="B583" s="1"/>
      <c r="C583" s="1"/>
      <c r="D583" s="1"/>
      <c r="E583" s="55" t="s">
        <v>7</v>
      </c>
      <c r="F583" s="1"/>
      <c r="G583" s="1"/>
      <c r="H583" s="1"/>
      <c r="I583" s="55" t="s">
        <v>7</v>
      </c>
      <c r="J583" s="1"/>
      <c r="K583" s="1"/>
      <c r="L583" s="1"/>
      <c r="M583" s="55" t="s">
        <v>7</v>
      </c>
      <c r="N583" s="1"/>
      <c r="O583" s="1"/>
      <c r="P583" s="1"/>
      <c r="Q583" s="55" t="s">
        <v>7</v>
      </c>
      <c r="R583" s="55" t="s">
        <v>7</v>
      </c>
    </row>
    <row r="584" spans="1:18" ht="16.5" customHeight="1" thickBot="1" x14ac:dyDescent="0.35">
      <c r="A584" s="114" t="s">
        <v>63</v>
      </c>
      <c r="B584" s="86">
        <f>SUM(B581:B583)</f>
        <v>0</v>
      </c>
      <c r="C584" s="87">
        <f>SUM(C581:C583)</f>
        <v>0</v>
      </c>
      <c r="D584" s="87">
        <f>SUM(D581:D583)</f>
        <v>0</v>
      </c>
      <c r="E584" s="59">
        <f>SUM(B584:D584)</f>
        <v>0</v>
      </c>
      <c r="F584" s="87">
        <f>SUM(F581:F583)</f>
        <v>0</v>
      </c>
      <c r="G584" s="87">
        <f>SUM(G581:G583)</f>
        <v>0</v>
      </c>
      <c r="H584" s="87">
        <f>SUM(H581:H583)</f>
        <v>0</v>
      </c>
      <c r="I584" s="59">
        <f>SUM(F584:H584)</f>
        <v>0</v>
      </c>
      <c r="J584" s="87">
        <f>SUM(J581:J583)</f>
        <v>0</v>
      </c>
      <c r="K584" s="87">
        <f>SUM(K581:K583)</f>
        <v>0</v>
      </c>
      <c r="L584" s="87">
        <f>SUM(L581:L583)</f>
        <v>0</v>
      </c>
      <c r="M584" s="59">
        <f>SUM(J584:L584)</f>
        <v>0</v>
      </c>
      <c r="N584" s="87">
        <f>SUM(N581:N583)</f>
        <v>0</v>
      </c>
      <c r="O584" s="87">
        <f>SUM(O581:O583)</f>
        <v>0</v>
      </c>
      <c r="P584" s="87">
        <f>SUM(P581:P583)</f>
        <v>0</v>
      </c>
      <c r="Q584" s="59">
        <f>SUM(N584:P584)</f>
        <v>0</v>
      </c>
      <c r="R584" s="59">
        <f>+E584+I584+M584+Q584</f>
        <v>0</v>
      </c>
    </row>
    <row r="585" spans="1:18" ht="15.75" customHeight="1" x14ac:dyDescent="0.3">
      <c r="A585" s="15" t="s">
        <v>64</v>
      </c>
      <c r="B585" s="1"/>
      <c r="C585" s="1"/>
      <c r="D585" s="1"/>
      <c r="E585" s="55" t="s">
        <v>7</v>
      </c>
      <c r="F585" s="1"/>
      <c r="G585" s="1"/>
      <c r="H585" s="1"/>
      <c r="I585" s="55" t="s">
        <v>7</v>
      </c>
      <c r="J585" s="1"/>
      <c r="K585" s="1"/>
      <c r="L585" s="1"/>
      <c r="M585" s="55" t="s">
        <v>7</v>
      </c>
      <c r="N585" s="1"/>
      <c r="O585" s="1"/>
      <c r="P585" s="1"/>
      <c r="Q585" s="55" t="s">
        <v>7</v>
      </c>
      <c r="R585" s="55" t="s">
        <v>7</v>
      </c>
    </row>
    <row r="586" spans="1:18" ht="15.75" customHeight="1" x14ac:dyDescent="0.3">
      <c r="A586" s="15" t="s">
        <v>594</v>
      </c>
      <c r="B586" s="1"/>
      <c r="C586" s="1"/>
      <c r="D586" s="1"/>
      <c r="E586" s="55" t="s">
        <v>7</v>
      </c>
      <c r="F586" s="1"/>
      <c r="G586" s="1"/>
      <c r="H586" s="1"/>
      <c r="I586" s="55" t="s">
        <v>7</v>
      </c>
      <c r="J586" s="1"/>
      <c r="K586" s="1"/>
      <c r="L586" s="1"/>
      <c r="M586" s="55" t="s">
        <v>7</v>
      </c>
      <c r="N586" s="1"/>
      <c r="O586" s="1"/>
      <c r="P586" s="1"/>
      <c r="Q586" s="55" t="s">
        <v>7</v>
      </c>
      <c r="R586" s="55" t="s">
        <v>7</v>
      </c>
    </row>
    <row r="587" spans="1:18" ht="15.75" customHeight="1" x14ac:dyDescent="0.3">
      <c r="A587" s="15" t="s">
        <v>67</v>
      </c>
      <c r="B587" s="1"/>
      <c r="C587" s="1"/>
      <c r="D587" s="1"/>
      <c r="E587" s="55" t="s">
        <v>7</v>
      </c>
      <c r="F587" s="1"/>
      <c r="G587" s="1"/>
      <c r="H587" s="1"/>
      <c r="I587" s="55" t="s">
        <v>7</v>
      </c>
      <c r="J587" s="1"/>
      <c r="K587" s="1"/>
      <c r="L587" s="1"/>
      <c r="M587" s="55" t="s">
        <v>7</v>
      </c>
      <c r="N587" s="1"/>
      <c r="O587" s="1"/>
      <c r="P587" s="1"/>
      <c r="Q587" s="55" t="s">
        <v>7</v>
      </c>
      <c r="R587" s="55" t="s">
        <v>7</v>
      </c>
    </row>
    <row r="588" spans="1:18" ht="15.75" customHeight="1" x14ac:dyDescent="0.3">
      <c r="A588" s="71" t="s">
        <v>773</v>
      </c>
      <c r="B588" s="1"/>
      <c r="C588" s="1"/>
      <c r="D588" s="1"/>
      <c r="E588" s="55">
        <f>SUM(B588:D588)</f>
        <v>0</v>
      </c>
      <c r="F588" s="1"/>
      <c r="G588" s="1"/>
      <c r="H588" s="1"/>
      <c r="I588" s="55">
        <f>SUM(F588:H588)</f>
        <v>0</v>
      </c>
      <c r="J588" s="1"/>
      <c r="K588" s="1"/>
      <c r="L588" s="1"/>
      <c r="M588" s="55">
        <f>SUM(J588:L588)</f>
        <v>0</v>
      </c>
      <c r="N588" s="1"/>
      <c r="O588" s="1"/>
      <c r="P588" s="1"/>
      <c r="Q588" s="55">
        <f>SUM(N588:P588)</f>
        <v>0</v>
      </c>
      <c r="R588" s="55">
        <f>+E588+I588+M588+Q588</f>
        <v>0</v>
      </c>
    </row>
    <row r="589" spans="1:18" ht="15.75" customHeight="1" x14ac:dyDescent="0.3">
      <c r="A589" s="15" t="s">
        <v>600</v>
      </c>
      <c r="B589" s="1"/>
      <c r="C589" s="1"/>
      <c r="D589" s="1"/>
      <c r="E589" s="55" t="s">
        <v>7</v>
      </c>
      <c r="F589" s="1"/>
      <c r="G589" s="1"/>
      <c r="H589" s="1"/>
      <c r="I589" s="55" t="s">
        <v>7</v>
      </c>
      <c r="J589" s="1"/>
      <c r="K589" s="1"/>
      <c r="L589" s="1"/>
      <c r="M589" s="55" t="s">
        <v>7</v>
      </c>
      <c r="N589" s="1"/>
      <c r="O589" s="1"/>
      <c r="P589" s="1"/>
      <c r="Q589" s="55" t="s">
        <v>7</v>
      </c>
      <c r="R589" s="55" t="s">
        <v>7</v>
      </c>
    </row>
    <row r="590" spans="1:18" ht="15.75" customHeight="1" thickBot="1" x14ac:dyDescent="0.35">
      <c r="A590" s="15" t="s">
        <v>70</v>
      </c>
      <c r="B590" s="1"/>
      <c r="C590" s="1"/>
      <c r="D590" s="1"/>
      <c r="E590" s="55" t="s">
        <v>7</v>
      </c>
      <c r="F590" s="1"/>
      <c r="G590" s="1"/>
      <c r="H590" s="1"/>
      <c r="I590" s="55" t="s">
        <v>7</v>
      </c>
      <c r="J590" s="1"/>
      <c r="K590" s="1"/>
      <c r="L590" s="1"/>
      <c r="M590" s="55" t="s">
        <v>7</v>
      </c>
      <c r="N590" s="1"/>
      <c r="O590" s="1"/>
      <c r="P590" s="1"/>
      <c r="Q590" s="55" t="s">
        <v>7</v>
      </c>
      <c r="R590" s="55" t="s">
        <v>7</v>
      </c>
    </row>
    <row r="591" spans="1:18" ht="16.5" customHeight="1" thickBot="1" x14ac:dyDescent="0.35">
      <c r="A591" s="57" t="s">
        <v>71</v>
      </c>
      <c r="B591" s="58">
        <f>SUM(B589:B590)</f>
        <v>0</v>
      </c>
      <c r="C591" s="58">
        <f>SUM(C589:C590)</f>
        <v>0</v>
      </c>
      <c r="D591" s="58">
        <f>SUM(D589:D590)</f>
        <v>0</v>
      </c>
      <c r="E591" s="60">
        <f>SUM(B591:D591)</f>
        <v>0</v>
      </c>
      <c r="F591" s="58">
        <f>SUM(F589:F590)</f>
        <v>0</v>
      </c>
      <c r="G591" s="58">
        <f>SUM(G589:G590)</f>
        <v>0</v>
      </c>
      <c r="H591" s="58">
        <f>SUM(H589:H590)</f>
        <v>0</v>
      </c>
      <c r="I591" s="60">
        <f>SUM(F591:H591)</f>
        <v>0</v>
      </c>
      <c r="J591" s="58">
        <f>SUM(J589:J590)</f>
        <v>0</v>
      </c>
      <c r="K591" s="58">
        <f>SUM(K589:K590)</f>
        <v>0</v>
      </c>
      <c r="L591" s="58">
        <f>SUM(L589:L590)</f>
        <v>0</v>
      </c>
      <c r="M591" s="60">
        <f>SUM(J591:L591)</f>
        <v>0</v>
      </c>
      <c r="N591" s="58">
        <f>SUM(N589:N590)</f>
        <v>0</v>
      </c>
      <c r="O591" s="58">
        <f>SUM(O589:O590)</f>
        <v>0</v>
      </c>
      <c r="P591" s="58">
        <f>SUM(P589:P590)</f>
        <v>0</v>
      </c>
      <c r="Q591" s="60">
        <f>SUM(N591:P591)</f>
        <v>0</v>
      </c>
      <c r="R591" s="59">
        <f>+E591+I591+M591+Q591</f>
        <v>0</v>
      </c>
    </row>
    <row r="592" spans="1:18" ht="16.5" customHeight="1" thickBot="1" x14ac:dyDescent="0.35">
      <c r="A592" s="114" t="s">
        <v>72</v>
      </c>
      <c r="B592" s="86">
        <f>SUM(B585:B590)</f>
        <v>0</v>
      </c>
      <c r="C592" s="87">
        <f>SUM(C585:C590)</f>
        <v>0</v>
      </c>
      <c r="D592" s="118">
        <f>SUM(D585:D590)</f>
        <v>0</v>
      </c>
      <c r="E592" s="60">
        <f>SUM(B592:D592)</f>
        <v>0</v>
      </c>
      <c r="F592" s="87">
        <f>SUM(F585:F590)</f>
        <v>0</v>
      </c>
      <c r="G592" s="87">
        <f>SUM(G585:G590)</f>
        <v>0</v>
      </c>
      <c r="H592" s="87">
        <f>SUM(H585:H590)</f>
        <v>0</v>
      </c>
      <c r="I592" s="60">
        <f>SUM(F592:H592)</f>
        <v>0</v>
      </c>
      <c r="J592" s="87">
        <f>SUM(J585:J590)</f>
        <v>0</v>
      </c>
      <c r="K592" s="87">
        <f>SUM(K585:K590)</f>
        <v>0</v>
      </c>
      <c r="L592" s="87">
        <f>SUM(L585:L590)</f>
        <v>0</v>
      </c>
      <c r="M592" s="60">
        <f>SUM(J592:L592)</f>
        <v>0</v>
      </c>
      <c r="N592" s="87">
        <f>SUM(N585:N590)</f>
        <v>0</v>
      </c>
      <c r="O592" s="87">
        <f>SUM(O585:O590)</f>
        <v>0</v>
      </c>
      <c r="P592" s="87">
        <f>SUM(P585:P590)</f>
        <v>0</v>
      </c>
      <c r="Q592" s="60">
        <f>SUM(N592:P592)</f>
        <v>0</v>
      </c>
      <c r="R592" s="59">
        <f>+E592+I592+M592+Q592</f>
        <v>0</v>
      </c>
    </row>
    <row r="593" spans="1:18" ht="16.5" customHeight="1" thickBot="1" x14ac:dyDescent="0.35">
      <c r="A593" s="57" t="s">
        <v>73</v>
      </c>
      <c r="B593" s="90">
        <f>+B576+B580+B584+B592</f>
        <v>0</v>
      </c>
      <c r="C593" s="58">
        <f>+C576+C580+C584+C592</f>
        <v>69</v>
      </c>
      <c r="D593" s="58">
        <f>+D576+D580+D584+D592</f>
        <v>557</v>
      </c>
      <c r="E593" s="59">
        <f>SUM(B593:D593)</f>
        <v>626</v>
      </c>
      <c r="F593" s="58">
        <f>+F576+F580+F584+F592</f>
        <v>1607</v>
      </c>
      <c r="G593" s="58">
        <f>+G576+G580+G584+G592</f>
        <v>1296</v>
      </c>
      <c r="H593" s="58">
        <f>+H576+H580+H584+H592</f>
        <v>1963</v>
      </c>
      <c r="I593" s="59">
        <f>SUM(F593:H593)</f>
        <v>4866</v>
      </c>
      <c r="J593" s="58">
        <f>+J576+J580+J584+J592</f>
        <v>2584</v>
      </c>
      <c r="K593" s="58">
        <f>+K576+K580+K584+K592</f>
        <v>2285</v>
      </c>
      <c r="L593" s="58">
        <f>+L576+L580+L584+L592</f>
        <v>1475</v>
      </c>
      <c r="M593" s="59">
        <f>SUM(J593:L593)</f>
        <v>6344</v>
      </c>
      <c r="N593" s="58">
        <f>+N576+N580+N584+N592</f>
        <v>833</v>
      </c>
      <c r="O593" s="58">
        <f>+O576+O580+O584+O592</f>
        <v>302</v>
      </c>
      <c r="P593" s="58">
        <f>+P576+P580+P584+P592</f>
        <v>766</v>
      </c>
      <c r="Q593" s="59">
        <f>SUM(N593:P593)</f>
        <v>1901</v>
      </c>
      <c r="R593" s="81">
        <f>+E593+I593+M593+Q593</f>
        <v>13737</v>
      </c>
    </row>
    <row r="594" spans="1:18" ht="16.5" customHeight="1" thickBot="1" x14ac:dyDescent="0.35">
      <c r="A594" s="39" t="s">
        <v>40</v>
      </c>
      <c r="B594" s="21">
        <v>10</v>
      </c>
      <c r="C594" s="21">
        <v>11</v>
      </c>
      <c r="D594" s="21">
        <v>14</v>
      </c>
      <c r="E594" s="55">
        <f>SUM(B594:D594)</f>
        <v>35</v>
      </c>
      <c r="F594" s="21">
        <v>18</v>
      </c>
      <c r="G594" s="21">
        <v>21</v>
      </c>
      <c r="H594" s="21">
        <v>22</v>
      </c>
      <c r="I594" s="55">
        <f>SUM(F594:H594)</f>
        <v>61</v>
      </c>
      <c r="J594" s="21">
        <v>19</v>
      </c>
      <c r="K594" s="21">
        <v>17</v>
      </c>
      <c r="L594" s="21">
        <v>17</v>
      </c>
      <c r="M594" s="55">
        <f>SUM(J594:L594)</f>
        <v>53</v>
      </c>
      <c r="N594" s="21">
        <v>14</v>
      </c>
      <c r="O594" s="21">
        <v>11</v>
      </c>
      <c r="P594" s="21">
        <v>9</v>
      </c>
      <c r="Q594" s="55">
        <f>SUM(N594:P594)</f>
        <v>34</v>
      </c>
      <c r="R594" s="55">
        <f>+E594+I594+M594+Q594</f>
        <v>183</v>
      </c>
    </row>
    <row r="595" spans="1:18" ht="16.5" customHeight="1" thickBot="1" x14ac:dyDescent="0.35">
      <c r="A595" s="41"/>
      <c r="B595" s="36"/>
      <c r="C595" s="36"/>
      <c r="D595" s="36"/>
      <c r="E595" s="52"/>
      <c r="F595" s="36"/>
      <c r="G595" s="36"/>
      <c r="H595" s="36"/>
      <c r="I595" s="52"/>
      <c r="J595" s="36"/>
      <c r="K595" s="36"/>
      <c r="L595" s="36"/>
      <c r="M595" s="129"/>
      <c r="N595" s="36"/>
      <c r="O595" s="36"/>
      <c r="P595" s="36"/>
      <c r="Q595" s="129"/>
      <c r="R595" s="40"/>
    </row>
    <row r="596" spans="1:18" ht="15.75" customHeight="1" x14ac:dyDescent="0.3">
      <c r="A596" s="15" t="s">
        <v>314</v>
      </c>
      <c r="B596" s="1">
        <f>SUM(B593:B594)</f>
        <v>10</v>
      </c>
      <c r="C596" s="1">
        <f>SUM(C593:C594)</f>
        <v>80</v>
      </c>
      <c r="D596" s="1">
        <f>SUM(D593:D594)</f>
        <v>571</v>
      </c>
      <c r="E596" s="55">
        <f>SUM(B596:D596)</f>
        <v>661</v>
      </c>
      <c r="F596" s="1">
        <f>SUM(F593:F594)</f>
        <v>1625</v>
      </c>
      <c r="G596" s="1">
        <f>SUM(G593:G594)</f>
        <v>1317</v>
      </c>
      <c r="H596" s="1">
        <f>SUM(H593:H594)</f>
        <v>1985</v>
      </c>
      <c r="I596" s="60">
        <f>SUM(F596:H596)</f>
        <v>4927</v>
      </c>
      <c r="J596" s="1">
        <f>SUM(J593:J594)</f>
        <v>2603</v>
      </c>
      <c r="K596" s="1">
        <f>SUM(K593:K594)</f>
        <v>2302</v>
      </c>
      <c r="L596" s="1">
        <f>SUM(L593:L594)</f>
        <v>1492</v>
      </c>
      <c r="M596" s="60">
        <f>SUM(J596:L596)</f>
        <v>6397</v>
      </c>
      <c r="N596" s="1">
        <f>SUM(N593:N594)</f>
        <v>847</v>
      </c>
      <c r="O596" s="1">
        <f>SUM(O593:O594)</f>
        <v>313</v>
      </c>
      <c r="P596" s="1">
        <f>SUM(P593:P594)</f>
        <v>775</v>
      </c>
      <c r="Q596" s="60">
        <f>SUM(N596:P596)</f>
        <v>1935</v>
      </c>
      <c r="R596" s="60">
        <f>+E596+I596+M596+Q596</f>
        <v>13920</v>
      </c>
    </row>
    <row r="597" spans="1:18" ht="15.75" customHeight="1" x14ac:dyDescent="0.3">
      <c r="A597" s="15" t="s">
        <v>42</v>
      </c>
      <c r="B597" s="1">
        <f>(B596/B10)/1.983</f>
        <v>0.16267304344996988</v>
      </c>
      <c r="C597" s="1">
        <f>(C596/C10)/1.983</f>
        <v>1.4408183848425906</v>
      </c>
      <c r="D597" s="1">
        <f>(D596/D10)/1.983</f>
        <v>9.2886307809932802</v>
      </c>
      <c r="E597" s="55" t="s">
        <v>7</v>
      </c>
      <c r="F597" s="1">
        <f>(F596/F10)/1.983</f>
        <v>27.315515212640779</v>
      </c>
      <c r="G597" s="1">
        <f>(G596/G10)/1.983</f>
        <v>21.424039822361035</v>
      </c>
      <c r="H597" s="1">
        <f>(H596/H10)/1.983</f>
        <v>33.366952428979658</v>
      </c>
      <c r="I597" s="55" t="s">
        <v>7</v>
      </c>
      <c r="J597" s="1">
        <f>(J596/J10)/1.983</f>
        <v>42.343793210027165</v>
      </c>
      <c r="K597" s="1">
        <f>(K596/K10)/1.983</f>
        <v>37.447334602183076</v>
      </c>
      <c r="L597" s="1">
        <f>(L596/L10)/1.983</f>
        <v>25.079845352160024</v>
      </c>
      <c r="M597" s="55" t="s">
        <v>7</v>
      </c>
      <c r="N597" s="1">
        <f>(N596/N10)/1.983</f>
        <v>13.778406780212451</v>
      </c>
      <c r="O597" s="1">
        <f>(O596/O10)/1.983</f>
        <v>5.2613884686501935</v>
      </c>
      <c r="P597" s="1">
        <f>(P596/P10)/1.983</f>
        <v>12.607160867372667</v>
      </c>
      <c r="Q597" s="55" t="s">
        <v>7</v>
      </c>
      <c r="R597" s="55" t="s">
        <v>7</v>
      </c>
    </row>
    <row r="598" spans="1:18" ht="15.75" customHeight="1" x14ac:dyDescent="0.3">
      <c r="A598" s="15" t="s">
        <v>341</v>
      </c>
      <c r="B598" s="1">
        <f>B596+B642</f>
        <v>10315</v>
      </c>
      <c r="C598" s="1">
        <f>C596+C642</f>
        <v>11115</v>
      </c>
      <c r="D598" s="1">
        <f>D596+D642</f>
        <v>19875</v>
      </c>
      <c r="E598" s="55">
        <f>SUM(B598:D598)</f>
        <v>41305</v>
      </c>
      <c r="F598" s="1">
        <f>F596+F642</f>
        <v>22056</v>
      </c>
      <c r="G598" s="1">
        <f>G596+G642</f>
        <v>22769</v>
      </c>
      <c r="H598" s="1">
        <f>H596+H642</f>
        <v>18443</v>
      </c>
      <c r="I598" s="55">
        <f>SUM(F598:H598)</f>
        <v>63268</v>
      </c>
      <c r="J598" s="1">
        <f>J596+J642</f>
        <v>17558</v>
      </c>
      <c r="K598" s="1">
        <f>K596+K642</f>
        <v>19538</v>
      </c>
      <c r="L598" s="1">
        <f>L596+L642</f>
        <v>18544</v>
      </c>
      <c r="M598" s="55">
        <f>SUM(J598:L598)</f>
        <v>55640</v>
      </c>
      <c r="N598" s="1">
        <f>N596+N642</f>
        <v>13425</v>
      </c>
      <c r="O598" s="1">
        <f>O596+O642</f>
        <v>8822</v>
      </c>
      <c r="P598" s="1">
        <f>P596+P642</f>
        <v>16872</v>
      </c>
      <c r="Q598" s="55">
        <f>SUM(N598:P598)</f>
        <v>39119</v>
      </c>
      <c r="R598" s="55">
        <f>+E598+I598+M598+Q598</f>
        <v>199332</v>
      </c>
    </row>
    <row r="599" spans="1:18" ht="16.5" customHeight="1" thickBot="1" x14ac:dyDescent="0.35">
      <c r="A599" s="20" t="s">
        <v>342</v>
      </c>
      <c r="B599" s="21">
        <f>(B598/B10)/1.983</f>
        <v>167.79724431864395</v>
      </c>
      <c r="C599" s="21">
        <f>(C598/C10)/1.983</f>
        <v>200.18370434406742</v>
      </c>
      <c r="D599" s="21">
        <f>(D598/D10)/1.983</f>
        <v>323.31267385681519</v>
      </c>
      <c r="E599" s="81" t="s">
        <v>7</v>
      </c>
      <c r="F599" s="21">
        <f>(F598/F10)/1.983</f>
        <v>370.75138678769542</v>
      </c>
      <c r="G599" s="21">
        <f>(G598/G10)/1.983</f>
        <v>370.39025263123648</v>
      </c>
      <c r="H599" s="21">
        <f>(H598/H10)/1.983</f>
        <v>310.01849050260546</v>
      </c>
      <c r="I599" s="81" t="s">
        <v>7</v>
      </c>
      <c r="J599" s="21">
        <f>(J598/J10)/1.983</f>
        <v>285.62132968945713</v>
      </c>
      <c r="K599" s="21">
        <f>(K598/K10)/1.983</f>
        <v>317.83059229255116</v>
      </c>
      <c r="L599" s="21">
        <f>(L598/L10)/1.983</f>
        <v>311.71625483274499</v>
      </c>
      <c r="M599" s="81" t="s">
        <v>7</v>
      </c>
      <c r="N599" s="21">
        <f>(N598/N10)/1.983</f>
        <v>218.38856083158458</v>
      </c>
      <c r="O599" s="21">
        <f>(O598/O10)/1.983</f>
        <v>148.2938308959489</v>
      </c>
      <c r="P599" s="21">
        <f>(P598/P10)/1.983</f>
        <v>274.4619589087892</v>
      </c>
      <c r="Q599" s="81" t="s">
        <v>7</v>
      </c>
      <c r="R599" s="81" t="s">
        <v>7</v>
      </c>
    </row>
    <row r="600" spans="1:18" ht="15.75" customHeight="1" x14ac:dyDescent="0.3">
      <c r="A600" s="2"/>
      <c r="B600" s="1"/>
      <c r="C600" s="1"/>
      <c r="D600" s="1"/>
      <c r="E600" s="1"/>
      <c r="F600" s="1"/>
      <c r="G600" s="1"/>
      <c r="H600" s="1"/>
      <c r="I600" s="1"/>
      <c r="J600" s="1"/>
      <c r="K600" s="1"/>
      <c r="L600" s="1"/>
      <c r="M600" s="1"/>
      <c r="N600" s="1"/>
      <c r="O600" s="1"/>
      <c r="P600" s="1"/>
      <c r="Q600" s="1"/>
      <c r="R600" s="2"/>
    </row>
    <row r="601" spans="1:18" ht="16.5" customHeight="1" thickBot="1" x14ac:dyDescent="0.35">
      <c r="A601" s="106"/>
      <c r="B601" s="21"/>
      <c r="C601" s="21"/>
      <c r="D601" s="21"/>
      <c r="E601" s="21"/>
      <c r="F601" s="21"/>
      <c r="G601" s="21"/>
      <c r="H601" s="21"/>
      <c r="I601" s="21"/>
      <c r="J601" s="21"/>
      <c r="K601" s="21"/>
      <c r="L601" s="21"/>
      <c r="M601" s="21"/>
      <c r="N601" s="21"/>
      <c r="O601" s="21"/>
      <c r="P601" s="21"/>
      <c r="Q601" s="21"/>
      <c r="R601" s="106"/>
    </row>
    <row r="602" spans="1:18" ht="15.75" customHeight="1" thickBot="1" x14ac:dyDescent="0.35">
      <c r="A602" s="107" t="s">
        <v>343</v>
      </c>
      <c r="B602" s="47" t="s">
        <v>8</v>
      </c>
      <c r="C602" s="48" t="s">
        <v>9</v>
      </c>
      <c r="D602" s="48" t="s">
        <v>10</v>
      </c>
      <c r="E602" s="32" t="s">
        <v>11</v>
      </c>
      <c r="F602" s="48" t="s">
        <v>12</v>
      </c>
      <c r="G602" s="48" t="s">
        <v>13</v>
      </c>
      <c r="H602" s="48" t="s">
        <v>14</v>
      </c>
      <c r="I602" s="32" t="s">
        <v>15</v>
      </c>
      <c r="J602" s="48" t="s">
        <v>16</v>
      </c>
      <c r="K602" s="48" t="s">
        <v>17</v>
      </c>
      <c r="L602" s="48" t="s">
        <v>18</v>
      </c>
      <c r="M602" s="32" t="s">
        <v>19</v>
      </c>
      <c r="N602" s="48" t="s">
        <v>20</v>
      </c>
      <c r="O602" s="48" t="s">
        <v>21</v>
      </c>
      <c r="P602" s="48" t="s">
        <v>22</v>
      </c>
      <c r="Q602" s="32" t="s">
        <v>23</v>
      </c>
      <c r="R602" s="49" t="s">
        <v>24</v>
      </c>
    </row>
    <row r="603" spans="1:18" ht="16.5" customHeight="1" thickBot="1" x14ac:dyDescent="0.35">
      <c r="A603" s="130"/>
      <c r="B603" s="51"/>
      <c r="C603" s="51"/>
      <c r="D603" s="51"/>
      <c r="E603" s="52"/>
      <c r="F603" s="51"/>
      <c r="G603" s="51"/>
      <c r="H603" s="51"/>
      <c r="I603" s="52"/>
      <c r="J603" s="51"/>
      <c r="K603" s="51"/>
      <c r="L603" s="51"/>
      <c r="M603" s="52"/>
      <c r="N603" s="51"/>
      <c r="O603" s="51"/>
      <c r="P603" s="51"/>
      <c r="Q603" s="52"/>
      <c r="R603" s="53"/>
    </row>
    <row r="604" spans="1:18" ht="15.75" customHeight="1" x14ac:dyDescent="0.3">
      <c r="A604" s="15" t="s">
        <v>48</v>
      </c>
      <c r="B604" s="1" t="s">
        <v>7</v>
      </c>
      <c r="C604" s="1" t="s">
        <v>7</v>
      </c>
      <c r="D604" s="1" t="s">
        <v>7</v>
      </c>
      <c r="E604" s="55" t="s">
        <v>7</v>
      </c>
      <c r="F604" s="1" t="s">
        <v>7</v>
      </c>
      <c r="G604" s="1" t="s">
        <v>7</v>
      </c>
      <c r="H604" s="1" t="s">
        <v>7</v>
      </c>
      <c r="I604" s="55" t="s">
        <v>7</v>
      </c>
      <c r="J604" s="1" t="s">
        <v>7</v>
      </c>
      <c r="K604" s="1" t="s">
        <v>7</v>
      </c>
      <c r="L604" s="1" t="s">
        <v>7</v>
      </c>
      <c r="M604" s="55" t="s">
        <v>7</v>
      </c>
      <c r="N604" s="1" t="s">
        <v>7</v>
      </c>
      <c r="O604" s="1" t="s">
        <v>7</v>
      </c>
      <c r="P604" s="1" t="s">
        <v>7</v>
      </c>
      <c r="Q604" s="55" t="s">
        <v>7</v>
      </c>
      <c r="R604" s="55" t="s">
        <v>7</v>
      </c>
    </row>
    <row r="605" spans="1:18" ht="15.75" customHeight="1" x14ac:dyDescent="0.3">
      <c r="A605" s="15" t="s">
        <v>49</v>
      </c>
      <c r="B605" s="1"/>
      <c r="C605" s="1"/>
      <c r="D605" s="1"/>
      <c r="E605" s="55" t="s">
        <v>7</v>
      </c>
      <c r="F605" s="1"/>
      <c r="G605" s="1"/>
      <c r="H605" s="1"/>
      <c r="I605" s="55" t="s">
        <v>7</v>
      </c>
      <c r="J605" s="1"/>
      <c r="K605" s="1"/>
      <c r="L605" s="1"/>
      <c r="M605" s="55" t="s">
        <v>7</v>
      </c>
      <c r="N605" s="1"/>
      <c r="O605" s="1"/>
      <c r="P605" s="1"/>
      <c r="Q605" s="55" t="s">
        <v>7</v>
      </c>
      <c r="R605" s="55" t="s">
        <v>7</v>
      </c>
    </row>
    <row r="606" spans="1:18" ht="15.75" customHeight="1" x14ac:dyDescent="0.3">
      <c r="A606" s="71" t="s">
        <v>344</v>
      </c>
      <c r="B606" s="1">
        <v>363</v>
      </c>
      <c r="C606" s="1">
        <v>3335</v>
      </c>
      <c r="D606" s="1">
        <v>7721</v>
      </c>
      <c r="E606" s="55">
        <f>SUM(B606:D606)</f>
        <v>11419</v>
      </c>
      <c r="F606" s="1">
        <v>7543</v>
      </c>
      <c r="G606" s="1">
        <v>7802</v>
      </c>
      <c r="H606" s="1">
        <v>6529</v>
      </c>
      <c r="I606" s="55">
        <f>SUM(F606:H606)</f>
        <v>21874</v>
      </c>
      <c r="J606" s="1">
        <v>5118</v>
      </c>
      <c r="K606" s="1">
        <v>3755</v>
      </c>
      <c r="L606" s="1">
        <v>5035</v>
      </c>
      <c r="M606" s="55">
        <f>SUM(J606:L606)</f>
        <v>13908</v>
      </c>
      <c r="N606" s="1">
        <v>4352</v>
      </c>
      <c r="O606" s="1">
        <v>2600</v>
      </c>
      <c r="P606" s="1">
        <v>5138</v>
      </c>
      <c r="Q606" s="55">
        <f>SUM(N606:P606)</f>
        <v>12090</v>
      </c>
      <c r="R606" s="55">
        <f>+E606+I606+M606+Q606</f>
        <v>59291</v>
      </c>
    </row>
    <row r="607" spans="1:18" ht="15.75" customHeight="1" x14ac:dyDescent="0.3">
      <c r="A607" s="71" t="s">
        <v>345</v>
      </c>
      <c r="B607" s="1">
        <v>2375</v>
      </c>
      <c r="C607" s="1">
        <v>3225</v>
      </c>
      <c r="D607" s="1">
        <v>5958</v>
      </c>
      <c r="E607" s="55">
        <f>SUM(B607:D607)</f>
        <v>11558</v>
      </c>
      <c r="F607" s="1">
        <v>3799</v>
      </c>
      <c r="G607" s="1">
        <v>4020</v>
      </c>
      <c r="H607" s="1">
        <v>2771</v>
      </c>
      <c r="I607" s="55">
        <f>SUM(F607:H607)</f>
        <v>10590</v>
      </c>
      <c r="J607" s="1">
        <v>2351</v>
      </c>
      <c r="K607" s="1">
        <v>6433</v>
      </c>
      <c r="L607" s="1">
        <v>6190</v>
      </c>
      <c r="M607" s="55">
        <f>SUM(J607:L607)</f>
        <v>14974</v>
      </c>
      <c r="N607" s="1">
        <v>3459</v>
      </c>
      <c r="O607" s="1">
        <v>2064</v>
      </c>
      <c r="P607" s="1">
        <v>5593</v>
      </c>
      <c r="Q607" s="55">
        <f>SUM(N607:P607)</f>
        <v>11116</v>
      </c>
      <c r="R607" s="55">
        <f>+E607+I607+M607+Q607</f>
        <v>48238</v>
      </c>
    </row>
    <row r="608" spans="1:18" ht="15.75" customHeight="1" x14ac:dyDescent="0.3">
      <c r="A608" s="71" t="s">
        <v>998</v>
      </c>
      <c r="B608" s="1">
        <v>200</v>
      </c>
      <c r="C608" s="1">
        <v>200</v>
      </c>
      <c r="D608" s="1">
        <v>200</v>
      </c>
      <c r="E608" s="55">
        <f>SUM(B608:D608)</f>
        <v>600</v>
      </c>
      <c r="F608" s="1">
        <v>200</v>
      </c>
      <c r="G608" s="1">
        <v>200</v>
      </c>
      <c r="H608" s="1">
        <v>200</v>
      </c>
      <c r="I608" s="55">
        <f>SUM(F608:H608)</f>
        <v>600</v>
      </c>
      <c r="J608" s="1">
        <v>200</v>
      </c>
      <c r="K608" s="1">
        <v>120</v>
      </c>
      <c r="L608" s="1">
        <v>120</v>
      </c>
      <c r="M608" s="55">
        <f>SUM(J608:L608)</f>
        <v>440</v>
      </c>
      <c r="N608" s="1">
        <v>120</v>
      </c>
      <c r="O608" s="1">
        <v>120</v>
      </c>
      <c r="P608" s="1">
        <v>120</v>
      </c>
      <c r="Q608" s="55">
        <f>SUM(N608:P608)</f>
        <v>360</v>
      </c>
      <c r="R608" s="55">
        <f>+E608+I608+M608+Q608</f>
        <v>2000</v>
      </c>
    </row>
    <row r="609" spans="1:20" ht="15.75" customHeight="1" x14ac:dyDescent="0.3">
      <c r="A609" s="15" t="s">
        <v>50</v>
      </c>
      <c r="B609" s="1"/>
      <c r="C609" s="1"/>
      <c r="D609" s="1"/>
      <c r="E609" s="55" t="s">
        <v>7</v>
      </c>
      <c r="F609" s="1"/>
      <c r="G609" s="1"/>
      <c r="H609" s="1"/>
      <c r="I609" s="55" t="s">
        <v>7</v>
      </c>
      <c r="J609" s="1"/>
      <c r="K609" s="1"/>
      <c r="L609" s="1"/>
      <c r="M609" s="55" t="s">
        <v>7</v>
      </c>
      <c r="N609" s="1"/>
      <c r="O609" s="1"/>
      <c r="P609" s="1"/>
      <c r="Q609" s="55" t="s">
        <v>7</v>
      </c>
      <c r="R609" s="55" t="s">
        <v>7</v>
      </c>
    </row>
    <row r="610" spans="1:20" ht="15.75" customHeight="1" x14ac:dyDescent="0.3">
      <c r="A610" s="15" t="s">
        <v>51</v>
      </c>
      <c r="B610" s="1"/>
      <c r="C610" s="1"/>
      <c r="D610" s="1"/>
      <c r="E610" s="55" t="s">
        <v>7</v>
      </c>
      <c r="F610" s="1"/>
      <c r="G610" s="1"/>
      <c r="H610" s="1"/>
      <c r="I610" s="55" t="s">
        <v>7</v>
      </c>
      <c r="J610" s="1"/>
      <c r="K610" s="1"/>
      <c r="L610" s="1"/>
      <c r="M610" s="55" t="s">
        <v>7</v>
      </c>
      <c r="N610" s="1"/>
      <c r="O610" s="1"/>
      <c r="P610" s="1"/>
      <c r="Q610" s="55" t="s">
        <v>7</v>
      </c>
      <c r="R610" s="55" t="s">
        <v>7</v>
      </c>
    </row>
    <row r="611" spans="1:20" ht="15.75" customHeight="1" thickBot="1" x14ac:dyDescent="0.35">
      <c r="A611" s="15" t="s">
        <v>53</v>
      </c>
      <c r="B611" s="1"/>
      <c r="C611" s="1"/>
      <c r="D611" s="1"/>
      <c r="E611" s="55" t="s">
        <v>7</v>
      </c>
      <c r="F611" s="1"/>
      <c r="G611" s="1"/>
      <c r="H611" s="1"/>
      <c r="I611" s="55" t="s">
        <v>7</v>
      </c>
      <c r="J611" s="1"/>
      <c r="K611" s="1"/>
      <c r="L611" s="1"/>
      <c r="M611" s="55" t="s">
        <v>7</v>
      </c>
      <c r="N611" s="1"/>
      <c r="O611" s="1"/>
      <c r="P611" s="1"/>
      <c r="Q611" s="55" t="s">
        <v>7</v>
      </c>
      <c r="R611" s="55" t="s">
        <v>7</v>
      </c>
    </row>
    <row r="612" spans="1:20" ht="16.5" customHeight="1" thickBot="1" x14ac:dyDescent="0.35">
      <c r="A612" s="109" t="s">
        <v>54</v>
      </c>
      <c r="B612" s="86">
        <f>SUM(B604:B611)</f>
        <v>2938</v>
      </c>
      <c r="C612" s="87">
        <f>SUM(C604:C611)</f>
        <v>6760</v>
      </c>
      <c r="D612" s="87">
        <f>SUM(D604:D611)</f>
        <v>13879</v>
      </c>
      <c r="E612" s="59">
        <f>SUM(B612:D612)</f>
        <v>23577</v>
      </c>
      <c r="F612" s="87">
        <f>SUM(F604:F611)</f>
        <v>11542</v>
      </c>
      <c r="G612" s="87">
        <f>SUM(G604:G611)</f>
        <v>12022</v>
      </c>
      <c r="H612" s="87">
        <f>SUM(H604:H611)</f>
        <v>9500</v>
      </c>
      <c r="I612" s="59">
        <f>SUM(F612:H612)</f>
        <v>33064</v>
      </c>
      <c r="J612" s="87">
        <f>SUM(J604:J611)</f>
        <v>7669</v>
      </c>
      <c r="K612" s="87">
        <f>SUM(K604:K611)</f>
        <v>10308</v>
      </c>
      <c r="L612" s="87">
        <f>SUM(L604:L611)</f>
        <v>11345</v>
      </c>
      <c r="M612" s="59">
        <f>SUM(J612:L612)</f>
        <v>29322</v>
      </c>
      <c r="N612" s="87">
        <f>SUM(N604:N611)</f>
        <v>7931</v>
      </c>
      <c r="O612" s="87">
        <f>SUM(O604:O611)</f>
        <v>4784</v>
      </c>
      <c r="P612" s="87">
        <f>SUM(P604:P611)</f>
        <v>10851</v>
      </c>
      <c r="Q612" s="59">
        <f>SUM(N612:P612)</f>
        <v>23566</v>
      </c>
      <c r="R612" s="59">
        <f>+E612+I612+M612+Q612</f>
        <v>109529</v>
      </c>
    </row>
    <row r="613" spans="1:20" ht="15.75" customHeight="1" x14ac:dyDescent="0.3">
      <c r="A613" s="15" t="s">
        <v>55</v>
      </c>
      <c r="B613" s="1"/>
      <c r="C613" s="1"/>
      <c r="D613" s="1"/>
      <c r="E613" s="55" t="s">
        <v>7</v>
      </c>
      <c r="F613" s="1"/>
      <c r="G613" s="1"/>
      <c r="H613" s="1"/>
      <c r="I613" s="55" t="s">
        <v>7</v>
      </c>
      <c r="J613" s="1"/>
      <c r="K613" s="1"/>
      <c r="L613" s="1"/>
      <c r="M613" s="55" t="s">
        <v>7</v>
      </c>
      <c r="N613" s="1"/>
      <c r="O613" s="1"/>
      <c r="P613" s="1"/>
      <c r="Q613" s="55" t="s">
        <v>7</v>
      </c>
      <c r="R613" s="55" t="s">
        <v>7</v>
      </c>
    </row>
    <row r="614" spans="1:20" ht="15.75" customHeight="1" x14ac:dyDescent="0.3">
      <c r="A614" s="15" t="s">
        <v>57</v>
      </c>
      <c r="B614" s="1"/>
      <c r="C614" s="1"/>
      <c r="D614" s="1"/>
      <c r="E614" s="55" t="s">
        <v>7</v>
      </c>
      <c r="F614" s="1"/>
      <c r="G614" s="1"/>
      <c r="H614" s="1"/>
      <c r="I614" s="55" t="s">
        <v>7</v>
      </c>
      <c r="J614" s="1"/>
      <c r="K614" s="1"/>
      <c r="L614" s="1"/>
      <c r="M614" s="55" t="s">
        <v>7</v>
      </c>
      <c r="N614" s="1"/>
      <c r="O614" s="1"/>
      <c r="P614" s="1"/>
      <c r="Q614" s="55" t="s">
        <v>7</v>
      </c>
      <c r="R614" s="55" t="s">
        <v>7</v>
      </c>
    </row>
    <row r="615" spans="1:20" ht="15.75" customHeight="1" thickBot="1" x14ac:dyDescent="0.35">
      <c r="A615" s="15" t="s">
        <v>58</v>
      </c>
      <c r="B615" s="1"/>
      <c r="C615" s="1"/>
      <c r="D615" s="1"/>
      <c r="E615" s="55" t="s">
        <v>7</v>
      </c>
      <c r="F615" s="1"/>
      <c r="G615" s="1"/>
      <c r="H615" s="1"/>
      <c r="I615" s="55" t="s">
        <v>7</v>
      </c>
      <c r="J615" s="1"/>
      <c r="K615" s="1"/>
      <c r="L615" s="1"/>
      <c r="M615" s="55" t="s">
        <v>7</v>
      </c>
      <c r="N615" s="1"/>
      <c r="O615" s="1"/>
      <c r="P615" s="1"/>
      <c r="Q615" s="55" t="s">
        <v>7</v>
      </c>
      <c r="R615" s="55" t="s">
        <v>7</v>
      </c>
    </row>
    <row r="616" spans="1:20" ht="16.5" customHeight="1" thickBot="1" x14ac:dyDescent="0.35">
      <c r="A616" s="57" t="s">
        <v>59</v>
      </c>
      <c r="B616" s="86">
        <f>SUM(B613:B615)</f>
        <v>0</v>
      </c>
      <c r="C616" s="87">
        <f>SUM(C613:C615)</f>
        <v>0</v>
      </c>
      <c r="D616" s="87">
        <f>SUM(D613:D615)</f>
        <v>0</v>
      </c>
      <c r="E616" s="59">
        <f>SUM(B616:D616)</f>
        <v>0</v>
      </c>
      <c r="F616" s="87">
        <f>SUM(F613:F615)</f>
        <v>0</v>
      </c>
      <c r="G616" s="87">
        <f>SUM(G613:G615)</f>
        <v>0</v>
      </c>
      <c r="H616" s="87">
        <f>SUM(H613:H615)</f>
        <v>0</v>
      </c>
      <c r="I616" s="59">
        <f>SUM(F616:H616)</f>
        <v>0</v>
      </c>
      <c r="J616" s="87">
        <f>SUM(J613:J615)</f>
        <v>0</v>
      </c>
      <c r="K616" s="87">
        <f>SUM(K613:K615)</f>
        <v>0</v>
      </c>
      <c r="L616" s="87">
        <f>SUM(L613:L615)</f>
        <v>0</v>
      </c>
      <c r="M616" s="59">
        <f>SUM(J616:L616)</f>
        <v>0</v>
      </c>
      <c r="N616" s="87">
        <f>SUM(N613:N615)</f>
        <v>0</v>
      </c>
      <c r="O616" s="87">
        <f>SUM(O613:O615)</f>
        <v>0</v>
      </c>
      <c r="P616" s="87">
        <f>SUM(P613:P615)</f>
        <v>0</v>
      </c>
      <c r="Q616" s="59">
        <f>SUM(N616:P616)</f>
        <v>0</v>
      </c>
      <c r="R616" s="59">
        <f>+E616+I616+M616+Q616</f>
        <v>0</v>
      </c>
    </row>
    <row r="617" spans="1:20" ht="15.75" customHeight="1" x14ac:dyDescent="0.3">
      <c r="A617" s="15" t="s">
        <v>60</v>
      </c>
      <c r="B617" s="1"/>
      <c r="C617" s="1"/>
      <c r="D617" s="1"/>
      <c r="E617" s="55" t="s">
        <v>7</v>
      </c>
      <c r="F617" s="1"/>
      <c r="G617" s="1"/>
      <c r="H617" s="1"/>
      <c r="I617" s="55" t="s">
        <v>7</v>
      </c>
      <c r="J617" s="1"/>
      <c r="K617" s="1"/>
      <c r="L617" s="1"/>
      <c r="M617" s="55" t="s">
        <v>7</v>
      </c>
      <c r="N617" s="1"/>
      <c r="O617" s="1"/>
      <c r="P617" s="1"/>
      <c r="Q617" s="55" t="s">
        <v>7</v>
      </c>
      <c r="R617" s="55" t="s">
        <v>7</v>
      </c>
    </row>
    <row r="618" spans="1:20" ht="15.75" customHeight="1" x14ac:dyDescent="0.3">
      <c r="A618" s="15" t="s">
        <v>61</v>
      </c>
      <c r="B618" s="1"/>
      <c r="C618" s="1"/>
      <c r="D618" s="1"/>
      <c r="E618" s="55" t="s">
        <v>7</v>
      </c>
      <c r="F618" s="1"/>
      <c r="G618" s="1"/>
      <c r="H618" s="1"/>
      <c r="I618" s="55" t="s">
        <v>7</v>
      </c>
      <c r="J618" s="1"/>
      <c r="K618" s="1"/>
      <c r="L618" s="1"/>
      <c r="M618" s="55" t="s">
        <v>7</v>
      </c>
      <c r="N618" s="1"/>
      <c r="O618" s="1"/>
      <c r="P618" s="1"/>
      <c r="Q618" s="55" t="s">
        <v>7</v>
      </c>
      <c r="R618" s="55" t="s">
        <v>7</v>
      </c>
    </row>
    <row r="619" spans="1:20" ht="15.75" customHeight="1" x14ac:dyDescent="0.3">
      <c r="A619" s="71" t="s">
        <v>346</v>
      </c>
      <c r="B619" s="1">
        <v>589</v>
      </c>
      <c r="C619" s="1">
        <v>409</v>
      </c>
      <c r="D619" s="1">
        <v>526</v>
      </c>
      <c r="E619" s="55">
        <f>SUM(B619:D619)</f>
        <v>1524</v>
      </c>
      <c r="F619" s="1">
        <v>1317</v>
      </c>
      <c r="G619" s="1">
        <v>1948</v>
      </c>
      <c r="H619" s="1">
        <v>1453</v>
      </c>
      <c r="I619" s="55">
        <f>SUM(F619:H619)</f>
        <v>4718</v>
      </c>
      <c r="J619" s="1">
        <v>1955</v>
      </c>
      <c r="K619" s="1">
        <v>2294</v>
      </c>
      <c r="L619" s="1">
        <v>1184</v>
      </c>
      <c r="M619" s="55">
        <f>SUM(J619:L619)</f>
        <v>5433</v>
      </c>
      <c r="N619" s="1">
        <v>678</v>
      </c>
      <c r="O619" s="1">
        <v>280</v>
      </c>
      <c r="P619" s="1">
        <v>117</v>
      </c>
      <c r="Q619" s="55">
        <f>SUM(N619:P619)</f>
        <v>1075</v>
      </c>
      <c r="R619" s="55">
        <f>+E619+I619+M619+Q619</f>
        <v>12750</v>
      </c>
      <c r="T619" s="4" t="s">
        <v>1000</v>
      </c>
    </row>
    <row r="620" spans="1:20" ht="15.75" customHeight="1" x14ac:dyDescent="0.3">
      <c r="A620" s="15" t="s">
        <v>62</v>
      </c>
      <c r="B620" s="1"/>
      <c r="C620" s="1"/>
      <c r="D620" s="1"/>
      <c r="E620" s="55" t="s">
        <v>7</v>
      </c>
      <c r="F620" s="1"/>
      <c r="G620" s="1"/>
      <c r="H620" s="1"/>
      <c r="I620" s="55" t="s">
        <v>7</v>
      </c>
      <c r="J620" s="1"/>
      <c r="K620" s="1"/>
      <c r="L620" s="1"/>
      <c r="M620" s="55" t="s">
        <v>7</v>
      </c>
      <c r="N620" s="1"/>
      <c r="O620" s="1"/>
      <c r="P620" s="1"/>
      <c r="Q620" s="55" t="s">
        <v>7</v>
      </c>
      <c r="R620" s="55" t="s">
        <v>7</v>
      </c>
    </row>
    <row r="621" spans="1:20" ht="15.75" customHeight="1" x14ac:dyDescent="0.3">
      <c r="A621" s="71" t="s">
        <v>1001</v>
      </c>
      <c r="B621" s="1">
        <v>250</v>
      </c>
      <c r="C621" s="1">
        <v>250</v>
      </c>
      <c r="D621" s="1"/>
      <c r="E621" s="55">
        <f>SUM(B621:D621)</f>
        <v>500</v>
      </c>
      <c r="F621" s="1"/>
      <c r="G621" s="1"/>
      <c r="H621" s="1"/>
      <c r="I621" s="55">
        <f>SUM(F621:H621)</f>
        <v>0</v>
      </c>
      <c r="J621" s="1"/>
      <c r="K621" s="1"/>
      <c r="L621" s="1"/>
      <c r="M621" s="55">
        <f>SUM(J621:L621)</f>
        <v>0</v>
      </c>
      <c r="N621" s="1"/>
      <c r="O621" s="1"/>
      <c r="P621" s="1"/>
      <c r="Q621" s="55">
        <f>SUM(N621:P621)</f>
        <v>0</v>
      </c>
      <c r="R621" s="55">
        <f>+E621+I621+M621+Q621</f>
        <v>500</v>
      </c>
      <c r="T621" s="4" t="s">
        <v>1002</v>
      </c>
    </row>
    <row r="622" spans="1:20" ht="15.75" customHeight="1" x14ac:dyDescent="0.3">
      <c r="A622" s="71" t="s">
        <v>1003</v>
      </c>
      <c r="B622" s="1"/>
      <c r="C622" s="1"/>
      <c r="D622" s="1"/>
      <c r="E622" s="55">
        <f>SUM(B622:D622)</f>
        <v>0</v>
      </c>
      <c r="F622" s="1"/>
      <c r="G622" s="1"/>
      <c r="H622" s="1"/>
      <c r="I622" s="55">
        <f>SUM(F622:H622)</f>
        <v>0</v>
      </c>
      <c r="J622" s="1"/>
      <c r="K622" s="1"/>
      <c r="L622" s="1"/>
      <c r="M622" s="55">
        <f>SUM(J622:L622)</f>
        <v>0</v>
      </c>
      <c r="N622" s="1"/>
      <c r="O622" s="1"/>
      <c r="P622" s="1">
        <v>295</v>
      </c>
      <c r="Q622" s="55">
        <f>SUM(N622:P622)</f>
        <v>295</v>
      </c>
      <c r="R622" s="55">
        <f>+E622+I622+M622+Q622</f>
        <v>295</v>
      </c>
      <c r="T622" s="4" t="s">
        <v>1002</v>
      </c>
    </row>
    <row r="623" spans="1:20" ht="15.75" customHeight="1" x14ac:dyDescent="0.3">
      <c r="A623" s="71" t="s">
        <v>1004</v>
      </c>
      <c r="B623" s="1"/>
      <c r="C623" s="1"/>
      <c r="D623" s="1">
        <v>200</v>
      </c>
      <c r="E623" s="55">
        <f>SUM(B623:D623)</f>
        <v>200</v>
      </c>
      <c r="F623" s="1">
        <v>200</v>
      </c>
      <c r="G623" s="1">
        <v>200</v>
      </c>
      <c r="H623" s="1">
        <v>200</v>
      </c>
      <c r="I623" s="55">
        <f>SUM(F623:H623)</f>
        <v>600</v>
      </c>
      <c r="J623" s="1">
        <v>200</v>
      </c>
      <c r="K623" s="1">
        <v>200</v>
      </c>
      <c r="L623" s="1">
        <v>200</v>
      </c>
      <c r="M623" s="55">
        <f>SUM(J623:L623)</f>
        <v>600</v>
      </c>
      <c r="N623" s="1">
        <v>200</v>
      </c>
      <c r="O623" s="1">
        <v>200</v>
      </c>
      <c r="P623" s="1">
        <v>200</v>
      </c>
      <c r="Q623" s="55">
        <f>SUM(N623:P623)</f>
        <v>600</v>
      </c>
      <c r="R623" s="55">
        <f>+E623+I623+M623+Q623</f>
        <v>2000</v>
      </c>
      <c r="T623" s="4" t="s">
        <v>1002</v>
      </c>
    </row>
    <row r="624" spans="1:20" ht="15.75" customHeight="1" thickBot="1" x14ac:dyDescent="0.35">
      <c r="A624" s="71" t="s">
        <v>775</v>
      </c>
      <c r="B624" s="1"/>
      <c r="C624" s="1"/>
      <c r="D624" s="1"/>
      <c r="E624" s="55">
        <f>SUM(B624:D624)</f>
        <v>0</v>
      </c>
      <c r="F624" s="1"/>
      <c r="G624" s="1"/>
      <c r="H624" s="1"/>
      <c r="I624" s="55">
        <f>SUM(F624:H624)</f>
        <v>0</v>
      </c>
      <c r="J624" s="1"/>
      <c r="K624" s="1"/>
      <c r="L624" s="1"/>
      <c r="M624" s="55">
        <f>SUM(J624:L624)</f>
        <v>0</v>
      </c>
      <c r="N624" s="1"/>
      <c r="O624" s="1"/>
      <c r="P624" s="1"/>
      <c r="Q624" s="55">
        <f>SUM(N624:P624)</f>
        <v>0</v>
      </c>
      <c r="R624" s="55">
        <f>+E624+I624+M624+Q624</f>
        <v>0</v>
      </c>
      <c r="T624" s="4" t="s">
        <v>1002</v>
      </c>
    </row>
    <row r="625" spans="1:18" ht="16.5" customHeight="1" thickBot="1" x14ac:dyDescent="0.35">
      <c r="A625" s="57" t="s">
        <v>63</v>
      </c>
      <c r="B625" s="86">
        <f>SUM(B617:B624)</f>
        <v>839</v>
      </c>
      <c r="C625" s="87">
        <f>SUM(C617:C624)</f>
        <v>659</v>
      </c>
      <c r="D625" s="87">
        <f>SUM(D617:D624)</f>
        <v>726</v>
      </c>
      <c r="E625" s="59">
        <f>SUM(B625:D625)</f>
        <v>2224</v>
      </c>
      <c r="F625" s="87">
        <f>SUM(F617:F624)</f>
        <v>1517</v>
      </c>
      <c r="G625" s="87">
        <f>SUM(G617:G624)</f>
        <v>2148</v>
      </c>
      <c r="H625" s="87">
        <f>SUM(H617:H624)</f>
        <v>1653</v>
      </c>
      <c r="I625" s="59">
        <f>SUM(F625:H625)</f>
        <v>5318</v>
      </c>
      <c r="J625" s="87">
        <f>SUM(J617:J624)</f>
        <v>2155</v>
      </c>
      <c r="K625" s="87">
        <f>SUM(K617:K624)</f>
        <v>2494</v>
      </c>
      <c r="L625" s="87">
        <f>SUM(L617:L624)</f>
        <v>1384</v>
      </c>
      <c r="M625" s="59">
        <f>SUM(J625:L625)</f>
        <v>6033</v>
      </c>
      <c r="N625" s="87">
        <f>SUM(N617:N624)</f>
        <v>878</v>
      </c>
      <c r="O625" s="87">
        <f>SUM(O617:O624)</f>
        <v>480</v>
      </c>
      <c r="P625" s="87">
        <f>SUM(P617:P624)</f>
        <v>612</v>
      </c>
      <c r="Q625" s="59">
        <f>SUM(N625:P625)</f>
        <v>1970</v>
      </c>
      <c r="R625" s="118">
        <f>+E625+I625+M625+Q625</f>
        <v>15545</v>
      </c>
    </row>
    <row r="626" spans="1:18" ht="15.75" customHeight="1" x14ac:dyDescent="0.3">
      <c r="A626" s="15" t="s">
        <v>64</v>
      </c>
      <c r="B626" s="1"/>
      <c r="C626" s="1"/>
      <c r="D626" s="1"/>
      <c r="E626" s="55" t="s">
        <v>7</v>
      </c>
      <c r="F626" s="1"/>
      <c r="G626" s="1"/>
      <c r="H626" s="1"/>
      <c r="I626" s="55" t="s">
        <v>7</v>
      </c>
      <c r="J626" s="1"/>
      <c r="K626" s="1"/>
      <c r="L626" s="1"/>
      <c r="M626" s="55" t="s">
        <v>7</v>
      </c>
      <c r="N626" s="1"/>
      <c r="O626" s="1"/>
      <c r="P626" s="1"/>
      <c r="Q626" s="55" t="s">
        <v>7</v>
      </c>
      <c r="R626" s="55" t="s">
        <v>7</v>
      </c>
    </row>
    <row r="627" spans="1:18" ht="15.75" customHeight="1" x14ac:dyDescent="0.3">
      <c r="A627" s="15" t="s">
        <v>594</v>
      </c>
      <c r="B627" s="1"/>
      <c r="C627" s="1"/>
      <c r="D627" s="1"/>
      <c r="E627" s="55" t="s">
        <v>7</v>
      </c>
      <c r="F627" s="1"/>
      <c r="G627" s="1"/>
      <c r="H627" s="1"/>
      <c r="I627" s="55" t="s">
        <v>7</v>
      </c>
      <c r="J627" s="1"/>
      <c r="K627" s="1"/>
      <c r="L627" s="1"/>
      <c r="M627" s="55" t="s">
        <v>7</v>
      </c>
      <c r="N627" s="1"/>
      <c r="O627" s="1"/>
      <c r="P627" s="1"/>
      <c r="Q627" s="55" t="s">
        <v>7</v>
      </c>
      <c r="R627" s="55" t="s">
        <v>7</v>
      </c>
    </row>
    <row r="628" spans="1:18" ht="15.75" customHeight="1" x14ac:dyDescent="0.3">
      <c r="A628" s="15" t="s">
        <v>67</v>
      </c>
      <c r="B628" s="1"/>
      <c r="C628" s="1"/>
      <c r="D628" s="1"/>
      <c r="E628" s="55" t="s">
        <v>7</v>
      </c>
      <c r="F628" s="1"/>
      <c r="G628" s="1"/>
      <c r="H628" s="1"/>
      <c r="I628" s="55" t="s">
        <v>7</v>
      </c>
      <c r="J628" s="1"/>
      <c r="K628" s="1"/>
      <c r="L628" s="1"/>
      <c r="M628" s="55" t="s">
        <v>7</v>
      </c>
      <c r="N628" s="1"/>
      <c r="O628" s="1"/>
      <c r="P628" s="1"/>
      <c r="Q628" s="55" t="s">
        <v>7</v>
      </c>
      <c r="R628" s="55" t="s">
        <v>7</v>
      </c>
    </row>
    <row r="629" spans="1:18" ht="15.75" customHeight="1" x14ac:dyDescent="0.3">
      <c r="A629" s="71" t="s">
        <v>776</v>
      </c>
      <c r="B629" s="1"/>
      <c r="C629" s="1"/>
      <c r="D629" s="1"/>
      <c r="E629" s="55">
        <f>SUM(B629:D629)</f>
        <v>0</v>
      </c>
      <c r="F629" s="1"/>
      <c r="G629" s="1"/>
      <c r="H629" s="1"/>
      <c r="I629" s="55">
        <f>SUM(F629:H629)</f>
        <v>0</v>
      </c>
      <c r="J629" s="1"/>
      <c r="K629" s="1"/>
      <c r="L629" s="1"/>
      <c r="M629" s="55">
        <f>SUM(J629:L629)</f>
        <v>0</v>
      </c>
      <c r="N629" s="1"/>
      <c r="O629" s="1"/>
      <c r="P629" s="1"/>
      <c r="Q629" s="55">
        <f>SUM(N629:P629)</f>
        <v>0</v>
      </c>
      <c r="R629" s="55">
        <f>+E629+I629+M629+Q629</f>
        <v>0</v>
      </c>
    </row>
    <row r="630" spans="1:18" ht="15.75" customHeight="1" x14ac:dyDescent="0.3">
      <c r="A630" s="71" t="s">
        <v>777</v>
      </c>
      <c r="B630" s="1"/>
      <c r="C630" s="1"/>
      <c r="D630" s="1"/>
      <c r="E630" s="55">
        <f>SUM(B630:D630)</f>
        <v>0</v>
      </c>
      <c r="F630" s="1"/>
      <c r="G630" s="1"/>
      <c r="H630" s="1"/>
      <c r="I630" s="55">
        <f>SUM(F630:H630)</f>
        <v>0</v>
      </c>
      <c r="J630" s="1"/>
      <c r="K630" s="1"/>
      <c r="L630" s="1"/>
      <c r="M630" s="55">
        <f>SUM(J630:L630)</f>
        <v>0</v>
      </c>
      <c r="N630" s="1"/>
      <c r="O630" s="1"/>
      <c r="P630" s="1"/>
      <c r="Q630" s="55">
        <f>SUM(N630:P630)</f>
        <v>0</v>
      </c>
      <c r="R630" s="55">
        <f>+E630+I630+M630+Q630</f>
        <v>0</v>
      </c>
    </row>
    <row r="631" spans="1:18" ht="15.75" customHeight="1" x14ac:dyDescent="0.3">
      <c r="A631" s="71" t="s">
        <v>778</v>
      </c>
      <c r="B631" s="1">
        <v>2000</v>
      </c>
      <c r="C631" s="1">
        <v>1000</v>
      </c>
      <c r="D631" s="1">
        <v>1000</v>
      </c>
      <c r="E631" s="55">
        <f>SUM(B631:D631)</f>
        <v>4000</v>
      </c>
      <c r="F631" s="1">
        <v>3000</v>
      </c>
      <c r="G631" s="1">
        <v>3000</v>
      </c>
      <c r="H631" s="1">
        <v>800</v>
      </c>
      <c r="I631" s="55">
        <f>SUM(F631:H631)</f>
        <v>6800</v>
      </c>
      <c r="J631" s="1">
        <v>600</v>
      </c>
      <c r="K631" s="1">
        <v>500</v>
      </c>
      <c r="L631" s="1">
        <v>614</v>
      </c>
      <c r="M631" s="55">
        <f>SUM(J631:L631)</f>
        <v>1714</v>
      </c>
      <c r="N631" s="1">
        <v>500</v>
      </c>
      <c r="O631" s="1">
        <v>966</v>
      </c>
      <c r="P631" s="1">
        <v>1400</v>
      </c>
      <c r="Q631" s="55">
        <f>SUM(N631:P631)</f>
        <v>2866</v>
      </c>
      <c r="R631" s="55">
        <f>+E631+I631+M631+Q631</f>
        <v>15380</v>
      </c>
    </row>
    <row r="632" spans="1:18" ht="15.75" customHeight="1" x14ac:dyDescent="0.3">
      <c r="A632" s="71" t="s">
        <v>779</v>
      </c>
      <c r="B632" s="1"/>
      <c r="C632" s="1"/>
      <c r="D632" s="1"/>
      <c r="E632" s="55">
        <f>SUM(B632:D632)</f>
        <v>0</v>
      </c>
      <c r="F632" s="1"/>
      <c r="G632" s="1"/>
      <c r="H632" s="1"/>
      <c r="I632" s="55">
        <f>SUM(F632:H632)</f>
        <v>0</v>
      </c>
      <c r="J632" s="1"/>
      <c r="K632" s="1"/>
      <c r="L632" s="1"/>
      <c r="M632" s="55">
        <f>SUM(J632:L632)</f>
        <v>0</v>
      </c>
      <c r="N632" s="1"/>
      <c r="O632" s="1"/>
      <c r="P632" s="1"/>
      <c r="Q632" s="55">
        <f>SUM(N632:P632)</f>
        <v>0</v>
      </c>
      <c r="R632" s="55">
        <f>+E632+I632+M632+Q632</f>
        <v>0</v>
      </c>
    </row>
    <row r="633" spans="1:18" ht="15.75" customHeight="1" x14ac:dyDescent="0.3">
      <c r="A633" s="15" t="s">
        <v>600</v>
      </c>
      <c r="B633" s="1"/>
      <c r="C633" s="1"/>
      <c r="D633" s="1"/>
      <c r="E633" s="55" t="s">
        <v>7</v>
      </c>
      <c r="F633" s="1"/>
      <c r="G633" s="1"/>
      <c r="H633" s="1"/>
      <c r="I633" s="55" t="s">
        <v>7</v>
      </c>
      <c r="J633" s="1"/>
      <c r="K633" s="1"/>
      <c r="L633" s="1"/>
      <c r="M633" s="55" t="s">
        <v>7</v>
      </c>
      <c r="N633" s="1"/>
      <c r="O633" s="1"/>
      <c r="P633" s="1"/>
      <c r="Q633" s="55" t="s">
        <v>7</v>
      </c>
      <c r="R633" s="55" t="s">
        <v>7</v>
      </c>
    </row>
    <row r="634" spans="1:18" ht="15.75" customHeight="1" thickBot="1" x14ac:dyDescent="0.35">
      <c r="A634" s="15" t="s">
        <v>70</v>
      </c>
      <c r="B634" s="1"/>
      <c r="C634" s="1"/>
      <c r="D634" s="1"/>
      <c r="E634" s="55" t="s">
        <v>7</v>
      </c>
      <c r="F634" s="1"/>
      <c r="G634" s="1"/>
      <c r="H634" s="1"/>
      <c r="I634" s="55" t="s">
        <v>7</v>
      </c>
      <c r="J634" s="1"/>
      <c r="K634" s="1"/>
      <c r="L634" s="1"/>
      <c r="M634" s="55" t="s">
        <v>7</v>
      </c>
      <c r="N634" s="1"/>
      <c r="O634" s="1"/>
      <c r="P634" s="1"/>
      <c r="Q634" s="55" t="s">
        <v>7</v>
      </c>
      <c r="R634" s="55" t="s">
        <v>7</v>
      </c>
    </row>
    <row r="635" spans="1:18" ht="16.5" customHeight="1" thickBot="1" x14ac:dyDescent="0.35">
      <c r="A635" s="57" t="s">
        <v>71</v>
      </c>
      <c r="B635" s="58">
        <f>SUM(B633:B634)</f>
        <v>0</v>
      </c>
      <c r="C635" s="58">
        <f>SUM(C633:C634)</f>
        <v>0</v>
      </c>
      <c r="D635" s="58">
        <f>SUM(D633:D634)</f>
        <v>0</v>
      </c>
      <c r="E635" s="60">
        <f>SUM(B635:D635)</f>
        <v>0</v>
      </c>
      <c r="F635" s="58">
        <f>SUM(F633:F634)</f>
        <v>0</v>
      </c>
      <c r="G635" s="58">
        <f>SUM(G633:G634)</f>
        <v>0</v>
      </c>
      <c r="H635" s="58">
        <f>SUM(H633:H634)</f>
        <v>0</v>
      </c>
      <c r="I635" s="60">
        <f>SUM(F635:H635)</f>
        <v>0</v>
      </c>
      <c r="J635" s="58">
        <f>SUM(J633:J634)</f>
        <v>0</v>
      </c>
      <c r="K635" s="58">
        <f>SUM(K633:K634)</f>
        <v>0</v>
      </c>
      <c r="L635" s="58">
        <f>SUM(L633:L634)</f>
        <v>0</v>
      </c>
      <c r="M635" s="60">
        <f>SUM(J635:L635)</f>
        <v>0</v>
      </c>
      <c r="N635" s="58">
        <f>SUM(N633:N634)</f>
        <v>0</v>
      </c>
      <c r="O635" s="58">
        <f>SUM(O633:O634)</f>
        <v>0</v>
      </c>
      <c r="P635" s="58">
        <f>SUM(P633:P634)</f>
        <v>0</v>
      </c>
      <c r="Q635" s="60">
        <f>SUM(N635:P635)</f>
        <v>0</v>
      </c>
      <c r="R635" s="59">
        <f>+E635+I635+M635+Q635</f>
        <v>0</v>
      </c>
    </row>
    <row r="636" spans="1:18" ht="16.5" customHeight="1" thickBot="1" x14ac:dyDescent="0.35">
      <c r="A636" s="114" t="s">
        <v>72</v>
      </c>
      <c r="B636" s="86">
        <f>SUM(B626:B634)</f>
        <v>2000</v>
      </c>
      <c r="C636" s="87">
        <f>SUM(C626:C634)</f>
        <v>1000</v>
      </c>
      <c r="D636" s="118">
        <f>SUM(D626:D634)</f>
        <v>1000</v>
      </c>
      <c r="E636" s="60">
        <f>SUM(B636:D636)</f>
        <v>4000</v>
      </c>
      <c r="F636" s="87">
        <f>SUM(F626:F634)</f>
        <v>3000</v>
      </c>
      <c r="G636" s="87">
        <f>SUM(G626:G634)</f>
        <v>3000</v>
      </c>
      <c r="H636" s="87">
        <f>SUM(H626:H634)</f>
        <v>800</v>
      </c>
      <c r="I636" s="60">
        <f>SUM(F636:H636)</f>
        <v>6800</v>
      </c>
      <c r="J636" s="87">
        <f>SUM(J626:J634)</f>
        <v>600</v>
      </c>
      <c r="K636" s="87">
        <f>SUM(K626:K634)</f>
        <v>500</v>
      </c>
      <c r="L636" s="87">
        <f>SUM(L626:L634)</f>
        <v>614</v>
      </c>
      <c r="M636" s="60">
        <f>SUM(J636:L636)</f>
        <v>1714</v>
      </c>
      <c r="N636" s="87">
        <f>SUM(N626:N634)</f>
        <v>500</v>
      </c>
      <c r="O636" s="87">
        <f>SUM(O626:O634)</f>
        <v>966</v>
      </c>
      <c r="P636" s="87">
        <f>SUM(P626:P634)</f>
        <v>1400</v>
      </c>
      <c r="Q636" s="60">
        <f>SUM(N636:P636)</f>
        <v>2866</v>
      </c>
      <c r="R636" s="59">
        <f>+E636+I636+M636+Q636</f>
        <v>15380</v>
      </c>
    </row>
    <row r="637" spans="1:18" ht="16.5" customHeight="1" thickBot="1" x14ac:dyDescent="0.35">
      <c r="A637" s="57" t="s">
        <v>73</v>
      </c>
      <c r="B637" s="90">
        <f>+B612+B616+B625+B636</f>
        <v>5777</v>
      </c>
      <c r="C637" s="58">
        <f>+C612+C616+C625+C636</f>
        <v>8419</v>
      </c>
      <c r="D637" s="58">
        <f>+D612+D616+D625+D636</f>
        <v>15605</v>
      </c>
      <c r="E637" s="59">
        <f>SUM(B637:D637)</f>
        <v>29801</v>
      </c>
      <c r="F637" s="58">
        <f>+F612+F616+F625+F636</f>
        <v>16059</v>
      </c>
      <c r="G637" s="58">
        <f>+G612+G616+G625+G636</f>
        <v>17170</v>
      </c>
      <c r="H637" s="58">
        <f>+H612+H616+H625+H636</f>
        <v>11953</v>
      </c>
      <c r="I637" s="59">
        <f>SUM(F637:H637)</f>
        <v>45182</v>
      </c>
      <c r="J637" s="58">
        <f>+J612+J616+J625+J636</f>
        <v>10424</v>
      </c>
      <c r="K637" s="58">
        <f>+K612+K616+K625+K636</f>
        <v>13302</v>
      </c>
      <c r="L637" s="58">
        <f>+L612+L616+L625+L636</f>
        <v>13343</v>
      </c>
      <c r="M637" s="59">
        <f>SUM(J637:L637)</f>
        <v>37069</v>
      </c>
      <c r="N637" s="58">
        <f>+N612+N616+N625+N636</f>
        <v>9309</v>
      </c>
      <c r="O637" s="58">
        <f>+O612+O616+O625+O636</f>
        <v>6230</v>
      </c>
      <c r="P637" s="58">
        <f>+P612+P616+P625+P636</f>
        <v>12863</v>
      </c>
      <c r="Q637" s="59">
        <f>SUM(N637:P637)</f>
        <v>28402</v>
      </c>
      <c r="R637" s="81">
        <f>+E637+I637+M637+Q637</f>
        <v>140454</v>
      </c>
    </row>
    <row r="638" spans="1:18" ht="16.5" customHeight="1" thickBot="1" x14ac:dyDescent="0.35">
      <c r="A638" s="62" t="s">
        <v>40</v>
      </c>
      <c r="B638" s="21">
        <v>22</v>
      </c>
      <c r="C638" s="21">
        <v>24</v>
      </c>
      <c r="D638" s="21">
        <v>31</v>
      </c>
      <c r="E638" s="59">
        <f>SUM(B638:D638)</f>
        <v>77</v>
      </c>
      <c r="F638" s="21">
        <v>40</v>
      </c>
      <c r="G638" s="21">
        <v>45</v>
      </c>
      <c r="H638" s="21">
        <v>48</v>
      </c>
      <c r="I638" s="59">
        <f>SUM(F638:H638)</f>
        <v>133</v>
      </c>
      <c r="J638" s="21">
        <v>42</v>
      </c>
      <c r="K638" s="21">
        <v>39</v>
      </c>
      <c r="L638" s="21">
        <v>38</v>
      </c>
      <c r="M638" s="59">
        <f>SUM(J638:L638)</f>
        <v>119</v>
      </c>
      <c r="N638" s="21">
        <v>32</v>
      </c>
      <c r="O638" s="21">
        <v>25</v>
      </c>
      <c r="P638" s="21">
        <v>21</v>
      </c>
      <c r="Q638" s="59">
        <f>SUM(N638:P638)</f>
        <v>78</v>
      </c>
      <c r="R638" s="60">
        <f>+E638+I638+M638+Q638</f>
        <v>407</v>
      </c>
    </row>
    <row r="639" spans="1:18" ht="16.5" customHeight="1" thickBot="1" x14ac:dyDescent="0.35">
      <c r="A639" s="41"/>
      <c r="B639" s="36"/>
      <c r="C639" s="36"/>
      <c r="D639" s="36"/>
      <c r="E639" s="52"/>
      <c r="F639" s="36"/>
      <c r="G639" s="36"/>
      <c r="H639" s="36"/>
      <c r="I639" s="52"/>
      <c r="J639" s="36"/>
      <c r="K639" s="36"/>
      <c r="L639" s="36"/>
      <c r="M639" s="52"/>
      <c r="N639" s="36"/>
      <c r="O639" s="36"/>
      <c r="P639" s="36"/>
      <c r="Q639" s="52"/>
      <c r="R639" s="42"/>
    </row>
    <row r="640" spans="1:18" ht="15.75" customHeight="1" x14ac:dyDescent="0.3">
      <c r="A640" s="15" t="s">
        <v>314</v>
      </c>
      <c r="B640" s="1">
        <f>+SUM(B637:B638)</f>
        <v>5799</v>
      </c>
      <c r="C640" s="1">
        <f>+SUM(C637:C638)</f>
        <v>8443</v>
      </c>
      <c r="D640" s="1">
        <f>+SUM(D637:D638)</f>
        <v>15636</v>
      </c>
      <c r="E640" s="60">
        <f>SUM(B640:D640)</f>
        <v>29878</v>
      </c>
      <c r="F640" s="1">
        <f>+SUM(F637:F638)</f>
        <v>16099</v>
      </c>
      <c r="G640" s="1">
        <f>+SUM(G637:G638)</f>
        <v>17215</v>
      </c>
      <c r="H640" s="1">
        <f>+SUM(H637:H638)</f>
        <v>12001</v>
      </c>
      <c r="I640" s="60">
        <f>SUM(F640:H640)</f>
        <v>45315</v>
      </c>
      <c r="J640" s="1">
        <f>+SUM(J637:J638)</f>
        <v>10466</v>
      </c>
      <c r="K640" s="1">
        <f>+SUM(K637:K638)</f>
        <v>13341</v>
      </c>
      <c r="L640" s="1">
        <f>+SUM(L637:L638)</f>
        <v>13381</v>
      </c>
      <c r="M640" s="60">
        <f>SUM(J640:L640)</f>
        <v>37188</v>
      </c>
      <c r="N640" s="1">
        <f>+SUM(N637:N638)</f>
        <v>9341</v>
      </c>
      <c r="O640" s="1">
        <f>+SUM(O637:O638)</f>
        <v>6255</v>
      </c>
      <c r="P640" s="1">
        <f>+SUM(P637:P638)</f>
        <v>12884</v>
      </c>
      <c r="Q640" s="60">
        <f>SUM(N640:P640)</f>
        <v>28480</v>
      </c>
      <c r="R640" s="60">
        <f>+E640+I640+M640+Q640</f>
        <v>140861</v>
      </c>
    </row>
    <row r="641" spans="1:18" ht="15.75" customHeight="1" x14ac:dyDescent="0.3">
      <c r="A641" s="15" t="s">
        <v>42</v>
      </c>
      <c r="B641" s="1">
        <f>(B640/B10)/1.983</f>
        <v>94.334097896637545</v>
      </c>
      <c r="C641" s="1">
        <f>(C640/C10)/1.983</f>
        <v>152.0603702903249</v>
      </c>
      <c r="D641" s="1">
        <f>(D640/D10)/1.983</f>
        <v>254.35557073837293</v>
      </c>
      <c r="E641" s="55" t="s">
        <v>7</v>
      </c>
      <c r="F641" s="1">
        <f>(F640/F10)/1.983</f>
        <v>270.6169104051101</v>
      </c>
      <c r="G641" s="1">
        <f>(G640/G10)/1.983</f>
        <v>280.04164429912322</v>
      </c>
      <c r="H641" s="1">
        <f>(H640/H10)/1.983</f>
        <v>201.73138342578585</v>
      </c>
      <c r="I641" s="55" t="s">
        <v>7</v>
      </c>
      <c r="J641" s="1">
        <f>(J640/J10)/1.983</f>
        <v>170.2536072747385</v>
      </c>
      <c r="K641" s="1">
        <f>(K640/K10)/1.983</f>
        <v>217.02210726660485</v>
      </c>
      <c r="L641" s="1">
        <f>(L640/L10)/1.983</f>
        <v>224.92855942175154</v>
      </c>
      <c r="M641" s="55" t="s">
        <v>7</v>
      </c>
      <c r="N641" s="1">
        <f>(N640/N10)/1.983</f>
        <v>151.95288988661687</v>
      </c>
      <c r="O641" s="1">
        <f>(O640/O10)/1.983</f>
        <v>105.14372163388805</v>
      </c>
      <c r="P641" s="1">
        <f>(P640/P10)/1.983</f>
        <v>209.58794918094122</v>
      </c>
      <c r="Q641" s="55" t="s">
        <v>7</v>
      </c>
      <c r="R641" s="55" t="s">
        <v>7</v>
      </c>
    </row>
    <row r="642" spans="1:18" ht="15.75" customHeight="1" x14ac:dyDescent="0.3">
      <c r="A642" s="15" t="s">
        <v>351</v>
      </c>
      <c r="B642" s="1">
        <f>B640+B652</f>
        <v>10305</v>
      </c>
      <c r="C642" s="1">
        <f>C640+C652</f>
        <v>11035</v>
      </c>
      <c r="D642" s="1">
        <f>D640+D652</f>
        <v>19304</v>
      </c>
      <c r="E642" s="55">
        <f>SUM(B642:D642)</f>
        <v>40644</v>
      </c>
      <c r="F642" s="1">
        <f>F640+F652</f>
        <v>20431</v>
      </c>
      <c r="G642" s="1">
        <f>G640+G652</f>
        <v>21452</v>
      </c>
      <c r="H642" s="1">
        <f>H640+H652</f>
        <v>16458</v>
      </c>
      <c r="I642" s="55">
        <f>SUM(F642:H642)</f>
        <v>58341</v>
      </c>
      <c r="J642" s="1">
        <f>J640+J652</f>
        <v>14955</v>
      </c>
      <c r="K642" s="1">
        <f>K640+K652</f>
        <v>17236</v>
      </c>
      <c r="L642" s="1">
        <f>L640+L652</f>
        <v>17052</v>
      </c>
      <c r="M642" s="55">
        <f>SUM(J642:L642)</f>
        <v>49243</v>
      </c>
      <c r="N642" s="1">
        <f>N640+N652</f>
        <v>12578</v>
      </c>
      <c r="O642" s="1">
        <f>O640+O652</f>
        <v>8509</v>
      </c>
      <c r="P642" s="1">
        <f>P640+P652</f>
        <v>16097</v>
      </c>
      <c r="Q642" s="55">
        <f>SUM(N642:P642)</f>
        <v>37184</v>
      </c>
      <c r="R642" s="55">
        <f>+E642+I642+M642+Q642</f>
        <v>185412</v>
      </c>
    </row>
    <row r="643" spans="1:18" ht="16.5" customHeight="1" thickBot="1" x14ac:dyDescent="0.35">
      <c r="A643" s="20" t="s">
        <v>352</v>
      </c>
      <c r="B643" s="21">
        <f>(B642/B10)/1.983</f>
        <v>167.63457127519399</v>
      </c>
      <c r="C643" s="21">
        <f>(C642/C10)/1.983</f>
        <v>198.74288595922482</v>
      </c>
      <c r="D643" s="21">
        <f>(D642/D10)/1.983</f>
        <v>314.02404307582191</v>
      </c>
      <c r="E643" s="81" t="s">
        <v>7</v>
      </c>
      <c r="F643" s="21">
        <f>(F642/F10)/1.983</f>
        <v>343.43587157505459</v>
      </c>
      <c r="G643" s="21">
        <f>(G642/G10)/1.983</f>
        <v>348.96621280887541</v>
      </c>
      <c r="H643" s="21">
        <f>(H642/H10)/1.983</f>
        <v>276.65153807362583</v>
      </c>
      <c r="I643" s="81" t="s">
        <v>7</v>
      </c>
      <c r="J643" s="21">
        <f>(J642/J10)/1.983</f>
        <v>243.27753647942998</v>
      </c>
      <c r="K643" s="21">
        <f>(K642/K10)/1.983</f>
        <v>280.38325769036811</v>
      </c>
      <c r="L643" s="21">
        <f>(L642/L10)/1.983</f>
        <v>286.63640948058497</v>
      </c>
      <c r="M643" s="81" t="s">
        <v>7</v>
      </c>
      <c r="N643" s="21">
        <f>(N642/N10)/1.983</f>
        <v>204.61015405137215</v>
      </c>
      <c r="O643" s="21">
        <f>(O642/O10)/1.983</f>
        <v>143.03244242729869</v>
      </c>
      <c r="P643" s="21">
        <f>(P642/P10)/1.983</f>
        <v>261.85479804141653</v>
      </c>
      <c r="Q643" s="81" t="s">
        <v>7</v>
      </c>
      <c r="R643" s="81" t="s">
        <v>7</v>
      </c>
    </row>
    <row r="644" spans="1:18" ht="15.75" customHeight="1" x14ac:dyDescent="0.3">
      <c r="A644" s="2"/>
      <c r="B644" s="1"/>
      <c r="C644" s="1"/>
      <c r="D644" s="1"/>
      <c r="E644" s="1"/>
      <c r="F644" s="1"/>
      <c r="G644" s="1"/>
      <c r="H644" s="1"/>
      <c r="I644" s="1"/>
      <c r="J644" s="1"/>
      <c r="K644" s="1"/>
      <c r="L644" s="1"/>
      <c r="M644" s="1"/>
      <c r="N644" s="1"/>
      <c r="O644" s="1"/>
      <c r="P644" s="1"/>
      <c r="Q644" s="1"/>
      <c r="R644" s="2"/>
    </row>
    <row r="645" spans="1:18" ht="15.75" customHeight="1" thickBot="1" x14ac:dyDescent="0.35">
      <c r="A645" s="2"/>
      <c r="B645" s="1"/>
      <c r="C645" s="1"/>
      <c r="D645" s="1"/>
      <c r="E645" s="1"/>
      <c r="F645" s="1"/>
      <c r="G645" s="1"/>
      <c r="H645" s="1"/>
      <c r="I645" s="1"/>
      <c r="J645" s="1"/>
      <c r="K645" s="1"/>
      <c r="L645" s="1"/>
      <c r="M645" s="1"/>
      <c r="N645" s="1"/>
      <c r="O645" s="1"/>
      <c r="P645" s="1"/>
      <c r="Q645" s="1"/>
      <c r="R645" s="2"/>
    </row>
    <row r="646" spans="1:18" ht="16.5" customHeight="1" thickBot="1" x14ac:dyDescent="0.35">
      <c r="A646" s="124" t="s">
        <v>353</v>
      </c>
      <c r="B646" s="30" t="s">
        <v>8</v>
      </c>
      <c r="C646" s="31" t="s">
        <v>9</v>
      </c>
      <c r="D646" s="31" t="s">
        <v>10</v>
      </c>
      <c r="E646" s="32" t="s">
        <v>11</v>
      </c>
      <c r="F646" s="31" t="s">
        <v>12</v>
      </c>
      <c r="G646" s="31" t="s">
        <v>13</v>
      </c>
      <c r="H646" s="31" t="s">
        <v>14</v>
      </c>
      <c r="I646" s="33" t="s">
        <v>15</v>
      </c>
      <c r="J646" s="31" t="s">
        <v>16</v>
      </c>
      <c r="K646" s="31" t="s">
        <v>17</v>
      </c>
      <c r="L646" s="31" t="s">
        <v>18</v>
      </c>
      <c r="M646" s="33" t="s">
        <v>19</v>
      </c>
      <c r="N646" s="31" t="s">
        <v>20</v>
      </c>
      <c r="O646" s="31" t="s">
        <v>21</v>
      </c>
      <c r="P646" s="31" t="s">
        <v>22</v>
      </c>
      <c r="Q646" s="33" t="s">
        <v>23</v>
      </c>
      <c r="R646" s="34" t="s">
        <v>24</v>
      </c>
    </row>
    <row r="647" spans="1:18" ht="16.5" customHeight="1" thickBot="1" x14ac:dyDescent="0.35">
      <c r="A647" s="41"/>
      <c r="B647" s="36"/>
      <c r="C647" s="36"/>
      <c r="D647" s="36"/>
      <c r="E647" s="37"/>
      <c r="F647" s="36"/>
      <c r="G647" s="36"/>
      <c r="H647" s="36"/>
      <c r="I647" s="37"/>
      <c r="J647" s="36"/>
      <c r="K647" s="36"/>
      <c r="L647" s="36"/>
      <c r="M647" s="37"/>
      <c r="N647" s="36"/>
      <c r="O647" s="36"/>
      <c r="P647" s="36"/>
      <c r="Q647" s="37"/>
      <c r="R647" s="41"/>
    </row>
    <row r="648" spans="1:18" ht="16.5" customHeight="1" thickBot="1" x14ac:dyDescent="0.35">
      <c r="A648" s="39" t="s">
        <v>40</v>
      </c>
      <c r="B648" s="21">
        <v>2</v>
      </c>
      <c r="C648" s="21">
        <v>3</v>
      </c>
      <c r="D648" s="21">
        <v>5</v>
      </c>
      <c r="E648" s="55">
        <f>SUM(B648:D648)</f>
        <v>10</v>
      </c>
      <c r="F648" s="21">
        <v>7</v>
      </c>
      <c r="G648" s="21">
        <v>8</v>
      </c>
      <c r="H648" s="21">
        <v>9</v>
      </c>
      <c r="I648" s="55">
        <f>SUM(F648:H648)</f>
        <v>24</v>
      </c>
      <c r="J648" s="21">
        <v>7</v>
      </c>
      <c r="K648" s="21">
        <v>6</v>
      </c>
      <c r="L648" s="21">
        <v>6</v>
      </c>
      <c r="M648" s="55">
        <f>SUM(J648:L648)</f>
        <v>19</v>
      </c>
      <c r="N648" s="21">
        <v>5</v>
      </c>
      <c r="O648" s="21">
        <v>3</v>
      </c>
      <c r="P648" s="21">
        <v>2</v>
      </c>
      <c r="Q648" s="55">
        <f>SUM(N648:P648)</f>
        <v>10</v>
      </c>
      <c r="R648" s="60">
        <f>+E648+I648+M648+Q648</f>
        <v>63</v>
      </c>
    </row>
    <row r="649" spans="1:18" ht="16.5" customHeight="1" thickBot="1" x14ac:dyDescent="0.35">
      <c r="A649" s="41"/>
      <c r="B649" s="36"/>
      <c r="C649" s="36"/>
      <c r="D649" s="36"/>
      <c r="E649" s="52"/>
      <c r="F649" s="36"/>
      <c r="G649" s="36"/>
      <c r="H649" s="36"/>
      <c r="I649" s="52"/>
      <c r="J649" s="36"/>
      <c r="K649" s="36"/>
      <c r="L649" s="36"/>
      <c r="M649" s="52"/>
      <c r="N649" s="36"/>
      <c r="O649" s="36"/>
      <c r="P649" s="36"/>
      <c r="Q649" s="52"/>
      <c r="R649" s="42"/>
    </row>
    <row r="650" spans="1:18" ht="15.75" customHeight="1" x14ac:dyDescent="0.3">
      <c r="A650" s="15" t="s">
        <v>314</v>
      </c>
      <c r="B650" s="1">
        <f>B648</f>
        <v>2</v>
      </c>
      <c r="C650" s="1">
        <f>C648</f>
        <v>3</v>
      </c>
      <c r="D650" s="1">
        <f>D648</f>
        <v>5</v>
      </c>
      <c r="E650" s="60">
        <f>SUM(B650:D650)</f>
        <v>10</v>
      </c>
      <c r="F650" s="1">
        <f>F648</f>
        <v>7</v>
      </c>
      <c r="G650" s="1">
        <f>G648</f>
        <v>8</v>
      </c>
      <c r="H650" s="1">
        <f>H648</f>
        <v>9</v>
      </c>
      <c r="I650" s="60">
        <f>SUM(F650:H650)</f>
        <v>24</v>
      </c>
      <c r="J650" s="1">
        <f>J648</f>
        <v>7</v>
      </c>
      <c r="K650" s="1">
        <f>K648</f>
        <v>6</v>
      </c>
      <c r="L650" s="1">
        <f>L648</f>
        <v>6</v>
      </c>
      <c r="M650" s="60">
        <f>SUM(J650:L650)</f>
        <v>19</v>
      </c>
      <c r="N650" s="1">
        <f>N648</f>
        <v>5</v>
      </c>
      <c r="O650" s="1">
        <f>O648</f>
        <v>3</v>
      </c>
      <c r="P650" s="1">
        <f>P648</f>
        <v>2</v>
      </c>
      <c r="Q650" s="60">
        <f>SUM(N650:P650)</f>
        <v>10</v>
      </c>
      <c r="R650" s="60">
        <f>+E650+I650+M650+Q650</f>
        <v>63</v>
      </c>
    </row>
    <row r="651" spans="1:18" ht="15.75" customHeight="1" x14ac:dyDescent="0.3">
      <c r="A651" s="15" t="s">
        <v>42</v>
      </c>
      <c r="B651" s="1">
        <f>(B650/B10)/1.983</f>
        <v>3.2534608689993978E-2</v>
      </c>
      <c r="C651" s="1">
        <f>(C650/C10)/1.983</f>
        <v>5.403068943159714E-2</v>
      </c>
      <c r="D651" s="1">
        <f>(D650/D10)/1.983</f>
        <v>8.1336521724984942E-2</v>
      </c>
      <c r="E651" s="55" t="s">
        <v>7</v>
      </c>
      <c r="F651" s="1">
        <f>(F650/F10)/1.983</f>
        <v>0.1176668347621449</v>
      </c>
      <c r="G651" s="1">
        <f>(G650/G10)/1.983</f>
        <v>0.13013843475997591</v>
      </c>
      <c r="H651" s="1">
        <f>(H650/H10)/1.983</f>
        <v>0.15128593040847199</v>
      </c>
      <c r="I651" s="55" t="s">
        <v>7</v>
      </c>
      <c r="J651" s="1">
        <f>(J650/J10)/1.983</f>
        <v>0.11387113041497893</v>
      </c>
      <c r="K651" s="1">
        <f>(K650/K10)/1.983</f>
        <v>9.7603826069981942E-2</v>
      </c>
      <c r="L651" s="1">
        <f>(L650/L10)/1.983</f>
        <v>0.10085728693898134</v>
      </c>
      <c r="M651" s="55" t="s">
        <v>7</v>
      </c>
      <c r="N651" s="1">
        <f>(N650/N10)/1.983</f>
        <v>8.1336521724984942E-2</v>
      </c>
      <c r="O651" s="1">
        <f>(O650/O10)/1.983</f>
        <v>5.0428643469490671E-2</v>
      </c>
      <c r="P651" s="1">
        <f>(P650/P10)/1.983</f>
        <v>3.2534608689993978E-2</v>
      </c>
      <c r="Q651" s="55" t="s">
        <v>7</v>
      </c>
      <c r="R651" s="55" t="s">
        <v>7</v>
      </c>
    </row>
    <row r="652" spans="1:18" ht="15.75" customHeight="1" x14ac:dyDescent="0.3">
      <c r="A652" s="15" t="s">
        <v>354</v>
      </c>
      <c r="B652" s="1">
        <f>B650+B686+B733-B681</f>
        <v>4506</v>
      </c>
      <c r="C652" s="1">
        <f>C650+C686+C733-C681</f>
        <v>2592</v>
      </c>
      <c r="D652" s="1">
        <f>D650+D686+D733-D681</f>
        <v>3668</v>
      </c>
      <c r="E652" s="55">
        <f>SUM(B652:D652)</f>
        <v>10766</v>
      </c>
      <c r="F652" s="1">
        <f>F650+F686+F733-F681</f>
        <v>4332</v>
      </c>
      <c r="G652" s="1">
        <f>G650+G686+G733-G681</f>
        <v>4237</v>
      </c>
      <c r="H652" s="1">
        <f>H650+H686+H733-H681</f>
        <v>4457</v>
      </c>
      <c r="I652" s="55">
        <f>SUM(F652:H652)</f>
        <v>13026</v>
      </c>
      <c r="J652" s="1">
        <f>J650+J686+J733-J681</f>
        <v>4489</v>
      </c>
      <c r="K652" s="1">
        <f>K650+K686+K733-K681</f>
        <v>3895</v>
      </c>
      <c r="L652" s="1">
        <f>L650+L686+L733-L681</f>
        <v>3671</v>
      </c>
      <c r="M652" s="55">
        <f>SUM(J652:L652)</f>
        <v>12055</v>
      </c>
      <c r="N652" s="1">
        <f>N650+N686+N733-N681</f>
        <v>3237</v>
      </c>
      <c r="O652" s="1">
        <f>O650+O686+O733-O681</f>
        <v>2254</v>
      </c>
      <c r="P652" s="1">
        <f>P650+P686+P733-P681</f>
        <v>3213</v>
      </c>
      <c r="Q652" s="55">
        <f>SUM(N652:P652)</f>
        <v>8704</v>
      </c>
      <c r="R652" s="55">
        <f>+E652+I652+M652+Q652</f>
        <v>44551</v>
      </c>
    </row>
    <row r="653" spans="1:18" ht="16.5" customHeight="1" thickBot="1" x14ac:dyDescent="0.35">
      <c r="A653" s="20" t="s">
        <v>355</v>
      </c>
      <c r="B653" s="21">
        <f>(B652/B10)/1.983</f>
        <v>73.300473378556433</v>
      </c>
      <c r="C653" s="21">
        <f>(C652/C10)/1.983</f>
        <v>46.682515668899931</v>
      </c>
      <c r="D653" s="21">
        <f>(D652/D10)/1.983</f>
        <v>59.668472337448961</v>
      </c>
      <c r="E653" s="81" t="s">
        <v>7</v>
      </c>
      <c r="F653" s="21">
        <f>(F652/F10)/1.983</f>
        <v>72.818961169944529</v>
      </c>
      <c r="G653" s="21">
        <f>(G652/G10)/1.983</f>
        <v>68.924568509752248</v>
      </c>
      <c r="H653" s="21">
        <f>(H652/H10)/1.983</f>
        <v>74.920154647839965</v>
      </c>
      <c r="I653" s="81" t="s">
        <v>7</v>
      </c>
      <c r="J653" s="21">
        <f>(J652/J10)/1.983</f>
        <v>73.023929204691484</v>
      </c>
      <c r="K653" s="21">
        <f>(K652/K10)/1.983</f>
        <v>63.36115042376327</v>
      </c>
      <c r="L653" s="21">
        <f>(L652/L10)/1.983</f>
        <v>61.707850058833408</v>
      </c>
      <c r="M653" s="81" t="s">
        <v>7</v>
      </c>
      <c r="N653" s="21">
        <f>(N652/N10)/1.983</f>
        <v>52.657264164755254</v>
      </c>
      <c r="O653" s="21">
        <f>(O652/O10)/1.983</f>
        <v>37.888720793410656</v>
      </c>
      <c r="P653" s="21">
        <f>(P652/P10)/1.983</f>
        <v>52.266848860475328</v>
      </c>
      <c r="Q653" s="81" t="s">
        <v>7</v>
      </c>
      <c r="R653" s="81" t="s">
        <v>7</v>
      </c>
    </row>
    <row r="654" spans="1:18" ht="15.75" customHeight="1" x14ac:dyDescent="0.3">
      <c r="A654" s="2"/>
      <c r="B654" s="1"/>
      <c r="C654" s="1"/>
      <c r="D654" s="1"/>
      <c r="E654" s="1"/>
      <c r="F654" s="1"/>
      <c r="G654" s="1"/>
      <c r="H654" s="1"/>
      <c r="I654" s="1"/>
      <c r="J654" s="1"/>
      <c r="K654" s="1"/>
      <c r="L654" s="1"/>
      <c r="M654" s="1"/>
      <c r="N654" s="1"/>
      <c r="O654" s="1"/>
      <c r="P654" s="1"/>
      <c r="Q654" s="1"/>
      <c r="R654" s="2"/>
    </row>
    <row r="655" spans="1:18" ht="15.75" customHeight="1" thickBot="1" x14ac:dyDescent="0.35">
      <c r="A655" s="2"/>
      <c r="B655" s="1"/>
      <c r="C655" s="1"/>
      <c r="D655" s="1"/>
      <c r="E655" s="1"/>
      <c r="F655" s="1"/>
      <c r="G655" s="1"/>
      <c r="H655" s="1"/>
      <c r="I655" s="1"/>
      <c r="J655" s="1"/>
      <c r="K655" s="1"/>
      <c r="L655" s="1"/>
      <c r="M655" s="1"/>
      <c r="N655" s="1"/>
      <c r="O655" s="1"/>
      <c r="P655" s="1"/>
      <c r="Q655" s="1"/>
      <c r="R655" s="2"/>
    </row>
    <row r="656" spans="1:18" ht="16.5" customHeight="1" thickBot="1" x14ac:dyDescent="0.35">
      <c r="A656" s="124" t="s">
        <v>356</v>
      </c>
      <c r="B656" s="30" t="s">
        <v>8</v>
      </c>
      <c r="C656" s="31" t="s">
        <v>9</v>
      </c>
      <c r="D656" s="31" t="s">
        <v>10</v>
      </c>
      <c r="E656" s="33" t="s">
        <v>11</v>
      </c>
      <c r="F656" s="31" t="s">
        <v>12</v>
      </c>
      <c r="G656" s="31" t="s">
        <v>13</v>
      </c>
      <c r="H656" s="31" t="s">
        <v>14</v>
      </c>
      <c r="I656" s="33" t="s">
        <v>15</v>
      </c>
      <c r="J656" s="31" t="s">
        <v>16</v>
      </c>
      <c r="K656" s="31" t="s">
        <v>17</v>
      </c>
      <c r="L656" s="31" t="s">
        <v>18</v>
      </c>
      <c r="M656" s="33" t="s">
        <v>19</v>
      </c>
      <c r="N656" s="31" t="s">
        <v>20</v>
      </c>
      <c r="O656" s="31" t="s">
        <v>21</v>
      </c>
      <c r="P656" s="31" t="s">
        <v>22</v>
      </c>
      <c r="Q656" s="33" t="s">
        <v>23</v>
      </c>
      <c r="R656" s="131" t="s">
        <v>24</v>
      </c>
    </row>
    <row r="657" spans="1:18" ht="16.5" customHeight="1" thickBot="1" x14ac:dyDescent="0.35">
      <c r="A657" s="41"/>
      <c r="B657" s="36"/>
      <c r="C657" s="36"/>
      <c r="D657" s="36"/>
      <c r="E657" s="132"/>
      <c r="F657" s="36"/>
      <c r="G657" s="36"/>
      <c r="H657" s="36"/>
      <c r="I657" s="132"/>
      <c r="J657" s="36"/>
      <c r="K657" s="36"/>
      <c r="L657" s="36"/>
      <c r="M657" s="132"/>
      <c r="N657" s="36"/>
      <c r="O657" s="36"/>
      <c r="P657" s="36"/>
      <c r="Q657" s="132"/>
      <c r="R657" s="38"/>
    </row>
    <row r="658" spans="1:18" ht="15.75" customHeight="1" x14ac:dyDescent="0.3">
      <c r="A658" s="15" t="s">
        <v>48</v>
      </c>
      <c r="B658" s="1" t="s">
        <v>7</v>
      </c>
      <c r="C658" s="1" t="s">
        <v>7</v>
      </c>
      <c r="D658" s="1" t="s">
        <v>7</v>
      </c>
      <c r="E658" s="55" t="s">
        <v>7</v>
      </c>
      <c r="F658" s="1" t="s">
        <v>7</v>
      </c>
      <c r="G658" s="1" t="s">
        <v>7</v>
      </c>
      <c r="H658" s="1" t="s">
        <v>7</v>
      </c>
      <c r="I658" s="55" t="s">
        <v>7</v>
      </c>
      <c r="J658" s="1" t="s">
        <v>7</v>
      </c>
      <c r="K658" s="1" t="s">
        <v>7</v>
      </c>
      <c r="L658" s="1" t="s">
        <v>7</v>
      </c>
      <c r="M658" s="55" t="s">
        <v>7</v>
      </c>
      <c r="N658" s="1" t="s">
        <v>7</v>
      </c>
      <c r="O658" s="1" t="s">
        <v>7</v>
      </c>
      <c r="P658" s="1" t="s">
        <v>7</v>
      </c>
      <c r="Q658" s="55" t="s">
        <v>7</v>
      </c>
      <c r="R658" s="55" t="s">
        <v>7</v>
      </c>
    </row>
    <row r="659" spans="1:18" ht="15.75" customHeight="1" x14ac:dyDescent="0.3">
      <c r="A659" s="15" t="s">
        <v>49</v>
      </c>
      <c r="B659" s="1"/>
      <c r="C659" s="1"/>
      <c r="D659" s="1"/>
      <c r="E659" s="55" t="s">
        <v>7</v>
      </c>
      <c r="F659" s="1"/>
      <c r="G659" s="1"/>
      <c r="H659" s="1"/>
      <c r="I659" s="55" t="s">
        <v>7</v>
      </c>
      <c r="J659" s="1"/>
      <c r="K659" s="1"/>
      <c r="L659" s="1"/>
      <c r="M659" s="55" t="s">
        <v>7</v>
      </c>
      <c r="N659" s="1"/>
      <c r="O659" s="1"/>
      <c r="P659" s="1"/>
      <c r="Q659" s="55" t="s">
        <v>7</v>
      </c>
      <c r="R659" s="55" t="s">
        <v>7</v>
      </c>
    </row>
    <row r="660" spans="1:18" ht="15.75" customHeight="1" x14ac:dyDescent="0.3">
      <c r="A660" s="71" t="s">
        <v>357</v>
      </c>
      <c r="B660" s="1"/>
      <c r="C660" s="1"/>
      <c r="D660" s="1"/>
      <c r="E660" s="55">
        <f>SUM(B660:D660)</f>
        <v>0</v>
      </c>
      <c r="F660" s="1"/>
      <c r="G660" s="1"/>
      <c r="H660" s="1"/>
      <c r="I660" s="55">
        <f>SUM(F660:H660)</f>
        <v>0</v>
      </c>
      <c r="J660" s="1">
        <v>49</v>
      </c>
      <c r="K660" s="1"/>
      <c r="L660" s="1"/>
      <c r="M660" s="55">
        <f>SUM(J660:L660)</f>
        <v>49</v>
      </c>
      <c r="N660" s="1"/>
      <c r="O660" s="1"/>
      <c r="P660" s="1"/>
      <c r="Q660" s="55">
        <f>SUM(N660:P660)</f>
        <v>0</v>
      </c>
      <c r="R660" s="55">
        <f>+E660+I660+M660+Q660</f>
        <v>49</v>
      </c>
    </row>
    <row r="661" spans="1:18" ht="15.75" customHeight="1" x14ac:dyDescent="0.3">
      <c r="A661" s="15" t="s">
        <v>50</v>
      </c>
      <c r="B661" s="1"/>
      <c r="C661" s="1"/>
      <c r="D661" s="1"/>
      <c r="E661" s="55" t="s">
        <v>7</v>
      </c>
      <c r="F661" s="1"/>
      <c r="G661" s="1"/>
      <c r="H661" s="1"/>
      <c r="I661" s="55" t="s">
        <v>7</v>
      </c>
      <c r="J661" s="1"/>
      <c r="K661" s="1"/>
      <c r="L661" s="1"/>
      <c r="M661" s="55" t="s">
        <v>7</v>
      </c>
      <c r="N661" s="1"/>
      <c r="O661" s="1"/>
      <c r="P661" s="1"/>
      <c r="Q661" s="55" t="s">
        <v>7</v>
      </c>
      <c r="R661" s="55" t="s">
        <v>7</v>
      </c>
    </row>
    <row r="662" spans="1:18" ht="15.75" customHeight="1" x14ac:dyDescent="0.3">
      <c r="A662" s="15" t="s">
        <v>51</v>
      </c>
      <c r="B662" s="1"/>
      <c r="C662" s="1"/>
      <c r="D662" s="1"/>
      <c r="E662" s="55" t="s">
        <v>7</v>
      </c>
      <c r="F662" s="1"/>
      <c r="G662" s="1"/>
      <c r="H662" s="1"/>
      <c r="I662" s="55" t="s">
        <v>7</v>
      </c>
      <c r="J662" s="1"/>
      <c r="K662" s="1"/>
      <c r="L662" s="1"/>
      <c r="M662" s="55" t="s">
        <v>7</v>
      </c>
      <c r="N662" s="1"/>
      <c r="O662" s="1"/>
      <c r="P662" s="1"/>
      <c r="Q662" s="55" t="s">
        <v>7</v>
      </c>
      <c r="R662" s="55" t="s">
        <v>7</v>
      </c>
    </row>
    <row r="663" spans="1:18" ht="15.75" customHeight="1" thickBot="1" x14ac:dyDescent="0.35">
      <c r="A663" s="15" t="s">
        <v>53</v>
      </c>
      <c r="B663" s="1"/>
      <c r="C663" s="1"/>
      <c r="D663" s="1"/>
      <c r="E663" s="55" t="s">
        <v>7</v>
      </c>
      <c r="F663" s="1"/>
      <c r="G663" s="1"/>
      <c r="H663" s="1"/>
      <c r="I663" s="55" t="s">
        <v>7</v>
      </c>
      <c r="J663" s="1"/>
      <c r="K663" s="1"/>
      <c r="L663" s="1"/>
      <c r="M663" s="55" t="s">
        <v>7</v>
      </c>
      <c r="N663" s="1"/>
      <c r="O663" s="1"/>
      <c r="P663" s="1"/>
      <c r="Q663" s="55" t="s">
        <v>7</v>
      </c>
      <c r="R663" s="55" t="s">
        <v>7</v>
      </c>
    </row>
    <row r="664" spans="1:18" ht="16.5" customHeight="1" thickBot="1" x14ac:dyDescent="0.35">
      <c r="A664" s="57" t="s">
        <v>54</v>
      </c>
      <c r="B664" s="86">
        <f>SUM(B658:B663)</f>
        <v>0</v>
      </c>
      <c r="C664" s="87">
        <f>SUM(C658:C663)</f>
        <v>0</v>
      </c>
      <c r="D664" s="87">
        <f>SUM(D658:D663)</f>
        <v>0</v>
      </c>
      <c r="E664" s="59">
        <f>SUM(B664:D664)</f>
        <v>0</v>
      </c>
      <c r="F664" s="87">
        <f>SUM(F658:F663)</f>
        <v>0</v>
      </c>
      <c r="G664" s="87">
        <f>SUM(G658:G663)</f>
        <v>0</v>
      </c>
      <c r="H664" s="87">
        <f>SUM(H658:H663)</f>
        <v>0</v>
      </c>
      <c r="I664" s="59">
        <f>SUM(F664:H664)</f>
        <v>0</v>
      </c>
      <c r="J664" s="87">
        <f>SUM(J658:J663)</f>
        <v>49</v>
      </c>
      <c r="K664" s="87">
        <f>SUM(K658:K663)</f>
        <v>0</v>
      </c>
      <c r="L664" s="87">
        <f>SUM(L658:L663)</f>
        <v>0</v>
      </c>
      <c r="M664" s="59">
        <f>SUM(J664:L664)</f>
        <v>49</v>
      </c>
      <c r="N664" s="87">
        <f>SUM(N658:N663)</f>
        <v>0</v>
      </c>
      <c r="O664" s="87">
        <f>SUM(O658:O663)</f>
        <v>0</v>
      </c>
      <c r="P664" s="87">
        <f>SUM(P658:P663)</f>
        <v>0</v>
      </c>
      <c r="Q664" s="59">
        <f>SUM(N664:P664)</f>
        <v>0</v>
      </c>
      <c r="R664" s="59">
        <f>+E664+I664+M664+Q664</f>
        <v>49</v>
      </c>
    </row>
    <row r="665" spans="1:18" ht="15.75" customHeight="1" x14ac:dyDescent="0.3">
      <c r="A665" s="15" t="s">
        <v>55</v>
      </c>
      <c r="B665" s="1"/>
      <c r="C665" s="1"/>
      <c r="D665" s="1"/>
      <c r="E665" s="55" t="s">
        <v>7</v>
      </c>
      <c r="F665" s="1"/>
      <c r="G665" s="1"/>
      <c r="H665" s="1"/>
      <c r="I665" s="55" t="s">
        <v>7</v>
      </c>
      <c r="J665" s="1"/>
      <c r="K665" s="1"/>
      <c r="L665" s="1"/>
      <c r="M665" s="55" t="s">
        <v>7</v>
      </c>
      <c r="N665" s="1"/>
      <c r="O665" s="1"/>
      <c r="P665" s="1"/>
      <c r="Q665" s="55" t="s">
        <v>7</v>
      </c>
      <c r="R665" s="55" t="s">
        <v>7</v>
      </c>
    </row>
    <row r="666" spans="1:18" ht="15.75" customHeight="1" x14ac:dyDescent="0.3">
      <c r="A666" s="15" t="s">
        <v>57</v>
      </c>
      <c r="B666" s="1"/>
      <c r="C666" s="1"/>
      <c r="D666" s="1"/>
      <c r="E666" s="55" t="s">
        <v>7</v>
      </c>
      <c r="F666" s="1"/>
      <c r="G666" s="1"/>
      <c r="H666" s="1"/>
      <c r="I666" s="55" t="s">
        <v>7</v>
      </c>
      <c r="J666" s="1"/>
      <c r="K666" s="1"/>
      <c r="L666" s="1"/>
      <c r="M666" s="55" t="s">
        <v>7</v>
      </c>
      <c r="N666" s="1"/>
      <c r="O666" s="1"/>
      <c r="P666" s="1"/>
      <c r="Q666" s="55" t="s">
        <v>7</v>
      </c>
      <c r="R666" s="55" t="s">
        <v>7</v>
      </c>
    </row>
    <row r="667" spans="1:18" ht="15.75" customHeight="1" thickBot="1" x14ac:dyDescent="0.35">
      <c r="A667" s="15" t="s">
        <v>58</v>
      </c>
      <c r="B667" s="1"/>
      <c r="C667" s="1"/>
      <c r="D667" s="1"/>
      <c r="E667" s="55" t="s">
        <v>7</v>
      </c>
      <c r="F667" s="1"/>
      <c r="G667" s="1"/>
      <c r="H667" s="1"/>
      <c r="I667" s="55" t="s">
        <v>7</v>
      </c>
      <c r="J667" s="1"/>
      <c r="K667" s="1"/>
      <c r="L667" s="1"/>
      <c r="M667" s="55" t="s">
        <v>7</v>
      </c>
      <c r="N667" s="1"/>
      <c r="O667" s="1"/>
      <c r="P667" s="1"/>
      <c r="Q667" s="55" t="s">
        <v>7</v>
      </c>
      <c r="R667" s="55" t="s">
        <v>7</v>
      </c>
    </row>
    <row r="668" spans="1:18" ht="16.5" customHeight="1" thickBot="1" x14ac:dyDescent="0.35">
      <c r="A668" s="57" t="s">
        <v>59</v>
      </c>
      <c r="B668" s="86">
        <f>SUM(B665:B667)</f>
        <v>0</v>
      </c>
      <c r="C668" s="87">
        <f>SUM(C665:C667)</f>
        <v>0</v>
      </c>
      <c r="D668" s="87">
        <f>SUM(D665:D667)</f>
        <v>0</v>
      </c>
      <c r="E668" s="59">
        <f>SUM(B668:D668)</f>
        <v>0</v>
      </c>
      <c r="F668" s="87">
        <f>SUM(F665:F667)</f>
        <v>0</v>
      </c>
      <c r="G668" s="87">
        <f>SUM(G665:G667)</f>
        <v>0</v>
      </c>
      <c r="H668" s="87">
        <f>SUM(H665:H667)</f>
        <v>0</v>
      </c>
      <c r="I668" s="59">
        <f>SUM(F668:H668)</f>
        <v>0</v>
      </c>
      <c r="J668" s="87">
        <f>SUM(J665:J667)</f>
        <v>0</v>
      </c>
      <c r="K668" s="87">
        <f>SUM(K665:K667)</f>
        <v>0</v>
      </c>
      <c r="L668" s="87">
        <f>SUM(L665:L667)</f>
        <v>0</v>
      </c>
      <c r="M668" s="59">
        <f>SUM(J668:L668)</f>
        <v>0</v>
      </c>
      <c r="N668" s="87">
        <f>SUM(N665:N667)</f>
        <v>0</v>
      </c>
      <c r="O668" s="87">
        <f>SUM(O665:O667)</f>
        <v>0</v>
      </c>
      <c r="P668" s="87">
        <f>SUM(P665:P667)</f>
        <v>0</v>
      </c>
      <c r="Q668" s="59">
        <f>SUM(N668:P668)</f>
        <v>0</v>
      </c>
      <c r="R668" s="59">
        <f>+E668+I668+M668+Q668</f>
        <v>0</v>
      </c>
    </row>
    <row r="669" spans="1:18" ht="15.75" customHeight="1" x14ac:dyDescent="0.3">
      <c r="A669" s="15" t="s">
        <v>60</v>
      </c>
      <c r="B669" s="1"/>
      <c r="C669" s="1"/>
      <c r="D669" s="1"/>
      <c r="E669" s="55" t="s">
        <v>7</v>
      </c>
      <c r="F669" s="1"/>
      <c r="G669" s="1"/>
      <c r="H669" s="1"/>
      <c r="I669" s="55" t="s">
        <v>7</v>
      </c>
      <c r="J669" s="1"/>
      <c r="K669" s="1"/>
      <c r="L669" s="1"/>
      <c r="M669" s="55" t="s">
        <v>7</v>
      </c>
      <c r="N669" s="1"/>
      <c r="O669" s="1"/>
      <c r="P669" s="1"/>
      <c r="Q669" s="55" t="s">
        <v>7</v>
      </c>
      <c r="R669" s="55" t="s">
        <v>7</v>
      </c>
    </row>
    <row r="670" spans="1:18" ht="15.75" customHeight="1" x14ac:dyDescent="0.3">
      <c r="A670" s="15" t="s">
        <v>61</v>
      </c>
      <c r="B670" s="1"/>
      <c r="C670" s="1"/>
      <c r="D670" s="1"/>
      <c r="E670" s="55" t="s">
        <v>7</v>
      </c>
      <c r="F670" s="1"/>
      <c r="G670" s="1"/>
      <c r="H670" s="1"/>
      <c r="I670" s="55" t="s">
        <v>7</v>
      </c>
      <c r="J670" s="1"/>
      <c r="K670" s="1"/>
      <c r="L670" s="1"/>
      <c r="M670" s="55" t="s">
        <v>7</v>
      </c>
      <c r="N670" s="1"/>
      <c r="O670" s="1"/>
      <c r="P670" s="1"/>
      <c r="Q670" s="55" t="s">
        <v>7</v>
      </c>
      <c r="R670" s="55" t="s">
        <v>7</v>
      </c>
    </row>
    <row r="671" spans="1:18" ht="15.75" customHeight="1" thickBot="1" x14ac:dyDescent="0.35">
      <c r="A671" s="15" t="s">
        <v>62</v>
      </c>
      <c r="B671" s="1"/>
      <c r="C671" s="1"/>
      <c r="D671" s="1"/>
      <c r="E671" s="55" t="s">
        <v>7</v>
      </c>
      <c r="F671" s="1"/>
      <c r="G671" s="1"/>
      <c r="H671" s="1"/>
      <c r="I671" s="55" t="s">
        <v>7</v>
      </c>
      <c r="J671" s="1"/>
      <c r="K671" s="1"/>
      <c r="L671" s="1"/>
      <c r="M671" s="55" t="s">
        <v>7</v>
      </c>
      <c r="N671" s="1"/>
      <c r="O671" s="1"/>
      <c r="P671" s="1"/>
      <c r="Q671" s="55" t="s">
        <v>7</v>
      </c>
      <c r="R671" s="55" t="s">
        <v>7</v>
      </c>
    </row>
    <row r="672" spans="1:18" ht="16.5" customHeight="1" thickBot="1" x14ac:dyDescent="0.35">
      <c r="A672" s="57" t="s">
        <v>63</v>
      </c>
      <c r="B672" s="86">
        <f>SUM(B669:B671)</f>
        <v>0</v>
      </c>
      <c r="C672" s="87">
        <f>SUM(C669:C671)</f>
        <v>0</v>
      </c>
      <c r="D672" s="87">
        <f>SUM(D669:D671)</f>
        <v>0</v>
      </c>
      <c r="E672" s="59">
        <f>SUM(B672:D672)</f>
        <v>0</v>
      </c>
      <c r="F672" s="87">
        <f>SUM(F669:F671)</f>
        <v>0</v>
      </c>
      <c r="G672" s="87">
        <f>SUM(G669:G671)</f>
        <v>0</v>
      </c>
      <c r="H672" s="87">
        <f>SUM(H669:H671)</f>
        <v>0</v>
      </c>
      <c r="I672" s="59">
        <f>SUM(F672:H672)</f>
        <v>0</v>
      </c>
      <c r="J672" s="87">
        <f>SUM(J669:J671)</f>
        <v>0</v>
      </c>
      <c r="K672" s="87">
        <f>SUM(K669:K671)</f>
        <v>0</v>
      </c>
      <c r="L672" s="87">
        <f>SUM(L669:L671)</f>
        <v>0</v>
      </c>
      <c r="M672" s="59">
        <f>SUM(J672:L672)</f>
        <v>0</v>
      </c>
      <c r="N672" s="87">
        <f>SUM(N669:N671)</f>
        <v>0</v>
      </c>
      <c r="O672" s="87">
        <f>SUM(O669:O671)</f>
        <v>0</v>
      </c>
      <c r="P672" s="87">
        <f>SUM(P669:P671)</f>
        <v>0</v>
      </c>
      <c r="Q672" s="59">
        <f>SUM(N672:P672)</f>
        <v>0</v>
      </c>
      <c r="R672" s="59">
        <f>+E672+I672+M672+Q672</f>
        <v>0</v>
      </c>
    </row>
    <row r="673" spans="1:18" ht="15.75" customHeight="1" x14ac:dyDescent="0.3">
      <c r="A673" s="15" t="s">
        <v>64</v>
      </c>
      <c r="B673" s="1"/>
      <c r="C673" s="1"/>
      <c r="D673" s="1"/>
      <c r="E673" s="55" t="s">
        <v>7</v>
      </c>
      <c r="F673" s="1"/>
      <c r="G673" s="1"/>
      <c r="H673" s="1"/>
      <c r="I673" s="55" t="s">
        <v>7</v>
      </c>
      <c r="J673" s="1"/>
      <c r="K673" s="1"/>
      <c r="L673" s="1"/>
      <c r="M673" s="55" t="s">
        <v>7</v>
      </c>
      <c r="N673" s="1"/>
      <c r="O673" s="1"/>
      <c r="P673" s="1"/>
      <c r="Q673" s="55" t="s">
        <v>7</v>
      </c>
      <c r="R673" s="55" t="s">
        <v>7</v>
      </c>
    </row>
    <row r="674" spans="1:18" ht="15.75" customHeight="1" x14ac:dyDescent="0.3">
      <c r="A674" s="15" t="s">
        <v>594</v>
      </c>
      <c r="B674" s="1"/>
      <c r="C674" s="1"/>
      <c r="D674" s="1"/>
      <c r="E674" s="55" t="s">
        <v>7</v>
      </c>
      <c r="F674" s="1"/>
      <c r="G674" s="1"/>
      <c r="H674" s="1"/>
      <c r="I674" s="55" t="s">
        <v>7</v>
      </c>
      <c r="J674" s="1"/>
      <c r="K674" s="1"/>
      <c r="L674" s="1"/>
      <c r="M674" s="55" t="s">
        <v>7</v>
      </c>
      <c r="N674" s="1"/>
      <c r="O674" s="1"/>
      <c r="P674" s="1"/>
      <c r="Q674" s="55" t="s">
        <v>7</v>
      </c>
      <c r="R674" s="55" t="s">
        <v>7</v>
      </c>
    </row>
    <row r="675" spans="1:18" ht="15.75" customHeight="1" x14ac:dyDescent="0.3">
      <c r="A675" s="15" t="s">
        <v>67</v>
      </c>
      <c r="B675" s="1"/>
      <c r="C675" s="1"/>
      <c r="D675" s="1"/>
      <c r="E675" s="55" t="s">
        <v>7</v>
      </c>
      <c r="F675" s="1"/>
      <c r="G675" s="1"/>
      <c r="H675" s="1"/>
      <c r="I675" s="55" t="s">
        <v>7</v>
      </c>
      <c r="J675" s="1"/>
      <c r="K675" s="1"/>
      <c r="L675" s="1"/>
      <c r="M675" s="55" t="s">
        <v>7</v>
      </c>
      <c r="N675" s="1"/>
      <c r="O675" s="1"/>
      <c r="P675" s="1"/>
      <c r="Q675" s="55" t="s">
        <v>7</v>
      </c>
      <c r="R675" s="55" t="s">
        <v>7</v>
      </c>
    </row>
    <row r="676" spans="1:18" ht="15.75" customHeight="1" x14ac:dyDescent="0.3">
      <c r="A676" s="15" t="s">
        <v>600</v>
      </c>
      <c r="B676" s="1"/>
      <c r="C676" s="1"/>
      <c r="D676" s="1"/>
      <c r="E676" s="55" t="s">
        <v>7</v>
      </c>
      <c r="F676" s="1"/>
      <c r="G676" s="1"/>
      <c r="H676" s="1"/>
      <c r="I676" s="55" t="s">
        <v>7</v>
      </c>
      <c r="J676" s="1"/>
      <c r="K676" s="1"/>
      <c r="L676" s="1"/>
      <c r="M676" s="55" t="s">
        <v>7</v>
      </c>
      <c r="N676" s="1"/>
      <c r="O676" s="1"/>
      <c r="P676" s="1"/>
      <c r="Q676" s="55" t="s">
        <v>7</v>
      </c>
      <c r="R676" s="55" t="s">
        <v>7</v>
      </c>
    </row>
    <row r="677" spans="1:18" ht="15.75" customHeight="1" thickBot="1" x14ac:dyDescent="0.35">
      <c r="A677" s="15" t="s">
        <v>70</v>
      </c>
      <c r="B677" s="1"/>
      <c r="C677" s="1"/>
      <c r="D677" s="1"/>
      <c r="E677" s="55" t="s">
        <v>7</v>
      </c>
      <c r="F677" s="1"/>
      <c r="G677" s="1"/>
      <c r="H677" s="1"/>
      <c r="I677" s="55" t="s">
        <v>7</v>
      </c>
      <c r="J677" s="1"/>
      <c r="K677" s="1"/>
      <c r="L677" s="1"/>
      <c r="M677" s="55" t="s">
        <v>7</v>
      </c>
      <c r="N677" s="1"/>
      <c r="O677" s="1"/>
      <c r="P677" s="1"/>
      <c r="Q677" s="55" t="s">
        <v>7</v>
      </c>
      <c r="R677" s="55" t="s">
        <v>7</v>
      </c>
    </row>
    <row r="678" spans="1:18" ht="16.5" customHeight="1" thickBot="1" x14ac:dyDescent="0.35">
      <c r="A678" s="57" t="s">
        <v>71</v>
      </c>
      <c r="B678" s="58">
        <f>SUM(B676:B677)</f>
        <v>0</v>
      </c>
      <c r="C678" s="58">
        <f>SUM(C676:C677)</f>
        <v>0</v>
      </c>
      <c r="D678" s="58">
        <f>SUM(D676:D677)</f>
        <v>0</v>
      </c>
      <c r="E678" s="60">
        <f>SUM(B678:D678)</f>
        <v>0</v>
      </c>
      <c r="F678" s="58">
        <f>SUM(F676:F677)</f>
        <v>0</v>
      </c>
      <c r="G678" s="58">
        <f>SUM(G676:G677)</f>
        <v>0</v>
      </c>
      <c r="H678" s="58">
        <f>SUM(H676:H677)</f>
        <v>0</v>
      </c>
      <c r="I678" s="60">
        <f>SUM(F678:H678)</f>
        <v>0</v>
      </c>
      <c r="J678" s="58">
        <f>SUM(J676:J677)</f>
        <v>0</v>
      </c>
      <c r="K678" s="58">
        <f>SUM(K676:K677)</f>
        <v>0</v>
      </c>
      <c r="L678" s="58">
        <f>SUM(L676:L677)</f>
        <v>0</v>
      </c>
      <c r="M678" s="60">
        <f>SUM(J678:L678)</f>
        <v>0</v>
      </c>
      <c r="N678" s="58">
        <f>SUM(N676:N677)</f>
        <v>0</v>
      </c>
      <c r="O678" s="58">
        <f>SUM(O676:O677)</f>
        <v>0</v>
      </c>
      <c r="P678" s="58">
        <f>SUM(P676:P677)</f>
        <v>0</v>
      </c>
      <c r="Q678" s="60">
        <f>SUM(N678:P678)</f>
        <v>0</v>
      </c>
      <c r="R678" s="59">
        <f>+E678+I678+M678+Q678</f>
        <v>0</v>
      </c>
    </row>
    <row r="679" spans="1:18" ht="16.5" customHeight="1" thickBot="1" x14ac:dyDescent="0.35">
      <c r="A679" s="57" t="s">
        <v>72</v>
      </c>
      <c r="B679" s="86">
        <f>SUM(B673:B677)</f>
        <v>0</v>
      </c>
      <c r="C679" s="87">
        <f>SUM(C673:C677)</f>
        <v>0</v>
      </c>
      <c r="D679" s="118">
        <f>SUM(D673:D677)</f>
        <v>0</v>
      </c>
      <c r="E679" s="60">
        <f>SUM(B679:D679)</f>
        <v>0</v>
      </c>
      <c r="F679" s="87">
        <f>SUM(F673:F677)</f>
        <v>0</v>
      </c>
      <c r="G679" s="87">
        <f>SUM(G673:G677)</f>
        <v>0</v>
      </c>
      <c r="H679" s="87">
        <f>SUM(H673:H677)</f>
        <v>0</v>
      </c>
      <c r="I679" s="60">
        <f>SUM(F679:H679)</f>
        <v>0</v>
      </c>
      <c r="J679" s="87">
        <f>SUM(J673:J677)</f>
        <v>0</v>
      </c>
      <c r="K679" s="87">
        <f>SUM(K673:K677)</f>
        <v>0</v>
      </c>
      <c r="L679" s="87">
        <f>SUM(L673:L677)</f>
        <v>0</v>
      </c>
      <c r="M679" s="60">
        <f>SUM(J679:L679)</f>
        <v>0</v>
      </c>
      <c r="N679" s="87">
        <f>SUM(N673:N677)</f>
        <v>0</v>
      </c>
      <c r="O679" s="87">
        <f>SUM(O673:O677)</f>
        <v>0</v>
      </c>
      <c r="P679" s="87">
        <f>SUM(P673:P677)</f>
        <v>0</v>
      </c>
      <c r="Q679" s="60">
        <f>SUM(N679:P679)</f>
        <v>0</v>
      </c>
      <c r="R679" s="59">
        <f>+E679+I679+M679+Q679</f>
        <v>0</v>
      </c>
    </row>
    <row r="680" spans="1:18" ht="16.5" customHeight="1" thickBot="1" x14ac:dyDescent="0.35">
      <c r="A680" s="57" t="s">
        <v>73</v>
      </c>
      <c r="B680" s="90">
        <f>+B664+B668+B672+B679</f>
        <v>0</v>
      </c>
      <c r="C680" s="58">
        <f>+C664+C668+C672+C679</f>
        <v>0</v>
      </c>
      <c r="D680" s="58">
        <f>+D664+D668+D672+D679</f>
        <v>0</v>
      </c>
      <c r="E680" s="59">
        <f>SUM(B680:D680)</f>
        <v>0</v>
      </c>
      <c r="F680" s="58">
        <f>+F664+F668+F672+F679</f>
        <v>0</v>
      </c>
      <c r="G680" s="58">
        <f>+G664+G668+G672+G679</f>
        <v>0</v>
      </c>
      <c r="H680" s="58">
        <f>+H664+H668+H672+H679</f>
        <v>0</v>
      </c>
      <c r="I680" s="59">
        <f>SUM(F680:H680)</f>
        <v>0</v>
      </c>
      <c r="J680" s="58">
        <f>+J664+J668+J672+J679</f>
        <v>49</v>
      </c>
      <c r="K680" s="58">
        <f>+K664+K668+K672+K679</f>
        <v>0</v>
      </c>
      <c r="L680" s="58">
        <f>+L664+L668+L672+L679</f>
        <v>0</v>
      </c>
      <c r="M680" s="59">
        <f>SUM(J680:L680)</f>
        <v>49</v>
      </c>
      <c r="N680" s="58">
        <f>+N664+N668+N672+N679</f>
        <v>0</v>
      </c>
      <c r="O680" s="58">
        <f>+O664+O668+O672+O679</f>
        <v>0</v>
      </c>
      <c r="P680" s="58">
        <f>+P664+P668+P672+P679</f>
        <v>0</v>
      </c>
      <c r="Q680" s="59">
        <f>SUM(N680:P680)</f>
        <v>0</v>
      </c>
      <c r="R680" s="81">
        <f>+E680+I680+M680+Q680</f>
        <v>49</v>
      </c>
    </row>
    <row r="681" spans="1:18" ht="15.75" customHeight="1" x14ac:dyDescent="0.3">
      <c r="A681" s="71" t="s">
        <v>358</v>
      </c>
      <c r="B681" s="1">
        <v>210</v>
      </c>
      <c r="C681" s="1">
        <v>117</v>
      </c>
      <c r="D681" s="1">
        <v>3127</v>
      </c>
      <c r="E681" s="55">
        <f>SUM(B681:D681)</f>
        <v>3454</v>
      </c>
      <c r="F681" s="1">
        <v>5012</v>
      </c>
      <c r="G681" s="1">
        <v>5799</v>
      </c>
      <c r="H681" s="1">
        <v>5977</v>
      </c>
      <c r="I681" s="55">
        <f>SUM(F681:H681)</f>
        <v>16788</v>
      </c>
      <c r="J681" s="1">
        <v>6256</v>
      </c>
      <c r="K681" s="1">
        <v>5899</v>
      </c>
      <c r="L681" s="1">
        <v>5097</v>
      </c>
      <c r="M681" s="55">
        <f>SUM(J681:L681)</f>
        <v>17252</v>
      </c>
      <c r="N681" s="1">
        <v>4517</v>
      </c>
      <c r="O681" s="1">
        <v>4416</v>
      </c>
      <c r="P681" s="1">
        <v>1022</v>
      </c>
      <c r="Q681" s="55">
        <f>SUM(N681:P681)</f>
        <v>9955</v>
      </c>
      <c r="R681" s="55">
        <f>+E681+I681+M681+Q681</f>
        <v>47449</v>
      </c>
    </row>
    <row r="682" spans="1:18" ht="15.75" customHeight="1" thickBot="1" x14ac:dyDescent="0.35">
      <c r="A682" s="71" t="s">
        <v>40</v>
      </c>
      <c r="B682" s="1">
        <v>0</v>
      </c>
      <c r="C682" s="1">
        <v>0</v>
      </c>
      <c r="D682" s="1">
        <v>0</v>
      </c>
      <c r="E682" s="55">
        <f>SUM(B682:D682)</f>
        <v>0</v>
      </c>
      <c r="F682" s="1">
        <v>0</v>
      </c>
      <c r="G682" s="1">
        <v>0</v>
      </c>
      <c r="H682" s="1">
        <v>0</v>
      </c>
      <c r="I682" s="55">
        <f>SUM(F682:H682)</f>
        <v>0</v>
      </c>
      <c r="J682" s="1">
        <v>0</v>
      </c>
      <c r="K682" s="1">
        <v>0</v>
      </c>
      <c r="L682" s="1">
        <v>0</v>
      </c>
      <c r="M682" s="55">
        <f>SUM(J682:L682)</f>
        <v>0</v>
      </c>
      <c r="N682" s="1">
        <v>0</v>
      </c>
      <c r="O682" s="1">
        <v>0</v>
      </c>
      <c r="P682" s="1">
        <v>0</v>
      </c>
      <c r="Q682" s="55">
        <f>SUM(N682:P682)</f>
        <v>0</v>
      </c>
      <c r="R682" s="55">
        <f>+E682+I682+M682+Q682</f>
        <v>0</v>
      </c>
    </row>
    <row r="683" spans="1:18" ht="16.5" customHeight="1" thickBot="1" x14ac:dyDescent="0.35">
      <c r="A683" s="130"/>
      <c r="B683" s="51"/>
      <c r="C683" s="51"/>
      <c r="D683" s="51"/>
      <c r="E683" s="59" t="s">
        <v>7</v>
      </c>
      <c r="F683" s="51"/>
      <c r="G683" s="51"/>
      <c r="H683" s="51"/>
      <c r="I683" s="59" t="s">
        <v>7</v>
      </c>
      <c r="J683" s="51"/>
      <c r="K683" s="51"/>
      <c r="L683" s="51"/>
      <c r="M683" s="59" t="s">
        <v>7</v>
      </c>
      <c r="N683" s="51"/>
      <c r="O683" s="51"/>
      <c r="P683" s="51"/>
      <c r="Q683" s="59"/>
      <c r="R683" s="59"/>
    </row>
    <row r="684" spans="1:18" ht="15.75" customHeight="1" x14ac:dyDescent="0.3">
      <c r="A684" s="15" t="s">
        <v>41</v>
      </c>
      <c r="B684" s="1">
        <f>SUM(B680:B682)</f>
        <v>210</v>
      </c>
      <c r="C684" s="1">
        <f>SUM(C680:C682)</f>
        <v>117</v>
      </c>
      <c r="D684" s="1">
        <f>SUM(D680:D682)</f>
        <v>3127</v>
      </c>
      <c r="E684" s="60">
        <f>SUM(B684:D684)</f>
        <v>3454</v>
      </c>
      <c r="F684" s="1">
        <f>SUM(F680:F682)</f>
        <v>5012</v>
      </c>
      <c r="G684" s="1">
        <f>SUM(G680:G682)</f>
        <v>5799</v>
      </c>
      <c r="H684" s="1">
        <f>SUM(H680:H682)</f>
        <v>5977</v>
      </c>
      <c r="I684" s="60">
        <f>SUM(F684:H684)</f>
        <v>16788</v>
      </c>
      <c r="J684" s="1">
        <f>SUM(J680:J682)</f>
        <v>6305</v>
      </c>
      <c r="K684" s="1">
        <f>SUM(K680:K682)</f>
        <v>5899</v>
      </c>
      <c r="L684" s="1">
        <f>SUM(L680:L682)</f>
        <v>5097</v>
      </c>
      <c r="M684" s="60">
        <f>SUM(J684:L684)</f>
        <v>17301</v>
      </c>
      <c r="N684" s="1">
        <f>SUM(N680:N682)</f>
        <v>4517</v>
      </c>
      <c r="O684" s="1">
        <f>SUM(O680:O682)</f>
        <v>4416</v>
      </c>
      <c r="P684" s="1">
        <f>SUM(P680:P682)</f>
        <v>1022</v>
      </c>
      <c r="Q684" s="60">
        <f>SUM(N684:P684)</f>
        <v>9955</v>
      </c>
      <c r="R684" s="60">
        <f>+E684+I684+M684+Q684</f>
        <v>47498</v>
      </c>
    </row>
    <row r="685" spans="1:18" ht="15.75" customHeight="1" x14ac:dyDescent="0.3">
      <c r="A685" s="15" t="s">
        <v>42</v>
      </c>
      <c r="B685" s="1">
        <f>(B684/B10)/1.983</f>
        <v>3.4161339124493679</v>
      </c>
      <c r="C685" s="1">
        <f>(C684/C10)/1.983</f>
        <v>2.1071968878322886</v>
      </c>
      <c r="D685" s="1">
        <f>(D684/D10)/1.983</f>
        <v>50.867860686805592</v>
      </c>
      <c r="E685" s="55" t="s">
        <v>7</v>
      </c>
      <c r="F685" s="1">
        <f>(F684/F10)/1.983</f>
        <v>84.249453689695741</v>
      </c>
      <c r="G685" s="1">
        <f>(G684/G10)/1.983</f>
        <v>94.334097896637545</v>
      </c>
      <c r="H685" s="1">
        <f>(H684/H10)/1.983</f>
        <v>100.47066733904857</v>
      </c>
      <c r="I685" s="55" t="s">
        <v>7</v>
      </c>
      <c r="J685" s="1">
        <f>(J684/J10)/1.983</f>
        <v>102.56535389520602</v>
      </c>
      <c r="K685" s="1">
        <f>(K684/K10)/1.983</f>
        <v>95.960828331137236</v>
      </c>
      <c r="L685" s="1">
        <f>(L684/L10)/1.983</f>
        <v>85.678265254664652</v>
      </c>
      <c r="M685" s="55" t="s">
        <v>7</v>
      </c>
      <c r="N685" s="1">
        <f>(N684/N10)/1.983</f>
        <v>73.47941372635141</v>
      </c>
      <c r="O685" s="1">
        <f>(O684/O10)/1.983</f>
        <v>74.230963187090254</v>
      </c>
      <c r="P685" s="1">
        <f>(P684/P10)/1.983</f>
        <v>16.625185040586924</v>
      </c>
      <c r="Q685" s="55" t="s">
        <v>7</v>
      </c>
      <c r="R685" s="55" t="s">
        <v>7</v>
      </c>
    </row>
    <row r="686" spans="1:18" ht="15.75" customHeight="1" x14ac:dyDescent="0.3">
      <c r="A686" s="15" t="s">
        <v>359</v>
      </c>
      <c r="B686" s="1">
        <f>B684</f>
        <v>210</v>
      </c>
      <c r="C686" s="1">
        <f>C684</f>
        <v>117</v>
      </c>
      <c r="D686" s="1">
        <f>D684</f>
        <v>3127</v>
      </c>
      <c r="E686" s="55">
        <f>SUM(B686:D686)</f>
        <v>3454</v>
      </c>
      <c r="F686" s="1">
        <f>F684</f>
        <v>5012</v>
      </c>
      <c r="G686" s="1">
        <f>G684</f>
        <v>5799</v>
      </c>
      <c r="H686" s="1">
        <f>H684</f>
        <v>5977</v>
      </c>
      <c r="I686" s="55">
        <f>SUM(F686:H686)</f>
        <v>16788</v>
      </c>
      <c r="J686" s="1">
        <f>J684</f>
        <v>6305</v>
      </c>
      <c r="K686" s="1">
        <f>K684</f>
        <v>5899</v>
      </c>
      <c r="L686" s="1">
        <f>L684</f>
        <v>5097</v>
      </c>
      <c r="M686" s="55">
        <f>SUM(J686:L686)</f>
        <v>17301</v>
      </c>
      <c r="N686" s="1">
        <f>N684</f>
        <v>4517</v>
      </c>
      <c r="O686" s="1">
        <f>O684</f>
        <v>4416</v>
      </c>
      <c r="P686" s="1">
        <f>P684</f>
        <v>1022</v>
      </c>
      <c r="Q686" s="55">
        <f>SUM(N686:P686)</f>
        <v>9955</v>
      </c>
      <c r="R686" s="55">
        <f>+E686+I686+M686+Q686</f>
        <v>47498</v>
      </c>
    </row>
    <row r="687" spans="1:18" ht="16.5" customHeight="1" thickBot="1" x14ac:dyDescent="0.35">
      <c r="A687" s="20" t="s">
        <v>360</v>
      </c>
      <c r="B687" s="21">
        <f>(B686/B10)/1.983</f>
        <v>3.4161339124493679</v>
      </c>
      <c r="C687" s="21">
        <f>(C686/C10)/1.983</f>
        <v>2.1071968878322886</v>
      </c>
      <c r="D687" s="21">
        <f>(D686/D10)/1.983</f>
        <v>50.867860686805592</v>
      </c>
      <c r="E687" s="81" t="s">
        <v>7</v>
      </c>
      <c r="F687" s="21">
        <f>(F686/F10)/1.983</f>
        <v>84.249453689695741</v>
      </c>
      <c r="G687" s="21">
        <f>(G686/G10)/1.983</f>
        <v>94.334097896637545</v>
      </c>
      <c r="H687" s="21">
        <f>(H686/H10)/1.983</f>
        <v>100.47066733904857</v>
      </c>
      <c r="I687" s="81" t="s">
        <v>7</v>
      </c>
      <c r="J687" s="21">
        <f>(J686/J10)/1.983</f>
        <v>102.56535389520602</v>
      </c>
      <c r="K687" s="21">
        <f>(K686/K10)/1.983</f>
        <v>95.960828331137236</v>
      </c>
      <c r="L687" s="21">
        <f>(L686/L10)/1.983</f>
        <v>85.678265254664652</v>
      </c>
      <c r="M687" s="81" t="s">
        <v>7</v>
      </c>
      <c r="N687" s="21">
        <f>(N686/N10)/1.983</f>
        <v>73.47941372635141</v>
      </c>
      <c r="O687" s="21">
        <f>(O686/O10)/1.983</f>
        <v>74.230963187090254</v>
      </c>
      <c r="P687" s="21">
        <f>(P686/P10)/1.983</f>
        <v>16.625185040586924</v>
      </c>
      <c r="Q687" s="81" t="s">
        <v>7</v>
      </c>
      <c r="R687" s="81" t="s">
        <v>7</v>
      </c>
    </row>
    <row r="688" spans="1:18" ht="15.75" customHeight="1" x14ac:dyDescent="0.3">
      <c r="A688" s="2"/>
      <c r="B688" s="1"/>
      <c r="C688" s="1"/>
      <c r="D688" s="1"/>
      <c r="E688" s="1"/>
      <c r="F688" s="1"/>
      <c r="G688" s="1"/>
      <c r="H688" s="1"/>
      <c r="I688" s="1"/>
      <c r="J688" s="1"/>
      <c r="K688" s="1"/>
      <c r="L688" s="1"/>
      <c r="M688" s="1"/>
      <c r="N688" s="1"/>
      <c r="O688" s="1"/>
      <c r="P688" s="1"/>
      <c r="Q688" s="1"/>
      <c r="R688" s="2"/>
    </row>
    <row r="689" spans="1:20" ht="15.75" customHeight="1" thickBot="1" x14ac:dyDescent="0.35">
      <c r="A689" s="2"/>
      <c r="B689" s="1"/>
      <c r="C689" s="1"/>
      <c r="D689" s="1"/>
      <c r="E689" s="1"/>
      <c r="F689" s="1"/>
      <c r="G689" s="1"/>
      <c r="H689" s="1"/>
      <c r="I689" s="1"/>
      <c r="J689" s="1"/>
      <c r="K689" s="1"/>
      <c r="L689" s="1"/>
      <c r="M689" s="1"/>
      <c r="N689" s="1"/>
      <c r="O689" s="1"/>
      <c r="P689" s="1"/>
      <c r="Q689" s="1"/>
      <c r="R689" s="2"/>
    </row>
    <row r="690" spans="1:20" ht="16.5" customHeight="1" thickBot="1" x14ac:dyDescent="0.35">
      <c r="A690" s="124" t="s">
        <v>361</v>
      </c>
      <c r="B690" s="30" t="s">
        <v>8</v>
      </c>
      <c r="C690" s="31" t="s">
        <v>9</v>
      </c>
      <c r="D690" s="31" t="s">
        <v>10</v>
      </c>
      <c r="E690" s="32" t="s">
        <v>11</v>
      </c>
      <c r="F690" s="31" t="s">
        <v>12</v>
      </c>
      <c r="G690" s="31" t="s">
        <v>13</v>
      </c>
      <c r="H690" s="31" t="s">
        <v>14</v>
      </c>
      <c r="I690" s="33" t="s">
        <v>15</v>
      </c>
      <c r="J690" s="31" t="s">
        <v>16</v>
      </c>
      <c r="K690" s="31" t="s">
        <v>17</v>
      </c>
      <c r="L690" s="31" t="s">
        <v>18</v>
      </c>
      <c r="M690" s="33" t="s">
        <v>19</v>
      </c>
      <c r="N690" s="31" t="s">
        <v>20</v>
      </c>
      <c r="O690" s="31" t="s">
        <v>21</v>
      </c>
      <c r="P690" s="31" t="s">
        <v>22</v>
      </c>
      <c r="Q690" s="33" t="s">
        <v>23</v>
      </c>
      <c r="R690" s="133" t="s">
        <v>24</v>
      </c>
    </row>
    <row r="691" spans="1:20" ht="16.5" customHeight="1" thickBot="1" x14ac:dyDescent="0.35">
      <c r="A691" s="41"/>
      <c r="B691" s="36"/>
      <c r="C691" s="36"/>
      <c r="D691" s="36"/>
      <c r="E691" s="52"/>
      <c r="F691" s="36"/>
      <c r="G691" s="36"/>
      <c r="H691" s="36"/>
      <c r="I691" s="132"/>
      <c r="J691" s="36"/>
      <c r="K691" s="36"/>
      <c r="L691" s="36"/>
      <c r="M691" s="132"/>
      <c r="N691" s="36"/>
      <c r="O691" s="36"/>
      <c r="P691" s="36"/>
      <c r="Q691" s="134"/>
      <c r="R691" s="135"/>
    </row>
    <row r="692" spans="1:20" ht="15.75" customHeight="1" x14ac:dyDescent="0.3">
      <c r="A692" s="15" t="s">
        <v>48</v>
      </c>
      <c r="B692" s="1" t="s">
        <v>7</v>
      </c>
      <c r="C692" s="1" t="s">
        <v>7</v>
      </c>
      <c r="D692" s="1" t="s">
        <v>7</v>
      </c>
      <c r="E692" s="136"/>
      <c r="F692" s="1" t="s">
        <v>7</v>
      </c>
      <c r="G692" s="1" t="s">
        <v>7</v>
      </c>
      <c r="H692" s="1" t="s">
        <v>7</v>
      </c>
      <c r="I692" s="136"/>
      <c r="J692" s="1" t="s">
        <v>7</v>
      </c>
      <c r="K692" s="1" t="s">
        <v>7</v>
      </c>
      <c r="L692" s="1" t="s">
        <v>7</v>
      </c>
      <c r="M692" s="136"/>
      <c r="N692" s="1" t="s">
        <v>7</v>
      </c>
      <c r="O692" s="1" t="s">
        <v>7</v>
      </c>
      <c r="P692" s="1" t="s">
        <v>7</v>
      </c>
      <c r="Q692" s="137"/>
      <c r="R692" s="138" t="s">
        <v>7</v>
      </c>
    </row>
    <row r="693" spans="1:20" ht="15.75" customHeight="1" x14ac:dyDescent="0.3">
      <c r="A693" s="15" t="s">
        <v>49</v>
      </c>
      <c r="B693" s="1"/>
      <c r="C693" s="1"/>
      <c r="D693" s="1"/>
      <c r="E693" s="55" t="s">
        <v>7</v>
      </c>
      <c r="F693" s="1"/>
      <c r="G693" s="1"/>
      <c r="H693" s="1"/>
      <c r="I693" s="55" t="s">
        <v>7</v>
      </c>
      <c r="J693" s="1"/>
      <c r="K693" s="1"/>
      <c r="L693" s="1"/>
      <c r="M693" s="55" t="s">
        <v>7</v>
      </c>
      <c r="N693" s="1"/>
      <c r="O693" s="1"/>
      <c r="P693" s="1"/>
      <c r="Q693" s="55" t="s">
        <v>7</v>
      </c>
      <c r="R693" s="55" t="s">
        <v>7</v>
      </c>
    </row>
    <row r="694" spans="1:20" ht="15.75" customHeight="1" x14ac:dyDescent="0.3">
      <c r="A694" s="71" t="s">
        <v>362</v>
      </c>
      <c r="B694" s="1"/>
      <c r="C694" s="1"/>
      <c r="D694" s="1"/>
      <c r="E694" s="55">
        <f>SUM(B694:D694)</f>
        <v>0</v>
      </c>
      <c r="F694" s="1"/>
      <c r="G694" s="1"/>
      <c r="H694" s="1"/>
      <c r="I694" s="55">
        <f>SUM(F694:H694)</f>
        <v>0</v>
      </c>
      <c r="J694" s="1"/>
      <c r="K694" s="1"/>
      <c r="L694" s="1"/>
      <c r="M694" s="55">
        <f>SUM(J694:L694)</f>
        <v>0</v>
      </c>
      <c r="N694" s="1"/>
      <c r="O694" s="1"/>
      <c r="P694" s="1"/>
      <c r="Q694" s="55">
        <f>SUM(N694:P694)</f>
        <v>0</v>
      </c>
      <c r="R694" s="55">
        <f>+E694+I694+M694+Q694</f>
        <v>0</v>
      </c>
      <c r="T694" s="4" t="s">
        <v>1005</v>
      </c>
    </row>
    <row r="695" spans="1:20" ht="15.75" customHeight="1" x14ac:dyDescent="0.3">
      <c r="A695" s="71" t="s">
        <v>368</v>
      </c>
      <c r="B695" s="1"/>
      <c r="C695" s="1"/>
      <c r="D695" s="1"/>
      <c r="E695" s="55">
        <f>SUM(B695:D695)</f>
        <v>0</v>
      </c>
      <c r="F695" s="1"/>
      <c r="G695" s="1"/>
      <c r="H695" s="1"/>
      <c r="I695" s="55">
        <f>SUM(F695:H695)</f>
        <v>0</v>
      </c>
      <c r="J695" s="1"/>
      <c r="K695" s="1"/>
      <c r="L695" s="1"/>
      <c r="M695" s="55">
        <f>SUM(J695:L695)</f>
        <v>0</v>
      </c>
      <c r="N695" s="1"/>
      <c r="O695" s="1"/>
      <c r="P695" s="1">
        <v>1000</v>
      </c>
      <c r="Q695" s="55">
        <f>SUM(N695:P695)</f>
        <v>1000</v>
      </c>
      <c r="R695" s="55">
        <f>+E695+I695+M695+Q695</f>
        <v>1000</v>
      </c>
    </row>
    <row r="696" spans="1:20" ht="15.75" customHeight="1" x14ac:dyDescent="0.3">
      <c r="A696" s="71" t="s">
        <v>664</v>
      </c>
      <c r="B696" s="1">
        <v>2816</v>
      </c>
      <c r="C696" s="1">
        <v>1652</v>
      </c>
      <c r="D696" s="1">
        <v>2000</v>
      </c>
      <c r="E696" s="55">
        <f>SUM(B696:D696)</f>
        <v>6468</v>
      </c>
      <c r="F696" s="1">
        <v>2000</v>
      </c>
      <c r="G696" s="1">
        <v>1968</v>
      </c>
      <c r="H696" s="1">
        <v>1607</v>
      </c>
      <c r="I696" s="55">
        <f>SUM(F696:H696)</f>
        <v>5575</v>
      </c>
      <c r="J696" s="1">
        <v>1471</v>
      </c>
      <c r="K696" s="1">
        <v>2463</v>
      </c>
      <c r="L696" s="1">
        <v>2232</v>
      </c>
      <c r="M696" s="55">
        <f>SUM(J696:L696)</f>
        <v>6166</v>
      </c>
      <c r="N696" s="1">
        <v>1011</v>
      </c>
      <c r="O696" s="1">
        <v>1596</v>
      </c>
      <c r="P696" s="1">
        <v>184</v>
      </c>
      <c r="Q696" s="55">
        <f>SUM(N696:P696)</f>
        <v>2791</v>
      </c>
      <c r="R696" s="55">
        <f>+E696+I696+M696+Q696</f>
        <v>21000</v>
      </c>
    </row>
    <row r="697" spans="1:20" ht="15.75" customHeight="1" x14ac:dyDescent="0.3">
      <c r="A697" s="15" t="s">
        <v>50</v>
      </c>
      <c r="B697" s="1"/>
      <c r="C697" s="1"/>
      <c r="D697" s="1"/>
      <c r="E697" s="55" t="s">
        <v>7</v>
      </c>
      <c r="F697" s="1"/>
      <c r="G697" s="1"/>
      <c r="H697" s="1"/>
      <c r="I697" s="55" t="s">
        <v>7</v>
      </c>
      <c r="J697" s="1"/>
      <c r="K697" s="1"/>
      <c r="L697" s="1"/>
      <c r="M697" s="55" t="s">
        <v>7</v>
      </c>
      <c r="N697" s="1"/>
      <c r="O697" s="1"/>
      <c r="P697" s="1"/>
      <c r="Q697" s="55" t="s">
        <v>7</v>
      </c>
      <c r="R697" s="55" t="s">
        <v>7</v>
      </c>
    </row>
    <row r="698" spans="1:20" ht="15.75" customHeight="1" x14ac:dyDescent="0.3">
      <c r="A698" s="15" t="s">
        <v>51</v>
      </c>
      <c r="B698" s="1"/>
      <c r="C698" s="1"/>
      <c r="D698" s="1"/>
      <c r="E698" s="55" t="s">
        <v>7</v>
      </c>
      <c r="F698" s="1"/>
      <c r="G698" s="1"/>
      <c r="H698" s="1"/>
      <c r="I698" s="55" t="s">
        <v>7</v>
      </c>
      <c r="J698" s="1"/>
      <c r="K698" s="1"/>
      <c r="L698" s="1"/>
      <c r="M698" s="55" t="s">
        <v>7</v>
      </c>
      <c r="N698" s="1"/>
      <c r="O698" s="1"/>
      <c r="P698" s="1"/>
      <c r="Q698" s="55" t="s">
        <v>7</v>
      </c>
      <c r="R698" s="55" t="s">
        <v>7</v>
      </c>
    </row>
    <row r="699" spans="1:20" ht="15.75" customHeight="1" x14ac:dyDescent="0.3">
      <c r="A699" s="71" t="s">
        <v>366</v>
      </c>
      <c r="B699" s="1">
        <v>500</v>
      </c>
      <c r="C699" s="1">
        <v>0</v>
      </c>
      <c r="D699" s="1">
        <v>465</v>
      </c>
      <c r="E699" s="55">
        <f>SUM(B699:D699)</f>
        <v>965</v>
      </c>
      <c r="F699" s="1">
        <v>939</v>
      </c>
      <c r="G699" s="1">
        <v>652</v>
      </c>
      <c r="H699" s="1"/>
      <c r="I699" s="55">
        <f>SUM(F699:H699)</f>
        <v>1591</v>
      </c>
      <c r="J699" s="1"/>
      <c r="K699" s="1"/>
      <c r="L699" s="1"/>
      <c r="M699" s="55">
        <f>SUM(J699:L699)</f>
        <v>0</v>
      </c>
      <c r="N699" s="1"/>
      <c r="O699" s="1"/>
      <c r="P699" s="1"/>
      <c r="Q699" s="55">
        <f>SUM(N699:P699)</f>
        <v>0</v>
      </c>
      <c r="R699" s="55">
        <f>+E699+I699+M699+Q699</f>
        <v>2556</v>
      </c>
    </row>
    <row r="700" spans="1:20" ht="15.75" customHeight="1" thickBot="1" x14ac:dyDescent="0.35">
      <c r="A700" s="15" t="s">
        <v>53</v>
      </c>
      <c r="B700" s="1"/>
      <c r="C700" s="1"/>
      <c r="D700" s="1"/>
      <c r="E700" s="55" t="s">
        <v>7</v>
      </c>
      <c r="F700" s="1"/>
      <c r="G700" s="1"/>
      <c r="H700" s="1"/>
      <c r="I700" s="55" t="s">
        <v>7</v>
      </c>
      <c r="J700" s="1"/>
      <c r="K700" s="1"/>
      <c r="L700" s="1"/>
      <c r="M700" s="55" t="s">
        <v>7</v>
      </c>
      <c r="N700" s="1"/>
      <c r="O700" s="1"/>
      <c r="P700" s="1"/>
      <c r="Q700" s="55" t="s">
        <v>7</v>
      </c>
      <c r="R700" s="55" t="s">
        <v>7</v>
      </c>
    </row>
    <row r="701" spans="1:20" ht="16.5" customHeight="1" thickBot="1" x14ac:dyDescent="0.35">
      <c r="A701" s="57" t="s">
        <v>54</v>
      </c>
      <c r="B701" s="86">
        <f>SUM(B692:B700)</f>
        <v>3316</v>
      </c>
      <c r="C701" s="87">
        <f>SUM(C692:C700)</f>
        <v>1652</v>
      </c>
      <c r="D701" s="87">
        <f>SUM(D692:D700)</f>
        <v>2465</v>
      </c>
      <c r="E701" s="59">
        <f>SUM(B701:D701)</f>
        <v>7433</v>
      </c>
      <c r="F701" s="87">
        <f>SUM(F692:F700)</f>
        <v>2939</v>
      </c>
      <c r="G701" s="87">
        <f>SUM(G692:G700)</f>
        <v>2620</v>
      </c>
      <c r="H701" s="87">
        <f>SUM(H692:H700)</f>
        <v>1607</v>
      </c>
      <c r="I701" s="59">
        <f>SUM(F701:H701)</f>
        <v>7166</v>
      </c>
      <c r="J701" s="87">
        <f>SUM(J692:J700)</f>
        <v>1471</v>
      </c>
      <c r="K701" s="87">
        <f>SUM(K692:K700)</f>
        <v>2463</v>
      </c>
      <c r="L701" s="87">
        <f>SUM(L692:L700)</f>
        <v>2232</v>
      </c>
      <c r="M701" s="59">
        <f>SUM(J701:L701)</f>
        <v>6166</v>
      </c>
      <c r="N701" s="87">
        <f>SUM(N692:N700)</f>
        <v>1011</v>
      </c>
      <c r="O701" s="87">
        <f>SUM(O692:O700)</f>
        <v>1596</v>
      </c>
      <c r="P701" s="87">
        <f>SUM(P692:P700)</f>
        <v>1184</v>
      </c>
      <c r="Q701" s="59">
        <f>SUM(N701:P701)</f>
        <v>3791</v>
      </c>
      <c r="R701" s="59">
        <f>+E701+I701+M701+Q701</f>
        <v>24556</v>
      </c>
    </row>
    <row r="702" spans="1:20" ht="15.75" customHeight="1" x14ac:dyDescent="0.3">
      <c r="A702" s="15" t="s">
        <v>55</v>
      </c>
      <c r="B702" s="1"/>
      <c r="C702" s="1"/>
      <c r="D702" s="1"/>
      <c r="E702" s="55" t="s">
        <v>7</v>
      </c>
      <c r="F702" s="1"/>
      <c r="G702" s="1"/>
      <c r="H702" s="1"/>
      <c r="I702" s="55" t="s">
        <v>7</v>
      </c>
      <c r="J702" s="1"/>
      <c r="K702" s="1"/>
      <c r="L702" s="1"/>
      <c r="M702" s="55" t="s">
        <v>7</v>
      </c>
      <c r="N702" s="1"/>
      <c r="O702" s="1"/>
      <c r="P702" s="1"/>
      <c r="Q702" s="55" t="s">
        <v>7</v>
      </c>
      <c r="R702" s="55" t="s">
        <v>7</v>
      </c>
    </row>
    <row r="703" spans="1:20" ht="15.75" customHeight="1" x14ac:dyDescent="0.3">
      <c r="A703" s="15" t="s">
        <v>57</v>
      </c>
      <c r="B703" s="1"/>
      <c r="C703" s="1"/>
      <c r="D703" s="1"/>
      <c r="E703" s="55" t="s">
        <v>7</v>
      </c>
      <c r="F703" s="1"/>
      <c r="G703" s="1"/>
      <c r="H703" s="1"/>
      <c r="I703" s="55" t="s">
        <v>7</v>
      </c>
      <c r="J703" s="1"/>
      <c r="K703" s="1"/>
      <c r="L703" s="1"/>
      <c r="M703" s="55" t="s">
        <v>7</v>
      </c>
      <c r="N703" s="1"/>
      <c r="O703" s="1"/>
      <c r="P703" s="1"/>
      <c r="Q703" s="55" t="s">
        <v>7</v>
      </c>
      <c r="R703" s="55" t="s">
        <v>7</v>
      </c>
    </row>
    <row r="704" spans="1:20" ht="15.75" customHeight="1" x14ac:dyDescent="0.3">
      <c r="A704" s="71" t="s">
        <v>781</v>
      </c>
      <c r="B704" s="1"/>
      <c r="C704" s="1"/>
      <c r="D704" s="1"/>
      <c r="E704" s="55">
        <f>SUM(B704:D704)</f>
        <v>0</v>
      </c>
      <c r="F704" s="1"/>
      <c r="G704" s="1"/>
      <c r="H704" s="1"/>
      <c r="I704" s="55">
        <f>SUM(F704:H704)</f>
        <v>0</v>
      </c>
      <c r="J704" s="1"/>
      <c r="K704" s="1"/>
      <c r="L704" s="1"/>
      <c r="M704" s="55">
        <f>SUM(J704:L704)</f>
        <v>0</v>
      </c>
      <c r="N704" s="1"/>
      <c r="O704" s="1"/>
      <c r="P704" s="1"/>
      <c r="Q704" s="55">
        <f>SUM(N704:P704)</f>
        <v>0</v>
      </c>
      <c r="R704" s="55">
        <f>+E704+I704+M704+Q704</f>
        <v>0</v>
      </c>
    </row>
    <row r="705" spans="1:20" ht="15.75" customHeight="1" thickBot="1" x14ac:dyDescent="0.35">
      <c r="A705" s="15" t="s">
        <v>58</v>
      </c>
      <c r="B705" s="1"/>
      <c r="C705" s="1"/>
      <c r="D705" s="1"/>
      <c r="E705" s="55" t="s">
        <v>7</v>
      </c>
      <c r="F705" s="1"/>
      <c r="G705" s="1"/>
      <c r="H705" s="1"/>
      <c r="I705" s="55" t="s">
        <v>7</v>
      </c>
      <c r="J705" s="1"/>
      <c r="K705" s="1"/>
      <c r="L705" s="1"/>
      <c r="M705" s="55" t="s">
        <v>7</v>
      </c>
      <c r="N705" s="1"/>
      <c r="O705" s="1"/>
      <c r="P705" s="1"/>
      <c r="Q705" s="55" t="s">
        <v>7</v>
      </c>
      <c r="R705" s="55" t="s">
        <v>7</v>
      </c>
    </row>
    <row r="706" spans="1:20" ht="16.5" customHeight="1" thickBot="1" x14ac:dyDescent="0.35">
      <c r="A706" s="57" t="s">
        <v>59</v>
      </c>
      <c r="B706" s="86">
        <f>SUM(B702:B705)</f>
        <v>0</v>
      </c>
      <c r="C706" s="87">
        <f>SUM(C702:C705)</f>
        <v>0</v>
      </c>
      <c r="D706" s="87">
        <f>SUM(D702:D705)</f>
        <v>0</v>
      </c>
      <c r="E706" s="59">
        <f>SUM(B706:D706)</f>
        <v>0</v>
      </c>
      <c r="F706" s="87">
        <f>SUM(F702:F705)</f>
        <v>0</v>
      </c>
      <c r="G706" s="87">
        <f>SUM(G702:G705)</f>
        <v>0</v>
      </c>
      <c r="H706" s="87">
        <f>SUM(H702:H705)</f>
        <v>0</v>
      </c>
      <c r="I706" s="59">
        <f>SUM(F706:H706)</f>
        <v>0</v>
      </c>
      <c r="J706" s="87">
        <f>SUM(J702:J705)</f>
        <v>0</v>
      </c>
      <c r="K706" s="87">
        <f>SUM(K702:K705)</f>
        <v>0</v>
      </c>
      <c r="L706" s="87">
        <f>SUM(L702:L705)</f>
        <v>0</v>
      </c>
      <c r="M706" s="59">
        <f>SUM(J706:L706)</f>
        <v>0</v>
      </c>
      <c r="N706" s="87">
        <f>SUM(N702:N705)</f>
        <v>0</v>
      </c>
      <c r="O706" s="87">
        <f>SUM(O702:O705)</f>
        <v>0</v>
      </c>
      <c r="P706" s="87">
        <f>SUM(P702:P705)</f>
        <v>0</v>
      </c>
      <c r="Q706" s="59">
        <f>SUM(N706:P706)</f>
        <v>0</v>
      </c>
      <c r="R706" s="59">
        <f>+E706+I706+M706+Q706</f>
        <v>0</v>
      </c>
    </row>
    <row r="707" spans="1:20" ht="15.75" customHeight="1" x14ac:dyDescent="0.3">
      <c r="A707" s="15" t="s">
        <v>60</v>
      </c>
      <c r="B707" s="1"/>
      <c r="C707" s="1"/>
      <c r="D707" s="1"/>
      <c r="E707" s="55" t="s">
        <v>7</v>
      </c>
      <c r="F707" s="1"/>
      <c r="G707" s="1"/>
      <c r="H707" s="1"/>
      <c r="I707" s="55" t="s">
        <v>7</v>
      </c>
      <c r="J707" s="1" t="s">
        <v>7</v>
      </c>
      <c r="K707" s="1"/>
      <c r="L707" s="1"/>
      <c r="M707" s="55" t="s">
        <v>7</v>
      </c>
      <c r="N707" s="1"/>
      <c r="O707" s="1"/>
      <c r="P707" s="1"/>
      <c r="Q707" s="55" t="s">
        <v>7</v>
      </c>
      <c r="R707" s="55" t="s">
        <v>7</v>
      </c>
    </row>
    <row r="708" spans="1:20" ht="18" customHeight="1" x14ac:dyDescent="0.3">
      <c r="A708" s="15" t="s">
        <v>61</v>
      </c>
      <c r="B708" s="1"/>
      <c r="C708" s="1"/>
      <c r="D708" s="1"/>
      <c r="E708" s="55" t="s">
        <v>7</v>
      </c>
      <c r="F708" s="1"/>
      <c r="G708" s="1"/>
      <c r="H708" s="1"/>
      <c r="I708" s="55" t="s">
        <v>7</v>
      </c>
      <c r="J708" s="1"/>
      <c r="K708" s="1"/>
      <c r="L708" s="1"/>
      <c r="M708" s="55" t="s">
        <v>7</v>
      </c>
      <c r="N708" s="1"/>
      <c r="O708" s="1"/>
      <c r="P708" s="1"/>
      <c r="Q708" s="55" t="s">
        <v>7</v>
      </c>
      <c r="R708" s="55" t="s">
        <v>7</v>
      </c>
    </row>
    <row r="709" spans="1:20" ht="15.75" customHeight="1" x14ac:dyDescent="0.3">
      <c r="A709" s="71" t="s">
        <v>1007</v>
      </c>
      <c r="B709" s="1">
        <v>579</v>
      </c>
      <c r="C709" s="1">
        <v>438</v>
      </c>
      <c r="D709" s="1">
        <v>535</v>
      </c>
      <c r="E709" s="55">
        <f>SUM(B709:D709)</f>
        <v>1552</v>
      </c>
      <c r="F709" s="1">
        <v>704</v>
      </c>
      <c r="G709" s="1">
        <v>809</v>
      </c>
      <c r="H709" s="1">
        <v>1090</v>
      </c>
      <c r="I709" s="55">
        <f>SUM(F709:H709)</f>
        <v>2603</v>
      </c>
      <c r="J709" s="1">
        <v>763</v>
      </c>
      <c r="K709" s="1">
        <v>605</v>
      </c>
      <c r="L709" s="1">
        <v>675</v>
      </c>
      <c r="M709" s="55">
        <f>SUM(J709:L709)</f>
        <v>2043</v>
      </c>
      <c r="N709" s="1">
        <v>719</v>
      </c>
      <c r="O709" s="1">
        <v>471</v>
      </c>
      <c r="P709" s="1">
        <v>140</v>
      </c>
      <c r="Q709" s="55">
        <f>SUM(N709:P709)</f>
        <v>1330</v>
      </c>
      <c r="R709" s="55">
        <f>+E709+I709+M709+Q709</f>
        <v>7528</v>
      </c>
      <c r="T709" s="4" t="s">
        <v>1008</v>
      </c>
    </row>
    <row r="710" spans="1:20" ht="15.75" customHeight="1" x14ac:dyDescent="0.3">
      <c r="A710" s="71" t="s">
        <v>1009</v>
      </c>
      <c r="B710" s="1"/>
      <c r="C710" s="1"/>
      <c r="D710" s="1"/>
      <c r="E710" s="55">
        <f>SUM(B710:D710)</f>
        <v>0</v>
      </c>
      <c r="F710" s="1"/>
      <c r="G710" s="1"/>
      <c r="H710" s="1"/>
      <c r="I710" s="55">
        <f>SUM(F710:H710)</f>
        <v>0</v>
      </c>
      <c r="J710" s="1"/>
      <c r="K710" s="1"/>
      <c r="L710" s="1"/>
      <c r="M710" s="55">
        <f>SUM(J710:L710)</f>
        <v>0</v>
      </c>
      <c r="N710" s="1"/>
      <c r="O710" s="1"/>
      <c r="P710" s="1"/>
      <c r="Q710" s="55">
        <f>SUM(N710:P710)</f>
        <v>0</v>
      </c>
      <c r="R710" s="55">
        <f>+E710+I710+M710+Q710</f>
        <v>0</v>
      </c>
    </row>
    <row r="711" spans="1:20" ht="15.75" customHeight="1" x14ac:dyDescent="0.3">
      <c r="A711" s="15" t="s">
        <v>62</v>
      </c>
      <c r="B711" s="1"/>
      <c r="C711" s="1"/>
      <c r="D711" s="1"/>
      <c r="E711" s="55" t="s">
        <v>7</v>
      </c>
      <c r="F711" s="1"/>
      <c r="G711" s="1"/>
      <c r="H711" s="1"/>
      <c r="I711" s="55" t="s">
        <v>7</v>
      </c>
      <c r="J711" s="1"/>
      <c r="K711" s="1"/>
      <c r="L711" s="1"/>
      <c r="M711" s="55" t="s">
        <v>7</v>
      </c>
      <c r="N711" s="1"/>
      <c r="O711" s="1"/>
      <c r="P711" s="1"/>
      <c r="Q711" s="55" t="s">
        <v>7</v>
      </c>
      <c r="R711" s="55" t="s">
        <v>7</v>
      </c>
    </row>
    <row r="712" spans="1:20" ht="15.75" customHeight="1" x14ac:dyDescent="0.3">
      <c r="A712" s="71" t="s">
        <v>1011</v>
      </c>
      <c r="B712" s="1">
        <v>25</v>
      </c>
      <c r="C712" s="1">
        <v>39</v>
      </c>
      <c r="D712" s="1">
        <v>60</v>
      </c>
      <c r="E712" s="55">
        <f>SUM(B712:D712)</f>
        <v>124</v>
      </c>
      <c r="F712" s="1">
        <v>79</v>
      </c>
      <c r="G712" s="1">
        <v>94</v>
      </c>
      <c r="H712" s="1">
        <v>103</v>
      </c>
      <c r="I712" s="55">
        <f>SUM(F712:H712)</f>
        <v>276</v>
      </c>
      <c r="J712" s="1">
        <v>85</v>
      </c>
      <c r="K712" s="1">
        <v>64</v>
      </c>
      <c r="L712" s="1">
        <v>37</v>
      </c>
      <c r="M712" s="55">
        <f>SUM(J712:L712)</f>
        <v>186</v>
      </c>
      <c r="N712" s="1">
        <v>68</v>
      </c>
      <c r="O712" s="1">
        <v>24</v>
      </c>
      <c r="P712" s="1">
        <v>22</v>
      </c>
      <c r="Q712" s="55">
        <f>SUM(N712:P712)</f>
        <v>114</v>
      </c>
      <c r="R712" s="55">
        <f>+E712+I712+M712+Q712</f>
        <v>700</v>
      </c>
      <c r="T712" s="4" t="s">
        <v>1010</v>
      </c>
    </row>
    <row r="713" spans="1:20" ht="15.75" customHeight="1" x14ac:dyDescent="0.3">
      <c r="A713" s="71" t="s">
        <v>1012</v>
      </c>
      <c r="B713" s="1"/>
      <c r="C713" s="1"/>
      <c r="D713" s="1"/>
      <c r="E713" s="55">
        <f>SUM(B713:D713)</f>
        <v>0</v>
      </c>
      <c r="F713" s="1"/>
      <c r="G713" s="1"/>
      <c r="H713" s="1"/>
      <c r="I713" s="55">
        <f>SUM(F713:H713)</f>
        <v>0</v>
      </c>
      <c r="J713" s="1"/>
      <c r="K713" s="1"/>
      <c r="L713" s="1"/>
      <c r="M713" s="55">
        <f>SUM(J713:L713)</f>
        <v>0</v>
      </c>
      <c r="N713" s="1"/>
      <c r="O713" s="1"/>
      <c r="P713" s="1"/>
      <c r="Q713" s="55">
        <f>SUM(N713:P713)</f>
        <v>0</v>
      </c>
      <c r="R713" s="55">
        <f>+E713+I713+M713+Q713</f>
        <v>0</v>
      </c>
    </row>
    <row r="714" spans="1:20" ht="15.75" customHeight="1" x14ac:dyDescent="0.3">
      <c r="A714" s="71" t="s">
        <v>666</v>
      </c>
      <c r="B714" s="1"/>
      <c r="C714" s="1"/>
      <c r="D714" s="1"/>
      <c r="E714" s="55">
        <f>SUM(B714:D714)</f>
        <v>0</v>
      </c>
      <c r="F714" s="1"/>
      <c r="G714" s="1"/>
      <c r="H714" s="1">
        <v>1000</v>
      </c>
      <c r="I714" s="55">
        <f>SUM(F714:H714)</f>
        <v>1000</v>
      </c>
      <c r="J714" s="1">
        <v>1400</v>
      </c>
      <c r="K714" s="1"/>
      <c r="L714" s="1"/>
      <c r="M714" s="55">
        <f>SUM(J714:L714)</f>
        <v>1400</v>
      </c>
      <c r="N714" s="1"/>
      <c r="O714" s="1"/>
      <c r="P714" s="1"/>
      <c r="Q714" s="55">
        <f>SUM(N714:P714)</f>
        <v>0</v>
      </c>
      <c r="R714" s="55">
        <f>+E714+I714+M714+Q714</f>
        <v>2400</v>
      </c>
      <c r="T714" s="4" t="s">
        <v>1005</v>
      </c>
    </row>
    <row r="715" spans="1:20" ht="15.75" customHeight="1" thickBot="1" x14ac:dyDescent="0.35">
      <c r="A715" s="71" t="s">
        <v>782</v>
      </c>
      <c r="B715" s="1">
        <v>573</v>
      </c>
      <c r="C715" s="1">
        <v>447</v>
      </c>
      <c r="D715" s="1">
        <v>586</v>
      </c>
      <c r="E715" s="55">
        <f>SUM(B715:D715)</f>
        <v>1606</v>
      </c>
      <c r="F715" s="1">
        <v>582</v>
      </c>
      <c r="G715" s="1">
        <v>683</v>
      </c>
      <c r="H715" s="1">
        <v>623</v>
      </c>
      <c r="I715" s="55">
        <f>SUM(F715:H715)</f>
        <v>1888</v>
      </c>
      <c r="J715" s="1">
        <v>689</v>
      </c>
      <c r="K715" s="1">
        <v>736</v>
      </c>
      <c r="L715" s="1">
        <v>702</v>
      </c>
      <c r="M715" s="55">
        <f>SUM(J715:L715)</f>
        <v>2127</v>
      </c>
      <c r="N715" s="1">
        <v>409</v>
      </c>
      <c r="O715" s="1">
        <v>147</v>
      </c>
      <c r="P715" s="1">
        <v>818</v>
      </c>
      <c r="Q715" s="55">
        <f>SUM(N715:P715)</f>
        <v>1374</v>
      </c>
      <c r="R715" s="55">
        <f>+E715+I715+M715+Q715</f>
        <v>6995</v>
      </c>
      <c r="T715" s="4" t="s">
        <v>1013</v>
      </c>
    </row>
    <row r="716" spans="1:20" ht="16.5" customHeight="1" thickBot="1" x14ac:dyDescent="0.35">
      <c r="A716" s="57" t="s">
        <v>63</v>
      </c>
      <c r="B716" s="86">
        <f>SUM(B707:B715)</f>
        <v>1177</v>
      </c>
      <c r="C716" s="87">
        <f>SUM(C707:C715)</f>
        <v>924</v>
      </c>
      <c r="D716" s="87">
        <f>SUM(D707:D715)</f>
        <v>1181</v>
      </c>
      <c r="E716" s="59">
        <f>SUM(B716:D716)</f>
        <v>3282</v>
      </c>
      <c r="F716" s="87">
        <f>SUM(F707:F715)</f>
        <v>1365</v>
      </c>
      <c r="G716" s="87">
        <f>SUM(G707:G715)</f>
        <v>1586</v>
      </c>
      <c r="H716" s="87">
        <f>SUM(H707:H715)</f>
        <v>2816</v>
      </c>
      <c r="I716" s="59">
        <f>SUM(F716:H716)</f>
        <v>5767</v>
      </c>
      <c r="J716" s="87">
        <f>SUM(J707:J715)</f>
        <v>2937</v>
      </c>
      <c r="K716" s="87">
        <f>SUM(K707:K715)</f>
        <v>1405</v>
      </c>
      <c r="L716" s="87">
        <f>SUM(L707:L715)</f>
        <v>1414</v>
      </c>
      <c r="M716" s="59">
        <f>SUM(J716:L716)</f>
        <v>5756</v>
      </c>
      <c r="N716" s="87">
        <f>SUM(N707:N715)</f>
        <v>1196</v>
      </c>
      <c r="O716" s="87">
        <f>SUM(O707:O715)</f>
        <v>642</v>
      </c>
      <c r="P716" s="87">
        <f>SUM(P707:P715)</f>
        <v>980</v>
      </c>
      <c r="Q716" s="59">
        <f>SUM(N716:P716)</f>
        <v>2818</v>
      </c>
      <c r="R716" s="59">
        <f>+E716+I716+M716+Q716</f>
        <v>17623</v>
      </c>
    </row>
    <row r="717" spans="1:20" ht="15.75" customHeight="1" x14ac:dyDescent="0.3">
      <c r="A717" s="15" t="s">
        <v>64</v>
      </c>
      <c r="B717" s="1"/>
      <c r="C717" s="1"/>
      <c r="D717" s="1"/>
      <c r="E717" s="55" t="s">
        <v>7</v>
      </c>
      <c r="F717" s="1"/>
      <c r="G717" s="1"/>
      <c r="H717" s="1"/>
      <c r="I717" s="55" t="s">
        <v>7</v>
      </c>
      <c r="J717" s="1"/>
      <c r="K717" s="1"/>
      <c r="L717" s="1"/>
      <c r="M717" s="55" t="s">
        <v>7</v>
      </c>
      <c r="N717" s="1"/>
      <c r="O717" s="1"/>
      <c r="P717" s="1"/>
      <c r="Q717" s="55" t="s">
        <v>7</v>
      </c>
      <c r="R717" s="55" t="s">
        <v>7</v>
      </c>
    </row>
    <row r="718" spans="1:20" ht="15.75" customHeight="1" x14ac:dyDescent="0.3">
      <c r="A718" s="15" t="s">
        <v>594</v>
      </c>
      <c r="B718" s="1"/>
      <c r="C718" s="1"/>
      <c r="D718" s="1"/>
      <c r="E718" s="55" t="s">
        <v>7</v>
      </c>
      <c r="F718" s="1"/>
      <c r="G718" s="1"/>
      <c r="H718" s="1"/>
      <c r="I718" s="55" t="s">
        <v>7</v>
      </c>
      <c r="J718" s="1"/>
      <c r="K718" s="1"/>
      <c r="L718" s="1"/>
      <c r="M718" s="55" t="s">
        <v>7</v>
      </c>
      <c r="N718" s="1"/>
      <c r="O718" s="1"/>
      <c r="P718" s="1"/>
      <c r="Q718" s="55" t="s">
        <v>7</v>
      </c>
      <c r="R718" s="55" t="s">
        <v>7</v>
      </c>
    </row>
    <row r="719" spans="1:20" ht="15.75" customHeight="1" x14ac:dyDescent="0.3">
      <c r="A719" s="71" t="s">
        <v>366</v>
      </c>
      <c r="B719" s="1"/>
      <c r="C719" s="1"/>
      <c r="D719" s="1"/>
      <c r="E719" s="55">
        <f>SUM(B719:D719)</f>
        <v>0</v>
      </c>
      <c r="F719" s="1"/>
      <c r="G719" s="1"/>
      <c r="H719" s="1"/>
      <c r="I719" s="55">
        <f>SUM(F719:H719)</f>
        <v>0</v>
      </c>
      <c r="J719" s="1"/>
      <c r="K719" s="1"/>
      <c r="L719" s="1"/>
      <c r="M719" s="55">
        <f>SUM(J719:L719)</f>
        <v>0</v>
      </c>
      <c r="N719" s="1"/>
      <c r="O719" s="1"/>
      <c r="P719" s="1"/>
      <c r="Q719" s="55">
        <f>SUM(N719:P719)</f>
        <v>0</v>
      </c>
      <c r="R719" s="55">
        <f>+E719+I719+M719+Q719</f>
        <v>0</v>
      </c>
    </row>
    <row r="720" spans="1:20" ht="15.75" customHeight="1" x14ac:dyDescent="0.3">
      <c r="A720" s="71" t="s">
        <v>367</v>
      </c>
      <c r="B720" s="1"/>
      <c r="C720" s="1"/>
      <c r="D720" s="1"/>
      <c r="E720" s="55">
        <f>SUM(B720:D720)</f>
        <v>0</v>
      </c>
      <c r="F720" s="1"/>
      <c r="G720" s="1"/>
      <c r="H720" s="1"/>
      <c r="I720" s="55">
        <f>SUM(F720:H720)</f>
        <v>0</v>
      </c>
      <c r="J720" s="1"/>
      <c r="K720" s="1"/>
      <c r="L720" s="1"/>
      <c r="M720" s="55">
        <f>SUM(J720:L720)</f>
        <v>0</v>
      </c>
      <c r="N720" s="1"/>
      <c r="O720" s="1"/>
      <c r="P720" s="1"/>
      <c r="Q720" s="55">
        <f>SUM(N720:P720)</f>
        <v>0</v>
      </c>
      <c r="R720" s="55">
        <f>+E720+I720+M720+Q720</f>
        <v>0</v>
      </c>
    </row>
    <row r="721" spans="1:18" ht="15.75" customHeight="1" x14ac:dyDescent="0.3">
      <c r="A721" s="15" t="s">
        <v>67</v>
      </c>
      <c r="B721" s="1"/>
      <c r="C721" s="1"/>
      <c r="D721" s="1"/>
      <c r="E721" s="55" t="s">
        <v>7</v>
      </c>
      <c r="F721" s="1"/>
      <c r="G721" s="1"/>
      <c r="H721" s="1"/>
      <c r="I721" s="55" t="s">
        <v>7</v>
      </c>
      <c r="J721" s="1"/>
      <c r="K721" s="1"/>
      <c r="L721" s="1"/>
      <c r="M721" s="55" t="s">
        <v>7</v>
      </c>
      <c r="N721" s="1"/>
      <c r="O721" s="1"/>
      <c r="P721" s="1"/>
      <c r="Q721" s="55" t="s">
        <v>7</v>
      </c>
      <c r="R721" s="55" t="s">
        <v>7</v>
      </c>
    </row>
    <row r="722" spans="1:18" ht="15.75" customHeight="1" x14ac:dyDescent="0.3">
      <c r="A722" s="71" t="s">
        <v>783</v>
      </c>
      <c r="B722" s="1"/>
      <c r="C722" s="1"/>
      <c r="D722" s="1"/>
      <c r="E722" s="55">
        <f>SUM(B722:D722)</f>
        <v>0</v>
      </c>
      <c r="F722" s="1"/>
      <c r="G722" s="1"/>
      <c r="H722" s="1"/>
      <c r="I722" s="55">
        <f>SUM(F722:H722)</f>
        <v>0</v>
      </c>
      <c r="J722" s="1"/>
      <c r="K722" s="1"/>
      <c r="L722" s="1"/>
      <c r="M722" s="55">
        <f>SUM(J722:L722)</f>
        <v>0</v>
      </c>
      <c r="N722" s="1">
        <v>1008</v>
      </c>
      <c r="O722" s="1"/>
      <c r="P722" s="1">
        <v>1036</v>
      </c>
      <c r="Q722" s="55">
        <f>SUM(N722:P722)</f>
        <v>2044</v>
      </c>
      <c r="R722" s="55">
        <f>+E722+I722+M722+Q722</f>
        <v>2044</v>
      </c>
    </row>
    <row r="723" spans="1:18" ht="15.75" customHeight="1" x14ac:dyDescent="0.3">
      <c r="A723" s="71" t="s">
        <v>784</v>
      </c>
      <c r="B723" s="1"/>
      <c r="C723" s="1"/>
      <c r="D723" s="1"/>
      <c r="E723" s="55">
        <f>SUM(B723:D723)</f>
        <v>0</v>
      </c>
      <c r="F723" s="1"/>
      <c r="G723" s="1"/>
      <c r="H723" s="1"/>
      <c r="I723" s="55">
        <f>SUM(F723:H723)</f>
        <v>0</v>
      </c>
      <c r="J723" s="1"/>
      <c r="K723" s="1"/>
      <c r="L723" s="1"/>
      <c r="M723" s="55">
        <f>SUM(J723:L723)</f>
        <v>0</v>
      </c>
      <c r="N723" s="1"/>
      <c r="O723" s="1"/>
      <c r="P723" s="1"/>
      <c r="Q723" s="55">
        <f>SUM(N723:P723)</f>
        <v>0</v>
      </c>
      <c r="R723" s="55">
        <f>+E723+I723+M723+Q723</f>
        <v>0</v>
      </c>
    </row>
    <row r="724" spans="1:18" ht="15.75" customHeight="1" x14ac:dyDescent="0.3">
      <c r="A724" s="15" t="s">
        <v>600</v>
      </c>
      <c r="B724" s="1"/>
      <c r="C724" s="1"/>
      <c r="D724" s="1"/>
      <c r="E724" s="55" t="s">
        <v>7</v>
      </c>
      <c r="F724" s="1"/>
      <c r="G724" s="1"/>
      <c r="H724" s="1"/>
      <c r="I724" s="55" t="s">
        <v>7</v>
      </c>
      <c r="J724" s="1"/>
      <c r="K724" s="1"/>
      <c r="L724" s="1"/>
      <c r="M724" s="55" t="s">
        <v>7</v>
      </c>
      <c r="N724" s="1"/>
      <c r="O724" s="1"/>
      <c r="P724" s="1"/>
      <c r="Q724" s="55" t="s">
        <v>7</v>
      </c>
      <c r="R724" s="55" t="s">
        <v>7</v>
      </c>
    </row>
    <row r="725" spans="1:18" ht="15.75" customHeight="1" thickBot="1" x14ac:dyDescent="0.35">
      <c r="A725" s="15" t="s">
        <v>70</v>
      </c>
      <c r="B725" s="1"/>
      <c r="C725" s="1"/>
      <c r="D725" s="1"/>
      <c r="E725" s="55" t="s">
        <v>7</v>
      </c>
      <c r="F725" s="1"/>
      <c r="G725" s="1"/>
      <c r="H725" s="1"/>
      <c r="I725" s="55" t="s">
        <v>7</v>
      </c>
      <c r="J725" s="1"/>
      <c r="K725" s="1"/>
      <c r="L725" s="1"/>
      <c r="M725" s="55" t="s">
        <v>7</v>
      </c>
      <c r="N725" s="1"/>
      <c r="O725" s="1"/>
      <c r="P725" s="1"/>
      <c r="Q725" s="55" t="s">
        <v>7</v>
      </c>
      <c r="R725" s="55" t="s">
        <v>7</v>
      </c>
    </row>
    <row r="726" spans="1:18" ht="16.5" customHeight="1" thickBot="1" x14ac:dyDescent="0.35">
      <c r="A726" s="57" t="s">
        <v>71</v>
      </c>
      <c r="B726" s="58">
        <f>SUM(B724:B725)</f>
        <v>0</v>
      </c>
      <c r="C726" s="58">
        <f>SUM(C724:C725)</f>
        <v>0</v>
      </c>
      <c r="D726" s="58">
        <f>SUM(D724:D725)</f>
        <v>0</v>
      </c>
      <c r="E726" s="60">
        <f>SUM(B726:D726)</f>
        <v>0</v>
      </c>
      <c r="F726" s="58">
        <f>SUM(F724:F725)</f>
        <v>0</v>
      </c>
      <c r="G726" s="58">
        <f>SUM(G724:G725)</f>
        <v>0</v>
      </c>
      <c r="H726" s="58">
        <f>SUM(H724:H725)</f>
        <v>0</v>
      </c>
      <c r="I726" s="60">
        <f>SUM(F726:H726)</f>
        <v>0</v>
      </c>
      <c r="J726" s="58">
        <f>SUM(J724:J725)</f>
        <v>0</v>
      </c>
      <c r="K726" s="58">
        <f>SUM(K724:K725)</f>
        <v>0</v>
      </c>
      <c r="L726" s="58">
        <f>SUM(L724:L725)</f>
        <v>0</v>
      </c>
      <c r="M726" s="60">
        <f>SUM(J726:L726)</f>
        <v>0</v>
      </c>
      <c r="N726" s="58">
        <f>SUM(N724:N725)</f>
        <v>0</v>
      </c>
      <c r="O726" s="58">
        <f>SUM(O724:O725)</f>
        <v>0</v>
      </c>
      <c r="P726" s="58">
        <f>SUM(P724:P725)</f>
        <v>0</v>
      </c>
      <c r="Q726" s="60">
        <f>SUM(N726:P726)</f>
        <v>0</v>
      </c>
      <c r="R726" s="59">
        <f>+E726+I726+M726+Q726</f>
        <v>0</v>
      </c>
    </row>
    <row r="727" spans="1:18" ht="16.5" customHeight="1" thickBot="1" x14ac:dyDescent="0.35">
      <c r="A727" s="57" t="s">
        <v>72</v>
      </c>
      <c r="B727" s="86">
        <f>SUM(B717:B725)</f>
        <v>0</v>
      </c>
      <c r="C727" s="87">
        <f>SUM(C717:C725)</f>
        <v>0</v>
      </c>
      <c r="D727" s="118">
        <f>SUM(D717:D725)</f>
        <v>0</v>
      </c>
      <c r="E727" s="60">
        <f>SUM(B727:D727)</f>
        <v>0</v>
      </c>
      <c r="F727" s="87">
        <f>SUM(F717:F725)</f>
        <v>0</v>
      </c>
      <c r="G727" s="87">
        <f>SUM(G717:G725)</f>
        <v>0</v>
      </c>
      <c r="H727" s="87">
        <f>SUM(H717:H725)</f>
        <v>0</v>
      </c>
      <c r="I727" s="60">
        <f>SUM(F727:H727)</f>
        <v>0</v>
      </c>
      <c r="J727" s="87">
        <f>SUM(J717:J725)</f>
        <v>0</v>
      </c>
      <c r="K727" s="87">
        <f>SUM(K717:K725)</f>
        <v>0</v>
      </c>
      <c r="L727" s="87">
        <f>SUM(L717:L725)</f>
        <v>0</v>
      </c>
      <c r="M727" s="60">
        <f>SUM(J727:L727)</f>
        <v>0</v>
      </c>
      <c r="N727" s="87">
        <f>SUM(N717:N725)</f>
        <v>1008</v>
      </c>
      <c r="O727" s="87">
        <f>SUM(O717:O725)</f>
        <v>0</v>
      </c>
      <c r="P727" s="87">
        <f>SUM(P717:P725)</f>
        <v>1036</v>
      </c>
      <c r="Q727" s="60">
        <f>SUM(N727:P727)</f>
        <v>2044</v>
      </c>
      <c r="R727" s="59">
        <f>+E727+I727+M727+Q727</f>
        <v>2044</v>
      </c>
    </row>
    <row r="728" spans="1:18" ht="16.5" customHeight="1" thickBot="1" x14ac:dyDescent="0.35">
      <c r="A728" s="57" t="s">
        <v>73</v>
      </c>
      <c r="B728" s="90">
        <f>+B701+B706+B716+B727</f>
        <v>4493</v>
      </c>
      <c r="C728" s="58">
        <f>+C701+C706+C716+C727</f>
        <v>2576</v>
      </c>
      <c r="D728" s="58">
        <f>+D701+D706+D716+D727</f>
        <v>3646</v>
      </c>
      <c r="E728" s="59">
        <f>SUM(B728:D728)</f>
        <v>10715</v>
      </c>
      <c r="F728" s="58">
        <f>+F701+F706+F716+F727</f>
        <v>4304</v>
      </c>
      <c r="G728" s="58">
        <f>+G701+G706+G716+G727</f>
        <v>4206</v>
      </c>
      <c r="H728" s="58">
        <f>+H701+H706+H716+H727</f>
        <v>4423</v>
      </c>
      <c r="I728" s="59">
        <f>SUM(F728:H728)</f>
        <v>12933</v>
      </c>
      <c r="J728" s="58">
        <f>+J701+J706+J716+J727</f>
        <v>4408</v>
      </c>
      <c r="K728" s="58">
        <f>+K701+K706+K716+K727</f>
        <v>3868</v>
      </c>
      <c r="L728" s="58">
        <f>+L701+L706+L716+L727</f>
        <v>3646</v>
      </c>
      <c r="M728" s="59">
        <f>SUM(J728:L728)</f>
        <v>11922</v>
      </c>
      <c r="N728" s="58">
        <f>+N701+N706+N716+N727</f>
        <v>3215</v>
      </c>
      <c r="O728" s="58">
        <f>+O701+O706+O716+O727</f>
        <v>2238</v>
      </c>
      <c r="P728" s="58">
        <f>+P701+P706+P716+P727</f>
        <v>3200</v>
      </c>
      <c r="Q728" s="59">
        <f>SUM(N728:P728)</f>
        <v>8653</v>
      </c>
      <c r="R728" s="81">
        <f>+E728+I728+M728+Q728</f>
        <v>44223</v>
      </c>
    </row>
    <row r="729" spans="1:18" ht="16.5" customHeight="1" thickBot="1" x14ac:dyDescent="0.35">
      <c r="A729" s="39" t="s">
        <v>40</v>
      </c>
      <c r="B729" s="21">
        <v>11</v>
      </c>
      <c r="C729" s="21">
        <v>13</v>
      </c>
      <c r="D729" s="21">
        <v>17</v>
      </c>
      <c r="E729" s="55">
        <f>SUM(B729:D729)</f>
        <v>41</v>
      </c>
      <c r="F729" s="21">
        <v>21</v>
      </c>
      <c r="G729" s="21">
        <v>23</v>
      </c>
      <c r="H729" s="21">
        <v>25</v>
      </c>
      <c r="I729" s="55">
        <f>SUM(F729:H729)</f>
        <v>69</v>
      </c>
      <c r="J729" s="21">
        <v>25</v>
      </c>
      <c r="K729" s="21">
        <v>21</v>
      </c>
      <c r="L729" s="21">
        <v>19</v>
      </c>
      <c r="M729" s="55">
        <f>SUM(J729:L729)</f>
        <v>65</v>
      </c>
      <c r="N729" s="21">
        <v>17</v>
      </c>
      <c r="O729" s="21">
        <v>13</v>
      </c>
      <c r="P729" s="21">
        <v>11</v>
      </c>
      <c r="Q729" s="55">
        <f>SUM(N729:P729)</f>
        <v>41</v>
      </c>
      <c r="R729" s="55">
        <f>+E729+I729+M729+Q729</f>
        <v>216</v>
      </c>
    </row>
    <row r="730" spans="1:18" ht="16.5" customHeight="1" thickBot="1" x14ac:dyDescent="0.35">
      <c r="A730" s="41"/>
      <c r="B730" s="36"/>
      <c r="C730" s="36"/>
      <c r="D730" s="36"/>
      <c r="E730" s="59" t="s">
        <v>7</v>
      </c>
      <c r="F730" s="36"/>
      <c r="G730" s="36"/>
      <c r="H730" s="36"/>
      <c r="I730" s="59" t="s">
        <v>7</v>
      </c>
      <c r="J730" s="36"/>
      <c r="K730" s="36"/>
      <c r="L730" s="36"/>
      <c r="M730" s="59" t="s">
        <v>7</v>
      </c>
      <c r="N730" s="36"/>
      <c r="O730" s="36"/>
      <c r="P730" s="36"/>
      <c r="Q730" s="59" t="s">
        <v>7</v>
      </c>
      <c r="R730" s="59" t="s">
        <v>7</v>
      </c>
    </row>
    <row r="731" spans="1:18" ht="15.75" customHeight="1" x14ac:dyDescent="0.3">
      <c r="A731" s="15" t="s">
        <v>41</v>
      </c>
      <c r="B731" s="1">
        <f>SUM(B728:B729)</f>
        <v>4504</v>
      </c>
      <c r="C731" s="1">
        <f>SUM(C728:C729)</f>
        <v>2589</v>
      </c>
      <c r="D731" s="1">
        <f>SUM(D728:D729)</f>
        <v>3663</v>
      </c>
      <c r="E731" s="60">
        <f>SUM(B731:D731)</f>
        <v>10756</v>
      </c>
      <c r="F731" s="1">
        <f>SUM(F728:F729)</f>
        <v>4325</v>
      </c>
      <c r="G731" s="1">
        <f>SUM(G728:G729)</f>
        <v>4229</v>
      </c>
      <c r="H731" s="1">
        <f>SUM(H728:H729)</f>
        <v>4448</v>
      </c>
      <c r="I731" s="60">
        <f>SUM(F731:H731)</f>
        <v>13002</v>
      </c>
      <c r="J731" s="1">
        <f>SUM(J728:J729)</f>
        <v>4433</v>
      </c>
      <c r="K731" s="1">
        <f>SUM(K728:K729)</f>
        <v>3889</v>
      </c>
      <c r="L731" s="1">
        <f>SUM(L728:L729)</f>
        <v>3665</v>
      </c>
      <c r="M731" s="60">
        <f>SUM(J731:L731)</f>
        <v>11987</v>
      </c>
      <c r="N731" s="1">
        <f>SUM(N728:N729)</f>
        <v>3232</v>
      </c>
      <c r="O731" s="1">
        <f>SUM(O728:O729)</f>
        <v>2251</v>
      </c>
      <c r="P731" s="1">
        <f>SUM(P728:P729)</f>
        <v>3211</v>
      </c>
      <c r="Q731" s="60">
        <f>SUM(N731:P731)</f>
        <v>8694</v>
      </c>
      <c r="R731" s="60">
        <f>+E731+I731+M731+Q731</f>
        <v>44439</v>
      </c>
    </row>
    <row r="732" spans="1:18" ht="15.75" customHeight="1" x14ac:dyDescent="0.3">
      <c r="A732" s="15" t="s">
        <v>42</v>
      </c>
      <c r="B732" s="1">
        <f>(B731/B10)/1.983</f>
        <v>73.267938769866433</v>
      </c>
      <c r="C732" s="1">
        <f>(C731/C10)/1.983</f>
        <v>46.628484979468332</v>
      </c>
      <c r="D732" s="1">
        <f>(D731/D10)/1.983</f>
        <v>59.587135815723968</v>
      </c>
      <c r="E732" s="55" t="s">
        <v>7</v>
      </c>
      <c r="F732" s="1">
        <f>(F731/F10)/1.983</f>
        <v>72.701294335182382</v>
      </c>
      <c r="G732" s="1">
        <f>(G731/G10)/1.983</f>
        <v>68.794430074992263</v>
      </c>
      <c r="H732" s="1">
        <f>(H731/H10)/1.983</f>
        <v>74.768868717431502</v>
      </c>
      <c r="I732" s="55" t="s">
        <v>7</v>
      </c>
      <c r="J732" s="1">
        <f>(J731/J10)/1.983</f>
        <v>72.11296016137166</v>
      </c>
      <c r="K732" s="1">
        <f>(K731/K10)/1.983</f>
        <v>63.263546597693292</v>
      </c>
      <c r="L732" s="1">
        <f>(L731/L10)/1.983</f>
        <v>61.606992771894433</v>
      </c>
      <c r="M732" s="55" t="s">
        <v>7</v>
      </c>
      <c r="N732" s="1">
        <f>(N731/N10)/1.983</f>
        <v>52.575927643030276</v>
      </c>
      <c r="O732" s="1">
        <f>(O731/O10)/1.983</f>
        <v>37.838292149941161</v>
      </c>
      <c r="P732" s="1">
        <f>(P731/P10)/1.983</f>
        <v>52.234314251785335</v>
      </c>
      <c r="Q732" s="55" t="s">
        <v>7</v>
      </c>
      <c r="R732" s="55" t="s">
        <v>7</v>
      </c>
    </row>
    <row r="733" spans="1:18" ht="15.75" customHeight="1" x14ac:dyDescent="0.3">
      <c r="A733" s="15" t="s">
        <v>372</v>
      </c>
      <c r="B733" s="1">
        <f>B731</f>
        <v>4504</v>
      </c>
      <c r="C733" s="1">
        <f>C731</f>
        <v>2589</v>
      </c>
      <c r="D733" s="1">
        <f>D731</f>
        <v>3663</v>
      </c>
      <c r="E733" s="55">
        <f>SUM(B733:D733)</f>
        <v>10756</v>
      </c>
      <c r="F733" s="1">
        <f>F731</f>
        <v>4325</v>
      </c>
      <c r="G733" s="1">
        <f>G731</f>
        <v>4229</v>
      </c>
      <c r="H733" s="1">
        <f>H731</f>
        <v>4448</v>
      </c>
      <c r="I733" s="55">
        <f>SUM(F733:H733)</f>
        <v>13002</v>
      </c>
      <c r="J733" s="1">
        <f>J731</f>
        <v>4433</v>
      </c>
      <c r="K733" s="1">
        <f>K731</f>
        <v>3889</v>
      </c>
      <c r="L733" s="1">
        <f>L731</f>
        <v>3665</v>
      </c>
      <c r="M733" s="55">
        <f>SUM(J733:L733)</f>
        <v>11987</v>
      </c>
      <c r="N733" s="1">
        <f>N731</f>
        <v>3232</v>
      </c>
      <c r="O733" s="1">
        <f>O731</f>
        <v>2251</v>
      </c>
      <c r="P733" s="1">
        <f>P731</f>
        <v>3211</v>
      </c>
      <c r="Q733" s="55">
        <f>SUM(N733:P733)</f>
        <v>8694</v>
      </c>
      <c r="R733" s="55">
        <f>+E733+I733+M733+Q733</f>
        <v>44439</v>
      </c>
    </row>
    <row r="734" spans="1:18" ht="16.5" customHeight="1" thickBot="1" x14ac:dyDescent="0.35">
      <c r="A734" s="20" t="s">
        <v>373</v>
      </c>
      <c r="B734" s="21">
        <f>(B733/B10)/1.983</f>
        <v>73.267938769866433</v>
      </c>
      <c r="C734" s="21">
        <f>(C733/C10)/1.983</f>
        <v>46.628484979468332</v>
      </c>
      <c r="D734" s="21">
        <f>(D733/D10)/1.983</f>
        <v>59.587135815723968</v>
      </c>
      <c r="E734" s="81" t="s">
        <v>7</v>
      </c>
      <c r="F734" s="21">
        <f>(F733/F10)/1.983</f>
        <v>72.701294335182382</v>
      </c>
      <c r="G734" s="21">
        <f>(G733/G10)/1.983</f>
        <v>68.794430074992263</v>
      </c>
      <c r="H734" s="21">
        <f>(H733/H10)/1.983</f>
        <v>74.768868717431502</v>
      </c>
      <c r="I734" s="81" t="s">
        <v>7</v>
      </c>
      <c r="J734" s="21">
        <f>(J733/J10)/1.983</f>
        <v>72.11296016137166</v>
      </c>
      <c r="K734" s="21">
        <f>(K733/K10)/1.983</f>
        <v>63.263546597693292</v>
      </c>
      <c r="L734" s="21">
        <f>(L733/L10)/1.983</f>
        <v>61.606992771894433</v>
      </c>
      <c r="M734" s="81" t="s">
        <v>7</v>
      </c>
      <c r="N734" s="21">
        <f>(N733/N10)/1.983</f>
        <v>52.575927643030276</v>
      </c>
      <c r="O734" s="21">
        <f>(O733/O10)/1.983</f>
        <v>37.838292149941161</v>
      </c>
      <c r="P734" s="21">
        <f>(P733/P10)/1.983</f>
        <v>52.234314251785335</v>
      </c>
      <c r="Q734" s="81" t="s">
        <v>7</v>
      </c>
      <c r="R734" s="81" t="s">
        <v>7</v>
      </c>
    </row>
    <row r="735" spans="1:18" ht="15.75" customHeight="1" x14ac:dyDescent="0.3">
      <c r="A735" s="28"/>
      <c r="B735" s="1"/>
      <c r="C735" s="1"/>
      <c r="D735" s="1"/>
      <c r="E735" s="2"/>
      <c r="F735" s="1"/>
      <c r="G735" s="1"/>
      <c r="H735" s="1"/>
      <c r="I735" s="2"/>
      <c r="J735" s="1"/>
      <c r="K735" s="1"/>
      <c r="L735" s="1"/>
      <c r="M735" s="2"/>
      <c r="N735" s="1"/>
      <c r="O735" s="1"/>
      <c r="P735" s="1"/>
      <c r="Q735" s="2"/>
      <c r="R735" s="2"/>
    </row>
    <row r="736" spans="1:18" ht="15.75" customHeight="1" x14ac:dyDescent="0.3">
      <c r="A736" s="28"/>
      <c r="B736" s="1"/>
      <c r="C736" s="1"/>
      <c r="D736" s="1"/>
      <c r="E736" s="1"/>
      <c r="F736" s="1"/>
      <c r="G736" s="1"/>
      <c r="H736" s="1"/>
      <c r="I736" s="1"/>
      <c r="J736" s="1"/>
      <c r="K736" s="1"/>
      <c r="L736" s="1"/>
      <c r="M736" s="1"/>
      <c r="N736" s="1"/>
      <c r="O736" s="1"/>
      <c r="P736" s="1"/>
      <c r="Q736" s="338" t="str">
        <f>+Q1</f>
        <v xml:space="preserve">PRINTED:  </v>
      </c>
      <c r="R736" s="360">
        <f ca="1">+R1</f>
        <v>44909.46975358796</v>
      </c>
    </row>
    <row r="737" spans="1:18" ht="15.75" customHeight="1" x14ac:dyDescent="0.3">
      <c r="A737" s="499" t="s">
        <v>1</v>
      </c>
      <c r="B737" s="499"/>
      <c r="C737" s="499"/>
      <c r="D737" s="499"/>
      <c r="E737" s="499"/>
      <c r="F737" s="499"/>
      <c r="G737" s="499"/>
      <c r="H737" s="499"/>
      <c r="I737" s="499"/>
      <c r="J737" s="499"/>
      <c r="K737" s="499"/>
      <c r="L737" s="499"/>
      <c r="M737" s="499"/>
      <c r="N737" s="499"/>
      <c r="O737" s="499"/>
      <c r="P737" s="499"/>
      <c r="Q737" s="499"/>
      <c r="R737" s="499"/>
    </row>
    <row r="738" spans="1:18" ht="15.75" customHeight="1" x14ac:dyDescent="0.3">
      <c r="A738" s="499" t="s">
        <v>2</v>
      </c>
      <c r="B738" s="499"/>
      <c r="C738" s="499"/>
      <c r="D738" s="499"/>
      <c r="E738" s="499"/>
      <c r="F738" s="499"/>
      <c r="G738" s="499"/>
      <c r="H738" s="499"/>
      <c r="I738" s="499"/>
      <c r="J738" s="499"/>
      <c r="K738" s="499"/>
      <c r="L738" s="499"/>
      <c r="M738" s="499"/>
      <c r="N738" s="499"/>
      <c r="O738" s="499"/>
      <c r="P738" s="499"/>
      <c r="Q738" s="499"/>
      <c r="R738" s="499"/>
    </row>
    <row r="739" spans="1:18" ht="15.75" customHeight="1" x14ac:dyDescent="0.3">
      <c r="A739" s="499" t="s">
        <v>3</v>
      </c>
      <c r="B739" s="499"/>
      <c r="C739" s="499"/>
      <c r="D739" s="499"/>
      <c r="E739" s="499"/>
      <c r="F739" s="499"/>
      <c r="G739" s="499"/>
      <c r="H739" s="499"/>
      <c r="I739" s="499"/>
      <c r="J739" s="499"/>
      <c r="K739" s="499"/>
      <c r="L739" s="499"/>
      <c r="M739" s="499"/>
      <c r="N739" s="499"/>
      <c r="O739" s="499"/>
      <c r="P739" s="499"/>
      <c r="Q739" s="499"/>
      <c r="R739" s="499"/>
    </row>
    <row r="740" spans="1:18" ht="15.75" customHeight="1" x14ac:dyDescent="0.3">
      <c r="A740" s="504">
        <f>+A5</f>
        <v>2014</v>
      </c>
      <c r="B740" s="504"/>
      <c r="C740" s="504"/>
      <c r="D740" s="504"/>
      <c r="E740" s="504"/>
      <c r="F740" s="504"/>
      <c r="G740" s="504"/>
      <c r="H740" s="504"/>
      <c r="I740" s="504"/>
      <c r="J740" s="504"/>
      <c r="K740" s="504"/>
      <c r="L740" s="504"/>
      <c r="M740" s="504"/>
      <c r="N740" s="504"/>
      <c r="O740" s="504"/>
      <c r="P740" s="504"/>
      <c r="Q740" s="504"/>
      <c r="R740" s="504"/>
    </row>
    <row r="741" spans="1:18" ht="15.75" customHeight="1" x14ac:dyDescent="0.3">
      <c r="A741" s="1"/>
      <c r="B741" s="1"/>
      <c r="C741" s="1"/>
      <c r="D741" s="5"/>
      <c r="E741" s="5"/>
      <c r="F741" s="5"/>
      <c r="G741" s="6"/>
      <c r="H741" s="5"/>
      <c r="I741" s="5"/>
      <c r="J741" s="6"/>
      <c r="K741" s="6"/>
      <c r="L741" s="6"/>
      <c r="M741" s="6"/>
      <c r="N741" s="1"/>
      <c r="O741" s="6"/>
      <c r="P741" s="6"/>
      <c r="Q741" s="6"/>
      <c r="R741" s="6"/>
    </row>
    <row r="742" spans="1:18" ht="15.75" customHeight="1" x14ac:dyDescent="0.3">
      <c r="A742" s="499" t="str">
        <f>+A8</f>
        <v>Revised:  2/10/2015</v>
      </c>
      <c r="B742" s="499"/>
      <c r="C742" s="499"/>
      <c r="D742" s="499"/>
      <c r="E742" s="499"/>
      <c r="F742" s="499"/>
      <c r="G742" s="499"/>
      <c r="H742" s="499"/>
      <c r="I742" s="499"/>
      <c r="J742" s="499"/>
      <c r="K742" s="499"/>
      <c r="L742" s="499"/>
      <c r="M742" s="499"/>
      <c r="N742" s="499"/>
      <c r="O742" s="499"/>
      <c r="P742" s="499"/>
      <c r="Q742" s="499"/>
      <c r="R742" s="499"/>
    </row>
    <row r="743" spans="1:18" ht="15.75" customHeight="1" x14ac:dyDescent="0.3">
      <c r="A743" s="314"/>
      <c r="B743" s="314"/>
      <c r="C743" s="314"/>
      <c r="D743" s="314"/>
      <c r="E743" s="314"/>
      <c r="F743" s="314"/>
      <c r="G743" s="314"/>
      <c r="H743" s="314"/>
      <c r="I743" s="314"/>
      <c r="J743" s="314"/>
      <c r="K743" s="314"/>
      <c r="L743" s="314"/>
      <c r="M743" s="314"/>
      <c r="N743" s="314"/>
      <c r="O743" s="314"/>
      <c r="P743" s="314"/>
      <c r="Q743" s="314"/>
      <c r="R743" s="314"/>
    </row>
    <row r="744" spans="1:18" ht="15.75" customHeight="1" x14ac:dyDescent="0.3">
      <c r="A744" s="314"/>
      <c r="B744" s="314"/>
      <c r="C744" s="314"/>
      <c r="D744" s="314"/>
      <c r="E744" s="314"/>
      <c r="F744" s="314"/>
      <c r="G744" s="314"/>
      <c r="H744" s="314"/>
      <c r="I744" s="314"/>
      <c r="J744" s="314"/>
      <c r="K744" s="314"/>
      <c r="L744" s="314"/>
      <c r="M744" s="314"/>
      <c r="N744" s="314"/>
      <c r="O744" s="314"/>
      <c r="P744" s="314"/>
      <c r="Q744" s="314"/>
      <c r="R744" s="314"/>
    </row>
    <row r="745" spans="1:18" ht="15.75" customHeight="1" thickBot="1" x14ac:dyDescent="0.35">
      <c r="A745" s="28"/>
      <c r="B745" s="1"/>
      <c r="C745" s="1"/>
      <c r="D745" s="1"/>
      <c r="E745" s="1"/>
      <c r="F745" s="1"/>
      <c r="G745" s="1"/>
      <c r="H745" s="1"/>
      <c r="I745" s="1"/>
      <c r="J745" s="1"/>
      <c r="K745" s="1"/>
      <c r="L745" s="1"/>
      <c r="M745" s="1"/>
      <c r="N745" s="1"/>
      <c r="O745" s="1"/>
      <c r="P745" s="1"/>
      <c r="Q745" s="1"/>
      <c r="R745" s="2"/>
    </row>
    <row r="746" spans="1:18" ht="16.5" customHeight="1" thickBot="1" x14ac:dyDescent="0.35">
      <c r="A746" s="124" t="s">
        <v>374</v>
      </c>
      <c r="B746" s="30" t="s">
        <v>8</v>
      </c>
      <c r="C746" s="31" t="s">
        <v>9</v>
      </c>
      <c r="D746" s="31" t="s">
        <v>10</v>
      </c>
      <c r="E746" s="32" t="s">
        <v>11</v>
      </c>
      <c r="F746" s="31" t="s">
        <v>12</v>
      </c>
      <c r="G746" s="31" t="s">
        <v>13</v>
      </c>
      <c r="H746" s="31" t="s">
        <v>14</v>
      </c>
      <c r="I746" s="33" t="s">
        <v>15</v>
      </c>
      <c r="J746" s="31" t="s">
        <v>16</v>
      </c>
      <c r="K746" s="31" t="s">
        <v>17</v>
      </c>
      <c r="L746" s="31" t="s">
        <v>18</v>
      </c>
      <c r="M746" s="33" t="s">
        <v>19</v>
      </c>
      <c r="N746" s="31" t="s">
        <v>20</v>
      </c>
      <c r="O746" s="31" t="s">
        <v>21</v>
      </c>
      <c r="P746" s="31" t="s">
        <v>22</v>
      </c>
      <c r="Q746" s="33" t="s">
        <v>23</v>
      </c>
      <c r="R746" s="133" t="s">
        <v>24</v>
      </c>
    </row>
    <row r="747" spans="1:18" ht="16.5" customHeight="1" thickBot="1" x14ac:dyDescent="0.35">
      <c r="A747" s="41"/>
      <c r="B747" s="36"/>
      <c r="C747" s="36"/>
      <c r="D747" s="36"/>
      <c r="E747" s="52"/>
      <c r="F747" s="36"/>
      <c r="G747" s="36"/>
      <c r="H747" s="36"/>
      <c r="I747" s="132"/>
      <c r="J747" s="36"/>
      <c r="K747" s="36"/>
      <c r="L747" s="36"/>
      <c r="M747" s="132"/>
      <c r="N747" s="36"/>
      <c r="O747" s="36"/>
      <c r="P747" s="36"/>
      <c r="Q747" s="134"/>
      <c r="R747" s="135"/>
    </row>
    <row r="748" spans="1:18" ht="15.75" customHeight="1" x14ac:dyDescent="0.3">
      <c r="A748" s="15" t="s">
        <v>48</v>
      </c>
      <c r="B748" s="1" t="s">
        <v>7</v>
      </c>
      <c r="C748" s="1" t="s">
        <v>7</v>
      </c>
      <c r="D748" s="1" t="s">
        <v>7</v>
      </c>
      <c r="E748" s="136"/>
      <c r="F748" s="1" t="s">
        <v>7</v>
      </c>
      <c r="G748" s="1" t="s">
        <v>7</v>
      </c>
      <c r="H748" s="1" t="s">
        <v>7</v>
      </c>
      <c r="I748" s="136"/>
      <c r="J748" s="1" t="s">
        <v>7</v>
      </c>
      <c r="K748" s="1" t="s">
        <v>7</v>
      </c>
      <c r="L748" s="1" t="s">
        <v>7</v>
      </c>
      <c r="M748" s="136"/>
      <c r="N748" s="1" t="s">
        <v>7</v>
      </c>
      <c r="O748" s="1" t="s">
        <v>7</v>
      </c>
      <c r="P748" s="1" t="s">
        <v>7</v>
      </c>
      <c r="Q748" s="137"/>
      <c r="R748" s="138" t="s">
        <v>7</v>
      </c>
    </row>
    <row r="749" spans="1:18" ht="15.75" customHeight="1" x14ac:dyDescent="0.3">
      <c r="A749" s="315" t="s">
        <v>49</v>
      </c>
      <c r="B749" s="1">
        <f>+SUM(B71:B81)+SUM(B138:B174)+SUM(B291:B307)+SUM(B423:B425)+SUM(B464:B467)+SUM(B506:B514)+SUM(B569:B572)+SUM(B605:B608)+SUM(B659:B660)+SUM(B693:B696)</f>
        <v>22766</v>
      </c>
      <c r="C749" s="1">
        <f>+SUM(C71:C81)+SUM(C138:C174)+SUM(C291:C307)+SUM(C423:C425)+SUM(C464:C467)+SUM(C506:C514)+SUM(C569:C572)+SUM(C605:C608)+SUM(C659:C660)+SUM(C693:C696)</f>
        <v>22177</v>
      </c>
      <c r="D749" s="1">
        <f>+SUM(D71:D81)+SUM(D138:D174)+SUM(D291:D307)+SUM(D423:D425)+SUM(D464:D467)+SUM(D506:D514)+SUM(D569:D572)+SUM(D605:D608)+SUM(D659:D660)+SUM(D693:D696)</f>
        <v>37429</v>
      </c>
      <c r="E749" s="55">
        <f t="shared" ref="E749:E755" si="103">SUM(B749:D749)</f>
        <v>82372</v>
      </c>
      <c r="F749" s="1">
        <f>+SUM(F71:F81)+SUM(F138:F174)+SUM(F291:F307)+SUM(F423:F425)+SUM(F464:F467)+SUM(F506:F514)+SUM(F569:F572)+SUM(F605:F608)+SUM(F659:F660)+SUM(F693:F696)</f>
        <v>34466</v>
      </c>
      <c r="G749" s="1">
        <f>+SUM(G71:G81)+SUM(G138:G174)+SUM(G291:G307)+SUM(G423:G425)+SUM(G464:G467)+SUM(G506:G514)+SUM(G569:G572)+SUM(G605:G608)+SUM(G659:G660)+SUM(G693:G696)</f>
        <v>34262</v>
      </c>
      <c r="H749" s="1">
        <f>+SUM(H71:H81)+SUM(H138:H174)+SUM(H291:H307)+SUM(H423:H425)+SUM(H464:H467)+SUM(H506:H514)+SUM(H569:H572)+SUM(H605:H608)+SUM(H659:H660)+SUM(H693:H696)</f>
        <v>38445</v>
      </c>
      <c r="I749" s="55">
        <f t="shared" ref="I749:I755" si="104">SUM(F749:H749)</f>
        <v>107173</v>
      </c>
      <c r="J749" s="1">
        <f>+SUM(J71:J81)+SUM(J138:J174)+SUM(J291:J307)+SUM(J423:J425)+SUM(J464:J467)+SUM(J506:J514)+SUM(J569:J572)+SUM(J605:J608)+SUM(J659:J660)+SUM(J693:J696)</f>
        <v>53207</v>
      </c>
      <c r="K749" s="1">
        <f>+SUM(K71:K81)+SUM(K138:K174)+SUM(K291:K307)+SUM(K423:K425)+SUM(K464:K467)+SUM(K506:K514)+SUM(K569:K572)+SUM(K605:K608)+SUM(K659:K660)+SUM(K693:K696)</f>
        <v>50086</v>
      </c>
      <c r="L749" s="1">
        <f>+SUM(L71:L81)+SUM(L138:L174)+SUM(L291:L307)+SUM(L423:L425)+SUM(L464:L467)+SUM(L506:L514)+SUM(L569:L572)+SUM(L605:L608)+SUM(L659:L660)+SUM(L693:L696)</f>
        <v>51125</v>
      </c>
      <c r="M749" s="55">
        <f t="shared" ref="M749:M755" si="105">SUM(J749:L749)</f>
        <v>154418</v>
      </c>
      <c r="N749" s="1">
        <f>+SUM(N71:N81)+SUM(N138:N174)+SUM(N291:N307)+SUM(N423:N425)+SUM(N464:N467)+SUM(N506:N514)+SUM(N569:N572)+SUM(N605:N608)+SUM(N659:N660)+SUM(N693:N696)</f>
        <v>44942</v>
      </c>
      <c r="O749" s="1">
        <f>+SUM(O71:O81)+SUM(O138:O174)+SUM(O291:O307)+SUM(O423:O425)+SUM(O464:O467)+SUM(O506:O514)+SUM(O569:O572)+SUM(O605:O608)+SUM(O659:O660)+SUM(O693:O696)</f>
        <v>34208</v>
      </c>
      <c r="P749" s="1">
        <f>+SUM(P71:P81)+SUM(P138:P174)+SUM(P291:P307)+SUM(P423:P425)+SUM(P464:P467)+SUM(P506:P514)+SUM(P569:P572)+SUM(P605:P608)+SUM(P659:P660)+SUM(P693:P696)</f>
        <v>36620</v>
      </c>
      <c r="Q749" s="55">
        <f t="shared" ref="Q749:Q754" si="106">SUM(N749:P749)</f>
        <v>115770</v>
      </c>
      <c r="R749" s="55">
        <f t="shared" ref="R749:R754" si="107">+E749+I749+M749+Q749</f>
        <v>459733</v>
      </c>
    </row>
    <row r="750" spans="1:18" ht="15.75" customHeight="1" x14ac:dyDescent="0.3">
      <c r="A750" s="15" t="s">
        <v>1014</v>
      </c>
      <c r="B750" s="1">
        <f>+B38+SUM(B82:B84)+SUM(B176:B186)+SUM(B309:B322)+SUM(B427:B429)+B468+SUM(B515:B516)+B573+B609+B661+SUM(B697:B697)</f>
        <v>160</v>
      </c>
      <c r="C750" s="1">
        <f>+C38+SUM(C82:C84)+SUM(C176:C186)+SUM(C309:C322)+SUM(C427:C429)+C468+SUM(C515:C516)+C573+C609+C661+SUM(C697:C697)</f>
        <v>363</v>
      </c>
      <c r="D750" s="1">
        <f>+D38+SUM(D82:D84)+SUM(D176:D186)+SUM(D309:D322)+SUM(D427:D429)+D468+SUM(D515:D516)+D573+D609+D661+SUM(D697:D697)</f>
        <v>474</v>
      </c>
      <c r="E750" s="55">
        <f t="shared" si="103"/>
        <v>997</v>
      </c>
      <c r="F750" s="1">
        <f>+F38+SUM(F82:F84)+SUM(F176:F186)+SUM(F309:F322)+SUM(F427:F429)+F468+SUM(F515:F516)+F573+F609+F661+SUM(F697:F697)</f>
        <v>278</v>
      </c>
      <c r="G750" s="1">
        <f>+G38+SUM(G82:G84)+SUM(G176:G186)+SUM(G309:G322)+SUM(G427:G429)+G468+SUM(G515:G516)+G573+G609+G661+SUM(G697:G697)</f>
        <v>387</v>
      </c>
      <c r="H750" s="1">
        <f>+H38+SUM(H82:H84)+SUM(H176:H186)+SUM(H309:H322)+SUM(H427:H429)+H468+SUM(H515:H516)+H573+H609+H661+SUM(H697:H697)</f>
        <v>475</v>
      </c>
      <c r="I750" s="55">
        <f t="shared" si="104"/>
        <v>1140</v>
      </c>
      <c r="J750" s="1">
        <f>+J38+SUM(J82:J84)+SUM(J176:J186)+SUM(J309:J322)+SUM(J427:J429)+J468+SUM(J515:J516)+J573+J609+J661+SUM(J697:J697)</f>
        <v>689</v>
      </c>
      <c r="K750" s="1">
        <f>+K38+SUM(K82:K84)+SUM(K176:K186)+SUM(K309:K322)+SUM(K427:K429)+K468+SUM(K515:K516)+K573+K609+K661+SUM(K697:K697)</f>
        <v>731</v>
      </c>
      <c r="L750" s="1">
        <f>+L38+SUM(L82:L84)+SUM(L176:L186)+SUM(L309:L322)+SUM(L427:L429)+L468+SUM(L515:L516)+L573+L609+L661+SUM(L697:L697)</f>
        <v>679</v>
      </c>
      <c r="M750" s="55">
        <f t="shared" si="105"/>
        <v>2099</v>
      </c>
      <c r="N750" s="1">
        <f>+N38+SUM(N82:N84)+SUM(N176:N186)+SUM(N309:N322)+SUM(N427:N429)+N468+SUM(N515:N516)+N573+N609+N661+SUM(N697:N697)</f>
        <v>337</v>
      </c>
      <c r="O750" s="1">
        <f>+O38+SUM(O82:O84)+SUM(O176:O186)+SUM(O309:O322)+SUM(O427:O429)+O468+SUM(O515:O516)+O573+O609+O661+SUM(O697:O697)</f>
        <v>215</v>
      </c>
      <c r="P750" s="1">
        <f>+P38+SUM(P82:P84)+SUM(P176:P186)+SUM(P309:P322)+SUM(P427:P429)+P468+SUM(P515:P516)+P573+P609+P661+SUM(P697:P697)</f>
        <v>111</v>
      </c>
      <c r="Q750" s="55">
        <f t="shared" si="106"/>
        <v>663</v>
      </c>
      <c r="R750" s="55">
        <f t="shared" si="107"/>
        <v>4899</v>
      </c>
    </row>
    <row r="751" spans="1:18" ht="15.75" customHeight="1" x14ac:dyDescent="0.3">
      <c r="A751" s="315" t="s">
        <v>1015</v>
      </c>
      <c r="B751" s="1">
        <f>+SUM(B85:B87)+SUM(B187:B190)+SUM(B323:B327)+B430+B469+SUM(B517:B518)+B574+B610+B662+SUM(B698:B699)</f>
        <v>1020</v>
      </c>
      <c r="C751" s="1">
        <f>+SUM(C85:C87)+SUM(C187:C190)+SUM(C323:C327)+C430+C469+SUM(C517:C518)+C574+C610+C662+SUM(C698:C699)</f>
        <v>2192</v>
      </c>
      <c r="D751" s="1">
        <f>+SUM(D85:D87)+SUM(D187:D190)+SUM(D323:D327)+D430+D469+SUM(D517:D518)+D574+D610+D662+SUM(D698:D699)</f>
        <v>3078</v>
      </c>
      <c r="E751" s="55">
        <f t="shared" si="103"/>
        <v>6290</v>
      </c>
      <c r="F751" s="1">
        <f>+SUM(F85:F87)+SUM(F187:F190)+SUM(F323:F327)+F430+F469+SUM(F517:F518)+F574+F610+F662+SUM(F698:F699)</f>
        <v>3996</v>
      </c>
      <c r="G751" s="1">
        <f>+SUM(G85:G87)+SUM(G187:G190)+SUM(G323:G327)+G430+G469+SUM(G517:G518)+G574+G610+G662+SUM(G698:G699)</f>
        <v>4691</v>
      </c>
      <c r="H751" s="1">
        <f>+SUM(H85:H87)+SUM(H187:H190)+SUM(H323:H327)+H430+H469+SUM(H517:H518)+H574+H610+H662+SUM(H698:H699)</f>
        <v>5314</v>
      </c>
      <c r="I751" s="55">
        <f t="shared" si="104"/>
        <v>14001</v>
      </c>
      <c r="J751" s="1">
        <f>+SUM(J85:J87)+SUM(J187:J190)+SUM(J323:J327)+J430+J469+SUM(J517:J518)+J574+J610+J662+SUM(J698:J699)</f>
        <v>4716</v>
      </c>
      <c r="K751" s="1">
        <f>+SUM(K85:K87)+SUM(K187:K190)+SUM(K323:K327)+K430+K469+SUM(K517:K518)+K574+K610+K662+SUM(K698:K699)</f>
        <v>1828</v>
      </c>
      <c r="L751" s="1">
        <f>+SUM(L85:L87)+SUM(L187:L190)+SUM(L323:L327)+L430+L469+SUM(L517:L518)+L574+L610+L662+SUM(L698:L699)</f>
        <v>1321</v>
      </c>
      <c r="M751" s="55">
        <f t="shared" si="105"/>
        <v>7865</v>
      </c>
      <c r="N751" s="1">
        <f>+SUM(N85:N87)+SUM(N187:N190)+SUM(N323:N327)+N430+N469+SUM(N517:N518)+N574+N610+N662+SUM(N698:N699)</f>
        <v>2065</v>
      </c>
      <c r="O751" s="1">
        <f>+SUM(O85:O87)+SUM(O187:O190)+SUM(O323:O327)+O430+O469+SUM(O517:O518)+O574+O610+O662+SUM(O698:O699)</f>
        <v>3225</v>
      </c>
      <c r="P751" s="1">
        <f>+SUM(P85:P87)+SUM(P187:P190)+SUM(P323:P327)+P430+P469+SUM(P517:P518)+P574+P610+P662+SUM(P698:P699)</f>
        <v>1012</v>
      </c>
      <c r="Q751" s="55">
        <f t="shared" si="106"/>
        <v>6302</v>
      </c>
      <c r="R751" s="55">
        <f t="shared" si="107"/>
        <v>34458</v>
      </c>
    </row>
    <row r="752" spans="1:18" ht="15.75" customHeight="1" x14ac:dyDescent="0.3">
      <c r="A752" s="15" t="s">
        <v>1016</v>
      </c>
      <c r="B752" s="1">
        <f>+B268+B404+B405</f>
        <v>0</v>
      </c>
      <c r="C752" s="1">
        <f>+C268+C404+C405</f>
        <v>0</v>
      </c>
      <c r="D752" s="1">
        <f>+D268+D404+D405</f>
        <v>0</v>
      </c>
      <c r="E752" s="55">
        <f t="shared" si="103"/>
        <v>0</v>
      </c>
      <c r="F752" s="1">
        <f>+F268+F404+F405</f>
        <v>0</v>
      </c>
      <c r="G752" s="1">
        <f>+G268+G404+G405</f>
        <v>0</v>
      </c>
      <c r="H752" s="1">
        <f>+H268+H404+H405</f>
        <v>0</v>
      </c>
      <c r="I752" s="55">
        <f t="shared" si="104"/>
        <v>0</v>
      </c>
      <c r="J752" s="1">
        <f>+J268+J404+J405</f>
        <v>0</v>
      </c>
      <c r="K752" s="1">
        <f>+K268+K404+K405</f>
        <v>0</v>
      </c>
      <c r="L752" s="1">
        <f>+L268+L404+L405</f>
        <v>0</v>
      </c>
      <c r="M752" s="55">
        <f t="shared" si="105"/>
        <v>0</v>
      </c>
      <c r="N752" s="1">
        <f>+N268+N404+N405</f>
        <v>0</v>
      </c>
      <c r="O752" s="1">
        <f>+O268+O404+O405</f>
        <v>0</v>
      </c>
      <c r="P752" s="1">
        <f>+P268+P404+P405</f>
        <v>0</v>
      </c>
      <c r="Q752" s="55">
        <f t="shared" si="106"/>
        <v>0</v>
      </c>
      <c r="R752" s="55">
        <f t="shared" si="107"/>
        <v>0</v>
      </c>
    </row>
    <row r="753" spans="1:20" ht="15.75" customHeight="1" x14ac:dyDescent="0.3">
      <c r="A753" s="315" t="s">
        <v>377</v>
      </c>
      <c r="B753" s="1">
        <f>+B269</f>
        <v>17</v>
      </c>
      <c r="C753" s="1">
        <f>+C269</f>
        <v>34</v>
      </c>
      <c r="D753" s="1">
        <f>+D269</f>
        <v>11</v>
      </c>
      <c r="E753" s="55">
        <f>SUM(B753:D753)</f>
        <v>62</v>
      </c>
      <c r="F753" s="1">
        <f>+F269</f>
        <v>17</v>
      </c>
      <c r="G753" s="1">
        <f>+G269</f>
        <v>13</v>
      </c>
      <c r="H753" s="1">
        <f>+H269</f>
        <v>15</v>
      </c>
      <c r="I753" s="55">
        <f>SUM(F753:H753)</f>
        <v>45</v>
      </c>
      <c r="J753" s="1">
        <f>+J269</f>
        <v>11</v>
      </c>
      <c r="K753" s="1">
        <f>+K269</f>
        <v>17</v>
      </c>
      <c r="L753" s="1">
        <f>+L269</f>
        <v>37</v>
      </c>
      <c r="M753" s="55">
        <f>SUM(J753:L753)</f>
        <v>65</v>
      </c>
      <c r="N753" s="1">
        <f>+N269</f>
        <v>30</v>
      </c>
      <c r="O753" s="1">
        <f>+O269</f>
        <v>56</v>
      </c>
      <c r="P753" s="1">
        <f>+P269</f>
        <v>8</v>
      </c>
      <c r="Q753" s="55">
        <f t="shared" si="106"/>
        <v>94</v>
      </c>
      <c r="R753" s="55">
        <f>+E753+I753+M753+Q753</f>
        <v>266</v>
      </c>
    </row>
    <row r="754" spans="1:20" ht="15.75" customHeight="1" thickBot="1" x14ac:dyDescent="0.35">
      <c r="A754" s="15" t="s">
        <v>53</v>
      </c>
      <c r="B754" s="1">
        <f>+B88+B431+B470+B519+B575+B611+B663+B700</f>
        <v>0</v>
      </c>
      <c r="C754" s="1">
        <f>+C88+C431+C470+C519+C575+C611+C663+C700</f>
        <v>0</v>
      </c>
      <c r="D754" s="1">
        <f>+D88+D431+D470+D519+D575+D611+D663+D700</f>
        <v>0</v>
      </c>
      <c r="E754" s="55">
        <f t="shared" si="103"/>
        <v>0</v>
      </c>
      <c r="F754" s="1">
        <f>+F88+F431+F470+F519+F575+F611+F663+F700</f>
        <v>0</v>
      </c>
      <c r="G754" s="1">
        <f>+G88+G431+G470+G519+G575+G611+G663+G700</f>
        <v>0</v>
      </c>
      <c r="H754" s="1">
        <f>+H88+H431+H470+H519+H575+H611+H663+H700</f>
        <v>0</v>
      </c>
      <c r="I754" s="55">
        <f t="shared" si="104"/>
        <v>0</v>
      </c>
      <c r="J754" s="1">
        <f>+J88+J431+J470+J519+J575+J611+J663+J700</f>
        <v>0</v>
      </c>
      <c r="K754" s="1">
        <f>+K88+K431+K470+K519+K575+K611+K663+K700</f>
        <v>0</v>
      </c>
      <c r="L754" s="1">
        <f>+L88+L431+L470+L519+L575+L611+L663+L700</f>
        <v>0</v>
      </c>
      <c r="M754" s="55">
        <f t="shared" si="105"/>
        <v>0</v>
      </c>
      <c r="N754" s="1">
        <f>+N88+N431+N470+N519+N575+N611+N663+N700</f>
        <v>0</v>
      </c>
      <c r="O754" s="1">
        <f>+O88+O431+O470+O519+O575+O611+O663+O700</f>
        <v>0</v>
      </c>
      <c r="P754" s="1">
        <f>+P88+P431+P470+P519+P575+P611+P663+P700</f>
        <v>0</v>
      </c>
      <c r="Q754" s="55">
        <f t="shared" si="106"/>
        <v>0</v>
      </c>
      <c r="R754" s="55">
        <f t="shared" si="107"/>
        <v>0</v>
      </c>
    </row>
    <row r="755" spans="1:20" ht="16.5" customHeight="1" thickBot="1" x14ac:dyDescent="0.35">
      <c r="A755" s="57" t="s">
        <v>54</v>
      </c>
      <c r="B755" s="86">
        <f>SUM(B748:B754)</f>
        <v>23963</v>
      </c>
      <c r="C755" s="87">
        <f>SUM(C748:C754)</f>
        <v>24766</v>
      </c>
      <c r="D755" s="87">
        <f>SUM(D748:D754)</f>
        <v>40992</v>
      </c>
      <c r="E755" s="59">
        <f t="shared" si="103"/>
        <v>89721</v>
      </c>
      <c r="F755" s="87">
        <f>SUM(F748:F754)</f>
        <v>38757</v>
      </c>
      <c r="G755" s="87">
        <f>SUM(G748:G754)</f>
        <v>39353</v>
      </c>
      <c r="H755" s="87">
        <f>SUM(H748:H754)</f>
        <v>44249</v>
      </c>
      <c r="I755" s="59">
        <f t="shared" si="104"/>
        <v>122359</v>
      </c>
      <c r="J755" s="87">
        <f>SUM(J748:J754)</f>
        <v>58623</v>
      </c>
      <c r="K755" s="87">
        <f>SUM(K748:K754)</f>
        <v>52662</v>
      </c>
      <c r="L755" s="87">
        <f>SUM(L748:L754)</f>
        <v>53162</v>
      </c>
      <c r="M755" s="59">
        <f t="shared" si="105"/>
        <v>164447</v>
      </c>
      <c r="N755" s="87">
        <f>SUM(N748:N754)</f>
        <v>47374</v>
      </c>
      <c r="O755" s="87">
        <f>SUM(O748:O754)</f>
        <v>37704</v>
      </c>
      <c r="P755" s="87">
        <f>SUM(P748:P754)</f>
        <v>37751</v>
      </c>
      <c r="Q755" s="59">
        <f>SUM(N755:P755)</f>
        <v>122829</v>
      </c>
      <c r="R755" s="59">
        <f>+E755+I755+M755+Q755</f>
        <v>499356</v>
      </c>
      <c r="T755" s="4">
        <f>+R755-R752-R751</f>
        <v>464898</v>
      </c>
    </row>
    <row r="756" spans="1:20" ht="15.75" customHeight="1" x14ac:dyDescent="0.3">
      <c r="A756" s="15" t="s">
        <v>55</v>
      </c>
      <c r="B756" s="1"/>
      <c r="C756" s="1"/>
      <c r="D756" s="1"/>
      <c r="E756" s="55" t="s">
        <v>7</v>
      </c>
      <c r="F756" s="1"/>
      <c r="G756" s="1"/>
      <c r="H756" s="1"/>
      <c r="I756" s="55" t="s">
        <v>7</v>
      </c>
      <c r="J756" s="1"/>
      <c r="K756" s="1"/>
      <c r="L756" s="1"/>
      <c r="M756" s="55" t="s">
        <v>7</v>
      </c>
      <c r="N756" s="1"/>
      <c r="O756" s="1"/>
      <c r="P756" s="1"/>
      <c r="Q756" s="55" t="s">
        <v>7</v>
      </c>
      <c r="R756" s="55" t="s">
        <v>7</v>
      </c>
    </row>
    <row r="757" spans="1:20" ht="15.75" customHeight="1" x14ac:dyDescent="0.3">
      <c r="A757" s="15" t="s">
        <v>56</v>
      </c>
      <c r="B757" s="1">
        <f>SUM(B43:B43)+SUM(B194:B194)+SUM(B91:B91)+SUM(B331:B331)</f>
        <v>0</v>
      </c>
      <c r="C757" s="1">
        <f>SUM(C43:C43)+SUM(C194:C194)+SUM(C91:C91)+SUM(C331:C331)</f>
        <v>0</v>
      </c>
      <c r="D757" s="1">
        <f>SUM(D43:D43)+SUM(D194:D194)+SUM(D91:D91)+SUM(D331:D331)</f>
        <v>0</v>
      </c>
      <c r="E757" s="55">
        <f>SUM(B757:D757)</f>
        <v>0</v>
      </c>
      <c r="F757" s="1">
        <f>SUM(F43:F43)+SUM(F194:F194)+SUM(F91:F91)+SUM(F331:F331)</f>
        <v>0</v>
      </c>
      <c r="G757" s="1">
        <f>SUM(G43:G43)+SUM(G194:G194)+SUM(G91:G91)+SUM(G331:G331)</f>
        <v>0</v>
      </c>
      <c r="H757" s="1">
        <f>SUM(H43:H43)+SUM(H194:H194)+SUM(H91:H91)+SUM(H331:H331)</f>
        <v>0</v>
      </c>
      <c r="I757" s="55">
        <f>SUM(F757:H757)</f>
        <v>0</v>
      </c>
      <c r="J757" s="1">
        <f>SUM(J43:J43)+SUM(J194:J194)+SUM(J91:J91)+SUM(J331:J331)</f>
        <v>0</v>
      </c>
      <c r="K757" s="1">
        <f>SUM(K43:K43)+SUM(K194:K194)+SUM(K91:K91)+SUM(K331:K331)</f>
        <v>0</v>
      </c>
      <c r="L757" s="1">
        <f>SUM(L43:L43)+SUM(L194:L194)+SUM(L91:L91)+SUM(L331:L331)</f>
        <v>0</v>
      </c>
      <c r="M757" s="55">
        <f>SUM(J757:L757)</f>
        <v>0</v>
      </c>
      <c r="N757" s="1">
        <f>SUM(N43:N43)+SUM(N194:N194)+SUM(N91:N91)+SUM(N331:N331)</f>
        <v>0</v>
      </c>
      <c r="O757" s="1">
        <f>SUM(O43:O43)+SUM(O194:O194)+SUM(O91:O91)+SUM(O331:O331)</f>
        <v>0</v>
      </c>
      <c r="P757" s="1">
        <f>SUM(P43:P43)+SUM(P194:P194)+SUM(P91:P91)+SUM(P331:P331)</f>
        <v>0</v>
      </c>
      <c r="Q757" s="55">
        <f>SUM(N757:P757)</f>
        <v>0</v>
      </c>
      <c r="R757" s="55">
        <f>+E757+I757+M757+Q757</f>
        <v>0</v>
      </c>
    </row>
    <row r="758" spans="1:20" ht="15.75" customHeight="1" x14ac:dyDescent="0.3">
      <c r="A758" s="315" t="s">
        <v>57</v>
      </c>
      <c r="B758" s="1">
        <f>+SUM(B93:B94)+SUM(B195:B197)+SUM(B332:B340)+B435+SUM(B473:B475)+SUM(B522:B524)+SUM(B578:B578)+B614+B666+SUM(B703:B704)</f>
        <v>9462</v>
      </c>
      <c r="C758" s="1">
        <f>+SUM(C93:C94)+SUM(C195:C197)+SUM(C332:C340)+C435+SUM(C473:C475)+SUM(C522:C524)+SUM(C578:C578)+C614+C666+SUM(C703:C704)</f>
        <v>20946</v>
      </c>
      <c r="D758" s="1">
        <f>+SUM(D93:D94)+SUM(D195:D197)+SUM(D332:D340)+D435+SUM(D473:D475)+SUM(D522:D524)+SUM(D578:D578)+D614+D666+SUM(D703:D704)</f>
        <v>34188</v>
      </c>
      <c r="E758" s="55">
        <f>SUM(B758:D758)</f>
        <v>64596</v>
      </c>
      <c r="F758" s="1">
        <f>+SUM(F93:F94)+SUM(F195:F197)+SUM(F332:F340)+F435+SUM(F473:F475)+SUM(F522:F524)+SUM(F578:F578)+F614+F666+SUM(F703:F704)</f>
        <v>42771</v>
      </c>
      <c r="G758" s="1">
        <f>+SUM(G93:G94)+SUM(G195:G197)+SUM(G332:G340)+G435+SUM(G473:G475)+SUM(G522:G524)+SUM(G578:G578)+G614+G666+SUM(G703:G704)</f>
        <v>50543</v>
      </c>
      <c r="H758" s="1">
        <f>+SUM(H93:H94)+SUM(H195:H197)+SUM(H332:H340)+H435+SUM(H473:H475)+SUM(H522:H524)+SUM(H578:H578)+H614+H666+SUM(H703:H704)</f>
        <v>67522</v>
      </c>
      <c r="I758" s="55">
        <f>SUM(F758:H758)</f>
        <v>160836</v>
      </c>
      <c r="J758" s="1">
        <f>+SUM(J93:J94)+SUM(J195:J197)+SUM(J332:J340)+J435+SUM(J473:J475)+SUM(J522:J524)+SUM(J578:J578)+J614+J666+SUM(J703:J704)</f>
        <v>57537</v>
      </c>
      <c r="K758" s="1">
        <f>+SUM(K93:K94)+SUM(K195:K197)+SUM(K332:K340)+K435+SUM(K473:K475)+SUM(K522:K524)+SUM(K578:K578)+K614+K666+SUM(K703:K704)</f>
        <v>50717</v>
      </c>
      <c r="L758" s="1">
        <f>+SUM(L93:L94)+SUM(L195:L197)+SUM(L332:L340)+L435+SUM(L473:L475)+SUM(L522:L524)+SUM(L578:L578)+L614+L666+SUM(L703:L704)</f>
        <v>27397</v>
      </c>
      <c r="M758" s="55">
        <f>SUM(J758:L758)</f>
        <v>135651</v>
      </c>
      <c r="N758" s="1">
        <f>+SUM(N93:N94)+SUM(N195:N197)+SUM(N332:N340)+N435+SUM(N473:N475)+SUM(N522:N524)+SUM(N578:N578)+N614+N666+SUM(N703:N704)</f>
        <v>24799</v>
      </c>
      <c r="O758" s="1">
        <f>+SUM(O93:O94)+SUM(O195:O197)+SUM(O332:O340)+O435+SUM(O473:O475)+SUM(O522:O524)+SUM(O578:O578)+O614+O666+SUM(O703:O704)</f>
        <v>7235</v>
      </c>
      <c r="P758" s="1">
        <f>+SUM(P93:P94)+SUM(P195:P197)+SUM(P332:P340)+P435+SUM(P473:P475)+SUM(P522:P524)+SUM(P578:P578)+P614+P666+SUM(P703:P704)</f>
        <v>6786</v>
      </c>
      <c r="Q758" s="55">
        <f>SUM(N758:P758)</f>
        <v>38820</v>
      </c>
      <c r="R758" s="55">
        <f>+E758+I758+M758+Q758</f>
        <v>399903</v>
      </c>
    </row>
    <row r="759" spans="1:20" ht="15.75" customHeight="1" thickBot="1" x14ac:dyDescent="0.35">
      <c r="A759" s="15" t="s">
        <v>58</v>
      </c>
      <c r="B759" s="1">
        <f>+B95+B436+B476+B525+B579+B615+B667+B705</f>
        <v>0</v>
      </c>
      <c r="C759" s="1">
        <f>+C95+C436+C476+C525+C579+C615+C667+C705</f>
        <v>0</v>
      </c>
      <c r="D759" s="1">
        <f>+D95+D436+D476+D525+D579+D615+D667+D705</f>
        <v>0</v>
      </c>
      <c r="E759" s="55">
        <f>SUM(B759:D759)</f>
        <v>0</v>
      </c>
      <c r="F759" s="1">
        <f>+F95+F436+F476+F525+F579+F615+F667+F705</f>
        <v>0</v>
      </c>
      <c r="G759" s="1">
        <f>+G95+G436+G476+G525+G579+G615+G667+G705</f>
        <v>0</v>
      </c>
      <c r="H759" s="1">
        <f>+H95+H436+H476+H525+H579+H615+H667+H705</f>
        <v>0</v>
      </c>
      <c r="I759" s="55">
        <f>SUM(F759:H759)</f>
        <v>0</v>
      </c>
      <c r="J759" s="1">
        <f>+J95+J436+J476+J525+J579+J615+J667+J705</f>
        <v>0</v>
      </c>
      <c r="K759" s="1">
        <f>+K95+K436+K476+K525+K579+K615+K667+K705</f>
        <v>0</v>
      </c>
      <c r="L759" s="1">
        <f>+L95+L436+L476+L525+L579+L615+L667+L705</f>
        <v>0</v>
      </c>
      <c r="M759" s="55">
        <f>SUM(J759:L759)</f>
        <v>0</v>
      </c>
      <c r="N759" s="1">
        <f>+N95+N436+N476+N525+N579+N615+N667+N705</f>
        <v>0</v>
      </c>
      <c r="O759" s="1">
        <f>+O95+O436+O476+O525+O579+O615+O667+O705</f>
        <v>0</v>
      </c>
      <c r="P759" s="1">
        <f>+P95+P436+P476+P525+P579+P615+P667+P705</f>
        <v>0</v>
      </c>
      <c r="Q759" s="55">
        <f>SUM(N759:P759)</f>
        <v>0</v>
      </c>
      <c r="R759" s="55">
        <f>+E759+I759+M759+Q759</f>
        <v>0</v>
      </c>
    </row>
    <row r="760" spans="1:20" ht="16.5" customHeight="1" thickBot="1" x14ac:dyDescent="0.35">
      <c r="A760" s="57" t="s">
        <v>59</v>
      </c>
      <c r="B760" s="86">
        <f>SUM(B756:B759)</f>
        <v>9462</v>
      </c>
      <c r="C760" s="87">
        <f>SUM(C756:C759)</f>
        <v>20946</v>
      </c>
      <c r="D760" s="87">
        <f>SUM(D756:D759)</f>
        <v>34188</v>
      </c>
      <c r="E760" s="59">
        <f>SUM(B760:D760)</f>
        <v>64596</v>
      </c>
      <c r="F760" s="87">
        <f>SUM(F756:F759)</f>
        <v>42771</v>
      </c>
      <c r="G760" s="87">
        <f>SUM(G756:G759)</f>
        <v>50543</v>
      </c>
      <c r="H760" s="87">
        <f>SUM(H756:H759)</f>
        <v>67522</v>
      </c>
      <c r="I760" s="59">
        <f>SUM(F760:H760)</f>
        <v>160836</v>
      </c>
      <c r="J760" s="87">
        <f>SUM(J756:J759)</f>
        <v>57537</v>
      </c>
      <c r="K760" s="87">
        <f>SUM(K756:K759)</f>
        <v>50717</v>
      </c>
      <c r="L760" s="87">
        <f>SUM(L756:L759)</f>
        <v>27397</v>
      </c>
      <c r="M760" s="59">
        <f>SUM(J760:L760)</f>
        <v>135651</v>
      </c>
      <c r="N760" s="87">
        <f>SUM(N756:N759)</f>
        <v>24799</v>
      </c>
      <c r="O760" s="87">
        <f>SUM(O756:O759)</f>
        <v>7235</v>
      </c>
      <c r="P760" s="87">
        <f>SUM(P756:P759)</f>
        <v>6786</v>
      </c>
      <c r="Q760" s="59">
        <f>SUM(N760:P760)</f>
        <v>38820</v>
      </c>
      <c r="R760" s="59">
        <f>+E760+I760+M760+Q760</f>
        <v>399903</v>
      </c>
    </row>
    <row r="761" spans="1:20" ht="15.75" customHeight="1" x14ac:dyDescent="0.3">
      <c r="A761" s="15" t="s">
        <v>60</v>
      </c>
      <c r="B761" s="1"/>
      <c r="C761" s="1"/>
      <c r="D761" s="1"/>
      <c r="E761" s="55" t="s">
        <v>7</v>
      </c>
      <c r="F761" s="1"/>
      <c r="G761" s="1"/>
      <c r="H761" s="1"/>
      <c r="I761" s="55" t="s">
        <v>7</v>
      </c>
      <c r="J761" s="1"/>
      <c r="K761" s="1"/>
      <c r="L761" s="1"/>
      <c r="M761" s="55" t="s">
        <v>7</v>
      </c>
      <c r="N761" s="1"/>
      <c r="O761" s="1"/>
      <c r="P761" s="1"/>
      <c r="Q761" s="55" t="s">
        <v>7</v>
      </c>
      <c r="R761" s="55" t="s">
        <v>7</v>
      </c>
    </row>
    <row r="762" spans="1:20" ht="15.75" customHeight="1" x14ac:dyDescent="0.3">
      <c r="A762" s="315" t="s">
        <v>61</v>
      </c>
      <c r="B762" s="1">
        <f>+B48+B98+B201+SUM(B344:B346)+B439+B479+B528+B582+SUM(B618:B619)+B670+SUM(B708:B710)</f>
        <v>5085</v>
      </c>
      <c r="C762" s="1">
        <f>+C48+C98+C201+SUM(C344:C346)+C439+C479+C528+C582+SUM(C618:C619)+C670+SUM(C708:C710)</f>
        <v>5835</v>
      </c>
      <c r="D762" s="1">
        <f>+D48+D98+D201+SUM(D344:D346)+D439+D479+D528+D582+SUM(D618:D619)+D670+SUM(D708:D710)</f>
        <v>8419</v>
      </c>
      <c r="E762" s="55">
        <f>SUM(B762:D762)</f>
        <v>19339</v>
      </c>
      <c r="F762" s="1">
        <f>+F48+F98+F201+SUM(F344:F346)+F439+F479+F528+F582+SUM(F618:F619)+F670+SUM(F708:F710)</f>
        <v>11489</v>
      </c>
      <c r="G762" s="1">
        <f>+G48+G98+G201+SUM(G344:G346)+G439+G479+G528+G582+SUM(G618:G619)+G670+SUM(G708:G710)</f>
        <v>19490</v>
      </c>
      <c r="H762" s="1">
        <f>+H48+H98+H201+SUM(H344:H346)+H439+H479+H528+H582+SUM(H618:H619)+H670+SUM(H708:H710)</f>
        <v>25686</v>
      </c>
      <c r="I762" s="55">
        <f>SUM(F762:H762)</f>
        <v>56665</v>
      </c>
      <c r="J762" s="1">
        <f>+J48+J98+J201+SUM(J344:J346)+J439+J479+J528+J582+SUM(J618:J619)+J670+SUM(J708:J710)</f>
        <v>19984</v>
      </c>
      <c r="K762" s="1">
        <f>+K48+K98+K201+SUM(K344:K346)+K439+K479+K528+K582+SUM(K618:K619)+K670+SUM(K708:K710)</f>
        <v>23090</v>
      </c>
      <c r="L762" s="1">
        <f>+L48+L98+L201+SUM(L344:L346)+L439+L479+L528+L582+SUM(L618:L619)+L670+SUM(L708:L710)</f>
        <v>10141</v>
      </c>
      <c r="M762" s="55">
        <f>SUM(J762:L762)</f>
        <v>53215</v>
      </c>
      <c r="N762" s="1">
        <f>+N48+N98+N201+SUM(N344:N346)+N439+N479+N528+N582+SUM(N618:N619)+N670+SUM(N708:N710)</f>
        <v>8841</v>
      </c>
      <c r="O762" s="1">
        <f>+O48+O98+O201+SUM(O344:O346)+O439+O479+O528+O582+SUM(O618:O619)+O670+SUM(O708:O710)</f>
        <v>7809</v>
      </c>
      <c r="P762" s="1">
        <f>+P48+P98+P201+SUM(P344:P346)+P439+P479+P528+P582+SUM(P618:P619)+P670+SUM(P708:P710)</f>
        <v>3904</v>
      </c>
      <c r="Q762" s="55">
        <f>SUM(N762:P762)</f>
        <v>20554</v>
      </c>
      <c r="R762" s="55">
        <f>+E762+I762+M762+Q762</f>
        <v>149773</v>
      </c>
    </row>
    <row r="763" spans="1:20" ht="15.75" customHeight="1" thickBot="1" x14ac:dyDescent="0.35">
      <c r="A763" s="315" t="s">
        <v>62</v>
      </c>
      <c r="B763" s="1">
        <f>+B49+SUM(B99:B106)+SUM(B202:B244)+SUM(B347:B376)+SUM(B440:B441)+SUM(B480:B481)+SUM(B529:B530)+B583+SUM(B620:B624)+B671+SUM(B711:B715)</f>
        <v>11534</v>
      </c>
      <c r="C763" s="1">
        <f>+C49+SUM(C99:C106)+SUM(C202:C244)+SUM(C347:C376)+SUM(C440:C441)+SUM(C480:C481)+SUM(C529:C530)+C583+SUM(C620:C624)+C671+SUM(C711:C715)</f>
        <v>18068</v>
      </c>
      <c r="D763" s="1">
        <f>+D49+SUM(D99:D106)+SUM(D202:D244)+SUM(D347:D376)+SUM(D440:D441)+SUM(D480:D481)+SUM(D529:D530)+D583+SUM(D620:D624)+D671+SUM(D711:D715)</f>
        <v>31144</v>
      </c>
      <c r="E763" s="55">
        <f>SUM(B763:D763)</f>
        <v>60746</v>
      </c>
      <c r="F763" s="1">
        <f>+F49+SUM(F99:F106)+SUM(F202:F244)+SUM(F347:F376)+SUM(F440:F441)+SUM(F480:F481)+SUM(F529:F530)+F583+SUM(F620:F624)+F671+SUM(F711:F715)</f>
        <v>60085</v>
      </c>
      <c r="G763" s="1">
        <f>+G49+SUM(G99:G106)+SUM(G202:G244)+SUM(G347:G376)+SUM(G440:G441)+SUM(G480:G481)+SUM(G529:G530)+G583+SUM(G620:G624)+G671+SUM(G711:G715)</f>
        <v>72204</v>
      </c>
      <c r="H763" s="1">
        <f>+H49+SUM(H99:H106)+SUM(H202:H244)+SUM(H347:H376)+SUM(H440:H441)+SUM(H480:H481)+SUM(H529:H530)+H583+SUM(H620:H624)+H671+SUM(H711:H715)</f>
        <v>52276</v>
      </c>
      <c r="I763" s="55">
        <f>SUM(F763:H763)</f>
        <v>184565</v>
      </c>
      <c r="J763" s="1">
        <f>+J49+SUM(J99:J106)+SUM(J202:J244)+SUM(J347:J376)+SUM(J440:J441)+SUM(J480:J481)+SUM(J529:J530)+J583+SUM(J620:J624)+J671+SUM(J711:J715)</f>
        <v>42217</v>
      </c>
      <c r="K763" s="1">
        <f>+K49+SUM(K99:K106)+SUM(K202:K244)+SUM(K347:K376)+SUM(K440:K441)+SUM(K480:K481)+SUM(K529:K530)+K583+SUM(K620:K624)+K671+SUM(K711:K715)</f>
        <v>32623</v>
      </c>
      <c r="L763" s="1">
        <f>+L49+SUM(L99:L106)+SUM(L202:L244)+SUM(L347:L376)+SUM(L440:L441)+SUM(L480:L481)+SUM(L529:L530)+L583+SUM(L620:L624)+L671+SUM(L711:L715)</f>
        <v>19830</v>
      </c>
      <c r="M763" s="55">
        <f>SUM(J763:L763)</f>
        <v>94670</v>
      </c>
      <c r="N763" s="1">
        <f>+N49+SUM(N99:N106)+SUM(N202:N244)+SUM(N347:N376)+SUM(N440:N441)+SUM(N480:N481)+SUM(N529:N530)+N583+SUM(N620:N624)+N671+SUM(N711:N715)</f>
        <v>15631</v>
      </c>
      <c r="O763" s="1">
        <f>+O49+SUM(O99:O106)+SUM(O202:O244)+SUM(O347:O376)+SUM(O440:O441)+SUM(O480:O481)+SUM(O529:O530)+O583+SUM(O620:O624)+O671+SUM(O711:O715)</f>
        <v>15672</v>
      </c>
      <c r="P763" s="1">
        <f>+P49+SUM(P99:P106)+SUM(P202:P244)+SUM(P347:P376)+SUM(P440:P441)+SUM(P480:P481)+SUM(P529:P530)+P583+SUM(P620:P624)+P671+SUM(P711:P715)</f>
        <v>13224</v>
      </c>
      <c r="Q763" s="55">
        <f>SUM(N763:P763)</f>
        <v>44527</v>
      </c>
      <c r="R763" s="55">
        <f>+E763+I763+M763+Q763</f>
        <v>384508</v>
      </c>
    </row>
    <row r="764" spans="1:20" ht="16.5" customHeight="1" thickBot="1" x14ac:dyDescent="0.35">
      <c r="A764" s="57" t="s">
        <v>63</v>
      </c>
      <c r="B764" s="86">
        <f>SUM(B761:B763)</f>
        <v>16619</v>
      </c>
      <c r="C764" s="87">
        <f>SUM(C761:C763)</f>
        <v>23903</v>
      </c>
      <c r="D764" s="118">
        <f>SUM(D761:D763)</f>
        <v>39563</v>
      </c>
      <c r="E764" s="59">
        <f>SUM(B764:D764)</f>
        <v>80085</v>
      </c>
      <c r="F764" s="87">
        <f>SUM(F761:F763)</f>
        <v>71574</v>
      </c>
      <c r="G764" s="87">
        <f>SUM(G761:G763)</f>
        <v>91694</v>
      </c>
      <c r="H764" s="87">
        <f>SUM(H761:H763)</f>
        <v>77962</v>
      </c>
      <c r="I764" s="59">
        <f>SUM(F764:H764)</f>
        <v>241230</v>
      </c>
      <c r="J764" s="87">
        <f>SUM(J761:J763)</f>
        <v>62201</v>
      </c>
      <c r="K764" s="87">
        <f>SUM(K761:K763)</f>
        <v>55713</v>
      </c>
      <c r="L764" s="87">
        <f>SUM(L761:L763)</f>
        <v>29971</v>
      </c>
      <c r="M764" s="59">
        <f>SUM(J764:L764)</f>
        <v>147885</v>
      </c>
      <c r="N764" s="87">
        <f>SUM(N761:N763)</f>
        <v>24472</v>
      </c>
      <c r="O764" s="87">
        <f>SUM(O761:O763)</f>
        <v>23481</v>
      </c>
      <c r="P764" s="87">
        <f>SUM(P761:P763)</f>
        <v>17128</v>
      </c>
      <c r="Q764" s="59">
        <f>SUM(N764:P764)</f>
        <v>65081</v>
      </c>
      <c r="R764" s="59">
        <f>+E764+I764+M764+Q764</f>
        <v>534281</v>
      </c>
      <c r="T764" s="4">
        <v>1600000</v>
      </c>
    </row>
    <row r="765" spans="1:20" ht="20.25" customHeight="1" x14ac:dyDescent="0.3">
      <c r="A765" s="15" t="s">
        <v>1018</v>
      </c>
      <c r="B765" s="1"/>
      <c r="C765" s="1"/>
      <c r="D765" s="1"/>
      <c r="E765" s="55" t="s">
        <v>7</v>
      </c>
      <c r="F765" s="1"/>
      <c r="G765" s="1"/>
      <c r="H765" s="1"/>
      <c r="I765" s="55" t="s">
        <v>7</v>
      </c>
      <c r="J765" s="1"/>
      <c r="K765" s="1"/>
      <c r="L765" s="1"/>
      <c r="M765" s="55" t="s">
        <v>7</v>
      </c>
      <c r="N765" s="1"/>
      <c r="O765" s="1"/>
      <c r="P765" s="1"/>
      <c r="Q765" s="55" t="s">
        <v>7</v>
      </c>
      <c r="R765" s="55" t="s">
        <v>7</v>
      </c>
      <c r="T765" s="4">
        <f>+T764-28000-R749-R750-400000-R762-R763+12000</f>
        <v>185087</v>
      </c>
    </row>
    <row r="766" spans="1:20" ht="15.75" customHeight="1" x14ac:dyDescent="0.3">
      <c r="A766" s="15" t="s">
        <v>1019</v>
      </c>
      <c r="B766" s="1">
        <f>SUM(B52:B52)+SUM(B109:B117)+SUM(B247:B251)+SUM(B379:B380)+SUM(B444:B444)+B484+SUM(B533:B535)+B586+B627+B674+SUM(B718:B720)</f>
        <v>1200</v>
      </c>
      <c r="C766" s="1">
        <f>SUM(C52:C52)+SUM(C109:C117)+SUM(C247:C251)+SUM(C379:C380)+SUM(C444:C444)+C484+SUM(C533:C535)+C586+C627+C674+SUM(C718:C720)</f>
        <v>0</v>
      </c>
      <c r="D766" s="1">
        <f>SUM(D52:D52)+SUM(D109:D117)+SUM(D247:D251)+SUM(D379:D380)+SUM(D444:D444)+D484+SUM(D533:D535)+D586+D627+D674+SUM(D718:D720)</f>
        <v>0</v>
      </c>
      <c r="E766" s="55">
        <f t="shared" ref="E766:E774" si="108">SUM(B766:D766)</f>
        <v>1200</v>
      </c>
      <c r="F766" s="1">
        <f>SUM(F52:F52)+SUM(F109:F117)+SUM(F247:F251)+SUM(F379:F380)+SUM(F444:F444)+F484+SUM(F533:F535)+F586+F627+F674+SUM(F718:F720)</f>
        <v>0</v>
      </c>
      <c r="G766" s="1">
        <f>SUM(G52:G52)+SUM(G109:G117)+SUM(G247:G251)+SUM(G379:G380)+SUM(G444:G444)+G484+SUM(G533:G535)+G586+G627+G674+SUM(G718:G720)</f>
        <v>0</v>
      </c>
      <c r="H766" s="1">
        <f>SUM(H52:H52)+SUM(H109:H117)+SUM(H247:H251)+SUM(H379:H380)+SUM(H444:H444)+H484+SUM(H533:H535)+H586+H627+H674+SUM(H718:H720)</f>
        <v>0</v>
      </c>
      <c r="I766" s="55">
        <f t="shared" ref="I766:I774" si="109">SUM(F766:H766)</f>
        <v>0</v>
      </c>
      <c r="J766" s="1">
        <f>SUM(J52:J52)+SUM(J109:J117)+SUM(J247:J251)+SUM(J379:J380)+SUM(J444:J444)+J484+SUM(J533:J535)+J586+J627+J674+SUM(J718:J720)</f>
        <v>0</v>
      </c>
      <c r="K766" s="1">
        <f>SUM(K52:K52)+SUM(K109:K117)+SUM(K247:K251)+SUM(K379:K380)+SUM(K444:K444)+K484+SUM(K533:K535)+K586+K627+K674+SUM(K718:K720)</f>
        <v>270</v>
      </c>
      <c r="L766" s="1">
        <f>SUM(L52:L52)+SUM(L109:L117)+SUM(L247:L251)+SUM(L379:L380)+SUM(L444:L444)+L484+SUM(L533:L535)+L586+L627+L674+SUM(L718:L720)</f>
        <v>0</v>
      </c>
      <c r="M766" s="55">
        <f t="shared" ref="M766:M774" si="110">SUM(J766:L766)</f>
        <v>270</v>
      </c>
      <c r="N766" s="1">
        <f>SUM(N52:N52)+SUM(N109:N117)+SUM(N247:N251)+SUM(N379:N380)+SUM(N444:N444)+N484+SUM(N533:N535)+N586+N627+N674+SUM(N718:N720)</f>
        <v>0</v>
      </c>
      <c r="O766" s="1">
        <f>SUM(O52:O52)+SUM(O109:O117)+SUM(O247:O251)+SUM(O379:O380)+SUM(O444:O444)+O484+SUM(O533:O535)+O586+O627+O674+SUM(O718:O720)</f>
        <v>0</v>
      </c>
      <c r="P766" s="1">
        <f>SUM(P52:P52)+SUM(P109:P117)+SUM(P247:P251)+SUM(P379:P380)+SUM(P444:P444)+P484+SUM(P533:P535)+P586+P627+P674+SUM(P718:P720)</f>
        <v>0</v>
      </c>
      <c r="Q766" s="55">
        <f t="shared" ref="Q766:Q774" si="111">SUM(N766:P766)</f>
        <v>0</v>
      </c>
      <c r="R766" s="55">
        <f>+E766+I766+M766+Q766</f>
        <v>1470</v>
      </c>
    </row>
    <row r="767" spans="1:20" ht="15.75" customHeight="1" x14ac:dyDescent="0.3">
      <c r="A767" s="15" t="s">
        <v>67</v>
      </c>
      <c r="B767" s="1">
        <f>SUM(B53:B54)+SUM(B118:B119)+SUM(B252:B253)+B255+B257+B259+B260+SUM(B381:B383)+B445+B485+SUM(B536:B537)+B539+SUM(B587:B588)+B629+B631+B675+SUM(B721:B722)</f>
        <v>3000</v>
      </c>
      <c r="C767" s="1">
        <f>SUM(C53:C54)+SUM(C118:C119)+SUM(C252:C253)+C255+C257+C259+C260+SUM(C381:C383)+C445+C485+SUM(C536:C537)+C539+SUM(C587:C588)+C629+C631+C675+SUM(C721:C722)</f>
        <v>3568</v>
      </c>
      <c r="D767" s="1">
        <f>SUM(D53:D54)+SUM(D118:D119)+SUM(D252:D253)+D255+D257+D259+D260+SUM(D381:D383)+D445+D485+SUM(D536:D537)+D539+SUM(D587:D588)+D629+D631+D675+SUM(D721:D722)</f>
        <v>4241</v>
      </c>
      <c r="E767" s="55">
        <f t="shared" si="108"/>
        <v>10809</v>
      </c>
      <c r="F767" s="1">
        <f>SUM(F53:F54)+SUM(F118:F119)+SUM(F252:F253)+F255+F257+F259+F260+SUM(F381:F383)+F445+F485+SUM(F536:F537)+F539+SUM(F587:F588)+F629+F631+F675+SUM(F721:F722)</f>
        <v>5239</v>
      </c>
      <c r="G767" s="1">
        <f>SUM(G53:G54)+SUM(G118:G119)+SUM(G252:G253)+G255+G257+G259+G260+SUM(G381:G383)+G445+G485+SUM(G536:G537)+G539+SUM(G587:G588)+G629+G631+G675+SUM(G721:G722)</f>
        <v>3000</v>
      </c>
      <c r="H767" s="1">
        <f>SUM(H53:H54)+SUM(H118:H119)+SUM(H252:H253)+H255+H257+H259+H260+SUM(H381:H383)+H445+H485+SUM(H536:H537)+H539+SUM(H587:H588)+H629+H631+H675+SUM(H721:H722)</f>
        <v>800</v>
      </c>
      <c r="I767" s="55">
        <f t="shared" si="109"/>
        <v>9039</v>
      </c>
      <c r="J767" s="1">
        <f>SUM(J53:J54)+SUM(J118:J119)+SUM(J252:J253)+J255+J257+J259+J260+SUM(J381:J383)+J445+J485+SUM(J536:J537)+J539+SUM(J587:J588)+J629+J631+J675+SUM(J721:J722)</f>
        <v>1734</v>
      </c>
      <c r="K767" s="1">
        <f>SUM(K53:K54)+SUM(K118:K119)+SUM(K252:K253)+K255+K257+K259+K260+SUM(K381:K383)+K445+K485+SUM(K536:K537)+K539+SUM(K587:K588)+K629+K631+K675+SUM(K721:K722)</f>
        <v>2650</v>
      </c>
      <c r="L767" s="1">
        <f>SUM(L53:L54)+SUM(L118:L119)+SUM(L252:L253)+L255+L257+L259+L260+SUM(L381:L383)+L445+L485+SUM(L536:L537)+L539+SUM(L587:L588)+L629+L631+L675+SUM(L721:L722)</f>
        <v>3624</v>
      </c>
      <c r="M767" s="55">
        <f t="shared" si="110"/>
        <v>8008</v>
      </c>
      <c r="N767" s="1">
        <f>SUM(N53:N54)+SUM(N118:N119)+SUM(N252:N253)+N255+N257+N259+N260+SUM(N381:N383)+N445+N485+SUM(N536:N537)+N539+SUM(N587:N588)+N629+N631+N675+SUM(N721:N722)</f>
        <v>9630</v>
      </c>
      <c r="O767" s="1">
        <f>SUM(O53:O54)+SUM(O118:O119)+SUM(O252:O253)+O255+O257+O259+O260+SUM(O381:O383)+O445+O485+SUM(O536:O537)+O539+SUM(O587:O588)+O629+O631+O675+SUM(O721:O722)</f>
        <v>10542</v>
      </c>
      <c r="P767" s="1">
        <f>SUM(P53:P54)+SUM(P118:P119)+SUM(P252:P253)+P255+P257+P259+P260+SUM(P381:P383)+P445+P485+SUM(P536:P537)+P539+SUM(P587:P588)+P629+P631+P675+SUM(P721:P722)</f>
        <v>6811</v>
      </c>
      <c r="Q767" s="55">
        <f t="shared" si="111"/>
        <v>26983</v>
      </c>
      <c r="R767" s="55">
        <f t="shared" ref="R767:R774" si="112">+E767+I767+M767+Q767</f>
        <v>54839</v>
      </c>
    </row>
    <row r="768" spans="1:20" ht="15.75" customHeight="1" x14ac:dyDescent="0.3">
      <c r="A768" s="71" t="s">
        <v>378</v>
      </c>
      <c r="B768" s="1">
        <f>B120+B254+B256+B258+B538+B540+B630+B632+B723</f>
        <v>0</v>
      </c>
      <c r="C768" s="1">
        <f>C120+C254+C256+C258+C538+C540+C630+C632+C723</f>
        <v>0</v>
      </c>
      <c r="D768" s="1">
        <f>D120+D254+D256+D258+D538+D540+D630+D632+D723</f>
        <v>0</v>
      </c>
      <c r="E768" s="55">
        <f t="shared" si="108"/>
        <v>0</v>
      </c>
      <c r="F768" s="1">
        <f>F120+F254+F256+F258+F538+F540+F630+F632+F723</f>
        <v>0</v>
      </c>
      <c r="G768" s="1">
        <f>G120+G254+G256+G258+G538+G540+G630+G632+G723</f>
        <v>0</v>
      </c>
      <c r="H768" s="1">
        <f>H120+H254+H256+H258+H538+H540+H630+H632+H723</f>
        <v>0</v>
      </c>
      <c r="I768" s="55">
        <f t="shared" si="109"/>
        <v>0</v>
      </c>
      <c r="J768" s="1">
        <f>J120+J254+J256+J258+J538+J540+J630+J632+J723</f>
        <v>0</v>
      </c>
      <c r="K768" s="1">
        <f>K120+K254+K256+K258+K538+K540+K630+K632+K723</f>
        <v>0</v>
      </c>
      <c r="L768" s="1">
        <f>L120+L254+L256+L258+L538+L540+L630+L632+L723</f>
        <v>0</v>
      </c>
      <c r="M768" s="55">
        <f t="shared" si="110"/>
        <v>0</v>
      </c>
      <c r="N768" s="1">
        <f>N120+N254+N256+N258+N538+N540+N630+N632+N723</f>
        <v>0</v>
      </c>
      <c r="O768" s="1">
        <f>O120+O254+O256+O258+O538+O540+O630+O632+O723</f>
        <v>0</v>
      </c>
      <c r="P768" s="1">
        <f>P120+P254+P256+P258+P538+P540+P630+P632+P723</f>
        <v>0</v>
      </c>
      <c r="Q768" s="55">
        <f t="shared" si="111"/>
        <v>0</v>
      </c>
      <c r="R768" s="55">
        <f t="shared" si="112"/>
        <v>0</v>
      </c>
    </row>
    <row r="769" spans="1:18" ht="15.75" customHeight="1" x14ac:dyDescent="0.3">
      <c r="A769" s="15" t="s">
        <v>1020</v>
      </c>
      <c r="B769" s="1">
        <f>+B55+SUM(B121:B122)+SUM(B261:B261)+SUM(B384:B390)+SUM(B446:B446)+SUM(B486:B487)+B541+B589+B633+B724+B724</f>
        <v>0</v>
      </c>
      <c r="C769" s="1">
        <f>+C55+SUM(C121:C122)+SUM(C261:C261)+SUM(C384:C390)+SUM(C446:C446)+SUM(C486:C487)+C541+C589+C633+C724+C724</f>
        <v>0</v>
      </c>
      <c r="D769" s="1">
        <f>+D55+SUM(D121:D122)+SUM(D261:D261)+SUM(D384:D390)+SUM(D446:D446)+SUM(D486:D487)+D541+D589+D633+D724+D724</f>
        <v>3941</v>
      </c>
      <c r="E769" s="55">
        <f t="shared" si="108"/>
        <v>3941</v>
      </c>
      <c r="F769" s="1">
        <f>+F55+SUM(F121:F122)+SUM(F261:F261)+SUM(F384:F390)+SUM(F446:F446)+SUM(F486:F487)+F541+F589+F633+F724+F724</f>
        <v>1643</v>
      </c>
      <c r="G769" s="1">
        <f>+G55+SUM(G121:G122)+SUM(G261:G261)+SUM(G384:G390)+SUM(G446:G446)+SUM(G486:G487)+G541+G589+G633+G724+G724</f>
        <v>0</v>
      </c>
      <c r="H769" s="1">
        <f>+H55+SUM(H121:H122)+SUM(H261:H261)+SUM(H384:H390)+SUM(H446:H446)+SUM(H486:H487)+H541+H589+H633+H724+H724</f>
        <v>0</v>
      </c>
      <c r="I769" s="55">
        <f t="shared" si="109"/>
        <v>1643</v>
      </c>
      <c r="J769" s="1">
        <f>+J55+SUM(J121:J122)+SUM(J261:J261)+SUM(J384:J390)+SUM(J446:J446)+SUM(J486:J487)+J541+J589+J633+J724+J724</f>
        <v>0</v>
      </c>
      <c r="K769" s="1">
        <f>+K55+SUM(K121:K122)+SUM(K261:K261)+SUM(K384:K390)+SUM(K446:K446)+SUM(K486:K487)+K541+K589+K633+K724+K724</f>
        <v>1453</v>
      </c>
      <c r="L769" s="1">
        <f>+L55+SUM(L121:L122)+SUM(L261:L261)+SUM(L384:L390)+SUM(L446:L446)+SUM(L486:L487)+L541+L589+L633+L724+L724</f>
        <v>38</v>
      </c>
      <c r="M769" s="55">
        <f t="shared" si="110"/>
        <v>1491</v>
      </c>
      <c r="N769" s="1">
        <f>+N55+SUM(N121:N122)+SUM(N261:N261)+SUM(N384:N390)+SUM(N446:N446)+SUM(N486:N487)+N541+N589+N633+N724+N724</f>
        <v>3798</v>
      </c>
      <c r="O769" s="1">
        <f>+O55+SUM(O121:O122)+SUM(O261:O261)+SUM(O384:O390)+SUM(O446:O446)+SUM(O486:O487)+O541+O589+O633+O724+O724</f>
        <v>2238</v>
      </c>
      <c r="P769" s="1">
        <f>+P55+SUM(P121:P122)+SUM(P261:P261)+SUM(P384:P390)+SUM(P446:P446)+SUM(P486:P487)+P541+P589+P633+P724+P724</f>
        <v>818</v>
      </c>
      <c r="Q769" s="55">
        <f t="shared" si="111"/>
        <v>6854</v>
      </c>
      <c r="R769" s="55">
        <f>+E769+I769+M769+Q769</f>
        <v>13929</v>
      </c>
    </row>
    <row r="770" spans="1:18" ht="22.5" customHeight="1" x14ac:dyDescent="0.3">
      <c r="A770" s="15" t="s">
        <v>1021</v>
      </c>
      <c r="B770" s="1">
        <f>SUM(B123:B123)+SUM(B262:B262)+B392+B393+B395+B396+B398+B400+SUM(B447:B448)+B489+B491+B542+SUM(B543:B544)+B590+B634+B677+B725</f>
        <v>400</v>
      </c>
      <c r="C770" s="1">
        <f>SUM(C123:C123)+SUM(C262:C262)+C392+C393+C395+C396+C398+C400+SUM(C447:C448)+C489+C491+C542+SUM(C543:C544)+C590+C634+C677+C725</f>
        <v>500</v>
      </c>
      <c r="D770" s="1">
        <f>SUM(D123:D123)+SUM(D262:D262)+D392+D393+D395+D396+D398+D400+SUM(D447:D448)+D489+D491+D542+SUM(D543:D544)+D590+D634+D677+D725</f>
        <v>900</v>
      </c>
      <c r="E770" s="55">
        <f t="shared" si="108"/>
        <v>1800</v>
      </c>
      <c r="F770" s="1">
        <f>SUM(F123:F123)+SUM(F262:F262)+F392+F393+F395+F396+F398+F400+SUM(F447:F448)+F489+F491+F542+SUM(F543:F544)+F590+F634+F677+F725</f>
        <v>4261</v>
      </c>
      <c r="G770" s="1">
        <f>SUM(G123:G123)+SUM(G262:G262)+G392+G393+G395+G396+G398+G400+SUM(G447:G448)+G489+G491+G542+SUM(G543:G544)+G590+G634+G677+G725</f>
        <v>2750</v>
      </c>
      <c r="H770" s="1">
        <f>SUM(H123:H123)+SUM(H262:H262)+H392+H393+H395+H396+H398+H400+SUM(H447:H448)+H489+H491+H542+SUM(H543:H544)+H590+H634+H677+H725</f>
        <v>3762</v>
      </c>
      <c r="I770" s="55">
        <f t="shared" si="109"/>
        <v>10773</v>
      </c>
      <c r="J770" s="1">
        <f>SUM(J123:J123)+SUM(J262:J262)+J392+J393+J395+J396+J398+J400+SUM(J447:J448)+J489+J491+J542+SUM(J543:J544)+J590+J634+J677+J725</f>
        <v>3416</v>
      </c>
      <c r="K770" s="1">
        <f>SUM(K123:K123)+SUM(K262:K262)+K392+K393+K395+K396+K398+K400+SUM(K447:K448)+K489+K491+K542+SUM(K543:K544)+K590+K634+K677+K725</f>
        <v>2122</v>
      </c>
      <c r="L770" s="1">
        <f>SUM(L123:L123)+SUM(L262:L262)+L392+L393+L395+L396+L398+L400+SUM(L447:L448)+L489+L491+L542+SUM(L543:L544)+L590+L634+L677+L725</f>
        <v>548</v>
      </c>
      <c r="M770" s="55">
        <f t="shared" si="110"/>
        <v>6086</v>
      </c>
      <c r="N770" s="1">
        <f>SUM(N123:N123)+SUM(N262:N262)+N392+N393+N395+N396+N398+N400+SUM(N447:N448)+N489+N491+N542+SUM(N543:N544)+N590+N634+N677+N725</f>
        <v>423</v>
      </c>
      <c r="O770" s="1">
        <f>SUM(O123:O123)+SUM(O262:O262)+O392+O393+O395+O396+O398+O400+SUM(O447:O448)+O489+O491+O542+SUM(O543:O544)+O590+O634+O677+O725</f>
        <v>1100</v>
      </c>
      <c r="P770" s="1">
        <f>SUM(P123:P123)+SUM(P262:P262)+P392+P393+P395+P396+P398+P400+SUM(P447:P448)+P489+P491+P542+SUM(P543:P544)+P590+P634+P677+P725</f>
        <v>2000</v>
      </c>
      <c r="Q770" s="55">
        <f t="shared" si="111"/>
        <v>3523</v>
      </c>
      <c r="R770" s="55">
        <f t="shared" si="112"/>
        <v>22182</v>
      </c>
    </row>
    <row r="771" spans="1:18" ht="15.75" customHeight="1" thickBot="1" x14ac:dyDescent="0.35">
      <c r="A771" s="71" t="s">
        <v>379</v>
      </c>
      <c r="B771" s="1">
        <f>+B394+B397+B399+B449</f>
        <v>0</v>
      </c>
      <c r="C771" s="1">
        <f>+C394+C397+C399+C449</f>
        <v>0</v>
      </c>
      <c r="D771" s="1">
        <f>+D394+D397+D399+D449</f>
        <v>0</v>
      </c>
      <c r="E771" s="55">
        <f>SUM(B771:D771)</f>
        <v>0</v>
      </c>
      <c r="F771" s="1">
        <f>+F394+F397+F399+F449</f>
        <v>0</v>
      </c>
      <c r="G771" s="1">
        <f>+G394+G397+G399+G449</f>
        <v>0</v>
      </c>
      <c r="H771" s="1">
        <f>+H394+H397+H399+H449</f>
        <v>0</v>
      </c>
      <c r="I771" s="55">
        <f>SUM(F771:H771)</f>
        <v>0</v>
      </c>
      <c r="J771" s="1">
        <f>+J394+J397+J399+J449</f>
        <v>0</v>
      </c>
      <c r="K771" s="1">
        <f>+K394+K397+K399+K449</f>
        <v>0</v>
      </c>
      <c r="L771" s="1">
        <f>+L394+L397+L399+L449</f>
        <v>0</v>
      </c>
      <c r="M771" s="55">
        <f>SUM(J771:L771)</f>
        <v>0</v>
      </c>
      <c r="N771" s="1">
        <f>+N394+N397+N399+N449</f>
        <v>0</v>
      </c>
      <c r="O771" s="1">
        <f>+O394+O397+O399+O449</f>
        <v>0</v>
      </c>
      <c r="P771" s="1">
        <f>+P394+P397+P399+P449</f>
        <v>0</v>
      </c>
      <c r="Q771" s="55">
        <f>SUM(N771:P771)</f>
        <v>0</v>
      </c>
      <c r="R771" s="55">
        <f>+E771+I771+M771+Q771</f>
        <v>0</v>
      </c>
    </row>
    <row r="772" spans="1:18" ht="16.5" customHeight="1" thickBot="1" x14ac:dyDescent="0.35">
      <c r="A772" s="57" t="s">
        <v>71</v>
      </c>
      <c r="B772" s="146">
        <f>SUM(B769:B771)</f>
        <v>400</v>
      </c>
      <c r="C772" s="146">
        <f>SUM(C769:C771)</f>
        <v>500</v>
      </c>
      <c r="D772" s="146">
        <f>SUM(D769:D771)</f>
        <v>4841</v>
      </c>
      <c r="E772" s="60">
        <f t="shared" si="108"/>
        <v>5741</v>
      </c>
      <c r="F772" s="146">
        <f>SUM(F769:F771)</f>
        <v>5904</v>
      </c>
      <c r="G772" s="146">
        <f>SUM(G769:G771)</f>
        <v>2750</v>
      </c>
      <c r="H772" s="146">
        <f>SUM(H769:H771)</f>
        <v>3762</v>
      </c>
      <c r="I772" s="60">
        <f t="shared" si="109"/>
        <v>12416</v>
      </c>
      <c r="J772" s="146">
        <f>SUM(J769:J771)</f>
        <v>3416</v>
      </c>
      <c r="K772" s="146">
        <f>SUM(K769:K771)</f>
        <v>3575</v>
      </c>
      <c r="L772" s="146">
        <f>SUM(L769:L771)</f>
        <v>586</v>
      </c>
      <c r="M772" s="60">
        <f t="shared" si="110"/>
        <v>7577</v>
      </c>
      <c r="N772" s="146">
        <f>SUM(N769:N771)</f>
        <v>4221</v>
      </c>
      <c r="O772" s="146">
        <f>SUM(O769:O771)</f>
        <v>3338</v>
      </c>
      <c r="P772" s="146">
        <f>SUM(P769:P771)</f>
        <v>2818</v>
      </c>
      <c r="Q772" s="60">
        <f t="shared" si="111"/>
        <v>10377</v>
      </c>
      <c r="R772" s="59">
        <f t="shared" si="112"/>
        <v>36111</v>
      </c>
    </row>
    <row r="773" spans="1:18" ht="16.5" customHeight="1" thickBot="1" x14ac:dyDescent="0.35">
      <c r="A773" s="114" t="s">
        <v>72</v>
      </c>
      <c r="B773" s="86">
        <f>SUM(B765:B771)</f>
        <v>4600</v>
      </c>
      <c r="C773" s="87">
        <f>SUM(C765:C771)</f>
        <v>4068</v>
      </c>
      <c r="D773" s="118">
        <f>SUM(D765:D771)</f>
        <v>9082</v>
      </c>
      <c r="E773" s="147">
        <f t="shared" si="108"/>
        <v>17750</v>
      </c>
      <c r="F773" s="86">
        <f>SUM(F765:F771)</f>
        <v>11143</v>
      </c>
      <c r="G773" s="87">
        <f>SUM(G765:G771)</f>
        <v>5750</v>
      </c>
      <c r="H773" s="118">
        <f>SUM(H765:H771)</f>
        <v>4562</v>
      </c>
      <c r="I773" s="60">
        <f t="shared" si="109"/>
        <v>21455</v>
      </c>
      <c r="J773" s="86">
        <f>SUM(J765:J771)</f>
        <v>5150</v>
      </c>
      <c r="K773" s="87">
        <f>SUM(K765:K771)</f>
        <v>6495</v>
      </c>
      <c r="L773" s="118">
        <f>SUM(L765:L771)</f>
        <v>4210</v>
      </c>
      <c r="M773" s="60">
        <f t="shared" si="110"/>
        <v>15855</v>
      </c>
      <c r="N773" s="86">
        <f>SUM(N765:N771)</f>
        <v>13851</v>
      </c>
      <c r="O773" s="87">
        <f>SUM(O765:O771)</f>
        <v>13880</v>
      </c>
      <c r="P773" s="118">
        <f>SUM(P765:P771)</f>
        <v>9629</v>
      </c>
      <c r="Q773" s="60">
        <f t="shared" si="111"/>
        <v>37360</v>
      </c>
      <c r="R773" s="59">
        <f>+E773+I773+M773+Q773</f>
        <v>92420</v>
      </c>
    </row>
    <row r="774" spans="1:18" ht="16.5" customHeight="1" thickBot="1" x14ac:dyDescent="0.35">
      <c r="A774" s="57" t="s">
        <v>73</v>
      </c>
      <c r="B774" s="148">
        <f>+B755+B760+B764+B773</f>
        <v>54644</v>
      </c>
      <c r="C774" s="149">
        <f>+C755+C760+C764+C773</f>
        <v>73683</v>
      </c>
      <c r="D774" s="149">
        <f>+D755+D760+D764+D773</f>
        <v>123825</v>
      </c>
      <c r="E774" s="59">
        <f t="shared" si="108"/>
        <v>252152</v>
      </c>
      <c r="F774" s="58">
        <f>+F755+F760+F764+F773</f>
        <v>164245</v>
      </c>
      <c r="G774" s="58">
        <f>+G755+G760+G764+G773</f>
        <v>187340</v>
      </c>
      <c r="H774" s="58">
        <f>+H755+H760+H764+H773</f>
        <v>194295</v>
      </c>
      <c r="I774" s="59">
        <f t="shared" si="109"/>
        <v>545880</v>
      </c>
      <c r="J774" s="58">
        <f>+J755+J760+J764+J773</f>
        <v>183511</v>
      </c>
      <c r="K774" s="58">
        <f>+K755+K760+K764+K773</f>
        <v>165587</v>
      </c>
      <c r="L774" s="58">
        <f>+L755+L760+L764+L773</f>
        <v>114740</v>
      </c>
      <c r="M774" s="59">
        <f t="shared" si="110"/>
        <v>463838</v>
      </c>
      <c r="N774" s="58">
        <f>+N755+N760+N764+N773</f>
        <v>110496</v>
      </c>
      <c r="O774" s="58">
        <f>+O755+O760+O764+O773</f>
        <v>82300</v>
      </c>
      <c r="P774" s="58">
        <f>+P755+P760+P764+P773</f>
        <v>71294</v>
      </c>
      <c r="Q774" s="59">
        <f t="shared" si="111"/>
        <v>264090</v>
      </c>
      <c r="R774" s="81">
        <f t="shared" si="112"/>
        <v>1525960</v>
      </c>
    </row>
    <row r="775" spans="1:18" ht="15.75" customHeight="1" x14ac:dyDescent="0.3">
      <c r="A775" s="1" t="s">
        <v>1022</v>
      </c>
      <c r="B775" s="1"/>
      <c r="C775" s="1"/>
      <c r="D775" s="1"/>
      <c r="E775" s="1"/>
      <c r="F775" s="1"/>
      <c r="G775" s="1"/>
      <c r="H775" s="1"/>
      <c r="I775" s="1"/>
      <c r="J775" s="1"/>
      <c r="K775" s="1"/>
      <c r="L775" s="1"/>
      <c r="M775" s="1"/>
      <c r="N775" s="1"/>
      <c r="O775" s="316"/>
      <c r="P775" s="1"/>
      <c r="Q775" s="1"/>
      <c r="R775" s="2"/>
    </row>
    <row r="776" spans="1:18" ht="15.75" customHeight="1" x14ac:dyDescent="0.3">
      <c r="A776" s="1" t="s">
        <v>1146</v>
      </c>
      <c r="B776" s="1"/>
      <c r="C776" s="1"/>
      <c r="D776" s="1"/>
      <c r="E776" s="1"/>
      <c r="F776" s="1"/>
      <c r="G776" s="1"/>
      <c r="H776" s="1"/>
      <c r="I776" s="1"/>
      <c r="J776" s="1"/>
      <c r="K776" s="1"/>
      <c r="L776" s="1"/>
      <c r="M776" s="1"/>
      <c r="N776" s="1"/>
      <c r="O776" s="316"/>
      <c r="P776" s="1"/>
      <c r="Q776" s="1"/>
      <c r="R776" s="2"/>
    </row>
    <row r="777" spans="1:18" ht="15.75" customHeight="1" x14ac:dyDescent="0.3">
      <c r="A777" s="1"/>
      <c r="B777" s="1"/>
      <c r="C777" s="1"/>
      <c r="D777" s="1"/>
      <c r="E777" s="1"/>
      <c r="F777" s="1"/>
      <c r="G777" s="1"/>
      <c r="H777" s="1"/>
      <c r="I777" s="1"/>
      <c r="J777" s="1"/>
      <c r="K777" s="1"/>
      <c r="L777" s="1"/>
      <c r="M777" s="1"/>
      <c r="N777" s="1"/>
      <c r="O777" s="316"/>
      <c r="P777" s="1"/>
      <c r="Q777" s="338" t="str">
        <f>+Q1</f>
        <v xml:space="preserve">PRINTED:  </v>
      </c>
      <c r="R777" s="360">
        <f ca="1">+R1</f>
        <v>44909.46975358796</v>
      </c>
    </row>
    <row r="778" spans="1:18" ht="15.75" customHeight="1" x14ac:dyDescent="0.3">
      <c r="A778" s="499" t="s">
        <v>1</v>
      </c>
      <c r="B778" s="499"/>
      <c r="C778" s="499"/>
      <c r="D778" s="499"/>
      <c r="E778" s="499"/>
      <c r="F778" s="499"/>
      <c r="G778" s="499"/>
      <c r="H778" s="499"/>
      <c r="I778" s="499"/>
      <c r="J778" s="499"/>
      <c r="K778" s="499"/>
      <c r="L778" s="499"/>
      <c r="M778" s="499"/>
      <c r="N778" s="499"/>
      <c r="O778" s="499"/>
      <c r="P778" s="499"/>
      <c r="Q778" s="499"/>
      <c r="R778" s="499"/>
    </row>
    <row r="779" spans="1:18" ht="15.75" customHeight="1" x14ac:dyDescent="0.3">
      <c r="A779" s="499" t="s">
        <v>2</v>
      </c>
      <c r="B779" s="499"/>
      <c r="C779" s="499"/>
      <c r="D779" s="499"/>
      <c r="E779" s="499"/>
      <c r="F779" s="499"/>
      <c r="G779" s="499"/>
      <c r="H779" s="499"/>
      <c r="I779" s="499"/>
      <c r="J779" s="499"/>
      <c r="K779" s="499"/>
      <c r="L779" s="499"/>
      <c r="M779" s="499"/>
      <c r="N779" s="499"/>
      <c r="O779" s="499"/>
      <c r="P779" s="499"/>
      <c r="Q779" s="499"/>
      <c r="R779" s="499"/>
    </row>
    <row r="780" spans="1:18" ht="15.75" customHeight="1" x14ac:dyDescent="0.3">
      <c r="A780" s="499" t="s">
        <v>3</v>
      </c>
      <c r="B780" s="499"/>
      <c r="C780" s="499"/>
      <c r="D780" s="499"/>
      <c r="E780" s="499"/>
      <c r="F780" s="499"/>
      <c r="G780" s="499"/>
      <c r="H780" s="499"/>
      <c r="I780" s="499"/>
      <c r="J780" s="499"/>
      <c r="K780" s="499"/>
      <c r="L780" s="499"/>
      <c r="M780" s="499"/>
      <c r="N780" s="499"/>
      <c r="O780" s="499"/>
      <c r="P780" s="499"/>
      <c r="Q780" s="499"/>
      <c r="R780" s="499"/>
    </row>
    <row r="781" spans="1:18" ht="15.75" customHeight="1" x14ac:dyDescent="0.3">
      <c r="A781" s="499">
        <f>+A5</f>
        <v>2014</v>
      </c>
      <c r="B781" s="499"/>
      <c r="C781" s="499"/>
      <c r="D781" s="499"/>
      <c r="E781" s="499"/>
      <c r="F781" s="499"/>
      <c r="G781" s="499"/>
      <c r="H781" s="499"/>
      <c r="I781" s="499"/>
      <c r="J781" s="499"/>
      <c r="K781" s="499"/>
      <c r="L781" s="499"/>
      <c r="M781" s="499"/>
      <c r="N781" s="499"/>
      <c r="O781" s="499"/>
      <c r="P781" s="499"/>
      <c r="Q781" s="499"/>
      <c r="R781" s="499"/>
    </row>
    <row r="782" spans="1:18" ht="15.75" customHeight="1" x14ac:dyDescent="0.3">
      <c r="A782" s="1"/>
      <c r="B782" s="1"/>
      <c r="C782" s="1"/>
      <c r="D782" s="5"/>
      <c r="E782" s="5"/>
      <c r="F782" s="5"/>
      <c r="G782" s="6"/>
      <c r="H782" s="5"/>
      <c r="I782" s="5"/>
      <c r="J782" s="6"/>
      <c r="K782" s="6"/>
      <c r="L782" s="6"/>
      <c r="M782" s="6"/>
      <c r="N782" s="1"/>
      <c r="O782" s="6"/>
      <c r="P782" s="6"/>
      <c r="Q782" s="6"/>
      <c r="R782" s="6"/>
    </row>
    <row r="783" spans="1:18" ht="15.75" customHeight="1" x14ac:dyDescent="0.3">
      <c r="A783" s="499" t="str">
        <f>+A8</f>
        <v>Revised:  2/10/2015</v>
      </c>
      <c r="B783" s="499"/>
      <c r="C783" s="499"/>
      <c r="D783" s="499"/>
      <c r="E783" s="499"/>
      <c r="F783" s="499"/>
      <c r="G783" s="499"/>
      <c r="H783" s="499"/>
      <c r="I783" s="499"/>
      <c r="J783" s="499"/>
      <c r="K783" s="499"/>
      <c r="L783" s="499"/>
      <c r="M783" s="499"/>
      <c r="N783" s="499"/>
      <c r="O783" s="499"/>
      <c r="P783" s="499"/>
      <c r="Q783" s="499"/>
      <c r="R783" s="499"/>
    </row>
    <row r="784" spans="1:18" ht="15.75" customHeight="1" x14ac:dyDescent="0.3">
      <c r="A784" s="314"/>
      <c r="B784" s="314"/>
      <c r="C784" s="314"/>
      <c r="D784" s="314"/>
      <c r="E784" s="314"/>
      <c r="F784" s="314"/>
      <c r="G784" s="314"/>
      <c r="H784" s="314"/>
      <c r="I784" s="314"/>
      <c r="J784" s="314"/>
      <c r="K784" s="314"/>
      <c r="L784" s="314"/>
      <c r="M784" s="314"/>
      <c r="N784" s="314"/>
      <c r="O784" s="314"/>
      <c r="P784" s="314"/>
      <c r="Q784" s="314"/>
      <c r="R784" s="314"/>
    </row>
    <row r="785" spans="1:46" ht="15.75" customHeight="1" x14ac:dyDescent="0.3">
      <c r="A785" s="28"/>
      <c r="B785" s="1"/>
      <c r="C785" s="1"/>
      <c r="D785" s="1"/>
      <c r="E785" s="1"/>
      <c r="F785" s="1"/>
      <c r="G785" s="1"/>
      <c r="H785" s="1"/>
      <c r="I785" s="1"/>
      <c r="J785" s="1"/>
      <c r="K785" s="1"/>
      <c r="L785" s="1"/>
      <c r="M785" s="1"/>
      <c r="N785" s="1"/>
      <c r="O785" s="1"/>
      <c r="P785" s="1"/>
      <c r="Q785" s="1"/>
      <c r="R785" s="2"/>
    </row>
    <row r="786" spans="1:46" ht="15.75" customHeight="1" thickBot="1" x14ac:dyDescent="0.35">
      <c r="A786" s="1"/>
      <c r="B786" s="1"/>
      <c r="C786" s="1"/>
      <c r="D786" s="1"/>
      <c r="E786" s="1"/>
      <c r="F786" s="1"/>
      <c r="G786" s="1"/>
      <c r="H786" s="1"/>
      <c r="I786" s="1"/>
      <c r="J786" s="1"/>
      <c r="K786" s="1"/>
      <c r="L786" s="1"/>
      <c r="M786" s="1"/>
      <c r="N786" s="1"/>
      <c r="O786" s="316"/>
      <c r="P786" s="1"/>
      <c r="Q786" s="1"/>
      <c r="R786" s="2"/>
    </row>
    <row r="787" spans="1:46" ht="15.75" customHeight="1" thickBot="1" x14ac:dyDescent="0.35">
      <c r="A787" s="107" t="s">
        <v>380</v>
      </c>
      <c r="B787" s="47" t="s">
        <v>8</v>
      </c>
      <c r="C787" s="48" t="s">
        <v>9</v>
      </c>
      <c r="D787" s="48" t="s">
        <v>10</v>
      </c>
      <c r="E787" s="32" t="s">
        <v>11</v>
      </c>
      <c r="F787" s="48" t="s">
        <v>12</v>
      </c>
      <c r="G787" s="48" t="s">
        <v>13</v>
      </c>
      <c r="H787" s="48" t="s">
        <v>14</v>
      </c>
      <c r="I787" s="32" t="s">
        <v>15</v>
      </c>
      <c r="J787" s="48" t="s">
        <v>16</v>
      </c>
      <c r="K787" s="48" t="s">
        <v>17</v>
      </c>
      <c r="L787" s="48" t="s">
        <v>18</v>
      </c>
      <c r="M787" s="32" t="s">
        <v>19</v>
      </c>
      <c r="N787" s="48" t="s">
        <v>20</v>
      </c>
      <c r="O787" s="48" t="s">
        <v>21</v>
      </c>
      <c r="P787" s="48" t="s">
        <v>22</v>
      </c>
      <c r="Q787" s="32" t="s">
        <v>23</v>
      </c>
      <c r="R787" s="151" t="s">
        <v>24</v>
      </c>
    </row>
    <row r="788" spans="1:46" ht="16.5" customHeight="1" thickBot="1" x14ac:dyDescent="0.35">
      <c r="A788" s="152"/>
      <c r="B788" s="153"/>
      <c r="C788" s="153"/>
      <c r="D788" s="153"/>
      <c r="E788" s="52"/>
      <c r="F788" s="153"/>
      <c r="G788" s="153"/>
      <c r="H788" s="153"/>
      <c r="I788" s="37"/>
      <c r="J788" s="153"/>
      <c r="K788" s="153"/>
      <c r="L788" s="153"/>
      <c r="M788" s="37"/>
      <c r="N788" s="153"/>
      <c r="O788" s="153"/>
      <c r="P788" s="153"/>
      <c r="Q788" s="127"/>
      <c r="R788" s="154"/>
    </row>
    <row r="789" spans="1:46" ht="16.5" customHeight="1" thickBot="1" x14ac:dyDescent="0.35">
      <c r="A789" s="155" t="s">
        <v>381</v>
      </c>
      <c r="B789" s="156">
        <f>+B755</f>
        <v>23963</v>
      </c>
      <c r="C789" s="156">
        <f>+C755</f>
        <v>24766</v>
      </c>
      <c r="D789" s="156">
        <f>+D755</f>
        <v>40992</v>
      </c>
      <c r="E789" s="86">
        <f>+SUM(B789:D789)</f>
        <v>89721</v>
      </c>
      <c r="F789" s="156">
        <f>+F755</f>
        <v>38757</v>
      </c>
      <c r="G789" s="156">
        <f>+G755</f>
        <v>39353</v>
      </c>
      <c r="H789" s="156">
        <f>+H755</f>
        <v>44249</v>
      </c>
      <c r="I789" s="86">
        <f>+SUM(F789:H789)</f>
        <v>122359</v>
      </c>
      <c r="J789" s="156">
        <f>+J755</f>
        <v>58623</v>
      </c>
      <c r="K789" s="156">
        <f>+K755</f>
        <v>52662</v>
      </c>
      <c r="L789" s="156">
        <f>+L755</f>
        <v>53162</v>
      </c>
      <c r="M789" s="86">
        <f>+SUM(J789:L789)</f>
        <v>164447</v>
      </c>
      <c r="N789" s="156">
        <f>+N755</f>
        <v>47374</v>
      </c>
      <c r="O789" s="156">
        <f>+O755</f>
        <v>37704</v>
      </c>
      <c r="P789" s="156">
        <f>+P755</f>
        <v>37751</v>
      </c>
      <c r="Q789" s="86">
        <f>+SUM(N789:P789)</f>
        <v>122829</v>
      </c>
      <c r="R789" s="59">
        <f>+E789+I789+M789+Q789</f>
        <v>499356</v>
      </c>
    </row>
    <row r="790" spans="1:46" ht="16.5" customHeight="1" thickBot="1" x14ac:dyDescent="0.35">
      <c r="A790" s="33"/>
      <c r="B790" s="86"/>
      <c r="C790" s="86"/>
      <c r="D790" s="86"/>
      <c r="E790" s="86"/>
      <c r="F790" s="86"/>
      <c r="G790" s="86"/>
      <c r="H790" s="86"/>
      <c r="I790" s="86"/>
      <c r="J790" s="86"/>
      <c r="K790" s="86"/>
      <c r="L790" s="86"/>
      <c r="M790" s="86"/>
      <c r="N790" s="86"/>
      <c r="O790" s="86"/>
      <c r="P790" s="86"/>
      <c r="Q790" s="86"/>
      <c r="R790" s="59"/>
    </row>
    <row r="791" spans="1:46" ht="16.5" customHeight="1" thickBot="1" x14ac:dyDescent="0.35">
      <c r="A791" s="155" t="s">
        <v>382</v>
      </c>
      <c r="B791" s="156">
        <f>+B760</f>
        <v>9462</v>
      </c>
      <c r="C791" s="156">
        <f>+C760</f>
        <v>20946</v>
      </c>
      <c r="D791" s="156">
        <f>+D760</f>
        <v>34188</v>
      </c>
      <c r="E791" s="86">
        <f>+SUM(B791:D791)</f>
        <v>64596</v>
      </c>
      <c r="F791" s="156">
        <f>+F760</f>
        <v>42771</v>
      </c>
      <c r="G791" s="156">
        <f>+G760</f>
        <v>50543</v>
      </c>
      <c r="H791" s="156">
        <f>+H760</f>
        <v>67522</v>
      </c>
      <c r="I791" s="86">
        <f>+SUM(F791:H791)</f>
        <v>160836</v>
      </c>
      <c r="J791" s="156">
        <f>+J760</f>
        <v>57537</v>
      </c>
      <c r="K791" s="156">
        <f>+K760</f>
        <v>50717</v>
      </c>
      <c r="L791" s="156">
        <f>+L760</f>
        <v>27397</v>
      </c>
      <c r="M791" s="86">
        <f>+SUM(J791:L791)</f>
        <v>135651</v>
      </c>
      <c r="N791" s="156">
        <f>+N760</f>
        <v>24799</v>
      </c>
      <c r="O791" s="156">
        <f>+O760</f>
        <v>7235</v>
      </c>
      <c r="P791" s="156">
        <f>+P760</f>
        <v>6786</v>
      </c>
      <c r="Q791" s="86">
        <f>+SUM(N791:P791)</f>
        <v>38820</v>
      </c>
      <c r="R791" s="59">
        <f>+E791+I791+M791+Q791</f>
        <v>399903</v>
      </c>
    </row>
    <row r="792" spans="1:46" ht="16.5" customHeight="1" thickBot="1" x14ac:dyDescent="0.35">
      <c r="A792" s="33"/>
      <c r="B792" s="86"/>
      <c r="C792" s="86"/>
      <c r="D792" s="86"/>
      <c r="E792" s="86"/>
      <c r="F792" s="86"/>
      <c r="G792" s="86"/>
      <c r="H792" s="86"/>
      <c r="I792" s="86"/>
      <c r="J792" s="86"/>
      <c r="K792" s="86"/>
      <c r="L792" s="86"/>
      <c r="M792" s="86"/>
      <c r="N792" s="86"/>
      <c r="O792" s="86"/>
      <c r="P792" s="86"/>
      <c r="Q792" s="86"/>
      <c r="R792" s="59"/>
      <c r="AC792" s="318"/>
      <c r="AD792" s="319"/>
      <c r="AE792" s="321" t="s">
        <v>423</v>
      </c>
      <c r="AF792" s="319"/>
      <c r="AG792" s="319"/>
      <c r="AH792" s="319"/>
      <c r="AI792" s="319"/>
      <c r="AJ792" s="319"/>
      <c r="AK792" s="319" t="s">
        <v>424</v>
      </c>
      <c r="AL792" s="319"/>
      <c r="AM792" s="319" t="s">
        <v>7</v>
      </c>
      <c r="AN792" s="329" t="str">
        <f>+A8</f>
        <v>Revised:  2/10/2015</v>
      </c>
      <c r="AO792" s="319"/>
      <c r="AP792" s="319"/>
      <c r="AQ792" s="319"/>
      <c r="AR792" s="319"/>
      <c r="AS792" s="361" t="str">
        <f>+Q1</f>
        <v xml:space="preserve">PRINTED:  </v>
      </c>
      <c r="AT792" s="362">
        <f ca="1">+R1</f>
        <v>44909.46975358796</v>
      </c>
    </row>
    <row r="793" spans="1:46" ht="16.5" customHeight="1" thickBot="1" x14ac:dyDescent="0.35">
      <c r="A793" s="155" t="s">
        <v>383</v>
      </c>
      <c r="B793" s="156">
        <f>+B764</f>
        <v>16619</v>
      </c>
      <c r="C793" s="156">
        <f>+C764</f>
        <v>23903</v>
      </c>
      <c r="D793" s="156">
        <f>+D764</f>
        <v>39563</v>
      </c>
      <c r="E793" s="86">
        <f>+SUM(B793:D793)</f>
        <v>80085</v>
      </c>
      <c r="F793" s="156">
        <f>+F764</f>
        <v>71574</v>
      </c>
      <c r="G793" s="156">
        <f>+G764</f>
        <v>91694</v>
      </c>
      <c r="H793" s="156">
        <f>+H764</f>
        <v>77962</v>
      </c>
      <c r="I793" s="86">
        <f>+SUM(F793:H793)</f>
        <v>241230</v>
      </c>
      <c r="J793" s="156">
        <f>+J764</f>
        <v>62201</v>
      </c>
      <c r="K793" s="156">
        <f>+K764</f>
        <v>55713</v>
      </c>
      <c r="L793" s="156">
        <f>+L764</f>
        <v>29971</v>
      </c>
      <c r="M793" s="86">
        <f>+SUM(J793:L793)</f>
        <v>147885</v>
      </c>
      <c r="N793" s="156">
        <f>+N764</f>
        <v>24472</v>
      </c>
      <c r="O793" s="156">
        <f>+O764</f>
        <v>23481</v>
      </c>
      <c r="P793" s="156">
        <f>+P764</f>
        <v>17128</v>
      </c>
      <c r="Q793" s="86">
        <f>+SUM(N793:P793)</f>
        <v>65081</v>
      </c>
      <c r="R793" s="59">
        <f>+E793+I793+M793+Q793</f>
        <v>534281</v>
      </c>
      <c r="AC793" s="323"/>
      <c r="AD793" s="159"/>
      <c r="AE793" s="159"/>
      <c r="AF793" s="159">
        <f>++A5</f>
        <v>2014</v>
      </c>
      <c r="AG793" s="159"/>
      <c r="AH793" s="159"/>
      <c r="AI793" s="159"/>
      <c r="AJ793" s="159"/>
      <c r="AK793" s="159"/>
      <c r="AL793" s="159"/>
      <c r="AM793" s="159"/>
      <c r="AN793" s="159"/>
      <c r="AO793" s="159"/>
      <c r="AP793" s="159"/>
      <c r="AQ793" s="159"/>
      <c r="AR793" s="159"/>
      <c r="AS793" s="159"/>
      <c r="AT793" s="324"/>
    </row>
    <row r="794" spans="1:46" ht="16.5" customHeight="1" thickBot="1" x14ac:dyDescent="0.35">
      <c r="A794" s="33"/>
      <c r="B794" s="86"/>
      <c r="C794" s="86"/>
      <c r="D794" s="86"/>
      <c r="E794" s="86"/>
      <c r="F794" s="86"/>
      <c r="G794" s="86"/>
      <c r="H794" s="86"/>
      <c r="I794" s="86"/>
      <c r="J794" s="86"/>
      <c r="K794" s="86"/>
      <c r="L794" s="86"/>
      <c r="M794" s="86"/>
      <c r="N794" s="86"/>
      <c r="O794" s="86"/>
      <c r="P794" s="86"/>
      <c r="Q794" s="86"/>
      <c r="R794" s="59"/>
      <c r="AC794" s="323"/>
      <c r="AD794" s="159"/>
      <c r="AE794" s="159"/>
      <c r="AF794" s="159"/>
      <c r="AG794" s="159"/>
      <c r="AH794" s="159"/>
      <c r="AI794" s="159"/>
      <c r="AJ794" s="159"/>
      <c r="AK794" s="159"/>
      <c r="AL794" s="159"/>
      <c r="AM794" s="159"/>
      <c r="AN794" s="159"/>
      <c r="AO794" s="159"/>
      <c r="AP794" s="159"/>
      <c r="AQ794" s="159"/>
      <c r="AR794" s="159"/>
      <c r="AS794" s="159"/>
      <c r="AT794" s="324"/>
    </row>
    <row r="795" spans="1:46" ht="16.5" customHeight="1" thickBot="1" x14ac:dyDescent="0.35">
      <c r="A795" s="155" t="s">
        <v>384</v>
      </c>
      <c r="B795" s="156">
        <f>+B773</f>
        <v>4600</v>
      </c>
      <c r="C795" s="156">
        <f>+C773</f>
        <v>4068</v>
      </c>
      <c r="D795" s="156">
        <f>+D773</f>
        <v>9082</v>
      </c>
      <c r="E795" s="86">
        <f>+SUM(B795:D795)</f>
        <v>17750</v>
      </c>
      <c r="F795" s="156">
        <f>+F773</f>
        <v>11143</v>
      </c>
      <c r="G795" s="156">
        <f>+G773</f>
        <v>5750</v>
      </c>
      <c r="H795" s="156">
        <f>+H773</f>
        <v>4562</v>
      </c>
      <c r="I795" s="86">
        <f>+SUM(F795:H795)</f>
        <v>21455</v>
      </c>
      <c r="J795" s="156">
        <f>+J773</f>
        <v>5150</v>
      </c>
      <c r="K795" s="156">
        <f>+K773</f>
        <v>6495</v>
      </c>
      <c r="L795" s="156">
        <f>+L773</f>
        <v>4210</v>
      </c>
      <c r="M795" s="86">
        <f>+SUM(J795:L795)</f>
        <v>15855</v>
      </c>
      <c r="N795" s="156">
        <f>+N773</f>
        <v>13851</v>
      </c>
      <c r="O795" s="156">
        <f>+O773</f>
        <v>13880</v>
      </c>
      <c r="P795" s="156">
        <f>+P773</f>
        <v>9629</v>
      </c>
      <c r="Q795" s="86">
        <f>+SUM(N795:P795)</f>
        <v>37360</v>
      </c>
      <c r="R795" s="59">
        <f>+E795+I795+M795+Q795</f>
        <v>92420</v>
      </c>
      <c r="AC795" s="323"/>
      <c r="AD795" s="159"/>
      <c r="AE795" s="159"/>
      <c r="AF795" s="159"/>
      <c r="AG795" s="159"/>
      <c r="AH795" s="159"/>
      <c r="AI795" s="164" t="s">
        <v>425</v>
      </c>
      <c r="AJ795" s="159"/>
      <c r="AK795" s="159"/>
      <c r="AL795" s="159"/>
      <c r="AM795" s="159"/>
      <c r="AN795" s="159"/>
      <c r="AO795" s="159"/>
      <c r="AP795" s="159"/>
      <c r="AQ795" s="159"/>
      <c r="AR795" s="159"/>
      <c r="AS795" s="159"/>
      <c r="AT795" s="324"/>
    </row>
    <row r="796" spans="1:46" ht="16.5" customHeight="1" thickBot="1" x14ac:dyDescent="0.35">
      <c r="A796" s="33"/>
      <c r="B796" s="86"/>
      <c r="C796" s="86"/>
      <c r="D796" s="86"/>
      <c r="E796" s="86"/>
      <c r="F796" s="86"/>
      <c r="G796" s="86"/>
      <c r="H796" s="86"/>
      <c r="I796" s="86"/>
      <c r="J796" s="86"/>
      <c r="K796" s="86"/>
      <c r="L796" s="86"/>
      <c r="M796" s="86"/>
      <c r="N796" s="86"/>
      <c r="O796" s="86"/>
      <c r="P796" s="86"/>
      <c r="Q796" s="86"/>
      <c r="R796" s="59"/>
      <c r="AC796" s="323"/>
      <c r="AD796" s="159" t="s">
        <v>424</v>
      </c>
      <c r="AE796" s="159"/>
      <c r="AF796" s="164" t="s">
        <v>426</v>
      </c>
      <c r="AG796" s="164" t="s">
        <v>426</v>
      </c>
      <c r="AH796" s="164" t="s">
        <v>427</v>
      </c>
      <c r="AI796" s="164" t="s">
        <v>404</v>
      </c>
      <c r="AJ796" s="164" t="s">
        <v>428</v>
      </c>
      <c r="AK796" s="164" t="s">
        <v>429</v>
      </c>
      <c r="AL796" s="164" t="s">
        <v>422</v>
      </c>
      <c r="AM796" s="159" t="s">
        <v>424</v>
      </c>
      <c r="AN796" s="164" t="s">
        <v>430</v>
      </c>
      <c r="AO796" s="164" t="s">
        <v>430</v>
      </c>
      <c r="AP796" s="164" t="s">
        <v>430</v>
      </c>
      <c r="AQ796" s="159"/>
      <c r="AR796" s="159"/>
      <c r="AS796" s="159"/>
      <c r="AT796" s="324"/>
    </row>
    <row r="797" spans="1:46" ht="16.5" customHeight="1" thickBot="1" x14ac:dyDescent="0.4">
      <c r="A797" s="33" t="s">
        <v>385</v>
      </c>
      <c r="B797" s="90">
        <f t="shared" ref="B797:R797" si="113">+SUM(B789:B795)</f>
        <v>54644</v>
      </c>
      <c r="C797" s="90">
        <f t="shared" si="113"/>
        <v>73683</v>
      </c>
      <c r="D797" s="90">
        <f t="shared" si="113"/>
        <v>123825</v>
      </c>
      <c r="E797" s="90">
        <f t="shared" si="113"/>
        <v>252152</v>
      </c>
      <c r="F797" s="90">
        <f t="shared" si="113"/>
        <v>164245</v>
      </c>
      <c r="G797" s="90">
        <f t="shared" si="113"/>
        <v>187340</v>
      </c>
      <c r="H797" s="90">
        <f t="shared" si="113"/>
        <v>194295</v>
      </c>
      <c r="I797" s="90">
        <f t="shared" si="113"/>
        <v>545880</v>
      </c>
      <c r="J797" s="90">
        <f t="shared" si="113"/>
        <v>183511</v>
      </c>
      <c r="K797" s="90">
        <f t="shared" si="113"/>
        <v>165587</v>
      </c>
      <c r="L797" s="90">
        <f t="shared" si="113"/>
        <v>114740</v>
      </c>
      <c r="M797" s="90">
        <f t="shared" si="113"/>
        <v>463838</v>
      </c>
      <c r="N797" s="90">
        <f t="shared" si="113"/>
        <v>110496</v>
      </c>
      <c r="O797" s="90">
        <f t="shared" si="113"/>
        <v>82300</v>
      </c>
      <c r="P797" s="90">
        <f t="shared" si="113"/>
        <v>71294</v>
      </c>
      <c r="Q797" s="90">
        <f t="shared" si="113"/>
        <v>264090</v>
      </c>
      <c r="R797" s="157">
        <f t="shared" si="113"/>
        <v>1525960</v>
      </c>
      <c r="AC797" s="323"/>
      <c r="AD797" s="164" t="s">
        <v>394</v>
      </c>
      <c r="AE797" s="164" t="s">
        <v>431</v>
      </c>
      <c r="AF797" s="164" t="s">
        <v>432</v>
      </c>
      <c r="AG797" s="164" t="s">
        <v>432</v>
      </c>
      <c r="AH797" s="164" t="s">
        <v>433</v>
      </c>
      <c r="AI797" s="165" t="s">
        <v>434</v>
      </c>
      <c r="AJ797" s="164" t="s">
        <v>435</v>
      </c>
      <c r="AK797" s="164" t="s">
        <v>436</v>
      </c>
      <c r="AL797" s="164" t="s">
        <v>437</v>
      </c>
      <c r="AM797" s="159" t="s">
        <v>424</v>
      </c>
      <c r="AN797" s="164" t="s">
        <v>438</v>
      </c>
      <c r="AO797" s="164" t="s">
        <v>434</v>
      </c>
      <c r="AP797" s="164" t="s">
        <v>407</v>
      </c>
      <c r="AQ797" s="159"/>
      <c r="AR797" s="159"/>
      <c r="AS797" s="159"/>
      <c r="AT797" s="324"/>
    </row>
    <row r="798" spans="1:46" ht="15.75" customHeight="1" x14ac:dyDescent="0.35">
      <c r="A798" s="145"/>
      <c r="B798" s="158"/>
      <c r="C798" s="158"/>
      <c r="D798" s="158"/>
      <c r="E798" s="158"/>
      <c r="F798" s="158"/>
      <c r="G798" s="158"/>
      <c r="H798" s="317" t="s">
        <v>786</v>
      </c>
      <c r="I798" s="158"/>
      <c r="J798" s="158"/>
      <c r="K798" s="158"/>
      <c r="L798" s="158"/>
      <c r="M798" s="158"/>
      <c r="N798" s="158"/>
      <c r="O798" s="158"/>
      <c r="P798" s="158"/>
      <c r="Q798" s="158"/>
      <c r="R798" s="158"/>
      <c r="AC798" s="323"/>
      <c r="AD798" s="164" t="s">
        <v>406</v>
      </c>
      <c r="AE798" s="164" t="s">
        <v>439</v>
      </c>
      <c r="AF798" s="164" t="s">
        <v>440</v>
      </c>
      <c r="AG798" s="164" t="s">
        <v>441</v>
      </c>
      <c r="AH798" s="164" t="s">
        <v>442</v>
      </c>
      <c r="AI798" s="164" t="s">
        <v>442</v>
      </c>
      <c r="AJ798" s="164" t="s">
        <v>442</v>
      </c>
      <c r="AK798" s="164" t="s">
        <v>442</v>
      </c>
      <c r="AL798" s="164" t="s">
        <v>443</v>
      </c>
      <c r="AM798" s="159" t="s">
        <v>424</v>
      </c>
      <c r="AN798" s="164" t="s">
        <v>444</v>
      </c>
      <c r="AO798" s="164" t="s">
        <v>445</v>
      </c>
      <c r="AP798" s="164" t="s">
        <v>445</v>
      </c>
      <c r="AQ798" s="159"/>
      <c r="AR798" s="159"/>
      <c r="AS798" s="159"/>
      <c r="AT798" s="324"/>
    </row>
    <row r="799" spans="1:46" ht="15.75" customHeight="1" x14ac:dyDescent="0.35">
      <c r="A799" s="145"/>
      <c r="B799" s="158"/>
      <c r="C799" s="158"/>
      <c r="D799" s="158"/>
      <c r="E799" s="158"/>
      <c r="F799" s="158"/>
      <c r="G799" s="158"/>
      <c r="H799" s="317"/>
      <c r="I799" s="158"/>
      <c r="J799" s="158"/>
      <c r="K799" s="158"/>
      <c r="L799" s="158"/>
      <c r="M799" s="158"/>
      <c r="N799" s="158"/>
      <c r="O799" s="158"/>
      <c r="P799" s="158"/>
      <c r="Q799" s="158"/>
      <c r="R799" s="158"/>
      <c r="AC799" s="323"/>
      <c r="AD799" s="164" t="s">
        <v>446</v>
      </c>
      <c r="AE799" s="164" t="s">
        <v>447</v>
      </c>
      <c r="AF799" s="164" t="s">
        <v>448</v>
      </c>
      <c r="AG799" s="164" t="s">
        <v>448</v>
      </c>
      <c r="AH799" s="164" t="s">
        <v>448</v>
      </c>
      <c r="AI799" s="164" t="s">
        <v>448</v>
      </c>
      <c r="AJ799" s="164" t="s">
        <v>448</v>
      </c>
      <c r="AK799" s="164" t="s">
        <v>448</v>
      </c>
      <c r="AL799" s="164" t="s">
        <v>448</v>
      </c>
      <c r="AM799" s="159" t="s">
        <v>424</v>
      </c>
      <c r="AN799" s="164" t="s">
        <v>449</v>
      </c>
      <c r="AO799" s="164" t="s">
        <v>449</v>
      </c>
      <c r="AP799" s="164" t="s">
        <v>449</v>
      </c>
      <c r="AQ799" s="159"/>
      <c r="AR799" s="159"/>
      <c r="AS799" s="159"/>
      <c r="AT799" s="324"/>
    </row>
    <row r="800" spans="1:46" ht="15.75" customHeight="1" thickBot="1" x14ac:dyDescent="0.4">
      <c r="A800" s="145"/>
      <c r="B800" s="158"/>
      <c r="C800" s="158"/>
      <c r="D800" s="158"/>
      <c r="E800" s="158"/>
      <c r="F800" s="158"/>
      <c r="G800" s="158"/>
      <c r="H800" s="317"/>
      <c r="I800" s="158"/>
      <c r="J800" s="158"/>
      <c r="K800" s="158"/>
      <c r="L800" s="158"/>
      <c r="M800" s="158"/>
      <c r="N800" s="158"/>
      <c r="O800" s="158"/>
      <c r="P800" s="158"/>
      <c r="Q800" s="158"/>
      <c r="R800" s="158"/>
      <c r="AC800" s="323"/>
      <c r="AD800" s="159" t="s">
        <v>409</v>
      </c>
      <c r="AE800" s="159" t="s">
        <v>409</v>
      </c>
      <c r="AF800" s="159" t="s">
        <v>409</v>
      </c>
      <c r="AG800" s="159" t="s">
        <v>409</v>
      </c>
      <c r="AH800" s="159" t="s">
        <v>409</v>
      </c>
      <c r="AI800" s="159" t="s">
        <v>409</v>
      </c>
      <c r="AJ800" s="159" t="s">
        <v>409</v>
      </c>
      <c r="AK800" s="159" t="s">
        <v>409</v>
      </c>
      <c r="AL800" s="159" t="s">
        <v>409</v>
      </c>
      <c r="AM800" s="159" t="s">
        <v>424</v>
      </c>
      <c r="AN800" s="159" t="s">
        <v>409</v>
      </c>
      <c r="AO800" s="159" t="s">
        <v>409</v>
      </c>
      <c r="AP800" s="159" t="s">
        <v>409</v>
      </c>
      <c r="AQ800" s="159"/>
      <c r="AR800" s="159"/>
      <c r="AS800" s="159"/>
      <c r="AT800" s="324"/>
    </row>
    <row r="801" spans="1:46" ht="15.75" customHeight="1" x14ac:dyDescent="0.3">
      <c r="A801" s="363"/>
      <c r="B801" s="506" t="s">
        <v>386</v>
      </c>
      <c r="C801" s="506"/>
      <c r="D801" s="506"/>
      <c r="E801" s="506"/>
      <c r="F801" s="506"/>
      <c r="G801" s="506"/>
      <c r="H801" s="506"/>
      <c r="I801" s="506"/>
      <c r="J801" s="506"/>
      <c r="K801" s="506"/>
      <c r="L801" s="506"/>
      <c r="M801" s="506"/>
      <c r="N801" s="506"/>
      <c r="O801" s="506"/>
      <c r="P801" s="506"/>
      <c r="Q801" s="361" t="str">
        <f>+Q1</f>
        <v xml:space="preserve">PRINTED:  </v>
      </c>
      <c r="R801" s="362">
        <f ca="1">+R1</f>
        <v>44909.46975358796</v>
      </c>
      <c r="AC801" s="325" t="s">
        <v>410</v>
      </c>
      <c r="AD801" s="159">
        <f t="shared" ref="AD801:AD812" si="114">(F810)</f>
        <v>54111</v>
      </c>
      <c r="AE801" s="159">
        <f t="shared" ref="AE801:AE812" si="115">SUM($B$865:$E$865)+(T810-1526.8)/0.7702</f>
        <v>1638.1524430019012</v>
      </c>
      <c r="AF801" s="159">
        <f>(AD801*AE801/1000)</f>
        <v>88642.066843275868</v>
      </c>
      <c r="AG801" s="159">
        <f t="shared" ref="AG801:AG812" si="116">(((B810-F810)*B$865)+((C810-F810)*C$865)+((D810-F810)*D$865)+((E810-F810)*E$865))/1000</f>
        <v>40737.877999999997</v>
      </c>
      <c r="AH801" s="159">
        <f>(AF801+AG801)</f>
        <v>129379.94484327587</v>
      </c>
      <c r="AI801" s="159">
        <f t="shared" ref="AI801:AI812" si="117">SUM(H867:Q867)</f>
        <v>21295</v>
      </c>
      <c r="AJ801" s="159">
        <f>+AH801+AI801</f>
        <v>150674.94484327588</v>
      </c>
      <c r="AK801" s="159">
        <f t="shared" ref="AK801:AK808" si="118">(G895)</f>
        <v>3953.6304412860668</v>
      </c>
      <c r="AL801" s="159">
        <f t="shared" ref="AL801:AL812" si="119">(AJ801-AK801)</f>
        <v>146721.3144019898</v>
      </c>
      <c r="AM801" s="159" t="s">
        <v>424</v>
      </c>
      <c r="AN801" s="159">
        <f>+B810/31/1.98</f>
        <v>1351.3033561420657</v>
      </c>
      <c r="AO801" s="159">
        <f>(AD801*43560/31/24/3600)</f>
        <v>880.03104838709669</v>
      </c>
      <c r="AP801" s="159">
        <f>+B285</f>
        <v>-431.91319766401506</v>
      </c>
      <c r="AQ801" s="159"/>
      <c r="AR801" s="159"/>
      <c r="AS801" s="159"/>
      <c r="AT801" s="324"/>
    </row>
    <row r="802" spans="1:46" ht="15.75" customHeight="1" x14ac:dyDescent="0.3">
      <c r="A802" s="325"/>
      <c r="B802" s="503" t="str">
        <f>+A8</f>
        <v>Revised:  2/10/2015</v>
      </c>
      <c r="C802" s="503"/>
      <c r="D802" s="503"/>
      <c r="E802" s="503"/>
      <c r="F802" s="503"/>
      <c r="G802" s="503"/>
      <c r="H802" s="503"/>
      <c r="I802" s="503"/>
      <c r="J802" s="503"/>
      <c r="K802" s="503"/>
      <c r="L802" s="503"/>
      <c r="M802" s="503"/>
      <c r="N802" s="503"/>
      <c r="O802" s="503"/>
      <c r="P802" s="503"/>
      <c r="Q802" s="159"/>
      <c r="R802" s="324"/>
      <c r="AC802" s="325" t="s">
        <v>411</v>
      </c>
      <c r="AD802" s="159">
        <f t="shared" si="114"/>
        <v>52725</v>
      </c>
      <c r="AE802" s="159">
        <f t="shared" si="115"/>
        <v>1642.6450272656455</v>
      </c>
      <c r="AF802" s="159">
        <f>(AD802*AE802/1000)</f>
        <v>86608.459062581154</v>
      </c>
      <c r="AG802" s="159">
        <f t="shared" si="116"/>
        <v>108741.433</v>
      </c>
      <c r="AH802" s="159">
        <f t="shared" ref="AH802:AH812" si="120">(AF802+AG802)</f>
        <v>195349.89206258114</v>
      </c>
      <c r="AI802" s="159">
        <f t="shared" si="117"/>
        <v>21141</v>
      </c>
      <c r="AJ802" s="159">
        <f t="shared" ref="AJ802:AJ812" si="121">+AH802+AI802</f>
        <v>216490.89206258114</v>
      </c>
      <c r="AK802" s="159">
        <f t="shared" si="118"/>
        <v>0</v>
      </c>
      <c r="AL802" s="159">
        <f t="shared" si="119"/>
        <v>216490.89206258114</v>
      </c>
      <c r="AM802" s="159" t="s">
        <v>424</v>
      </c>
      <c r="AN802" s="159">
        <f>+B811/28/1.98</f>
        <v>2335.0829725829726</v>
      </c>
      <c r="AO802" s="159">
        <f>(AD802*43560/29/24/3600)</f>
        <v>916.62715517241395</v>
      </c>
      <c r="AP802" s="159">
        <f>+C285</f>
        <v>0</v>
      </c>
      <c r="AQ802" s="159"/>
      <c r="AR802" s="159"/>
      <c r="AS802" s="159"/>
      <c r="AT802" s="324"/>
    </row>
    <row r="803" spans="1:46" ht="15.75" customHeight="1" x14ac:dyDescent="0.3">
      <c r="A803" s="325"/>
      <c r="B803" s="503" t="s">
        <v>1024</v>
      </c>
      <c r="C803" s="503"/>
      <c r="D803" s="503"/>
      <c r="E803" s="503"/>
      <c r="F803" s="503"/>
      <c r="G803" s="503"/>
      <c r="H803" s="503"/>
      <c r="I803" s="503"/>
      <c r="J803" s="503"/>
      <c r="K803" s="503"/>
      <c r="L803" s="503"/>
      <c r="M803" s="503"/>
      <c r="N803" s="503"/>
      <c r="O803" s="503"/>
      <c r="P803" s="503"/>
      <c r="Q803" s="159"/>
      <c r="R803" s="324"/>
      <c r="AC803" s="325" t="s">
        <v>412</v>
      </c>
      <c r="AD803" s="159">
        <f t="shared" si="114"/>
        <v>48127</v>
      </c>
      <c r="AE803" s="159">
        <f t="shared" si="115"/>
        <v>1646.592054011945</v>
      </c>
      <c r="AF803" s="159">
        <f t="shared" ref="AF803:AF812" si="122">(AD803*AE803/1000)</f>
        <v>79245.53578343289</v>
      </c>
      <c r="AG803" s="159">
        <f t="shared" si="116"/>
        <v>180357.96299999999</v>
      </c>
      <c r="AH803" s="159">
        <f t="shared" si="120"/>
        <v>259603.49878343288</v>
      </c>
      <c r="AI803" s="159">
        <f t="shared" si="117"/>
        <v>38712</v>
      </c>
      <c r="AJ803" s="159">
        <f t="shared" si="121"/>
        <v>298315.49878343288</v>
      </c>
      <c r="AK803" s="159">
        <f t="shared" si="118"/>
        <v>0</v>
      </c>
      <c r="AL803" s="159">
        <f t="shared" si="119"/>
        <v>298315.49878343288</v>
      </c>
      <c r="AM803" s="159" t="s">
        <v>424</v>
      </c>
      <c r="AN803" s="159">
        <f>+B812/31/1.98</f>
        <v>2858.0482241772565</v>
      </c>
      <c r="AO803" s="159">
        <f>(AD803*43560/31/24/3600)</f>
        <v>782.71061827956999</v>
      </c>
      <c r="AP803" s="159">
        <f>+D285</f>
        <v>0</v>
      </c>
      <c r="AQ803" s="159"/>
      <c r="AR803" s="159"/>
      <c r="AS803" s="159"/>
      <c r="AT803" s="324"/>
    </row>
    <row r="804" spans="1:46" ht="15.75" customHeight="1" x14ac:dyDescent="0.3">
      <c r="A804" s="325"/>
      <c r="B804" s="503"/>
      <c r="C804" s="503"/>
      <c r="D804" s="503"/>
      <c r="E804" s="503"/>
      <c r="F804" s="503"/>
      <c r="G804" s="503"/>
      <c r="H804" s="503"/>
      <c r="I804" s="503"/>
      <c r="J804" s="503"/>
      <c r="K804" s="503"/>
      <c r="L804" s="503"/>
      <c r="M804" s="503"/>
      <c r="N804" s="503"/>
      <c r="O804" s="503"/>
      <c r="P804" s="503"/>
      <c r="Q804" s="159"/>
      <c r="R804" s="324"/>
      <c r="AC804" s="325" t="s">
        <v>413</v>
      </c>
      <c r="AD804" s="159">
        <f t="shared" si="114"/>
        <v>9835</v>
      </c>
      <c r="AE804" s="159">
        <f t="shared" si="115"/>
        <v>1645.8271291131655</v>
      </c>
      <c r="AF804" s="159">
        <f t="shared" si="122"/>
        <v>16186.709814827982</v>
      </c>
      <c r="AG804" s="159">
        <f t="shared" si="116"/>
        <v>237889.39600000001</v>
      </c>
      <c r="AH804" s="159">
        <f t="shared" si="120"/>
        <v>254076.10581482798</v>
      </c>
      <c r="AI804" s="159">
        <f t="shared" si="117"/>
        <v>47559</v>
      </c>
      <c r="AJ804" s="159">
        <f t="shared" si="121"/>
        <v>301635.10581482796</v>
      </c>
      <c r="AK804" s="159">
        <f t="shared" si="118"/>
        <v>56.655910909755221</v>
      </c>
      <c r="AL804" s="159">
        <f t="shared" si="119"/>
        <v>301578.4499039182</v>
      </c>
      <c r="AM804" s="159" t="s">
        <v>424</v>
      </c>
      <c r="AN804" s="159">
        <f>+B813/30/1.98</f>
        <v>2993.3501683501681</v>
      </c>
      <c r="AO804" s="159">
        <f>(AD804*43560/30/24/3600)</f>
        <v>165.2826388888889</v>
      </c>
      <c r="AP804" s="159">
        <f>+F285</f>
        <v>-6.034627668515717</v>
      </c>
      <c r="AQ804" s="159"/>
      <c r="AR804" s="159"/>
      <c r="AS804" s="159"/>
      <c r="AT804" s="324"/>
    </row>
    <row r="805" spans="1:46" ht="15.75" customHeight="1" x14ac:dyDescent="0.3">
      <c r="A805" s="325"/>
      <c r="B805" s="509">
        <f>+A5</f>
        <v>2014</v>
      </c>
      <c r="C805" s="509"/>
      <c r="D805" s="509"/>
      <c r="E805" s="509"/>
      <c r="F805" s="509"/>
      <c r="G805" s="509"/>
      <c r="H805" s="509"/>
      <c r="I805" s="509"/>
      <c r="J805" s="509"/>
      <c r="K805" s="509"/>
      <c r="L805" s="509"/>
      <c r="M805" s="509"/>
      <c r="N805" s="509"/>
      <c r="O805" s="509"/>
      <c r="P805" s="509"/>
      <c r="Q805" s="159"/>
      <c r="R805" s="324"/>
      <c r="AC805" s="325" t="s">
        <v>414</v>
      </c>
      <c r="AD805" s="159">
        <f t="shared" si="114"/>
        <v>1525</v>
      </c>
      <c r="AE805" s="159">
        <f t="shared" si="115"/>
        <v>1642.8008309529996</v>
      </c>
      <c r="AF805" s="159">
        <f t="shared" si="122"/>
        <v>2505.2712672033244</v>
      </c>
      <c r="AG805" s="159">
        <f t="shared" si="116"/>
        <v>257427.30900000001</v>
      </c>
      <c r="AH805" s="159">
        <f t="shared" si="120"/>
        <v>259932.58026720333</v>
      </c>
      <c r="AI805" s="159">
        <f t="shared" si="117"/>
        <v>49557</v>
      </c>
      <c r="AJ805" s="159">
        <f t="shared" si="121"/>
        <v>309489.58026720333</v>
      </c>
      <c r="AK805" s="159">
        <f t="shared" si="118"/>
        <v>1537.7830896759624</v>
      </c>
      <c r="AL805" s="159">
        <f t="shared" si="119"/>
        <v>307951.79717752739</v>
      </c>
      <c r="AM805" s="159" t="s">
        <v>424</v>
      </c>
      <c r="AN805" s="159">
        <f>+B814/31/1.98</f>
        <v>2989.4916911045943</v>
      </c>
      <c r="AO805" s="159">
        <f>(AD805*43560/31/24/3600)</f>
        <v>24.80174731182796</v>
      </c>
      <c r="AP805" s="159">
        <f>+G285</f>
        <v>-162.11995510224</v>
      </c>
      <c r="AQ805" s="159"/>
      <c r="AR805" s="159"/>
      <c r="AS805" s="159"/>
      <c r="AT805" s="324"/>
    </row>
    <row r="806" spans="1:46" ht="15.75" customHeight="1" x14ac:dyDescent="0.3">
      <c r="A806" s="325"/>
      <c r="B806" s="503" t="s">
        <v>1025</v>
      </c>
      <c r="C806" s="503"/>
      <c r="D806" s="503"/>
      <c r="E806" s="503"/>
      <c r="F806" s="503"/>
      <c r="G806" s="503"/>
      <c r="H806" s="503"/>
      <c r="I806" s="503"/>
      <c r="J806" s="503"/>
      <c r="K806" s="503"/>
      <c r="L806" s="503"/>
      <c r="M806" s="503"/>
      <c r="N806" s="503"/>
      <c r="O806" s="503"/>
      <c r="P806" s="503"/>
      <c r="Q806" s="159"/>
      <c r="R806" s="324"/>
      <c r="AC806" s="325" t="s">
        <v>415</v>
      </c>
      <c r="AD806" s="159">
        <f t="shared" si="114"/>
        <v>0</v>
      </c>
      <c r="AE806" s="159">
        <f t="shared" si="115"/>
        <v>1626.3375746559338</v>
      </c>
      <c r="AF806" s="159">
        <f t="shared" si="122"/>
        <v>0</v>
      </c>
      <c r="AG806" s="159">
        <f t="shared" si="116"/>
        <v>190913.573</v>
      </c>
      <c r="AH806" s="159">
        <f t="shared" si="120"/>
        <v>190913.573</v>
      </c>
      <c r="AI806" s="159">
        <f t="shared" si="117"/>
        <v>47324</v>
      </c>
      <c r="AJ806" s="159">
        <f t="shared" si="121"/>
        <v>238237.573</v>
      </c>
      <c r="AK806" s="159">
        <f t="shared" si="118"/>
        <v>8744.6346646571255</v>
      </c>
      <c r="AL806" s="159">
        <f t="shared" si="119"/>
        <v>229492.93833534289</v>
      </c>
      <c r="AM806" s="159" t="s">
        <v>424</v>
      </c>
      <c r="AN806" s="159">
        <f>+B815/30/1.98</f>
        <v>2278.4175084175081</v>
      </c>
      <c r="AO806" s="159">
        <f t="shared" ref="AO806:AO811" si="123">(AD806*43560/30/24/3600)</f>
        <v>0</v>
      </c>
      <c r="AP806" s="159">
        <f>+H285</f>
        <v>-1087.2919818456883</v>
      </c>
      <c r="AQ806" s="159"/>
      <c r="AR806" s="159"/>
      <c r="AS806" s="159"/>
      <c r="AT806" s="324"/>
    </row>
    <row r="807" spans="1:46" ht="15.75" customHeight="1" x14ac:dyDescent="0.3">
      <c r="A807" s="325"/>
      <c r="B807" s="159"/>
      <c r="C807" s="159"/>
      <c r="D807" s="159"/>
      <c r="E807" s="159"/>
      <c r="F807" s="159"/>
      <c r="G807" s="159"/>
      <c r="H807" s="159"/>
      <c r="I807" s="159"/>
      <c r="J807" s="159"/>
      <c r="K807" s="159"/>
      <c r="L807" s="159"/>
      <c r="M807" s="159"/>
      <c r="N807" s="159"/>
      <c r="O807" s="159"/>
      <c r="P807" s="159"/>
      <c r="Q807" s="159"/>
      <c r="R807" s="324"/>
      <c r="AC807" s="325" t="s">
        <v>416</v>
      </c>
      <c r="AD807" s="159">
        <f t="shared" si="114"/>
        <v>0</v>
      </c>
      <c r="AE807" s="159">
        <f t="shared" si="115"/>
        <v>1614.093965893418</v>
      </c>
      <c r="AF807" s="159">
        <f t="shared" si="122"/>
        <v>0</v>
      </c>
      <c r="AG807" s="159">
        <f t="shared" si="116"/>
        <v>133674.87700000001</v>
      </c>
      <c r="AH807" s="159">
        <f t="shared" si="120"/>
        <v>133674.87700000001</v>
      </c>
      <c r="AI807" s="159">
        <f t="shared" si="117"/>
        <v>47265</v>
      </c>
      <c r="AJ807" s="159">
        <f t="shared" si="121"/>
        <v>180939.87700000001</v>
      </c>
      <c r="AK807" s="159">
        <f t="shared" si="118"/>
        <v>11355.388337174203</v>
      </c>
      <c r="AL807" s="159">
        <f t="shared" si="119"/>
        <v>169584.48866282581</v>
      </c>
      <c r="AM807" s="159" t="s">
        <v>424</v>
      </c>
      <c r="AN807" s="159">
        <f>+B816/31/1.98</f>
        <v>1552.5089605734768</v>
      </c>
      <c r="AO807" s="159">
        <f t="shared" si="123"/>
        <v>0</v>
      </c>
      <c r="AP807" s="159">
        <f>+J285</f>
        <v>-1526.8817204301076</v>
      </c>
      <c r="AQ807" s="159"/>
      <c r="AR807" s="159"/>
      <c r="AS807" s="159"/>
      <c r="AT807" s="324"/>
    </row>
    <row r="808" spans="1:46" ht="15.75" customHeight="1" thickBot="1" x14ac:dyDescent="0.35">
      <c r="A808" s="325" t="s">
        <v>433</v>
      </c>
      <c r="B808" s="364" t="s">
        <v>390</v>
      </c>
      <c r="C808" s="364" t="s">
        <v>391</v>
      </c>
      <c r="D808" s="364" t="s">
        <v>392</v>
      </c>
      <c r="E808" s="364" t="s">
        <v>393</v>
      </c>
      <c r="F808" s="364" t="s">
        <v>394</v>
      </c>
      <c r="G808" s="364" t="s">
        <v>394</v>
      </c>
      <c r="H808" s="364" t="s">
        <v>395</v>
      </c>
      <c r="I808" s="364" t="s">
        <v>396</v>
      </c>
      <c r="J808" s="364" t="s">
        <v>397</v>
      </c>
      <c r="K808" s="364" t="s">
        <v>398</v>
      </c>
      <c r="L808" s="364" t="s">
        <v>399</v>
      </c>
      <c r="M808" s="364" t="s">
        <v>400</v>
      </c>
      <c r="N808" s="364" t="s">
        <v>401</v>
      </c>
      <c r="O808" s="364" t="s">
        <v>402</v>
      </c>
      <c r="P808" s="364" t="s">
        <v>403</v>
      </c>
      <c r="Q808" s="364" t="s">
        <v>404</v>
      </c>
      <c r="R808" s="324"/>
      <c r="T808" s="45" t="s">
        <v>1026</v>
      </c>
      <c r="AC808" s="325" t="s">
        <v>417</v>
      </c>
      <c r="AD808" s="159">
        <f t="shared" si="114"/>
        <v>0</v>
      </c>
      <c r="AE808" s="159">
        <f t="shared" si="115"/>
        <v>1600.6037637565339</v>
      </c>
      <c r="AF808" s="159">
        <f t="shared" si="122"/>
        <v>0</v>
      </c>
      <c r="AG808" s="159">
        <f t="shared" si="116"/>
        <v>142992.40900000001</v>
      </c>
      <c r="AH808" s="159">
        <f t="shared" si="120"/>
        <v>142992.40900000001</v>
      </c>
      <c r="AI808" s="159">
        <f t="shared" si="117"/>
        <v>47956</v>
      </c>
      <c r="AJ808" s="159">
        <f t="shared" si="121"/>
        <v>190948.40900000001</v>
      </c>
      <c r="AK808" s="159">
        <f t="shared" si="118"/>
        <v>7114.1552424432903</v>
      </c>
      <c r="AL808" s="159">
        <f t="shared" si="119"/>
        <v>183834.25375755673</v>
      </c>
      <c r="AM808" s="159" t="s">
        <v>424</v>
      </c>
      <c r="AN808" s="159">
        <f>+B817/31/1.98</f>
        <v>1656.9729553600523</v>
      </c>
      <c r="AO808" s="159">
        <f t="shared" si="123"/>
        <v>0</v>
      </c>
      <c r="AP808" s="159">
        <f>+K285</f>
        <v>-1098.8238738958567</v>
      </c>
      <c r="AQ808" s="159"/>
      <c r="AR808" s="159"/>
      <c r="AS808" s="159"/>
      <c r="AT808" s="324"/>
    </row>
    <row r="809" spans="1:46" ht="15.75" customHeight="1" x14ac:dyDescent="0.3">
      <c r="A809" s="325"/>
      <c r="B809" s="159"/>
      <c r="C809" s="159"/>
      <c r="D809" s="159"/>
      <c r="E809" s="159"/>
      <c r="F809" s="164" t="s">
        <v>406</v>
      </c>
      <c r="G809" s="164" t="s">
        <v>407</v>
      </c>
      <c r="H809" s="159"/>
      <c r="I809" s="159"/>
      <c r="J809" s="159"/>
      <c r="K809" s="159"/>
      <c r="L809" s="159"/>
      <c r="M809" s="159"/>
      <c r="N809" s="159"/>
      <c r="O809" s="159"/>
      <c r="P809" s="159"/>
      <c r="Q809" s="159"/>
      <c r="R809" s="324"/>
      <c r="AC809" s="325" t="s">
        <v>418</v>
      </c>
      <c r="AD809" s="159">
        <f t="shared" si="114"/>
        <v>27580</v>
      </c>
      <c r="AE809" s="159">
        <f t="shared" si="115"/>
        <v>1598.5266164632565</v>
      </c>
      <c r="AF809" s="159">
        <f t="shared" si="122"/>
        <v>44087.364082056614</v>
      </c>
      <c r="AG809" s="159">
        <f t="shared" si="116"/>
        <v>157317.10399999999</v>
      </c>
      <c r="AH809" s="159">
        <f t="shared" si="120"/>
        <v>201404.46808205661</v>
      </c>
      <c r="AI809" s="159">
        <f t="shared" si="117"/>
        <v>36513</v>
      </c>
      <c r="AJ809" s="159">
        <f t="shared" si="121"/>
        <v>237917.46808205661</v>
      </c>
      <c r="AK809" s="159">
        <v>0</v>
      </c>
      <c r="AL809" s="159">
        <f t="shared" si="119"/>
        <v>237917.46808205661</v>
      </c>
      <c r="AM809" s="159" t="s">
        <v>424</v>
      </c>
      <c r="AN809" s="159">
        <f>+B818/30/1.98</f>
        <v>2355.993265993266</v>
      </c>
      <c r="AO809" s="159">
        <f t="shared" si="123"/>
        <v>463.49722222222221</v>
      </c>
      <c r="AP809" s="159">
        <f>+L285</f>
        <v>-92.788703983862831</v>
      </c>
      <c r="AQ809" s="159"/>
      <c r="AR809" s="159"/>
      <c r="AS809" s="159"/>
      <c r="AT809" s="324"/>
    </row>
    <row r="810" spans="1:46" ht="15.75" customHeight="1" x14ac:dyDescent="0.3">
      <c r="A810" s="365" t="s">
        <v>795</v>
      </c>
      <c r="B810" s="159">
        <f>+B29</f>
        <v>82943</v>
      </c>
      <c r="C810" s="159">
        <f>+B64</f>
        <v>82846</v>
      </c>
      <c r="D810" s="159">
        <f>+B131</f>
        <v>82749</v>
      </c>
      <c r="E810" s="159">
        <f>+B275</f>
        <v>81391</v>
      </c>
      <c r="F810" s="159">
        <f>+B270</f>
        <v>54111</v>
      </c>
      <c r="G810" s="159">
        <f>+B282</f>
        <v>-26551</v>
      </c>
      <c r="H810" s="159">
        <f>+B410</f>
        <v>33048</v>
      </c>
      <c r="I810" s="159">
        <f>+B457</f>
        <v>15604</v>
      </c>
      <c r="J810" s="159">
        <f>+B499</f>
        <v>15595</v>
      </c>
      <c r="K810" s="159">
        <f>+B552</f>
        <v>15047</v>
      </c>
      <c r="L810" s="159">
        <f>+B562</f>
        <v>10335</v>
      </c>
      <c r="M810" s="159">
        <f>+B598</f>
        <v>10315</v>
      </c>
      <c r="N810" s="159">
        <f>+B642</f>
        <v>10305</v>
      </c>
      <c r="O810" s="159">
        <f>+B652</f>
        <v>4506</v>
      </c>
      <c r="P810" s="159">
        <f>+B686</f>
        <v>210</v>
      </c>
      <c r="Q810" s="159">
        <f>+B733</f>
        <v>4504</v>
      </c>
      <c r="R810" s="324"/>
      <c r="T810" s="366">
        <f>'[1]Lake Pleasant Forecast'!B35</f>
        <v>1690.1998116000643</v>
      </c>
      <c r="AC810" s="325" t="s">
        <v>419</v>
      </c>
      <c r="AD810" s="159">
        <f t="shared" si="114"/>
        <v>5000</v>
      </c>
      <c r="AE810" s="159">
        <f t="shared" si="115"/>
        <v>1607.0828356271095</v>
      </c>
      <c r="AF810" s="159">
        <f t="shared" si="122"/>
        <v>8035.4141781355474</v>
      </c>
      <c r="AG810" s="159">
        <f t="shared" si="116"/>
        <v>160538.973</v>
      </c>
      <c r="AH810" s="159">
        <f t="shared" si="120"/>
        <v>168574.38717813554</v>
      </c>
      <c r="AI810" s="159">
        <f t="shared" si="117"/>
        <v>27229</v>
      </c>
      <c r="AJ810" s="159">
        <f t="shared" si="121"/>
        <v>195803.38717813554</v>
      </c>
      <c r="AK810" s="159">
        <v>0</v>
      </c>
      <c r="AL810" s="159">
        <f t="shared" si="119"/>
        <v>195803.38717813554</v>
      </c>
      <c r="AM810" s="159" t="s">
        <v>424</v>
      </c>
      <c r="AN810" s="159">
        <f>+B819/31/1.98</f>
        <v>1950.733137829912</v>
      </c>
      <c r="AO810" s="159">
        <f t="shared" si="123"/>
        <v>84.027777777777771</v>
      </c>
      <c r="AP810" s="159">
        <f>+N285</f>
        <v>0</v>
      </c>
      <c r="AQ810" s="159"/>
      <c r="AR810" s="159"/>
      <c r="AS810" s="159"/>
      <c r="AT810" s="324"/>
    </row>
    <row r="811" spans="1:46" ht="15.75" customHeight="1" x14ac:dyDescent="0.3">
      <c r="A811" s="365" t="s">
        <v>9</v>
      </c>
      <c r="B811" s="159">
        <f>+C29</f>
        <v>129457</v>
      </c>
      <c r="C811" s="159">
        <f>+C64</f>
        <v>129309</v>
      </c>
      <c r="D811" s="159">
        <f>+C131</f>
        <v>128933</v>
      </c>
      <c r="E811" s="159">
        <f>+C275</f>
        <v>126748</v>
      </c>
      <c r="F811" s="159">
        <f>+C270</f>
        <v>52725</v>
      </c>
      <c r="G811" s="159">
        <f>+C282</f>
        <v>0</v>
      </c>
      <c r="H811" s="159">
        <f>+C410</f>
        <v>50414</v>
      </c>
      <c r="I811" s="159">
        <f>+C457</f>
        <v>14444</v>
      </c>
      <c r="J811" s="159">
        <f>+C499</f>
        <v>14190</v>
      </c>
      <c r="K811" s="159">
        <f>+C552</f>
        <v>13499</v>
      </c>
      <c r="L811" s="159">
        <f>+C562</f>
        <v>11137</v>
      </c>
      <c r="M811" s="159">
        <f>+C598</f>
        <v>11115</v>
      </c>
      <c r="N811" s="159">
        <f>+C642</f>
        <v>11035</v>
      </c>
      <c r="O811" s="159">
        <f>+C652</f>
        <v>2592</v>
      </c>
      <c r="P811" s="159">
        <f>+C686</f>
        <v>117</v>
      </c>
      <c r="Q811" s="159">
        <f>+C733</f>
        <v>2589</v>
      </c>
      <c r="R811" s="324"/>
      <c r="T811" s="366">
        <f>'[1]Lake Pleasant Forecast'!B37</f>
        <v>1693.66</v>
      </c>
      <c r="AC811" s="325" t="s">
        <v>420</v>
      </c>
      <c r="AD811" s="159">
        <f t="shared" si="114"/>
        <v>48000</v>
      </c>
      <c r="AE811" s="159">
        <f t="shared" si="115"/>
        <v>1617.5216826798235</v>
      </c>
      <c r="AF811" s="159">
        <f t="shared" si="122"/>
        <v>77641.04076863153</v>
      </c>
      <c r="AG811" s="159">
        <f t="shared" si="116"/>
        <v>122782.421</v>
      </c>
      <c r="AH811" s="159">
        <f t="shared" si="120"/>
        <v>200423.46176863153</v>
      </c>
      <c r="AI811" s="159">
        <f t="shared" si="117"/>
        <v>18660</v>
      </c>
      <c r="AJ811" s="159">
        <f t="shared" si="121"/>
        <v>219083.46176863153</v>
      </c>
      <c r="AK811" s="159">
        <f>(G905)</f>
        <v>0</v>
      </c>
      <c r="AL811" s="159">
        <f t="shared" si="119"/>
        <v>219083.46176863153</v>
      </c>
      <c r="AM811" s="159" t="s">
        <v>424</v>
      </c>
      <c r="AN811" s="159">
        <f>+B820/30/1.98</f>
        <v>2285.5555555555552</v>
      </c>
      <c r="AO811" s="159">
        <f t="shared" si="123"/>
        <v>806.66666666666663</v>
      </c>
      <c r="AP811" s="159">
        <f>+O285</f>
        <v>0</v>
      </c>
      <c r="AQ811" s="159"/>
      <c r="AR811" s="159"/>
      <c r="AS811" s="159"/>
      <c r="AT811" s="324"/>
    </row>
    <row r="812" spans="1:46" ht="15.75" customHeight="1" x14ac:dyDescent="0.3">
      <c r="A812" s="365" t="s">
        <v>10</v>
      </c>
      <c r="B812" s="159">
        <f>+D29</f>
        <v>175427</v>
      </c>
      <c r="C812" s="159">
        <f>+D64</f>
        <v>175153</v>
      </c>
      <c r="D812" s="159">
        <f>+D131</f>
        <v>174655</v>
      </c>
      <c r="E812" s="159">
        <f>+D275</f>
        <v>170680</v>
      </c>
      <c r="F812" s="159">
        <f>+D270</f>
        <v>48127</v>
      </c>
      <c r="G812" s="159">
        <f>+D282</f>
        <v>0</v>
      </c>
      <c r="H812" s="159">
        <f>+D410</f>
        <v>87259</v>
      </c>
      <c r="I812" s="159">
        <f>+D457</f>
        <v>35058</v>
      </c>
      <c r="J812" s="159">
        <f>+D499</f>
        <v>25950</v>
      </c>
      <c r="K812" s="159">
        <f>+D552</f>
        <v>21468</v>
      </c>
      <c r="L812" s="159">
        <f>+D562</f>
        <v>19903</v>
      </c>
      <c r="M812" s="159">
        <f>+D598</f>
        <v>19875</v>
      </c>
      <c r="N812" s="159">
        <f>+D642</f>
        <v>19304</v>
      </c>
      <c r="O812" s="159">
        <f>+D652</f>
        <v>3668</v>
      </c>
      <c r="P812" s="159">
        <f>+D686</f>
        <v>3127</v>
      </c>
      <c r="Q812" s="159">
        <f>+D733</f>
        <v>3663</v>
      </c>
      <c r="R812" s="324"/>
      <c r="T812" s="366">
        <f>'[1]Lake Pleasant Forecast'!B39</f>
        <v>1696.7</v>
      </c>
      <c r="AC812" s="325" t="s">
        <v>421</v>
      </c>
      <c r="AD812" s="159">
        <f t="shared" si="114"/>
        <v>40000</v>
      </c>
      <c r="AE812" s="159">
        <f t="shared" si="115"/>
        <v>1621.0530797648637</v>
      </c>
      <c r="AF812" s="159">
        <f t="shared" si="122"/>
        <v>64842.123190594546</v>
      </c>
      <c r="AG812" s="159">
        <f t="shared" si="116"/>
        <v>104361.621</v>
      </c>
      <c r="AH812" s="159">
        <f t="shared" si="120"/>
        <v>169203.74419059453</v>
      </c>
      <c r="AI812" s="159">
        <f t="shared" si="117"/>
        <v>27161</v>
      </c>
      <c r="AJ812" s="159">
        <f t="shared" si="121"/>
        <v>196364.74419059453</v>
      </c>
      <c r="AK812" s="159">
        <f>(G906)</f>
        <v>0</v>
      </c>
      <c r="AL812" s="159">
        <f t="shared" si="119"/>
        <v>196364.74419059453</v>
      </c>
      <c r="AM812" s="159" t="s">
        <v>424</v>
      </c>
      <c r="AN812" s="159">
        <f>+B821/31/1.98</f>
        <v>1853.3235581622678</v>
      </c>
      <c r="AO812" s="159">
        <f>(AD812*43560/31/24/3600)</f>
        <v>650.53763440860212</v>
      </c>
      <c r="AP812" s="159">
        <f>+P285</f>
        <v>0</v>
      </c>
      <c r="AQ812" s="159"/>
      <c r="AR812" s="159"/>
      <c r="AS812" s="159"/>
      <c r="AT812" s="324"/>
    </row>
    <row r="813" spans="1:46" ht="15.75" customHeight="1" x14ac:dyDescent="0.3">
      <c r="A813" s="365" t="s">
        <v>12</v>
      </c>
      <c r="B813" s="159">
        <f>+F29</f>
        <v>177805</v>
      </c>
      <c r="C813" s="159">
        <f>+F64</f>
        <v>177438</v>
      </c>
      <c r="D813" s="159">
        <f>+F131</f>
        <v>177088</v>
      </c>
      <c r="E813" s="159">
        <f>+F275</f>
        <v>170959</v>
      </c>
      <c r="F813" s="159">
        <f>+F270</f>
        <v>9835</v>
      </c>
      <c r="G813" s="159">
        <f>+F282</f>
        <v>-359</v>
      </c>
      <c r="H813" s="159">
        <f>+F410</f>
        <v>117989</v>
      </c>
      <c r="I813" s="159">
        <f>+F457</f>
        <v>40686</v>
      </c>
      <c r="J813" s="159">
        <f>+F499</f>
        <v>34652</v>
      </c>
      <c r="K813" s="159">
        <f>+F552</f>
        <v>25185</v>
      </c>
      <c r="L813" s="159">
        <f>+F562</f>
        <v>22093</v>
      </c>
      <c r="M813" s="159">
        <f>+F598</f>
        <v>22056</v>
      </c>
      <c r="N813" s="159">
        <f>+F642</f>
        <v>20431</v>
      </c>
      <c r="O813" s="159">
        <f>+F652</f>
        <v>4332</v>
      </c>
      <c r="P813" s="159">
        <f>+F686</f>
        <v>5012</v>
      </c>
      <c r="Q813" s="159">
        <f>+F733</f>
        <v>4325</v>
      </c>
      <c r="R813" s="324"/>
      <c r="T813" s="366">
        <f>'[1]Lake Pleasant Forecast'!B41</f>
        <v>1696.11085484296</v>
      </c>
      <c r="AC813" s="323"/>
      <c r="AD813" s="159"/>
      <c r="AE813" s="159"/>
      <c r="AF813" s="159"/>
      <c r="AG813" s="159"/>
      <c r="AH813" s="159"/>
      <c r="AI813" s="159"/>
      <c r="AJ813" s="159"/>
      <c r="AK813" s="159"/>
      <c r="AL813" s="159"/>
      <c r="AM813" s="159" t="s">
        <v>424</v>
      </c>
      <c r="AN813" s="159"/>
      <c r="AO813" s="159"/>
      <c r="AP813" s="159"/>
      <c r="AQ813" s="159"/>
      <c r="AR813" s="159"/>
      <c r="AS813" s="159"/>
      <c r="AT813" s="324"/>
    </row>
    <row r="814" spans="1:46" ht="15.75" customHeight="1" x14ac:dyDescent="0.3">
      <c r="A814" s="365" t="s">
        <v>13</v>
      </c>
      <c r="B814" s="159">
        <f>+G29</f>
        <v>183495</v>
      </c>
      <c r="C814" s="159">
        <f>+G64</f>
        <v>183070</v>
      </c>
      <c r="D814" s="159">
        <f>+G131</f>
        <v>182668</v>
      </c>
      <c r="E814" s="159">
        <f>+G275</f>
        <v>174800</v>
      </c>
      <c r="F814" s="159">
        <f>+G270</f>
        <v>1525</v>
      </c>
      <c r="G814" s="159">
        <f>+G282</f>
        <v>-9966</v>
      </c>
      <c r="H814" s="159">
        <f>+G410</f>
        <v>132636</v>
      </c>
      <c r="I814" s="159">
        <f>+G457</f>
        <v>40954</v>
      </c>
      <c r="J814" s="159">
        <f>+G499</f>
        <v>35381</v>
      </c>
      <c r="K814" s="159">
        <f>+G552</f>
        <v>24162</v>
      </c>
      <c r="L814" s="159">
        <f>+G562</f>
        <v>22811</v>
      </c>
      <c r="M814" s="159">
        <f>+G598</f>
        <v>22769</v>
      </c>
      <c r="N814" s="159">
        <f>+G642</f>
        <v>21452</v>
      </c>
      <c r="O814" s="159">
        <f>+G652</f>
        <v>4237</v>
      </c>
      <c r="P814" s="159">
        <f>+G686</f>
        <v>5799</v>
      </c>
      <c r="Q814" s="159">
        <f>+G733</f>
        <v>4229</v>
      </c>
      <c r="R814" s="324"/>
      <c r="T814" s="366">
        <f>'[1]Lake Pleasant Forecast'!B43</f>
        <v>1693.7800000000002</v>
      </c>
      <c r="AC814" s="323" t="s">
        <v>422</v>
      </c>
      <c r="AD814" s="159">
        <f>SUM(AD801:AD812)</f>
        <v>286903</v>
      </c>
      <c r="AE814" s="159"/>
      <c r="AF814" s="159">
        <f t="shared" ref="AF814:AL814" si="124">SUM(AF801:AF812)</f>
        <v>467793.98499073955</v>
      </c>
      <c r="AG814" s="159">
        <f t="shared" si="124"/>
        <v>1837734.9570000002</v>
      </c>
      <c r="AH814" s="159">
        <f t="shared" si="124"/>
        <v>2305528.9419907397</v>
      </c>
      <c r="AI814" s="159">
        <f t="shared" si="124"/>
        <v>430372</v>
      </c>
      <c r="AJ814" s="159">
        <f t="shared" si="124"/>
        <v>2735900.9419907397</v>
      </c>
      <c r="AK814" s="159">
        <f t="shared" si="124"/>
        <v>32762.247686146402</v>
      </c>
      <c r="AL814" s="159">
        <f t="shared" si="124"/>
        <v>2703138.6943045929</v>
      </c>
      <c r="AM814" s="159"/>
      <c r="AN814" s="159"/>
      <c r="AO814" s="159"/>
      <c r="AP814" s="159"/>
      <c r="AQ814" s="159"/>
      <c r="AR814" s="159"/>
      <c r="AS814" s="159"/>
      <c r="AT814" s="324"/>
    </row>
    <row r="815" spans="1:46" ht="15.75" customHeight="1" x14ac:dyDescent="0.3">
      <c r="A815" s="365" t="s">
        <v>14</v>
      </c>
      <c r="B815" s="159">
        <f>+H29</f>
        <v>135338</v>
      </c>
      <c r="C815" s="159">
        <f>+H64</f>
        <v>134921</v>
      </c>
      <c r="D815" s="159">
        <f>+H131</f>
        <v>134525</v>
      </c>
      <c r="E815" s="159">
        <f>+H275</f>
        <v>126555</v>
      </c>
      <c r="F815" s="159">
        <f>+H270</f>
        <v>0</v>
      </c>
      <c r="G815" s="159">
        <f>+H282</f>
        <v>-64683</v>
      </c>
      <c r="H815" s="159">
        <f>+H410</f>
        <v>153372</v>
      </c>
      <c r="I815" s="159">
        <f>+H457</f>
        <v>44355</v>
      </c>
      <c r="J815" s="159">
        <f>+H499</f>
        <v>28091</v>
      </c>
      <c r="K815" s="159">
        <f>+H552</f>
        <v>20406</v>
      </c>
      <c r="L815" s="159">
        <f>+H562</f>
        <v>18487</v>
      </c>
      <c r="M815" s="159">
        <f>+H598</f>
        <v>18443</v>
      </c>
      <c r="N815" s="159">
        <f>+H642</f>
        <v>16458</v>
      </c>
      <c r="O815" s="159">
        <f>+H652</f>
        <v>4457</v>
      </c>
      <c r="P815" s="159">
        <f>+H686</f>
        <v>5977</v>
      </c>
      <c r="Q815" s="159">
        <f>+H733</f>
        <v>4448</v>
      </c>
      <c r="R815" s="324"/>
      <c r="T815" s="366">
        <f>'[1]Lake Pleasant Forecast'!B45</f>
        <v>1681.1000000000001</v>
      </c>
      <c r="AC815" s="323"/>
      <c r="AD815" s="159"/>
      <c r="AE815" s="159"/>
      <c r="AF815" s="159"/>
      <c r="AG815" s="159"/>
      <c r="AH815" s="159"/>
      <c r="AI815" s="159"/>
      <c r="AJ815" s="159"/>
      <c r="AK815" s="159"/>
      <c r="AL815" s="159"/>
      <c r="AM815" s="159"/>
      <c r="AN815" s="159"/>
      <c r="AO815" s="159"/>
      <c r="AP815" s="159"/>
      <c r="AQ815" s="159"/>
      <c r="AR815" s="159"/>
      <c r="AS815" s="159"/>
      <c r="AT815" s="324"/>
    </row>
    <row r="816" spans="1:46" ht="15.75" customHeight="1" x14ac:dyDescent="0.3">
      <c r="A816" s="365" t="s">
        <v>16</v>
      </c>
      <c r="B816" s="159">
        <f>+J29</f>
        <v>95293</v>
      </c>
      <c r="C816" s="159">
        <f>+J64</f>
        <v>94877</v>
      </c>
      <c r="D816" s="159">
        <f>+J131</f>
        <v>94482</v>
      </c>
      <c r="E816" s="159">
        <f>+J275</f>
        <v>85894</v>
      </c>
      <c r="F816" s="159">
        <f>+J270</f>
        <v>0</v>
      </c>
      <c r="G816" s="159">
        <f>+J282</f>
        <v>-93862</v>
      </c>
      <c r="H816" s="159">
        <f>+J410</f>
        <v>135299</v>
      </c>
      <c r="I816" s="159">
        <f>+J457</f>
        <v>50308</v>
      </c>
      <c r="J816" s="159">
        <f>+J499</f>
        <v>30914</v>
      </c>
      <c r="K816" s="159">
        <f>+J552</f>
        <v>22309</v>
      </c>
      <c r="L816" s="159">
        <f>+J562</f>
        <v>17597</v>
      </c>
      <c r="M816" s="159">
        <f>+J598</f>
        <v>17558</v>
      </c>
      <c r="N816" s="159">
        <f>+J642</f>
        <v>14955</v>
      </c>
      <c r="O816" s="159">
        <f>+J652</f>
        <v>4489</v>
      </c>
      <c r="P816" s="159">
        <f>+J686</f>
        <v>6305</v>
      </c>
      <c r="Q816" s="159">
        <f>+J733</f>
        <v>4433</v>
      </c>
      <c r="R816" s="324"/>
      <c r="T816" s="366">
        <f>'[1]Lake Pleasant Forecast'!B47</f>
        <v>1671.6699725311105</v>
      </c>
      <c r="AC816" s="323" t="s">
        <v>450</v>
      </c>
      <c r="AD816" s="159"/>
      <c r="AE816" s="159"/>
      <c r="AF816" s="159"/>
      <c r="AG816" s="159"/>
      <c r="AH816" s="159"/>
      <c r="AI816" s="159"/>
      <c r="AJ816" s="159"/>
      <c r="AK816" s="159"/>
      <c r="AL816" s="159"/>
      <c r="AM816" s="159"/>
      <c r="AN816" s="159"/>
      <c r="AO816" s="159"/>
      <c r="AP816" s="159"/>
      <c r="AQ816" s="159"/>
      <c r="AR816" s="159"/>
      <c r="AS816" s="159"/>
      <c r="AT816" s="324"/>
    </row>
    <row r="817" spans="1:50" ht="15.75" customHeight="1" x14ac:dyDescent="0.3">
      <c r="A817" s="365" t="s">
        <v>17</v>
      </c>
      <c r="B817" s="159">
        <f>+K29</f>
        <v>101705</v>
      </c>
      <c r="C817" s="159">
        <f>+K64</f>
        <v>101371</v>
      </c>
      <c r="D817" s="159">
        <f>+K131</f>
        <v>101053</v>
      </c>
      <c r="E817" s="159">
        <f>+K275</f>
        <v>92962</v>
      </c>
      <c r="F817" s="159">
        <f>+K270</f>
        <v>0</v>
      </c>
      <c r="G817" s="159">
        <f>+K282</f>
        <v>-67548</v>
      </c>
      <c r="H817" s="159">
        <f>+K410</f>
        <v>125083</v>
      </c>
      <c r="I817" s="159">
        <f>+K457</f>
        <v>49915</v>
      </c>
      <c r="J817" s="159">
        <f>+K499</f>
        <v>32667</v>
      </c>
      <c r="K817" s="159">
        <f>+K552</f>
        <v>25398</v>
      </c>
      <c r="L817" s="159">
        <f>+K562</f>
        <v>19574</v>
      </c>
      <c r="M817" s="159">
        <f>+K598</f>
        <v>19538</v>
      </c>
      <c r="N817" s="159">
        <f>+K642</f>
        <v>17236</v>
      </c>
      <c r="O817" s="159">
        <f>+K652</f>
        <v>3895</v>
      </c>
      <c r="P817" s="159">
        <f>+K686</f>
        <v>5899</v>
      </c>
      <c r="Q817" s="159">
        <f>+K733</f>
        <v>3889</v>
      </c>
      <c r="R817" s="324"/>
      <c r="T817" s="366">
        <f>'[1]Lake Pleasant Forecast'!B49</f>
        <v>1661.2798188452823</v>
      </c>
      <c r="AC817" s="323" t="s">
        <v>451</v>
      </c>
      <c r="AD817" s="159"/>
      <c r="AE817" s="159"/>
      <c r="AF817" s="159"/>
      <c r="AG817" s="159"/>
      <c r="AH817" s="159"/>
      <c r="AI817" s="159"/>
      <c r="AJ817" s="159"/>
      <c r="AK817" s="159"/>
      <c r="AL817" s="159"/>
      <c r="AM817" s="159"/>
      <c r="AN817" s="159"/>
      <c r="AO817" s="159"/>
      <c r="AP817" s="159"/>
      <c r="AQ817" s="159"/>
      <c r="AR817" s="159"/>
      <c r="AS817" s="159"/>
      <c r="AT817" s="324"/>
    </row>
    <row r="818" spans="1:50" ht="15.75" customHeight="1" x14ac:dyDescent="0.3">
      <c r="A818" s="365" t="s">
        <v>18</v>
      </c>
      <c r="B818" s="159">
        <f>+L29</f>
        <v>139946</v>
      </c>
      <c r="C818" s="159">
        <f>+L64</f>
        <v>139630</v>
      </c>
      <c r="D818" s="159">
        <f>+L131</f>
        <v>139079</v>
      </c>
      <c r="E818" s="159">
        <f>+L275</f>
        <v>127310</v>
      </c>
      <c r="F818" s="159">
        <f>+L270</f>
        <v>27580</v>
      </c>
      <c r="G818" s="159">
        <f>+L282</f>
        <v>-5520</v>
      </c>
      <c r="H818" s="159">
        <f>+L410</f>
        <v>72908</v>
      </c>
      <c r="I818" s="159">
        <f>+L457</f>
        <v>31502</v>
      </c>
      <c r="J818" s="159">
        <f>+L499</f>
        <v>24657</v>
      </c>
      <c r="K818" s="159">
        <f>+L552</f>
        <v>22497</v>
      </c>
      <c r="L818" s="159">
        <f>+L562</f>
        <v>18578</v>
      </c>
      <c r="M818" s="159">
        <f>+L598</f>
        <v>18544</v>
      </c>
      <c r="N818" s="159">
        <f>+L642</f>
        <v>17052</v>
      </c>
      <c r="O818" s="159">
        <f>+L652</f>
        <v>3671</v>
      </c>
      <c r="P818" s="159">
        <f>+L686</f>
        <v>5097</v>
      </c>
      <c r="Q818" s="159">
        <f>+L733</f>
        <v>3665</v>
      </c>
      <c r="R818" s="324"/>
      <c r="T818" s="366">
        <f>'[1]Lake Pleasant Forecast'!B51</f>
        <v>1659.68</v>
      </c>
      <c r="AC818" s="323"/>
      <c r="AD818" s="159"/>
      <c r="AE818" s="159"/>
      <c r="AF818" s="159"/>
      <c r="AG818" s="159"/>
      <c r="AH818" s="159"/>
      <c r="AI818" s="159"/>
      <c r="AJ818" s="159"/>
      <c r="AK818" s="159"/>
      <c r="AL818" s="159"/>
      <c r="AM818" s="159"/>
      <c r="AN818" s="159"/>
      <c r="AO818" s="159"/>
      <c r="AP818" s="159"/>
      <c r="AQ818" s="159"/>
      <c r="AR818" s="159"/>
      <c r="AS818" s="159"/>
      <c r="AT818" s="324"/>
    </row>
    <row r="819" spans="1:50" ht="15.75" customHeight="1" x14ac:dyDescent="0.3">
      <c r="A819" s="365" t="s">
        <v>20</v>
      </c>
      <c r="B819" s="159">
        <f>+N29</f>
        <v>119736</v>
      </c>
      <c r="C819" s="159">
        <f>+N64</f>
        <v>119451</v>
      </c>
      <c r="D819" s="159">
        <f>+N131</f>
        <v>119152</v>
      </c>
      <c r="E819" s="159">
        <f>+N275</f>
        <v>106197</v>
      </c>
      <c r="F819" s="159">
        <f>+N270</f>
        <v>5000</v>
      </c>
      <c r="G819" s="159">
        <f>+N282</f>
        <v>0</v>
      </c>
      <c r="H819" s="159">
        <f>+N410</f>
        <v>64634</v>
      </c>
      <c r="I819" s="159">
        <f>+N457</f>
        <v>19691</v>
      </c>
      <c r="J819" s="159">
        <f>+N499</f>
        <v>16735</v>
      </c>
      <c r="K819" s="159">
        <f>+N552</f>
        <v>15177</v>
      </c>
      <c r="L819" s="159">
        <f>+N562</f>
        <v>13454</v>
      </c>
      <c r="M819" s="159">
        <f>+N598</f>
        <v>13425</v>
      </c>
      <c r="N819" s="159">
        <f>+N642</f>
        <v>12578</v>
      </c>
      <c r="O819" s="159">
        <f>+N652</f>
        <v>3237</v>
      </c>
      <c r="P819" s="159">
        <f>+N686</f>
        <v>4517</v>
      </c>
      <c r="Q819" s="159">
        <f>+N733</f>
        <v>3232</v>
      </c>
      <c r="R819" s="324"/>
      <c r="T819" s="366">
        <f>'[1]Lake Pleasant Forecast'!B53</f>
        <v>1666.2699999999998</v>
      </c>
      <c r="AC819" s="323" t="s">
        <v>452</v>
      </c>
      <c r="AD819" s="159"/>
      <c r="AE819" s="159"/>
      <c r="AF819" s="159"/>
      <c r="AG819" s="159"/>
      <c r="AH819" s="159"/>
      <c r="AI819" s="159"/>
      <c r="AJ819" s="159"/>
      <c r="AK819" s="159"/>
      <c r="AL819" s="159"/>
      <c r="AM819" s="159"/>
      <c r="AN819" s="159"/>
      <c r="AO819" s="159"/>
      <c r="AP819" s="159"/>
      <c r="AQ819" s="159"/>
      <c r="AR819" s="159"/>
      <c r="AS819" s="159"/>
      <c r="AT819" s="324"/>
    </row>
    <row r="820" spans="1:50" ht="15.75" customHeight="1" x14ac:dyDescent="0.3">
      <c r="A820" s="365" t="s">
        <v>21</v>
      </c>
      <c r="B820" s="159">
        <f>+O29</f>
        <v>135762</v>
      </c>
      <c r="C820" s="159">
        <f>+O64</f>
        <v>135527</v>
      </c>
      <c r="D820" s="159">
        <f>+O131</f>
        <v>135299</v>
      </c>
      <c r="E820" s="159">
        <f>+O275</f>
        <v>125359</v>
      </c>
      <c r="F820" s="159">
        <f>+O270</f>
        <v>48000</v>
      </c>
      <c r="G820" s="159">
        <f>+O282</f>
        <v>0</v>
      </c>
      <c r="H820" s="159">
        <f>+O410</f>
        <v>44002</v>
      </c>
      <c r="I820" s="159">
        <f>+O457</f>
        <v>11252</v>
      </c>
      <c r="J820" s="159">
        <f>+O499</f>
        <v>11191</v>
      </c>
      <c r="K820" s="159">
        <f>+O552</f>
        <v>10766</v>
      </c>
      <c r="L820" s="159">
        <f>+O562</f>
        <v>8845</v>
      </c>
      <c r="M820" s="159">
        <f>+O598</f>
        <v>8822</v>
      </c>
      <c r="N820" s="159">
        <f>+O642</f>
        <v>8509</v>
      </c>
      <c r="O820" s="159">
        <f>+O652</f>
        <v>2254</v>
      </c>
      <c r="P820" s="159">
        <f>+O686</f>
        <v>4416</v>
      </c>
      <c r="Q820" s="159">
        <f>+O733</f>
        <v>2251</v>
      </c>
      <c r="R820" s="324"/>
      <c r="T820" s="366">
        <f>'[1]Lake Pleasant Forecast'!B55</f>
        <v>1674.31</v>
      </c>
      <c r="AC820" s="323"/>
      <c r="AD820" s="159"/>
      <c r="AE820" s="159"/>
      <c r="AF820" s="159"/>
      <c r="AG820" s="159"/>
      <c r="AH820" s="159"/>
      <c r="AI820" s="159"/>
      <c r="AJ820" s="159"/>
      <c r="AK820" s="159"/>
      <c r="AL820" s="159"/>
      <c r="AM820" s="159"/>
      <c r="AN820" s="159"/>
      <c r="AO820" s="159"/>
      <c r="AP820" s="159"/>
      <c r="AQ820" s="159"/>
      <c r="AR820" s="159"/>
      <c r="AS820" s="159"/>
      <c r="AT820" s="324"/>
    </row>
    <row r="821" spans="1:50" ht="15.75" customHeight="1" thickBot="1" x14ac:dyDescent="0.35">
      <c r="A821" s="365" t="s">
        <v>22</v>
      </c>
      <c r="B821" s="159">
        <f>+P29</f>
        <v>113757</v>
      </c>
      <c r="C821" s="159">
        <f>+P64</f>
        <v>113571</v>
      </c>
      <c r="D821" s="159">
        <f>+P131</f>
        <v>113369</v>
      </c>
      <c r="E821" s="159">
        <f>+P275</f>
        <v>110362</v>
      </c>
      <c r="F821" s="159">
        <f>+P270</f>
        <v>40000</v>
      </c>
      <c r="G821" s="159">
        <f>+P282</f>
        <v>0</v>
      </c>
      <c r="H821" s="159">
        <f>+P410</f>
        <v>47444</v>
      </c>
      <c r="I821" s="159">
        <f>+P457</f>
        <v>19318</v>
      </c>
      <c r="J821" s="159">
        <f>+P499</f>
        <v>18648</v>
      </c>
      <c r="K821" s="159">
        <f>+P552</f>
        <v>18076</v>
      </c>
      <c r="L821" s="159">
        <f>+P562</f>
        <v>16891</v>
      </c>
      <c r="M821" s="159">
        <f>+P598</f>
        <v>16872</v>
      </c>
      <c r="N821" s="159">
        <f>+P642</f>
        <v>16097</v>
      </c>
      <c r="O821" s="159">
        <f>+P652</f>
        <v>3213</v>
      </c>
      <c r="P821" s="159">
        <f>+P686</f>
        <v>1022</v>
      </c>
      <c r="Q821" s="159">
        <f>+P733</f>
        <v>3211</v>
      </c>
      <c r="R821" s="324"/>
      <c r="T821" s="366">
        <f>'[1]Lake Pleasant Forecast'!B57</f>
        <v>1677.029882034898</v>
      </c>
      <c r="AC821" s="326" t="s">
        <v>453</v>
      </c>
      <c r="AD821" s="327"/>
      <c r="AE821" s="327"/>
      <c r="AF821" s="327"/>
      <c r="AG821" s="327"/>
      <c r="AH821" s="327"/>
      <c r="AI821" s="327"/>
      <c r="AJ821" s="327"/>
      <c r="AK821" s="327"/>
      <c r="AL821" s="327"/>
      <c r="AM821" s="327"/>
      <c r="AN821" s="327"/>
      <c r="AO821" s="327"/>
      <c r="AP821" s="327"/>
      <c r="AQ821" s="327"/>
      <c r="AR821" s="327"/>
      <c r="AS821" s="327"/>
      <c r="AT821" s="328"/>
    </row>
    <row r="822" spans="1:50" ht="15.75" customHeight="1" x14ac:dyDescent="0.3">
      <c r="A822" s="325"/>
      <c r="B822" s="159"/>
      <c r="C822" s="159"/>
      <c r="D822" s="159"/>
      <c r="E822" s="159"/>
      <c r="F822" s="159"/>
      <c r="G822" s="159"/>
      <c r="H822" s="159"/>
      <c r="I822" s="159"/>
      <c r="J822" s="159"/>
      <c r="K822" s="159"/>
      <c r="L822" s="159"/>
      <c r="M822" s="159"/>
      <c r="N822" s="159"/>
      <c r="O822" s="159"/>
      <c r="P822" s="159"/>
      <c r="Q822" s="159"/>
      <c r="R822" s="324"/>
    </row>
    <row r="823" spans="1:50" ht="15.75" customHeight="1" thickBot="1" x14ac:dyDescent="0.35">
      <c r="A823" s="325" t="s">
        <v>422</v>
      </c>
      <c r="B823" s="159">
        <f t="shared" ref="B823:Q823" si="125">SUM(B810:B821)</f>
        <v>1590664</v>
      </c>
      <c r="C823" s="159">
        <f t="shared" si="125"/>
        <v>1587164</v>
      </c>
      <c r="D823" s="159">
        <f t="shared" si="125"/>
        <v>1583052</v>
      </c>
      <c r="E823" s="159">
        <f t="shared" si="125"/>
        <v>1499217</v>
      </c>
      <c r="F823" s="159">
        <f t="shared" si="125"/>
        <v>286903</v>
      </c>
      <c r="G823" s="159">
        <f t="shared" si="125"/>
        <v>-268489</v>
      </c>
      <c r="H823" s="159">
        <f t="shared" si="125"/>
        <v>1064088</v>
      </c>
      <c r="I823" s="159">
        <f t="shared" si="125"/>
        <v>373087</v>
      </c>
      <c r="J823" s="159">
        <f t="shared" si="125"/>
        <v>288671</v>
      </c>
      <c r="K823" s="159">
        <f t="shared" si="125"/>
        <v>233990</v>
      </c>
      <c r="L823" s="159">
        <f t="shared" si="125"/>
        <v>199705</v>
      </c>
      <c r="M823" s="159">
        <f t="shared" si="125"/>
        <v>199332</v>
      </c>
      <c r="N823" s="159">
        <f t="shared" si="125"/>
        <v>185412</v>
      </c>
      <c r="O823" s="159">
        <f t="shared" si="125"/>
        <v>44551</v>
      </c>
      <c r="P823" s="159">
        <f t="shared" si="125"/>
        <v>47498</v>
      </c>
      <c r="Q823" s="159">
        <f t="shared" si="125"/>
        <v>44439</v>
      </c>
      <c r="R823" s="324"/>
    </row>
    <row r="824" spans="1:50" ht="15.75" customHeight="1" thickBot="1" x14ac:dyDescent="0.35">
      <c r="A824" s="312"/>
      <c r="B824" s="312"/>
      <c r="C824" s="312"/>
      <c r="D824" s="312"/>
      <c r="E824" s="312"/>
      <c r="F824" s="312"/>
      <c r="G824" s="312"/>
      <c r="H824" s="312"/>
      <c r="I824" s="312"/>
      <c r="J824" s="312"/>
      <c r="K824" s="312"/>
      <c r="L824" s="312"/>
      <c r="M824" s="312"/>
      <c r="N824" s="312"/>
      <c r="O824" s="312"/>
      <c r="P824" s="312"/>
      <c r="Q824" s="312"/>
      <c r="R824" s="328"/>
      <c r="AC824" s="318"/>
      <c r="AD824" s="319"/>
      <c r="AE824" s="319"/>
      <c r="AF824" s="319"/>
      <c r="AG824" s="319"/>
      <c r="AH824" s="319"/>
      <c r="AI824" s="319"/>
      <c r="AJ824" s="319"/>
      <c r="AK824" s="319"/>
      <c r="AL824" s="319"/>
      <c r="AM824" s="319"/>
      <c r="AN824" s="319"/>
      <c r="AO824" s="319"/>
      <c r="AP824" s="319"/>
      <c r="AQ824" s="319"/>
      <c r="AR824" s="319"/>
      <c r="AS824" s="361" t="str">
        <f>+Q1</f>
        <v xml:space="preserve">PRINTED:  </v>
      </c>
      <c r="AT824" s="367">
        <f ca="1">+R1</f>
        <v>44909.46975358796</v>
      </c>
      <c r="AU824" s="332"/>
      <c r="AW824" s="161" t="s">
        <v>467</v>
      </c>
      <c r="AX824" s="159"/>
    </row>
    <row r="825" spans="1:50" ht="15.75" customHeight="1" x14ac:dyDescent="0.35">
      <c r="A825" s="368"/>
      <c r="B825" s="368"/>
      <c r="C825" s="368"/>
      <c r="D825" s="368"/>
      <c r="E825" s="368"/>
      <c r="F825" s="368"/>
      <c r="G825" s="368"/>
      <c r="H825" s="368"/>
      <c r="I825" s="368"/>
      <c r="J825" s="368"/>
      <c r="K825" s="368"/>
      <c r="L825" s="368"/>
      <c r="M825" s="368"/>
      <c r="N825" s="368"/>
      <c r="O825" s="368"/>
      <c r="P825" s="368"/>
      <c r="Q825" s="368"/>
      <c r="R825" s="319"/>
      <c r="AC825" s="323"/>
      <c r="AD825" s="159"/>
      <c r="AE825" s="161" t="s">
        <v>460</v>
      </c>
      <c r="AF825" s="159"/>
      <c r="AG825" s="159"/>
      <c r="AH825" s="159"/>
      <c r="AI825" s="159"/>
      <c r="AJ825" s="159"/>
      <c r="AK825" s="159"/>
      <c r="AL825" s="159"/>
      <c r="AM825" s="159"/>
      <c r="AN825" s="167"/>
      <c r="AO825" s="161" t="s">
        <v>461</v>
      </c>
      <c r="AP825" s="159"/>
      <c r="AQ825" s="159"/>
      <c r="AR825" s="159"/>
      <c r="AS825" s="159"/>
      <c r="AT825" s="159"/>
      <c r="AU825" s="307"/>
      <c r="AW825" s="159" t="s">
        <v>468</v>
      </c>
      <c r="AX825" s="159"/>
    </row>
    <row r="826" spans="1:50" ht="16.5" customHeight="1" x14ac:dyDescent="0.3">
      <c r="A826" s="325" t="s">
        <v>7</v>
      </c>
      <c r="B826" s="159"/>
      <c r="C826" s="159"/>
      <c r="D826" s="159"/>
      <c r="E826" s="159"/>
      <c r="F826" s="159"/>
      <c r="G826" s="159"/>
      <c r="H826" s="159"/>
      <c r="I826" s="159"/>
      <c r="J826" s="159"/>
      <c r="K826" s="159"/>
      <c r="L826" s="159"/>
      <c r="M826" s="159"/>
      <c r="N826" s="159"/>
      <c r="O826" s="159"/>
      <c r="P826" s="159"/>
      <c r="Q826" s="159"/>
      <c r="R826" s="159"/>
      <c r="AC826" s="323"/>
      <c r="AD826" s="159"/>
      <c r="AE826" s="159"/>
      <c r="AF826" s="159"/>
      <c r="AG826" s="159" t="s">
        <v>7</v>
      </c>
      <c r="AH826" s="163" t="str">
        <f>+A8</f>
        <v>Revised:  2/10/2015</v>
      </c>
      <c r="AI826" s="159"/>
      <c r="AJ826" s="159"/>
      <c r="AK826" s="159"/>
      <c r="AL826" s="159"/>
      <c r="AM826" s="159"/>
      <c r="AN826" s="159"/>
      <c r="AO826" s="159"/>
      <c r="AP826" s="159"/>
      <c r="AQ826" s="159"/>
      <c r="AR826" s="159" t="s">
        <v>7</v>
      </c>
      <c r="AS826" s="163" t="str">
        <f>+A8</f>
        <v>Revised:  2/10/2015</v>
      </c>
      <c r="AT826" s="159"/>
      <c r="AU826" s="307"/>
      <c r="AW826" s="159"/>
      <c r="AX826" s="159"/>
    </row>
    <row r="827" spans="1:50" ht="15.75" customHeight="1" x14ac:dyDescent="0.3">
      <c r="A827" s="164"/>
      <c r="B827" s="159"/>
      <c r="C827" s="159"/>
      <c r="D827" s="159"/>
      <c r="E827" s="159"/>
      <c r="F827" s="159"/>
      <c r="G827" s="159"/>
      <c r="H827" s="159"/>
      <c r="I827" s="159"/>
      <c r="J827" s="159"/>
      <c r="K827" s="159"/>
      <c r="L827" s="159"/>
      <c r="M827" s="159"/>
      <c r="N827" s="159"/>
      <c r="O827" s="159"/>
      <c r="P827" s="159"/>
      <c r="Q827" s="159"/>
      <c r="R827" s="159"/>
      <c r="AC827" s="323"/>
      <c r="AD827" s="159"/>
      <c r="AE827" s="159"/>
      <c r="AF827" s="159" t="s">
        <v>787</v>
      </c>
      <c r="AG827" s="159"/>
      <c r="AH827" s="159"/>
      <c r="AI827" s="159"/>
      <c r="AJ827" s="159"/>
      <c r="AK827" s="159"/>
      <c r="AL827" s="159"/>
      <c r="AM827" s="159"/>
      <c r="AN827" s="159"/>
      <c r="AO827" s="159"/>
      <c r="AP827" s="159" t="s">
        <v>787</v>
      </c>
      <c r="AQ827" s="159"/>
      <c r="AR827" s="159"/>
      <c r="AS827" s="159"/>
      <c r="AT827" s="159"/>
      <c r="AU827" s="307"/>
      <c r="AW827" s="159" t="s">
        <v>424</v>
      </c>
      <c r="AX827" s="164" t="s">
        <v>442</v>
      </c>
    </row>
    <row r="828" spans="1:50" ht="15.75" customHeight="1" x14ac:dyDescent="0.3">
      <c r="A828" s="365"/>
      <c r="AC828" s="323"/>
      <c r="AD828" s="159"/>
      <c r="AE828" s="159"/>
      <c r="AF828" s="159"/>
      <c r="AG828" s="159"/>
      <c r="AH828" s="159"/>
      <c r="AI828" s="159"/>
      <c r="AJ828" s="159"/>
      <c r="AK828" s="159"/>
      <c r="AL828" s="159"/>
      <c r="AM828" s="159"/>
      <c r="AN828" s="159"/>
      <c r="AO828" s="159"/>
      <c r="AP828" s="159"/>
      <c r="AQ828" s="159"/>
      <c r="AR828" s="159"/>
      <c r="AS828" s="159"/>
      <c r="AT828" s="159"/>
      <c r="AU828" s="307"/>
      <c r="AW828" s="164" t="s">
        <v>442</v>
      </c>
      <c r="AX828" s="164" t="s">
        <v>439</v>
      </c>
    </row>
    <row r="829" spans="1:50" ht="15.75" customHeight="1" thickBot="1" x14ac:dyDescent="0.35">
      <c r="A829" s="365"/>
      <c r="AC829" s="323"/>
      <c r="AD829" s="159"/>
      <c r="AE829" s="159"/>
      <c r="AF829" s="159"/>
      <c r="AG829" s="159">
        <f>+A5</f>
        <v>2014</v>
      </c>
      <c r="AH829" s="159"/>
      <c r="AI829" s="159"/>
      <c r="AJ829" s="159"/>
      <c r="AK829" s="159"/>
      <c r="AL829" s="159"/>
      <c r="AM829" s="159"/>
      <c r="AN829" s="159"/>
      <c r="AO829" s="159"/>
      <c r="AP829" s="159"/>
      <c r="AQ829" s="159"/>
      <c r="AR829" s="159">
        <f>+A5</f>
        <v>2014</v>
      </c>
      <c r="AS829" s="159"/>
      <c r="AT829" s="159"/>
      <c r="AU829" s="307"/>
      <c r="AW829" s="164" t="s">
        <v>491</v>
      </c>
      <c r="AX829" s="164" t="s">
        <v>492</v>
      </c>
    </row>
    <row r="830" spans="1:50" ht="15.75" customHeight="1" x14ac:dyDescent="0.3">
      <c r="A830" s="363"/>
      <c r="B830" s="506" t="s">
        <v>454</v>
      </c>
      <c r="C830" s="506"/>
      <c r="D830" s="506"/>
      <c r="E830" s="506"/>
      <c r="F830" s="506"/>
      <c r="G830" s="506"/>
      <c r="H830" s="506"/>
      <c r="I830" s="506"/>
      <c r="J830" s="506"/>
      <c r="K830" s="506"/>
      <c r="L830" s="506"/>
      <c r="M830" s="506"/>
      <c r="N830" s="506"/>
      <c r="O830" s="506"/>
      <c r="P830" s="506"/>
      <c r="Q830" s="361" t="str">
        <f>+Q1</f>
        <v xml:space="preserve">PRINTED:  </v>
      </c>
      <c r="R830" s="362">
        <f ca="1">+R1</f>
        <v>44909.46975358796</v>
      </c>
      <c r="AC830" s="323"/>
      <c r="AD830" s="159"/>
      <c r="AE830" s="159"/>
      <c r="AF830" s="159"/>
      <c r="AG830" s="159" t="s">
        <v>457</v>
      </c>
      <c r="AH830" s="159"/>
      <c r="AI830" s="159"/>
      <c r="AJ830" s="159"/>
      <c r="AK830" s="159"/>
      <c r="AL830" s="159"/>
      <c r="AM830" s="159"/>
      <c r="AN830" s="159"/>
      <c r="AO830" s="159"/>
      <c r="AP830" s="159"/>
      <c r="AQ830" s="159"/>
      <c r="AR830" s="159" t="s">
        <v>457</v>
      </c>
      <c r="AS830" s="159"/>
      <c r="AT830" s="159"/>
      <c r="AU830" s="307"/>
      <c r="AW830" s="164" t="s">
        <v>409</v>
      </c>
      <c r="AX830" s="164" t="s">
        <v>409</v>
      </c>
    </row>
    <row r="831" spans="1:50" ht="15.75" customHeight="1" x14ac:dyDescent="0.3">
      <c r="A831" s="325"/>
      <c r="B831" s="503" t="str">
        <f>+A8</f>
        <v>Revised:  2/10/2015</v>
      </c>
      <c r="C831" s="503"/>
      <c r="D831" s="503"/>
      <c r="E831" s="503"/>
      <c r="F831" s="503"/>
      <c r="G831" s="503"/>
      <c r="H831" s="503"/>
      <c r="I831" s="503"/>
      <c r="J831" s="503"/>
      <c r="K831" s="503"/>
      <c r="L831" s="503"/>
      <c r="M831" s="503"/>
      <c r="N831" s="503"/>
      <c r="O831" s="503"/>
      <c r="P831" s="503"/>
      <c r="Q831" s="159"/>
      <c r="R831" s="324"/>
      <c r="AC831" s="323"/>
      <c r="AD831" s="159"/>
      <c r="AE831" s="159"/>
      <c r="AF831" s="159"/>
      <c r="AG831" s="159"/>
      <c r="AH831" s="159"/>
      <c r="AI831" s="159"/>
      <c r="AJ831" s="159"/>
      <c r="AK831" s="159"/>
      <c r="AL831" s="159"/>
      <c r="AM831" s="159"/>
      <c r="AN831" s="159"/>
      <c r="AO831" s="159"/>
      <c r="AP831" s="159"/>
      <c r="AQ831" s="159"/>
      <c r="AR831" s="159"/>
      <c r="AS831" s="159"/>
      <c r="AT831" s="159"/>
      <c r="AU831" s="307"/>
      <c r="AW831" s="159">
        <f t="shared" ref="AW831:AW842" si="126">SUM(L867:Q867)</f>
        <v>7781</v>
      </c>
      <c r="AX831" s="172">
        <v>2.4700000000000002</v>
      </c>
    </row>
    <row r="832" spans="1:50" ht="15.75" customHeight="1" x14ac:dyDescent="0.3">
      <c r="A832" s="325"/>
      <c r="B832" s="503" t="s">
        <v>1024</v>
      </c>
      <c r="C832" s="503"/>
      <c r="D832" s="503"/>
      <c r="E832" s="503"/>
      <c r="F832" s="503"/>
      <c r="G832" s="503"/>
      <c r="H832" s="503"/>
      <c r="I832" s="503"/>
      <c r="J832" s="503"/>
      <c r="K832" s="503"/>
      <c r="L832" s="503"/>
      <c r="M832" s="503"/>
      <c r="N832" s="503"/>
      <c r="O832" s="503"/>
      <c r="P832" s="503"/>
      <c r="Q832" s="159"/>
      <c r="R832" s="324"/>
      <c r="AC832" s="323" t="s">
        <v>389</v>
      </c>
      <c r="AD832" s="164" t="s">
        <v>390</v>
      </c>
      <c r="AE832" s="164" t="s">
        <v>391</v>
      </c>
      <c r="AF832" s="164" t="s">
        <v>392</v>
      </c>
      <c r="AG832" s="164" t="s">
        <v>393</v>
      </c>
      <c r="AH832" s="164" t="s">
        <v>394</v>
      </c>
      <c r="AI832" s="159"/>
      <c r="AJ832" s="164" t="s">
        <v>422</v>
      </c>
      <c r="AK832" s="159"/>
      <c r="AL832" s="159"/>
      <c r="AM832" s="159"/>
      <c r="AN832" s="159" t="s">
        <v>389</v>
      </c>
      <c r="AO832" s="164" t="s">
        <v>390</v>
      </c>
      <c r="AP832" s="164" t="s">
        <v>391</v>
      </c>
      <c r="AQ832" s="164" t="s">
        <v>392</v>
      </c>
      <c r="AR832" s="164" t="s">
        <v>393</v>
      </c>
      <c r="AS832" s="164" t="s">
        <v>394</v>
      </c>
      <c r="AT832" s="164" t="s">
        <v>422</v>
      </c>
      <c r="AU832" s="307"/>
      <c r="AW832" s="159">
        <f t="shared" si="126"/>
        <v>6882</v>
      </c>
      <c r="AX832" s="172">
        <v>2.4700000000000002</v>
      </c>
    </row>
    <row r="833" spans="1:50" ht="15.75" customHeight="1" x14ac:dyDescent="0.3">
      <c r="A833" s="325"/>
      <c r="B833" s="503"/>
      <c r="C833" s="503"/>
      <c r="D833" s="503"/>
      <c r="E833" s="503"/>
      <c r="F833" s="503"/>
      <c r="G833" s="503"/>
      <c r="H833" s="503"/>
      <c r="I833" s="503"/>
      <c r="J833" s="503"/>
      <c r="K833" s="503"/>
      <c r="L833" s="503"/>
      <c r="M833" s="503"/>
      <c r="N833" s="503"/>
      <c r="O833" s="503"/>
      <c r="P833" s="503"/>
      <c r="Q833" s="159"/>
      <c r="R833" s="324"/>
      <c r="AC833" s="323" t="s">
        <v>405</v>
      </c>
      <c r="AD833" s="159"/>
      <c r="AE833" s="159"/>
      <c r="AF833" s="159"/>
      <c r="AG833" s="159"/>
      <c r="AH833" s="164" t="s">
        <v>406</v>
      </c>
      <c r="AI833" s="159"/>
      <c r="AJ833" s="164" t="s">
        <v>465</v>
      </c>
      <c r="AK833" s="159"/>
      <c r="AL833" s="159"/>
      <c r="AM833" s="159"/>
      <c r="AN833" s="159" t="s">
        <v>405</v>
      </c>
      <c r="AO833" s="159"/>
      <c r="AP833" s="159"/>
      <c r="AQ833" s="159"/>
      <c r="AR833" s="159"/>
      <c r="AS833" s="164" t="s">
        <v>406</v>
      </c>
      <c r="AT833" s="164" t="s">
        <v>465</v>
      </c>
      <c r="AU833" s="307"/>
      <c r="AW833" s="159">
        <f t="shared" si="126"/>
        <v>12569</v>
      </c>
      <c r="AX833" s="172">
        <v>2.4700000000000002</v>
      </c>
    </row>
    <row r="834" spans="1:50" ht="15.75" customHeight="1" x14ac:dyDescent="0.3">
      <c r="A834" s="325"/>
      <c r="B834" s="509">
        <f>+A5</f>
        <v>2014</v>
      </c>
      <c r="C834" s="509"/>
      <c r="D834" s="509"/>
      <c r="E834" s="509"/>
      <c r="F834" s="509"/>
      <c r="G834" s="509"/>
      <c r="H834" s="509"/>
      <c r="I834" s="509"/>
      <c r="J834" s="509"/>
      <c r="K834" s="509"/>
      <c r="L834" s="509"/>
      <c r="M834" s="509"/>
      <c r="N834" s="509"/>
      <c r="O834" s="509"/>
      <c r="P834" s="509"/>
      <c r="Q834" s="159"/>
      <c r="R834" s="324"/>
      <c r="AC834" s="323" t="s">
        <v>408</v>
      </c>
      <c r="AD834" s="159">
        <f>+$B$865</f>
        <v>957</v>
      </c>
      <c r="AE834" s="159">
        <f>+C$865</f>
        <v>122</v>
      </c>
      <c r="AF834" s="159">
        <f>+D$865</f>
        <v>128</v>
      </c>
      <c r="AG834" s="159">
        <f>+E$865</f>
        <v>219</v>
      </c>
      <c r="AH834" s="159"/>
      <c r="AI834" s="159"/>
      <c r="AJ834" s="164" t="s">
        <v>442</v>
      </c>
      <c r="AK834" s="159"/>
      <c r="AL834" s="159"/>
      <c r="AM834" s="159"/>
      <c r="AN834" s="159" t="s">
        <v>408</v>
      </c>
      <c r="AO834" s="159">
        <f>+$B$865</f>
        <v>957</v>
      </c>
      <c r="AP834" s="159">
        <f>+C$865</f>
        <v>122</v>
      </c>
      <c r="AQ834" s="159">
        <f>+D$865</f>
        <v>128</v>
      </c>
      <c r="AR834" s="159">
        <f>+E$865</f>
        <v>219</v>
      </c>
      <c r="AS834" s="159"/>
      <c r="AT834" s="164" t="s">
        <v>442</v>
      </c>
      <c r="AU834" s="307"/>
      <c r="AW834" s="159">
        <f t="shared" si="126"/>
        <v>14393</v>
      </c>
      <c r="AX834" s="172">
        <v>2.4700000000000002</v>
      </c>
    </row>
    <row r="835" spans="1:50" ht="15.75" customHeight="1" x14ac:dyDescent="0.3">
      <c r="A835" s="325"/>
      <c r="B835" s="503" t="s">
        <v>1027</v>
      </c>
      <c r="C835" s="503"/>
      <c r="D835" s="503"/>
      <c r="E835" s="503"/>
      <c r="F835" s="503"/>
      <c r="G835" s="503"/>
      <c r="H835" s="503"/>
      <c r="I835" s="503"/>
      <c r="J835" s="503"/>
      <c r="K835" s="503"/>
      <c r="L835" s="503"/>
      <c r="M835" s="503"/>
      <c r="N835" s="503"/>
      <c r="O835" s="503"/>
      <c r="P835" s="503"/>
      <c r="Q835" s="159"/>
      <c r="R835" s="324"/>
      <c r="AC835" s="323"/>
      <c r="AD835" s="159" t="s">
        <v>409</v>
      </c>
      <c r="AE835" s="159" t="s">
        <v>409</v>
      </c>
      <c r="AF835" s="159" t="s">
        <v>409</v>
      </c>
      <c r="AG835" s="159" t="s">
        <v>409</v>
      </c>
      <c r="AH835" s="159" t="s">
        <v>409</v>
      </c>
      <c r="AI835" s="159"/>
      <c r="AJ835" s="159" t="s">
        <v>459</v>
      </c>
      <c r="AK835" s="159"/>
      <c r="AL835" s="159"/>
      <c r="AM835" s="159"/>
      <c r="AN835" s="159"/>
      <c r="AO835" s="159" t="s">
        <v>409</v>
      </c>
      <c r="AP835" s="159" t="s">
        <v>409</v>
      </c>
      <c r="AQ835" s="159" t="s">
        <v>409</v>
      </c>
      <c r="AR835" s="159" t="s">
        <v>409</v>
      </c>
      <c r="AS835" s="159" t="s">
        <v>409</v>
      </c>
      <c r="AT835" s="159" t="s">
        <v>459</v>
      </c>
      <c r="AU835" s="307"/>
      <c r="AW835" s="159">
        <f t="shared" si="126"/>
        <v>15011</v>
      </c>
      <c r="AX835" s="172">
        <v>2.4700000000000002</v>
      </c>
    </row>
    <row r="836" spans="1:50" ht="15.75" customHeight="1" x14ac:dyDescent="0.3">
      <c r="A836" s="325"/>
      <c r="B836" s="159"/>
      <c r="C836" s="159"/>
      <c r="D836" s="159"/>
      <c r="E836" s="159"/>
      <c r="F836" s="159"/>
      <c r="G836" s="159"/>
      <c r="H836" s="159"/>
      <c r="I836" s="159"/>
      <c r="J836" s="159"/>
      <c r="K836" s="159"/>
      <c r="L836" s="159"/>
      <c r="M836" s="159"/>
      <c r="N836" s="159"/>
      <c r="O836" s="159"/>
      <c r="P836" s="159"/>
      <c r="Q836" s="159"/>
      <c r="R836" s="324"/>
      <c r="AC836" s="325" t="s">
        <v>410</v>
      </c>
      <c r="AD836" s="159">
        <f t="shared" ref="AD836:AD847" si="127">ROUND($F810*$AD$834/1000,0)</f>
        <v>51784</v>
      </c>
      <c r="AE836" s="159">
        <f t="shared" ref="AE836:AE847" si="128">ROUND($F810*$AE$834/1000,0)</f>
        <v>6602</v>
      </c>
      <c r="AF836" s="159">
        <f t="shared" ref="AF836:AF847" si="129">ROUND($F810*$AF$834/1000,0)</f>
        <v>6926</v>
      </c>
      <c r="AG836" s="159">
        <f t="shared" ref="AG836:AG847" si="130">ROUND($F810*$AG$834/1000,0)</f>
        <v>11850</v>
      </c>
      <c r="AH836" s="159">
        <f t="shared" ref="AH836:AH847" si="131">(F810*((T810-1526.8)/0.7702))/1000</f>
        <v>11479.780843275881</v>
      </c>
      <c r="AI836" s="159"/>
      <c r="AJ836" s="159">
        <f t="shared" ref="AJ836:AJ847" si="132">SUM(AD836:AH836)</f>
        <v>88641.780843275876</v>
      </c>
      <c r="AK836" s="159"/>
      <c r="AL836" s="159"/>
      <c r="AM836" s="159"/>
      <c r="AN836" s="164" t="s">
        <v>410</v>
      </c>
      <c r="AO836" s="159">
        <f t="shared" ref="AO836:AO847" si="133">ROUND((B810-$F810)*$AO$834/1000,0)</f>
        <v>27592</v>
      </c>
      <c r="AP836" s="159">
        <f t="shared" ref="AP836:AP847" si="134">ROUND((C810-$F810)*$AP$834/1000,0)</f>
        <v>3506</v>
      </c>
      <c r="AQ836" s="159">
        <f t="shared" ref="AQ836:AQ847" si="135">ROUND((D810-$F810)*$AQ$834/1000,0)</f>
        <v>3666</v>
      </c>
      <c r="AR836" s="159">
        <f t="shared" ref="AR836:AR847" si="136">ROUND((E810-$F810)*$AR$834/1000,0)</f>
        <v>5974</v>
      </c>
      <c r="AS836" s="159">
        <f>((F810-$F810)*(('[1]Lake Pleasant Forecast'!B35-1526.8)/0.7702))/1000</f>
        <v>0</v>
      </c>
      <c r="AT836" s="159">
        <f t="shared" ref="AT836:AT847" si="137">SUM(AN836:AR836)</f>
        <v>40738</v>
      </c>
      <c r="AU836" s="307"/>
      <c r="AW836" s="159">
        <f t="shared" si="126"/>
        <v>13021</v>
      </c>
      <c r="AX836" s="172">
        <v>2.4700000000000002</v>
      </c>
    </row>
    <row r="837" spans="1:50" ht="15.75" customHeight="1" thickBot="1" x14ac:dyDescent="0.35">
      <c r="A837" s="325" t="s">
        <v>433</v>
      </c>
      <c r="B837" s="364" t="s">
        <v>390</v>
      </c>
      <c r="C837" s="364" t="s">
        <v>391</v>
      </c>
      <c r="D837" s="364" t="s">
        <v>392</v>
      </c>
      <c r="E837" s="364" t="s">
        <v>393</v>
      </c>
      <c r="F837" s="364" t="s">
        <v>394</v>
      </c>
      <c r="G837" s="364" t="s">
        <v>394</v>
      </c>
      <c r="H837" s="364" t="s">
        <v>395</v>
      </c>
      <c r="I837" s="364" t="s">
        <v>396</v>
      </c>
      <c r="J837" s="364" t="s">
        <v>397</v>
      </c>
      <c r="K837" s="364" t="s">
        <v>398</v>
      </c>
      <c r="L837" s="364" t="s">
        <v>399</v>
      </c>
      <c r="M837" s="364" t="s">
        <v>400</v>
      </c>
      <c r="N837" s="364" t="s">
        <v>401</v>
      </c>
      <c r="O837" s="364" t="s">
        <v>402</v>
      </c>
      <c r="P837" s="364" t="s">
        <v>403</v>
      </c>
      <c r="Q837" s="364" t="s">
        <v>404</v>
      </c>
      <c r="R837" s="324"/>
      <c r="AC837" s="325" t="s">
        <v>411</v>
      </c>
      <c r="AD837" s="159">
        <f t="shared" si="127"/>
        <v>50458</v>
      </c>
      <c r="AE837" s="159">
        <f t="shared" si="128"/>
        <v>6432</v>
      </c>
      <c r="AF837" s="159">
        <f t="shared" si="129"/>
        <v>6749</v>
      </c>
      <c r="AG837" s="159">
        <f t="shared" si="130"/>
        <v>11547</v>
      </c>
      <c r="AH837" s="159">
        <f t="shared" si="131"/>
        <v>11422.609062581158</v>
      </c>
      <c r="AI837" s="159"/>
      <c r="AJ837" s="159">
        <f t="shared" si="132"/>
        <v>86608.609062581163</v>
      </c>
      <c r="AK837" s="159"/>
      <c r="AL837" s="159"/>
      <c r="AM837" s="159"/>
      <c r="AN837" s="164" t="s">
        <v>411</v>
      </c>
      <c r="AO837" s="159">
        <f t="shared" si="133"/>
        <v>73433</v>
      </c>
      <c r="AP837" s="159">
        <f t="shared" si="134"/>
        <v>9343</v>
      </c>
      <c r="AQ837" s="159">
        <f t="shared" si="135"/>
        <v>9755</v>
      </c>
      <c r="AR837" s="159">
        <f t="shared" si="136"/>
        <v>16211</v>
      </c>
      <c r="AS837" s="159">
        <f>((F811-$F811)*(('[1]Lake Pleasant Forecast'!B37-1526.8)/0.7702))/1000</f>
        <v>0</v>
      </c>
      <c r="AT837" s="159">
        <f t="shared" si="137"/>
        <v>108742</v>
      </c>
      <c r="AU837" s="307"/>
      <c r="AW837" s="159">
        <f t="shared" si="126"/>
        <v>12563</v>
      </c>
      <c r="AX837" s="172">
        <v>2.4700000000000002</v>
      </c>
    </row>
    <row r="838" spans="1:50" ht="15.75" customHeight="1" x14ac:dyDescent="0.3">
      <c r="A838" s="325"/>
      <c r="B838" s="159"/>
      <c r="C838" s="159"/>
      <c r="D838" s="159"/>
      <c r="E838" s="159"/>
      <c r="F838" s="164" t="s">
        <v>406</v>
      </c>
      <c r="G838" s="164" t="s">
        <v>407</v>
      </c>
      <c r="H838" s="159"/>
      <c r="I838" s="159"/>
      <c r="J838" s="159"/>
      <c r="K838" s="159"/>
      <c r="L838" s="159"/>
      <c r="M838" s="159"/>
      <c r="N838" s="159"/>
      <c r="O838" s="159"/>
      <c r="P838" s="159"/>
      <c r="Q838" s="159"/>
      <c r="R838" s="324"/>
      <c r="AC838" s="325" t="s">
        <v>412</v>
      </c>
      <c r="AD838" s="159">
        <f t="shared" si="127"/>
        <v>46058</v>
      </c>
      <c r="AE838" s="159">
        <f t="shared" si="128"/>
        <v>5871</v>
      </c>
      <c r="AF838" s="159">
        <f t="shared" si="129"/>
        <v>6160</v>
      </c>
      <c r="AG838" s="159">
        <f t="shared" si="130"/>
        <v>10540</v>
      </c>
      <c r="AH838" s="159">
        <f t="shared" si="131"/>
        <v>10616.43378343288</v>
      </c>
      <c r="AI838" s="159"/>
      <c r="AJ838" s="159">
        <f t="shared" si="132"/>
        <v>79245.433783432876</v>
      </c>
      <c r="AK838" s="159"/>
      <c r="AL838" s="159"/>
      <c r="AM838" s="159"/>
      <c r="AN838" s="164" t="s">
        <v>412</v>
      </c>
      <c r="AO838" s="159">
        <f t="shared" si="133"/>
        <v>121826</v>
      </c>
      <c r="AP838" s="159">
        <f t="shared" si="134"/>
        <v>15497</v>
      </c>
      <c r="AQ838" s="159">
        <f t="shared" si="135"/>
        <v>16196</v>
      </c>
      <c r="AR838" s="159">
        <f t="shared" si="136"/>
        <v>26839</v>
      </c>
      <c r="AS838" s="159">
        <f>((F812-$F812)*(('[1]Lake Pleasant Forecast'!B39-1526.8)/0.7702))/1000</f>
        <v>0</v>
      </c>
      <c r="AT838" s="159">
        <f t="shared" si="137"/>
        <v>180358</v>
      </c>
      <c r="AU838" s="307"/>
      <c r="AW838" s="159">
        <f t="shared" si="126"/>
        <v>13067</v>
      </c>
      <c r="AX838" s="172">
        <v>2.4700000000000002</v>
      </c>
    </row>
    <row r="839" spans="1:50" ht="15.75" customHeight="1" x14ac:dyDescent="0.3">
      <c r="A839" s="365" t="s">
        <v>795</v>
      </c>
      <c r="B839" s="159">
        <f t="shared" ref="B839:Q839" si="138">(B810/$B$10/1.983)</f>
        <v>1349.2590242870854</v>
      </c>
      <c r="C839" s="159">
        <f t="shared" si="138"/>
        <v>1347.6810957656207</v>
      </c>
      <c r="D839" s="159">
        <f t="shared" si="138"/>
        <v>1346.1031672441559</v>
      </c>
      <c r="E839" s="159">
        <f t="shared" si="138"/>
        <v>1324.01216794365</v>
      </c>
      <c r="F839" s="159">
        <f t="shared" si="138"/>
        <v>880.24010541213215</v>
      </c>
      <c r="G839" s="159">
        <f t="shared" si="138"/>
        <v>-431.91319766401506</v>
      </c>
      <c r="H839" s="159">
        <f t="shared" si="138"/>
        <v>537.60187399346046</v>
      </c>
      <c r="I839" s="159">
        <f t="shared" si="138"/>
        <v>253.83501699933305</v>
      </c>
      <c r="J839" s="159">
        <f t="shared" si="138"/>
        <v>253.68861126022804</v>
      </c>
      <c r="K839" s="159">
        <f t="shared" si="138"/>
        <v>244.77412847916969</v>
      </c>
      <c r="L839" s="159">
        <f t="shared" si="138"/>
        <v>168.12259040554389</v>
      </c>
      <c r="M839" s="159">
        <f t="shared" si="138"/>
        <v>167.79724431864395</v>
      </c>
      <c r="N839" s="159">
        <f t="shared" si="138"/>
        <v>167.63457127519399</v>
      </c>
      <c r="O839" s="159">
        <f t="shared" si="138"/>
        <v>73.300473378556433</v>
      </c>
      <c r="P839" s="159">
        <f t="shared" si="138"/>
        <v>3.4161339124493679</v>
      </c>
      <c r="Q839" s="159">
        <f t="shared" si="138"/>
        <v>73.267938769866433</v>
      </c>
      <c r="R839" s="324"/>
      <c r="AC839" s="325" t="s">
        <v>413</v>
      </c>
      <c r="AD839" s="159">
        <f t="shared" si="127"/>
        <v>9412</v>
      </c>
      <c r="AE839" s="159">
        <f t="shared" si="128"/>
        <v>1200</v>
      </c>
      <c r="AF839" s="159">
        <f t="shared" si="129"/>
        <v>1259</v>
      </c>
      <c r="AG839" s="159">
        <f t="shared" si="130"/>
        <v>2154</v>
      </c>
      <c r="AH839" s="159">
        <f t="shared" si="131"/>
        <v>2161.9998148279819</v>
      </c>
      <c r="AI839" s="159"/>
      <c r="AJ839" s="159">
        <f t="shared" si="132"/>
        <v>16186.999814827981</v>
      </c>
      <c r="AK839" s="159"/>
      <c r="AL839" s="159"/>
      <c r="AM839" s="159"/>
      <c r="AN839" s="164" t="s">
        <v>413</v>
      </c>
      <c r="AO839" s="159">
        <f t="shared" si="133"/>
        <v>160747</v>
      </c>
      <c r="AP839" s="159">
        <f t="shared" si="134"/>
        <v>20448</v>
      </c>
      <c r="AQ839" s="159">
        <f t="shared" si="135"/>
        <v>21408</v>
      </c>
      <c r="AR839" s="159">
        <f t="shared" si="136"/>
        <v>35286</v>
      </c>
      <c r="AS839" s="159">
        <f>((F813-$F813)*(('[1]Lake Pleasant Forecast'!B41-1526.8)/0.7702))/1000</f>
        <v>0</v>
      </c>
      <c r="AT839" s="159">
        <f t="shared" si="137"/>
        <v>237889</v>
      </c>
      <c r="AU839" s="307"/>
      <c r="AW839" s="159">
        <f t="shared" si="126"/>
        <v>12388</v>
      </c>
      <c r="AX839" s="172">
        <v>2.4700000000000002</v>
      </c>
    </row>
    <row r="840" spans="1:50" ht="15.75" customHeight="1" x14ac:dyDescent="0.3">
      <c r="A840" s="365" t="s">
        <v>9</v>
      </c>
      <c r="B840" s="159">
        <f t="shared" ref="B840:Q840" si="139">(B811/$C$10/1.983)</f>
        <v>2331.5503205820905</v>
      </c>
      <c r="C840" s="159">
        <f t="shared" si="139"/>
        <v>2328.8848065701318</v>
      </c>
      <c r="D840" s="159">
        <f t="shared" si="139"/>
        <v>2322.1129601613716</v>
      </c>
      <c r="E840" s="159">
        <f t="shared" si="139"/>
        <v>2282.7606080253581</v>
      </c>
      <c r="F840" s="159">
        <f t="shared" si="139"/>
        <v>949.58936676031976</v>
      </c>
      <c r="G840" s="159">
        <f t="shared" si="139"/>
        <v>0</v>
      </c>
      <c r="H840" s="159">
        <f t="shared" si="139"/>
        <v>907.96772566817947</v>
      </c>
      <c r="I840" s="159">
        <f t="shared" si="139"/>
        <v>260.13975938332976</v>
      </c>
      <c r="J840" s="159">
        <f t="shared" si="139"/>
        <v>255.56516101145448</v>
      </c>
      <c r="K840" s="159">
        <f t="shared" si="139"/>
        <v>243.12009221237662</v>
      </c>
      <c r="L840" s="159">
        <f t="shared" si="139"/>
        <v>200.57992939989913</v>
      </c>
      <c r="M840" s="159">
        <f t="shared" si="139"/>
        <v>200.18370434406742</v>
      </c>
      <c r="N840" s="159">
        <f t="shared" si="139"/>
        <v>198.74288595922482</v>
      </c>
      <c r="O840" s="159">
        <f t="shared" si="139"/>
        <v>46.682515668899931</v>
      </c>
      <c r="P840" s="159">
        <f t="shared" si="139"/>
        <v>2.1071968878322886</v>
      </c>
      <c r="Q840" s="159">
        <f t="shared" si="139"/>
        <v>46.628484979468332</v>
      </c>
      <c r="R840" s="324"/>
      <c r="AC840" s="325" t="s">
        <v>414</v>
      </c>
      <c r="AD840" s="159">
        <f t="shared" si="127"/>
        <v>1459</v>
      </c>
      <c r="AE840" s="159">
        <f t="shared" si="128"/>
        <v>186</v>
      </c>
      <c r="AF840" s="159">
        <f t="shared" si="129"/>
        <v>195</v>
      </c>
      <c r="AG840" s="159">
        <f t="shared" si="130"/>
        <v>334</v>
      </c>
      <c r="AH840" s="159">
        <f t="shared" si="131"/>
        <v>330.62126720332429</v>
      </c>
      <c r="AI840" s="159"/>
      <c r="AJ840" s="159">
        <f t="shared" si="132"/>
        <v>2504.6212672033244</v>
      </c>
      <c r="AK840" s="159"/>
      <c r="AL840" s="159"/>
      <c r="AM840" s="159"/>
      <c r="AN840" s="164" t="s">
        <v>414</v>
      </c>
      <c r="AO840" s="159">
        <f t="shared" si="133"/>
        <v>174145</v>
      </c>
      <c r="AP840" s="159">
        <f t="shared" si="134"/>
        <v>22148</v>
      </c>
      <c r="AQ840" s="159">
        <f t="shared" si="135"/>
        <v>23186</v>
      </c>
      <c r="AR840" s="159">
        <f t="shared" si="136"/>
        <v>37947</v>
      </c>
      <c r="AS840" s="159">
        <f>((F814-$F814)*(('[1]Lake Pleasant Forecast'!B43-1526.8)/0.7702))/1000</f>
        <v>0</v>
      </c>
      <c r="AT840" s="159">
        <f t="shared" si="137"/>
        <v>257426</v>
      </c>
      <c r="AU840" s="307"/>
      <c r="AW840" s="159">
        <f t="shared" si="126"/>
        <v>9679</v>
      </c>
      <c r="AX840" s="172">
        <v>2.4700000000000002</v>
      </c>
    </row>
    <row r="841" spans="1:50" ht="15.75" customHeight="1" x14ac:dyDescent="0.3">
      <c r="A841" s="365" t="s">
        <v>10</v>
      </c>
      <c r="B841" s="159">
        <f t="shared" ref="B841:Q841" si="140">(B812/$D$10/1.983)</f>
        <v>2853.724399329787</v>
      </c>
      <c r="C841" s="159">
        <f t="shared" si="140"/>
        <v>2849.2671579392577</v>
      </c>
      <c r="D841" s="159">
        <f t="shared" si="140"/>
        <v>2841.166040375449</v>
      </c>
      <c r="E841" s="159">
        <f t="shared" si="140"/>
        <v>2776.5035056040865</v>
      </c>
      <c r="F841" s="159">
        <f t="shared" si="140"/>
        <v>782.89655621167014</v>
      </c>
      <c r="G841" s="159">
        <f t="shared" si="140"/>
        <v>0</v>
      </c>
      <c r="H841" s="159">
        <f t="shared" si="140"/>
        <v>1419.4687098400925</v>
      </c>
      <c r="I841" s="159">
        <f t="shared" si="140"/>
        <v>570.29915572690447</v>
      </c>
      <c r="J841" s="159">
        <f t="shared" si="140"/>
        <v>422.1365477526719</v>
      </c>
      <c r="K841" s="159">
        <f t="shared" si="140"/>
        <v>349.22648967839535</v>
      </c>
      <c r="L841" s="159">
        <f t="shared" si="140"/>
        <v>323.76815837847505</v>
      </c>
      <c r="M841" s="159">
        <f t="shared" si="140"/>
        <v>323.31267385681519</v>
      </c>
      <c r="N841" s="159">
        <f t="shared" si="140"/>
        <v>314.02404307582191</v>
      </c>
      <c r="O841" s="159">
        <f t="shared" si="140"/>
        <v>59.668472337448961</v>
      </c>
      <c r="P841" s="159">
        <f t="shared" si="140"/>
        <v>50.867860686805592</v>
      </c>
      <c r="Q841" s="159">
        <f t="shared" si="140"/>
        <v>59.587135815723968</v>
      </c>
      <c r="R841" s="324"/>
      <c r="AC841" s="325" t="s">
        <v>415</v>
      </c>
      <c r="AD841" s="159">
        <f t="shared" si="127"/>
        <v>0</v>
      </c>
      <c r="AE841" s="159">
        <f t="shared" si="128"/>
        <v>0</v>
      </c>
      <c r="AF841" s="159">
        <f t="shared" si="129"/>
        <v>0</v>
      </c>
      <c r="AG841" s="159">
        <f t="shared" si="130"/>
        <v>0</v>
      </c>
      <c r="AH841" s="159">
        <f t="shared" si="131"/>
        <v>0</v>
      </c>
      <c r="AI841" s="159"/>
      <c r="AJ841" s="159">
        <f t="shared" si="132"/>
        <v>0</v>
      </c>
      <c r="AK841" s="159"/>
      <c r="AL841" s="159"/>
      <c r="AM841" s="159"/>
      <c r="AN841" s="164" t="s">
        <v>415</v>
      </c>
      <c r="AO841" s="159">
        <f t="shared" si="133"/>
        <v>129518</v>
      </c>
      <c r="AP841" s="159">
        <f t="shared" si="134"/>
        <v>16460</v>
      </c>
      <c r="AQ841" s="159">
        <f t="shared" si="135"/>
        <v>17219</v>
      </c>
      <c r="AR841" s="159">
        <f t="shared" si="136"/>
        <v>27716</v>
      </c>
      <c r="AS841" s="159">
        <f>((F815-$F815)*(('[1]Lake Pleasant Forecast'!B45-1526.8)/0.7702))/1000</f>
        <v>0</v>
      </c>
      <c r="AT841" s="159">
        <f t="shared" si="137"/>
        <v>190913</v>
      </c>
      <c r="AU841" s="307"/>
      <c r="AW841" s="159">
        <f t="shared" si="126"/>
        <v>6995</v>
      </c>
      <c r="AX841" s="172">
        <v>2.4700000000000002</v>
      </c>
    </row>
    <row r="842" spans="1:50" ht="15.75" customHeight="1" x14ac:dyDescent="0.3">
      <c r="A842" s="365" t="s">
        <v>12</v>
      </c>
      <c r="B842" s="159">
        <f t="shared" ref="B842:Q842" si="141">(B813/$F$10/1.983)</f>
        <v>2988.8216506975959</v>
      </c>
      <c r="C842" s="159">
        <f t="shared" si="141"/>
        <v>2982.6525466464955</v>
      </c>
      <c r="D842" s="159">
        <f t="shared" si="141"/>
        <v>2976.769204908388</v>
      </c>
      <c r="E842" s="159">
        <f t="shared" si="141"/>
        <v>2873.7434863002181</v>
      </c>
      <c r="F842" s="159">
        <f t="shared" si="141"/>
        <v>165.32190284081358</v>
      </c>
      <c r="G842" s="159">
        <f t="shared" si="141"/>
        <v>-6.034627668515717</v>
      </c>
      <c r="H842" s="159">
        <f t="shared" si="141"/>
        <v>1983.3417381072447</v>
      </c>
      <c r="I842" s="159">
        <f t="shared" si="141"/>
        <v>683.9132627332325</v>
      </c>
      <c r="J842" s="159">
        <f t="shared" si="141"/>
        <v>582.48445116826349</v>
      </c>
      <c r="K842" s="159">
        <f t="shared" si="141"/>
        <v>423.34846192637417</v>
      </c>
      <c r="L842" s="159">
        <f t="shared" si="141"/>
        <v>371.3733400571524</v>
      </c>
      <c r="M842" s="159">
        <f t="shared" si="141"/>
        <v>370.75138678769542</v>
      </c>
      <c r="N842" s="159">
        <f t="shared" si="141"/>
        <v>343.43587157505459</v>
      </c>
      <c r="O842" s="159">
        <f t="shared" si="141"/>
        <v>72.818961169944529</v>
      </c>
      <c r="P842" s="159">
        <f t="shared" si="141"/>
        <v>84.249453689695741</v>
      </c>
      <c r="Q842" s="159">
        <f t="shared" si="141"/>
        <v>72.701294335182382</v>
      </c>
      <c r="R842" s="324"/>
      <c r="AC842" s="325" t="s">
        <v>416</v>
      </c>
      <c r="AD842" s="159">
        <f t="shared" si="127"/>
        <v>0</v>
      </c>
      <c r="AE842" s="159">
        <f t="shared" si="128"/>
        <v>0</v>
      </c>
      <c r="AF842" s="159">
        <f t="shared" si="129"/>
        <v>0</v>
      </c>
      <c r="AG842" s="159">
        <f t="shared" si="130"/>
        <v>0</v>
      </c>
      <c r="AH842" s="159">
        <f t="shared" si="131"/>
        <v>0</v>
      </c>
      <c r="AI842" s="159"/>
      <c r="AJ842" s="159">
        <f t="shared" si="132"/>
        <v>0</v>
      </c>
      <c r="AK842" s="159"/>
      <c r="AL842" s="159"/>
      <c r="AM842" s="159"/>
      <c r="AN842" s="164" t="s">
        <v>416</v>
      </c>
      <c r="AO842" s="159">
        <f t="shared" si="133"/>
        <v>91195</v>
      </c>
      <c r="AP842" s="159">
        <f t="shared" si="134"/>
        <v>11575</v>
      </c>
      <c r="AQ842" s="159">
        <f t="shared" si="135"/>
        <v>12094</v>
      </c>
      <c r="AR842" s="159">
        <f t="shared" si="136"/>
        <v>18811</v>
      </c>
      <c r="AS842" s="159">
        <f>((F816-$F816)*(('[1]Lake Pleasant Forecast'!B47-1526.8)/0.7702))/1000</f>
        <v>0</v>
      </c>
      <c r="AT842" s="159">
        <f t="shared" si="137"/>
        <v>133675</v>
      </c>
      <c r="AU842" s="307"/>
      <c r="AW842" s="159">
        <f t="shared" si="126"/>
        <v>10106</v>
      </c>
      <c r="AX842" s="172">
        <v>2.4700000000000002</v>
      </c>
    </row>
    <row r="843" spans="1:50" ht="15.75" customHeight="1" x14ac:dyDescent="0.3">
      <c r="A843" s="365" t="s">
        <v>13</v>
      </c>
      <c r="B843" s="159">
        <f t="shared" ref="B843:Q843" si="142">(B814/$G$10/1.983)</f>
        <v>2984.9690107852225</v>
      </c>
      <c r="C843" s="159">
        <f t="shared" si="142"/>
        <v>2978.0554064385988</v>
      </c>
      <c r="D843" s="159">
        <f t="shared" si="142"/>
        <v>2971.5159500919103</v>
      </c>
      <c r="E843" s="159">
        <f t="shared" si="142"/>
        <v>2843.5247995054738</v>
      </c>
      <c r="F843" s="159">
        <f t="shared" si="142"/>
        <v>24.80763912612041</v>
      </c>
      <c r="G843" s="159">
        <f t="shared" si="142"/>
        <v>-162.11995510224</v>
      </c>
      <c r="H843" s="159">
        <f t="shared" si="142"/>
        <v>2157.630179103021</v>
      </c>
      <c r="I843" s="159">
        <f t="shared" si="142"/>
        <v>666.21118214500666</v>
      </c>
      <c r="J843" s="159">
        <f t="shared" si="142"/>
        <v>575.55349503033847</v>
      </c>
      <c r="K843" s="159">
        <f t="shared" si="142"/>
        <v>393.05060758381723</v>
      </c>
      <c r="L843" s="159">
        <f t="shared" si="142"/>
        <v>371.07347941372637</v>
      </c>
      <c r="M843" s="159">
        <f t="shared" si="142"/>
        <v>370.39025263123648</v>
      </c>
      <c r="N843" s="159">
        <f t="shared" si="142"/>
        <v>348.96621280887541</v>
      </c>
      <c r="O843" s="159">
        <f t="shared" si="142"/>
        <v>68.924568509752248</v>
      </c>
      <c r="P843" s="159">
        <f t="shared" si="142"/>
        <v>94.334097896637545</v>
      </c>
      <c r="Q843" s="159">
        <f t="shared" si="142"/>
        <v>68.794430074992263</v>
      </c>
      <c r="R843" s="324"/>
      <c r="AC843" s="325" t="s">
        <v>417</v>
      </c>
      <c r="AD843" s="159">
        <f t="shared" si="127"/>
        <v>0</v>
      </c>
      <c r="AE843" s="159">
        <f t="shared" si="128"/>
        <v>0</v>
      </c>
      <c r="AF843" s="159">
        <f t="shared" si="129"/>
        <v>0</v>
      </c>
      <c r="AG843" s="159">
        <f t="shared" si="130"/>
        <v>0</v>
      </c>
      <c r="AH843" s="159">
        <f t="shared" si="131"/>
        <v>0</v>
      </c>
      <c r="AI843" s="159"/>
      <c r="AJ843" s="159">
        <f t="shared" si="132"/>
        <v>0</v>
      </c>
      <c r="AK843" s="159"/>
      <c r="AL843" s="159"/>
      <c r="AM843" s="159"/>
      <c r="AN843" s="164" t="s">
        <v>417</v>
      </c>
      <c r="AO843" s="159">
        <f t="shared" si="133"/>
        <v>97332</v>
      </c>
      <c r="AP843" s="159">
        <f t="shared" si="134"/>
        <v>12367</v>
      </c>
      <c r="AQ843" s="159">
        <f t="shared" si="135"/>
        <v>12935</v>
      </c>
      <c r="AR843" s="159">
        <f t="shared" si="136"/>
        <v>20359</v>
      </c>
      <c r="AS843" s="159">
        <f>((F817-$F817)*(('[1]Lake Pleasant Forecast'!B49-1526.8)/0.7702))/1000</f>
        <v>0</v>
      </c>
      <c r="AT843" s="159">
        <f t="shared" si="137"/>
        <v>142993</v>
      </c>
      <c r="AU843" s="307"/>
      <c r="AW843" s="159"/>
      <c r="AX843" s="172"/>
    </row>
    <row r="844" spans="1:50" ht="15.75" customHeight="1" x14ac:dyDescent="0.3">
      <c r="A844" s="365" t="s">
        <v>14</v>
      </c>
      <c r="B844" s="159">
        <f t="shared" ref="B844:Q844" si="143">(B815/$H$10/1.983)</f>
        <v>2274.9705832913091</v>
      </c>
      <c r="C844" s="159">
        <f t="shared" si="143"/>
        <v>2267.9610018490503</v>
      </c>
      <c r="D844" s="159">
        <f t="shared" si="143"/>
        <v>2261.3044209110776</v>
      </c>
      <c r="E844" s="159">
        <f t="shared" si="143"/>
        <v>2127.332324760464</v>
      </c>
      <c r="F844" s="159">
        <f t="shared" si="143"/>
        <v>0</v>
      </c>
      <c r="G844" s="159">
        <f t="shared" si="143"/>
        <v>-1087.2919818456883</v>
      </c>
      <c r="H844" s="159">
        <f t="shared" si="143"/>
        <v>2578.1139687342406</v>
      </c>
      <c r="I844" s="159">
        <f t="shared" si="143"/>
        <v>745.58749369641953</v>
      </c>
      <c r="J844" s="159">
        <f t="shared" si="143"/>
        <v>472.19700790048745</v>
      </c>
      <c r="K844" s="159">
        <f t="shared" si="143"/>
        <v>343.01563287947556</v>
      </c>
      <c r="L844" s="159">
        <f t="shared" si="143"/>
        <v>310.75811060682469</v>
      </c>
      <c r="M844" s="159">
        <f t="shared" si="143"/>
        <v>310.01849050260546</v>
      </c>
      <c r="N844" s="159">
        <f t="shared" si="143"/>
        <v>276.65153807362583</v>
      </c>
      <c r="O844" s="159">
        <f t="shared" si="143"/>
        <v>74.920154647839965</v>
      </c>
      <c r="P844" s="159">
        <f t="shared" si="143"/>
        <v>100.47066733904857</v>
      </c>
      <c r="Q844" s="159">
        <f t="shared" si="143"/>
        <v>74.768868717431502</v>
      </c>
      <c r="R844" s="324"/>
      <c r="AC844" s="325" t="s">
        <v>418</v>
      </c>
      <c r="AD844" s="159">
        <f t="shared" si="127"/>
        <v>26394</v>
      </c>
      <c r="AE844" s="159">
        <f t="shared" si="128"/>
        <v>3365</v>
      </c>
      <c r="AF844" s="159">
        <f t="shared" si="129"/>
        <v>3530</v>
      </c>
      <c r="AG844" s="159">
        <f t="shared" si="130"/>
        <v>6040</v>
      </c>
      <c r="AH844" s="159">
        <f t="shared" si="131"/>
        <v>4758.2840820566125</v>
      </c>
      <c r="AI844" s="159"/>
      <c r="AJ844" s="159">
        <f t="shared" si="132"/>
        <v>44087.284082056613</v>
      </c>
      <c r="AK844" s="159"/>
      <c r="AL844" s="159"/>
      <c r="AM844" s="159"/>
      <c r="AN844" s="164" t="s">
        <v>418</v>
      </c>
      <c r="AO844" s="159">
        <f t="shared" si="133"/>
        <v>107534</v>
      </c>
      <c r="AP844" s="159">
        <f t="shared" si="134"/>
        <v>13670</v>
      </c>
      <c r="AQ844" s="159">
        <f t="shared" si="135"/>
        <v>14272</v>
      </c>
      <c r="AR844" s="159">
        <f t="shared" si="136"/>
        <v>21841</v>
      </c>
      <c r="AS844" s="159">
        <f>((F818-$F818)*(('[1]Lake Pleasant Forecast'!B51-1526.8)/0.7702))/1000</f>
        <v>0</v>
      </c>
      <c r="AT844" s="159">
        <f t="shared" si="137"/>
        <v>157317</v>
      </c>
      <c r="AU844" s="307"/>
      <c r="AW844" s="159">
        <f>(SUM(AW831:AW842))</f>
        <v>134455</v>
      </c>
      <c r="AX844" s="172"/>
    </row>
    <row r="845" spans="1:50" ht="15.75" customHeight="1" x14ac:dyDescent="0.3">
      <c r="A845" s="365" t="s">
        <v>16</v>
      </c>
      <c r="B845" s="159">
        <f t="shared" ref="B845:Q845" si="144">(B816/$J$10/1.983)</f>
        <v>1550.1602329477982</v>
      </c>
      <c r="C845" s="159">
        <f t="shared" si="144"/>
        <v>1543.3930343402794</v>
      </c>
      <c r="D845" s="159">
        <f t="shared" si="144"/>
        <v>1536.9674491240057</v>
      </c>
      <c r="E845" s="159">
        <f t="shared" si="144"/>
        <v>1397.2638394091716</v>
      </c>
      <c r="F845" s="159">
        <f t="shared" si="144"/>
        <v>0</v>
      </c>
      <c r="G845" s="159">
        <f t="shared" si="144"/>
        <v>-1526.8817204301076</v>
      </c>
      <c r="H845" s="159">
        <f t="shared" si="144"/>
        <v>2200.9500105737475</v>
      </c>
      <c r="I845" s="159">
        <f t="shared" si="144"/>
        <v>818.37554698810857</v>
      </c>
      <c r="J845" s="159">
        <f t="shared" si="144"/>
        <v>502.88744652123694</v>
      </c>
      <c r="K845" s="159">
        <f t="shared" si="144"/>
        <v>362.90729263253786</v>
      </c>
      <c r="L845" s="159">
        <f t="shared" si="144"/>
        <v>286.25575455891203</v>
      </c>
      <c r="M845" s="159">
        <f t="shared" si="144"/>
        <v>285.62132968945713</v>
      </c>
      <c r="N845" s="159">
        <f t="shared" si="144"/>
        <v>243.27753647942998</v>
      </c>
      <c r="O845" s="159">
        <f t="shared" si="144"/>
        <v>73.023929204691484</v>
      </c>
      <c r="P845" s="159">
        <f t="shared" si="144"/>
        <v>102.56535389520602</v>
      </c>
      <c r="Q845" s="159">
        <f t="shared" si="144"/>
        <v>72.11296016137166</v>
      </c>
      <c r="R845" s="324"/>
      <c r="AC845" s="325" t="s">
        <v>419</v>
      </c>
      <c r="AD845" s="159">
        <f t="shared" si="127"/>
        <v>4785</v>
      </c>
      <c r="AE845" s="159">
        <f t="shared" si="128"/>
        <v>610</v>
      </c>
      <c r="AF845" s="159">
        <f t="shared" si="129"/>
        <v>640</v>
      </c>
      <c r="AG845" s="159">
        <f t="shared" si="130"/>
        <v>1095</v>
      </c>
      <c r="AH845" s="159">
        <f t="shared" si="131"/>
        <v>905.4141781355479</v>
      </c>
      <c r="AI845" s="159"/>
      <c r="AJ845" s="159">
        <f t="shared" si="132"/>
        <v>8035.4141781355484</v>
      </c>
      <c r="AK845" s="159"/>
      <c r="AL845" s="159"/>
      <c r="AM845" s="159"/>
      <c r="AN845" s="164" t="s">
        <v>419</v>
      </c>
      <c r="AO845" s="159">
        <f t="shared" si="133"/>
        <v>109802</v>
      </c>
      <c r="AP845" s="159">
        <f t="shared" si="134"/>
        <v>13963</v>
      </c>
      <c r="AQ845" s="159">
        <f t="shared" si="135"/>
        <v>14611</v>
      </c>
      <c r="AR845" s="159">
        <f t="shared" si="136"/>
        <v>22162</v>
      </c>
      <c r="AS845" s="159">
        <f>((F819-$F819)*(('[1]Lake Pleasant Forecast'!B53-1526.8)/0.7702))/1000</f>
        <v>0</v>
      </c>
      <c r="AT845" s="159">
        <f t="shared" si="137"/>
        <v>160538</v>
      </c>
      <c r="AU845" s="307"/>
    </row>
    <row r="846" spans="1:50" ht="15.75" customHeight="1" x14ac:dyDescent="0.3">
      <c r="A846" s="365" t="s">
        <v>17</v>
      </c>
      <c r="B846" s="159">
        <f t="shared" ref="B846:Q846" si="145">(B817/$K$10/1.983)</f>
        <v>1654.4661884079189</v>
      </c>
      <c r="C846" s="159">
        <f t="shared" si="145"/>
        <v>1649.0329087566897</v>
      </c>
      <c r="D846" s="159">
        <f t="shared" si="145"/>
        <v>1643.8599059749808</v>
      </c>
      <c r="E846" s="159">
        <f t="shared" si="145"/>
        <v>1512.2411465196103</v>
      </c>
      <c r="F846" s="159">
        <f t="shared" si="145"/>
        <v>0</v>
      </c>
      <c r="G846" s="159">
        <f t="shared" si="145"/>
        <v>-1098.8238738958567</v>
      </c>
      <c r="H846" s="159">
        <f t="shared" si="145"/>
        <v>2034.7632293852585</v>
      </c>
      <c r="I846" s="159">
        <f t="shared" si="145"/>
        <v>811.98249638052482</v>
      </c>
      <c r="J846" s="159">
        <f t="shared" si="145"/>
        <v>531.40403103801668</v>
      </c>
      <c r="K846" s="159">
        <f t="shared" si="145"/>
        <v>413.15699575423355</v>
      </c>
      <c r="L846" s="159">
        <f t="shared" si="145"/>
        <v>318.41621524897107</v>
      </c>
      <c r="M846" s="159">
        <f t="shared" si="145"/>
        <v>317.83059229255116</v>
      </c>
      <c r="N846" s="159">
        <f t="shared" si="145"/>
        <v>280.38325769036811</v>
      </c>
      <c r="O846" s="159">
        <f t="shared" si="145"/>
        <v>63.36115042376327</v>
      </c>
      <c r="P846" s="159">
        <f t="shared" si="145"/>
        <v>95.960828331137236</v>
      </c>
      <c r="Q846" s="159">
        <f t="shared" si="145"/>
        <v>63.263546597693292</v>
      </c>
      <c r="R846" s="324"/>
      <c r="AC846" s="325" t="s">
        <v>420</v>
      </c>
      <c r="AD846" s="159">
        <f t="shared" si="127"/>
        <v>45936</v>
      </c>
      <c r="AE846" s="159">
        <f t="shared" si="128"/>
        <v>5856</v>
      </c>
      <c r="AF846" s="159">
        <f t="shared" si="129"/>
        <v>6144</v>
      </c>
      <c r="AG846" s="159">
        <f t="shared" si="130"/>
        <v>10512</v>
      </c>
      <c r="AH846" s="159">
        <f t="shared" si="131"/>
        <v>9193.040768631523</v>
      </c>
      <c r="AI846" s="159"/>
      <c r="AJ846" s="159">
        <f t="shared" si="132"/>
        <v>77641.04076863153</v>
      </c>
      <c r="AK846" s="159"/>
      <c r="AL846" s="159"/>
      <c r="AM846" s="159"/>
      <c r="AN846" s="164" t="s">
        <v>420</v>
      </c>
      <c r="AO846" s="159">
        <f t="shared" si="133"/>
        <v>83988</v>
      </c>
      <c r="AP846" s="159">
        <f t="shared" si="134"/>
        <v>10678</v>
      </c>
      <c r="AQ846" s="159">
        <f t="shared" si="135"/>
        <v>11174</v>
      </c>
      <c r="AR846" s="159">
        <f t="shared" si="136"/>
        <v>16942</v>
      </c>
      <c r="AS846" s="159">
        <f>((F820-$F820)*(('[1]Lake Pleasant Forecast'!B55-1526.8)/0.7702))/1000</f>
        <v>0</v>
      </c>
      <c r="AT846" s="159">
        <f t="shared" si="137"/>
        <v>122782</v>
      </c>
      <c r="AU846" s="307"/>
    </row>
    <row r="847" spans="1:50" ht="15.75" customHeight="1" x14ac:dyDescent="0.3">
      <c r="A847" s="365" t="s">
        <v>18</v>
      </c>
      <c r="B847" s="159">
        <f t="shared" ref="B847:Q847" si="146">(B818/$L$10/1.983)</f>
        <v>2352.4289796604471</v>
      </c>
      <c r="C847" s="159">
        <f t="shared" si="146"/>
        <v>2347.1171625483271</v>
      </c>
      <c r="D847" s="159">
        <f t="shared" si="146"/>
        <v>2337.855101697764</v>
      </c>
      <c r="E847" s="159">
        <f t="shared" si="146"/>
        <v>2140.0235333669525</v>
      </c>
      <c r="F847" s="159">
        <f t="shared" si="146"/>
        <v>463.60732896285089</v>
      </c>
      <c r="G847" s="159">
        <f t="shared" si="146"/>
        <v>-92.788703983862831</v>
      </c>
      <c r="H847" s="159">
        <f t="shared" si="146"/>
        <v>1225.5505126912087</v>
      </c>
      <c r="I847" s="159">
        <f t="shared" si="146"/>
        <v>529.53437552529829</v>
      </c>
      <c r="J847" s="159">
        <f t="shared" si="146"/>
        <v>414.47302067574378</v>
      </c>
      <c r="K847" s="159">
        <f t="shared" si="146"/>
        <v>378.16439737771049</v>
      </c>
      <c r="L847" s="159">
        <f t="shared" si="146"/>
        <v>312.28777945873253</v>
      </c>
      <c r="M847" s="159">
        <f t="shared" si="146"/>
        <v>311.71625483274499</v>
      </c>
      <c r="N847" s="159">
        <f t="shared" si="146"/>
        <v>286.63640948058497</v>
      </c>
      <c r="O847" s="159">
        <f t="shared" si="146"/>
        <v>61.707850058833408</v>
      </c>
      <c r="P847" s="159">
        <f t="shared" si="146"/>
        <v>85.678265254664652</v>
      </c>
      <c r="Q847" s="159">
        <f t="shared" si="146"/>
        <v>61.606992771894433</v>
      </c>
      <c r="R847" s="324"/>
      <c r="AC847" s="325" t="s">
        <v>421</v>
      </c>
      <c r="AD847" s="159">
        <f t="shared" si="127"/>
        <v>38280</v>
      </c>
      <c r="AE847" s="159">
        <f t="shared" si="128"/>
        <v>4880</v>
      </c>
      <c r="AF847" s="159">
        <f t="shared" si="129"/>
        <v>5120</v>
      </c>
      <c r="AG847" s="159">
        <f t="shared" si="130"/>
        <v>8760</v>
      </c>
      <c r="AH847" s="159">
        <f t="shared" si="131"/>
        <v>7802.1231905945515</v>
      </c>
      <c r="AI847" s="159"/>
      <c r="AJ847" s="159">
        <f t="shared" si="132"/>
        <v>64842.123190594553</v>
      </c>
      <c r="AK847" s="159"/>
      <c r="AL847" s="159"/>
      <c r="AM847" s="159"/>
      <c r="AN847" s="164" t="s">
        <v>421</v>
      </c>
      <c r="AO847" s="159">
        <f t="shared" si="133"/>
        <v>70585</v>
      </c>
      <c r="AP847" s="159">
        <f t="shared" si="134"/>
        <v>8976</v>
      </c>
      <c r="AQ847" s="159">
        <f t="shared" si="135"/>
        <v>9391</v>
      </c>
      <c r="AR847" s="159">
        <f t="shared" si="136"/>
        <v>15409</v>
      </c>
      <c r="AS847" s="159">
        <f>((F821-$F821)*(('[1]Lake Pleasant Forecast'!B57-1526.8)/0.7702))/1000</f>
        <v>0</v>
      </c>
      <c r="AT847" s="159">
        <f t="shared" si="137"/>
        <v>104361</v>
      </c>
      <c r="AU847" s="307"/>
    </row>
    <row r="848" spans="1:50" ht="15.75" customHeight="1" x14ac:dyDescent="0.3">
      <c r="A848" s="365" t="s">
        <v>20</v>
      </c>
      <c r="B848" s="159">
        <f t="shared" ref="B848:Q848" si="147">(B819/$N$10/1.983)</f>
        <v>1947.7819530525596</v>
      </c>
      <c r="C848" s="159">
        <f t="shared" si="147"/>
        <v>1943.1457713142356</v>
      </c>
      <c r="D848" s="159">
        <f t="shared" si="147"/>
        <v>1938.2818473150812</v>
      </c>
      <c r="E848" s="159">
        <f t="shared" si="147"/>
        <v>1727.5389195256453</v>
      </c>
      <c r="F848" s="159">
        <f t="shared" si="147"/>
        <v>81.336521724984948</v>
      </c>
      <c r="G848" s="159">
        <f t="shared" si="147"/>
        <v>0</v>
      </c>
      <c r="H848" s="159">
        <f t="shared" si="147"/>
        <v>1051.4209490345354</v>
      </c>
      <c r="I848" s="159">
        <f t="shared" si="147"/>
        <v>320.31948985733572</v>
      </c>
      <c r="J848" s="159">
        <f t="shared" si="147"/>
        <v>272.23333821352463</v>
      </c>
      <c r="K848" s="159">
        <f t="shared" si="147"/>
        <v>246.88887804401929</v>
      </c>
      <c r="L848" s="159">
        <f t="shared" si="147"/>
        <v>218.8603126575895</v>
      </c>
      <c r="M848" s="159">
        <f t="shared" si="147"/>
        <v>218.38856083158458</v>
      </c>
      <c r="N848" s="159">
        <f t="shared" si="147"/>
        <v>204.61015405137215</v>
      </c>
      <c r="O848" s="159">
        <f t="shared" si="147"/>
        <v>52.657264164755254</v>
      </c>
      <c r="P848" s="159">
        <f t="shared" si="147"/>
        <v>73.47941372635141</v>
      </c>
      <c r="Q848" s="159">
        <f t="shared" si="147"/>
        <v>52.575927643030276</v>
      </c>
      <c r="R848" s="324"/>
      <c r="AC848" s="323"/>
      <c r="AD848" s="159"/>
      <c r="AE848" s="159"/>
      <c r="AF848" s="159"/>
      <c r="AG848" s="159"/>
      <c r="AH848" s="159"/>
      <c r="AI848" s="159"/>
      <c r="AJ848" s="159"/>
      <c r="AK848" s="159"/>
      <c r="AL848" s="159"/>
      <c r="AM848" s="159"/>
      <c r="AN848" s="159"/>
      <c r="AO848" s="159"/>
      <c r="AP848" s="159"/>
      <c r="AQ848" s="159"/>
      <c r="AR848" s="159"/>
      <c r="AS848" s="159"/>
      <c r="AT848" s="159"/>
      <c r="AU848" s="307"/>
    </row>
    <row r="849" spans="1:47" ht="15.75" customHeight="1" thickBot="1" x14ac:dyDescent="0.35">
      <c r="A849" s="365" t="s">
        <v>21</v>
      </c>
      <c r="B849" s="159">
        <f t="shared" ref="B849:Q849" si="148">(B820/$O$10/1.983)</f>
        <v>2282.0978315683305</v>
      </c>
      <c r="C849" s="159">
        <f t="shared" si="148"/>
        <v>2278.147587829887</v>
      </c>
      <c r="D849" s="159">
        <f t="shared" si="148"/>
        <v>2274.3150109262056</v>
      </c>
      <c r="E849" s="159">
        <f t="shared" si="148"/>
        <v>2107.2281055639601</v>
      </c>
      <c r="F849" s="159">
        <f t="shared" si="148"/>
        <v>806.85829551185066</v>
      </c>
      <c r="G849" s="159">
        <f t="shared" si="148"/>
        <v>0</v>
      </c>
      <c r="H849" s="159">
        <f t="shared" si="148"/>
        <v>739.65372331484275</v>
      </c>
      <c r="I849" s="159">
        <f t="shared" si="148"/>
        <v>189.14103210623634</v>
      </c>
      <c r="J849" s="159">
        <f t="shared" si="148"/>
        <v>188.11564968902337</v>
      </c>
      <c r="K849" s="159">
        <f t="shared" si="148"/>
        <v>180.97159186417886</v>
      </c>
      <c r="L849" s="159">
        <f t="shared" si="148"/>
        <v>148.68045049588164</v>
      </c>
      <c r="M849" s="159">
        <f t="shared" si="148"/>
        <v>148.2938308959489</v>
      </c>
      <c r="N849" s="159">
        <f t="shared" si="148"/>
        <v>143.03244242729869</v>
      </c>
      <c r="O849" s="159">
        <f t="shared" si="148"/>
        <v>37.888720793410656</v>
      </c>
      <c r="P849" s="159">
        <f t="shared" si="148"/>
        <v>74.230963187090254</v>
      </c>
      <c r="Q849" s="159">
        <f t="shared" si="148"/>
        <v>37.838292149941161</v>
      </c>
      <c r="R849" s="324"/>
      <c r="AC849" s="330" t="s">
        <v>422</v>
      </c>
      <c r="AD849" s="327">
        <f>SUM(AD836:AD847)</f>
        <v>274566</v>
      </c>
      <c r="AE849" s="327">
        <f>SUM(AE836:AE847)</f>
        <v>35002</v>
      </c>
      <c r="AF849" s="327">
        <f>SUM(AF836:AF847)</f>
        <v>36723</v>
      </c>
      <c r="AG849" s="327">
        <f>SUM(AG836:AG847)</f>
        <v>62832</v>
      </c>
      <c r="AH849" s="327">
        <f>SUM(AH836:AH847)</f>
        <v>58670.30699073946</v>
      </c>
      <c r="AI849" s="327"/>
      <c r="AJ849" s="327">
        <f>SUM(AJ836:AJ847)</f>
        <v>467793.30699073948</v>
      </c>
      <c r="AK849" s="327"/>
      <c r="AL849" s="327"/>
      <c r="AM849" s="327"/>
      <c r="AN849" s="335" t="s">
        <v>422</v>
      </c>
      <c r="AO849" s="327">
        <f t="shared" ref="AO849:AT849" si="149">SUM(AO836:AO847)</f>
        <v>1247697</v>
      </c>
      <c r="AP849" s="327">
        <f t="shared" si="149"/>
        <v>158631</v>
      </c>
      <c r="AQ849" s="327">
        <f t="shared" si="149"/>
        <v>165907</v>
      </c>
      <c r="AR849" s="327">
        <f t="shared" si="149"/>
        <v>265497</v>
      </c>
      <c r="AS849" s="327">
        <f t="shared" si="149"/>
        <v>0</v>
      </c>
      <c r="AT849" s="327">
        <f t="shared" si="149"/>
        <v>1837732</v>
      </c>
      <c r="AU849" s="313"/>
    </row>
    <row r="850" spans="1:47" ht="15.75" customHeight="1" thickBot="1" x14ac:dyDescent="0.35">
      <c r="A850" s="369" t="s">
        <v>22</v>
      </c>
      <c r="B850" s="327">
        <f t="shared" ref="B850:Q850" si="150">(B821/$P$10/1.983)</f>
        <v>1850.5197403738225</v>
      </c>
      <c r="C850" s="327">
        <f t="shared" si="150"/>
        <v>1847.4940217656531</v>
      </c>
      <c r="D850" s="327">
        <f t="shared" si="150"/>
        <v>1844.2080262879638</v>
      </c>
      <c r="E850" s="327">
        <f t="shared" si="150"/>
        <v>1795.2922421225578</v>
      </c>
      <c r="F850" s="327">
        <f t="shared" si="150"/>
        <v>650.69217379987958</v>
      </c>
      <c r="G850" s="327">
        <f t="shared" si="150"/>
        <v>0</v>
      </c>
      <c r="H850" s="327">
        <f t="shared" si="150"/>
        <v>771.78598734403715</v>
      </c>
      <c r="I850" s="327">
        <f t="shared" si="150"/>
        <v>314.25178533665184</v>
      </c>
      <c r="J850" s="327">
        <f t="shared" si="150"/>
        <v>303.35269142550385</v>
      </c>
      <c r="K850" s="327">
        <f t="shared" si="150"/>
        <v>294.04779334016558</v>
      </c>
      <c r="L850" s="327">
        <f t="shared" si="150"/>
        <v>274.77103769134413</v>
      </c>
      <c r="M850" s="327">
        <f t="shared" si="150"/>
        <v>274.4619589087892</v>
      </c>
      <c r="N850" s="327">
        <f t="shared" si="150"/>
        <v>261.85479804141653</v>
      </c>
      <c r="O850" s="327">
        <f t="shared" si="150"/>
        <v>52.266848860475328</v>
      </c>
      <c r="P850" s="327">
        <f t="shared" si="150"/>
        <v>16.625185040586924</v>
      </c>
      <c r="Q850" s="327">
        <f t="shared" si="150"/>
        <v>52.234314251785335</v>
      </c>
      <c r="R850" s="328"/>
    </row>
    <row r="851" spans="1:47" ht="15.75" customHeight="1" x14ac:dyDescent="0.3">
      <c r="R851" s="319"/>
      <c r="AC851" s="370"/>
      <c r="AD851" s="506" t="s">
        <v>1028</v>
      </c>
      <c r="AE851" s="517"/>
      <c r="AF851" s="517"/>
      <c r="AG851" s="517"/>
      <c r="AH851" s="517"/>
      <c r="AI851" s="517"/>
      <c r="AJ851" s="517"/>
      <c r="AK851" s="517"/>
      <c r="AL851" s="517"/>
      <c r="AM851" s="517"/>
      <c r="AN851" s="517"/>
      <c r="AO851" s="517"/>
      <c r="AP851" s="517"/>
      <c r="AQ851" s="517"/>
      <c r="AR851" s="361" t="str">
        <f>$Q$1</f>
        <v xml:space="preserve">PRINTED:  </v>
      </c>
      <c r="AS851" s="371">
        <f ca="1">$R$1</f>
        <v>44909.46975358796</v>
      </c>
    </row>
    <row r="852" spans="1:47" ht="15.75" customHeight="1" x14ac:dyDescent="0.3">
      <c r="R852" s="159"/>
      <c r="AC852" s="306"/>
      <c r="AD852" s="503" t="str">
        <f>+$A$8</f>
        <v>Revised:  2/10/2015</v>
      </c>
      <c r="AE852" s="516"/>
      <c r="AF852" s="516"/>
      <c r="AG852" s="516"/>
      <c r="AH852" s="516"/>
      <c r="AI852" s="516"/>
      <c r="AJ852" s="516"/>
      <c r="AK852" s="516"/>
      <c r="AL852" s="516"/>
      <c r="AM852" s="516"/>
      <c r="AN852" s="516"/>
      <c r="AO852" s="516"/>
      <c r="AP852" s="516"/>
      <c r="AQ852" s="516"/>
      <c r="AR852" s="365"/>
      <c r="AS852" s="307"/>
    </row>
    <row r="853" spans="1:47" ht="15.75" customHeight="1" x14ac:dyDescent="0.3">
      <c r="A853" s="365"/>
      <c r="AC853" s="306"/>
      <c r="AD853" s="503" t="s">
        <v>1024</v>
      </c>
      <c r="AE853" s="508"/>
      <c r="AF853" s="508"/>
      <c r="AG853" s="508"/>
      <c r="AH853" s="508"/>
      <c r="AI853" s="508"/>
      <c r="AJ853" s="508"/>
      <c r="AK853" s="508"/>
      <c r="AL853" s="508"/>
      <c r="AM853" s="508"/>
      <c r="AN853" s="508"/>
      <c r="AO853" s="508"/>
      <c r="AP853" s="508"/>
      <c r="AQ853" s="508"/>
      <c r="AS853" s="307"/>
    </row>
    <row r="854" spans="1:47" ht="15.75" customHeight="1" x14ac:dyDescent="0.3">
      <c r="A854" s="365"/>
      <c r="AC854" s="306"/>
      <c r="AS854" s="307"/>
    </row>
    <row r="855" spans="1:47" ht="15.75" customHeight="1" thickBot="1" x14ac:dyDescent="0.35">
      <c r="A855" s="365"/>
      <c r="AC855" s="306"/>
      <c r="AD855" s="509">
        <f>$A$5</f>
        <v>2014</v>
      </c>
      <c r="AE855" s="508"/>
      <c r="AF855" s="508"/>
      <c r="AG855" s="508"/>
      <c r="AH855" s="508"/>
      <c r="AI855" s="508"/>
      <c r="AJ855" s="508"/>
      <c r="AK855" s="508"/>
      <c r="AL855" s="508"/>
      <c r="AM855" s="508"/>
      <c r="AN855" s="508"/>
      <c r="AO855" s="508"/>
      <c r="AP855" s="508"/>
      <c r="AQ855" s="508"/>
      <c r="AS855" s="307"/>
    </row>
    <row r="856" spans="1:47" ht="15.75" customHeight="1" x14ac:dyDescent="0.3">
      <c r="A856" s="363"/>
      <c r="B856" s="506" t="s">
        <v>456</v>
      </c>
      <c r="C856" s="506"/>
      <c r="D856" s="506"/>
      <c r="E856" s="506"/>
      <c r="F856" s="506"/>
      <c r="G856" s="506"/>
      <c r="H856" s="506"/>
      <c r="I856" s="506"/>
      <c r="J856" s="506"/>
      <c r="K856" s="506"/>
      <c r="L856" s="506"/>
      <c r="M856" s="506"/>
      <c r="N856" s="506"/>
      <c r="O856" s="506"/>
      <c r="P856" s="506"/>
      <c r="Q856" s="361" t="str">
        <f>+Q1</f>
        <v xml:space="preserve">PRINTED:  </v>
      </c>
      <c r="R856" s="362">
        <f ca="1">+R1</f>
        <v>44909.46975358796</v>
      </c>
      <c r="AC856" s="306"/>
      <c r="AD856" s="503" t="s">
        <v>1029</v>
      </c>
      <c r="AE856" s="516"/>
      <c r="AF856" s="516"/>
      <c r="AG856" s="516"/>
      <c r="AH856" s="516"/>
      <c r="AI856" s="516"/>
      <c r="AJ856" s="516"/>
      <c r="AK856" s="516"/>
      <c r="AL856" s="516"/>
      <c r="AM856" s="516"/>
      <c r="AN856" s="516"/>
      <c r="AO856" s="516"/>
      <c r="AP856" s="516"/>
      <c r="AQ856" s="516"/>
      <c r="AR856" s="164"/>
      <c r="AS856" s="307"/>
    </row>
    <row r="857" spans="1:47" ht="16.5" customHeight="1" x14ac:dyDescent="0.3">
      <c r="A857" s="325"/>
      <c r="B857" s="503" t="str">
        <f>+A8</f>
        <v>Revised:  2/10/2015</v>
      </c>
      <c r="C857" s="503"/>
      <c r="D857" s="503"/>
      <c r="E857" s="503"/>
      <c r="F857" s="503"/>
      <c r="G857" s="503"/>
      <c r="H857" s="503"/>
      <c r="I857" s="503"/>
      <c r="J857" s="503"/>
      <c r="K857" s="503"/>
      <c r="L857" s="503"/>
      <c r="M857" s="503"/>
      <c r="N857" s="503"/>
      <c r="O857" s="503"/>
      <c r="P857" s="503"/>
      <c r="Q857" s="159"/>
      <c r="R857" s="324"/>
      <c r="AC857" s="306"/>
      <c r="AK857" s="372"/>
      <c r="AS857" s="307"/>
    </row>
    <row r="858" spans="1:47" ht="15.75" customHeight="1" thickBot="1" x14ac:dyDescent="0.35">
      <c r="A858" s="325"/>
      <c r="B858" s="503" t="s">
        <v>1024</v>
      </c>
      <c r="C858" s="503"/>
      <c r="D858" s="503"/>
      <c r="E858" s="503"/>
      <c r="F858" s="503"/>
      <c r="G858" s="503"/>
      <c r="H858" s="503"/>
      <c r="I858" s="503"/>
      <c r="J858" s="503"/>
      <c r="K858" s="503"/>
      <c r="L858" s="503"/>
      <c r="M858" s="503"/>
      <c r="N858" s="503"/>
      <c r="O858" s="503"/>
      <c r="P858" s="503"/>
      <c r="Q858" s="159"/>
      <c r="R858" s="324"/>
      <c r="AC858" s="306"/>
      <c r="AD858" s="364" t="s">
        <v>390</v>
      </c>
      <c r="AE858" s="364" t="s">
        <v>391</v>
      </c>
      <c r="AF858" s="364" t="s">
        <v>392</v>
      </c>
      <c r="AG858" s="364" t="s">
        <v>393</v>
      </c>
      <c r="AH858" s="364" t="s">
        <v>394</v>
      </c>
      <c r="AI858" s="364" t="s">
        <v>395</v>
      </c>
      <c r="AJ858" s="364" t="s">
        <v>396</v>
      </c>
      <c r="AK858" s="364" t="s">
        <v>397</v>
      </c>
      <c r="AL858" s="364" t="s">
        <v>398</v>
      </c>
      <c r="AM858" s="364" t="s">
        <v>399</v>
      </c>
      <c r="AN858" s="364" t="s">
        <v>400</v>
      </c>
      <c r="AO858" s="364" t="s">
        <v>401</v>
      </c>
      <c r="AP858" s="364" t="s">
        <v>402</v>
      </c>
      <c r="AQ858" s="364" t="s">
        <v>403</v>
      </c>
      <c r="AR858" s="364" t="s">
        <v>404</v>
      </c>
      <c r="AS858" s="373" t="s">
        <v>422</v>
      </c>
    </row>
    <row r="859" spans="1:47" ht="15.75" customHeight="1" x14ac:dyDescent="0.3">
      <c r="A859" s="325"/>
      <c r="B859" s="159"/>
      <c r="C859" s="159"/>
      <c r="D859" s="159"/>
      <c r="E859" s="159"/>
      <c r="F859" s="159"/>
      <c r="G859" s="159"/>
      <c r="H859" s="159"/>
      <c r="I859" s="159"/>
      <c r="J859" s="159"/>
      <c r="K859" s="159"/>
      <c r="L859" s="159"/>
      <c r="M859" s="159"/>
      <c r="N859" s="159"/>
      <c r="O859" s="159"/>
      <c r="P859" s="159"/>
      <c r="Q859" s="159"/>
      <c r="R859" s="324"/>
      <c r="AC859" s="306"/>
      <c r="AD859" s="159"/>
      <c r="AE859" s="159"/>
      <c r="AF859" s="159"/>
      <c r="AG859" s="159"/>
      <c r="AH859" s="164" t="s">
        <v>1030</v>
      </c>
      <c r="AI859" s="159"/>
      <c r="AJ859" s="159"/>
      <c r="AK859" s="159"/>
      <c r="AL859" s="159"/>
      <c r="AM859" s="159"/>
      <c r="AN859" s="159"/>
      <c r="AO859" s="159"/>
      <c r="AP859" s="159"/>
      <c r="AQ859" s="159"/>
      <c r="AR859" s="159"/>
      <c r="AS859" s="374"/>
    </row>
    <row r="860" spans="1:47" ht="15.75" customHeight="1" x14ac:dyDescent="0.3">
      <c r="A860" s="325"/>
      <c r="B860" s="509">
        <f>A5</f>
        <v>2014</v>
      </c>
      <c r="C860" s="509"/>
      <c r="D860" s="509"/>
      <c r="E860" s="509"/>
      <c r="F860" s="509"/>
      <c r="G860" s="509"/>
      <c r="H860" s="509"/>
      <c r="I860" s="509"/>
      <c r="J860" s="509"/>
      <c r="K860" s="509"/>
      <c r="L860" s="509"/>
      <c r="M860" s="509"/>
      <c r="N860" s="509"/>
      <c r="O860" s="509"/>
      <c r="P860" s="509"/>
      <c r="Q860" s="159"/>
      <c r="R860" s="324"/>
      <c r="S860" s="159"/>
      <c r="AC860" s="375" t="s">
        <v>1147</v>
      </c>
      <c r="AD860" s="376">
        <v>1.7500000000000002E-2</v>
      </c>
      <c r="AE860" s="376">
        <v>1.7500000000000002E-2</v>
      </c>
      <c r="AF860" s="376">
        <v>1.7500000000000002E-2</v>
      </c>
      <c r="AG860" s="376">
        <v>1.7500000000000002E-2</v>
      </c>
      <c r="AH860" s="376">
        <v>1.7500000000000002E-2</v>
      </c>
      <c r="AI860" s="376">
        <v>1.7500000000000002E-2</v>
      </c>
      <c r="AJ860" s="376">
        <v>1.7500000000000002E-2</v>
      </c>
      <c r="AK860" s="376">
        <v>1.7500000000000002E-2</v>
      </c>
      <c r="AL860" s="376">
        <v>1.7500000000000002E-2</v>
      </c>
      <c r="AM860" s="376">
        <v>1.7500000000000002E-2</v>
      </c>
      <c r="AN860" s="376">
        <v>1.7500000000000002E-2</v>
      </c>
      <c r="AO860" s="376">
        <v>1.7500000000000002E-2</v>
      </c>
      <c r="AP860" s="376">
        <v>1.7500000000000002E-2</v>
      </c>
      <c r="AQ860" s="376">
        <v>1.7500000000000002E-2</v>
      </c>
      <c r="AR860" s="376">
        <v>1.7500000000000002E-2</v>
      </c>
      <c r="AS860" s="377"/>
    </row>
    <row r="861" spans="1:47" ht="15.75" customHeight="1" x14ac:dyDescent="0.3">
      <c r="A861" s="325"/>
      <c r="B861" s="503" t="s">
        <v>1029</v>
      </c>
      <c r="C861" s="503"/>
      <c r="D861" s="503"/>
      <c r="E861" s="503"/>
      <c r="F861" s="503"/>
      <c r="G861" s="503"/>
      <c r="H861" s="503"/>
      <c r="I861" s="503"/>
      <c r="J861" s="503"/>
      <c r="K861" s="503"/>
      <c r="L861" s="503"/>
      <c r="M861" s="503"/>
      <c r="N861" s="503"/>
      <c r="O861" s="503"/>
      <c r="P861" s="503"/>
      <c r="Q861" s="159"/>
      <c r="R861" s="324"/>
      <c r="S861" s="159"/>
      <c r="AC861" s="375" t="s">
        <v>1032</v>
      </c>
      <c r="AD861" s="376">
        <v>0.03</v>
      </c>
      <c r="AE861" s="376">
        <v>0.03</v>
      </c>
      <c r="AF861" s="376">
        <v>0.03</v>
      </c>
      <c r="AG861" s="376">
        <v>0.03</v>
      </c>
      <c r="AH861" s="376">
        <v>0.03</v>
      </c>
      <c r="AI861" s="376"/>
      <c r="AJ861" s="376"/>
      <c r="AK861" s="376"/>
      <c r="AL861" s="376"/>
      <c r="AM861" s="376"/>
      <c r="AN861" s="376"/>
      <c r="AO861" s="376"/>
      <c r="AP861" s="376"/>
      <c r="AQ861" s="376"/>
      <c r="AR861" s="376"/>
      <c r="AS861" s="377"/>
    </row>
    <row r="862" spans="1:47" ht="15.75" customHeight="1" x14ac:dyDescent="0.3">
      <c r="A862" s="325"/>
      <c r="B862" s="159"/>
      <c r="C862" s="159"/>
      <c r="D862" s="159"/>
      <c r="E862" s="159"/>
      <c r="F862" s="159"/>
      <c r="G862" s="159"/>
      <c r="H862" s="159"/>
      <c r="I862" s="159"/>
      <c r="J862" s="159"/>
      <c r="K862" s="159"/>
      <c r="L862" s="159"/>
      <c r="M862" s="159"/>
      <c r="N862" s="159"/>
      <c r="O862" s="159"/>
      <c r="P862" s="159"/>
      <c r="Q862" s="159"/>
      <c r="R862" s="324"/>
      <c r="S862" s="159"/>
      <c r="AC862" s="375" t="s">
        <v>1033</v>
      </c>
      <c r="AD862" s="376">
        <v>3.0000000000000001E-3</v>
      </c>
      <c r="AE862" s="376"/>
      <c r="AF862" s="376"/>
      <c r="AG862" s="376"/>
      <c r="AH862" s="376"/>
      <c r="AI862" s="376"/>
      <c r="AJ862" s="376"/>
      <c r="AK862" s="376"/>
      <c r="AL862" s="376"/>
      <c r="AM862" s="376"/>
      <c r="AN862" s="376"/>
      <c r="AO862" s="376"/>
      <c r="AP862" s="376"/>
      <c r="AQ862" s="376"/>
      <c r="AR862" s="376"/>
      <c r="AS862" s="377"/>
    </row>
    <row r="863" spans="1:47" ht="15.75" customHeight="1" thickBot="1" x14ac:dyDescent="0.35">
      <c r="A863" s="325" t="s">
        <v>433</v>
      </c>
      <c r="B863" s="364" t="s">
        <v>390</v>
      </c>
      <c r="C863" s="364" t="s">
        <v>391</v>
      </c>
      <c r="D863" s="364" t="s">
        <v>392</v>
      </c>
      <c r="E863" s="364" t="s">
        <v>393</v>
      </c>
      <c r="F863" s="364" t="s">
        <v>394</v>
      </c>
      <c r="G863" s="364" t="s">
        <v>394</v>
      </c>
      <c r="H863" s="364" t="s">
        <v>395</v>
      </c>
      <c r="I863" s="364" t="s">
        <v>396</v>
      </c>
      <c r="J863" s="364" t="s">
        <v>397</v>
      </c>
      <c r="K863" s="364" t="s">
        <v>398</v>
      </c>
      <c r="L863" s="364" t="s">
        <v>399</v>
      </c>
      <c r="M863" s="364" t="s">
        <v>400</v>
      </c>
      <c r="N863" s="364" t="s">
        <v>401</v>
      </c>
      <c r="O863" s="364" t="s">
        <v>402</v>
      </c>
      <c r="P863" s="364" t="s">
        <v>403</v>
      </c>
      <c r="Q863" s="364" t="s">
        <v>404</v>
      </c>
      <c r="R863" s="373" t="s">
        <v>422</v>
      </c>
      <c r="S863" s="164"/>
      <c r="AC863" s="375" t="s">
        <v>822</v>
      </c>
      <c r="AD863" s="376"/>
      <c r="AE863" s="376"/>
      <c r="AF863" s="376"/>
      <c r="AG863" s="376"/>
      <c r="AH863" s="376"/>
      <c r="AI863" s="376">
        <v>2.5000000000000001E-2</v>
      </c>
      <c r="AJ863" s="376"/>
      <c r="AK863" s="376"/>
      <c r="AL863" s="376"/>
      <c r="AM863" s="376"/>
      <c r="AN863" s="376"/>
      <c r="AO863" s="376"/>
      <c r="AP863" s="376"/>
      <c r="AQ863" s="376"/>
      <c r="AR863" s="376"/>
      <c r="AS863" s="377"/>
    </row>
    <row r="864" spans="1:47" ht="15.75" customHeight="1" x14ac:dyDescent="0.3">
      <c r="A864" s="325"/>
      <c r="B864" s="159"/>
      <c r="C864" s="159"/>
      <c r="D864" s="159"/>
      <c r="E864" s="159"/>
      <c r="F864" s="164" t="s">
        <v>406</v>
      </c>
      <c r="G864" s="164" t="s">
        <v>407</v>
      </c>
      <c r="H864" s="159"/>
      <c r="I864" s="159"/>
      <c r="J864" s="159"/>
      <c r="K864" s="159"/>
      <c r="L864" s="159"/>
      <c r="M864" s="159"/>
      <c r="N864" s="159"/>
      <c r="O864" s="159"/>
      <c r="P864" s="159"/>
      <c r="Q864" s="159"/>
      <c r="R864" s="377" t="s">
        <v>458</v>
      </c>
      <c r="S864" s="164"/>
      <c r="AC864" s="375" t="s">
        <v>1073</v>
      </c>
      <c r="AD864" s="376"/>
      <c r="AE864" s="376"/>
      <c r="AF864" s="376"/>
      <c r="AG864" s="376"/>
      <c r="AH864" s="376"/>
      <c r="AI864" s="376"/>
      <c r="AJ864" s="376"/>
      <c r="AK864" s="376"/>
      <c r="AL864" s="376"/>
      <c r="AM864" s="376"/>
      <c r="AN864" s="376"/>
      <c r="AO864" s="376"/>
      <c r="AP864" s="376"/>
      <c r="AQ864" s="376"/>
      <c r="AR864" s="376"/>
      <c r="AS864" s="377"/>
    </row>
    <row r="865" spans="1:45" ht="15.75" customHeight="1" x14ac:dyDescent="0.3">
      <c r="A865" s="325" t="s">
        <v>1035</v>
      </c>
      <c r="B865" s="378">
        <v>957</v>
      </c>
      <c r="C865" s="378">
        <v>122</v>
      </c>
      <c r="D865" s="378">
        <v>128</v>
      </c>
      <c r="E865" s="378">
        <v>219</v>
      </c>
      <c r="F865" s="378"/>
      <c r="G865" s="378"/>
      <c r="H865" s="378">
        <v>97</v>
      </c>
      <c r="I865" s="378">
        <v>160</v>
      </c>
      <c r="J865" s="378">
        <v>250</v>
      </c>
      <c r="K865" s="378">
        <v>260</v>
      </c>
      <c r="L865" s="378">
        <v>100</v>
      </c>
      <c r="M865" s="378">
        <v>118</v>
      </c>
      <c r="N865" s="378">
        <v>250</v>
      </c>
      <c r="O865" s="378">
        <v>190</v>
      </c>
      <c r="P865" s="378">
        <v>340</v>
      </c>
      <c r="Q865" s="378">
        <v>450</v>
      </c>
      <c r="R865" s="377" t="s">
        <v>442</v>
      </c>
      <c r="S865" s="164"/>
      <c r="AC865" s="375" t="s">
        <v>422</v>
      </c>
      <c r="AD865" s="169">
        <f>SUM(AD860:AD864)</f>
        <v>5.0500000000000003E-2</v>
      </c>
      <c r="AE865" s="169">
        <f>SUM(AE860:AE864)</f>
        <v>4.7500000000000001E-2</v>
      </c>
      <c r="AF865" s="169">
        <f>SUM(AF860:AF864)</f>
        <v>4.7500000000000001E-2</v>
      </c>
      <c r="AG865" s="169">
        <f>SUM(AG860:AG864)</f>
        <v>4.7500000000000001E-2</v>
      </c>
      <c r="AH865" s="169">
        <f>SUM(AH860:AH864)</f>
        <v>4.7500000000000001E-2</v>
      </c>
      <c r="AI865" s="169">
        <f t="shared" ref="AI865:AR865" si="151">SUM(AI860:AI864)</f>
        <v>4.2500000000000003E-2</v>
      </c>
      <c r="AJ865" s="169">
        <f t="shared" si="151"/>
        <v>1.7500000000000002E-2</v>
      </c>
      <c r="AK865" s="169">
        <f t="shared" si="151"/>
        <v>1.7500000000000002E-2</v>
      </c>
      <c r="AL865" s="169">
        <f t="shared" si="151"/>
        <v>1.7500000000000002E-2</v>
      </c>
      <c r="AM865" s="169">
        <f t="shared" si="151"/>
        <v>1.7500000000000002E-2</v>
      </c>
      <c r="AN865" s="169">
        <f t="shared" si="151"/>
        <v>1.7500000000000002E-2</v>
      </c>
      <c r="AO865" s="169">
        <f t="shared" si="151"/>
        <v>1.7500000000000002E-2</v>
      </c>
      <c r="AP865" s="169">
        <f t="shared" si="151"/>
        <v>1.7500000000000002E-2</v>
      </c>
      <c r="AQ865" s="169">
        <f t="shared" si="151"/>
        <v>1.7500000000000002E-2</v>
      </c>
      <c r="AR865" s="169">
        <f t="shared" si="151"/>
        <v>1.7500000000000002E-2</v>
      </c>
      <c r="AS865" s="377"/>
    </row>
    <row r="866" spans="1:45" ht="15.75" customHeight="1" x14ac:dyDescent="0.3">
      <c r="A866" s="325"/>
      <c r="B866" s="164" t="s">
        <v>409</v>
      </c>
      <c r="C866" s="164" t="s">
        <v>409</v>
      </c>
      <c r="D866" s="164" t="s">
        <v>409</v>
      </c>
      <c r="E866" s="164" t="s">
        <v>409</v>
      </c>
      <c r="F866" s="164" t="s">
        <v>409</v>
      </c>
      <c r="G866" s="164" t="s">
        <v>409</v>
      </c>
      <c r="H866" s="164" t="s">
        <v>409</v>
      </c>
      <c r="I866" s="164" t="s">
        <v>409</v>
      </c>
      <c r="J866" s="164" t="s">
        <v>409</v>
      </c>
      <c r="K866" s="164" t="s">
        <v>409</v>
      </c>
      <c r="L866" s="164" t="s">
        <v>409</v>
      </c>
      <c r="M866" s="164" t="s">
        <v>409</v>
      </c>
      <c r="N866" s="164" t="s">
        <v>409</v>
      </c>
      <c r="O866" s="164" t="s">
        <v>409</v>
      </c>
      <c r="P866" s="164" t="s">
        <v>409</v>
      </c>
      <c r="Q866" s="164" t="s">
        <v>409</v>
      </c>
      <c r="R866" s="377" t="s">
        <v>459</v>
      </c>
      <c r="S866" s="164"/>
      <c r="AC866" s="325" t="s">
        <v>409</v>
      </c>
      <c r="AD866" s="164" t="s">
        <v>409</v>
      </c>
      <c r="AE866" s="164" t="s">
        <v>409</v>
      </c>
      <c r="AF866" s="164" t="s">
        <v>409</v>
      </c>
      <c r="AG866" s="164" t="s">
        <v>409</v>
      </c>
      <c r="AH866" s="164" t="s">
        <v>409</v>
      </c>
      <c r="AI866" s="164" t="s">
        <v>409</v>
      </c>
      <c r="AJ866" s="164" t="s">
        <v>409</v>
      </c>
      <c r="AK866" s="164" t="s">
        <v>409</v>
      </c>
      <c r="AL866" s="164" t="s">
        <v>409</v>
      </c>
      <c r="AM866" s="164" t="s">
        <v>409</v>
      </c>
      <c r="AN866" s="164" t="s">
        <v>409</v>
      </c>
      <c r="AO866" s="164" t="s">
        <v>409</v>
      </c>
      <c r="AP866" s="164" t="s">
        <v>409</v>
      </c>
      <c r="AQ866" s="164" t="s">
        <v>409</v>
      </c>
      <c r="AR866" s="164" t="s">
        <v>409</v>
      </c>
      <c r="AS866" s="377" t="s">
        <v>409</v>
      </c>
    </row>
    <row r="867" spans="1:45" ht="15.75" customHeight="1" x14ac:dyDescent="0.3">
      <c r="A867" s="365" t="s">
        <v>795</v>
      </c>
      <c r="B867" s="159">
        <f t="shared" ref="B867:B878" si="152">ROUND((B810*$B$865)/1000,0)</f>
        <v>79376</v>
      </c>
      <c r="C867" s="159">
        <f t="shared" ref="C867:C878" si="153">ROUND((C810*$C$865)/1000,0)</f>
        <v>10107</v>
      </c>
      <c r="D867" s="159">
        <f t="shared" ref="D867:D878" si="154">ROUND((D810*$D$865)/1000,0)</f>
        <v>10592</v>
      </c>
      <c r="E867" s="159">
        <f t="shared" ref="E867:E878" si="155">ROUND((E810*$E$865)/1000,0)</f>
        <v>17825</v>
      </c>
      <c r="F867" s="159">
        <f t="shared" ref="F867:F878" si="156">(F810*((T810-1526.8)/0.7702))/1000</f>
        <v>11479.780843275881</v>
      </c>
      <c r="G867" s="159">
        <f t="shared" ref="G867:G878" si="157">(G810*((T810-1591.4)/0.6635))/1000</f>
        <v>-3953.6304412860668</v>
      </c>
      <c r="H867" s="159">
        <f t="shared" ref="H867:H878" si="158">ROUND((H810*$H$865)/1000,0)</f>
        <v>3206</v>
      </c>
      <c r="I867" s="159">
        <f t="shared" ref="I867:I878" si="159">ROUND((I810*$I$865)/1000,0)</f>
        <v>2497</v>
      </c>
      <c r="J867" s="159">
        <f t="shared" ref="J867:J878" si="160">ROUND((J810*$J$865)/1000,0)</f>
        <v>3899</v>
      </c>
      <c r="K867" s="159">
        <f t="shared" ref="K867:K878" si="161">ROUND((K810*$K$865)/1000,0)</f>
        <v>3912</v>
      </c>
      <c r="L867" s="159">
        <f t="shared" ref="L867:L878" si="162">ROUND((L810*$L$865)/1000,0)</f>
        <v>1034</v>
      </c>
      <c r="M867" s="159">
        <f t="shared" ref="M867:M878" si="163">ROUND((M810*$M$865)/1000,0)</f>
        <v>1217</v>
      </c>
      <c r="N867" s="159">
        <f t="shared" ref="N867:N878" si="164">ROUND((N810*$N$865)/1000,0)</f>
        <v>2576</v>
      </c>
      <c r="O867" s="159">
        <f t="shared" ref="O867:O878" si="165">ROUND((O810*$O$865)/1000,0)</f>
        <v>856</v>
      </c>
      <c r="P867" s="159">
        <f t="shared" ref="P867:P878" si="166">ROUND((P810*$P$865)/1000,0)</f>
        <v>71</v>
      </c>
      <c r="Q867" s="159">
        <f t="shared" ref="Q867:Q878" si="167">ROUND((Q810*$Q$865)/1000,0)</f>
        <v>2027</v>
      </c>
      <c r="R867" s="379">
        <f>(SUM(B867:Q867))</f>
        <v>146721.15040198981</v>
      </c>
      <c r="S867" s="168"/>
      <c r="AC867" s="375" t="s">
        <v>795</v>
      </c>
      <c r="AD867" s="159">
        <f>ROUND(B867*$AD$865, 0)</f>
        <v>4008</v>
      </c>
      <c r="AE867" s="159">
        <f>ROUND(C867*$AE$865,0)</f>
        <v>480</v>
      </c>
      <c r="AF867" s="159">
        <f>ROUND(D867*$AF$865,0)</f>
        <v>503</v>
      </c>
      <c r="AG867" s="159">
        <f>ROUND(E867*$AG$865,0)</f>
        <v>847</v>
      </c>
      <c r="AH867" s="159">
        <f>ROUND(F867*$AH$865,0)</f>
        <v>545</v>
      </c>
      <c r="AI867" s="159">
        <f>ROUND(H867*$AI$865,0)</f>
        <v>136</v>
      </c>
      <c r="AJ867" s="159">
        <f>ROUND(I867*$AJ$865,0)</f>
        <v>44</v>
      </c>
      <c r="AK867" s="159">
        <f>ROUND(J867*$AK$865,0)</f>
        <v>68</v>
      </c>
      <c r="AL867" s="159">
        <f>ROUND(K867*$AL$865,0)</f>
        <v>68</v>
      </c>
      <c r="AM867" s="159">
        <f>ROUND(L867*$AM$865,0)</f>
        <v>18</v>
      </c>
      <c r="AN867" s="159">
        <f>ROUND(M867*$AN$865,0)</f>
        <v>21</v>
      </c>
      <c r="AO867" s="159">
        <f>ROUND(N867*$AO$865,0)</f>
        <v>45</v>
      </c>
      <c r="AP867" s="159">
        <f>ROUND(O867*$AP$865,0)</f>
        <v>15</v>
      </c>
      <c r="AQ867" s="159">
        <f>ROUND(P867*$AQ$865,0)</f>
        <v>1</v>
      </c>
      <c r="AR867" s="159">
        <f>ROUND(Q867*$AR$865,0)</f>
        <v>35</v>
      </c>
      <c r="AS867" s="374">
        <f>SUM(AD867:AR867)</f>
        <v>6834</v>
      </c>
    </row>
    <row r="868" spans="1:45" ht="15.75" customHeight="1" x14ac:dyDescent="0.3">
      <c r="A868" s="365" t="s">
        <v>9</v>
      </c>
      <c r="B868" s="159">
        <f t="shared" si="152"/>
        <v>123890</v>
      </c>
      <c r="C868" s="159">
        <f t="shared" si="153"/>
        <v>15776</v>
      </c>
      <c r="D868" s="159">
        <f t="shared" si="154"/>
        <v>16503</v>
      </c>
      <c r="E868" s="159">
        <f t="shared" si="155"/>
        <v>27758</v>
      </c>
      <c r="F868" s="159">
        <f t="shared" si="156"/>
        <v>11422.609062581158</v>
      </c>
      <c r="G868" s="159">
        <f t="shared" si="157"/>
        <v>0</v>
      </c>
      <c r="H868" s="159">
        <f t="shared" si="158"/>
        <v>4890</v>
      </c>
      <c r="I868" s="159">
        <f t="shared" si="159"/>
        <v>2311</v>
      </c>
      <c r="J868" s="159">
        <f t="shared" si="160"/>
        <v>3548</v>
      </c>
      <c r="K868" s="159">
        <f t="shared" si="161"/>
        <v>3510</v>
      </c>
      <c r="L868" s="159">
        <f t="shared" si="162"/>
        <v>1114</v>
      </c>
      <c r="M868" s="159">
        <f t="shared" si="163"/>
        <v>1312</v>
      </c>
      <c r="N868" s="159">
        <f t="shared" si="164"/>
        <v>2759</v>
      </c>
      <c r="O868" s="159">
        <f t="shared" si="165"/>
        <v>492</v>
      </c>
      <c r="P868" s="159">
        <f t="shared" si="166"/>
        <v>40</v>
      </c>
      <c r="Q868" s="159">
        <f t="shared" si="167"/>
        <v>1165</v>
      </c>
      <c r="R868" s="379">
        <f t="shared" ref="R868:R878" si="168">(SUM(B868:Q868))</f>
        <v>216490.60906258115</v>
      </c>
      <c r="S868" s="168"/>
      <c r="AC868" s="375" t="s">
        <v>9</v>
      </c>
      <c r="AD868" s="159">
        <f t="shared" ref="AD868:AD878" si="169">ROUND(B868*$AD$865, 0)</f>
        <v>6256</v>
      </c>
      <c r="AE868" s="159">
        <f t="shared" ref="AE868:AE878" si="170">ROUND(C868*$AE$865,0)</f>
        <v>749</v>
      </c>
      <c r="AF868" s="159">
        <f t="shared" ref="AF868:AF878" si="171">ROUND(D868*$AF$865,0)</f>
        <v>784</v>
      </c>
      <c r="AG868" s="159">
        <f t="shared" ref="AG868:AG878" si="172">ROUND(E868*$AG$865,0)</f>
        <v>1319</v>
      </c>
      <c r="AH868" s="159">
        <f t="shared" ref="AH868:AH878" si="173">ROUND(F868*$AH$865,0)</f>
        <v>543</v>
      </c>
      <c r="AI868" s="159">
        <f t="shared" ref="AI868:AI878" si="174">ROUND(H868*$AI$865,0)</f>
        <v>208</v>
      </c>
      <c r="AJ868" s="159">
        <f t="shared" ref="AJ868:AJ878" si="175">ROUND(I868*$AJ$865,0)</f>
        <v>40</v>
      </c>
      <c r="AK868" s="159">
        <f t="shared" ref="AK868:AK878" si="176">ROUND(J868*$AK$865,0)</f>
        <v>62</v>
      </c>
      <c r="AL868" s="159">
        <f t="shared" ref="AL868:AL878" si="177">ROUND(K868*$AL$865,0)</f>
        <v>61</v>
      </c>
      <c r="AM868" s="159">
        <f t="shared" ref="AM868:AM878" si="178">ROUND(L868*$AM$865,0)</f>
        <v>19</v>
      </c>
      <c r="AN868" s="159">
        <f t="shared" ref="AN868:AN878" si="179">ROUND(M868*$AN$865,0)</f>
        <v>23</v>
      </c>
      <c r="AO868" s="159">
        <f t="shared" ref="AO868:AO878" si="180">ROUND(N868*$AO$865,0)</f>
        <v>48</v>
      </c>
      <c r="AP868" s="159">
        <f t="shared" ref="AP868:AP878" si="181">ROUND(O868*$AP$865,0)</f>
        <v>9</v>
      </c>
      <c r="AQ868" s="159">
        <f t="shared" ref="AQ868:AQ878" si="182">ROUND(P868*$AQ$865,0)</f>
        <v>1</v>
      </c>
      <c r="AR868" s="159">
        <f t="shared" ref="AR868:AR878" si="183">ROUND(Q868*$AR$865,0)</f>
        <v>20</v>
      </c>
      <c r="AS868" s="374">
        <f t="shared" ref="AS868:AS878" si="184">SUM(AD868:AR868)</f>
        <v>10142</v>
      </c>
    </row>
    <row r="869" spans="1:45" ht="15.75" customHeight="1" x14ac:dyDescent="0.3">
      <c r="A869" s="365" t="s">
        <v>10</v>
      </c>
      <c r="B869" s="159">
        <f t="shared" si="152"/>
        <v>167884</v>
      </c>
      <c r="C869" s="159">
        <f t="shared" si="153"/>
        <v>21369</v>
      </c>
      <c r="D869" s="159">
        <f t="shared" si="154"/>
        <v>22356</v>
      </c>
      <c r="E869" s="159">
        <f t="shared" si="155"/>
        <v>37379</v>
      </c>
      <c r="F869" s="159">
        <f t="shared" si="156"/>
        <v>10616.43378343288</v>
      </c>
      <c r="G869" s="159">
        <f t="shared" si="157"/>
        <v>0</v>
      </c>
      <c r="H869" s="159">
        <f t="shared" si="158"/>
        <v>8464</v>
      </c>
      <c r="I869" s="159">
        <f t="shared" si="159"/>
        <v>5609</v>
      </c>
      <c r="J869" s="159">
        <f t="shared" si="160"/>
        <v>6488</v>
      </c>
      <c r="K869" s="159">
        <f t="shared" si="161"/>
        <v>5582</v>
      </c>
      <c r="L869" s="159">
        <f t="shared" si="162"/>
        <v>1990</v>
      </c>
      <c r="M869" s="159">
        <f t="shared" si="163"/>
        <v>2345</v>
      </c>
      <c r="N869" s="159">
        <f t="shared" si="164"/>
        <v>4826</v>
      </c>
      <c r="O869" s="159">
        <f t="shared" si="165"/>
        <v>697</v>
      </c>
      <c r="P869" s="159">
        <f t="shared" si="166"/>
        <v>1063</v>
      </c>
      <c r="Q869" s="159">
        <f t="shared" si="167"/>
        <v>1648</v>
      </c>
      <c r="R869" s="379">
        <f t="shared" si="168"/>
        <v>298316.43378343288</v>
      </c>
      <c r="S869" s="168"/>
      <c r="AC869" s="375" t="s">
        <v>10</v>
      </c>
      <c r="AD869" s="159">
        <f t="shared" si="169"/>
        <v>8478</v>
      </c>
      <c r="AE869" s="159">
        <f t="shared" si="170"/>
        <v>1015</v>
      </c>
      <c r="AF869" s="159">
        <f t="shared" si="171"/>
        <v>1062</v>
      </c>
      <c r="AG869" s="159">
        <f t="shared" si="172"/>
        <v>1776</v>
      </c>
      <c r="AH869" s="159">
        <f t="shared" si="173"/>
        <v>504</v>
      </c>
      <c r="AI869" s="159">
        <f t="shared" si="174"/>
        <v>360</v>
      </c>
      <c r="AJ869" s="159">
        <f t="shared" si="175"/>
        <v>98</v>
      </c>
      <c r="AK869" s="159">
        <f t="shared" si="176"/>
        <v>114</v>
      </c>
      <c r="AL869" s="159">
        <f t="shared" si="177"/>
        <v>98</v>
      </c>
      <c r="AM869" s="159">
        <f t="shared" si="178"/>
        <v>35</v>
      </c>
      <c r="AN869" s="159">
        <f t="shared" si="179"/>
        <v>41</v>
      </c>
      <c r="AO869" s="159">
        <f t="shared" si="180"/>
        <v>84</v>
      </c>
      <c r="AP869" s="159">
        <f t="shared" si="181"/>
        <v>12</v>
      </c>
      <c r="AQ869" s="159">
        <f t="shared" si="182"/>
        <v>19</v>
      </c>
      <c r="AR869" s="159">
        <f t="shared" si="183"/>
        <v>29</v>
      </c>
      <c r="AS869" s="374">
        <f t="shared" si="184"/>
        <v>13725</v>
      </c>
    </row>
    <row r="870" spans="1:45" ht="15.75" customHeight="1" x14ac:dyDescent="0.3">
      <c r="A870" s="365" t="s">
        <v>12</v>
      </c>
      <c r="B870" s="159">
        <f t="shared" si="152"/>
        <v>170159</v>
      </c>
      <c r="C870" s="159">
        <f t="shared" si="153"/>
        <v>21647</v>
      </c>
      <c r="D870" s="159">
        <f t="shared" si="154"/>
        <v>22667</v>
      </c>
      <c r="E870" s="159">
        <f t="shared" si="155"/>
        <v>37440</v>
      </c>
      <c r="F870" s="159">
        <f t="shared" si="156"/>
        <v>2161.9998148279819</v>
      </c>
      <c r="G870" s="159">
        <f t="shared" si="157"/>
        <v>-56.655910909755221</v>
      </c>
      <c r="H870" s="159">
        <f t="shared" si="158"/>
        <v>11445</v>
      </c>
      <c r="I870" s="159">
        <f t="shared" si="159"/>
        <v>6510</v>
      </c>
      <c r="J870" s="159">
        <f t="shared" si="160"/>
        <v>8663</v>
      </c>
      <c r="K870" s="159">
        <f t="shared" si="161"/>
        <v>6548</v>
      </c>
      <c r="L870" s="159">
        <f t="shared" si="162"/>
        <v>2209</v>
      </c>
      <c r="M870" s="159">
        <f t="shared" si="163"/>
        <v>2603</v>
      </c>
      <c r="N870" s="159">
        <f t="shared" si="164"/>
        <v>5108</v>
      </c>
      <c r="O870" s="159">
        <f t="shared" si="165"/>
        <v>823</v>
      </c>
      <c r="P870" s="159">
        <f t="shared" si="166"/>
        <v>1704</v>
      </c>
      <c r="Q870" s="159">
        <f t="shared" si="167"/>
        <v>1946</v>
      </c>
      <c r="R870" s="379">
        <f t="shared" si="168"/>
        <v>301577.34390391823</v>
      </c>
      <c r="S870" s="168"/>
      <c r="AC870" s="375" t="s">
        <v>12</v>
      </c>
      <c r="AD870" s="159">
        <f t="shared" si="169"/>
        <v>8593</v>
      </c>
      <c r="AE870" s="159">
        <f t="shared" si="170"/>
        <v>1028</v>
      </c>
      <c r="AF870" s="159">
        <f t="shared" si="171"/>
        <v>1077</v>
      </c>
      <c r="AG870" s="159">
        <f t="shared" si="172"/>
        <v>1778</v>
      </c>
      <c r="AH870" s="159">
        <f t="shared" si="173"/>
        <v>103</v>
      </c>
      <c r="AI870" s="159">
        <f t="shared" si="174"/>
        <v>486</v>
      </c>
      <c r="AJ870" s="159">
        <f t="shared" si="175"/>
        <v>114</v>
      </c>
      <c r="AK870" s="159">
        <f t="shared" si="176"/>
        <v>152</v>
      </c>
      <c r="AL870" s="159">
        <f t="shared" si="177"/>
        <v>115</v>
      </c>
      <c r="AM870" s="159">
        <f t="shared" si="178"/>
        <v>39</v>
      </c>
      <c r="AN870" s="159">
        <f t="shared" si="179"/>
        <v>46</v>
      </c>
      <c r="AO870" s="159">
        <f t="shared" si="180"/>
        <v>89</v>
      </c>
      <c r="AP870" s="159">
        <f t="shared" si="181"/>
        <v>14</v>
      </c>
      <c r="AQ870" s="159">
        <f t="shared" si="182"/>
        <v>30</v>
      </c>
      <c r="AR870" s="159">
        <f t="shared" si="183"/>
        <v>34</v>
      </c>
      <c r="AS870" s="374">
        <f t="shared" si="184"/>
        <v>13698</v>
      </c>
    </row>
    <row r="871" spans="1:45" ht="15.75" customHeight="1" x14ac:dyDescent="0.3">
      <c r="A871" s="365" t="s">
        <v>13</v>
      </c>
      <c r="B871" s="159">
        <f t="shared" si="152"/>
        <v>175605</v>
      </c>
      <c r="C871" s="159">
        <f t="shared" si="153"/>
        <v>22335</v>
      </c>
      <c r="D871" s="159">
        <f t="shared" si="154"/>
        <v>23382</v>
      </c>
      <c r="E871" s="159">
        <f t="shared" si="155"/>
        <v>38281</v>
      </c>
      <c r="F871" s="159">
        <f t="shared" si="156"/>
        <v>330.62126720332429</v>
      </c>
      <c r="G871" s="159">
        <f t="shared" si="157"/>
        <v>-1537.7830896759624</v>
      </c>
      <c r="H871" s="159">
        <f t="shared" si="158"/>
        <v>12866</v>
      </c>
      <c r="I871" s="159">
        <f t="shared" si="159"/>
        <v>6553</v>
      </c>
      <c r="J871" s="159">
        <f t="shared" si="160"/>
        <v>8845</v>
      </c>
      <c r="K871" s="159">
        <f t="shared" si="161"/>
        <v>6282</v>
      </c>
      <c r="L871" s="159">
        <f t="shared" si="162"/>
        <v>2281</v>
      </c>
      <c r="M871" s="159">
        <f t="shared" si="163"/>
        <v>2687</v>
      </c>
      <c r="N871" s="159">
        <f t="shared" si="164"/>
        <v>5363</v>
      </c>
      <c r="O871" s="159">
        <f t="shared" si="165"/>
        <v>805</v>
      </c>
      <c r="P871" s="159">
        <f t="shared" si="166"/>
        <v>1972</v>
      </c>
      <c r="Q871" s="159">
        <f t="shared" si="167"/>
        <v>1903</v>
      </c>
      <c r="R871" s="379">
        <f t="shared" si="168"/>
        <v>307952.83817752736</v>
      </c>
      <c r="S871" s="168"/>
      <c r="AC871" s="375" t="s">
        <v>13</v>
      </c>
      <c r="AD871" s="159">
        <f t="shared" si="169"/>
        <v>8868</v>
      </c>
      <c r="AE871" s="159">
        <f t="shared" si="170"/>
        <v>1061</v>
      </c>
      <c r="AF871" s="159">
        <f t="shared" si="171"/>
        <v>1111</v>
      </c>
      <c r="AG871" s="159">
        <f t="shared" si="172"/>
        <v>1818</v>
      </c>
      <c r="AH871" s="159">
        <f t="shared" si="173"/>
        <v>16</v>
      </c>
      <c r="AI871" s="159">
        <f t="shared" si="174"/>
        <v>547</v>
      </c>
      <c r="AJ871" s="159">
        <f t="shared" si="175"/>
        <v>115</v>
      </c>
      <c r="AK871" s="159">
        <f t="shared" si="176"/>
        <v>155</v>
      </c>
      <c r="AL871" s="159">
        <f t="shared" si="177"/>
        <v>110</v>
      </c>
      <c r="AM871" s="159">
        <f t="shared" si="178"/>
        <v>40</v>
      </c>
      <c r="AN871" s="159">
        <f t="shared" si="179"/>
        <v>47</v>
      </c>
      <c r="AO871" s="159">
        <f t="shared" si="180"/>
        <v>94</v>
      </c>
      <c r="AP871" s="159">
        <f t="shared" si="181"/>
        <v>14</v>
      </c>
      <c r="AQ871" s="159">
        <f t="shared" si="182"/>
        <v>35</v>
      </c>
      <c r="AR871" s="159">
        <f t="shared" si="183"/>
        <v>33</v>
      </c>
      <c r="AS871" s="374">
        <f t="shared" si="184"/>
        <v>14064</v>
      </c>
    </row>
    <row r="872" spans="1:45" ht="15.75" customHeight="1" x14ac:dyDescent="0.3">
      <c r="A872" s="365" t="s">
        <v>14</v>
      </c>
      <c r="B872" s="159">
        <f t="shared" si="152"/>
        <v>129518</v>
      </c>
      <c r="C872" s="159">
        <f t="shared" si="153"/>
        <v>16460</v>
      </c>
      <c r="D872" s="159">
        <f t="shared" si="154"/>
        <v>17219</v>
      </c>
      <c r="E872" s="159">
        <f t="shared" si="155"/>
        <v>27716</v>
      </c>
      <c r="F872" s="159">
        <f t="shared" si="156"/>
        <v>0</v>
      </c>
      <c r="G872" s="159">
        <f t="shared" si="157"/>
        <v>-8744.6346646571255</v>
      </c>
      <c r="H872" s="159">
        <f t="shared" si="158"/>
        <v>14877</v>
      </c>
      <c r="I872" s="159">
        <f t="shared" si="159"/>
        <v>7097</v>
      </c>
      <c r="J872" s="159">
        <f t="shared" si="160"/>
        <v>7023</v>
      </c>
      <c r="K872" s="159">
        <f t="shared" si="161"/>
        <v>5306</v>
      </c>
      <c r="L872" s="159">
        <f t="shared" si="162"/>
        <v>1849</v>
      </c>
      <c r="M872" s="159">
        <f t="shared" si="163"/>
        <v>2176</v>
      </c>
      <c r="N872" s="159">
        <f t="shared" si="164"/>
        <v>4115</v>
      </c>
      <c r="O872" s="159">
        <f t="shared" si="165"/>
        <v>847</v>
      </c>
      <c r="P872" s="159">
        <f t="shared" si="166"/>
        <v>2032</v>
      </c>
      <c r="Q872" s="159">
        <f t="shared" si="167"/>
        <v>2002</v>
      </c>
      <c r="R872" s="379">
        <f t="shared" si="168"/>
        <v>229492.36533534288</v>
      </c>
      <c r="S872" s="168"/>
      <c r="AC872" s="375" t="s">
        <v>14</v>
      </c>
      <c r="AD872" s="159">
        <f t="shared" si="169"/>
        <v>6541</v>
      </c>
      <c r="AE872" s="159">
        <f t="shared" si="170"/>
        <v>782</v>
      </c>
      <c r="AF872" s="159">
        <f t="shared" si="171"/>
        <v>818</v>
      </c>
      <c r="AG872" s="159">
        <f t="shared" si="172"/>
        <v>1317</v>
      </c>
      <c r="AH872" s="159">
        <f t="shared" si="173"/>
        <v>0</v>
      </c>
      <c r="AI872" s="159">
        <f t="shared" si="174"/>
        <v>632</v>
      </c>
      <c r="AJ872" s="159">
        <f t="shared" si="175"/>
        <v>124</v>
      </c>
      <c r="AK872" s="159">
        <f t="shared" si="176"/>
        <v>123</v>
      </c>
      <c r="AL872" s="159">
        <f t="shared" si="177"/>
        <v>93</v>
      </c>
      <c r="AM872" s="159">
        <f t="shared" si="178"/>
        <v>32</v>
      </c>
      <c r="AN872" s="159">
        <f t="shared" si="179"/>
        <v>38</v>
      </c>
      <c r="AO872" s="159">
        <f t="shared" si="180"/>
        <v>72</v>
      </c>
      <c r="AP872" s="159">
        <f t="shared" si="181"/>
        <v>15</v>
      </c>
      <c r="AQ872" s="159">
        <f t="shared" si="182"/>
        <v>36</v>
      </c>
      <c r="AR872" s="159">
        <f t="shared" si="183"/>
        <v>35</v>
      </c>
      <c r="AS872" s="374">
        <f t="shared" si="184"/>
        <v>10658</v>
      </c>
    </row>
    <row r="873" spans="1:45" ht="15.75" customHeight="1" x14ac:dyDescent="0.3">
      <c r="A873" s="365" t="s">
        <v>16</v>
      </c>
      <c r="B873" s="159">
        <f t="shared" si="152"/>
        <v>91195</v>
      </c>
      <c r="C873" s="159">
        <f t="shared" si="153"/>
        <v>11575</v>
      </c>
      <c r="D873" s="159">
        <f t="shared" si="154"/>
        <v>12094</v>
      </c>
      <c r="E873" s="159">
        <f t="shared" si="155"/>
        <v>18811</v>
      </c>
      <c r="F873" s="159">
        <f t="shared" si="156"/>
        <v>0</v>
      </c>
      <c r="G873" s="159">
        <f t="shared" si="157"/>
        <v>-11355.388337174203</v>
      </c>
      <c r="H873" s="159">
        <f t="shared" si="158"/>
        <v>13124</v>
      </c>
      <c r="I873" s="159">
        <f t="shared" si="159"/>
        <v>8049</v>
      </c>
      <c r="J873" s="159">
        <f t="shared" si="160"/>
        <v>7729</v>
      </c>
      <c r="K873" s="159">
        <f t="shared" si="161"/>
        <v>5800</v>
      </c>
      <c r="L873" s="159">
        <f t="shared" si="162"/>
        <v>1760</v>
      </c>
      <c r="M873" s="159">
        <f t="shared" si="163"/>
        <v>2072</v>
      </c>
      <c r="N873" s="159">
        <f t="shared" si="164"/>
        <v>3739</v>
      </c>
      <c r="O873" s="159">
        <f t="shared" si="165"/>
        <v>853</v>
      </c>
      <c r="P873" s="159">
        <f t="shared" si="166"/>
        <v>2144</v>
      </c>
      <c r="Q873" s="159">
        <f t="shared" si="167"/>
        <v>1995</v>
      </c>
      <c r="R873" s="379">
        <f t="shared" si="168"/>
        <v>169584.6116628258</v>
      </c>
      <c r="S873" s="168"/>
      <c r="AC873" s="375" t="s">
        <v>16</v>
      </c>
      <c r="AD873" s="159">
        <f t="shared" si="169"/>
        <v>4605</v>
      </c>
      <c r="AE873" s="159">
        <f t="shared" si="170"/>
        <v>550</v>
      </c>
      <c r="AF873" s="159">
        <f t="shared" si="171"/>
        <v>574</v>
      </c>
      <c r="AG873" s="159">
        <f t="shared" si="172"/>
        <v>894</v>
      </c>
      <c r="AH873" s="159">
        <f t="shared" si="173"/>
        <v>0</v>
      </c>
      <c r="AI873" s="159">
        <f t="shared" si="174"/>
        <v>558</v>
      </c>
      <c r="AJ873" s="159">
        <f t="shared" si="175"/>
        <v>141</v>
      </c>
      <c r="AK873" s="159">
        <f t="shared" si="176"/>
        <v>135</v>
      </c>
      <c r="AL873" s="159">
        <f t="shared" si="177"/>
        <v>102</v>
      </c>
      <c r="AM873" s="159">
        <f t="shared" si="178"/>
        <v>31</v>
      </c>
      <c r="AN873" s="159">
        <f t="shared" si="179"/>
        <v>36</v>
      </c>
      <c r="AO873" s="159">
        <f t="shared" si="180"/>
        <v>65</v>
      </c>
      <c r="AP873" s="159">
        <f t="shared" si="181"/>
        <v>15</v>
      </c>
      <c r="AQ873" s="159">
        <f t="shared" si="182"/>
        <v>38</v>
      </c>
      <c r="AR873" s="159">
        <f t="shared" si="183"/>
        <v>35</v>
      </c>
      <c r="AS873" s="374">
        <f t="shared" si="184"/>
        <v>7779</v>
      </c>
    </row>
    <row r="874" spans="1:45" ht="15.75" customHeight="1" x14ac:dyDescent="0.3">
      <c r="A874" s="365" t="s">
        <v>17</v>
      </c>
      <c r="B874" s="159">
        <f t="shared" si="152"/>
        <v>97332</v>
      </c>
      <c r="C874" s="159">
        <f t="shared" si="153"/>
        <v>12367</v>
      </c>
      <c r="D874" s="159">
        <f t="shared" si="154"/>
        <v>12935</v>
      </c>
      <c r="E874" s="159">
        <f t="shared" si="155"/>
        <v>20359</v>
      </c>
      <c r="F874" s="159">
        <f t="shared" si="156"/>
        <v>0</v>
      </c>
      <c r="G874" s="159">
        <f t="shared" si="157"/>
        <v>-7114.1552424432903</v>
      </c>
      <c r="H874" s="159">
        <f t="shared" si="158"/>
        <v>12133</v>
      </c>
      <c r="I874" s="159">
        <f t="shared" si="159"/>
        <v>7986</v>
      </c>
      <c r="J874" s="159">
        <f t="shared" si="160"/>
        <v>8167</v>
      </c>
      <c r="K874" s="159">
        <f t="shared" si="161"/>
        <v>6603</v>
      </c>
      <c r="L874" s="159">
        <f t="shared" si="162"/>
        <v>1957</v>
      </c>
      <c r="M874" s="159">
        <f t="shared" si="163"/>
        <v>2305</v>
      </c>
      <c r="N874" s="159">
        <f t="shared" si="164"/>
        <v>4309</v>
      </c>
      <c r="O874" s="159">
        <f t="shared" si="165"/>
        <v>740</v>
      </c>
      <c r="P874" s="159">
        <f t="shared" si="166"/>
        <v>2006</v>
      </c>
      <c r="Q874" s="159">
        <f t="shared" si="167"/>
        <v>1750</v>
      </c>
      <c r="R874" s="379">
        <f t="shared" si="168"/>
        <v>183834.84475755671</v>
      </c>
      <c r="S874" s="168"/>
      <c r="AC874" s="375" t="s">
        <v>17</v>
      </c>
      <c r="AD874" s="159">
        <f t="shared" si="169"/>
        <v>4915</v>
      </c>
      <c r="AE874" s="159">
        <f t="shared" si="170"/>
        <v>587</v>
      </c>
      <c r="AF874" s="159">
        <f t="shared" si="171"/>
        <v>614</v>
      </c>
      <c r="AG874" s="159">
        <f t="shared" si="172"/>
        <v>967</v>
      </c>
      <c r="AH874" s="159">
        <f t="shared" si="173"/>
        <v>0</v>
      </c>
      <c r="AI874" s="159">
        <f t="shared" si="174"/>
        <v>516</v>
      </c>
      <c r="AJ874" s="159">
        <f t="shared" si="175"/>
        <v>140</v>
      </c>
      <c r="AK874" s="159">
        <f t="shared" si="176"/>
        <v>143</v>
      </c>
      <c r="AL874" s="159">
        <f t="shared" si="177"/>
        <v>116</v>
      </c>
      <c r="AM874" s="159">
        <f t="shared" si="178"/>
        <v>34</v>
      </c>
      <c r="AN874" s="159">
        <f t="shared" si="179"/>
        <v>40</v>
      </c>
      <c r="AO874" s="159">
        <f t="shared" si="180"/>
        <v>75</v>
      </c>
      <c r="AP874" s="159">
        <f t="shared" si="181"/>
        <v>13</v>
      </c>
      <c r="AQ874" s="159">
        <f t="shared" si="182"/>
        <v>35</v>
      </c>
      <c r="AR874" s="159">
        <f t="shared" si="183"/>
        <v>31</v>
      </c>
      <c r="AS874" s="374">
        <f t="shared" si="184"/>
        <v>8226</v>
      </c>
    </row>
    <row r="875" spans="1:45" ht="15.75" customHeight="1" x14ac:dyDescent="0.3">
      <c r="A875" s="365" t="s">
        <v>18</v>
      </c>
      <c r="B875" s="159">
        <f t="shared" si="152"/>
        <v>133928</v>
      </c>
      <c r="C875" s="159">
        <f t="shared" si="153"/>
        <v>17035</v>
      </c>
      <c r="D875" s="159">
        <f t="shared" si="154"/>
        <v>17802</v>
      </c>
      <c r="E875" s="159">
        <f t="shared" si="155"/>
        <v>27881</v>
      </c>
      <c r="F875" s="159">
        <f t="shared" si="156"/>
        <v>4758.2840820566125</v>
      </c>
      <c r="G875" s="159">
        <f t="shared" si="157"/>
        <v>-568.0566691785981</v>
      </c>
      <c r="H875" s="159">
        <f t="shared" si="158"/>
        <v>7072</v>
      </c>
      <c r="I875" s="159">
        <f t="shared" si="159"/>
        <v>5040</v>
      </c>
      <c r="J875" s="159">
        <f t="shared" si="160"/>
        <v>6164</v>
      </c>
      <c r="K875" s="159">
        <f t="shared" si="161"/>
        <v>5849</v>
      </c>
      <c r="L875" s="159">
        <f t="shared" si="162"/>
        <v>1858</v>
      </c>
      <c r="M875" s="159">
        <f t="shared" si="163"/>
        <v>2188</v>
      </c>
      <c r="N875" s="159">
        <f t="shared" si="164"/>
        <v>4263</v>
      </c>
      <c r="O875" s="159">
        <f t="shared" si="165"/>
        <v>697</v>
      </c>
      <c r="P875" s="159">
        <f t="shared" si="166"/>
        <v>1733</v>
      </c>
      <c r="Q875" s="159">
        <f t="shared" si="167"/>
        <v>1649</v>
      </c>
      <c r="R875" s="379">
        <f t="shared" si="168"/>
        <v>237349.22741287801</v>
      </c>
      <c r="S875" s="168"/>
      <c r="AC875" s="375" t="s">
        <v>18</v>
      </c>
      <c r="AD875" s="159">
        <f t="shared" si="169"/>
        <v>6763</v>
      </c>
      <c r="AE875" s="159">
        <f t="shared" si="170"/>
        <v>809</v>
      </c>
      <c r="AF875" s="159">
        <f t="shared" si="171"/>
        <v>846</v>
      </c>
      <c r="AG875" s="159">
        <f t="shared" si="172"/>
        <v>1324</v>
      </c>
      <c r="AH875" s="159">
        <f t="shared" si="173"/>
        <v>226</v>
      </c>
      <c r="AI875" s="159">
        <f t="shared" si="174"/>
        <v>301</v>
      </c>
      <c r="AJ875" s="159">
        <f t="shared" si="175"/>
        <v>88</v>
      </c>
      <c r="AK875" s="159">
        <f t="shared" si="176"/>
        <v>108</v>
      </c>
      <c r="AL875" s="159">
        <f t="shared" si="177"/>
        <v>102</v>
      </c>
      <c r="AM875" s="159">
        <f t="shared" si="178"/>
        <v>33</v>
      </c>
      <c r="AN875" s="159">
        <f t="shared" si="179"/>
        <v>38</v>
      </c>
      <c r="AO875" s="159">
        <f t="shared" si="180"/>
        <v>75</v>
      </c>
      <c r="AP875" s="159">
        <f t="shared" si="181"/>
        <v>12</v>
      </c>
      <c r="AQ875" s="159">
        <f t="shared" si="182"/>
        <v>30</v>
      </c>
      <c r="AR875" s="159">
        <f t="shared" si="183"/>
        <v>29</v>
      </c>
      <c r="AS875" s="374">
        <f t="shared" si="184"/>
        <v>10784</v>
      </c>
    </row>
    <row r="876" spans="1:45" ht="15.75" customHeight="1" x14ac:dyDescent="0.3">
      <c r="A876" s="365" t="s">
        <v>20</v>
      </c>
      <c r="B876" s="159">
        <f t="shared" si="152"/>
        <v>114587</v>
      </c>
      <c r="C876" s="159">
        <f t="shared" si="153"/>
        <v>14573</v>
      </c>
      <c r="D876" s="159">
        <f t="shared" si="154"/>
        <v>15251</v>
      </c>
      <c r="E876" s="159">
        <f t="shared" si="155"/>
        <v>23257</v>
      </c>
      <c r="F876" s="159">
        <f t="shared" si="156"/>
        <v>905.4141781355479</v>
      </c>
      <c r="G876" s="159">
        <f t="shared" si="157"/>
        <v>0</v>
      </c>
      <c r="H876" s="159">
        <f t="shared" si="158"/>
        <v>6269</v>
      </c>
      <c r="I876" s="159">
        <f t="shared" si="159"/>
        <v>3151</v>
      </c>
      <c r="J876" s="159">
        <f t="shared" si="160"/>
        <v>4184</v>
      </c>
      <c r="K876" s="159">
        <f t="shared" si="161"/>
        <v>3946</v>
      </c>
      <c r="L876" s="159">
        <f t="shared" si="162"/>
        <v>1345</v>
      </c>
      <c r="M876" s="159">
        <f t="shared" si="163"/>
        <v>1584</v>
      </c>
      <c r="N876" s="159">
        <f t="shared" si="164"/>
        <v>3145</v>
      </c>
      <c r="O876" s="159">
        <f t="shared" si="165"/>
        <v>615</v>
      </c>
      <c r="P876" s="159">
        <f t="shared" si="166"/>
        <v>1536</v>
      </c>
      <c r="Q876" s="159">
        <f t="shared" si="167"/>
        <v>1454</v>
      </c>
      <c r="R876" s="379">
        <f t="shared" si="168"/>
        <v>195802.41417813554</v>
      </c>
      <c r="S876" s="168"/>
      <c r="AC876" s="375" t="s">
        <v>20</v>
      </c>
      <c r="AD876" s="159">
        <f t="shared" si="169"/>
        <v>5787</v>
      </c>
      <c r="AE876" s="159">
        <f t="shared" si="170"/>
        <v>692</v>
      </c>
      <c r="AF876" s="159">
        <f t="shared" si="171"/>
        <v>724</v>
      </c>
      <c r="AG876" s="159">
        <f t="shared" si="172"/>
        <v>1105</v>
      </c>
      <c r="AH876" s="159">
        <f t="shared" si="173"/>
        <v>43</v>
      </c>
      <c r="AI876" s="159">
        <f t="shared" si="174"/>
        <v>266</v>
      </c>
      <c r="AJ876" s="159">
        <f t="shared" si="175"/>
        <v>55</v>
      </c>
      <c r="AK876" s="159">
        <f t="shared" si="176"/>
        <v>73</v>
      </c>
      <c r="AL876" s="159">
        <f t="shared" si="177"/>
        <v>69</v>
      </c>
      <c r="AM876" s="159">
        <f t="shared" si="178"/>
        <v>24</v>
      </c>
      <c r="AN876" s="159">
        <f t="shared" si="179"/>
        <v>28</v>
      </c>
      <c r="AO876" s="159">
        <f t="shared" si="180"/>
        <v>55</v>
      </c>
      <c r="AP876" s="159">
        <f t="shared" si="181"/>
        <v>11</v>
      </c>
      <c r="AQ876" s="159">
        <f t="shared" si="182"/>
        <v>27</v>
      </c>
      <c r="AR876" s="159">
        <f t="shared" si="183"/>
        <v>25</v>
      </c>
      <c r="AS876" s="374">
        <f t="shared" si="184"/>
        <v>8984</v>
      </c>
    </row>
    <row r="877" spans="1:45" ht="15.75" customHeight="1" x14ac:dyDescent="0.3">
      <c r="A877" s="365" t="s">
        <v>21</v>
      </c>
      <c r="B877" s="159">
        <f t="shared" si="152"/>
        <v>129924</v>
      </c>
      <c r="C877" s="159">
        <f t="shared" si="153"/>
        <v>16534</v>
      </c>
      <c r="D877" s="159">
        <f t="shared" si="154"/>
        <v>17318</v>
      </c>
      <c r="E877" s="159">
        <f t="shared" si="155"/>
        <v>27454</v>
      </c>
      <c r="F877" s="159">
        <f t="shared" si="156"/>
        <v>9193.040768631523</v>
      </c>
      <c r="G877" s="159">
        <f t="shared" si="157"/>
        <v>0</v>
      </c>
      <c r="H877" s="159">
        <f t="shared" si="158"/>
        <v>4268</v>
      </c>
      <c r="I877" s="159">
        <f t="shared" si="159"/>
        <v>1800</v>
      </c>
      <c r="J877" s="159">
        <f t="shared" si="160"/>
        <v>2798</v>
      </c>
      <c r="K877" s="159">
        <f t="shared" si="161"/>
        <v>2799</v>
      </c>
      <c r="L877" s="159">
        <f t="shared" si="162"/>
        <v>885</v>
      </c>
      <c r="M877" s="159">
        <f t="shared" si="163"/>
        <v>1041</v>
      </c>
      <c r="N877" s="159">
        <f t="shared" si="164"/>
        <v>2127</v>
      </c>
      <c r="O877" s="159">
        <f t="shared" si="165"/>
        <v>428</v>
      </c>
      <c r="P877" s="159">
        <f t="shared" si="166"/>
        <v>1501</v>
      </c>
      <c r="Q877" s="159">
        <f t="shared" si="167"/>
        <v>1013</v>
      </c>
      <c r="R877" s="379">
        <f t="shared" si="168"/>
        <v>219083.04076863153</v>
      </c>
      <c r="S877" s="168"/>
      <c r="AC877" s="375" t="s">
        <v>21</v>
      </c>
      <c r="AD877" s="159">
        <f t="shared" si="169"/>
        <v>6561</v>
      </c>
      <c r="AE877" s="159">
        <f t="shared" si="170"/>
        <v>785</v>
      </c>
      <c r="AF877" s="159">
        <f t="shared" si="171"/>
        <v>823</v>
      </c>
      <c r="AG877" s="159">
        <f t="shared" si="172"/>
        <v>1304</v>
      </c>
      <c r="AH877" s="159">
        <f t="shared" si="173"/>
        <v>437</v>
      </c>
      <c r="AI877" s="159">
        <f t="shared" si="174"/>
        <v>181</v>
      </c>
      <c r="AJ877" s="159">
        <f t="shared" si="175"/>
        <v>32</v>
      </c>
      <c r="AK877" s="159">
        <f t="shared" si="176"/>
        <v>49</v>
      </c>
      <c r="AL877" s="159">
        <f t="shared" si="177"/>
        <v>49</v>
      </c>
      <c r="AM877" s="159">
        <f t="shared" si="178"/>
        <v>15</v>
      </c>
      <c r="AN877" s="159">
        <f t="shared" si="179"/>
        <v>18</v>
      </c>
      <c r="AO877" s="159">
        <f t="shared" si="180"/>
        <v>37</v>
      </c>
      <c r="AP877" s="159">
        <f t="shared" si="181"/>
        <v>7</v>
      </c>
      <c r="AQ877" s="159">
        <f t="shared" si="182"/>
        <v>26</v>
      </c>
      <c r="AR877" s="159">
        <f t="shared" si="183"/>
        <v>18</v>
      </c>
      <c r="AS877" s="374">
        <f t="shared" si="184"/>
        <v>10342</v>
      </c>
    </row>
    <row r="878" spans="1:45" ht="15.75" customHeight="1" x14ac:dyDescent="0.3">
      <c r="A878" s="365" t="s">
        <v>22</v>
      </c>
      <c r="B878" s="159">
        <f t="shared" si="152"/>
        <v>108865</v>
      </c>
      <c r="C878" s="159">
        <f t="shared" si="153"/>
        <v>13856</v>
      </c>
      <c r="D878" s="159">
        <f t="shared" si="154"/>
        <v>14511</v>
      </c>
      <c r="E878" s="159">
        <f t="shared" si="155"/>
        <v>24169</v>
      </c>
      <c r="F878" s="159">
        <f t="shared" si="156"/>
        <v>7802.1231905945515</v>
      </c>
      <c r="G878" s="159">
        <f t="shared" si="157"/>
        <v>0</v>
      </c>
      <c r="H878" s="159">
        <f t="shared" si="158"/>
        <v>4602</v>
      </c>
      <c r="I878" s="159">
        <f t="shared" si="159"/>
        <v>3091</v>
      </c>
      <c r="J878" s="159">
        <f t="shared" si="160"/>
        <v>4662</v>
      </c>
      <c r="K878" s="159">
        <f t="shared" si="161"/>
        <v>4700</v>
      </c>
      <c r="L878" s="159">
        <f t="shared" si="162"/>
        <v>1689</v>
      </c>
      <c r="M878" s="159">
        <f t="shared" si="163"/>
        <v>1991</v>
      </c>
      <c r="N878" s="159">
        <f t="shared" si="164"/>
        <v>4024</v>
      </c>
      <c r="O878" s="159">
        <f t="shared" si="165"/>
        <v>610</v>
      </c>
      <c r="P878" s="159">
        <f t="shared" si="166"/>
        <v>347</v>
      </c>
      <c r="Q878" s="159">
        <f t="shared" si="167"/>
        <v>1445</v>
      </c>
      <c r="R878" s="379">
        <f t="shared" si="168"/>
        <v>196364.12319059455</v>
      </c>
      <c r="S878" s="168"/>
      <c r="AC878" s="375" t="s">
        <v>22</v>
      </c>
      <c r="AD878" s="159">
        <f t="shared" si="169"/>
        <v>5498</v>
      </c>
      <c r="AE878" s="159">
        <f t="shared" si="170"/>
        <v>658</v>
      </c>
      <c r="AF878" s="159">
        <f t="shared" si="171"/>
        <v>689</v>
      </c>
      <c r="AG878" s="159">
        <f t="shared" si="172"/>
        <v>1148</v>
      </c>
      <c r="AH878" s="159">
        <f t="shared" si="173"/>
        <v>371</v>
      </c>
      <c r="AI878" s="159">
        <f t="shared" si="174"/>
        <v>196</v>
      </c>
      <c r="AJ878" s="159">
        <f t="shared" si="175"/>
        <v>54</v>
      </c>
      <c r="AK878" s="159">
        <f t="shared" si="176"/>
        <v>82</v>
      </c>
      <c r="AL878" s="159">
        <f t="shared" si="177"/>
        <v>82</v>
      </c>
      <c r="AM878" s="159">
        <f t="shared" si="178"/>
        <v>30</v>
      </c>
      <c r="AN878" s="159">
        <f t="shared" si="179"/>
        <v>35</v>
      </c>
      <c r="AO878" s="159">
        <f t="shared" si="180"/>
        <v>70</v>
      </c>
      <c r="AP878" s="159">
        <f t="shared" si="181"/>
        <v>11</v>
      </c>
      <c r="AQ878" s="159">
        <f t="shared" si="182"/>
        <v>6</v>
      </c>
      <c r="AR878" s="159">
        <f t="shared" si="183"/>
        <v>25</v>
      </c>
      <c r="AS878" s="374">
        <f t="shared" si="184"/>
        <v>8955</v>
      </c>
    </row>
    <row r="879" spans="1:45" ht="15.75" customHeight="1" x14ac:dyDescent="0.3">
      <c r="A879" s="325"/>
      <c r="B879" s="159"/>
      <c r="C879" s="159"/>
      <c r="D879" s="159"/>
      <c r="E879" s="159"/>
      <c r="F879" s="159"/>
      <c r="G879" s="159"/>
      <c r="H879" s="159"/>
      <c r="I879" s="159"/>
      <c r="J879" s="159"/>
      <c r="K879" s="159"/>
      <c r="L879" s="159"/>
      <c r="M879" s="159"/>
      <c r="N879" s="159"/>
      <c r="O879" s="159"/>
      <c r="P879" s="159"/>
      <c r="Q879" s="159"/>
      <c r="R879" s="374"/>
      <c r="S879" s="168"/>
      <c r="AC879" s="306"/>
      <c r="AD879" s="159"/>
      <c r="AE879" s="159"/>
      <c r="AF879" s="159"/>
      <c r="AG879" s="159"/>
      <c r="AH879" s="159"/>
      <c r="AI879" s="159"/>
      <c r="AJ879" s="159"/>
      <c r="AK879" s="159"/>
      <c r="AL879" s="159"/>
      <c r="AM879" s="159"/>
      <c r="AN879" s="159"/>
      <c r="AO879" s="159"/>
      <c r="AP879" s="159"/>
      <c r="AQ879" s="159"/>
      <c r="AR879" s="159"/>
      <c r="AS879" s="374"/>
    </row>
    <row r="880" spans="1:45" ht="15.75" customHeight="1" thickBot="1" x14ac:dyDescent="0.35">
      <c r="A880" s="325" t="s">
        <v>422</v>
      </c>
      <c r="B880" s="159">
        <f>SUM(B867:B878)</f>
        <v>1522263</v>
      </c>
      <c r="C880" s="159">
        <f t="shared" ref="C880:R880" si="185">SUM(C867:C878)</f>
        <v>193634</v>
      </c>
      <c r="D880" s="159">
        <f t="shared" si="185"/>
        <v>202630</v>
      </c>
      <c r="E880" s="159">
        <f t="shared" si="185"/>
        <v>328330</v>
      </c>
      <c r="F880" s="159">
        <f t="shared" si="185"/>
        <v>58670.30699073946</v>
      </c>
      <c r="G880" s="159">
        <f t="shared" si="185"/>
        <v>-33330.304355325003</v>
      </c>
      <c r="H880" s="159">
        <f t="shared" si="185"/>
        <v>103216</v>
      </c>
      <c r="I880" s="159">
        <f t="shared" si="185"/>
        <v>59694</v>
      </c>
      <c r="J880" s="159">
        <f t="shared" si="185"/>
        <v>72170</v>
      </c>
      <c r="K880" s="159">
        <f t="shared" si="185"/>
        <v>60837</v>
      </c>
      <c r="L880" s="159">
        <f t="shared" si="185"/>
        <v>19971</v>
      </c>
      <c r="M880" s="159">
        <f t="shared" si="185"/>
        <v>23521</v>
      </c>
      <c r="N880" s="159">
        <f t="shared" si="185"/>
        <v>46354</v>
      </c>
      <c r="O880" s="159">
        <f t="shared" si="185"/>
        <v>8463</v>
      </c>
      <c r="P880" s="159">
        <f t="shared" si="185"/>
        <v>16149</v>
      </c>
      <c r="Q880" s="159">
        <f t="shared" si="185"/>
        <v>19997</v>
      </c>
      <c r="R880" s="381">
        <f t="shared" si="185"/>
        <v>2702569.0026354142</v>
      </c>
      <c r="S880" s="168"/>
      <c r="AC880" s="382" t="s">
        <v>422</v>
      </c>
      <c r="AD880" s="327">
        <f>SUM(AD867:AD878)</f>
        <v>76873</v>
      </c>
      <c r="AE880" s="327">
        <f t="shared" ref="AE880:AS880" si="186">SUM(AE867:AE878)</f>
        <v>9196</v>
      </c>
      <c r="AF880" s="327">
        <f t="shared" si="186"/>
        <v>9625</v>
      </c>
      <c r="AG880" s="327">
        <f t="shared" si="186"/>
        <v>15597</v>
      </c>
      <c r="AH880" s="327">
        <f t="shared" si="186"/>
        <v>2788</v>
      </c>
      <c r="AI880" s="327">
        <f t="shared" si="186"/>
        <v>4387</v>
      </c>
      <c r="AJ880" s="327">
        <f t="shared" si="186"/>
        <v>1045</v>
      </c>
      <c r="AK880" s="327">
        <f t="shared" si="186"/>
        <v>1264</v>
      </c>
      <c r="AL880" s="327">
        <f t="shared" si="186"/>
        <v>1065</v>
      </c>
      <c r="AM880" s="327">
        <f t="shared" si="186"/>
        <v>350</v>
      </c>
      <c r="AN880" s="327">
        <f t="shared" si="186"/>
        <v>411</v>
      </c>
      <c r="AO880" s="327">
        <f t="shared" si="186"/>
        <v>809</v>
      </c>
      <c r="AP880" s="327">
        <f t="shared" si="186"/>
        <v>148</v>
      </c>
      <c r="AQ880" s="327">
        <f t="shared" si="186"/>
        <v>284</v>
      </c>
      <c r="AR880" s="327">
        <f t="shared" si="186"/>
        <v>349</v>
      </c>
      <c r="AS880" s="383">
        <f t="shared" si="186"/>
        <v>124191</v>
      </c>
    </row>
    <row r="881" spans="1:45" ht="16.5" customHeight="1" thickBot="1" x14ac:dyDescent="0.35">
      <c r="A881" s="330" t="s">
        <v>7</v>
      </c>
      <c r="B881" s="327"/>
      <c r="C881" s="327"/>
      <c r="D881" s="327"/>
      <c r="E881" s="327"/>
      <c r="F881" s="327"/>
      <c r="G881" s="327"/>
      <c r="H881" s="327"/>
      <c r="I881" s="327"/>
      <c r="J881" s="327"/>
      <c r="K881" s="327"/>
      <c r="L881" s="327"/>
      <c r="M881" s="327"/>
      <c r="N881" s="327"/>
      <c r="O881" s="327"/>
      <c r="P881" s="327"/>
      <c r="Q881" s="327"/>
      <c r="R881" s="383"/>
      <c r="S881" s="159"/>
    </row>
    <row r="882" spans="1:45" ht="15.75" customHeight="1" x14ac:dyDescent="0.3">
      <c r="A882" s="159"/>
      <c r="B882" s="159"/>
      <c r="C882" s="159"/>
      <c r="D882" s="159"/>
      <c r="E882" s="159"/>
      <c r="F882" s="159"/>
      <c r="G882" s="159"/>
      <c r="H882" s="159"/>
      <c r="I882" s="159"/>
      <c r="J882" s="159"/>
      <c r="K882" s="159"/>
      <c r="L882" s="159"/>
      <c r="M882" s="159"/>
      <c r="N882" s="159"/>
      <c r="O882" s="159"/>
      <c r="P882" s="159"/>
      <c r="Q882" s="159"/>
      <c r="R882" s="159"/>
    </row>
    <row r="883" spans="1:45" ht="15.75" customHeight="1" x14ac:dyDescent="0.3"/>
    <row r="884" spans="1:45" ht="15.75" customHeight="1" thickBot="1" x14ac:dyDescent="0.35"/>
    <row r="885" spans="1:45" ht="15.75" customHeight="1" thickBot="1" x14ac:dyDescent="0.35">
      <c r="B885" s="519" t="s">
        <v>1038</v>
      </c>
      <c r="C885" s="506"/>
      <c r="D885" s="506"/>
      <c r="E885" s="506"/>
      <c r="F885" s="506"/>
      <c r="G885" s="506"/>
      <c r="H885" s="506"/>
      <c r="I885" s="506"/>
      <c r="J885" s="506"/>
      <c r="K885" s="506"/>
      <c r="L885" s="506"/>
      <c r="M885" s="506"/>
      <c r="N885" s="506"/>
      <c r="O885" s="506"/>
      <c r="P885" s="506"/>
      <c r="Q885" s="361" t="str">
        <f>+Q1</f>
        <v xml:space="preserve">PRINTED:  </v>
      </c>
      <c r="R885" s="367">
        <f ca="1">+R1</f>
        <v>44909.46975358796</v>
      </c>
      <c r="S885" s="450"/>
    </row>
    <row r="886" spans="1:45" ht="15.75" customHeight="1" x14ac:dyDescent="0.3">
      <c r="B886" s="520">
        <f>+A5</f>
        <v>2014</v>
      </c>
      <c r="C886" s="509"/>
      <c r="D886" s="509"/>
      <c r="E886" s="509"/>
      <c r="F886" s="509"/>
      <c r="G886" s="509"/>
      <c r="H886" s="509"/>
      <c r="I886" s="509"/>
      <c r="J886" s="509"/>
      <c r="K886" s="509"/>
      <c r="L886" s="509"/>
      <c r="M886" s="509"/>
      <c r="N886" s="509"/>
      <c r="O886" s="509"/>
      <c r="P886" s="509"/>
      <c r="Q886" s="159"/>
      <c r="R886" s="159"/>
      <c r="S886" s="324"/>
      <c r="AC886" s="370"/>
      <c r="AD886" s="506" t="s">
        <v>1039</v>
      </c>
      <c r="AE886" s="517"/>
      <c r="AF886" s="517"/>
      <c r="AG886" s="517"/>
      <c r="AH886" s="517"/>
      <c r="AI886" s="517"/>
      <c r="AJ886" s="517"/>
      <c r="AK886" s="517"/>
      <c r="AL886" s="517"/>
      <c r="AM886" s="517"/>
      <c r="AN886" s="517"/>
      <c r="AO886" s="517"/>
      <c r="AP886" s="517"/>
      <c r="AQ886" s="517"/>
      <c r="AR886" s="361" t="str">
        <f>$Q$1</f>
        <v xml:space="preserve">PRINTED:  </v>
      </c>
      <c r="AS886" s="371">
        <f ca="1">$R$1</f>
        <v>44909.46975358796</v>
      </c>
    </row>
    <row r="887" spans="1:45" ht="15.75" customHeight="1" x14ac:dyDescent="0.3">
      <c r="B887" s="518" t="str">
        <f>+A8</f>
        <v>Revised:  2/10/2015</v>
      </c>
      <c r="C887" s="503"/>
      <c r="D887" s="503"/>
      <c r="E887" s="503"/>
      <c r="F887" s="503"/>
      <c r="G887" s="503"/>
      <c r="H887" s="503"/>
      <c r="I887" s="503"/>
      <c r="J887" s="503"/>
      <c r="K887" s="503"/>
      <c r="L887" s="503"/>
      <c r="M887" s="503"/>
      <c r="N887" s="503"/>
      <c r="O887" s="503"/>
      <c r="P887" s="503"/>
      <c r="Q887" s="159"/>
      <c r="R887" s="159"/>
      <c r="S887" s="324"/>
      <c r="AC887" s="306"/>
      <c r="AD887" s="503" t="str">
        <f>+$A$8</f>
        <v>Revised:  2/10/2015</v>
      </c>
      <c r="AE887" s="516"/>
      <c r="AF887" s="516"/>
      <c r="AG887" s="516"/>
      <c r="AH887" s="516"/>
      <c r="AI887" s="516"/>
      <c r="AJ887" s="516"/>
      <c r="AK887" s="516"/>
      <c r="AL887" s="516"/>
      <c r="AM887" s="516"/>
      <c r="AN887" s="516"/>
      <c r="AO887" s="516"/>
      <c r="AP887" s="516"/>
      <c r="AQ887" s="516"/>
      <c r="AR887" s="365"/>
      <c r="AS887" s="307"/>
    </row>
    <row r="888" spans="1:45" ht="15.75" customHeight="1" thickBot="1" x14ac:dyDescent="0.35">
      <c r="B888" s="521" t="s">
        <v>1040</v>
      </c>
      <c r="C888" s="522"/>
      <c r="D888" s="522"/>
      <c r="E888" s="522"/>
      <c r="F888" s="522"/>
      <c r="G888" s="522"/>
      <c r="H888" s="522"/>
      <c r="I888" s="522"/>
      <c r="J888" s="522"/>
      <c r="K888" s="522"/>
      <c r="L888" s="522"/>
      <c r="M888" s="522"/>
      <c r="N888" s="522"/>
      <c r="O888" s="522"/>
      <c r="P888" s="522"/>
      <c r="Q888" s="159"/>
      <c r="R888" s="159"/>
      <c r="S888" s="324"/>
      <c r="AC888" s="306"/>
      <c r="AD888" s="503" t="s">
        <v>1024</v>
      </c>
      <c r="AE888" s="508"/>
      <c r="AF888" s="508"/>
      <c r="AG888" s="508"/>
      <c r="AH888" s="508"/>
      <c r="AI888" s="508"/>
      <c r="AJ888" s="508"/>
      <c r="AK888" s="508"/>
      <c r="AL888" s="508"/>
      <c r="AM888" s="508"/>
      <c r="AN888" s="508"/>
      <c r="AO888" s="508"/>
      <c r="AP888" s="508"/>
      <c r="AQ888" s="508"/>
      <c r="AS888" s="307"/>
    </row>
    <row r="889" spans="1:45" ht="15.75" customHeight="1" thickBot="1" x14ac:dyDescent="0.35">
      <c r="A889" s="384"/>
      <c r="B889" s="523" t="s">
        <v>1041</v>
      </c>
      <c r="C889" s="524"/>
      <c r="D889" s="524"/>
      <c r="E889" s="524"/>
      <c r="F889" s="525"/>
      <c r="G889" s="523" t="s">
        <v>1042</v>
      </c>
      <c r="H889" s="524"/>
      <c r="I889" s="524"/>
      <c r="J889" s="524"/>
      <c r="K889" s="524"/>
      <c r="L889" s="524"/>
      <c r="M889" s="526" t="s">
        <v>1043</v>
      </c>
      <c r="N889" s="536"/>
      <c r="O889" s="553"/>
      <c r="P889" s="524" t="s">
        <v>1044</v>
      </c>
      <c r="Q889" s="524"/>
      <c r="R889" s="525"/>
      <c r="S889" s="324"/>
      <c r="AC889" s="306"/>
      <c r="AS889" s="307"/>
    </row>
    <row r="890" spans="1:45" ht="15.75" customHeight="1" x14ac:dyDescent="0.3">
      <c r="A890" s="384"/>
      <c r="B890" s="325" t="s">
        <v>428</v>
      </c>
      <c r="C890" s="164"/>
      <c r="D890" s="164" t="s">
        <v>469</v>
      </c>
      <c r="E890" s="164" t="s">
        <v>470</v>
      </c>
      <c r="F890" s="333" t="s">
        <v>1045</v>
      </c>
      <c r="G890" s="325" t="s">
        <v>471</v>
      </c>
      <c r="H890" s="164"/>
      <c r="I890" s="164"/>
      <c r="J890" s="164" t="s">
        <v>472</v>
      </c>
      <c r="K890" s="164" t="s">
        <v>1046</v>
      </c>
      <c r="L890" s="164" t="s">
        <v>1047</v>
      </c>
      <c r="M890" s="537" t="s">
        <v>1148</v>
      </c>
      <c r="N890" s="538"/>
      <c r="O890" s="554"/>
      <c r="P890" s="164" t="s">
        <v>1049</v>
      </c>
      <c r="Q890" s="388" t="s">
        <v>486</v>
      </c>
      <c r="R890" s="389" t="s">
        <v>1050</v>
      </c>
      <c r="S890" s="324"/>
      <c r="AC890" s="306"/>
      <c r="AD890" s="509">
        <f>$A$5</f>
        <v>2014</v>
      </c>
      <c r="AE890" s="508"/>
      <c r="AF890" s="508"/>
      <c r="AG890" s="508"/>
      <c r="AH890" s="508"/>
      <c r="AI890" s="508"/>
      <c r="AJ890" s="508"/>
      <c r="AK890" s="508"/>
      <c r="AL890" s="508"/>
      <c r="AM890" s="508"/>
      <c r="AN890" s="508"/>
      <c r="AO890" s="508"/>
      <c r="AP890" s="508"/>
      <c r="AQ890" s="508"/>
      <c r="AS890" s="307"/>
    </row>
    <row r="891" spans="1:45" ht="15.75" customHeight="1" x14ac:dyDescent="0.3">
      <c r="A891" s="384"/>
      <c r="B891" s="390" t="s">
        <v>1051</v>
      </c>
      <c r="C891" s="391" t="s">
        <v>1052</v>
      </c>
      <c r="D891" s="391" t="s">
        <v>1053</v>
      </c>
      <c r="E891" s="164" t="s">
        <v>442</v>
      </c>
      <c r="F891" s="392" t="s">
        <v>1054</v>
      </c>
      <c r="G891" s="325" t="s">
        <v>429</v>
      </c>
      <c r="H891" s="164" t="s">
        <v>478</v>
      </c>
      <c r="I891" s="164" t="s">
        <v>479</v>
      </c>
      <c r="J891" s="391" t="s">
        <v>1055</v>
      </c>
      <c r="K891" s="164" t="s">
        <v>1034</v>
      </c>
      <c r="L891" s="391" t="s">
        <v>1056</v>
      </c>
      <c r="M891" s="393" t="s">
        <v>1057</v>
      </c>
      <c r="N891" s="385" t="s">
        <v>1058</v>
      </c>
      <c r="O891" s="394" t="s">
        <v>422</v>
      </c>
      <c r="P891" s="164" t="s">
        <v>1061</v>
      </c>
      <c r="Q891" s="164" t="s">
        <v>1062</v>
      </c>
      <c r="R891" s="333" t="s">
        <v>1063</v>
      </c>
      <c r="S891" s="324"/>
      <c r="AC891" s="306"/>
      <c r="AD891" s="503" t="s">
        <v>1029</v>
      </c>
      <c r="AE891" s="516"/>
      <c r="AF891" s="516"/>
      <c r="AG891" s="516"/>
      <c r="AH891" s="516"/>
      <c r="AI891" s="516"/>
      <c r="AJ891" s="516"/>
      <c r="AK891" s="516"/>
      <c r="AL891" s="516"/>
      <c r="AM891" s="516"/>
      <c r="AN891" s="516"/>
      <c r="AO891" s="516"/>
      <c r="AP891" s="516"/>
      <c r="AQ891" s="516"/>
      <c r="AR891" s="164"/>
      <c r="AS891" s="307"/>
    </row>
    <row r="892" spans="1:45" ht="15.75" customHeight="1" x14ac:dyDescent="0.3">
      <c r="A892" s="384"/>
      <c r="B892" s="395" t="s">
        <v>1064</v>
      </c>
      <c r="C892" s="169">
        <v>5.0000000000000001E-3</v>
      </c>
      <c r="D892" s="169"/>
      <c r="E892" s="164" t="s">
        <v>485</v>
      </c>
      <c r="F892" s="396" t="s">
        <v>1065</v>
      </c>
      <c r="G892" s="325" t="s">
        <v>1066</v>
      </c>
      <c r="H892" s="164" t="s">
        <v>442</v>
      </c>
      <c r="I892" s="164" t="s">
        <v>442</v>
      </c>
      <c r="J892" s="164" t="s">
        <v>442</v>
      </c>
      <c r="K892" s="164" t="s">
        <v>486</v>
      </c>
      <c r="L892" s="164" t="s">
        <v>1067</v>
      </c>
      <c r="M892" s="397" t="s">
        <v>434</v>
      </c>
      <c r="N892" s="386" t="s">
        <v>1068</v>
      </c>
      <c r="O892" s="394" t="s">
        <v>1069</v>
      </c>
      <c r="P892" s="164" t="s">
        <v>442</v>
      </c>
      <c r="Q892" s="164" t="s">
        <v>442</v>
      </c>
      <c r="R892" s="333" t="s">
        <v>442</v>
      </c>
      <c r="S892" s="324"/>
      <c r="AC892" s="306"/>
      <c r="AK892" s="372"/>
      <c r="AS892" s="307"/>
    </row>
    <row r="893" spans="1:45" ht="15.75" customHeight="1" thickBot="1" x14ac:dyDescent="0.35">
      <c r="A893" s="377" t="s">
        <v>1071</v>
      </c>
      <c r="B893" s="325" t="s">
        <v>491</v>
      </c>
      <c r="C893" s="164" t="s">
        <v>491</v>
      </c>
      <c r="D893" s="164" t="s">
        <v>491</v>
      </c>
      <c r="E893" s="164" t="s">
        <v>491</v>
      </c>
      <c r="F893" s="333" t="s">
        <v>491</v>
      </c>
      <c r="G893" s="325" t="s">
        <v>491</v>
      </c>
      <c r="H893" s="164" t="s">
        <v>491</v>
      </c>
      <c r="I893" s="164" t="s">
        <v>491</v>
      </c>
      <c r="J893" s="164" t="s">
        <v>491</v>
      </c>
      <c r="K893" s="164" t="s">
        <v>491</v>
      </c>
      <c r="L893" s="164" t="s">
        <v>491</v>
      </c>
      <c r="M893" s="397" t="s">
        <v>491</v>
      </c>
      <c r="N893" s="386" t="s">
        <v>491</v>
      </c>
      <c r="O893" s="394" t="s">
        <v>491</v>
      </c>
      <c r="P893" s="164" t="s">
        <v>491</v>
      </c>
      <c r="Q893" s="164" t="s">
        <v>491</v>
      </c>
      <c r="R893" s="333" t="s">
        <v>491</v>
      </c>
      <c r="S893" s="324"/>
      <c r="AC893" s="306"/>
      <c r="AD893" s="364" t="s">
        <v>390</v>
      </c>
      <c r="AE893" s="364" t="s">
        <v>391</v>
      </c>
      <c r="AF893" s="364" t="s">
        <v>392</v>
      </c>
      <c r="AG893" s="364" t="s">
        <v>393</v>
      </c>
      <c r="AH893" s="364" t="s">
        <v>394</v>
      </c>
      <c r="AI893" s="364" t="s">
        <v>395</v>
      </c>
      <c r="AJ893" s="364" t="s">
        <v>396</v>
      </c>
      <c r="AK893" s="364" t="s">
        <v>397</v>
      </c>
      <c r="AL893" s="364" t="s">
        <v>398</v>
      </c>
      <c r="AM893" s="364" t="s">
        <v>399</v>
      </c>
      <c r="AN893" s="364" t="s">
        <v>400</v>
      </c>
      <c r="AO893" s="364" t="s">
        <v>401</v>
      </c>
      <c r="AP893" s="364" t="s">
        <v>402</v>
      </c>
      <c r="AQ893" s="364" t="s">
        <v>403</v>
      </c>
      <c r="AR893" s="364" t="s">
        <v>404</v>
      </c>
      <c r="AS893" s="373" t="s">
        <v>422</v>
      </c>
    </row>
    <row r="894" spans="1:45" ht="15.75" customHeight="1" x14ac:dyDescent="0.3">
      <c r="A894" s="377" t="s">
        <v>409</v>
      </c>
      <c r="B894" s="325" t="s">
        <v>409</v>
      </c>
      <c r="C894" s="164" t="s">
        <v>409</v>
      </c>
      <c r="D894" s="164" t="s">
        <v>409</v>
      </c>
      <c r="E894" s="164" t="s">
        <v>493</v>
      </c>
      <c r="F894" s="333" t="s">
        <v>409</v>
      </c>
      <c r="G894" s="325" t="s">
        <v>409</v>
      </c>
      <c r="H894" s="164" t="s">
        <v>494</v>
      </c>
      <c r="I894" s="164" t="s">
        <v>494</v>
      </c>
      <c r="J894" s="164" t="s">
        <v>409</v>
      </c>
      <c r="K894" s="164" t="s">
        <v>409</v>
      </c>
      <c r="L894" s="164" t="s">
        <v>409</v>
      </c>
      <c r="M894" s="397" t="s">
        <v>409</v>
      </c>
      <c r="N894" s="386" t="s">
        <v>409</v>
      </c>
      <c r="O894" s="394" t="s">
        <v>409</v>
      </c>
      <c r="P894" s="164" t="s">
        <v>409</v>
      </c>
      <c r="Q894" s="164" t="s">
        <v>409</v>
      </c>
      <c r="R894" s="333" t="s">
        <v>409</v>
      </c>
      <c r="S894" s="324"/>
      <c r="AC894" s="306"/>
      <c r="AD894" s="159"/>
      <c r="AE894" s="159"/>
      <c r="AF894" s="159"/>
      <c r="AG894" s="159"/>
      <c r="AH894" s="164" t="s">
        <v>1030</v>
      </c>
      <c r="AI894" s="159"/>
      <c r="AJ894" s="159"/>
      <c r="AK894" s="159"/>
      <c r="AL894" s="159"/>
      <c r="AM894" s="159"/>
      <c r="AN894" s="159"/>
      <c r="AO894" s="159"/>
      <c r="AP894" s="159"/>
      <c r="AQ894" s="159"/>
      <c r="AR894" s="159"/>
      <c r="AS894" s="374"/>
    </row>
    <row r="895" spans="1:45" ht="15.75" customHeight="1" x14ac:dyDescent="0.3">
      <c r="A895" s="365" t="s">
        <v>795</v>
      </c>
      <c r="B895" s="325">
        <f>R867-G867</f>
        <v>150674.78084327589</v>
      </c>
      <c r="C895" s="164">
        <f t="shared" ref="C895:C906" si="187">+ROUND(B895*$C$892,0)</f>
        <v>753</v>
      </c>
      <c r="D895" s="164">
        <f>AS867</f>
        <v>6834</v>
      </c>
      <c r="E895" s="164">
        <f t="shared" ref="E895:E906" si="188">+B895+C895</f>
        <v>151427.78084327589</v>
      </c>
      <c r="F895" s="333">
        <f t="shared" ref="F895:F906" si="189">(D895+E895)</f>
        <v>158261.78084327589</v>
      </c>
      <c r="G895" s="325">
        <f>ABS(G867)</f>
        <v>3953.6304412860668</v>
      </c>
      <c r="H895" s="398">
        <v>10670</v>
      </c>
      <c r="I895" s="398">
        <v>0</v>
      </c>
      <c r="J895" s="164">
        <f>(H895+I895)</f>
        <v>10670</v>
      </c>
      <c r="K895" s="398">
        <v>0</v>
      </c>
      <c r="L895" s="398">
        <v>0</v>
      </c>
      <c r="M895" s="399">
        <v>150408</v>
      </c>
      <c r="N895" s="400">
        <v>0</v>
      </c>
      <c r="O895" s="394">
        <f>+M895+N895</f>
        <v>150408</v>
      </c>
      <c r="P895" s="402">
        <f>(F895-G895-J895-K895-L895-O895)</f>
        <v>-6769.849598010187</v>
      </c>
      <c r="Q895" s="164" t="str">
        <f>+IF(P895&gt;=0,ABS(P895),"")</f>
        <v/>
      </c>
      <c r="R895" s="333">
        <f>+IF(P895&lt;=0,ABS(P895),"")</f>
        <v>6769.849598010187</v>
      </c>
      <c r="S895" s="324"/>
      <c r="AC895" s="375" t="s">
        <v>1147</v>
      </c>
      <c r="AD895" s="376"/>
      <c r="AE895" s="376"/>
      <c r="AF895" s="376"/>
      <c r="AG895" s="376"/>
      <c r="AH895" s="376"/>
      <c r="AI895" s="376"/>
      <c r="AJ895" s="376"/>
      <c r="AK895" s="376"/>
      <c r="AL895" s="376"/>
      <c r="AM895" s="376"/>
      <c r="AN895" s="376"/>
      <c r="AO895" s="376"/>
      <c r="AP895" s="376"/>
      <c r="AQ895" s="376"/>
      <c r="AR895" s="376"/>
      <c r="AS895" s="377"/>
    </row>
    <row r="896" spans="1:45" ht="15.75" customHeight="1" x14ac:dyDescent="0.3">
      <c r="A896" s="365" t="s">
        <v>9</v>
      </c>
      <c r="B896" s="325">
        <f t="shared" ref="B896:B906" si="190">R868-G868</f>
        <v>216490.60906258115</v>
      </c>
      <c r="C896" s="164">
        <f t="shared" si="187"/>
        <v>1082</v>
      </c>
      <c r="D896" s="164">
        <f t="shared" ref="D896:D906" si="191">AS868</f>
        <v>10142</v>
      </c>
      <c r="E896" s="164">
        <f t="shared" si="188"/>
        <v>217572.60906258115</v>
      </c>
      <c r="F896" s="333">
        <f t="shared" si="189"/>
        <v>227714.60906258115</v>
      </c>
      <c r="G896" s="325">
        <f t="shared" ref="G896:G906" si="192">ABS(G868)</f>
        <v>0</v>
      </c>
      <c r="H896" s="398">
        <v>12979</v>
      </c>
      <c r="I896" s="398">
        <v>0</v>
      </c>
      <c r="J896" s="164">
        <f t="shared" ref="J896:J905" si="193">(H896+I896)</f>
        <v>12979</v>
      </c>
      <c r="K896" s="398">
        <v>0</v>
      </c>
      <c r="L896" s="398">
        <v>0</v>
      </c>
      <c r="M896" s="399">
        <v>244608</v>
      </c>
      <c r="N896" s="400">
        <v>0</v>
      </c>
      <c r="O896" s="394">
        <f t="shared" ref="O896:O908" si="194">+M896+N896</f>
        <v>244608</v>
      </c>
      <c r="P896" s="402">
        <f t="shared" ref="P896:P906" si="195">(F896-G896-J896-K896-L896-O896)</f>
        <v>-29872.390937418852</v>
      </c>
      <c r="Q896" s="164" t="str">
        <f t="shared" ref="Q896:Q906" si="196">+IF(P896&gt;=0,ABS(P896),"")</f>
        <v/>
      </c>
      <c r="R896" s="333">
        <f t="shared" ref="R896:R906" si="197">+IF(P896&lt;=0,ABS(P896),"")</f>
        <v>29872.390937418852</v>
      </c>
      <c r="S896" s="324"/>
      <c r="AC896" s="375" t="s">
        <v>1032</v>
      </c>
      <c r="AD896" s="376"/>
      <c r="AE896" s="376"/>
      <c r="AF896" s="376"/>
      <c r="AG896" s="376"/>
      <c r="AH896" s="376"/>
      <c r="AI896" s="376"/>
      <c r="AJ896" s="376"/>
      <c r="AK896" s="376"/>
      <c r="AL896" s="376"/>
      <c r="AM896" s="376"/>
      <c r="AN896" s="376"/>
      <c r="AO896" s="376"/>
      <c r="AP896" s="376"/>
      <c r="AQ896" s="376"/>
      <c r="AR896" s="376"/>
      <c r="AS896" s="377"/>
    </row>
    <row r="897" spans="1:45" ht="15.75" customHeight="1" x14ac:dyDescent="0.3">
      <c r="A897" s="365" t="s">
        <v>10</v>
      </c>
      <c r="B897" s="325">
        <f t="shared" si="190"/>
        <v>298316.43378343288</v>
      </c>
      <c r="C897" s="164">
        <f t="shared" si="187"/>
        <v>1492</v>
      </c>
      <c r="D897" s="164">
        <f t="shared" si="191"/>
        <v>13725</v>
      </c>
      <c r="E897" s="164">
        <f t="shared" si="188"/>
        <v>299808.43378343288</v>
      </c>
      <c r="F897" s="333">
        <f t="shared" si="189"/>
        <v>313533.43378343288</v>
      </c>
      <c r="G897" s="325">
        <f t="shared" si="192"/>
        <v>0</v>
      </c>
      <c r="H897" s="398">
        <v>18002</v>
      </c>
      <c r="I897" s="398">
        <v>0</v>
      </c>
      <c r="J897" s="164">
        <f t="shared" si="193"/>
        <v>18002</v>
      </c>
      <c r="K897" s="398">
        <v>0</v>
      </c>
      <c r="L897" s="398">
        <v>0</v>
      </c>
      <c r="M897" s="399">
        <v>310968</v>
      </c>
      <c r="N897" s="400">
        <v>0</v>
      </c>
      <c r="O897" s="394">
        <f t="shared" si="194"/>
        <v>310968</v>
      </c>
      <c r="P897" s="402">
        <f t="shared" si="195"/>
        <v>-15436.566216567124</v>
      </c>
      <c r="Q897" s="164" t="str">
        <f t="shared" si="196"/>
        <v/>
      </c>
      <c r="R897" s="333">
        <f t="shared" si="197"/>
        <v>15436.566216567124</v>
      </c>
      <c r="S897" s="324"/>
      <c r="AC897" s="375" t="s">
        <v>1033</v>
      </c>
      <c r="AD897" s="376"/>
      <c r="AE897" s="376"/>
      <c r="AF897" s="376"/>
      <c r="AG897" s="376"/>
      <c r="AH897" s="376"/>
      <c r="AI897" s="376"/>
      <c r="AJ897" s="376"/>
      <c r="AK897" s="376"/>
      <c r="AL897" s="376"/>
      <c r="AM897" s="376"/>
      <c r="AN897" s="376"/>
      <c r="AO897" s="376"/>
      <c r="AP897" s="376"/>
      <c r="AQ897" s="376"/>
      <c r="AR897" s="376"/>
      <c r="AS897" s="377"/>
    </row>
    <row r="898" spans="1:45" ht="15.75" customHeight="1" x14ac:dyDescent="0.3">
      <c r="A898" s="365" t="s">
        <v>12</v>
      </c>
      <c r="B898" s="325">
        <f t="shared" si="190"/>
        <v>301633.99981482798</v>
      </c>
      <c r="C898" s="164">
        <f t="shared" si="187"/>
        <v>1508</v>
      </c>
      <c r="D898" s="164">
        <f t="shared" si="191"/>
        <v>13698</v>
      </c>
      <c r="E898" s="164">
        <f t="shared" si="188"/>
        <v>303141.99981482798</v>
      </c>
      <c r="F898" s="333">
        <f t="shared" si="189"/>
        <v>316839.99981482798</v>
      </c>
      <c r="G898" s="325">
        <f t="shared" si="192"/>
        <v>56.655910909755221</v>
      </c>
      <c r="H898" s="398">
        <v>18742</v>
      </c>
      <c r="I898" s="398">
        <v>0</v>
      </c>
      <c r="J898" s="164">
        <f t="shared" si="193"/>
        <v>18742</v>
      </c>
      <c r="K898" s="398">
        <v>0</v>
      </c>
      <c r="L898" s="398">
        <v>0</v>
      </c>
      <c r="M898" s="399">
        <v>296688</v>
      </c>
      <c r="N898" s="400">
        <v>0</v>
      </c>
      <c r="O898" s="394">
        <f t="shared" si="194"/>
        <v>296688</v>
      </c>
      <c r="P898" s="402">
        <f t="shared" si="195"/>
        <v>1353.3439039182267</v>
      </c>
      <c r="Q898" s="164">
        <f t="shared" si="196"/>
        <v>1353.3439039182267</v>
      </c>
      <c r="R898" s="333" t="str">
        <f t="shared" si="197"/>
        <v/>
      </c>
      <c r="S898" s="324"/>
      <c r="AC898" s="375" t="s">
        <v>822</v>
      </c>
      <c r="AD898" s="376"/>
      <c r="AE898" s="376"/>
      <c r="AF898" s="376"/>
      <c r="AG898" s="376"/>
      <c r="AH898" s="376"/>
      <c r="AI898" s="376"/>
      <c r="AJ898" s="376"/>
      <c r="AK898" s="376"/>
      <c r="AL898" s="376"/>
      <c r="AM898" s="376"/>
      <c r="AN898" s="376"/>
      <c r="AO898" s="376"/>
      <c r="AP898" s="376"/>
      <c r="AQ898" s="376"/>
      <c r="AR898" s="376"/>
      <c r="AS898" s="377"/>
    </row>
    <row r="899" spans="1:45" ht="15.75" customHeight="1" x14ac:dyDescent="0.3">
      <c r="A899" s="365" t="s">
        <v>13</v>
      </c>
      <c r="B899" s="325">
        <f t="shared" si="190"/>
        <v>309490.6212672033</v>
      </c>
      <c r="C899" s="164">
        <f t="shared" si="187"/>
        <v>1547</v>
      </c>
      <c r="D899" s="164">
        <f t="shared" si="191"/>
        <v>14064</v>
      </c>
      <c r="E899" s="164">
        <f t="shared" si="188"/>
        <v>311037.6212672033</v>
      </c>
      <c r="F899" s="333">
        <f t="shared" si="189"/>
        <v>325101.6212672033</v>
      </c>
      <c r="G899" s="325">
        <f t="shared" si="192"/>
        <v>1537.7830896759624</v>
      </c>
      <c r="H899" s="398">
        <v>17162</v>
      </c>
      <c r="I899" s="398">
        <v>0</v>
      </c>
      <c r="J899" s="164">
        <f t="shared" si="193"/>
        <v>17162</v>
      </c>
      <c r="K899" s="398">
        <v>0</v>
      </c>
      <c r="L899" s="398">
        <v>0</v>
      </c>
      <c r="M899" s="399">
        <v>302328</v>
      </c>
      <c r="N899" s="400">
        <v>0</v>
      </c>
      <c r="O899" s="394">
        <f t="shared" si="194"/>
        <v>302328</v>
      </c>
      <c r="P899" s="402">
        <f t="shared" si="195"/>
        <v>4073.8381775273592</v>
      </c>
      <c r="Q899" s="164">
        <f t="shared" si="196"/>
        <v>4073.8381775273592</v>
      </c>
      <c r="R899" s="333" t="str">
        <f t="shared" si="197"/>
        <v/>
      </c>
      <c r="S899" s="324"/>
      <c r="AC899" s="375" t="s">
        <v>1073</v>
      </c>
      <c r="AD899" s="376"/>
      <c r="AE899" s="376"/>
      <c r="AF899" s="376"/>
      <c r="AG899" s="376"/>
      <c r="AH899" s="376"/>
      <c r="AI899" s="376"/>
      <c r="AJ899" s="376">
        <v>2.5000000000000001E-2</v>
      </c>
      <c r="AK899" s="376">
        <v>2.5000000000000001E-2</v>
      </c>
      <c r="AL899" s="376">
        <v>2.5000000000000001E-2</v>
      </c>
      <c r="AM899" s="376">
        <v>2.5000000000000001E-2</v>
      </c>
      <c r="AN899" s="376">
        <v>2.5000000000000001E-2</v>
      </c>
      <c r="AO899" s="376">
        <v>2.5000000000000001E-2</v>
      </c>
      <c r="AP899" s="376">
        <v>2.5000000000000001E-2</v>
      </c>
      <c r="AQ899" s="376">
        <v>2.5000000000000001E-2</v>
      </c>
      <c r="AR899" s="376">
        <v>2.5000000000000001E-2</v>
      </c>
      <c r="AS899" s="377"/>
    </row>
    <row r="900" spans="1:45" ht="15.75" customHeight="1" x14ac:dyDescent="0.3">
      <c r="A900" s="365" t="s">
        <v>14</v>
      </c>
      <c r="B900" s="325">
        <f t="shared" si="190"/>
        <v>238237</v>
      </c>
      <c r="C900" s="164">
        <f t="shared" si="187"/>
        <v>1191</v>
      </c>
      <c r="D900" s="164">
        <f t="shared" si="191"/>
        <v>10658</v>
      </c>
      <c r="E900" s="164">
        <f t="shared" si="188"/>
        <v>239428</v>
      </c>
      <c r="F900" s="333">
        <f t="shared" si="189"/>
        <v>250086</v>
      </c>
      <c r="G900" s="325">
        <f t="shared" si="192"/>
        <v>8744.6346646571255</v>
      </c>
      <c r="H900" s="398">
        <v>14546</v>
      </c>
      <c r="I900" s="398">
        <v>0</v>
      </c>
      <c r="J900" s="164">
        <f t="shared" si="193"/>
        <v>14546</v>
      </c>
      <c r="K900" s="398">
        <v>0</v>
      </c>
      <c r="L900" s="398">
        <v>0</v>
      </c>
      <c r="M900" s="399">
        <v>220920</v>
      </c>
      <c r="N900" s="400">
        <v>0</v>
      </c>
      <c r="O900" s="394">
        <f t="shared" si="194"/>
        <v>220920</v>
      </c>
      <c r="P900" s="402">
        <f t="shared" si="195"/>
        <v>5875.3653353428817</v>
      </c>
      <c r="Q900" s="164">
        <f t="shared" si="196"/>
        <v>5875.3653353428817</v>
      </c>
      <c r="R900" s="333" t="str">
        <f t="shared" si="197"/>
        <v/>
      </c>
      <c r="S900" s="324"/>
      <c r="AC900" s="375" t="s">
        <v>422</v>
      </c>
      <c r="AD900" s="169">
        <f>SUM(AD895:AD899)</f>
        <v>0</v>
      </c>
      <c r="AE900" s="169">
        <f>SUM(AE895:AE899)</f>
        <v>0</v>
      </c>
      <c r="AF900" s="169">
        <f>SUM(AF895:AF899)</f>
        <v>0</v>
      </c>
      <c r="AG900" s="169">
        <f>SUM(AG895:AG899)</f>
        <v>0</v>
      </c>
      <c r="AH900" s="169">
        <f>SUM(AH895:AH899)</f>
        <v>0</v>
      </c>
      <c r="AI900" s="169">
        <f t="shared" ref="AI900:AR900" si="198">SUM(AI895:AI899)</f>
        <v>0</v>
      </c>
      <c r="AJ900" s="169">
        <f t="shared" si="198"/>
        <v>2.5000000000000001E-2</v>
      </c>
      <c r="AK900" s="169">
        <f t="shared" si="198"/>
        <v>2.5000000000000001E-2</v>
      </c>
      <c r="AL900" s="169">
        <f t="shared" si="198"/>
        <v>2.5000000000000001E-2</v>
      </c>
      <c r="AM900" s="169">
        <f t="shared" si="198"/>
        <v>2.5000000000000001E-2</v>
      </c>
      <c r="AN900" s="169">
        <f t="shared" si="198"/>
        <v>2.5000000000000001E-2</v>
      </c>
      <c r="AO900" s="169">
        <f t="shared" si="198"/>
        <v>2.5000000000000001E-2</v>
      </c>
      <c r="AP900" s="169">
        <f t="shared" si="198"/>
        <v>2.5000000000000001E-2</v>
      </c>
      <c r="AQ900" s="169">
        <f t="shared" si="198"/>
        <v>2.5000000000000001E-2</v>
      </c>
      <c r="AR900" s="169">
        <f t="shared" si="198"/>
        <v>2.5000000000000001E-2</v>
      </c>
      <c r="AS900" s="377"/>
    </row>
    <row r="901" spans="1:45" ht="15.75" customHeight="1" x14ac:dyDescent="0.3">
      <c r="A901" s="365" t="s">
        <v>16</v>
      </c>
      <c r="B901" s="325">
        <f t="shared" si="190"/>
        <v>180940</v>
      </c>
      <c r="C901" s="164">
        <f t="shared" si="187"/>
        <v>905</v>
      </c>
      <c r="D901" s="164">
        <f t="shared" si="191"/>
        <v>7779</v>
      </c>
      <c r="E901" s="164">
        <f t="shared" si="188"/>
        <v>181845</v>
      </c>
      <c r="F901" s="333">
        <f t="shared" si="189"/>
        <v>189624</v>
      </c>
      <c r="G901" s="325">
        <f t="shared" si="192"/>
        <v>11355.388337174203</v>
      </c>
      <c r="H901" s="398">
        <v>14127</v>
      </c>
      <c r="I901" s="398">
        <v>0</v>
      </c>
      <c r="J901" s="164">
        <f t="shared" si="193"/>
        <v>14127</v>
      </c>
      <c r="K901" s="398">
        <v>0</v>
      </c>
      <c r="L901" s="398">
        <v>0</v>
      </c>
      <c r="M901" s="399">
        <v>153656</v>
      </c>
      <c r="N901" s="400">
        <v>0</v>
      </c>
      <c r="O901" s="394">
        <f t="shared" si="194"/>
        <v>153656</v>
      </c>
      <c r="P901" s="402">
        <f t="shared" si="195"/>
        <v>10485.611662825802</v>
      </c>
      <c r="Q901" s="164">
        <f t="shared" si="196"/>
        <v>10485.611662825802</v>
      </c>
      <c r="R901" s="333" t="str">
        <f t="shared" si="197"/>
        <v/>
      </c>
      <c r="S901" s="324"/>
      <c r="AC901" s="325" t="s">
        <v>409</v>
      </c>
      <c r="AD901" s="164" t="s">
        <v>409</v>
      </c>
      <c r="AE901" s="164" t="s">
        <v>409</v>
      </c>
      <c r="AF901" s="164" t="s">
        <v>409</v>
      </c>
      <c r="AG901" s="164" t="s">
        <v>409</v>
      </c>
      <c r="AH901" s="164" t="s">
        <v>409</v>
      </c>
      <c r="AI901" s="164" t="s">
        <v>409</v>
      </c>
      <c r="AJ901" s="164" t="s">
        <v>409</v>
      </c>
      <c r="AK901" s="164" t="s">
        <v>409</v>
      </c>
      <c r="AL901" s="164" t="s">
        <v>409</v>
      </c>
      <c r="AM901" s="164" t="s">
        <v>409</v>
      </c>
      <c r="AN901" s="164" t="s">
        <v>409</v>
      </c>
      <c r="AO901" s="164" t="s">
        <v>409</v>
      </c>
      <c r="AP901" s="164" t="s">
        <v>409</v>
      </c>
      <c r="AQ901" s="164" t="s">
        <v>409</v>
      </c>
      <c r="AR901" s="164" t="s">
        <v>409</v>
      </c>
      <c r="AS901" s="377" t="s">
        <v>409</v>
      </c>
    </row>
    <row r="902" spans="1:45" ht="15.75" customHeight="1" x14ac:dyDescent="0.3">
      <c r="A902" s="365" t="s">
        <v>17</v>
      </c>
      <c r="B902" s="325">
        <f t="shared" si="190"/>
        <v>190949</v>
      </c>
      <c r="C902" s="164">
        <f t="shared" si="187"/>
        <v>955</v>
      </c>
      <c r="D902" s="164">
        <f t="shared" si="191"/>
        <v>8226</v>
      </c>
      <c r="E902" s="164">
        <f t="shared" si="188"/>
        <v>191904</v>
      </c>
      <c r="F902" s="333">
        <f t="shared" si="189"/>
        <v>200130</v>
      </c>
      <c r="G902" s="325">
        <f t="shared" si="192"/>
        <v>7114.1552424432903</v>
      </c>
      <c r="H902" s="398">
        <v>11347</v>
      </c>
      <c r="I902" s="398">
        <v>0</v>
      </c>
      <c r="J902" s="164">
        <f t="shared" si="193"/>
        <v>11347</v>
      </c>
      <c r="K902" s="398">
        <v>0</v>
      </c>
      <c r="L902" s="398">
        <v>0</v>
      </c>
      <c r="M902" s="399">
        <v>158528</v>
      </c>
      <c r="N902" s="400">
        <v>0</v>
      </c>
      <c r="O902" s="394">
        <f t="shared" si="194"/>
        <v>158528</v>
      </c>
      <c r="P902" s="402">
        <f t="shared" si="195"/>
        <v>23140.844757556712</v>
      </c>
      <c r="Q902" s="164">
        <f t="shared" si="196"/>
        <v>23140.844757556712</v>
      </c>
      <c r="R902" s="333" t="str">
        <f t="shared" si="197"/>
        <v/>
      </c>
      <c r="S902" s="324"/>
      <c r="AC902" s="375" t="s">
        <v>795</v>
      </c>
      <c r="AD902" s="159">
        <f>ROUND(B867*$AD$900, 0)</f>
        <v>0</v>
      </c>
      <c r="AE902" s="159">
        <f>ROUND(C867*$AE$900,0)</f>
        <v>0</v>
      </c>
      <c r="AF902" s="159">
        <f>ROUND(D867*$AF$900,0)</f>
        <v>0</v>
      </c>
      <c r="AG902" s="159">
        <f>ROUND(E867*$AG$900,0)</f>
        <v>0</v>
      </c>
      <c r="AH902" s="159">
        <f>ROUND(F867*$AH$900,0)</f>
        <v>0</v>
      </c>
      <c r="AI902" s="159">
        <f>ROUND(H867*$AI$900,0)</f>
        <v>0</v>
      </c>
      <c r="AJ902" s="159">
        <f>ROUND(I867*$AJ$900,0)</f>
        <v>62</v>
      </c>
      <c r="AK902" s="159">
        <f>ROUND(J867*$AK$900,0)</f>
        <v>97</v>
      </c>
      <c r="AL902" s="159">
        <f>ROUND(K867*$AL$900,0)</f>
        <v>98</v>
      </c>
      <c r="AM902" s="159">
        <f>ROUND(L867*$AM$900,0)</f>
        <v>26</v>
      </c>
      <c r="AN902" s="159">
        <f>ROUND(M867*$AN$900,0)</f>
        <v>30</v>
      </c>
      <c r="AO902" s="159">
        <f>ROUND(N867*$AO$900,0)</f>
        <v>64</v>
      </c>
      <c r="AP902" s="159">
        <f>ROUND(O867*$AP$900,0)</f>
        <v>21</v>
      </c>
      <c r="AQ902" s="159">
        <f>ROUND(P867*$AQ$900,0)</f>
        <v>2</v>
      </c>
      <c r="AR902" s="159">
        <f>ROUND(Q867*$AR$900,0)</f>
        <v>51</v>
      </c>
      <c r="AS902" s="374">
        <f>SUM(AD902:AR902)</f>
        <v>451</v>
      </c>
    </row>
    <row r="903" spans="1:45" ht="15.75" customHeight="1" x14ac:dyDescent="0.3">
      <c r="A903" s="365" t="s">
        <v>18</v>
      </c>
      <c r="B903" s="325">
        <f t="shared" si="190"/>
        <v>237917.28408205661</v>
      </c>
      <c r="C903" s="164">
        <f t="shared" si="187"/>
        <v>1190</v>
      </c>
      <c r="D903" s="164">
        <f t="shared" si="191"/>
        <v>10784</v>
      </c>
      <c r="E903" s="164">
        <f t="shared" si="188"/>
        <v>239107.28408205661</v>
      </c>
      <c r="F903" s="333">
        <f t="shared" si="189"/>
        <v>249891.28408205661</v>
      </c>
      <c r="G903" s="325">
        <f t="shared" si="192"/>
        <v>568.0566691785981</v>
      </c>
      <c r="H903" s="398">
        <v>9884</v>
      </c>
      <c r="I903" s="398">
        <v>0</v>
      </c>
      <c r="J903" s="164">
        <f t="shared" si="193"/>
        <v>9884</v>
      </c>
      <c r="K903" s="398">
        <v>0</v>
      </c>
      <c r="L903" s="398">
        <v>0</v>
      </c>
      <c r="M903" s="399">
        <v>223440</v>
      </c>
      <c r="N903" s="400">
        <v>36720</v>
      </c>
      <c r="O903" s="394">
        <f t="shared" si="194"/>
        <v>260160</v>
      </c>
      <c r="P903" s="402">
        <f t="shared" si="195"/>
        <v>-20720.772587121988</v>
      </c>
      <c r="Q903" s="164" t="str">
        <f t="shared" si="196"/>
        <v/>
      </c>
      <c r="R903" s="333">
        <f t="shared" si="197"/>
        <v>20720.772587121988</v>
      </c>
      <c r="S903" s="324"/>
      <c r="AC903" s="375" t="s">
        <v>9</v>
      </c>
      <c r="AD903" s="159">
        <f t="shared" ref="AD903:AD913" si="199">ROUND(B868*$AD$900, 0)</f>
        <v>0</v>
      </c>
      <c r="AE903" s="159">
        <f t="shared" ref="AE903:AE913" si="200">ROUND(C868*$AE$900,0)</f>
        <v>0</v>
      </c>
      <c r="AF903" s="159">
        <f t="shared" ref="AF903:AF913" si="201">ROUND(D868*$AF$900,0)</f>
        <v>0</v>
      </c>
      <c r="AG903" s="159">
        <f t="shared" ref="AG903:AG913" si="202">ROUND(E868*$AG$900,0)</f>
        <v>0</v>
      </c>
      <c r="AH903" s="159">
        <f t="shared" ref="AH903:AH913" si="203">ROUND(F868*$AH$900,0)</f>
        <v>0</v>
      </c>
      <c r="AI903" s="159">
        <f t="shared" ref="AI903:AI913" si="204">ROUND(H868*$AI$900,0)</f>
        <v>0</v>
      </c>
      <c r="AJ903" s="159">
        <f t="shared" ref="AJ903:AJ913" si="205">ROUND(I868*$AJ$900,0)</f>
        <v>58</v>
      </c>
      <c r="AK903" s="159">
        <f t="shared" ref="AK903:AK913" si="206">ROUND(J868*$AK$900,0)</f>
        <v>89</v>
      </c>
      <c r="AL903" s="159">
        <f t="shared" ref="AL903:AL913" si="207">ROUND(K868*$AL$900,0)</f>
        <v>88</v>
      </c>
      <c r="AM903" s="159">
        <f t="shared" ref="AM903:AM913" si="208">ROUND(L868*$AM$900,0)</f>
        <v>28</v>
      </c>
      <c r="AN903" s="159">
        <f t="shared" ref="AN903:AN913" si="209">ROUND(M868*$AN$900,0)</f>
        <v>33</v>
      </c>
      <c r="AO903" s="159">
        <f t="shared" ref="AO903:AO913" si="210">ROUND(N868*$AO$900,0)</f>
        <v>69</v>
      </c>
      <c r="AP903" s="159">
        <f t="shared" ref="AP903:AP913" si="211">ROUND(O868*$AP$900,0)</f>
        <v>12</v>
      </c>
      <c r="AQ903" s="159">
        <f t="shared" ref="AQ903:AQ913" si="212">ROUND(P868*$AQ$900,0)</f>
        <v>1</v>
      </c>
      <c r="AR903" s="159">
        <f t="shared" ref="AR903:AR913" si="213">ROUND(Q868*$AR$900,0)</f>
        <v>29</v>
      </c>
      <c r="AS903" s="374">
        <f t="shared" ref="AS903:AS913" si="214">SUM(AD903:AR903)</f>
        <v>407</v>
      </c>
    </row>
    <row r="904" spans="1:45" ht="15.75" customHeight="1" x14ac:dyDescent="0.3">
      <c r="A904" s="365" t="s">
        <v>20</v>
      </c>
      <c r="B904" s="325">
        <f t="shared" si="190"/>
        <v>195802.41417813554</v>
      </c>
      <c r="C904" s="164">
        <f t="shared" si="187"/>
        <v>979</v>
      </c>
      <c r="D904" s="164">
        <f t="shared" si="191"/>
        <v>8984</v>
      </c>
      <c r="E904" s="164">
        <f t="shared" si="188"/>
        <v>196781.41417813554</v>
      </c>
      <c r="F904" s="333">
        <f t="shared" si="189"/>
        <v>205765.41417813554</v>
      </c>
      <c r="G904" s="325">
        <f t="shared" si="192"/>
        <v>0</v>
      </c>
      <c r="H904" s="398">
        <v>11790</v>
      </c>
      <c r="I904" s="398">
        <v>0</v>
      </c>
      <c r="J904" s="164">
        <f t="shared" si="193"/>
        <v>11790</v>
      </c>
      <c r="K904" s="398">
        <v>0</v>
      </c>
      <c r="L904" s="398">
        <v>0</v>
      </c>
      <c r="M904" s="399">
        <v>227912</v>
      </c>
      <c r="N904" s="400">
        <v>0</v>
      </c>
      <c r="O904" s="394">
        <f t="shared" si="194"/>
        <v>227912</v>
      </c>
      <c r="P904" s="402">
        <f t="shared" si="195"/>
        <v>-33936.585821864457</v>
      </c>
      <c r="Q904" s="164" t="str">
        <f t="shared" si="196"/>
        <v/>
      </c>
      <c r="R904" s="333">
        <f t="shared" si="197"/>
        <v>33936.585821864457</v>
      </c>
      <c r="S904" s="324"/>
      <c r="AC904" s="375" t="s">
        <v>10</v>
      </c>
      <c r="AD904" s="159">
        <f t="shared" si="199"/>
        <v>0</v>
      </c>
      <c r="AE904" s="159">
        <f t="shared" si="200"/>
        <v>0</v>
      </c>
      <c r="AF904" s="159">
        <f t="shared" si="201"/>
        <v>0</v>
      </c>
      <c r="AG904" s="159">
        <f t="shared" si="202"/>
        <v>0</v>
      </c>
      <c r="AH904" s="159">
        <f t="shared" si="203"/>
        <v>0</v>
      </c>
      <c r="AI904" s="159">
        <f t="shared" si="204"/>
        <v>0</v>
      </c>
      <c r="AJ904" s="159">
        <f t="shared" si="205"/>
        <v>140</v>
      </c>
      <c r="AK904" s="159">
        <f t="shared" si="206"/>
        <v>162</v>
      </c>
      <c r="AL904" s="159">
        <f t="shared" si="207"/>
        <v>140</v>
      </c>
      <c r="AM904" s="159">
        <f t="shared" si="208"/>
        <v>50</v>
      </c>
      <c r="AN904" s="159">
        <f t="shared" si="209"/>
        <v>59</v>
      </c>
      <c r="AO904" s="159">
        <f t="shared" si="210"/>
        <v>121</v>
      </c>
      <c r="AP904" s="159">
        <f t="shared" si="211"/>
        <v>17</v>
      </c>
      <c r="AQ904" s="159">
        <f t="shared" si="212"/>
        <v>27</v>
      </c>
      <c r="AR904" s="159">
        <f t="shared" si="213"/>
        <v>41</v>
      </c>
      <c r="AS904" s="374">
        <f t="shared" si="214"/>
        <v>757</v>
      </c>
    </row>
    <row r="905" spans="1:45" ht="15.75" customHeight="1" x14ac:dyDescent="0.3">
      <c r="A905" s="365" t="s">
        <v>21</v>
      </c>
      <c r="B905" s="325">
        <f t="shared" si="190"/>
        <v>219083.04076863153</v>
      </c>
      <c r="C905" s="164">
        <f t="shared" si="187"/>
        <v>1095</v>
      </c>
      <c r="D905" s="164">
        <f t="shared" si="191"/>
        <v>10342</v>
      </c>
      <c r="E905" s="164">
        <f t="shared" si="188"/>
        <v>220178.04076863153</v>
      </c>
      <c r="F905" s="333">
        <f t="shared" si="189"/>
        <v>230520.04076863153</v>
      </c>
      <c r="G905" s="325">
        <f t="shared" si="192"/>
        <v>0</v>
      </c>
      <c r="H905" s="398">
        <v>8236</v>
      </c>
      <c r="I905" s="398">
        <v>0</v>
      </c>
      <c r="J905" s="164">
        <f t="shared" si="193"/>
        <v>8236</v>
      </c>
      <c r="K905" s="398">
        <v>0</v>
      </c>
      <c r="L905" s="398">
        <v>0</v>
      </c>
      <c r="M905" s="399">
        <v>227520</v>
      </c>
      <c r="N905" s="400">
        <v>0</v>
      </c>
      <c r="O905" s="394">
        <f t="shared" si="194"/>
        <v>227520</v>
      </c>
      <c r="P905" s="402">
        <f t="shared" si="195"/>
        <v>-5235.9592313684698</v>
      </c>
      <c r="Q905" s="164" t="str">
        <f t="shared" si="196"/>
        <v/>
      </c>
      <c r="R905" s="333">
        <f t="shared" si="197"/>
        <v>5235.9592313684698</v>
      </c>
      <c r="S905" s="324"/>
      <c r="AC905" s="375" t="s">
        <v>12</v>
      </c>
      <c r="AD905" s="159">
        <f t="shared" si="199"/>
        <v>0</v>
      </c>
      <c r="AE905" s="159">
        <f t="shared" si="200"/>
        <v>0</v>
      </c>
      <c r="AF905" s="159">
        <f t="shared" si="201"/>
        <v>0</v>
      </c>
      <c r="AG905" s="159">
        <f t="shared" si="202"/>
        <v>0</v>
      </c>
      <c r="AH905" s="159">
        <f t="shared" si="203"/>
        <v>0</v>
      </c>
      <c r="AI905" s="159">
        <f t="shared" si="204"/>
        <v>0</v>
      </c>
      <c r="AJ905" s="159">
        <f t="shared" si="205"/>
        <v>163</v>
      </c>
      <c r="AK905" s="159">
        <f t="shared" si="206"/>
        <v>217</v>
      </c>
      <c r="AL905" s="159">
        <f t="shared" si="207"/>
        <v>164</v>
      </c>
      <c r="AM905" s="159">
        <f t="shared" si="208"/>
        <v>55</v>
      </c>
      <c r="AN905" s="159">
        <f t="shared" si="209"/>
        <v>65</v>
      </c>
      <c r="AO905" s="159">
        <f t="shared" si="210"/>
        <v>128</v>
      </c>
      <c r="AP905" s="159">
        <f t="shared" si="211"/>
        <v>21</v>
      </c>
      <c r="AQ905" s="159">
        <f t="shared" si="212"/>
        <v>43</v>
      </c>
      <c r="AR905" s="159">
        <f t="shared" si="213"/>
        <v>49</v>
      </c>
      <c r="AS905" s="374">
        <f t="shared" si="214"/>
        <v>905</v>
      </c>
    </row>
    <row r="906" spans="1:45" ht="15.75" customHeight="1" x14ac:dyDescent="0.3">
      <c r="A906" s="365" t="s">
        <v>22</v>
      </c>
      <c r="B906" s="325">
        <f t="shared" si="190"/>
        <v>196364.12319059455</v>
      </c>
      <c r="C906" s="164">
        <f t="shared" si="187"/>
        <v>982</v>
      </c>
      <c r="D906" s="164">
        <f t="shared" si="191"/>
        <v>8955</v>
      </c>
      <c r="E906" s="164">
        <f t="shared" si="188"/>
        <v>197346.12319059455</v>
      </c>
      <c r="F906" s="333">
        <f t="shared" si="189"/>
        <v>206301.12319059455</v>
      </c>
      <c r="G906" s="325">
        <f t="shared" si="192"/>
        <v>0</v>
      </c>
      <c r="H906" s="398">
        <v>8789</v>
      </c>
      <c r="I906" s="398">
        <v>0</v>
      </c>
      <c r="J906" s="164">
        <f>(H906+I906)</f>
        <v>8789</v>
      </c>
      <c r="K906" s="398">
        <v>0</v>
      </c>
      <c r="L906" s="398">
        <v>0</v>
      </c>
      <c r="M906" s="399">
        <v>231632</v>
      </c>
      <c r="N906" s="400">
        <v>18600</v>
      </c>
      <c r="O906" s="394">
        <f t="shared" si="194"/>
        <v>250232</v>
      </c>
      <c r="P906" s="402">
        <f t="shared" si="195"/>
        <v>-52719.876809405454</v>
      </c>
      <c r="Q906" s="164" t="str">
        <f t="shared" si="196"/>
        <v/>
      </c>
      <c r="R906" s="333">
        <f t="shared" si="197"/>
        <v>52719.876809405454</v>
      </c>
      <c r="S906" s="324"/>
      <c r="AC906" s="375" t="s">
        <v>13</v>
      </c>
      <c r="AD906" s="159">
        <f t="shared" si="199"/>
        <v>0</v>
      </c>
      <c r="AE906" s="159">
        <f t="shared" si="200"/>
        <v>0</v>
      </c>
      <c r="AF906" s="159">
        <f t="shared" si="201"/>
        <v>0</v>
      </c>
      <c r="AG906" s="159">
        <f t="shared" si="202"/>
        <v>0</v>
      </c>
      <c r="AH906" s="159">
        <f t="shared" si="203"/>
        <v>0</v>
      </c>
      <c r="AI906" s="159">
        <f t="shared" si="204"/>
        <v>0</v>
      </c>
      <c r="AJ906" s="159">
        <f t="shared" si="205"/>
        <v>164</v>
      </c>
      <c r="AK906" s="159">
        <f t="shared" si="206"/>
        <v>221</v>
      </c>
      <c r="AL906" s="159">
        <f t="shared" si="207"/>
        <v>157</v>
      </c>
      <c r="AM906" s="159">
        <f t="shared" si="208"/>
        <v>57</v>
      </c>
      <c r="AN906" s="159">
        <f t="shared" si="209"/>
        <v>67</v>
      </c>
      <c r="AO906" s="159">
        <f t="shared" si="210"/>
        <v>134</v>
      </c>
      <c r="AP906" s="159">
        <f t="shared" si="211"/>
        <v>20</v>
      </c>
      <c r="AQ906" s="159">
        <f t="shared" si="212"/>
        <v>49</v>
      </c>
      <c r="AR906" s="159">
        <f t="shared" si="213"/>
        <v>48</v>
      </c>
      <c r="AS906" s="374">
        <f t="shared" si="214"/>
        <v>917</v>
      </c>
    </row>
    <row r="907" spans="1:45" ht="15.75" customHeight="1" x14ac:dyDescent="0.3">
      <c r="A907" s="377" t="s">
        <v>424</v>
      </c>
      <c r="B907" s="325" t="s">
        <v>424</v>
      </c>
      <c r="C907" s="164"/>
      <c r="D907" s="164"/>
      <c r="E907" s="164" t="s">
        <v>7</v>
      </c>
      <c r="F907" s="333"/>
      <c r="G907" s="325"/>
      <c r="H907" s="164"/>
      <c r="I907" s="164" t="s">
        <v>7</v>
      </c>
      <c r="J907" s="164" t="s">
        <v>7</v>
      </c>
      <c r="K907" s="403"/>
      <c r="L907" s="164"/>
      <c r="M907" s="399"/>
      <c r="N907" s="400"/>
      <c r="O907" s="394">
        <f t="shared" si="194"/>
        <v>0</v>
      </c>
      <c r="P907" s="402"/>
      <c r="Q907" s="164"/>
      <c r="R907" s="333"/>
      <c r="S907" s="324"/>
      <c r="AC907" s="375" t="s">
        <v>14</v>
      </c>
      <c r="AD907" s="159">
        <f t="shared" si="199"/>
        <v>0</v>
      </c>
      <c r="AE907" s="159">
        <f t="shared" si="200"/>
        <v>0</v>
      </c>
      <c r="AF907" s="159">
        <f t="shared" si="201"/>
        <v>0</v>
      </c>
      <c r="AG907" s="159">
        <f t="shared" si="202"/>
        <v>0</v>
      </c>
      <c r="AH907" s="159">
        <f t="shared" si="203"/>
        <v>0</v>
      </c>
      <c r="AI907" s="159">
        <f t="shared" si="204"/>
        <v>0</v>
      </c>
      <c r="AJ907" s="159">
        <f t="shared" si="205"/>
        <v>177</v>
      </c>
      <c r="AK907" s="159">
        <f t="shared" si="206"/>
        <v>176</v>
      </c>
      <c r="AL907" s="159">
        <f t="shared" si="207"/>
        <v>133</v>
      </c>
      <c r="AM907" s="159">
        <f t="shared" si="208"/>
        <v>46</v>
      </c>
      <c r="AN907" s="159">
        <f t="shared" si="209"/>
        <v>54</v>
      </c>
      <c r="AO907" s="159">
        <f t="shared" si="210"/>
        <v>103</v>
      </c>
      <c r="AP907" s="159">
        <f t="shared" si="211"/>
        <v>21</v>
      </c>
      <c r="AQ907" s="159">
        <f t="shared" si="212"/>
        <v>51</v>
      </c>
      <c r="AR907" s="159">
        <f t="shared" si="213"/>
        <v>50</v>
      </c>
      <c r="AS907" s="374">
        <f t="shared" si="214"/>
        <v>811</v>
      </c>
    </row>
    <row r="908" spans="1:45" ht="16.5" customHeight="1" thickBot="1" x14ac:dyDescent="0.35">
      <c r="A908" s="404" t="s">
        <v>422</v>
      </c>
      <c r="B908" s="330">
        <f>SUM(B895:B906)</f>
        <v>2735899.306990739</v>
      </c>
      <c r="C908" s="335">
        <f>+SUM(C895:C906)</f>
        <v>13679</v>
      </c>
      <c r="D908" s="335">
        <f>SUM(D895:D906)</f>
        <v>124191</v>
      </c>
      <c r="E908" s="335">
        <f>(B908*1.005)</f>
        <v>2749578.8035256923</v>
      </c>
      <c r="F908" s="405">
        <f>SUM(F895:F906)</f>
        <v>2873769.306990739</v>
      </c>
      <c r="G908" s="330">
        <f>SUM(G895:G906)</f>
        <v>33330.304355325003</v>
      </c>
      <c r="H908" s="335">
        <f>SUM(H895:H906)</f>
        <v>156274</v>
      </c>
      <c r="I908" s="335">
        <f>SUM(I895:I906)</f>
        <v>0</v>
      </c>
      <c r="J908" s="335">
        <f>(H908+I908)</f>
        <v>156274</v>
      </c>
      <c r="K908" s="335">
        <f>SUM(K895:K906)</f>
        <v>0</v>
      </c>
      <c r="L908" s="335">
        <f>SUM(L895:L906)</f>
        <v>0</v>
      </c>
      <c r="M908" s="406">
        <f>SUM(M895:M906)</f>
        <v>2748608</v>
      </c>
      <c r="N908" s="407">
        <f>SUM(N895:N906)</f>
        <v>55320</v>
      </c>
      <c r="O908" s="408">
        <f t="shared" si="194"/>
        <v>2803928</v>
      </c>
      <c r="P908" s="411">
        <f>(F908-G908-J908-K908-L908-O908)</f>
        <v>-119762.99736458622</v>
      </c>
      <c r="Q908" s="335">
        <f>+SUM(Q895:Q906)</f>
        <v>44929.003837170982</v>
      </c>
      <c r="R908" s="405">
        <f>+SUM(R895:R906)</f>
        <v>164692.00120175653</v>
      </c>
      <c r="S908" s="324"/>
      <c r="AC908" s="375" t="s">
        <v>16</v>
      </c>
      <c r="AD908" s="159">
        <f t="shared" si="199"/>
        <v>0</v>
      </c>
      <c r="AE908" s="159">
        <f t="shared" si="200"/>
        <v>0</v>
      </c>
      <c r="AF908" s="159">
        <f t="shared" si="201"/>
        <v>0</v>
      </c>
      <c r="AG908" s="159">
        <f t="shared" si="202"/>
        <v>0</v>
      </c>
      <c r="AH908" s="159">
        <f t="shared" si="203"/>
        <v>0</v>
      </c>
      <c r="AI908" s="159">
        <f t="shared" si="204"/>
        <v>0</v>
      </c>
      <c r="AJ908" s="159">
        <f t="shared" si="205"/>
        <v>201</v>
      </c>
      <c r="AK908" s="159">
        <f t="shared" si="206"/>
        <v>193</v>
      </c>
      <c r="AL908" s="159">
        <f t="shared" si="207"/>
        <v>145</v>
      </c>
      <c r="AM908" s="159">
        <f t="shared" si="208"/>
        <v>44</v>
      </c>
      <c r="AN908" s="159">
        <f t="shared" si="209"/>
        <v>52</v>
      </c>
      <c r="AO908" s="159">
        <f t="shared" si="210"/>
        <v>93</v>
      </c>
      <c r="AP908" s="159">
        <f t="shared" si="211"/>
        <v>21</v>
      </c>
      <c r="AQ908" s="159">
        <f t="shared" si="212"/>
        <v>54</v>
      </c>
      <c r="AR908" s="159">
        <f t="shared" si="213"/>
        <v>50</v>
      </c>
      <c r="AS908" s="374">
        <f t="shared" si="214"/>
        <v>853</v>
      </c>
    </row>
    <row r="909" spans="1:45" ht="15.75" customHeight="1" x14ac:dyDescent="0.3">
      <c r="A909" s="306"/>
      <c r="B909" s="159"/>
      <c r="C909" s="159"/>
      <c r="D909" s="159"/>
      <c r="E909" s="159"/>
      <c r="F909" s="159" t="s">
        <v>424</v>
      </c>
      <c r="G909" s="159"/>
      <c r="H909" s="159"/>
      <c r="I909" s="159"/>
      <c r="K909" s="159"/>
      <c r="L909" s="159"/>
      <c r="M909" s="173"/>
      <c r="O909" s="307"/>
      <c r="P909" s="159"/>
      <c r="S909" s="307"/>
      <c r="AC909" s="375" t="s">
        <v>17</v>
      </c>
      <c r="AD909" s="159">
        <f t="shared" si="199"/>
        <v>0</v>
      </c>
      <c r="AE909" s="159">
        <f t="shared" si="200"/>
        <v>0</v>
      </c>
      <c r="AF909" s="159">
        <f t="shared" si="201"/>
        <v>0</v>
      </c>
      <c r="AG909" s="159">
        <f t="shared" si="202"/>
        <v>0</v>
      </c>
      <c r="AH909" s="159">
        <f t="shared" si="203"/>
        <v>0</v>
      </c>
      <c r="AI909" s="159">
        <f t="shared" si="204"/>
        <v>0</v>
      </c>
      <c r="AJ909" s="159">
        <f t="shared" si="205"/>
        <v>200</v>
      </c>
      <c r="AK909" s="159">
        <f t="shared" si="206"/>
        <v>204</v>
      </c>
      <c r="AL909" s="159">
        <f t="shared" si="207"/>
        <v>165</v>
      </c>
      <c r="AM909" s="159">
        <f t="shared" si="208"/>
        <v>49</v>
      </c>
      <c r="AN909" s="159">
        <f t="shared" si="209"/>
        <v>58</v>
      </c>
      <c r="AO909" s="159">
        <f t="shared" si="210"/>
        <v>108</v>
      </c>
      <c r="AP909" s="159">
        <f t="shared" si="211"/>
        <v>19</v>
      </c>
      <c r="AQ909" s="159">
        <f t="shared" si="212"/>
        <v>50</v>
      </c>
      <c r="AR909" s="159">
        <f t="shared" si="213"/>
        <v>44</v>
      </c>
      <c r="AS909" s="374">
        <f t="shared" si="214"/>
        <v>897</v>
      </c>
    </row>
    <row r="910" spans="1:45" ht="15.75" customHeight="1" x14ac:dyDescent="0.3">
      <c r="A910" s="323" t="s">
        <v>1074</v>
      </c>
      <c r="O910" s="307"/>
      <c r="P910" s="159"/>
      <c r="Q910" s="159"/>
      <c r="R910" s="159"/>
      <c r="S910" s="307"/>
      <c r="AC910" s="375" t="s">
        <v>18</v>
      </c>
      <c r="AD910" s="159">
        <f t="shared" si="199"/>
        <v>0</v>
      </c>
      <c r="AE910" s="159">
        <f t="shared" si="200"/>
        <v>0</v>
      </c>
      <c r="AF910" s="159">
        <f t="shared" si="201"/>
        <v>0</v>
      </c>
      <c r="AG910" s="159">
        <f t="shared" si="202"/>
        <v>0</v>
      </c>
      <c r="AH910" s="159">
        <f t="shared" si="203"/>
        <v>0</v>
      </c>
      <c r="AI910" s="159">
        <f t="shared" si="204"/>
        <v>0</v>
      </c>
      <c r="AJ910" s="159">
        <f t="shared" si="205"/>
        <v>126</v>
      </c>
      <c r="AK910" s="159">
        <f t="shared" si="206"/>
        <v>154</v>
      </c>
      <c r="AL910" s="159">
        <f t="shared" si="207"/>
        <v>146</v>
      </c>
      <c r="AM910" s="159">
        <f t="shared" si="208"/>
        <v>46</v>
      </c>
      <c r="AN910" s="159">
        <f t="shared" si="209"/>
        <v>55</v>
      </c>
      <c r="AO910" s="159">
        <f t="shared" si="210"/>
        <v>107</v>
      </c>
      <c r="AP910" s="159">
        <f t="shared" si="211"/>
        <v>17</v>
      </c>
      <c r="AQ910" s="159">
        <f t="shared" si="212"/>
        <v>43</v>
      </c>
      <c r="AR910" s="159">
        <f t="shared" si="213"/>
        <v>41</v>
      </c>
      <c r="AS910" s="374">
        <f t="shared" si="214"/>
        <v>735</v>
      </c>
    </row>
    <row r="911" spans="1:45" ht="15.75" customHeight="1" x14ac:dyDescent="0.3">
      <c r="A911" s="323" t="s">
        <v>498</v>
      </c>
      <c r="D911" s="159"/>
      <c r="E911" s="159"/>
      <c r="F911" s="159"/>
      <c r="G911" s="159"/>
      <c r="H911" s="159"/>
      <c r="I911" s="159"/>
      <c r="J911" s="159"/>
      <c r="K911" s="159"/>
      <c r="L911" s="159"/>
      <c r="M911" s="159"/>
      <c r="N911" s="159"/>
      <c r="O911" s="324"/>
      <c r="P911" s="159"/>
      <c r="Q911" s="159"/>
      <c r="R911" s="159"/>
      <c r="S911" s="307"/>
      <c r="AC911" s="375" t="s">
        <v>20</v>
      </c>
      <c r="AD911" s="159">
        <f t="shared" si="199"/>
        <v>0</v>
      </c>
      <c r="AE911" s="159">
        <f t="shared" si="200"/>
        <v>0</v>
      </c>
      <c r="AF911" s="159">
        <f t="shared" si="201"/>
        <v>0</v>
      </c>
      <c r="AG911" s="159">
        <f t="shared" si="202"/>
        <v>0</v>
      </c>
      <c r="AH911" s="159">
        <f t="shared" si="203"/>
        <v>0</v>
      </c>
      <c r="AI911" s="159">
        <f t="shared" si="204"/>
        <v>0</v>
      </c>
      <c r="AJ911" s="159">
        <f t="shared" si="205"/>
        <v>79</v>
      </c>
      <c r="AK911" s="159">
        <f t="shared" si="206"/>
        <v>105</v>
      </c>
      <c r="AL911" s="159">
        <f t="shared" si="207"/>
        <v>99</v>
      </c>
      <c r="AM911" s="159">
        <f t="shared" si="208"/>
        <v>34</v>
      </c>
      <c r="AN911" s="159">
        <f t="shared" si="209"/>
        <v>40</v>
      </c>
      <c r="AO911" s="159">
        <f t="shared" si="210"/>
        <v>79</v>
      </c>
      <c r="AP911" s="159">
        <f t="shared" si="211"/>
        <v>15</v>
      </c>
      <c r="AQ911" s="159">
        <f t="shared" si="212"/>
        <v>38</v>
      </c>
      <c r="AR911" s="159">
        <f t="shared" si="213"/>
        <v>36</v>
      </c>
      <c r="AS911" s="374">
        <f t="shared" si="214"/>
        <v>525</v>
      </c>
    </row>
    <row r="912" spans="1:45" ht="15.75" customHeight="1" x14ac:dyDescent="0.3">
      <c r="A912" s="323" t="s">
        <v>1075</v>
      </c>
      <c r="D912" s="159"/>
      <c r="E912" s="159"/>
      <c r="F912" s="159"/>
      <c r="G912" s="159"/>
      <c r="H912" s="159"/>
      <c r="I912" s="159"/>
      <c r="J912" s="159"/>
      <c r="K912" s="159"/>
      <c r="L912" s="159"/>
      <c r="M912" s="159"/>
      <c r="N912" s="159"/>
      <c r="O912" s="324"/>
      <c r="P912" s="159"/>
      <c r="Q912" s="159"/>
      <c r="R912" s="159"/>
      <c r="S912" s="307"/>
      <c r="AC912" s="375" t="s">
        <v>21</v>
      </c>
      <c r="AD912" s="159">
        <f t="shared" si="199"/>
        <v>0</v>
      </c>
      <c r="AE912" s="159">
        <f t="shared" si="200"/>
        <v>0</v>
      </c>
      <c r="AF912" s="159">
        <f t="shared" si="201"/>
        <v>0</v>
      </c>
      <c r="AG912" s="159">
        <f t="shared" si="202"/>
        <v>0</v>
      </c>
      <c r="AH912" s="159">
        <f t="shared" si="203"/>
        <v>0</v>
      </c>
      <c r="AI912" s="159">
        <f t="shared" si="204"/>
        <v>0</v>
      </c>
      <c r="AJ912" s="159">
        <f t="shared" si="205"/>
        <v>45</v>
      </c>
      <c r="AK912" s="159">
        <f t="shared" si="206"/>
        <v>70</v>
      </c>
      <c r="AL912" s="159">
        <f t="shared" si="207"/>
        <v>70</v>
      </c>
      <c r="AM912" s="159">
        <f t="shared" si="208"/>
        <v>22</v>
      </c>
      <c r="AN912" s="159">
        <f t="shared" si="209"/>
        <v>26</v>
      </c>
      <c r="AO912" s="159">
        <f t="shared" si="210"/>
        <v>53</v>
      </c>
      <c r="AP912" s="159">
        <f t="shared" si="211"/>
        <v>11</v>
      </c>
      <c r="AQ912" s="159">
        <f t="shared" si="212"/>
        <v>38</v>
      </c>
      <c r="AR912" s="159">
        <f t="shared" si="213"/>
        <v>25</v>
      </c>
      <c r="AS912" s="374">
        <f t="shared" si="214"/>
        <v>360</v>
      </c>
    </row>
    <row r="913" spans="1:45" ht="15.75" customHeight="1" thickBot="1" x14ac:dyDescent="0.35">
      <c r="A913" s="326" t="s">
        <v>1076</v>
      </c>
      <c r="B913" s="312"/>
      <c r="C913" s="312"/>
      <c r="D913" s="327"/>
      <c r="E913" s="327"/>
      <c r="F913" s="327"/>
      <c r="G913" s="327"/>
      <c r="H913" s="327"/>
      <c r="I913" s="327"/>
      <c r="J913" s="327"/>
      <c r="K913" s="327"/>
      <c r="L913" s="327"/>
      <c r="M913" s="327"/>
      <c r="N913" s="327"/>
      <c r="O913" s="328"/>
      <c r="P913" s="159"/>
      <c r="Q913" s="159"/>
      <c r="R913" s="159"/>
      <c r="S913" s="307"/>
      <c r="AC913" s="375" t="s">
        <v>22</v>
      </c>
      <c r="AD913" s="159">
        <f t="shared" si="199"/>
        <v>0</v>
      </c>
      <c r="AE913" s="159">
        <f t="shared" si="200"/>
        <v>0</v>
      </c>
      <c r="AF913" s="159">
        <f t="shared" si="201"/>
        <v>0</v>
      </c>
      <c r="AG913" s="159">
        <f t="shared" si="202"/>
        <v>0</v>
      </c>
      <c r="AH913" s="159">
        <f t="shared" si="203"/>
        <v>0</v>
      </c>
      <c r="AI913" s="159">
        <f t="shared" si="204"/>
        <v>0</v>
      </c>
      <c r="AJ913" s="159">
        <f t="shared" si="205"/>
        <v>77</v>
      </c>
      <c r="AK913" s="159">
        <f t="shared" si="206"/>
        <v>117</v>
      </c>
      <c r="AL913" s="159">
        <f t="shared" si="207"/>
        <v>118</v>
      </c>
      <c r="AM913" s="159">
        <f t="shared" si="208"/>
        <v>42</v>
      </c>
      <c r="AN913" s="159">
        <f t="shared" si="209"/>
        <v>50</v>
      </c>
      <c r="AO913" s="159">
        <f t="shared" si="210"/>
        <v>101</v>
      </c>
      <c r="AP913" s="159">
        <f t="shared" si="211"/>
        <v>15</v>
      </c>
      <c r="AQ913" s="159">
        <f t="shared" si="212"/>
        <v>9</v>
      </c>
      <c r="AR913" s="159">
        <f t="shared" si="213"/>
        <v>36</v>
      </c>
      <c r="AS913" s="374">
        <f t="shared" si="214"/>
        <v>565</v>
      </c>
    </row>
    <row r="914" spans="1:45" ht="15.75" customHeight="1" thickBot="1" x14ac:dyDescent="0.35">
      <c r="A914" s="323"/>
      <c r="D914" s="159"/>
      <c r="E914" s="159"/>
      <c r="F914" s="159"/>
      <c r="G914" s="159"/>
      <c r="H914" s="159"/>
      <c r="I914" s="159"/>
      <c r="J914" s="159"/>
      <c r="K914" s="159"/>
      <c r="L914" s="159"/>
      <c r="M914" s="159"/>
      <c r="N914" s="159"/>
      <c r="O914" s="159"/>
      <c r="P914" s="159"/>
      <c r="Q914" s="159"/>
      <c r="R914" s="159"/>
      <c r="S914" s="307"/>
      <c r="AC914" s="306"/>
      <c r="AD914" s="159"/>
      <c r="AE914" s="159"/>
      <c r="AF914" s="159"/>
      <c r="AG914" s="159"/>
      <c r="AH914" s="159"/>
      <c r="AI914" s="159"/>
      <c r="AJ914" s="159"/>
      <c r="AK914" s="159"/>
      <c r="AL914" s="159"/>
      <c r="AM914" s="159"/>
      <c r="AN914" s="159"/>
      <c r="AO914" s="159"/>
      <c r="AP914" s="159"/>
      <c r="AQ914" s="159"/>
      <c r="AR914" s="159"/>
      <c r="AS914" s="374"/>
    </row>
    <row r="915" spans="1:45" ht="15.75" customHeight="1" thickBot="1" x14ac:dyDescent="0.35">
      <c r="A915" s="365"/>
      <c r="B915" s="534" t="s">
        <v>1077</v>
      </c>
      <c r="C915" s="535"/>
      <c r="D915" s="535"/>
      <c r="E915" s="535"/>
      <c r="F915" s="535"/>
      <c r="G915" s="535"/>
      <c r="H915" s="535"/>
      <c r="I915" s="535"/>
      <c r="J915" s="535"/>
      <c r="K915" s="535"/>
      <c r="L915" s="535"/>
      <c r="M915" s="535"/>
      <c r="N915" s="535"/>
      <c r="O915" s="535"/>
      <c r="P915" s="555"/>
      <c r="Q915" s="159"/>
      <c r="R915" s="159"/>
      <c r="S915" s="307"/>
      <c r="AC915" s="382" t="s">
        <v>422</v>
      </c>
      <c r="AD915" s="327">
        <f>SUM(AD902:AD913)</f>
        <v>0</v>
      </c>
      <c r="AE915" s="327">
        <f t="shared" ref="AE915:AS915" si="215">SUM(AE902:AE913)</f>
        <v>0</v>
      </c>
      <c r="AF915" s="327">
        <f t="shared" si="215"/>
        <v>0</v>
      </c>
      <c r="AG915" s="327">
        <f t="shared" si="215"/>
        <v>0</v>
      </c>
      <c r="AH915" s="327">
        <f t="shared" si="215"/>
        <v>0</v>
      </c>
      <c r="AI915" s="327">
        <f t="shared" si="215"/>
        <v>0</v>
      </c>
      <c r="AJ915" s="327">
        <f t="shared" si="215"/>
        <v>1492</v>
      </c>
      <c r="AK915" s="327">
        <f t="shared" si="215"/>
        <v>1805</v>
      </c>
      <c r="AL915" s="327">
        <f t="shared" si="215"/>
        <v>1523</v>
      </c>
      <c r="AM915" s="327">
        <f t="shared" si="215"/>
        <v>499</v>
      </c>
      <c r="AN915" s="327">
        <f t="shared" si="215"/>
        <v>589</v>
      </c>
      <c r="AO915" s="327">
        <f t="shared" si="215"/>
        <v>1160</v>
      </c>
      <c r="AP915" s="327">
        <f t="shared" si="215"/>
        <v>210</v>
      </c>
      <c r="AQ915" s="327">
        <f t="shared" si="215"/>
        <v>405</v>
      </c>
      <c r="AR915" s="327">
        <f t="shared" si="215"/>
        <v>500</v>
      </c>
      <c r="AS915" s="383">
        <f t="shared" si="215"/>
        <v>8183</v>
      </c>
    </row>
    <row r="916" spans="1:45" ht="15.75" customHeight="1" thickBot="1" x14ac:dyDescent="0.35">
      <c r="A916" s="365"/>
      <c r="B916" s="523" t="s">
        <v>1041</v>
      </c>
      <c r="C916" s="524"/>
      <c r="D916" s="524"/>
      <c r="E916" s="524"/>
      <c r="F916" s="525"/>
      <c r="G916" s="523" t="s">
        <v>1042</v>
      </c>
      <c r="H916" s="524"/>
      <c r="I916" s="524"/>
      <c r="J916" s="524"/>
      <c r="K916" s="524"/>
      <c r="L916" s="524"/>
      <c r="M916" s="526" t="s">
        <v>1043</v>
      </c>
      <c r="N916" s="536"/>
      <c r="O916" s="536"/>
      <c r="P916" s="523" t="s">
        <v>1044</v>
      </c>
      <c r="Q916" s="524"/>
      <c r="R916" s="525"/>
      <c r="S916" s="307"/>
    </row>
    <row r="917" spans="1:45" ht="15.75" customHeight="1" x14ac:dyDescent="0.3">
      <c r="A917" s="377"/>
      <c r="B917" s="325" t="s">
        <v>428</v>
      </c>
      <c r="C917" s="164"/>
      <c r="D917" s="164" t="s">
        <v>469</v>
      </c>
      <c r="E917" s="164" t="s">
        <v>470</v>
      </c>
      <c r="F917" s="333" t="s">
        <v>1045</v>
      </c>
      <c r="G917" s="325" t="s">
        <v>471</v>
      </c>
      <c r="H917" s="164"/>
      <c r="I917" s="164"/>
      <c r="J917" s="164" t="s">
        <v>472</v>
      </c>
      <c r="K917" s="164" t="s">
        <v>1046</v>
      </c>
      <c r="L917" s="164" t="s">
        <v>1047</v>
      </c>
      <c r="M917" s="537" t="str">
        <f>+M890</f>
        <v>(NE)* per WAPA 12/4/2013</v>
      </c>
      <c r="N917" s="538"/>
      <c r="O917" s="538"/>
      <c r="P917" s="325" t="s">
        <v>1049</v>
      </c>
      <c r="Q917" s="388" t="s">
        <v>486</v>
      </c>
      <c r="R917" s="389" t="s">
        <v>1050</v>
      </c>
      <c r="S917" s="307"/>
    </row>
    <row r="918" spans="1:45" ht="15.75" customHeight="1" x14ac:dyDescent="0.3">
      <c r="A918" s="377"/>
      <c r="B918" s="390" t="s">
        <v>1051</v>
      </c>
      <c r="C918" s="391" t="s">
        <v>1052</v>
      </c>
      <c r="D918" s="391" t="s">
        <v>1053</v>
      </c>
      <c r="E918" s="164" t="s">
        <v>442</v>
      </c>
      <c r="F918" s="392" t="s">
        <v>1054</v>
      </c>
      <c r="G918" s="325" t="s">
        <v>429</v>
      </c>
      <c r="H918" s="164" t="s">
        <v>478</v>
      </c>
      <c r="I918" s="164" t="s">
        <v>479</v>
      </c>
      <c r="J918" s="391" t="s">
        <v>1055</v>
      </c>
      <c r="K918" s="164" t="s">
        <v>1034</v>
      </c>
      <c r="L918" s="391" t="s">
        <v>1056</v>
      </c>
      <c r="M918" s="393" t="s">
        <v>1057</v>
      </c>
      <c r="N918" s="385" t="s">
        <v>1058</v>
      </c>
      <c r="O918" s="386" t="s">
        <v>422</v>
      </c>
      <c r="P918" s="325" t="s">
        <v>1061</v>
      </c>
      <c r="Q918" s="164" t="s">
        <v>1062</v>
      </c>
      <c r="R918" s="333" t="s">
        <v>1063</v>
      </c>
      <c r="S918" s="307"/>
    </row>
    <row r="919" spans="1:45" ht="15.75" customHeight="1" x14ac:dyDescent="0.3">
      <c r="A919" s="377"/>
      <c r="B919" s="395" t="s">
        <v>1064</v>
      </c>
      <c r="C919" s="169">
        <v>5.0000000000000001E-3</v>
      </c>
      <c r="D919" s="169">
        <v>4.2999999999999997E-2</v>
      </c>
      <c r="E919" s="164" t="s">
        <v>485</v>
      </c>
      <c r="F919" s="396" t="s">
        <v>1065</v>
      </c>
      <c r="G919" s="325" t="s">
        <v>1066</v>
      </c>
      <c r="H919" s="164" t="s">
        <v>442</v>
      </c>
      <c r="I919" s="164" t="s">
        <v>442</v>
      </c>
      <c r="J919" s="164" t="s">
        <v>442</v>
      </c>
      <c r="K919" s="164" t="s">
        <v>486</v>
      </c>
      <c r="L919" s="164" t="s">
        <v>1067</v>
      </c>
      <c r="M919" s="397" t="s">
        <v>434</v>
      </c>
      <c r="N919" s="386" t="s">
        <v>1068</v>
      </c>
      <c r="O919" s="386" t="s">
        <v>1069</v>
      </c>
      <c r="P919" s="325" t="s">
        <v>442</v>
      </c>
      <c r="Q919" s="164" t="s">
        <v>442</v>
      </c>
      <c r="R919" s="333" t="s">
        <v>442</v>
      </c>
      <c r="S919" s="307"/>
    </row>
    <row r="920" spans="1:45" ht="15.75" customHeight="1" x14ac:dyDescent="0.3">
      <c r="A920" s="377" t="s">
        <v>1071</v>
      </c>
      <c r="B920" s="325" t="s">
        <v>1078</v>
      </c>
      <c r="C920" s="164" t="s">
        <v>1078</v>
      </c>
      <c r="D920" s="164" t="s">
        <v>1078</v>
      </c>
      <c r="E920" s="164" t="s">
        <v>1078</v>
      </c>
      <c r="F920" s="164" t="s">
        <v>1078</v>
      </c>
      <c r="G920" s="325" t="s">
        <v>1078</v>
      </c>
      <c r="H920" s="164" t="s">
        <v>1078</v>
      </c>
      <c r="I920" s="164" t="s">
        <v>1078</v>
      </c>
      <c r="J920" s="164" t="s">
        <v>1078</v>
      </c>
      <c r="K920" s="164" t="s">
        <v>1078</v>
      </c>
      <c r="L920" s="164" t="s">
        <v>1078</v>
      </c>
      <c r="M920" s="397" t="s">
        <v>1078</v>
      </c>
      <c r="N920" s="386" t="s">
        <v>1079</v>
      </c>
      <c r="O920" s="386" t="s">
        <v>1078</v>
      </c>
      <c r="P920" s="325" t="s">
        <v>1078</v>
      </c>
      <c r="Q920" s="164" t="s">
        <v>1078</v>
      </c>
      <c r="R920" s="333" t="s">
        <v>1078</v>
      </c>
      <c r="S920" s="307"/>
    </row>
    <row r="921" spans="1:45" ht="15.75" customHeight="1" x14ac:dyDescent="0.3">
      <c r="A921" s="377" t="s">
        <v>409</v>
      </c>
      <c r="B921" s="325" t="s">
        <v>409</v>
      </c>
      <c r="C921" s="164" t="s">
        <v>409</v>
      </c>
      <c r="D921" s="164" t="s">
        <v>409</v>
      </c>
      <c r="E921" s="164" t="s">
        <v>493</v>
      </c>
      <c r="F921" s="333" t="s">
        <v>409</v>
      </c>
      <c r="G921" s="325" t="s">
        <v>409</v>
      </c>
      <c r="H921" s="164" t="s">
        <v>494</v>
      </c>
      <c r="I921" s="164" t="s">
        <v>494</v>
      </c>
      <c r="J921" s="164" t="s">
        <v>409</v>
      </c>
      <c r="K921" s="164" t="s">
        <v>409</v>
      </c>
      <c r="L921" s="164" t="s">
        <v>409</v>
      </c>
      <c r="M921" s="397" t="s">
        <v>409</v>
      </c>
      <c r="N921" s="386" t="s">
        <v>409</v>
      </c>
      <c r="O921" s="386" t="s">
        <v>409</v>
      </c>
      <c r="P921" s="325" t="s">
        <v>409</v>
      </c>
      <c r="Q921" s="164" t="s">
        <v>409</v>
      </c>
      <c r="R921" s="333" t="s">
        <v>409</v>
      </c>
      <c r="S921" s="307"/>
    </row>
    <row r="922" spans="1:45" ht="15.75" customHeight="1" x14ac:dyDescent="0.3">
      <c r="A922" s="365" t="s">
        <v>795</v>
      </c>
      <c r="B922" s="325">
        <f>+B895/($B$10*24)</f>
        <v>202.51986672483318</v>
      </c>
      <c r="C922" s="164">
        <f t="shared" ref="C922:P922" si="216">+C895/($B$10*24)</f>
        <v>1.0120967741935485</v>
      </c>
      <c r="D922" s="164">
        <f t="shared" si="216"/>
        <v>9.185483870967742</v>
      </c>
      <c r="E922" s="164">
        <f t="shared" si="216"/>
        <v>203.53196349902674</v>
      </c>
      <c r="F922" s="333">
        <f t="shared" si="216"/>
        <v>212.71744736999449</v>
      </c>
      <c r="G922" s="164">
        <f t="shared" si="216"/>
        <v>5.3140194103307348</v>
      </c>
      <c r="H922" s="164">
        <f t="shared" si="216"/>
        <v>14.341397849462366</v>
      </c>
      <c r="I922" s="164">
        <f t="shared" si="216"/>
        <v>0</v>
      </c>
      <c r="J922" s="164">
        <f t="shared" si="216"/>
        <v>14.341397849462366</v>
      </c>
      <c r="K922" s="164">
        <f t="shared" si="216"/>
        <v>0</v>
      </c>
      <c r="L922" s="164">
        <f t="shared" si="216"/>
        <v>0</v>
      </c>
      <c r="M922" s="399">
        <f>+M895/($B$10*24)</f>
        <v>202.16129032258064</v>
      </c>
      <c r="N922" s="400">
        <f t="shared" si="216"/>
        <v>0</v>
      </c>
      <c r="O922" s="386">
        <f t="shared" si="216"/>
        <v>202.16129032258064</v>
      </c>
      <c r="P922" s="414">
        <f t="shared" si="216"/>
        <v>-9.0992602123792832</v>
      </c>
      <c r="Q922" s="164" t="str">
        <f>+IF(P922&gt;=0,ABS(P922),"")</f>
        <v/>
      </c>
      <c r="R922" s="333">
        <f>+IF(P922&lt;=0,ABS(P922),"")</f>
        <v>9.0992602123792832</v>
      </c>
      <c r="S922" s="307"/>
    </row>
    <row r="923" spans="1:45" ht="15.75" customHeight="1" x14ac:dyDescent="0.3">
      <c r="A923" s="365" t="s">
        <v>9</v>
      </c>
      <c r="B923" s="325">
        <f>+B896/($C$10*24)</f>
        <v>322.15864443836483</v>
      </c>
      <c r="C923" s="164">
        <f t="shared" ref="C923:P923" si="217">+C896/($C$10*24)</f>
        <v>1.6101190476190477</v>
      </c>
      <c r="D923" s="164">
        <f t="shared" si="217"/>
        <v>15.092261904761905</v>
      </c>
      <c r="E923" s="164">
        <f t="shared" si="217"/>
        <v>323.76876348598387</v>
      </c>
      <c r="F923" s="333">
        <f t="shared" si="217"/>
        <v>338.86102539074574</v>
      </c>
      <c r="G923" s="164">
        <f t="shared" si="217"/>
        <v>0</v>
      </c>
      <c r="H923" s="164">
        <f t="shared" si="217"/>
        <v>19.313988095238095</v>
      </c>
      <c r="I923" s="164">
        <f t="shared" si="217"/>
        <v>0</v>
      </c>
      <c r="J923" s="164">
        <f t="shared" si="217"/>
        <v>19.313988095238095</v>
      </c>
      <c r="K923" s="164">
        <f t="shared" si="217"/>
        <v>0</v>
      </c>
      <c r="L923" s="164">
        <f t="shared" si="217"/>
        <v>0</v>
      </c>
      <c r="M923" s="399">
        <f t="shared" si="217"/>
        <v>364</v>
      </c>
      <c r="N923" s="400">
        <f t="shared" si="217"/>
        <v>0</v>
      </c>
      <c r="O923" s="386">
        <f t="shared" si="217"/>
        <v>364</v>
      </c>
      <c r="P923" s="414">
        <f t="shared" si="217"/>
        <v>-44.452962704492336</v>
      </c>
      <c r="Q923" s="164" t="str">
        <f t="shared" ref="Q923:Q933" si="218">+IF(P923&gt;=0,ABS(P923),"")</f>
        <v/>
      </c>
      <c r="R923" s="333">
        <f t="shared" ref="R923:R933" si="219">+IF(P923&lt;=0,ABS(P923),"")</f>
        <v>44.452962704492336</v>
      </c>
      <c r="S923" s="307"/>
    </row>
    <row r="924" spans="1:45" ht="15.75" customHeight="1" x14ac:dyDescent="0.3">
      <c r="A924" s="365" t="s">
        <v>10</v>
      </c>
      <c r="B924" s="325">
        <f>+B897/($D$10*24)</f>
        <v>400.96294863364636</v>
      </c>
      <c r="C924" s="164">
        <f t="shared" ref="C924:P924" si="220">+C897/($D$10*24)</f>
        <v>2.0053763440860215</v>
      </c>
      <c r="D924" s="164">
        <f t="shared" si="220"/>
        <v>18.447580645161292</v>
      </c>
      <c r="E924" s="164">
        <f t="shared" si="220"/>
        <v>402.96832497773238</v>
      </c>
      <c r="F924" s="333">
        <f t="shared" si="220"/>
        <v>421.41590562289366</v>
      </c>
      <c r="G924" s="164">
        <f t="shared" si="220"/>
        <v>0</v>
      </c>
      <c r="H924" s="164">
        <f t="shared" si="220"/>
        <v>24.196236559139784</v>
      </c>
      <c r="I924" s="164">
        <f t="shared" si="220"/>
        <v>0</v>
      </c>
      <c r="J924" s="164">
        <f t="shared" si="220"/>
        <v>24.196236559139784</v>
      </c>
      <c r="K924" s="164">
        <f t="shared" si="220"/>
        <v>0</v>
      </c>
      <c r="L924" s="164">
        <f t="shared" si="220"/>
        <v>0</v>
      </c>
      <c r="M924" s="399">
        <f t="shared" si="220"/>
        <v>417.96774193548384</v>
      </c>
      <c r="N924" s="400">
        <f t="shared" si="220"/>
        <v>0</v>
      </c>
      <c r="O924" s="386">
        <f t="shared" si="220"/>
        <v>417.96774193548384</v>
      </c>
      <c r="P924" s="414">
        <f t="shared" si="220"/>
        <v>-20.748072871730006</v>
      </c>
      <c r="Q924" s="164" t="str">
        <f t="shared" si="218"/>
        <v/>
      </c>
      <c r="R924" s="333">
        <f t="shared" si="219"/>
        <v>20.748072871730006</v>
      </c>
      <c r="S924" s="307"/>
    </row>
    <row r="925" spans="1:45" ht="15.75" customHeight="1" x14ac:dyDescent="0.3">
      <c r="A925" s="365" t="s">
        <v>12</v>
      </c>
      <c r="B925" s="325">
        <f>+B898/($F$10*24)</f>
        <v>418.93611085392774</v>
      </c>
      <c r="C925" s="164">
        <f t="shared" ref="C925:P925" si="221">+C898/($F$10*24)</f>
        <v>2.0944444444444446</v>
      </c>
      <c r="D925" s="164">
        <f t="shared" si="221"/>
        <v>19.024999999999999</v>
      </c>
      <c r="E925" s="164">
        <f t="shared" si="221"/>
        <v>421.03055529837218</v>
      </c>
      <c r="F925" s="333">
        <f t="shared" si="221"/>
        <v>440.05555529837221</v>
      </c>
      <c r="G925" s="164">
        <f t="shared" si="221"/>
        <v>7.8688765152437806E-2</v>
      </c>
      <c r="H925" s="164">
        <f t="shared" si="221"/>
        <v>26.030555555555555</v>
      </c>
      <c r="I925" s="164">
        <f t="shared" si="221"/>
        <v>0</v>
      </c>
      <c r="J925" s="164">
        <f t="shared" si="221"/>
        <v>26.030555555555555</v>
      </c>
      <c r="K925" s="164">
        <f t="shared" si="221"/>
        <v>0</v>
      </c>
      <c r="L925" s="164">
        <f t="shared" si="221"/>
        <v>0</v>
      </c>
      <c r="M925" s="399">
        <f t="shared" si="221"/>
        <v>412.06666666666666</v>
      </c>
      <c r="N925" s="400">
        <f t="shared" si="221"/>
        <v>0</v>
      </c>
      <c r="O925" s="386">
        <f t="shared" si="221"/>
        <v>412.06666666666666</v>
      </c>
      <c r="P925" s="414">
        <f t="shared" si="221"/>
        <v>1.8796443109975371</v>
      </c>
      <c r="Q925" s="164">
        <f t="shared" si="218"/>
        <v>1.8796443109975371</v>
      </c>
      <c r="R925" s="333" t="str">
        <f t="shared" si="219"/>
        <v/>
      </c>
      <c r="S925" s="307"/>
    </row>
    <row r="926" spans="1:45" ht="15.75" customHeight="1" x14ac:dyDescent="0.3">
      <c r="A926" s="365" t="s">
        <v>13</v>
      </c>
      <c r="B926" s="325">
        <f>+B899/($G$10*24)</f>
        <v>415.9820178322625</v>
      </c>
      <c r="C926" s="164">
        <f t="shared" ref="C926:P926" si="222">+C899/($G$10*24)</f>
        <v>2.079301075268817</v>
      </c>
      <c r="D926" s="164">
        <f t="shared" si="222"/>
        <v>18.903225806451612</v>
      </c>
      <c r="E926" s="164">
        <f t="shared" si="222"/>
        <v>418.0613189075313</v>
      </c>
      <c r="F926" s="333">
        <f t="shared" si="222"/>
        <v>436.96454471398295</v>
      </c>
      <c r="G926" s="164">
        <f t="shared" si="222"/>
        <v>2.0669127549408097</v>
      </c>
      <c r="H926" s="164">
        <f t="shared" si="222"/>
        <v>23.067204301075268</v>
      </c>
      <c r="I926" s="164">
        <f t="shared" si="222"/>
        <v>0</v>
      </c>
      <c r="J926" s="164">
        <f t="shared" si="222"/>
        <v>23.067204301075268</v>
      </c>
      <c r="K926" s="164">
        <f t="shared" si="222"/>
        <v>0</v>
      </c>
      <c r="L926" s="164">
        <f t="shared" si="222"/>
        <v>0</v>
      </c>
      <c r="M926" s="399">
        <f t="shared" si="222"/>
        <v>406.35483870967744</v>
      </c>
      <c r="N926" s="400">
        <f t="shared" si="222"/>
        <v>0</v>
      </c>
      <c r="O926" s="386">
        <f t="shared" si="222"/>
        <v>406.35483870967744</v>
      </c>
      <c r="P926" s="414">
        <f t="shared" si="222"/>
        <v>5.4755889482894613</v>
      </c>
      <c r="Q926" s="164">
        <f t="shared" si="218"/>
        <v>5.4755889482894613</v>
      </c>
      <c r="R926" s="333" t="str">
        <f t="shared" si="219"/>
        <v/>
      </c>
      <c r="S926" s="307"/>
    </row>
    <row r="927" spans="1:45" ht="15.75" customHeight="1" x14ac:dyDescent="0.3">
      <c r="A927" s="365" t="s">
        <v>14</v>
      </c>
      <c r="B927" s="325">
        <f>+B900/($H$10*24)</f>
        <v>330.88472222222219</v>
      </c>
      <c r="C927" s="164">
        <f t="shared" ref="C927:P927" si="223">+C900/($H$10*24)</f>
        <v>1.6541666666666666</v>
      </c>
      <c r="D927" s="164">
        <f t="shared" si="223"/>
        <v>14.802777777777777</v>
      </c>
      <c r="E927" s="164">
        <f t="shared" si="223"/>
        <v>332.53888888888889</v>
      </c>
      <c r="F927" s="333">
        <f t="shared" si="223"/>
        <v>347.34166666666664</v>
      </c>
      <c r="G927" s="164">
        <f t="shared" si="223"/>
        <v>12.145325923134896</v>
      </c>
      <c r="H927" s="164">
        <f t="shared" si="223"/>
        <v>20.202777777777779</v>
      </c>
      <c r="I927" s="164">
        <f t="shared" si="223"/>
        <v>0</v>
      </c>
      <c r="J927" s="164">
        <f t="shared" si="223"/>
        <v>20.202777777777779</v>
      </c>
      <c r="K927" s="164">
        <f t="shared" si="223"/>
        <v>0</v>
      </c>
      <c r="L927" s="164">
        <f t="shared" si="223"/>
        <v>0</v>
      </c>
      <c r="M927" s="399">
        <f t="shared" si="223"/>
        <v>306.83333333333331</v>
      </c>
      <c r="N927" s="400">
        <f t="shared" si="223"/>
        <v>0</v>
      </c>
      <c r="O927" s="386">
        <f t="shared" si="223"/>
        <v>306.83333333333331</v>
      </c>
      <c r="P927" s="414">
        <f t="shared" si="223"/>
        <v>8.1602296324206698</v>
      </c>
      <c r="Q927" s="164">
        <f t="shared" si="218"/>
        <v>8.1602296324206698</v>
      </c>
      <c r="R927" s="333" t="str">
        <f t="shared" si="219"/>
        <v/>
      </c>
      <c r="S927" s="307"/>
    </row>
    <row r="928" spans="1:45" ht="15.75" customHeight="1" x14ac:dyDescent="0.3">
      <c r="A928" s="365" t="s">
        <v>16</v>
      </c>
      <c r="B928" s="325">
        <f>+B901/($J$10*24)</f>
        <v>243.19892473118279</v>
      </c>
      <c r="C928" s="164">
        <f t="shared" ref="C928:P928" si="224">+C901/($J$10*24)</f>
        <v>1.2163978494623655</v>
      </c>
      <c r="D928" s="164">
        <f t="shared" si="224"/>
        <v>10.455645161290322</v>
      </c>
      <c r="E928" s="164">
        <f t="shared" si="224"/>
        <v>244.41532258064515</v>
      </c>
      <c r="F928" s="333">
        <f t="shared" si="224"/>
        <v>254.87096774193549</v>
      </c>
      <c r="G928" s="164">
        <f t="shared" si="224"/>
        <v>15.262618732761025</v>
      </c>
      <c r="H928" s="164">
        <f t="shared" si="224"/>
        <v>18.987903225806452</v>
      </c>
      <c r="I928" s="164">
        <f t="shared" si="224"/>
        <v>0</v>
      </c>
      <c r="J928" s="164">
        <f t="shared" si="224"/>
        <v>18.987903225806452</v>
      </c>
      <c r="K928" s="164">
        <f t="shared" si="224"/>
        <v>0</v>
      </c>
      <c r="L928" s="164">
        <f t="shared" si="224"/>
        <v>0</v>
      </c>
      <c r="M928" s="399">
        <f t="shared" si="224"/>
        <v>206.52688172043011</v>
      </c>
      <c r="N928" s="400">
        <f t="shared" si="224"/>
        <v>0</v>
      </c>
      <c r="O928" s="386">
        <f t="shared" si="224"/>
        <v>206.52688172043011</v>
      </c>
      <c r="P928" s="414">
        <f t="shared" si="224"/>
        <v>14.093564062937906</v>
      </c>
      <c r="Q928" s="164">
        <f t="shared" si="218"/>
        <v>14.093564062937906</v>
      </c>
      <c r="R928" s="333" t="str">
        <f t="shared" si="219"/>
        <v/>
      </c>
      <c r="S928" s="307"/>
    </row>
    <row r="929" spans="1:33" ht="15.75" customHeight="1" x14ac:dyDescent="0.3">
      <c r="A929" s="365" t="s">
        <v>17</v>
      </c>
      <c r="B929" s="325">
        <f>+B902/($K$10*24)</f>
        <v>256.65188172043008</v>
      </c>
      <c r="C929" s="164">
        <f t="shared" ref="C929:P929" si="225">+C902/($K$10*24)</f>
        <v>1.2836021505376345</v>
      </c>
      <c r="D929" s="164">
        <f t="shared" si="225"/>
        <v>11.056451612903226</v>
      </c>
      <c r="E929" s="164">
        <f t="shared" si="225"/>
        <v>257.93548387096774</v>
      </c>
      <c r="F929" s="333">
        <f t="shared" si="225"/>
        <v>268.99193548387098</v>
      </c>
      <c r="G929" s="164">
        <f t="shared" si="225"/>
        <v>9.5620366161872177</v>
      </c>
      <c r="H929" s="164">
        <f t="shared" si="225"/>
        <v>15.251344086021506</v>
      </c>
      <c r="I929" s="164">
        <f t="shared" si="225"/>
        <v>0</v>
      </c>
      <c r="J929" s="164">
        <f t="shared" si="225"/>
        <v>15.251344086021506</v>
      </c>
      <c r="K929" s="164">
        <f t="shared" si="225"/>
        <v>0</v>
      </c>
      <c r="L929" s="164">
        <f t="shared" si="225"/>
        <v>0</v>
      </c>
      <c r="M929" s="399">
        <f t="shared" si="225"/>
        <v>213.07526881720429</v>
      </c>
      <c r="N929" s="400">
        <f t="shared" si="225"/>
        <v>0</v>
      </c>
      <c r="O929" s="386">
        <f t="shared" si="225"/>
        <v>213.07526881720429</v>
      </c>
      <c r="P929" s="414">
        <f t="shared" si="225"/>
        <v>31.103285964457946</v>
      </c>
      <c r="Q929" s="164">
        <f t="shared" si="218"/>
        <v>31.103285964457946</v>
      </c>
      <c r="R929" s="333" t="str">
        <f t="shared" si="219"/>
        <v/>
      </c>
      <c r="S929" s="307"/>
    </row>
    <row r="930" spans="1:33" ht="15.75" customHeight="1" x14ac:dyDescent="0.3">
      <c r="A930" s="365" t="s">
        <v>18</v>
      </c>
      <c r="B930" s="325">
        <f>+B903/($L$10*24)</f>
        <v>330.44067233618972</v>
      </c>
      <c r="C930" s="164">
        <f t="shared" ref="C930:P930" si="226">+C903/($L$10*24)</f>
        <v>1.6527777777777777</v>
      </c>
      <c r="D930" s="164">
        <f t="shared" si="226"/>
        <v>14.977777777777778</v>
      </c>
      <c r="E930" s="164">
        <f t="shared" si="226"/>
        <v>332.09345011396749</v>
      </c>
      <c r="F930" s="333">
        <f t="shared" si="226"/>
        <v>347.07122789174531</v>
      </c>
      <c r="G930" s="164">
        <f t="shared" si="226"/>
        <v>0.78896759608138622</v>
      </c>
      <c r="H930" s="164">
        <f t="shared" si="226"/>
        <v>13.727777777777778</v>
      </c>
      <c r="I930" s="164">
        <f t="shared" si="226"/>
        <v>0</v>
      </c>
      <c r="J930" s="164">
        <f t="shared" si="226"/>
        <v>13.727777777777778</v>
      </c>
      <c r="K930" s="164">
        <f t="shared" si="226"/>
        <v>0</v>
      </c>
      <c r="L930" s="164">
        <f t="shared" si="226"/>
        <v>0</v>
      </c>
      <c r="M930" s="399">
        <f t="shared" si="226"/>
        <v>310.33333333333331</v>
      </c>
      <c r="N930" s="400">
        <f t="shared" si="226"/>
        <v>51</v>
      </c>
      <c r="O930" s="386">
        <f t="shared" si="226"/>
        <v>361.33333333333331</v>
      </c>
      <c r="P930" s="414">
        <f t="shared" si="226"/>
        <v>-28.778850815447207</v>
      </c>
      <c r="Q930" s="164" t="str">
        <f t="shared" si="218"/>
        <v/>
      </c>
      <c r="R930" s="333">
        <f t="shared" si="219"/>
        <v>28.778850815447207</v>
      </c>
      <c r="S930" s="307"/>
    </row>
    <row r="931" spans="1:33" ht="15.75" customHeight="1" x14ac:dyDescent="0.3">
      <c r="A931" s="365" t="s">
        <v>20</v>
      </c>
      <c r="B931" s="325">
        <f>+B904/($N$10*24)</f>
        <v>263.1752878738381</v>
      </c>
      <c r="C931" s="164">
        <f t="shared" ref="C931:P931" si="227">+C904/($N$10*24)</f>
        <v>1.3158602150537635</v>
      </c>
      <c r="D931" s="164">
        <f t="shared" si="227"/>
        <v>12.075268817204302</v>
      </c>
      <c r="E931" s="164">
        <f t="shared" si="227"/>
        <v>264.49114808889186</v>
      </c>
      <c r="F931" s="333">
        <f t="shared" si="227"/>
        <v>276.56641690609615</v>
      </c>
      <c r="G931" s="164">
        <f t="shared" si="227"/>
        <v>0</v>
      </c>
      <c r="H931" s="164">
        <f t="shared" si="227"/>
        <v>15.846774193548388</v>
      </c>
      <c r="I931" s="164">
        <f t="shared" si="227"/>
        <v>0</v>
      </c>
      <c r="J931" s="164">
        <f t="shared" si="227"/>
        <v>15.846774193548388</v>
      </c>
      <c r="K931" s="164">
        <f t="shared" si="227"/>
        <v>0</v>
      </c>
      <c r="L931" s="164">
        <f t="shared" si="227"/>
        <v>0</v>
      </c>
      <c r="M931" s="399">
        <f t="shared" si="227"/>
        <v>306.33333333333331</v>
      </c>
      <c r="N931" s="400">
        <f t="shared" si="227"/>
        <v>0</v>
      </c>
      <c r="O931" s="386">
        <f t="shared" si="227"/>
        <v>306.33333333333331</v>
      </c>
      <c r="P931" s="414">
        <f t="shared" si="227"/>
        <v>-45.613690620785562</v>
      </c>
      <c r="Q931" s="164" t="str">
        <f t="shared" si="218"/>
        <v/>
      </c>
      <c r="R931" s="333">
        <f t="shared" si="219"/>
        <v>45.613690620785562</v>
      </c>
      <c r="S931" s="307"/>
    </row>
    <row r="932" spans="1:33" ht="15.75" customHeight="1" x14ac:dyDescent="0.3">
      <c r="A932" s="365" t="s">
        <v>21</v>
      </c>
      <c r="B932" s="325">
        <f>+B905/($O$10*24)</f>
        <v>304.28200106754377</v>
      </c>
      <c r="C932" s="164">
        <f t="shared" ref="C932:P932" si="228">+C905/($O$10*24)</f>
        <v>1.5208333333333333</v>
      </c>
      <c r="D932" s="164">
        <f t="shared" si="228"/>
        <v>14.363888888888889</v>
      </c>
      <c r="E932" s="164">
        <f t="shared" si="228"/>
        <v>305.80283440087715</v>
      </c>
      <c r="F932" s="333">
        <f t="shared" si="228"/>
        <v>320.16672328976603</v>
      </c>
      <c r="G932" s="164">
        <f t="shared" si="228"/>
        <v>0</v>
      </c>
      <c r="H932" s="164">
        <f t="shared" si="228"/>
        <v>11.438888888888888</v>
      </c>
      <c r="I932" s="164">
        <f t="shared" si="228"/>
        <v>0</v>
      </c>
      <c r="J932" s="164">
        <f t="shared" si="228"/>
        <v>11.438888888888888</v>
      </c>
      <c r="K932" s="164">
        <f t="shared" si="228"/>
        <v>0</v>
      </c>
      <c r="L932" s="164">
        <f t="shared" si="228"/>
        <v>0</v>
      </c>
      <c r="M932" s="399">
        <f t="shared" si="228"/>
        <v>316</v>
      </c>
      <c r="N932" s="400">
        <f t="shared" si="228"/>
        <v>0</v>
      </c>
      <c r="O932" s="386">
        <f t="shared" si="228"/>
        <v>316</v>
      </c>
      <c r="P932" s="414">
        <f t="shared" si="228"/>
        <v>-7.2721655991228751</v>
      </c>
      <c r="Q932" s="164" t="str">
        <f t="shared" si="218"/>
        <v/>
      </c>
      <c r="R932" s="333">
        <f t="shared" si="219"/>
        <v>7.2721655991228751</v>
      </c>
      <c r="S932" s="307"/>
    </row>
    <row r="933" spans="1:33" ht="15.75" customHeight="1" thickBot="1" x14ac:dyDescent="0.35">
      <c r="A933" s="365" t="s">
        <v>22</v>
      </c>
      <c r="B933" s="330">
        <f>+B906/($P$10*24)</f>
        <v>263.93027310563781</v>
      </c>
      <c r="C933" s="335">
        <f t="shared" ref="C933:P933" si="229">+C906/($P$10*24)</f>
        <v>1.3198924731182795</v>
      </c>
      <c r="D933" s="335">
        <f t="shared" si="229"/>
        <v>12.036290322580646</v>
      </c>
      <c r="E933" s="335">
        <f t="shared" si="229"/>
        <v>265.25016557875608</v>
      </c>
      <c r="F933" s="405">
        <f t="shared" si="229"/>
        <v>277.28645590133675</v>
      </c>
      <c r="G933" s="335">
        <f t="shared" si="229"/>
        <v>0</v>
      </c>
      <c r="H933" s="335">
        <f t="shared" si="229"/>
        <v>11.813172043010752</v>
      </c>
      <c r="I933" s="335">
        <f t="shared" si="229"/>
        <v>0</v>
      </c>
      <c r="J933" s="335">
        <f t="shared" si="229"/>
        <v>11.813172043010752</v>
      </c>
      <c r="K933" s="335">
        <f t="shared" si="229"/>
        <v>0</v>
      </c>
      <c r="L933" s="335">
        <f t="shared" si="229"/>
        <v>0</v>
      </c>
      <c r="M933" s="451">
        <f t="shared" si="229"/>
        <v>311.33333333333331</v>
      </c>
      <c r="N933" s="410">
        <f t="shared" si="229"/>
        <v>25</v>
      </c>
      <c r="O933" s="407">
        <f t="shared" si="229"/>
        <v>336.33333333333331</v>
      </c>
      <c r="P933" s="415">
        <f t="shared" si="229"/>
        <v>-70.86004947500733</v>
      </c>
      <c r="Q933" s="335" t="str">
        <f t="shared" si="218"/>
        <v/>
      </c>
      <c r="R933" s="405">
        <f t="shared" si="219"/>
        <v>70.86004947500733</v>
      </c>
      <c r="S933" s="307"/>
    </row>
    <row r="934" spans="1:33" ht="15.75" customHeight="1" x14ac:dyDescent="0.3">
      <c r="A934" s="416"/>
      <c r="S934" s="307"/>
    </row>
    <row r="935" spans="1:33" ht="16.5" customHeight="1" thickBot="1" x14ac:dyDescent="0.35">
      <c r="A935" s="417"/>
      <c r="B935" s="312"/>
      <c r="C935" s="312"/>
      <c r="D935" s="312"/>
      <c r="E935" s="312"/>
      <c r="F935" s="312"/>
      <c r="G935" s="312"/>
      <c r="H935" s="312"/>
      <c r="I935" s="312"/>
      <c r="J935" s="312"/>
      <c r="K935" s="312"/>
      <c r="L935" s="312"/>
      <c r="M935" s="312"/>
      <c r="N935" s="312"/>
      <c r="O935" s="312"/>
      <c r="P935" s="312"/>
      <c r="Q935" s="312"/>
      <c r="R935" s="312"/>
      <c r="S935" s="313"/>
    </row>
    <row r="936" spans="1:33" ht="15.75" customHeight="1" x14ac:dyDescent="0.3">
      <c r="A936" s="166"/>
      <c r="B936" s="159"/>
      <c r="C936" s="159"/>
      <c r="D936" s="159"/>
      <c r="E936" s="159"/>
      <c r="F936" s="159"/>
      <c r="G936" s="159"/>
      <c r="H936" s="159"/>
      <c r="I936" s="159"/>
      <c r="J936" s="159"/>
      <c r="K936" s="159"/>
      <c r="L936" s="159"/>
      <c r="M936" s="159"/>
      <c r="N936" s="159"/>
      <c r="O936" s="159"/>
      <c r="P936" s="159"/>
      <c r="Q936" s="159"/>
      <c r="R936" s="159"/>
    </row>
    <row r="937" spans="1:33" ht="15.75" customHeight="1" x14ac:dyDescent="0.3">
      <c r="A937" s="418"/>
    </row>
    <row r="938" spans="1:33" ht="15.75" customHeight="1" thickBot="1" x14ac:dyDescent="0.35">
      <c r="A938" s="418"/>
    </row>
    <row r="939" spans="1:33" ht="15.75" customHeight="1" x14ac:dyDescent="0.3">
      <c r="A939" s="419"/>
      <c r="B939" s="506" t="s">
        <v>1080</v>
      </c>
      <c r="C939" s="506"/>
      <c r="D939" s="506"/>
      <c r="E939" s="506"/>
      <c r="F939" s="506"/>
      <c r="G939" s="506"/>
      <c r="H939" s="506"/>
      <c r="I939" s="506"/>
      <c r="J939" s="506"/>
      <c r="K939" s="506"/>
      <c r="L939" s="506"/>
      <c r="M939" s="506"/>
      <c r="N939" s="506"/>
      <c r="O939" s="506"/>
      <c r="P939" s="506"/>
      <c r="Q939" s="361" t="str">
        <f>+Q1</f>
        <v xml:space="preserve">PRINTED:  </v>
      </c>
      <c r="R939" s="367">
        <f ca="1">+R1</f>
        <v>44909.46975358796</v>
      </c>
      <c r="S939" s="332"/>
    </row>
    <row r="940" spans="1:33" ht="15.75" customHeight="1" x14ac:dyDescent="0.3">
      <c r="A940" s="420"/>
      <c r="B940" s="503" t="str">
        <f>+A8</f>
        <v>Revised:  2/10/2015</v>
      </c>
      <c r="C940" s="503"/>
      <c r="D940" s="503"/>
      <c r="E940" s="503"/>
      <c r="F940" s="503"/>
      <c r="G940" s="503"/>
      <c r="H940" s="503"/>
      <c r="I940" s="503"/>
      <c r="J940" s="503"/>
      <c r="K940" s="503"/>
      <c r="L940" s="503"/>
      <c r="M940" s="503"/>
      <c r="N940" s="503"/>
      <c r="O940" s="503"/>
      <c r="P940" s="503"/>
      <c r="Q940" s="159"/>
      <c r="R940" s="159"/>
      <c r="S940" s="307"/>
    </row>
    <row r="941" spans="1:33" ht="16.5" customHeight="1" x14ac:dyDescent="0.3">
      <c r="A941" s="420"/>
      <c r="B941" s="503" t="s">
        <v>1024</v>
      </c>
      <c r="C941" s="503"/>
      <c r="D941" s="503"/>
      <c r="E941" s="503"/>
      <c r="F941" s="503"/>
      <c r="G941" s="503"/>
      <c r="H941" s="503"/>
      <c r="I941" s="503"/>
      <c r="J941" s="503"/>
      <c r="K941" s="503"/>
      <c r="L941" s="503"/>
      <c r="M941" s="503"/>
      <c r="N941" s="503"/>
      <c r="O941" s="503"/>
      <c r="P941" s="503"/>
      <c r="Q941" s="159"/>
      <c r="R941" s="159"/>
      <c r="S941" s="307"/>
    </row>
    <row r="942" spans="1:33" ht="15.75" customHeight="1" x14ac:dyDescent="0.3">
      <c r="A942" s="420"/>
      <c r="B942" s="159"/>
      <c r="C942" s="159"/>
      <c r="D942" s="159"/>
      <c r="E942" s="159"/>
      <c r="F942" s="159"/>
      <c r="G942" s="159"/>
      <c r="H942" s="159"/>
      <c r="I942" s="159"/>
      <c r="J942" s="159"/>
      <c r="K942" s="159"/>
      <c r="L942" s="159"/>
      <c r="M942" s="159"/>
      <c r="N942" s="159"/>
      <c r="O942" s="159"/>
      <c r="P942" s="159"/>
      <c r="Q942" s="159"/>
      <c r="R942" s="159"/>
      <c r="S942" s="307"/>
      <c r="AG942" s="365"/>
    </row>
    <row r="943" spans="1:33" ht="15.75" customHeight="1" x14ac:dyDescent="0.3">
      <c r="A943" s="420"/>
      <c r="B943" s="539">
        <f>+A5</f>
        <v>2014</v>
      </c>
      <c r="C943" s="509"/>
      <c r="D943" s="509"/>
      <c r="E943" s="509"/>
      <c r="F943" s="509"/>
      <c r="G943" s="509"/>
      <c r="H943" s="509"/>
      <c r="I943" s="509"/>
      <c r="J943" s="509"/>
      <c r="K943" s="509"/>
      <c r="L943" s="509"/>
      <c r="M943" s="509"/>
      <c r="N943" s="509"/>
      <c r="O943" s="509"/>
      <c r="P943" s="509"/>
      <c r="Q943" s="159"/>
      <c r="R943" s="159"/>
      <c r="S943" s="307"/>
      <c r="AE943" s="4" t="s">
        <v>1081</v>
      </c>
      <c r="AF943" s="4" t="s">
        <v>1082</v>
      </c>
    </row>
    <row r="944" spans="1:33" ht="15.75" customHeight="1" thickBot="1" x14ac:dyDescent="0.35">
      <c r="A944" s="420"/>
      <c r="B944" s="503" t="s">
        <v>457</v>
      </c>
      <c r="C944" s="503"/>
      <c r="D944" s="503"/>
      <c r="E944" s="503"/>
      <c r="F944" s="503"/>
      <c r="G944" s="503"/>
      <c r="H944" s="503"/>
      <c r="I944" s="503"/>
      <c r="J944" s="503"/>
      <c r="K944" s="503"/>
      <c r="L944" s="503"/>
      <c r="M944" s="503"/>
      <c r="N944" s="503"/>
      <c r="O944" s="503"/>
      <c r="P944" s="503"/>
      <c r="Q944" s="159"/>
      <c r="R944" s="159"/>
      <c r="S944" s="307"/>
      <c r="AC944" s="4" t="s">
        <v>1083</v>
      </c>
      <c r="AD944" s="421" t="s">
        <v>10</v>
      </c>
      <c r="AE944" s="4" t="e">
        <f ca="1">DAY(DATE($A$5,MonthFromText(AD944)+1,1)-1)</f>
        <v>#NAME?</v>
      </c>
    </row>
    <row r="945" spans="1:50" ht="15.75" customHeight="1" x14ac:dyDescent="0.3">
      <c r="A945" s="420"/>
      <c r="B945" s="546" t="s">
        <v>1084</v>
      </c>
      <c r="C945" s="547"/>
      <c r="D945" s="548"/>
      <c r="E945" s="164"/>
      <c r="F945" s="164"/>
      <c r="G945" s="164"/>
      <c r="H945" s="164"/>
      <c r="I945" s="164"/>
      <c r="J945" s="164"/>
      <c r="K945" s="164"/>
      <c r="L945" s="164"/>
      <c r="M945" s="164"/>
      <c r="N945" s="164"/>
      <c r="O945" s="164"/>
      <c r="P945" s="164"/>
      <c r="Q945" s="159"/>
      <c r="R945" s="159"/>
      <c r="S945" s="422"/>
    </row>
    <row r="946" spans="1:50" ht="15.75" customHeight="1" thickBot="1" x14ac:dyDescent="0.35">
      <c r="A946" s="364" t="s">
        <v>1071</v>
      </c>
      <c r="B946" s="423" t="s">
        <v>1085</v>
      </c>
      <c r="C946" s="424" t="s">
        <v>1086</v>
      </c>
      <c r="D946" s="425" t="s">
        <v>1087</v>
      </c>
      <c r="E946" s="424" t="s">
        <v>391</v>
      </c>
      <c r="F946" s="424" t="s">
        <v>392</v>
      </c>
      <c r="G946" s="424" t="s">
        <v>393</v>
      </c>
      <c r="H946" s="424" t="s">
        <v>1088</v>
      </c>
      <c r="I946" s="424" t="s">
        <v>1089</v>
      </c>
      <c r="J946" s="424" t="s">
        <v>395</v>
      </c>
      <c r="K946" s="424" t="s">
        <v>396</v>
      </c>
      <c r="L946" s="424" t="s">
        <v>397</v>
      </c>
      <c r="M946" s="424" t="s">
        <v>398</v>
      </c>
      <c r="N946" s="424" t="s">
        <v>399</v>
      </c>
      <c r="O946" s="424" t="s">
        <v>400</v>
      </c>
      <c r="P946" s="424" t="s">
        <v>401</v>
      </c>
      <c r="Q946" s="424" t="s">
        <v>402</v>
      </c>
      <c r="R946" s="424" t="s">
        <v>403</v>
      </c>
      <c r="S946" s="425" t="s">
        <v>404</v>
      </c>
      <c r="T946" s="426" t="s">
        <v>1090</v>
      </c>
      <c r="U946" s="426" t="s">
        <v>1091</v>
      </c>
      <c r="V946" s="426" t="s">
        <v>1092</v>
      </c>
      <c r="AD946" s="364" t="s">
        <v>390</v>
      </c>
      <c r="AE946" s="364" t="s">
        <v>391</v>
      </c>
      <c r="AF946" s="364" t="s">
        <v>392</v>
      </c>
      <c r="AG946" s="364" t="s">
        <v>393</v>
      </c>
      <c r="AH946" s="364" t="s">
        <v>394</v>
      </c>
      <c r="AI946" s="364" t="s">
        <v>395</v>
      </c>
      <c r="AJ946" s="364" t="s">
        <v>396</v>
      </c>
      <c r="AK946" s="364" t="s">
        <v>397</v>
      </c>
      <c r="AL946" s="364" t="s">
        <v>398</v>
      </c>
      <c r="AM946" s="364" t="s">
        <v>399</v>
      </c>
      <c r="AN946" s="364" t="s">
        <v>400</v>
      </c>
      <c r="AO946" s="364" t="s">
        <v>401</v>
      </c>
      <c r="AP946" s="364" t="s">
        <v>402</v>
      </c>
      <c r="AQ946" s="364" t="s">
        <v>403</v>
      </c>
      <c r="AR946" s="364" t="s">
        <v>404</v>
      </c>
      <c r="AS946" s="364" t="s">
        <v>422</v>
      </c>
      <c r="AT946" s="364" t="s">
        <v>477</v>
      </c>
      <c r="AU946" s="364" t="s">
        <v>422</v>
      </c>
      <c r="AW946" s="426" t="s">
        <v>1093</v>
      </c>
      <c r="AX946" s="426" t="s">
        <v>1094</v>
      </c>
    </row>
    <row r="947" spans="1:50" ht="15.75" customHeight="1" x14ac:dyDescent="0.3">
      <c r="A947" s="375" t="s">
        <v>795</v>
      </c>
      <c r="B947" s="375">
        <f t="shared" ref="B947:C958" si="230">+F974</f>
        <v>245</v>
      </c>
      <c r="C947" s="365">
        <f t="shared" si="230"/>
        <v>0</v>
      </c>
      <c r="D947" s="427" t="s">
        <v>1095</v>
      </c>
      <c r="E947" s="365">
        <f t="shared" ref="E947:S947" si="231">+C867/$B$10/24</f>
        <v>13.58467741935484</v>
      </c>
      <c r="F947" s="365">
        <f t="shared" si="231"/>
        <v>14.236559139784946</v>
      </c>
      <c r="G947" s="365">
        <f t="shared" si="231"/>
        <v>23.958333333333332</v>
      </c>
      <c r="H947" s="365">
        <f t="shared" si="231"/>
        <v>15.429812961392313</v>
      </c>
      <c r="I947" s="365">
        <f t="shared" si="231"/>
        <v>-5.3140194103307348</v>
      </c>
      <c r="J947" s="365">
        <f t="shared" si="231"/>
        <v>4.309139784946237</v>
      </c>
      <c r="K947" s="365">
        <f t="shared" si="231"/>
        <v>3.3561827956989245</v>
      </c>
      <c r="L947" s="365">
        <f t="shared" si="231"/>
        <v>5.2405913978494629</v>
      </c>
      <c r="M947" s="365">
        <f t="shared" si="231"/>
        <v>5.258064516129032</v>
      </c>
      <c r="N947" s="365">
        <f t="shared" si="231"/>
        <v>1.389784946236559</v>
      </c>
      <c r="O947" s="365">
        <f t="shared" si="231"/>
        <v>1.635752688172043</v>
      </c>
      <c r="P947" s="365">
        <f t="shared" si="231"/>
        <v>3.4623655913978495</v>
      </c>
      <c r="Q947" s="365">
        <f t="shared" si="231"/>
        <v>1.1505376344086022</v>
      </c>
      <c r="R947" s="365">
        <f t="shared" si="231"/>
        <v>9.5430107526881733E-2</v>
      </c>
      <c r="S947" s="427">
        <f t="shared" si="231"/>
        <v>2.724462365591398</v>
      </c>
      <c r="T947" s="365">
        <f t="shared" ref="T947:T958" si="232">+B947+SUM(E947:S947)</f>
        <v>335.51767527149173</v>
      </c>
      <c r="U947" s="365">
        <f t="shared" ref="U947:U958" si="233">+C947+SUM(E947:S947)</f>
        <v>90.517675271491697</v>
      </c>
      <c r="V947" s="365" t="s">
        <v>1095</v>
      </c>
      <c r="AC947" s="4">
        <v>1</v>
      </c>
      <c r="AD947" s="365">
        <f t="shared" ref="AD947:AD952" si="234">IF($AF$944=1,VLOOKUP($AD$944,$A$974:$P$985,12,FALSE),VLOOKUP($AD$944,$A$947:$S$958,2,FALSE))</f>
        <v>294</v>
      </c>
      <c r="AE947" s="365">
        <f>VLOOKUP($AD$944,$A$947:$S$958,5,FALSE)</f>
        <v>28.721774193548388</v>
      </c>
      <c r="AF947" s="365">
        <f>VLOOKUP($AD$944,$A$947:$S$958,6,FALSE)</f>
        <v>30.048387096774192</v>
      </c>
      <c r="AG947" s="365">
        <f>VLOOKUP($AD$944,$A$947:$S$958,7,FALSE)</f>
        <v>50.240591397849464</v>
      </c>
      <c r="AH947" s="365">
        <f>VLOOKUP($AD$944,$A$947:$S$958,8,FALSE)</f>
        <v>14.269400246549571</v>
      </c>
      <c r="AI947" s="365">
        <f>VLOOKUP($AD$944,$A$947:$S$958,10,FALSE)</f>
        <v>11.376344086021506</v>
      </c>
      <c r="AJ947" s="365">
        <f>VLOOKUP($AD$944,$A$947:$S$958,11,FALSE)</f>
        <v>7.538978494623656</v>
      </c>
      <c r="AK947" s="365">
        <f>VLOOKUP($AD$944,$A$947:$S$958,12,FALSE)</f>
        <v>8.720430107526882</v>
      </c>
      <c r="AL947" s="365">
        <f>VLOOKUP($AD$944,$A$947:$S$958,13,FALSE)</f>
        <v>7.502688172043011</v>
      </c>
      <c r="AM947" s="365">
        <f>VLOOKUP($AD$944,$A$947:$S$958,14,FALSE)</f>
        <v>2.6747311827956985</v>
      </c>
      <c r="AN947" s="365">
        <f>VLOOKUP($AD$944,$A$947:$S$958,15,FALSE)</f>
        <v>3.1518817204301075</v>
      </c>
      <c r="AO947" s="365">
        <f>VLOOKUP($AD$944,$A$947:$S$958,16,FALSE)</f>
        <v>6.4865591397849469</v>
      </c>
      <c r="AP947" s="365">
        <f>VLOOKUP($AD$944,$A$947:$S$958,17,FALSE)</f>
        <v>0.93682795698924737</v>
      </c>
      <c r="AQ947" s="365">
        <f>VLOOKUP($AD$944,$A$947:$S$958,18,FALSE)</f>
        <v>1.428763440860215</v>
      </c>
      <c r="AR947" s="365">
        <f>VLOOKUP($AD$944,$A$947:$S$958,19,FALSE)</f>
        <v>2.2150537634408605</v>
      </c>
      <c r="AS947" s="365">
        <f>SUM(AD947:AR947)</f>
        <v>469.31241099923784</v>
      </c>
      <c r="AT947" s="365" t="e">
        <f ca="1">VLOOKUP($AD$944,$AC$867:$AS$878,17,FALSE)/$AE$944*(AS947/$AS$971)</f>
        <v>#NAME?</v>
      </c>
      <c r="AU947" s="365" t="e">
        <f ca="1">AS947+AT947</f>
        <v>#NAME?</v>
      </c>
      <c r="AW947" s="365" t="e">
        <f ca="1">VLOOKUP($AD$944,$A$895:$O$908,15,FALSE)/$AE$944/24</f>
        <v>#NAME?</v>
      </c>
      <c r="AX947" s="365" t="e">
        <f ca="1">AU947-AW947</f>
        <v>#NAME?</v>
      </c>
    </row>
    <row r="948" spans="1:50" ht="15.75" customHeight="1" x14ac:dyDescent="0.3">
      <c r="A948" s="375" t="s">
        <v>9</v>
      </c>
      <c r="B948" s="375">
        <f t="shared" si="230"/>
        <v>294</v>
      </c>
      <c r="C948" s="365">
        <f t="shared" si="230"/>
        <v>147</v>
      </c>
      <c r="D948" s="427" t="s">
        <v>1095</v>
      </c>
      <c r="E948" s="365">
        <f t="shared" ref="E948:S948" si="235">+C868/$C$10/24</f>
        <v>23.476190476190478</v>
      </c>
      <c r="F948" s="365">
        <f t="shared" si="235"/>
        <v>24.558035714285712</v>
      </c>
      <c r="G948" s="365">
        <f t="shared" si="235"/>
        <v>41.30654761904762</v>
      </c>
      <c r="H948" s="365">
        <f t="shared" si="235"/>
        <v>16.997930152650532</v>
      </c>
      <c r="I948" s="365">
        <f t="shared" si="235"/>
        <v>0</v>
      </c>
      <c r="J948" s="365">
        <f t="shared" si="235"/>
        <v>7.2767857142857144</v>
      </c>
      <c r="K948" s="365">
        <f t="shared" si="235"/>
        <v>3.4389880952380953</v>
      </c>
      <c r="L948" s="365">
        <f t="shared" si="235"/>
        <v>5.2797619047619042</v>
      </c>
      <c r="M948" s="365">
        <f t="shared" si="235"/>
        <v>5.2232142857142856</v>
      </c>
      <c r="N948" s="365">
        <f t="shared" si="235"/>
        <v>1.6577380952380951</v>
      </c>
      <c r="O948" s="365">
        <f t="shared" si="235"/>
        <v>1.9523809523809523</v>
      </c>
      <c r="P948" s="365">
        <f t="shared" si="235"/>
        <v>4.1056547619047619</v>
      </c>
      <c r="Q948" s="365">
        <f t="shared" si="235"/>
        <v>0.73214285714285721</v>
      </c>
      <c r="R948" s="365">
        <f t="shared" si="235"/>
        <v>5.9523809523809527E-2</v>
      </c>
      <c r="S948" s="427">
        <f t="shared" si="235"/>
        <v>1.7336309523809523</v>
      </c>
      <c r="T948" s="365">
        <f t="shared" si="232"/>
        <v>431.79852539074579</v>
      </c>
      <c r="U948" s="365">
        <f t="shared" si="233"/>
        <v>284.79852539074579</v>
      </c>
      <c r="V948" s="365" t="s">
        <v>1095</v>
      </c>
      <c r="AC948" s="4">
        <v>2</v>
      </c>
      <c r="AD948" s="365">
        <f t="shared" si="234"/>
        <v>294</v>
      </c>
      <c r="AE948" s="365">
        <f t="shared" ref="AE948:AE970" si="236">VLOOKUP($AD$944,$A$947:$S$958,5,FALSE)</f>
        <v>28.721774193548388</v>
      </c>
      <c r="AF948" s="365">
        <f t="shared" ref="AF948:AF970" si="237">VLOOKUP($AD$944,$A$947:$S$958,6,FALSE)</f>
        <v>30.048387096774192</v>
      </c>
      <c r="AG948" s="365">
        <f t="shared" ref="AG948:AG970" si="238">VLOOKUP($AD$944,$A$947:$S$958,7,FALSE)</f>
        <v>50.240591397849464</v>
      </c>
      <c r="AH948" s="365">
        <f t="shared" ref="AH948:AH970" si="239">VLOOKUP($AD$944,$A$947:$S$958,8,FALSE)</f>
        <v>14.269400246549571</v>
      </c>
      <c r="AI948" s="365">
        <f t="shared" ref="AI948:AI970" si="240">VLOOKUP($AD$944,$A$947:$S$958,10,FALSE)</f>
        <v>11.376344086021506</v>
      </c>
      <c r="AJ948" s="365">
        <f t="shared" ref="AJ948:AJ970" si="241">VLOOKUP($AD$944,$A$947:$S$958,11,FALSE)</f>
        <v>7.538978494623656</v>
      </c>
      <c r="AK948" s="365">
        <f t="shared" ref="AK948:AK970" si="242">VLOOKUP($AD$944,$A$947:$S$958,12,FALSE)</f>
        <v>8.720430107526882</v>
      </c>
      <c r="AL948" s="365">
        <f t="shared" ref="AL948:AL970" si="243">VLOOKUP($AD$944,$A$947:$S$958,13,FALSE)</f>
        <v>7.502688172043011</v>
      </c>
      <c r="AM948" s="365">
        <f t="shared" ref="AM948:AM970" si="244">VLOOKUP($AD$944,$A$947:$S$958,14,FALSE)</f>
        <v>2.6747311827956985</v>
      </c>
      <c r="AN948" s="365">
        <f t="shared" ref="AN948:AN970" si="245">VLOOKUP($AD$944,$A$947:$S$958,15,FALSE)</f>
        <v>3.1518817204301075</v>
      </c>
      <c r="AO948" s="365">
        <f t="shared" ref="AO948:AO970" si="246">VLOOKUP($AD$944,$A$947:$S$958,16,FALSE)</f>
        <v>6.4865591397849469</v>
      </c>
      <c r="AP948" s="365">
        <f t="shared" ref="AP948:AP970" si="247">VLOOKUP($AD$944,$A$947:$S$958,17,FALSE)</f>
        <v>0.93682795698924737</v>
      </c>
      <c r="AQ948" s="365">
        <f t="shared" ref="AQ948:AQ970" si="248">VLOOKUP($AD$944,$A$947:$S$958,18,FALSE)</f>
        <v>1.428763440860215</v>
      </c>
      <c r="AR948" s="365">
        <f t="shared" ref="AR948:AR970" si="249">VLOOKUP($AD$944,$A$947:$S$958,19,FALSE)</f>
        <v>2.2150537634408605</v>
      </c>
      <c r="AS948" s="365">
        <f t="shared" ref="AS948:AS970" si="250">SUM(AD948:AR948)</f>
        <v>469.31241099923784</v>
      </c>
      <c r="AT948" s="365" t="e">
        <f t="shared" ref="AT948:AT970" ca="1" si="251">VLOOKUP($AD$944,$AC$867:$AS$878,17,FALSE)/$AE$944*(AS948/$AS$971)</f>
        <v>#NAME?</v>
      </c>
      <c r="AU948" s="365" t="e">
        <f t="shared" ref="AU948:AU970" ca="1" si="252">AS948+AT948</f>
        <v>#NAME?</v>
      </c>
      <c r="AW948" s="365" t="e">
        <f t="shared" ref="AW948:AW970" ca="1" si="253">VLOOKUP($AD$944,$A$895:$O$908,15,FALSE)/$AE$944/24</f>
        <v>#NAME?</v>
      </c>
      <c r="AX948" s="365" t="e">
        <f t="shared" ref="AX948:AX970" ca="1" si="254">AU948-AW948</f>
        <v>#NAME?</v>
      </c>
    </row>
    <row r="949" spans="1:50" ht="15.75" customHeight="1" x14ac:dyDescent="0.3">
      <c r="A949" s="375" t="s">
        <v>10</v>
      </c>
      <c r="B949" s="375">
        <f t="shared" si="230"/>
        <v>294</v>
      </c>
      <c r="C949" s="365">
        <f t="shared" si="230"/>
        <v>196</v>
      </c>
      <c r="D949" s="427" t="s">
        <v>1095</v>
      </c>
      <c r="E949" s="365">
        <f t="shared" ref="E949:S949" si="255">+C869/$D$10/24</f>
        <v>28.721774193548388</v>
      </c>
      <c r="F949" s="365">
        <f t="shared" si="255"/>
        <v>30.048387096774192</v>
      </c>
      <c r="G949" s="365">
        <f t="shared" si="255"/>
        <v>50.240591397849464</v>
      </c>
      <c r="H949" s="365">
        <f t="shared" si="255"/>
        <v>14.269400246549571</v>
      </c>
      <c r="I949" s="365">
        <f t="shared" si="255"/>
        <v>0</v>
      </c>
      <c r="J949" s="365">
        <f t="shared" si="255"/>
        <v>11.376344086021506</v>
      </c>
      <c r="K949" s="365">
        <f t="shared" si="255"/>
        <v>7.538978494623656</v>
      </c>
      <c r="L949" s="365">
        <f t="shared" si="255"/>
        <v>8.720430107526882</v>
      </c>
      <c r="M949" s="365">
        <f t="shared" si="255"/>
        <v>7.502688172043011</v>
      </c>
      <c r="N949" s="365">
        <f t="shared" si="255"/>
        <v>2.6747311827956985</v>
      </c>
      <c r="O949" s="365">
        <f t="shared" si="255"/>
        <v>3.1518817204301075</v>
      </c>
      <c r="P949" s="365">
        <f t="shared" si="255"/>
        <v>6.4865591397849469</v>
      </c>
      <c r="Q949" s="365">
        <f t="shared" si="255"/>
        <v>0.93682795698924737</v>
      </c>
      <c r="R949" s="365">
        <f t="shared" si="255"/>
        <v>1.428763440860215</v>
      </c>
      <c r="S949" s="427">
        <f t="shared" si="255"/>
        <v>2.2150537634408605</v>
      </c>
      <c r="T949" s="365">
        <f t="shared" si="232"/>
        <v>469.31241099923773</v>
      </c>
      <c r="U949" s="365">
        <f t="shared" si="233"/>
        <v>371.31241099923773</v>
      </c>
      <c r="V949" s="365" t="s">
        <v>1095</v>
      </c>
      <c r="AC949" s="4">
        <v>3</v>
      </c>
      <c r="AD949" s="365">
        <f t="shared" si="234"/>
        <v>294</v>
      </c>
      <c r="AE949" s="365">
        <f t="shared" si="236"/>
        <v>28.721774193548388</v>
      </c>
      <c r="AF949" s="365">
        <f t="shared" si="237"/>
        <v>30.048387096774192</v>
      </c>
      <c r="AG949" s="365">
        <f t="shared" si="238"/>
        <v>50.240591397849464</v>
      </c>
      <c r="AH949" s="365">
        <f t="shared" si="239"/>
        <v>14.269400246549571</v>
      </c>
      <c r="AI949" s="365">
        <f t="shared" si="240"/>
        <v>11.376344086021506</v>
      </c>
      <c r="AJ949" s="365">
        <f t="shared" si="241"/>
        <v>7.538978494623656</v>
      </c>
      <c r="AK949" s="365">
        <f t="shared" si="242"/>
        <v>8.720430107526882</v>
      </c>
      <c r="AL949" s="365">
        <f t="shared" si="243"/>
        <v>7.502688172043011</v>
      </c>
      <c r="AM949" s="365">
        <f t="shared" si="244"/>
        <v>2.6747311827956985</v>
      </c>
      <c r="AN949" s="365">
        <f t="shared" si="245"/>
        <v>3.1518817204301075</v>
      </c>
      <c r="AO949" s="365">
        <f t="shared" si="246"/>
        <v>6.4865591397849469</v>
      </c>
      <c r="AP949" s="365">
        <f t="shared" si="247"/>
        <v>0.93682795698924737</v>
      </c>
      <c r="AQ949" s="365">
        <f t="shared" si="248"/>
        <v>1.428763440860215</v>
      </c>
      <c r="AR949" s="365">
        <f t="shared" si="249"/>
        <v>2.2150537634408605</v>
      </c>
      <c r="AS949" s="365">
        <f t="shared" si="250"/>
        <v>469.31241099923784</v>
      </c>
      <c r="AT949" s="365" t="e">
        <f t="shared" ca="1" si="251"/>
        <v>#NAME?</v>
      </c>
      <c r="AU949" s="365" t="e">
        <f t="shared" ca="1" si="252"/>
        <v>#NAME?</v>
      </c>
      <c r="AW949" s="365" t="e">
        <f t="shared" ca="1" si="253"/>
        <v>#NAME?</v>
      </c>
      <c r="AX949" s="365" t="e">
        <f t="shared" ca="1" si="254"/>
        <v>#NAME?</v>
      </c>
    </row>
    <row r="950" spans="1:50" ht="15.75" customHeight="1" x14ac:dyDescent="0.3">
      <c r="A950" s="375" t="s">
        <v>12</v>
      </c>
      <c r="B950" s="375">
        <f t="shared" si="230"/>
        <v>294</v>
      </c>
      <c r="C950" s="365">
        <f t="shared" si="230"/>
        <v>196</v>
      </c>
      <c r="D950" s="427" t="s">
        <v>1095</v>
      </c>
      <c r="E950" s="365">
        <f t="shared" ref="E950:S950" si="256">+C870/$F$10/24</f>
        <v>30.06527777777778</v>
      </c>
      <c r="F950" s="365">
        <f t="shared" si="256"/>
        <v>31.481944444444448</v>
      </c>
      <c r="G950" s="365">
        <f t="shared" si="256"/>
        <v>52</v>
      </c>
      <c r="H950" s="365">
        <f t="shared" si="256"/>
        <v>3.0027775205944192</v>
      </c>
      <c r="I950" s="365">
        <f t="shared" si="256"/>
        <v>-7.8688765152437806E-2</v>
      </c>
      <c r="J950" s="365">
        <f t="shared" si="256"/>
        <v>15.895833333333334</v>
      </c>
      <c r="K950" s="365">
        <f t="shared" si="256"/>
        <v>9.0416666666666661</v>
      </c>
      <c r="L950" s="365">
        <f t="shared" si="256"/>
        <v>12.031944444444443</v>
      </c>
      <c r="M950" s="365">
        <f t="shared" si="256"/>
        <v>9.094444444444445</v>
      </c>
      <c r="N950" s="365">
        <f t="shared" si="256"/>
        <v>3.068055555555556</v>
      </c>
      <c r="O950" s="365">
        <f t="shared" si="256"/>
        <v>3.6152777777777776</v>
      </c>
      <c r="P950" s="365">
        <f t="shared" si="256"/>
        <v>7.094444444444445</v>
      </c>
      <c r="Q950" s="365">
        <f t="shared" si="256"/>
        <v>1.1430555555555555</v>
      </c>
      <c r="R950" s="365">
        <f t="shared" si="256"/>
        <v>2.3666666666666667</v>
      </c>
      <c r="S950" s="427">
        <f t="shared" si="256"/>
        <v>2.7027777777777775</v>
      </c>
      <c r="T950" s="365">
        <f t="shared" si="232"/>
        <v>476.52547764433086</v>
      </c>
      <c r="U950" s="365">
        <f t="shared" si="233"/>
        <v>378.52547764433086</v>
      </c>
      <c r="V950" s="365" t="s">
        <v>1095</v>
      </c>
      <c r="AC950" s="4">
        <v>4</v>
      </c>
      <c r="AD950" s="365">
        <f t="shared" si="234"/>
        <v>294</v>
      </c>
      <c r="AE950" s="365">
        <f t="shared" si="236"/>
        <v>28.721774193548388</v>
      </c>
      <c r="AF950" s="365">
        <f t="shared" si="237"/>
        <v>30.048387096774192</v>
      </c>
      <c r="AG950" s="365">
        <f t="shared" si="238"/>
        <v>50.240591397849464</v>
      </c>
      <c r="AH950" s="365">
        <f t="shared" si="239"/>
        <v>14.269400246549571</v>
      </c>
      <c r="AI950" s="365">
        <f t="shared" si="240"/>
        <v>11.376344086021506</v>
      </c>
      <c r="AJ950" s="365">
        <f t="shared" si="241"/>
        <v>7.538978494623656</v>
      </c>
      <c r="AK950" s="365">
        <f t="shared" si="242"/>
        <v>8.720430107526882</v>
      </c>
      <c r="AL950" s="365">
        <f t="shared" si="243"/>
        <v>7.502688172043011</v>
      </c>
      <c r="AM950" s="365">
        <f t="shared" si="244"/>
        <v>2.6747311827956985</v>
      </c>
      <c r="AN950" s="365">
        <f t="shared" si="245"/>
        <v>3.1518817204301075</v>
      </c>
      <c r="AO950" s="365">
        <f t="shared" si="246"/>
        <v>6.4865591397849469</v>
      </c>
      <c r="AP950" s="365">
        <f t="shared" si="247"/>
        <v>0.93682795698924737</v>
      </c>
      <c r="AQ950" s="365">
        <f t="shared" si="248"/>
        <v>1.428763440860215</v>
      </c>
      <c r="AR950" s="365">
        <f t="shared" si="249"/>
        <v>2.2150537634408605</v>
      </c>
      <c r="AS950" s="365">
        <f t="shared" si="250"/>
        <v>469.31241099923784</v>
      </c>
      <c r="AT950" s="365" t="e">
        <f t="shared" ca="1" si="251"/>
        <v>#NAME?</v>
      </c>
      <c r="AU950" s="365" t="e">
        <f t="shared" ca="1" si="252"/>
        <v>#NAME?</v>
      </c>
      <c r="AW950" s="365" t="e">
        <f t="shared" ca="1" si="253"/>
        <v>#NAME?</v>
      </c>
      <c r="AX950" s="365" t="e">
        <f t="shared" ca="1" si="254"/>
        <v>#NAME?</v>
      </c>
    </row>
    <row r="951" spans="1:50" ht="15.75" customHeight="1" x14ac:dyDescent="0.3">
      <c r="A951" s="375" t="s">
        <v>13</v>
      </c>
      <c r="B951" s="375">
        <f t="shared" si="230"/>
        <v>294</v>
      </c>
      <c r="C951" s="365">
        <f t="shared" si="230"/>
        <v>196</v>
      </c>
      <c r="D951" s="427" t="s">
        <v>1095</v>
      </c>
      <c r="E951" s="365">
        <f t="shared" ref="E951:S951" si="257">+C871/$G$10/24</f>
        <v>30.02016129032258</v>
      </c>
      <c r="F951" s="365">
        <f t="shared" si="257"/>
        <v>31.427419354838708</v>
      </c>
      <c r="G951" s="365">
        <f t="shared" si="257"/>
        <v>51.452956989247305</v>
      </c>
      <c r="H951" s="365">
        <f t="shared" si="257"/>
        <v>0.44438342366038208</v>
      </c>
      <c r="I951" s="365">
        <f t="shared" si="257"/>
        <v>-2.0669127549408097</v>
      </c>
      <c r="J951" s="365">
        <f t="shared" si="257"/>
        <v>17.293010752688172</v>
      </c>
      <c r="K951" s="365">
        <f t="shared" si="257"/>
        <v>8.8077956989247301</v>
      </c>
      <c r="L951" s="365">
        <f t="shared" si="257"/>
        <v>11.888440860215054</v>
      </c>
      <c r="M951" s="365">
        <f t="shared" si="257"/>
        <v>8.443548387096774</v>
      </c>
      <c r="N951" s="365">
        <f t="shared" si="257"/>
        <v>3.0658602150537635</v>
      </c>
      <c r="O951" s="365">
        <f t="shared" si="257"/>
        <v>3.611559139784946</v>
      </c>
      <c r="P951" s="365">
        <f t="shared" si="257"/>
        <v>7.208333333333333</v>
      </c>
      <c r="Q951" s="365">
        <f t="shared" si="257"/>
        <v>1.081989247311828</v>
      </c>
      <c r="R951" s="365">
        <f t="shared" si="257"/>
        <v>2.650537634408602</v>
      </c>
      <c r="S951" s="427">
        <f t="shared" si="257"/>
        <v>2.5577956989247315</v>
      </c>
      <c r="T951" s="365">
        <f t="shared" si="232"/>
        <v>471.88687927087011</v>
      </c>
      <c r="U951" s="365">
        <f t="shared" si="233"/>
        <v>373.88687927087011</v>
      </c>
      <c r="V951" s="365" t="s">
        <v>1095</v>
      </c>
      <c r="AC951" s="4">
        <v>5</v>
      </c>
      <c r="AD951" s="365">
        <f t="shared" si="234"/>
        <v>294</v>
      </c>
      <c r="AE951" s="365">
        <f t="shared" si="236"/>
        <v>28.721774193548388</v>
      </c>
      <c r="AF951" s="365">
        <f t="shared" si="237"/>
        <v>30.048387096774192</v>
      </c>
      <c r="AG951" s="365">
        <f t="shared" si="238"/>
        <v>50.240591397849464</v>
      </c>
      <c r="AH951" s="365">
        <f t="shared" si="239"/>
        <v>14.269400246549571</v>
      </c>
      <c r="AI951" s="365">
        <f t="shared" si="240"/>
        <v>11.376344086021506</v>
      </c>
      <c r="AJ951" s="365">
        <f t="shared" si="241"/>
        <v>7.538978494623656</v>
      </c>
      <c r="AK951" s="365">
        <f t="shared" si="242"/>
        <v>8.720430107526882</v>
      </c>
      <c r="AL951" s="365">
        <f t="shared" si="243"/>
        <v>7.502688172043011</v>
      </c>
      <c r="AM951" s="365">
        <f t="shared" si="244"/>
        <v>2.6747311827956985</v>
      </c>
      <c r="AN951" s="365">
        <f t="shared" si="245"/>
        <v>3.1518817204301075</v>
      </c>
      <c r="AO951" s="365">
        <f t="shared" si="246"/>
        <v>6.4865591397849469</v>
      </c>
      <c r="AP951" s="365">
        <f t="shared" si="247"/>
        <v>0.93682795698924737</v>
      </c>
      <c r="AQ951" s="365">
        <f t="shared" si="248"/>
        <v>1.428763440860215</v>
      </c>
      <c r="AR951" s="365">
        <f t="shared" si="249"/>
        <v>2.2150537634408605</v>
      </c>
      <c r="AS951" s="365">
        <f t="shared" si="250"/>
        <v>469.31241099923784</v>
      </c>
      <c r="AT951" s="365" t="e">
        <f t="shared" ca="1" si="251"/>
        <v>#NAME?</v>
      </c>
      <c r="AU951" s="365" t="e">
        <f t="shared" ca="1" si="252"/>
        <v>#NAME?</v>
      </c>
      <c r="AW951" s="365" t="e">
        <f t="shared" ca="1" si="253"/>
        <v>#NAME?</v>
      </c>
      <c r="AX951" s="365" t="e">
        <f t="shared" ca="1" si="254"/>
        <v>#NAME?</v>
      </c>
    </row>
    <row r="952" spans="1:50" ht="15.75" customHeight="1" x14ac:dyDescent="0.3">
      <c r="A952" s="375" t="s">
        <v>14</v>
      </c>
      <c r="B952" s="375">
        <f t="shared" si="230"/>
        <v>294</v>
      </c>
      <c r="C952" s="365">
        <f t="shared" si="230"/>
        <v>98</v>
      </c>
      <c r="D952" s="427">
        <f>H979</f>
        <v>0</v>
      </c>
      <c r="E952" s="365">
        <f t="shared" ref="E952:S952" si="258">+C872/$H$10/24</f>
        <v>22.861111111111111</v>
      </c>
      <c r="F952" s="365">
        <f t="shared" si="258"/>
        <v>23.915277777777778</v>
      </c>
      <c r="G952" s="365">
        <f t="shared" si="258"/>
        <v>38.494444444444447</v>
      </c>
      <c r="H952" s="365">
        <f t="shared" si="258"/>
        <v>0</v>
      </c>
      <c r="I952" s="365">
        <f t="shared" si="258"/>
        <v>-12.145325923134896</v>
      </c>
      <c r="J952" s="365">
        <f t="shared" si="258"/>
        <v>20.662499999999998</v>
      </c>
      <c r="K952" s="365">
        <f t="shared" si="258"/>
        <v>9.8569444444444443</v>
      </c>
      <c r="L952" s="365">
        <f t="shared" si="258"/>
        <v>9.7541666666666664</v>
      </c>
      <c r="M952" s="365">
        <f t="shared" si="258"/>
        <v>7.3694444444444445</v>
      </c>
      <c r="N952" s="365">
        <f t="shared" si="258"/>
        <v>2.5680555555555555</v>
      </c>
      <c r="O952" s="365">
        <f t="shared" si="258"/>
        <v>3.0222222222222221</v>
      </c>
      <c r="P952" s="365">
        <f t="shared" si="258"/>
        <v>5.7152777777777777</v>
      </c>
      <c r="Q952" s="365">
        <f t="shared" si="258"/>
        <v>1.1763888888888889</v>
      </c>
      <c r="R952" s="365">
        <f t="shared" si="258"/>
        <v>2.8222222222222224</v>
      </c>
      <c r="S952" s="427">
        <f t="shared" si="258"/>
        <v>2.7805555555555554</v>
      </c>
      <c r="T952" s="365">
        <f t="shared" si="232"/>
        <v>432.85328518797621</v>
      </c>
      <c r="U952" s="365">
        <f t="shared" si="233"/>
        <v>236.85328518797624</v>
      </c>
      <c r="V952" s="428">
        <f>D952+SUM(E952:S952)</f>
        <v>138.85328518797624</v>
      </c>
      <c r="AC952" s="4">
        <v>6</v>
      </c>
      <c r="AD952" s="365">
        <f t="shared" si="234"/>
        <v>294</v>
      </c>
      <c r="AE952" s="365">
        <f t="shared" si="236"/>
        <v>28.721774193548388</v>
      </c>
      <c r="AF952" s="365">
        <f t="shared" si="237"/>
        <v>30.048387096774192</v>
      </c>
      <c r="AG952" s="365">
        <f t="shared" si="238"/>
        <v>50.240591397849464</v>
      </c>
      <c r="AH952" s="365">
        <f t="shared" si="239"/>
        <v>14.269400246549571</v>
      </c>
      <c r="AI952" s="365">
        <f t="shared" si="240"/>
        <v>11.376344086021506</v>
      </c>
      <c r="AJ952" s="365">
        <f t="shared" si="241"/>
        <v>7.538978494623656</v>
      </c>
      <c r="AK952" s="365">
        <f t="shared" si="242"/>
        <v>8.720430107526882</v>
      </c>
      <c r="AL952" s="365">
        <f t="shared" si="243"/>
        <v>7.502688172043011</v>
      </c>
      <c r="AM952" s="365">
        <f t="shared" si="244"/>
        <v>2.6747311827956985</v>
      </c>
      <c r="AN952" s="365">
        <f t="shared" si="245"/>
        <v>3.1518817204301075</v>
      </c>
      <c r="AO952" s="365">
        <f t="shared" si="246"/>
        <v>6.4865591397849469</v>
      </c>
      <c r="AP952" s="365">
        <f t="shared" si="247"/>
        <v>0.93682795698924737</v>
      </c>
      <c r="AQ952" s="365">
        <f t="shared" si="248"/>
        <v>1.428763440860215</v>
      </c>
      <c r="AR952" s="365">
        <f t="shared" si="249"/>
        <v>2.2150537634408605</v>
      </c>
      <c r="AS952" s="365">
        <f t="shared" si="250"/>
        <v>469.31241099923784</v>
      </c>
      <c r="AT952" s="365" t="e">
        <f t="shared" ca="1" si="251"/>
        <v>#NAME?</v>
      </c>
      <c r="AU952" s="365" t="e">
        <f t="shared" ca="1" si="252"/>
        <v>#NAME?</v>
      </c>
      <c r="AW952" s="365" t="e">
        <f t="shared" ca="1" si="253"/>
        <v>#NAME?</v>
      </c>
      <c r="AX952" s="365" t="e">
        <f t="shared" ca="1" si="254"/>
        <v>#NAME?</v>
      </c>
    </row>
    <row r="953" spans="1:50" ht="15.75" customHeight="1" x14ac:dyDescent="0.3">
      <c r="A953" s="375" t="s">
        <v>16</v>
      </c>
      <c r="B953" s="375">
        <f t="shared" si="230"/>
        <v>147</v>
      </c>
      <c r="C953" s="365">
        <f t="shared" si="230"/>
        <v>98</v>
      </c>
      <c r="D953" s="427">
        <f>H980</f>
        <v>0</v>
      </c>
      <c r="E953" s="365">
        <f t="shared" ref="E953:S953" si="259">+C873/$J$10/24</f>
        <v>15.55779569892473</v>
      </c>
      <c r="F953" s="365">
        <f t="shared" si="259"/>
        <v>16.25537634408602</v>
      </c>
      <c r="G953" s="365">
        <f t="shared" si="259"/>
        <v>25.283602150537632</v>
      </c>
      <c r="H953" s="365">
        <f t="shared" si="259"/>
        <v>0</v>
      </c>
      <c r="I953" s="365">
        <f t="shared" si="259"/>
        <v>-15.262618732761027</v>
      </c>
      <c r="J953" s="365">
        <f t="shared" si="259"/>
        <v>17.63978494623656</v>
      </c>
      <c r="K953" s="365">
        <f t="shared" si="259"/>
        <v>10.818548387096774</v>
      </c>
      <c r="L953" s="365">
        <f t="shared" si="259"/>
        <v>10.388440860215054</v>
      </c>
      <c r="M953" s="365">
        <f t="shared" si="259"/>
        <v>7.795698924731183</v>
      </c>
      <c r="N953" s="365">
        <f t="shared" si="259"/>
        <v>2.3655913978494625</v>
      </c>
      <c r="O953" s="365">
        <f t="shared" si="259"/>
        <v>2.78494623655914</v>
      </c>
      <c r="P953" s="365">
        <f t="shared" si="259"/>
        <v>5.025537634408602</v>
      </c>
      <c r="Q953" s="365">
        <f t="shared" si="259"/>
        <v>1.146505376344086</v>
      </c>
      <c r="R953" s="365">
        <f t="shared" si="259"/>
        <v>2.8817204301075265</v>
      </c>
      <c r="S953" s="427">
        <f t="shared" si="259"/>
        <v>2.681451612903226</v>
      </c>
      <c r="T953" s="365">
        <f t="shared" si="232"/>
        <v>252.36238126723896</v>
      </c>
      <c r="U953" s="365">
        <f t="shared" si="233"/>
        <v>203.36238126723896</v>
      </c>
      <c r="V953" s="428">
        <f>D953+SUM(E953:S953)</f>
        <v>105.36238126723896</v>
      </c>
      <c r="AC953" s="4">
        <v>7</v>
      </c>
      <c r="AD953" s="365">
        <f>IF($AF$944=1,VLOOKUP($AD$944,$A$974:$P$985,12,FALSE),IF(OR($AD$944="JAN",$AD$944="FEB",$AD$944="NOV",$AD$944="DEC"),VLOOKUP($AD$944,$A$947:$S$958,2,FALSE),VLOOKUP($AD$944,$A$947:$S$958,3,FALSE)))</f>
        <v>196</v>
      </c>
      <c r="AE953" s="365">
        <f t="shared" si="236"/>
        <v>28.721774193548388</v>
      </c>
      <c r="AF953" s="365">
        <f t="shared" si="237"/>
        <v>30.048387096774192</v>
      </c>
      <c r="AG953" s="365">
        <f t="shared" si="238"/>
        <v>50.240591397849464</v>
      </c>
      <c r="AH953" s="365">
        <f t="shared" si="239"/>
        <v>14.269400246549571</v>
      </c>
      <c r="AI953" s="365">
        <f t="shared" si="240"/>
        <v>11.376344086021506</v>
      </c>
      <c r="AJ953" s="365">
        <f t="shared" si="241"/>
        <v>7.538978494623656</v>
      </c>
      <c r="AK953" s="365">
        <f t="shared" si="242"/>
        <v>8.720430107526882</v>
      </c>
      <c r="AL953" s="365">
        <f t="shared" si="243"/>
        <v>7.502688172043011</v>
      </c>
      <c r="AM953" s="365">
        <f t="shared" si="244"/>
        <v>2.6747311827956985</v>
      </c>
      <c r="AN953" s="365">
        <f t="shared" si="245"/>
        <v>3.1518817204301075</v>
      </c>
      <c r="AO953" s="365">
        <f t="shared" si="246"/>
        <v>6.4865591397849469</v>
      </c>
      <c r="AP953" s="365">
        <f t="shared" si="247"/>
        <v>0.93682795698924737</v>
      </c>
      <c r="AQ953" s="365">
        <f t="shared" si="248"/>
        <v>1.428763440860215</v>
      </c>
      <c r="AR953" s="365">
        <f t="shared" si="249"/>
        <v>2.2150537634408605</v>
      </c>
      <c r="AS953" s="365">
        <f t="shared" si="250"/>
        <v>371.31241099923778</v>
      </c>
      <c r="AT953" s="365" t="e">
        <f t="shared" ca="1" si="251"/>
        <v>#NAME?</v>
      </c>
      <c r="AU953" s="365" t="e">
        <f t="shared" ca="1" si="252"/>
        <v>#NAME?</v>
      </c>
      <c r="AW953" s="365" t="e">
        <f t="shared" ca="1" si="253"/>
        <v>#NAME?</v>
      </c>
      <c r="AX953" s="365" t="e">
        <f t="shared" ca="1" si="254"/>
        <v>#NAME?</v>
      </c>
    </row>
    <row r="954" spans="1:50" ht="15.75" customHeight="1" x14ac:dyDescent="0.3">
      <c r="A954" s="375" t="s">
        <v>17</v>
      </c>
      <c r="B954" s="375">
        <f t="shared" si="230"/>
        <v>147</v>
      </c>
      <c r="C954" s="365">
        <f t="shared" si="230"/>
        <v>98</v>
      </c>
      <c r="D954" s="427">
        <f>H981</f>
        <v>0</v>
      </c>
      <c r="E954" s="365">
        <f t="shared" ref="E954:S954" si="260">+C874/$K$10/24</f>
        <v>16.622311827956988</v>
      </c>
      <c r="F954" s="365">
        <f t="shared" si="260"/>
        <v>17.385752688172044</v>
      </c>
      <c r="G954" s="365">
        <f t="shared" si="260"/>
        <v>27.364247311827956</v>
      </c>
      <c r="H954" s="365">
        <f t="shared" si="260"/>
        <v>0</v>
      </c>
      <c r="I954" s="365">
        <f t="shared" si="260"/>
        <v>-9.5620366161872177</v>
      </c>
      <c r="J954" s="365">
        <f t="shared" si="260"/>
        <v>16.307795698924732</v>
      </c>
      <c r="K954" s="365">
        <f t="shared" si="260"/>
        <v>10.733870967741936</v>
      </c>
      <c r="L954" s="365">
        <f t="shared" si="260"/>
        <v>10.977150537634408</v>
      </c>
      <c r="M954" s="365">
        <f t="shared" si="260"/>
        <v>8.875</v>
      </c>
      <c r="N954" s="365">
        <f t="shared" si="260"/>
        <v>2.6303763440860215</v>
      </c>
      <c r="O954" s="365">
        <f t="shared" si="260"/>
        <v>3.0981182795698925</v>
      </c>
      <c r="P954" s="365">
        <f t="shared" si="260"/>
        <v>5.791666666666667</v>
      </c>
      <c r="Q954" s="365">
        <f t="shared" si="260"/>
        <v>0.9946236559139785</v>
      </c>
      <c r="R954" s="365">
        <f t="shared" si="260"/>
        <v>2.6962365591397845</v>
      </c>
      <c r="S954" s="427">
        <f t="shared" si="260"/>
        <v>2.3521505376344085</v>
      </c>
      <c r="T954" s="365">
        <f t="shared" si="232"/>
        <v>263.26726445908162</v>
      </c>
      <c r="U954" s="365">
        <f t="shared" si="233"/>
        <v>214.26726445908162</v>
      </c>
      <c r="V954" s="428">
        <f>D954+SUM(E954:S954)</f>
        <v>116.26726445908163</v>
      </c>
      <c r="AC954" s="4">
        <v>8</v>
      </c>
      <c r="AD954" s="365">
        <f>IF($AF$944=1,VLOOKUP($AD$944,$A$974:$P$985,12,FALSE),VLOOKUP($AD$944,$A$947:$S$958,3,FALSE))</f>
        <v>196</v>
      </c>
      <c r="AE954" s="365">
        <f t="shared" si="236"/>
        <v>28.721774193548388</v>
      </c>
      <c r="AF954" s="365">
        <f t="shared" si="237"/>
        <v>30.048387096774192</v>
      </c>
      <c r="AG954" s="365">
        <f t="shared" si="238"/>
        <v>50.240591397849464</v>
      </c>
      <c r="AH954" s="365">
        <f t="shared" si="239"/>
        <v>14.269400246549571</v>
      </c>
      <c r="AI954" s="365">
        <f t="shared" si="240"/>
        <v>11.376344086021506</v>
      </c>
      <c r="AJ954" s="365">
        <f t="shared" si="241"/>
        <v>7.538978494623656</v>
      </c>
      <c r="AK954" s="365">
        <f t="shared" si="242"/>
        <v>8.720430107526882</v>
      </c>
      <c r="AL954" s="365">
        <f t="shared" si="243"/>
        <v>7.502688172043011</v>
      </c>
      <c r="AM954" s="365">
        <f t="shared" si="244"/>
        <v>2.6747311827956985</v>
      </c>
      <c r="AN954" s="365">
        <f t="shared" si="245"/>
        <v>3.1518817204301075</v>
      </c>
      <c r="AO954" s="365">
        <f t="shared" si="246"/>
        <v>6.4865591397849469</v>
      </c>
      <c r="AP954" s="365">
        <f t="shared" si="247"/>
        <v>0.93682795698924737</v>
      </c>
      <c r="AQ954" s="365">
        <f t="shared" si="248"/>
        <v>1.428763440860215</v>
      </c>
      <c r="AR954" s="365">
        <f t="shared" si="249"/>
        <v>2.2150537634408605</v>
      </c>
      <c r="AS954" s="365">
        <f t="shared" si="250"/>
        <v>371.31241099923778</v>
      </c>
      <c r="AT954" s="365" t="e">
        <f t="shared" ca="1" si="251"/>
        <v>#NAME?</v>
      </c>
      <c r="AU954" s="365" t="e">
        <f t="shared" ca="1" si="252"/>
        <v>#NAME?</v>
      </c>
      <c r="AW954" s="365" t="e">
        <f t="shared" ca="1" si="253"/>
        <v>#NAME?</v>
      </c>
      <c r="AX954" s="365" t="e">
        <f t="shared" ca="1" si="254"/>
        <v>#NAME?</v>
      </c>
    </row>
    <row r="955" spans="1:50" ht="15.75" customHeight="1" x14ac:dyDescent="0.3">
      <c r="A955" s="375" t="s">
        <v>18</v>
      </c>
      <c r="B955" s="375">
        <f t="shared" si="230"/>
        <v>245</v>
      </c>
      <c r="C955" s="365">
        <f t="shared" si="230"/>
        <v>147</v>
      </c>
      <c r="D955" s="427" t="s">
        <v>1095</v>
      </c>
      <c r="E955" s="365">
        <f t="shared" ref="E955:S955" si="261">+C875/$L$10/24</f>
        <v>23.659722222222225</v>
      </c>
      <c r="F955" s="365">
        <f t="shared" si="261"/>
        <v>24.724999999999998</v>
      </c>
      <c r="G955" s="365">
        <f t="shared" si="261"/>
        <v>38.723611111111111</v>
      </c>
      <c r="H955" s="365">
        <f t="shared" si="261"/>
        <v>6.6087278917452954</v>
      </c>
      <c r="I955" s="365">
        <f t="shared" si="261"/>
        <v>-0.78896759608138634</v>
      </c>
      <c r="J955" s="365">
        <f t="shared" si="261"/>
        <v>9.8222222222222211</v>
      </c>
      <c r="K955" s="365">
        <f t="shared" si="261"/>
        <v>7</v>
      </c>
      <c r="L955" s="365">
        <f t="shared" si="261"/>
        <v>8.5611111111111118</v>
      </c>
      <c r="M955" s="365">
        <f t="shared" si="261"/>
        <v>8.1236111111111118</v>
      </c>
      <c r="N955" s="365">
        <f t="shared" si="261"/>
        <v>2.5805555555555553</v>
      </c>
      <c r="O955" s="365">
        <f t="shared" si="261"/>
        <v>3.0388888888888892</v>
      </c>
      <c r="P955" s="365">
        <f t="shared" si="261"/>
        <v>5.9208333333333334</v>
      </c>
      <c r="Q955" s="365">
        <f t="shared" si="261"/>
        <v>0.96805555555555556</v>
      </c>
      <c r="R955" s="365">
        <f t="shared" si="261"/>
        <v>2.4069444444444446</v>
      </c>
      <c r="S955" s="427">
        <f t="shared" si="261"/>
        <v>2.2902777777777779</v>
      </c>
      <c r="T955" s="365">
        <f t="shared" si="232"/>
        <v>388.64059362899724</v>
      </c>
      <c r="U955" s="365">
        <f t="shared" si="233"/>
        <v>290.64059362899724</v>
      </c>
      <c r="V955" s="365" t="s">
        <v>1095</v>
      </c>
      <c r="AC955" s="4">
        <v>9</v>
      </c>
      <c r="AD955" s="365">
        <f>IF($AF$944=1,VLOOKUP($AD$944,$A$974:$P$985,12,FALSE),VLOOKUP($AD$944,$A$947:$S$958,3,FALSE))</f>
        <v>196</v>
      </c>
      <c r="AE955" s="365">
        <f t="shared" si="236"/>
        <v>28.721774193548388</v>
      </c>
      <c r="AF955" s="365">
        <f t="shared" si="237"/>
        <v>30.048387096774192</v>
      </c>
      <c r="AG955" s="365">
        <f t="shared" si="238"/>
        <v>50.240591397849464</v>
      </c>
      <c r="AH955" s="365">
        <f t="shared" si="239"/>
        <v>14.269400246549571</v>
      </c>
      <c r="AI955" s="365">
        <f t="shared" si="240"/>
        <v>11.376344086021506</v>
      </c>
      <c r="AJ955" s="365">
        <f t="shared" si="241"/>
        <v>7.538978494623656</v>
      </c>
      <c r="AK955" s="365">
        <f t="shared" si="242"/>
        <v>8.720430107526882</v>
      </c>
      <c r="AL955" s="365">
        <f t="shared" si="243"/>
        <v>7.502688172043011</v>
      </c>
      <c r="AM955" s="365">
        <f t="shared" si="244"/>
        <v>2.6747311827956985</v>
      </c>
      <c r="AN955" s="365">
        <f t="shared" si="245"/>
        <v>3.1518817204301075</v>
      </c>
      <c r="AO955" s="365">
        <f t="shared" si="246"/>
        <v>6.4865591397849469</v>
      </c>
      <c r="AP955" s="365">
        <f t="shared" si="247"/>
        <v>0.93682795698924737</v>
      </c>
      <c r="AQ955" s="365">
        <f t="shared" si="248"/>
        <v>1.428763440860215</v>
      </c>
      <c r="AR955" s="365">
        <f t="shared" si="249"/>
        <v>2.2150537634408605</v>
      </c>
      <c r="AS955" s="365">
        <f t="shared" si="250"/>
        <v>371.31241099923778</v>
      </c>
      <c r="AT955" s="365" t="e">
        <f t="shared" ca="1" si="251"/>
        <v>#NAME?</v>
      </c>
      <c r="AU955" s="365" t="e">
        <f t="shared" ca="1" si="252"/>
        <v>#NAME?</v>
      </c>
      <c r="AW955" s="365" t="e">
        <f t="shared" ca="1" si="253"/>
        <v>#NAME?</v>
      </c>
      <c r="AX955" s="365" t="e">
        <f t="shared" ca="1" si="254"/>
        <v>#NAME?</v>
      </c>
    </row>
    <row r="956" spans="1:50" ht="15.75" customHeight="1" x14ac:dyDescent="0.3">
      <c r="A956" s="375" t="s">
        <v>20</v>
      </c>
      <c r="B956" s="375">
        <f t="shared" si="230"/>
        <v>245</v>
      </c>
      <c r="C956" s="365">
        <f t="shared" si="230"/>
        <v>147</v>
      </c>
      <c r="D956" s="427" t="s">
        <v>1095</v>
      </c>
      <c r="E956" s="365">
        <f t="shared" ref="E956:S956" si="262">+C876/$N$10/24</f>
        <v>19.587365591397852</v>
      </c>
      <c r="F956" s="365">
        <f t="shared" si="262"/>
        <v>20.498655913978492</v>
      </c>
      <c r="G956" s="365">
        <f t="shared" si="262"/>
        <v>31.25940860215054</v>
      </c>
      <c r="H956" s="365">
        <f t="shared" si="262"/>
        <v>1.2169545405047686</v>
      </c>
      <c r="I956" s="365">
        <f t="shared" si="262"/>
        <v>0</v>
      </c>
      <c r="J956" s="365">
        <f t="shared" si="262"/>
        <v>8.426075268817204</v>
      </c>
      <c r="K956" s="365">
        <f t="shared" si="262"/>
        <v>4.235215053763441</v>
      </c>
      <c r="L956" s="365">
        <f t="shared" si="262"/>
        <v>5.623655913978495</v>
      </c>
      <c r="M956" s="365">
        <f t="shared" si="262"/>
        <v>5.303763440860215</v>
      </c>
      <c r="N956" s="365">
        <f t="shared" si="262"/>
        <v>1.8077956989247312</v>
      </c>
      <c r="O956" s="365">
        <f t="shared" si="262"/>
        <v>2.129032258064516</v>
      </c>
      <c r="P956" s="365">
        <f t="shared" si="262"/>
        <v>4.227150537634409</v>
      </c>
      <c r="Q956" s="365">
        <f t="shared" si="262"/>
        <v>0.82661290322580649</v>
      </c>
      <c r="R956" s="365">
        <f t="shared" si="262"/>
        <v>2.064516129032258</v>
      </c>
      <c r="S956" s="427">
        <f t="shared" si="262"/>
        <v>1.9543010752688172</v>
      </c>
      <c r="T956" s="365">
        <f t="shared" si="232"/>
        <v>354.16050292760156</v>
      </c>
      <c r="U956" s="365">
        <f t="shared" si="233"/>
        <v>256.16050292760156</v>
      </c>
      <c r="V956" s="365" t="s">
        <v>1095</v>
      </c>
      <c r="AC956" s="4">
        <v>10</v>
      </c>
      <c r="AD956" s="365">
        <f>IF($AF$944=1,VLOOKUP($AD$944,$A$974:$P$985,12,FALSE),VLOOKUP($AD$944,$A$947:$S$958,3,FALSE))</f>
        <v>196</v>
      </c>
      <c r="AE956" s="365">
        <f t="shared" si="236"/>
        <v>28.721774193548388</v>
      </c>
      <c r="AF956" s="365">
        <f t="shared" si="237"/>
        <v>30.048387096774192</v>
      </c>
      <c r="AG956" s="365">
        <f t="shared" si="238"/>
        <v>50.240591397849464</v>
      </c>
      <c r="AH956" s="365">
        <f t="shared" si="239"/>
        <v>14.269400246549571</v>
      </c>
      <c r="AI956" s="365">
        <f t="shared" si="240"/>
        <v>11.376344086021506</v>
      </c>
      <c r="AJ956" s="365">
        <f t="shared" si="241"/>
        <v>7.538978494623656</v>
      </c>
      <c r="AK956" s="365">
        <f t="shared" si="242"/>
        <v>8.720430107526882</v>
      </c>
      <c r="AL956" s="365">
        <f t="shared" si="243"/>
        <v>7.502688172043011</v>
      </c>
      <c r="AM956" s="365">
        <f t="shared" si="244"/>
        <v>2.6747311827956985</v>
      </c>
      <c r="AN956" s="365">
        <f t="shared" si="245"/>
        <v>3.1518817204301075</v>
      </c>
      <c r="AO956" s="365">
        <f t="shared" si="246"/>
        <v>6.4865591397849469</v>
      </c>
      <c r="AP956" s="365">
        <f t="shared" si="247"/>
        <v>0.93682795698924737</v>
      </c>
      <c r="AQ956" s="365">
        <f t="shared" si="248"/>
        <v>1.428763440860215</v>
      </c>
      <c r="AR956" s="365">
        <f t="shared" si="249"/>
        <v>2.2150537634408605</v>
      </c>
      <c r="AS956" s="365">
        <f t="shared" si="250"/>
        <v>371.31241099923778</v>
      </c>
      <c r="AT956" s="365" t="e">
        <f t="shared" ca="1" si="251"/>
        <v>#NAME?</v>
      </c>
      <c r="AU956" s="365" t="e">
        <f t="shared" ca="1" si="252"/>
        <v>#NAME?</v>
      </c>
      <c r="AW956" s="365" t="e">
        <f t="shared" ca="1" si="253"/>
        <v>#NAME?</v>
      </c>
      <c r="AX956" s="365" t="e">
        <f t="shared" ca="1" si="254"/>
        <v>#NAME?</v>
      </c>
    </row>
    <row r="957" spans="1:50" ht="15.75" customHeight="1" x14ac:dyDescent="0.3">
      <c r="A957" s="375" t="s">
        <v>21</v>
      </c>
      <c r="B957" s="375">
        <f t="shared" si="230"/>
        <v>245</v>
      </c>
      <c r="C957" s="365">
        <f t="shared" si="230"/>
        <v>147</v>
      </c>
      <c r="D957" s="427" t="s">
        <v>1095</v>
      </c>
      <c r="E957" s="365">
        <f t="shared" ref="E957:S957" si="263">+C877/$O$10/24</f>
        <v>22.963888888888889</v>
      </c>
      <c r="F957" s="365">
        <f t="shared" si="263"/>
        <v>24.052777777777777</v>
      </c>
      <c r="G957" s="365">
        <f t="shared" si="263"/>
        <v>38.130555555555553</v>
      </c>
      <c r="H957" s="365">
        <f t="shared" si="263"/>
        <v>12.768112178654894</v>
      </c>
      <c r="I957" s="365">
        <f t="shared" si="263"/>
        <v>0</v>
      </c>
      <c r="J957" s="365">
        <f t="shared" si="263"/>
        <v>5.927777777777778</v>
      </c>
      <c r="K957" s="365">
        <f t="shared" si="263"/>
        <v>2.5</v>
      </c>
      <c r="L957" s="365">
        <f t="shared" si="263"/>
        <v>3.8861111111111111</v>
      </c>
      <c r="M957" s="365">
        <f t="shared" si="263"/>
        <v>3.8874999999999997</v>
      </c>
      <c r="N957" s="365">
        <f t="shared" si="263"/>
        <v>1.2291666666666667</v>
      </c>
      <c r="O957" s="365">
        <f t="shared" si="263"/>
        <v>1.4458333333333335</v>
      </c>
      <c r="P957" s="365">
        <f t="shared" si="263"/>
        <v>2.9541666666666671</v>
      </c>
      <c r="Q957" s="365">
        <f t="shared" si="263"/>
        <v>0.59444444444444444</v>
      </c>
      <c r="R957" s="365">
        <f t="shared" si="263"/>
        <v>2.0847222222222221</v>
      </c>
      <c r="S957" s="427">
        <f t="shared" si="263"/>
        <v>1.4069444444444443</v>
      </c>
      <c r="T957" s="365">
        <f t="shared" si="232"/>
        <v>368.83200106754379</v>
      </c>
      <c r="U957" s="365">
        <f t="shared" si="233"/>
        <v>270.83200106754379</v>
      </c>
      <c r="V957" s="365" t="s">
        <v>1095</v>
      </c>
      <c r="AC957" s="4">
        <v>11</v>
      </c>
      <c r="AD957" s="365">
        <f>IF($AF$944=1,VLOOKUP($AD$944,$A$974:$P$985,12,FALSE),VLOOKUP($AD$944,$A$947:$S$958,3,FALSE))</f>
        <v>196</v>
      </c>
      <c r="AE957" s="365">
        <f t="shared" si="236"/>
        <v>28.721774193548388</v>
      </c>
      <c r="AF957" s="365">
        <f t="shared" si="237"/>
        <v>30.048387096774192</v>
      </c>
      <c r="AG957" s="365">
        <f t="shared" si="238"/>
        <v>50.240591397849464</v>
      </c>
      <c r="AH957" s="365">
        <f t="shared" si="239"/>
        <v>14.269400246549571</v>
      </c>
      <c r="AI957" s="365">
        <f t="shared" si="240"/>
        <v>11.376344086021506</v>
      </c>
      <c r="AJ957" s="365">
        <f t="shared" si="241"/>
        <v>7.538978494623656</v>
      </c>
      <c r="AK957" s="365">
        <f t="shared" si="242"/>
        <v>8.720430107526882</v>
      </c>
      <c r="AL957" s="365">
        <f t="shared" si="243"/>
        <v>7.502688172043011</v>
      </c>
      <c r="AM957" s="365">
        <f t="shared" si="244"/>
        <v>2.6747311827956985</v>
      </c>
      <c r="AN957" s="365">
        <f t="shared" si="245"/>
        <v>3.1518817204301075</v>
      </c>
      <c r="AO957" s="365">
        <f t="shared" si="246"/>
        <v>6.4865591397849469</v>
      </c>
      <c r="AP957" s="365">
        <f t="shared" si="247"/>
        <v>0.93682795698924737</v>
      </c>
      <c r="AQ957" s="365">
        <f t="shared" si="248"/>
        <v>1.428763440860215</v>
      </c>
      <c r="AR957" s="365">
        <f t="shared" si="249"/>
        <v>2.2150537634408605</v>
      </c>
      <c r="AS957" s="365">
        <f t="shared" si="250"/>
        <v>371.31241099923778</v>
      </c>
      <c r="AT957" s="365" t="e">
        <f t="shared" ca="1" si="251"/>
        <v>#NAME?</v>
      </c>
      <c r="AU957" s="365" t="e">
        <f t="shared" ca="1" si="252"/>
        <v>#NAME?</v>
      </c>
      <c r="AW957" s="365" t="e">
        <f t="shared" ca="1" si="253"/>
        <v>#NAME?</v>
      </c>
      <c r="AX957" s="365" t="e">
        <f t="shared" ca="1" si="254"/>
        <v>#NAME?</v>
      </c>
    </row>
    <row r="958" spans="1:50" ht="15.75" customHeight="1" thickBot="1" x14ac:dyDescent="0.35">
      <c r="A958" s="382" t="s">
        <v>22</v>
      </c>
      <c r="B958" s="382">
        <f t="shared" si="230"/>
        <v>294</v>
      </c>
      <c r="C958" s="369">
        <f t="shared" si="230"/>
        <v>98</v>
      </c>
      <c r="D958" s="429" t="s">
        <v>1095</v>
      </c>
      <c r="E958" s="369">
        <f t="shared" ref="E958:S958" si="264">+C878/$P$10/24</f>
        <v>18.623655913978492</v>
      </c>
      <c r="F958" s="369">
        <f t="shared" si="264"/>
        <v>19.504032258064516</v>
      </c>
      <c r="G958" s="369">
        <f t="shared" si="264"/>
        <v>32.48521505376344</v>
      </c>
      <c r="H958" s="369">
        <f t="shared" si="264"/>
        <v>10.486724718541064</v>
      </c>
      <c r="I958" s="369">
        <f t="shared" si="264"/>
        <v>0</v>
      </c>
      <c r="J958" s="369">
        <f t="shared" si="264"/>
        <v>6.1854838709677411</v>
      </c>
      <c r="K958" s="369">
        <f t="shared" si="264"/>
        <v>4.154569892473118</v>
      </c>
      <c r="L958" s="369">
        <f t="shared" si="264"/>
        <v>6.2661290322580641</v>
      </c>
      <c r="M958" s="369">
        <f t="shared" si="264"/>
        <v>6.317204301075269</v>
      </c>
      <c r="N958" s="369">
        <f t="shared" si="264"/>
        <v>2.2701612903225805</v>
      </c>
      <c r="O958" s="369">
        <f t="shared" si="264"/>
        <v>2.676075268817204</v>
      </c>
      <c r="P958" s="369">
        <f t="shared" si="264"/>
        <v>5.4086021505376349</v>
      </c>
      <c r="Q958" s="369">
        <f t="shared" si="264"/>
        <v>0.81989247311827951</v>
      </c>
      <c r="R958" s="369">
        <f t="shared" si="264"/>
        <v>0.46639784946236557</v>
      </c>
      <c r="S958" s="429">
        <f t="shared" si="264"/>
        <v>1.9422043010752688</v>
      </c>
      <c r="T958" s="365">
        <f t="shared" si="232"/>
        <v>411.60634837445502</v>
      </c>
      <c r="U958" s="365">
        <f t="shared" si="233"/>
        <v>215.60634837445502</v>
      </c>
      <c r="V958" s="365" t="s">
        <v>1095</v>
      </c>
      <c r="AC958" s="4">
        <v>12</v>
      </c>
      <c r="AD958" s="365">
        <f>IF($AF$944=1,VLOOKUP($AD$944,$A$974:$P$985,12,FALSE),VLOOKUP($AD$944,$A$947:$S$958,3,FALSE))</f>
        <v>196</v>
      </c>
      <c r="AE958" s="365">
        <f t="shared" si="236"/>
        <v>28.721774193548388</v>
      </c>
      <c r="AF958" s="365">
        <f t="shared" si="237"/>
        <v>30.048387096774192</v>
      </c>
      <c r="AG958" s="365">
        <f t="shared" si="238"/>
        <v>50.240591397849464</v>
      </c>
      <c r="AH958" s="365">
        <f t="shared" si="239"/>
        <v>14.269400246549571</v>
      </c>
      <c r="AI958" s="365">
        <f t="shared" si="240"/>
        <v>11.376344086021506</v>
      </c>
      <c r="AJ958" s="365">
        <f t="shared" si="241"/>
        <v>7.538978494623656</v>
      </c>
      <c r="AK958" s="365">
        <f t="shared" si="242"/>
        <v>8.720430107526882</v>
      </c>
      <c r="AL958" s="365">
        <f t="shared" si="243"/>
        <v>7.502688172043011</v>
      </c>
      <c r="AM958" s="365">
        <f t="shared" si="244"/>
        <v>2.6747311827956985</v>
      </c>
      <c r="AN958" s="365">
        <f t="shared" si="245"/>
        <v>3.1518817204301075</v>
      </c>
      <c r="AO958" s="365">
        <f t="shared" si="246"/>
        <v>6.4865591397849469</v>
      </c>
      <c r="AP958" s="365">
        <f t="shared" si="247"/>
        <v>0.93682795698924737</v>
      </c>
      <c r="AQ958" s="365">
        <f t="shared" si="248"/>
        <v>1.428763440860215</v>
      </c>
      <c r="AR958" s="365">
        <f t="shared" si="249"/>
        <v>2.2150537634408605</v>
      </c>
      <c r="AS958" s="365">
        <f t="shared" si="250"/>
        <v>371.31241099923778</v>
      </c>
      <c r="AT958" s="365" t="e">
        <f t="shared" ca="1" si="251"/>
        <v>#NAME?</v>
      </c>
      <c r="AU958" s="365" t="e">
        <f t="shared" ca="1" si="252"/>
        <v>#NAME?</v>
      </c>
      <c r="AW958" s="365" t="e">
        <f t="shared" ca="1" si="253"/>
        <v>#NAME?</v>
      </c>
      <c r="AX958" s="365" t="e">
        <f t="shared" ca="1" si="254"/>
        <v>#NAME?</v>
      </c>
    </row>
    <row r="959" spans="1:50" ht="15.75" customHeight="1" x14ac:dyDescent="0.3">
      <c r="A959" s="418"/>
      <c r="AC959" s="4">
        <v>13</v>
      </c>
      <c r="AD959" s="365">
        <f>IF($AF$944=1,VLOOKUP($AD$944,$A$974:$P$985,12,FALSE),IF(OR($AD$944="JUN",$AD$944="JUL",$AD$944="AUG"),VLOOKUP($AD$944,$A$947:$S$958,4,FALSE),VLOOKUP($AD$944,$A$947:$S$958,3,FALSE)))</f>
        <v>196</v>
      </c>
      <c r="AE959" s="365">
        <f t="shared" si="236"/>
        <v>28.721774193548388</v>
      </c>
      <c r="AF959" s="365">
        <f t="shared" si="237"/>
        <v>30.048387096774192</v>
      </c>
      <c r="AG959" s="365">
        <f t="shared" si="238"/>
        <v>50.240591397849464</v>
      </c>
      <c r="AH959" s="365">
        <f t="shared" si="239"/>
        <v>14.269400246549571</v>
      </c>
      <c r="AI959" s="365">
        <f t="shared" si="240"/>
        <v>11.376344086021506</v>
      </c>
      <c r="AJ959" s="365">
        <f t="shared" si="241"/>
        <v>7.538978494623656</v>
      </c>
      <c r="AK959" s="365">
        <f t="shared" si="242"/>
        <v>8.720430107526882</v>
      </c>
      <c r="AL959" s="365">
        <f t="shared" si="243"/>
        <v>7.502688172043011</v>
      </c>
      <c r="AM959" s="365">
        <f t="shared" si="244"/>
        <v>2.6747311827956985</v>
      </c>
      <c r="AN959" s="365">
        <f t="shared" si="245"/>
        <v>3.1518817204301075</v>
      </c>
      <c r="AO959" s="365">
        <f t="shared" si="246"/>
        <v>6.4865591397849469</v>
      </c>
      <c r="AP959" s="365">
        <f t="shared" si="247"/>
        <v>0.93682795698924737</v>
      </c>
      <c r="AQ959" s="365">
        <f t="shared" si="248"/>
        <v>1.428763440860215</v>
      </c>
      <c r="AR959" s="365">
        <f t="shared" si="249"/>
        <v>2.2150537634408605</v>
      </c>
      <c r="AS959" s="365">
        <f t="shared" si="250"/>
        <v>371.31241099923778</v>
      </c>
      <c r="AT959" s="365" t="e">
        <f t="shared" ca="1" si="251"/>
        <v>#NAME?</v>
      </c>
      <c r="AU959" s="365" t="e">
        <f t="shared" ca="1" si="252"/>
        <v>#NAME?</v>
      </c>
      <c r="AW959" s="365" t="e">
        <f t="shared" ca="1" si="253"/>
        <v>#NAME?</v>
      </c>
      <c r="AX959" s="365" t="e">
        <f t="shared" ca="1" si="254"/>
        <v>#NAME?</v>
      </c>
    </row>
    <row r="960" spans="1:50" ht="15.75" customHeight="1" x14ac:dyDescent="0.3">
      <c r="A960" s="418" t="s">
        <v>1096</v>
      </c>
      <c r="AC960" s="4">
        <v>14</v>
      </c>
      <c r="AD960" s="365">
        <f t="shared" ref="AD960:AD966" si="265">IF($AF$944=1,VLOOKUP($AD$944,$A$974:$P$985,12,FALSE),IF(OR($AD$944="JUN",$AD$944="JUL",$AD$944="AUG"),VLOOKUP($AD$944,$A$947:$S$958,4,FALSE),VLOOKUP($AD$944,$A$947:$S$958,3,FALSE)))</f>
        <v>196</v>
      </c>
      <c r="AE960" s="365">
        <f t="shared" si="236"/>
        <v>28.721774193548388</v>
      </c>
      <c r="AF960" s="365">
        <f t="shared" si="237"/>
        <v>30.048387096774192</v>
      </c>
      <c r="AG960" s="365">
        <f t="shared" si="238"/>
        <v>50.240591397849464</v>
      </c>
      <c r="AH960" s="365">
        <f t="shared" si="239"/>
        <v>14.269400246549571</v>
      </c>
      <c r="AI960" s="365">
        <f t="shared" si="240"/>
        <v>11.376344086021506</v>
      </c>
      <c r="AJ960" s="365">
        <f t="shared" si="241"/>
        <v>7.538978494623656</v>
      </c>
      <c r="AK960" s="365">
        <f t="shared" si="242"/>
        <v>8.720430107526882</v>
      </c>
      <c r="AL960" s="365">
        <f t="shared" si="243"/>
        <v>7.502688172043011</v>
      </c>
      <c r="AM960" s="365">
        <f t="shared" si="244"/>
        <v>2.6747311827956985</v>
      </c>
      <c r="AN960" s="365">
        <f t="shared" si="245"/>
        <v>3.1518817204301075</v>
      </c>
      <c r="AO960" s="365">
        <f t="shared" si="246"/>
        <v>6.4865591397849469</v>
      </c>
      <c r="AP960" s="365">
        <f t="shared" si="247"/>
        <v>0.93682795698924737</v>
      </c>
      <c r="AQ960" s="365">
        <f t="shared" si="248"/>
        <v>1.428763440860215</v>
      </c>
      <c r="AR960" s="365">
        <f t="shared" si="249"/>
        <v>2.2150537634408605</v>
      </c>
      <c r="AS960" s="365">
        <f t="shared" si="250"/>
        <v>371.31241099923778</v>
      </c>
      <c r="AT960" s="365" t="e">
        <f t="shared" ca="1" si="251"/>
        <v>#NAME?</v>
      </c>
      <c r="AU960" s="365" t="e">
        <f t="shared" ca="1" si="252"/>
        <v>#NAME?</v>
      </c>
      <c r="AW960" s="365" t="e">
        <f t="shared" ca="1" si="253"/>
        <v>#NAME?</v>
      </c>
      <c r="AX960" s="365" t="e">
        <f t="shared" ca="1" si="254"/>
        <v>#NAME?</v>
      </c>
    </row>
    <row r="961" spans="1:50" ht="15.75" customHeight="1" x14ac:dyDescent="0.3">
      <c r="A961" s="418"/>
      <c r="AC961" s="4">
        <v>15</v>
      </c>
      <c r="AD961" s="365">
        <f t="shared" si="265"/>
        <v>196</v>
      </c>
      <c r="AE961" s="365">
        <f t="shared" si="236"/>
        <v>28.721774193548388</v>
      </c>
      <c r="AF961" s="365">
        <f t="shared" si="237"/>
        <v>30.048387096774192</v>
      </c>
      <c r="AG961" s="365">
        <f t="shared" si="238"/>
        <v>50.240591397849464</v>
      </c>
      <c r="AH961" s="365">
        <f t="shared" si="239"/>
        <v>14.269400246549571</v>
      </c>
      <c r="AI961" s="365">
        <f t="shared" si="240"/>
        <v>11.376344086021506</v>
      </c>
      <c r="AJ961" s="365">
        <f t="shared" si="241"/>
        <v>7.538978494623656</v>
      </c>
      <c r="AK961" s="365">
        <f t="shared" si="242"/>
        <v>8.720430107526882</v>
      </c>
      <c r="AL961" s="365">
        <f t="shared" si="243"/>
        <v>7.502688172043011</v>
      </c>
      <c r="AM961" s="365">
        <f t="shared" si="244"/>
        <v>2.6747311827956985</v>
      </c>
      <c r="AN961" s="365">
        <f t="shared" si="245"/>
        <v>3.1518817204301075</v>
      </c>
      <c r="AO961" s="365">
        <f t="shared" si="246"/>
        <v>6.4865591397849469</v>
      </c>
      <c r="AP961" s="365">
        <f t="shared" si="247"/>
        <v>0.93682795698924737</v>
      </c>
      <c r="AQ961" s="365">
        <f t="shared" si="248"/>
        <v>1.428763440860215</v>
      </c>
      <c r="AR961" s="365">
        <f t="shared" si="249"/>
        <v>2.2150537634408605</v>
      </c>
      <c r="AS961" s="365">
        <f t="shared" si="250"/>
        <v>371.31241099923778</v>
      </c>
      <c r="AT961" s="365" t="e">
        <f t="shared" ca="1" si="251"/>
        <v>#NAME?</v>
      </c>
      <c r="AU961" s="365" t="e">
        <f t="shared" ca="1" si="252"/>
        <v>#NAME?</v>
      </c>
      <c r="AW961" s="365" t="e">
        <f t="shared" ca="1" si="253"/>
        <v>#NAME?</v>
      </c>
      <c r="AX961" s="365" t="e">
        <f t="shared" ca="1" si="254"/>
        <v>#NAME?</v>
      </c>
    </row>
    <row r="962" spans="1:50" ht="15.75" customHeight="1" x14ac:dyDescent="0.3">
      <c r="A962" s="418"/>
      <c r="AC962" s="4">
        <v>16</v>
      </c>
      <c r="AD962" s="365">
        <f t="shared" si="265"/>
        <v>196</v>
      </c>
      <c r="AE962" s="365">
        <f t="shared" si="236"/>
        <v>28.721774193548388</v>
      </c>
      <c r="AF962" s="365">
        <f t="shared" si="237"/>
        <v>30.048387096774192</v>
      </c>
      <c r="AG962" s="365">
        <f t="shared" si="238"/>
        <v>50.240591397849464</v>
      </c>
      <c r="AH962" s="365">
        <f t="shared" si="239"/>
        <v>14.269400246549571</v>
      </c>
      <c r="AI962" s="365">
        <f t="shared" si="240"/>
        <v>11.376344086021506</v>
      </c>
      <c r="AJ962" s="365">
        <f t="shared" si="241"/>
        <v>7.538978494623656</v>
      </c>
      <c r="AK962" s="365">
        <f t="shared" si="242"/>
        <v>8.720430107526882</v>
      </c>
      <c r="AL962" s="365">
        <f t="shared" si="243"/>
        <v>7.502688172043011</v>
      </c>
      <c r="AM962" s="365">
        <f t="shared" si="244"/>
        <v>2.6747311827956985</v>
      </c>
      <c r="AN962" s="365">
        <f t="shared" si="245"/>
        <v>3.1518817204301075</v>
      </c>
      <c r="AO962" s="365">
        <f t="shared" si="246"/>
        <v>6.4865591397849469</v>
      </c>
      <c r="AP962" s="365">
        <f t="shared" si="247"/>
        <v>0.93682795698924737</v>
      </c>
      <c r="AQ962" s="365">
        <f t="shared" si="248"/>
        <v>1.428763440860215</v>
      </c>
      <c r="AR962" s="365">
        <f t="shared" si="249"/>
        <v>2.2150537634408605</v>
      </c>
      <c r="AS962" s="365">
        <f t="shared" si="250"/>
        <v>371.31241099923778</v>
      </c>
      <c r="AT962" s="365" t="e">
        <f t="shared" ca="1" si="251"/>
        <v>#NAME?</v>
      </c>
      <c r="AU962" s="365" t="e">
        <f t="shared" ca="1" si="252"/>
        <v>#NAME?</v>
      </c>
      <c r="AW962" s="365" t="e">
        <f t="shared" ca="1" si="253"/>
        <v>#NAME?</v>
      </c>
      <c r="AX962" s="365" t="e">
        <f t="shared" ca="1" si="254"/>
        <v>#NAME?</v>
      </c>
    </row>
    <row r="963" spans="1:50" ht="15.75" customHeight="1" thickBot="1" x14ac:dyDescent="0.35">
      <c r="A963" s="418"/>
      <c r="AC963" s="4">
        <v>17</v>
      </c>
      <c r="AD963" s="365">
        <f t="shared" si="265"/>
        <v>196</v>
      </c>
      <c r="AE963" s="365">
        <f t="shared" si="236"/>
        <v>28.721774193548388</v>
      </c>
      <c r="AF963" s="365">
        <f t="shared" si="237"/>
        <v>30.048387096774192</v>
      </c>
      <c r="AG963" s="365">
        <f t="shared" si="238"/>
        <v>50.240591397849464</v>
      </c>
      <c r="AH963" s="365">
        <f t="shared" si="239"/>
        <v>14.269400246549571</v>
      </c>
      <c r="AI963" s="365">
        <f t="shared" si="240"/>
        <v>11.376344086021506</v>
      </c>
      <c r="AJ963" s="365">
        <f t="shared" si="241"/>
        <v>7.538978494623656</v>
      </c>
      <c r="AK963" s="365">
        <f t="shared" si="242"/>
        <v>8.720430107526882</v>
      </c>
      <c r="AL963" s="365">
        <f t="shared" si="243"/>
        <v>7.502688172043011</v>
      </c>
      <c r="AM963" s="365">
        <f t="shared" si="244"/>
        <v>2.6747311827956985</v>
      </c>
      <c r="AN963" s="365">
        <f t="shared" si="245"/>
        <v>3.1518817204301075</v>
      </c>
      <c r="AO963" s="365">
        <f t="shared" si="246"/>
        <v>6.4865591397849469</v>
      </c>
      <c r="AP963" s="365">
        <f t="shared" si="247"/>
        <v>0.93682795698924737</v>
      </c>
      <c r="AQ963" s="365">
        <f t="shared" si="248"/>
        <v>1.428763440860215</v>
      </c>
      <c r="AR963" s="365">
        <f t="shared" si="249"/>
        <v>2.2150537634408605</v>
      </c>
      <c r="AS963" s="365">
        <f t="shared" si="250"/>
        <v>371.31241099923778</v>
      </c>
      <c r="AT963" s="365" t="e">
        <f t="shared" ca="1" si="251"/>
        <v>#NAME?</v>
      </c>
      <c r="AU963" s="365" t="e">
        <f t="shared" ca="1" si="252"/>
        <v>#NAME?</v>
      </c>
      <c r="AW963" s="365" t="e">
        <f t="shared" ca="1" si="253"/>
        <v>#NAME?</v>
      </c>
      <c r="AX963" s="365" t="e">
        <f t="shared" ca="1" si="254"/>
        <v>#NAME?</v>
      </c>
    </row>
    <row r="964" spans="1:50" ht="15.75" customHeight="1" x14ac:dyDescent="0.3">
      <c r="A964" s="430"/>
      <c r="B964" s="506" t="s">
        <v>1097</v>
      </c>
      <c r="C964" s="506"/>
      <c r="D964" s="506"/>
      <c r="E964" s="506"/>
      <c r="F964" s="506"/>
      <c r="G964" s="506"/>
      <c r="H964" s="506"/>
      <c r="I964" s="506"/>
      <c r="J964" s="506"/>
      <c r="K964" s="506"/>
      <c r="L964" s="506"/>
      <c r="M964" s="506"/>
      <c r="N964" s="506"/>
      <c r="O964" s="506"/>
      <c r="P964" s="506"/>
      <c r="Q964" s="361" t="str">
        <f>+Q1</f>
        <v xml:space="preserve">PRINTED:  </v>
      </c>
      <c r="R964" s="362">
        <f ca="1">+R1</f>
        <v>44909.46975358796</v>
      </c>
      <c r="AC964" s="4">
        <v>18</v>
      </c>
      <c r="AD964" s="365">
        <f t="shared" si="265"/>
        <v>196</v>
      </c>
      <c r="AE964" s="365">
        <f t="shared" si="236"/>
        <v>28.721774193548388</v>
      </c>
      <c r="AF964" s="365">
        <f t="shared" si="237"/>
        <v>30.048387096774192</v>
      </c>
      <c r="AG964" s="365">
        <f t="shared" si="238"/>
        <v>50.240591397849464</v>
      </c>
      <c r="AH964" s="365">
        <f t="shared" si="239"/>
        <v>14.269400246549571</v>
      </c>
      <c r="AI964" s="365">
        <f t="shared" si="240"/>
        <v>11.376344086021506</v>
      </c>
      <c r="AJ964" s="365">
        <f t="shared" si="241"/>
        <v>7.538978494623656</v>
      </c>
      <c r="AK964" s="365">
        <f t="shared" si="242"/>
        <v>8.720430107526882</v>
      </c>
      <c r="AL964" s="365">
        <f t="shared" si="243"/>
        <v>7.502688172043011</v>
      </c>
      <c r="AM964" s="365">
        <f t="shared" si="244"/>
        <v>2.6747311827956985</v>
      </c>
      <c r="AN964" s="365">
        <f t="shared" si="245"/>
        <v>3.1518817204301075</v>
      </c>
      <c r="AO964" s="365">
        <f t="shared" si="246"/>
        <v>6.4865591397849469</v>
      </c>
      <c r="AP964" s="365">
        <f t="shared" si="247"/>
        <v>0.93682795698924737</v>
      </c>
      <c r="AQ964" s="365">
        <f t="shared" si="248"/>
        <v>1.428763440860215</v>
      </c>
      <c r="AR964" s="365">
        <f t="shared" si="249"/>
        <v>2.2150537634408605</v>
      </c>
      <c r="AS964" s="365">
        <f t="shared" si="250"/>
        <v>371.31241099923778</v>
      </c>
      <c r="AT964" s="365" t="e">
        <f t="shared" ca="1" si="251"/>
        <v>#NAME?</v>
      </c>
      <c r="AU964" s="365" t="e">
        <f t="shared" ca="1" si="252"/>
        <v>#NAME?</v>
      </c>
      <c r="AW964" s="365" t="e">
        <f t="shared" ca="1" si="253"/>
        <v>#NAME?</v>
      </c>
      <c r="AX964" s="365" t="e">
        <f t="shared" ca="1" si="254"/>
        <v>#NAME?</v>
      </c>
    </row>
    <row r="965" spans="1:50" ht="16.5" customHeight="1" x14ac:dyDescent="0.3">
      <c r="A965" s="416"/>
      <c r="B965" s="503" t="str">
        <f>+A8</f>
        <v>Revised:  2/10/2015</v>
      </c>
      <c r="C965" s="503"/>
      <c r="D965" s="503"/>
      <c r="E965" s="503"/>
      <c r="F965" s="503"/>
      <c r="G965" s="503"/>
      <c r="H965" s="503"/>
      <c r="I965" s="503"/>
      <c r="J965" s="503"/>
      <c r="K965" s="503"/>
      <c r="L965" s="503"/>
      <c r="M965" s="503"/>
      <c r="N965" s="503"/>
      <c r="O965" s="503"/>
      <c r="P965" s="503"/>
      <c r="R965" s="307"/>
      <c r="AC965" s="4">
        <v>19</v>
      </c>
      <c r="AD965" s="365">
        <f t="shared" si="265"/>
        <v>196</v>
      </c>
      <c r="AE965" s="365">
        <f t="shared" si="236"/>
        <v>28.721774193548388</v>
      </c>
      <c r="AF965" s="365">
        <f t="shared" si="237"/>
        <v>30.048387096774192</v>
      </c>
      <c r="AG965" s="365">
        <f t="shared" si="238"/>
        <v>50.240591397849464</v>
      </c>
      <c r="AH965" s="365">
        <f t="shared" si="239"/>
        <v>14.269400246549571</v>
      </c>
      <c r="AI965" s="365">
        <f t="shared" si="240"/>
        <v>11.376344086021506</v>
      </c>
      <c r="AJ965" s="365">
        <f t="shared" si="241"/>
        <v>7.538978494623656</v>
      </c>
      <c r="AK965" s="365">
        <f t="shared" si="242"/>
        <v>8.720430107526882</v>
      </c>
      <c r="AL965" s="365">
        <f t="shared" si="243"/>
        <v>7.502688172043011</v>
      </c>
      <c r="AM965" s="365">
        <f t="shared" si="244"/>
        <v>2.6747311827956985</v>
      </c>
      <c r="AN965" s="365">
        <f t="shared" si="245"/>
        <v>3.1518817204301075</v>
      </c>
      <c r="AO965" s="365">
        <f t="shared" si="246"/>
        <v>6.4865591397849469</v>
      </c>
      <c r="AP965" s="365">
        <f t="shared" si="247"/>
        <v>0.93682795698924737</v>
      </c>
      <c r="AQ965" s="365">
        <f t="shared" si="248"/>
        <v>1.428763440860215</v>
      </c>
      <c r="AR965" s="365">
        <f t="shared" si="249"/>
        <v>2.2150537634408605</v>
      </c>
      <c r="AS965" s="365">
        <f t="shared" si="250"/>
        <v>371.31241099923778</v>
      </c>
      <c r="AT965" s="365" t="e">
        <f t="shared" ca="1" si="251"/>
        <v>#NAME?</v>
      </c>
      <c r="AU965" s="365" t="e">
        <f t="shared" ca="1" si="252"/>
        <v>#NAME?</v>
      </c>
      <c r="AW965" s="365" t="e">
        <f t="shared" ca="1" si="253"/>
        <v>#NAME?</v>
      </c>
      <c r="AX965" s="365" t="e">
        <f t="shared" ca="1" si="254"/>
        <v>#NAME?</v>
      </c>
    </row>
    <row r="966" spans="1:50" ht="16.5" customHeight="1" x14ac:dyDescent="0.3">
      <c r="A966" s="416"/>
      <c r="B966" s="503" t="s">
        <v>1024</v>
      </c>
      <c r="C966" s="503"/>
      <c r="D966" s="503"/>
      <c r="E966" s="503"/>
      <c r="F966" s="503"/>
      <c r="G966" s="503"/>
      <c r="H966" s="503"/>
      <c r="I966" s="503"/>
      <c r="J966" s="503"/>
      <c r="K966" s="503"/>
      <c r="L966" s="503"/>
      <c r="M966" s="503"/>
      <c r="N966" s="503"/>
      <c r="O966" s="503"/>
      <c r="P966" s="503"/>
      <c r="R966" s="307"/>
      <c r="AC966" s="4">
        <v>20</v>
      </c>
      <c r="AD966" s="365">
        <f t="shared" si="265"/>
        <v>196</v>
      </c>
      <c r="AE966" s="365">
        <f t="shared" si="236"/>
        <v>28.721774193548388</v>
      </c>
      <c r="AF966" s="365">
        <f t="shared" si="237"/>
        <v>30.048387096774192</v>
      </c>
      <c r="AG966" s="365">
        <f t="shared" si="238"/>
        <v>50.240591397849464</v>
      </c>
      <c r="AH966" s="365">
        <f t="shared" si="239"/>
        <v>14.269400246549571</v>
      </c>
      <c r="AI966" s="365">
        <f t="shared" si="240"/>
        <v>11.376344086021506</v>
      </c>
      <c r="AJ966" s="365">
        <f t="shared" si="241"/>
        <v>7.538978494623656</v>
      </c>
      <c r="AK966" s="365">
        <f t="shared" si="242"/>
        <v>8.720430107526882</v>
      </c>
      <c r="AL966" s="365">
        <f t="shared" si="243"/>
        <v>7.502688172043011</v>
      </c>
      <c r="AM966" s="365">
        <f t="shared" si="244"/>
        <v>2.6747311827956985</v>
      </c>
      <c r="AN966" s="365">
        <f t="shared" si="245"/>
        <v>3.1518817204301075</v>
      </c>
      <c r="AO966" s="365">
        <f t="shared" si="246"/>
        <v>6.4865591397849469</v>
      </c>
      <c r="AP966" s="365">
        <f t="shared" si="247"/>
        <v>0.93682795698924737</v>
      </c>
      <c r="AQ966" s="365">
        <f t="shared" si="248"/>
        <v>1.428763440860215</v>
      </c>
      <c r="AR966" s="365">
        <f t="shared" si="249"/>
        <v>2.2150537634408605</v>
      </c>
      <c r="AS966" s="365">
        <f t="shared" si="250"/>
        <v>371.31241099923778</v>
      </c>
      <c r="AT966" s="365" t="e">
        <f t="shared" ca="1" si="251"/>
        <v>#NAME?</v>
      </c>
      <c r="AU966" s="365" t="e">
        <f t="shared" ca="1" si="252"/>
        <v>#NAME?</v>
      </c>
      <c r="AW966" s="365" t="e">
        <f t="shared" ca="1" si="253"/>
        <v>#NAME?</v>
      </c>
      <c r="AX966" s="365" t="e">
        <f t="shared" ca="1" si="254"/>
        <v>#NAME?</v>
      </c>
    </row>
    <row r="967" spans="1:50" ht="16.5" customHeight="1" x14ac:dyDescent="0.3">
      <c r="A967" s="416"/>
      <c r="B967" s="159"/>
      <c r="C967" s="159"/>
      <c r="D967" s="159"/>
      <c r="E967" s="159"/>
      <c r="F967" s="159"/>
      <c r="G967" s="159"/>
      <c r="H967" s="159"/>
      <c r="I967" s="159"/>
      <c r="J967" s="159"/>
      <c r="K967" s="159"/>
      <c r="L967" s="159"/>
      <c r="M967" s="159"/>
      <c r="N967" s="159"/>
      <c r="O967" s="159"/>
      <c r="P967" s="159"/>
      <c r="R967" s="307"/>
      <c r="AC967" s="4">
        <v>21</v>
      </c>
      <c r="AD967" s="365">
        <f>IF($AF$944=1,VLOOKUP($AD$944,$A$974:$P$985,12,FALSE),VLOOKUP($AD$944,$A$947:$S$958,3,FALSE))</f>
        <v>196</v>
      </c>
      <c r="AE967" s="365">
        <f t="shared" si="236"/>
        <v>28.721774193548388</v>
      </c>
      <c r="AF967" s="365">
        <f t="shared" si="237"/>
        <v>30.048387096774192</v>
      </c>
      <c r="AG967" s="365">
        <f t="shared" si="238"/>
        <v>50.240591397849464</v>
      </c>
      <c r="AH967" s="365">
        <f t="shared" si="239"/>
        <v>14.269400246549571</v>
      </c>
      <c r="AI967" s="365">
        <f t="shared" si="240"/>
        <v>11.376344086021506</v>
      </c>
      <c r="AJ967" s="365">
        <f t="shared" si="241"/>
        <v>7.538978494623656</v>
      </c>
      <c r="AK967" s="365">
        <f t="shared" si="242"/>
        <v>8.720430107526882</v>
      </c>
      <c r="AL967" s="365">
        <f t="shared" si="243"/>
        <v>7.502688172043011</v>
      </c>
      <c r="AM967" s="365">
        <f t="shared" si="244"/>
        <v>2.6747311827956985</v>
      </c>
      <c r="AN967" s="365">
        <f t="shared" si="245"/>
        <v>3.1518817204301075</v>
      </c>
      <c r="AO967" s="365">
        <f t="shared" si="246"/>
        <v>6.4865591397849469</v>
      </c>
      <c r="AP967" s="365">
        <f t="shared" si="247"/>
        <v>0.93682795698924737</v>
      </c>
      <c r="AQ967" s="365">
        <f t="shared" si="248"/>
        <v>1.428763440860215</v>
      </c>
      <c r="AR967" s="365">
        <f t="shared" si="249"/>
        <v>2.2150537634408605</v>
      </c>
      <c r="AS967" s="365">
        <f t="shared" si="250"/>
        <v>371.31241099923778</v>
      </c>
      <c r="AT967" s="365" t="e">
        <f t="shared" ca="1" si="251"/>
        <v>#NAME?</v>
      </c>
      <c r="AU967" s="365" t="e">
        <f t="shared" ca="1" si="252"/>
        <v>#NAME?</v>
      </c>
      <c r="AW967" s="365" t="e">
        <f t="shared" ca="1" si="253"/>
        <v>#NAME?</v>
      </c>
      <c r="AX967" s="365" t="e">
        <f t="shared" ca="1" si="254"/>
        <v>#NAME?</v>
      </c>
    </row>
    <row r="968" spans="1:50" ht="16.5" customHeight="1" x14ac:dyDescent="0.3">
      <c r="A968" s="416"/>
      <c r="B968" s="539">
        <f>+A5</f>
        <v>2014</v>
      </c>
      <c r="C968" s="509"/>
      <c r="D968" s="509"/>
      <c r="E968" s="509"/>
      <c r="F968" s="509"/>
      <c r="G968" s="509"/>
      <c r="H968" s="509"/>
      <c r="I968" s="509"/>
      <c r="J968" s="509"/>
      <c r="K968" s="509"/>
      <c r="L968" s="509"/>
      <c r="M968" s="509"/>
      <c r="N968" s="509"/>
      <c r="O968" s="509"/>
      <c r="P968" s="509"/>
      <c r="R968" s="307"/>
      <c r="AC968" s="4">
        <v>22</v>
      </c>
      <c r="AD968" s="365">
        <f>IF($AF$944=1,VLOOKUP($AD$944,$A$974:$P$985,12,FALSE),VLOOKUP($AD$944,$A$947:$S$958,3,FALSE))</f>
        <v>196</v>
      </c>
      <c r="AE968" s="365">
        <f t="shared" si="236"/>
        <v>28.721774193548388</v>
      </c>
      <c r="AF968" s="365">
        <f t="shared" si="237"/>
        <v>30.048387096774192</v>
      </c>
      <c r="AG968" s="365">
        <f t="shared" si="238"/>
        <v>50.240591397849464</v>
      </c>
      <c r="AH968" s="365">
        <f t="shared" si="239"/>
        <v>14.269400246549571</v>
      </c>
      <c r="AI968" s="365">
        <f t="shared" si="240"/>
        <v>11.376344086021506</v>
      </c>
      <c r="AJ968" s="365">
        <f t="shared" si="241"/>
        <v>7.538978494623656</v>
      </c>
      <c r="AK968" s="365">
        <f t="shared" si="242"/>
        <v>8.720430107526882</v>
      </c>
      <c r="AL968" s="365">
        <f t="shared" si="243"/>
        <v>7.502688172043011</v>
      </c>
      <c r="AM968" s="365">
        <f t="shared" si="244"/>
        <v>2.6747311827956985</v>
      </c>
      <c r="AN968" s="365">
        <f t="shared" si="245"/>
        <v>3.1518817204301075</v>
      </c>
      <c r="AO968" s="365">
        <f t="shared" si="246"/>
        <v>6.4865591397849469</v>
      </c>
      <c r="AP968" s="365">
        <f t="shared" si="247"/>
        <v>0.93682795698924737</v>
      </c>
      <c r="AQ968" s="365">
        <f t="shared" si="248"/>
        <v>1.428763440860215</v>
      </c>
      <c r="AR968" s="365">
        <f t="shared" si="249"/>
        <v>2.2150537634408605</v>
      </c>
      <c r="AS968" s="365">
        <f t="shared" si="250"/>
        <v>371.31241099923778</v>
      </c>
      <c r="AT968" s="365" t="e">
        <f t="shared" ca="1" si="251"/>
        <v>#NAME?</v>
      </c>
      <c r="AU968" s="365" t="e">
        <f t="shared" ca="1" si="252"/>
        <v>#NAME?</v>
      </c>
      <c r="AW968" s="365" t="e">
        <f t="shared" ca="1" si="253"/>
        <v>#NAME?</v>
      </c>
      <c r="AX968" s="365" t="e">
        <f t="shared" ca="1" si="254"/>
        <v>#NAME?</v>
      </c>
    </row>
    <row r="969" spans="1:50" ht="15.75" customHeight="1" x14ac:dyDescent="0.3">
      <c r="A969" s="416"/>
      <c r="B969" s="503" t="s">
        <v>457</v>
      </c>
      <c r="C969" s="503"/>
      <c r="D969" s="503"/>
      <c r="E969" s="503"/>
      <c r="F969" s="503"/>
      <c r="G969" s="503"/>
      <c r="H969" s="503"/>
      <c r="I969" s="503"/>
      <c r="J969" s="503"/>
      <c r="K969" s="503"/>
      <c r="L969" s="503"/>
      <c r="M969" s="503"/>
      <c r="N969" s="503"/>
      <c r="O969" s="503"/>
      <c r="P969" s="503"/>
      <c r="R969" s="307"/>
      <c r="AC969" s="4">
        <v>23</v>
      </c>
      <c r="AD969" s="365">
        <f>IF($AF$944=1,VLOOKUP($AD$944,$A$974:$P$985,12,FALSE),IF(OR($AD$944="JAN",$AD$944="FEB",$AD$944="NOV",$AD$944="DEC"),VLOOKUP($AD$944,$A$947:$S$958,3,FALSE),VLOOKUP($AD$944,$A$947:$S$958,2,FALSE)))</f>
        <v>294</v>
      </c>
      <c r="AE969" s="365">
        <f t="shared" si="236"/>
        <v>28.721774193548388</v>
      </c>
      <c r="AF969" s="365">
        <f t="shared" si="237"/>
        <v>30.048387096774192</v>
      </c>
      <c r="AG969" s="365">
        <f t="shared" si="238"/>
        <v>50.240591397849464</v>
      </c>
      <c r="AH969" s="365">
        <f t="shared" si="239"/>
        <v>14.269400246549571</v>
      </c>
      <c r="AI969" s="365">
        <f t="shared" si="240"/>
        <v>11.376344086021506</v>
      </c>
      <c r="AJ969" s="365">
        <f t="shared" si="241"/>
        <v>7.538978494623656</v>
      </c>
      <c r="AK969" s="365">
        <f t="shared" si="242"/>
        <v>8.720430107526882</v>
      </c>
      <c r="AL969" s="365">
        <f t="shared" si="243"/>
        <v>7.502688172043011</v>
      </c>
      <c r="AM969" s="365">
        <f t="shared" si="244"/>
        <v>2.6747311827956985</v>
      </c>
      <c r="AN969" s="365">
        <f t="shared" si="245"/>
        <v>3.1518817204301075</v>
      </c>
      <c r="AO969" s="365">
        <f t="shared" si="246"/>
        <v>6.4865591397849469</v>
      </c>
      <c r="AP969" s="365">
        <f t="shared" si="247"/>
        <v>0.93682795698924737</v>
      </c>
      <c r="AQ969" s="365">
        <f t="shared" si="248"/>
        <v>1.428763440860215</v>
      </c>
      <c r="AR969" s="365">
        <f t="shared" si="249"/>
        <v>2.2150537634408605</v>
      </c>
      <c r="AS969" s="365">
        <f t="shared" si="250"/>
        <v>469.31241099923784</v>
      </c>
      <c r="AT969" s="365" t="e">
        <f t="shared" ca="1" si="251"/>
        <v>#NAME?</v>
      </c>
      <c r="AU969" s="365" t="e">
        <f t="shared" ca="1" si="252"/>
        <v>#NAME?</v>
      </c>
      <c r="AW969" s="365" t="e">
        <f t="shared" ca="1" si="253"/>
        <v>#NAME?</v>
      </c>
      <c r="AX969" s="365" t="e">
        <f t="shared" ca="1" si="254"/>
        <v>#NAME?</v>
      </c>
    </row>
    <row r="970" spans="1:50" ht="15.75" customHeight="1" thickBot="1" x14ac:dyDescent="0.35">
      <c r="A970" s="416"/>
      <c r="R970" s="307"/>
      <c r="AC970" s="4">
        <v>24</v>
      </c>
      <c r="AD970" s="365">
        <f>IF($AF$944=1,VLOOKUP($AD$944,$A$974:$P$985,12,FALSE),VLOOKUP($AD$944,$A$947:$S$958,2,FALSE))</f>
        <v>294</v>
      </c>
      <c r="AE970" s="365">
        <f t="shared" si="236"/>
        <v>28.721774193548388</v>
      </c>
      <c r="AF970" s="365">
        <f t="shared" si="237"/>
        <v>30.048387096774192</v>
      </c>
      <c r="AG970" s="365">
        <f t="shared" si="238"/>
        <v>50.240591397849464</v>
      </c>
      <c r="AH970" s="365">
        <f t="shared" si="239"/>
        <v>14.269400246549571</v>
      </c>
      <c r="AI970" s="365">
        <f t="shared" si="240"/>
        <v>11.376344086021506</v>
      </c>
      <c r="AJ970" s="365">
        <f t="shared" si="241"/>
        <v>7.538978494623656</v>
      </c>
      <c r="AK970" s="365">
        <f t="shared" si="242"/>
        <v>8.720430107526882</v>
      </c>
      <c r="AL970" s="365">
        <f t="shared" si="243"/>
        <v>7.502688172043011</v>
      </c>
      <c r="AM970" s="365">
        <f t="shared" si="244"/>
        <v>2.6747311827956985</v>
      </c>
      <c r="AN970" s="365">
        <f t="shared" si="245"/>
        <v>3.1518817204301075</v>
      </c>
      <c r="AO970" s="365">
        <f t="shared" si="246"/>
        <v>6.4865591397849469</v>
      </c>
      <c r="AP970" s="365">
        <f t="shared" si="247"/>
        <v>0.93682795698924737</v>
      </c>
      <c r="AQ970" s="365">
        <f t="shared" si="248"/>
        <v>1.428763440860215</v>
      </c>
      <c r="AR970" s="365">
        <f t="shared" si="249"/>
        <v>2.2150537634408605</v>
      </c>
      <c r="AS970" s="365">
        <f t="shared" si="250"/>
        <v>469.31241099923784</v>
      </c>
      <c r="AT970" s="365" t="e">
        <f t="shared" ca="1" si="251"/>
        <v>#NAME?</v>
      </c>
      <c r="AU970" s="365" t="e">
        <f t="shared" ca="1" si="252"/>
        <v>#NAME?</v>
      </c>
      <c r="AW970" s="365" t="e">
        <f t="shared" ca="1" si="253"/>
        <v>#NAME?</v>
      </c>
      <c r="AX970" s="365" t="e">
        <f t="shared" ca="1" si="254"/>
        <v>#NAME?</v>
      </c>
    </row>
    <row r="971" spans="1:50" ht="15.75" customHeight="1" x14ac:dyDescent="0.3">
      <c r="A971" s="416"/>
      <c r="B971" s="542" t="s">
        <v>1098</v>
      </c>
      <c r="C971" s="543"/>
      <c r="D971" s="543"/>
      <c r="E971" s="543"/>
      <c r="F971" s="543"/>
      <c r="G971" s="543"/>
      <c r="H971" s="543"/>
      <c r="I971" s="543"/>
      <c r="J971" s="543"/>
      <c r="K971" s="543"/>
      <c r="L971" s="544"/>
      <c r="M971" s="545" t="s">
        <v>1099</v>
      </c>
      <c r="N971" s="543"/>
      <c r="O971" s="543"/>
      <c r="P971" s="543"/>
      <c r="Q971" s="365" t="s">
        <v>1100</v>
      </c>
      <c r="R971" s="427" t="s">
        <v>1101</v>
      </c>
      <c r="AC971" s="4" t="s">
        <v>422</v>
      </c>
      <c r="AD971" s="365">
        <f>SUM(AD947:AD970)</f>
        <v>5488</v>
      </c>
      <c r="AE971" s="365">
        <f>SUM(AE947:AE970)</f>
        <v>689.32258064516168</v>
      </c>
      <c r="AF971" s="365">
        <f t="shared" ref="AF971:AW971" si="266">SUM(AF947:AF970)</f>
        <v>721.1612903225805</v>
      </c>
      <c r="AG971" s="365">
        <f t="shared" si="266"/>
        <v>1205.7741935483868</v>
      </c>
      <c r="AH971" s="365">
        <f t="shared" si="266"/>
        <v>342.46560591718981</v>
      </c>
      <c r="AI971" s="365">
        <f t="shared" si="266"/>
        <v>273.03225806451616</v>
      </c>
      <c r="AJ971" s="365">
        <f t="shared" si="266"/>
        <v>180.93548387096763</v>
      </c>
      <c r="AK971" s="365">
        <f t="shared" si="266"/>
        <v>209.29032258064515</v>
      </c>
      <c r="AL971" s="365">
        <f t="shared" si="266"/>
        <v>180.06451612903223</v>
      </c>
      <c r="AM971" s="365">
        <f t="shared" si="266"/>
        <v>64.193548387096754</v>
      </c>
      <c r="AN971" s="365">
        <f t="shared" si="266"/>
        <v>75.645161290322562</v>
      </c>
      <c r="AO971" s="365">
        <f t="shared" si="266"/>
        <v>155.67741935483875</v>
      </c>
      <c r="AP971" s="365">
        <f t="shared" si="266"/>
        <v>22.483870967741943</v>
      </c>
      <c r="AQ971" s="365">
        <f t="shared" si="266"/>
        <v>34.290322580645174</v>
      </c>
      <c r="AR971" s="365">
        <f t="shared" si="266"/>
        <v>53.161290322580676</v>
      </c>
      <c r="AS971" s="365">
        <f t="shared" si="266"/>
        <v>9695.4978639817091</v>
      </c>
      <c r="AT971" s="365" t="e">
        <f t="shared" ca="1" si="266"/>
        <v>#NAME?</v>
      </c>
      <c r="AU971" s="365" t="e">
        <f t="shared" ca="1" si="266"/>
        <v>#NAME?</v>
      </c>
      <c r="AW971" s="365" t="e">
        <f t="shared" ca="1" si="266"/>
        <v>#NAME?</v>
      </c>
      <c r="AX971" s="365">
        <f ca="1">SUMIF(AX947:AX970,"&gt;0")</f>
        <v>0</v>
      </c>
    </row>
    <row r="972" spans="1:50" ht="15.75" customHeight="1" thickBot="1" x14ac:dyDescent="0.35">
      <c r="A972" s="416" t="s">
        <v>1071</v>
      </c>
      <c r="B972" s="431" t="s">
        <v>1102</v>
      </c>
      <c r="C972" s="432" t="s">
        <v>1085</v>
      </c>
      <c r="D972" s="432" t="s">
        <v>1086</v>
      </c>
      <c r="E972" s="432" t="s">
        <v>1103</v>
      </c>
      <c r="F972" s="432" t="s">
        <v>1085</v>
      </c>
      <c r="G972" s="432" t="s">
        <v>1086</v>
      </c>
      <c r="H972" s="432" t="s">
        <v>1087</v>
      </c>
      <c r="I972" s="432" t="s">
        <v>1085</v>
      </c>
      <c r="J972" s="432" t="s">
        <v>1086</v>
      </c>
      <c r="K972" s="432" t="s">
        <v>1087</v>
      </c>
      <c r="L972" s="433" t="s">
        <v>1104</v>
      </c>
      <c r="M972" s="431" t="s">
        <v>1105</v>
      </c>
      <c r="N972" s="432" t="s">
        <v>1085</v>
      </c>
      <c r="O972" s="432" t="s">
        <v>1085</v>
      </c>
      <c r="P972" s="433" t="s">
        <v>1104</v>
      </c>
      <c r="Q972" s="434" t="s">
        <v>422</v>
      </c>
      <c r="R972" s="435" t="s">
        <v>1106</v>
      </c>
      <c r="S972" s="365"/>
      <c r="AU972" s="365"/>
      <c r="AW972" s="365"/>
      <c r="AX972" s="365"/>
    </row>
    <row r="973" spans="1:50" ht="15.75" customHeight="1" thickTop="1" x14ac:dyDescent="0.3">
      <c r="A973" s="416"/>
      <c r="B973" s="436"/>
      <c r="C973" s="437" t="s">
        <v>1107</v>
      </c>
      <c r="D973" s="437" t="s">
        <v>1107</v>
      </c>
      <c r="E973" s="437" t="s">
        <v>1107</v>
      </c>
      <c r="F973" s="438" t="s">
        <v>1079</v>
      </c>
      <c r="G973" s="438" t="s">
        <v>1079</v>
      </c>
      <c r="H973" s="438" t="s">
        <v>1079</v>
      </c>
      <c r="I973" s="438" t="s">
        <v>1108</v>
      </c>
      <c r="J973" s="438" t="s">
        <v>1108</v>
      </c>
      <c r="K973" s="438" t="s">
        <v>1108</v>
      </c>
      <c r="L973" s="439" t="s">
        <v>1109</v>
      </c>
      <c r="M973" s="440"/>
      <c r="N973" s="437" t="s">
        <v>1107</v>
      </c>
      <c r="O973" s="438" t="s">
        <v>1079</v>
      </c>
      <c r="P973" s="439" t="s">
        <v>1108</v>
      </c>
      <c r="Q973" s="434" t="s">
        <v>1108</v>
      </c>
      <c r="R973" s="435" t="s">
        <v>1108</v>
      </c>
      <c r="S973" s="365"/>
    </row>
    <row r="974" spans="1:50" ht="15.75" customHeight="1" x14ac:dyDescent="0.3">
      <c r="A974" s="416" t="s">
        <v>795</v>
      </c>
      <c r="B974" s="375" t="e">
        <f ca="1">+$B$10-M974</f>
        <v>#NAME?</v>
      </c>
      <c r="C974" s="441">
        <v>5</v>
      </c>
      <c r="D974" s="441">
        <v>0</v>
      </c>
      <c r="E974" s="441" t="s">
        <v>1095</v>
      </c>
      <c r="F974" s="365">
        <f t="shared" ref="F974:H985" si="267">+I974/8</f>
        <v>245</v>
      </c>
      <c r="G974" s="365">
        <f>+J974/16</f>
        <v>0</v>
      </c>
      <c r="H974" s="365" t="s">
        <v>1095</v>
      </c>
      <c r="I974" s="365">
        <f t="shared" ref="I974:K985" si="268">+C974*49*8</f>
        <v>1960</v>
      </c>
      <c r="J974" s="365">
        <f>+D974*49*16</f>
        <v>0</v>
      </c>
      <c r="K974" s="365" t="s">
        <v>1095</v>
      </c>
      <c r="L974" s="427">
        <f t="shared" ref="L974:L985" si="269">+J974+I974</f>
        <v>1960</v>
      </c>
      <c r="M974" s="375" t="e">
        <f ca="1">SUMPRODUCT(--(WEEKDAY(ROW(INDIRECT(DATE($B$968,MonthFromText(A974),1)&amp;":"&amp;DATE($B$968,MonthFromText(A974),$B$10))),1)=1))</f>
        <v>#NAME?</v>
      </c>
      <c r="N974" s="441">
        <v>5</v>
      </c>
      <c r="O974" s="4">
        <f t="shared" ref="O974:O985" si="270">+P974/24</f>
        <v>245</v>
      </c>
      <c r="P974" s="427">
        <f t="shared" ref="P974:P985" si="271">+N974*49*24</f>
        <v>5880</v>
      </c>
      <c r="Q974" s="365" t="e">
        <f t="shared" ref="Q974:Q985" ca="1" si="272">+(L974*B974)+(M974*P974)</f>
        <v>#NAME?</v>
      </c>
      <c r="R974" s="427" t="e">
        <f t="shared" ref="R974:R985" ca="1" si="273">+Q974-B867</f>
        <v>#NAME?</v>
      </c>
      <c r="S974" s="365"/>
    </row>
    <row r="975" spans="1:50" ht="15.75" customHeight="1" x14ac:dyDescent="0.3">
      <c r="A975" s="416" t="s">
        <v>9</v>
      </c>
      <c r="B975" s="375" t="e">
        <f ca="1">+$C$10-M975</f>
        <v>#NAME?</v>
      </c>
      <c r="C975" s="441">
        <v>6</v>
      </c>
      <c r="D975" s="441">
        <v>3</v>
      </c>
      <c r="E975" s="441" t="s">
        <v>1095</v>
      </c>
      <c r="F975" s="365">
        <f t="shared" si="267"/>
        <v>294</v>
      </c>
      <c r="G975" s="365">
        <f>+J975/16</f>
        <v>147</v>
      </c>
      <c r="H975" s="365" t="s">
        <v>1095</v>
      </c>
      <c r="I975" s="365">
        <f t="shared" si="268"/>
        <v>2352</v>
      </c>
      <c r="J975" s="365">
        <f>+D975*49*16</f>
        <v>2352</v>
      </c>
      <c r="K975" s="365" t="s">
        <v>1095</v>
      </c>
      <c r="L975" s="427">
        <f t="shared" si="269"/>
        <v>4704</v>
      </c>
      <c r="M975" s="375" t="e">
        <f ca="1">SUMPRODUCT(--(WEEKDAY(ROW(INDIRECT(DATE($B$968,MonthFromText(A975),1)&amp;":"&amp;DATE($B$968,MonthFromText(A975),$C$10))),1)=1))</f>
        <v>#NAME?</v>
      </c>
      <c r="N975" s="441">
        <v>6</v>
      </c>
      <c r="O975" s="4">
        <f t="shared" si="270"/>
        <v>294</v>
      </c>
      <c r="P975" s="427">
        <f t="shared" si="271"/>
        <v>7056</v>
      </c>
      <c r="Q975" s="365" t="e">
        <f t="shared" ca="1" si="272"/>
        <v>#NAME?</v>
      </c>
      <c r="R975" s="427" t="e">
        <f t="shared" ca="1" si="273"/>
        <v>#NAME?</v>
      </c>
      <c r="S975" s="365"/>
    </row>
    <row r="976" spans="1:50" ht="16.5" customHeight="1" x14ac:dyDescent="0.3">
      <c r="A976" s="416" t="s">
        <v>10</v>
      </c>
      <c r="B976" s="375" t="e">
        <f ca="1">+$D$10-M976</f>
        <v>#NAME?</v>
      </c>
      <c r="C976" s="441">
        <v>6</v>
      </c>
      <c r="D976" s="441">
        <v>4</v>
      </c>
      <c r="E976" s="441" t="s">
        <v>1095</v>
      </c>
      <c r="F976" s="365">
        <f t="shared" si="267"/>
        <v>294</v>
      </c>
      <c r="G976" s="365">
        <f>+J976/16</f>
        <v>196</v>
      </c>
      <c r="H976" s="365" t="s">
        <v>1095</v>
      </c>
      <c r="I976" s="365">
        <f t="shared" si="268"/>
        <v>2352</v>
      </c>
      <c r="J976" s="365">
        <f>+D976*49*16</f>
        <v>3136</v>
      </c>
      <c r="K976" s="365" t="s">
        <v>1095</v>
      </c>
      <c r="L976" s="427">
        <f t="shared" si="269"/>
        <v>5488</v>
      </c>
      <c r="M976" s="375" t="e">
        <f ca="1">SUMPRODUCT(--(WEEKDAY(ROW(INDIRECT(DATE($B$968,MonthFromText(A976),1)&amp;":"&amp;DATE($B$968,MonthFromText(A976),$D$10))),1)=1))</f>
        <v>#NAME?</v>
      </c>
      <c r="N976" s="441">
        <v>6</v>
      </c>
      <c r="O976" s="4">
        <f t="shared" si="270"/>
        <v>294</v>
      </c>
      <c r="P976" s="427">
        <f t="shared" si="271"/>
        <v>7056</v>
      </c>
      <c r="Q976" s="365" t="e">
        <f t="shared" ca="1" si="272"/>
        <v>#NAME?</v>
      </c>
      <c r="R976" s="427" t="e">
        <f t="shared" ca="1" si="273"/>
        <v>#NAME?</v>
      </c>
      <c r="S976" s="365"/>
    </row>
    <row r="977" spans="1:19" ht="16.5" customHeight="1" x14ac:dyDescent="0.3">
      <c r="A977" s="416" t="s">
        <v>12</v>
      </c>
      <c r="B977" s="375" t="e">
        <f ca="1">+$F$10-M977</f>
        <v>#NAME?</v>
      </c>
      <c r="C977" s="441">
        <v>6</v>
      </c>
      <c r="D977" s="441">
        <v>4</v>
      </c>
      <c r="E977" s="441" t="s">
        <v>1095</v>
      </c>
      <c r="F977" s="365">
        <f t="shared" si="267"/>
        <v>294</v>
      </c>
      <c r="G977" s="365">
        <f>+J977/16</f>
        <v>196</v>
      </c>
      <c r="H977" s="365" t="s">
        <v>1095</v>
      </c>
      <c r="I977" s="365">
        <f t="shared" si="268"/>
        <v>2352</v>
      </c>
      <c r="J977" s="365">
        <f>+D977*49*16</f>
        <v>3136</v>
      </c>
      <c r="K977" s="365" t="s">
        <v>1095</v>
      </c>
      <c r="L977" s="427">
        <f t="shared" si="269"/>
        <v>5488</v>
      </c>
      <c r="M977" s="375" t="e">
        <f ca="1">SUMPRODUCT(--(WEEKDAY(ROW(INDIRECT(DATE($B$968,MonthFromText(A977),1)&amp;":"&amp;DATE($B$968,MonthFromText(A977),$F$10))),1)=1))</f>
        <v>#NAME?</v>
      </c>
      <c r="N977" s="441">
        <v>6</v>
      </c>
      <c r="O977" s="4">
        <f t="shared" si="270"/>
        <v>294</v>
      </c>
      <c r="P977" s="427">
        <f t="shared" si="271"/>
        <v>7056</v>
      </c>
      <c r="Q977" s="365" t="e">
        <f t="shared" ca="1" si="272"/>
        <v>#NAME?</v>
      </c>
      <c r="R977" s="427" t="e">
        <f t="shared" ca="1" si="273"/>
        <v>#NAME?</v>
      </c>
      <c r="S977" s="365"/>
    </row>
    <row r="978" spans="1:19" ht="15.75" customHeight="1" x14ac:dyDescent="0.3">
      <c r="A978" s="416" t="s">
        <v>13</v>
      </c>
      <c r="B978" s="375" t="e">
        <f ca="1">+$G$10-M978</f>
        <v>#NAME?</v>
      </c>
      <c r="C978" s="441">
        <v>6</v>
      </c>
      <c r="D978" s="441">
        <v>4</v>
      </c>
      <c r="E978" s="441" t="s">
        <v>1095</v>
      </c>
      <c r="F978" s="365">
        <f t="shared" si="267"/>
        <v>294</v>
      </c>
      <c r="G978" s="365">
        <f>+J978/16</f>
        <v>196</v>
      </c>
      <c r="H978" s="365" t="s">
        <v>1095</v>
      </c>
      <c r="I978" s="365">
        <f t="shared" si="268"/>
        <v>2352</v>
      </c>
      <c r="J978" s="365">
        <f>+D978*49*16</f>
        <v>3136</v>
      </c>
      <c r="K978" s="365" t="s">
        <v>1095</v>
      </c>
      <c r="L978" s="427">
        <f t="shared" si="269"/>
        <v>5488</v>
      </c>
      <c r="M978" s="375" t="e">
        <f ca="1">SUMPRODUCT(--(WEEKDAY(ROW(INDIRECT(DATE($B$968,MonthFromText(A978),1)&amp;":"&amp;DATE($B$968,MonthFromText(A978),$G$10))),1)=1))</f>
        <v>#NAME?</v>
      </c>
      <c r="N978" s="441">
        <v>6</v>
      </c>
      <c r="O978" s="4">
        <f t="shared" si="270"/>
        <v>294</v>
      </c>
      <c r="P978" s="427">
        <f t="shared" si="271"/>
        <v>7056</v>
      </c>
      <c r="Q978" s="365" t="e">
        <f t="shared" ca="1" si="272"/>
        <v>#NAME?</v>
      </c>
      <c r="R978" s="427" t="e">
        <f t="shared" ca="1" si="273"/>
        <v>#NAME?</v>
      </c>
      <c r="S978" s="365"/>
    </row>
    <row r="979" spans="1:19" ht="15.75" customHeight="1" x14ac:dyDescent="0.3">
      <c r="A979" s="416" t="s">
        <v>14</v>
      </c>
      <c r="B979" s="375" t="e">
        <f ca="1">+$H$10-M979</f>
        <v>#NAME?</v>
      </c>
      <c r="C979" s="441">
        <v>6</v>
      </c>
      <c r="D979" s="441">
        <v>2</v>
      </c>
      <c r="E979" s="441">
        <v>0</v>
      </c>
      <c r="F979" s="365">
        <f t="shared" si="267"/>
        <v>294</v>
      </c>
      <c r="G979" s="365">
        <f t="shared" si="267"/>
        <v>98</v>
      </c>
      <c r="H979" s="365">
        <f t="shared" si="267"/>
        <v>0</v>
      </c>
      <c r="I979" s="365">
        <f t="shared" si="268"/>
        <v>2352</v>
      </c>
      <c r="J979" s="365">
        <f t="shared" si="268"/>
        <v>784</v>
      </c>
      <c r="K979" s="365">
        <f t="shared" si="268"/>
        <v>0</v>
      </c>
      <c r="L979" s="427">
        <f t="shared" si="269"/>
        <v>3136</v>
      </c>
      <c r="M979" s="375" t="e">
        <f ca="1">SUMPRODUCT(--(WEEKDAY(ROW(INDIRECT(DATE($B$968,MonthFromText(A979),1)&amp;":"&amp;DATE($B$968,MonthFromText(A979),$H$10))),1)=1))</f>
        <v>#NAME?</v>
      </c>
      <c r="N979" s="441">
        <v>5</v>
      </c>
      <c r="O979" s="4">
        <f t="shared" si="270"/>
        <v>245</v>
      </c>
      <c r="P979" s="427">
        <f t="shared" si="271"/>
        <v>5880</v>
      </c>
      <c r="Q979" s="365" t="e">
        <f t="shared" ca="1" si="272"/>
        <v>#NAME?</v>
      </c>
      <c r="R979" s="427" t="e">
        <f t="shared" ca="1" si="273"/>
        <v>#NAME?</v>
      </c>
      <c r="S979" s="365"/>
    </row>
    <row r="980" spans="1:19" ht="15.75" customHeight="1" x14ac:dyDescent="0.3">
      <c r="A980" s="416" t="s">
        <v>16</v>
      </c>
      <c r="B980" s="375" t="e">
        <f ca="1">+$J$10-M980</f>
        <v>#NAME?</v>
      </c>
      <c r="C980" s="441">
        <v>3</v>
      </c>
      <c r="D980" s="441">
        <v>2</v>
      </c>
      <c r="E980" s="441">
        <v>0</v>
      </c>
      <c r="F980" s="365">
        <f t="shared" si="267"/>
        <v>147</v>
      </c>
      <c r="G980" s="365">
        <f t="shared" si="267"/>
        <v>98</v>
      </c>
      <c r="H980" s="365">
        <f t="shared" si="267"/>
        <v>0</v>
      </c>
      <c r="I980" s="365">
        <f t="shared" si="268"/>
        <v>1176</v>
      </c>
      <c r="J980" s="365">
        <f t="shared" si="268"/>
        <v>784</v>
      </c>
      <c r="K980" s="365">
        <f t="shared" si="268"/>
        <v>0</v>
      </c>
      <c r="L980" s="427">
        <f t="shared" si="269"/>
        <v>1960</v>
      </c>
      <c r="M980" s="375" t="e">
        <f ca="1">SUMPRODUCT(--(WEEKDAY(ROW(INDIRECT(DATE($B$968,MonthFromText(A980),1)&amp;":"&amp;DATE($B$968,MonthFromText(A980),$J$10))),1)=1))</f>
        <v>#NAME?</v>
      </c>
      <c r="N980" s="441">
        <v>3</v>
      </c>
      <c r="O980" s="4">
        <f t="shared" si="270"/>
        <v>147</v>
      </c>
      <c r="P980" s="427">
        <f t="shared" si="271"/>
        <v>3528</v>
      </c>
      <c r="Q980" s="365" t="e">
        <f t="shared" ca="1" si="272"/>
        <v>#NAME?</v>
      </c>
      <c r="R980" s="427" t="e">
        <f t="shared" ca="1" si="273"/>
        <v>#NAME?</v>
      </c>
      <c r="S980" s="365"/>
    </row>
    <row r="981" spans="1:19" ht="15.75" customHeight="1" x14ac:dyDescent="0.3">
      <c r="A981" s="416" t="s">
        <v>17</v>
      </c>
      <c r="B981" s="375" t="e">
        <f ca="1">+$K$10-M981</f>
        <v>#NAME?</v>
      </c>
      <c r="C981" s="441">
        <v>3</v>
      </c>
      <c r="D981" s="441">
        <v>2</v>
      </c>
      <c r="E981" s="441">
        <v>0</v>
      </c>
      <c r="F981" s="365">
        <f t="shared" si="267"/>
        <v>147</v>
      </c>
      <c r="G981" s="365">
        <f t="shared" si="267"/>
        <v>98</v>
      </c>
      <c r="H981" s="365">
        <f t="shared" si="267"/>
        <v>0</v>
      </c>
      <c r="I981" s="365">
        <f t="shared" si="268"/>
        <v>1176</v>
      </c>
      <c r="J981" s="365">
        <f t="shared" si="268"/>
        <v>784</v>
      </c>
      <c r="K981" s="365">
        <f t="shared" si="268"/>
        <v>0</v>
      </c>
      <c r="L981" s="427">
        <f t="shared" si="269"/>
        <v>1960</v>
      </c>
      <c r="M981" s="375" t="e">
        <f ca="1">SUMPRODUCT(--(WEEKDAY(ROW(INDIRECT(DATE($B$968,MonthFromText(A981),1)&amp;":"&amp;DATE($B$968,MonthFromText(A981),$K$10))),1)=1))</f>
        <v>#NAME?</v>
      </c>
      <c r="N981" s="441">
        <v>3</v>
      </c>
      <c r="O981" s="4">
        <f t="shared" si="270"/>
        <v>147</v>
      </c>
      <c r="P981" s="427">
        <f t="shared" si="271"/>
        <v>3528</v>
      </c>
      <c r="Q981" s="365" t="e">
        <f t="shared" ca="1" si="272"/>
        <v>#NAME?</v>
      </c>
      <c r="R981" s="427" t="e">
        <f t="shared" ca="1" si="273"/>
        <v>#NAME?</v>
      </c>
      <c r="S981" s="365"/>
    </row>
    <row r="982" spans="1:19" ht="15.75" customHeight="1" x14ac:dyDescent="0.3">
      <c r="A982" s="416" t="s">
        <v>18</v>
      </c>
      <c r="B982" s="375" t="e">
        <f ca="1">+$L$10-M982</f>
        <v>#NAME?</v>
      </c>
      <c r="C982" s="441">
        <v>5</v>
      </c>
      <c r="D982" s="441">
        <v>3</v>
      </c>
      <c r="E982" s="441" t="s">
        <v>1095</v>
      </c>
      <c r="F982" s="365">
        <f t="shared" si="267"/>
        <v>245</v>
      </c>
      <c r="G982" s="365">
        <f>+J982/16</f>
        <v>147</v>
      </c>
      <c r="H982" s="365" t="s">
        <v>1095</v>
      </c>
      <c r="I982" s="365">
        <f t="shared" si="268"/>
        <v>1960</v>
      </c>
      <c r="J982" s="365">
        <f>+D982*49*16</f>
        <v>2352</v>
      </c>
      <c r="K982" s="365" t="s">
        <v>1095</v>
      </c>
      <c r="L982" s="427">
        <f t="shared" si="269"/>
        <v>4312</v>
      </c>
      <c r="M982" s="375" t="e">
        <f ca="1">SUMPRODUCT(--(WEEKDAY(ROW(INDIRECT(DATE($B$968,MonthFromText(A982),1)&amp;":"&amp;DATE($B$968,MonthFromText(A982),$L$10))),1)=1))</f>
        <v>#NAME?</v>
      </c>
      <c r="N982" s="441">
        <v>5</v>
      </c>
      <c r="O982" s="4">
        <f t="shared" si="270"/>
        <v>245</v>
      </c>
      <c r="P982" s="427">
        <f t="shared" si="271"/>
        <v>5880</v>
      </c>
      <c r="Q982" s="365" t="e">
        <f t="shared" ca="1" si="272"/>
        <v>#NAME?</v>
      </c>
      <c r="R982" s="427" t="e">
        <f t="shared" ca="1" si="273"/>
        <v>#NAME?</v>
      </c>
      <c r="S982" s="365"/>
    </row>
    <row r="983" spans="1:19" ht="15.75" customHeight="1" x14ac:dyDescent="0.3">
      <c r="A983" s="416" t="s">
        <v>20</v>
      </c>
      <c r="B983" s="375" t="e">
        <f ca="1">+$N$10-M983</f>
        <v>#NAME?</v>
      </c>
      <c r="C983" s="441">
        <v>5</v>
      </c>
      <c r="D983" s="441">
        <v>3</v>
      </c>
      <c r="E983" s="441" t="s">
        <v>1095</v>
      </c>
      <c r="F983" s="365">
        <f t="shared" si="267"/>
        <v>245</v>
      </c>
      <c r="G983" s="365">
        <f>+J983/16</f>
        <v>147</v>
      </c>
      <c r="H983" s="365" t="s">
        <v>1095</v>
      </c>
      <c r="I983" s="365">
        <f t="shared" si="268"/>
        <v>1960</v>
      </c>
      <c r="J983" s="365">
        <f>+D983*49*16</f>
        <v>2352</v>
      </c>
      <c r="K983" s="365" t="s">
        <v>1095</v>
      </c>
      <c r="L983" s="427">
        <f t="shared" si="269"/>
        <v>4312</v>
      </c>
      <c r="M983" s="375" t="e">
        <f ca="1">SUMPRODUCT(--(WEEKDAY(ROW(INDIRECT(DATE($B$968,MonthFromText(A983),1)&amp;":"&amp;DATE($B$968,MonthFromText(A983),$N$10))),1)=1))</f>
        <v>#NAME?</v>
      </c>
      <c r="N983" s="441">
        <v>5</v>
      </c>
      <c r="O983" s="4">
        <f t="shared" si="270"/>
        <v>245</v>
      </c>
      <c r="P983" s="427">
        <f t="shared" si="271"/>
        <v>5880</v>
      </c>
      <c r="Q983" s="365" t="e">
        <f t="shared" ca="1" si="272"/>
        <v>#NAME?</v>
      </c>
      <c r="R983" s="427" t="e">
        <f t="shared" ca="1" si="273"/>
        <v>#NAME?</v>
      </c>
      <c r="S983" s="365"/>
    </row>
    <row r="984" spans="1:19" ht="15.75" customHeight="1" x14ac:dyDescent="0.3">
      <c r="A984" s="416" t="s">
        <v>21</v>
      </c>
      <c r="B984" s="375" t="e">
        <f ca="1">+$O$10-M984</f>
        <v>#NAME?</v>
      </c>
      <c r="C984" s="441">
        <v>5</v>
      </c>
      <c r="D984" s="441">
        <v>3</v>
      </c>
      <c r="E984" s="441" t="s">
        <v>1095</v>
      </c>
      <c r="F984" s="365">
        <f t="shared" si="267"/>
        <v>245</v>
      </c>
      <c r="G984" s="365">
        <f>+J984/16</f>
        <v>147</v>
      </c>
      <c r="H984" s="365" t="s">
        <v>1095</v>
      </c>
      <c r="I984" s="365">
        <f t="shared" si="268"/>
        <v>1960</v>
      </c>
      <c r="J984" s="365">
        <f>+D984*49*16</f>
        <v>2352</v>
      </c>
      <c r="K984" s="365" t="s">
        <v>1095</v>
      </c>
      <c r="L984" s="427">
        <f t="shared" si="269"/>
        <v>4312</v>
      </c>
      <c r="M984" s="375" t="e">
        <f ca="1">SUMPRODUCT(--(WEEKDAY(ROW(INDIRECT(DATE($B$968,MonthFromText(A984),1)&amp;":"&amp;DATE($B$968,MonthFromText(A984),$O$10))),1)=1))</f>
        <v>#NAME?</v>
      </c>
      <c r="N984" s="441">
        <v>6</v>
      </c>
      <c r="O984" s="4">
        <f t="shared" si="270"/>
        <v>294</v>
      </c>
      <c r="P984" s="427">
        <f t="shared" si="271"/>
        <v>7056</v>
      </c>
      <c r="Q984" s="365" t="e">
        <f t="shared" ca="1" si="272"/>
        <v>#NAME?</v>
      </c>
      <c r="R984" s="427" t="e">
        <f t="shared" ca="1" si="273"/>
        <v>#NAME?</v>
      </c>
      <c r="S984" s="365"/>
    </row>
    <row r="985" spans="1:19" ht="15.75" customHeight="1" thickBot="1" x14ac:dyDescent="0.35">
      <c r="A985" s="416" t="s">
        <v>22</v>
      </c>
      <c r="B985" s="382" t="e">
        <f ca="1">+$P$10-M985</f>
        <v>#NAME?</v>
      </c>
      <c r="C985" s="442">
        <v>6</v>
      </c>
      <c r="D985" s="442">
        <v>2</v>
      </c>
      <c r="E985" s="441" t="s">
        <v>1095</v>
      </c>
      <c r="F985" s="365">
        <f t="shared" si="267"/>
        <v>294</v>
      </c>
      <c r="G985" s="365">
        <f>+J985/16</f>
        <v>98</v>
      </c>
      <c r="H985" s="365" t="s">
        <v>1095</v>
      </c>
      <c r="I985" s="365">
        <f t="shared" si="268"/>
        <v>2352</v>
      </c>
      <c r="J985" s="365">
        <f>+D985*49*16</f>
        <v>1568</v>
      </c>
      <c r="K985" s="365" t="s">
        <v>1095</v>
      </c>
      <c r="L985" s="427">
        <f t="shared" si="269"/>
        <v>3920</v>
      </c>
      <c r="M985" s="382" t="e">
        <f ca="1">SUMPRODUCT(--(WEEKDAY(ROW(INDIRECT(DATE($B$968,MonthFromText(A985),1)&amp;":"&amp;DATE($B$968,MonthFromText(A985),$P$10))),1)=1))</f>
        <v>#NAME?</v>
      </c>
      <c r="N985" s="442">
        <v>6</v>
      </c>
      <c r="O985" s="312">
        <f t="shared" si="270"/>
        <v>294</v>
      </c>
      <c r="P985" s="429">
        <f t="shared" si="271"/>
        <v>7056</v>
      </c>
      <c r="Q985" s="443" t="e">
        <f t="shared" ca="1" si="272"/>
        <v>#NAME?</v>
      </c>
      <c r="R985" s="444" t="e">
        <f t="shared" ca="1" si="273"/>
        <v>#NAME?</v>
      </c>
      <c r="S985" s="365"/>
    </row>
    <row r="986" spans="1:19" ht="15.75" customHeight="1" thickBot="1" x14ac:dyDescent="0.35">
      <c r="A986" s="311"/>
      <c r="B986" s="312"/>
      <c r="C986" s="312"/>
      <c r="D986" s="312"/>
      <c r="E986" s="452"/>
      <c r="F986" s="452"/>
      <c r="G986" s="452"/>
      <c r="H986" s="452"/>
      <c r="I986" s="452"/>
      <c r="J986" s="452"/>
      <c r="K986" s="452"/>
      <c r="L986" s="452"/>
      <c r="M986" s="312"/>
      <c r="N986" s="312"/>
      <c r="O986" s="312"/>
      <c r="P986" s="312"/>
      <c r="Q986" s="369" t="e">
        <f ca="1">+SUM(Q974:Q985)</f>
        <v>#NAME?</v>
      </c>
      <c r="R986" s="429" t="e">
        <f ca="1">+Q986-B880</f>
        <v>#NAME?</v>
      </c>
    </row>
    <row r="987" spans="1:19" ht="15.75" customHeight="1" x14ac:dyDescent="0.3">
      <c r="A987" s="418" t="s">
        <v>1110</v>
      </c>
      <c r="J987" s="365"/>
    </row>
    <row r="988" spans="1:19" ht="15.75" customHeight="1" x14ac:dyDescent="0.3">
      <c r="A988" s="418" t="s">
        <v>1111</v>
      </c>
    </row>
    <row r="989" spans="1:19" ht="15.75" customHeight="1" x14ac:dyDescent="0.3">
      <c r="A989" s="418" t="s">
        <v>1112</v>
      </c>
    </row>
    <row r="990" spans="1:19" ht="15.75" customHeight="1" x14ac:dyDescent="0.3"/>
    <row r="991" spans="1:19" ht="15.75" customHeight="1" x14ac:dyDescent="0.3"/>
    <row r="992" spans="1:19" ht="15.75" customHeight="1" x14ac:dyDescent="0.3"/>
    <row r="993" spans="9:10" ht="15.75" customHeight="1" x14ac:dyDescent="0.3"/>
    <row r="994" spans="9:10" ht="16.5" customHeight="1" x14ac:dyDescent="0.3"/>
    <row r="995" spans="9:10" ht="15.75" customHeight="1" x14ac:dyDescent="0.3"/>
    <row r="996" spans="9:10" ht="16.5" customHeight="1" x14ac:dyDescent="0.3"/>
    <row r="997" spans="9:10" ht="15.75" customHeight="1" x14ac:dyDescent="0.3"/>
    <row r="998" spans="9:10" ht="15.75" customHeight="1" x14ac:dyDescent="0.3"/>
    <row r="999" spans="9:10" ht="15.75" customHeight="1" x14ac:dyDescent="0.3"/>
    <row r="1000" spans="9:10" ht="15.75" customHeight="1" x14ac:dyDescent="0.3"/>
    <row r="1001" spans="9:10" ht="15.75" customHeight="1" x14ac:dyDescent="0.3">
      <c r="I1001" s="365"/>
      <c r="J1001" s="365"/>
    </row>
    <row r="1002" spans="9:10" ht="15.75" customHeight="1" x14ac:dyDescent="0.3"/>
    <row r="1003" spans="9:10" ht="15.75" customHeight="1" x14ac:dyDescent="0.3"/>
    <row r="1004" spans="9:10" ht="15.75" customHeight="1" x14ac:dyDescent="0.3"/>
    <row r="1005" spans="9:10" ht="15.75" customHeight="1" x14ac:dyDescent="0.3"/>
    <row r="1006" spans="9:10" ht="15.75" customHeight="1" x14ac:dyDescent="0.3"/>
    <row r="1007" spans="9:10" ht="15.75" customHeight="1" x14ac:dyDescent="0.3"/>
    <row r="1008" spans="9:10" ht="15.75" customHeight="1" thickBot="1" x14ac:dyDescent="0.35"/>
    <row r="1009" spans="1:19" ht="15.75" customHeight="1" x14ac:dyDescent="0.35">
      <c r="A1009" s="318"/>
      <c r="B1009" s="319"/>
      <c r="C1009" s="336"/>
      <c r="D1009" s="336"/>
      <c r="E1009" s="336"/>
      <c r="F1009" s="336"/>
      <c r="G1009" s="336"/>
      <c r="H1009" s="321" t="s">
        <v>506</v>
      </c>
      <c r="I1009" s="319"/>
      <c r="J1009" s="319"/>
      <c r="K1009" s="319"/>
      <c r="L1009" s="319"/>
      <c r="M1009" s="319"/>
      <c r="N1009" s="319"/>
      <c r="O1009" s="319"/>
      <c r="P1009" s="319"/>
      <c r="Q1009" s="361" t="str">
        <f>+Q1</f>
        <v xml:space="preserve">PRINTED:  </v>
      </c>
      <c r="R1009" s="367">
        <f ca="1">+R1</f>
        <v>44909.46975358796</v>
      </c>
      <c r="S1009" s="332"/>
    </row>
    <row r="1010" spans="1:19" ht="15.75" customHeight="1" x14ac:dyDescent="0.35">
      <c r="A1010" s="323"/>
      <c r="B1010" s="159"/>
      <c r="C1010" s="167"/>
      <c r="D1010" s="167"/>
      <c r="E1010" s="167"/>
      <c r="F1010" s="167"/>
      <c r="G1010" s="167"/>
      <c r="H1010" s="159" t="s">
        <v>424</v>
      </c>
      <c r="I1010" s="159" t="s">
        <v>7</v>
      </c>
      <c r="J1010" s="163" t="str">
        <f>+A8</f>
        <v>Revised:  2/10/2015</v>
      </c>
      <c r="K1010" s="159"/>
      <c r="L1010" s="159"/>
      <c r="M1010" s="159"/>
      <c r="N1010" s="159"/>
      <c r="O1010" s="159"/>
      <c r="P1010" s="159"/>
      <c r="Q1010" s="159"/>
      <c r="R1010" s="159"/>
      <c r="S1010" s="307"/>
    </row>
    <row r="1011" spans="1:19" ht="15.75" customHeight="1" x14ac:dyDescent="0.35">
      <c r="A1011" s="323"/>
      <c r="B1011" s="159"/>
      <c r="C1011" s="167"/>
      <c r="D1011" s="167"/>
      <c r="E1011" s="167"/>
      <c r="F1011" s="167"/>
      <c r="G1011" s="167"/>
      <c r="H1011" s="159" t="s">
        <v>387</v>
      </c>
      <c r="I1011" s="159"/>
      <c r="J1011" s="159"/>
      <c r="K1011" s="159"/>
      <c r="L1011" s="159"/>
      <c r="M1011" s="159"/>
      <c r="N1011" s="159"/>
      <c r="O1011" s="159"/>
      <c r="P1011" s="159"/>
      <c r="Q1011" s="159"/>
      <c r="R1011" s="159"/>
      <c r="S1011" s="307"/>
    </row>
    <row r="1012" spans="1:19" ht="15.75" customHeight="1" x14ac:dyDescent="0.35">
      <c r="A1012" s="323"/>
      <c r="B1012" s="159"/>
      <c r="C1012" s="167"/>
      <c r="D1012" s="167"/>
      <c r="E1012" s="167"/>
      <c r="F1012" s="167"/>
      <c r="G1012" s="167"/>
      <c r="H1012" s="159"/>
      <c r="I1012" s="159"/>
      <c r="J1012" s="159"/>
      <c r="K1012" s="159"/>
      <c r="L1012" s="159"/>
      <c r="M1012" s="159"/>
      <c r="N1012" s="159"/>
      <c r="O1012" s="159"/>
      <c r="P1012" s="159"/>
      <c r="Q1012" s="159"/>
      <c r="R1012" s="159"/>
      <c r="S1012" s="307"/>
    </row>
    <row r="1013" spans="1:19" ht="15.75" customHeight="1" x14ac:dyDescent="0.35">
      <c r="A1013" s="323"/>
      <c r="B1013" s="159"/>
      <c r="C1013" s="167"/>
      <c r="D1013" s="167"/>
      <c r="E1013" s="167"/>
      <c r="F1013" s="167"/>
      <c r="G1013" s="167"/>
      <c r="H1013" s="159" t="s">
        <v>424</v>
      </c>
      <c r="I1013" s="446">
        <f>+A5</f>
        <v>2014</v>
      </c>
      <c r="J1013" s="159"/>
      <c r="K1013" s="159"/>
      <c r="L1013" s="159"/>
      <c r="M1013" s="159"/>
      <c r="N1013" s="159"/>
      <c r="O1013" s="159"/>
      <c r="P1013" s="159"/>
      <c r="Q1013" s="159"/>
      <c r="R1013" s="159"/>
      <c r="S1013" s="307"/>
    </row>
    <row r="1014" spans="1:19" ht="15.75" customHeight="1" x14ac:dyDescent="0.3">
      <c r="A1014" s="323"/>
      <c r="B1014" s="159"/>
      <c r="C1014" s="159"/>
      <c r="D1014" s="159"/>
      <c r="E1014" s="159"/>
      <c r="F1014" s="159"/>
      <c r="G1014" s="159"/>
      <c r="H1014" s="159"/>
      <c r="I1014" s="159"/>
      <c r="J1014" s="159"/>
      <c r="K1014" s="159"/>
      <c r="L1014" s="159"/>
      <c r="M1014" s="159"/>
      <c r="N1014" s="159"/>
      <c r="O1014" s="159"/>
      <c r="P1014" s="159"/>
      <c r="Q1014" s="159"/>
      <c r="R1014" s="159"/>
      <c r="S1014" s="307"/>
    </row>
    <row r="1015" spans="1:19" ht="15.75" customHeight="1" x14ac:dyDescent="0.3">
      <c r="A1015" s="323"/>
      <c r="B1015" s="159"/>
      <c r="C1015" s="161" t="s">
        <v>507</v>
      </c>
      <c r="D1015" s="159"/>
      <c r="E1015" s="159"/>
      <c r="F1015" s="159"/>
      <c r="G1015" s="161" t="s">
        <v>508</v>
      </c>
      <c r="H1015" s="159"/>
      <c r="I1015" s="159"/>
      <c r="J1015" s="159"/>
      <c r="K1015" s="160" t="s">
        <v>509</v>
      </c>
      <c r="L1015" s="159"/>
      <c r="M1015" s="159"/>
      <c r="N1015" s="159"/>
      <c r="O1015" s="160" t="s">
        <v>510</v>
      </c>
      <c r="P1015" s="159"/>
      <c r="Q1015" s="159"/>
      <c r="R1015" s="159"/>
      <c r="S1015" s="307"/>
    </row>
    <row r="1016" spans="1:19" ht="15.75" customHeight="1" x14ac:dyDescent="0.3">
      <c r="A1016" s="323"/>
      <c r="B1016" s="159"/>
      <c r="C1016" s="159">
        <f>+A5</f>
        <v>2014</v>
      </c>
      <c r="D1016" s="159"/>
      <c r="E1016" s="159"/>
      <c r="F1016" s="159" t="s">
        <v>511</v>
      </c>
      <c r="G1016" s="159"/>
      <c r="H1016" s="159"/>
      <c r="I1016" s="159"/>
      <c r="J1016" s="159"/>
      <c r="K1016" s="159">
        <f>+A5</f>
        <v>2014</v>
      </c>
      <c r="L1016" s="159"/>
      <c r="M1016" s="159"/>
      <c r="N1016" s="159"/>
      <c r="O1016" s="159">
        <f>+A5</f>
        <v>2014</v>
      </c>
      <c r="P1016" s="159"/>
      <c r="Q1016" s="159"/>
      <c r="R1016" s="159"/>
      <c r="S1016" s="307"/>
    </row>
    <row r="1017" spans="1:19" ht="15.75" customHeight="1" x14ac:dyDescent="0.3">
      <c r="A1017" s="323"/>
      <c r="B1017" s="159"/>
      <c r="C1017" s="159"/>
      <c r="D1017" s="159"/>
      <c r="E1017" s="159"/>
      <c r="F1017" s="159"/>
      <c r="G1017" s="159">
        <f>+A5</f>
        <v>2014</v>
      </c>
      <c r="H1017" s="159"/>
      <c r="I1017" s="159"/>
      <c r="J1017" s="159"/>
      <c r="K1017" s="159"/>
      <c r="L1017" s="159"/>
      <c r="M1017" s="159"/>
      <c r="N1017" s="159"/>
      <c r="O1017" s="159"/>
      <c r="P1017" s="159"/>
      <c r="Q1017" s="159"/>
      <c r="R1017" s="159"/>
      <c r="S1017" s="307"/>
    </row>
    <row r="1018" spans="1:19" ht="15.75" customHeight="1" x14ac:dyDescent="0.3">
      <c r="A1018" s="323"/>
      <c r="B1018" s="159"/>
      <c r="C1018" s="164" t="s">
        <v>475</v>
      </c>
      <c r="D1018" s="164" t="s">
        <v>512</v>
      </c>
      <c r="E1018" s="164" t="s">
        <v>513</v>
      </c>
      <c r="F1018" s="159"/>
      <c r="G1018" s="164" t="s">
        <v>473</v>
      </c>
      <c r="H1018" s="164" t="s">
        <v>512</v>
      </c>
      <c r="I1018" s="164" t="s">
        <v>514</v>
      </c>
      <c r="J1018" s="159"/>
      <c r="K1018" s="164" t="s">
        <v>472</v>
      </c>
      <c r="L1018" s="164" t="s">
        <v>512</v>
      </c>
      <c r="M1018" s="164" t="s">
        <v>515</v>
      </c>
      <c r="N1018" s="159"/>
      <c r="O1018" s="164" t="s">
        <v>472</v>
      </c>
      <c r="P1018" s="164" t="s">
        <v>512</v>
      </c>
      <c r="Q1018" s="164" t="s">
        <v>515</v>
      </c>
      <c r="R1018" s="159"/>
      <c r="S1018" s="307"/>
    </row>
    <row r="1019" spans="1:19" ht="15.75" customHeight="1" x14ac:dyDescent="0.3">
      <c r="A1019" s="323"/>
      <c r="B1019" s="159"/>
      <c r="C1019" s="164" t="s">
        <v>483</v>
      </c>
      <c r="D1019" s="164" t="s">
        <v>442</v>
      </c>
      <c r="E1019" s="164" t="s">
        <v>462</v>
      </c>
      <c r="F1019" s="159"/>
      <c r="G1019" s="164" t="s">
        <v>481</v>
      </c>
      <c r="H1019" s="164" t="s">
        <v>442</v>
      </c>
      <c r="I1019" s="164" t="s">
        <v>462</v>
      </c>
      <c r="J1019" s="159"/>
      <c r="K1019" s="164" t="s">
        <v>480</v>
      </c>
      <c r="L1019" s="164" t="s">
        <v>442</v>
      </c>
      <c r="M1019" s="164" t="s">
        <v>462</v>
      </c>
      <c r="N1019" s="159"/>
      <c r="O1019" s="164" t="s">
        <v>480</v>
      </c>
      <c r="P1019" s="164" t="s">
        <v>442</v>
      </c>
      <c r="Q1019" s="164" t="s">
        <v>462</v>
      </c>
      <c r="R1019" s="159"/>
      <c r="S1019" s="307"/>
    </row>
    <row r="1020" spans="1:19" ht="15.75" customHeight="1" x14ac:dyDescent="0.3">
      <c r="A1020" s="323"/>
      <c r="B1020" s="159"/>
      <c r="C1020" s="164" t="s">
        <v>442</v>
      </c>
      <c r="D1020" s="164" t="s">
        <v>439</v>
      </c>
      <c r="E1020" s="164" t="s">
        <v>463</v>
      </c>
      <c r="F1020" s="159"/>
      <c r="G1020" s="164" t="s">
        <v>486</v>
      </c>
      <c r="H1020" s="164" t="s">
        <v>439</v>
      </c>
      <c r="I1020" s="164" t="s">
        <v>463</v>
      </c>
      <c r="J1020" s="159"/>
      <c r="K1020" s="164" t="s">
        <v>442</v>
      </c>
      <c r="L1020" s="164" t="s">
        <v>439</v>
      </c>
      <c r="M1020" s="164" t="s">
        <v>463</v>
      </c>
      <c r="N1020" s="159"/>
      <c r="O1020" s="164" t="s">
        <v>442</v>
      </c>
      <c r="P1020" s="164" t="s">
        <v>439</v>
      </c>
      <c r="Q1020" s="164" t="s">
        <v>463</v>
      </c>
      <c r="R1020" s="159"/>
      <c r="S1020" s="307"/>
    </row>
    <row r="1021" spans="1:19" ht="15.75" customHeight="1" x14ac:dyDescent="0.3">
      <c r="A1021" s="323"/>
      <c r="B1021" s="159"/>
      <c r="C1021" s="164" t="s">
        <v>448</v>
      </c>
      <c r="D1021" s="164" t="s">
        <v>516</v>
      </c>
      <c r="E1021" s="164" t="s">
        <v>464</v>
      </c>
      <c r="F1021" s="159"/>
      <c r="G1021" s="164" t="s">
        <v>448</v>
      </c>
      <c r="H1021" s="164" t="s">
        <v>516</v>
      </c>
      <c r="I1021" s="164" t="s">
        <v>464</v>
      </c>
      <c r="J1021" s="159"/>
      <c r="K1021" s="164" t="s">
        <v>448</v>
      </c>
      <c r="L1021" s="164" t="s">
        <v>516</v>
      </c>
      <c r="M1021" s="164" t="s">
        <v>464</v>
      </c>
      <c r="N1021" s="159"/>
      <c r="O1021" s="164" t="s">
        <v>448</v>
      </c>
      <c r="P1021" s="164" t="s">
        <v>516</v>
      </c>
      <c r="Q1021" s="164" t="s">
        <v>464</v>
      </c>
      <c r="R1021" s="159"/>
      <c r="S1021" s="307"/>
    </row>
    <row r="1022" spans="1:19" ht="15.75" customHeight="1" x14ac:dyDescent="0.3">
      <c r="A1022" s="323"/>
      <c r="B1022" s="159"/>
      <c r="C1022" s="159" t="s">
        <v>409</v>
      </c>
      <c r="D1022" s="159" t="s">
        <v>409</v>
      </c>
      <c r="E1022" s="159" t="s">
        <v>409</v>
      </c>
      <c r="F1022" s="159"/>
      <c r="G1022" s="164" t="s">
        <v>409</v>
      </c>
      <c r="H1022" s="164" t="s">
        <v>409</v>
      </c>
      <c r="I1022" s="164" t="s">
        <v>409</v>
      </c>
      <c r="J1022" s="159"/>
      <c r="K1022" s="159" t="s">
        <v>409</v>
      </c>
      <c r="L1022" s="159" t="s">
        <v>409</v>
      </c>
      <c r="M1022" s="159" t="s">
        <v>409</v>
      </c>
      <c r="N1022" s="159"/>
      <c r="O1022" s="159" t="s">
        <v>409</v>
      </c>
      <c r="P1022" s="159" t="s">
        <v>409</v>
      </c>
      <c r="Q1022" s="159" t="s">
        <v>409</v>
      </c>
      <c r="R1022" s="159"/>
      <c r="S1022" s="307"/>
    </row>
    <row r="1023" spans="1:19" ht="15.75" customHeight="1" x14ac:dyDescent="0.3">
      <c r="A1023" s="325" t="s">
        <v>410</v>
      </c>
      <c r="B1023" s="159"/>
      <c r="C1023" s="159">
        <f t="shared" ref="C1023:C1034" si="274">(P895)</f>
        <v>-6769.849598010187</v>
      </c>
      <c r="D1023" s="172">
        <v>0</v>
      </c>
      <c r="E1023" s="168">
        <f t="shared" ref="E1023:E1034" si="275">(P895*D1023/1000)</f>
        <v>0</v>
      </c>
      <c r="F1023" s="159"/>
      <c r="G1023" s="159">
        <v>0</v>
      </c>
      <c r="H1023" s="172">
        <v>0</v>
      </c>
      <c r="I1023" s="168">
        <f t="shared" ref="I1023:I1034" si="276">(G1023*H1023/1000)</f>
        <v>0</v>
      </c>
      <c r="J1023" s="159"/>
      <c r="K1023" s="447">
        <v>11848</v>
      </c>
      <c r="L1023" s="448">
        <v>0</v>
      </c>
      <c r="M1023" s="168">
        <f t="shared" ref="M1023:M1034" si="277">(K1023*L1023/1000)</f>
        <v>0</v>
      </c>
      <c r="N1023" s="159"/>
      <c r="O1023" s="447">
        <v>0</v>
      </c>
      <c r="P1023" s="172">
        <v>0</v>
      </c>
      <c r="Q1023" s="168">
        <f t="shared" ref="Q1023:Q1034" si="278">(O1023*P1023/1000)</f>
        <v>0</v>
      </c>
      <c r="R1023" s="159"/>
      <c r="S1023" s="307"/>
    </row>
    <row r="1024" spans="1:19" ht="15.75" customHeight="1" x14ac:dyDescent="0.3">
      <c r="A1024" s="325" t="s">
        <v>411</v>
      </c>
      <c r="B1024" s="159"/>
      <c r="C1024" s="159">
        <f t="shared" si="274"/>
        <v>-29872.390937418852</v>
      </c>
      <c r="D1024" s="172">
        <v>0</v>
      </c>
      <c r="E1024" s="168">
        <f t="shared" si="275"/>
        <v>0</v>
      </c>
      <c r="F1024" s="159"/>
      <c r="G1024" s="159" t="e">
        <f>#REF!</f>
        <v>#REF!</v>
      </c>
      <c r="H1024" s="172">
        <v>0</v>
      </c>
      <c r="I1024" s="168" t="e">
        <f t="shared" si="276"/>
        <v>#REF!</v>
      </c>
      <c r="J1024" s="159"/>
      <c r="K1024" s="447">
        <v>11489</v>
      </c>
      <c r="L1024" s="448">
        <v>0</v>
      </c>
      <c r="M1024" s="168">
        <f t="shared" si="277"/>
        <v>0</v>
      </c>
      <c r="N1024" s="159"/>
      <c r="O1024" s="447">
        <v>0</v>
      </c>
      <c r="P1024" s="172">
        <v>0</v>
      </c>
      <c r="Q1024" s="168">
        <f t="shared" si="278"/>
        <v>0</v>
      </c>
      <c r="R1024" s="159"/>
      <c r="S1024" s="307"/>
    </row>
    <row r="1025" spans="1:19" ht="15.75" customHeight="1" x14ac:dyDescent="0.3">
      <c r="A1025" s="325" t="s">
        <v>412</v>
      </c>
      <c r="B1025" s="159"/>
      <c r="C1025" s="159">
        <f t="shared" si="274"/>
        <v>-15436.566216567124</v>
      </c>
      <c r="D1025" s="172">
        <v>0</v>
      </c>
      <c r="E1025" s="168">
        <f t="shared" si="275"/>
        <v>0</v>
      </c>
      <c r="F1025" s="159">
        <f>SUM(E1023:E1025)</f>
        <v>0</v>
      </c>
      <c r="G1025" s="159" t="e">
        <f>#REF!</f>
        <v>#REF!</v>
      </c>
      <c r="H1025" s="172">
        <v>0</v>
      </c>
      <c r="I1025" s="168" t="e">
        <f t="shared" si="276"/>
        <v>#REF!</v>
      </c>
      <c r="J1025" s="159" t="e">
        <f>SUM(I1023:I1025)</f>
        <v>#REF!</v>
      </c>
      <c r="K1025" s="447">
        <v>16247</v>
      </c>
      <c r="L1025" s="448">
        <v>0</v>
      </c>
      <c r="M1025" s="168">
        <f t="shared" si="277"/>
        <v>0</v>
      </c>
      <c r="N1025" s="159">
        <f>SUM(M1023:M1025)</f>
        <v>0</v>
      </c>
      <c r="O1025" s="447">
        <v>0</v>
      </c>
      <c r="P1025" s="172">
        <v>0</v>
      </c>
      <c r="Q1025" s="168">
        <f t="shared" si="278"/>
        <v>0</v>
      </c>
      <c r="R1025" s="159">
        <f>SUM(Q1023:Q1025)</f>
        <v>0</v>
      </c>
      <c r="S1025" s="307"/>
    </row>
    <row r="1026" spans="1:19" ht="15.75" customHeight="1" x14ac:dyDescent="0.3">
      <c r="A1026" s="325" t="s">
        <v>413</v>
      </c>
      <c r="B1026" s="159"/>
      <c r="C1026" s="159">
        <f t="shared" si="274"/>
        <v>1353.3439039182267</v>
      </c>
      <c r="D1026" s="172">
        <v>0</v>
      </c>
      <c r="E1026" s="168">
        <f t="shared" si="275"/>
        <v>0</v>
      </c>
      <c r="F1026" s="159"/>
      <c r="G1026" s="159" t="e">
        <f>#REF!</f>
        <v>#REF!</v>
      </c>
      <c r="H1026" s="172">
        <v>0</v>
      </c>
      <c r="I1026" s="168" t="e">
        <f t="shared" si="276"/>
        <v>#REF!</v>
      </c>
      <c r="J1026" s="159"/>
      <c r="K1026" s="447">
        <v>17740</v>
      </c>
      <c r="L1026" s="448">
        <v>0</v>
      </c>
      <c r="M1026" s="168">
        <f t="shared" si="277"/>
        <v>0</v>
      </c>
      <c r="N1026" s="159"/>
      <c r="O1026" s="447">
        <v>0</v>
      </c>
      <c r="P1026" s="172">
        <v>0</v>
      </c>
      <c r="Q1026" s="168">
        <f t="shared" si="278"/>
        <v>0</v>
      </c>
      <c r="R1026" s="159"/>
      <c r="S1026" s="307"/>
    </row>
    <row r="1027" spans="1:19" ht="15.75" customHeight="1" x14ac:dyDescent="0.3">
      <c r="A1027" s="325" t="s">
        <v>414</v>
      </c>
      <c r="B1027" s="159"/>
      <c r="C1027" s="159">
        <f t="shared" si="274"/>
        <v>4073.8381775273592</v>
      </c>
      <c r="D1027" s="172">
        <v>0</v>
      </c>
      <c r="E1027" s="168">
        <f t="shared" si="275"/>
        <v>0</v>
      </c>
      <c r="F1027" s="159"/>
      <c r="G1027" s="159" t="e">
        <f>#REF!</f>
        <v>#REF!</v>
      </c>
      <c r="H1027" s="172">
        <v>0</v>
      </c>
      <c r="I1027" s="168" t="e">
        <f t="shared" si="276"/>
        <v>#REF!</v>
      </c>
      <c r="J1027" s="159"/>
      <c r="K1027" s="447">
        <v>15434</v>
      </c>
      <c r="L1027" s="448">
        <v>0</v>
      </c>
      <c r="M1027" s="168">
        <f t="shared" si="277"/>
        <v>0</v>
      </c>
      <c r="N1027" s="159"/>
      <c r="O1027" s="447">
        <v>0</v>
      </c>
      <c r="P1027" s="172">
        <v>0</v>
      </c>
      <c r="Q1027" s="168">
        <f t="shared" si="278"/>
        <v>0</v>
      </c>
      <c r="R1027" s="159"/>
      <c r="S1027" s="307"/>
    </row>
    <row r="1028" spans="1:19" ht="15.75" customHeight="1" x14ac:dyDescent="0.3">
      <c r="A1028" s="325" t="s">
        <v>415</v>
      </c>
      <c r="B1028" s="159"/>
      <c r="C1028" s="159">
        <f t="shared" si="274"/>
        <v>5875.3653353428817</v>
      </c>
      <c r="D1028" s="172">
        <v>0</v>
      </c>
      <c r="E1028" s="168">
        <f t="shared" si="275"/>
        <v>0</v>
      </c>
      <c r="F1028" s="159">
        <f>SUM(E1026:E1028)</f>
        <v>0</v>
      </c>
      <c r="G1028" s="159" t="e">
        <f>#REF!</f>
        <v>#REF!</v>
      </c>
      <c r="H1028" s="172">
        <v>0</v>
      </c>
      <c r="I1028" s="168" t="e">
        <f t="shared" si="276"/>
        <v>#REF!</v>
      </c>
      <c r="J1028" s="159" t="e">
        <f>SUM(I1026:I1028)</f>
        <v>#REF!</v>
      </c>
      <c r="K1028" s="447">
        <v>14355</v>
      </c>
      <c r="L1028" s="448">
        <v>0</v>
      </c>
      <c r="M1028" s="168">
        <f t="shared" si="277"/>
        <v>0</v>
      </c>
      <c r="N1028" s="159">
        <f>SUM(M1026:M1028)</f>
        <v>0</v>
      </c>
      <c r="O1028" s="447">
        <v>0</v>
      </c>
      <c r="P1028" s="172">
        <v>0</v>
      </c>
      <c r="Q1028" s="168">
        <f t="shared" si="278"/>
        <v>0</v>
      </c>
      <c r="R1028" s="159">
        <f>SUM(Q1026:Q1028)</f>
        <v>0</v>
      </c>
      <c r="S1028" s="307"/>
    </row>
    <row r="1029" spans="1:19" ht="15.75" customHeight="1" x14ac:dyDescent="0.3">
      <c r="A1029" s="325" t="s">
        <v>416</v>
      </c>
      <c r="B1029" s="159"/>
      <c r="C1029" s="159">
        <f t="shared" si="274"/>
        <v>10485.611662825802</v>
      </c>
      <c r="D1029" s="172">
        <v>0</v>
      </c>
      <c r="E1029" s="168">
        <f t="shared" si="275"/>
        <v>0</v>
      </c>
      <c r="F1029" s="159"/>
      <c r="G1029" s="159" t="e">
        <f>#REF!</f>
        <v>#REF!</v>
      </c>
      <c r="H1029" s="172">
        <v>0</v>
      </c>
      <c r="I1029" s="168" t="e">
        <f t="shared" si="276"/>
        <v>#REF!</v>
      </c>
      <c r="J1029" s="159"/>
      <c r="K1029" s="447">
        <v>13129</v>
      </c>
      <c r="L1029" s="448">
        <v>0</v>
      </c>
      <c r="M1029" s="168">
        <f t="shared" si="277"/>
        <v>0</v>
      </c>
      <c r="N1029" s="159"/>
      <c r="O1029" s="447">
        <v>0</v>
      </c>
      <c r="P1029" s="172">
        <v>0</v>
      </c>
      <c r="Q1029" s="168">
        <f t="shared" si="278"/>
        <v>0</v>
      </c>
      <c r="R1029" s="159"/>
      <c r="S1029" s="307"/>
    </row>
    <row r="1030" spans="1:19" ht="15.75" customHeight="1" x14ac:dyDescent="0.3">
      <c r="A1030" s="325" t="s">
        <v>417</v>
      </c>
      <c r="B1030" s="159"/>
      <c r="C1030" s="159">
        <f t="shared" si="274"/>
        <v>23140.844757556712</v>
      </c>
      <c r="D1030" s="172">
        <v>0</v>
      </c>
      <c r="E1030" s="168">
        <f t="shared" si="275"/>
        <v>0</v>
      </c>
      <c r="F1030" s="159"/>
      <c r="G1030" s="159" t="e">
        <f>#REF!</f>
        <v>#REF!</v>
      </c>
      <c r="H1030" s="172">
        <v>0</v>
      </c>
      <c r="I1030" s="168" t="e">
        <f t="shared" si="276"/>
        <v>#REF!</v>
      </c>
      <c r="J1030" s="159"/>
      <c r="K1030" s="447">
        <v>12545</v>
      </c>
      <c r="L1030" s="448">
        <v>0</v>
      </c>
      <c r="M1030" s="168">
        <f t="shared" si="277"/>
        <v>0</v>
      </c>
      <c r="N1030" s="159"/>
      <c r="O1030" s="447">
        <v>0</v>
      </c>
      <c r="P1030" s="172">
        <v>0</v>
      </c>
      <c r="Q1030" s="168">
        <f t="shared" si="278"/>
        <v>0</v>
      </c>
      <c r="R1030" s="159"/>
      <c r="S1030" s="307"/>
    </row>
    <row r="1031" spans="1:19" ht="15.75" customHeight="1" x14ac:dyDescent="0.3">
      <c r="A1031" s="325" t="s">
        <v>418</v>
      </c>
      <c r="B1031" s="159"/>
      <c r="C1031" s="159">
        <f t="shared" si="274"/>
        <v>-20720.772587121988</v>
      </c>
      <c r="D1031" s="172">
        <v>0</v>
      </c>
      <c r="E1031" s="168">
        <f t="shared" si="275"/>
        <v>0</v>
      </c>
      <c r="F1031" s="159">
        <f>SUM(E1029:E1031)</f>
        <v>0</v>
      </c>
      <c r="G1031" s="159" t="e">
        <f>#REF!</f>
        <v>#REF!</v>
      </c>
      <c r="H1031" s="172">
        <v>0</v>
      </c>
      <c r="I1031" s="168" t="e">
        <f t="shared" si="276"/>
        <v>#REF!</v>
      </c>
      <c r="J1031" s="159" t="e">
        <f>SUM(I1029:I1031)</f>
        <v>#REF!</v>
      </c>
      <c r="K1031" s="447">
        <v>9350</v>
      </c>
      <c r="L1031" s="448">
        <v>0</v>
      </c>
      <c r="M1031" s="168">
        <f t="shared" si="277"/>
        <v>0</v>
      </c>
      <c r="N1031" s="159">
        <f>SUM(M1029:M1031)</f>
        <v>0</v>
      </c>
      <c r="O1031" s="447">
        <v>0</v>
      </c>
      <c r="P1031" s="172">
        <v>0</v>
      </c>
      <c r="Q1031" s="168">
        <f t="shared" si="278"/>
        <v>0</v>
      </c>
      <c r="R1031" s="159">
        <f>SUM(Q1029:Q1031)</f>
        <v>0</v>
      </c>
      <c r="S1031" s="307"/>
    </row>
    <row r="1032" spans="1:19" ht="15.75" customHeight="1" x14ac:dyDescent="0.3">
      <c r="A1032" s="325" t="s">
        <v>419</v>
      </c>
      <c r="B1032" s="159"/>
      <c r="C1032" s="159">
        <f t="shared" si="274"/>
        <v>-33936.585821864457</v>
      </c>
      <c r="D1032" s="172">
        <v>0</v>
      </c>
      <c r="E1032" s="168">
        <f t="shared" si="275"/>
        <v>0</v>
      </c>
      <c r="F1032" s="159"/>
      <c r="G1032" s="159" t="e">
        <f>#REF!</f>
        <v>#REF!</v>
      </c>
      <c r="H1032" s="172">
        <v>0</v>
      </c>
      <c r="I1032" s="168" t="e">
        <f t="shared" si="276"/>
        <v>#REF!</v>
      </c>
      <c r="J1032" s="159"/>
      <c r="K1032" s="447">
        <v>11649</v>
      </c>
      <c r="L1032" s="448">
        <v>0</v>
      </c>
      <c r="M1032" s="168">
        <f t="shared" si="277"/>
        <v>0</v>
      </c>
      <c r="N1032" s="159"/>
      <c r="O1032" s="447">
        <v>0</v>
      </c>
      <c r="P1032" s="172">
        <v>0</v>
      </c>
      <c r="Q1032" s="168">
        <f t="shared" si="278"/>
        <v>0</v>
      </c>
      <c r="R1032" s="159"/>
      <c r="S1032" s="307"/>
    </row>
    <row r="1033" spans="1:19" ht="15.75" customHeight="1" x14ac:dyDescent="0.3">
      <c r="A1033" s="325" t="s">
        <v>420</v>
      </c>
      <c r="B1033" s="159"/>
      <c r="C1033" s="159">
        <f t="shared" si="274"/>
        <v>-5235.9592313684698</v>
      </c>
      <c r="D1033" s="172">
        <v>0</v>
      </c>
      <c r="E1033" s="168">
        <f t="shared" si="275"/>
        <v>0</v>
      </c>
      <c r="F1033" s="159"/>
      <c r="G1033" s="159" t="e">
        <f>#REF!</f>
        <v>#REF!</v>
      </c>
      <c r="H1033" s="172">
        <v>0</v>
      </c>
      <c r="I1033" s="168" t="e">
        <f t="shared" si="276"/>
        <v>#REF!</v>
      </c>
      <c r="J1033" s="159"/>
      <c r="K1033" s="447">
        <v>8035</v>
      </c>
      <c r="L1033" s="448">
        <v>0</v>
      </c>
      <c r="M1033" s="168">
        <f t="shared" si="277"/>
        <v>0</v>
      </c>
      <c r="N1033" s="159"/>
      <c r="O1033" s="447">
        <v>0</v>
      </c>
      <c r="P1033" s="172">
        <v>0</v>
      </c>
      <c r="Q1033" s="168">
        <f t="shared" si="278"/>
        <v>0</v>
      </c>
      <c r="R1033" s="159"/>
      <c r="S1033" s="307"/>
    </row>
    <row r="1034" spans="1:19" ht="15.75" customHeight="1" x14ac:dyDescent="0.3">
      <c r="A1034" s="325" t="s">
        <v>421</v>
      </c>
      <c r="B1034" s="159"/>
      <c r="C1034" s="159">
        <f t="shared" si="274"/>
        <v>-52719.876809405454</v>
      </c>
      <c r="D1034" s="172">
        <v>0</v>
      </c>
      <c r="E1034" s="168">
        <f t="shared" si="275"/>
        <v>0</v>
      </c>
      <c r="F1034" s="159">
        <f>SUM(E1032:E1034)</f>
        <v>0</v>
      </c>
      <c r="G1034" s="159" t="e">
        <f>#REF!</f>
        <v>#REF!</v>
      </c>
      <c r="H1034" s="172">
        <v>0</v>
      </c>
      <c r="I1034" s="168" t="e">
        <f t="shared" si="276"/>
        <v>#REF!</v>
      </c>
      <c r="J1034" s="159" t="e">
        <f>SUM(I1032:I1034)</f>
        <v>#REF!</v>
      </c>
      <c r="K1034" s="447">
        <v>8092</v>
      </c>
      <c r="L1034" s="448">
        <v>0</v>
      </c>
      <c r="M1034" s="168">
        <f t="shared" si="277"/>
        <v>0</v>
      </c>
      <c r="N1034" s="159">
        <f>SUM(M1032:M1034)</f>
        <v>0</v>
      </c>
      <c r="O1034" s="447">
        <v>0</v>
      </c>
      <c r="P1034" s="172">
        <v>0</v>
      </c>
      <c r="Q1034" s="168">
        <f t="shared" si="278"/>
        <v>0</v>
      </c>
      <c r="R1034" s="159">
        <f>SUM(Q1032:Q1034)</f>
        <v>0</v>
      </c>
      <c r="S1034" s="307"/>
    </row>
    <row r="1035" spans="1:19" ht="15.75" customHeight="1" x14ac:dyDescent="0.3">
      <c r="A1035" s="323"/>
      <c r="B1035" s="159"/>
      <c r="C1035" s="159"/>
      <c r="D1035" s="159"/>
      <c r="E1035" s="159"/>
      <c r="F1035" s="159"/>
      <c r="G1035" s="159"/>
      <c r="H1035" s="159"/>
      <c r="I1035" s="159"/>
      <c r="J1035" s="159"/>
      <c r="K1035" s="159"/>
      <c r="L1035" s="159"/>
      <c r="M1035" s="159"/>
      <c r="N1035" s="159"/>
      <c r="O1035" s="159"/>
      <c r="P1035" s="159"/>
      <c r="Q1035" s="159"/>
      <c r="R1035" s="159"/>
      <c r="S1035" s="307"/>
    </row>
    <row r="1036" spans="1:19" ht="15.75" customHeight="1" x14ac:dyDescent="0.3">
      <c r="A1036" s="323"/>
      <c r="B1036" s="159"/>
      <c r="C1036" s="159"/>
      <c r="D1036" s="159"/>
      <c r="E1036" s="159"/>
      <c r="F1036" s="159"/>
      <c r="G1036" s="159"/>
      <c r="H1036" s="159"/>
      <c r="I1036" s="159"/>
      <c r="J1036" s="159"/>
      <c r="K1036" s="159"/>
      <c r="L1036" s="159"/>
      <c r="M1036" s="159"/>
      <c r="N1036" s="159"/>
      <c r="O1036" s="159"/>
      <c r="P1036" s="159"/>
      <c r="Q1036" s="159"/>
      <c r="R1036" s="159"/>
      <c r="S1036" s="307"/>
    </row>
    <row r="1037" spans="1:19" ht="16.5" customHeight="1" thickBot="1" x14ac:dyDescent="0.35">
      <c r="A1037" s="326" t="s">
        <v>422</v>
      </c>
      <c r="B1037" s="327"/>
      <c r="C1037" s="327">
        <f>SUM(C1023:C1034)</f>
        <v>-119762.99736458555</v>
      </c>
      <c r="D1037" s="327"/>
      <c r="E1037" s="337">
        <f>SUM(E1023:E1034)</f>
        <v>0</v>
      </c>
      <c r="F1037" s="327"/>
      <c r="G1037" s="327" t="e">
        <f>SUM(G1023:G1034)</f>
        <v>#REF!</v>
      </c>
      <c r="H1037" s="327" t="s">
        <v>424</v>
      </c>
      <c r="I1037" s="337" t="e">
        <f>SUM(I1023:I1034)</f>
        <v>#REF!</v>
      </c>
      <c r="J1037" s="327"/>
      <c r="K1037" s="327">
        <f>SUM(K1023:K1034)</f>
        <v>149913</v>
      </c>
      <c r="L1037" s="327" t="s">
        <v>424</v>
      </c>
      <c r="M1037" s="337">
        <f>SUM(M1023:M1034)</f>
        <v>0</v>
      </c>
      <c r="N1037" s="327"/>
      <c r="O1037" s="327">
        <f>(SUM(O1023:O1034))</f>
        <v>0</v>
      </c>
      <c r="P1037" s="327" t="s">
        <v>424</v>
      </c>
      <c r="Q1037" s="337">
        <f>SUM(Q1023:Q1034)</f>
        <v>0</v>
      </c>
      <c r="R1037" s="327"/>
      <c r="S1037" s="313"/>
    </row>
  </sheetData>
  <scenarios current="0">
    <scenario name="Jan" count="1" user="Windows User" comment="Created by Windows User on 4/11/2013">
      <inputCells r="B270" val="57771.3688407242" numFmtId="37"/>
    </scenario>
  </scenarios>
  <mergeCells count="71">
    <mergeCell ref="B971:L971"/>
    <mergeCell ref="M971:P971"/>
    <mergeCell ref="B945:D945"/>
    <mergeCell ref="B964:P964"/>
    <mergeCell ref="B965:P965"/>
    <mergeCell ref="B966:P966"/>
    <mergeCell ref="B968:P968"/>
    <mergeCell ref="B969:P969"/>
    <mergeCell ref="B944:P944"/>
    <mergeCell ref="M890:O890"/>
    <mergeCell ref="AD890:AQ890"/>
    <mergeCell ref="AD891:AQ891"/>
    <mergeCell ref="B915:P915"/>
    <mergeCell ref="B916:F916"/>
    <mergeCell ref="G916:L916"/>
    <mergeCell ref="M916:O916"/>
    <mergeCell ref="P916:R916"/>
    <mergeCell ref="M917:O917"/>
    <mergeCell ref="B939:P939"/>
    <mergeCell ref="B940:P940"/>
    <mergeCell ref="B941:P941"/>
    <mergeCell ref="B943:P943"/>
    <mergeCell ref="B888:P888"/>
    <mergeCell ref="AD888:AQ888"/>
    <mergeCell ref="B889:F889"/>
    <mergeCell ref="G889:L889"/>
    <mergeCell ref="M889:O889"/>
    <mergeCell ref="P889:R889"/>
    <mergeCell ref="B887:P887"/>
    <mergeCell ref="AD887:AQ887"/>
    <mergeCell ref="AD853:AQ853"/>
    <mergeCell ref="AD855:AQ855"/>
    <mergeCell ref="B856:P856"/>
    <mergeCell ref="AD856:AQ856"/>
    <mergeCell ref="B857:P857"/>
    <mergeCell ref="B858:P858"/>
    <mergeCell ref="B860:P860"/>
    <mergeCell ref="B861:P861"/>
    <mergeCell ref="B885:P885"/>
    <mergeCell ref="B886:P886"/>
    <mergeCell ref="AD886:AQ886"/>
    <mergeCell ref="AD852:AQ852"/>
    <mergeCell ref="B803:P803"/>
    <mergeCell ref="B804:P804"/>
    <mergeCell ref="B805:P805"/>
    <mergeCell ref="B806:P806"/>
    <mergeCell ref="B830:P830"/>
    <mergeCell ref="B831:P831"/>
    <mergeCell ref="B832:P832"/>
    <mergeCell ref="B833:P833"/>
    <mergeCell ref="B834:P834"/>
    <mergeCell ref="B835:P835"/>
    <mergeCell ref="AD851:AQ851"/>
    <mergeCell ref="B802:P802"/>
    <mergeCell ref="A737:R737"/>
    <mergeCell ref="A738:R738"/>
    <mergeCell ref="A739:R739"/>
    <mergeCell ref="A740:R740"/>
    <mergeCell ref="A742:R742"/>
    <mergeCell ref="A778:R778"/>
    <mergeCell ref="A779:R779"/>
    <mergeCell ref="A780:R780"/>
    <mergeCell ref="A781:R781"/>
    <mergeCell ref="A783:R783"/>
    <mergeCell ref="B801:P801"/>
    <mergeCell ref="A8:R8"/>
    <mergeCell ref="A2:R2"/>
    <mergeCell ref="A3:R3"/>
    <mergeCell ref="A4:R4"/>
    <mergeCell ref="A5:R5"/>
    <mergeCell ref="A6:R6"/>
  </mergeCells>
  <conditionalFormatting sqref="P895:P908">
    <cfRule type="cellIs" dxfId="11" priority="3" operator="lessThan">
      <formula>0</formula>
    </cfRule>
    <cfRule type="cellIs" dxfId="10" priority="4" operator="greaterThan">
      <formula>0</formula>
    </cfRule>
  </conditionalFormatting>
  <conditionalFormatting sqref="P922:P933">
    <cfRule type="cellIs" dxfId="9" priority="1" operator="lessThan">
      <formula>0</formula>
    </cfRule>
    <cfRule type="cellIs" dxfId="8" priority="2" operator="greaterThan">
      <formula>0</formula>
    </cfRule>
  </conditionalFormatting>
  <printOptions horizontalCentered="1"/>
  <pageMargins left="0.25" right="0.25" top="0.25" bottom="0.25" header="0" footer="0"/>
  <pageSetup paperSize="17" scale="10" orientation="landscape" r:id="rId1"/>
  <headerFooter alignWithMargins="0"/>
  <rowBreaks count="5" manualBreakCount="5">
    <brk id="734" max="17" man="1"/>
    <brk id="774" max="17" man="1"/>
    <brk id="827" max="18" man="1"/>
    <brk id="855" max="18" man="1"/>
    <brk id="823" min="28" max="46"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B635C-AE12-452D-8171-C7E615E01F30}">
  <sheetPr codeName="Sheet12">
    <pageSetUpPr fitToPage="1"/>
  </sheetPr>
  <dimension ref="A1:AX1028"/>
  <sheetViews>
    <sheetView topLeftCell="A865" zoomScale="70" zoomScaleNormal="70" workbookViewId="0">
      <selection activeCell="T936" sqref="T936"/>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21875" style="4" bestFit="1" customWidth="1"/>
    <col min="9" max="9" width="13.109375" style="4" customWidth="1"/>
    <col min="10"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8.77734375" style="4"/>
    <col min="20" max="20" width="11.21875" style="4" bestFit="1" customWidth="1"/>
    <col min="21" max="16384" width="8.77734375" style="4"/>
  </cols>
  <sheetData>
    <row r="1" spans="1:42" x14ac:dyDescent="0.3">
      <c r="A1" s="1"/>
      <c r="B1" s="1"/>
      <c r="C1" s="1"/>
      <c r="D1" s="1"/>
      <c r="E1" s="1"/>
      <c r="F1" s="1"/>
      <c r="G1" s="1"/>
      <c r="H1" s="1"/>
      <c r="I1" s="1"/>
      <c r="J1" s="1"/>
      <c r="K1" s="1"/>
      <c r="L1" s="1"/>
      <c r="M1" s="1"/>
      <c r="N1" s="1"/>
      <c r="O1" s="1"/>
      <c r="P1" s="1"/>
      <c r="Q1" s="2" t="s">
        <v>0</v>
      </c>
      <c r="R1" s="3">
        <f ca="1">NOW()</f>
        <v>44909.46975358796</v>
      </c>
    </row>
    <row r="2" spans="1:42" ht="19.5" customHeight="1" x14ac:dyDescent="0.35">
      <c r="A2" s="500" t="s">
        <v>1</v>
      </c>
      <c r="B2" s="500"/>
      <c r="C2" s="500"/>
      <c r="D2" s="500"/>
      <c r="E2" s="500"/>
      <c r="F2" s="500"/>
      <c r="G2" s="500"/>
      <c r="H2" s="500"/>
      <c r="I2" s="500"/>
      <c r="J2" s="500"/>
      <c r="K2" s="500"/>
      <c r="L2" s="500"/>
      <c r="M2" s="500"/>
      <c r="N2" s="500"/>
      <c r="O2" s="500"/>
      <c r="P2" s="500"/>
      <c r="Q2" s="500"/>
      <c r="R2" s="500"/>
    </row>
    <row r="3" spans="1:42" ht="19.5" customHeight="1" x14ac:dyDescent="0.35">
      <c r="A3" s="500" t="s">
        <v>2</v>
      </c>
      <c r="B3" s="500"/>
      <c r="C3" s="500"/>
      <c r="D3" s="500"/>
      <c r="E3" s="500"/>
      <c r="F3" s="500"/>
      <c r="G3" s="500"/>
      <c r="H3" s="500"/>
      <c r="I3" s="500"/>
      <c r="J3" s="500"/>
      <c r="K3" s="500"/>
      <c r="L3" s="500"/>
      <c r="M3" s="500"/>
      <c r="N3" s="500"/>
      <c r="O3" s="500"/>
      <c r="P3" s="500"/>
      <c r="Q3" s="500"/>
      <c r="R3" s="500"/>
    </row>
    <row r="4" spans="1:42" ht="19.5" customHeight="1" x14ac:dyDescent="0.35">
      <c r="A4" s="501" t="s">
        <v>3</v>
      </c>
      <c r="B4" s="501"/>
      <c r="C4" s="501"/>
      <c r="D4" s="501"/>
      <c r="E4" s="501"/>
      <c r="F4" s="501"/>
      <c r="G4" s="501"/>
      <c r="H4" s="501"/>
      <c r="I4" s="501"/>
      <c r="J4" s="501"/>
      <c r="K4" s="501"/>
      <c r="L4" s="501"/>
      <c r="M4" s="501"/>
      <c r="N4" s="501"/>
      <c r="O4" s="501"/>
      <c r="P4" s="501"/>
      <c r="Q4" s="501"/>
      <c r="R4" s="501"/>
    </row>
    <row r="5" spans="1:42" ht="19.5" customHeight="1" x14ac:dyDescent="0.35">
      <c r="A5" s="502">
        <v>2013</v>
      </c>
      <c r="B5" s="502"/>
      <c r="C5" s="502"/>
      <c r="D5" s="502"/>
      <c r="E5" s="502"/>
      <c r="F5" s="502"/>
      <c r="G5" s="502"/>
      <c r="H5" s="502"/>
      <c r="I5" s="502"/>
      <c r="J5" s="502"/>
      <c r="K5" s="502"/>
      <c r="L5" s="502"/>
      <c r="M5" s="502"/>
      <c r="N5" s="502"/>
      <c r="O5" s="502"/>
      <c r="P5" s="502"/>
      <c r="Q5" s="502"/>
      <c r="R5" s="502"/>
    </row>
    <row r="6" spans="1:42" ht="19.5" customHeight="1" x14ac:dyDescent="0.35">
      <c r="A6" s="501" t="s">
        <v>1149</v>
      </c>
      <c r="B6" s="501"/>
      <c r="C6" s="501"/>
      <c r="D6" s="501"/>
      <c r="E6" s="501"/>
      <c r="F6" s="501"/>
      <c r="G6" s="501"/>
      <c r="H6" s="501"/>
      <c r="I6" s="501"/>
      <c r="J6" s="501"/>
      <c r="K6" s="501"/>
      <c r="L6" s="501"/>
      <c r="M6" s="501"/>
      <c r="N6" s="501"/>
      <c r="O6" s="501"/>
      <c r="P6" s="501"/>
      <c r="Q6" s="501"/>
      <c r="R6" s="501"/>
    </row>
    <row r="7" spans="1:42" ht="19.5" customHeight="1" x14ac:dyDescent="0.35">
      <c r="A7" s="296"/>
      <c r="B7" s="296"/>
      <c r="C7" s="296"/>
      <c r="D7" s="296"/>
      <c r="E7" s="296"/>
      <c r="F7" s="296"/>
      <c r="G7" s="296"/>
      <c r="H7" s="296"/>
      <c r="I7" s="296"/>
      <c r="J7" s="296"/>
      <c r="K7" s="296"/>
      <c r="L7" s="296"/>
      <c r="M7" s="296"/>
      <c r="N7" s="296"/>
      <c r="O7" s="296"/>
      <c r="P7" s="296"/>
      <c r="Q7" s="296"/>
      <c r="R7" s="296"/>
    </row>
    <row r="8" spans="1:42" ht="15.75" customHeight="1" x14ac:dyDescent="0.3">
      <c r="A8" s="499" t="s">
        <v>1150</v>
      </c>
      <c r="B8" s="499"/>
      <c r="C8" s="499"/>
      <c r="D8" s="499"/>
      <c r="E8" s="499"/>
      <c r="F8" s="499"/>
      <c r="G8" s="499"/>
      <c r="H8" s="499"/>
      <c r="I8" s="499"/>
      <c r="J8" s="499"/>
      <c r="K8" s="499"/>
      <c r="L8" s="499"/>
      <c r="M8" s="499"/>
      <c r="N8" s="499"/>
      <c r="O8" s="499"/>
      <c r="P8" s="499"/>
      <c r="Q8" s="499"/>
      <c r="R8" s="499"/>
    </row>
    <row r="9" spans="1:42" ht="15.75" customHeight="1" x14ac:dyDescent="0.3">
      <c r="A9" s="5"/>
      <c r="B9" s="6"/>
      <c r="C9" s="6"/>
      <c r="D9" s="6"/>
      <c r="E9" s="6"/>
      <c r="F9" s="6"/>
      <c r="G9" s="6"/>
      <c r="H9" s="6"/>
      <c r="I9" s="6"/>
      <c r="J9" s="6"/>
      <c r="K9" s="6"/>
      <c r="L9" s="6"/>
      <c r="M9" s="6"/>
      <c r="N9" s="6"/>
      <c r="O9" s="6"/>
      <c r="P9" s="6"/>
      <c r="Q9" s="6"/>
      <c r="R9" s="6"/>
    </row>
    <row r="10" spans="1:42" ht="15.75" customHeight="1" thickBot="1" x14ac:dyDescent="0.35">
      <c r="A10" s="1" t="s">
        <v>794</v>
      </c>
      <c r="B10" s="1">
        <v>31</v>
      </c>
      <c r="C10" s="1">
        <v>28</v>
      </c>
      <c r="D10" s="1">
        <v>31</v>
      </c>
      <c r="E10" s="1"/>
      <c r="F10" s="1">
        <v>30</v>
      </c>
      <c r="G10" s="1">
        <v>31</v>
      </c>
      <c r="H10" s="1">
        <v>30</v>
      </c>
      <c r="I10" s="1"/>
      <c r="J10" s="1">
        <v>31</v>
      </c>
      <c r="K10" s="1">
        <v>31</v>
      </c>
      <c r="L10" s="1">
        <v>30</v>
      </c>
      <c r="M10" s="1"/>
      <c r="N10" s="1">
        <v>31</v>
      </c>
      <c r="O10" s="1">
        <v>30</v>
      </c>
      <c r="P10" s="1">
        <v>31</v>
      </c>
      <c r="Q10" s="1"/>
      <c r="R10" s="1"/>
    </row>
    <row r="11" spans="1:42" ht="15.75" customHeight="1" thickBot="1" x14ac:dyDescent="0.35">
      <c r="A11" s="297" t="s">
        <v>7</v>
      </c>
      <c r="B11" s="298" t="s">
        <v>795</v>
      </c>
      <c r="C11" s="48" t="s">
        <v>9</v>
      </c>
      <c r="D11" s="48" t="s">
        <v>10</v>
      </c>
      <c r="E11" s="32" t="s">
        <v>11</v>
      </c>
      <c r="F11" s="48" t="s">
        <v>12</v>
      </c>
      <c r="G11" s="48" t="s">
        <v>13</v>
      </c>
      <c r="H11" s="48" t="s">
        <v>14</v>
      </c>
      <c r="I11" s="32" t="s">
        <v>15</v>
      </c>
      <c r="J11" s="48" t="s">
        <v>16</v>
      </c>
      <c r="K11" s="48" t="s">
        <v>17</v>
      </c>
      <c r="L11" s="48" t="s">
        <v>18</v>
      </c>
      <c r="M11" s="32" t="s">
        <v>19</v>
      </c>
      <c r="N11" s="48" t="s">
        <v>20</v>
      </c>
      <c r="O11" s="48" t="s">
        <v>21</v>
      </c>
      <c r="P11" s="48" t="s">
        <v>22</v>
      </c>
      <c r="Q11" s="32" t="s">
        <v>23</v>
      </c>
      <c r="R11" s="49" t="s">
        <v>24</v>
      </c>
      <c r="AD11" s="1" t="e">
        <f t="shared" ref="AD11:AO11" ca="1" si="0">DAY(DATE($A$5,MonthFromText(AD12)+1,1)-1)</f>
        <v>#NAME?</v>
      </c>
      <c r="AE11" s="1" t="e">
        <f t="shared" ca="1" si="0"/>
        <v>#NAME?</v>
      </c>
      <c r="AF11" s="1" t="e">
        <f t="shared" ca="1" si="0"/>
        <v>#NAME?</v>
      </c>
      <c r="AG11" s="1" t="e">
        <f t="shared" ca="1" si="0"/>
        <v>#NAME?</v>
      </c>
      <c r="AH11" s="1" t="e">
        <f t="shared" ca="1" si="0"/>
        <v>#NAME?</v>
      </c>
      <c r="AI11" s="1" t="e">
        <f t="shared" ca="1" si="0"/>
        <v>#NAME?</v>
      </c>
      <c r="AJ11" s="1" t="e">
        <f t="shared" ca="1" si="0"/>
        <v>#NAME?</v>
      </c>
      <c r="AK11" s="1" t="e">
        <f t="shared" ca="1" si="0"/>
        <v>#NAME?</v>
      </c>
      <c r="AL11" s="1" t="e">
        <f t="shared" ca="1" si="0"/>
        <v>#NAME?</v>
      </c>
      <c r="AM11" s="1" t="e">
        <f t="shared" ca="1" si="0"/>
        <v>#NAME?</v>
      </c>
      <c r="AN11" s="1" t="e">
        <f t="shared" ca="1" si="0"/>
        <v>#NAME?</v>
      </c>
      <c r="AO11" s="1" t="e">
        <f t="shared" ca="1" si="0"/>
        <v>#NAME?</v>
      </c>
      <c r="AP11" s="1"/>
    </row>
    <row r="12" spans="1:42" ht="16.5" customHeight="1" thickBot="1" x14ac:dyDescent="0.35">
      <c r="A12" s="67"/>
      <c r="B12" s="51"/>
      <c r="C12" s="51"/>
      <c r="D12" s="51"/>
      <c r="E12" s="52"/>
      <c r="F12" s="51"/>
      <c r="G12" s="51"/>
      <c r="H12" s="51"/>
      <c r="I12" s="52"/>
      <c r="J12" s="51"/>
      <c r="K12" s="51"/>
      <c r="L12" s="51"/>
      <c r="M12" s="52"/>
      <c r="N12" s="51"/>
      <c r="O12" s="51"/>
      <c r="P12" s="51"/>
      <c r="Q12" s="52"/>
      <c r="R12" s="52"/>
      <c r="AD12" s="298" t="s">
        <v>795</v>
      </c>
      <c r="AE12" s="48" t="s">
        <v>9</v>
      </c>
      <c r="AF12" s="48" t="s">
        <v>10</v>
      </c>
      <c r="AG12" s="48" t="s">
        <v>12</v>
      </c>
      <c r="AH12" s="48" t="s">
        <v>13</v>
      </c>
      <c r="AI12" s="48" t="s">
        <v>14</v>
      </c>
      <c r="AJ12" s="48" t="s">
        <v>16</v>
      </c>
      <c r="AK12" s="48" t="s">
        <v>17</v>
      </c>
      <c r="AL12" s="48" t="s">
        <v>18</v>
      </c>
      <c r="AM12" s="48" t="s">
        <v>20</v>
      </c>
      <c r="AN12" s="48" t="s">
        <v>21</v>
      </c>
      <c r="AO12" s="48" t="s">
        <v>22</v>
      </c>
      <c r="AP12" s="49" t="s">
        <v>24</v>
      </c>
    </row>
    <row r="13" spans="1:42" ht="15.75" customHeight="1" x14ac:dyDescent="0.3">
      <c r="A13" s="15" t="s">
        <v>25</v>
      </c>
      <c r="B13" s="1">
        <f>+B788</f>
        <v>50994</v>
      </c>
      <c r="C13" s="1">
        <f>+C788</f>
        <v>53487</v>
      </c>
      <c r="D13" s="1">
        <f>+D788</f>
        <v>105997</v>
      </c>
      <c r="E13" s="16">
        <f>SUM(B13:D13)</f>
        <v>210478</v>
      </c>
      <c r="F13" s="1">
        <f>+F788</f>
        <v>176631</v>
      </c>
      <c r="G13" s="1">
        <f>+G788</f>
        <v>187821</v>
      </c>
      <c r="H13" s="1">
        <f>+H788</f>
        <v>210914</v>
      </c>
      <c r="I13" s="16">
        <f t="shared" ref="I13:I19" si="1">SUM(F13:H13)</f>
        <v>575366</v>
      </c>
      <c r="J13" s="1">
        <f>+J788</f>
        <v>179001</v>
      </c>
      <c r="K13" s="1">
        <f>+K788</f>
        <v>179261</v>
      </c>
      <c r="L13" s="1">
        <f>+L788</f>
        <v>118144</v>
      </c>
      <c r="M13" s="16">
        <f t="shared" ref="M13:M20" si="2">SUM(J13:L13)</f>
        <v>476406</v>
      </c>
      <c r="N13" s="1">
        <f>+N788</f>
        <v>105253</v>
      </c>
      <c r="O13" s="1">
        <f>+O788</f>
        <v>59424</v>
      </c>
      <c r="P13" s="1">
        <f>+P788</f>
        <v>93077</v>
      </c>
      <c r="Q13" s="17">
        <f t="shared" ref="Q13:Q19" si="3">SUM(N13:P13)</f>
        <v>257754</v>
      </c>
      <c r="R13" s="16">
        <f t="shared" ref="R13:R20" si="4">+E13+I13+M13+Q13</f>
        <v>1520004</v>
      </c>
      <c r="V13" s="339"/>
      <c r="W13" s="339"/>
      <c r="X13" s="339"/>
      <c r="AD13" s="339">
        <f>+B13/$R$13</f>
        <v>3.3548595924747564E-2</v>
      </c>
      <c r="AE13" s="339">
        <f>+C13/$R$13</f>
        <v>3.5188723187570561E-2</v>
      </c>
      <c r="AF13" s="339">
        <f>+D13/$R$13</f>
        <v>6.9734684908723921E-2</v>
      </c>
      <c r="AG13" s="339">
        <f>+F13/$R$13</f>
        <v>0.11620429946236983</v>
      </c>
      <c r="AH13" s="339">
        <f>+G13/$R$13</f>
        <v>0.12356612219441528</v>
      </c>
      <c r="AI13" s="339">
        <f>+H13/$R$13</f>
        <v>0.13875884537145955</v>
      </c>
      <c r="AJ13" s="339">
        <f>+J13/$R$13</f>
        <v>0.11776350588551082</v>
      </c>
      <c r="AK13" s="339">
        <f>+K13/$R$13</f>
        <v>0.11793455806695245</v>
      </c>
      <c r="AL13" s="339">
        <f>+L13/$R$13</f>
        <v>7.7726111247075666E-2</v>
      </c>
      <c r="AM13" s="339">
        <f>+N13/$R$13</f>
        <v>6.9245212512598645E-2</v>
      </c>
      <c r="AN13" s="339">
        <f>+O13/$R$13</f>
        <v>3.9094633961489572E-2</v>
      </c>
      <c r="AO13" s="339">
        <f>+P13/$R$13</f>
        <v>6.123470727708611E-2</v>
      </c>
      <c r="AP13" s="339">
        <f>+R13/$R$13</f>
        <v>1</v>
      </c>
    </row>
    <row r="14" spans="1:42" ht="15.75" customHeight="1" x14ac:dyDescent="0.3">
      <c r="A14" s="15" t="s">
        <v>27</v>
      </c>
      <c r="B14" s="1">
        <f>B25+B60+B126+B266+B398+B445+B487+B540+B550+B586+B630+B640+B674+B720</f>
        <v>739</v>
      </c>
      <c r="C14" s="1">
        <f>C25+C60+C126+C266+C398+C445+C487+C540+C550+C586+C630+C640+C674+C720</f>
        <v>1283</v>
      </c>
      <c r="D14" s="1">
        <f>D25+D60+D126+D266+D398+D445+D487+D540+D550+D586+D630+D640+D674+D720</f>
        <v>2185</v>
      </c>
      <c r="E14" s="16">
        <f t="shared" ref="E14:E19" si="5">SUM(B14:D14)</f>
        <v>4207</v>
      </c>
      <c r="F14" s="1">
        <f>F25+F60+F126+F266+F398+F445+F487+F540+F550+F586+F630+F640+F674+F720</f>
        <v>2959</v>
      </c>
      <c r="G14" s="1">
        <f>G25+G60+G126+G266+G398+G445+G487+G540+G550+G586+G630+G640+G674+G720</f>
        <v>3425</v>
      </c>
      <c r="H14" s="1">
        <f>H25+H60+H126+H266+H398+H445+H487+H540+H550+H586+H630+H640+H674+H720</f>
        <v>3464</v>
      </c>
      <c r="I14" s="16">
        <f t="shared" si="1"/>
        <v>9848</v>
      </c>
      <c r="J14" s="1">
        <f>J25+J60+J126+J266+J398+J445+J487+J540+J550+J586+J630+J640+J674+J720</f>
        <v>3382</v>
      </c>
      <c r="K14" s="1">
        <f>K25+K60+K126+K266+K398+K445+K487+K540+K550+K586+K630+K640+K674+K720</f>
        <v>2663</v>
      </c>
      <c r="L14" s="1">
        <f>L25+L60+L126+L266+L398+L445+L487+L540+L550+L586+L630+L640+L674+L720</f>
        <v>2559</v>
      </c>
      <c r="M14" s="16">
        <f t="shared" si="2"/>
        <v>8604</v>
      </c>
      <c r="N14" s="1">
        <f>N25+N60+N126+N266+N398+N445+N487+N540+N550+N586+N630+N640+N674+N720</f>
        <v>2343</v>
      </c>
      <c r="O14" s="1">
        <f>O25+O60+O126+O266+O398+O445+O487+O540+O550+O586+O630+O640+O674+O720</f>
        <v>1892</v>
      </c>
      <c r="P14" s="1">
        <f>P25+P60+P126+P266+P398+P445+P487+P540+P550+P586+P630+P640+P674+P720</f>
        <v>1423</v>
      </c>
      <c r="Q14" s="17">
        <f t="shared" si="3"/>
        <v>5658</v>
      </c>
      <c r="R14" s="16">
        <f t="shared" si="4"/>
        <v>28317</v>
      </c>
    </row>
    <row r="15" spans="1:42" ht="15.75" customHeight="1" x14ac:dyDescent="0.3">
      <c r="A15" s="15" t="s">
        <v>28</v>
      </c>
      <c r="B15" s="1">
        <f>B261</f>
        <v>0</v>
      </c>
      <c r="C15" s="1">
        <f>C261</f>
        <v>2171</v>
      </c>
      <c r="D15" s="1">
        <f>D261</f>
        <v>3910</v>
      </c>
      <c r="E15" s="16">
        <f t="shared" si="5"/>
        <v>6081</v>
      </c>
      <c r="F15" s="1">
        <f>F261</f>
        <v>5152</v>
      </c>
      <c r="G15" s="1">
        <f>G261</f>
        <v>5526</v>
      </c>
      <c r="H15" s="1">
        <f>H261</f>
        <v>5209</v>
      </c>
      <c r="I15" s="16">
        <f t="shared" si="1"/>
        <v>15887</v>
      </c>
      <c r="J15" s="1">
        <f>J261</f>
        <v>3458</v>
      </c>
      <c r="K15" s="1">
        <f>K261</f>
        <v>2691</v>
      </c>
      <c r="L15" s="1">
        <f>L261</f>
        <v>2136</v>
      </c>
      <c r="M15" s="16">
        <f t="shared" si="2"/>
        <v>8285</v>
      </c>
      <c r="N15" s="1">
        <f>N261</f>
        <v>3957</v>
      </c>
      <c r="O15" s="1">
        <f>O261</f>
        <v>2555</v>
      </c>
      <c r="P15" s="1">
        <f>P261</f>
        <v>111</v>
      </c>
      <c r="Q15" s="17">
        <f t="shared" si="3"/>
        <v>6623</v>
      </c>
      <c r="R15" s="16">
        <f t="shared" si="4"/>
        <v>36876</v>
      </c>
    </row>
    <row r="16" spans="1:42" ht="15.75" customHeight="1" x14ac:dyDescent="0.3">
      <c r="A16" s="18" t="s">
        <v>29</v>
      </c>
      <c r="B16" s="1">
        <f>+B262</f>
        <v>0</v>
      </c>
      <c r="C16" s="1">
        <f>+C262</f>
        <v>0</v>
      </c>
      <c r="D16" s="1">
        <f>+D262</f>
        <v>0</v>
      </c>
      <c r="E16" s="16">
        <f t="shared" si="5"/>
        <v>0</v>
      </c>
      <c r="F16" s="1">
        <f>+F262</f>
        <v>0</v>
      </c>
      <c r="G16" s="1">
        <f>+G262</f>
        <v>0</v>
      </c>
      <c r="H16" s="1">
        <f>+H262</f>
        <v>-11007</v>
      </c>
      <c r="I16" s="16">
        <f t="shared" si="1"/>
        <v>-11007</v>
      </c>
      <c r="J16" s="1">
        <f>+J262</f>
        <v>-6524</v>
      </c>
      <c r="K16" s="1">
        <f>+K262</f>
        <v>0</v>
      </c>
      <c r="L16" s="1">
        <f>+L262</f>
        <v>0</v>
      </c>
      <c r="M16" s="16">
        <f t="shared" si="2"/>
        <v>-6524</v>
      </c>
      <c r="N16" s="1">
        <f>+N262</f>
        <v>-2500</v>
      </c>
      <c r="O16" s="1">
        <f>+O262</f>
        <v>0</v>
      </c>
      <c r="P16" s="1">
        <f>+P262</f>
        <v>0</v>
      </c>
      <c r="Q16" s="17">
        <f t="shared" si="3"/>
        <v>-2500</v>
      </c>
      <c r="R16" s="16">
        <f t="shared" si="4"/>
        <v>-20031</v>
      </c>
    </row>
    <row r="17" spans="1:20" ht="15.75" customHeight="1" x14ac:dyDescent="0.3">
      <c r="A17" s="19" t="s">
        <v>31</v>
      </c>
      <c r="B17" s="1">
        <f>B265</f>
        <v>54064</v>
      </c>
      <c r="C17" s="1">
        <f>C265</f>
        <v>89116</v>
      </c>
      <c r="D17" s="1">
        <f>D265</f>
        <v>66664</v>
      </c>
      <c r="E17" s="16">
        <f t="shared" si="5"/>
        <v>209844</v>
      </c>
      <c r="F17" s="1">
        <f>F265</f>
        <v>316</v>
      </c>
      <c r="G17" s="1">
        <f>G265</f>
        <v>0</v>
      </c>
      <c r="H17" s="1">
        <f>H265</f>
        <v>0</v>
      </c>
      <c r="I17" s="16">
        <f t="shared" si="1"/>
        <v>316</v>
      </c>
      <c r="J17" s="1">
        <f>J265</f>
        <v>0</v>
      </c>
      <c r="K17" s="1">
        <f>K265</f>
        <v>0</v>
      </c>
      <c r="L17" s="1">
        <f>L265</f>
        <v>27530</v>
      </c>
      <c r="M17" s="16">
        <f t="shared" si="2"/>
        <v>27530</v>
      </c>
      <c r="N17" s="1">
        <f>N265</f>
        <v>78545</v>
      </c>
      <c r="O17" s="1">
        <f>O265</f>
        <v>80601</v>
      </c>
      <c r="P17" s="1">
        <f>P265</f>
        <v>43033</v>
      </c>
      <c r="Q17" s="17">
        <f t="shared" si="3"/>
        <v>202179</v>
      </c>
      <c r="R17" s="16">
        <f t="shared" si="4"/>
        <v>439869</v>
      </c>
    </row>
    <row r="18" spans="1:20" ht="15.75" customHeight="1" x14ac:dyDescent="0.3">
      <c r="A18" s="19" t="s">
        <v>32</v>
      </c>
      <c r="B18" s="1">
        <f>B277</f>
        <v>-24714</v>
      </c>
      <c r="C18" s="1">
        <f>C277</f>
        <v>0</v>
      </c>
      <c r="D18" s="1">
        <f>D277</f>
        <v>0</v>
      </c>
      <c r="E18" s="16">
        <f t="shared" si="5"/>
        <v>-24714</v>
      </c>
      <c r="F18" s="1">
        <f>F277</f>
        <v>-34341</v>
      </c>
      <c r="G18" s="1">
        <f>G277</f>
        <v>-20589</v>
      </c>
      <c r="H18" s="1">
        <f>H277</f>
        <v>-78357</v>
      </c>
      <c r="I18" s="16">
        <f t="shared" si="1"/>
        <v>-133287</v>
      </c>
      <c r="J18" s="1">
        <f>J277</f>
        <v>-94386</v>
      </c>
      <c r="K18" s="1">
        <f>K277</f>
        <v>-87700</v>
      </c>
      <c r="L18" s="1">
        <f>L277</f>
        <v>-371</v>
      </c>
      <c r="M18" s="16">
        <f t="shared" si="2"/>
        <v>-182457</v>
      </c>
      <c r="N18" s="1">
        <f>N277</f>
        <v>0</v>
      </c>
      <c r="O18" s="1">
        <f>O277</f>
        <v>0</v>
      </c>
      <c r="P18" s="1">
        <f>P277</f>
        <v>0</v>
      </c>
      <c r="Q18" s="17">
        <f t="shared" si="3"/>
        <v>0</v>
      </c>
      <c r="R18" s="16">
        <f t="shared" si="4"/>
        <v>-340458</v>
      </c>
    </row>
    <row r="19" spans="1:20" ht="16.5" customHeight="1" thickBot="1" x14ac:dyDescent="0.35">
      <c r="A19" s="20" t="s">
        <v>33</v>
      </c>
      <c r="B19" s="21">
        <f>(B29)</f>
        <v>81083</v>
      </c>
      <c r="C19" s="21">
        <f>(C29)</f>
        <v>146057</v>
      </c>
      <c r="D19" s="21">
        <f>(D29)</f>
        <v>178756</v>
      </c>
      <c r="E19" s="22">
        <f t="shared" si="5"/>
        <v>405896</v>
      </c>
      <c r="F19" s="21">
        <f>(F29)</f>
        <v>150717</v>
      </c>
      <c r="G19" s="21">
        <f>(G29)</f>
        <v>176183</v>
      </c>
      <c r="H19" s="21">
        <f>(H29)</f>
        <v>130223</v>
      </c>
      <c r="I19" s="22">
        <f t="shared" si="1"/>
        <v>457123</v>
      </c>
      <c r="J19" s="21">
        <f>(J29)</f>
        <v>84931</v>
      </c>
      <c r="K19" s="21">
        <f>(K29)</f>
        <v>96915</v>
      </c>
      <c r="L19" s="21">
        <f>(L29)</f>
        <v>149998</v>
      </c>
      <c r="M19" s="22">
        <f t="shared" si="2"/>
        <v>331844</v>
      </c>
      <c r="N19" s="21">
        <f>(N29)</f>
        <v>187598</v>
      </c>
      <c r="O19" s="21">
        <f>(O29)</f>
        <v>144410</v>
      </c>
      <c r="P19" s="21">
        <f>(P29)</f>
        <v>137651</v>
      </c>
      <c r="Q19" s="23">
        <f t="shared" si="3"/>
        <v>469659</v>
      </c>
      <c r="R19" s="22">
        <f t="shared" si="4"/>
        <v>1664522</v>
      </c>
    </row>
    <row r="20" spans="1:20" ht="16.5" customHeight="1" thickBot="1" x14ac:dyDescent="0.35">
      <c r="A20" s="20" t="s">
        <v>36</v>
      </c>
      <c r="B20" s="21">
        <v>79888</v>
      </c>
      <c r="C20" s="21">
        <v>146879</v>
      </c>
      <c r="D20" s="21">
        <v>179730</v>
      </c>
      <c r="E20" s="22">
        <f>SUM(B20:D20)</f>
        <v>406497</v>
      </c>
      <c r="F20" s="21">
        <v>148444</v>
      </c>
      <c r="G20" s="21">
        <v>174238</v>
      </c>
      <c r="H20" s="21">
        <v>129487</v>
      </c>
      <c r="I20" s="22">
        <f>SUM(F20:H20)</f>
        <v>452169</v>
      </c>
      <c r="J20" s="21">
        <v>80301</v>
      </c>
      <c r="K20" s="21">
        <v>95266</v>
      </c>
      <c r="L20" s="21">
        <v>149252</v>
      </c>
      <c r="M20" s="22">
        <f t="shared" si="2"/>
        <v>324819</v>
      </c>
      <c r="N20" s="21">
        <v>186039</v>
      </c>
      <c r="O20" s="21">
        <v>143877</v>
      </c>
      <c r="P20" s="21">
        <v>137866</v>
      </c>
      <c r="Q20" s="23">
        <f>SUM(N20:P20)</f>
        <v>467782</v>
      </c>
      <c r="R20" s="22">
        <f t="shared" si="4"/>
        <v>1651267</v>
      </c>
    </row>
    <row r="21" spans="1:20" ht="15.75" customHeight="1" x14ac:dyDescent="0.3">
      <c r="A21" s="1"/>
      <c r="B21" s="1"/>
      <c r="C21" s="1"/>
      <c r="D21" s="1"/>
      <c r="E21" s="1"/>
      <c r="F21" s="1"/>
      <c r="G21" s="1"/>
      <c r="H21" s="1"/>
      <c r="I21" s="1"/>
      <c r="J21" s="1"/>
      <c r="K21" s="1"/>
      <c r="L21" s="1"/>
      <c r="M21" s="1"/>
      <c r="N21" s="1"/>
      <c r="O21" s="1"/>
      <c r="P21" s="1"/>
      <c r="Q21" s="1"/>
      <c r="R21" s="2"/>
    </row>
    <row r="22" spans="1:20" ht="15.75" customHeight="1" thickBot="1" x14ac:dyDescent="0.35">
      <c r="A22" s="1"/>
      <c r="B22" s="1"/>
      <c r="C22" s="1"/>
      <c r="D22" s="1"/>
      <c r="E22" s="1"/>
      <c r="F22" s="27" t="s">
        <v>7</v>
      </c>
      <c r="G22" s="27" t="s">
        <v>7</v>
      </c>
      <c r="H22" s="1"/>
      <c r="I22" s="1"/>
      <c r="J22" s="1"/>
      <c r="K22" s="1"/>
      <c r="L22" s="1"/>
      <c r="M22" s="1"/>
      <c r="N22" s="27" t="s">
        <v>7</v>
      </c>
      <c r="O22" s="27" t="s">
        <v>7</v>
      </c>
      <c r="P22" s="27" t="s">
        <v>7</v>
      </c>
      <c r="Q22" s="27"/>
      <c r="R22" s="28" t="s">
        <v>7</v>
      </c>
    </row>
    <row r="23" spans="1:20" ht="16.5" customHeight="1" thickBot="1" x14ac:dyDescent="0.35">
      <c r="A23" s="29" t="s">
        <v>39</v>
      </c>
      <c r="B23" s="30" t="s">
        <v>8</v>
      </c>
      <c r="C23" s="31" t="s">
        <v>9</v>
      </c>
      <c r="D23" s="31" t="s">
        <v>10</v>
      </c>
      <c r="E23" s="32" t="s">
        <v>11</v>
      </c>
      <c r="F23" s="31" t="s">
        <v>12</v>
      </c>
      <c r="G23" s="31" t="s">
        <v>13</v>
      </c>
      <c r="H23" s="31" t="s">
        <v>14</v>
      </c>
      <c r="I23" s="33" t="s">
        <v>15</v>
      </c>
      <c r="J23" s="31" t="s">
        <v>16</v>
      </c>
      <c r="K23" s="31" t="s">
        <v>17</v>
      </c>
      <c r="L23" s="31" t="s">
        <v>18</v>
      </c>
      <c r="M23" s="33" t="s">
        <v>19</v>
      </c>
      <c r="N23" s="31" t="s">
        <v>20</v>
      </c>
      <c r="O23" s="31" t="s">
        <v>21</v>
      </c>
      <c r="P23" s="31" t="s">
        <v>22</v>
      </c>
      <c r="Q23" s="33" t="s">
        <v>23</v>
      </c>
      <c r="R23" s="34" t="s">
        <v>24</v>
      </c>
    </row>
    <row r="24" spans="1:20" ht="16.5" customHeight="1" thickBot="1" x14ac:dyDescent="0.35">
      <c r="A24" s="35"/>
      <c r="B24" s="36"/>
      <c r="C24" s="36"/>
      <c r="D24" s="36"/>
      <c r="E24" s="37"/>
      <c r="F24" s="36"/>
      <c r="G24" s="36"/>
      <c r="H24" s="36"/>
      <c r="I24" s="37"/>
      <c r="J24" s="36"/>
      <c r="K24" s="36"/>
      <c r="L24" s="36"/>
      <c r="M24" s="37"/>
      <c r="N24" s="36"/>
      <c r="O24" s="36"/>
      <c r="P24" s="36"/>
      <c r="Q24" s="37"/>
      <c r="R24" s="38"/>
    </row>
    <row r="25" spans="1:20" ht="16.5" customHeight="1" thickBot="1" x14ac:dyDescent="0.35">
      <c r="A25" s="39" t="s">
        <v>40</v>
      </c>
      <c r="B25" s="21">
        <v>97</v>
      </c>
      <c r="C25" s="21">
        <v>148</v>
      </c>
      <c r="D25" s="21">
        <v>274</v>
      </c>
      <c r="E25" s="40">
        <f>SUM(B25:D25)</f>
        <v>519</v>
      </c>
      <c r="F25" s="21">
        <v>367</v>
      </c>
      <c r="G25" s="21">
        <v>425</v>
      </c>
      <c r="H25" s="21">
        <v>417</v>
      </c>
      <c r="I25" s="40">
        <f>SUM(F25:H25)</f>
        <v>1209</v>
      </c>
      <c r="J25" s="21">
        <v>416</v>
      </c>
      <c r="K25" s="21">
        <v>334</v>
      </c>
      <c r="L25" s="21">
        <v>316</v>
      </c>
      <c r="M25" s="40">
        <f>SUM(J25:L25)</f>
        <v>1066</v>
      </c>
      <c r="N25" s="21">
        <v>285</v>
      </c>
      <c r="O25" s="21">
        <v>235</v>
      </c>
      <c r="P25" s="21">
        <v>186</v>
      </c>
      <c r="Q25" s="40">
        <f>SUM(N25:P25)</f>
        <v>706</v>
      </c>
      <c r="R25" s="22">
        <f>+E25+I25+M25+Q25</f>
        <v>3500</v>
      </c>
    </row>
    <row r="26" spans="1:20" ht="16.5" customHeight="1" thickBot="1" x14ac:dyDescent="0.35">
      <c r="A26" s="41"/>
      <c r="B26" s="36"/>
      <c r="C26" s="36"/>
      <c r="D26" s="36"/>
      <c r="E26" s="42"/>
      <c r="F26" s="36"/>
      <c r="G26" s="36"/>
      <c r="H26" s="36"/>
      <c r="I26" s="42"/>
      <c r="J26" s="36"/>
      <c r="K26" s="36"/>
      <c r="L26" s="36"/>
      <c r="M26" s="42"/>
      <c r="N26" s="36"/>
      <c r="O26" s="36"/>
      <c r="P26" s="36"/>
      <c r="Q26" s="42"/>
      <c r="R26" s="43"/>
    </row>
    <row r="27" spans="1:20" ht="15.75" customHeight="1" x14ac:dyDescent="0.3">
      <c r="A27" s="15" t="s">
        <v>41</v>
      </c>
      <c r="B27" s="1">
        <f>B25</f>
        <v>97</v>
      </c>
      <c r="C27" s="1">
        <f>C25</f>
        <v>148</v>
      </c>
      <c r="D27" s="1">
        <f>D25</f>
        <v>274</v>
      </c>
      <c r="E27" s="40">
        <f>SUM(B27:D27)</f>
        <v>519</v>
      </c>
      <c r="F27" s="1">
        <f>F25</f>
        <v>367</v>
      </c>
      <c r="G27" s="1">
        <f>G25</f>
        <v>425</v>
      </c>
      <c r="H27" s="1">
        <f>H25</f>
        <v>417</v>
      </c>
      <c r="I27" s="40">
        <f>SUM(F27:H27)</f>
        <v>1209</v>
      </c>
      <c r="J27" s="1">
        <f>J25</f>
        <v>416</v>
      </c>
      <c r="K27" s="1">
        <f>K25</f>
        <v>334</v>
      </c>
      <c r="L27" s="1">
        <f>L25</f>
        <v>316</v>
      </c>
      <c r="M27" s="40">
        <f>SUM(J27:L27)</f>
        <v>1066</v>
      </c>
      <c r="N27" s="1">
        <f>N25</f>
        <v>285</v>
      </c>
      <c r="O27" s="1">
        <f>O25</f>
        <v>235</v>
      </c>
      <c r="P27" s="1">
        <f>P25</f>
        <v>186</v>
      </c>
      <c r="Q27" s="44">
        <f>SUM(N27:P27)</f>
        <v>706</v>
      </c>
      <c r="R27" s="40">
        <f>+E27+I27+M27+Q27</f>
        <v>3500</v>
      </c>
    </row>
    <row r="28" spans="1:20" ht="15.75" customHeight="1" x14ac:dyDescent="0.3">
      <c r="A28" s="15" t="s">
        <v>42</v>
      </c>
      <c r="B28" s="1">
        <f>(B27/B10)/1.983</f>
        <v>1.5779285214647079</v>
      </c>
      <c r="C28" s="1">
        <f>(C27/C10)/1.983</f>
        <v>2.6655140119587926</v>
      </c>
      <c r="D28" s="1">
        <f>(D27/D10)/1.983</f>
        <v>4.457241390529175</v>
      </c>
      <c r="E28" s="16"/>
      <c r="F28" s="1">
        <f>(F27/F10)/1.983</f>
        <v>6.1691040511010247</v>
      </c>
      <c r="G28" s="1">
        <f>(G27/G10)/1.983</f>
        <v>6.9136043466237203</v>
      </c>
      <c r="H28" s="1">
        <f>(H27/H10)/1.983</f>
        <v>7.0095814422592033</v>
      </c>
      <c r="I28" s="16"/>
      <c r="J28" s="1">
        <f>(J27/J10)/1.983</f>
        <v>6.7671986075187478</v>
      </c>
      <c r="K28" s="1">
        <f>(K27/K10)/1.983</f>
        <v>5.433279651228994</v>
      </c>
      <c r="L28" s="1">
        <f>(L27/L10)/1.983</f>
        <v>5.3118171121196838</v>
      </c>
      <c r="M28" s="16"/>
      <c r="N28" s="1">
        <f>(N27/N10)/1.983</f>
        <v>4.6361817383241419</v>
      </c>
      <c r="O28" s="1">
        <f>(O27/O10)/1.983</f>
        <v>3.9502437384434357</v>
      </c>
      <c r="P28" s="1">
        <f>(P27/P10)/1.983</f>
        <v>3.02571860816944</v>
      </c>
      <c r="Q28" s="17"/>
      <c r="R28" s="16"/>
    </row>
    <row r="29" spans="1:20" ht="15.75" customHeight="1" x14ac:dyDescent="0.3">
      <c r="A29" s="15" t="s">
        <v>43</v>
      </c>
      <c r="B29" s="1">
        <f>B27+B64</f>
        <v>81083</v>
      </c>
      <c r="C29" s="1">
        <f>C27+C64</f>
        <v>146057</v>
      </c>
      <c r="D29" s="1">
        <f>D27+D64</f>
        <v>178756</v>
      </c>
      <c r="E29" s="16">
        <f>SUM(B29:D29)</f>
        <v>405896</v>
      </c>
      <c r="F29" s="1">
        <f>F27+F64</f>
        <v>150717</v>
      </c>
      <c r="G29" s="1">
        <f>G27+G64</f>
        <v>176183</v>
      </c>
      <c r="H29" s="1">
        <f>H27+H64</f>
        <v>130223</v>
      </c>
      <c r="I29" s="16">
        <f>SUM(F29:H29)</f>
        <v>457123</v>
      </c>
      <c r="J29" s="1">
        <f>J27+J64</f>
        <v>84931</v>
      </c>
      <c r="K29" s="1">
        <f>K27+K64</f>
        <v>96915</v>
      </c>
      <c r="L29" s="1">
        <f>L27+L64</f>
        <v>149998</v>
      </c>
      <c r="M29" s="16">
        <f>SUM(J29:L29)</f>
        <v>331844</v>
      </c>
      <c r="N29" s="1">
        <f>N27+N64</f>
        <v>187598</v>
      </c>
      <c r="O29" s="1">
        <f>O27+O64</f>
        <v>144410</v>
      </c>
      <c r="P29" s="1">
        <f>P27+P64</f>
        <v>137651</v>
      </c>
      <c r="Q29" s="17">
        <f>SUM(N29:P29)</f>
        <v>469659</v>
      </c>
      <c r="R29" s="16">
        <f>+E29+I29+M29+Q29</f>
        <v>1664522</v>
      </c>
    </row>
    <row r="30" spans="1:20" s="344" customFormat="1" ht="16.5" customHeight="1" thickBot="1" x14ac:dyDescent="0.35">
      <c r="A30" s="340" t="s">
        <v>44</v>
      </c>
      <c r="B30" s="341">
        <f>(B29/B10)/1.983</f>
        <v>1319.0018382053909</v>
      </c>
      <c r="C30" s="341">
        <f>(C29/C10)/1.983</f>
        <v>2630.5201354369278</v>
      </c>
      <c r="D30" s="341">
        <f>(D29/D10)/1.983</f>
        <v>2907.8782554942818</v>
      </c>
      <c r="E30" s="342"/>
      <c r="F30" s="341">
        <f>(F29/F10)/1.983</f>
        <v>2533.4846192637415</v>
      </c>
      <c r="G30" s="341">
        <f>(G29/G10)/1.983</f>
        <v>2866.0224814146045</v>
      </c>
      <c r="H30" s="341">
        <f>(H29/H10)/1.983</f>
        <v>2188.9897461758278</v>
      </c>
      <c r="I30" s="342"/>
      <c r="J30" s="341">
        <f>(J29/J10)/1.983</f>
        <v>1381.5984253249392</v>
      </c>
      <c r="K30" s="341">
        <f>(K29/K10)/1.983</f>
        <v>1576.5458005953833</v>
      </c>
      <c r="L30" s="341">
        <f>(L29/L10)/1.983</f>
        <v>2521.3985543788872</v>
      </c>
      <c r="M30" s="342"/>
      <c r="N30" s="341">
        <f>(N29/N10)/1.983</f>
        <v>3051.7137605127455</v>
      </c>
      <c r="O30" s="341">
        <f>(O29/O10)/1.983</f>
        <v>2427.4668011430495</v>
      </c>
      <c r="P30" s="341">
        <f>(P29/P10)/1.983</f>
        <v>2239.2107103931803</v>
      </c>
      <c r="Q30" s="343"/>
      <c r="R30" s="342"/>
      <c r="T30" s="345" t="s">
        <v>45</v>
      </c>
    </row>
    <row r="31" spans="1:20" ht="15.75" customHeight="1" x14ac:dyDescent="0.3">
      <c r="A31" s="2"/>
      <c r="B31" s="1"/>
      <c r="C31" s="1"/>
      <c r="D31" s="1"/>
      <c r="E31" s="1"/>
      <c r="F31" s="1"/>
      <c r="G31" s="1"/>
      <c r="H31" s="1"/>
      <c r="I31" s="1"/>
      <c r="J31" s="1"/>
      <c r="K31" s="1"/>
      <c r="L31" s="1"/>
      <c r="M31" s="1"/>
      <c r="N31" s="1"/>
      <c r="O31" s="1"/>
      <c r="P31" s="1"/>
      <c r="Q31" s="1"/>
      <c r="R31" s="2"/>
      <c r="T31" s="45" t="s">
        <v>46</v>
      </c>
    </row>
    <row r="32" spans="1:20" ht="15.75" customHeight="1" thickBot="1" x14ac:dyDescent="0.35">
      <c r="A32" s="2"/>
      <c r="B32" s="1"/>
      <c r="C32" s="1"/>
      <c r="D32" s="1"/>
      <c r="E32" s="1"/>
      <c r="F32" s="1"/>
      <c r="G32" s="1"/>
      <c r="H32" s="1"/>
      <c r="I32" s="1"/>
      <c r="J32" s="1"/>
      <c r="K32" s="1"/>
      <c r="L32" s="1"/>
      <c r="M32" s="1"/>
      <c r="N32" s="1"/>
      <c r="O32" s="1"/>
      <c r="P32" s="1"/>
      <c r="Q32" s="1"/>
      <c r="R32" s="2"/>
    </row>
    <row r="33" spans="1:18" ht="15.75" customHeight="1" thickBot="1" x14ac:dyDescent="0.35">
      <c r="A33" s="46" t="s">
        <v>47</v>
      </c>
      <c r="B33" s="47" t="s">
        <v>8</v>
      </c>
      <c r="C33" s="48" t="s">
        <v>9</v>
      </c>
      <c r="D33" s="48" t="s">
        <v>10</v>
      </c>
      <c r="E33" s="32" t="s">
        <v>11</v>
      </c>
      <c r="F33" s="48" t="s">
        <v>12</v>
      </c>
      <c r="G33" s="48" t="s">
        <v>13</v>
      </c>
      <c r="H33" s="48" t="s">
        <v>14</v>
      </c>
      <c r="I33" s="32" t="s">
        <v>15</v>
      </c>
      <c r="J33" s="48" t="s">
        <v>16</v>
      </c>
      <c r="K33" s="48" t="s">
        <v>17</v>
      </c>
      <c r="L33" s="48" t="s">
        <v>18</v>
      </c>
      <c r="M33" s="32" t="s">
        <v>19</v>
      </c>
      <c r="N33" s="48" t="s">
        <v>20</v>
      </c>
      <c r="O33" s="48" t="s">
        <v>21</v>
      </c>
      <c r="P33" s="48" t="s">
        <v>22</v>
      </c>
      <c r="Q33" s="32" t="s">
        <v>23</v>
      </c>
      <c r="R33" s="49" t="s">
        <v>24</v>
      </c>
    </row>
    <row r="34" spans="1:18" ht="16.5" customHeight="1" thickBot="1" x14ac:dyDescent="0.35">
      <c r="A34" s="42"/>
      <c r="B34" s="50"/>
      <c r="C34" s="51"/>
      <c r="D34" s="51"/>
      <c r="E34" s="52"/>
      <c r="F34" s="51"/>
      <c r="G34" s="51"/>
      <c r="H34" s="51"/>
      <c r="I34" s="52"/>
      <c r="J34" s="51"/>
      <c r="K34" s="51"/>
      <c r="L34" s="51"/>
      <c r="M34" s="52"/>
      <c r="N34" s="51"/>
      <c r="O34" s="51"/>
      <c r="P34" s="51"/>
      <c r="Q34" s="52"/>
      <c r="R34" s="53"/>
    </row>
    <row r="35" spans="1:18" ht="15.75" customHeight="1" x14ac:dyDescent="0.3">
      <c r="A35" s="54" t="s">
        <v>48</v>
      </c>
      <c r="B35" s="28"/>
      <c r="C35" s="28"/>
      <c r="D35" s="28"/>
      <c r="E35" s="55" t="s">
        <v>7</v>
      </c>
      <c r="F35" s="28"/>
      <c r="G35" s="28"/>
      <c r="H35" s="28"/>
      <c r="I35" s="55" t="s">
        <v>7</v>
      </c>
      <c r="J35" s="28"/>
      <c r="K35" s="28"/>
      <c r="L35" s="28"/>
      <c r="M35" s="55" t="s">
        <v>7</v>
      </c>
      <c r="N35" s="28"/>
      <c r="O35" s="28"/>
      <c r="P35" s="28"/>
      <c r="Q35" s="55" t="s">
        <v>7</v>
      </c>
      <c r="R35" s="55" t="s">
        <v>7</v>
      </c>
    </row>
    <row r="36" spans="1:18" ht="15.75" customHeight="1" x14ac:dyDescent="0.3">
      <c r="A36" s="18" t="s">
        <v>49</v>
      </c>
      <c r="B36" s="28" t="s">
        <v>7</v>
      </c>
      <c r="C36" s="56"/>
      <c r="D36" s="56"/>
      <c r="E36" s="55" t="s">
        <v>7</v>
      </c>
      <c r="F36" s="56"/>
      <c r="G36" s="56"/>
      <c r="H36" s="56"/>
      <c r="I36" s="55" t="s">
        <v>7</v>
      </c>
      <c r="J36" s="56"/>
      <c r="K36" s="56"/>
      <c r="L36" s="56"/>
      <c r="M36" s="55" t="s">
        <v>7</v>
      </c>
      <c r="N36" s="56"/>
      <c r="O36" s="56"/>
      <c r="P36" s="56"/>
      <c r="Q36" s="55" t="s">
        <v>7</v>
      </c>
      <c r="R36" s="55" t="s">
        <v>7</v>
      </c>
    </row>
    <row r="37" spans="1:18" ht="15.75" customHeight="1" x14ac:dyDescent="0.3">
      <c r="A37" s="18" t="s">
        <v>50</v>
      </c>
      <c r="B37" s="28"/>
      <c r="C37" s="28"/>
      <c r="D37" s="28"/>
      <c r="E37" s="55" t="s">
        <v>7</v>
      </c>
      <c r="F37" s="28"/>
      <c r="G37" s="28"/>
      <c r="H37" s="28"/>
      <c r="I37" s="55" t="s">
        <v>7</v>
      </c>
      <c r="J37" s="28"/>
      <c r="K37" s="28"/>
      <c r="L37" s="28"/>
      <c r="M37" s="55" t="s">
        <v>7</v>
      </c>
      <c r="N37" s="28"/>
      <c r="O37" s="28"/>
      <c r="P37" s="28"/>
      <c r="Q37" s="55" t="s">
        <v>7</v>
      </c>
      <c r="R37" s="55" t="s">
        <v>7</v>
      </c>
    </row>
    <row r="38" spans="1:18" ht="15.75" customHeight="1" x14ac:dyDescent="0.3">
      <c r="A38" s="61" t="s">
        <v>527</v>
      </c>
      <c r="B38" s="1">
        <v>0</v>
      </c>
      <c r="C38" s="1">
        <v>28</v>
      </c>
      <c r="D38" s="1">
        <v>41</v>
      </c>
      <c r="E38" s="55">
        <f>SUM(B38:D38)</f>
        <v>69</v>
      </c>
      <c r="F38" s="1">
        <v>114</v>
      </c>
      <c r="G38" s="1">
        <v>171</v>
      </c>
      <c r="H38" s="1">
        <v>117</v>
      </c>
      <c r="I38" s="55">
        <f>SUM(F38:H38)</f>
        <v>402</v>
      </c>
      <c r="J38" s="1">
        <v>153</v>
      </c>
      <c r="K38" s="1">
        <v>58</v>
      </c>
      <c r="L38" s="1">
        <v>22</v>
      </c>
      <c r="M38" s="55">
        <f>SUM(J38:L38)</f>
        <v>233</v>
      </c>
      <c r="N38" s="1">
        <v>30</v>
      </c>
      <c r="O38" s="1">
        <v>1</v>
      </c>
      <c r="P38" s="1"/>
      <c r="Q38" s="55">
        <f>SUM(N38:P38)</f>
        <v>31</v>
      </c>
      <c r="R38" s="55">
        <f>+E38+I38+M38+Q38</f>
        <v>735</v>
      </c>
    </row>
    <row r="39" spans="1:18" ht="15.75" customHeight="1" x14ac:dyDescent="0.3">
      <c r="A39" s="18" t="s">
        <v>51</v>
      </c>
      <c r="B39" s="28"/>
      <c r="C39" s="28"/>
      <c r="D39" s="28"/>
      <c r="E39" s="55" t="s">
        <v>52</v>
      </c>
      <c r="F39" s="28"/>
      <c r="G39" s="28"/>
      <c r="H39" s="28"/>
      <c r="I39" s="55" t="s">
        <v>52</v>
      </c>
      <c r="J39" s="28"/>
      <c r="K39" s="28"/>
      <c r="L39" s="28"/>
      <c r="M39" s="55" t="s">
        <v>52</v>
      </c>
      <c r="N39" s="28"/>
      <c r="O39" s="28"/>
      <c r="P39" s="28"/>
      <c r="Q39" s="55" t="s">
        <v>52</v>
      </c>
      <c r="R39" s="55" t="s">
        <v>52</v>
      </c>
    </row>
    <row r="40" spans="1:18" ht="15.75" customHeight="1" thickBot="1" x14ac:dyDescent="0.35">
      <c r="A40" s="18" t="s">
        <v>53</v>
      </c>
      <c r="B40" s="56"/>
      <c r="C40" s="56"/>
      <c r="D40" s="56"/>
      <c r="E40" s="55" t="s">
        <v>7</v>
      </c>
      <c r="F40" s="56"/>
      <c r="G40" s="56"/>
      <c r="H40" s="56"/>
      <c r="I40" s="55" t="s">
        <v>7</v>
      </c>
      <c r="J40" s="56"/>
      <c r="K40" s="56"/>
      <c r="L40" s="56"/>
      <c r="M40" s="55" t="s">
        <v>7</v>
      </c>
      <c r="N40" s="56"/>
      <c r="O40" s="56"/>
      <c r="P40" s="56"/>
      <c r="Q40" s="55" t="s">
        <v>7</v>
      </c>
      <c r="R40" s="55" t="s">
        <v>7</v>
      </c>
    </row>
    <row r="41" spans="1:18" ht="16.5" customHeight="1" thickBot="1" x14ac:dyDescent="0.35">
      <c r="A41" s="57" t="s">
        <v>54</v>
      </c>
      <c r="B41" s="58">
        <f>SUM(B35:B40)</f>
        <v>0</v>
      </c>
      <c r="C41" s="58">
        <f>SUM(C35:C40)</f>
        <v>28</v>
      </c>
      <c r="D41" s="58">
        <f>SUM(D35:D40)</f>
        <v>41</v>
      </c>
      <c r="E41" s="59">
        <f>SUM(B41:D41)</f>
        <v>69</v>
      </c>
      <c r="F41" s="58">
        <f>SUM(F35:F40)</f>
        <v>114</v>
      </c>
      <c r="G41" s="58">
        <f>SUM(G35:G40)</f>
        <v>171</v>
      </c>
      <c r="H41" s="58">
        <f>SUM(H35:H40)</f>
        <v>117</v>
      </c>
      <c r="I41" s="59">
        <f>SUM(F41:H41)</f>
        <v>402</v>
      </c>
      <c r="J41" s="58">
        <f>SUM(J35:J40)</f>
        <v>153</v>
      </c>
      <c r="K41" s="58">
        <f>SUM(K35:K40)</f>
        <v>58</v>
      </c>
      <c r="L41" s="58">
        <f>SUM(L35:L40)</f>
        <v>22</v>
      </c>
      <c r="M41" s="59">
        <f>SUM(J41:L41)</f>
        <v>233</v>
      </c>
      <c r="N41" s="58">
        <f>SUM(N35:N40)</f>
        <v>30</v>
      </c>
      <c r="O41" s="58">
        <f>SUM(O35:O40)</f>
        <v>1</v>
      </c>
      <c r="P41" s="58">
        <f>SUM(P35:P40)</f>
        <v>0</v>
      </c>
      <c r="Q41" s="59">
        <f>SUM(N41:P41)</f>
        <v>31</v>
      </c>
      <c r="R41" s="59">
        <f>+E41+I41+M41+Q41</f>
        <v>735</v>
      </c>
    </row>
    <row r="42" spans="1:18" ht="15.75" customHeight="1" x14ac:dyDescent="0.3">
      <c r="A42" s="18" t="s">
        <v>55</v>
      </c>
      <c r="B42" s="56"/>
      <c r="C42" s="56"/>
      <c r="D42" s="56"/>
      <c r="E42" s="55" t="s">
        <v>7</v>
      </c>
      <c r="F42" s="56"/>
      <c r="G42" s="56"/>
      <c r="H42" s="56"/>
      <c r="I42" s="55" t="s">
        <v>7</v>
      </c>
      <c r="J42" s="56"/>
      <c r="K42" s="56"/>
      <c r="L42" s="56"/>
      <c r="M42" s="55" t="s">
        <v>7</v>
      </c>
      <c r="N42" s="56"/>
      <c r="O42" s="56"/>
      <c r="P42" s="56"/>
      <c r="Q42" s="55" t="s">
        <v>7</v>
      </c>
      <c r="R42" s="60" t="s">
        <v>7</v>
      </c>
    </row>
    <row r="43" spans="1:18" ht="15.75" customHeight="1" x14ac:dyDescent="0.3">
      <c r="A43" s="18" t="s">
        <v>56</v>
      </c>
      <c r="B43" s="56"/>
      <c r="C43" s="56"/>
      <c r="D43" s="56"/>
      <c r="E43" s="55"/>
      <c r="F43" s="56"/>
      <c r="G43" s="56"/>
      <c r="H43" s="56"/>
      <c r="I43" s="55"/>
      <c r="J43" s="56"/>
      <c r="K43" s="56"/>
      <c r="L43" s="56"/>
      <c r="M43" s="55"/>
      <c r="N43" s="56"/>
      <c r="O43" s="56"/>
      <c r="P43" s="56"/>
      <c r="Q43" s="55"/>
      <c r="R43" s="55"/>
    </row>
    <row r="44" spans="1:18" ht="15.75" customHeight="1" x14ac:dyDescent="0.3">
      <c r="A44" s="18" t="s">
        <v>57</v>
      </c>
      <c r="B44" s="56"/>
      <c r="C44" s="56"/>
      <c r="D44" s="56"/>
      <c r="E44" s="55" t="s">
        <v>7</v>
      </c>
      <c r="F44" s="56"/>
      <c r="G44" s="56"/>
      <c r="H44" s="56"/>
      <c r="I44" s="55" t="s">
        <v>7</v>
      </c>
      <c r="J44" s="56"/>
      <c r="K44" s="56"/>
      <c r="L44" s="56"/>
      <c r="M44" s="55" t="s">
        <v>7</v>
      </c>
      <c r="N44" s="56"/>
      <c r="O44" s="56"/>
      <c r="P44" s="56"/>
      <c r="Q44" s="55" t="s">
        <v>7</v>
      </c>
      <c r="R44" s="55" t="s">
        <v>7</v>
      </c>
    </row>
    <row r="45" spans="1:18" ht="15.75" customHeight="1" thickBot="1" x14ac:dyDescent="0.35">
      <c r="A45" s="18" t="s">
        <v>58</v>
      </c>
      <c r="B45" s="56"/>
      <c r="C45" s="56"/>
      <c r="D45" s="56"/>
      <c r="E45" s="55" t="s">
        <v>7</v>
      </c>
      <c r="F45" s="56"/>
      <c r="G45" s="56"/>
      <c r="H45" s="56"/>
      <c r="I45" s="55" t="s">
        <v>7</v>
      </c>
      <c r="J45" s="56"/>
      <c r="K45" s="56"/>
      <c r="L45" s="56"/>
      <c r="M45" s="55" t="s">
        <v>7</v>
      </c>
      <c r="N45" s="56"/>
      <c r="O45" s="56"/>
      <c r="P45" s="56"/>
      <c r="Q45" s="55" t="s">
        <v>7</v>
      </c>
      <c r="R45" s="55" t="s">
        <v>7</v>
      </c>
    </row>
    <row r="46" spans="1:18" ht="16.5" customHeight="1" thickBot="1" x14ac:dyDescent="0.35">
      <c r="A46" s="57" t="s">
        <v>59</v>
      </c>
      <c r="B46" s="58">
        <f>SUM(B42:B45)</f>
        <v>0</v>
      </c>
      <c r="C46" s="58">
        <f>SUM(C42:C45)</f>
        <v>0</v>
      </c>
      <c r="D46" s="58">
        <f>SUM(D42:D45)</f>
        <v>0</v>
      </c>
      <c r="E46" s="59">
        <f>SUM(B46:D46)</f>
        <v>0</v>
      </c>
      <c r="F46" s="58">
        <f>SUM(F42:F45)</f>
        <v>0</v>
      </c>
      <c r="G46" s="58">
        <f>SUM(G42:G45)</f>
        <v>0</v>
      </c>
      <c r="H46" s="58">
        <f>SUM(H42:H45)</f>
        <v>0</v>
      </c>
      <c r="I46" s="59">
        <f>SUM(F46:H46)</f>
        <v>0</v>
      </c>
      <c r="J46" s="58">
        <f>SUM(J42:J45)</f>
        <v>0</v>
      </c>
      <c r="K46" s="58">
        <f>SUM(K42:K45)</f>
        <v>0</v>
      </c>
      <c r="L46" s="58">
        <f>SUM(L42:L45)</f>
        <v>0</v>
      </c>
      <c r="M46" s="59">
        <f>SUM(J46:L46)</f>
        <v>0</v>
      </c>
      <c r="N46" s="58">
        <f>SUM(N42:N45)</f>
        <v>0</v>
      </c>
      <c r="O46" s="58">
        <f>SUM(O42:O45)</f>
        <v>0</v>
      </c>
      <c r="P46" s="58">
        <f>SUM(P42:P45)</f>
        <v>0</v>
      </c>
      <c r="Q46" s="59">
        <f>SUM(N46:P46)</f>
        <v>0</v>
      </c>
      <c r="R46" s="59">
        <f>+E46+I46+M46+Q46</f>
        <v>0</v>
      </c>
    </row>
    <row r="47" spans="1:18" ht="15.75" customHeight="1" x14ac:dyDescent="0.3">
      <c r="A47" s="18" t="s">
        <v>60</v>
      </c>
      <c r="B47" s="56"/>
      <c r="C47" s="56"/>
      <c r="D47" s="56"/>
      <c r="E47" s="55" t="s">
        <v>7</v>
      </c>
      <c r="F47" s="56"/>
      <c r="G47" s="56"/>
      <c r="H47" s="56"/>
      <c r="I47" s="55" t="s">
        <v>7</v>
      </c>
      <c r="J47" s="56"/>
      <c r="K47" s="56"/>
      <c r="L47" s="56"/>
      <c r="M47" s="55" t="s">
        <v>7</v>
      </c>
      <c r="N47" s="56"/>
      <c r="O47" s="56"/>
      <c r="P47" s="56"/>
      <c r="Q47" s="55" t="s">
        <v>7</v>
      </c>
      <c r="R47" s="55" t="s">
        <v>7</v>
      </c>
    </row>
    <row r="48" spans="1:18" ht="15.75" customHeight="1" x14ac:dyDescent="0.3">
      <c r="A48" s="18" t="s">
        <v>61</v>
      </c>
      <c r="B48" s="56"/>
      <c r="C48" s="56"/>
      <c r="D48" s="56"/>
      <c r="E48" s="55" t="s">
        <v>7</v>
      </c>
      <c r="F48" s="56"/>
      <c r="G48" s="56"/>
      <c r="H48" s="56"/>
      <c r="I48" s="55" t="s">
        <v>7</v>
      </c>
      <c r="J48" s="56"/>
      <c r="K48" s="56"/>
      <c r="L48" s="56"/>
      <c r="M48" s="55" t="s">
        <v>7</v>
      </c>
      <c r="N48" s="56"/>
      <c r="O48" s="56"/>
      <c r="P48" s="56"/>
      <c r="Q48" s="55" t="s">
        <v>7</v>
      </c>
      <c r="R48" s="55" t="s">
        <v>7</v>
      </c>
    </row>
    <row r="49" spans="1:18" ht="15.75" customHeight="1" thickBot="1" x14ac:dyDescent="0.35">
      <c r="A49" s="18" t="s">
        <v>62</v>
      </c>
      <c r="B49" s="56"/>
      <c r="C49" s="56"/>
      <c r="D49" s="56"/>
      <c r="E49" s="55"/>
      <c r="F49" s="56"/>
      <c r="G49" s="56"/>
      <c r="H49" s="56"/>
      <c r="I49" s="55"/>
      <c r="J49" s="56"/>
      <c r="K49" s="56"/>
      <c r="L49" s="56"/>
      <c r="M49" s="55"/>
      <c r="N49" s="56"/>
      <c r="O49" s="56"/>
      <c r="P49" s="56"/>
      <c r="Q49" s="55"/>
      <c r="R49" s="55"/>
    </row>
    <row r="50" spans="1:18" ht="16.5" customHeight="1" thickBot="1" x14ac:dyDescent="0.35">
      <c r="A50" s="57" t="s">
        <v>63</v>
      </c>
      <c r="B50" s="58">
        <f>SUM(B47:B49)</f>
        <v>0</v>
      </c>
      <c r="C50" s="58">
        <f>SUM(C47:C49)</f>
        <v>0</v>
      </c>
      <c r="D50" s="58">
        <f>SUM(D47:D49)</f>
        <v>0</v>
      </c>
      <c r="E50" s="59">
        <f>SUM(B50:D50)</f>
        <v>0</v>
      </c>
      <c r="F50" s="58">
        <f>SUM(F47:F49)</f>
        <v>0</v>
      </c>
      <c r="G50" s="58">
        <f>SUM(G47:G49)</f>
        <v>0</v>
      </c>
      <c r="H50" s="58">
        <f>SUM(H47:H49)</f>
        <v>0</v>
      </c>
      <c r="I50" s="59">
        <f>SUM(F50:H50)</f>
        <v>0</v>
      </c>
      <c r="J50" s="58">
        <f>SUM(J47:J49)</f>
        <v>0</v>
      </c>
      <c r="K50" s="58">
        <f>SUM(K47:K49)</f>
        <v>0</v>
      </c>
      <c r="L50" s="58">
        <f>SUM(L47:L49)</f>
        <v>0</v>
      </c>
      <c r="M50" s="59">
        <f>SUM(J50:L50)</f>
        <v>0</v>
      </c>
      <c r="N50" s="58">
        <f>SUM(N47:N49)</f>
        <v>0</v>
      </c>
      <c r="O50" s="58">
        <f>SUM(O47:O49)</f>
        <v>0</v>
      </c>
      <c r="P50" s="58">
        <f>SUM(P47:P49)</f>
        <v>0</v>
      </c>
      <c r="Q50" s="59">
        <f>SUM(N50:P50)</f>
        <v>0</v>
      </c>
      <c r="R50" s="59">
        <f>+E50+I50+M50+Q50</f>
        <v>0</v>
      </c>
    </row>
    <row r="51" spans="1:18" ht="15.75" customHeight="1" x14ac:dyDescent="0.3">
      <c r="A51" s="18" t="s">
        <v>64</v>
      </c>
      <c r="B51" s="56"/>
      <c r="C51" s="56"/>
      <c r="D51" s="56"/>
      <c r="E51" s="55" t="s">
        <v>7</v>
      </c>
      <c r="F51" s="56"/>
      <c r="G51" s="56"/>
      <c r="H51" s="56"/>
      <c r="I51" s="55" t="s">
        <v>7</v>
      </c>
      <c r="J51" s="56"/>
      <c r="K51" s="56"/>
      <c r="L51" s="56"/>
      <c r="M51" s="55" t="s">
        <v>7</v>
      </c>
      <c r="N51" s="56"/>
      <c r="O51" s="56"/>
      <c r="P51" s="56"/>
      <c r="Q51" s="55" t="s">
        <v>7</v>
      </c>
      <c r="R51" s="55" t="s">
        <v>7</v>
      </c>
    </row>
    <row r="52" spans="1:18" ht="15.75" customHeight="1" x14ac:dyDescent="0.3">
      <c r="A52" s="18" t="s">
        <v>594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67</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61" t="s">
        <v>685</v>
      </c>
      <c r="B54" s="1"/>
      <c r="C54" s="1"/>
      <c r="D54" s="1"/>
      <c r="E54" s="55">
        <f>SUM(B54:D54)</f>
        <v>0</v>
      </c>
      <c r="F54" s="1"/>
      <c r="G54" s="1"/>
      <c r="H54" s="1"/>
      <c r="I54" s="55">
        <f>SUM(F54:H54)</f>
        <v>0</v>
      </c>
      <c r="J54" s="1"/>
      <c r="K54" s="1"/>
      <c r="L54" s="1"/>
      <c r="M54" s="55">
        <f>SUM(J54:L54)</f>
        <v>0</v>
      </c>
      <c r="N54" s="1"/>
      <c r="O54" s="1"/>
      <c r="P54" s="1"/>
      <c r="Q54" s="55">
        <f>SUM(N54:P54)</f>
        <v>0</v>
      </c>
      <c r="R54" s="55">
        <f>+E54+I54+M54+Q54</f>
        <v>0</v>
      </c>
    </row>
    <row r="55" spans="1:18" ht="15.75" customHeight="1" x14ac:dyDescent="0.3">
      <c r="A55" s="18" t="s">
        <v>600</v>
      </c>
      <c r="B55" s="56"/>
      <c r="C55" s="56"/>
      <c r="D55" s="56"/>
      <c r="E55" s="55" t="s">
        <v>7</v>
      </c>
      <c r="F55" s="56"/>
      <c r="G55" s="56"/>
      <c r="H55" s="56"/>
      <c r="I55" s="55" t="s">
        <v>7</v>
      </c>
      <c r="J55" s="56"/>
      <c r="K55" s="56"/>
      <c r="L55" s="56"/>
      <c r="M55" s="55" t="s">
        <v>7</v>
      </c>
      <c r="N55" s="56"/>
      <c r="O55" s="56"/>
      <c r="P55" s="56"/>
      <c r="Q55" s="55" t="s">
        <v>7</v>
      </c>
      <c r="R55" s="55" t="s">
        <v>7</v>
      </c>
    </row>
    <row r="56" spans="1:18" ht="15.75" customHeight="1" thickBot="1" x14ac:dyDescent="0.35">
      <c r="A56" s="18" t="s">
        <v>70</v>
      </c>
      <c r="B56" s="56"/>
      <c r="C56" s="56"/>
      <c r="D56" s="56"/>
      <c r="E56" s="55" t="s">
        <v>7</v>
      </c>
      <c r="F56" s="56"/>
      <c r="G56" s="56"/>
      <c r="H56" s="56"/>
      <c r="I56" s="55" t="s">
        <v>7</v>
      </c>
      <c r="J56" s="56"/>
      <c r="K56" s="56"/>
      <c r="L56" s="56"/>
      <c r="M56" s="55" t="s">
        <v>7</v>
      </c>
      <c r="N56" s="56"/>
      <c r="O56" s="56"/>
      <c r="P56" s="56"/>
      <c r="Q56" s="55" t="s">
        <v>7</v>
      </c>
      <c r="R56" s="55" t="s">
        <v>7</v>
      </c>
    </row>
    <row r="57" spans="1:18" ht="16.5" customHeight="1" thickBot="1" x14ac:dyDescent="0.35">
      <c r="A57" s="57" t="s">
        <v>71</v>
      </c>
      <c r="B57" s="58">
        <f>SUM(B55:B56)</f>
        <v>0</v>
      </c>
      <c r="C57" s="58">
        <f>SUM(C55:C56)</f>
        <v>0</v>
      </c>
      <c r="D57" s="58">
        <f>SUM(D55:D56)</f>
        <v>0</v>
      </c>
      <c r="E57" s="60">
        <f>SUM(B57:D57)</f>
        <v>0</v>
      </c>
      <c r="F57" s="58">
        <f>SUM(F55:F56)</f>
        <v>0</v>
      </c>
      <c r="G57" s="58">
        <f>SUM(G55:G56)</f>
        <v>0</v>
      </c>
      <c r="H57" s="58">
        <f>SUM(H55:H56)</f>
        <v>0</v>
      </c>
      <c r="I57" s="60">
        <f>SUM(F57:H57)</f>
        <v>0</v>
      </c>
      <c r="J57" s="58">
        <f>SUM(J55:J56)</f>
        <v>0</v>
      </c>
      <c r="K57" s="58">
        <f>SUM(K55:K56)</f>
        <v>0</v>
      </c>
      <c r="L57" s="58">
        <f>SUM(L55:L56)</f>
        <v>0</v>
      </c>
      <c r="M57" s="60">
        <f>SUM(J57:L57)</f>
        <v>0</v>
      </c>
      <c r="N57" s="58">
        <f>SUM(N55:N56)</f>
        <v>0</v>
      </c>
      <c r="O57" s="58">
        <f>SUM(O55:O56)</f>
        <v>0</v>
      </c>
      <c r="P57" s="58">
        <f>SUM(P55:P56)</f>
        <v>0</v>
      </c>
      <c r="Q57" s="60">
        <f>SUM(N57:P57)</f>
        <v>0</v>
      </c>
      <c r="R57" s="59">
        <f>+E57+I57+M57+Q57</f>
        <v>0</v>
      </c>
    </row>
    <row r="58" spans="1:18" ht="16.5" customHeight="1" thickBot="1" x14ac:dyDescent="0.35">
      <c r="A58" s="57" t="s">
        <v>72</v>
      </c>
      <c r="B58" s="58">
        <f>SUM(B51:B56)</f>
        <v>0</v>
      </c>
      <c r="C58" s="58">
        <f>SUM(C51:C56)</f>
        <v>0</v>
      </c>
      <c r="D58" s="58">
        <f>SUM(D51:D56)</f>
        <v>0</v>
      </c>
      <c r="E58" s="60">
        <f>SUM(B58:D58)</f>
        <v>0</v>
      </c>
      <c r="F58" s="58">
        <f>SUM(F51:F56)</f>
        <v>0</v>
      </c>
      <c r="G58" s="58">
        <f>SUM(G51:G56)</f>
        <v>0</v>
      </c>
      <c r="H58" s="58">
        <f>SUM(H51:H56)</f>
        <v>0</v>
      </c>
      <c r="I58" s="60">
        <f>SUM(F58:H58)</f>
        <v>0</v>
      </c>
      <c r="J58" s="58">
        <f>SUM(J51:J56)</f>
        <v>0</v>
      </c>
      <c r="K58" s="58">
        <f>SUM(K51:K56)</f>
        <v>0</v>
      </c>
      <c r="L58" s="58">
        <f>SUM(L51:L56)</f>
        <v>0</v>
      </c>
      <c r="M58" s="60">
        <f>SUM(J58:L58)</f>
        <v>0</v>
      </c>
      <c r="N58" s="58">
        <f>SUM(N51:N56)</f>
        <v>0</v>
      </c>
      <c r="O58" s="58">
        <f>SUM(O51:O56)</f>
        <v>0</v>
      </c>
      <c r="P58" s="58">
        <f>SUM(P51:P56)</f>
        <v>0</v>
      </c>
      <c r="Q58" s="60">
        <f>SUM(N58:P58)</f>
        <v>0</v>
      </c>
      <c r="R58" s="59">
        <f>+E58+I58+M58+Q58</f>
        <v>0</v>
      </c>
    </row>
    <row r="59" spans="1:18" ht="16.5" customHeight="1" thickBot="1" x14ac:dyDescent="0.35">
      <c r="A59" s="57" t="s">
        <v>73</v>
      </c>
      <c r="B59" s="58">
        <f>+B41+B46+B50+B58</f>
        <v>0</v>
      </c>
      <c r="C59" s="58">
        <f>+C41+C46+C50+C58</f>
        <v>28</v>
      </c>
      <c r="D59" s="58">
        <f>+D41+D46+D50+D58</f>
        <v>41</v>
      </c>
      <c r="E59" s="59">
        <f>SUM(B59:D59)</f>
        <v>69</v>
      </c>
      <c r="F59" s="58">
        <f>+F41+F46+F50+F58</f>
        <v>114</v>
      </c>
      <c r="G59" s="58">
        <f>+G41+G46+G50+G58</f>
        <v>171</v>
      </c>
      <c r="H59" s="58">
        <f>+H41+H46+H50+H58</f>
        <v>117</v>
      </c>
      <c r="I59" s="59">
        <f>SUM(F59:H59)</f>
        <v>402</v>
      </c>
      <c r="J59" s="58">
        <f>+J41+J46+J50+J58</f>
        <v>153</v>
      </c>
      <c r="K59" s="58">
        <f>+K41+K46+K50+K58</f>
        <v>58</v>
      </c>
      <c r="L59" s="58">
        <f>+L41+L46+L50+L58</f>
        <v>22</v>
      </c>
      <c r="M59" s="59">
        <f>SUM(J59:L59)</f>
        <v>233</v>
      </c>
      <c r="N59" s="58">
        <f>+N41+N46+N50+N58</f>
        <v>30</v>
      </c>
      <c r="O59" s="58">
        <f>+O41+O46+O50+O58</f>
        <v>1</v>
      </c>
      <c r="P59" s="58">
        <f>+P41+P46+P50+P58</f>
        <v>0</v>
      </c>
      <c r="Q59" s="59">
        <f>SUM(N59:P59)</f>
        <v>31</v>
      </c>
      <c r="R59" s="59">
        <f>+E59+I59+M59+Q59</f>
        <v>735</v>
      </c>
    </row>
    <row r="60" spans="1:18" ht="16.5" customHeight="1" thickBot="1" x14ac:dyDescent="0.35">
      <c r="A60" s="62" t="s">
        <v>40</v>
      </c>
      <c r="B60" s="63">
        <v>96</v>
      </c>
      <c r="C60" s="63">
        <v>145</v>
      </c>
      <c r="D60" s="63">
        <v>261</v>
      </c>
      <c r="E60" s="42">
        <f>SUM(B60:D60)</f>
        <v>502</v>
      </c>
      <c r="F60" s="63">
        <v>350</v>
      </c>
      <c r="G60" s="63">
        <v>402</v>
      </c>
      <c r="H60" s="63">
        <v>396</v>
      </c>
      <c r="I60" s="42">
        <f>SUM(F60:H60)</f>
        <v>1148</v>
      </c>
      <c r="J60" s="63">
        <v>394</v>
      </c>
      <c r="K60" s="63">
        <v>318</v>
      </c>
      <c r="L60" s="63">
        <v>301</v>
      </c>
      <c r="M60" s="42">
        <f>SUM(J60:L60)</f>
        <v>1013</v>
      </c>
      <c r="N60" s="63">
        <v>272</v>
      </c>
      <c r="O60" s="63">
        <v>226</v>
      </c>
      <c r="P60" s="63">
        <v>179</v>
      </c>
      <c r="Q60" s="42">
        <f>SUM(N60:P60)</f>
        <v>677</v>
      </c>
      <c r="R60" s="42">
        <f>+E60+I60+M60+Q60</f>
        <v>3340</v>
      </c>
    </row>
    <row r="61" spans="1:18" ht="16.5" customHeight="1" thickBot="1" x14ac:dyDescent="0.35">
      <c r="A61" s="41"/>
      <c r="B61" s="36"/>
      <c r="C61" s="36"/>
      <c r="D61" s="36"/>
      <c r="E61" s="22"/>
      <c r="F61" s="36"/>
      <c r="G61" s="36"/>
      <c r="H61" s="36"/>
      <c r="I61" s="22"/>
      <c r="J61" s="36"/>
      <c r="K61" s="36"/>
      <c r="L61" s="36"/>
      <c r="M61" s="22"/>
      <c r="N61" s="36"/>
      <c r="O61" s="36"/>
      <c r="P61" s="36"/>
      <c r="Q61" s="22"/>
      <c r="R61" s="41"/>
    </row>
    <row r="62" spans="1:18" ht="15.75" customHeight="1" x14ac:dyDescent="0.3">
      <c r="A62" s="15" t="s">
        <v>41</v>
      </c>
      <c r="B62" s="1">
        <f>+B59+B60</f>
        <v>96</v>
      </c>
      <c r="C62" s="1">
        <f>+C59+C60</f>
        <v>173</v>
      </c>
      <c r="D62" s="1">
        <f>+D59+D60</f>
        <v>302</v>
      </c>
      <c r="E62" s="40">
        <f>SUM(B62:D62)</f>
        <v>571</v>
      </c>
      <c r="F62" s="1">
        <f>+F59+F60</f>
        <v>464</v>
      </c>
      <c r="G62" s="1">
        <f>+G59+G60</f>
        <v>573</v>
      </c>
      <c r="H62" s="1">
        <f>+H59+H60</f>
        <v>513</v>
      </c>
      <c r="I62" s="40">
        <f>SUM(F62:H62)</f>
        <v>1550</v>
      </c>
      <c r="J62" s="1">
        <f>+J59+J60</f>
        <v>547</v>
      </c>
      <c r="K62" s="1">
        <f>+K59+K60</f>
        <v>376</v>
      </c>
      <c r="L62" s="1">
        <f>+L59+L60</f>
        <v>323</v>
      </c>
      <c r="M62" s="40">
        <f>SUM(J62:L62)</f>
        <v>1246</v>
      </c>
      <c r="N62" s="1">
        <f>+N59+N60</f>
        <v>302</v>
      </c>
      <c r="O62" s="1">
        <f>+O59+O60</f>
        <v>227</v>
      </c>
      <c r="P62" s="1">
        <f>+P59+P60</f>
        <v>179</v>
      </c>
      <c r="Q62" s="44">
        <f>SUM(N62:P62)</f>
        <v>708</v>
      </c>
      <c r="R62" s="16">
        <f>+E62+I62+M62+Q62</f>
        <v>4075</v>
      </c>
    </row>
    <row r="63" spans="1:18" ht="15.75" customHeight="1" x14ac:dyDescent="0.3">
      <c r="A63" s="15" t="s">
        <v>42</v>
      </c>
      <c r="B63" s="1">
        <f>(B62/B10)/1.983</f>
        <v>1.5616612171197111</v>
      </c>
      <c r="C63" s="1">
        <f>(C62/C10)/1.983</f>
        <v>3.1157697572221021</v>
      </c>
      <c r="D63" s="1">
        <f>(D62/D10)/1.983</f>
        <v>4.9127259121890914</v>
      </c>
      <c r="E63" s="16"/>
      <c r="F63" s="1">
        <f>(F62/F10)/1.983</f>
        <v>7.7996301899478899</v>
      </c>
      <c r="G63" s="1">
        <f>(G62/G10)/1.983</f>
        <v>9.3211653896832747</v>
      </c>
      <c r="H63" s="1">
        <f>(H62/H10)/1.983</f>
        <v>8.6232980332829055</v>
      </c>
      <c r="I63" s="16"/>
      <c r="J63" s="1">
        <f>(J62/J10)/1.983</f>
        <v>8.8982154767133537</v>
      </c>
      <c r="K63" s="1">
        <f>(K62/K10)/1.983</f>
        <v>6.1165064337188682</v>
      </c>
      <c r="L63" s="1">
        <f>(L62/L10)/1.983</f>
        <v>5.4294839468818292</v>
      </c>
      <c r="M63" s="16"/>
      <c r="N63" s="1">
        <f>(N62/N10)/1.983</f>
        <v>4.9127259121890914</v>
      </c>
      <c r="O63" s="1">
        <f>(O62/O10)/1.983</f>
        <v>3.8157673558581271</v>
      </c>
      <c r="P63" s="1">
        <f>(P62/P10)/1.983</f>
        <v>2.9118474777544612</v>
      </c>
      <c r="Q63" s="17"/>
      <c r="R63" s="64"/>
    </row>
    <row r="64" spans="1:18" ht="15.75" customHeight="1" x14ac:dyDescent="0.3">
      <c r="A64" s="15" t="s">
        <v>74</v>
      </c>
      <c r="B64" s="1">
        <f>B62+B130</f>
        <v>80986</v>
      </c>
      <c r="C64" s="1">
        <f>C62+C130</f>
        <v>145909</v>
      </c>
      <c r="D64" s="1">
        <f>D62+D130</f>
        <v>178482</v>
      </c>
      <c r="E64" s="16">
        <f>SUM(B64:D64)</f>
        <v>405377</v>
      </c>
      <c r="F64" s="1">
        <f>F62+F130</f>
        <v>150350</v>
      </c>
      <c r="G64" s="1">
        <f>G62+G130</f>
        <v>175758</v>
      </c>
      <c r="H64" s="1">
        <f>H62+H130</f>
        <v>129806</v>
      </c>
      <c r="I64" s="16">
        <f>SUM(F64:H64)</f>
        <v>455914</v>
      </c>
      <c r="J64" s="1">
        <f>J62+J130</f>
        <v>84515</v>
      </c>
      <c r="K64" s="1">
        <f>K62+K130</f>
        <v>96581</v>
      </c>
      <c r="L64" s="1">
        <f>L62+L130</f>
        <v>149682</v>
      </c>
      <c r="M64" s="16">
        <f>SUM(J64:L64)</f>
        <v>330778</v>
      </c>
      <c r="N64" s="1">
        <f>N62+N130</f>
        <v>187313</v>
      </c>
      <c r="O64" s="1">
        <f>O62+O130</f>
        <v>144175</v>
      </c>
      <c r="P64" s="1">
        <f>P62+P130</f>
        <v>137465</v>
      </c>
      <c r="Q64" s="17">
        <f>SUM(N64:P64)</f>
        <v>468953</v>
      </c>
      <c r="R64" s="16">
        <f>+E64+I64+M64+Q64</f>
        <v>1661022</v>
      </c>
    </row>
    <row r="65" spans="1:20" ht="16.5" customHeight="1" thickBot="1" x14ac:dyDescent="0.35">
      <c r="A65" s="20" t="s">
        <v>75</v>
      </c>
      <c r="B65" s="21">
        <f>(B64/B10)/1.983</f>
        <v>1317.4239096839262</v>
      </c>
      <c r="C65" s="21">
        <f>(C64/C10)/1.983</f>
        <v>2627.8546214249695</v>
      </c>
      <c r="D65" s="21">
        <f>(D64/D10)/1.983</f>
        <v>2903.4210141037524</v>
      </c>
      <c r="E65" s="22"/>
      <c r="F65" s="21">
        <f>(F64/F10)/1.983</f>
        <v>2527.315515212641</v>
      </c>
      <c r="G65" s="21">
        <f>(G64/G10)/1.983</f>
        <v>2859.1088770679812</v>
      </c>
      <c r="H65" s="21">
        <f>(H64/H10)/1.983</f>
        <v>2181.9801647335685</v>
      </c>
      <c r="I65" s="22"/>
      <c r="J65" s="21">
        <f>(J64/J10)/1.983</f>
        <v>1374.8312267174206</v>
      </c>
      <c r="K65" s="21">
        <f>(K64/K10)/1.983</f>
        <v>1571.1125209441543</v>
      </c>
      <c r="L65" s="21">
        <f>(L64/L10)/1.983</f>
        <v>2516.0867372667672</v>
      </c>
      <c r="M65" s="22"/>
      <c r="N65" s="21">
        <f>(N64/N10)/1.983</f>
        <v>3047.077578774421</v>
      </c>
      <c r="O65" s="21">
        <f>(O64/O10)/1.983</f>
        <v>2423.5165574046055</v>
      </c>
      <c r="P65" s="21">
        <f>(P64/P10)/1.983</f>
        <v>2236.1849917850109</v>
      </c>
      <c r="Q65" s="23"/>
      <c r="R65" s="65" t="s">
        <v>7</v>
      </c>
    </row>
    <row r="66" spans="1:20" ht="15.75" customHeight="1" x14ac:dyDescent="0.3">
      <c r="A66" s="2"/>
      <c r="B66" s="1"/>
      <c r="C66" s="1"/>
      <c r="D66" s="1"/>
      <c r="E66" s="1"/>
      <c r="F66" s="1"/>
      <c r="G66" s="1"/>
      <c r="H66" s="1"/>
      <c r="I66" s="1"/>
      <c r="J66" s="1"/>
      <c r="K66" s="1"/>
      <c r="L66" s="1"/>
      <c r="M66" s="1"/>
      <c r="N66" s="1"/>
      <c r="O66" s="1"/>
      <c r="P66" s="1"/>
      <c r="Q66" s="1"/>
      <c r="R66" s="2"/>
    </row>
    <row r="67" spans="1:20" ht="15.75" customHeight="1" thickBot="1" x14ac:dyDescent="0.35">
      <c r="A67" s="2"/>
      <c r="B67" s="1"/>
      <c r="C67" s="1"/>
      <c r="D67" s="1"/>
      <c r="E67" s="1"/>
      <c r="F67" s="1"/>
      <c r="G67" s="1"/>
      <c r="H67" s="1"/>
      <c r="I67" s="1"/>
      <c r="J67" s="1"/>
      <c r="K67" s="1"/>
      <c r="L67" s="1"/>
      <c r="M67" s="1"/>
      <c r="N67" s="1"/>
      <c r="O67" s="1"/>
      <c r="P67" s="1"/>
      <c r="Q67" s="1"/>
      <c r="R67" s="2"/>
    </row>
    <row r="68" spans="1:20" ht="16.5" customHeight="1" thickBot="1" x14ac:dyDescent="0.35">
      <c r="A68" s="29" t="s">
        <v>76</v>
      </c>
      <c r="B68" s="30" t="s">
        <v>8</v>
      </c>
      <c r="C68" s="31" t="s">
        <v>9</v>
      </c>
      <c r="D68" s="31" t="s">
        <v>10</v>
      </c>
      <c r="E68" s="32" t="s">
        <v>11</v>
      </c>
      <c r="F68" s="31" t="s">
        <v>12</v>
      </c>
      <c r="G68" s="31" t="s">
        <v>13</v>
      </c>
      <c r="H68" s="31" t="s">
        <v>14</v>
      </c>
      <c r="I68" s="33" t="s">
        <v>15</v>
      </c>
      <c r="J68" s="31" t="s">
        <v>16</v>
      </c>
      <c r="K68" s="31" t="s">
        <v>17</v>
      </c>
      <c r="L68" s="31" t="s">
        <v>18</v>
      </c>
      <c r="M68" s="33" t="s">
        <v>19</v>
      </c>
      <c r="N68" s="31" t="s">
        <v>20</v>
      </c>
      <c r="O68" s="31" t="s">
        <v>21</v>
      </c>
      <c r="P68" s="31" t="s">
        <v>22</v>
      </c>
      <c r="Q68" s="33" t="s">
        <v>23</v>
      </c>
      <c r="R68" s="34" t="s">
        <v>24</v>
      </c>
    </row>
    <row r="69" spans="1:20" ht="16.5" customHeight="1" thickBot="1" x14ac:dyDescent="0.35">
      <c r="A69" s="66"/>
      <c r="B69" s="67"/>
      <c r="C69" s="68"/>
      <c r="D69" s="68"/>
      <c r="E69" s="69"/>
      <c r="F69" s="68"/>
      <c r="G69" s="68"/>
      <c r="H69" s="68"/>
      <c r="I69" s="69"/>
      <c r="J69" s="68"/>
      <c r="K69" s="68"/>
      <c r="L69" s="68"/>
      <c r="M69" s="69"/>
      <c r="N69" s="68"/>
      <c r="O69" s="68"/>
      <c r="P69" s="70"/>
      <c r="Q69" s="69"/>
      <c r="R69" s="59"/>
    </row>
    <row r="70" spans="1:20" ht="15.75" customHeight="1" x14ac:dyDescent="0.3">
      <c r="A70" s="54" t="s">
        <v>48</v>
      </c>
      <c r="B70" s="28"/>
      <c r="C70" s="28"/>
      <c r="D70" s="28"/>
      <c r="E70" s="55" t="s">
        <v>7</v>
      </c>
      <c r="F70" s="28"/>
      <c r="G70" s="28"/>
      <c r="H70" s="28"/>
      <c r="I70" s="55" t="s">
        <v>7</v>
      </c>
      <c r="J70" s="28"/>
      <c r="K70" s="28"/>
      <c r="L70" s="28"/>
      <c r="M70" s="55" t="s">
        <v>7</v>
      </c>
      <c r="N70" s="28"/>
      <c r="O70" s="28"/>
      <c r="P70" s="28"/>
      <c r="Q70" s="55" t="s">
        <v>7</v>
      </c>
      <c r="R70" s="55" t="s">
        <v>7</v>
      </c>
    </row>
    <row r="71" spans="1:20" ht="15.75" customHeight="1" x14ac:dyDescent="0.3">
      <c r="A71" s="18" t="s">
        <v>49</v>
      </c>
      <c r="B71" s="28"/>
      <c r="C71" s="56"/>
      <c r="D71" s="56"/>
      <c r="E71" s="55" t="s">
        <v>7</v>
      </c>
      <c r="F71" s="56"/>
      <c r="G71" s="56"/>
      <c r="H71" s="56"/>
      <c r="I71" s="55" t="s">
        <v>7</v>
      </c>
      <c r="J71" s="56"/>
      <c r="K71" s="56"/>
      <c r="L71" s="56"/>
      <c r="M71" s="55" t="s">
        <v>7</v>
      </c>
      <c r="N71" s="56"/>
      <c r="O71" s="56"/>
      <c r="P71" s="56"/>
      <c r="Q71" s="55" t="s">
        <v>7</v>
      </c>
      <c r="R71" s="55" t="s">
        <v>7</v>
      </c>
    </row>
    <row r="72" spans="1:20" ht="15.75" customHeight="1" x14ac:dyDescent="0.3">
      <c r="A72" s="71" t="s">
        <v>798</v>
      </c>
      <c r="B72" s="1"/>
      <c r="C72" s="1"/>
      <c r="D72" s="1"/>
      <c r="E72" s="55">
        <f t="shared" ref="E72:E80" si="6">SUM(B72:D72)</f>
        <v>0</v>
      </c>
      <c r="F72" s="1"/>
      <c r="G72" s="1"/>
      <c r="H72" s="1"/>
      <c r="I72" s="55">
        <f t="shared" ref="I72:I80" si="7">SUM(F72:H72)</f>
        <v>0</v>
      </c>
      <c r="J72" s="1"/>
      <c r="K72" s="1"/>
      <c r="L72" s="1"/>
      <c r="M72" s="55">
        <f t="shared" ref="M72:M80" si="8">SUM(J72:L72)</f>
        <v>0</v>
      </c>
      <c r="N72" s="1"/>
      <c r="O72" s="1"/>
      <c r="P72" s="1"/>
      <c r="Q72" s="55">
        <f t="shared" ref="Q72:Q80" si="9">SUM(N72:P72)</f>
        <v>0</v>
      </c>
      <c r="R72" s="55">
        <f t="shared" ref="R72:R80" si="10">+E72+I72+M72+Q72</f>
        <v>0</v>
      </c>
    </row>
    <row r="73" spans="1:20" ht="15.75" customHeight="1" x14ac:dyDescent="0.3">
      <c r="A73" s="71" t="s">
        <v>799</v>
      </c>
      <c r="B73" s="1"/>
      <c r="C73" s="1"/>
      <c r="D73" s="1"/>
      <c r="E73" s="55">
        <f>SUM(B73:D73)</f>
        <v>0</v>
      </c>
      <c r="F73" s="1"/>
      <c r="G73" s="1"/>
      <c r="H73" s="1"/>
      <c r="I73" s="55">
        <f>SUM(F73:H73)</f>
        <v>0</v>
      </c>
      <c r="J73" s="1"/>
      <c r="K73" s="1"/>
      <c r="L73" s="1"/>
      <c r="M73" s="55">
        <f>SUM(J73:L73)</f>
        <v>0</v>
      </c>
      <c r="N73" s="1"/>
      <c r="O73" s="1"/>
      <c r="P73" s="1"/>
      <c r="Q73" s="55">
        <f>SUM(N73:P73)</f>
        <v>0</v>
      </c>
      <c r="R73" s="55">
        <f>+E73+I73+M73+Q73</f>
        <v>0</v>
      </c>
    </row>
    <row r="74" spans="1:20" ht="15.75" customHeight="1" x14ac:dyDescent="0.3">
      <c r="A74" s="71" t="s">
        <v>524</v>
      </c>
      <c r="B74" s="1"/>
      <c r="C74" s="1"/>
      <c r="D74" s="1"/>
      <c r="E74" s="55">
        <f t="shared" si="6"/>
        <v>0</v>
      </c>
      <c r="F74" s="1"/>
      <c r="G74" s="1"/>
      <c r="H74" s="1"/>
      <c r="I74" s="55">
        <f t="shared" si="7"/>
        <v>0</v>
      </c>
      <c r="J74" s="1"/>
      <c r="K74" s="1"/>
      <c r="L74" s="1"/>
      <c r="M74" s="55">
        <f t="shared" si="8"/>
        <v>0</v>
      </c>
      <c r="N74" s="1"/>
      <c r="O74" s="1"/>
      <c r="P74" s="1"/>
      <c r="Q74" s="55">
        <f t="shared" si="9"/>
        <v>0</v>
      </c>
      <c r="R74" s="55">
        <f t="shared" si="10"/>
        <v>0</v>
      </c>
    </row>
    <row r="75" spans="1:20" ht="15.75" customHeight="1" x14ac:dyDescent="0.3">
      <c r="A75" s="71" t="s">
        <v>800</v>
      </c>
      <c r="B75" s="1"/>
      <c r="C75" s="1"/>
      <c r="D75" s="1"/>
      <c r="E75" s="55">
        <f t="shared" si="6"/>
        <v>0</v>
      </c>
      <c r="F75" s="1"/>
      <c r="G75" s="1"/>
      <c r="H75" s="1"/>
      <c r="I75" s="55">
        <f t="shared" si="7"/>
        <v>0</v>
      </c>
      <c r="J75" s="1"/>
      <c r="K75" s="1"/>
      <c r="L75" s="1"/>
      <c r="M75" s="55">
        <f t="shared" si="8"/>
        <v>0</v>
      </c>
      <c r="N75" s="1"/>
      <c r="O75" s="1"/>
      <c r="P75" s="1"/>
      <c r="Q75" s="55">
        <f t="shared" si="9"/>
        <v>0</v>
      </c>
      <c r="R75" s="55">
        <f t="shared" si="10"/>
        <v>0</v>
      </c>
      <c r="T75" s="4" t="s">
        <v>801</v>
      </c>
    </row>
    <row r="76" spans="1:20" ht="15.75" customHeight="1" x14ac:dyDescent="0.3">
      <c r="A76" s="71" t="s">
        <v>802</v>
      </c>
      <c r="B76" s="1">
        <v>870</v>
      </c>
      <c r="C76" s="1">
        <v>446</v>
      </c>
      <c r="D76" s="1">
        <v>1877</v>
      </c>
      <c r="E76" s="55">
        <f t="shared" si="6"/>
        <v>3193</v>
      </c>
      <c r="F76" s="1">
        <v>1367</v>
      </c>
      <c r="G76" s="1">
        <v>200</v>
      </c>
      <c r="H76" s="1"/>
      <c r="I76" s="55">
        <f t="shared" si="7"/>
        <v>1567</v>
      </c>
      <c r="J76" s="1"/>
      <c r="K76" s="1"/>
      <c r="L76" s="1"/>
      <c r="M76" s="55">
        <f t="shared" si="8"/>
        <v>0</v>
      </c>
      <c r="N76" s="1"/>
      <c r="O76" s="1"/>
      <c r="P76" s="1"/>
      <c r="Q76" s="55">
        <f t="shared" si="9"/>
        <v>0</v>
      </c>
      <c r="R76" s="55">
        <f t="shared" si="10"/>
        <v>4760</v>
      </c>
      <c r="T76" s="4" t="s">
        <v>801</v>
      </c>
    </row>
    <row r="77" spans="1:20" ht="15.75" customHeight="1" x14ac:dyDescent="0.3">
      <c r="A77" s="71" t="s">
        <v>78</v>
      </c>
      <c r="B77" s="1"/>
      <c r="C77" s="1"/>
      <c r="D77" s="1"/>
      <c r="E77" s="55">
        <f t="shared" si="6"/>
        <v>0</v>
      </c>
      <c r="F77" s="1"/>
      <c r="G77" s="1"/>
      <c r="H77" s="1"/>
      <c r="I77" s="55">
        <f t="shared" si="7"/>
        <v>0</v>
      </c>
      <c r="J77" s="1"/>
      <c r="K77" s="1"/>
      <c r="L77" s="1"/>
      <c r="M77" s="55">
        <f t="shared" si="8"/>
        <v>0</v>
      </c>
      <c r="N77" s="1"/>
      <c r="O77" s="1"/>
      <c r="P77" s="1"/>
      <c r="Q77" s="55">
        <f t="shared" si="9"/>
        <v>0</v>
      </c>
      <c r="R77" s="55">
        <f t="shared" si="10"/>
        <v>0</v>
      </c>
    </row>
    <row r="78" spans="1:20" ht="15.75" customHeight="1" x14ac:dyDescent="0.3">
      <c r="A78" s="71" t="s">
        <v>525</v>
      </c>
      <c r="B78" s="1"/>
      <c r="C78" s="1"/>
      <c r="D78" s="1"/>
      <c r="E78" s="55">
        <f t="shared" si="6"/>
        <v>0</v>
      </c>
      <c r="F78" s="1"/>
      <c r="G78" s="1"/>
      <c r="H78" s="1"/>
      <c r="I78" s="55">
        <f t="shared" si="7"/>
        <v>0</v>
      </c>
      <c r="J78" s="1"/>
      <c r="K78" s="1"/>
      <c r="L78" s="1"/>
      <c r="M78" s="55">
        <f t="shared" si="8"/>
        <v>0</v>
      </c>
      <c r="N78" s="1"/>
      <c r="O78" s="1"/>
      <c r="P78" s="1"/>
      <c r="Q78" s="55">
        <f t="shared" si="9"/>
        <v>0</v>
      </c>
      <c r="R78" s="55">
        <f t="shared" si="10"/>
        <v>0</v>
      </c>
      <c r="T78" s="4" t="s">
        <v>803</v>
      </c>
    </row>
    <row r="79" spans="1:20" ht="15.75" customHeight="1" x14ac:dyDescent="0.3">
      <c r="A79" s="72" t="s">
        <v>79</v>
      </c>
      <c r="B79" s="1"/>
      <c r="C79" s="1"/>
      <c r="D79" s="1"/>
      <c r="E79" s="55">
        <f t="shared" si="6"/>
        <v>0</v>
      </c>
      <c r="F79" s="1"/>
      <c r="G79" s="1"/>
      <c r="H79" s="1"/>
      <c r="I79" s="55">
        <f t="shared" si="7"/>
        <v>0</v>
      </c>
      <c r="J79" s="1"/>
      <c r="K79" s="1"/>
      <c r="L79" s="1"/>
      <c r="M79" s="55">
        <f t="shared" si="8"/>
        <v>0</v>
      </c>
      <c r="N79" s="1"/>
      <c r="O79" s="1"/>
      <c r="P79" s="1"/>
      <c r="Q79" s="55">
        <f t="shared" si="9"/>
        <v>0</v>
      </c>
      <c r="R79" s="55">
        <f t="shared" si="10"/>
        <v>0</v>
      </c>
    </row>
    <row r="80" spans="1:20" ht="15.75" customHeight="1" x14ac:dyDescent="0.3">
      <c r="A80" s="72" t="s">
        <v>80</v>
      </c>
      <c r="B80" s="1"/>
      <c r="C80" s="1"/>
      <c r="D80" s="1"/>
      <c r="E80" s="55">
        <f t="shared" si="6"/>
        <v>0</v>
      </c>
      <c r="F80" s="1"/>
      <c r="G80" s="1"/>
      <c r="H80" s="1"/>
      <c r="I80" s="55">
        <f t="shared" si="7"/>
        <v>0</v>
      </c>
      <c r="J80" s="1"/>
      <c r="K80" s="1"/>
      <c r="L80" s="1"/>
      <c r="M80" s="55">
        <f t="shared" si="8"/>
        <v>0</v>
      </c>
      <c r="N80" s="1"/>
      <c r="O80" s="1"/>
      <c r="P80" s="1"/>
      <c r="Q80" s="55">
        <f t="shared" si="9"/>
        <v>0</v>
      </c>
      <c r="R80" s="55">
        <f t="shared" si="10"/>
        <v>0</v>
      </c>
      <c r="S80" s="4">
        <f>SUM(R72:R80)</f>
        <v>4760</v>
      </c>
    </row>
    <row r="81" spans="1:20" ht="15.75" customHeight="1" x14ac:dyDescent="0.3">
      <c r="A81" s="18" t="s">
        <v>50</v>
      </c>
      <c r="B81" s="28"/>
      <c r="C81" s="28"/>
      <c r="D81" s="28"/>
      <c r="E81" s="55" t="s">
        <v>7</v>
      </c>
      <c r="F81" s="28"/>
      <c r="G81" s="28"/>
      <c r="H81" s="28"/>
      <c r="I81" s="55" t="s">
        <v>7</v>
      </c>
      <c r="J81" s="28"/>
      <c r="K81" s="28"/>
      <c r="L81" s="28"/>
      <c r="M81" s="55" t="s">
        <v>7</v>
      </c>
      <c r="N81" s="28"/>
      <c r="O81" s="28"/>
      <c r="P81" s="28"/>
      <c r="Q81" s="55" t="s">
        <v>7</v>
      </c>
      <c r="R81" s="55" t="s">
        <v>7</v>
      </c>
    </row>
    <row r="82" spans="1:20" ht="15.75" customHeight="1" x14ac:dyDescent="0.3">
      <c r="A82" s="72" t="s">
        <v>81</v>
      </c>
      <c r="B82" s="1"/>
      <c r="C82" s="1"/>
      <c r="D82" s="1"/>
      <c r="E82" s="55">
        <f>SUM(B82:D82)</f>
        <v>0</v>
      </c>
      <c r="F82" s="1"/>
      <c r="G82" s="1"/>
      <c r="H82" s="1"/>
      <c r="I82" s="55">
        <f>SUM(F82:H82)</f>
        <v>0</v>
      </c>
      <c r="J82" s="1"/>
      <c r="K82" s="1"/>
      <c r="L82" s="1"/>
      <c r="M82" s="55">
        <f>SUM(J82:L82)</f>
        <v>0</v>
      </c>
      <c r="N82" s="1"/>
      <c r="O82" s="1"/>
      <c r="P82" s="1"/>
      <c r="Q82" s="55">
        <f>SUM(N82:P82)</f>
        <v>0</v>
      </c>
      <c r="R82" s="55">
        <f>+E82+I82+M82+Q82</f>
        <v>0</v>
      </c>
    </row>
    <row r="83" spans="1:20" ht="15.75" customHeight="1" x14ac:dyDescent="0.3">
      <c r="A83" s="72" t="s">
        <v>83</v>
      </c>
      <c r="B83" s="1"/>
      <c r="C83" s="1"/>
      <c r="D83" s="1"/>
      <c r="E83" s="55">
        <f>SUM(B83:D83)</f>
        <v>0</v>
      </c>
      <c r="F83" s="1"/>
      <c r="G83" s="1"/>
      <c r="H83" s="1"/>
      <c r="I83" s="55">
        <f>SUM(F83:H83)</f>
        <v>0</v>
      </c>
      <c r="J83" s="1">
        <v>133</v>
      </c>
      <c r="K83" s="1">
        <v>124</v>
      </c>
      <c r="L83" s="1">
        <v>168</v>
      </c>
      <c r="M83" s="55">
        <f>SUM(J83:L83)</f>
        <v>425</v>
      </c>
      <c r="N83" s="1">
        <v>5</v>
      </c>
      <c r="O83" s="1"/>
      <c r="P83" s="1"/>
      <c r="Q83" s="55">
        <f>SUM(N83:P83)</f>
        <v>5</v>
      </c>
      <c r="R83" s="55">
        <f>+E83+I83+M83+Q83</f>
        <v>430</v>
      </c>
    </row>
    <row r="84" spans="1:20" ht="15.75" customHeight="1" x14ac:dyDescent="0.3">
      <c r="A84" s="18" t="s">
        <v>51</v>
      </c>
      <c r="B84" s="28"/>
      <c r="C84" s="28"/>
      <c r="D84" s="28"/>
      <c r="E84" s="55" t="s">
        <v>52</v>
      </c>
      <c r="F84" s="28"/>
      <c r="G84" s="28"/>
      <c r="H84" s="28"/>
      <c r="I84" s="55" t="s">
        <v>52</v>
      </c>
      <c r="J84" s="28"/>
      <c r="K84" s="28"/>
      <c r="L84" s="28"/>
      <c r="M84" s="55" t="s">
        <v>52</v>
      </c>
      <c r="N84" s="28"/>
      <c r="O84" s="28"/>
      <c r="P84" s="28"/>
      <c r="Q84" s="55" t="s">
        <v>52</v>
      </c>
      <c r="R84" s="55" t="s">
        <v>52</v>
      </c>
    </row>
    <row r="85" spans="1:20" ht="15.75" customHeight="1" x14ac:dyDescent="0.3">
      <c r="A85" s="61" t="s">
        <v>689</v>
      </c>
      <c r="B85" s="1"/>
      <c r="C85" s="1"/>
      <c r="D85" s="1"/>
      <c r="E85" s="55">
        <f>SUM(B85:D85)</f>
        <v>0</v>
      </c>
      <c r="F85" s="1"/>
      <c r="G85" s="1"/>
      <c r="H85" s="1"/>
      <c r="I85" s="55">
        <f>SUM(F85:H85)</f>
        <v>0</v>
      </c>
      <c r="J85" s="1"/>
      <c r="K85" s="1"/>
      <c r="L85" s="1"/>
      <c r="M85" s="55">
        <f>SUM(J85:L85)</f>
        <v>0</v>
      </c>
      <c r="N85" s="1"/>
      <c r="O85" s="1"/>
      <c r="P85" s="1"/>
      <c r="Q85" s="55">
        <f>SUM(N85:P85)</f>
        <v>0</v>
      </c>
      <c r="R85" s="55">
        <f>+E85+I85+M85+Q85</f>
        <v>0</v>
      </c>
    </row>
    <row r="86" spans="1:20" ht="15.75" customHeight="1" x14ac:dyDescent="0.3">
      <c r="A86" s="61" t="s">
        <v>688</v>
      </c>
      <c r="B86" s="1"/>
      <c r="C86" s="1"/>
      <c r="D86" s="1"/>
      <c r="E86" s="55">
        <f>SUM(B86:D86)</f>
        <v>0</v>
      </c>
      <c r="F86" s="1"/>
      <c r="G86" s="1">
        <v>1253</v>
      </c>
      <c r="H86" s="1">
        <v>1442</v>
      </c>
      <c r="I86" s="55">
        <f>SUM(F86:H86)</f>
        <v>2695</v>
      </c>
      <c r="J86" s="1">
        <v>1968</v>
      </c>
      <c r="K86" s="1">
        <v>2044</v>
      </c>
      <c r="L86" s="1">
        <v>1489</v>
      </c>
      <c r="M86" s="55">
        <f>SUM(J86:L86)</f>
        <v>5501</v>
      </c>
      <c r="N86" s="1">
        <v>1058</v>
      </c>
      <c r="O86" s="1"/>
      <c r="P86" s="1"/>
      <c r="Q86" s="55">
        <f>SUM(N86:P86)</f>
        <v>1058</v>
      </c>
      <c r="R86" s="55">
        <f>+E86+I86+M86+Q86</f>
        <v>9254</v>
      </c>
      <c r="T86" s="4" t="s">
        <v>801</v>
      </c>
    </row>
    <row r="87" spans="1:20" ht="15.75" customHeight="1" thickBot="1" x14ac:dyDescent="0.35">
      <c r="A87" s="18" t="s">
        <v>53</v>
      </c>
      <c r="B87" s="56"/>
      <c r="C87" s="56"/>
      <c r="D87" s="56"/>
      <c r="E87" s="55" t="s">
        <v>7</v>
      </c>
      <c r="F87" s="56"/>
      <c r="G87" s="56"/>
      <c r="H87" s="56"/>
      <c r="I87" s="55" t="s">
        <v>7</v>
      </c>
      <c r="J87" s="56"/>
      <c r="K87" s="56"/>
      <c r="L87" s="56"/>
      <c r="M87" s="55" t="s">
        <v>7</v>
      </c>
      <c r="N87" s="56"/>
      <c r="O87" s="56"/>
      <c r="P87" s="56"/>
      <c r="Q87" s="55" t="s">
        <v>7</v>
      </c>
      <c r="R87" s="55" t="s">
        <v>7</v>
      </c>
    </row>
    <row r="88" spans="1:20" ht="16.5" customHeight="1" thickBot="1" x14ac:dyDescent="0.35">
      <c r="A88" s="57" t="s">
        <v>54</v>
      </c>
      <c r="B88" s="58">
        <f>SUM(B70:B87)</f>
        <v>870</v>
      </c>
      <c r="C88" s="58">
        <f>SUM(C70:C87)</f>
        <v>446</v>
      </c>
      <c r="D88" s="58">
        <f>SUM(D70:D87)</f>
        <v>1877</v>
      </c>
      <c r="E88" s="59">
        <f>SUM(B88:D88)</f>
        <v>3193</v>
      </c>
      <c r="F88" s="58">
        <f>SUM(F70:F87)</f>
        <v>1367</v>
      </c>
      <c r="G88" s="58">
        <f>SUM(G70:G87)</f>
        <v>1453</v>
      </c>
      <c r="H88" s="58">
        <f>SUM(H70:H87)</f>
        <v>1442</v>
      </c>
      <c r="I88" s="59">
        <f>SUM(F88:H88)</f>
        <v>4262</v>
      </c>
      <c r="J88" s="58">
        <f>SUM(J70:J87)</f>
        <v>2101</v>
      </c>
      <c r="K88" s="58">
        <f>SUM(K70:K87)</f>
        <v>2168</v>
      </c>
      <c r="L88" s="58">
        <f>SUM(L70:L87)</f>
        <v>1657</v>
      </c>
      <c r="M88" s="59">
        <f>SUM(J88:L88)</f>
        <v>5926</v>
      </c>
      <c r="N88" s="58">
        <f>SUM(N70:N87)</f>
        <v>1063</v>
      </c>
      <c r="O88" s="58">
        <f>SUM(O70:O87)</f>
        <v>0</v>
      </c>
      <c r="P88" s="58">
        <f>SUM(P70:P87)</f>
        <v>0</v>
      </c>
      <c r="Q88" s="59">
        <f>SUM(N88:P88)</f>
        <v>1063</v>
      </c>
      <c r="R88" s="59">
        <f>+E88+I88+M88+Q88</f>
        <v>14444</v>
      </c>
    </row>
    <row r="89" spans="1:20" ht="15.75" customHeight="1" x14ac:dyDescent="0.3">
      <c r="A89" s="18" t="s">
        <v>55</v>
      </c>
      <c r="B89" s="56"/>
      <c r="C89" s="56"/>
      <c r="D89" s="56"/>
      <c r="E89" s="55" t="s">
        <v>7</v>
      </c>
      <c r="F89" s="56"/>
      <c r="G89" s="56"/>
      <c r="H89" s="56"/>
      <c r="I89" s="55" t="s">
        <v>7</v>
      </c>
      <c r="J89" s="56"/>
      <c r="K89" s="56"/>
      <c r="L89" s="56"/>
      <c r="M89" s="55" t="s">
        <v>7</v>
      </c>
      <c r="N89" s="56"/>
      <c r="O89" s="56"/>
      <c r="P89" s="56"/>
      <c r="Q89" s="55" t="s">
        <v>7</v>
      </c>
      <c r="R89" s="60" t="s">
        <v>7</v>
      </c>
    </row>
    <row r="90" spans="1:20" ht="15.75" customHeight="1" x14ac:dyDescent="0.3">
      <c r="A90" s="18" t="s">
        <v>56</v>
      </c>
      <c r="B90" s="56"/>
      <c r="C90" s="56"/>
      <c r="D90" s="56"/>
      <c r="E90" s="55" t="s">
        <v>7</v>
      </c>
      <c r="F90" s="56"/>
      <c r="G90" s="56"/>
      <c r="H90" s="56"/>
      <c r="I90" s="55" t="s">
        <v>7</v>
      </c>
      <c r="J90" s="56"/>
      <c r="K90" s="56"/>
      <c r="L90" s="56"/>
      <c r="M90" s="55" t="s">
        <v>7</v>
      </c>
      <c r="N90" s="56"/>
      <c r="O90" s="56"/>
      <c r="P90" s="56"/>
      <c r="Q90" s="55" t="s">
        <v>7</v>
      </c>
      <c r="R90" s="55" t="s">
        <v>7</v>
      </c>
    </row>
    <row r="91" spans="1:20" ht="15.75" customHeight="1" x14ac:dyDescent="0.3">
      <c r="A91" s="18" t="s">
        <v>57</v>
      </c>
      <c r="B91" s="56"/>
      <c r="C91" s="56"/>
      <c r="D91" s="56"/>
      <c r="E91" s="55" t="s">
        <v>7</v>
      </c>
      <c r="F91" s="56"/>
      <c r="G91" s="56"/>
      <c r="H91" s="56"/>
      <c r="I91" s="55" t="s">
        <v>7</v>
      </c>
      <c r="J91" s="56"/>
      <c r="K91" s="56"/>
      <c r="L91" s="56"/>
      <c r="M91" s="55" t="s">
        <v>7</v>
      </c>
      <c r="N91" s="56"/>
      <c r="O91" s="56"/>
      <c r="P91" s="56"/>
      <c r="Q91" s="55" t="s">
        <v>7</v>
      </c>
      <c r="R91" s="55" t="s">
        <v>7</v>
      </c>
    </row>
    <row r="92" spans="1:20" ht="15.75" customHeight="1" x14ac:dyDescent="0.3">
      <c r="A92" s="72" t="s">
        <v>81</v>
      </c>
      <c r="B92" s="1">
        <v>913</v>
      </c>
      <c r="C92" s="1">
        <v>1102</v>
      </c>
      <c r="D92" s="1">
        <v>3812</v>
      </c>
      <c r="E92" s="55">
        <f>SUM(B92:D92)</f>
        <v>5827</v>
      </c>
      <c r="F92" s="1">
        <v>5784</v>
      </c>
      <c r="G92" s="1">
        <v>4519</v>
      </c>
      <c r="H92" s="1">
        <v>3798</v>
      </c>
      <c r="I92" s="55">
        <f>SUM(F92:H92)</f>
        <v>14101</v>
      </c>
      <c r="J92" s="1">
        <v>4666</v>
      </c>
      <c r="K92" s="1">
        <v>5553</v>
      </c>
      <c r="L92" s="1">
        <v>2792</v>
      </c>
      <c r="M92" s="55">
        <f>SUM(J92:L92)</f>
        <v>13011</v>
      </c>
      <c r="N92" s="1">
        <v>4211</v>
      </c>
      <c r="O92" s="1">
        <v>2379</v>
      </c>
      <c r="P92" s="1">
        <v>4206</v>
      </c>
      <c r="Q92" s="55">
        <f>SUM(N92:P92)</f>
        <v>10796</v>
      </c>
      <c r="R92" s="55">
        <f>+E92+I92+M92+Q92</f>
        <v>43735</v>
      </c>
      <c r="T92" s="4" t="s">
        <v>805</v>
      </c>
    </row>
    <row r="93" spans="1:20" ht="15.75" customHeight="1" x14ac:dyDescent="0.3">
      <c r="A93" s="72" t="s">
        <v>87</v>
      </c>
      <c r="B93" s="1"/>
      <c r="C93" s="1"/>
      <c r="D93" s="1"/>
      <c r="E93" s="55">
        <f>SUM(B93:D93)</f>
        <v>0</v>
      </c>
      <c r="F93" s="1">
        <v>1000</v>
      </c>
      <c r="G93" s="1">
        <v>1000</v>
      </c>
      <c r="H93" s="1">
        <v>1000</v>
      </c>
      <c r="I93" s="55">
        <f>SUM(F93:H93)</f>
        <v>3000</v>
      </c>
      <c r="J93" s="1">
        <v>460</v>
      </c>
      <c r="K93" s="1"/>
      <c r="L93" s="1"/>
      <c r="M93" s="55">
        <f>SUM(J93:L93)</f>
        <v>460</v>
      </c>
      <c r="N93" s="1"/>
      <c r="O93" s="1"/>
      <c r="P93" s="1"/>
      <c r="Q93" s="55">
        <f>SUM(N93:P93)</f>
        <v>0</v>
      </c>
      <c r="R93" s="55">
        <f>+E93+I93+M93+Q93</f>
        <v>3460</v>
      </c>
      <c r="T93" s="4" t="s">
        <v>801</v>
      </c>
    </row>
    <row r="94" spans="1:20" ht="15.75" customHeight="1" thickBot="1" x14ac:dyDescent="0.35">
      <c r="A94" s="18" t="s">
        <v>58</v>
      </c>
      <c r="B94" s="56"/>
      <c r="C94" s="56"/>
      <c r="D94" s="56"/>
      <c r="E94" s="55" t="s">
        <v>7</v>
      </c>
      <c r="F94" s="56"/>
      <c r="G94" s="56"/>
      <c r="H94" s="56"/>
      <c r="I94" s="55" t="s">
        <v>7</v>
      </c>
      <c r="J94" s="56"/>
      <c r="K94" s="56"/>
      <c r="L94" s="56"/>
      <c r="M94" s="55" t="s">
        <v>7</v>
      </c>
      <c r="N94" s="56"/>
      <c r="O94" s="56"/>
      <c r="P94" s="56"/>
      <c r="Q94" s="55" t="s">
        <v>7</v>
      </c>
      <c r="R94" s="55" t="s">
        <v>7</v>
      </c>
    </row>
    <row r="95" spans="1:20" ht="16.5" customHeight="1" thickBot="1" x14ac:dyDescent="0.35">
      <c r="A95" s="57" t="s">
        <v>59</v>
      </c>
      <c r="B95" s="58">
        <f>SUM(B89:B94)</f>
        <v>913</v>
      </c>
      <c r="C95" s="58">
        <f>SUM(C89:C94)</f>
        <v>1102</v>
      </c>
      <c r="D95" s="58">
        <f>SUM(D89:D94)</f>
        <v>3812</v>
      </c>
      <c r="E95" s="59">
        <f>SUM(B95:D95)</f>
        <v>5827</v>
      </c>
      <c r="F95" s="58">
        <f>SUM(F89:F94)</f>
        <v>6784</v>
      </c>
      <c r="G95" s="58">
        <f>SUM(G89:G94)</f>
        <v>5519</v>
      </c>
      <c r="H95" s="58">
        <f>SUM(H89:H94)</f>
        <v>4798</v>
      </c>
      <c r="I95" s="59">
        <f>SUM(F95:H95)</f>
        <v>17101</v>
      </c>
      <c r="J95" s="58">
        <f>SUM(J89:J94)</f>
        <v>5126</v>
      </c>
      <c r="K95" s="58">
        <f>SUM(K89:K94)</f>
        <v>5553</v>
      </c>
      <c r="L95" s="58">
        <f>SUM(L89:L94)</f>
        <v>2792</v>
      </c>
      <c r="M95" s="59">
        <f>SUM(J95:L95)</f>
        <v>13471</v>
      </c>
      <c r="N95" s="58">
        <f>SUM(N89:N94)</f>
        <v>4211</v>
      </c>
      <c r="O95" s="58">
        <f>SUM(O89:O94)</f>
        <v>2379</v>
      </c>
      <c r="P95" s="58">
        <f>SUM(P89:P94)</f>
        <v>4206</v>
      </c>
      <c r="Q95" s="59">
        <f>SUM(N95:P95)</f>
        <v>10796</v>
      </c>
      <c r="R95" s="59">
        <f>+E95+I95+M95+Q95</f>
        <v>47195</v>
      </c>
    </row>
    <row r="96" spans="1:20" ht="15.75" customHeight="1" x14ac:dyDescent="0.3">
      <c r="A96" s="18" t="s">
        <v>60</v>
      </c>
      <c r="B96" s="56"/>
      <c r="C96" s="56"/>
      <c r="D96" s="56"/>
      <c r="E96" s="55" t="s">
        <v>7</v>
      </c>
      <c r="F96" s="56"/>
      <c r="G96" s="56"/>
      <c r="H96" s="56"/>
      <c r="I96" s="55" t="s">
        <v>7</v>
      </c>
      <c r="J96" s="56"/>
      <c r="K96" s="56"/>
      <c r="L96" s="56"/>
      <c r="M96" s="55" t="s">
        <v>7</v>
      </c>
      <c r="N96" s="56"/>
      <c r="O96" s="56"/>
      <c r="P96" s="56"/>
      <c r="Q96" s="55" t="s">
        <v>7</v>
      </c>
      <c r="R96" s="55" t="s">
        <v>7</v>
      </c>
    </row>
    <row r="97" spans="1:20" ht="15.75" customHeight="1" x14ac:dyDescent="0.3">
      <c r="A97" s="18" t="s">
        <v>61</v>
      </c>
      <c r="B97" s="56"/>
      <c r="C97" s="56"/>
      <c r="D97" s="56"/>
      <c r="E97" s="55" t="s">
        <v>7</v>
      </c>
      <c r="F97" s="56"/>
      <c r="G97" s="56"/>
      <c r="H97" s="56"/>
      <c r="I97" s="55" t="s">
        <v>7</v>
      </c>
      <c r="J97" s="56"/>
      <c r="K97" s="56"/>
      <c r="L97" s="56"/>
      <c r="M97" s="55" t="s">
        <v>7</v>
      </c>
      <c r="N97" s="56"/>
      <c r="O97" s="56"/>
      <c r="P97" s="56"/>
      <c r="Q97" s="55" t="s">
        <v>7</v>
      </c>
      <c r="R97" s="55" t="s">
        <v>7</v>
      </c>
    </row>
    <row r="98" spans="1:20" ht="15.75" customHeight="1" x14ac:dyDescent="0.3">
      <c r="A98" s="18" t="s">
        <v>62</v>
      </c>
      <c r="B98" s="56"/>
      <c r="C98" s="56"/>
      <c r="D98" s="56"/>
      <c r="E98" s="55"/>
      <c r="F98" s="56"/>
      <c r="G98" s="56"/>
      <c r="H98" s="56"/>
      <c r="I98" s="55"/>
      <c r="J98" s="56"/>
      <c r="K98" s="56"/>
      <c r="L98" s="56"/>
      <c r="M98" s="55"/>
      <c r="N98" s="56"/>
      <c r="O98" s="56"/>
      <c r="P98" s="56"/>
      <c r="Q98" s="55"/>
      <c r="R98" s="55"/>
    </row>
    <row r="99" spans="1:20" ht="15.75" customHeight="1" x14ac:dyDescent="0.3">
      <c r="A99" s="72" t="s">
        <v>88</v>
      </c>
      <c r="B99" s="1"/>
      <c r="C99" s="1"/>
      <c r="D99" s="1"/>
      <c r="E99" s="55">
        <f t="shared" ref="E99:E106" si="11">SUM(B99:D99)</f>
        <v>0</v>
      </c>
      <c r="F99" s="1"/>
      <c r="G99" s="1"/>
      <c r="H99" s="1"/>
      <c r="I99" s="55">
        <f t="shared" ref="I99:I106" si="12">SUM(F99:H99)</f>
        <v>0</v>
      </c>
      <c r="J99" s="1"/>
      <c r="K99" s="1"/>
      <c r="L99" s="1"/>
      <c r="M99" s="55">
        <f t="shared" ref="M99:M106" si="13">SUM(J99:L99)</f>
        <v>0</v>
      </c>
      <c r="N99" s="1"/>
      <c r="O99" s="1"/>
      <c r="P99" s="1"/>
      <c r="Q99" s="55">
        <f t="shared" ref="Q99:Q106" si="14">SUM(N99:P99)</f>
        <v>0</v>
      </c>
      <c r="R99" s="55">
        <f t="shared" ref="R99:R106" si="15">+E99+I99+M99+Q99</f>
        <v>0</v>
      </c>
    </row>
    <row r="100" spans="1:20" ht="15.75" customHeight="1" x14ac:dyDescent="0.3">
      <c r="A100" s="72" t="s">
        <v>89</v>
      </c>
      <c r="B100" s="1"/>
      <c r="C100" s="1"/>
      <c r="D100" s="1"/>
      <c r="E100" s="55">
        <f t="shared" si="11"/>
        <v>0</v>
      </c>
      <c r="F100" s="1"/>
      <c r="G100" s="1"/>
      <c r="H100" s="1"/>
      <c r="I100" s="55">
        <f t="shared" si="12"/>
        <v>0</v>
      </c>
      <c r="J100" s="1"/>
      <c r="K100" s="1"/>
      <c r="L100" s="1"/>
      <c r="M100" s="55">
        <f t="shared" si="13"/>
        <v>0</v>
      </c>
      <c r="N100" s="1"/>
      <c r="O100" s="1"/>
      <c r="P100" s="1"/>
      <c r="Q100" s="55">
        <f t="shared" si="14"/>
        <v>0</v>
      </c>
      <c r="R100" s="55">
        <f t="shared" si="15"/>
        <v>0</v>
      </c>
    </row>
    <row r="101" spans="1:20" ht="15.75" customHeight="1" x14ac:dyDescent="0.3">
      <c r="A101" s="72" t="s">
        <v>90</v>
      </c>
      <c r="B101" s="1"/>
      <c r="C101" s="1"/>
      <c r="D101" s="1"/>
      <c r="E101" s="55">
        <f>SUM(B101:D101)</f>
        <v>0</v>
      </c>
      <c r="F101" s="1"/>
      <c r="G101" s="1"/>
      <c r="H101" s="1"/>
      <c r="I101" s="55">
        <f>SUM(F101:H101)</f>
        <v>0</v>
      </c>
      <c r="J101" s="1"/>
      <c r="K101" s="1"/>
      <c r="L101" s="1"/>
      <c r="M101" s="55">
        <f>SUM(J101:L101)</f>
        <v>0</v>
      </c>
      <c r="N101" s="1"/>
      <c r="O101" s="1"/>
      <c r="P101" s="1"/>
      <c r="Q101" s="55">
        <f>SUM(N101:P101)</f>
        <v>0</v>
      </c>
      <c r="R101" s="55">
        <f>+E101+I101+M101+Q101</f>
        <v>0</v>
      </c>
    </row>
    <row r="102" spans="1:20" ht="15.75" customHeight="1" x14ac:dyDescent="0.3">
      <c r="A102" s="72" t="s">
        <v>690</v>
      </c>
      <c r="B102" s="1"/>
      <c r="C102" s="1"/>
      <c r="D102" s="1"/>
      <c r="E102" s="55">
        <f>SUM(B102:D102)</f>
        <v>0</v>
      </c>
      <c r="F102" s="1"/>
      <c r="G102" s="1"/>
      <c r="H102" s="1"/>
      <c r="I102" s="55">
        <f>SUM(F102:H102)</f>
        <v>0</v>
      </c>
      <c r="J102" s="1"/>
      <c r="K102" s="1"/>
      <c r="L102" s="1"/>
      <c r="M102" s="55">
        <f>SUM(J102:L102)</f>
        <v>0</v>
      </c>
      <c r="N102" s="1"/>
      <c r="O102" s="1"/>
      <c r="P102" s="1"/>
      <c r="Q102" s="55">
        <f>SUM(N102:P102)</f>
        <v>0</v>
      </c>
      <c r="R102" s="55">
        <f>+E102+I102+M102+Q102</f>
        <v>0</v>
      </c>
      <c r="T102" s="4" t="s">
        <v>803</v>
      </c>
    </row>
    <row r="103" spans="1:20" ht="15.75" customHeight="1" x14ac:dyDescent="0.3">
      <c r="A103" s="72" t="s">
        <v>528</v>
      </c>
      <c r="B103" s="1"/>
      <c r="C103" s="1"/>
      <c r="D103" s="1"/>
      <c r="E103" s="55">
        <f>SUM(B103:D103)</f>
        <v>0</v>
      </c>
      <c r="F103" s="1"/>
      <c r="G103" s="1"/>
      <c r="H103" s="1"/>
      <c r="I103" s="55">
        <f>SUM(F103:H103)</f>
        <v>0</v>
      </c>
      <c r="J103" s="1"/>
      <c r="K103" s="1"/>
      <c r="L103" s="1"/>
      <c r="M103" s="55">
        <f>SUM(J103:L103)</f>
        <v>0</v>
      </c>
      <c r="N103" s="1"/>
      <c r="O103" s="1"/>
      <c r="P103" s="1"/>
      <c r="Q103" s="55">
        <f>SUM(N103:P103)</f>
        <v>0</v>
      </c>
      <c r="R103" s="55">
        <f>+E103+I103+M103+Q103</f>
        <v>0</v>
      </c>
    </row>
    <row r="104" spans="1:20" ht="15.75" customHeight="1" x14ac:dyDescent="0.3">
      <c r="A104" s="72" t="s">
        <v>94</v>
      </c>
      <c r="B104" s="1"/>
      <c r="C104" s="1"/>
      <c r="D104" s="1"/>
      <c r="E104" s="55">
        <f t="shared" si="11"/>
        <v>0</v>
      </c>
      <c r="F104" s="1"/>
      <c r="G104" s="1"/>
      <c r="H104" s="1"/>
      <c r="I104" s="55">
        <f t="shared" si="12"/>
        <v>0</v>
      </c>
      <c r="J104" s="1"/>
      <c r="K104" s="1"/>
      <c r="L104" s="1"/>
      <c r="M104" s="55">
        <f t="shared" si="13"/>
        <v>0</v>
      </c>
      <c r="N104" s="1"/>
      <c r="O104" s="1"/>
      <c r="P104" s="1"/>
      <c r="Q104" s="55">
        <f t="shared" si="14"/>
        <v>0</v>
      </c>
      <c r="R104" s="55">
        <f t="shared" si="15"/>
        <v>0</v>
      </c>
    </row>
    <row r="105" spans="1:20" ht="15.75" customHeight="1" thickBot="1" x14ac:dyDescent="0.35">
      <c r="A105" s="72" t="s">
        <v>95</v>
      </c>
      <c r="B105" s="1"/>
      <c r="C105" s="1"/>
      <c r="D105" s="1"/>
      <c r="E105" s="55">
        <f t="shared" si="11"/>
        <v>0</v>
      </c>
      <c r="F105" s="1"/>
      <c r="G105" s="1"/>
      <c r="H105" s="1"/>
      <c r="I105" s="55">
        <f t="shared" si="12"/>
        <v>0</v>
      </c>
      <c r="J105" s="1"/>
      <c r="K105" s="1"/>
      <c r="L105" s="1"/>
      <c r="M105" s="55">
        <f t="shared" si="13"/>
        <v>0</v>
      </c>
      <c r="N105" s="1"/>
      <c r="O105" s="1"/>
      <c r="P105" s="1"/>
      <c r="Q105" s="55">
        <f t="shared" si="14"/>
        <v>0</v>
      </c>
      <c r="R105" s="55">
        <f t="shared" si="15"/>
        <v>0</v>
      </c>
    </row>
    <row r="106" spans="1:20" ht="16.5" customHeight="1" thickBot="1" x14ac:dyDescent="0.35">
      <c r="A106" s="57" t="s">
        <v>63</v>
      </c>
      <c r="B106" s="58">
        <f>SUM(B96:B105)</f>
        <v>0</v>
      </c>
      <c r="C106" s="58">
        <f>SUM(C96:C105)</f>
        <v>0</v>
      </c>
      <c r="D106" s="58">
        <f>SUM(D96:D105)</f>
        <v>0</v>
      </c>
      <c r="E106" s="59">
        <f t="shared" si="11"/>
        <v>0</v>
      </c>
      <c r="F106" s="58">
        <f>SUM(F96:F105)</f>
        <v>0</v>
      </c>
      <c r="G106" s="58">
        <f>SUM(G96:G105)</f>
        <v>0</v>
      </c>
      <c r="H106" s="58">
        <f>SUM(H96:H105)</f>
        <v>0</v>
      </c>
      <c r="I106" s="59">
        <f t="shared" si="12"/>
        <v>0</v>
      </c>
      <c r="J106" s="58">
        <f>SUM(J96:J105)</f>
        <v>0</v>
      </c>
      <c r="K106" s="58">
        <f>SUM(K96:K105)</f>
        <v>0</v>
      </c>
      <c r="L106" s="58">
        <f>SUM(L96:L105)</f>
        <v>0</v>
      </c>
      <c r="M106" s="59">
        <f t="shared" si="13"/>
        <v>0</v>
      </c>
      <c r="N106" s="58">
        <f>SUM(N96:N105)</f>
        <v>0</v>
      </c>
      <c r="O106" s="58">
        <f>SUM(O96:O105)</f>
        <v>0</v>
      </c>
      <c r="P106" s="58">
        <f>SUM(P96:P105)</f>
        <v>0</v>
      </c>
      <c r="Q106" s="59">
        <f t="shared" si="14"/>
        <v>0</v>
      </c>
      <c r="R106" s="59">
        <f t="shared" si="15"/>
        <v>0</v>
      </c>
    </row>
    <row r="107" spans="1:20" ht="15.75" customHeight="1" x14ac:dyDescent="0.3">
      <c r="A107" s="18" t="s">
        <v>64</v>
      </c>
      <c r="B107" s="56"/>
      <c r="C107" s="56"/>
      <c r="D107" s="56"/>
      <c r="E107" s="55" t="s">
        <v>7</v>
      </c>
      <c r="F107" s="56"/>
      <c r="G107" s="56"/>
      <c r="H107" s="56"/>
      <c r="I107" s="55" t="s">
        <v>7</v>
      </c>
      <c r="J107" s="56"/>
      <c r="K107" s="56"/>
      <c r="L107" s="56"/>
      <c r="M107" s="55" t="s">
        <v>7</v>
      </c>
      <c r="N107" s="56"/>
      <c r="O107" s="56"/>
      <c r="P107" s="56"/>
      <c r="Q107" s="55" t="s">
        <v>7</v>
      </c>
      <c r="R107" s="55" t="s">
        <v>7</v>
      </c>
    </row>
    <row r="108" spans="1:20" ht="15.75" customHeight="1" x14ac:dyDescent="0.3">
      <c r="A108" s="18" t="s">
        <v>594</v>
      </c>
      <c r="B108" s="56"/>
      <c r="C108" s="56"/>
      <c r="D108" s="56"/>
      <c r="E108" s="55" t="s">
        <v>7</v>
      </c>
      <c r="F108" s="56"/>
      <c r="G108" s="56"/>
      <c r="H108" s="56"/>
      <c r="I108" s="55" t="s">
        <v>7</v>
      </c>
      <c r="J108" s="56"/>
      <c r="K108" s="56"/>
      <c r="L108" s="56"/>
      <c r="M108" s="55" t="s">
        <v>7</v>
      </c>
      <c r="N108" s="56"/>
      <c r="O108" s="56"/>
      <c r="P108" s="56"/>
      <c r="Q108" s="55" t="s">
        <v>7</v>
      </c>
      <c r="R108" s="55" t="s">
        <v>7</v>
      </c>
    </row>
    <row r="109" spans="1:20" ht="15.75" customHeight="1" x14ac:dyDescent="0.3">
      <c r="A109" s="61" t="s">
        <v>806</v>
      </c>
      <c r="B109" s="1"/>
      <c r="C109" s="1"/>
      <c r="D109" s="1"/>
      <c r="E109" s="55">
        <f t="shared" ref="E109:E114" si="16">SUM(B109:D109)</f>
        <v>0</v>
      </c>
      <c r="F109" s="1"/>
      <c r="G109" s="1"/>
      <c r="H109" s="1"/>
      <c r="I109" s="55">
        <f t="shared" ref="I109:I114" si="17">SUM(F109:H109)</f>
        <v>0</v>
      </c>
      <c r="J109" s="1"/>
      <c r="K109" s="1"/>
      <c r="L109" s="1"/>
      <c r="M109" s="55">
        <f t="shared" ref="M109:M114" si="18">SUM(J109:L109)</f>
        <v>0</v>
      </c>
      <c r="N109" s="1"/>
      <c r="O109" s="1"/>
      <c r="P109" s="1"/>
      <c r="Q109" s="55">
        <f t="shared" ref="Q109:Q114" si="19">SUM(N109:P109)</f>
        <v>0</v>
      </c>
      <c r="R109" s="55">
        <f t="shared" ref="R109:R114" si="20">+E109+I109+M109+Q109</f>
        <v>0</v>
      </c>
    </row>
    <row r="110" spans="1:20" ht="15.75" customHeight="1" x14ac:dyDescent="0.3">
      <c r="A110" s="61" t="s">
        <v>97</v>
      </c>
      <c r="B110" s="1"/>
      <c r="C110" s="1"/>
      <c r="D110" s="1"/>
      <c r="E110" s="55">
        <f t="shared" si="16"/>
        <v>0</v>
      </c>
      <c r="F110" s="1"/>
      <c r="G110" s="1"/>
      <c r="H110" s="1"/>
      <c r="I110" s="55">
        <f t="shared" si="17"/>
        <v>0</v>
      </c>
      <c r="J110" s="1"/>
      <c r="K110" s="1"/>
      <c r="L110" s="1"/>
      <c r="M110" s="55">
        <f t="shared" si="18"/>
        <v>0</v>
      </c>
      <c r="N110" s="1"/>
      <c r="O110" s="1"/>
      <c r="P110" s="1"/>
      <c r="Q110" s="55">
        <f t="shared" si="19"/>
        <v>0</v>
      </c>
      <c r="R110" s="55">
        <f t="shared" si="20"/>
        <v>0</v>
      </c>
    </row>
    <row r="111" spans="1:20" ht="15.75" customHeight="1" x14ac:dyDescent="0.3">
      <c r="A111" s="61" t="s">
        <v>692</v>
      </c>
      <c r="B111" s="1"/>
      <c r="C111" s="1"/>
      <c r="D111" s="1"/>
      <c r="E111" s="55">
        <f t="shared" si="16"/>
        <v>0</v>
      </c>
      <c r="F111" s="1"/>
      <c r="G111" s="1"/>
      <c r="H111" s="1"/>
      <c r="I111" s="55">
        <f t="shared" si="17"/>
        <v>0</v>
      </c>
      <c r="J111" s="1"/>
      <c r="K111" s="1"/>
      <c r="L111" s="1"/>
      <c r="M111" s="55">
        <f t="shared" si="18"/>
        <v>0</v>
      </c>
      <c r="N111" s="1"/>
      <c r="O111" s="1"/>
      <c r="P111" s="1"/>
      <c r="Q111" s="55">
        <f t="shared" si="19"/>
        <v>0</v>
      </c>
      <c r="R111" s="55">
        <f t="shared" si="20"/>
        <v>0</v>
      </c>
    </row>
    <row r="112" spans="1:20" ht="15.75" customHeight="1" x14ac:dyDescent="0.3">
      <c r="A112" s="61" t="s">
        <v>530</v>
      </c>
      <c r="B112" s="1"/>
      <c r="C112" s="1"/>
      <c r="D112" s="1"/>
      <c r="E112" s="55">
        <f t="shared" si="16"/>
        <v>0</v>
      </c>
      <c r="F112" s="1"/>
      <c r="G112" s="1"/>
      <c r="H112" s="1"/>
      <c r="I112" s="55">
        <f t="shared" si="17"/>
        <v>0</v>
      </c>
      <c r="J112" s="1"/>
      <c r="K112" s="1"/>
      <c r="L112" s="1"/>
      <c r="M112" s="55">
        <f t="shared" si="18"/>
        <v>0</v>
      </c>
      <c r="N112" s="1"/>
      <c r="O112" s="1"/>
      <c r="P112" s="1"/>
      <c r="Q112" s="55">
        <f t="shared" si="19"/>
        <v>0</v>
      </c>
      <c r="R112" s="55">
        <f t="shared" si="20"/>
        <v>0</v>
      </c>
    </row>
    <row r="113" spans="1:20" ht="15.75" customHeight="1" x14ac:dyDescent="0.3">
      <c r="A113" s="61" t="s">
        <v>597</v>
      </c>
      <c r="B113" s="1"/>
      <c r="C113" s="1"/>
      <c r="D113" s="1"/>
      <c r="E113" s="55">
        <f t="shared" si="16"/>
        <v>0</v>
      </c>
      <c r="F113" s="1"/>
      <c r="G113" s="1"/>
      <c r="H113" s="1"/>
      <c r="I113" s="55">
        <f t="shared" si="17"/>
        <v>0</v>
      </c>
      <c r="J113" s="1"/>
      <c r="K113" s="1"/>
      <c r="L113" s="1"/>
      <c r="M113" s="55">
        <f t="shared" si="18"/>
        <v>0</v>
      </c>
      <c r="N113" s="1"/>
      <c r="O113" s="1"/>
      <c r="P113" s="1"/>
      <c r="Q113" s="55">
        <f t="shared" si="19"/>
        <v>0</v>
      </c>
      <c r="R113" s="55">
        <f t="shared" si="20"/>
        <v>0</v>
      </c>
    </row>
    <row r="114" spans="1:20" ht="15.75" customHeight="1" x14ac:dyDescent="0.3">
      <c r="A114" s="61" t="s">
        <v>807</v>
      </c>
      <c r="B114" s="1"/>
      <c r="C114" s="1"/>
      <c r="D114" s="1"/>
      <c r="E114" s="55">
        <f t="shared" si="16"/>
        <v>0</v>
      </c>
      <c r="F114" s="1"/>
      <c r="G114" s="1"/>
      <c r="H114" s="1"/>
      <c r="I114" s="55">
        <f t="shared" si="17"/>
        <v>0</v>
      </c>
      <c r="J114" s="1"/>
      <c r="K114" s="1"/>
      <c r="L114" s="1"/>
      <c r="M114" s="55">
        <f t="shared" si="18"/>
        <v>0</v>
      </c>
      <c r="N114" s="1"/>
      <c r="O114" s="1"/>
      <c r="P114" s="1"/>
      <c r="Q114" s="55">
        <f t="shared" si="19"/>
        <v>0</v>
      </c>
      <c r="R114" s="55">
        <f t="shared" si="20"/>
        <v>0</v>
      </c>
    </row>
    <row r="115" spans="1:20" ht="15.75" customHeight="1" x14ac:dyDescent="0.3">
      <c r="A115" s="61" t="s">
        <v>808</v>
      </c>
      <c r="B115" s="1"/>
      <c r="C115" s="1"/>
      <c r="D115" s="1"/>
      <c r="E115" s="55">
        <f>SUM(B115:D115)</f>
        <v>0</v>
      </c>
      <c r="F115" s="1"/>
      <c r="G115" s="1"/>
      <c r="H115" s="1"/>
      <c r="I115" s="55">
        <f>SUM(F115:H115)</f>
        <v>0</v>
      </c>
      <c r="J115" s="1"/>
      <c r="K115" s="1"/>
      <c r="L115" s="1"/>
      <c r="M115" s="55">
        <f>SUM(J115:L115)</f>
        <v>0</v>
      </c>
      <c r="N115" s="1"/>
      <c r="O115" s="1"/>
      <c r="P115" s="1"/>
      <c r="Q115" s="55">
        <f>SUM(N115:P115)</f>
        <v>0</v>
      </c>
      <c r="R115" s="55">
        <f>+E115+I115+M115+Q115</f>
        <v>0</v>
      </c>
    </row>
    <row r="116" spans="1:20" ht="15.75" customHeight="1" x14ac:dyDescent="0.3">
      <c r="A116" s="346" t="s">
        <v>702</v>
      </c>
      <c r="B116" s="1"/>
      <c r="C116" s="1"/>
      <c r="D116" s="1"/>
      <c r="E116" s="55">
        <f>SUM(B116:D116)</f>
        <v>0</v>
      </c>
      <c r="F116" s="1"/>
      <c r="G116" s="1"/>
      <c r="H116" s="1"/>
      <c r="I116" s="55">
        <f>SUM(F116:H116)</f>
        <v>0</v>
      </c>
      <c r="J116" s="1"/>
      <c r="K116" s="1"/>
      <c r="L116" s="1"/>
      <c r="M116" s="55">
        <f>SUM(J116:L116)</f>
        <v>0</v>
      </c>
      <c r="N116" s="1"/>
      <c r="O116" s="1"/>
      <c r="P116" s="1"/>
      <c r="Q116" s="55">
        <f>SUM(N116:P116)</f>
        <v>0</v>
      </c>
      <c r="R116" s="55">
        <f>+E116+I116+M116+Q116</f>
        <v>0</v>
      </c>
      <c r="T116" s="4" t="s">
        <v>809</v>
      </c>
    </row>
    <row r="117" spans="1:20" ht="15.75" customHeight="1" x14ac:dyDescent="0.3">
      <c r="A117" s="18" t="s">
        <v>67</v>
      </c>
      <c r="B117" s="56"/>
      <c r="C117" s="56"/>
      <c r="D117" s="56"/>
      <c r="E117" s="55" t="s">
        <v>7</v>
      </c>
      <c r="F117" s="56"/>
      <c r="G117" s="56"/>
      <c r="H117" s="56"/>
      <c r="I117" s="55" t="s">
        <v>7</v>
      </c>
      <c r="J117" s="56"/>
      <c r="K117" s="56"/>
      <c r="L117" s="56"/>
      <c r="M117" s="55" t="s">
        <v>7</v>
      </c>
      <c r="N117" s="56"/>
      <c r="O117" s="56"/>
      <c r="P117" s="56"/>
      <c r="Q117" s="55" t="s">
        <v>7</v>
      </c>
      <c r="R117" s="55" t="s">
        <v>7</v>
      </c>
    </row>
    <row r="118" spans="1:20" ht="15.75" customHeight="1" x14ac:dyDescent="0.3">
      <c r="A118" s="61" t="s">
        <v>810</v>
      </c>
      <c r="B118" s="1"/>
      <c r="C118" s="1"/>
      <c r="D118" s="1"/>
      <c r="E118" s="55">
        <f>SUM(B118:D118)</f>
        <v>0</v>
      </c>
      <c r="F118" s="1"/>
      <c r="G118" s="1"/>
      <c r="H118" s="1"/>
      <c r="I118" s="55">
        <f>SUM(F118:H118)</f>
        <v>0</v>
      </c>
      <c r="J118" s="1"/>
      <c r="K118" s="1"/>
      <c r="L118" s="1"/>
      <c r="M118" s="55">
        <f>SUM(J118:L118)</f>
        <v>0</v>
      </c>
      <c r="N118" s="1"/>
      <c r="O118" s="1">
        <v>393</v>
      </c>
      <c r="P118" s="1">
        <v>12504</v>
      </c>
      <c r="Q118" s="55">
        <f>SUM(N118:P118)</f>
        <v>12897</v>
      </c>
      <c r="R118" s="55">
        <f>+E118+I118+M118+Q118</f>
        <v>12897</v>
      </c>
    </row>
    <row r="119" spans="1:20" ht="15.75" customHeight="1" x14ac:dyDescent="0.3">
      <c r="A119" s="61" t="s">
        <v>695</v>
      </c>
      <c r="B119" s="1"/>
      <c r="C119" s="1"/>
      <c r="D119" s="1"/>
      <c r="E119" s="55">
        <f>SUM(B119:D119)</f>
        <v>0</v>
      </c>
      <c r="F119" s="1"/>
      <c r="G119" s="1"/>
      <c r="H119" s="1"/>
      <c r="I119" s="55">
        <f>SUM(F119:H119)</f>
        <v>0</v>
      </c>
      <c r="J119" s="1"/>
      <c r="K119" s="1"/>
      <c r="L119" s="1"/>
      <c r="M119" s="55">
        <f>SUM(J119:L119)</f>
        <v>0</v>
      </c>
      <c r="N119" s="1"/>
      <c r="O119" s="1"/>
      <c r="P119" s="1"/>
      <c r="Q119" s="55">
        <f>SUM(N119:P119)</f>
        <v>0</v>
      </c>
      <c r="R119" s="55">
        <f>+E119+I119+M119+Q119</f>
        <v>0</v>
      </c>
    </row>
    <row r="120" spans="1:20" ht="15.75" customHeight="1" x14ac:dyDescent="0.3">
      <c r="A120" s="18" t="s">
        <v>600</v>
      </c>
      <c r="B120" s="56"/>
      <c r="C120" s="56"/>
      <c r="D120" s="56"/>
      <c r="E120" s="55" t="s">
        <v>7</v>
      </c>
      <c r="F120" s="56"/>
      <c r="G120" s="56"/>
      <c r="H120" s="56"/>
      <c r="I120" s="55" t="s">
        <v>7</v>
      </c>
      <c r="J120" s="56"/>
      <c r="K120" s="56"/>
      <c r="L120" s="56"/>
      <c r="M120" s="55" t="s">
        <v>7</v>
      </c>
      <c r="N120" s="56"/>
      <c r="O120" s="56"/>
      <c r="P120" s="56"/>
      <c r="Q120" s="55" t="s">
        <v>7</v>
      </c>
      <c r="R120" s="55" t="s">
        <v>7</v>
      </c>
    </row>
    <row r="121" spans="1:20" ht="15.75" customHeight="1" x14ac:dyDescent="0.3">
      <c r="A121" s="61" t="s">
        <v>105</v>
      </c>
      <c r="B121" s="1"/>
      <c r="C121" s="1"/>
      <c r="D121" s="1"/>
      <c r="E121" s="55">
        <f>SUM(B121:D121)</f>
        <v>0</v>
      </c>
      <c r="F121" s="1"/>
      <c r="G121" s="1"/>
      <c r="H121" s="1"/>
      <c r="I121" s="55">
        <f>SUM(F121:H121)</f>
        <v>0</v>
      </c>
      <c r="J121" s="1"/>
      <c r="K121" s="1"/>
      <c r="L121" s="1"/>
      <c r="M121" s="55">
        <f>SUM(J121:L121)</f>
        <v>0</v>
      </c>
      <c r="N121" s="1">
        <v>22</v>
      </c>
      <c r="O121" s="1">
        <v>130</v>
      </c>
      <c r="P121" s="1">
        <v>135</v>
      </c>
      <c r="Q121" s="55">
        <f>SUM(N121:P121)</f>
        <v>287</v>
      </c>
      <c r="R121" s="55">
        <f>+E121+I121+M121+Q121</f>
        <v>287</v>
      </c>
      <c r="T121" s="4" t="s">
        <v>801</v>
      </c>
    </row>
    <row r="122" spans="1:20" ht="15.75" customHeight="1" thickBot="1" x14ac:dyDescent="0.35">
      <c r="A122" s="18" t="s">
        <v>70</v>
      </c>
      <c r="B122" s="56"/>
      <c r="C122" s="56"/>
      <c r="D122" s="56"/>
      <c r="E122" s="55" t="s">
        <v>7</v>
      </c>
      <c r="F122" s="56"/>
      <c r="G122" s="56"/>
      <c r="H122" s="56"/>
      <c r="I122" s="55" t="s">
        <v>7</v>
      </c>
      <c r="J122" s="56"/>
      <c r="K122" s="56"/>
      <c r="L122" s="56"/>
      <c r="M122" s="55" t="s">
        <v>7</v>
      </c>
      <c r="N122" s="56"/>
      <c r="O122" s="56"/>
      <c r="P122" s="56"/>
      <c r="Q122" s="55" t="s">
        <v>7</v>
      </c>
      <c r="R122" s="55" t="s">
        <v>7</v>
      </c>
    </row>
    <row r="123" spans="1:20" ht="16.5" customHeight="1" thickBot="1" x14ac:dyDescent="0.35">
      <c r="A123" s="57" t="s">
        <v>71</v>
      </c>
      <c r="B123" s="58">
        <f>SUM(B120:B122)</f>
        <v>0</v>
      </c>
      <c r="C123" s="58">
        <f>SUM(C120:C122)</f>
        <v>0</v>
      </c>
      <c r="D123" s="58">
        <f>SUM(D120:D122)</f>
        <v>0</v>
      </c>
      <c r="E123" s="60">
        <f>SUM(B123:D123)</f>
        <v>0</v>
      </c>
      <c r="F123" s="58">
        <f>SUM(F120:F122)</f>
        <v>0</v>
      </c>
      <c r="G123" s="58">
        <f>SUM(G120:G122)</f>
        <v>0</v>
      </c>
      <c r="H123" s="58">
        <f>SUM(H120:H122)</f>
        <v>0</v>
      </c>
      <c r="I123" s="60">
        <f>SUM(F123:H123)</f>
        <v>0</v>
      </c>
      <c r="J123" s="58">
        <f>SUM(J120:J122)</f>
        <v>0</v>
      </c>
      <c r="K123" s="58">
        <f>SUM(K120:K122)</f>
        <v>0</v>
      </c>
      <c r="L123" s="58">
        <f>SUM(L120:L122)</f>
        <v>0</v>
      </c>
      <c r="M123" s="60">
        <f>SUM(J123:L123)</f>
        <v>0</v>
      </c>
      <c r="N123" s="58">
        <f>SUM(N120:N122)</f>
        <v>22</v>
      </c>
      <c r="O123" s="58">
        <f>SUM(O120:O122)</f>
        <v>130</v>
      </c>
      <c r="P123" s="58">
        <f>SUM(P120:P122)</f>
        <v>135</v>
      </c>
      <c r="Q123" s="60">
        <f>SUM(N123:P123)</f>
        <v>287</v>
      </c>
      <c r="R123" s="59">
        <f>+E123+I123+M123+Q123</f>
        <v>287</v>
      </c>
    </row>
    <row r="124" spans="1:20" ht="16.5" customHeight="1" thickBot="1" x14ac:dyDescent="0.35">
      <c r="A124" s="57" t="s">
        <v>72</v>
      </c>
      <c r="B124" s="58">
        <f>SUM(B107:B122)</f>
        <v>0</v>
      </c>
      <c r="C124" s="58">
        <f>SUM(C107:C122)</f>
        <v>0</v>
      </c>
      <c r="D124" s="58">
        <f>SUM(D107:D122)</f>
        <v>0</v>
      </c>
      <c r="E124" s="60">
        <f>SUM(B124:D124)</f>
        <v>0</v>
      </c>
      <c r="F124" s="58">
        <f>SUM(F107:F122)</f>
        <v>0</v>
      </c>
      <c r="G124" s="58">
        <f>SUM(G107:G122)</f>
        <v>0</v>
      </c>
      <c r="H124" s="58">
        <f>SUM(H107:H122)</f>
        <v>0</v>
      </c>
      <c r="I124" s="60">
        <f>SUM(F124:H124)</f>
        <v>0</v>
      </c>
      <c r="J124" s="58">
        <f>SUM(J107:J122)</f>
        <v>0</v>
      </c>
      <c r="K124" s="58">
        <f>SUM(K107:K122)</f>
        <v>0</v>
      </c>
      <c r="L124" s="58">
        <f>SUM(L107:L122)</f>
        <v>0</v>
      </c>
      <c r="M124" s="60">
        <f>SUM(J124:L124)</f>
        <v>0</v>
      </c>
      <c r="N124" s="58">
        <f>SUM(N107:N122)</f>
        <v>22</v>
      </c>
      <c r="O124" s="58">
        <f>SUM(O107:O122)</f>
        <v>523</v>
      </c>
      <c r="P124" s="58">
        <f>SUM(P107:P122)</f>
        <v>12639</v>
      </c>
      <c r="Q124" s="60">
        <f>SUM(N124:P124)</f>
        <v>13184</v>
      </c>
      <c r="R124" s="59">
        <f>+E124+I124+M124+Q124</f>
        <v>13184</v>
      </c>
    </row>
    <row r="125" spans="1:20" ht="16.5" customHeight="1" thickBot="1" x14ac:dyDescent="0.35">
      <c r="A125" s="57" t="s">
        <v>73</v>
      </c>
      <c r="B125" s="58">
        <f>+B88+B95+B106+B124</f>
        <v>1783</v>
      </c>
      <c r="C125" s="58">
        <f>+C88+C95+C106+C124</f>
        <v>1548</v>
      </c>
      <c r="D125" s="58">
        <f>+D88+D95+D106+D124</f>
        <v>5689</v>
      </c>
      <c r="E125" s="59">
        <f>SUM(B125:D125)</f>
        <v>9020</v>
      </c>
      <c r="F125" s="58">
        <f>+F88+F95+F106+F124</f>
        <v>8151</v>
      </c>
      <c r="G125" s="58">
        <f>+G88+G95+G106+G124</f>
        <v>6972</v>
      </c>
      <c r="H125" s="58">
        <f>+H88+H95+H106+H124</f>
        <v>6240</v>
      </c>
      <c r="I125" s="59">
        <f>SUM(F125:H125)</f>
        <v>21363</v>
      </c>
      <c r="J125" s="58">
        <f>+J88+J95+J106+J124</f>
        <v>7227</v>
      </c>
      <c r="K125" s="58">
        <f>+K88+K95+K106+K124</f>
        <v>7721</v>
      </c>
      <c r="L125" s="58">
        <f>+L88+L95+L106+L124</f>
        <v>4449</v>
      </c>
      <c r="M125" s="59">
        <f>SUM(J125:L125)</f>
        <v>19397</v>
      </c>
      <c r="N125" s="58">
        <f>+N88+N95+N106+N124</f>
        <v>5296</v>
      </c>
      <c r="O125" s="58">
        <f>+O88+O95+O106+O124</f>
        <v>2902</v>
      </c>
      <c r="P125" s="58">
        <f>+P88+P95+P106+P124</f>
        <v>16845</v>
      </c>
      <c r="Q125" s="59">
        <f>SUM(N125:P125)</f>
        <v>25043</v>
      </c>
      <c r="R125" s="59">
        <f>+E125+I125+M125+Q125</f>
        <v>74823</v>
      </c>
    </row>
    <row r="126" spans="1:20" ht="16.5" customHeight="1" thickBot="1" x14ac:dyDescent="0.35">
      <c r="A126" s="73" t="s">
        <v>40</v>
      </c>
      <c r="B126" s="21">
        <v>173</v>
      </c>
      <c r="C126" s="21">
        <v>260</v>
      </c>
      <c r="D126" s="21">
        <v>471</v>
      </c>
      <c r="E126" s="55">
        <f>SUM(B126:D126)</f>
        <v>904</v>
      </c>
      <c r="F126" s="21">
        <v>629</v>
      </c>
      <c r="G126" s="21">
        <v>725</v>
      </c>
      <c r="H126" s="21">
        <v>712</v>
      </c>
      <c r="I126" s="55">
        <f>SUM(F126:H126)</f>
        <v>2066</v>
      </c>
      <c r="J126" s="21">
        <v>711</v>
      </c>
      <c r="K126" s="21">
        <v>573</v>
      </c>
      <c r="L126" s="21">
        <v>542</v>
      </c>
      <c r="M126" s="55">
        <f>SUM(J126:L126)</f>
        <v>1826</v>
      </c>
      <c r="N126" s="21">
        <v>490</v>
      </c>
      <c r="O126" s="21">
        <v>407</v>
      </c>
      <c r="P126" s="21">
        <v>323</v>
      </c>
      <c r="Q126" s="55">
        <f>SUM(N126:P126)</f>
        <v>1220</v>
      </c>
      <c r="R126" s="55">
        <f>+E126+I126+M126+Q126</f>
        <v>6016</v>
      </c>
    </row>
    <row r="127" spans="1:20" ht="16.5" customHeight="1" thickBot="1" x14ac:dyDescent="0.35">
      <c r="A127" s="74"/>
      <c r="B127" s="75"/>
      <c r="C127" s="75"/>
      <c r="D127" s="75"/>
      <c r="E127" s="59" t="s">
        <v>7</v>
      </c>
      <c r="F127" s="75"/>
      <c r="G127" s="75"/>
      <c r="H127" s="75"/>
      <c r="I127" s="59" t="s">
        <v>7</v>
      </c>
      <c r="J127" s="75"/>
      <c r="K127" s="75"/>
      <c r="L127" s="75"/>
      <c r="M127" s="59" t="s">
        <v>7</v>
      </c>
      <c r="N127" s="75"/>
      <c r="O127" s="75"/>
      <c r="P127" s="75"/>
      <c r="Q127" s="59" t="s">
        <v>7</v>
      </c>
      <c r="R127" s="59" t="s">
        <v>7</v>
      </c>
    </row>
    <row r="128" spans="1:20" ht="15.75" customHeight="1" x14ac:dyDescent="0.3">
      <c r="A128" s="76" t="s">
        <v>41</v>
      </c>
      <c r="B128" s="77">
        <f>+B125+B126</f>
        <v>1956</v>
      </c>
      <c r="C128" s="77">
        <f>+C125+C126</f>
        <v>1808</v>
      </c>
      <c r="D128" s="77">
        <f>+D125+D126</f>
        <v>6160</v>
      </c>
      <c r="E128" s="55">
        <f>SUM(B128:D128)</f>
        <v>9924</v>
      </c>
      <c r="F128" s="77">
        <f>+F125+F126</f>
        <v>8780</v>
      </c>
      <c r="G128" s="77">
        <f>+G125+G126</f>
        <v>7697</v>
      </c>
      <c r="H128" s="77">
        <f>+H125+H126</f>
        <v>6952</v>
      </c>
      <c r="I128" s="55">
        <f>SUM(F128:H128)</f>
        <v>23429</v>
      </c>
      <c r="J128" s="77">
        <f>+J125+J126</f>
        <v>7938</v>
      </c>
      <c r="K128" s="77">
        <f>+K125+K126</f>
        <v>8294</v>
      </c>
      <c r="L128" s="77">
        <f>+L125+L126</f>
        <v>4991</v>
      </c>
      <c r="M128" s="55">
        <f>SUM(J128:L128)</f>
        <v>21223</v>
      </c>
      <c r="N128" s="77">
        <f>+N125+N126</f>
        <v>5786</v>
      </c>
      <c r="O128" s="77">
        <f>+O125+O126</f>
        <v>3309</v>
      </c>
      <c r="P128" s="77">
        <f>+P125+P126</f>
        <v>17168</v>
      </c>
      <c r="Q128" s="55">
        <f>SUM(N128:P128)</f>
        <v>26263</v>
      </c>
      <c r="R128" s="55">
        <f>+E128+I128+M128+Q128</f>
        <v>80839</v>
      </c>
    </row>
    <row r="129" spans="1:20" ht="15.75" customHeight="1" x14ac:dyDescent="0.3">
      <c r="A129" s="78" t="s">
        <v>42</v>
      </c>
      <c r="B129" s="1">
        <f>(B128/B10)/1.983</f>
        <v>31.818847298814109</v>
      </c>
      <c r="C129" s="1">
        <f>(C128/C10)/1.983</f>
        <v>32.562495497442548</v>
      </c>
      <c r="D129" s="1">
        <f>(D128/D10)/1.983</f>
        <v>100.20659476518146</v>
      </c>
      <c r="E129" s="55" t="s">
        <v>7</v>
      </c>
      <c r="F129" s="1">
        <f>(F128/F10)/1.983</f>
        <v>147.58782988737605</v>
      </c>
      <c r="G129" s="1">
        <f>(G128/G10)/1.983</f>
        <v>125.20944154344183</v>
      </c>
      <c r="H129" s="1">
        <f>(H128/H10)/1.983</f>
        <v>116.85997646663303</v>
      </c>
      <c r="I129" s="55" t="s">
        <v>7</v>
      </c>
      <c r="J129" s="1">
        <f>(J128/J10)/1.983</f>
        <v>129.12986189058611</v>
      </c>
      <c r="K129" s="1">
        <f>(K128/K10)/1.983</f>
        <v>134.92102223740503</v>
      </c>
      <c r="L129" s="1">
        <f>(L128/L10)/1.983</f>
        <v>83.896453185409314</v>
      </c>
      <c r="M129" s="55" t="s">
        <v>7</v>
      </c>
      <c r="N129" s="1">
        <f>(N128/N10)/1.983</f>
        <v>94.122622940152581</v>
      </c>
      <c r="O129" s="1">
        <f>(O128/O10)/1.983</f>
        <v>55.622793746848203</v>
      </c>
      <c r="P129" s="1">
        <f>(P128/P10)/1.983</f>
        <v>279.27708099490832</v>
      </c>
      <c r="Q129" s="55" t="s">
        <v>7</v>
      </c>
      <c r="R129" s="55" t="s">
        <v>7</v>
      </c>
    </row>
    <row r="130" spans="1:20" ht="15.75" customHeight="1" x14ac:dyDescent="0.3">
      <c r="A130" s="79" t="s">
        <v>106</v>
      </c>
      <c r="B130" s="1">
        <f>B128+B270</f>
        <v>80890</v>
      </c>
      <c r="C130" s="1">
        <f>C128+C270</f>
        <v>145736</v>
      </c>
      <c r="D130" s="1">
        <f>D128+D270</f>
        <v>178180</v>
      </c>
      <c r="E130" s="55">
        <f>SUM(B130:D130)</f>
        <v>404806</v>
      </c>
      <c r="F130" s="1">
        <f>F128+F270</f>
        <v>149886</v>
      </c>
      <c r="G130" s="1">
        <f>G128+G270</f>
        <v>175185</v>
      </c>
      <c r="H130" s="1">
        <f>H128+H270</f>
        <v>129293</v>
      </c>
      <c r="I130" s="55">
        <f>SUM(F130:H130)</f>
        <v>454364</v>
      </c>
      <c r="J130" s="1">
        <f>J128+J270</f>
        <v>83968</v>
      </c>
      <c r="K130" s="1">
        <f>K128+K270</f>
        <v>96205</v>
      </c>
      <c r="L130" s="1">
        <f>L128+L270</f>
        <v>149359</v>
      </c>
      <c r="M130" s="55">
        <f>SUM(J130:L130)</f>
        <v>329532</v>
      </c>
      <c r="N130" s="1">
        <f>N128+N270</f>
        <v>187011</v>
      </c>
      <c r="O130" s="1">
        <f>O128+O270</f>
        <v>143948</v>
      </c>
      <c r="P130" s="1">
        <f>P128+P270</f>
        <v>137286</v>
      </c>
      <c r="Q130" s="55">
        <f>SUM(N130:P130)</f>
        <v>468245</v>
      </c>
      <c r="R130" s="55">
        <f>+E130+I130+M130+Q130</f>
        <v>1656947</v>
      </c>
    </row>
    <row r="131" spans="1:20" ht="16.5" customHeight="1" thickBot="1" x14ac:dyDescent="0.35">
      <c r="A131" s="80" t="s">
        <v>107</v>
      </c>
      <c r="B131" s="25">
        <f>(B130/B10)/1.983</f>
        <v>1315.8622484668065</v>
      </c>
      <c r="C131" s="25">
        <f>(C130/C10)/1.983</f>
        <v>2624.7388516677474</v>
      </c>
      <c r="D131" s="25">
        <f>(D130/D10)/1.983</f>
        <v>2898.5082881915637</v>
      </c>
      <c r="E131" s="81" t="s">
        <v>7</v>
      </c>
      <c r="F131" s="25">
        <f>(F130/F10)/1.983</f>
        <v>2519.5158850226926</v>
      </c>
      <c r="G131" s="25">
        <f>(G130/G10)/1.983</f>
        <v>2849.7877116782975</v>
      </c>
      <c r="H131" s="25">
        <f>(H130/H10)/1.983</f>
        <v>2173.3568667002855</v>
      </c>
      <c r="I131" s="81" t="s">
        <v>7</v>
      </c>
      <c r="J131" s="25">
        <f>(J130/J10)/1.983</f>
        <v>1365.9330112407072</v>
      </c>
      <c r="K131" s="25">
        <f>(K130/K10)/1.983</f>
        <v>1564.9960145104355</v>
      </c>
      <c r="L131" s="25">
        <f>(L130/L10)/1.983</f>
        <v>2510.6572533198855</v>
      </c>
      <c r="M131" s="81" t="s">
        <v>7</v>
      </c>
      <c r="N131" s="25">
        <f>(N130/N10)/1.983</f>
        <v>3042.1648528622322</v>
      </c>
      <c r="O131" s="25">
        <f>(O130/O10)/1.983</f>
        <v>2419.7007900487474</v>
      </c>
      <c r="P131" s="25">
        <f>(P130/P10)/1.983</f>
        <v>2233.2731443072571</v>
      </c>
      <c r="Q131" s="81" t="s">
        <v>7</v>
      </c>
      <c r="R131" s="81" t="s">
        <v>7</v>
      </c>
    </row>
    <row r="132" spans="1:20" ht="15.75" customHeight="1" x14ac:dyDescent="0.3">
      <c r="A132" s="28"/>
      <c r="B132" s="1"/>
      <c r="C132" s="1"/>
      <c r="D132" s="1"/>
      <c r="E132" s="1"/>
      <c r="F132" s="1"/>
      <c r="G132" s="1"/>
      <c r="H132" s="1"/>
      <c r="I132" s="1"/>
      <c r="J132" s="1"/>
      <c r="K132" s="1"/>
      <c r="L132" s="1"/>
      <c r="M132" s="1"/>
      <c r="N132" s="1"/>
      <c r="O132" s="1"/>
      <c r="P132" s="1"/>
      <c r="Q132" s="1"/>
      <c r="R132" s="2"/>
    </row>
    <row r="133" spans="1:20" ht="15.75" customHeight="1" thickBot="1" x14ac:dyDescent="0.35">
      <c r="A133" s="28" t="s">
        <v>7</v>
      </c>
      <c r="B133" s="1"/>
      <c r="C133" s="1"/>
      <c r="D133" s="1"/>
      <c r="E133" s="1"/>
      <c r="F133" s="1"/>
      <c r="G133" s="1"/>
      <c r="H133" s="1"/>
      <c r="I133" s="1"/>
      <c r="J133" s="1"/>
      <c r="K133" s="1"/>
      <c r="L133" s="1"/>
      <c r="M133" s="1"/>
      <c r="N133" s="1"/>
      <c r="O133" s="1"/>
      <c r="P133" s="1"/>
      <c r="Q133" s="1"/>
      <c r="R133" s="2"/>
    </row>
    <row r="134" spans="1:20" ht="16.5" customHeight="1" thickBot="1" x14ac:dyDescent="0.35">
      <c r="A134" s="29" t="s">
        <v>108</v>
      </c>
      <c r="B134" s="30" t="s">
        <v>8</v>
      </c>
      <c r="C134" s="31" t="s">
        <v>9</v>
      </c>
      <c r="D134" s="31" t="s">
        <v>10</v>
      </c>
      <c r="E134" s="32" t="s">
        <v>11</v>
      </c>
      <c r="F134" s="31" t="s">
        <v>12</v>
      </c>
      <c r="G134" s="31" t="s">
        <v>13</v>
      </c>
      <c r="H134" s="31" t="s">
        <v>14</v>
      </c>
      <c r="I134" s="33" t="s">
        <v>15</v>
      </c>
      <c r="J134" s="31" t="s">
        <v>16</v>
      </c>
      <c r="K134" s="31" t="s">
        <v>17</v>
      </c>
      <c r="L134" s="31" t="s">
        <v>18</v>
      </c>
      <c r="M134" s="33" t="s">
        <v>19</v>
      </c>
      <c r="N134" s="31" t="s">
        <v>20</v>
      </c>
      <c r="O134" s="31" t="s">
        <v>21</v>
      </c>
      <c r="P134" s="31" t="s">
        <v>22</v>
      </c>
      <c r="Q134" s="33" t="s">
        <v>23</v>
      </c>
      <c r="R134" s="34" t="s">
        <v>24</v>
      </c>
    </row>
    <row r="135" spans="1:20" ht="16.5" customHeight="1" thickBot="1" x14ac:dyDescent="0.35">
      <c r="A135" s="74"/>
      <c r="B135" s="75"/>
      <c r="C135" s="75"/>
      <c r="D135" s="75"/>
      <c r="E135" s="82"/>
      <c r="F135" s="75"/>
      <c r="G135" s="75"/>
      <c r="H135" s="75"/>
      <c r="I135" s="82"/>
      <c r="J135" s="75"/>
      <c r="K135" s="75"/>
      <c r="L135" s="75"/>
      <c r="M135" s="82"/>
      <c r="N135" s="75"/>
      <c r="O135" s="75"/>
      <c r="P135" s="75"/>
      <c r="Q135" s="82"/>
      <c r="R135" s="74"/>
    </row>
    <row r="136" spans="1:20" ht="15.75" customHeight="1" x14ac:dyDescent="0.3">
      <c r="A136" s="15" t="s">
        <v>48</v>
      </c>
      <c r="B136" s="1" t="s">
        <v>7</v>
      </c>
      <c r="C136" s="1" t="s">
        <v>7</v>
      </c>
      <c r="D136" s="1" t="s">
        <v>7</v>
      </c>
      <c r="E136" s="55" t="s">
        <v>7</v>
      </c>
      <c r="F136" s="1" t="s">
        <v>7</v>
      </c>
      <c r="G136" s="1" t="s">
        <v>7</v>
      </c>
      <c r="H136" s="1" t="s">
        <v>7</v>
      </c>
      <c r="I136" s="55" t="s">
        <v>7</v>
      </c>
      <c r="J136" s="1" t="s">
        <v>7</v>
      </c>
      <c r="K136" s="1" t="s">
        <v>7</v>
      </c>
      <c r="L136" s="1" t="s">
        <v>7</v>
      </c>
      <c r="M136" s="55" t="s">
        <v>7</v>
      </c>
      <c r="N136" s="1" t="s">
        <v>7</v>
      </c>
      <c r="O136" s="1" t="s">
        <v>7</v>
      </c>
      <c r="P136" s="1" t="s">
        <v>7</v>
      </c>
      <c r="Q136" s="55" t="s">
        <v>7</v>
      </c>
      <c r="R136" s="83" t="s">
        <v>7</v>
      </c>
    </row>
    <row r="137" spans="1:20" ht="15.75" customHeight="1" x14ac:dyDescent="0.3">
      <c r="A137" s="15" t="s">
        <v>49</v>
      </c>
      <c r="B137" s="1"/>
      <c r="C137" s="1"/>
      <c r="D137" s="1"/>
      <c r="E137" s="55" t="s">
        <v>7</v>
      </c>
      <c r="F137" s="1"/>
      <c r="G137" s="1"/>
      <c r="H137" s="1"/>
      <c r="I137" s="55" t="s">
        <v>7</v>
      </c>
      <c r="J137" s="1"/>
      <c r="K137" s="1"/>
      <c r="L137" s="1"/>
      <c r="M137" s="55" t="s">
        <v>7</v>
      </c>
      <c r="N137" s="1"/>
      <c r="O137" s="1"/>
      <c r="P137" s="1"/>
      <c r="Q137" s="55" t="s">
        <v>7</v>
      </c>
      <c r="R137" s="83"/>
    </row>
    <row r="138" spans="1:20" ht="15.75" customHeight="1" x14ac:dyDescent="0.3">
      <c r="A138" s="84" t="s">
        <v>811</v>
      </c>
      <c r="B138" s="1"/>
      <c r="C138" s="1"/>
      <c r="D138" s="1">
        <v>200</v>
      </c>
      <c r="E138" s="55">
        <f t="shared" ref="E138:E152" si="21">SUM(B138:D138)</f>
        <v>200</v>
      </c>
      <c r="F138" s="1">
        <v>599</v>
      </c>
      <c r="G138" s="1">
        <v>649</v>
      </c>
      <c r="H138" s="1">
        <v>847</v>
      </c>
      <c r="I138" s="55">
        <f t="shared" ref="I138:I152" si="22">SUM(F138:H138)</f>
        <v>2095</v>
      </c>
      <c r="J138" s="1">
        <v>620</v>
      </c>
      <c r="K138" s="1">
        <v>698</v>
      </c>
      <c r="L138" s="1">
        <v>576</v>
      </c>
      <c r="M138" s="55">
        <f t="shared" ref="M138:M152" si="23">SUM(J138:L138)</f>
        <v>1894</v>
      </c>
      <c r="N138" s="1"/>
      <c r="O138" s="1"/>
      <c r="P138" s="1"/>
      <c r="Q138" s="55">
        <f>SUM(N138:P138)</f>
        <v>0</v>
      </c>
      <c r="R138" s="55">
        <f>+E138+I138+M138+Q138</f>
        <v>4189</v>
      </c>
      <c r="T138" s="4" t="s">
        <v>812</v>
      </c>
    </row>
    <row r="139" spans="1:20" ht="15.75" customHeight="1" x14ac:dyDescent="0.3">
      <c r="A139" s="84" t="s">
        <v>813</v>
      </c>
      <c r="B139" s="1"/>
      <c r="C139" s="1">
        <v>245</v>
      </c>
      <c r="D139" s="1">
        <v>699</v>
      </c>
      <c r="E139" s="55">
        <f t="shared" si="21"/>
        <v>944</v>
      </c>
      <c r="F139" s="1">
        <v>996</v>
      </c>
      <c r="G139" s="1">
        <v>1374</v>
      </c>
      <c r="H139" s="1">
        <v>1259</v>
      </c>
      <c r="I139" s="55">
        <f t="shared" si="22"/>
        <v>3629</v>
      </c>
      <c r="J139" s="1">
        <v>1586</v>
      </c>
      <c r="K139" s="1">
        <v>1200</v>
      </c>
      <c r="L139" s="1">
        <v>1269</v>
      </c>
      <c r="M139" s="55">
        <f t="shared" si="23"/>
        <v>4055</v>
      </c>
      <c r="N139" s="1">
        <v>984</v>
      </c>
      <c r="O139" s="1">
        <v>930</v>
      </c>
      <c r="P139" s="1">
        <v>285</v>
      </c>
      <c r="Q139" s="55">
        <f>SUM(N139:P139)</f>
        <v>2199</v>
      </c>
      <c r="R139" s="55">
        <f>+E139+I139+M139+Q139</f>
        <v>10827</v>
      </c>
      <c r="T139" s="4" t="s">
        <v>812</v>
      </c>
    </row>
    <row r="140" spans="1:20" ht="15.75" customHeight="1" x14ac:dyDescent="0.3">
      <c r="A140" s="84" t="s">
        <v>814</v>
      </c>
      <c r="B140" s="1"/>
      <c r="C140" s="1"/>
      <c r="D140" s="1">
        <v>221</v>
      </c>
      <c r="E140" s="55">
        <f t="shared" si="21"/>
        <v>221</v>
      </c>
      <c r="F140" s="1">
        <v>339</v>
      </c>
      <c r="G140" s="1">
        <v>339</v>
      </c>
      <c r="H140" s="1">
        <v>562</v>
      </c>
      <c r="I140" s="55">
        <f t="shared" si="22"/>
        <v>1240</v>
      </c>
      <c r="J140" s="1">
        <v>339</v>
      </c>
      <c r="K140" s="1">
        <v>265</v>
      </c>
      <c r="L140" s="1">
        <v>307</v>
      </c>
      <c r="M140" s="55">
        <f t="shared" si="23"/>
        <v>911</v>
      </c>
      <c r="N140" s="1"/>
      <c r="O140" s="1"/>
      <c r="P140" s="1"/>
      <c r="Q140" s="55">
        <f>SUM(N140:P140)</f>
        <v>0</v>
      </c>
      <c r="R140" s="55">
        <f>+E140+I140+M140+Q140</f>
        <v>2372</v>
      </c>
      <c r="T140" s="4" t="s">
        <v>812</v>
      </c>
    </row>
    <row r="141" spans="1:20" ht="15.75" customHeight="1" x14ac:dyDescent="0.3">
      <c r="A141" s="84" t="s">
        <v>815</v>
      </c>
      <c r="B141" s="1"/>
      <c r="C141" s="1"/>
      <c r="D141" s="1">
        <v>222</v>
      </c>
      <c r="E141" s="55">
        <f t="shared" si="21"/>
        <v>222</v>
      </c>
      <c r="F141" s="1">
        <v>323</v>
      </c>
      <c r="G141" s="1">
        <v>323</v>
      </c>
      <c r="H141" s="1">
        <v>539</v>
      </c>
      <c r="I141" s="55">
        <f t="shared" si="22"/>
        <v>1185</v>
      </c>
      <c r="J141" s="1">
        <v>324</v>
      </c>
      <c r="K141" s="1">
        <v>323</v>
      </c>
      <c r="L141" s="1">
        <v>403</v>
      </c>
      <c r="M141" s="55">
        <f t="shared" si="23"/>
        <v>1050</v>
      </c>
      <c r="N141" s="1">
        <v>647</v>
      </c>
      <c r="O141" s="1">
        <v>127</v>
      </c>
      <c r="P141" s="1"/>
      <c r="Q141" s="55">
        <f>SUM(N141:P141)</f>
        <v>774</v>
      </c>
      <c r="R141" s="55">
        <f>+E141+I141+M141+Q141</f>
        <v>3231</v>
      </c>
      <c r="T141" s="4" t="s">
        <v>812</v>
      </c>
    </row>
    <row r="142" spans="1:20" ht="15.75" customHeight="1" x14ac:dyDescent="0.3">
      <c r="A142" s="71" t="s">
        <v>111</v>
      </c>
      <c r="B142" s="1">
        <v>0</v>
      </c>
      <c r="C142" s="1">
        <v>0</v>
      </c>
      <c r="D142" s="1">
        <v>0</v>
      </c>
      <c r="E142" s="55">
        <f t="shared" si="21"/>
        <v>0</v>
      </c>
      <c r="F142" s="1">
        <v>0</v>
      </c>
      <c r="G142" s="1">
        <v>0</v>
      </c>
      <c r="H142" s="1">
        <v>0</v>
      </c>
      <c r="I142" s="55">
        <f t="shared" si="22"/>
        <v>0</v>
      </c>
      <c r="J142" s="1">
        <v>0</v>
      </c>
      <c r="K142" s="1">
        <v>0</v>
      </c>
      <c r="L142" s="1">
        <v>0</v>
      </c>
      <c r="M142" s="55">
        <f t="shared" si="23"/>
        <v>0</v>
      </c>
      <c r="N142" s="1">
        <v>0</v>
      </c>
      <c r="O142" s="1">
        <v>0</v>
      </c>
      <c r="P142" s="1">
        <v>0</v>
      </c>
      <c r="Q142" s="55">
        <f>SUM(N142:P142)</f>
        <v>0</v>
      </c>
      <c r="R142" s="55">
        <f>+E142+I142+M142+Q142</f>
        <v>0</v>
      </c>
      <c r="T142" s="4" t="s">
        <v>406</v>
      </c>
    </row>
    <row r="143" spans="1:20" ht="15.75" customHeight="1" x14ac:dyDescent="0.3">
      <c r="A143" s="84" t="s">
        <v>817</v>
      </c>
      <c r="B143" s="1"/>
      <c r="C143" s="1"/>
      <c r="D143" s="1"/>
      <c r="E143" s="55">
        <f t="shared" si="21"/>
        <v>0</v>
      </c>
      <c r="F143" s="1"/>
      <c r="G143" s="1"/>
      <c r="H143" s="1"/>
      <c r="I143" s="55">
        <f t="shared" si="22"/>
        <v>0</v>
      </c>
      <c r="J143" s="1"/>
      <c r="K143" s="1"/>
      <c r="L143" s="1"/>
      <c r="M143" s="55">
        <f t="shared" si="23"/>
        <v>0</v>
      </c>
      <c r="N143" s="1"/>
      <c r="O143" s="1"/>
      <c r="P143" s="1"/>
      <c r="Q143" s="55">
        <f t="shared" ref="Q143:Q171" si="24">SUM(N143:P143)</f>
        <v>0</v>
      </c>
      <c r="R143" s="55">
        <f t="shared" ref="R143:R171" si="25">+E143+I143+M143+Q143</f>
        <v>0</v>
      </c>
      <c r="T143" s="4" t="s">
        <v>818</v>
      </c>
    </row>
    <row r="144" spans="1:20" ht="15.75" customHeight="1" x14ac:dyDescent="0.3">
      <c r="A144" s="84" t="s">
        <v>112</v>
      </c>
      <c r="B144" s="1"/>
      <c r="C144" s="1">
        <v>637</v>
      </c>
      <c r="D144" s="1">
        <v>1000</v>
      </c>
      <c r="E144" s="55">
        <f t="shared" si="21"/>
        <v>1637</v>
      </c>
      <c r="F144" s="1">
        <v>1285</v>
      </c>
      <c r="G144" s="1">
        <v>900</v>
      </c>
      <c r="H144" s="1">
        <v>798</v>
      </c>
      <c r="I144" s="55">
        <f t="shared" si="22"/>
        <v>2983</v>
      </c>
      <c r="J144" s="1">
        <v>796</v>
      </c>
      <c r="K144" s="1"/>
      <c r="L144" s="1"/>
      <c r="M144" s="55">
        <f t="shared" si="23"/>
        <v>796</v>
      </c>
      <c r="N144" s="1"/>
      <c r="O144" s="1"/>
      <c r="P144" s="1"/>
      <c r="Q144" s="55">
        <f t="shared" si="24"/>
        <v>0</v>
      </c>
      <c r="R144" s="55">
        <f t="shared" si="25"/>
        <v>5416</v>
      </c>
      <c r="T144" s="4" t="s">
        <v>819</v>
      </c>
    </row>
    <row r="145" spans="1:20" ht="15.75" customHeight="1" x14ac:dyDescent="0.3">
      <c r="A145" s="84" t="s">
        <v>177</v>
      </c>
      <c r="B145" s="1"/>
      <c r="C145" s="1"/>
      <c r="D145" s="1"/>
      <c r="E145" s="55">
        <f t="shared" si="21"/>
        <v>0</v>
      </c>
      <c r="F145" s="1"/>
      <c r="G145" s="1"/>
      <c r="H145" s="1"/>
      <c r="I145" s="55">
        <f t="shared" si="22"/>
        <v>0</v>
      </c>
      <c r="J145" s="1"/>
      <c r="K145" s="1"/>
      <c r="L145" s="1"/>
      <c r="M145" s="55">
        <f t="shared" si="23"/>
        <v>0</v>
      </c>
      <c r="N145" s="1"/>
      <c r="O145" s="1"/>
      <c r="P145" s="1"/>
      <c r="Q145" s="55">
        <f t="shared" si="24"/>
        <v>0</v>
      </c>
      <c r="R145" s="55">
        <f t="shared" si="25"/>
        <v>0</v>
      </c>
      <c r="T145" s="4" t="s">
        <v>818</v>
      </c>
    </row>
    <row r="146" spans="1:20" ht="15.75" customHeight="1" x14ac:dyDescent="0.3">
      <c r="A146" s="84" t="s">
        <v>178</v>
      </c>
      <c r="B146" s="1"/>
      <c r="C146" s="1"/>
      <c r="D146" s="1">
        <v>1339</v>
      </c>
      <c r="E146" s="55">
        <f t="shared" si="21"/>
        <v>1339</v>
      </c>
      <c r="F146" s="1">
        <v>661</v>
      </c>
      <c r="G146" s="1"/>
      <c r="H146" s="1">
        <v>500</v>
      </c>
      <c r="I146" s="55">
        <f t="shared" si="22"/>
        <v>1161</v>
      </c>
      <c r="J146" s="1">
        <v>736</v>
      </c>
      <c r="K146" s="1"/>
      <c r="L146" s="1"/>
      <c r="M146" s="55">
        <f t="shared" si="23"/>
        <v>736</v>
      </c>
      <c r="N146" s="1"/>
      <c r="O146" s="1"/>
      <c r="P146" s="1"/>
      <c r="Q146" s="55">
        <f t="shared" si="24"/>
        <v>0</v>
      </c>
      <c r="R146" s="55">
        <f t="shared" si="25"/>
        <v>3236</v>
      </c>
      <c r="T146" s="4" t="s">
        <v>819</v>
      </c>
    </row>
    <row r="147" spans="1:20" ht="15.75" customHeight="1" x14ac:dyDescent="0.3">
      <c r="A147" s="71" t="s">
        <v>114</v>
      </c>
      <c r="B147" s="1">
        <v>19</v>
      </c>
      <c r="C147" s="1">
        <v>8</v>
      </c>
      <c r="D147" s="1">
        <v>17</v>
      </c>
      <c r="E147" s="55">
        <f t="shared" si="21"/>
        <v>44</v>
      </c>
      <c r="F147" s="1">
        <v>60</v>
      </c>
      <c r="G147" s="1">
        <v>60</v>
      </c>
      <c r="H147" s="1">
        <v>61</v>
      </c>
      <c r="I147" s="55">
        <f t="shared" si="22"/>
        <v>181</v>
      </c>
      <c r="J147" s="1">
        <v>49</v>
      </c>
      <c r="K147" s="1">
        <v>44</v>
      </c>
      <c r="L147" s="1">
        <v>40</v>
      </c>
      <c r="M147" s="55">
        <f t="shared" si="23"/>
        <v>133</v>
      </c>
      <c r="N147" s="1">
        <v>44</v>
      </c>
      <c r="O147" s="1">
        <v>39</v>
      </c>
      <c r="P147" s="1">
        <v>49</v>
      </c>
      <c r="Q147" s="55">
        <f t="shared" si="24"/>
        <v>132</v>
      </c>
      <c r="R147" s="55">
        <f t="shared" si="25"/>
        <v>490</v>
      </c>
      <c r="T147" s="4" t="s">
        <v>824</v>
      </c>
    </row>
    <row r="148" spans="1:20" ht="15.75" customHeight="1" x14ac:dyDescent="0.3">
      <c r="A148" s="71" t="s">
        <v>115</v>
      </c>
      <c r="B148" s="1">
        <v>172</v>
      </c>
      <c r="C148" s="1">
        <v>147</v>
      </c>
      <c r="D148" s="1">
        <v>171</v>
      </c>
      <c r="E148" s="55">
        <f t="shared" si="21"/>
        <v>490</v>
      </c>
      <c r="F148" s="1">
        <v>168</v>
      </c>
      <c r="G148" s="1">
        <v>195</v>
      </c>
      <c r="H148" s="1">
        <v>208</v>
      </c>
      <c r="I148" s="55">
        <f t="shared" si="22"/>
        <v>571</v>
      </c>
      <c r="J148" s="1">
        <v>189</v>
      </c>
      <c r="K148" s="1">
        <v>212</v>
      </c>
      <c r="L148" s="1">
        <v>185</v>
      </c>
      <c r="M148" s="55">
        <f t="shared" si="23"/>
        <v>586</v>
      </c>
      <c r="N148" s="1">
        <v>171</v>
      </c>
      <c r="O148" s="1">
        <v>157</v>
      </c>
      <c r="P148" s="1">
        <v>150</v>
      </c>
      <c r="Q148" s="55">
        <f t="shared" si="24"/>
        <v>478</v>
      </c>
      <c r="R148" s="55">
        <f t="shared" si="25"/>
        <v>2125</v>
      </c>
      <c r="T148" s="4" t="s">
        <v>825</v>
      </c>
    </row>
    <row r="149" spans="1:20" ht="15.75" customHeight="1" x14ac:dyDescent="0.3">
      <c r="A149" s="71" t="s">
        <v>116</v>
      </c>
      <c r="B149" s="1"/>
      <c r="C149" s="1"/>
      <c r="D149" s="1"/>
      <c r="E149" s="55">
        <f t="shared" si="21"/>
        <v>0</v>
      </c>
      <c r="F149" s="1"/>
      <c r="G149" s="1"/>
      <c r="H149" s="1"/>
      <c r="I149" s="55">
        <f t="shared" si="22"/>
        <v>0</v>
      </c>
      <c r="J149" s="1"/>
      <c r="K149" s="1"/>
      <c r="L149" s="1"/>
      <c r="M149" s="55">
        <f t="shared" si="23"/>
        <v>0</v>
      </c>
      <c r="N149" s="1">
        <v>722</v>
      </c>
      <c r="O149" s="1"/>
      <c r="P149" s="1">
        <v>396</v>
      </c>
      <c r="Q149" s="55">
        <f t="shared" si="24"/>
        <v>1118</v>
      </c>
      <c r="R149" s="55">
        <f t="shared" si="25"/>
        <v>1118</v>
      </c>
      <c r="T149" s="4" t="s">
        <v>822</v>
      </c>
    </row>
    <row r="150" spans="1:20" ht="15.75" customHeight="1" x14ac:dyDescent="0.3">
      <c r="A150" s="84" t="s">
        <v>827</v>
      </c>
      <c r="B150" s="1"/>
      <c r="C150" s="1"/>
      <c r="D150" s="1"/>
      <c r="E150" s="55">
        <f t="shared" si="21"/>
        <v>0</v>
      </c>
      <c r="F150" s="1">
        <v>50</v>
      </c>
      <c r="G150" s="1">
        <v>25</v>
      </c>
      <c r="H150" s="1">
        <v>25</v>
      </c>
      <c r="I150" s="55">
        <f t="shared" si="22"/>
        <v>100</v>
      </c>
      <c r="J150" s="1">
        <v>25</v>
      </c>
      <c r="K150" s="1">
        <v>25</v>
      </c>
      <c r="L150" s="1">
        <v>25</v>
      </c>
      <c r="M150" s="55">
        <f t="shared" si="23"/>
        <v>75</v>
      </c>
      <c r="N150" s="1">
        <v>25</v>
      </c>
      <c r="O150" s="1">
        <v>0</v>
      </c>
      <c r="P150" s="1"/>
      <c r="Q150" s="55">
        <f t="shared" si="24"/>
        <v>25</v>
      </c>
      <c r="R150" s="55">
        <f t="shared" si="25"/>
        <v>200</v>
      </c>
      <c r="T150" s="4" t="s">
        <v>812</v>
      </c>
    </row>
    <row r="151" spans="1:20" ht="15.75" customHeight="1" x14ac:dyDescent="0.3">
      <c r="A151" s="71" t="s">
        <v>828</v>
      </c>
      <c r="B151" s="1">
        <v>410</v>
      </c>
      <c r="C151" s="1">
        <v>343</v>
      </c>
      <c r="D151" s="1">
        <v>426</v>
      </c>
      <c r="E151" s="55">
        <f t="shared" si="21"/>
        <v>1179</v>
      </c>
      <c r="F151" s="1">
        <f>528-50</f>
        <v>478</v>
      </c>
      <c r="G151" s="1">
        <f>563-25</f>
        <v>538</v>
      </c>
      <c r="H151" s="1">
        <v>582</v>
      </c>
      <c r="I151" s="55">
        <f t="shared" si="22"/>
        <v>1598</v>
      </c>
      <c r="J151" s="1">
        <v>617</v>
      </c>
      <c r="K151" s="1">
        <v>618</v>
      </c>
      <c r="L151" s="1">
        <v>540</v>
      </c>
      <c r="M151" s="55">
        <f t="shared" si="23"/>
        <v>1775</v>
      </c>
      <c r="N151" s="1">
        <v>591</v>
      </c>
      <c r="O151" s="1">
        <v>470</v>
      </c>
      <c r="P151" s="1">
        <v>412</v>
      </c>
      <c r="Q151" s="55">
        <f t="shared" si="24"/>
        <v>1473</v>
      </c>
      <c r="R151" s="55">
        <f t="shared" si="25"/>
        <v>6025</v>
      </c>
      <c r="T151" s="4" t="s">
        <v>829</v>
      </c>
    </row>
    <row r="152" spans="1:20" ht="15.75" customHeight="1" x14ac:dyDescent="0.3">
      <c r="A152" s="84" t="s">
        <v>830</v>
      </c>
      <c r="B152" s="1"/>
      <c r="C152" s="1"/>
      <c r="D152" s="1"/>
      <c r="E152" s="55">
        <f t="shared" si="21"/>
        <v>0</v>
      </c>
      <c r="F152" s="1"/>
      <c r="G152" s="1"/>
      <c r="H152" s="1"/>
      <c r="I152" s="55">
        <f t="shared" si="22"/>
        <v>0</v>
      </c>
      <c r="J152" s="1"/>
      <c r="K152" s="1"/>
      <c r="L152" s="1">
        <v>508</v>
      </c>
      <c r="M152" s="55">
        <f t="shared" si="23"/>
        <v>508</v>
      </c>
      <c r="N152" s="1"/>
      <c r="O152" s="1"/>
      <c r="P152" s="1"/>
      <c r="Q152" s="55">
        <f t="shared" si="24"/>
        <v>0</v>
      </c>
      <c r="R152" s="55">
        <f t="shared" si="25"/>
        <v>508</v>
      </c>
      <c r="T152" s="4" t="s">
        <v>819</v>
      </c>
    </row>
    <row r="153" spans="1:20" ht="15.75" customHeight="1" x14ac:dyDescent="0.3">
      <c r="A153" s="71" t="s">
        <v>831</v>
      </c>
      <c r="B153" s="1"/>
      <c r="C153" s="1"/>
      <c r="D153" s="1"/>
      <c r="E153" s="55">
        <f t="shared" ref="E153:E167" si="26">SUM(B153:D153)</f>
        <v>0</v>
      </c>
      <c r="F153" s="1"/>
      <c r="G153" s="1"/>
      <c r="H153" s="1"/>
      <c r="I153" s="55">
        <f t="shared" ref="I153:I167" si="27">SUM(F153:H153)</f>
        <v>0</v>
      </c>
      <c r="J153" s="1"/>
      <c r="K153" s="1"/>
      <c r="L153" s="1"/>
      <c r="M153" s="55">
        <f t="shared" ref="M153:M167" si="28">SUM(J153:L153)</f>
        <v>0</v>
      </c>
      <c r="N153" s="1">
        <v>892</v>
      </c>
      <c r="O153" s="1">
        <v>703</v>
      </c>
      <c r="P153" s="1">
        <v>362</v>
      </c>
      <c r="Q153" s="55">
        <f t="shared" ref="Q153:Q167" si="29">SUM(N153:P153)</f>
        <v>1957</v>
      </c>
      <c r="R153" s="55">
        <f t="shared" si="25"/>
        <v>1957</v>
      </c>
      <c r="T153" s="4" t="s">
        <v>822</v>
      </c>
    </row>
    <row r="154" spans="1:20" s="123" customFormat="1" ht="15.75" customHeight="1" x14ac:dyDescent="0.3">
      <c r="A154" s="289" t="s">
        <v>697</v>
      </c>
      <c r="B154" s="121"/>
      <c r="C154" s="121"/>
      <c r="D154" s="121"/>
      <c r="E154" s="113">
        <f t="shared" si="26"/>
        <v>0</v>
      </c>
      <c r="F154" s="121"/>
      <c r="G154" s="121"/>
      <c r="H154" s="121"/>
      <c r="I154" s="113">
        <f t="shared" si="27"/>
        <v>0</v>
      </c>
      <c r="J154" s="121"/>
      <c r="K154" s="121"/>
      <c r="L154" s="121"/>
      <c r="M154" s="113">
        <f t="shared" si="28"/>
        <v>0</v>
      </c>
      <c r="N154" s="121"/>
      <c r="O154" s="121"/>
      <c r="P154" s="121"/>
      <c r="Q154" s="113">
        <f t="shared" si="29"/>
        <v>0</v>
      </c>
      <c r="R154" s="113">
        <f t="shared" si="25"/>
        <v>0</v>
      </c>
    </row>
    <row r="155" spans="1:20" ht="15.75" customHeight="1" x14ac:dyDescent="0.3">
      <c r="A155" s="71" t="s">
        <v>698</v>
      </c>
      <c r="B155" s="1"/>
      <c r="C155" s="1"/>
      <c r="D155" s="1"/>
      <c r="E155" s="55">
        <f>SUM(B155:D155)</f>
        <v>0</v>
      </c>
      <c r="F155" s="1">
        <v>771</v>
      </c>
      <c r="G155" s="1">
        <v>1929</v>
      </c>
      <c r="H155" s="1">
        <v>2171</v>
      </c>
      <c r="I155" s="55">
        <f>SUM(F155:H155)</f>
        <v>4871</v>
      </c>
      <c r="J155" s="1">
        <v>1503</v>
      </c>
      <c r="K155" s="1">
        <v>1407</v>
      </c>
      <c r="L155" s="1">
        <v>1434</v>
      </c>
      <c r="M155" s="55">
        <f>SUM(J155:L155)</f>
        <v>4344</v>
      </c>
      <c r="N155" s="1">
        <v>1379</v>
      </c>
      <c r="O155" s="1">
        <v>903</v>
      </c>
      <c r="P155" s="1">
        <v>1631</v>
      </c>
      <c r="Q155" s="55">
        <f>SUM(N155:P155)</f>
        <v>3913</v>
      </c>
      <c r="R155" s="55">
        <f>+E155+I155+M155+Q155</f>
        <v>13128</v>
      </c>
      <c r="T155" s="4" t="s">
        <v>832</v>
      </c>
    </row>
    <row r="156" spans="1:20" ht="15.75" customHeight="1" x14ac:dyDescent="0.3">
      <c r="A156" s="84" t="s">
        <v>837</v>
      </c>
      <c r="B156" s="1"/>
      <c r="C156" s="1"/>
      <c r="D156" s="1"/>
      <c r="E156" s="55">
        <f>SUM(B156:D156)</f>
        <v>0</v>
      </c>
      <c r="F156" s="1"/>
      <c r="G156" s="1"/>
      <c r="H156" s="1"/>
      <c r="I156" s="55">
        <f>SUM(F156:H156)</f>
        <v>0</v>
      </c>
      <c r="J156" s="1"/>
      <c r="K156" s="1"/>
      <c r="L156" s="1"/>
      <c r="M156" s="55">
        <f>SUM(J156:L156)</f>
        <v>0</v>
      </c>
      <c r="N156" s="1"/>
      <c r="O156" s="1"/>
      <c r="P156" s="1"/>
      <c r="Q156" s="55">
        <f>SUM(N156:P156)</f>
        <v>0</v>
      </c>
      <c r="R156" s="55">
        <f>+E156+I156+M156+Q156</f>
        <v>0</v>
      </c>
      <c r="T156" s="4" t="s">
        <v>818</v>
      </c>
    </row>
    <row r="157" spans="1:20" ht="15.75" customHeight="1" x14ac:dyDescent="0.3">
      <c r="A157" s="84" t="s">
        <v>838</v>
      </c>
      <c r="B157" s="1"/>
      <c r="C157" s="1">
        <v>500</v>
      </c>
      <c r="D157" s="1"/>
      <c r="E157" s="55">
        <f>SUM(B157:D157)</f>
        <v>500</v>
      </c>
      <c r="F157" s="1">
        <v>800</v>
      </c>
      <c r="G157" s="1">
        <v>1038</v>
      </c>
      <c r="H157" s="1"/>
      <c r="I157" s="55">
        <f>SUM(F157:H157)</f>
        <v>1838</v>
      </c>
      <c r="J157" s="1">
        <v>1312</v>
      </c>
      <c r="K157" s="1"/>
      <c r="L157" s="1"/>
      <c r="M157" s="55">
        <f>SUM(J157:L157)</f>
        <v>1312</v>
      </c>
      <c r="N157" s="1"/>
      <c r="O157" s="1"/>
      <c r="P157" s="1"/>
      <c r="Q157" s="55">
        <f>SUM(N157:P157)</f>
        <v>0</v>
      </c>
      <c r="R157" s="55">
        <f>+E157+I157+M157+Q157</f>
        <v>3650</v>
      </c>
      <c r="T157" s="4" t="s">
        <v>819</v>
      </c>
    </row>
    <row r="158" spans="1:20" ht="15.75" customHeight="1" x14ac:dyDescent="0.3">
      <c r="A158" s="71" t="s">
        <v>120</v>
      </c>
      <c r="B158" s="1">
        <v>19</v>
      </c>
      <c r="C158" s="1">
        <v>19</v>
      </c>
      <c r="D158" s="1">
        <v>47</v>
      </c>
      <c r="E158" s="55">
        <f>SUM(B158:D158)</f>
        <v>85</v>
      </c>
      <c r="F158" s="1">
        <v>57</v>
      </c>
      <c r="G158" s="1">
        <v>65</v>
      </c>
      <c r="H158" s="1">
        <v>80</v>
      </c>
      <c r="I158" s="55">
        <f>SUM(F158:H158)</f>
        <v>202</v>
      </c>
      <c r="J158" s="1">
        <v>84</v>
      </c>
      <c r="K158" s="1">
        <v>65</v>
      </c>
      <c r="L158" s="1">
        <v>60</v>
      </c>
      <c r="M158" s="55">
        <f>SUM(J158:L158)</f>
        <v>209</v>
      </c>
      <c r="N158" s="1">
        <v>69</v>
      </c>
      <c r="O158" s="1">
        <v>36</v>
      </c>
      <c r="P158" s="1">
        <v>24</v>
      </c>
      <c r="Q158" s="55">
        <f>SUM(N158:P158)</f>
        <v>129</v>
      </c>
      <c r="R158" s="55">
        <f>+E158+I158+M158+Q158</f>
        <v>625</v>
      </c>
      <c r="T158" s="4" t="s">
        <v>406</v>
      </c>
    </row>
    <row r="159" spans="1:20" ht="15.75" customHeight="1" x14ac:dyDescent="0.3">
      <c r="A159" s="84" t="s">
        <v>839</v>
      </c>
      <c r="B159" s="1"/>
      <c r="C159" s="1"/>
      <c r="D159" s="1">
        <v>500</v>
      </c>
      <c r="E159" s="55">
        <f>SUM(B159:D159)</f>
        <v>500</v>
      </c>
      <c r="F159" s="1"/>
      <c r="G159" s="1"/>
      <c r="H159" s="1"/>
      <c r="I159" s="55">
        <f>SUM(F159:H159)</f>
        <v>0</v>
      </c>
      <c r="J159" s="1"/>
      <c r="K159" s="1"/>
      <c r="L159" s="1"/>
      <c r="M159" s="55">
        <f>SUM(J159:L159)</f>
        <v>0</v>
      </c>
      <c r="N159" s="1"/>
      <c r="O159" s="1"/>
      <c r="P159" s="1"/>
      <c r="Q159" s="55">
        <f>SUM(N159:P159)</f>
        <v>0</v>
      </c>
      <c r="R159" s="55">
        <f t="shared" si="25"/>
        <v>500</v>
      </c>
      <c r="T159" s="4" t="s">
        <v>818</v>
      </c>
    </row>
    <row r="160" spans="1:20" ht="15.75" customHeight="1" x14ac:dyDescent="0.3">
      <c r="A160" s="84" t="s">
        <v>840</v>
      </c>
      <c r="B160" s="1"/>
      <c r="C160" s="1"/>
      <c r="D160" s="1"/>
      <c r="E160" s="55">
        <f t="shared" si="26"/>
        <v>0</v>
      </c>
      <c r="F160" s="1"/>
      <c r="G160" s="1"/>
      <c r="H160" s="1"/>
      <c r="I160" s="55">
        <f t="shared" si="27"/>
        <v>0</v>
      </c>
      <c r="J160" s="1"/>
      <c r="K160" s="1"/>
      <c r="L160" s="1"/>
      <c r="M160" s="55">
        <f t="shared" si="28"/>
        <v>0</v>
      </c>
      <c r="N160" s="1"/>
      <c r="O160" s="1"/>
      <c r="P160" s="1"/>
      <c r="Q160" s="55">
        <f t="shared" si="29"/>
        <v>0</v>
      </c>
      <c r="R160" s="55">
        <f t="shared" si="25"/>
        <v>0</v>
      </c>
      <c r="T160" s="4" t="s">
        <v>819</v>
      </c>
    </row>
    <row r="161" spans="1:20" ht="15.75" customHeight="1" x14ac:dyDescent="0.3">
      <c r="A161" s="84" t="s">
        <v>841</v>
      </c>
      <c r="B161" s="1">
        <v>29</v>
      </c>
      <c r="C161" s="1">
        <v>20</v>
      </c>
      <c r="D161" s="1">
        <v>37</v>
      </c>
      <c r="E161" s="55">
        <f t="shared" si="26"/>
        <v>86</v>
      </c>
      <c r="F161" s="1">
        <v>57</v>
      </c>
      <c r="G161" s="1">
        <v>79</v>
      </c>
      <c r="H161" s="1">
        <v>92</v>
      </c>
      <c r="I161" s="55">
        <f t="shared" si="27"/>
        <v>228</v>
      </c>
      <c r="J161" s="1">
        <v>87</v>
      </c>
      <c r="K161" s="1">
        <v>76</v>
      </c>
      <c r="L161" s="1">
        <v>63</v>
      </c>
      <c r="M161" s="55">
        <f t="shared" si="28"/>
        <v>226</v>
      </c>
      <c r="N161" s="1">
        <v>97</v>
      </c>
      <c r="O161" s="1">
        <v>31</v>
      </c>
      <c r="P161" s="1">
        <v>24</v>
      </c>
      <c r="Q161" s="55">
        <f t="shared" si="29"/>
        <v>152</v>
      </c>
      <c r="R161" s="55">
        <f t="shared" si="25"/>
        <v>692</v>
      </c>
      <c r="T161" s="4" t="s">
        <v>842</v>
      </c>
    </row>
    <row r="162" spans="1:20" ht="15.75" customHeight="1" x14ac:dyDescent="0.3">
      <c r="A162" s="84" t="s">
        <v>843</v>
      </c>
      <c r="B162" s="1">
        <v>15</v>
      </c>
      <c r="C162" s="1">
        <v>16</v>
      </c>
      <c r="D162" s="1">
        <v>41</v>
      </c>
      <c r="E162" s="55">
        <f t="shared" si="26"/>
        <v>72</v>
      </c>
      <c r="F162" s="1">
        <v>56</v>
      </c>
      <c r="G162" s="1">
        <v>56</v>
      </c>
      <c r="H162" s="1">
        <v>89</v>
      </c>
      <c r="I162" s="55">
        <f t="shared" si="27"/>
        <v>201</v>
      </c>
      <c r="J162" s="1">
        <v>159</v>
      </c>
      <c r="K162" s="1">
        <v>89</v>
      </c>
      <c r="L162" s="1">
        <v>95</v>
      </c>
      <c r="M162" s="55">
        <f t="shared" si="28"/>
        <v>343</v>
      </c>
      <c r="N162" s="1">
        <v>106</v>
      </c>
      <c r="O162" s="1">
        <v>47</v>
      </c>
      <c r="P162" s="1">
        <v>23</v>
      </c>
      <c r="Q162" s="55">
        <f>SUM(N162:P162)</f>
        <v>176</v>
      </c>
      <c r="R162" s="55">
        <f>+E162+I162+M162+Q162</f>
        <v>792</v>
      </c>
      <c r="T162" s="4" t="s">
        <v>406</v>
      </c>
    </row>
    <row r="163" spans="1:20" ht="15.75" customHeight="1" x14ac:dyDescent="0.3">
      <c r="A163" s="84" t="s">
        <v>844</v>
      </c>
      <c r="B163" s="1"/>
      <c r="C163" s="1"/>
      <c r="D163" s="1"/>
      <c r="E163" s="55">
        <f t="shared" si="26"/>
        <v>0</v>
      </c>
      <c r="F163" s="1">
        <v>8</v>
      </c>
      <c r="G163" s="1">
        <v>69</v>
      </c>
      <c r="H163" s="1">
        <v>80</v>
      </c>
      <c r="I163" s="55">
        <f t="shared" si="27"/>
        <v>157</v>
      </c>
      <c r="J163" s="1">
        <v>21</v>
      </c>
      <c r="K163" s="1">
        <v>29</v>
      </c>
      <c r="L163" s="1">
        <v>27</v>
      </c>
      <c r="M163" s="55">
        <f t="shared" si="28"/>
        <v>77</v>
      </c>
      <c r="N163" s="1">
        <v>26</v>
      </c>
      <c r="O163" s="1">
        <v>1</v>
      </c>
      <c r="P163" s="1">
        <v>1</v>
      </c>
      <c r="Q163" s="55">
        <f>SUM(N163:P163)</f>
        <v>28</v>
      </c>
      <c r="R163" s="55">
        <f>+E163+I163+M163+Q163</f>
        <v>262</v>
      </c>
      <c r="T163" s="4" t="s">
        <v>812</v>
      </c>
    </row>
    <row r="164" spans="1:20" ht="15.75" customHeight="1" x14ac:dyDescent="0.3">
      <c r="A164" s="71" t="s">
        <v>845</v>
      </c>
      <c r="B164" s="1"/>
      <c r="C164" s="1"/>
      <c r="D164" s="1"/>
      <c r="E164" s="55">
        <f t="shared" si="26"/>
        <v>0</v>
      </c>
      <c r="F164" s="1"/>
      <c r="G164" s="1"/>
      <c r="H164" s="1"/>
      <c r="I164" s="55">
        <f t="shared" si="27"/>
        <v>0</v>
      </c>
      <c r="J164" s="1">
        <v>758</v>
      </c>
      <c r="K164" s="1">
        <v>1047</v>
      </c>
      <c r="L164" s="1">
        <v>946</v>
      </c>
      <c r="M164" s="55">
        <f t="shared" si="28"/>
        <v>2751</v>
      </c>
      <c r="N164" s="1">
        <v>1009</v>
      </c>
      <c r="O164" s="1">
        <v>804</v>
      </c>
      <c r="P164" s="1">
        <v>732</v>
      </c>
      <c r="Q164" s="55">
        <f t="shared" si="29"/>
        <v>2545</v>
      </c>
      <c r="R164" s="55">
        <f t="shared" si="25"/>
        <v>5296</v>
      </c>
      <c r="T164" s="4" t="s">
        <v>832</v>
      </c>
    </row>
    <row r="165" spans="1:20" ht="15.75" customHeight="1" x14ac:dyDescent="0.3">
      <c r="A165" s="71" t="s">
        <v>846</v>
      </c>
      <c r="B165" s="1"/>
      <c r="C165" s="1"/>
      <c r="D165" s="1"/>
      <c r="E165" s="55">
        <f t="shared" si="26"/>
        <v>0</v>
      </c>
      <c r="F165" s="1"/>
      <c r="G165" s="1"/>
      <c r="H165" s="1"/>
      <c r="I165" s="55">
        <f t="shared" si="27"/>
        <v>0</v>
      </c>
      <c r="J165" s="1">
        <v>2600</v>
      </c>
      <c r="K165" s="1">
        <v>1400</v>
      </c>
      <c r="L165" s="1">
        <v>1000</v>
      </c>
      <c r="M165" s="55">
        <f t="shared" si="28"/>
        <v>5000</v>
      </c>
      <c r="N165" s="1"/>
      <c r="O165" s="1"/>
      <c r="P165" s="1"/>
      <c r="Q165" s="55">
        <f t="shared" si="29"/>
        <v>0</v>
      </c>
      <c r="R165" s="55">
        <f t="shared" si="25"/>
        <v>5000</v>
      </c>
      <c r="T165" s="4" t="s">
        <v>822</v>
      </c>
    </row>
    <row r="166" spans="1:20" ht="15.75" customHeight="1" x14ac:dyDescent="0.3">
      <c r="A166" s="71" t="s">
        <v>847</v>
      </c>
      <c r="B166" s="1"/>
      <c r="C166" s="1"/>
      <c r="D166" s="1"/>
      <c r="E166" s="55">
        <f t="shared" si="26"/>
        <v>0</v>
      </c>
      <c r="F166" s="1"/>
      <c r="G166" s="1"/>
      <c r="H166" s="1"/>
      <c r="I166" s="55">
        <f t="shared" si="27"/>
        <v>0</v>
      </c>
      <c r="J166" s="1"/>
      <c r="K166" s="1"/>
      <c r="L166" s="1"/>
      <c r="M166" s="55">
        <f t="shared" si="28"/>
        <v>0</v>
      </c>
      <c r="N166" s="1"/>
      <c r="O166" s="1"/>
      <c r="P166" s="1"/>
      <c r="Q166" s="55">
        <f t="shared" si="29"/>
        <v>0</v>
      </c>
      <c r="R166" s="55">
        <f t="shared" si="25"/>
        <v>0</v>
      </c>
      <c r="T166" s="4" t="s">
        <v>822</v>
      </c>
    </row>
    <row r="167" spans="1:20" ht="15.75" customHeight="1" x14ac:dyDescent="0.3">
      <c r="A167" s="71" t="s">
        <v>122</v>
      </c>
      <c r="B167" s="1">
        <v>9443</v>
      </c>
      <c r="C167" s="1">
        <v>6325</v>
      </c>
      <c r="D167" s="1">
        <v>4654</v>
      </c>
      <c r="E167" s="55">
        <f t="shared" si="26"/>
        <v>20422</v>
      </c>
      <c r="F167" s="1">
        <v>9763</v>
      </c>
      <c r="G167" s="1">
        <v>5959</v>
      </c>
      <c r="H167" s="1"/>
      <c r="I167" s="55">
        <f t="shared" si="27"/>
        <v>15722</v>
      </c>
      <c r="J167" s="1">
        <v>9072</v>
      </c>
      <c r="K167" s="1">
        <v>14689</v>
      </c>
      <c r="L167" s="1">
        <v>12126</v>
      </c>
      <c r="M167" s="55">
        <f t="shared" si="28"/>
        <v>35887</v>
      </c>
      <c r="N167" s="1">
        <v>12169</v>
      </c>
      <c r="O167" s="1">
        <v>5034</v>
      </c>
      <c r="P167" s="1">
        <v>7170</v>
      </c>
      <c r="Q167" s="55">
        <f t="shared" si="29"/>
        <v>24373</v>
      </c>
      <c r="R167" s="55">
        <f t="shared" si="25"/>
        <v>96404</v>
      </c>
    </row>
    <row r="168" spans="1:20" ht="15.75" customHeight="1" x14ac:dyDescent="0.3">
      <c r="A168" s="71" t="s">
        <v>849</v>
      </c>
      <c r="B168" s="1">
        <v>30</v>
      </c>
      <c r="C168" s="1">
        <v>30</v>
      </c>
      <c r="D168" s="1">
        <v>30</v>
      </c>
      <c r="E168" s="55">
        <f t="shared" ref="E168:E173" si="30">SUM(B168:D168)</f>
        <v>90</v>
      </c>
      <c r="F168" s="1">
        <v>35</v>
      </c>
      <c r="G168" s="1">
        <v>35</v>
      </c>
      <c r="H168" s="1">
        <v>35</v>
      </c>
      <c r="I168" s="55">
        <f t="shared" ref="I168:I173" si="31">SUM(F168:H168)</f>
        <v>105</v>
      </c>
      <c r="J168" s="1">
        <v>35</v>
      </c>
      <c r="K168" s="1">
        <v>35</v>
      </c>
      <c r="L168" s="1">
        <v>35</v>
      </c>
      <c r="M168" s="55">
        <f t="shared" ref="M168:M173" si="32">SUM(J168:L168)</f>
        <v>105</v>
      </c>
      <c r="N168" s="1">
        <v>35</v>
      </c>
      <c r="O168" s="1">
        <v>35</v>
      </c>
      <c r="P168" s="1">
        <v>30</v>
      </c>
      <c r="Q168" s="55">
        <f t="shared" si="24"/>
        <v>100</v>
      </c>
      <c r="R168" s="55">
        <f t="shared" si="25"/>
        <v>400</v>
      </c>
      <c r="T168" s="4" t="s">
        <v>822</v>
      </c>
    </row>
    <row r="169" spans="1:20" ht="15.75" customHeight="1" x14ac:dyDescent="0.3">
      <c r="A169" s="71" t="s">
        <v>124</v>
      </c>
      <c r="B169" s="1">
        <v>3283</v>
      </c>
      <c r="C169" s="1"/>
      <c r="D169" s="1"/>
      <c r="E169" s="55">
        <f t="shared" si="30"/>
        <v>3283</v>
      </c>
      <c r="F169" s="1"/>
      <c r="G169" s="1"/>
      <c r="H169" s="1">
        <v>4881</v>
      </c>
      <c r="I169" s="55">
        <f t="shared" si="31"/>
        <v>4881</v>
      </c>
      <c r="J169" s="1">
        <v>7141</v>
      </c>
      <c r="K169" s="1">
        <v>6752</v>
      </c>
      <c r="L169" s="1">
        <v>6236</v>
      </c>
      <c r="M169" s="55">
        <f t="shared" si="32"/>
        <v>20129</v>
      </c>
      <c r="N169" s="1">
        <v>7050</v>
      </c>
      <c r="O169" s="1">
        <v>5201</v>
      </c>
      <c r="P169" s="1">
        <v>5032</v>
      </c>
      <c r="Q169" s="55">
        <f t="shared" si="24"/>
        <v>17283</v>
      </c>
      <c r="R169" s="55">
        <f t="shared" si="25"/>
        <v>45576</v>
      </c>
    </row>
    <row r="170" spans="1:20" ht="15.75" customHeight="1" x14ac:dyDescent="0.3">
      <c r="A170" s="84" t="s">
        <v>851</v>
      </c>
      <c r="B170" s="1"/>
      <c r="C170" s="1"/>
      <c r="D170" s="1"/>
      <c r="E170" s="55">
        <f t="shared" si="30"/>
        <v>0</v>
      </c>
      <c r="F170" s="1"/>
      <c r="G170" s="1"/>
      <c r="H170" s="1"/>
      <c r="I170" s="55">
        <f t="shared" si="31"/>
        <v>0</v>
      </c>
      <c r="J170" s="1"/>
      <c r="K170" s="1"/>
      <c r="L170" s="1"/>
      <c r="M170" s="55">
        <f t="shared" si="32"/>
        <v>0</v>
      </c>
      <c r="N170" s="1"/>
      <c r="O170" s="1"/>
      <c r="P170" s="1"/>
      <c r="Q170" s="55">
        <f t="shared" si="24"/>
        <v>0</v>
      </c>
      <c r="R170" s="55">
        <f t="shared" si="25"/>
        <v>0</v>
      </c>
      <c r="T170" s="4" t="s">
        <v>818</v>
      </c>
    </row>
    <row r="171" spans="1:20" ht="15.75" customHeight="1" x14ac:dyDescent="0.3">
      <c r="A171" s="84" t="s">
        <v>852</v>
      </c>
      <c r="B171" s="1"/>
      <c r="C171" s="1"/>
      <c r="D171" s="1"/>
      <c r="E171" s="55">
        <f t="shared" si="30"/>
        <v>0</v>
      </c>
      <c r="F171" s="1"/>
      <c r="G171" s="1"/>
      <c r="H171" s="1"/>
      <c r="I171" s="55">
        <f t="shared" si="31"/>
        <v>0</v>
      </c>
      <c r="J171" s="1"/>
      <c r="K171" s="1">
        <v>1738</v>
      </c>
      <c r="L171" s="1">
        <v>416</v>
      </c>
      <c r="M171" s="55">
        <f t="shared" si="32"/>
        <v>2154</v>
      </c>
      <c r="N171" s="1">
        <v>939</v>
      </c>
      <c r="O171" s="1">
        <v>2023</v>
      </c>
      <c r="P171" s="1"/>
      <c r="Q171" s="55">
        <f t="shared" si="24"/>
        <v>2962</v>
      </c>
      <c r="R171" s="55">
        <f t="shared" si="25"/>
        <v>5116</v>
      </c>
      <c r="T171" s="4" t="s">
        <v>819</v>
      </c>
    </row>
    <row r="172" spans="1:20" ht="15.75" customHeight="1" x14ac:dyDescent="0.3">
      <c r="A172" s="71" t="s">
        <v>854</v>
      </c>
      <c r="B172" s="1">
        <v>122</v>
      </c>
      <c r="C172" s="1">
        <v>300</v>
      </c>
      <c r="D172" s="1">
        <v>350</v>
      </c>
      <c r="E172" s="55">
        <f t="shared" si="30"/>
        <v>772</v>
      </c>
      <c r="F172" s="1">
        <v>350</v>
      </c>
      <c r="G172" s="1">
        <v>400</v>
      </c>
      <c r="H172" s="1">
        <v>450</v>
      </c>
      <c r="I172" s="55">
        <f t="shared" si="31"/>
        <v>1200</v>
      </c>
      <c r="J172" s="1">
        <v>493</v>
      </c>
      <c r="K172" s="1">
        <v>500</v>
      </c>
      <c r="L172" s="1">
        <v>400</v>
      </c>
      <c r="M172" s="55">
        <f t="shared" si="32"/>
        <v>1393</v>
      </c>
      <c r="N172" s="1">
        <v>400</v>
      </c>
      <c r="O172" s="1">
        <v>300</v>
      </c>
      <c r="P172" s="1">
        <v>250</v>
      </c>
      <c r="Q172" s="55">
        <f>SUM(N172:P172)</f>
        <v>950</v>
      </c>
      <c r="R172" s="55">
        <f>+E172+I172+M172+Q172</f>
        <v>4315</v>
      </c>
      <c r="T172" s="4" t="s">
        <v>822</v>
      </c>
    </row>
    <row r="173" spans="1:20" ht="15.75" customHeight="1" x14ac:dyDescent="0.3">
      <c r="A173" s="71" t="s">
        <v>700</v>
      </c>
      <c r="B173" s="1">
        <v>3</v>
      </c>
      <c r="C173" s="1">
        <v>2</v>
      </c>
      <c r="D173" s="1">
        <v>2</v>
      </c>
      <c r="E173" s="55">
        <f t="shared" si="30"/>
        <v>7</v>
      </c>
      <c r="F173" s="1">
        <v>3</v>
      </c>
      <c r="G173" s="1">
        <v>3</v>
      </c>
      <c r="H173" s="1">
        <v>3</v>
      </c>
      <c r="I173" s="55">
        <f t="shared" si="31"/>
        <v>9</v>
      </c>
      <c r="J173" s="1">
        <v>3</v>
      </c>
      <c r="K173" s="1">
        <v>3</v>
      </c>
      <c r="L173" s="1">
        <v>3</v>
      </c>
      <c r="M173" s="55">
        <f t="shared" si="32"/>
        <v>9</v>
      </c>
      <c r="N173" s="1">
        <v>3</v>
      </c>
      <c r="O173" s="1">
        <v>2</v>
      </c>
      <c r="P173" s="1">
        <v>2</v>
      </c>
      <c r="Q173" s="55">
        <f>SUM(N173:P173)</f>
        <v>7</v>
      </c>
      <c r="R173" s="55">
        <f>+E173+I173+M173+Q173</f>
        <v>32</v>
      </c>
      <c r="S173" s="4">
        <f>SUM(R138:R173)</f>
        <v>223482</v>
      </c>
    </row>
    <row r="174" spans="1:20" ht="15.75" customHeight="1" x14ac:dyDescent="0.3">
      <c r="A174" s="15" t="s">
        <v>50</v>
      </c>
      <c r="B174" s="1"/>
      <c r="C174" s="1"/>
      <c r="D174" s="1"/>
      <c r="E174" s="55" t="s">
        <v>7</v>
      </c>
      <c r="F174" s="1"/>
      <c r="G174" s="1"/>
      <c r="H174" s="1"/>
      <c r="I174" s="55" t="s">
        <v>7</v>
      </c>
      <c r="J174" s="1"/>
      <c r="K174" s="1"/>
      <c r="L174" s="1"/>
      <c r="M174" s="55" t="s">
        <v>7</v>
      </c>
      <c r="N174" s="1"/>
      <c r="O174" s="1"/>
      <c r="P174" s="1"/>
      <c r="Q174" s="55" t="s">
        <v>7</v>
      </c>
      <c r="R174" s="55" t="s">
        <v>7</v>
      </c>
    </row>
    <row r="175" spans="1:20" ht="15.75" customHeight="1" x14ac:dyDescent="0.3">
      <c r="A175" s="71" t="s">
        <v>701</v>
      </c>
      <c r="B175" s="1"/>
      <c r="C175" s="1"/>
      <c r="D175" s="1"/>
      <c r="E175" s="55">
        <f t="shared" ref="E175:E185" si="33">SUM(B175:D175)</f>
        <v>0</v>
      </c>
      <c r="F175" s="1"/>
      <c r="G175" s="1"/>
      <c r="H175" s="1"/>
      <c r="I175" s="55">
        <f t="shared" ref="I175:I185" si="34">SUM(F175:H175)</f>
        <v>0</v>
      </c>
      <c r="J175" s="1"/>
      <c r="K175" s="1"/>
      <c r="L175" s="1"/>
      <c r="M175" s="55">
        <f t="shared" ref="M175:M185" si="35">SUM(J175:L175)</f>
        <v>0</v>
      </c>
      <c r="N175" s="1"/>
      <c r="O175" s="1"/>
      <c r="P175" s="1"/>
      <c r="Q175" s="55">
        <f t="shared" ref="Q175:Q185" si="36">SUM(N175:P175)</f>
        <v>0</v>
      </c>
      <c r="R175" s="55">
        <f t="shared" ref="R175:R185" si="37">+E175+I175+M175+Q175</f>
        <v>0</v>
      </c>
    </row>
    <row r="176" spans="1:20" ht="15.75" customHeight="1" x14ac:dyDescent="0.3">
      <c r="A176" s="71" t="s">
        <v>127</v>
      </c>
      <c r="B176" s="1">
        <v>16</v>
      </c>
      <c r="C176" s="1">
        <v>15</v>
      </c>
      <c r="D176" s="1">
        <v>26</v>
      </c>
      <c r="E176" s="55">
        <f>SUM(B176:D176)</f>
        <v>57</v>
      </c>
      <c r="F176" s="1">
        <v>37</v>
      </c>
      <c r="G176" s="1">
        <v>51</v>
      </c>
      <c r="H176" s="1">
        <v>54</v>
      </c>
      <c r="I176" s="55">
        <f>SUM(F176:H176)</f>
        <v>142</v>
      </c>
      <c r="J176" s="1">
        <v>47</v>
      </c>
      <c r="K176" s="1">
        <v>49</v>
      </c>
      <c r="L176" s="1">
        <v>38</v>
      </c>
      <c r="M176" s="55">
        <f>SUM(J176:L176)</f>
        <v>134</v>
      </c>
      <c r="N176" s="1">
        <v>62</v>
      </c>
      <c r="O176" s="1">
        <v>27</v>
      </c>
      <c r="P176" s="1">
        <v>20</v>
      </c>
      <c r="Q176" s="55">
        <f>SUM(N176:P176)</f>
        <v>109</v>
      </c>
      <c r="R176" s="55">
        <f>+E176+I176+M176+Q176</f>
        <v>442</v>
      </c>
      <c r="T176" s="4" t="s">
        <v>406</v>
      </c>
    </row>
    <row r="177" spans="1:20" ht="15.75" customHeight="1" x14ac:dyDescent="0.3">
      <c r="A177" s="71" t="s">
        <v>128</v>
      </c>
      <c r="B177" s="1">
        <v>3</v>
      </c>
      <c r="C177" s="1">
        <v>2</v>
      </c>
      <c r="D177" s="1">
        <v>4</v>
      </c>
      <c r="E177" s="55">
        <f t="shared" si="33"/>
        <v>9</v>
      </c>
      <c r="F177" s="1">
        <v>10</v>
      </c>
      <c r="G177" s="1">
        <v>21</v>
      </c>
      <c r="H177" s="1">
        <v>16</v>
      </c>
      <c r="I177" s="55">
        <f t="shared" si="34"/>
        <v>47</v>
      </c>
      <c r="J177" s="1">
        <v>23</v>
      </c>
      <c r="K177" s="1">
        <v>18</v>
      </c>
      <c r="L177" s="1">
        <v>22</v>
      </c>
      <c r="M177" s="55">
        <f t="shared" si="35"/>
        <v>63</v>
      </c>
      <c r="N177" s="1">
        <v>12</v>
      </c>
      <c r="O177" s="1">
        <v>4</v>
      </c>
      <c r="P177" s="1">
        <v>3</v>
      </c>
      <c r="Q177" s="55">
        <f t="shared" si="36"/>
        <v>19</v>
      </c>
      <c r="R177" s="55">
        <f t="shared" si="37"/>
        <v>138</v>
      </c>
    </row>
    <row r="178" spans="1:20" ht="15.75" customHeight="1" x14ac:dyDescent="0.3">
      <c r="A178" s="71" t="s">
        <v>856</v>
      </c>
      <c r="B178" s="1">
        <v>35</v>
      </c>
      <c r="C178" s="1">
        <v>35</v>
      </c>
      <c r="D178" s="1">
        <v>35</v>
      </c>
      <c r="E178" s="55">
        <f t="shared" si="33"/>
        <v>105</v>
      </c>
      <c r="F178" s="1">
        <v>35</v>
      </c>
      <c r="G178" s="1">
        <v>35</v>
      </c>
      <c r="H178" s="1">
        <v>35</v>
      </c>
      <c r="I178" s="55">
        <f t="shared" si="34"/>
        <v>105</v>
      </c>
      <c r="J178" s="1">
        <v>50</v>
      </c>
      <c r="K178" s="1">
        <v>50</v>
      </c>
      <c r="L178" s="1">
        <v>50</v>
      </c>
      <c r="M178" s="55">
        <f t="shared" si="35"/>
        <v>150</v>
      </c>
      <c r="N178" s="1">
        <v>50</v>
      </c>
      <c r="O178" s="1">
        <v>50</v>
      </c>
      <c r="P178" s="1">
        <v>50</v>
      </c>
      <c r="Q178" s="55">
        <f t="shared" si="36"/>
        <v>150</v>
      </c>
      <c r="R178" s="55">
        <f t="shared" si="37"/>
        <v>510</v>
      </c>
      <c r="T178" s="4" t="s">
        <v>822</v>
      </c>
    </row>
    <row r="179" spans="1:20" ht="15.75" customHeight="1" x14ac:dyDescent="0.3">
      <c r="A179" s="71" t="s">
        <v>540</v>
      </c>
      <c r="B179" s="1"/>
      <c r="C179" s="1"/>
      <c r="D179" s="1"/>
      <c r="E179" s="55">
        <f t="shared" si="33"/>
        <v>0</v>
      </c>
      <c r="F179" s="1"/>
      <c r="G179" s="1"/>
      <c r="H179" s="1"/>
      <c r="I179" s="55">
        <f t="shared" si="34"/>
        <v>0</v>
      </c>
      <c r="J179" s="1"/>
      <c r="K179" s="1"/>
      <c r="L179" s="1"/>
      <c r="M179" s="55">
        <f t="shared" si="35"/>
        <v>0</v>
      </c>
      <c r="N179" s="1"/>
      <c r="O179" s="1"/>
      <c r="P179" s="1"/>
      <c r="Q179" s="55">
        <f t="shared" si="36"/>
        <v>0</v>
      </c>
      <c r="R179" s="55">
        <f t="shared" si="37"/>
        <v>0</v>
      </c>
    </row>
    <row r="180" spans="1:20" ht="15.75" customHeight="1" x14ac:dyDescent="0.3">
      <c r="A180" s="71" t="s">
        <v>120</v>
      </c>
      <c r="B180" s="1"/>
      <c r="C180" s="1"/>
      <c r="D180" s="1"/>
      <c r="E180" s="55">
        <f t="shared" si="33"/>
        <v>0</v>
      </c>
      <c r="F180" s="1"/>
      <c r="G180" s="1"/>
      <c r="H180" s="1"/>
      <c r="I180" s="55">
        <f t="shared" si="34"/>
        <v>0</v>
      </c>
      <c r="J180" s="1"/>
      <c r="K180" s="1"/>
      <c r="L180" s="1"/>
      <c r="M180" s="55">
        <f t="shared" si="35"/>
        <v>0</v>
      </c>
      <c r="N180" s="1">
        <v>0</v>
      </c>
      <c r="O180" s="1"/>
      <c r="P180" s="1"/>
      <c r="Q180" s="55">
        <f t="shared" si="36"/>
        <v>0</v>
      </c>
      <c r="R180" s="55">
        <f t="shared" si="37"/>
        <v>0</v>
      </c>
      <c r="T180" s="4" t="s">
        <v>406</v>
      </c>
    </row>
    <row r="181" spans="1:20" ht="15.75" customHeight="1" x14ac:dyDescent="0.3">
      <c r="A181" s="71" t="s">
        <v>132</v>
      </c>
      <c r="B181" s="1">
        <v>0</v>
      </c>
      <c r="C181" s="1">
        <v>1</v>
      </c>
      <c r="D181" s="1">
        <v>1</v>
      </c>
      <c r="E181" s="55">
        <f t="shared" si="33"/>
        <v>2</v>
      </c>
      <c r="F181" s="1">
        <v>0</v>
      </c>
      <c r="G181" s="1">
        <v>1</v>
      </c>
      <c r="H181" s="1">
        <v>0</v>
      </c>
      <c r="I181" s="55">
        <f t="shared" si="34"/>
        <v>1</v>
      </c>
      <c r="J181" s="1">
        <v>1</v>
      </c>
      <c r="K181" s="1">
        <v>0</v>
      </c>
      <c r="L181" s="1">
        <v>0</v>
      </c>
      <c r="M181" s="55">
        <f t="shared" si="35"/>
        <v>1</v>
      </c>
      <c r="N181" s="1">
        <v>0</v>
      </c>
      <c r="O181" s="1"/>
      <c r="P181" s="1"/>
      <c r="Q181" s="55">
        <f t="shared" si="36"/>
        <v>0</v>
      </c>
      <c r="R181" s="55">
        <f t="shared" si="37"/>
        <v>4</v>
      </c>
    </row>
    <row r="182" spans="1:20" ht="15.75" customHeight="1" x14ac:dyDescent="0.3">
      <c r="A182" s="84" t="s">
        <v>614</v>
      </c>
      <c r="B182" s="1"/>
      <c r="C182" s="1"/>
      <c r="D182" s="1"/>
      <c r="E182" s="55">
        <f t="shared" si="33"/>
        <v>0</v>
      </c>
      <c r="F182" s="1"/>
      <c r="G182" s="1"/>
      <c r="H182" s="1"/>
      <c r="I182" s="55">
        <f t="shared" si="34"/>
        <v>0</v>
      </c>
      <c r="J182" s="1"/>
      <c r="K182" s="1"/>
      <c r="L182" s="1"/>
      <c r="M182" s="55">
        <f t="shared" si="35"/>
        <v>0</v>
      </c>
      <c r="N182" s="1"/>
      <c r="O182" s="1"/>
      <c r="P182" s="1"/>
      <c r="Q182" s="55">
        <f t="shared" si="36"/>
        <v>0</v>
      </c>
      <c r="R182" s="55">
        <f t="shared" si="37"/>
        <v>0</v>
      </c>
    </row>
    <row r="183" spans="1:20" ht="15.75" customHeight="1" x14ac:dyDescent="0.3">
      <c r="A183" s="71" t="s">
        <v>857</v>
      </c>
      <c r="B183" s="1">
        <v>5</v>
      </c>
      <c r="C183" s="1">
        <v>5</v>
      </c>
      <c r="D183" s="1">
        <v>6</v>
      </c>
      <c r="E183" s="55">
        <f t="shared" si="33"/>
        <v>16</v>
      </c>
      <c r="F183" s="1">
        <v>6</v>
      </c>
      <c r="G183" s="1">
        <v>6</v>
      </c>
      <c r="H183" s="1">
        <v>15</v>
      </c>
      <c r="I183" s="55">
        <f t="shared" si="34"/>
        <v>27</v>
      </c>
      <c r="J183" s="1">
        <v>15</v>
      </c>
      <c r="K183" s="1">
        <v>15</v>
      </c>
      <c r="L183" s="1">
        <v>8</v>
      </c>
      <c r="M183" s="55">
        <f t="shared" si="35"/>
        <v>38</v>
      </c>
      <c r="N183" s="1">
        <v>10</v>
      </c>
      <c r="O183" s="1">
        <v>6</v>
      </c>
      <c r="P183" s="1">
        <v>3</v>
      </c>
      <c r="Q183" s="55">
        <f t="shared" si="36"/>
        <v>19</v>
      </c>
      <c r="R183" s="55">
        <f t="shared" si="37"/>
        <v>100</v>
      </c>
      <c r="T183" s="4" t="s">
        <v>822</v>
      </c>
    </row>
    <row r="184" spans="1:20" ht="15.75" customHeight="1" x14ac:dyDescent="0.3">
      <c r="A184" s="71" t="s">
        <v>858</v>
      </c>
      <c r="B184" s="1"/>
      <c r="C184" s="1"/>
      <c r="D184" s="1"/>
      <c r="E184" s="55">
        <f t="shared" si="33"/>
        <v>0</v>
      </c>
      <c r="F184" s="1"/>
      <c r="G184" s="1"/>
      <c r="H184" s="1"/>
      <c r="I184" s="55">
        <f t="shared" si="34"/>
        <v>0</v>
      </c>
      <c r="J184" s="1"/>
      <c r="K184" s="1"/>
      <c r="L184" s="1"/>
      <c r="M184" s="55">
        <f t="shared" si="35"/>
        <v>0</v>
      </c>
      <c r="N184" s="1"/>
      <c r="O184" s="1"/>
      <c r="P184" s="1"/>
      <c r="Q184" s="55">
        <f t="shared" si="36"/>
        <v>0</v>
      </c>
      <c r="R184" s="55">
        <f t="shared" si="37"/>
        <v>0</v>
      </c>
      <c r="T184" s="4" t="s">
        <v>859</v>
      </c>
    </row>
    <row r="185" spans="1:20" ht="15.75" customHeight="1" x14ac:dyDescent="0.3">
      <c r="A185" s="84" t="s">
        <v>135</v>
      </c>
      <c r="B185" s="1">
        <v>0</v>
      </c>
      <c r="C185" s="1">
        <v>0</v>
      </c>
      <c r="D185" s="1">
        <v>0</v>
      </c>
      <c r="E185" s="55">
        <f t="shared" si="33"/>
        <v>0</v>
      </c>
      <c r="F185" s="1">
        <v>8</v>
      </c>
      <c r="G185" s="1">
        <v>10</v>
      </c>
      <c r="H185" s="1">
        <v>1</v>
      </c>
      <c r="I185" s="55">
        <f t="shared" si="34"/>
        <v>19</v>
      </c>
      <c r="J185" s="1">
        <v>0</v>
      </c>
      <c r="K185" s="1">
        <v>0</v>
      </c>
      <c r="L185" s="1">
        <v>0</v>
      </c>
      <c r="M185" s="55">
        <f t="shared" si="35"/>
        <v>0</v>
      </c>
      <c r="N185" s="1">
        <v>2</v>
      </c>
      <c r="O185" s="1">
        <v>2</v>
      </c>
      <c r="P185" s="1">
        <v>2</v>
      </c>
      <c r="Q185" s="55">
        <f t="shared" si="36"/>
        <v>6</v>
      </c>
      <c r="R185" s="55">
        <f t="shared" si="37"/>
        <v>25</v>
      </c>
    </row>
    <row r="186" spans="1:20" ht="15.75" customHeight="1" x14ac:dyDescent="0.3">
      <c r="A186" s="15" t="s">
        <v>51</v>
      </c>
      <c r="B186" s="1"/>
      <c r="C186" s="1"/>
      <c r="D186" s="1"/>
      <c r="E186" s="55" t="s">
        <v>7</v>
      </c>
      <c r="F186" s="1"/>
      <c r="G186" s="1"/>
      <c r="H186" s="1"/>
      <c r="I186" s="55" t="s">
        <v>7</v>
      </c>
      <c r="J186" s="1"/>
      <c r="K186" s="1"/>
      <c r="L186" s="1"/>
      <c r="M186" s="55" t="s">
        <v>7</v>
      </c>
      <c r="N186" s="1"/>
      <c r="O186" s="1"/>
      <c r="P186" s="1"/>
      <c r="Q186" s="55" t="s">
        <v>7</v>
      </c>
      <c r="R186" s="55" t="s">
        <v>7</v>
      </c>
    </row>
    <row r="187" spans="1:20" ht="15.75" customHeight="1" x14ac:dyDescent="0.3">
      <c r="A187" s="85" t="s">
        <v>860</v>
      </c>
      <c r="B187" s="1"/>
      <c r="C187" s="1"/>
      <c r="D187" s="1"/>
      <c r="E187" s="55">
        <f>SUM(B187:D187)</f>
        <v>0</v>
      </c>
      <c r="F187" s="1"/>
      <c r="G187" s="1">
        <v>500</v>
      </c>
      <c r="H187" s="1">
        <v>306</v>
      </c>
      <c r="I187" s="55">
        <f>SUM(F187:H187)</f>
        <v>806</v>
      </c>
      <c r="J187" s="1"/>
      <c r="K187" s="1"/>
      <c r="L187" s="1"/>
      <c r="M187" s="55">
        <f>SUM(J187:L187)</f>
        <v>0</v>
      </c>
      <c r="N187" s="1"/>
      <c r="O187" s="1"/>
      <c r="P187" s="1"/>
      <c r="Q187" s="55">
        <f>SUM(N187:P187)</f>
        <v>0</v>
      </c>
      <c r="R187" s="55">
        <f>+E187+I187+M187+Q187</f>
        <v>806</v>
      </c>
      <c r="T187" s="4" t="s">
        <v>818</v>
      </c>
    </row>
    <row r="188" spans="1:20" ht="15.75" customHeight="1" x14ac:dyDescent="0.3">
      <c r="A188" s="85" t="s">
        <v>861</v>
      </c>
      <c r="B188" s="1"/>
      <c r="C188" s="1"/>
      <c r="D188" s="1"/>
      <c r="E188" s="55">
        <f>SUM(B188:D188)</f>
        <v>0</v>
      </c>
      <c r="F188" s="1"/>
      <c r="G188" s="1"/>
      <c r="H188" s="1"/>
      <c r="I188" s="55">
        <f>SUM(F188:H188)</f>
        <v>0</v>
      </c>
      <c r="J188" s="1">
        <v>6</v>
      </c>
      <c r="K188" s="1"/>
      <c r="L188" s="1"/>
      <c r="M188" s="55">
        <f>SUM(J188:L188)</f>
        <v>6</v>
      </c>
      <c r="N188" s="1"/>
      <c r="O188" s="1"/>
      <c r="P188" s="1"/>
      <c r="Q188" s="55">
        <f>SUM(N188:P188)</f>
        <v>0</v>
      </c>
      <c r="R188" s="55">
        <f>+E188+I188+M188+Q188</f>
        <v>6</v>
      </c>
      <c r="T188" s="4" t="s">
        <v>819</v>
      </c>
    </row>
    <row r="189" spans="1:20" ht="15.75" customHeight="1" x14ac:dyDescent="0.3">
      <c r="A189" s="61" t="s">
        <v>705</v>
      </c>
      <c r="B189" s="1">
        <v>9</v>
      </c>
      <c r="C189" s="1">
        <v>8</v>
      </c>
      <c r="D189" s="1">
        <v>22</v>
      </c>
      <c r="E189" s="55">
        <f>SUM(B189:D189)</f>
        <v>39</v>
      </c>
      <c r="F189" s="1">
        <v>45</v>
      </c>
      <c r="G189" s="1">
        <v>65</v>
      </c>
      <c r="H189" s="1">
        <v>84</v>
      </c>
      <c r="I189" s="55">
        <f>SUM(F189:H189)</f>
        <v>194</v>
      </c>
      <c r="J189" s="1">
        <v>52</v>
      </c>
      <c r="K189" s="1">
        <v>52</v>
      </c>
      <c r="L189" s="1">
        <v>42</v>
      </c>
      <c r="M189" s="55">
        <f>SUM(J189:L189)</f>
        <v>146</v>
      </c>
      <c r="N189" s="1">
        <v>66</v>
      </c>
      <c r="O189" s="1">
        <v>22</v>
      </c>
      <c r="P189" s="1">
        <v>10</v>
      </c>
      <c r="Q189" s="55">
        <f>SUM(N189:P189)</f>
        <v>98</v>
      </c>
      <c r="R189" s="55">
        <f>+E189+I189+M189+Q189</f>
        <v>477</v>
      </c>
      <c r="T189" s="4" t="s">
        <v>862</v>
      </c>
    </row>
    <row r="190" spans="1:20" ht="15.75" customHeight="1" thickBot="1" x14ac:dyDescent="0.35">
      <c r="A190" s="15" t="s">
        <v>53</v>
      </c>
      <c r="B190" s="1"/>
      <c r="C190" s="1"/>
      <c r="D190" s="1"/>
      <c r="E190" s="55" t="s">
        <v>7</v>
      </c>
      <c r="F190" s="1"/>
      <c r="G190" s="1"/>
      <c r="H190" s="1"/>
      <c r="I190" s="55" t="s">
        <v>7</v>
      </c>
      <c r="J190" s="1"/>
      <c r="K190" s="1"/>
      <c r="L190" s="1"/>
      <c r="M190" s="55" t="s">
        <v>7</v>
      </c>
      <c r="N190" s="1"/>
      <c r="O190" s="1"/>
      <c r="P190" s="1"/>
      <c r="Q190" s="55" t="s">
        <v>7</v>
      </c>
      <c r="R190" s="55" t="s">
        <v>7</v>
      </c>
    </row>
    <row r="191" spans="1:20" ht="16.5" customHeight="1" thickBot="1" x14ac:dyDescent="0.35">
      <c r="A191" s="57" t="s">
        <v>54</v>
      </c>
      <c r="B191" s="86">
        <f>SUM(B136:B190)</f>
        <v>13613</v>
      </c>
      <c r="C191" s="87">
        <f>SUM(C136:C190)</f>
        <v>8658</v>
      </c>
      <c r="D191" s="87">
        <f>SUM(D136:D190)</f>
        <v>10050</v>
      </c>
      <c r="E191" s="59">
        <f>SUM(B191:D191)</f>
        <v>32321</v>
      </c>
      <c r="F191" s="87">
        <f>SUM(F136:F190)</f>
        <v>17000</v>
      </c>
      <c r="G191" s="87">
        <f>SUM(G136:G190)</f>
        <v>14725</v>
      </c>
      <c r="H191" s="87">
        <f>SUM(H136:H190)</f>
        <v>13773</v>
      </c>
      <c r="I191" s="59">
        <f>SUM(F191:H191)</f>
        <v>45498</v>
      </c>
      <c r="J191" s="87">
        <f>SUM(J136:J190)</f>
        <v>28743</v>
      </c>
      <c r="K191" s="87">
        <f>SUM(K136:K190)</f>
        <v>31399</v>
      </c>
      <c r="L191" s="87">
        <f>SUM(L136:L190)</f>
        <v>26854</v>
      </c>
      <c r="M191" s="59">
        <f>SUM(J191:L191)</f>
        <v>86996</v>
      </c>
      <c r="N191" s="87">
        <f>SUM(N136:N190)</f>
        <v>27560</v>
      </c>
      <c r="O191" s="87">
        <f>SUM(O136:O190)</f>
        <v>16954</v>
      </c>
      <c r="P191" s="87">
        <f>SUM(P136:P190)</f>
        <v>16661</v>
      </c>
      <c r="Q191" s="59">
        <f>SUM(N191:P191)</f>
        <v>61175</v>
      </c>
      <c r="R191" s="59">
        <f>+E191+I191+M191+Q191</f>
        <v>225990</v>
      </c>
    </row>
    <row r="192" spans="1:20" ht="15.75" customHeight="1" x14ac:dyDescent="0.3">
      <c r="A192" s="15" t="s">
        <v>55</v>
      </c>
      <c r="B192" s="1"/>
      <c r="C192" s="1"/>
      <c r="D192" s="1"/>
      <c r="E192" s="55" t="s">
        <v>7</v>
      </c>
      <c r="F192" s="1"/>
      <c r="G192" s="1"/>
      <c r="H192" s="1"/>
      <c r="I192" s="55" t="s">
        <v>7</v>
      </c>
      <c r="J192" s="1"/>
      <c r="K192" s="1"/>
      <c r="L192" s="1"/>
      <c r="M192" s="55" t="s">
        <v>7</v>
      </c>
      <c r="N192" s="1"/>
      <c r="O192" s="1"/>
      <c r="P192" s="1"/>
      <c r="Q192" s="55" t="s">
        <v>7</v>
      </c>
      <c r="R192" s="55" t="s">
        <v>7</v>
      </c>
    </row>
    <row r="193" spans="1:20" ht="15.75" customHeight="1" x14ac:dyDescent="0.3">
      <c r="A193" s="15" t="s">
        <v>56</v>
      </c>
      <c r="B193" s="1"/>
      <c r="C193" s="1"/>
      <c r="D193" s="1"/>
      <c r="E193" s="55" t="s">
        <v>7</v>
      </c>
      <c r="F193" s="1"/>
      <c r="G193" s="1"/>
      <c r="H193" s="1"/>
      <c r="I193" s="55" t="s">
        <v>7</v>
      </c>
      <c r="J193" s="1"/>
      <c r="K193" s="1"/>
      <c r="L193" s="1"/>
      <c r="M193" s="55" t="s">
        <v>7</v>
      </c>
      <c r="N193" s="1"/>
      <c r="O193" s="1"/>
      <c r="P193" s="1"/>
      <c r="Q193" s="55" t="s">
        <v>7</v>
      </c>
      <c r="R193" s="55" t="s">
        <v>7</v>
      </c>
    </row>
    <row r="194" spans="1:20" ht="15.75" customHeight="1" x14ac:dyDescent="0.3">
      <c r="A194" s="15" t="s">
        <v>57</v>
      </c>
      <c r="B194" s="1"/>
      <c r="C194" s="1"/>
      <c r="D194" s="1"/>
      <c r="E194" s="55" t="s">
        <v>7</v>
      </c>
      <c r="F194" s="1"/>
      <c r="G194" s="1"/>
      <c r="H194" s="1"/>
      <c r="I194" s="55" t="s">
        <v>7</v>
      </c>
      <c r="J194" s="1"/>
      <c r="K194" s="1"/>
      <c r="L194" s="1"/>
      <c r="M194" s="55" t="s">
        <v>7</v>
      </c>
      <c r="N194" s="1"/>
      <c r="O194" s="1"/>
      <c r="P194" s="1"/>
      <c r="Q194" s="55" t="s">
        <v>7</v>
      </c>
      <c r="R194" s="55" t="s">
        <v>7</v>
      </c>
    </row>
    <row r="195" spans="1:20" ht="15.75" customHeight="1" x14ac:dyDescent="0.3">
      <c r="A195" s="85" t="s">
        <v>616</v>
      </c>
      <c r="B195" s="1"/>
      <c r="C195" s="1"/>
      <c r="D195" s="1">
        <v>500</v>
      </c>
      <c r="E195" s="55">
        <f>SUM(B195:D195)</f>
        <v>500</v>
      </c>
      <c r="F195" s="1">
        <v>500</v>
      </c>
      <c r="G195" s="1">
        <v>500</v>
      </c>
      <c r="H195" s="1">
        <v>500</v>
      </c>
      <c r="I195" s="55">
        <f>SUM(F195:H195)</f>
        <v>1500</v>
      </c>
      <c r="J195" s="1">
        <v>500</v>
      </c>
      <c r="K195" s="1">
        <v>500</v>
      </c>
      <c r="L195" s="1">
        <v>500</v>
      </c>
      <c r="M195" s="55">
        <f>SUM(J195:L195)</f>
        <v>1500</v>
      </c>
      <c r="N195" s="1">
        <v>500</v>
      </c>
      <c r="O195" s="1"/>
      <c r="P195" s="1"/>
      <c r="Q195" s="55">
        <f>SUM(N195:P195)</f>
        <v>500</v>
      </c>
      <c r="R195" s="55">
        <f>+E195+I195+M195+Q195</f>
        <v>4000</v>
      </c>
    </row>
    <row r="196" spans="1:20" ht="15.75" customHeight="1" x14ac:dyDescent="0.3">
      <c r="A196" s="72" t="s">
        <v>863</v>
      </c>
      <c r="B196" s="1"/>
      <c r="C196" s="1"/>
      <c r="D196" s="1"/>
      <c r="E196" s="55">
        <f>SUM(B196:D196)</f>
        <v>0</v>
      </c>
      <c r="F196" s="1">
        <v>500</v>
      </c>
      <c r="G196" s="1">
        <v>750</v>
      </c>
      <c r="H196" s="1">
        <v>750</v>
      </c>
      <c r="I196" s="55">
        <f>SUM(F196:H196)</f>
        <v>2000</v>
      </c>
      <c r="J196" s="1"/>
      <c r="K196" s="1">
        <v>500</v>
      </c>
      <c r="L196" s="1">
        <v>500</v>
      </c>
      <c r="M196" s="55">
        <f>SUM(J196:L196)</f>
        <v>1000</v>
      </c>
      <c r="N196" s="1"/>
      <c r="O196" s="1"/>
      <c r="P196" s="1">
        <v>800</v>
      </c>
      <c r="Q196" s="55">
        <f>SUM(N196:P196)</f>
        <v>800</v>
      </c>
      <c r="R196" s="55">
        <f>+E196+I196+M196+Q196</f>
        <v>3800</v>
      </c>
      <c r="T196" s="4" t="s">
        <v>822</v>
      </c>
    </row>
    <row r="197" spans="1:20" ht="15.75" customHeight="1" thickBot="1" x14ac:dyDescent="0.35">
      <c r="A197" s="15" t="s">
        <v>58</v>
      </c>
      <c r="B197" s="1"/>
      <c r="C197" s="1"/>
      <c r="D197" s="1"/>
      <c r="E197" s="55" t="s">
        <v>7</v>
      </c>
      <c r="F197" s="1"/>
      <c r="G197" s="1"/>
      <c r="H197" s="1"/>
      <c r="I197" s="55" t="s">
        <v>7</v>
      </c>
      <c r="J197" s="1"/>
      <c r="K197" s="1"/>
      <c r="L197" s="1"/>
      <c r="M197" s="55" t="s">
        <v>7</v>
      </c>
      <c r="N197" s="1"/>
      <c r="O197" s="1"/>
      <c r="P197" s="1"/>
      <c r="Q197" s="55" t="s">
        <v>7</v>
      </c>
      <c r="R197" s="55" t="s">
        <v>7</v>
      </c>
    </row>
    <row r="198" spans="1:20" ht="16.5" customHeight="1" thickBot="1" x14ac:dyDescent="0.35">
      <c r="A198" s="57" t="s">
        <v>59</v>
      </c>
      <c r="B198" s="86">
        <f>SUM(B192:B197)</f>
        <v>0</v>
      </c>
      <c r="C198" s="87">
        <f>SUM(C192:C197)</f>
        <v>0</v>
      </c>
      <c r="D198" s="87">
        <f>SUM(D192:D197)</f>
        <v>500</v>
      </c>
      <c r="E198" s="59">
        <f>SUM(B198:D198)</f>
        <v>500</v>
      </c>
      <c r="F198" s="87">
        <f>SUM(F192:F197)</f>
        <v>1000</v>
      </c>
      <c r="G198" s="87">
        <f>SUM(G192:G197)</f>
        <v>1250</v>
      </c>
      <c r="H198" s="87">
        <f>SUM(H192:H197)</f>
        <v>1250</v>
      </c>
      <c r="I198" s="59">
        <f>SUM(F198:H198)</f>
        <v>3500</v>
      </c>
      <c r="J198" s="87">
        <f>SUM(J192:J197)</f>
        <v>500</v>
      </c>
      <c r="K198" s="87">
        <f>SUM(K192:K197)</f>
        <v>1000</v>
      </c>
      <c r="L198" s="87">
        <f>SUM(L192:L197)</f>
        <v>1000</v>
      </c>
      <c r="M198" s="59">
        <f>SUM(J198:L198)</f>
        <v>2500</v>
      </c>
      <c r="N198" s="87">
        <f>SUM(N192:N197)</f>
        <v>500</v>
      </c>
      <c r="O198" s="87">
        <f>SUM(O192:O197)</f>
        <v>0</v>
      </c>
      <c r="P198" s="87">
        <f>SUM(P192:P197)</f>
        <v>800</v>
      </c>
      <c r="Q198" s="59">
        <f>SUM(N198:P198)</f>
        <v>1300</v>
      </c>
      <c r="R198" s="59">
        <f>+E198+I198+M198+Q198</f>
        <v>7800</v>
      </c>
    </row>
    <row r="199" spans="1:20" ht="15.75" customHeight="1" x14ac:dyDescent="0.3">
      <c r="A199" s="15" t="s">
        <v>60</v>
      </c>
      <c r="B199" s="1"/>
      <c r="C199" s="1"/>
      <c r="D199" s="1"/>
      <c r="E199" s="55" t="s">
        <v>7</v>
      </c>
      <c r="F199" s="1"/>
      <c r="G199" s="1"/>
      <c r="H199" s="1"/>
      <c r="I199" s="55" t="s">
        <v>7</v>
      </c>
      <c r="J199" s="1"/>
      <c r="K199" s="1"/>
      <c r="L199" s="1"/>
      <c r="M199" s="55" t="s">
        <v>7</v>
      </c>
      <c r="N199" s="1"/>
      <c r="O199" s="1"/>
      <c r="P199" s="1"/>
      <c r="Q199" s="55" t="s">
        <v>7</v>
      </c>
      <c r="R199" s="55" t="s">
        <v>7</v>
      </c>
    </row>
    <row r="200" spans="1:20" ht="15.75" customHeight="1" x14ac:dyDescent="0.3">
      <c r="A200" s="15" t="s">
        <v>61</v>
      </c>
      <c r="B200" s="1"/>
      <c r="C200" s="1"/>
      <c r="D200" s="1"/>
      <c r="E200" s="55" t="s">
        <v>7</v>
      </c>
      <c r="F200" s="1"/>
      <c r="G200" s="1"/>
      <c r="H200" s="1"/>
      <c r="I200" s="55" t="s">
        <v>7</v>
      </c>
      <c r="J200" s="1"/>
      <c r="K200" s="1"/>
      <c r="L200" s="1"/>
      <c r="M200" s="55" t="s">
        <v>7</v>
      </c>
      <c r="N200" s="1"/>
      <c r="O200" s="1"/>
      <c r="P200" s="1"/>
      <c r="Q200" s="55" t="s">
        <v>7</v>
      </c>
      <c r="R200" s="55" t="s">
        <v>7</v>
      </c>
    </row>
    <row r="201" spans="1:20" ht="15.75" customHeight="1" x14ac:dyDescent="0.3">
      <c r="A201" s="15" t="s">
        <v>62</v>
      </c>
      <c r="B201" s="1"/>
      <c r="C201" s="1"/>
      <c r="D201" s="1"/>
      <c r="E201" s="55" t="s">
        <v>7</v>
      </c>
      <c r="F201" s="1"/>
      <c r="G201" s="1"/>
      <c r="H201" s="1"/>
      <c r="I201" s="55" t="s">
        <v>7</v>
      </c>
      <c r="J201" s="1"/>
      <c r="K201" s="1"/>
      <c r="L201" s="1"/>
      <c r="M201" s="55" t="s">
        <v>7</v>
      </c>
      <c r="N201" s="1"/>
      <c r="O201" s="1"/>
      <c r="P201" s="1"/>
      <c r="Q201" s="55" t="s">
        <v>7</v>
      </c>
      <c r="R201" s="55" t="s">
        <v>7</v>
      </c>
    </row>
    <row r="202" spans="1:20" ht="15.75" customHeight="1" x14ac:dyDescent="0.3">
      <c r="A202" s="88" t="s">
        <v>142</v>
      </c>
      <c r="B202" s="1">
        <v>249</v>
      </c>
      <c r="C202" s="1">
        <v>223</v>
      </c>
      <c r="D202" s="1">
        <v>302</v>
      </c>
      <c r="E202" s="55">
        <f>SUM(B202:D202)</f>
        <v>774</v>
      </c>
      <c r="F202" s="1">
        <v>340</v>
      </c>
      <c r="G202" s="1">
        <v>461</v>
      </c>
      <c r="H202" s="1">
        <v>489</v>
      </c>
      <c r="I202" s="55">
        <f>SUM(F202:H202)</f>
        <v>1290</v>
      </c>
      <c r="J202" s="1">
        <v>491</v>
      </c>
      <c r="K202" s="1">
        <v>492</v>
      </c>
      <c r="L202" s="1">
        <v>400</v>
      </c>
      <c r="M202" s="55">
        <f>SUM(J202:L202)</f>
        <v>1383</v>
      </c>
      <c r="N202" s="1">
        <v>418</v>
      </c>
      <c r="O202" s="1">
        <v>305</v>
      </c>
      <c r="P202" s="1">
        <v>273</v>
      </c>
      <c r="Q202" s="55">
        <f>SUM(N202:P202)</f>
        <v>996</v>
      </c>
      <c r="R202" s="55">
        <f>+E202+I202+M202+Q202</f>
        <v>4443</v>
      </c>
      <c r="T202" s="4" t="s">
        <v>865</v>
      </c>
    </row>
    <row r="203" spans="1:20" ht="15.75" customHeight="1" x14ac:dyDescent="0.3">
      <c r="A203" s="88" t="s">
        <v>143</v>
      </c>
      <c r="B203" s="1"/>
      <c r="C203" s="1"/>
      <c r="D203" s="1">
        <v>357</v>
      </c>
      <c r="E203" s="55">
        <f>SUM(B203:D203)</f>
        <v>357</v>
      </c>
      <c r="F203" s="1"/>
      <c r="G203" s="1"/>
      <c r="H203" s="1"/>
      <c r="I203" s="55">
        <f>SUM(F203:H203)</f>
        <v>0</v>
      </c>
      <c r="J203" s="1"/>
      <c r="K203" s="1"/>
      <c r="L203" s="1"/>
      <c r="M203" s="55">
        <f>SUM(J203:L203)</f>
        <v>0</v>
      </c>
      <c r="N203" s="1"/>
      <c r="O203" s="1"/>
      <c r="P203" s="1"/>
      <c r="Q203" s="55">
        <f>SUM(N203:P203)</f>
        <v>0</v>
      </c>
      <c r="R203" s="55">
        <f>+E203+I203+M203+Q203</f>
        <v>357</v>
      </c>
      <c r="T203" s="4" t="s">
        <v>812</v>
      </c>
    </row>
    <row r="204" spans="1:20" ht="15.75" customHeight="1" x14ac:dyDescent="0.3">
      <c r="A204" s="88" t="s">
        <v>145</v>
      </c>
      <c r="B204" s="1">
        <v>17</v>
      </c>
      <c r="C204" s="1">
        <v>9</v>
      </c>
      <c r="D204" s="1">
        <v>27</v>
      </c>
      <c r="E204" s="55">
        <f>SUM(B204:D204)</f>
        <v>53</v>
      </c>
      <c r="F204" s="1">
        <v>52</v>
      </c>
      <c r="G204" s="1">
        <v>43</v>
      </c>
      <c r="H204" s="1">
        <v>98</v>
      </c>
      <c r="I204" s="55">
        <f>SUM(F204:H204)</f>
        <v>193</v>
      </c>
      <c r="J204" s="1">
        <v>76</v>
      </c>
      <c r="K204" s="1">
        <v>55</v>
      </c>
      <c r="L204" s="1">
        <v>44</v>
      </c>
      <c r="M204" s="55">
        <f>SUM(J204:L204)</f>
        <v>175</v>
      </c>
      <c r="N204" s="1">
        <v>65</v>
      </c>
      <c r="O204" s="1">
        <v>24</v>
      </c>
      <c r="P204" s="1">
        <v>5</v>
      </c>
      <c r="Q204" s="55">
        <f>SUM(N204:P204)</f>
        <v>94</v>
      </c>
      <c r="R204" s="55">
        <f>+E204+I204+M204+Q204</f>
        <v>515</v>
      </c>
      <c r="T204" s="4" t="s">
        <v>406</v>
      </c>
    </row>
    <row r="205" spans="1:20" ht="15.75" customHeight="1" x14ac:dyDescent="0.3">
      <c r="A205" s="72" t="s">
        <v>146</v>
      </c>
      <c r="B205" s="1"/>
      <c r="C205" s="1"/>
      <c r="D205" s="1"/>
      <c r="E205" s="55">
        <f t="shared" ref="E205:E240" si="38">SUM(B205:D205)</f>
        <v>0</v>
      </c>
      <c r="F205" s="1"/>
      <c r="G205" s="1"/>
      <c r="H205" s="1"/>
      <c r="I205" s="55">
        <f t="shared" ref="I205:I240" si="39">SUM(F205:H205)</f>
        <v>0</v>
      </c>
      <c r="J205" s="1"/>
      <c r="K205" s="1"/>
      <c r="L205" s="1"/>
      <c r="M205" s="55">
        <f t="shared" ref="M205:M240" si="40">SUM(J205:L205)</f>
        <v>0</v>
      </c>
      <c r="N205" s="1"/>
      <c r="O205" s="1"/>
      <c r="P205" s="1"/>
      <c r="Q205" s="55">
        <f t="shared" ref="Q205:Q240" si="41">SUM(N205:P205)</f>
        <v>0</v>
      </c>
      <c r="R205" s="55">
        <f t="shared" ref="R205:R240" si="42">+E205+I205+M205+Q205</f>
        <v>0</v>
      </c>
    </row>
    <row r="206" spans="1:20" ht="15.75" customHeight="1" x14ac:dyDescent="0.3">
      <c r="A206" s="72" t="s">
        <v>147</v>
      </c>
      <c r="B206" s="1"/>
      <c r="C206" s="1"/>
      <c r="D206" s="1"/>
      <c r="E206" s="55">
        <f>SUM(B206:D206)</f>
        <v>0</v>
      </c>
      <c r="F206" s="1"/>
      <c r="G206" s="1"/>
      <c r="H206" s="1"/>
      <c r="I206" s="55">
        <f>SUM(F206:H206)</f>
        <v>0</v>
      </c>
      <c r="J206" s="1"/>
      <c r="K206" s="1"/>
      <c r="L206" s="1"/>
      <c r="M206" s="55">
        <f>SUM(J206:L206)</f>
        <v>0</v>
      </c>
      <c r="N206" s="1"/>
      <c r="O206" s="1"/>
      <c r="P206" s="1"/>
      <c r="Q206" s="55">
        <f>SUM(N206:P206)</f>
        <v>0</v>
      </c>
      <c r="R206" s="55">
        <f>+E206+I206+M206+Q206</f>
        <v>0</v>
      </c>
    </row>
    <row r="207" spans="1:20" ht="15.75" customHeight="1" x14ac:dyDescent="0.3">
      <c r="A207" s="72" t="s">
        <v>148</v>
      </c>
      <c r="B207" s="1">
        <v>682</v>
      </c>
      <c r="C207" s="1"/>
      <c r="D207" s="1"/>
      <c r="E207" s="55">
        <f>SUM(B207:D207)</f>
        <v>682</v>
      </c>
      <c r="F207" s="1"/>
      <c r="G207" s="1"/>
      <c r="H207" s="1"/>
      <c r="I207" s="55">
        <f>SUM(F207:H207)</f>
        <v>0</v>
      </c>
      <c r="J207" s="1"/>
      <c r="K207" s="1"/>
      <c r="L207" s="1"/>
      <c r="M207" s="55">
        <f>SUM(J207:L207)</f>
        <v>0</v>
      </c>
      <c r="N207" s="1"/>
      <c r="O207" s="1"/>
      <c r="P207" s="1"/>
      <c r="Q207" s="55">
        <f>SUM(N207:P207)</f>
        <v>0</v>
      </c>
      <c r="R207" s="55">
        <f>+E207+I207+M207+Q207</f>
        <v>682</v>
      </c>
      <c r="T207" s="4" t="s">
        <v>832</v>
      </c>
    </row>
    <row r="208" spans="1:20" ht="15.75" customHeight="1" x14ac:dyDescent="0.3">
      <c r="A208" s="72" t="s">
        <v>149</v>
      </c>
      <c r="B208" s="1"/>
      <c r="C208" s="1"/>
      <c r="D208" s="1"/>
      <c r="E208" s="55">
        <f t="shared" si="38"/>
        <v>0</v>
      </c>
      <c r="F208" s="1"/>
      <c r="G208" s="1"/>
      <c r="H208" s="1"/>
      <c r="I208" s="55">
        <f t="shared" si="39"/>
        <v>0</v>
      </c>
      <c r="J208" s="1"/>
      <c r="K208" s="1"/>
      <c r="L208" s="1"/>
      <c r="M208" s="55">
        <f t="shared" si="40"/>
        <v>0</v>
      </c>
      <c r="N208" s="1"/>
      <c r="O208" s="1"/>
      <c r="P208" s="1"/>
      <c r="Q208" s="55">
        <f t="shared" si="41"/>
        <v>0</v>
      </c>
      <c r="R208" s="55">
        <f t="shared" si="42"/>
        <v>0</v>
      </c>
    </row>
    <row r="209" spans="1:21" ht="15.75" customHeight="1" x14ac:dyDescent="0.3">
      <c r="A209" s="72" t="s">
        <v>869</v>
      </c>
      <c r="B209" s="1">
        <v>1136</v>
      </c>
      <c r="C209" s="1"/>
      <c r="D209" s="1"/>
      <c r="E209" s="55">
        <f>SUM(B209:D209)</f>
        <v>1136</v>
      </c>
      <c r="F209" s="1"/>
      <c r="G209" s="1"/>
      <c r="H209" s="1"/>
      <c r="I209" s="55">
        <f>SUM(F209:H209)</f>
        <v>0</v>
      </c>
      <c r="J209" s="1"/>
      <c r="K209" s="1"/>
      <c r="L209" s="1"/>
      <c r="M209" s="55">
        <f>SUM(J209:L209)</f>
        <v>0</v>
      </c>
      <c r="N209" s="1"/>
      <c r="O209" s="1"/>
      <c r="P209" s="1"/>
      <c r="Q209" s="55">
        <f>SUM(N209:P209)</f>
        <v>0</v>
      </c>
      <c r="R209" s="55">
        <f t="shared" si="42"/>
        <v>1136</v>
      </c>
    </row>
    <row r="210" spans="1:21" ht="15.75" customHeight="1" x14ac:dyDescent="0.3">
      <c r="A210" s="72" t="s">
        <v>151</v>
      </c>
      <c r="B210" s="1">
        <v>23</v>
      </c>
      <c r="C210" s="1"/>
      <c r="D210" s="1"/>
      <c r="E210" s="55">
        <f t="shared" si="38"/>
        <v>23</v>
      </c>
      <c r="F210" s="1"/>
      <c r="G210" s="1"/>
      <c r="H210" s="1"/>
      <c r="I210" s="55">
        <f t="shared" si="39"/>
        <v>0</v>
      </c>
      <c r="J210" s="1"/>
      <c r="K210" s="1"/>
      <c r="L210" s="1"/>
      <c r="M210" s="55">
        <f t="shared" si="40"/>
        <v>0</v>
      </c>
      <c r="N210" s="1"/>
      <c r="O210" s="1"/>
      <c r="P210" s="1"/>
      <c r="Q210" s="55">
        <f t="shared" si="41"/>
        <v>0</v>
      </c>
      <c r="R210" s="55">
        <f t="shared" si="42"/>
        <v>23</v>
      </c>
    </row>
    <row r="211" spans="1:21" ht="15.75" customHeight="1" x14ac:dyDescent="0.3">
      <c r="A211" s="72" t="s">
        <v>870</v>
      </c>
      <c r="B211" s="1">
        <v>23</v>
      </c>
      <c r="C211" s="1"/>
      <c r="D211" s="1"/>
      <c r="E211" s="55">
        <f t="shared" si="38"/>
        <v>23</v>
      </c>
      <c r="F211" s="1"/>
      <c r="G211" s="1"/>
      <c r="H211" s="1"/>
      <c r="I211" s="55">
        <f t="shared" si="39"/>
        <v>0</v>
      </c>
      <c r="J211" s="1"/>
      <c r="K211" s="1"/>
      <c r="L211" s="1"/>
      <c r="M211" s="55">
        <f t="shared" si="40"/>
        <v>0</v>
      </c>
      <c r="N211" s="1"/>
      <c r="O211" s="1"/>
      <c r="P211" s="1"/>
      <c r="Q211" s="55">
        <f t="shared" si="41"/>
        <v>0</v>
      </c>
      <c r="R211" s="55">
        <f t="shared" si="42"/>
        <v>23</v>
      </c>
      <c r="T211" s="4" t="s">
        <v>822</v>
      </c>
    </row>
    <row r="212" spans="1:21" ht="15.75" customHeight="1" x14ac:dyDescent="0.3">
      <c r="A212" s="72" t="s">
        <v>871</v>
      </c>
      <c r="B212" s="1"/>
      <c r="C212" s="1"/>
      <c r="D212" s="1"/>
      <c r="E212" s="55">
        <f t="shared" si="38"/>
        <v>0</v>
      </c>
      <c r="F212" s="1">
        <v>7500</v>
      </c>
      <c r="G212" s="1">
        <v>2500</v>
      </c>
      <c r="H212" s="1"/>
      <c r="I212" s="55">
        <f t="shared" si="39"/>
        <v>10000</v>
      </c>
      <c r="J212" s="1"/>
      <c r="K212" s="1"/>
      <c r="L212" s="1"/>
      <c r="M212" s="55">
        <f t="shared" si="40"/>
        <v>0</v>
      </c>
      <c r="N212" s="1"/>
      <c r="O212" s="1"/>
      <c r="P212" s="1"/>
      <c r="Q212" s="55">
        <f t="shared" si="41"/>
        <v>0</v>
      </c>
      <c r="R212" s="55">
        <f t="shared" si="42"/>
        <v>10000</v>
      </c>
      <c r="T212" s="4" t="s">
        <v>822</v>
      </c>
    </row>
    <row r="213" spans="1:21" ht="15.75" customHeight="1" x14ac:dyDescent="0.3">
      <c r="A213" s="72" t="s">
        <v>153</v>
      </c>
      <c r="B213" s="1"/>
      <c r="C213" s="1"/>
      <c r="D213" s="1"/>
      <c r="E213" s="55">
        <f t="shared" si="38"/>
        <v>0</v>
      </c>
      <c r="F213" s="1"/>
      <c r="G213" s="1"/>
      <c r="H213" s="1">
        <v>4300</v>
      </c>
      <c r="I213" s="55">
        <f t="shared" si="39"/>
        <v>4300</v>
      </c>
      <c r="J213" s="1"/>
      <c r="K213" s="1"/>
      <c r="L213" s="1"/>
      <c r="M213" s="55">
        <f t="shared" si="40"/>
        <v>0</v>
      </c>
      <c r="N213" s="1"/>
      <c r="O213" s="1"/>
      <c r="P213" s="1"/>
      <c r="Q213" s="55">
        <f t="shared" si="41"/>
        <v>0</v>
      </c>
      <c r="R213" s="55">
        <f t="shared" si="42"/>
        <v>4300</v>
      </c>
    </row>
    <row r="214" spans="1:21" ht="15.75" customHeight="1" x14ac:dyDescent="0.3">
      <c r="A214" s="88" t="s">
        <v>876</v>
      </c>
      <c r="B214" s="1"/>
      <c r="C214" s="1">
        <v>87</v>
      </c>
      <c r="D214" s="1"/>
      <c r="E214" s="55">
        <f t="shared" si="38"/>
        <v>87</v>
      </c>
      <c r="F214" s="1">
        <v>1051</v>
      </c>
      <c r="G214" s="1">
        <v>470</v>
      </c>
      <c r="H214" s="1"/>
      <c r="I214" s="55">
        <f t="shared" si="39"/>
        <v>1521</v>
      </c>
      <c r="J214" s="1"/>
      <c r="K214" s="1"/>
      <c r="L214" s="1"/>
      <c r="M214" s="55">
        <f t="shared" si="40"/>
        <v>0</v>
      </c>
      <c r="N214" s="1"/>
      <c r="O214" s="1"/>
      <c r="P214" s="1"/>
      <c r="Q214" s="55">
        <f t="shared" si="41"/>
        <v>0</v>
      </c>
      <c r="R214" s="55">
        <f t="shared" si="42"/>
        <v>1608</v>
      </c>
    </row>
    <row r="215" spans="1:21" ht="15.75" customHeight="1" x14ac:dyDescent="0.3">
      <c r="A215" s="88" t="s">
        <v>877</v>
      </c>
      <c r="B215" s="1">
        <v>107</v>
      </c>
      <c r="C215" s="1"/>
      <c r="D215" s="1">
        <v>23</v>
      </c>
      <c r="E215" s="55">
        <f t="shared" si="38"/>
        <v>130</v>
      </c>
      <c r="F215" s="1"/>
      <c r="G215" s="1"/>
      <c r="H215" s="1"/>
      <c r="I215" s="55">
        <f t="shared" si="39"/>
        <v>0</v>
      </c>
      <c r="J215" s="1"/>
      <c r="K215" s="1"/>
      <c r="L215" s="1"/>
      <c r="M215" s="55">
        <f t="shared" si="40"/>
        <v>0</v>
      </c>
      <c r="N215" s="1"/>
      <c r="O215" s="1"/>
      <c r="P215" s="1"/>
      <c r="Q215" s="55">
        <f t="shared" si="41"/>
        <v>0</v>
      </c>
      <c r="R215" s="55">
        <f t="shared" si="42"/>
        <v>130</v>
      </c>
    </row>
    <row r="216" spans="1:21" ht="15.75" customHeight="1" x14ac:dyDescent="0.3">
      <c r="A216" s="72" t="s">
        <v>878</v>
      </c>
      <c r="B216" s="1">
        <v>726</v>
      </c>
      <c r="C216" s="1">
        <v>652</v>
      </c>
      <c r="D216" s="1">
        <v>746</v>
      </c>
      <c r="E216" s="55">
        <f t="shared" si="38"/>
        <v>2124</v>
      </c>
      <c r="F216" s="1">
        <v>775</v>
      </c>
      <c r="G216" s="1">
        <v>1039</v>
      </c>
      <c r="H216" s="1">
        <v>1038</v>
      </c>
      <c r="I216" s="55">
        <f t="shared" si="39"/>
        <v>2852</v>
      </c>
      <c r="J216" s="1">
        <v>286</v>
      </c>
      <c r="K216" s="1"/>
      <c r="L216" s="1"/>
      <c r="M216" s="55">
        <f t="shared" si="40"/>
        <v>286</v>
      </c>
      <c r="N216" s="1"/>
      <c r="O216" s="1"/>
      <c r="P216" s="1"/>
      <c r="Q216" s="55">
        <f t="shared" si="41"/>
        <v>0</v>
      </c>
      <c r="R216" s="55">
        <f t="shared" si="42"/>
        <v>5262</v>
      </c>
    </row>
    <row r="217" spans="1:21" ht="15.75" customHeight="1" x14ac:dyDescent="0.3">
      <c r="A217" s="72" t="s">
        <v>621</v>
      </c>
      <c r="B217" s="1"/>
      <c r="C217" s="1"/>
      <c r="D217" s="1"/>
      <c r="E217" s="55">
        <f t="shared" si="38"/>
        <v>0</v>
      </c>
      <c r="F217" s="1"/>
      <c r="G217" s="1"/>
      <c r="H217" s="1">
        <v>9482</v>
      </c>
      <c r="I217" s="55">
        <f t="shared" si="39"/>
        <v>9482</v>
      </c>
      <c r="J217" s="1">
        <v>5518</v>
      </c>
      <c r="K217" s="1"/>
      <c r="L217" s="1"/>
      <c r="M217" s="55">
        <f t="shared" si="40"/>
        <v>5518</v>
      </c>
      <c r="N217" s="1"/>
      <c r="O217" s="1"/>
      <c r="P217" s="1"/>
      <c r="Q217" s="55">
        <f t="shared" si="41"/>
        <v>0</v>
      </c>
      <c r="R217" s="55">
        <f t="shared" si="42"/>
        <v>15000</v>
      </c>
    </row>
    <row r="218" spans="1:21" ht="15.75" customHeight="1" x14ac:dyDescent="0.3">
      <c r="A218" s="72" t="s">
        <v>622</v>
      </c>
      <c r="B218" s="1"/>
      <c r="C218" s="1"/>
      <c r="D218" s="1"/>
      <c r="E218" s="55">
        <f t="shared" si="38"/>
        <v>0</v>
      </c>
      <c r="F218" s="1">
        <v>1943</v>
      </c>
      <c r="G218" s="1">
        <v>7165</v>
      </c>
      <c r="H218" s="1">
        <v>2892</v>
      </c>
      <c r="I218" s="55">
        <f t="shared" si="39"/>
        <v>12000</v>
      </c>
      <c r="J218" s="1"/>
      <c r="K218" s="1"/>
      <c r="L218" s="1"/>
      <c r="M218" s="55">
        <f t="shared" si="40"/>
        <v>0</v>
      </c>
      <c r="N218" s="1"/>
      <c r="O218" s="1"/>
      <c r="P218" s="1"/>
      <c r="Q218" s="55">
        <f t="shared" si="41"/>
        <v>0</v>
      </c>
      <c r="R218" s="55">
        <f t="shared" si="42"/>
        <v>12000</v>
      </c>
    </row>
    <row r="219" spans="1:21" ht="15.75" customHeight="1" x14ac:dyDescent="0.3">
      <c r="A219" s="72" t="s">
        <v>159</v>
      </c>
      <c r="B219" s="1"/>
      <c r="C219" s="1"/>
      <c r="D219" s="1"/>
      <c r="E219" s="55">
        <f t="shared" si="38"/>
        <v>0</v>
      </c>
      <c r="F219" s="1"/>
      <c r="G219" s="1"/>
      <c r="H219" s="1"/>
      <c r="I219" s="55">
        <f t="shared" si="39"/>
        <v>0</v>
      </c>
      <c r="J219" s="1"/>
      <c r="K219" s="1"/>
      <c r="L219" s="1"/>
      <c r="M219" s="55">
        <f t="shared" si="40"/>
        <v>0</v>
      </c>
      <c r="N219" s="1"/>
      <c r="O219" s="1"/>
      <c r="P219" s="1"/>
      <c r="Q219" s="55">
        <f t="shared" si="41"/>
        <v>0</v>
      </c>
      <c r="R219" s="55">
        <f t="shared" si="42"/>
        <v>0</v>
      </c>
    </row>
    <row r="220" spans="1:21" ht="15.75" customHeight="1" x14ac:dyDescent="0.3">
      <c r="A220" s="72" t="s">
        <v>884</v>
      </c>
      <c r="B220" s="1"/>
      <c r="C220" s="1"/>
      <c r="D220" s="1"/>
      <c r="E220" s="55">
        <f t="shared" si="38"/>
        <v>0</v>
      </c>
      <c r="F220" s="1"/>
      <c r="G220" s="1"/>
      <c r="H220" s="1"/>
      <c r="I220" s="55">
        <f t="shared" si="39"/>
        <v>0</v>
      </c>
      <c r="J220" s="1">
        <v>10</v>
      </c>
      <c r="K220" s="1">
        <v>300</v>
      </c>
      <c r="L220" s="1">
        <v>350</v>
      </c>
      <c r="M220" s="55">
        <f t="shared" si="40"/>
        <v>660</v>
      </c>
      <c r="N220" s="1"/>
      <c r="O220" s="1"/>
      <c r="P220" s="1"/>
      <c r="Q220" s="55">
        <f t="shared" si="41"/>
        <v>0</v>
      </c>
      <c r="R220" s="55">
        <f t="shared" si="42"/>
        <v>660</v>
      </c>
      <c r="S220" s="89"/>
      <c r="T220" s="89" t="s">
        <v>822</v>
      </c>
      <c r="U220" s="89"/>
    </row>
    <row r="221" spans="1:21" ht="15.75" customHeight="1" x14ac:dyDescent="0.3">
      <c r="A221" s="72" t="s">
        <v>161</v>
      </c>
      <c r="B221" s="1"/>
      <c r="C221" s="1"/>
      <c r="D221" s="1">
        <v>905</v>
      </c>
      <c r="E221" s="55">
        <f>SUM(B221:D221)</f>
        <v>905</v>
      </c>
      <c r="F221" s="1">
        <v>909</v>
      </c>
      <c r="G221" s="1"/>
      <c r="H221" s="1"/>
      <c r="I221" s="55">
        <f>SUM(F221:H221)</f>
        <v>909</v>
      </c>
      <c r="J221" s="1"/>
      <c r="K221" s="1"/>
      <c r="L221" s="1"/>
      <c r="M221" s="55">
        <f t="shared" si="40"/>
        <v>0</v>
      </c>
      <c r="N221" s="1"/>
      <c r="O221" s="1"/>
      <c r="P221" s="1"/>
      <c r="Q221" s="55">
        <f t="shared" si="41"/>
        <v>0</v>
      </c>
      <c r="R221" s="55">
        <f t="shared" si="42"/>
        <v>1814</v>
      </c>
      <c r="T221" s="4" t="s">
        <v>832</v>
      </c>
    </row>
    <row r="222" spans="1:21" ht="15.75" customHeight="1" x14ac:dyDescent="0.3">
      <c r="A222" s="72" t="s">
        <v>162</v>
      </c>
      <c r="B222" s="1"/>
      <c r="E222" s="55">
        <f t="shared" si="38"/>
        <v>0</v>
      </c>
      <c r="G222" s="1"/>
      <c r="H222" s="1"/>
      <c r="I222" s="55">
        <f t="shared" si="39"/>
        <v>0</v>
      </c>
      <c r="J222" s="1"/>
      <c r="K222" s="1"/>
      <c r="L222" s="1"/>
      <c r="M222" s="55">
        <f t="shared" si="40"/>
        <v>0</v>
      </c>
      <c r="N222" s="1"/>
      <c r="O222" s="1"/>
      <c r="P222" s="1"/>
      <c r="Q222" s="55">
        <f t="shared" si="41"/>
        <v>0</v>
      </c>
      <c r="R222" s="55">
        <f t="shared" si="42"/>
        <v>0</v>
      </c>
    </row>
    <row r="223" spans="1:21" ht="15.75" customHeight="1" x14ac:dyDescent="0.3">
      <c r="A223" s="72" t="s">
        <v>163</v>
      </c>
      <c r="B223" s="1"/>
      <c r="C223" s="1"/>
      <c r="D223" s="1"/>
      <c r="E223" s="55">
        <f t="shared" si="38"/>
        <v>0</v>
      </c>
      <c r="F223" s="1"/>
      <c r="G223" s="1">
        <v>2229</v>
      </c>
      <c r="H223" s="1">
        <v>794</v>
      </c>
      <c r="I223" s="55">
        <f t="shared" si="39"/>
        <v>3023</v>
      </c>
      <c r="J223" s="1"/>
      <c r="K223" s="1"/>
      <c r="L223" s="1"/>
      <c r="M223" s="55">
        <f t="shared" si="40"/>
        <v>0</v>
      </c>
      <c r="N223" s="1"/>
      <c r="O223" s="1"/>
      <c r="P223" s="1"/>
      <c r="Q223" s="55">
        <f t="shared" si="41"/>
        <v>0</v>
      </c>
      <c r="R223" s="55">
        <f t="shared" si="42"/>
        <v>3023</v>
      </c>
    </row>
    <row r="224" spans="1:21" ht="15.75" customHeight="1" x14ac:dyDescent="0.3">
      <c r="A224" s="72" t="s">
        <v>164</v>
      </c>
      <c r="B224" s="1">
        <v>60</v>
      </c>
      <c r="C224" s="1"/>
      <c r="D224" s="1"/>
      <c r="E224" s="55">
        <f t="shared" si="38"/>
        <v>60</v>
      </c>
      <c r="F224" s="1"/>
      <c r="G224" s="1"/>
      <c r="H224" s="1"/>
      <c r="I224" s="55">
        <f t="shared" si="39"/>
        <v>0</v>
      </c>
      <c r="J224" s="1"/>
      <c r="K224" s="1"/>
      <c r="L224" s="1"/>
      <c r="M224" s="55">
        <f t="shared" si="40"/>
        <v>0</v>
      </c>
      <c r="N224" s="1"/>
      <c r="O224" s="1"/>
      <c r="P224" s="1"/>
      <c r="Q224" s="55">
        <f t="shared" si="41"/>
        <v>0</v>
      </c>
      <c r="R224" s="55">
        <f t="shared" si="42"/>
        <v>60</v>
      </c>
    </row>
    <row r="225" spans="1:20" ht="15.75" customHeight="1" x14ac:dyDescent="0.3">
      <c r="A225" s="72" t="s">
        <v>887</v>
      </c>
      <c r="B225" s="1">
        <v>60</v>
      </c>
      <c r="C225" s="1"/>
      <c r="D225" s="1"/>
      <c r="E225" s="55">
        <f t="shared" si="38"/>
        <v>60</v>
      </c>
      <c r="F225" s="1"/>
      <c r="G225" s="1"/>
      <c r="H225" s="1"/>
      <c r="I225" s="55">
        <f t="shared" si="39"/>
        <v>0</v>
      </c>
      <c r="J225" s="1"/>
      <c r="K225" s="1"/>
      <c r="L225" s="1"/>
      <c r="M225" s="55">
        <f t="shared" si="40"/>
        <v>0</v>
      </c>
      <c r="N225" s="1"/>
      <c r="O225" s="1"/>
      <c r="P225" s="1"/>
      <c r="Q225" s="55">
        <f t="shared" si="41"/>
        <v>0</v>
      </c>
      <c r="R225" s="55">
        <f t="shared" si="42"/>
        <v>60</v>
      </c>
      <c r="T225" s="4" t="s">
        <v>822</v>
      </c>
    </row>
    <row r="226" spans="1:20" ht="15.75" customHeight="1" x14ac:dyDescent="0.3">
      <c r="A226" s="72" t="s">
        <v>888</v>
      </c>
      <c r="B226" s="1"/>
      <c r="C226" s="1"/>
      <c r="D226" s="1"/>
      <c r="E226" s="55">
        <f t="shared" si="38"/>
        <v>0</v>
      </c>
      <c r="F226" s="1"/>
      <c r="G226" s="1"/>
      <c r="H226" s="1"/>
      <c r="I226" s="55">
        <f t="shared" si="39"/>
        <v>0</v>
      </c>
      <c r="J226" s="1"/>
      <c r="K226" s="1"/>
      <c r="L226" s="1"/>
      <c r="M226" s="55">
        <f t="shared" si="40"/>
        <v>0</v>
      </c>
      <c r="N226" s="1"/>
      <c r="O226" s="1">
        <v>250</v>
      </c>
      <c r="P226" s="1"/>
      <c r="Q226" s="55">
        <f t="shared" si="41"/>
        <v>250</v>
      </c>
      <c r="R226" s="55">
        <f t="shared" si="42"/>
        <v>250</v>
      </c>
      <c r="T226" s="4" t="s">
        <v>822</v>
      </c>
    </row>
    <row r="227" spans="1:20" ht="15.75" customHeight="1" x14ac:dyDescent="0.3">
      <c r="A227" s="72" t="s">
        <v>1124</v>
      </c>
      <c r="B227" s="1">
        <v>740</v>
      </c>
      <c r="C227" s="1">
        <v>668</v>
      </c>
      <c r="D227" s="1">
        <v>789</v>
      </c>
      <c r="E227" s="55">
        <f t="shared" ref="E227:E232" si="43">SUM(B227:D227)</f>
        <v>2197</v>
      </c>
      <c r="F227" s="1">
        <v>916</v>
      </c>
      <c r="G227" s="1">
        <v>458</v>
      </c>
      <c r="H227" s="1">
        <v>539</v>
      </c>
      <c r="I227" s="55">
        <f t="shared" ref="I227:I232" si="44">SUM(F227:H227)</f>
        <v>1913</v>
      </c>
      <c r="J227" s="1">
        <v>380</v>
      </c>
      <c r="K227" s="1">
        <v>569</v>
      </c>
      <c r="L227" s="1">
        <v>752</v>
      </c>
      <c r="M227" s="55">
        <f t="shared" ref="M227:M232" si="45">SUM(J227:L227)</f>
        <v>1701</v>
      </c>
      <c r="N227" s="1">
        <v>705</v>
      </c>
      <c r="O227" s="1">
        <v>1082</v>
      </c>
      <c r="P227" s="1">
        <v>497</v>
      </c>
      <c r="Q227" s="55">
        <f t="shared" ref="Q227:Q232" si="46">SUM(N227:P227)</f>
        <v>2284</v>
      </c>
      <c r="R227" s="55">
        <f t="shared" si="42"/>
        <v>8095</v>
      </c>
      <c r="T227" s="4" t="s">
        <v>822</v>
      </c>
    </row>
    <row r="228" spans="1:20" ht="15.75" customHeight="1" x14ac:dyDescent="0.3">
      <c r="A228" s="347" t="s">
        <v>1151</v>
      </c>
      <c r="B228" s="1"/>
      <c r="C228" s="1"/>
      <c r="D228" s="1"/>
      <c r="E228" s="55">
        <f t="shared" si="43"/>
        <v>0</v>
      </c>
      <c r="F228" s="1"/>
      <c r="G228" s="1">
        <v>12000</v>
      </c>
      <c r="H228" s="1">
        <v>9500</v>
      </c>
      <c r="I228" s="55">
        <f t="shared" si="44"/>
        <v>21500</v>
      </c>
      <c r="J228" s="1">
        <v>4889</v>
      </c>
      <c r="K228" s="1"/>
      <c r="L228" s="1"/>
      <c r="M228" s="55">
        <f t="shared" si="45"/>
        <v>4889</v>
      </c>
      <c r="N228" s="1"/>
      <c r="O228" s="1"/>
      <c r="P228" s="1"/>
      <c r="Q228" s="55">
        <f t="shared" si="46"/>
        <v>0</v>
      </c>
      <c r="R228" s="55">
        <f t="shared" si="42"/>
        <v>26389</v>
      </c>
      <c r="T228" s="4" t="s">
        <v>822</v>
      </c>
    </row>
    <row r="229" spans="1:20" ht="15.75" customHeight="1" x14ac:dyDescent="0.3">
      <c r="A229" s="88" t="s">
        <v>891</v>
      </c>
      <c r="B229" s="1"/>
      <c r="C229" s="1"/>
      <c r="D229" s="1">
        <v>3392</v>
      </c>
      <c r="E229" s="55">
        <f t="shared" si="43"/>
        <v>3392</v>
      </c>
      <c r="F229" s="1">
        <v>1609</v>
      </c>
      <c r="G229" s="1">
        <v>2028</v>
      </c>
      <c r="H229" s="1">
        <v>2656</v>
      </c>
      <c r="I229" s="55">
        <f t="shared" si="44"/>
        <v>6293</v>
      </c>
      <c r="J229" s="1"/>
      <c r="K229" s="1"/>
      <c r="L229" s="1"/>
      <c r="M229" s="55">
        <f t="shared" si="45"/>
        <v>0</v>
      </c>
      <c r="N229" s="1"/>
      <c r="O229" s="1"/>
      <c r="P229" s="1"/>
      <c r="Q229" s="55">
        <f t="shared" si="46"/>
        <v>0</v>
      </c>
      <c r="R229" s="55">
        <f t="shared" si="42"/>
        <v>9685</v>
      </c>
      <c r="T229" s="4" t="s">
        <v>818</v>
      </c>
    </row>
    <row r="230" spans="1:20" ht="15.75" customHeight="1" x14ac:dyDescent="0.3">
      <c r="A230" s="88" t="s">
        <v>892</v>
      </c>
      <c r="B230" s="1"/>
      <c r="C230" s="1"/>
      <c r="D230" s="1"/>
      <c r="E230" s="55">
        <f t="shared" si="43"/>
        <v>0</v>
      </c>
      <c r="F230" s="1"/>
      <c r="G230" s="1"/>
      <c r="H230" s="1"/>
      <c r="I230" s="55">
        <f t="shared" si="44"/>
        <v>0</v>
      </c>
      <c r="J230" s="1"/>
      <c r="K230" s="1"/>
      <c r="L230" s="1"/>
      <c r="M230" s="55">
        <f t="shared" si="45"/>
        <v>0</v>
      </c>
      <c r="N230" s="1"/>
      <c r="O230" s="1"/>
      <c r="P230" s="1"/>
      <c r="Q230" s="55">
        <f t="shared" si="46"/>
        <v>0</v>
      </c>
      <c r="R230" s="55">
        <f t="shared" si="42"/>
        <v>0</v>
      </c>
      <c r="T230" s="4" t="s">
        <v>819</v>
      </c>
    </row>
    <row r="231" spans="1:20" ht="15.75" customHeight="1" x14ac:dyDescent="0.3">
      <c r="A231" s="72" t="s">
        <v>893</v>
      </c>
      <c r="B231" s="1"/>
      <c r="C231" s="1"/>
      <c r="D231" s="1"/>
      <c r="E231" s="55">
        <f t="shared" si="43"/>
        <v>0</v>
      </c>
      <c r="F231" s="1"/>
      <c r="G231" s="1"/>
      <c r="H231" s="1"/>
      <c r="I231" s="55">
        <f t="shared" si="44"/>
        <v>0</v>
      </c>
      <c r="J231" s="1"/>
      <c r="K231" s="1">
        <v>500</v>
      </c>
      <c r="L231" s="1">
        <v>1000</v>
      </c>
      <c r="M231" s="55">
        <f t="shared" si="45"/>
        <v>1500</v>
      </c>
      <c r="N231" s="1">
        <v>278</v>
      </c>
      <c r="O231" s="1"/>
      <c r="P231" s="1"/>
      <c r="Q231" s="55">
        <f t="shared" si="46"/>
        <v>278</v>
      </c>
      <c r="R231" s="55">
        <f t="shared" si="42"/>
        <v>1778</v>
      </c>
      <c r="T231" s="4" t="s">
        <v>822</v>
      </c>
    </row>
    <row r="232" spans="1:20" ht="15.75" customHeight="1" x14ac:dyDescent="0.3">
      <c r="A232" s="72" t="s">
        <v>894</v>
      </c>
      <c r="B232" s="1"/>
      <c r="C232" s="1"/>
      <c r="D232" s="1"/>
      <c r="E232" s="55">
        <f t="shared" si="43"/>
        <v>0</v>
      </c>
      <c r="F232" s="1">
        <v>477</v>
      </c>
      <c r="G232" s="1">
        <v>1118</v>
      </c>
      <c r="H232" s="1">
        <v>161</v>
      </c>
      <c r="I232" s="55">
        <f t="shared" si="44"/>
        <v>1756</v>
      </c>
      <c r="J232" s="1"/>
      <c r="K232" s="1"/>
      <c r="L232" s="1"/>
      <c r="M232" s="55">
        <f t="shared" si="45"/>
        <v>0</v>
      </c>
      <c r="N232" s="1"/>
      <c r="O232" s="1"/>
      <c r="P232" s="1"/>
      <c r="Q232" s="55">
        <f t="shared" si="46"/>
        <v>0</v>
      </c>
      <c r="R232" s="55">
        <f t="shared" si="42"/>
        <v>1756</v>
      </c>
      <c r="T232" s="4" t="s">
        <v>822</v>
      </c>
    </row>
    <row r="233" spans="1:20" ht="15.75" customHeight="1" x14ac:dyDescent="0.3">
      <c r="A233" s="72" t="s">
        <v>170</v>
      </c>
      <c r="B233" s="1">
        <v>689</v>
      </c>
      <c r="C233" s="1">
        <v>1437</v>
      </c>
      <c r="D233" s="1">
        <v>724</v>
      </c>
      <c r="E233" s="55">
        <f t="shared" si="38"/>
        <v>2850</v>
      </c>
      <c r="F233" s="1"/>
      <c r="G233" s="1"/>
      <c r="H233" s="1"/>
      <c r="I233" s="55">
        <f t="shared" si="39"/>
        <v>0</v>
      </c>
      <c r="J233" s="1"/>
      <c r="K233" s="1"/>
      <c r="L233" s="1"/>
      <c r="M233" s="55">
        <f t="shared" si="40"/>
        <v>0</v>
      </c>
      <c r="N233" s="1"/>
      <c r="O233" s="1"/>
      <c r="P233" s="1"/>
      <c r="Q233" s="55">
        <f t="shared" si="41"/>
        <v>0</v>
      </c>
      <c r="R233" s="55">
        <f t="shared" si="42"/>
        <v>2850</v>
      </c>
      <c r="T233" s="4" t="s">
        <v>832</v>
      </c>
    </row>
    <row r="234" spans="1:20" ht="15.75" customHeight="1" x14ac:dyDescent="0.3">
      <c r="A234" s="72" t="s">
        <v>171</v>
      </c>
      <c r="B234" s="1"/>
      <c r="C234" s="1"/>
      <c r="D234" s="1"/>
      <c r="E234" s="55">
        <f t="shared" si="38"/>
        <v>0</v>
      </c>
      <c r="F234" s="1"/>
      <c r="G234" s="1"/>
      <c r="H234" s="1"/>
      <c r="I234" s="55">
        <f t="shared" si="39"/>
        <v>0</v>
      </c>
      <c r="J234" s="1"/>
      <c r="K234" s="1"/>
      <c r="L234" s="1"/>
      <c r="M234" s="55">
        <f t="shared" si="40"/>
        <v>0</v>
      </c>
      <c r="N234" s="1"/>
      <c r="O234" s="1"/>
      <c r="P234" s="1"/>
      <c r="Q234" s="55">
        <f t="shared" si="41"/>
        <v>0</v>
      </c>
      <c r="R234" s="55">
        <f t="shared" si="42"/>
        <v>0</v>
      </c>
    </row>
    <row r="235" spans="1:20" ht="15.75" customHeight="1" x14ac:dyDescent="0.3">
      <c r="A235" s="72" t="s">
        <v>172</v>
      </c>
      <c r="B235" s="1"/>
      <c r="C235" s="1"/>
      <c r="D235" s="1"/>
      <c r="E235" s="55">
        <f t="shared" si="38"/>
        <v>0</v>
      </c>
      <c r="F235" s="1"/>
      <c r="G235" s="1">
        <v>4750</v>
      </c>
      <c r="H235" s="1"/>
      <c r="I235" s="55">
        <f t="shared" si="39"/>
        <v>4750</v>
      </c>
      <c r="J235" s="1"/>
      <c r="K235" s="1"/>
      <c r="L235" s="1"/>
      <c r="M235" s="55">
        <f t="shared" si="40"/>
        <v>0</v>
      </c>
      <c r="N235" s="1"/>
      <c r="O235" s="1"/>
      <c r="P235" s="1"/>
      <c r="Q235" s="55">
        <f t="shared" si="41"/>
        <v>0</v>
      </c>
      <c r="R235" s="55">
        <f t="shared" si="42"/>
        <v>4750</v>
      </c>
    </row>
    <row r="236" spans="1:20" ht="15.75" customHeight="1" x14ac:dyDescent="0.3">
      <c r="A236" s="72" t="s">
        <v>173</v>
      </c>
      <c r="B236" s="1">
        <v>95</v>
      </c>
      <c r="C236" s="1"/>
      <c r="D236" s="1"/>
      <c r="E236" s="55">
        <f t="shared" si="38"/>
        <v>95</v>
      </c>
      <c r="F236" s="1"/>
      <c r="G236" s="1"/>
      <c r="H236" s="1"/>
      <c r="I236" s="55">
        <f t="shared" si="39"/>
        <v>0</v>
      </c>
      <c r="J236" s="1"/>
      <c r="K236" s="1"/>
      <c r="L236" s="1"/>
      <c r="M236" s="55">
        <f t="shared" si="40"/>
        <v>0</v>
      </c>
      <c r="N236" s="1"/>
      <c r="O236" s="1"/>
      <c r="P236" s="1"/>
      <c r="Q236" s="55">
        <f t="shared" si="41"/>
        <v>0</v>
      </c>
      <c r="R236" s="55">
        <f t="shared" si="42"/>
        <v>95</v>
      </c>
    </row>
    <row r="237" spans="1:20" ht="15.75" customHeight="1" x14ac:dyDescent="0.3">
      <c r="A237" s="72" t="s">
        <v>895</v>
      </c>
      <c r="B237" s="1">
        <v>95</v>
      </c>
      <c r="C237" s="1"/>
      <c r="D237" s="1"/>
      <c r="E237" s="55">
        <f t="shared" si="38"/>
        <v>95</v>
      </c>
      <c r="F237" s="1"/>
      <c r="G237" s="1"/>
      <c r="H237" s="1"/>
      <c r="I237" s="55">
        <f t="shared" si="39"/>
        <v>0</v>
      </c>
      <c r="J237" s="1"/>
      <c r="K237" s="1"/>
      <c r="L237" s="1"/>
      <c r="M237" s="55">
        <f t="shared" si="40"/>
        <v>0</v>
      </c>
      <c r="N237" s="1"/>
      <c r="O237" s="1"/>
      <c r="P237" s="1"/>
      <c r="Q237" s="55">
        <f t="shared" si="41"/>
        <v>0</v>
      </c>
      <c r="R237" s="55">
        <f t="shared" si="42"/>
        <v>95</v>
      </c>
      <c r="T237" s="4" t="s">
        <v>822</v>
      </c>
    </row>
    <row r="238" spans="1:20" ht="15.75" customHeight="1" x14ac:dyDescent="0.3">
      <c r="A238" s="72" t="s">
        <v>709</v>
      </c>
      <c r="B238" s="1">
        <v>216</v>
      </c>
      <c r="C238" s="1">
        <v>3609</v>
      </c>
      <c r="D238" s="1">
        <v>4563</v>
      </c>
      <c r="E238" s="55">
        <f>SUM(B238:D238)</f>
        <v>8388</v>
      </c>
      <c r="F238" s="1">
        <v>4112</v>
      </c>
      <c r="G238" s="1"/>
      <c r="H238" s="1"/>
      <c r="I238" s="55">
        <f>SUM(F238:H238)</f>
        <v>4112</v>
      </c>
      <c r="J238" s="1"/>
      <c r="K238" s="1"/>
      <c r="L238" s="1"/>
      <c r="M238" s="55">
        <f>SUM(J238:L238)</f>
        <v>0</v>
      </c>
      <c r="N238" s="1"/>
      <c r="O238" s="1"/>
      <c r="P238" s="1"/>
      <c r="Q238" s="55">
        <f>SUM(N238:P238)</f>
        <v>0</v>
      </c>
      <c r="R238" s="55">
        <f>+E238+I238+M238+Q238</f>
        <v>12500</v>
      </c>
    </row>
    <row r="239" spans="1:20" ht="15.75" customHeight="1" thickBot="1" x14ac:dyDescent="0.35">
      <c r="A239" s="72" t="s">
        <v>175</v>
      </c>
      <c r="B239" s="1">
        <v>500</v>
      </c>
      <c r="C239" s="1"/>
      <c r="D239" s="1"/>
      <c r="E239" s="55">
        <f t="shared" si="38"/>
        <v>500</v>
      </c>
      <c r="F239" s="1"/>
      <c r="G239" s="1"/>
      <c r="H239" s="1"/>
      <c r="I239" s="55">
        <f t="shared" si="39"/>
        <v>0</v>
      </c>
      <c r="J239" s="1"/>
      <c r="K239" s="1"/>
      <c r="L239" s="1"/>
      <c r="M239" s="55">
        <f t="shared" si="40"/>
        <v>0</v>
      </c>
      <c r="N239" s="1"/>
      <c r="O239" s="1"/>
      <c r="P239" s="1"/>
      <c r="Q239" s="55">
        <f t="shared" si="41"/>
        <v>0</v>
      </c>
      <c r="R239" s="55">
        <f t="shared" si="42"/>
        <v>500</v>
      </c>
    </row>
    <row r="240" spans="1:20" ht="16.5" customHeight="1" thickBot="1" x14ac:dyDescent="0.35">
      <c r="A240" s="57" t="s">
        <v>63</v>
      </c>
      <c r="B240" s="86">
        <f>SUM(B199:B239)</f>
        <v>5418</v>
      </c>
      <c r="C240" s="87">
        <f>SUM(C199:C239)</f>
        <v>6685</v>
      </c>
      <c r="D240" s="87">
        <f>SUM(D199:D239)</f>
        <v>11828</v>
      </c>
      <c r="E240" s="59">
        <f t="shared" si="38"/>
        <v>23931</v>
      </c>
      <c r="F240" s="87">
        <f>SUM(F199:F239)</f>
        <v>19684</v>
      </c>
      <c r="G240" s="87">
        <f>SUM(G199:G239)</f>
        <v>34261</v>
      </c>
      <c r="H240" s="87">
        <f>SUM(H199:H239)</f>
        <v>31949</v>
      </c>
      <c r="I240" s="59">
        <f t="shared" si="39"/>
        <v>85894</v>
      </c>
      <c r="J240" s="87">
        <f>SUM(J199:J239)</f>
        <v>11650</v>
      </c>
      <c r="K240" s="87">
        <f>SUM(K199:K239)</f>
        <v>1916</v>
      </c>
      <c r="L240" s="87">
        <f>SUM(L199:L239)</f>
        <v>2546</v>
      </c>
      <c r="M240" s="59">
        <f t="shared" si="40"/>
        <v>16112</v>
      </c>
      <c r="N240" s="87">
        <f>SUM(N199:N239)</f>
        <v>1466</v>
      </c>
      <c r="O240" s="87">
        <f>SUM(O199:O239)</f>
        <v>1661</v>
      </c>
      <c r="P240" s="87">
        <f>SUM(P199:P239)</f>
        <v>775</v>
      </c>
      <c r="Q240" s="59">
        <f t="shared" si="41"/>
        <v>3902</v>
      </c>
      <c r="R240" s="59">
        <f t="shared" si="42"/>
        <v>129839</v>
      </c>
    </row>
    <row r="241" spans="1:21" ht="15.75" customHeight="1" x14ac:dyDescent="0.3">
      <c r="A241" s="15" t="s">
        <v>64</v>
      </c>
      <c r="B241" s="1"/>
      <c r="C241" s="1"/>
      <c r="D241" s="1"/>
      <c r="E241" s="55" t="s">
        <v>7</v>
      </c>
      <c r="F241" s="1"/>
      <c r="G241" s="1"/>
      <c r="H241" s="1"/>
      <c r="I241" s="55" t="s">
        <v>7</v>
      </c>
      <c r="J241" s="1"/>
      <c r="K241" s="1"/>
      <c r="L241" s="1"/>
      <c r="M241" s="55" t="s">
        <v>7</v>
      </c>
      <c r="N241" s="1"/>
      <c r="O241" s="1"/>
      <c r="P241" s="1"/>
      <c r="Q241" s="55" t="s">
        <v>7</v>
      </c>
      <c r="R241" s="55" t="s">
        <v>7</v>
      </c>
    </row>
    <row r="242" spans="1:21" ht="15.75" customHeight="1" x14ac:dyDescent="0.3">
      <c r="A242" s="15" t="s">
        <v>594</v>
      </c>
      <c r="B242" s="1"/>
      <c r="C242" s="1"/>
      <c r="D242" s="1"/>
      <c r="E242" s="55" t="s">
        <v>7</v>
      </c>
      <c r="F242" s="1"/>
      <c r="G242" s="1"/>
      <c r="H242" s="1"/>
      <c r="I242" s="55" t="s">
        <v>7</v>
      </c>
      <c r="J242" s="1"/>
      <c r="K242" s="1"/>
      <c r="L242" s="1"/>
      <c r="M242" s="55" t="s">
        <v>7</v>
      </c>
      <c r="N242" s="1"/>
      <c r="O242" s="1"/>
      <c r="P242" s="1"/>
      <c r="Q242" s="55" t="s">
        <v>7</v>
      </c>
      <c r="R242" s="55" t="s">
        <v>7</v>
      </c>
    </row>
    <row r="243" spans="1:21" ht="15.75" customHeight="1" x14ac:dyDescent="0.3">
      <c r="A243" s="346" t="s">
        <v>899</v>
      </c>
      <c r="B243" s="1"/>
      <c r="C243" s="1"/>
      <c r="D243" s="1"/>
      <c r="E243" s="55">
        <f>SUM(B243:D243)</f>
        <v>0</v>
      </c>
      <c r="F243" s="1"/>
      <c r="G243" s="1"/>
      <c r="H243" s="1"/>
      <c r="I243" s="55">
        <f>SUM(F243:H243)</f>
        <v>0</v>
      </c>
      <c r="J243" s="1"/>
      <c r="K243" s="1"/>
      <c r="L243" s="1"/>
      <c r="M243" s="55">
        <f>SUM(J243:L243)</f>
        <v>0</v>
      </c>
      <c r="N243" s="1"/>
      <c r="O243" s="1"/>
      <c r="P243" s="1"/>
      <c r="Q243" s="55">
        <f>SUM(N243:P243)</f>
        <v>0</v>
      </c>
      <c r="R243" s="55">
        <f>+E243+I243+M243+Q243</f>
        <v>0</v>
      </c>
      <c r="T243" s="4" t="s">
        <v>822</v>
      </c>
      <c r="U243" s="4" t="s">
        <v>1139</v>
      </c>
    </row>
    <row r="244" spans="1:21" ht="15.75" customHeight="1" x14ac:dyDescent="0.3">
      <c r="A244" s="85" t="s">
        <v>177</v>
      </c>
      <c r="B244" s="1"/>
      <c r="C244" s="1"/>
      <c r="D244" s="1"/>
      <c r="E244" s="55">
        <f>SUM(B244:D244)</f>
        <v>0</v>
      </c>
      <c r="F244" s="1"/>
      <c r="G244" s="1"/>
      <c r="H244" s="1"/>
      <c r="I244" s="55">
        <f>SUM(F244:H244)</f>
        <v>0</v>
      </c>
      <c r="J244" s="1"/>
      <c r="K244" s="1"/>
      <c r="L244" s="1"/>
      <c r="M244" s="55">
        <f>SUM(J244:L244)</f>
        <v>0</v>
      </c>
      <c r="N244" s="1"/>
      <c r="O244" s="1"/>
      <c r="P244" s="1">
        <v>754</v>
      </c>
      <c r="Q244" s="55">
        <f>SUM(N244:P244)</f>
        <v>754</v>
      </c>
      <c r="R244" s="55">
        <f>+E244+I244+M244+Q244</f>
        <v>754</v>
      </c>
      <c r="T244" s="4" t="s">
        <v>818</v>
      </c>
    </row>
    <row r="245" spans="1:21" ht="15.75" customHeight="1" x14ac:dyDescent="0.3">
      <c r="A245" s="85" t="s">
        <v>178</v>
      </c>
      <c r="B245" s="1"/>
      <c r="C245" s="1"/>
      <c r="D245" s="1"/>
      <c r="E245" s="55">
        <f>SUM(B245:D245)</f>
        <v>0</v>
      </c>
      <c r="F245" s="1"/>
      <c r="G245" s="1"/>
      <c r="H245" s="1"/>
      <c r="I245" s="55">
        <f>SUM(F245:H245)</f>
        <v>0</v>
      </c>
      <c r="J245" s="1"/>
      <c r="K245" s="1"/>
      <c r="L245" s="1"/>
      <c r="M245" s="55">
        <f>SUM(J245:L245)</f>
        <v>0</v>
      </c>
      <c r="N245" s="1"/>
      <c r="O245" s="1"/>
      <c r="P245" s="1">
        <v>2000</v>
      </c>
      <c r="Q245" s="55">
        <f>SUM(N245:P245)</f>
        <v>2000</v>
      </c>
      <c r="R245" s="55">
        <f>+E245+I245+M245+Q245</f>
        <v>2000</v>
      </c>
      <c r="T245" s="4" t="s">
        <v>819</v>
      </c>
    </row>
    <row r="246" spans="1:21" ht="15.75" customHeight="1" x14ac:dyDescent="0.3">
      <c r="A246" s="91" t="s">
        <v>1127</v>
      </c>
      <c r="B246" s="1"/>
      <c r="C246" s="1"/>
      <c r="D246" s="1"/>
      <c r="E246" s="55">
        <f>SUM(B246:D246)</f>
        <v>0</v>
      </c>
      <c r="F246" s="1"/>
      <c r="G246" s="1"/>
      <c r="H246" s="1"/>
      <c r="I246" s="55">
        <f>SUM(F246:H246)</f>
        <v>0</v>
      </c>
      <c r="J246" s="1"/>
      <c r="K246" s="1"/>
      <c r="L246" s="1"/>
      <c r="M246" s="55">
        <f>SUM(J246:L246)</f>
        <v>0</v>
      </c>
      <c r="N246" s="1"/>
      <c r="O246" s="1"/>
      <c r="P246" s="1"/>
      <c r="Q246" s="55">
        <f>SUM(N246:P246)</f>
        <v>0</v>
      </c>
      <c r="R246" s="55">
        <f>+E246+I246+M246+Q246</f>
        <v>0</v>
      </c>
      <c r="T246" s="4" t="s">
        <v>822</v>
      </c>
    </row>
    <row r="247" spans="1:21" ht="15.75" customHeight="1" x14ac:dyDescent="0.3">
      <c r="A247" s="15" t="s">
        <v>67</v>
      </c>
      <c r="B247" s="1"/>
      <c r="C247" s="1"/>
      <c r="D247" s="1"/>
      <c r="E247" s="55" t="s">
        <v>7</v>
      </c>
      <c r="F247" s="1"/>
      <c r="G247" s="1"/>
      <c r="H247" s="1"/>
      <c r="I247" s="55" t="s">
        <v>7</v>
      </c>
      <c r="J247" s="1"/>
      <c r="K247" s="1"/>
      <c r="L247" s="1"/>
      <c r="M247" s="55" t="s">
        <v>7</v>
      </c>
      <c r="N247" s="1"/>
      <c r="O247" s="1"/>
      <c r="P247" s="1"/>
      <c r="Q247" s="55" t="s">
        <v>7</v>
      </c>
      <c r="R247" s="55" t="s">
        <v>7</v>
      </c>
    </row>
    <row r="248" spans="1:21" ht="15.75" customHeight="1" x14ac:dyDescent="0.3">
      <c r="A248" s="85" t="s">
        <v>710</v>
      </c>
      <c r="B248" s="1"/>
      <c r="C248" s="1"/>
      <c r="D248" s="1"/>
      <c r="E248" s="55">
        <f>SUM(B248:D248)</f>
        <v>0</v>
      </c>
      <c r="F248" s="1"/>
      <c r="G248" s="1"/>
      <c r="H248" s="1"/>
      <c r="I248" s="55">
        <f>SUM(F248:H248)</f>
        <v>0</v>
      </c>
      <c r="J248" s="1"/>
      <c r="K248" s="1">
        <v>3034</v>
      </c>
      <c r="L248" s="1"/>
      <c r="M248" s="55">
        <f>SUM(J248:L248)</f>
        <v>3034</v>
      </c>
      <c r="N248" s="1">
        <v>1269</v>
      </c>
      <c r="O248" s="1">
        <v>3176</v>
      </c>
      <c r="P248" s="1">
        <v>2731</v>
      </c>
      <c r="Q248" s="55">
        <f>SUM(N248:P248)</f>
        <v>7176</v>
      </c>
      <c r="R248" s="55">
        <f>+E248+I248+M248+Q248</f>
        <v>10210</v>
      </c>
    </row>
    <row r="249" spans="1:21" ht="15.75" customHeight="1" x14ac:dyDescent="0.3">
      <c r="A249" s="85" t="s">
        <v>711</v>
      </c>
      <c r="B249" s="1"/>
      <c r="C249" s="1"/>
      <c r="D249" s="1"/>
      <c r="E249" s="55">
        <f>SUM(B249:D249)</f>
        <v>0</v>
      </c>
      <c r="F249" s="1"/>
      <c r="G249" s="1"/>
      <c r="H249" s="1"/>
      <c r="I249" s="55">
        <f>SUM(F249:H249)</f>
        <v>0</v>
      </c>
      <c r="J249" s="1"/>
      <c r="K249" s="1"/>
      <c r="L249" s="1"/>
      <c r="M249" s="55">
        <f>SUM(J249:L249)</f>
        <v>0</v>
      </c>
      <c r="N249" s="1"/>
      <c r="O249" s="1"/>
      <c r="P249" s="1"/>
      <c r="Q249" s="55">
        <f>SUM(N249:P249)</f>
        <v>0</v>
      </c>
      <c r="R249" s="55">
        <f>+E249+I249+M249+Q249</f>
        <v>0</v>
      </c>
    </row>
    <row r="250" spans="1:21" ht="15.75" customHeight="1" x14ac:dyDescent="0.3">
      <c r="A250" s="71" t="s">
        <v>712</v>
      </c>
      <c r="B250" s="1"/>
      <c r="C250" s="1"/>
      <c r="D250" s="1"/>
      <c r="E250" s="55">
        <f t="shared" ref="E250:E255" si="47">SUM(B250:D250)</f>
        <v>0</v>
      </c>
      <c r="F250" s="1"/>
      <c r="G250" s="1"/>
      <c r="H250" s="1"/>
      <c r="I250" s="55">
        <f t="shared" ref="I250:I255" si="48">SUM(F250:H250)</f>
        <v>0</v>
      </c>
      <c r="J250" s="1"/>
      <c r="K250" s="1"/>
      <c r="L250" s="1"/>
      <c r="M250" s="55">
        <f t="shared" ref="M250:M255" si="49">SUM(J250:L250)</f>
        <v>0</v>
      </c>
      <c r="N250" s="1"/>
      <c r="O250" s="1"/>
      <c r="P250" s="1"/>
      <c r="Q250" s="55">
        <f t="shared" ref="Q250:Q255" si="50">SUM(N250:P250)</f>
        <v>0</v>
      </c>
      <c r="R250" s="55">
        <f t="shared" ref="R250:R255" si="51">+E250+I250+M250+Q250</f>
        <v>0</v>
      </c>
    </row>
    <row r="251" spans="1:21" ht="15.75" customHeight="1" x14ac:dyDescent="0.3">
      <c r="A251" s="71" t="s">
        <v>713</v>
      </c>
      <c r="B251" s="1"/>
      <c r="C251" s="1"/>
      <c r="D251" s="1"/>
      <c r="E251" s="55">
        <f t="shared" si="47"/>
        <v>0</v>
      </c>
      <c r="F251" s="1"/>
      <c r="G251" s="1"/>
      <c r="H251" s="1"/>
      <c r="I251" s="55">
        <f t="shared" si="48"/>
        <v>0</v>
      </c>
      <c r="J251" s="1"/>
      <c r="K251" s="1"/>
      <c r="L251" s="1"/>
      <c r="M251" s="55">
        <f t="shared" si="49"/>
        <v>0</v>
      </c>
      <c r="N251" s="1"/>
      <c r="O251" s="1"/>
      <c r="P251" s="1"/>
      <c r="Q251" s="55">
        <f t="shared" si="50"/>
        <v>0</v>
      </c>
      <c r="R251" s="55">
        <f t="shared" si="51"/>
        <v>0</v>
      </c>
    </row>
    <row r="252" spans="1:21" ht="15.75" customHeight="1" x14ac:dyDescent="0.3">
      <c r="A252" s="84" t="s">
        <v>903</v>
      </c>
      <c r="B252" s="1"/>
      <c r="C252" s="1"/>
      <c r="D252" s="1"/>
      <c r="E252" s="55">
        <f t="shared" si="47"/>
        <v>0</v>
      </c>
      <c r="F252" s="1"/>
      <c r="G252" s="1"/>
      <c r="H252" s="1"/>
      <c r="I252" s="55">
        <f t="shared" si="48"/>
        <v>0</v>
      </c>
      <c r="J252" s="1"/>
      <c r="K252" s="1"/>
      <c r="L252" s="1"/>
      <c r="M252" s="55">
        <f t="shared" si="49"/>
        <v>0</v>
      </c>
      <c r="N252" s="1"/>
      <c r="O252" s="1">
        <v>22</v>
      </c>
      <c r="P252" s="1">
        <v>1032</v>
      </c>
      <c r="Q252" s="55">
        <f t="shared" si="50"/>
        <v>1054</v>
      </c>
      <c r="R252" s="55">
        <f t="shared" si="51"/>
        <v>1054</v>
      </c>
    </row>
    <row r="253" spans="1:21" ht="15.75" customHeight="1" x14ac:dyDescent="0.3">
      <c r="A253" s="84" t="s">
        <v>715</v>
      </c>
      <c r="B253" s="1"/>
      <c r="C253" s="1"/>
      <c r="D253" s="1"/>
      <c r="E253" s="55">
        <f t="shared" si="47"/>
        <v>0</v>
      </c>
      <c r="F253" s="1"/>
      <c r="G253" s="1"/>
      <c r="H253" s="1"/>
      <c r="I253" s="55">
        <f t="shared" si="48"/>
        <v>0</v>
      </c>
      <c r="J253" s="1"/>
      <c r="K253" s="1"/>
      <c r="L253" s="1"/>
      <c r="M253" s="55">
        <f t="shared" si="49"/>
        <v>0</v>
      </c>
      <c r="N253" s="1"/>
      <c r="O253" s="1"/>
      <c r="P253" s="1"/>
      <c r="Q253" s="55">
        <f t="shared" si="50"/>
        <v>0</v>
      </c>
      <c r="R253" s="55">
        <f t="shared" si="51"/>
        <v>0</v>
      </c>
    </row>
    <row r="254" spans="1:21" ht="15.75" customHeight="1" x14ac:dyDescent="0.3">
      <c r="A254" s="61" t="s">
        <v>716</v>
      </c>
      <c r="B254" s="1"/>
      <c r="C254" s="1"/>
      <c r="D254" s="1"/>
      <c r="E254" s="55">
        <f t="shared" si="47"/>
        <v>0</v>
      </c>
      <c r="F254" s="1"/>
      <c r="G254" s="1"/>
      <c r="H254" s="1"/>
      <c r="I254" s="55">
        <f t="shared" si="48"/>
        <v>0</v>
      </c>
      <c r="J254" s="1"/>
      <c r="K254" s="1"/>
      <c r="L254" s="1"/>
      <c r="M254" s="55">
        <f t="shared" si="49"/>
        <v>0</v>
      </c>
      <c r="N254" s="1"/>
      <c r="O254" s="1"/>
      <c r="P254" s="1"/>
      <c r="Q254" s="55">
        <f t="shared" si="50"/>
        <v>0</v>
      </c>
      <c r="R254" s="55">
        <f t="shared" si="51"/>
        <v>0</v>
      </c>
    </row>
    <row r="255" spans="1:21" ht="15.75" customHeight="1" x14ac:dyDescent="0.3">
      <c r="A255" s="61" t="s">
        <v>717</v>
      </c>
      <c r="B255" s="1"/>
      <c r="C255" s="1"/>
      <c r="D255" s="1"/>
      <c r="E255" s="55">
        <f t="shared" si="47"/>
        <v>0</v>
      </c>
      <c r="F255" s="1"/>
      <c r="G255" s="1"/>
      <c r="H255" s="1"/>
      <c r="I255" s="55">
        <f t="shared" si="48"/>
        <v>0</v>
      </c>
      <c r="J255" s="1"/>
      <c r="K255" s="1"/>
      <c r="L255" s="1"/>
      <c r="M255" s="55">
        <f t="shared" si="49"/>
        <v>0</v>
      </c>
      <c r="N255" s="1"/>
      <c r="O255" s="1"/>
      <c r="P255" s="1"/>
      <c r="Q255" s="55">
        <f t="shared" si="50"/>
        <v>0</v>
      </c>
      <c r="R255" s="55">
        <f t="shared" si="51"/>
        <v>0</v>
      </c>
    </row>
    <row r="256" spans="1:21" ht="15.75" customHeight="1" x14ac:dyDescent="0.3">
      <c r="A256" s="15" t="s">
        <v>600</v>
      </c>
      <c r="B256" s="1"/>
      <c r="C256" s="1"/>
      <c r="D256" s="1"/>
      <c r="E256" s="55" t="s">
        <v>7</v>
      </c>
      <c r="F256" s="1"/>
      <c r="G256" s="1"/>
      <c r="H256" s="1"/>
      <c r="I256" s="55" t="s">
        <v>7</v>
      </c>
      <c r="J256" s="1"/>
      <c r="K256" s="1"/>
      <c r="L256" s="1"/>
      <c r="M256" s="55" t="s">
        <v>7</v>
      </c>
      <c r="N256" s="1"/>
      <c r="O256" s="1"/>
      <c r="P256" s="1"/>
      <c r="Q256" s="55" t="s">
        <v>7</v>
      </c>
      <c r="R256" s="55" t="s">
        <v>7</v>
      </c>
    </row>
    <row r="257" spans="1:18" ht="15.75" customHeight="1" thickBot="1" x14ac:dyDescent="0.35">
      <c r="A257" s="15" t="s">
        <v>70</v>
      </c>
      <c r="B257" s="1"/>
      <c r="C257" s="1"/>
      <c r="D257" s="1"/>
      <c r="E257" s="55" t="s">
        <v>7</v>
      </c>
      <c r="F257" s="1"/>
      <c r="G257" s="1"/>
      <c r="H257" s="1"/>
      <c r="I257" s="55" t="s">
        <v>7</v>
      </c>
      <c r="J257" s="1"/>
      <c r="K257" s="1"/>
      <c r="L257" s="1"/>
      <c r="M257" s="55" t="s">
        <v>7</v>
      </c>
      <c r="N257" s="1"/>
      <c r="O257" s="1"/>
      <c r="P257" s="1"/>
      <c r="Q257" s="55" t="s">
        <v>7</v>
      </c>
      <c r="R257" s="55" t="s">
        <v>7</v>
      </c>
    </row>
    <row r="258" spans="1:18" ht="16.5" customHeight="1" thickBot="1" x14ac:dyDescent="0.35">
      <c r="A258" s="57" t="s">
        <v>71</v>
      </c>
      <c r="B258" s="58">
        <f>SUM(B256:B257)</f>
        <v>0</v>
      </c>
      <c r="C258" s="58">
        <f>SUM(C256:C257)</f>
        <v>0</v>
      </c>
      <c r="D258" s="58">
        <f>SUM(D256:D257)</f>
        <v>0</v>
      </c>
      <c r="E258" s="60">
        <f t="shared" ref="E258:E266" si="52">SUM(B258:D258)</f>
        <v>0</v>
      </c>
      <c r="F258" s="58">
        <f>SUM(F256:F257)</f>
        <v>0</v>
      </c>
      <c r="G258" s="58">
        <f>SUM(G256:G257)</f>
        <v>0</v>
      </c>
      <c r="H258" s="58">
        <f>SUM(H256:H257)</f>
        <v>0</v>
      </c>
      <c r="I258" s="60">
        <f t="shared" ref="I258:I266" si="53">SUM(F258:H258)</f>
        <v>0</v>
      </c>
      <c r="J258" s="58">
        <f>SUM(J256:J257)</f>
        <v>0</v>
      </c>
      <c r="K258" s="58">
        <f>SUM(K256:K257)</f>
        <v>0</v>
      </c>
      <c r="L258" s="58">
        <f>SUM(L256:L257)</f>
        <v>0</v>
      </c>
      <c r="M258" s="60">
        <f t="shared" ref="M258:M266" si="54">SUM(J258:L258)</f>
        <v>0</v>
      </c>
      <c r="N258" s="58">
        <f>SUM(N256:N257)</f>
        <v>0</v>
      </c>
      <c r="O258" s="58">
        <f>SUM(O256:O257)</f>
        <v>0</v>
      </c>
      <c r="P258" s="58">
        <f>SUM(P256:P257)</f>
        <v>0</v>
      </c>
      <c r="Q258" s="60">
        <f t="shared" ref="Q258:Q266" si="55">SUM(N258:P258)</f>
        <v>0</v>
      </c>
      <c r="R258" s="59">
        <f t="shared" ref="R258:R266" si="56">+E258+I258+M258+Q258</f>
        <v>0</v>
      </c>
    </row>
    <row r="259" spans="1:18" ht="16.5" customHeight="1" thickBot="1" x14ac:dyDescent="0.35">
      <c r="A259" s="57" t="s">
        <v>72</v>
      </c>
      <c r="B259" s="86">
        <f>SUM(B241:B257)</f>
        <v>0</v>
      </c>
      <c r="C259" s="87">
        <f>SUM(C241:C257)</f>
        <v>0</v>
      </c>
      <c r="D259" s="87">
        <f>SUM(D241:D257)</f>
        <v>0</v>
      </c>
      <c r="E259" s="59">
        <f t="shared" si="52"/>
        <v>0</v>
      </c>
      <c r="F259" s="87">
        <f>SUM(F241:F257)</f>
        <v>0</v>
      </c>
      <c r="G259" s="87">
        <f>SUM(G241:G257)</f>
        <v>0</v>
      </c>
      <c r="H259" s="87">
        <f>SUM(H241:H257)</f>
        <v>0</v>
      </c>
      <c r="I259" s="59">
        <f t="shared" si="53"/>
        <v>0</v>
      </c>
      <c r="J259" s="87">
        <f>SUM(J241:J257)</f>
        <v>0</v>
      </c>
      <c r="K259" s="87">
        <f>SUM(K241:K257)</f>
        <v>3034</v>
      </c>
      <c r="L259" s="87">
        <f>SUM(L241:L257)</f>
        <v>0</v>
      </c>
      <c r="M259" s="59">
        <f t="shared" si="54"/>
        <v>3034</v>
      </c>
      <c r="N259" s="87">
        <f>SUM(N241:N257)</f>
        <v>1269</v>
      </c>
      <c r="O259" s="87">
        <f>SUM(O241:O257)</f>
        <v>3198</v>
      </c>
      <c r="P259" s="87">
        <f>SUM(P241:P257)</f>
        <v>6517</v>
      </c>
      <c r="Q259" s="59">
        <f t="shared" si="55"/>
        <v>10984</v>
      </c>
      <c r="R259" s="59">
        <f t="shared" si="56"/>
        <v>14018</v>
      </c>
    </row>
    <row r="260" spans="1:18" ht="16.5" customHeight="1" thickBot="1" x14ac:dyDescent="0.35">
      <c r="A260" s="57" t="s">
        <v>73</v>
      </c>
      <c r="B260" s="90">
        <f>+B191+B198+B240+B259</f>
        <v>19031</v>
      </c>
      <c r="C260" s="58">
        <f>+C191+C198+C240+C259</f>
        <v>15343</v>
      </c>
      <c r="D260" s="58">
        <f>+D191+D198+D240+D259</f>
        <v>22378</v>
      </c>
      <c r="E260" s="81">
        <f t="shared" si="52"/>
        <v>56752</v>
      </c>
      <c r="F260" s="58">
        <f>+F191+F198+F240+F259</f>
        <v>37684</v>
      </c>
      <c r="G260" s="58">
        <f>+G191+G198+G240+G259</f>
        <v>50236</v>
      </c>
      <c r="H260" s="58">
        <f>+H191+H198+H240+H259</f>
        <v>46972</v>
      </c>
      <c r="I260" s="81">
        <f t="shared" si="53"/>
        <v>134892</v>
      </c>
      <c r="J260" s="58">
        <f>+J191+J198+J240+J259</f>
        <v>40893</v>
      </c>
      <c r="K260" s="58">
        <f>+K191+K198+K240+K259</f>
        <v>37349</v>
      </c>
      <c r="L260" s="58">
        <f>+L191+L198+L240+L259</f>
        <v>30400</v>
      </c>
      <c r="M260" s="81">
        <f t="shared" si="54"/>
        <v>108642</v>
      </c>
      <c r="N260" s="58">
        <f>+N191+N198+N240+N259</f>
        <v>30795</v>
      </c>
      <c r="O260" s="58">
        <f>+O191+O198+O240+O259</f>
        <v>21813</v>
      </c>
      <c r="P260" s="58">
        <f>+P191+P198+P240+P259</f>
        <v>24753</v>
      </c>
      <c r="Q260" s="81">
        <f t="shared" si="55"/>
        <v>77361</v>
      </c>
      <c r="R260" s="81">
        <f t="shared" si="56"/>
        <v>377647</v>
      </c>
    </row>
    <row r="261" spans="1:18" ht="15.75" customHeight="1" x14ac:dyDescent="0.3">
      <c r="A261" s="88" t="s">
        <v>905</v>
      </c>
      <c r="B261" s="1"/>
      <c r="C261" s="1">
        <f>2416-245</f>
        <v>2171</v>
      </c>
      <c r="D261" s="1">
        <f>6109-500-357-1342</f>
        <v>3910</v>
      </c>
      <c r="E261" s="55">
        <f t="shared" si="52"/>
        <v>6081</v>
      </c>
      <c r="F261" s="1">
        <f>7967-500-8-2307</f>
        <v>5152</v>
      </c>
      <c r="G261" s="1">
        <f>8805-500-69-2710</f>
        <v>5526</v>
      </c>
      <c r="H261" s="1">
        <f>9021-500-80-3232</f>
        <v>5209</v>
      </c>
      <c r="I261" s="55">
        <f t="shared" si="53"/>
        <v>15887</v>
      </c>
      <c r="J261" s="1">
        <f>6873-500-21-2894</f>
        <v>3458</v>
      </c>
      <c r="K261" s="1">
        <f>5731-500-29-2511</f>
        <v>2691</v>
      </c>
      <c r="L261" s="1">
        <f>5243-500-27-2580</f>
        <v>2136</v>
      </c>
      <c r="M261" s="55">
        <f t="shared" si="54"/>
        <v>8285</v>
      </c>
      <c r="N261" s="1">
        <f>6139-500-26-1656</f>
        <v>3957</v>
      </c>
      <c r="O261" s="1">
        <f>3613-1-1057</f>
        <v>2555</v>
      </c>
      <c r="P261" s="1">
        <f>397-1-285</f>
        <v>111</v>
      </c>
      <c r="Q261" s="55">
        <f t="shared" si="55"/>
        <v>6623</v>
      </c>
      <c r="R261" s="55">
        <f t="shared" si="56"/>
        <v>36876</v>
      </c>
    </row>
    <row r="262" spans="1:18" ht="15.75" customHeight="1" x14ac:dyDescent="0.3">
      <c r="A262" s="91" t="s">
        <v>193</v>
      </c>
      <c r="B262" s="1"/>
      <c r="C262" s="1"/>
      <c r="D262" s="1"/>
      <c r="E262" s="55">
        <f t="shared" si="52"/>
        <v>0</v>
      </c>
      <c r="F262" s="1"/>
      <c r="G262" s="1"/>
      <c r="H262" s="1">
        <v>-11007</v>
      </c>
      <c r="I262" s="55">
        <f t="shared" si="53"/>
        <v>-11007</v>
      </c>
      <c r="J262" s="1">
        <f>-9024+2500</f>
        <v>-6524</v>
      </c>
      <c r="K262" s="1"/>
      <c r="L262" s="1"/>
      <c r="M262" s="55">
        <f t="shared" si="54"/>
        <v>-6524</v>
      </c>
      <c r="N262" s="1">
        <v>-2500</v>
      </c>
      <c r="O262" s="1"/>
      <c r="P262" s="1"/>
      <c r="Q262" s="55">
        <f t="shared" si="55"/>
        <v>-2500</v>
      </c>
      <c r="R262" s="55">
        <f t="shared" si="56"/>
        <v>-20031</v>
      </c>
    </row>
    <row r="263" spans="1:18" ht="15.75" customHeight="1" x14ac:dyDescent="0.3">
      <c r="A263" s="71" t="s">
        <v>718</v>
      </c>
      <c r="B263" s="1"/>
      <c r="C263" s="1"/>
      <c r="D263" s="1"/>
      <c r="E263" s="55">
        <f t="shared" si="52"/>
        <v>0</v>
      </c>
      <c r="F263" s="1"/>
      <c r="G263" s="1"/>
      <c r="H263" s="1"/>
      <c r="I263" s="55">
        <f t="shared" si="53"/>
        <v>0</v>
      </c>
      <c r="J263" s="1"/>
      <c r="K263" s="1"/>
      <c r="L263" s="1"/>
      <c r="M263" s="55">
        <f t="shared" si="54"/>
        <v>0</v>
      </c>
      <c r="N263" s="1"/>
      <c r="O263" s="1"/>
      <c r="P263" s="1"/>
      <c r="Q263" s="55">
        <f t="shared" si="55"/>
        <v>0</v>
      </c>
      <c r="R263" s="55">
        <f t="shared" si="56"/>
        <v>0</v>
      </c>
    </row>
    <row r="264" spans="1:18" ht="15.75" customHeight="1" x14ac:dyDescent="0.3">
      <c r="A264" s="91" t="s">
        <v>195</v>
      </c>
      <c r="B264" s="1">
        <v>29</v>
      </c>
      <c r="C264" s="1">
        <v>39</v>
      </c>
      <c r="D264" s="1">
        <v>32</v>
      </c>
      <c r="E264" s="55">
        <f>SUM(B264:D264)</f>
        <v>100</v>
      </c>
      <c r="F264" s="1">
        <v>72</v>
      </c>
      <c r="G264" s="1">
        <v>111</v>
      </c>
      <c r="H264" s="1">
        <v>84</v>
      </c>
      <c r="I264" s="55">
        <f>SUM(F264:H264)</f>
        <v>267</v>
      </c>
      <c r="J264" s="1">
        <v>209</v>
      </c>
      <c r="K264" s="1">
        <v>77</v>
      </c>
      <c r="L264" s="1">
        <v>152</v>
      </c>
      <c r="M264" s="55">
        <f>SUM(J264:L264)</f>
        <v>438</v>
      </c>
      <c r="N264" s="1">
        <v>76</v>
      </c>
      <c r="O264" s="1">
        <v>30</v>
      </c>
      <c r="P264" s="1">
        <v>14</v>
      </c>
      <c r="Q264" s="55">
        <f>SUM(N264:P264)</f>
        <v>120</v>
      </c>
      <c r="R264" s="55">
        <f t="shared" si="56"/>
        <v>925</v>
      </c>
    </row>
    <row r="265" spans="1:18" ht="15.75" customHeight="1" x14ac:dyDescent="0.3">
      <c r="A265" s="84" t="s">
        <v>196</v>
      </c>
      <c r="B265" s="1">
        <v>54064</v>
      </c>
      <c r="C265" s="1">
        <v>89116</v>
      </c>
      <c r="D265" s="1">
        <v>66664</v>
      </c>
      <c r="E265" s="55">
        <f t="shared" si="52"/>
        <v>209844</v>
      </c>
      <c r="F265" s="1">
        <v>316</v>
      </c>
      <c r="G265" s="1"/>
      <c r="H265" s="1"/>
      <c r="I265" s="55">
        <f t="shared" si="53"/>
        <v>316</v>
      </c>
      <c r="J265" s="1"/>
      <c r="K265" s="1"/>
      <c r="L265" s="1">
        <v>27530</v>
      </c>
      <c r="M265" s="55">
        <f t="shared" si="54"/>
        <v>27530</v>
      </c>
      <c r="N265" s="1">
        <v>78545</v>
      </c>
      <c r="O265" s="1">
        <v>80601</v>
      </c>
      <c r="P265" s="1">
        <v>43033</v>
      </c>
      <c r="Q265" s="55">
        <f t="shared" si="55"/>
        <v>202179</v>
      </c>
      <c r="R265" s="55">
        <f t="shared" si="56"/>
        <v>439869</v>
      </c>
    </row>
    <row r="266" spans="1:18" ht="16.5" customHeight="1" thickBot="1" x14ac:dyDescent="0.35">
      <c r="A266" s="39" t="s">
        <v>40</v>
      </c>
      <c r="B266" s="21">
        <v>104</v>
      </c>
      <c r="C266" s="21">
        <v>268</v>
      </c>
      <c r="D266" s="21">
        <v>474</v>
      </c>
      <c r="E266" s="55">
        <f t="shared" si="52"/>
        <v>846</v>
      </c>
      <c r="F266" s="21">
        <v>647</v>
      </c>
      <c r="G266" s="21">
        <v>742</v>
      </c>
      <c r="H266" s="21">
        <v>781</v>
      </c>
      <c r="I266" s="55">
        <f t="shared" si="53"/>
        <v>2170</v>
      </c>
      <c r="J266" s="21">
        <v>774</v>
      </c>
      <c r="K266" s="21">
        <v>596</v>
      </c>
      <c r="L266" s="21">
        <v>546</v>
      </c>
      <c r="M266" s="55">
        <f t="shared" si="54"/>
        <v>1916</v>
      </c>
      <c r="N266" s="21">
        <v>517</v>
      </c>
      <c r="O266" s="21">
        <v>413</v>
      </c>
      <c r="P266" s="21">
        <v>302</v>
      </c>
      <c r="Q266" s="55">
        <f t="shared" si="55"/>
        <v>1232</v>
      </c>
      <c r="R266" s="55">
        <f t="shared" si="56"/>
        <v>6164</v>
      </c>
    </row>
    <row r="267" spans="1:18" ht="16.5" customHeight="1" thickBot="1" x14ac:dyDescent="0.35">
      <c r="A267" s="74"/>
      <c r="B267" s="75"/>
      <c r="C267" s="75"/>
      <c r="D267" s="75"/>
      <c r="E267" s="60"/>
      <c r="F267" s="75"/>
      <c r="G267" s="75"/>
      <c r="H267" s="75"/>
      <c r="I267" s="59"/>
      <c r="J267" s="75"/>
      <c r="K267" s="75"/>
      <c r="L267" s="75"/>
      <c r="M267" s="59"/>
      <c r="N267" s="75"/>
      <c r="O267" s="75"/>
      <c r="P267" s="75"/>
      <c r="Q267" s="59"/>
      <c r="R267" s="59" t="s">
        <v>7</v>
      </c>
    </row>
    <row r="268" spans="1:18" ht="15.75" customHeight="1" x14ac:dyDescent="0.3">
      <c r="A268" s="76" t="s">
        <v>41</v>
      </c>
      <c r="B268" s="77">
        <f>SUM(B260:B266)</f>
        <v>73228</v>
      </c>
      <c r="C268" s="77">
        <f>SUM(C260:C266)</f>
        <v>106937</v>
      </c>
      <c r="D268" s="77">
        <f>SUM(D260:D266)</f>
        <v>93458</v>
      </c>
      <c r="E268" s="60">
        <f>SUM(B268:D268)</f>
        <v>273623</v>
      </c>
      <c r="F268" s="77">
        <f>SUM(F260:F266)</f>
        <v>43871</v>
      </c>
      <c r="G268" s="77">
        <f>SUM(G260:G266)</f>
        <v>56615</v>
      </c>
      <c r="H268" s="77">
        <f>SUM(H260:H266)</f>
        <v>42039</v>
      </c>
      <c r="I268" s="60">
        <f>SUM(F268:H268)</f>
        <v>142525</v>
      </c>
      <c r="J268" s="77">
        <f>SUM(J260:J266)</f>
        <v>38810</v>
      </c>
      <c r="K268" s="77">
        <f>SUM(K260:K266)</f>
        <v>40713</v>
      </c>
      <c r="L268" s="77">
        <f>SUM(L260:L266)</f>
        <v>60764</v>
      </c>
      <c r="M268" s="60">
        <f>SUM(J268:L268)</f>
        <v>140287</v>
      </c>
      <c r="N268" s="77">
        <f>SUM(N260:N266)</f>
        <v>111390</v>
      </c>
      <c r="O268" s="77">
        <f>SUM(O260:O266)</f>
        <v>105412</v>
      </c>
      <c r="P268" s="77">
        <f>SUM(P260:P266)</f>
        <v>68213</v>
      </c>
      <c r="Q268" s="92">
        <f>SUM(N268:P268)</f>
        <v>285015</v>
      </c>
      <c r="R268" s="60">
        <f>+E268+I268+M268+Q268</f>
        <v>841450</v>
      </c>
    </row>
    <row r="269" spans="1:18" ht="15.75" customHeight="1" x14ac:dyDescent="0.3">
      <c r="A269" s="79" t="s">
        <v>42</v>
      </c>
      <c r="B269" s="1">
        <f>(B268/B10)/1.983</f>
        <v>1191.2221625754394</v>
      </c>
      <c r="C269" s="1">
        <f>(C268/C10)/1.983</f>
        <v>1925.9599452489012</v>
      </c>
      <c r="D269" s="1">
        <f>(D268/D10)/1.983</f>
        <v>1520.3097294747288</v>
      </c>
      <c r="E269" s="55" t="s">
        <v>7</v>
      </c>
      <c r="F269" s="1">
        <f>(F268/F10)/1.983</f>
        <v>737.45167255000831</v>
      </c>
      <c r="G269" s="1">
        <f>(G268/G10)/1.983</f>
        <v>920.97343549200457</v>
      </c>
      <c r="H269" s="1">
        <f>(H268/H10)/1.983</f>
        <v>706.65658093797276</v>
      </c>
      <c r="I269" s="55" t="s">
        <v>7</v>
      </c>
      <c r="J269" s="1">
        <f>(J268/J10)/1.983</f>
        <v>631.33408162933324</v>
      </c>
      <c r="K269" s="1">
        <f>(K268/K10)/1.983</f>
        <v>662.29076179786239</v>
      </c>
      <c r="L269" s="1">
        <f>(L268/L10)/1.983</f>
        <v>1021.4153639267104</v>
      </c>
      <c r="M269" s="55" t="s">
        <v>7</v>
      </c>
      <c r="N269" s="1">
        <f>(N268/N10)/1.983</f>
        <v>1812.0150309892147</v>
      </c>
      <c r="O269" s="1">
        <f>(O268/O10)/1.983</f>
        <v>1771.9280551353168</v>
      </c>
      <c r="P269" s="1">
        <f>(P268/P10)/1.983</f>
        <v>1109.6416312852798</v>
      </c>
      <c r="Q269" s="93" t="s">
        <v>7</v>
      </c>
      <c r="R269" s="55" t="s">
        <v>7</v>
      </c>
    </row>
    <row r="270" spans="1:18" ht="15.75" customHeight="1" x14ac:dyDescent="0.3">
      <c r="A270" s="79" t="s">
        <v>197</v>
      </c>
      <c r="B270" s="1">
        <f>(+B268+B402)+B277</f>
        <v>78934</v>
      </c>
      <c r="C270" s="1">
        <f>(+C268+C402)+C277</f>
        <v>143928</v>
      </c>
      <c r="D270" s="1">
        <f>(+D268+D402)+D277</f>
        <v>172020</v>
      </c>
      <c r="E270" s="55">
        <f>SUM(B270:D270)</f>
        <v>394882</v>
      </c>
      <c r="F270" s="1">
        <f>(+F268+F402)+F277</f>
        <v>141106</v>
      </c>
      <c r="G270" s="1">
        <f>(+G268+G402)+G277</f>
        <v>167488</v>
      </c>
      <c r="H270" s="1">
        <f>(+H268+H402)+H277</f>
        <v>122341</v>
      </c>
      <c r="I270" s="55">
        <f>SUM(F270:H270)</f>
        <v>430935</v>
      </c>
      <c r="J270" s="1">
        <f>(+J268+J402)+J277</f>
        <v>76030</v>
      </c>
      <c r="K270" s="1">
        <f>(+K268+K402)+K277</f>
        <v>87911</v>
      </c>
      <c r="L270" s="1">
        <f>(+L268+L402)+L277</f>
        <v>144368</v>
      </c>
      <c r="M270" s="55">
        <f>SUM(J270:L270)</f>
        <v>308309</v>
      </c>
      <c r="N270" s="1">
        <f>(+N268+N402)+N277</f>
        <v>181225</v>
      </c>
      <c r="O270" s="1">
        <f>(+O268+O402)+O277</f>
        <v>140639</v>
      </c>
      <c r="P270" s="1">
        <f>(+P268+P402)+P277</f>
        <v>120118</v>
      </c>
      <c r="Q270" s="93">
        <f>SUM(N270:P270)</f>
        <v>441982</v>
      </c>
      <c r="R270" s="55">
        <f>+E270+I270+M270+Q270</f>
        <v>1576108</v>
      </c>
    </row>
    <row r="271" spans="1:18" ht="16.5" customHeight="1" thickBot="1" x14ac:dyDescent="0.35">
      <c r="A271" s="80" t="s">
        <v>198</v>
      </c>
      <c r="B271" s="25">
        <f>(B270/B10)/1.983</f>
        <v>1284.0434011679924</v>
      </c>
      <c r="C271" s="25">
        <f>(C270/C10)/1.983</f>
        <v>2592.1763561703046</v>
      </c>
      <c r="D271" s="25">
        <f>(D270/D10)/1.983</f>
        <v>2798.3016934263824</v>
      </c>
      <c r="E271" s="81" t="s">
        <v>7</v>
      </c>
      <c r="F271" s="25">
        <f>(F270/F10)/1.983</f>
        <v>2371.9280551353168</v>
      </c>
      <c r="G271" s="25">
        <f>(G270/G10)/1.983</f>
        <v>2724.5782701348558</v>
      </c>
      <c r="H271" s="25">
        <f>(H270/H10)/1.983</f>
        <v>2056.4968902336527</v>
      </c>
      <c r="I271" s="81" t="s">
        <v>7</v>
      </c>
      <c r="J271" s="25">
        <f>(J270/J10)/1.983</f>
        <v>1236.8031493501212</v>
      </c>
      <c r="K271" s="25">
        <f>(K270/K10)/1.983</f>
        <v>1430.0749922730304</v>
      </c>
      <c r="L271" s="25">
        <f>(L270/L10)/1.983</f>
        <v>2426.7608001344761</v>
      </c>
      <c r="M271" s="81" t="s">
        <v>7</v>
      </c>
      <c r="N271" s="25">
        <f>(N270/N10)/1.983</f>
        <v>2948.0422299220795</v>
      </c>
      <c r="O271" s="25">
        <f>(O270/O10)/1.983</f>
        <v>2364.077996301899</v>
      </c>
      <c r="P271" s="25">
        <f>(P270/P10)/1.983</f>
        <v>1953.9960633123485</v>
      </c>
      <c r="Q271" s="94" t="s">
        <v>7</v>
      </c>
      <c r="R271" s="81" t="s">
        <v>7</v>
      </c>
    </row>
    <row r="272" spans="1:18" ht="16.5" customHeight="1" thickBot="1" x14ac:dyDescent="0.35">
      <c r="A272" s="95" t="s">
        <v>199</v>
      </c>
      <c r="B272" s="96">
        <f>+(B270-(B138+B139+B140+B141+B143+B144+B145+B146+B150+B152+B156+B157+B159+B160+B161+B162+B163+B170+B171+B182+B185+B187+B188+B195+B202+B203+B204+B214+B215++B229+B230+B244+B245+B248+B249+B252+B253+B261+B265+B273)-B277)/(B10*1.983)</f>
        <v>746.13244839197694</v>
      </c>
      <c r="C272" s="96">
        <f>+(C270-(C138+C139+C140+C141+C143+C144+C145+C146+C150+C152+C156+C157+C159+C160+C161+C162+C163+C170+C171+C182+C185+C187+C188+C195+C202+C203+C204+C214+C215++C229+C230+C244+C245+C248+C249+C252+C253+C261+C265+C273)-C277)/(C10*1.983)</f>
        <v>860.96102586269001</v>
      </c>
      <c r="D272" s="96">
        <f>+(D270-(D138+D139+D140+D141+D143+D144+D145+D146+D150+D152+D156+D157+D159+D160+D161+D162+D163+D170+D171+D182+D185+D187+D188+D195+D202+D203+D204+D214+D215++D229+D230+D244+D245+D248+D249+D252+D253+D261+D265+D273)-D277)/(D10*1.983)</f>
        <v>1445.9356140094023</v>
      </c>
      <c r="E272" s="97"/>
      <c r="F272" s="96">
        <f>+(F270-(F138+F139+F140+F141+F143+F144+F145+F146+F150+F152+F156+F157+F159+F160+F161+F162+F163+F170+F171+F182+F185+F187+F188+F195+F202+F203+F204+F214+F215++F229+F230+F244+F245+F248+F249+F252+F253+F261+F265+F273)-F277)/(F10*1.983)</f>
        <v>2639.8554378887206</v>
      </c>
      <c r="G272" s="96">
        <f>+(G270-(G138+G139+G140+G141+G143+G144+G145+G146+G150+G152+G156+G157+G159+G160+G161+G162+G163+G170+G171+G182+G185+G187+G188+G195+G202+G203+G204+G214+G215++G229+G230+G244+G245+G248+G249+G252+G253+G261+G265+G273)-G277)/(G10*1.983)</f>
        <v>2747.3362289135066</v>
      </c>
      <c r="H272" s="96">
        <f>+(H270-(H138+H139+H140+H141+H143+H144+H145+H146+H150+H152+H156+H157+H159+H160+H161+H162+H163+H170+H171+H182+H185+H187+H188+H195+H202+H203+H204+H214+H215++H229+H230+H244+H245+H248+H249+H252+H253+H261+H265+H273)-H277)/(H10*1.983)</f>
        <v>3060.1445621112789</v>
      </c>
      <c r="I272" s="97"/>
      <c r="J272" s="96">
        <f>+(J270-(J138+J139+J140+J141+J143+J144+J145+J146+J150+J152+J156+J157+J159+J160+J161+J162+J163+J170+J171+J182+J185+J187+J188+J195+J202+J203+J204+J214+J215++J229+J230+J244+J245+J248+J249+J252+J253+J261+J265+J273)-J277)/(J10*1.983)</f>
        <v>2525.9870186911326</v>
      </c>
      <c r="K272" s="96">
        <f>+(K270-(K138+K139+K140+K141+K143+K144+K145+K146+K150+K152+K156+K157+K159+K160+K161+K162+K163+K170+K171+K182+K185+K187+K188+K195+K202+K203+K204+K214+K215++K229+K230+K244+K245+K248+K249+K252+K253+K261+K265+K273)-K277)/(K10*1.983)</f>
        <v>2599.4501651131391</v>
      </c>
      <c r="L272" s="96">
        <f>+(L270-(L138+L139+L140+L141+L143+L144+L145+L146+L150+L152+L156+L157+L159+L160+L161+L162+L163+L170+L171+L182+L185+L187+L188+L195+L202+L203+L204+L214+L215++L229+L230+L244+L245+L248+L249+L252+L253+L261+L265+L273)-L277)/(L10*1.983)</f>
        <v>1777.4415868213146</v>
      </c>
      <c r="M272" s="97"/>
      <c r="N272" s="96">
        <f>+(N270-(N138+N139+N140+N141+N143+N144+N145+N146+N150+N152+N156+N157+N159+N160+N161+N162+N163+N170+N171+N182+N185+N187+N188+N195+N202+N203+N204+N214+N215++N229+N230+N244+N245+N248+N249+N252+N253+N261+N265+N273)-N277)/(N10*1.983)</f>
        <v>1461.5359588762544</v>
      </c>
      <c r="O272" s="96">
        <f>+(O270-(O138+O139+O140+O141+O143+O144+O145+O146+O150+O152+O156+O157+O159+O160+O161+O162+O163+O170+O171+O182+O185+O187+O188+O195+O202+O203+O204+O214+O215++O229+O230+O244+O245+O248+O249+O252+O253+O261+O265+O273)-O277)/(O10*1.983)</f>
        <v>786.60279038493866</v>
      </c>
      <c r="P272" s="96">
        <f>+(P270-(P138+P139+P140+P141+P143+P144+P145+P146+P150+P152+P156+P157+P159+P160+P161+P162+P163+P170+P171+P182+P185+P187+P188+P195+P202+P203+P204+P214+P215++P229+P230+P244+P245+P248+P249+P252+P253+P261+P265+P273)-P277)/(P10*1.983)</f>
        <v>1079.2380394644802</v>
      </c>
      <c r="Q272" s="98"/>
      <c r="R272" s="97"/>
    </row>
    <row r="273" spans="1:20" ht="15.75" customHeight="1" x14ac:dyDescent="0.3">
      <c r="A273" s="299" t="s">
        <v>719</v>
      </c>
      <c r="B273" s="1">
        <v>3300</v>
      </c>
      <c r="C273" s="1">
        <v>3100</v>
      </c>
      <c r="D273" s="1">
        <v>3700</v>
      </c>
      <c r="E273" s="1"/>
      <c r="F273" s="1">
        <v>4200</v>
      </c>
      <c r="G273" s="1">
        <v>4800</v>
      </c>
      <c r="H273" s="1">
        <v>4600</v>
      </c>
      <c r="I273" s="1"/>
      <c r="J273" s="1">
        <v>4600</v>
      </c>
      <c r="K273" s="1">
        <v>4600</v>
      </c>
      <c r="L273" s="1">
        <v>4700</v>
      </c>
      <c r="M273" s="1"/>
      <c r="N273" s="1">
        <v>3800</v>
      </c>
      <c r="O273" s="1">
        <v>4000</v>
      </c>
      <c r="P273" s="1">
        <v>3500</v>
      </c>
      <c r="Q273" s="1"/>
      <c r="R273" s="2"/>
    </row>
    <row r="274" spans="1:20" ht="15.75" customHeight="1" thickBot="1" x14ac:dyDescent="0.35">
      <c r="A274" s="28"/>
      <c r="B274" s="1"/>
      <c r="C274" s="1"/>
      <c r="D274" s="1"/>
      <c r="E274" s="1"/>
      <c r="F274" s="1"/>
      <c r="G274" s="1"/>
      <c r="H274" s="1"/>
      <c r="I274" s="1"/>
      <c r="J274" s="1"/>
      <c r="K274" s="1"/>
      <c r="L274" s="1"/>
      <c r="M274" s="1"/>
      <c r="N274" s="1"/>
      <c r="O274" s="1"/>
      <c r="P274" s="1"/>
      <c r="Q274" s="1"/>
      <c r="R274" s="2"/>
    </row>
    <row r="275" spans="1:20" ht="16.5" customHeight="1" thickBot="1" x14ac:dyDescent="0.35">
      <c r="A275" s="29" t="s">
        <v>201</v>
      </c>
      <c r="B275" s="30" t="s">
        <v>8</v>
      </c>
      <c r="C275" s="31" t="s">
        <v>9</v>
      </c>
      <c r="D275" s="31" t="s">
        <v>10</v>
      </c>
      <c r="E275" s="32" t="s">
        <v>11</v>
      </c>
      <c r="F275" s="31" t="s">
        <v>12</v>
      </c>
      <c r="G275" s="31" t="s">
        <v>13</v>
      </c>
      <c r="H275" s="31" t="s">
        <v>14</v>
      </c>
      <c r="I275" s="33" t="s">
        <v>15</v>
      </c>
      <c r="J275" s="31" t="s">
        <v>16</v>
      </c>
      <c r="K275" s="31" t="s">
        <v>17</v>
      </c>
      <c r="L275" s="31" t="s">
        <v>18</v>
      </c>
      <c r="M275" s="33" t="s">
        <v>19</v>
      </c>
      <c r="N275" s="31" t="s">
        <v>20</v>
      </c>
      <c r="O275" s="31" t="s">
        <v>21</v>
      </c>
      <c r="P275" s="31" t="s">
        <v>22</v>
      </c>
      <c r="Q275" s="33" t="s">
        <v>23</v>
      </c>
      <c r="R275" s="34" t="s">
        <v>24</v>
      </c>
    </row>
    <row r="276" spans="1:20" ht="16.5" customHeight="1" thickBot="1" x14ac:dyDescent="0.35">
      <c r="A276" s="74"/>
      <c r="B276" s="75"/>
      <c r="C276" s="75"/>
      <c r="D276" s="75"/>
      <c r="E276" s="82"/>
      <c r="F276" s="75"/>
      <c r="G276" s="75"/>
      <c r="H276" s="75"/>
      <c r="I276" s="82"/>
      <c r="J276" s="75"/>
      <c r="K276" s="75"/>
      <c r="L276" s="75"/>
      <c r="M276" s="82"/>
      <c r="N276" s="75"/>
      <c r="O276" s="75"/>
      <c r="P276" s="75"/>
      <c r="Q276" s="82"/>
      <c r="R276" s="100"/>
    </row>
    <row r="277" spans="1:20" ht="15.75" customHeight="1" thickBot="1" x14ac:dyDescent="0.35">
      <c r="A277" s="71" t="s">
        <v>202</v>
      </c>
      <c r="B277" s="1">
        <v>-24714</v>
      </c>
      <c r="C277" s="1"/>
      <c r="D277" s="1"/>
      <c r="E277" s="55">
        <f>SUM(B277:D277)</f>
        <v>-24714</v>
      </c>
      <c r="F277" s="1">
        <v>-34341</v>
      </c>
      <c r="G277" s="1">
        <v>-20589</v>
      </c>
      <c r="H277" s="1">
        <v>-78357</v>
      </c>
      <c r="I277" s="55">
        <f>SUM(F277:H277)</f>
        <v>-133287</v>
      </c>
      <c r="J277" s="1">
        <v>-94386</v>
      </c>
      <c r="K277" s="1">
        <v>-87700</v>
      </c>
      <c r="L277" s="1">
        <v>-371</v>
      </c>
      <c r="M277" s="55">
        <f>SUM(J277:L277)</f>
        <v>-182457</v>
      </c>
      <c r="N277" s="1"/>
      <c r="O277" s="1"/>
      <c r="P277" s="1"/>
      <c r="Q277" s="55">
        <f>SUM(N277:P277)</f>
        <v>0</v>
      </c>
      <c r="R277" s="55">
        <f>+E277+I277+M277+Q277</f>
        <v>-340458</v>
      </c>
    </row>
    <row r="278" spans="1:20" ht="16.5" customHeight="1" thickBot="1" x14ac:dyDescent="0.35">
      <c r="A278" s="101"/>
      <c r="B278" s="102"/>
      <c r="C278" s="102"/>
      <c r="D278" s="102"/>
      <c r="E278" s="103"/>
      <c r="F278" s="102"/>
      <c r="G278" s="102"/>
      <c r="H278" s="102"/>
      <c r="I278" s="103"/>
      <c r="J278" s="102"/>
      <c r="K278" s="102"/>
      <c r="L278" s="102"/>
      <c r="M278" s="103"/>
      <c r="N278" s="102"/>
      <c r="O278" s="102"/>
      <c r="P278" s="102"/>
      <c r="Q278" s="103"/>
      <c r="R278" s="104"/>
    </row>
    <row r="279" spans="1:20" ht="15.75" customHeight="1" x14ac:dyDescent="0.3">
      <c r="A279" s="15" t="s">
        <v>32</v>
      </c>
      <c r="B279" s="1">
        <f>B277</f>
        <v>-24714</v>
      </c>
      <c r="C279" s="1">
        <f>C277</f>
        <v>0</v>
      </c>
      <c r="D279" s="1">
        <f>D277</f>
        <v>0</v>
      </c>
      <c r="E279" s="55">
        <f>SUM(B279:D279)</f>
        <v>-24714</v>
      </c>
      <c r="F279" s="1">
        <f>F277</f>
        <v>-34341</v>
      </c>
      <c r="G279" s="1">
        <f>G277</f>
        <v>-20589</v>
      </c>
      <c r="H279" s="1">
        <f>H277</f>
        <v>-78357</v>
      </c>
      <c r="I279" s="55">
        <f>SUM(F279:H279)</f>
        <v>-133287</v>
      </c>
      <c r="J279" s="1">
        <f>J277</f>
        <v>-94386</v>
      </c>
      <c r="K279" s="1">
        <f>K277</f>
        <v>-87700</v>
      </c>
      <c r="L279" s="1">
        <f>L277</f>
        <v>-371</v>
      </c>
      <c r="M279" s="55">
        <f>SUM(J279:L279)</f>
        <v>-182457</v>
      </c>
      <c r="N279" s="1">
        <f>N277</f>
        <v>0</v>
      </c>
      <c r="O279" s="1">
        <f>O277</f>
        <v>0</v>
      </c>
      <c r="P279" s="1">
        <f>P277</f>
        <v>0</v>
      </c>
      <c r="Q279" s="55">
        <f>SUM(N279:P279)</f>
        <v>0</v>
      </c>
      <c r="R279" s="105">
        <f>R277</f>
        <v>-340458</v>
      </c>
    </row>
    <row r="280" spans="1:20" ht="16.5" customHeight="1" thickBot="1" x14ac:dyDescent="0.35">
      <c r="A280" s="20" t="s">
        <v>42</v>
      </c>
      <c r="B280" s="21">
        <f>(B279/B10)/1.983</f>
        <v>-402.03015958225564</v>
      </c>
      <c r="C280" s="21">
        <f>(C279/C10)/1.983</f>
        <v>0</v>
      </c>
      <c r="D280" s="21">
        <f>(D279/D10)/1.983</f>
        <v>0</v>
      </c>
      <c r="E280" s="81"/>
      <c r="F280" s="21">
        <f>(F279/F10)/1.983</f>
        <v>-577.25668179525974</v>
      </c>
      <c r="G280" s="21">
        <f>(G279/G10)/1.983</f>
        <v>-334.92752915914298</v>
      </c>
      <c r="H280" s="21">
        <f>(H279/H10)/1.983</f>
        <v>-1317.1457387796268</v>
      </c>
      <c r="I280" s="81"/>
      <c r="J280" s="21">
        <f>(J279/J10)/1.983</f>
        <v>-1535.4057879068857</v>
      </c>
      <c r="K280" s="21">
        <f>(K279/K10)/1.983</f>
        <v>-1426.6425910562359</v>
      </c>
      <c r="L280" s="21">
        <f>(L279/L10)/1.983</f>
        <v>-6.2363422423936798</v>
      </c>
      <c r="M280" s="81"/>
      <c r="N280" s="21">
        <f>(N279/N10)/1.983</f>
        <v>0</v>
      </c>
      <c r="O280" s="21">
        <f>(O279/O10)/1.983</f>
        <v>0</v>
      </c>
      <c r="P280" s="21">
        <f>(P279/P10)/1.983</f>
        <v>0</v>
      </c>
      <c r="Q280" s="81"/>
      <c r="R280" s="100" t="s">
        <v>7</v>
      </c>
    </row>
    <row r="281" spans="1:20" ht="15.75" customHeight="1" x14ac:dyDescent="0.3">
      <c r="A281" s="2"/>
      <c r="B281" s="1"/>
      <c r="C281" s="1"/>
      <c r="D281" s="1"/>
      <c r="E281" s="1"/>
      <c r="F281" s="1"/>
      <c r="G281" s="1"/>
      <c r="H281" s="1"/>
      <c r="I281" s="1"/>
      <c r="J281" s="1"/>
      <c r="K281" s="1"/>
      <c r="L281" s="1"/>
      <c r="M281" s="1"/>
      <c r="N281" s="1"/>
      <c r="O281" s="1"/>
      <c r="P281" s="1"/>
      <c r="Q281" s="1"/>
      <c r="R281" s="2"/>
    </row>
    <row r="282" spans="1:20" ht="16.5" customHeight="1" thickBot="1" x14ac:dyDescent="0.35">
      <c r="A282" s="106"/>
      <c r="B282" s="21"/>
      <c r="C282" s="21"/>
      <c r="D282" s="21"/>
      <c r="E282" s="21"/>
      <c r="F282" s="21"/>
      <c r="G282" s="21"/>
      <c r="H282" s="21"/>
      <c r="I282" s="21"/>
      <c r="J282" s="21"/>
      <c r="K282" s="21"/>
      <c r="L282" s="21"/>
      <c r="M282" s="21"/>
      <c r="N282" s="21"/>
      <c r="O282" s="21"/>
      <c r="P282" s="21"/>
      <c r="Q282" s="21"/>
      <c r="R282" s="106"/>
    </row>
    <row r="283" spans="1:20" ht="16.5" customHeight="1" thickBot="1" x14ac:dyDescent="0.35">
      <c r="A283" s="107" t="s">
        <v>203</v>
      </c>
      <c r="B283" s="30" t="s">
        <v>8</v>
      </c>
      <c r="C283" s="31" t="s">
        <v>9</v>
      </c>
      <c r="D283" s="31" t="s">
        <v>10</v>
      </c>
      <c r="E283" s="32" t="s">
        <v>11</v>
      </c>
      <c r="F283" s="31" t="s">
        <v>12</v>
      </c>
      <c r="G283" s="31" t="s">
        <v>13</v>
      </c>
      <c r="H283" s="31" t="s">
        <v>14</v>
      </c>
      <c r="I283" s="33" t="s">
        <v>15</v>
      </c>
      <c r="J283" s="31" t="s">
        <v>16</v>
      </c>
      <c r="K283" s="31" t="s">
        <v>17</v>
      </c>
      <c r="L283" s="31" t="s">
        <v>18</v>
      </c>
      <c r="M283" s="33" t="s">
        <v>19</v>
      </c>
      <c r="N283" s="31" t="s">
        <v>20</v>
      </c>
      <c r="O283" s="31" t="s">
        <v>21</v>
      </c>
      <c r="P283" s="31" t="s">
        <v>22</v>
      </c>
      <c r="Q283" s="33" t="s">
        <v>23</v>
      </c>
      <c r="R283" s="34" t="s">
        <v>24</v>
      </c>
    </row>
    <row r="284" spans="1:20" ht="16.5" customHeight="1" thickBot="1" x14ac:dyDescent="0.35">
      <c r="A284" s="59"/>
      <c r="B284" s="75"/>
      <c r="C284" s="75"/>
      <c r="D284" s="75"/>
      <c r="E284" s="69"/>
      <c r="F284" s="75"/>
      <c r="G284" s="75"/>
      <c r="H284" s="75"/>
      <c r="I284" s="82"/>
      <c r="J284" s="75"/>
      <c r="K284" s="75"/>
      <c r="L284" s="75"/>
      <c r="M284" s="82"/>
      <c r="N284" s="75"/>
      <c r="O284" s="75"/>
      <c r="P284" s="75"/>
      <c r="Q284" s="82"/>
      <c r="R284" s="105"/>
    </row>
    <row r="285" spans="1:20" ht="15.75" customHeight="1" x14ac:dyDescent="0.3">
      <c r="A285" s="15" t="s">
        <v>48</v>
      </c>
      <c r="B285" s="1" t="s">
        <v>7</v>
      </c>
      <c r="C285" s="1" t="s">
        <v>7</v>
      </c>
      <c r="D285" s="1" t="s">
        <v>7</v>
      </c>
      <c r="E285" s="55" t="s">
        <v>7</v>
      </c>
      <c r="F285" s="1" t="s">
        <v>7</v>
      </c>
      <c r="G285" s="1" t="s">
        <v>7</v>
      </c>
      <c r="H285" s="1" t="s">
        <v>7</v>
      </c>
      <c r="I285" s="55" t="s">
        <v>7</v>
      </c>
      <c r="J285" s="1" t="s">
        <v>7</v>
      </c>
      <c r="K285" s="1" t="s">
        <v>7</v>
      </c>
      <c r="L285" s="1" t="s">
        <v>7</v>
      </c>
      <c r="M285" s="55" t="s">
        <v>7</v>
      </c>
      <c r="N285" s="1" t="s">
        <v>7</v>
      </c>
      <c r="O285" s="1" t="s">
        <v>7</v>
      </c>
      <c r="P285" s="1" t="s">
        <v>7</v>
      </c>
      <c r="Q285" s="55" t="s">
        <v>7</v>
      </c>
      <c r="R285" s="60" t="s">
        <v>7</v>
      </c>
    </row>
    <row r="286" spans="1:20" ht="15.75" customHeight="1" x14ac:dyDescent="0.3">
      <c r="A286" s="15" t="s">
        <v>49</v>
      </c>
      <c r="B286" s="1"/>
      <c r="C286" s="1"/>
      <c r="D286" s="1"/>
      <c r="E286" s="55" t="s">
        <v>7</v>
      </c>
      <c r="F286" s="1"/>
      <c r="G286" s="1"/>
      <c r="H286" s="1"/>
      <c r="I286" s="55" t="s">
        <v>7</v>
      </c>
      <c r="J286" s="1"/>
      <c r="K286" s="1"/>
      <c r="L286" s="1"/>
      <c r="M286" s="55" t="s">
        <v>7</v>
      </c>
      <c r="N286" s="1"/>
      <c r="O286" s="1"/>
      <c r="P286" s="1"/>
      <c r="Q286" s="55" t="s">
        <v>7</v>
      </c>
      <c r="R286" s="55" t="s">
        <v>7</v>
      </c>
    </row>
    <row r="287" spans="1:20" ht="15.75" customHeight="1" x14ac:dyDescent="0.3">
      <c r="A287" s="72" t="s">
        <v>906</v>
      </c>
      <c r="B287" s="1">
        <v>124</v>
      </c>
      <c r="C287" s="108">
        <v>116</v>
      </c>
      <c r="D287" s="1">
        <v>125</v>
      </c>
      <c r="E287" s="55">
        <f t="shared" ref="E287:E300" si="57">SUM(B287:D287)</f>
        <v>365</v>
      </c>
      <c r="F287" s="1">
        <v>97</v>
      </c>
      <c r="G287" s="1">
        <v>71</v>
      </c>
      <c r="H287" s="1">
        <v>93</v>
      </c>
      <c r="I287" s="55">
        <f t="shared" ref="I287:I300" si="58">SUM(F287:H287)</f>
        <v>261</v>
      </c>
      <c r="J287" s="1">
        <v>107</v>
      </c>
      <c r="K287" s="1">
        <v>102</v>
      </c>
      <c r="L287" s="1">
        <v>88</v>
      </c>
      <c r="M287" s="55">
        <f t="shared" ref="M287:M300" si="59">SUM(J287:L287)</f>
        <v>297</v>
      </c>
      <c r="N287" s="1">
        <v>87</v>
      </c>
      <c r="O287" s="1">
        <v>72</v>
      </c>
      <c r="P287" s="1">
        <v>104</v>
      </c>
      <c r="Q287" s="55">
        <f t="shared" ref="Q287:Q300" si="60">SUM(N287:P287)</f>
        <v>263</v>
      </c>
      <c r="R287" s="55">
        <f t="shared" ref="R287:R300" si="61">+E287+I287+M287+Q287</f>
        <v>1186</v>
      </c>
      <c r="T287" s="4" t="s">
        <v>907</v>
      </c>
    </row>
    <row r="288" spans="1:20" ht="15.75" customHeight="1" x14ac:dyDescent="0.3">
      <c r="A288" s="72" t="s">
        <v>1141</v>
      </c>
      <c r="B288" s="1"/>
      <c r="C288" s="108"/>
      <c r="D288" s="1"/>
      <c r="E288" s="55">
        <f t="shared" si="57"/>
        <v>0</v>
      </c>
      <c r="F288" s="1"/>
      <c r="G288" s="1"/>
      <c r="H288" s="1"/>
      <c r="I288" s="55">
        <f t="shared" si="58"/>
        <v>0</v>
      </c>
      <c r="J288" s="1"/>
      <c r="K288" s="1"/>
      <c r="L288" s="1"/>
      <c r="M288" s="55">
        <f t="shared" si="59"/>
        <v>0</v>
      </c>
      <c r="N288" s="1"/>
      <c r="O288" s="1"/>
      <c r="P288" s="1">
        <v>50</v>
      </c>
      <c r="Q288" s="55">
        <f t="shared" si="60"/>
        <v>50</v>
      </c>
      <c r="R288" s="55">
        <f t="shared" si="61"/>
        <v>50</v>
      </c>
      <c r="T288" s="4" t="s">
        <v>241</v>
      </c>
    </row>
    <row r="289" spans="1:20" ht="15.75" customHeight="1" x14ac:dyDescent="0.3">
      <c r="A289" s="72" t="s">
        <v>913</v>
      </c>
      <c r="B289" s="1">
        <v>93</v>
      </c>
      <c r="C289" s="1">
        <v>69</v>
      </c>
      <c r="D289" s="1">
        <v>250</v>
      </c>
      <c r="E289" s="55">
        <f t="shared" si="57"/>
        <v>412</v>
      </c>
      <c r="F289" s="1">
        <v>260</v>
      </c>
      <c r="G289" s="1">
        <v>354</v>
      </c>
      <c r="H289" s="1">
        <v>418</v>
      </c>
      <c r="I289" s="55">
        <f t="shared" si="58"/>
        <v>1032</v>
      </c>
      <c r="J289" s="1">
        <v>371</v>
      </c>
      <c r="K289" s="1">
        <v>341</v>
      </c>
      <c r="L289" s="1">
        <v>289</v>
      </c>
      <c r="M289" s="55">
        <f t="shared" si="59"/>
        <v>1001</v>
      </c>
      <c r="N289" s="1">
        <v>421</v>
      </c>
      <c r="O289" s="1">
        <v>172</v>
      </c>
      <c r="P289" s="1">
        <v>188</v>
      </c>
      <c r="Q289" s="55">
        <f t="shared" si="60"/>
        <v>781</v>
      </c>
      <c r="R289" s="55">
        <f t="shared" si="61"/>
        <v>3226</v>
      </c>
      <c r="T289" s="4" t="s">
        <v>914</v>
      </c>
    </row>
    <row r="290" spans="1:20" ht="15.75" customHeight="1" x14ac:dyDescent="0.3">
      <c r="A290" s="72" t="s">
        <v>208</v>
      </c>
      <c r="B290" s="1">
        <v>43</v>
      </c>
      <c r="C290" s="1">
        <v>27</v>
      </c>
      <c r="D290" s="1">
        <v>75</v>
      </c>
      <c r="E290" s="55">
        <f t="shared" si="57"/>
        <v>145</v>
      </c>
      <c r="F290" s="1">
        <v>118</v>
      </c>
      <c r="G290" s="1">
        <v>120</v>
      </c>
      <c r="H290" s="1">
        <v>203</v>
      </c>
      <c r="I290" s="55">
        <f t="shared" si="58"/>
        <v>441</v>
      </c>
      <c r="J290" s="1">
        <v>349</v>
      </c>
      <c r="K290" s="1">
        <v>306</v>
      </c>
      <c r="L290" s="1">
        <v>172</v>
      </c>
      <c r="M290" s="55">
        <f t="shared" si="59"/>
        <v>827</v>
      </c>
      <c r="N290" s="1">
        <v>120</v>
      </c>
      <c r="O290" s="1">
        <v>48</v>
      </c>
      <c r="P290" s="1">
        <v>33</v>
      </c>
      <c r="Q290" s="55">
        <f t="shared" si="60"/>
        <v>201</v>
      </c>
      <c r="R290" s="55">
        <f t="shared" si="61"/>
        <v>1614</v>
      </c>
      <c r="T290" s="4" t="s">
        <v>209</v>
      </c>
    </row>
    <row r="291" spans="1:20" ht="15.75" customHeight="1" x14ac:dyDescent="0.3">
      <c r="A291" s="72" t="s">
        <v>917</v>
      </c>
      <c r="B291" s="1"/>
      <c r="C291" s="1"/>
      <c r="D291" s="1"/>
      <c r="E291" s="55">
        <f t="shared" si="57"/>
        <v>0</v>
      </c>
      <c r="F291" s="1"/>
      <c r="G291" s="1"/>
      <c r="H291" s="1"/>
      <c r="I291" s="55">
        <f t="shared" si="58"/>
        <v>0</v>
      </c>
      <c r="J291" s="1"/>
      <c r="K291" s="1"/>
      <c r="L291" s="1"/>
      <c r="M291" s="55">
        <f t="shared" si="59"/>
        <v>0</v>
      </c>
      <c r="N291" s="1"/>
      <c r="O291" s="1"/>
      <c r="P291" s="1">
        <v>623</v>
      </c>
      <c r="Q291" s="55">
        <f t="shared" si="60"/>
        <v>623</v>
      </c>
      <c r="R291" s="55">
        <f t="shared" si="61"/>
        <v>623</v>
      </c>
      <c r="T291" s="4" t="s">
        <v>241</v>
      </c>
    </row>
    <row r="292" spans="1:20" ht="15.75" customHeight="1" x14ac:dyDescent="0.3">
      <c r="A292" s="72" t="s">
        <v>918</v>
      </c>
      <c r="B292" s="1"/>
      <c r="C292" s="1"/>
      <c r="D292" s="1">
        <v>183</v>
      </c>
      <c r="E292" s="55">
        <f t="shared" si="57"/>
        <v>183</v>
      </c>
      <c r="F292" s="1">
        <v>949</v>
      </c>
      <c r="G292" s="1">
        <v>1134</v>
      </c>
      <c r="H292" s="1">
        <v>686</v>
      </c>
      <c r="I292" s="55">
        <f t="shared" si="58"/>
        <v>2769</v>
      </c>
      <c r="J292" s="1"/>
      <c r="K292" s="1"/>
      <c r="L292" s="1"/>
      <c r="M292" s="55">
        <f t="shared" si="59"/>
        <v>0</v>
      </c>
      <c r="N292" s="1"/>
      <c r="O292" s="1">
        <v>982</v>
      </c>
      <c r="P292" s="1">
        <v>1045</v>
      </c>
      <c r="Q292" s="55">
        <f t="shared" si="60"/>
        <v>2027</v>
      </c>
      <c r="R292" s="55">
        <f t="shared" si="61"/>
        <v>4979</v>
      </c>
      <c r="T292" s="4" t="s">
        <v>919</v>
      </c>
    </row>
    <row r="293" spans="1:20" ht="15.75" customHeight="1" x14ac:dyDescent="0.3">
      <c r="A293" s="72" t="s">
        <v>920</v>
      </c>
      <c r="B293" s="1">
        <v>16</v>
      </c>
      <c r="C293" s="1">
        <v>29</v>
      </c>
      <c r="D293" s="1">
        <v>29</v>
      </c>
      <c r="E293" s="55">
        <f t="shared" si="57"/>
        <v>74</v>
      </c>
      <c r="F293" s="1">
        <v>42</v>
      </c>
      <c r="G293" s="1">
        <v>67</v>
      </c>
      <c r="H293" s="1">
        <v>75</v>
      </c>
      <c r="I293" s="55">
        <f t="shared" si="58"/>
        <v>184</v>
      </c>
      <c r="J293" s="1">
        <v>58</v>
      </c>
      <c r="K293" s="1">
        <v>51</v>
      </c>
      <c r="L293" s="1">
        <v>35</v>
      </c>
      <c r="M293" s="55">
        <f t="shared" si="59"/>
        <v>144</v>
      </c>
      <c r="N293" s="1">
        <v>71</v>
      </c>
      <c r="O293" s="1">
        <v>21</v>
      </c>
      <c r="P293" s="1">
        <v>23</v>
      </c>
      <c r="Q293" s="55">
        <f t="shared" si="60"/>
        <v>115</v>
      </c>
      <c r="R293" s="55">
        <f t="shared" si="61"/>
        <v>517</v>
      </c>
      <c r="T293" s="4" t="s">
        <v>209</v>
      </c>
    </row>
    <row r="294" spans="1:20" ht="15.75" customHeight="1" x14ac:dyDescent="0.3">
      <c r="A294" s="72" t="s">
        <v>921</v>
      </c>
      <c r="B294" s="1"/>
      <c r="C294" s="1"/>
      <c r="D294" s="1"/>
      <c r="E294" s="55">
        <f t="shared" si="57"/>
        <v>0</v>
      </c>
      <c r="F294" s="1"/>
      <c r="G294" s="1"/>
      <c r="H294" s="1"/>
      <c r="I294" s="55">
        <f t="shared" si="58"/>
        <v>0</v>
      </c>
      <c r="J294" s="1"/>
      <c r="K294" s="1"/>
      <c r="L294" s="1"/>
      <c r="M294" s="55">
        <f t="shared" si="59"/>
        <v>0</v>
      </c>
      <c r="N294" s="1"/>
      <c r="O294" s="1"/>
      <c r="P294" s="1"/>
      <c r="Q294" s="55">
        <f t="shared" si="60"/>
        <v>0</v>
      </c>
      <c r="R294" s="55">
        <f t="shared" si="61"/>
        <v>0</v>
      </c>
      <c r="T294" s="4" t="s">
        <v>209</v>
      </c>
    </row>
    <row r="295" spans="1:20" ht="15.75" customHeight="1" x14ac:dyDescent="0.3">
      <c r="A295" s="72" t="s">
        <v>922</v>
      </c>
      <c r="B295" s="1"/>
      <c r="C295" s="1"/>
      <c r="D295" s="1"/>
      <c r="E295" s="55">
        <f>SUM(B295:D295)</f>
        <v>0</v>
      </c>
      <c r="F295" s="1"/>
      <c r="G295" s="1"/>
      <c r="H295" s="1"/>
      <c r="I295" s="55">
        <f>SUM(F295:H295)</f>
        <v>0</v>
      </c>
      <c r="J295" s="1"/>
      <c r="K295" s="1"/>
      <c r="L295" s="1"/>
      <c r="M295" s="55">
        <f>SUM(J295:L295)</f>
        <v>0</v>
      </c>
      <c r="N295" s="1">
        <v>726</v>
      </c>
      <c r="O295" s="1">
        <v>382</v>
      </c>
      <c r="P295" s="1"/>
      <c r="Q295" s="55">
        <f>SUM(N295:P295)</f>
        <v>1108</v>
      </c>
      <c r="R295" s="55">
        <f t="shared" si="61"/>
        <v>1108</v>
      </c>
      <c r="T295" s="4" t="s">
        <v>241</v>
      </c>
    </row>
    <row r="296" spans="1:20" ht="15.75" customHeight="1" x14ac:dyDescent="0.3">
      <c r="A296" s="72" t="s">
        <v>118</v>
      </c>
      <c r="B296" s="1"/>
      <c r="C296" s="1"/>
      <c r="D296" s="1"/>
      <c r="E296" s="55">
        <f t="shared" si="57"/>
        <v>0</v>
      </c>
      <c r="F296" s="1"/>
      <c r="G296" s="1"/>
      <c r="H296" s="1"/>
      <c r="I296" s="55">
        <f t="shared" si="58"/>
        <v>0</v>
      </c>
      <c r="J296" s="1"/>
      <c r="K296" s="1"/>
      <c r="L296" s="1">
        <v>337</v>
      </c>
      <c r="M296" s="55">
        <f t="shared" si="59"/>
        <v>337</v>
      </c>
      <c r="N296" s="1">
        <v>1149</v>
      </c>
      <c r="O296" s="1">
        <v>1036</v>
      </c>
      <c r="P296" s="1">
        <v>1142</v>
      </c>
      <c r="Q296" s="55">
        <f t="shared" si="60"/>
        <v>3327</v>
      </c>
      <c r="R296" s="55">
        <f t="shared" si="61"/>
        <v>3664</v>
      </c>
      <c r="T296" s="4" t="s">
        <v>919</v>
      </c>
    </row>
    <row r="297" spans="1:20" ht="15.75" customHeight="1" x14ac:dyDescent="0.3">
      <c r="A297" s="72" t="s">
        <v>924</v>
      </c>
      <c r="B297" s="1">
        <v>31</v>
      </c>
      <c r="C297" s="1">
        <v>18</v>
      </c>
      <c r="D297" s="1">
        <v>49</v>
      </c>
      <c r="E297" s="55">
        <f t="shared" si="57"/>
        <v>98</v>
      </c>
      <c r="F297" s="1">
        <v>12</v>
      </c>
      <c r="G297" s="1">
        <v>11</v>
      </c>
      <c r="H297" s="1">
        <v>12</v>
      </c>
      <c r="I297" s="55">
        <f t="shared" si="58"/>
        <v>35</v>
      </c>
      <c r="J297" s="1">
        <v>14</v>
      </c>
      <c r="K297" s="1"/>
      <c r="L297" s="1"/>
      <c r="M297" s="55">
        <f t="shared" si="59"/>
        <v>14</v>
      </c>
      <c r="N297" s="1"/>
      <c r="O297" s="1"/>
      <c r="P297" s="1"/>
      <c r="Q297" s="55">
        <f t="shared" si="60"/>
        <v>0</v>
      </c>
      <c r="R297" s="55">
        <f t="shared" si="61"/>
        <v>147</v>
      </c>
      <c r="S297" s="300"/>
      <c r="T297" s="4" t="s">
        <v>214</v>
      </c>
    </row>
    <row r="298" spans="1:20" ht="15.75" customHeight="1" x14ac:dyDescent="0.3">
      <c r="A298" s="72" t="s">
        <v>215</v>
      </c>
      <c r="B298" s="1">
        <v>1812</v>
      </c>
      <c r="C298" s="1">
        <v>854</v>
      </c>
      <c r="D298" s="1">
        <v>1505</v>
      </c>
      <c r="E298" s="55">
        <f t="shared" si="57"/>
        <v>4171</v>
      </c>
      <c r="F298" s="1">
        <v>753</v>
      </c>
      <c r="G298" s="1">
        <v>86</v>
      </c>
      <c r="H298" s="1">
        <v>5331</v>
      </c>
      <c r="I298" s="55">
        <f t="shared" si="58"/>
        <v>6170</v>
      </c>
      <c r="J298" s="1">
        <v>5264</v>
      </c>
      <c r="K298" s="1">
        <v>5037</v>
      </c>
      <c r="L298" s="1">
        <v>4119</v>
      </c>
      <c r="M298" s="55">
        <f t="shared" si="59"/>
        <v>14420</v>
      </c>
      <c r="N298" s="1">
        <v>4185</v>
      </c>
      <c r="O298" s="1">
        <v>3346</v>
      </c>
      <c r="P298" s="1">
        <v>2633</v>
      </c>
      <c r="Q298" s="55">
        <f t="shared" si="60"/>
        <v>10164</v>
      </c>
      <c r="R298" s="55">
        <f t="shared" si="61"/>
        <v>34925</v>
      </c>
      <c r="T298" s="4" t="s">
        <v>210</v>
      </c>
    </row>
    <row r="299" spans="1:20" ht="15.75" customHeight="1" x14ac:dyDescent="0.3">
      <c r="A299" s="72" t="s">
        <v>720</v>
      </c>
      <c r="B299" s="1"/>
      <c r="C299" s="1"/>
      <c r="D299" s="1"/>
      <c r="E299" s="55">
        <f t="shared" si="57"/>
        <v>0</v>
      </c>
      <c r="F299" s="1"/>
      <c r="G299" s="1"/>
      <c r="H299" s="1"/>
      <c r="I299" s="55">
        <f t="shared" si="58"/>
        <v>0</v>
      </c>
      <c r="J299" s="1"/>
      <c r="K299" s="1"/>
      <c r="L299" s="1"/>
      <c r="M299" s="55">
        <f t="shared" si="59"/>
        <v>0</v>
      </c>
      <c r="N299" s="1"/>
      <c r="O299" s="1"/>
      <c r="P299" s="1"/>
      <c r="Q299" s="55">
        <f t="shared" si="60"/>
        <v>0</v>
      </c>
      <c r="R299" s="55">
        <f t="shared" si="61"/>
        <v>0</v>
      </c>
    </row>
    <row r="300" spans="1:20" ht="15.75" customHeight="1" x14ac:dyDescent="0.3">
      <c r="A300" s="72" t="s">
        <v>930</v>
      </c>
      <c r="B300" s="1">
        <v>1</v>
      </c>
      <c r="C300" s="1"/>
      <c r="D300" s="1"/>
      <c r="E300" s="55">
        <f t="shared" si="57"/>
        <v>1</v>
      </c>
      <c r="F300" s="1">
        <v>42</v>
      </c>
      <c r="G300" s="1">
        <v>0</v>
      </c>
      <c r="H300" s="1">
        <v>131</v>
      </c>
      <c r="I300" s="55">
        <f t="shared" si="58"/>
        <v>173</v>
      </c>
      <c r="J300" s="1">
        <v>115</v>
      </c>
      <c r="K300" s="1">
        <v>59</v>
      </c>
      <c r="L300" s="1"/>
      <c r="M300" s="55">
        <f t="shared" si="59"/>
        <v>174</v>
      </c>
      <c r="N300" s="1"/>
      <c r="O300" s="1"/>
      <c r="P300" s="1"/>
      <c r="Q300" s="55">
        <f t="shared" si="60"/>
        <v>0</v>
      </c>
      <c r="R300" s="55">
        <f t="shared" si="61"/>
        <v>348</v>
      </c>
      <c r="S300" s="4">
        <f>SUM(R287:R300)</f>
        <v>52387</v>
      </c>
      <c r="T300" s="4" t="s">
        <v>214</v>
      </c>
    </row>
    <row r="301" spans="1:20" ht="15.75" customHeight="1" x14ac:dyDescent="0.3">
      <c r="A301" s="15" t="s">
        <v>50</v>
      </c>
      <c r="B301" s="1"/>
      <c r="C301" s="1"/>
      <c r="D301" s="1"/>
      <c r="E301" s="55" t="s">
        <v>7</v>
      </c>
      <c r="F301" s="1"/>
      <c r="G301" s="1"/>
      <c r="H301" s="1"/>
      <c r="I301" s="55" t="s">
        <v>7</v>
      </c>
      <c r="J301" s="1"/>
      <c r="K301" s="1"/>
      <c r="L301" s="1"/>
      <c r="M301" s="55" t="s">
        <v>7</v>
      </c>
      <c r="N301" s="1"/>
      <c r="O301" s="1"/>
      <c r="P301" s="1"/>
      <c r="Q301" s="55" t="s">
        <v>7</v>
      </c>
      <c r="R301" s="55" t="s">
        <v>7</v>
      </c>
    </row>
    <row r="302" spans="1:20" ht="15.75" customHeight="1" x14ac:dyDescent="0.3">
      <c r="A302" s="72" t="s">
        <v>217</v>
      </c>
      <c r="B302" s="1"/>
      <c r="C302" s="1"/>
      <c r="D302" s="1"/>
      <c r="E302" s="55">
        <f t="shared" ref="E302:E316" si="62">SUM(B302:D302)</f>
        <v>0</v>
      </c>
      <c r="F302" s="1"/>
      <c r="G302" s="1"/>
      <c r="H302" s="1"/>
      <c r="I302" s="55">
        <f t="shared" ref="I302:I316" si="63">SUM(F302:H302)</f>
        <v>0</v>
      </c>
      <c r="J302" s="1"/>
      <c r="K302" s="1"/>
      <c r="L302" s="1"/>
      <c r="M302" s="55">
        <f t="shared" ref="M302:M316" si="64">SUM(J302:L302)</f>
        <v>0</v>
      </c>
      <c r="N302" s="1"/>
      <c r="O302" s="1"/>
      <c r="P302" s="1"/>
      <c r="Q302" s="55">
        <f t="shared" ref="Q302:Q316" si="65">SUM(N302:P302)</f>
        <v>0</v>
      </c>
      <c r="R302" s="55">
        <f t="shared" ref="R302:R316" si="66">+E302+I302+M302+Q302</f>
        <v>0</v>
      </c>
    </row>
    <row r="303" spans="1:20" ht="15.75" customHeight="1" x14ac:dyDescent="0.3">
      <c r="A303" s="72" t="s">
        <v>932</v>
      </c>
      <c r="B303" s="1">
        <v>18</v>
      </c>
      <c r="C303" s="1">
        <v>8</v>
      </c>
      <c r="D303" s="1">
        <v>0</v>
      </c>
      <c r="E303" s="55">
        <f>SUM(B303:D303)</f>
        <v>26</v>
      </c>
      <c r="F303" s="1">
        <v>8</v>
      </c>
      <c r="G303" s="1">
        <v>12</v>
      </c>
      <c r="H303" s="1">
        <v>8</v>
      </c>
      <c r="I303" s="55">
        <f>SUM(F303:H303)</f>
        <v>28</v>
      </c>
      <c r="J303" s="1">
        <v>15</v>
      </c>
      <c r="K303" s="1">
        <v>8</v>
      </c>
      <c r="L303" s="1">
        <v>8</v>
      </c>
      <c r="M303" s="55">
        <f>SUM(J303:L303)</f>
        <v>31</v>
      </c>
      <c r="N303" s="1">
        <v>9</v>
      </c>
      <c r="O303" s="1">
        <v>0</v>
      </c>
      <c r="P303" s="1">
        <v>8</v>
      </c>
      <c r="Q303" s="55">
        <f>SUM(N303:P303)</f>
        <v>17</v>
      </c>
      <c r="R303" s="55">
        <f>+E303+I303+M303+Q303</f>
        <v>102</v>
      </c>
      <c r="T303" s="4" t="s">
        <v>220</v>
      </c>
    </row>
    <row r="304" spans="1:20" ht="15.75" customHeight="1" x14ac:dyDescent="0.3">
      <c r="A304" s="72" t="s">
        <v>924</v>
      </c>
      <c r="B304" s="1"/>
      <c r="C304" s="1"/>
      <c r="D304" s="1">
        <v>0</v>
      </c>
      <c r="E304" s="55">
        <f t="shared" si="62"/>
        <v>0</v>
      </c>
      <c r="F304" s="1">
        <v>0</v>
      </c>
      <c r="G304" s="1">
        <v>0</v>
      </c>
      <c r="H304" s="1">
        <v>0</v>
      </c>
      <c r="I304" s="55">
        <f t="shared" si="63"/>
        <v>0</v>
      </c>
      <c r="J304" s="1">
        <v>3</v>
      </c>
      <c r="K304" s="1">
        <v>19</v>
      </c>
      <c r="L304" s="1">
        <v>14</v>
      </c>
      <c r="M304" s="55">
        <f t="shared" si="64"/>
        <v>36</v>
      </c>
      <c r="N304" s="1">
        <v>93</v>
      </c>
      <c r="O304" s="1">
        <v>40</v>
      </c>
      <c r="P304" s="1">
        <v>145</v>
      </c>
      <c r="Q304" s="55">
        <f t="shared" si="65"/>
        <v>278</v>
      </c>
      <c r="R304" s="55">
        <f>+E304+I304+M304+Q304</f>
        <v>314</v>
      </c>
      <c r="T304" s="4" t="s">
        <v>214</v>
      </c>
    </row>
    <row r="305" spans="1:20" ht="15.75" customHeight="1" x14ac:dyDescent="0.3">
      <c r="A305" s="72" t="s">
        <v>721</v>
      </c>
      <c r="B305" s="1">
        <v>2</v>
      </c>
      <c r="C305" s="1">
        <v>2</v>
      </c>
      <c r="D305" s="1">
        <v>4</v>
      </c>
      <c r="E305" s="55">
        <f>SUM(B305:D305)</f>
        <v>8</v>
      </c>
      <c r="F305" s="1">
        <v>4</v>
      </c>
      <c r="G305" s="1">
        <v>4</v>
      </c>
      <c r="H305" s="1">
        <v>7</v>
      </c>
      <c r="I305" s="55">
        <f>SUM(F305:H305)</f>
        <v>15</v>
      </c>
      <c r="J305" s="1">
        <v>6</v>
      </c>
      <c r="K305" s="1">
        <v>6</v>
      </c>
      <c r="L305" s="1">
        <v>5</v>
      </c>
      <c r="M305" s="55">
        <f>SUM(J305:L305)</f>
        <v>17</v>
      </c>
      <c r="N305" s="1">
        <v>4</v>
      </c>
      <c r="O305" s="1">
        <v>4</v>
      </c>
      <c r="P305" s="1">
        <v>2</v>
      </c>
      <c r="Q305" s="55">
        <f>SUM(N305:P305)</f>
        <v>10</v>
      </c>
      <c r="R305" s="55">
        <f>+E305+I305+M305+Q305</f>
        <v>50</v>
      </c>
      <c r="T305" s="4" t="s">
        <v>218</v>
      </c>
    </row>
    <row r="306" spans="1:20" ht="15.75" customHeight="1" x14ac:dyDescent="0.3">
      <c r="A306" s="72" t="s">
        <v>633</v>
      </c>
      <c r="B306" s="1">
        <v>18</v>
      </c>
      <c r="C306" s="1">
        <v>12</v>
      </c>
      <c r="D306" s="1">
        <v>42</v>
      </c>
      <c r="E306" s="55">
        <f t="shared" si="62"/>
        <v>72</v>
      </c>
      <c r="F306" s="1">
        <v>53</v>
      </c>
      <c r="G306" s="1">
        <v>71</v>
      </c>
      <c r="H306" s="1">
        <v>82</v>
      </c>
      <c r="I306" s="55">
        <f t="shared" si="63"/>
        <v>206</v>
      </c>
      <c r="J306" s="1">
        <v>71</v>
      </c>
      <c r="K306" s="1">
        <v>60</v>
      </c>
      <c r="L306" s="1">
        <v>30</v>
      </c>
      <c r="M306" s="55">
        <f t="shared" si="64"/>
        <v>161</v>
      </c>
      <c r="N306" s="1">
        <v>67</v>
      </c>
      <c r="O306" s="1">
        <v>24</v>
      </c>
      <c r="P306" s="1">
        <v>15</v>
      </c>
      <c r="Q306" s="55">
        <f t="shared" si="65"/>
        <v>106</v>
      </c>
      <c r="R306" s="55">
        <f t="shared" si="66"/>
        <v>545</v>
      </c>
      <c r="T306" s="4" t="s">
        <v>406</v>
      </c>
    </row>
    <row r="307" spans="1:20" ht="15.75" customHeight="1" x14ac:dyDescent="0.3">
      <c r="A307" s="72" t="s">
        <v>222</v>
      </c>
      <c r="B307" s="1"/>
      <c r="C307" s="1"/>
      <c r="D307" s="1"/>
      <c r="E307" s="55">
        <f t="shared" si="62"/>
        <v>0</v>
      </c>
      <c r="F307" s="1"/>
      <c r="G307" s="1"/>
      <c r="H307" s="1"/>
      <c r="I307" s="55">
        <f t="shared" si="63"/>
        <v>0</v>
      </c>
      <c r="J307" s="1"/>
      <c r="K307" s="1"/>
      <c r="L307" s="1"/>
      <c r="M307" s="55">
        <f t="shared" si="64"/>
        <v>0</v>
      </c>
      <c r="N307" s="1"/>
      <c r="O307" s="1"/>
      <c r="P307" s="1"/>
      <c r="Q307" s="55">
        <f t="shared" si="65"/>
        <v>0</v>
      </c>
      <c r="R307" s="55">
        <f t="shared" si="66"/>
        <v>0</v>
      </c>
    </row>
    <row r="308" spans="1:20" ht="15.75" customHeight="1" x14ac:dyDescent="0.3">
      <c r="A308" s="72" t="s">
        <v>933</v>
      </c>
      <c r="B308" s="1"/>
      <c r="C308" s="1"/>
      <c r="D308" s="1"/>
      <c r="E308" s="55">
        <f t="shared" si="62"/>
        <v>0</v>
      </c>
      <c r="F308" s="1">
        <v>7</v>
      </c>
      <c r="G308" s="1">
        <v>71</v>
      </c>
      <c r="H308" s="1">
        <v>73</v>
      </c>
      <c r="I308" s="55">
        <f t="shared" si="63"/>
        <v>151</v>
      </c>
      <c r="J308" s="1">
        <v>68</v>
      </c>
      <c r="K308" s="1">
        <v>85</v>
      </c>
      <c r="L308" s="1">
        <v>85</v>
      </c>
      <c r="M308" s="55">
        <f t="shared" si="64"/>
        <v>238</v>
      </c>
      <c r="N308" s="1">
        <v>24</v>
      </c>
      <c r="O308" s="1"/>
      <c r="P308" s="1"/>
      <c r="Q308" s="55">
        <f t="shared" si="65"/>
        <v>24</v>
      </c>
      <c r="R308" s="55">
        <f t="shared" si="66"/>
        <v>413</v>
      </c>
      <c r="T308" s="4" t="s">
        <v>226</v>
      </c>
    </row>
    <row r="309" spans="1:20" ht="15.75" customHeight="1" x14ac:dyDescent="0.3">
      <c r="A309" s="72" t="s">
        <v>227</v>
      </c>
      <c r="B309" s="1">
        <v>2</v>
      </c>
      <c r="C309" s="1">
        <v>2</v>
      </c>
      <c r="D309" s="1">
        <v>4</v>
      </c>
      <c r="E309" s="55">
        <f t="shared" si="62"/>
        <v>8</v>
      </c>
      <c r="F309" s="1">
        <v>1</v>
      </c>
      <c r="G309" s="1">
        <v>1</v>
      </c>
      <c r="H309" s="1">
        <v>2</v>
      </c>
      <c r="I309" s="55">
        <f t="shared" si="63"/>
        <v>4</v>
      </c>
      <c r="J309" s="1">
        <v>2</v>
      </c>
      <c r="K309" s="1">
        <v>3</v>
      </c>
      <c r="L309" s="1">
        <v>1</v>
      </c>
      <c r="M309" s="55">
        <f t="shared" si="64"/>
        <v>6</v>
      </c>
      <c r="N309" s="1">
        <v>1</v>
      </c>
      <c r="O309" s="1">
        <v>1</v>
      </c>
      <c r="P309" s="1">
        <v>1</v>
      </c>
      <c r="Q309" s="55">
        <f t="shared" si="65"/>
        <v>3</v>
      </c>
      <c r="R309" s="55">
        <f t="shared" si="66"/>
        <v>21</v>
      </c>
      <c r="T309" s="4" t="s">
        <v>226</v>
      </c>
    </row>
    <row r="310" spans="1:20" ht="15.75" customHeight="1" x14ac:dyDescent="0.3">
      <c r="A310" s="72" t="s">
        <v>1128</v>
      </c>
      <c r="B310" s="1"/>
      <c r="C310" s="1"/>
      <c r="D310" s="1"/>
      <c r="E310" s="55">
        <f t="shared" si="62"/>
        <v>0</v>
      </c>
      <c r="F310" s="1"/>
      <c r="G310" s="1"/>
      <c r="H310" s="1"/>
      <c r="I310" s="55">
        <f t="shared" si="63"/>
        <v>0</v>
      </c>
      <c r="J310" s="1"/>
      <c r="K310" s="1">
        <v>16</v>
      </c>
      <c r="L310" s="1">
        <v>21</v>
      </c>
      <c r="M310" s="55">
        <f t="shared" si="64"/>
        <v>37</v>
      </c>
      <c r="N310" s="1">
        <v>15</v>
      </c>
      <c r="O310" s="1"/>
      <c r="P310" s="1"/>
      <c r="Q310" s="55">
        <f t="shared" si="65"/>
        <v>15</v>
      </c>
      <c r="R310" s="55">
        <f t="shared" si="66"/>
        <v>52</v>
      </c>
      <c r="T310" s="4" t="s">
        <v>214</v>
      </c>
    </row>
    <row r="311" spans="1:20" ht="15.75" customHeight="1" x14ac:dyDescent="0.3">
      <c r="A311" s="72" t="s">
        <v>228</v>
      </c>
      <c r="B311" s="1">
        <v>21</v>
      </c>
      <c r="C311" s="1">
        <v>20</v>
      </c>
      <c r="D311" s="1">
        <v>40</v>
      </c>
      <c r="E311" s="55">
        <f t="shared" si="62"/>
        <v>81</v>
      </c>
      <c r="F311" s="1">
        <v>48</v>
      </c>
      <c r="G311" s="1">
        <v>58</v>
      </c>
      <c r="H311" s="1">
        <v>73</v>
      </c>
      <c r="I311" s="55">
        <f t="shared" si="63"/>
        <v>179</v>
      </c>
      <c r="J311" s="1">
        <v>72</v>
      </c>
      <c r="K311" s="1">
        <v>54</v>
      </c>
      <c r="L311" s="1">
        <v>31</v>
      </c>
      <c r="M311" s="55">
        <f t="shared" si="64"/>
        <v>157</v>
      </c>
      <c r="N311" s="1">
        <v>66</v>
      </c>
      <c r="O311" s="1">
        <v>33</v>
      </c>
      <c r="P311" s="1">
        <v>35</v>
      </c>
      <c r="Q311" s="55">
        <f t="shared" si="65"/>
        <v>134</v>
      </c>
      <c r="R311" s="55">
        <f t="shared" si="66"/>
        <v>551</v>
      </c>
      <c r="T311" s="4" t="s">
        <v>406</v>
      </c>
    </row>
    <row r="312" spans="1:20" ht="15.75" customHeight="1" x14ac:dyDescent="0.3">
      <c r="A312" s="72" t="s">
        <v>934</v>
      </c>
      <c r="B312" s="1">
        <v>1</v>
      </c>
      <c r="C312" s="1">
        <v>1</v>
      </c>
      <c r="D312" s="1">
        <v>1</v>
      </c>
      <c r="E312" s="55">
        <f t="shared" si="62"/>
        <v>3</v>
      </c>
      <c r="F312" s="1">
        <v>1</v>
      </c>
      <c r="G312" s="1">
        <v>1</v>
      </c>
      <c r="H312" s="1">
        <v>2</v>
      </c>
      <c r="I312" s="55">
        <f t="shared" si="63"/>
        <v>4</v>
      </c>
      <c r="J312" s="1">
        <v>2</v>
      </c>
      <c r="K312" s="1">
        <v>3</v>
      </c>
      <c r="L312" s="1">
        <v>0</v>
      </c>
      <c r="M312" s="55">
        <f t="shared" si="64"/>
        <v>5</v>
      </c>
      <c r="N312" s="1">
        <v>3</v>
      </c>
      <c r="O312" s="1">
        <v>1</v>
      </c>
      <c r="P312" s="1">
        <v>1</v>
      </c>
      <c r="Q312" s="55">
        <f t="shared" si="65"/>
        <v>5</v>
      </c>
      <c r="R312" s="55">
        <f t="shared" si="66"/>
        <v>17</v>
      </c>
      <c r="T312" s="4" t="s">
        <v>406</v>
      </c>
    </row>
    <row r="313" spans="1:20" ht="15.75" customHeight="1" x14ac:dyDescent="0.3">
      <c r="A313" s="72" t="s">
        <v>634</v>
      </c>
      <c r="B313" s="1"/>
      <c r="C313" s="1"/>
      <c r="D313" s="1">
        <v>9</v>
      </c>
      <c r="E313" s="55">
        <f>SUM(B313:D313)</f>
        <v>9</v>
      </c>
      <c r="F313" s="1">
        <v>9</v>
      </c>
      <c r="G313" s="1">
        <v>10</v>
      </c>
      <c r="H313" s="1">
        <v>10</v>
      </c>
      <c r="I313" s="55">
        <f>SUM(F313:H313)</f>
        <v>29</v>
      </c>
      <c r="J313" s="1">
        <v>12</v>
      </c>
      <c r="K313" s="1">
        <v>16</v>
      </c>
      <c r="L313" s="1"/>
      <c r="M313" s="55">
        <f>SUM(J313:L313)</f>
        <v>28</v>
      </c>
      <c r="N313" s="1"/>
      <c r="O313" s="1"/>
      <c r="P313" s="1"/>
      <c r="Q313" s="55">
        <f>SUM(N313:P313)</f>
        <v>0</v>
      </c>
      <c r="R313" s="55">
        <f>+E313+I313+M313+Q313</f>
        <v>66</v>
      </c>
      <c r="T313" s="4" t="s">
        <v>406</v>
      </c>
    </row>
    <row r="314" spans="1:20" ht="15.75" customHeight="1" x14ac:dyDescent="0.3">
      <c r="A314" s="72" t="s">
        <v>635</v>
      </c>
      <c r="B314" s="1"/>
      <c r="C314" s="1"/>
      <c r="D314" s="1"/>
      <c r="E314" s="55">
        <f t="shared" si="62"/>
        <v>0</v>
      </c>
      <c r="F314" s="1"/>
      <c r="G314" s="1"/>
      <c r="H314" s="1">
        <v>28</v>
      </c>
      <c r="I314" s="55">
        <f t="shared" si="63"/>
        <v>28</v>
      </c>
      <c r="J314" s="1">
        <v>24</v>
      </c>
      <c r="K314" s="1">
        <v>12</v>
      </c>
      <c r="L314" s="1">
        <v>0</v>
      </c>
      <c r="M314" s="55">
        <f t="shared" si="64"/>
        <v>36</v>
      </c>
      <c r="N314" s="1">
        <v>21</v>
      </c>
      <c r="O314" s="1"/>
      <c r="P314" s="1"/>
      <c r="Q314" s="55">
        <f t="shared" si="65"/>
        <v>21</v>
      </c>
      <c r="R314" s="55">
        <f t="shared" si="66"/>
        <v>85</v>
      </c>
      <c r="T314" s="4" t="s">
        <v>232</v>
      </c>
    </row>
    <row r="315" spans="1:20" ht="15.75" customHeight="1" x14ac:dyDescent="0.3">
      <c r="A315" s="72" t="s">
        <v>1152</v>
      </c>
      <c r="B315" s="1"/>
      <c r="C315" s="1"/>
      <c r="D315" s="1"/>
      <c r="E315" s="55">
        <f>SUM(B315:D315)</f>
        <v>0</v>
      </c>
      <c r="F315" s="1"/>
      <c r="G315" s="1"/>
      <c r="H315" s="1"/>
      <c r="I315" s="55">
        <f>SUM(F315:H315)</f>
        <v>0</v>
      </c>
      <c r="J315" s="1"/>
      <c r="K315" s="1"/>
      <c r="L315" s="1"/>
      <c r="M315" s="55">
        <f>SUM(J315:L315)</f>
        <v>0</v>
      </c>
      <c r="N315" s="1"/>
      <c r="O315" s="1"/>
      <c r="P315" s="1">
        <v>16</v>
      </c>
      <c r="Q315" s="55">
        <f>SUM(N315:P315)</f>
        <v>16</v>
      </c>
      <c r="R315" s="55">
        <f>+E315+I315+M315+Q315</f>
        <v>16</v>
      </c>
    </row>
    <row r="316" spans="1:20" ht="15.75" customHeight="1" x14ac:dyDescent="0.3">
      <c r="A316" s="72" t="s">
        <v>237</v>
      </c>
      <c r="B316" s="1">
        <v>16</v>
      </c>
      <c r="C316" s="1">
        <v>14</v>
      </c>
      <c r="D316" s="1">
        <v>40</v>
      </c>
      <c r="E316" s="55">
        <f t="shared" si="62"/>
        <v>70</v>
      </c>
      <c r="F316" s="1">
        <v>60</v>
      </c>
      <c r="G316" s="1">
        <v>69</v>
      </c>
      <c r="H316" s="1">
        <v>44</v>
      </c>
      <c r="I316" s="55">
        <f t="shared" si="63"/>
        <v>173</v>
      </c>
      <c r="J316" s="1">
        <v>47</v>
      </c>
      <c r="K316" s="1">
        <v>32</v>
      </c>
      <c r="L316" s="1">
        <v>18</v>
      </c>
      <c r="M316" s="55">
        <f t="shared" si="64"/>
        <v>97</v>
      </c>
      <c r="N316" s="1">
        <v>52</v>
      </c>
      <c r="O316" s="1">
        <v>29</v>
      </c>
      <c r="P316" s="1">
        <v>30</v>
      </c>
      <c r="Q316" s="55">
        <f t="shared" si="65"/>
        <v>111</v>
      </c>
      <c r="R316" s="55">
        <f t="shared" si="66"/>
        <v>451</v>
      </c>
      <c r="T316" s="4" t="s">
        <v>406</v>
      </c>
    </row>
    <row r="317" spans="1:20" ht="15.75" customHeight="1" x14ac:dyDescent="0.3">
      <c r="A317" s="15" t="s">
        <v>51</v>
      </c>
      <c r="B317" s="1"/>
      <c r="C317" s="1"/>
      <c r="D317" s="1"/>
      <c r="E317" s="55" t="s">
        <v>7</v>
      </c>
      <c r="F317" s="1"/>
      <c r="G317" s="1"/>
      <c r="H317" s="1"/>
      <c r="I317" s="55" t="s">
        <v>7</v>
      </c>
      <c r="J317" s="1"/>
      <c r="K317" s="1"/>
      <c r="L317" s="1"/>
      <c r="M317" s="55" t="s">
        <v>7</v>
      </c>
      <c r="N317" s="1"/>
      <c r="O317" s="1"/>
      <c r="P317" s="1"/>
      <c r="Q317" s="55" t="s">
        <v>7</v>
      </c>
      <c r="R317" s="55" t="s">
        <v>7</v>
      </c>
    </row>
    <row r="318" spans="1:20" ht="15.75" customHeight="1" x14ac:dyDescent="0.3">
      <c r="A318" s="72" t="s">
        <v>722</v>
      </c>
      <c r="B318" s="1"/>
      <c r="C318" s="1"/>
      <c r="D318" s="1">
        <v>231</v>
      </c>
      <c r="E318" s="55">
        <f>SUM(B318:D318)</f>
        <v>231</v>
      </c>
      <c r="F318" s="1"/>
      <c r="G318" s="1"/>
      <c r="H318" s="1"/>
      <c r="I318" s="55">
        <f>SUM(F318:H318)</f>
        <v>0</v>
      </c>
      <c r="J318" s="1"/>
      <c r="K318" s="1"/>
      <c r="L318" s="1"/>
      <c r="M318" s="55">
        <f>SUM(J318:L318)</f>
        <v>0</v>
      </c>
      <c r="N318" s="1"/>
      <c r="O318" s="1"/>
      <c r="P318" s="1"/>
      <c r="Q318" s="55">
        <f>SUM(N318:P318)</f>
        <v>0</v>
      </c>
      <c r="R318" s="55">
        <f>+E318+I318+M318+Q318</f>
        <v>231</v>
      </c>
      <c r="T318" s="4" t="s">
        <v>209</v>
      </c>
    </row>
    <row r="319" spans="1:20" ht="15.75" customHeight="1" x14ac:dyDescent="0.3">
      <c r="A319" s="72" t="s">
        <v>723</v>
      </c>
      <c r="B319" s="1"/>
      <c r="C319" s="1"/>
      <c r="D319" s="1"/>
      <c r="E319" s="55">
        <f>SUM(B319:D319)</f>
        <v>0</v>
      </c>
      <c r="F319" s="1"/>
      <c r="G319" s="1">
        <v>3000</v>
      </c>
      <c r="H319" s="1"/>
      <c r="I319" s="55">
        <f>SUM(F319:H319)</f>
        <v>3000</v>
      </c>
      <c r="J319" s="1"/>
      <c r="K319" s="1">
        <v>2567</v>
      </c>
      <c r="L319" s="1">
        <v>3433</v>
      </c>
      <c r="M319" s="55">
        <f>SUM(J319:L319)</f>
        <v>6000</v>
      </c>
      <c r="N319" s="1"/>
      <c r="O319" s="1"/>
      <c r="P319" s="1"/>
      <c r="Q319" s="55">
        <f>SUM(N319:P319)</f>
        <v>0</v>
      </c>
      <c r="R319" s="55">
        <f>+E319+I319+M319+Q319</f>
        <v>9000</v>
      </c>
    </row>
    <row r="320" spans="1:20" ht="15.75" customHeight="1" x14ac:dyDescent="0.3">
      <c r="A320" s="72" t="s">
        <v>724</v>
      </c>
      <c r="B320" s="1"/>
      <c r="C320" s="1"/>
      <c r="D320" s="1"/>
      <c r="E320" s="55">
        <f>SUM(B320:D320)</f>
        <v>0</v>
      </c>
      <c r="F320" s="1"/>
      <c r="G320" s="1">
        <v>1271</v>
      </c>
      <c r="H320" s="1">
        <v>1729</v>
      </c>
      <c r="I320" s="55">
        <f>SUM(F320:H320)</f>
        <v>3000</v>
      </c>
      <c r="J320" s="1"/>
      <c r="K320" s="1"/>
      <c r="L320" s="1"/>
      <c r="M320" s="55">
        <f>SUM(J320:L320)</f>
        <v>0</v>
      </c>
      <c r="N320" s="1"/>
      <c r="O320" s="1"/>
      <c r="P320" s="1"/>
      <c r="Q320" s="55">
        <f>SUM(N320:P320)</f>
        <v>0</v>
      </c>
      <c r="R320" s="55">
        <f>+E320+I320+M320+Q320</f>
        <v>3000</v>
      </c>
      <c r="T320" s="4" t="s">
        <v>214</v>
      </c>
    </row>
    <row r="321" spans="1:20" ht="15.75" customHeight="1" x14ac:dyDescent="0.3">
      <c r="A321" s="72" t="s">
        <v>935</v>
      </c>
      <c r="B321" s="1"/>
      <c r="C321" s="1"/>
      <c r="D321" s="1"/>
      <c r="E321" s="55">
        <f>SUM(B321:D321)</f>
        <v>0</v>
      </c>
      <c r="F321" s="1"/>
      <c r="G321" s="1"/>
      <c r="H321" s="1"/>
      <c r="I321" s="55">
        <f>SUM(F321:H321)</f>
        <v>0</v>
      </c>
      <c r="J321" s="1">
        <v>2188</v>
      </c>
      <c r="K321" s="1">
        <v>2500</v>
      </c>
      <c r="L321" s="1">
        <v>300</v>
      </c>
      <c r="M321" s="55">
        <f>SUM(J321:L321)</f>
        <v>4988</v>
      </c>
      <c r="N321" s="1">
        <v>907</v>
      </c>
      <c r="O321" s="1">
        <v>1200</v>
      </c>
      <c r="P321" s="1">
        <v>1098</v>
      </c>
      <c r="Q321" s="55">
        <f>SUM(N321:P321)</f>
        <v>3205</v>
      </c>
      <c r="R321" s="55">
        <f>+E321+I321+M321+Q321</f>
        <v>8193</v>
      </c>
      <c r="T321" s="4" t="s">
        <v>241</v>
      </c>
    </row>
    <row r="322" spans="1:20" ht="16.5" customHeight="1" thickBot="1" x14ac:dyDescent="0.35">
      <c r="A322" s="15" t="s">
        <v>53</v>
      </c>
      <c r="B322" s="1"/>
      <c r="C322" s="1"/>
      <c r="D322" s="1"/>
      <c r="E322" s="55" t="s">
        <v>7</v>
      </c>
      <c r="F322" s="1"/>
      <c r="G322" s="1"/>
      <c r="H322" s="1"/>
      <c r="I322" s="55" t="s">
        <v>7</v>
      </c>
      <c r="J322" s="1"/>
      <c r="K322" s="1"/>
      <c r="L322" s="1"/>
      <c r="M322" s="55" t="s">
        <v>7</v>
      </c>
      <c r="N322" s="1"/>
      <c r="O322" s="1"/>
      <c r="P322" s="1"/>
      <c r="Q322" s="55" t="s">
        <v>7</v>
      </c>
      <c r="R322" s="81" t="s">
        <v>7</v>
      </c>
    </row>
    <row r="323" spans="1:20" ht="16.5" customHeight="1" thickBot="1" x14ac:dyDescent="0.35">
      <c r="A323" s="109" t="s">
        <v>54</v>
      </c>
      <c r="B323" s="86">
        <f>SUM(B285:B322)</f>
        <v>2198</v>
      </c>
      <c r="C323" s="87">
        <f>SUM(C285:C322)</f>
        <v>1172</v>
      </c>
      <c r="D323" s="87">
        <f>SUM(D285:D322)</f>
        <v>2587</v>
      </c>
      <c r="E323" s="59">
        <f>SUM(B323:D323)</f>
        <v>5957</v>
      </c>
      <c r="F323" s="87">
        <f>SUM(F285:F322)</f>
        <v>2464</v>
      </c>
      <c r="G323" s="87">
        <f>SUM(G285:G322)</f>
        <v>6411</v>
      </c>
      <c r="H323" s="87">
        <f>SUM(H285:H322)</f>
        <v>9007</v>
      </c>
      <c r="I323" s="59">
        <f>SUM(F323:H323)</f>
        <v>17882</v>
      </c>
      <c r="J323" s="87">
        <f>SUM(J285:J322)</f>
        <v>8788</v>
      </c>
      <c r="K323" s="87">
        <f>SUM(K285:K322)</f>
        <v>11277</v>
      </c>
      <c r="L323" s="87">
        <f>SUM(L285:L322)</f>
        <v>8986</v>
      </c>
      <c r="M323" s="59">
        <f>SUM(J323:L323)</f>
        <v>29051</v>
      </c>
      <c r="N323" s="87">
        <f>SUM(N285:N322)</f>
        <v>8021</v>
      </c>
      <c r="O323" s="87">
        <f>SUM(O285:O322)</f>
        <v>7391</v>
      </c>
      <c r="P323" s="87">
        <f>SUM(P285:P322)</f>
        <v>7192</v>
      </c>
      <c r="Q323" s="59">
        <f>SUM(N323:P323)</f>
        <v>22604</v>
      </c>
      <c r="R323" s="59">
        <f>+E323+I323+M323+Q323</f>
        <v>75494</v>
      </c>
      <c r="T323" s="89"/>
    </row>
    <row r="324" spans="1:20" ht="15.75" customHeight="1" x14ac:dyDescent="0.3">
      <c r="A324" s="15" t="s">
        <v>55</v>
      </c>
      <c r="B324" s="1"/>
      <c r="C324" s="1"/>
      <c r="D324" s="1"/>
      <c r="E324" s="55" t="s">
        <v>7</v>
      </c>
      <c r="F324" s="1"/>
      <c r="G324" s="1"/>
      <c r="H324" s="1"/>
      <c r="I324" s="55" t="s">
        <v>7</v>
      </c>
      <c r="J324" s="1"/>
      <c r="K324" s="1"/>
      <c r="L324" s="1"/>
      <c r="M324" s="55" t="s">
        <v>7</v>
      </c>
      <c r="N324" s="1"/>
      <c r="O324" s="1"/>
      <c r="P324" s="1"/>
      <c r="Q324" s="55" t="s">
        <v>7</v>
      </c>
      <c r="R324" s="55" t="s">
        <v>7</v>
      </c>
    </row>
    <row r="325" spans="1:20" ht="15.75" customHeight="1" x14ac:dyDescent="0.3">
      <c r="A325" s="15" t="s">
        <v>242</v>
      </c>
      <c r="B325" s="1"/>
      <c r="C325" s="1"/>
      <c r="D325" s="1"/>
      <c r="E325" s="55"/>
      <c r="F325" s="1"/>
      <c r="G325" s="1"/>
      <c r="H325" s="1"/>
      <c r="I325" s="55"/>
      <c r="J325" s="1"/>
      <c r="K325" s="1"/>
      <c r="L325" s="1"/>
      <c r="M325" s="55"/>
      <c r="N325" s="1"/>
      <c r="O325" s="1"/>
      <c r="P325" s="1"/>
      <c r="Q325" s="55"/>
      <c r="R325" s="55"/>
    </row>
    <row r="326" spans="1:20" ht="15.75" customHeight="1" x14ac:dyDescent="0.3">
      <c r="A326" s="15" t="s">
        <v>57</v>
      </c>
      <c r="B326" s="1"/>
      <c r="C326" s="1"/>
      <c r="D326" s="1"/>
      <c r="E326" s="55" t="s">
        <v>7</v>
      </c>
      <c r="F326" s="1"/>
      <c r="G326" s="1"/>
      <c r="H326" s="1"/>
      <c r="I326" s="55" t="s">
        <v>7</v>
      </c>
      <c r="J326" s="1"/>
      <c r="K326" s="1"/>
      <c r="L326" s="1"/>
      <c r="M326" s="55" t="s">
        <v>7</v>
      </c>
      <c r="N326" s="1"/>
      <c r="O326" s="1"/>
      <c r="P326" s="1"/>
      <c r="Q326" s="55" t="s">
        <v>7</v>
      </c>
      <c r="R326" s="55" t="s">
        <v>7</v>
      </c>
    </row>
    <row r="327" spans="1:20" ht="15.75" customHeight="1" x14ac:dyDescent="0.3">
      <c r="A327" s="72" t="s">
        <v>553</v>
      </c>
      <c r="B327" s="1">
        <v>87</v>
      </c>
      <c r="C327" s="1">
        <v>3</v>
      </c>
      <c r="D327" s="1">
        <v>573</v>
      </c>
      <c r="E327" s="55">
        <f>SUM(B327:D327)</f>
        <v>663</v>
      </c>
      <c r="F327" s="1">
        <v>3255</v>
      </c>
      <c r="G327" s="1">
        <v>2832</v>
      </c>
      <c r="H327" s="1">
        <v>4322</v>
      </c>
      <c r="I327" s="55">
        <f>SUM(F327:H327)</f>
        <v>10409</v>
      </c>
      <c r="J327" s="1">
        <v>3354</v>
      </c>
      <c r="K327" s="1">
        <v>3642</v>
      </c>
      <c r="L327" s="1">
        <v>1732</v>
      </c>
      <c r="M327" s="55">
        <f>SUM(J327:L327)</f>
        <v>8728</v>
      </c>
      <c r="N327" s="1">
        <v>1099</v>
      </c>
      <c r="O327" s="1">
        <v>797</v>
      </c>
      <c r="P327" s="1"/>
      <c r="Q327" s="55">
        <f>SUM(N327:P327)</f>
        <v>1896</v>
      </c>
      <c r="R327" s="55">
        <f t="shared" ref="R327:R334" si="67">+E327+I327+M327+Q327</f>
        <v>21696</v>
      </c>
      <c r="T327" s="4" t="s">
        <v>209</v>
      </c>
    </row>
    <row r="328" spans="1:20" ht="15.75" customHeight="1" x14ac:dyDescent="0.3">
      <c r="A328" s="72" t="s">
        <v>244</v>
      </c>
      <c r="B328" s="1"/>
      <c r="C328" s="1"/>
      <c r="D328" s="1"/>
      <c r="E328" s="55">
        <f>SUM(B328:D328)</f>
        <v>0</v>
      </c>
      <c r="F328" s="1"/>
      <c r="G328" s="1"/>
      <c r="H328" s="1"/>
      <c r="I328" s="55">
        <f>SUM(F328:H328)</f>
        <v>0</v>
      </c>
      <c r="J328" s="1"/>
      <c r="K328" s="1"/>
      <c r="L328" s="1"/>
      <c r="M328" s="55">
        <f>SUM(J328:L328)</f>
        <v>0</v>
      </c>
      <c r="N328" s="1"/>
      <c r="O328" s="1"/>
      <c r="P328" s="1"/>
      <c r="Q328" s="55">
        <f>SUM(N328:P328)</f>
        <v>0</v>
      </c>
      <c r="R328" s="55">
        <f t="shared" si="67"/>
        <v>0</v>
      </c>
      <c r="T328" s="4" t="s">
        <v>214</v>
      </c>
    </row>
    <row r="329" spans="1:20" ht="15.75" customHeight="1" x14ac:dyDescent="0.3">
      <c r="A329" s="72" t="s">
        <v>245</v>
      </c>
      <c r="B329" s="1">
        <v>826</v>
      </c>
      <c r="C329" s="1">
        <v>2351</v>
      </c>
      <c r="D329" s="1">
        <v>7528</v>
      </c>
      <c r="E329" s="55">
        <f t="shared" ref="E329:E334" si="68">SUM(B329:D329)</f>
        <v>10705</v>
      </c>
      <c r="F329" s="1">
        <v>5795</v>
      </c>
      <c r="G329" s="1">
        <v>7000</v>
      </c>
      <c r="H329" s="1">
        <v>14273</v>
      </c>
      <c r="I329" s="55">
        <f t="shared" ref="I329:I334" si="69">SUM(F329:H329)</f>
        <v>27068</v>
      </c>
      <c r="J329" s="1"/>
      <c r="K329" s="1"/>
      <c r="L329" s="1">
        <v>2500</v>
      </c>
      <c r="M329" s="55">
        <f t="shared" ref="M329:M334" si="70">SUM(J329:L329)</f>
        <v>2500</v>
      </c>
      <c r="N329" s="1"/>
      <c r="O329" s="1"/>
      <c r="P329" s="1"/>
      <c r="Q329" s="55">
        <f t="shared" ref="Q329:Q334" si="71">SUM(N329:P329)</f>
        <v>0</v>
      </c>
      <c r="R329" s="55">
        <f t="shared" si="67"/>
        <v>40273</v>
      </c>
      <c r="T329" s="4" t="s">
        <v>910</v>
      </c>
    </row>
    <row r="330" spans="1:20" ht="15.75" customHeight="1" x14ac:dyDescent="0.3">
      <c r="A330" s="72" t="s">
        <v>727</v>
      </c>
      <c r="B330" s="1">
        <v>2328</v>
      </c>
      <c r="C330" s="1">
        <v>503</v>
      </c>
      <c r="D330" s="1">
        <v>4985</v>
      </c>
      <c r="E330" s="55">
        <f t="shared" si="68"/>
        <v>7816</v>
      </c>
      <c r="F330" s="1">
        <v>16981</v>
      </c>
      <c r="G330" s="1">
        <v>17733</v>
      </c>
      <c r="H330" s="1">
        <v>23199</v>
      </c>
      <c r="I330" s="55">
        <f t="shared" si="69"/>
        <v>57913</v>
      </c>
      <c r="J330" s="1">
        <v>15174</v>
      </c>
      <c r="K330" s="1">
        <v>14961</v>
      </c>
      <c r="L330" s="1">
        <v>8087</v>
      </c>
      <c r="M330" s="55">
        <f t="shared" si="70"/>
        <v>38222</v>
      </c>
      <c r="N330" s="1">
        <v>8706</v>
      </c>
      <c r="O330" s="1">
        <v>3461</v>
      </c>
      <c r="P330" s="1">
        <v>2066</v>
      </c>
      <c r="Q330" s="55">
        <f t="shared" si="71"/>
        <v>14233</v>
      </c>
      <c r="R330" s="55">
        <f t="shared" si="67"/>
        <v>118184</v>
      </c>
      <c r="T330" s="4" t="s">
        <v>209</v>
      </c>
    </row>
    <row r="331" spans="1:20" ht="15.75" customHeight="1" x14ac:dyDescent="0.3">
      <c r="A331" s="72" t="s">
        <v>943</v>
      </c>
      <c r="B331" s="1">
        <v>1000</v>
      </c>
      <c r="C331" s="1">
        <v>1423</v>
      </c>
      <c r="D331" s="1">
        <v>5277</v>
      </c>
      <c r="E331" s="55">
        <f t="shared" si="68"/>
        <v>7700</v>
      </c>
      <c r="F331" s="1">
        <v>6900</v>
      </c>
      <c r="G331" s="1">
        <v>0</v>
      </c>
      <c r="H331" s="1">
        <v>2200</v>
      </c>
      <c r="I331" s="55">
        <f t="shared" si="69"/>
        <v>9100</v>
      </c>
      <c r="J331" s="1">
        <v>5300</v>
      </c>
      <c r="K331" s="1">
        <v>3725</v>
      </c>
      <c r="L331" s="1">
        <v>1500</v>
      </c>
      <c r="M331" s="55">
        <f t="shared" si="70"/>
        <v>10525</v>
      </c>
      <c r="N331" s="1">
        <v>3369</v>
      </c>
      <c r="O331" s="1"/>
      <c r="P331" s="1"/>
      <c r="Q331" s="55">
        <f t="shared" si="71"/>
        <v>3369</v>
      </c>
      <c r="R331" s="55">
        <f t="shared" si="67"/>
        <v>30694</v>
      </c>
      <c r="T331" s="4" t="s">
        <v>944</v>
      </c>
    </row>
    <row r="332" spans="1:20" ht="15.75" customHeight="1" x14ac:dyDescent="0.3">
      <c r="A332" s="72" t="s">
        <v>945</v>
      </c>
      <c r="B332" s="1">
        <v>1100</v>
      </c>
      <c r="C332" s="1">
        <v>1361</v>
      </c>
      <c r="D332" s="1">
        <v>2506</v>
      </c>
      <c r="E332" s="55">
        <f t="shared" si="68"/>
        <v>4967</v>
      </c>
      <c r="F332" s="1">
        <v>3916</v>
      </c>
      <c r="G332" s="1">
        <v>3117</v>
      </c>
      <c r="H332" s="1"/>
      <c r="I332" s="55">
        <f t="shared" si="69"/>
        <v>7033</v>
      </c>
      <c r="J332" s="1"/>
      <c r="K332" s="1"/>
      <c r="L332" s="1"/>
      <c r="M332" s="55">
        <f t="shared" si="70"/>
        <v>0</v>
      </c>
      <c r="N332" s="1"/>
      <c r="O332" s="1"/>
      <c r="P332" s="1"/>
      <c r="Q332" s="55">
        <f t="shared" si="71"/>
        <v>0</v>
      </c>
      <c r="R332" s="55">
        <f t="shared" si="67"/>
        <v>12000</v>
      </c>
      <c r="T332" s="4" t="s">
        <v>214</v>
      </c>
    </row>
    <row r="333" spans="1:20" ht="15.75" customHeight="1" x14ac:dyDescent="0.3">
      <c r="A333" s="72" t="s">
        <v>946</v>
      </c>
      <c r="B333" s="1">
        <v>86</v>
      </c>
      <c r="C333" s="1">
        <v>339</v>
      </c>
      <c r="D333" s="1">
        <v>3898</v>
      </c>
      <c r="E333" s="55">
        <f t="shared" si="68"/>
        <v>4323</v>
      </c>
      <c r="F333" s="1">
        <v>677</v>
      </c>
      <c r="G333" s="1"/>
      <c r="H333" s="1"/>
      <c r="I333" s="55">
        <f t="shared" si="69"/>
        <v>677</v>
      </c>
      <c r="J333" s="1"/>
      <c r="K333" s="1"/>
      <c r="L333" s="1"/>
      <c r="M333" s="55">
        <f t="shared" si="70"/>
        <v>0</v>
      </c>
      <c r="N333" s="1"/>
      <c r="O333" s="1"/>
      <c r="P333" s="1"/>
      <c r="Q333" s="55">
        <f t="shared" si="71"/>
        <v>0</v>
      </c>
      <c r="R333" s="55">
        <f t="shared" si="67"/>
        <v>5000</v>
      </c>
      <c r="T333" s="4" t="s">
        <v>224</v>
      </c>
    </row>
    <row r="334" spans="1:20" ht="15.75" customHeight="1" x14ac:dyDescent="0.3">
      <c r="A334" s="72" t="s">
        <v>252</v>
      </c>
      <c r="B334" s="1">
        <v>0</v>
      </c>
      <c r="C334" s="1">
        <v>29</v>
      </c>
      <c r="D334" s="1">
        <v>103</v>
      </c>
      <c r="E334" s="55">
        <f t="shared" si="68"/>
        <v>132</v>
      </c>
      <c r="F334" s="1">
        <v>87</v>
      </c>
      <c r="G334" s="1">
        <v>886</v>
      </c>
      <c r="H334" s="1">
        <v>2604</v>
      </c>
      <c r="I334" s="55">
        <f t="shared" si="69"/>
        <v>3577</v>
      </c>
      <c r="J334" s="1">
        <v>2574</v>
      </c>
      <c r="K334" s="1">
        <v>1916</v>
      </c>
      <c r="L334" s="1">
        <v>1549</v>
      </c>
      <c r="M334" s="55">
        <f t="shared" si="70"/>
        <v>6039</v>
      </c>
      <c r="N334" s="1">
        <v>1669</v>
      </c>
      <c r="O334" s="1">
        <v>296</v>
      </c>
      <c r="P334" s="1">
        <v>137</v>
      </c>
      <c r="Q334" s="55">
        <f t="shared" si="71"/>
        <v>2102</v>
      </c>
      <c r="R334" s="55">
        <f t="shared" si="67"/>
        <v>11850</v>
      </c>
    </row>
    <row r="335" spans="1:20" ht="15.75" customHeight="1" thickBot="1" x14ac:dyDescent="0.35">
      <c r="A335" s="15" t="s">
        <v>58</v>
      </c>
      <c r="B335" s="1"/>
      <c r="C335" s="1"/>
      <c r="D335" s="1"/>
      <c r="E335" s="55" t="s">
        <v>7</v>
      </c>
      <c r="F335" s="1"/>
      <c r="G335" s="1"/>
      <c r="H335" s="1"/>
      <c r="I335" s="55" t="s">
        <v>7</v>
      </c>
      <c r="J335" s="1"/>
      <c r="K335" s="1"/>
      <c r="L335" s="1"/>
      <c r="M335" s="55" t="s">
        <v>7</v>
      </c>
      <c r="N335" s="1"/>
      <c r="O335" s="1"/>
      <c r="P335" s="1"/>
      <c r="Q335" s="55" t="s">
        <v>7</v>
      </c>
      <c r="R335" s="55" t="s">
        <v>7</v>
      </c>
    </row>
    <row r="336" spans="1:20" ht="16.5" customHeight="1" thickBot="1" x14ac:dyDescent="0.35">
      <c r="A336" s="57" t="s">
        <v>59</v>
      </c>
      <c r="B336" s="86">
        <f>SUM(B324:B335)</f>
        <v>5427</v>
      </c>
      <c r="C336" s="87">
        <f>SUM(C324:C335)</f>
        <v>6009</v>
      </c>
      <c r="D336" s="87">
        <f>SUM(D324:D335)</f>
        <v>24870</v>
      </c>
      <c r="E336" s="59">
        <f>SUM(B336:D336)</f>
        <v>36306</v>
      </c>
      <c r="F336" s="87">
        <f>SUM(F324:F335)</f>
        <v>37611</v>
      </c>
      <c r="G336" s="87">
        <f>SUM(G324:G335)</f>
        <v>31568</v>
      </c>
      <c r="H336" s="87">
        <f>SUM(H324:H335)</f>
        <v>46598</v>
      </c>
      <c r="I336" s="59">
        <f>SUM(F336:H336)</f>
        <v>115777</v>
      </c>
      <c r="J336" s="87">
        <f>SUM(J324:J335)</f>
        <v>26402</v>
      </c>
      <c r="K336" s="87">
        <f>SUM(K324:K335)</f>
        <v>24244</v>
      </c>
      <c r="L336" s="87">
        <f>SUM(L324:L335)</f>
        <v>15368</v>
      </c>
      <c r="M336" s="59">
        <f>SUM(J336:L336)</f>
        <v>66014</v>
      </c>
      <c r="N336" s="87">
        <f>SUM(N324:N335)</f>
        <v>14843</v>
      </c>
      <c r="O336" s="87">
        <f>SUM(O324:O335)</f>
        <v>4554</v>
      </c>
      <c r="P336" s="87">
        <f>SUM(P324:P335)</f>
        <v>2203</v>
      </c>
      <c r="Q336" s="59">
        <f>SUM(N336:P336)</f>
        <v>21600</v>
      </c>
      <c r="R336" s="59">
        <f>+E336+I336+M336+Q336</f>
        <v>239697</v>
      </c>
    </row>
    <row r="337" spans="1:20" ht="15.75" customHeight="1" x14ac:dyDescent="0.3">
      <c r="A337" s="15" t="s">
        <v>60</v>
      </c>
      <c r="B337" s="1"/>
      <c r="C337" s="1"/>
      <c r="D337" s="1"/>
      <c r="E337" s="55" t="s">
        <v>7</v>
      </c>
      <c r="F337" s="1"/>
      <c r="G337" s="1"/>
      <c r="H337" s="1"/>
      <c r="I337" s="55" t="s">
        <v>7</v>
      </c>
      <c r="J337" s="1"/>
      <c r="K337" s="1"/>
      <c r="L337" s="1"/>
      <c r="M337" s="55" t="s">
        <v>7</v>
      </c>
      <c r="N337" s="1"/>
      <c r="O337" s="1"/>
      <c r="P337" s="1"/>
      <c r="Q337" s="55" t="s">
        <v>7</v>
      </c>
      <c r="R337" s="55" t="s">
        <v>7</v>
      </c>
    </row>
    <row r="338" spans="1:20" ht="15.75" customHeight="1" x14ac:dyDescent="0.3">
      <c r="A338" s="15" t="s">
        <v>61</v>
      </c>
      <c r="B338" s="1"/>
      <c r="C338" s="1"/>
      <c r="D338" s="1"/>
      <c r="E338" s="55" t="s">
        <v>7</v>
      </c>
      <c r="F338" s="1"/>
      <c r="G338" s="1"/>
      <c r="H338" s="1"/>
      <c r="I338" s="55" t="s">
        <v>7</v>
      </c>
      <c r="J338" s="1"/>
      <c r="K338" s="1"/>
      <c r="L338" s="1"/>
      <c r="M338" s="55" t="s">
        <v>7</v>
      </c>
      <c r="N338" s="1"/>
      <c r="O338" s="1"/>
      <c r="P338" s="1"/>
      <c r="Q338" s="55" t="s">
        <v>7</v>
      </c>
      <c r="R338" s="55" t="s">
        <v>7</v>
      </c>
    </row>
    <row r="339" spans="1:20" ht="15.75" customHeight="1" x14ac:dyDescent="0.3">
      <c r="A339" s="72" t="s">
        <v>254</v>
      </c>
      <c r="B339" s="1">
        <v>1982</v>
      </c>
      <c r="C339" s="1">
        <v>4982</v>
      </c>
      <c r="D339" s="1">
        <v>7220</v>
      </c>
      <c r="E339" s="55">
        <f>SUM(B339:D339)</f>
        <v>14184</v>
      </c>
      <c r="F339" s="1">
        <v>9945</v>
      </c>
      <c r="G339" s="1">
        <v>10759</v>
      </c>
      <c r="H339" s="1">
        <v>12480</v>
      </c>
      <c r="I339" s="55">
        <f>SUM(F339:H339)</f>
        <v>33184</v>
      </c>
      <c r="J339" s="1">
        <v>8469</v>
      </c>
      <c r="K339" s="1">
        <v>8076</v>
      </c>
      <c r="L339" s="1">
        <v>3985</v>
      </c>
      <c r="M339" s="55">
        <f>SUM(J339:L339)</f>
        <v>20530</v>
      </c>
      <c r="N339" s="1">
        <v>4128</v>
      </c>
      <c r="O339" s="1">
        <v>850</v>
      </c>
      <c r="P339" s="1">
        <v>1474</v>
      </c>
      <c r="Q339" s="55">
        <f>SUM(N339:P339)</f>
        <v>6452</v>
      </c>
      <c r="R339" s="55">
        <f>+E339+I339+M339+Q339</f>
        <v>74350</v>
      </c>
      <c r="T339" s="4" t="s">
        <v>209</v>
      </c>
    </row>
    <row r="340" spans="1:20" ht="15.75" customHeight="1" x14ac:dyDescent="0.3">
      <c r="A340" s="72" t="s">
        <v>947</v>
      </c>
      <c r="B340" s="1">
        <v>0</v>
      </c>
      <c r="C340" s="1">
        <v>290</v>
      </c>
      <c r="D340" s="1">
        <v>845</v>
      </c>
      <c r="E340" s="55">
        <f>SUM(B340:D340)</f>
        <v>1135</v>
      </c>
      <c r="F340" s="1">
        <v>4883</v>
      </c>
      <c r="G340" s="1">
        <v>9226</v>
      </c>
      <c r="H340" s="1">
        <v>11727</v>
      </c>
      <c r="I340" s="55">
        <f>SUM(F340:H340)</f>
        <v>25836</v>
      </c>
      <c r="J340" s="1">
        <v>10633</v>
      </c>
      <c r="K340" s="1">
        <v>6075</v>
      </c>
      <c r="L340" s="1">
        <v>1601</v>
      </c>
      <c r="M340" s="55">
        <f>SUM(J340:L340)</f>
        <v>18309</v>
      </c>
      <c r="N340" s="1">
        <v>6187</v>
      </c>
      <c r="O340" s="1"/>
      <c r="P340" s="1">
        <v>7102</v>
      </c>
      <c r="Q340" s="55">
        <f>SUM(N340:P340)</f>
        <v>13289</v>
      </c>
      <c r="R340" s="55">
        <f>+E340+I340+M340+Q340</f>
        <v>58569</v>
      </c>
      <c r="T340" s="4" t="s">
        <v>256</v>
      </c>
    </row>
    <row r="341" spans="1:20" ht="15.75" customHeight="1" x14ac:dyDescent="0.3">
      <c r="A341" s="15" t="s">
        <v>62</v>
      </c>
      <c r="B341" s="1"/>
      <c r="C341" s="1"/>
      <c r="D341" s="1"/>
      <c r="E341" s="55" t="s">
        <v>7</v>
      </c>
      <c r="F341" s="1"/>
      <c r="G341" s="1"/>
      <c r="H341" s="1"/>
      <c r="I341" s="55" t="s">
        <v>7</v>
      </c>
      <c r="J341" s="1"/>
      <c r="K341" s="1"/>
      <c r="L341" s="1"/>
      <c r="M341" s="55" t="s">
        <v>7</v>
      </c>
      <c r="N341" s="1"/>
      <c r="O341" s="1"/>
      <c r="P341" s="1"/>
      <c r="Q341" s="55" t="s">
        <v>7</v>
      </c>
      <c r="R341" s="55" t="s">
        <v>7</v>
      </c>
    </row>
    <row r="342" spans="1:20" ht="15.75" customHeight="1" x14ac:dyDescent="0.3">
      <c r="A342" s="72" t="s">
        <v>146</v>
      </c>
      <c r="B342" s="1">
        <v>324</v>
      </c>
      <c r="C342" s="1">
        <v>262</v>
      </c>
      <c r="D342" s="1">
        <v>386</v>
      </c>
      <c r="E342" s="55">
        <f>SUM(B342:D342)</f>
        <v>972</v>
      </c>
      <c r="F342" s="1"/>
      <c r="G342" s="1"/>
      <c r="H342" s="1"/>
      <c r="I342" s="55">
        <f>SUM(F342:H342)</f>
        <v>0</v>
      </c>
      <c r="J342" s="1"/>
      <c r="K342" s="1"/>
      <c r="L342" s="1"/>
      <c r="M342" s="55">
        <f>SUM(J342:L342)</f>
        <v>0</v>
      </c>
      <c r="N342" s="1"/>
      <c r="O342" s="1"/>
      <c r="P342" s="1"/>
      <c r="Q342" s="55">
        <f>SUM(N342:P342)</f>
        <v>0</v>
      </c>
      <c r="R342" s="55">
        <f>+E342+I342+M342+Q342</f>
        <v>972</v>
      </c>
      <c r="T342" s="4" t="s">
        <v>919</v>
      </c>
    </row>
    <row r="343" spans="1:20" ht="15.75" customHeight="1" x14ac:dyDescent="0.3">
      <c r="A343" s="72" t="s">
        <v>949</v>
      </c>
      <c r="B343" s="1">
        <v>1124</v>
      </c>
      <c r="C343" s="1">
        <v>413</v>
      </c>
      <c r="D343" s="1"/>
      <c r="E343" s="55">
        <f t="shared" ref="E343:E369" si="72">SUM(B343:D343)</f>
        <v>1537</v>
      </c>
      <c r="F343" s="1"/>
      <c r="G343" s="1"/>
      <c r="H343" s="1"/>
      <c r="I343" s="55">
        <f t="shared" ref="I343:I369" si="73">SUM(F343:H343)</f>
        <v>0</v>
      </c>
      <c r="J343" s="1"/>
      <c r="K343" s="1"/>
      <c r="L343" s="1"/>
      <c r="M343" s="55">
        <f t="shared" ref="M343:M369" si="74">SUM(J343:L343)</f>
        <v>0</v>
      </c>
      <c r="N343" s="1"/>
      <c r="O343" s="1"/>
      <c r="P343" s="1"/>
      <c r="Q343" s="55">
        <f t="shared" ref="Q343:Q369" si="75">SUM(N343:P343)</f>
        <v>0</v>
      </c>
      <c r="R343" s="55">
        <f>+E343+I343+M343+Q343</f>
        <v>1537</v>
      </c>
      <c r="T343" s="4" t="s">
        <v>919</v>
      </c>
    </row>
    <row r="344" spans="1:20" ht="15.75" customHeight="1" x14ac:dyDescent="0.3">
      <c r="A344" s="72" t="s">
        <v>950</v>
      </c>
      <c r="B344" s="1"/>
      <c r="C344" s="1"/>
      <c r="D344" s="1"/>
      <c r="E344" s="55">
        <f t="shared" si="72"/>
        <v>0</v>
      </c>
      <c r="F344" s="1"/>
      <c r="G344" s="1"/>
      <c r="H344" s="1"/>
      <c r="I344" s="55">
        <f t="shared" si="73"/>
        <v>0</v>
      </c>
      <c r="J344" s="1"/>
      <c r="K344" s="1"/>
      <c r="L344" s="1"/>
      <c r="M344" s="55">
        <f t="shared" si="74"/>
        <v>0</v>
      </c>
      <c r="N344" s="1"/>
      <c r="O344" s="1"/>
      <c r="P344" s="1"/>
      <c r="Q344" s="55">
        <f t="shared" si="75"/>
        <v>0</v>
      </c>
      <c r="R344" s="55">
        <f>+E344+I344+M344+Q344</f>
        <v>0</v>
      </c>
      <c r="T344" s="4" t="s">
        <v>241</v>
      </c>
    </row>
    <row r="345" spans="1:20" ht="15.75" customHeight="1" x14ac:dyDescent="0.3">
      <c r="A345" s="72" t="s">
        <v>149</v>
      </c>
      <c r="B345" s="1"/>
      <c r="C345" s="1"/>
      <c r="D345" s="1"/>
      <c r="E345" s="55">
        <f t="shared" si="72"/>
        <v>0</v>
      </c>
      <c r="F345" s="1">
        <v>502</v>
      </c>
      <c r="G345" s="1">
        <v>125</v>
      </c>
      <c r="H345" s="1"/>
      <c r="I345" s="55">
        <f t="shared" si="73"/>
        <v>627</v>
      </c>
      <c r="J345" s="1"/>
      <c r="K345" s="1"/>
      <c r="L345" s="1"/>
      <c r="M345" s="55">
        <f t="shared" si="74"/>
        <v>0</v>
      </c>
      <c r="N345" s="1"/>
      <c r="O345" s="1"/>
      <c r="P345" s="1"/>
      <c r="Q345" s="55">
        <f t="shared" si="75"/>
        <v>0</v>
      </c>
      <c r="R345" s="55">
        <f t="shared" ref="R345:R368" si="76">+E345+I345+M345+Q345</f>
        <v>627</v>
      </c>
    </row>
    <row r="346" spans="1:20" ht="15.75" customHeight="1" x14ac:dyDescent="0.3">
      <c r="A346" s="72" t="s">
        <v>951</v>
      </c>
      <c r="B346" s="1"/>
      <c r="C346" s="1"/>
      <c r="D346" s="1"/>
      <c r="E346" s="55">
        <f t="shared" si="72"/>
        <v>0</v>
      </c>
      <c r="F346" s="1">
        <v>6223</v>
      </c>
      <c r="G346" s="1">
        <v>7199</v>
      </c>
      <c r="H346" s="1">
        <v>7626</v>
      </c>
      <c r="I346" s="55">
        <f>SUM(F346:H346)</f>
        <v>21048</v>
      </c>
      <c r="J346" s="1">
        <v>6455</v>
      </c>
      <c r="K346" s="1">
        <v>7456</v>
      </c>
      <c r="L346" s="1">
        <v>5041</v>
      </c>
      <c r="M346" s="55">
        <f>SUM(J346:L346)</f>
        <v>18952</v>
      </c>
      <c r="N346" s="1">
        <v>2500</v>
      </c>
      <c r="O346" s="1"/>
      <c r="P346" s="1"/>
      <c r="Q346" s="55">
        <f>SUM(N346:P346)</f>
        <v>2500</v>
      </c>
      <c r="R346" s="55">
        <f>+E346+I346+M346+Q346</f>
        <v>42500</v>
      </c>
      <c r="T346" s="4" t="s">
        <v>224</v>
      </c>
    </row>
    <row r="347" spans="1:20" ht="15.75" customHeight="1" x14ac:dyDescent="0.3">
      <c r="A347" s="72" t="s">
        <v>1143</v>
      </c>
      <c r="B347" s="1"/>
      <c r="C347" s="1"/>
      <c r="D347" s="1"/>
      <c r="E347" s="55">
        <f t="shared" si="72"/>
        <v>0</v>
      </c>
      <c r="F347" s="1"/>
      <c r="G347" s="1"/>
      <c r="H347" s="1"/>
      <c r="I347" s="55">
        <f t="shared" si="73"/>
        <v>0</v>
      </c>
      <c r="J347" s="1"/>
      <c r="K347" s="1"/>
      <c r="L347" s="1"/>
      <c r="M347" s="55">
        <f t="shared" si="74"/>
        <v>0</v>
      </c>
      <c r="N347" s="1"/>
      <c r="O347" s="1"/>
      <c r="P347" s="1"/>
      <c r="Q347" s="55">
        <f t="shared" si="75"/>
        <v>0</v>
      </c>
      <c r="R347" s="55">
        <f t="shared" si="76"/>
        <v>0</v>
      </c>
      <c r="T347" s="4" t="s">
        <v>209</v>
      </c>
    </row>
    <row r="348" spans="1:20" ht="15.75" customHeight="1" x14ac:dyDescent="0.3">
      <c r="A348" s="72" t="s">
        <v>953</v>
      </c>
      <c r="B348" s="1"/>
      <c r="C348" s="1"/>
      <c r="D348" s="1">
        <v>998</v>
      </c>
      <c r="E348" s="55">
        <f t="shared" si="72"/>
        <v>998</v>
      </c>
      <c r="F348" s="1"/>
      <c r="G348" s="1">
        <v>895</v>
      </c>
      <c r="H348" s="1">
        <v>3107</v>
      </c>
      <c r="I348" s="55">
        <f t="shared" si="73"/>
        <v>4002</v>
      </c>
      <c r="J348" s="1">
        <v>1000</v>
      </c>
      <c r="K348" s="1">
        <v>2000</v>
      </c>
      <c r="L348" s="1">
        <v>1000</v>
      </c>
      <c r="M348" s="55">
        <f t="shared" si="74"/>
        <v>4000</v>
      </c>
      <c r="N348" s="1">
        <v>1000</v>
      </c>
      <c r="O348" s="1">
        <v>1850</v>
      </c>
      <c r="P348" s="1">
        <v>1600</v>
      </c>
      <c r="Q348" s="55">
        <f t="shared" si="75"/>
        <v>4450</v>
      </c>
      <c r="R348" s="55">
        <f t="shared" si="76"/>
        <v>13450</v>
      </c>
    </row>
    <row r="349" spans="1:20" ht="15.75" customHeight="1" x14ac:dyDescent="0.3">
      <c r="A349" s="72" t="s">
        <v>641</v>
      </c>
      <c r="B349" s="1"/>
      <c r="C349" s="1"/>
      <c r="D349" s="1">
        <v>5540</v>
      </c>
      <c r="E349" s="55">
        <f t="shared" si="72"/>
        <v>5540</v>
      </c>
      <c r="F349" s="1">
        <v>4630</v>
      </c>
      <c r="G349" s="1">
        <v>7230</v>
      </c>
      <c r="H349" s="1">
        <v>5220</v>
      </c>
      <c r="I349" s="55">
        <f t="shared" si="73"/>
        <v>17080</v>
      </c>
      <c r="J349" s="1">
        <v>2300</v>
      </c>
      <c r="K349" s="1">
        <v>3040</v>
      </c>
      <c r="L349" s="1">
        <v>3620</v>
      </c>
      <c r="M349" s="55">
        <f t="shared" si="74"/>
        <v>8960</v>
      </c>
      <c r="N349" s="1">
        <v>3520</v>
      </c>
      <c r="O349" s="1">
        <v>1100</v>
      </c>
      <c r="P349" s="1">
        <v>1513</v>
      </c>
      <c r="Q349" s="55">
        <f t="shared" si="75"/>
        <v>6133</v>
      </c>
      <c r="R349" s="55">
        <f t="shared" si="76"/>
        <v>37713</v>
      </c>
      <c r="T349" s="4" t="s">
        <v>209</v>
      </c>
    </row>
    <row r="350" spans="1:20" ht="15.75" customHeight="1" x14ac:dyDescent="0.3">
      <c r="A350" s="72" t="s">
        <v>640</v>
      </c>
      <c r="B350" s="1"/>
      <c r="C350" s="1"/>
      <c r="D350" s="1">
        <v>0</v>
      </c>
      <c r="E350" s="55">
        <f>SUM(B350:D350)</f>
        <v>0</v>
      </c>
      <c r="F350" s="1">
        <v>5228</v>
      </c>
      <c r="G350" s="1">
        <v>2988</v>
      </c>
      <c r="H350" s="1">
        <v>361</v>
      </c>
      <c r="I350" s="55">
        <f>SUM(F350:H350)</f>
        <v>8577</v>
      </c>
      <c r="J350" s="1">
        <v>10426</v>
      </c>
      <c r="K350" s="1">
        <v>9493</v>
      </c>
      <c r="L350" s="1">
        <v>3792</v>
      </c>
      <c r="M350" s="55">
        <f>SUM(J350:L350)</f>
        <v>23711</v>
      </c>
      <c r="N350" s="1">
        <v>3132</v>
      </c>
      <c r="O350" s="1">
        <v>1599</v>
      </c>
      <c r="P350" s="1">
        <v>2581</v>
      </c>
      <c r="Q350" s="55">
        <f>SUM(N350:P350)</f>
        <v>7312</v>
      </c>
      <c r="R350" s="55">
        <f t="shared" si="76"/>
        <v>39600</v>
      </c>
    </row>
    <row r="351" spans="1:20" ht="15.75" customHeight="1" x14ac:dyDescent="0.3">
      <c r="A351" s="72" t="s">
        <v>736</v>
      </c>
      <c r="B351" s="1"/>
      <c r="C351" s="1"/>
      <c r="D351" s="1"/>
      <c r="E351" s="55">
        <f t="shared" si="72"/>
        <v>0</v>
      </c>
      <c r="F351" s="1"/>
      <c r="G351" s="1"/>
      <c r="H351" s="1"/>
      <c r="I351" s="55">
        <f t="shared" si="73"/>
        <v>0</v>
      </c>
      <c r="J351" s="1">
        <v>1000</v>
      </c>
      <c r="K351" s="1">
        <v>1000</v>
      </c>
      <c r="L351" s="1">
        <v>400</v>
      </c>
      <c r="M351" s="55">
        <f t="shared" si="74"/>
        <v>2400</v>
      </c>
      <c r="N351" s="1"/>
      <c r="O351" s="1">
        <v>700</v>
      </c>
      <c r="P351" s="1">
        <v>386</v>
      </c>
      <c r="Q351" s="55">
        <f t="shared" si="75"/>
        <v>1086</v>
      </c>
      <c r="R351" s="55">
        <f t="shared" si="76"/>
        <v>3486</v>
      </c>
      <c r="T351" s="4" t="s">
        <v>241</v>
      </c>
    </row>
    <row r="352" spans="1:20" ht="15.75" customHeight="1" x14ac:dyDescent="0.3">
      <c r="A352" s="72" t="s">
        <v>642</v>
      </c>
      <c r="B352" s="1">
        <v>1201</v>
      </c>
      <c r="C352" s="1">
        <v>1582</v>
      </c>
      <c r="D352" s="1">
        <v>1582</v>
      </c>
      <c r="E352" s="55">
        <f>SUM(B352:D352)</f>
        <v>4365</v>
      </c>
      <c r="F352" s="1">
        <v>1963</v>
      </c>
      <c r="G352" s="1"/>
      <c r="H352" s="1"/>
      <c r="I352" s="55">
        <f>SUM(F352:H352)</f>
        <v>1963</v>
      </c>
      <c r="J352" s="1"/>
      <c r="K352" s="1"/>
      <c r="L352" s="1"/>
      <c r="M352" s="55">
        <f>SUM(J352:L352)</f>
        <v>0</v>
      </c>
      <c r="N352" s="1"/>
      <c r="O352" s="1"/>
      <c r="P352" s="1"/>
      <c r="Q352" s="55">
        <f>SUM(N352:P352)</f>
        <v>0</v>
      </c>
      <c r="R352" s="55">
        <f>+E352+I352+M352+Q352</f>
        <v>6328</v>
      </c>
    </row>
    <row r="353" spans="1:20" ht="15.75" customHeight="1" x14ac:dyDescent="0.3">
      <c r="A353" s="72" t="s">
        <v>737</v>
      </c>
      <c r="B353" s="1"/>
      <c r="C353" s="1"/>
      <c r="D353" s="1"/>
      <c r="E353" s="55">
        <f>SUM(B353:D353)</f>
        <v>0</v>
      </c>
      <c r="F353" s="1"/>
      <c r="G353" s="1"/>
      <c r="H353" s="1"/>
      <c r="I353" s="55">
        <f>SUM(F353:H353)</f>
        <v>0</v>
      </c>
      <c r="J353" s="1"/>
      <c r="K353" s="1"/>
      <c r="L353" s="1"/>
      <c r="M353" s="55">
        <f>SUM(J353:L353)</f>
        <v>0</v>
      </c>
      <c r="N353" s="1"/>
      <c r="O353" s="1"/>
      <c r="P353" s="1"/>
      <c r="Q353" s="55">
        <f>SUM(N353:P353)</f>
        <v>0</v>
      </c>
      <c r="R353" s="55">
        <f>+E353+I353+M353+Q353</f>
        <v>0</v>
      </c>
    </row>
    <row r="354" spans="1:20" ht="15.75" customHeight="1" x14ac:dyDescent="0.3">
      <c r="A354" s="72" t="s">
        <v>960</v>
      </c>
      <c r="B354" s="1"/>
      <c r="C354" s="1"/>
      <c r="D354" s="1"/>
      <c r="E354" s="55">
        <f>SUM(B354:D354)</f>
        <v>0</v>
      </c>
      <c r="F354" s="1"/>
      <c r="G354" s="1"/>
      <c r="H354" s="1"/>
      <c r="I354" s="55">
        <f>SUM(F354:H354)</f>
        <v>0</v>
      </c>
      <c r="J354" s="1">
        <v>2000</v>
      </c>
      <c r="K354" s="1">
        <v>1683</v>
      </c>
      <c r="L354" s="1"/>
      <c r="M354" s="55">
        <f>SUM(J354:L354)</f>
        <v>3683</v>
      </c>
      <c r="N354" s="1"/>
      <c r="O354" s="1"/>
      <c r="P354" s="1"/>
      <c r="Q354" s="55">
        <f>SUM(N354:P354)</f>
        <v>0</v>
      </c>
      <c r="R354" s="55">
        <f>+E354+I354+M354+Q354</f>
        <v>3683</v>
      </c>
      <c r="T354" s="4" t="s">
        <v>241</v>
      </c>
    </row>
    <row r="355" spans="1:20" ht="15.75" customHeight="1" x14ac:dyDescent="0.3">
      <c r="A355" s="72" t="s">
        <v>961</v>
      </c>
      <c r="B355" s="1"/>
      <c r="C355" s="1"/>
      <c r="D355" s="1"/>
      <c r="E355" s="55">
        <f t="shared" si="72"/>
        <v>0</v>
      </c>
      <c r="F355" s="1">
        <v>0</v>
      </c>
      <c r="G355" s="1">
        <v>4000</v>
      </c>
      <c r="H355" s="1">
        <v>452</v>
      </c>
      <c r="I355" s="55">
        <f t="shared" si="73"/>
        <v>4452</v>
      </c>
      <c r="J355" s="1">
        <v>1084</v>
      </c>
      <c r="K355" s="1">
        <v>464</v>
      </c>
      <c r="L355" s="1"/>
      <c r="M355" s="55">
        <f t="shared" si="74"/>
        <v>1548</v>
      </c>
      <c r="N355" s="1"/>
      <c r="O355" s="1"/>
      <c r="P355" s="1"/>
      <c r="Q355" s="55">
        <f t="shared" si="75"/>
        <v>0</v>
      </c>
      <c r="R355" s="55">
        <f t="shared" si="76"/>
        <v>6000</v>
      </c>
      <c r="T355" s="4" t="s">
        <v>944</v>
      </c>
    </row>
    <row r="356" spans="1:20" ht="15.75" customHeight="1" x14ac:dyDescent="0.3">
      <c r="A356" s="72" t="s">
        <v>962</v>
      </c>
      <c r="B356" s="1"/>
      <c r="C356" s="1"/>
      <c r="D356" s="1"/>
      <c r="E356" s="55">
        <f>SUM(B356:D356)</f>
        <v>0</v>
      </c>
      <c r="F356" s="1"/>
      <c r="G356" s="1"/>
      <c r="H356" s="1">
        <v>1916</v>
      </c>
      <c r="I356" s="55">
        <f>SUM(F356:H356)</f>
        <v>1916</v>
      </c>
      <c r="J356" s="1">
        <v>3158</v>
      </c>
      <c r="K356" s="1">
        <v>3105</v>
      </c>
      <c r="L356" s="1">
        <v>1479</v>
      </c>
      <c r="M356" s="55">
        <f>SUM(J356:L356)</f>
        <v>7742</v>
      </c>
      <c r="N356" s="1">
        <v>1342</v>
      </c>
      <c r="O356" s="1"/>
      <c r="P356" s="1"/>
      <c r="Q356" s="55">
        <f>SUM(N356:P356)</f>
        <v>1342</v>
      </c>
      <c r="R356" s="55">
        <f t="shared" si="76"/>
        <v>11000</v>
      </c>
      <c r="T356" s="4" t="s">
        <v>214</v>
      </c>
    </row>
    <row r="357" spans="1:20" ht="15.75" customHeight="1" x14ac:dyDescent="0.3">
      <c r="A357" s="72" t="s">
        <v>963</v>
      </c>
      <c r="B357" s="1"/>
      <c r="C357" s="1"/>
      <c r="D357" s="1"/>
      <c r="E357" s="55">
        <f>SUM(B357:D357)</f>
        <v>0</v>
      </c>
      <c r="F357" s="1"/>
      <c r="G357" s="1"/>
      <c r="H357" s="1"/>
      <c r="I357" s="55">
        <f>SUM(F357:H357)</f>
        <v>0</v>
      </c>
      <c r="J357" s="1"/>
      <c r="K357" s="1"/>
      <c r="L357" s="1"/>
      <c r="M357" s="55">
        <f>SUM(J357:L357)</f>
        <v>0</v>
      </c>
      <c r="N357" s="1"/>
      <c r="O357" s="1"/>
      <c r="P357" s="1"/>
      <c r="Q357" s="55">
        <f>SUM(N357:P357)</f>
        <v>0</v>
      </c>
      <c r="R357" s="55">
        <f>+E357+I357+M357+Q357</f>
        <v>0</v>
      </c>
      <c r="T357" s="4" t="s">
        <v>919</v>
      </c>
    </row>
    <row r="358" spans="1:20" ht="15.75" customHeight="1" x14ac:dyDescent="0.3">
      <c r="A358" s="72" t="s">
        <v>964</v>
      </c>
      <c r="B358" s="1"/>
      <c r="C358" s="1"/>
      <c r="D358" s="1"/>
      <c r="E358" s="55">
        <f>SUM(B358:D358)</f>
        <v>0</v>
      </c>
      <c r="F358" s="1"/>
      <c r="G358" s="1"/>
      <c r="H358" s="1"/>
      <c r="I358" s="55">
        <f>SUM(F358:H358)</f>
        <v>0</v>
      </c>
      <c r="J358" s="1"/>
      <c r="K358" s="1">
        <v>317</v>
      </c>
      <c r="L358" s="1">
        <v>1594</v>
      </c>
      <c r="M358" s="55">
        <f>SUM(J358:L358)</f>
        <v>1911</v>
      </c>
      <c r="N358" s="1">
        <v>1089</v>
      </c>
      <c r="O358" s="1"/>
      <c r="P358" s="1"/>
      <c r="Q358" s="55">
        <f>SUM(N358:P358)</f>
        <v>1089</v>
      </c>
      <c r="R358" s="55">
        <f>+E358+I358+M358+Q358</f>
        <v>3000</v>
      </c>
      <c r="T358" s="4" t="s">
        <v>241</v>
      </c>
    </row>
    <row r="359" spans="1:20" ht="15.75" customHeight="1" x14ac:dyDescent="0.3">
      <c r="A359" s="72" t="s">
        <v>159</v>
      </c>
      <c r="B359" s="1"/>
      <c r="C359" s="1"/>
      <c r="D359" s="1"/>
      <c r="E359" s="55">
        <f>SUM(B359:D359)</f>
        <v>0</v>
      </c>
      <c r="F359" s="1"/>
      <c r="G359" s="1"/>
      <c r="H359" s="1">
        <v>412</v>
      </c>
      <c r="I359" s="55">
        <f>SUM(F359:H359)</f>
        <v>412</v>
      </c>
      <c r="J359" s="1">
        <v>1131</v>
      </c>
      <c r="K359" s="1">
        <v>1043</v>
      </c>
      <c r="L359" s="1"/>
      <c r="M359" s="55">
        <f>SUM(J359:L359)</f>
        <v>2174</v>
      </c>
      <c r="N359" s="1"/>
      <c r="O359" s="1"/>
      <c r="P359" s="1"/>
      <c r="Q359" s="55">
        <f>SUM(N359:P359)</f>
        <v>0</v>
      </c>
      <c r="R359" s="55">
        <f>+E359+I359+M359+Q359</f>
        <v>2586</v>
      </c>
      <c r="T359" s="4" t="s">
        <v>919</v>
      </c>
    </row>
    <row r="360" spans="1:20" ht="15.75" customHeight="1" x14ac:dyDescent="0.3">
      <c r="A360" s="72" t="s">
        <v>968</v>
      </c>
      <c r="B360" s="1"/>
      <c r="C360" s="1"/>
      <c r="D360" s="1"/>
      <c r="E360" s="55">
        <f t="shared" si="72"/>
        <v>0</v>
      </c>
      <c r="F360" s="1"/>
      <c r="G360" s="1"/>
      <c r="H360" s="1">
        <v>313</v>
      </c>
      <c r="I360" s="55">
        <f t="shared" si="73"/>
        <v>313</v>
      </c>
      <c r="J360" s="1">
        <v>1153</v>
      </c>
      <c r="K360" s="1">
        <v>1167</v>
      </c>
      <c r="L360" s="1">
        <v>795</v>
      </c>
      <c r="M360" s="55">
        <f t="shared" si="74"/>
        <v>3115</v>
      </c>
      <c r="N360" s="1"/>
      <c r="O360" s="1"/>
      <c r="P360" s="1"/>
      <c r="Q360" s="55">
        <f t="shared" si="75"/>
        <v>0</v>
      </c>
      <c r="R360" s="55">
        <f t="shared" si="76"/>
        <v>3428</v>
      </c>
      <c r="T360" s="4" t="s">
        <v>919</v>
      </c>
    </row>
    <row r="361" spans="1:20" ht="15.75" customHeight="1" x14ac:dyDescent="0.3">
      <c r="A361" s="72" t="s">
        <v>969</v>
      </c>
      <c r="B361" s="1"/>
      <c r="C361" s="1"/>
      <c r="D361" s="1"/>
      <c r="E361" s="55">
        <f>SUM(B361:D361)</f>
        <v>0</v>
      </c>
      <c r="F361" s="1"/>
      <c r="G361" s="1"/>
      <c r="H361" s="1"/>
      <c r="I361" s="55">
        <f>SUM(F361:H361)</f>
        <v>0</v>
      </c>
      <c r="J361" s="1"/>
      <c r="K361" s="1"/>
      <c r="L361" s="1"/>
      <c r="M361" s="55">
        <f>SUM(J361:L361)</f>
        <v>0</v>
      </c>
      <c r="N361" s="1"/>
      <c r="O361" s="1"/>
      <c r="P361" s="1"/>
      <c r="Q361" s="55">
        <f>SUM(N361:P361)</f>
        <v>0</v>
      </c>
      <c r="R361" s="55">
        <f t="shared" si="76"/>
        <v>0</v>
      </c>
      <c r="T361" s="4" t="s">
        <v>241</v>
      </c>
    </row>
    <row r="362" spans="1:20" ht="15.75" customHeight="1" x14ac:dyDescent="0.3">
      <c r="A362" s="72" t="s">
        <v>162</v>
      </c>
      <c r="B362" s="1"/>
      <c r="C362" s="1"/>
      <c r="D362" s="1"/>
      <c r="E362" s="55">
        <f t="shared" si="72"/>
        <v>0</v>
      </c>
      <c r="F362" s="1"/>
      <c r="G362" s="1">
        <v>1669</v>
      </c>
      <c r="H362" s="1"/>
      <c r="I362" s="55">
        <f t="shared" si="73"/>
        <v>1669</v>
      </c>
      <c r="J362" s="1"/>
      <c r="K362" s="1"/>
      <c r="L362" s="1"/>
      <c r="M362" s="55">
        <f t="shared" si="74"/>
        <v>0</v>
      </c>
      <c r="N362" s="1"/>
      <c r="O362" s="1"/>
      <c r="P362" s="1"/>
      <c r="Q362" s="55">
        <f t="shared" si="75"/>
        <v>0</v>
      </c>
      <c r="R362" s="55">
        <f t="shared" si="76"/>
        <v>1669</v>
      </c>
    </row>
    <row r="363" spans="1:20" ht="15.75" customHeight="1" x14ac:dyDescent="0.3">
      <c r="A363" s="72" t="s">
        <v>971</v>
      </c>
      <c r="B363" s="1"/>
      <c r="C363" s="1"/>
      <c r="D363" s="1"/>
      <c r="E363" s="55">
        <f t="shared" si="72"/>
        <v>0</v>
      </c>
      <c r="F363" s="1"/>
      <c r="G363" s="1"/>
      <c r="H363" s="1"/>
      <c r="I363" s="55">
        <f t="shared" si="73"/>
        <v>0</v>
      </c>
      <c r="J363" s="1"/>
      <c r="K363" s="1">
        <v>75</v>
      </c>
      <c r="L363" s="1">
        <v>1077</v>
      </c>
      <c r="M363" s="55">
        <f t="shared" si="74"/>
        <v>1152</v>
      </c>
      <c r="N363" s="1">
        <v>1134</v>
      </c>
      <c r="O363" s="1"/>
      <c r="P363" s="1"/>
      <c r="Q363" s="55">
        <f t="shared" si="75"/>
        <v>1134</v>
      </c>
      <c r="R363" s="55">
        <f t="shared" si="76"/>
        <v>2286</v>
      </c>
      <c r="T363" s="4" t="s">
        <v>919</v>
      </c>
    </row>
    <row r="364" spans="1:20" ht="15.75" customHeight="1" x14ac:dyDescent="0.3">
      <c r="A364" s="72" t="s">
        <v>742</v>
      </c>
      <c r="B364" s="1"/>
      <c r="C364" s="1"/>
      <c r="D364" s="1"/>
      <c r="E364" s="55">
        <f>SUM(B364:D364)</f>
        <v>0</v>
      </c>
      <c r="F364" s="1"/>
      <c r="G364" s="1"/>
      <c r="H364" s="1"/>
      <c r="I364" s="55">
        <f>SUM(F364:H364)</f>
        <v>0</v>
      </c>
      <c r="J364" s="1"/>
      <c r="K364" s="1"/>
      <c r="L364" s="1"/>
      <c r="M364" s="55">
        <f>SUM(J364:L364)</f>
        <v>0</v>
      </c>
      <c r="N364" s="1"/>
      <c r="O364" s="1"/>
      <c r="P364" s="1"/>
      <c r="Q364" s="55">
        <f>SUM(N364:P364)</f>
        <v>0</v>
      </c>
      <c r="R364" s="55">
        <f>+E364+I364+M364+Q364</f>
        <v>0</v>
      </c>
      <c r="T364" s="4" t="s">
        <v>241</v>
      </c>
    </row>
    <row r="365" spans="1:20" ht="15.75" customHeight="1" x14ac:dyDescent="0.3">
      <c r="A365" s="72" t="s">
        <v>973</v>
      </c>
      <c r="B365" s="1"/>
      <c r="C365" s="1">
        <v>501</v>
      </c>
      <c r="D365" s="1">
        <v>1144</v>
      </c>
      <c r="E365" s="55">
        <f t="shared" si="72"/>
        <v>1645</v>
      </c>
      <c r="F365" s="1">
        <v>1076</v>
      </c>
      <c r="G365" s="1">
        <v>1149</v>
      </c>
      <c r="H365" s="1">
        <v>798</v>
      </c>
      <c r="I365" s="55">
        <f t="shared" si="73"/>
        <v>3023</v>
      </c>
      <c r="J365" s="1"/>
      <c r="K365" s="1"/>
      <c r="L365" s="1"/>
      <c r="M365" s="55">
        <f t="shared" si="74"/>
        <v>0</v>
      </c>
      <c r="N365" s="1"/>
      <c r="O365" s="1"/>
      <c r="P365" s="1"/>
      <c r="Q365" s="55">
        <f t="shared" si="75"/>
        <v>0</v>
      </c>
      <c r="R365" s="55">
        <f t="shared" si="76"/>
        <v>4668</v>
      </c>
      <c r="T365" s="4" t="s">
        <v>919</v>
      </c>
    </row>
    <row r="366" spans="1:20" ht="15.75" customHeight="1" x14ac:dyDescent="0.3">
      <c r="A366" s="72" t="s">
        <v>974</v>
      </c>
      <c r="B366" s="1"/>
      <c r="C366" s="1"/>
      <c r="D366" s="1"/>
      <c r="E366" s="55">
        <f t="shared" si="72"/>
        <v>0</v>
      </c>
      <c r="F366" s="1"/>
      <c r="G366" s="1"/>
      <c r="H366" s="1"/>
      <c r="I366" s="55">
        <f t="shared" si="73"/>
        <v>0</v>
      </c>
      <c r="J366" s="1"/>
      <c r="K366" s="1"/>
      <c r="L366" s="1"/>
      <c r="M366" s="55">
        <f t="shared" si="74"/>
        <v>0</v>
      </c>
      <c r="N366" s="1"/>
      <c r="O366" s="1"/>
      <c r="P366" s="1"/>
      <c r="Q366" s="55">
        <f t="shared" si="75"/>
        <v>0</v>
      </c>
      <c r="R366" s="55">
        <f t="shared" si="76"/>
        <v>0</v>
      </c>
      <c r="T366" s="4" t="s">
        <v>241</v>
      </c>
    </row>
    <row r="367" spans="1:20" ht="15.75" customHeight="1" x14ac:dyDescent="0.3">
      <c r="A367" s="72" t="s">
        <v>171</v>
      </c>
      <c r="B367" s="1"/>
      <c r="C367" s="1"/>
      <c r="D367" s="1"/>
      <c r="E367" s="55">
        <f t="shared" si="72"/>
        <v>0</v>
      </c>
      <c r="F367" s="1"/>
      <c r="G367" s="1">
        <v>2622</v>
      </c>
      <c r="H367" s="1"/>
      <c r="I367" s="55">
        <f t="shared" si="73"/>
        <v>2622</v>
      </c>
      <c r="J367" s="1"/>
      <c r="K367" s="1"/>
      <c r="L367" s="1"/>
      <c r="M367" s="55">
        <f t="shared" si="74"/>
        <v>0</v>
      </c>
      <c r="N367" s="1"/>
      <c r="O367" s="1"/>
      <c r="P367" s="1"/>
      <c r="Q367" s="55">
        <f t="shared" si="75"/>
        <v>0</v>
      </c>
      <c r="R367" s="55">
        <f t="shared" si="76"/>
        <v>2622</v>
      </c>
    </row>
    <row r="368" spans="1:20" ht="15.75" customHeight="1" thickBot="1" x14ac:dyDescent="0.35">
      <c r="A368" s="72" t="s">
        <v>975</v>
      </c>
      <c r="B368" s="1">
        <v>1047</v>
      </c>
      <c r="C368" s="1">
        <v>0</v>
      </c>
      <c r="D368" s="1">
        <v>0</v>
      </c>
      <c r="E368" s="55">
        <f>SUM(B368:D368)</f>
        <v>1047</v>
      </c>
      <c r="F368" s="1">
        <v>3823</v>
      </c>
      <c r="G368" s="1">
        <v>2000</v>
      </c>
      <c r="H368" s="1">
        <v>5130</v>
      </c>
      <c r="I368" s="55">
        <f>SUM(F368:H368)</f>
        <v>10953</v>
      </c>
      <c r="J368" s="1">
        <v>2000</v>
      </c>
      <c r="K368" s="1">
        <v>2000</v>
      </c>
      <c r="L368" s="1">
        <v>1421</v>
      </c>
      <c r="M368" s="55">
        <f>SUM(J368:L368)</f>
        <v>5421</v>
      </c>
      <c r="N368" s="1">
        <v>2395</v>
      </c>
      <c r="O368" s="1">
        <v>1849</v>
      </c>
      <c r="P368" s="1">
        <v>3335</v>
      </c>
      <c r="Q368" s="55">
        <f>SUM(N368:P368)</f>
        <v>7579</v>
      </c>
      <c r="R368" s="55">
        <f t="shared" si="76"/>
        <v>25000</v>
      </c>
    </row>
    <row r="369" spans="1:20" ht="16.5" customHeight="1" thickBot="1" x14ac:dyDescent="0.35">
      <c r="A369" s="114" t="s">
        <v>63</v>
      </c>
      <c r="B369" s="90">
        <f>SUM(B337:B368)</f>
        <v>5678</v>
      </c>
      <c r="C369" s="58">
        <f>SUM(C337:C368)</f>
        <v>8030</v>
      </c>
      <c r="D369" s="58">
        <f>SUM(D337:D368)</f>
        <v>17715</v>
      </c>
      <c r="E369" s="59">
        <f t="shared" si="72"/>
        <v>31423</v>
      </c>
      <c r="F369" s="58">
        <f>SUM(F337:F368)</f>
        <v>38273</v>
      </c>
      <c r="G369" s="58">
        <f>SUM(G337:G368)</f>
        <v>49862</v>
      </c>
      <c r="H369" s="58">
        <f>SUM(H337:H368)</f>
        <v>49542</v>
      </c>
      <c r="I369" s="59">
        <f t="shared" si="73"/>
        <v>137677</v>
      </c>
      <c r="J369" s="58">
        <f>SUM(J337:J368)</f>
        <v>50809</v>
      </c>
      <c r="K369" s="58">
        <f>SUM(K337:K368)</f>
        <v>46994</v>
      </c>
      <c r="L369" s="58">
        <f>SUM(L337:L368)</f>
        <v>25805</v>
      </c>
      <c r="M369" s="59">
        <f t="shared" si="74"/>
        <v>123608</v>
      </c>
      <c r="N369" s="58">
        <f>SUM(N337:N368)</f>
        <v>26427</v>
      </c>
      <c r="O369" s="58">
        <f>SUM(O337:O368)</f>
        <v>7948</v>
      </c>
      <c r="P369" s="58">
        <f>SUM(P337:P368)</f>
        <v>17991</v>
      </c>
      <c r="Q369" s="59">
        <f t="shared" si="75"/>
        <v>52366</v>
      </c>
      <c r="R369" s="59">
        <f>+E369+I369+M369+Q369</f>
        <v>345074</v>
      </c>
      <c r="T369" s="89"/>
    </row>
    <row r="370" spans="1:20" ht="15.75" customHeight="1" x14ac:dyDescent="0.3">
      <c r="A370" s="15" t="s">
        <v>64</v>
      </c>
      <c r="B370" s="1"/>
      <c r="C370" s="1"/>
      <c r="D370" s="1"/>
      <c r="E370" s="55" t="s">
        <v>7</v>
      </c>
      <c r="F370" s="1"/>
      <c r="G370" s="1"/>
      <c r="H370" s="1"/>
      <c r="I370" s="55" t="s">
        <v>7</v>
      </c>
      <c r="J370" s="1"/>
      <c r="K370" s="1"/>
      <c r="L370" s="1"/>
      <c r="M370" s="55" t="s">
        <v>7</v>
      </c>
      <c r="N370" s="1"/>
      <c r="O370" s="1"/>
      <c r="P370" s="1"/>
      <c r="Q370" s="55" t="s">
        <v>7</v>
      </c>
      <c r="R370" s="55" t="s">
        <v>7</v>
      </c>
    </row>
    <row r="371" spans="1:20" ht="15.75" customHeight="1" x14ac:dyDescent="0.3">
      <c r="A371" s="15" t="s">
        <v>594</v>
      </c>
      <c r="B371" s="1"/>
      <c r="C371" s="1"/>
      <c r="D371" s="1"/>
      <c r="E371" s="55" t="s">
        <v>7</v>
      </c>
      <c r="F371" s="1"/>
      <c r="G371" s="1"/>
      <c r="H371" s="1"/>
      <c r="I371" s="55" t="s">
        <v>7</v>
      </c>
      <c r="J371" s="1"/>
      <c r="K371" s="1"/>
      <c r="L371" s="1"/>
      <c r="M371" s="55" t="s">
        <v>7</v>
      </c>
      <c r="N371" s="1"/>
      <c r="O371" s="1"/>
      <c r="P371" s="1"/>
      <c r="Q371" s="55" t="s">
        <v>7</v>
      </c>
      <c r="R371" s="55" t="s">
        <v>7</v>
      </c>
    </row>
    <row r="372" spans="1:20" ht="15.75" customHeight="1" x14ac:dyDescent="0.3">
      <c r="A372" s="72" t="s">
        <v>976</v>
      </c>
      <c r="B372" s="1"/>
      <c r="C372" s="1"/>
      <c r="D372" s="1"/>
      <c r="E372" s="55">
        <f>SUM(B372:D372)</f>
        <v>0</v>
      </c>
      <c r="F372" s="1"/>
      <c r="G372" s="1"/>
      <c r="H372" s="1"/>
      <c r="I372" s="55">
        <f>SUM(F372:H372)</f>
        <v>0</v>
      </c>
      <c r="J372" s="1"/>
      <c r="K372" s="1"/>
      <c r="L372" s="1"/>
      <c r="M372" s="55">
        <f>SUM(J372:L372)</f>
        <v>0</v>
      </c>
      <c r="N372" s="1"/>
      <c r="O372" s="1"/>
      <c r="P372" s="1"/>
      <c r="Q372" s="55">
        <f>SUM(N372:P372)</f>
        <v>0</v>
      </c>
      <c r="R372" s="55">
        <f>+E372+I372+M372+Q372</f>
        <v>0</v>
      </c>
    </row>
    <row r="373" spans="1:20" ht="15.75" customHeight="1" x14ac:dyDescent="0.3">
      <c r="A373" s="15" t="s">
        <v>67</v>
      </c>
      <c r="B373" s="1"/>
      <c r="C373" s="1"/>
      <c r="D373" s="1"/>
      <c r="E373" s="55" t="s">
        <v>7</v>
      </c>
      <c r="F373" s="1"/>
      <c r="G373" s="1"/>
      <c r="H373" s="1"/>
      <c r="I373" s="55" t="s">
        <v>7</v>
      </c>
      <c r="J373" s="1"/>
      <c r="K373" s="1"/>
      <c r="L373" s="1"/>
      <c r="M373" s="55" t="s">
        <v>7</v>
      </c>
      <c r="N373" s="1"/>
      <c r="O373" s="1"/>
      <c r="P373" s="1"/>
      <c r="Q373" s="55" t="s">
        <v>7</v>
      </c>
      <c r="R373" s="55" t="s">
        <v>7</v>
      </c>
    </row>
    <row r="374" spans="1:20" ht="15.75" customHeight="1" x14ac:dyDescent="0.3">
      <c r="A374" s="72" t="s">
        <v>744</v>
      </c>
      <c r="B374" s="1"/>
      <c r="C374" s="1"/>
      <c r="D374" s="1"/>
      <c r="E374" s="55">
        <f>SUM(B374:D374)</f>
        <v>0</v>
      </c>
      <c r="F374" s="1"/>
      <c r="G374" s="1"/>
      <c r="H374" s="1"/>
      <c r="I374" s="55">
        <f>SUM(F374:H374)</f>
        <v>0</v>
      </c>
      <c r="J374" s="1"/>
      <c r="K374" s="1"/>
      <c r="L374" s="1"/>
      <c r="M374" s="55">
        <f>SUM(J374:L374)</f>
        <v>0</v>
      </c>
      <c r="N374" s="1"/>
      <c r="O374" s="1"/>
      <c r="P374" s="1"/>
      <c r="Q374" s="55">
        <f>SUM(N374:P374)</f>
        <v>0</v>
      </c>
      <c r="R374" s="55">
        <f>+E374+I374+M374+Q374</f>
        <v>0</v>
      </c>
    </row>
    <row r="375" spans="1:20" ht="15.75" customHeight="1" x14ac:dyDescent="0.3">
      <c r="A375" s="72" t="s">
        <v>745</v>
      </c>
      <c r="B375" s="1"/>
      <c r="C375" s="1"/>
      <c r="D375" s="1"/>
      <c r="E375" s="55">
        <f>SUM(B375:D375)</f>
        <v>0</v>
      </c>
      <c r="F375" s="1"/>
      <c r="G375" s="1"/>
      <c r="H375" s="1"/>
      <c r="I375" s="55">
        <f>SUM(F375:H375)</f>
        <v>0</v>
      </c>
      <c r="J375" s="1"/>
      <c r="K375" s="1">
        <v>300</v>
      </c>
      <c r="L375" s="1">
        <v>1000</v>
      </c>
      <c r="M375" s="55">
        <f>SUM(J375:L375)</f>
        <v>1300</v>
      </c>
      <c r="N375" s="1">
        <v>907</v>
      </c>
      <c r="O375" s="1">
        <v>1313</v>
      </c>
      <c r="P375" s="1">
        <v>1337</v>
      </c>
      <c r="Q375" s="55">
        <f>SUM(N375:P375)</f>
        <v>3557</v>
      </c>
      <c r="R375" s="55">
        <f>+E375+I375+M375+Q375</f>
        <v>4857</v>
      </c>
    </row>
    <row r="376" spans="1:20" ht="15.75" customHeight="1" x14ac:dyDescent="0.3">
      <c r="A376" s="15" t="s">
        <v>600</v>
      </c>
      <c r="B376" s="1"/>
      <c r="C376" s="1"/>
      <c r="D376" s="1"/>
      <c r="E376" s="55" t="s">
        <v>7</v>
      </c>
      <c r="F376" s="1"/>
      <c r="G376" s="1"/>
      <c r="H376" s="1"/>
      <c r="I376" s="55" t="s">
        <v>7</v>
      </c>
      <c r="J376" s="1"/>
      <c r="K376" s="1"/>
      <c r="L376" s="1"/>
      <c r="M376" s="55" t="s">
        <v>7</v>
      </c>
      <c r="N376" s="1"/>
      <c r="O376" s="1"/>
      <c r="P376" s="1"/>
      <c r="Q376" s="55" t="s">
        <v>7</v>
      </c>
      <c r="R376" s="55" t="s">
        <v>7</v>
      </c>
    </row>
    <row r="377" spans="1:20" ht="15.75" customHeight="1" x14ac:dyDescent="0.3">
      <c r="A377" s="72" t="s">
        <v>270</v>
      </c>
      <c r="B377" s="1"/>
      <c r="C377" s="1"/>
      <c r="D377" s="1"/>
      <c r="E377" s="55">
        <f t="shared" ref="E377:E382" si="77">SUM(B377:D377)</f>
        <v>0</v>
      </c>
      <c r="F377" s="1"/>
      <c r="G377" s="1"/>
      <c r="H377" s="1"/>
      <c r="I377" s="55">
        <f t="shared" ref="I377:I382" si="78">SUM(F377:H377)</f>
        <v>0</v>
      </c>
      <c r="J377" s="1"/>
      <c r="K377" s="1"/>
      <c r="L377" s="1"/>
      <c r="M377" s="55">
        <f t="shared" ref="M377:M382" si="79">SUM(J377:L377)</f>
        <v>0</v>
      </c>
      <c r="N377" s="1"/>
      <c r="O377" s="1"/>
      <c r="P377" s="1"/>
      <c r="Q377" s="55">
        <f t="shared" ref="Q377:Q382" si="80">SUM(N377:P377)</f>
        <v>0</v>
      </c>
      <c r="R377" s="55">
        <f t="shared" ref="R377:R382" si="81">+E377+I377+M377+Q377</f>
        <v>0</v>
      </c>
      <c r="T377" s="4" t="s">
        <v>224</v>
      </c>
    </row>
    <row r="378" spans="1:20" ht="15.75" customHeight="1" x14ac:dyDescent="0.3">
      <c r="A378" s="72" t="s">
        <v>646</v>
      </c>
      <c r="B378" s="1"/>
      <c r="C378" s="1"/>
      <c r="D378" s="1"/>
      <c r="E378" s="55">
        <f t="shared" si="77"/>
        <v>0</v>
      </c>
      <c r="F378" s="1"/>
      <c r="G378" s="1"/>
      <c r="H378" s="1"/>
      <c r="I378" s="55">
        <f t="shared" si="78"/>
        <v>0</v>
      </c>
      <c r="J378" s="1"/>
      <c r="K378" s="1">
        <v>0</v>
      </c>
      <c r="L378" s="1">
        <v>435</v>
      </c>
      <c r="M378" s="55">
        <f t="shared" si="79"/>
        <v>435</v>
      </c>
      <c r="N378" s="1">
        <v>1889</v>
      </c>
      <c r="O378" s="1">
        <v>2593</v>
      </c>
      <c r="P378" s="1">
        <v>1380</v>
      </c>
      <c r="Q378" s="55">
        <f t="shared" si="80"/>
        <v>5862</v>
      </c>
      <c r="R378" s="55">
        <f t="shared" si="81"/>
        <v>6297</v>
      </c>
      <c r="T378" s="4" t="s">
        <v>224</v>
      </c>
    </row>
    <row r="379" spans="1:20" ht="15.75" customHeight="1" x14ac:dyDescent="0.3">
      <c r="A379" s="72" t="s">
        <v>271</v>
      </c>
      <c r="B379" s="1"/>
      <c r="C379" s="1"/>
      <c r="D379" s="1"/>
      <c r="E379" s="55">
        <f t="shared" si="77"/>
        <v>0</v>
      </c>
      <c r="F379" s="1"/>
      <c r="G379" s="1"/>
      <c r="H379" s="1">
        <v>1000</v>
      </c>
      <c r="I379" s="55">
        <f t="shared" si="78"/>
        <v>1000</v>
      </c>
      <c r="J379" s="1"/>
      <c r="K379" s="1"/>
      <c r="L379" s="1"/>
      <c r="M379" s="55">
        <f t="shared" si="79"/>
        <v>0</v>
      </c>
      <c r="N379" s="1"/>
      <c r="O379" s="1"/>
      <c r="P379" s="1"/>
      <c r="Q379" s="55">
        <f t="shared" si="80"/>
        <v>0</v>
      </c>
      <c r="R379" s="55">
        <f t="shared" si="81"/>
        <v>1000</v>
      </c>
      <c r="T379" s="4" t="s">
        <v>214</v>
      </c>
    </row>
    <row r="380" spans="1:20" ht="15.75" customHeight="1" x14ac:dyDescent="0.3">
      <c r="A380" s="72" t="s">
        <v>647</v>
      </c>
      <c r="B380" s="1"/>
      <c r="C380" s="1"/>
      <c r="D380" s="1"/>
      <c r="E380" s="55">
        <f t="shared" si="77"/>
        <v>0</v>
      </c>
      <c r="F380" s="1"/>
      <c r="G380" s="1"/>
      <c r="H380" s="1"/>
      <c r="I380" s="55">
        <f t="shared" si="78"/>
        <v>0</v>
      </c>
      <c r="J380" s="1"/>
      <c r="K380" s="1"/>
      <c r="L380" s="1"/>
      <c r="M380" s="55">
        <f t="shared" si="79"/>
        <v>0</v>
      </c>
      <c r="N380" s="1"/>
      <c r="O380" s="1"/>
      <c r="P380" s="1"/>
      <c r="Q380" s="55">
        <f t="shared" si="80"/>
        <v>0</v>
      </c>
      <c r="R380" s="55">
        <f t="shared" si="81"/>
        <v>0</v>
      </c>
    </row>
    <row r="381" spans="1:20" ht="15.75" customHeight="1" x14ac:dyDescent="0.3">
      <c r="A381" s="72" t="s">
        <v>652</v>
      </c>
      <c r="B381" s="1"/>
      <c r="C381" s="1"/>
      <c r="D381" s="1"/>
      <c r="E381" s="55">
        <f t="shared" si="77"/>
        <v>0</v>
      </c>
      <c r="F381" s="1"/>
      <c r="G381" s="1"/>
      <c r="H381" s="1"/>
      <c r="I381" s="55">
        <f t="shared" si="78"/>
        <v>0</v>
      </c>
      <c r="J381" s="1"/>
      <c r="K381" s="1"/>
      <c r="L381" s="1"/>
      <c r="M381" s="55">
        <f t="shared" si="79"/>
        <v>0</v>
      </c>
      <c r="N381" s="1"/>
      <c r="O381" s="1"/>
      <c r="P381" s="1"/>
      <c r="Q381" s="55">
        <f t="shared" si="80"/>
        <v>0</v>
      </c>
      <c r="R381" s="55">
        <f t="shared" si="81"/>
        <v>0</v>
      </c>
    </row>
    <row r="382" spans="1:20" ht="15.75" customHeight="1" x14ac:dyDescent="0.3">
      <c r="A382" s="72" t="s">
        <v>746</v>
      </c>
      <c r="B382" s="1"/>
      <c r="C382" s="1"/>
      <c r="D382" s="1"/>
      <c r="E382" s="55">
        <f t="shared" si="77"/>
        <v>0</v>
      </c>
      <c r="F382" s="1"/>
      <c r="G382" s="1"/>
      <c r="H382" s="1"/>
      <c r="I382" s="55">
        <f t="shared" si="78"/>
        <v>0</v>
      </c>
      <c r="J382" s="1"/>
      <c r="K382" s="1"/>
      <c r="L382" s="1"/>
      <c r="M382" s="55">
        <f t="shared" si="79"/>
        <v>0</v>
      </c>
      <c r="N382" s="1"/>
      <c r="O382" s="1"/>
      <c r="P382" s="1"/>
      <c r="Q382" s="55">
        <f t="shared" si="80"/>
        <v>0</v>
      </c>
      <c r="R382" s="55">
        <f t="shared" si="81"/>
        <v>0</v>
      </c>
      <c r="T382" s="4" t="s">
        <v>224</v>
      </c>
    </row>
    <row r="383" spans="1:20" ht="15.75" customHeight="1" x14ac:dyDescent="0.3">
      <c r="A383" s="15" t="s">
        <v>70</v>
      </c>
      <c r="B383" s="1"/>
      <c r="C383" s="1"/>
      <c r="D383" s="1"/>
      <c r="E383" s="55" t="s">
        <v>7</v>
      </c>
      <c r="F383" s="1"/>
      <c r="G383" s="1"/>
      <c r="H383" s="1"/>
      <c r="I383" s="55" t="s">
        <v>7</v>
      </c>
      <c r="J383" s="1"/>
      <c r="K383" s="1"/>
      <c r="L383" s="1"/>
      <c r="M383" s="55" t="s">
        <v>7</v>
      </c>
      <c r="N383" s="1"/>
      <c r="O383" s="1"/>
      <c r="P383" s="1"/>
      <c r="Q383" s="55" t="s">
        <v>7</v>
      </c>
      <c r="R383" s="55" t="s">
        <v>7</v>
      </c>
    </row>
    <row r="384" spans="1:20" ht="15.75" customHeight="1" x14ac:dyDescent="0.3">
      <c r="A384" s="72" t="s">
        <v>643</v>
      </c>
      <c r="B384" s="1"/>
      <c r="C384" s="1"/>
      <c r="D384" s="1"/>
      <c r="E384" s="55">
        <f>SUM(B384:D384)</f>
        <v>0</v>
      </c>
      <c r="F384" s="1">
        <v>1000</v>
      </c>
      <c r="G384" s="1"/>
      <c r="H384" s="1"/>
      <c r="I384" s="55">
        <f>SUM(F384:H384)</f>
        <v>1000</v>
      </c>
      <c r="J384" s="1"/>
      <c r="K384" s="1"/>
      <c r="L384" s="1"/>
      <c r="M384" s="55">
        <f>SUM(J384:L384)</f>
        <v>0</v>
      </c>
      <c r="N384" s="1"/>
      <c r="O384" s="1"/>
      <c r="P384" s="1"/>
      <c r="Q384" s="55">
        <f>SUM(N384:P384)</f>
        <v>0</v>
      </c>
      <c r="R384" s="55">
        <f>+E384+I384+M384+Q384</f>
        <v>1000</v>
      </c>
      <c r="T384" s="4" t="s">
        <v>256</v>
      </c>
    </row>
    <row r="385" spans="1:20" ht="15.75" customHeight="1" x14ac:dyDescent="0.3">
      <c r="A385" s="72" t="s">
        <v>1153</v>
      </c>
      <c r="B385" s="1"/>
      <c r="C385" s="1"/>
      <c r="D385" s="1"/>
      <c r="E385" s="55">
        <f>SUM(B385:D385)</f>
        <v>0</v>
      </c>
      <c r="F385" s="1"/>
      <c r="G385" s="1"/>
      <c r="H385" s="1"/>
      <c r="I385" s="55">
        <f>SUM(F385:H385)</f>
        <v>0</v>
      </c>
      <c r="J385" s="1"/>
      <c r="K385" s="1"/>
      <c r="L385" s="1"/>
      <c r="M385" s="55">
        <f>SUM(J385:L385)</f>
        <v>0</v>
      </c>
      <c r="N385" s="1"/>
      <c r="O385" s="1"/>
      <c r="P385" s="1"/>
      <c r="Q385" s="55">
        <f>SUM(N385:P385)</f>
        <v>0</v>
      </c>
      <c r="R385" s="55">
        <f>+E385+I385+M385+Q385</f>
        <v>0</v>
      </c>
      <c r="T385" s="4" t="s">
        <v>209</v>
      </c>
    </row>
    <row r="386" spans="1:20" ht="15.75" customHeight="1" x14ac:dyDescent="0.3">
      <c r="A386" s="72" t="s">
        <v>978</v>
      </c>
      <c r="B386" s="1"/>
      <c r="C386" s="1"/>
      <c r="D386" s="1"/>
      <c r="E386" s="55">
        <f>SUM(B386:D386)</f>
        <v>0</v>
      </c>
      <c r="F386" s="1"/>
      <c r="G386" s="1"/>
      <c r="H386" s="1"/>
      <c r="I386" s="55">
        <f>SUM(F386:H386)</f>
        <v>0</v>
      </c>
      <c r="J386" s="1"/>
      <c r="K386" s="1"/>
      <c r="L386" s="1"/>
      <c r="M386" s="55">
        <f>SUM(J386:L386)</f>
        <v>0</v>
      </c>
      <c r="N386" s="1"/>
      <c r="O386" s="1"/>
      <c r="P386" s="1"/>
      <c r="Q386" s="55">
        <f>SUM(N386:P386)</f>
        <v>0</v>
      </c>
      <c r="R386" s="55">
        <f>+E386+I386+M386+Q386</f>
        <v>0</v>
      </c>
      <c r="T386" s="4" t="s">
        <v>209</v>
      </c>
    </row>
    <row r="387" spans="1:20" ht="15.75" customHeight="1" x14ac:dyDescent="0.3">
      <c r="A387" s="72" t="s">
        <v>750</v>
      </c>
      <c r="B387" s="1"/>
      <c r="C387" s="1"/>
      <c r="D387" s="1"/>
      <c r="E387" s="55">
        <f>SUM(B387:D387)</f>
        <v>0</v>
      </c>
      <c r="F387" s="1"/>
      <c r="G387" s="1"/>
      <c r="H387" s="1"/>
      <c r="I387" s="55">
        <f>SUM(F387:H387)</f>
        <v>0</v>
      </c>
      <c r="J387" s="1"/>
      <c r="K387" s="1"/>
      <c r="L387" s="1"/>
      <c r="M387" s="55">
        <f>SUM(J387:L387)</f>
        <v>0</v>
      </c>
      <c r="N387" s="1"/>
      <c r="O387" s="1"/>
      <c r="P387" s="1"/>
      <c r="Q387" s="55">
        <f>SUM(N387:P387)</f>
        <v>0</v>
      </c>
      <c r="R387" s="55">
        <f>+E387+I387+M387+Q387</f>
        <v>0</v>
      </c>
    </row>
    <row r="388" spans="1:20" ht="15.75" customHeight="1" x14ac:dyDescent="0.3">
      <c r="A388" s="72" t="s">
        <v>751</v>
      </c>
      <c r="B388" s="1"/>
      <c r="C388" s="1"/>
      <c r="D388" s="1"/>
      <c r="E388" s="55">
        <f t="shared" ref="E388:E398" si="82">SUM(B388:D388)</f>
        <v>0</v>
      </c>
      <c r="F388" s="1"/>
      <c r="G388" s="1">
        <v>1400</v>
      </c>
      <c r="H388" s="1"/>
      <c r="I388" s="55">
        <f t="shared" ref="I388:I398" si="83">SUM(F388:H388)</f>
        <v>1400</v>
      </c>
      <c r="J388" s="1">
        <v>1000</v>
      </c>
      <c r="K388" s="1">
        <v>2200</v>
      </c>
      <c r="L388" s="1"/>
      <c r="M388" s="55">
        <f t="shared" ref="M388:M398" si="84">SUM(J388:L388)</f>
        <v>3200</v>
      </c>
      <c r="N388" s="1">
        <v>1000</v>
      </c>
      <c r="O388" s="1">
        <v>600</v>
      </c>
      <c r="P388" s="1">
        <v>133</v>
      </c>
      <c r="Q388" s="55">
        <f t="shared" ref="Q388:Q398" si="85">SUM(N388:P388)</f>
        <v>1733</v>
      </c>
      <c r="R388" s="55">
        <f t="shared" ref="R388:R398" si="86">+E388+I388+M388+Q388</f>
        <v>6333</v>
      </c>
    </row>
    <row r="389" spans="1:20" ht="15.75" customHeight="1" x14ac:dyDescent="0.3">
      <c r="A389" s="72" t="s">
        <v>752</v>
      </c>
      <c r="B389" s="1"/>
      <c r="C389" s="1"/>
      <c r="D389" s="1"/>
      <c r="E389" s="55">
        <f>SUM(B389:D389)</f>
        <v>0</v>
      </c>
      <c r="F389" s="1"/>
      <c r="G389" s="1"/>
      <c r="H389" s="1"/>
      <c r="I389" s="55">
        <f>SUM(F389:H389)</f>
        <v>0</v>
      </c>
      <c r="J389" s="1"/>
      <c r="K389" s="1"/>
      <c r="L389" s="1"/>
      <c r="M389" s="55">
        <f>SUM(J389:L389)</f>
        <v>0</v>
      </c>
      <c r="N389" s="1"/>
      <c r="O389" s="1"/>
      <c r="P389" s="1"/>
      <c r="Q389" s="55">
        <f>SUM(N389:P389)</f>
        <v>0</v>
      </c>
      <c r="R389" s="55">
        <f>+E389+I389+M389+Q389</f>
        <v>0</v>
      </c>
    </row>
    <row r="390" spans="1:20" ht="15.75" customHeight="1" x14ac:dyDescent="0.3">
      <c r="A390" s="72" t="s">
        <v>753</v>
      </c>
      <c r="B390" s="1">
        <v>510</v>
      </c>
      <c r="C390" s="1">
        <v>3140</v>
      </c>
      <c r="D390" s="1">
        <v>2350</v>
      </c>
      <c r="E390" s="55">
        <f>SUM(B390:D390)</f>
        <v>6000</v>
      </c>
      <c r="F390" s="1"/>
      <c r="G390" s="1">
        <v>600</v>
      </c>
      <c r="H390" s="1"/>
      <c r="I390" s="55">
        <f>SUM(F390:H390)</f>
        <v>600</v>
      </c>
      <c r="J390" s="1"/>
      <c r="K390" s="1"/>
      <c r="L390" s="1"/>
      <c r="M390" s="55">
        <f>SUM(J390:L390)</f>
        <v>0</v>
      </c>
      <c r="N390" s="1"/>
      <c r="O390" s="1"/>
      <c r="P390" s="1"/>
      <c r="Q390" s="55">
        <f>SUM(N390:P390)</f>
        <v>0</v>
      </c>
      <c r="R390" s="55">
        <f>+E390+I390+M390+Q390</f>
        <v>6600</v>
      </c>
      <c r="T390" s="4" t="s">
        <v>209</v>
      </c>
    </row>
    <row r="391" spans="1:20" ht="15.75" customHeight="1" x14ac:dyDescent="0.3">
      <c r="A391" s="72" t="s">
        <v>754</v>
      </c>
      <c r="B391" s="1"/>
      <c r="C391" s="1"/>
      <c r="D391" s="1"/>
      <c r="E391" s="55">
        <f>SUM(B391:D391)</f>
        <v>0</v>
      </c>
      <c r="F391" s="1"/>
      <c r="G391" s="1"/>
      <c r="H391" s="1"/>
      <c r="I391" s="55">
        <f>SUM(F391:H391)</f>
        <v>0</v>
      </c>
      <c r="J391" s="1"/>
      <c r="K391" s="1"/>
      <c r="L391" s="1"/>
      <c r="M391" s="55">
        <f>SUM(J391:L391)</f>
        <v>0</v>
      </c>
      <c r="N391" s="1"/>
      <c r="O391" s="1"/>
      <c r="P391" s="1"/>
      <c r="Q391" s="55">
        <f>SUM(N391:P391)</f>
        <v>0</v>
      </c>
      <c r="R391" s="55">
        <f>+E391+I391+M391+Q391</f>
        <v>0</v>
      </c>
    </row>
    <row r="392" spans="1:20" ht="15.75" customHeight="1" thickBot="1" x14ac:dyDescent="0.35">
      <c r="A392" s="72" t="s">
        <v>755</v>
      </c>
      <c r="B392" s="1"/>
      <c r="C392" s="1"/>
      <c r="D392" s="1"/>
      <c r="E392" s="55">
        <f>SUM(B392:D392)</f>
        <v>0</v>
      </c>
      <c r="F392" s="1"/>
      <c r="G392" s="1"/>
      <c r="H392" s="1"/>
      <c r="I392" s="55">
        <f>SUM(F392:H392)</f>
        <v>0</v>
      </c>
      <c r="J392" s="1"/>
      <c r="K392" s="1"/>
      <c r="L392" s="1"/>
      <c r="M392" s="55">
        <f>SUM(J392:L392)</f>
        <v>0</v>
      </c>
      <c r="N392" s="1">
        <v>448</v>
      </c>
      <c r="O392" s="1">
        <v>987</v>
      </c>
      <c r="P392" s="1">
        <v>574</v>
      </c>
      <c r="Q392" s="55">
        <f>SUM(N392:P392)</f>
        <v>2009</v>
      </c>
      <c r="R392" s="55">
        <f>+E392+I392+M392+Q392</f>
        <v>2009</v>
      </c>
      <c r="T392" s="4" t="s">
        <v>214</v>
      </c>
    </row>
    <row r="393" spans="1:20" ht="16.5" customHeight="1" thickBot="1" x14ac:dyDescent="0.35">
      <c r="A393" s="57" t="s">
        <v>71</v>
      </c>
      <c r="B393" s="58">
        <f>SUM(B376:B392)</f>
        <v>510</v>
      </c>
      <c r="C393" s="58">
        <f>SUM(C376:C392)</f>
        <v>3140</v>
      </c>
      <c r="D393" s="58">
        <f>SUM(D376:D392)</f>
        <v>2350</v>
      </c>
      <c r="E393" s="60">
        <f t="shared" si="82"/>
        <v>6000</v>
      </c>
      <c r="F393" s="58">
        <f>SUM(F376:F392)</f>
        <v>1000</v>
      </c>
      <c r="G393" s="58">
        <f>SUM(G376:G392)</f>
        <v>2000</v>
      </c>
      <c r="H393" s="58">
        <f>SUM(H376:H392)</f>
        <v>1000</v>
      </c>
      <c r="I393" s="60">
        <f t="shared" si="83"/>
        <v>4000</v>
      </c>
      <c r="J393" s="58">
        <f>SUM(J376:J392)</f>
        <v>1000</v>
      </c>
      <c r="K393" s="58">
        <f>SUM(K376:K392)</f>
        <v>2200</v>
      </c>
      <c r="L393" s="58">
        <f>SUM(L376:L392)</f>
        <v>435</v>
      </c>
      <c r="M393" s="60">
        <f t="shared" si="84"/>
        <v>3635</v>
      </c>
      <c r="N393" s="58">
        <f>SUM(N376:N392)</f>
        <v>3337</v>
      </c>
      <c r="O393" s="58">
        <f>SUM(O376:O392)</f>
        <v>4180</v>
      </c>
      <c r="P393" s="58">
        <f>SUM(P376:P392)</f>
        <v>2087</v>
      </c>
      <c r="Q393" s="60">
        <f t="shared" si="85"/>
        <v>9604</v>
      </c>
      <c r="R393" s="59">
        <f t="shared" si="86"/>
        <v>23239</v>
      </c>
    </row>
    <row r="394" spans="1:20" ht="16.5" customHeight="1" thickBot="1" x14ac:dyDescent="0.35">
      <c r="A394" s="114" t="s">
        <v>72</v>
      </c>
      <c r="B394" s="86">
        <f>SUM(B370:B392)</f>
        <v>510</v>
      </c>
      <c r="C394" s="87">
        <f>SUM(C370:C392)</f>
        <v>3140</v>
      </c>
      <c r="D394" s="118">
        <f>SUM(D370:D392)</f>
        <v>2350</v>
      </c>
      <c r="E394" s="60">
        <f t="shared" si="82"/>
        <v>6000</v>
      </c>
      <c r="F394" s="87">
        <f>SUM(F370:F392)</f>
        <v>1000</v>
      </c>
      <c r="G394" s="87">
        <f>SUM(G370:G392)</f>
        <v>2000</v>
      </c>
      <c r="H394" s="87">
        <f>SUM(H370:H392)</f>
        <v>1000</v>
      </c>
      <c r="I394" s="60">
        <f t="shared" si="83"/>
        <v>4000</v>
      </c>
      <c r="J394" s="87">
        <f>SUM(J370:J392)</f>
        <v>1000</v>
      </c>
      <c r="K394" s="87">
        <f>SUM(K370:K392)</f>
        <v>2500</v>
      </c>
      <c r="L394" s="87">
        <f>SUM(L370:L392)</f>
        <v>1435</v>
      </c>
      <c r="M394" s="60">
        <f t="shared" si="84"/>
        <v>4935</v>
      </c>
      <c r="N394" s="87">
        <f>SUM(N370:N392)</f>
        <v>4244</v>
      </c>
      <c r="O394" s="87">
        <f>SUM(O370:O392)</f>
        <v>5493</v>
      </c>
      <c r="P394" s="87">
        <f>SUM(P370:P392)</f>
        <v>3424</v>
      </c>
      <c r="Q394" s="60">
        <f t="shared" si="85"/>
        <v>13161</v>
      </c>
      <c r="R394" s="59">
        <f t="shared" si="86"/>
        <v>28096</v>
      </c>
    </row>
    <row r="395" spans="1:20" ht="16.5" customHeight="1" thickBot="1" x14ac:dyDescent="0.35">
      <c r="A395" s="57" t="s">
        <v>73</v>
      </c>
      <c r="B395" s="90">
        <f>+B323+B336+B369+B394</f>
        <v>13813</v>
      </c>
      <c r="C395" s="58">
        <f>+C323+C336+C369+C394</f>
        <v>18351</v>
      </c>
      <c r="D395" s="58">
        <f>+D323+D336+D369+D394</f>
        <v>47522</v>
      </c>
      <c r="E395" s="59">
        <f t="shared" si="82"/>
        <v>79686</v>
      </c>
      <c r="F395" s="58">
        <f>+F323+F336+F369+F394</f>
        <v>79348</v>
      </c>
      <c r="G395" s="58">
        <f>+G323+G336+G369+G394</f>
        <v>89841</v>
      </c>
      <c r="H395" s="58">
        <f>+H323+H336+H369+H394</f>
        <v>106147</v>
      </c>
      <c r="I395" s="59">
        <f t="shared" si="83"/>
        <v>275336</v>
      </c>
      <c r="J395" s="58">
        <f>+J323+J336+J369+J394</f>
        <v>86999</v>
      </c>
      <c r="K395" s="58">
        <f>+K323+K336+K369+K394</f>
        <v>85015</v>
      </c>
      <c r="L395" s="58">
        <f>+L323+L336+L369+L394</f>
        <v>51594</v>
      </c>
      <c r="M395" s="59">
        <f t="shared" si="84"/>
        <v>223608</v>
      </c>
      <c r="N395" s="58">
        <f>+N323+N336+N369+N394</f>
        <v>53535</v>
      </c>
      <c r="O395" s="58">
        <f>+O323+O336+O369+O394</f>
        <v>25386</v>
      </c>
      <c r="P395" s="58">
        <f>+P323+P336+P369+P394</f>
        <v>30810</v>
      </c>
      <c r="Q395" s="59">
        <f t="shared" si="85"/>
        <v>109731</v>
      </c>
      <c r="R395" s="81">
        <f t="shared" si="86"/>
        <v>688361</v>
      </c>
    </row>
    <row r="396" spans="1:20" ht="15.75" customHeight="1" x14ac:dyDescent="0.3">
      <c r="A396" s="71" t="s">
        <v>756</v>
      </c>
      <c r="B396" s="1"/>
      <c r="C396" s="1"/>
      <c r="D396" s="1"/>
      <c r="E396" s="55">
        <f t="shared" si="82"/>
        <v>0</v>
      </c>
      <c r="F396" s="1"/>
      <c r="G396" s="1"/>
      <c r="H396" s="1"/>
      <c r="I396" s="55">
        <f t="shared" si="83"/>
        <v>0</v>
      </c>
      <c r="J396" s="1"/>
      <c r="K396" s="1"/>
      <c r="L396" s="1"/>
      <c r="M396" s="55">
        <f t="shared" si="84"/>
        <v>0</v>
      </c>
      <c r="N396" s="1"/>
      <c r="O396" s="1"/>
      <c r="P396" s="1"/>
      <c r="Q396" s="55">
        <f t="shared" si="85"/>
        <v>0</v>
      </c>
      <c r="R396" s="55">
        <f t="shared" si="86"/>
        <v>0</v>
      </c>
    </row>
    <row r="397" spans="1:20" ht="15.75" customHeight="1" x14ac:dyDescent="0.3">
      <c r="A397" s="71" t="s">
        <v>757</v>
      </c>
      <c r="B397" s="1"/>
      <c r="C397" s="1"/>
      <c r="D397" s="1"/>
      <c r="E397" s="55">
        <f t="shared" si="82"/>
        <v>0</v>
      </c>
      <c r="F397" s="1"/>
      <c r="G397" s="1"/>
      <c r="H397" s="1"/>
      <c r="I397" s="55">
        <f t="shared" si="83"/>
        <v>0</v>
      </c>
      <c r="J397" s="1"/>
      <c r="K397" s="1"/>
      <c r="L397" s="1"/>
      <c r="M397" s="55">
        <f t="shared" si="84"/>
        <v>0</v>
      </c>
      <c r="N397" s="1"/>
      <c r="O397" s="1"/>
      <c r="P397" s="1"/>
      <c r="Q397" s="55">
        <f t="shared" si="85"/>
        <v>0</v>
      </c>
      <c r="R397" s="55">
        <f t="shared" si="86"/>
        <v>0</v>
      </c>
    </row>
    <row r="398" spans="1:20" ht="16.5" customHeight="1" thickBot="1" x14ac:dyDescent="0.35">
      <c r="A398" s="73" t="s">
        <v>40</v>
      </c>
      <c r="B398" s="21">
        <v>155</v>
      </c>
      <c r="C398" s="21">
        <v>283</v>
      </c>
      <c r="D398" s="21">
        <v>435</v>
      </c>
      <c r="E398" s="81">
        <f t="shared" si="82"/>
        <v>873</v>
      </c>
      <c r="F398" s="21">
        <v>602</v>
      </c>
      <c r="G398" s="21">
        <v>711</v>
      </c>
      <c r="H398" s="21">
        <v>722</v>
      </c>
      <c r="I398" s="81">
        <f t="shared" si="83"/>
        <v>2035</v>
      </c>
      <c r="J398" s="21">
        <v>686</v>
      </c>
      <c r="K398" s="21">
        <v>519</v>
      </c>
      <c r="L398" s="21">
        <v>531</v>
      </c>
      <c r="M398" s="81">
        <f t="shared" si="84"/>
        <v>1736</v>
      </c>
      <c r="N398" s="21">
        <v>489</v>
      </c>
      <c r="O398" s="21">
        <v>389</v>
      </c>
      <c r="P398" s="21">
        <v>275</v>
      </c>
      <c r="Q398" s="81">
        <f t="shared" si="85"/>
        <v>1153</v>
      </c>
      <c r="R398" s="55">
        <f t="shared" si="86"/>
        <v>5797</v>
      </c>
    </row>
    <row r="399" spans="1:20" ht="16.5" customHeight="1" thickBot="1" x14ac:dyDescent="0.35">
      <c r="A399" s="74"/>
      <c r="B399" s="75"/>
      <c r="C399" s="75"/>
      <c r="D399" s="75"/>
      <c r="E399" s="59"/>
      <c r="F399" s="75"/>
      <c r="G399" s="75"/>
      <c r="H399" s="75"/>
      <c r="I399" s="59"/>
      <c r="J399" s="75"/>
      <c r="K399" s="75"/>
      <c r="L399" s="75"/>
      <c r="M399" s="59"/>
      <c r="N399" s="75"/>
      <c r="O399" s="75"/>
      <c r="P399" s="75"/>
      <c r="Q399" s="59"/>
      <c r="R399" s="59" t="s">
        <v>7</v>
      </c>
    </row>
    <row r="400" spans="1:20" ht="15.75" customHeight="1" x14ac:dyDescent="0.3">
      <c r="A400" s="76" t="s">
        <v>41</v>
      </c>
      <c r="B400" s="77">
        <f>SUM(B395:B398)</f>
        <v>13968</v>
      </c>
      <c r="C400" s="77">
        <f>SUM(C395:C398)</f>
        <v>18634</v>
      </c>
      <c r="D400" s="77">
        <f>SUM(D395:D398)</f>
        <v>47957</v>
      </c>
      <c r="E400" s="60">
        <f>SUM(B400:D400)</f>
        <v>80559</v>
      </c>
      <c r="F400" s="77">
        <f>SUM(F395:F398)</f>
        <v>79950</v>
      </c>
      <c r="G400" s="77">
        <f>SUM(G395:G398)</f>
        <v>90552</v>
      </c>
      <c r="H400" s="77">
        <f>SUM(H395:H398)</f>
        <v>106869</v>
      </c>
      <c r="I400" s="60">
        <f>SUM(F400:H400)</f>
        <v>277371</v>
      </c>
      <c r="J400" s="77">
        <f>SUM(J395:J398)</f>
        <v>87685</v>
      </c>
      <c r="K400" s="77">
        <f>SUM(K395:K398)</f>
        <v>85534</v>
      </c>
      <c r="L400" s="77">
        <f>SUM(L395:L398)</f>
        <v>52125</v>
      </c>
      <c r="M400" s="60">
        <f>SUM(J400:L400)</f>
        <v>225344</v>
      </c>
      <c r="N400" s="77">
        <f>SUM(N395:N398)</f>
        <v>54024</v>
      </c>
      <c r="O400" s="77">
        <f>SUM(O395:O398)</f>
        <v>25775</v>
      </c>
      <c r="P400" s="77">
        <f>SUM(P395:P398)</f>
        <v>31085</v>
      </c>
      <c r="Q400" s="60">
        <f>SUM(N400:P400)</f>
        <v>110884</v>
      </c>
      <c r="R400" s="60">
        <f>+E400+I400+M400+Q400</f>
        <v>694158</v>
      </c>
    </row>
    <row r="401" spans="1:20" ht="15.75" customHeight="1" x14ac:dyDescent="0.3">
      <c r="A401" s="79" t="s">
        <v>42</v>
      </c>
      <c r="B401" s="1">
        <f>(B400/B10)/1.983</f>
        <v>227.22170709091793</v>
      </c>
      <c r="C401" s="1">
        <f>(C400/C10)/1.983</f>
        <v>335.60262228946038</v>
      </c>
      <c r="D401" s="1">
        <f>(D400/D10)/1.983</f>
        <v>780.1311144730206</v>
      </c>
      <c r="E401" s="55" t="s">
        <v>7</v>
      </c>
      <c r="F401" s="1">
        <f>(F400/F10)/1.983</f>
        <v>1343.9233484619263</v>
      </c>
      <c r="G401" s="1">
        <f>(G400/G10)/1.983</f>
        <v>1473.0369430481674</v>
      </c>
      <c r="H401" s="1">
        <f>(H400/H10)/1.983</f>
        <v>1796.4195663136661</v>
      </c>
      <c r="I401" s="55" t="s">
        <v>7</v>
      </c>
      <c r="J401" s="1">
        <f>(J400/J10)/1.983</f>
        <v>1426.3985814910611</v>
      </c>
      <c r="K401" s="1">
        <f>(K400/K10)/1.983</f>
        <v>1391.4076098449725</v>
      </c>
      <c r="L401" s="1">
        <f>(L400/L10)/1.983</f>
        <v>876.19768028240037</v>
      </c>
      <c r="M401" s="55" t="s">
        <v>7</v>
      </c>
      <c r="N401" s="1">
        <f>(N400/N10)/1.983</f>
        <v>878.82484993411742</v>
      </c>
      <c r="O401" s="1">
        <f>(O400/O10)/1.983</f>
        <v>433.26609514204063</v>
      </c>
      <c r="P401" s="1">
        <f>(P400/P10)/1.983</f>
        <v>505.6691555642314</v>
      </c>
      <c r="Q401" s="55" t="s">
        <v>7</v>
      </c>
      <c r="R401" s="55" t="s">
        <v>7</v>
      </c>
    </row>
    <row r="402" spans="1:20" ht="15.75" customHeight="1" x14ac:dyDescent="0.3">
      <c r="A402" s="79" t="s">
        <v>289</v>
      </c>
      <c r="B402" s="1">
        <f>B400+B449</f>
        <v>30420</v>
      </c>
      <c r="C402" s="1">
        <f>C400+C449</f>
        <v>36991</v>
      </c>
      <c r="D402" s="1">
        <f>D400+D449</f>
        <v>78562</v>
      </c>
      <c r="E402" s="55">
        <f>SUM(B402:D402)</f>
        <v>145973</v>
      </c>
      <c r="F402" s="1">
        <f>F400+F449</f>
        <v>131576</v>
      </c>
      <c r="G402" s="1">
        <f>G400+G449</f>
        <v>131462</v>
      </c>
      <c r="H402" s="1">
        <f>H400+H449</f>
        <v>158659</v>
      </c>
      <c r="I402" s="55">
        <f>SUM(F402:H402)</f>
        <v>421697</v>
      </c>
      <c r="J402" s="1">
        <f>J400+J449</f>
        <v>131606</v>
      </c>
      <c r="K402" s="1">
        <f>K400+K449</f>
        <v>134898</v>
      </c>
      <c r="L402" s="1">
        <f>L400+L449</f>
        <v>83975</v>
      </c>
      <c r="M402" s="55">
        <f>SUM(J402:L402)</f>
        <v>350479</v>
      </c>
      <c r="N402" s="1">
        <f>N400+N449</f>
        <v>69835</v>
      </c>
      <c r="O402" s="1">
        <f>O400+O449</f>
        <v>35227</v>
      </c>
      <c r="P402" s="1">
        <f>P400+P449</f>
        <v>51905</v>
      </c>
      <c r="Q402" s="55">
        <f>SUM(N402:P402)</f>
        <v>156967</v>
      </c>
      <c r="R402" s="55">
        <f>+E402+I402+M402+Q402</f>
        <v>1075116</v>
      </c>
    </row>
    <row r="403" spans="1:20" s="344" customFormat="1" ht="16.5" customHeight="1" thickBot="1" x14ac:dyDescent="0.35">
      <c r="A403" s="356" t="s">
        <v>290</v>
      </c>
      <c r="B403" s="357">
        <f>(B402/B10)/1.983</f>
        <v>494.85139817480842</v>
      </c>
      <c r="C403" s="357">
        <f>(C402/C10)/1.983</f>
        <v>666.21641092140339</v>
      </c>
      <c r="D403" s="357">
        <f>(D402/D10)/1.983</f>
        <v>1277.9919639516536</v>
      </c>
      <c r="E403" s="358" t="s">
        <v>7</v>
      </c>
      <c r="F403" s="357">
        <f>(F402/F10)/1.983</f>
        <v>2211.7330643805681</v>
      </c>
      <c r="G403" s="357">
        <f>(G402/G10)/1.983</f>
        <v>2138.5323638019945</v>
      </c>
      <c r="H403" s="357">
        <f>(H402/H10)/1.983</f>
        <v>2666.9860480753064</v>
      </c>
      <c r="I403" s="358" t="s">
        <v>7</v>
      </c>
      <c r="J403" s="357">
        <f>(J402/J10)/1.983</f>
        <v>2140.8748556276737</v>
      </c>
      <c r="K403" s="357">
        <f>(K402/K10)/1.983</f>
        <v>2194.4268215314041</v>
      </c>
      <c r="L403" s="357">
        <f>(L402/L10)/1.983</f>
        <v>1411.5817784501596</v>
      </c>
      <c r="M403" s="358" t="s">
        <v>7</v>
      </c>
      <c r="N403" s="357">
        <f>(N402/N10)/1.983</f>
        <v>1136.0271989328646</v>
      </c>
      <c r="O403" s="357">
        <f>(O402/O10)/1.983</f>
        <v>592.14994116658261</v>
      </c>
      <c r="P403" s="357">
        <f>(P402/P10)/1.983</f>
        <v>844.3544320270687</v>
      </c>
      <c r="Q403" s="358" t="s">
        <v>7</v>
      </c>
      <c r="R403" s="358" t="s">
        <v>7</v>
      </c>
    </row>
    <row r="404" spans="1:20" ht="15.75" customHeight="1" x14ac:dyDescent="0.3">
      <c r="A404" s="120" t="s">
        <v>291</v>
      </c>
      <c r="B404" s="121">
        <f>B$405+(SUMIF($T$278:$T$380,"FLG",B$285:B$397)/B10/1.98)+(SUMIF($T$278:$T$380,"FCA",B$285:B$397)/B10/1.98)+(SUMIF($T$278:$T$380,"NSC",B$285:B$397)/B10/1.98)</f>
        <v>268.15103354071687</v>
      </c>
      <c r="C404" s="121">
        <f>C$405+(SUMIF($T$278:$T$380,"FLG",C$285:C$397)/C10/1.98)+(SUMIF($T$278:$T$380,"FCA",C$285:C$397)/C10/1.98)+(SUMIF($T$278:$T$380,"NSC",C$285:C$397)/C10/1.98)</f>
        <v>331.46155197970631</v>
      </c>
      <c r="D404" s="121">
        <f>D$405+(SUMIF($T$278:$T$380,"FLG",D$285:D$397)/D10/1.98)+(SUMIF($T$278:$T$380,"FCA",D$285:D$397)/D10/1.98)+(SUMIF($T$278:$T$380,"NSC",D$285:D$397)/D10/1.98)</f>
        <v>500.33722614855793</v>
      </c>
      <c r="E404" s="122"/>
      <c r="F404" s="121">
        <f>F$405+(SUMIF($T$278:$T$380,"FLG",F$285:F$397)/F10/1.98)+(SUMIF($T$278:$T$380,"FCA",F$285:F$397)/F10/1.98)+(SUMIF($T$278:$T$380,"NSC",F$285:F$397)/F10/1.98)</f>
        <v>974.94776305668881</v>
      </c>
      <c r="G404" s="121">
        <f>G$405+(SUMIF($T$278:$T$380,"FLG",G$285:G$397)/G10/1.98)+(SUMIF($T$278:$T$380,"FCA",G$285:G$397)/G10/1.98)+(SUMIF($T$278:$T$380,"NSC",G$285:G$397)/G10/1.98)</f>
        <v>797.39506233088787</v>
      </c>
      <c r="H404" s="121">
        <f>H$405+(SUMIF($T$278:$T$380,"FLG",H$285:H$397)/H10/1.98)+(SUMIF($T$278:$T$380,"FCA",H$285:H$397)/H10/1.98)+(SUMIF($T$278:$T$380,"NSC",H$285:H$397)/H10/1.98)</f>
        <v>1077.4520036471624</v>
      </c>
      <c r="I404" s="45"/>
      <c r="J404" s="121">
        <f>J$405+(SUMIF($T$278:$T$380,"FLG",J$285:J$397)/J10/1.98)+(SUMIF($T$278:$T$380,"FCA",J$285:J$397)/J10/1.98)+(SUMIF($T$278:$T$380,"NSC",J$285:J$397)/J10/1.98)</f>
        <v>947.71185575929121</v>
      </c>
      <c r="K404" s="121">
        <f>K$405+(SUMIF($T$278:$T$380,"FLG",K$285:K$397)/K10/1.98)+(SUMIF($T$278:$T$380,"FCA",K$285:K$397)/K10/1.98)+(SUMIF($T$278:$T$380,"NSC",K$285:K$397)/K10/1.98)</f>
        <v>1034.9351452152682</v>
      </c>
      <c r="L404" s="121">
        <f>L$405+(SUMIF($T$278:$T$380,"FLG",L$285:L$397)/L10/1.98)+(SUMIF($T$278:$T$380,"FCA",L$285:L$397)/L10/1.98)+(SUMIF($T$278:$T$380,"NSC",L$285:L$397)/L10/1.98)</f>
        <v>671.57938436304539</v>
      </c>
      <c r="M404" s="45"/>
      <c r="N404" s="121">
        <f>N$405+(SUMIF($T$278:$T$380,"FLG",N$285:N$397)/N10/1.98)+(SUMIF($T$278:$T$380,"FCA",N$285:N$397)/N10/1.98)+(SUMIF($T$278:$T$380,"NSC",N$285:N$397)/N10/1.98)</f>
        <v>347.23167451194394</v>
      </c>
      <c r="O404" s="121">
        <f>O$405+(SUMIF($T$278:$T$380,"FLG",O$285:O$397)/O10/1.98)+(SUMIF($T$278:$T$380,"FCA",O$285:O$397)/O10/1.98)+(SUMIF($T$278:$T$380,"NSC",O$285:O$397)/O10/1.98)</f>
        <v>163.86701100770691</v>
      </c>
      <c r="P404" s="121">
        <f>P$405+(SUMIF($T$278:$T$380,"FLG",P$285:P$397)/P10/1.98)+(SUMIF($T$278:$T$380,"FCA",P$285:P$397)/P10/1.98)+(SUMIF($T$278:$T$380,"NSC",P$285:P$397)/P10/1.98)</f>
        <v>340.91727385612506</v>
      </c>
      <c r="Q404" s="45"/>
      <c r="R404" s="45"/>
    </row>
    <row r="405" spans="1:20" ht="15.75" customHeight="1" x14ac:dyDescent="0.3">
      <c r="A405" s="120" t="s">
        <v>292</v>
      </c>
      <c r="B405" s="121">
        <f>B$406+(SUMIF($T$278:$T$380,"FCI",B$285:B$397)/B10/1.98)+(SUMIF($T$278:$T$380,"FCC",B$285:B$397)/B10/1.98)</f>
        <v>268.15103354071687</v>
      </c>
      <c r="C405" s="121">
        <f>C$406+(SUMIF($T$278:$T$380,"FCI",C$285:C$397)/C10/1.98)+(SUMIF($T$278:$T$380,"FCC",C$285:C$397)/C10/1.98)</f>
        <v>331.46155197970631</v>
      </c>
      <c r="D405" s="121">
        <f>D$406+(SUMIF($T$278:$T$380,"FCI",D$285:D$397)/D10/1.98)+(SUMIF($T$278:$T$380,"FCC",D$285:D$397)/D10/1.98)</f>
        <v>500.33722614855793</v>
      </c>
      <c r="E405" s="122"/>
      <c r="F405" s="121">
        <f>F$406+(SUMIF($T$278:$T$380,"FCI",F$285:F$397)/F10/1.98)+(SUMIF($T$278:$T$380,"FCC",F$285:F$397)/F10/1.98)</f>
        <v>974.94776305668881</v>
      </c>
      <c r="G405" s="121">
        <f>G$406+(SUMIF($T$278:$T$380,"FCI",G$285:G$397)/G10/1.98)+(SUMIF($T$278:$T$380,"FCC",G$285:G$397)/G10/1.98)</f>
        <v>797.39506233088787</v>
      </c>
      <c r="H405" s="121">
        <f>H$406+(SUMIF($T$278:$T$380,"FCI",H$285:H$397)/H10/1.98)+(SUMIF($T$278:$T$380,"FCC",H$285:H$397)/H10/1.98)</f>
        <v>1077.4520036471624</v>
      </c>
      <c r="I405" s="45"/>
      <c r="J405" s="121">
        <f>J$406+(SUMIF($T$278:$T$380,"FCI",J$285:J$397)/J10/1.98)+(SUMIF($T$278:$T$380,"FCC",J$285:J$397)/J10/1.98)</f>
        <v>947.71185575929121</v>
      </c>
      <c r="K405" s="121">
        <f>K$406+(SUMIF($T$278:$T$380,"FCI",K$285:K$397)/K10/1.98)+(SUMIF($T$278:$T$380,"FCC",K$285:K$397)/K10/1.98)</f>
        <v>1034.9351452152682</v>
      </c>
      <c r="L405" s="121">
        <f>L$406+(SUMIF($T$278:$T$380,"FCI",L$285:L$397)/L10/1.98)+(SUMIF($T$278:$T$380,"FCC",L$285:L$397)/L10/1.98)</f>
        <v>671.57938436304539</v>
      </c>
      <c r="M405" s="45"/>
      <c r="N405" s="121">
        <f>N$406+(SUMIF($T$278:$T$380,"FCI",N$285:N$397)/N10/1.98)+(SUMIF($T$278:$T$380,"FCC",N$285:N$397)/N10/1.98)</f>
        <v>347.23167451194394</v>
      </c>
      <c r="O405" s="121">
        <f>O$406+(SUMIF($T$278:$T$380,"FCI",O$285:O$397)/O10/1.98)+(SUMIF($T$278:$T$380,"FCC",O$285:O$397)/O10/1.98)</f>
        <v>163.86701100770691</v>
      </c>
      <c r="P405" s="121">
        <f>P$406+(SUMIF($T$278:$T$380,"FCI",P$285:P$397)/P10/1.98)+(SUMIF($T$278:$T$380,"FCC",P$285:P$397)/P10/1.98)</f>
        <v>340.91727385612506</v>
      </c>
      <c r="Q405" s="45"/>
      <c r="R405" s="45"/>
    </row>
    <row r="406" spans="1:20" ht="15.75" customHeight="1" x14ac:dyDescent="0.3">
      <c r="A406" s="120" t="s">
        <v>293</v>
      </c>
      <c r="B406" s="121">
        <f>B$407+(SUMIF($T$278:$T$380,"PIL",B$285:B$397)/B10/1.98)+(SUMIF($T$278:$T$380,"KLK",B$285:B$397)/B10/1.98)</f>
        <v>268.15103354071687</v>
      </c>
      <c r="C406" s="121">
        <f>C$407+(SUMIF($T$278:$T$380,"PIL",C$285:C$397)/C10/1.98)+(SUMIF($T$278:$T$380,"KLK",C$285:C$397)/C10/1.98)</f>
        <v>331.46155197970631</v>
      </c>
      <c r="D406" s="121">
        <f>D$407+(SUMIF($T$278:$T$380,"PIL",D$285:D$397)/D10/1.98)+(SUMIF($T$278:$T$380,"KLK",D$285:D$397)/D10/1.98)</f>
        <v>500.33722614855793</v>
      </c>
      <c r="E406" s="122"/>
      <c r="F406" s="121">
        <f>F$407+(SUMIF($T$278:$T$380,"PIL",F$285:F$397)/F10/1.98)+(SUMIF($T$278:$T$380,"KLK",F$285:F$397)/F10/1.98)</f>
        <v>974.94776305668881</v>
      </c>
      <c r="G406" s="121">
        <f>G$407+(SUMIF($T$278:$T$380,"PIL",G$285:G$397)/G10/1.98)+(SUMIF($T$278:$T$380,"KLK",G$285:G$397)/G10/1.98)</f>
        <v>797.39506233088787</v>
      </c>
      <c r="H406" s="121">
        <f>H$407+(SUMIF($T$278:$T$380,"PIL",H$285:H$397)/H10/1.98)+(SUMIF($T$278:$T$380,"KLK",H$285:H$397)/H10/1.98)</f>
        <v>1077.4520036471624</v>
      </c>
      <c r="I406" s="45"/>
      <c r="J406" s="121">
        <f>J$407+(SUMIF($T$278:$T$380,"PIL",J$285:J$397)/J10/1.98)+(SUMIF($T$278:$T$380,"KLK",J$285:J$397)/J10/1.98)</f>
        <v>947.71185575929121</v>
      </c>
      <c r="K406" s="121">
        <f>K$407+(SUMIF($T$278:$T$380,"PIL",K$285:K$397)/K10/1.98)+(SUMIF($T$278:$T$380,"KLK",K$285:K$397)/K10/1.98)</f>
        <v>1034.9351452152682</v>
      </c>
      <c r="L406" s="121">
        <f>L$407+(SUMIF($T$278:$T$380,"PIL",L$285:L$397)/L10/1.98)+(SUMIF($T$278:$T$380,"KLK",L$285:L$397)/L10/1.98)</f>
        <v>671.57938436304539</v>
      </c>
      <c r="M406" s="45"/>
      <c r="N406" s="121">
        <f>N$407+(SUMIF($T$278:$T$380,"PIL",N$285:N$397)/N10/1.98)+(SUMIF($T$278:$T$380,"KLK",N$285:N$397)/N10/1.98)</f>
        <v>347.23167451194394</v>
      </c>
      <c r="O406" s="121">
        <f>O$407+(SUMIF($T$278:$T$380,"PIL",O$285:O$397)/O10/1.98)+(SUMIF($T$278:$T$380,"KLK",O$285:O$397)/O10/1.98)</f>
        <v>163.86701100770691</v>
      </c>
      <c r="P406" s="121">
        <f>P$407+(SUMIF($T$278:$T$380,"PIL",P$285:P$397)/P10/1.98)+(SUMIF($T$278:$T$380,"KLK",P$285:P$397)/P10/1.98)</f>
        <v>340.91727385612506</v>
      </c>
      <c r="Q406" s="45"/>
      <c r="R406" s="45"/>
    </row>
    <row r="407" spans="1:20" ht="15.75" customHeight="1" x14ac:dyDescent="0.3">
      <c r="A407" s="120" t="s">
        <v>294</v>
      </c>
      <c r="B407" s="121">
        <f>B$408+(SUMIF($T$278:$T$380,"CGE",B$285:B$397)/B10/1.98)</f>
        <v>268.15103354071687</v>
      </c>
      <c r="C407" s="121">
        <f>C$408+(SUMIF($T$278:$T$380,"CGE",C$285:C$397)/C10/1.98)</f>
        <v>331.46155197970631</v>
      </c>
      <c r="D407" s="121">
        <f>D$408+(SUMIF($T$278:$T$380,"CGE",D$285:D$397)/D10/1.98)</f>
        <v>500.33722614855793</v>
      </c>
      <c r="E407" s="122"/>
      <c r="F407" s="121">
        <f>F$408+(SUMIF($T$278:$T$380,"CGE",F$285:F$397)/F10/1.98)</f>
        <v>974.94776305668881</v>
      </c>
      <c r="G407" s="121">
        <f>G$408+(SUMIF($T$278:$T$380,"CGE",G$285:G$397)/G10/1.98)</f>
        <v>797.39506233088787</v>
      </c>
      <c r="H407" s="121">
        <f>H$408+(SUMIF($T$278:$T$380,"CGE",H$285:H$397)/H10/1.98)</f>
        <v>1077.4520036471624</v>
      </c>
      <c r="I407" s="45"/>
      <c r="J407" s="121">
        <f>J$408+(SUMIF($T$278:$T$380,"CGE",J$285:J$397)/J10/1.98)</f>
        <v>947.71185575929121</v>
      </c>
      <c r="K407" s="121">
        <f>K$408+(SUMIF($T$278:$T$380,"CGE",K$285:K$397)/K10/1.98)</f>
        <v>1034.9351452152682</v>
      </c>
      <c r="L407" s="121">
        <f>L$408+(SUMIF($T$278:$T$380,"CGE",L$285:L$397)/L10/1.98)</f>
        <v>671.57938436304539</v>
      </c>
      <c r="M407" s="45"/>
      <c r="N407" s="121">
        <f>N$408+(SUMIF($T$278:$T$380,"CGE",N$285:N$397)/N10/1.98)</f>
        <v>347.23167451194394</v>
      </c>
      <c r="O407" s="121">
        <f>O$408+(SUMIF($T$278:$T$380,"CGE",O$285:O$397)/O10/1.98)</f>
        <v>163.86701100770691</v>
      </c>
      <c r="P407" s="121">
        <f>P$408+(SUMIF($T$278:$T$380,"CGE",P$285:P$397)/P10/1.98)</f>
        <v>340.91727385612506</v>
      </c>
      <c r="Q407" s="45"/>
      <c r="R407" s="45"/>
    </row>
    <row r="408" spans="1:20" ht="15.75" customHeight="1" x14ac:dyDescent="0.3">
      <c r="A408" s="120" t="s">
        <v>295</v>
      </c>
      <c r="B408" s="121">
        <f>B$409+(SUMIF($T$278:$T$380,"SRO",B$285:B$397)/B10/1.98)</f>
        <v>268.15103354071687</v>
      </c>
      <c r="C408" s="121">
        <f>C$409+(SUMIF($T$278:$T$380,"SRO",C$285:C$397)/C10/1.98)</f>
        <v>331.46155197970631</v>
      </c>
      <c r="D408" s="121">
        <f>D$409+(SUMIF($T$278:$T$380,"SRO",D$285:D$397)/D10/1.98)</f>
        <v>500.33722614855793</v>
      </c>
      <c r="E408" s="122"/>
      <c r="F408" s="121">
        <f>F$409+(SUMIF($T$278:$T$380,"SRO",F$285:F$397)/F10/1.98)</f>
        <v>974.94776305668881</v>
      </c>
      <c r="G408" s="121">
        <f>G$409+(SUMIF($T$278:$T$380,"SRO",G$285:G$397)/G10/1.98)</f>
        <v>797.39506233088787</v>
      </c>
      <c r="H408" s="121">
        <f>H$409+(SUMIF($T$278:$T$380,"SRO",H$285:H$397)/H10/1.98)</f>
        <v>1077.4520036471624</v>
      </c>
      <c r="I408" s="45"/>
      <c r="J408" s="121">
        <f>J$409+(SUMIF($T$278:$T$380,"SRO",J$285:J$397)/J10/1.98)</f>
        <v>947.71185575929121</v>
      </c>
      <c r="K408" s="121">
        <f>K$409+(SUMIF($T$278:$T$380,"SRO",K$285:K$397)/K10/1.98)</f>
        <v>1034.674473986855</v>
      </c>
      <c r="L408" s="121">
        <f>L$409+(SUMIF($T$278:$T$380,"SRO",L$285:L$397)/L10/1.98)</f>
        <v>671.22584900951006</v>
      </c>
      <c r="M408" s="45"/>
      <c r="N408" s="121">
        <f>N$409+(SUMIF($T$278:$T$380,"SRO",N$285:N$397)/N10/1.98)</f>
        <v>346.98729523530659</v>
      </c>
      <c r="O408" s="121">
        <f>O$409+(SUMIF($T$278:$T$380,"SRO",O$285:O$397)/O10/1.98)</f>
        <v>163.86701100770691</v>
      </c>
      <c r="P408" s="121">
        <f>P$409+(SUMIF($T$278:$T$380,"SRO",P$285:P$397)/P10/1.98)</f>
        <v>340.91727385612506</v>
      </c>
      <c r="Q408" s="45"/>
      <c r="R408" s="45"/>
    </row>
    <row r="409" spans="1:20" ht="15.75" customHeight="1" x14ac:dyDescent="0.3">
      <c r="A409" s="120" t="s">
        <v>296</v>
      </c>
      <c r="B409" s="121">
        <f>B$449/B10/1.983</f>
        <v>267.62969108389052</v>
      </c>
      <c r="C409" s="121">
        <f>C$449/C10/1.983</f>
        <v>330.61378863194295</v>
      </c>
      <c r="D409" s="121">
        <f>D$449/D10/1.983</f>
        <v>497.86084947863287</v>
      </c>
      <c r="E409" s="123"/>
      <c r="F409" s="121">
        <f>F$449/F10/1.983</f>
        <v>867.8097159186417</v>
      </c>
      <c r="G409" s="121">
        <f>G$449/G10/1.983</f>
        <v>665.49542075382692</v>
      </c>
      <c r="H409" s="121">
        <f>H$449/H10/1.983</f>
        <v>870.56648176164049</v>
      </c>
      <c r="I409" s="1"/>
      <c r="J409" s="121">
        <f>J$449/J10/1.983</f>
        <v>714.4762741366128</v>
      </c>
      <c r="K409" s="121">
        <f>K$449/K10/1.983</f>
        <v>803.0192116864315</v>
      </c>
      <c r="L409" s="121">
        <f>L$449/L10/1.983</f>
        <v>535.38409816775925</v>
      </c>
      <c r="N409" s="121">
        <f>N$449/N10/1.983</f>
        <v>257.20234899874742</v>
      </c>
      <c r="O409" s="121">
        <f>O$449/O10/1.983</f>
        <v>158.88384602454192</v>
      </c>
      <c r="P409" s="121">
        <f>P$449/P10/1.983</f>
        <v>338.68527646283735</v>
      </c>
      <c r="R409" s="45"/>
    </row>
    <row r="410" spans="1:20" ht="15.75" customHeight="1" x14ac:dyDescent="0.3">
      <c r="A410" s="120"/>
      <c r="B410" s="121"/>
      <c r="C410" s="121"/>
      <c r="D410" s="121"/>
      <c r="E410" s="123"/>
      <c r="F410" s="121"/>
      <c r="G410" s="121"/>
      <c r="H410" s="121"/>
      <c r="I410" s="1"/>
      <c r="J410" s="121"/>
      <c r="K410" s="121"/>
      <c r="L410" s="121"/>
      <c r="N410" s="121"/>
      <c r="O410" s="121"/>
      <c r="P410" s="121"/>
      <c r="R410" s="45"/>
    </row>
    <row r="411" spans="1:20" ht="15.75" customHeight="1" thickBot="1" x14ac:dyDescent="0.35">
      <c r="A411" s="28"/>
      <c r="B411" s="1"/>
      <c r="C411" s="1"/>
      <c r="D411" s="1"/>
      <c r="E411" s="1"/>
      <c r="F411" s="1"/>
      <c r="G411" s="1"/>
      <c r="H411" s="1"/>
      <c r="I411" s="1"/>
      <c r="J411" s="1"/>
      <c r="K411" s="1"/>
      <c r="L411" s="1"/>
      <c r="M411" s="1"/>
      <c r="N411" s="1"/>
      <c r="O411" s="1"/>
      <c r="P411" s="1"/>
      <c r="Q411" s="1"/>
      <c r="R411" s="2"/>
    </row>
    <row r="412" spans="1:20" ht="16.5" customHeight="1" thickBot="1" x14ac:dyDescent="0.35">
      <c r="A412" s="29" t="s">
        <v>297</v>
      </c>
      <c r="B412" s="30" t="s">
        <v>8</v>
      </c>
      <c r="C412" s="31" t="s">
        <v>9</v>
      </c>
      <c r="D412" s="31" t="s">
        <v>10</v>
      </c>
      <c r="E412" s="32" t="s">
        <v>11</v>
      </c>
      <c r="F412" s="31" t="s">
        <v>12</v>
      </c>
      <c r="G412" s="31" t="s">
        <v>13</v>
      </c>
      <c r="H412" s="31" t="s">
        <v>14</v>
      </c>
      <c r="I412" s="33" t="s">
        <v>15</v>
      </c>
      <c r="J412" s="31" t="s">
        <v>16</v>
      </c>
      <c r="K412" s="31" t="s">
        <v>17</v>
      </c>
      <c r="L412" s="31" t="s">
        <v>18</v>
      </c>
      <c r="M412" s="33" t="s">
        <v>19</v>
      </c>
      <c r="N412" s="31" t="s">
        <v>20</v>
      </c>
      <c r="O412" s="31" t="s">
        <v>21</v>
      </c>
      <c r="P412" s="31" t="s">
        <v>22</v>
      </c>
      <c r="Q412" s="33" t="s">
        <v>23</v>
      </c>
      <c r="R412" s="34" t="s">
        <v>24</v>
      </c>
    </row>
    <row r="413" spans="1:20" ht="16.5" customHeight="1" thickBot="1" x14ac:dyDescent="0.35">
      <c r="A413" s="59"/>
      <c r="B413" s="75"/>
      <c r="C413" s="75"/>
      <c r="D413" s="75"/>
      <c r="E413" s="69"/>
      <c r="F413" s="75"/>
      <c r="G413" s="75"/>
      <c r="H413" s="75"/>
      <c r="I413" s="82"/>
      <c r="J413" s="75"/>
      <c r="K413" s="75"/>
      <c r="L413" s="75"/>
      <c r="M413" s="82"/>
      <c r="N413" s="75"/>
      <c r="O413" s="75"/>
      <c r="P413" s="75"/>
      <c r="Q413" s="82"/>
      <c r="R413" s="100"/>
    </row>
    <row r="414" spans="1:20" ht="15.75" customHeight="1" x14ac:dyDescent="0.3">
      <c r="A414" s="15" t="s">
        <v>48</v>
      </c>
      <c r="B414" s="1" t="s">
        <v>7</v>
      </c>
      <c r="C414" s="1" t="s">
        <v>7</v>
      </c>
      <c r="D414" s="1" t="s">
        <v>7</v>
      </c>
      <c r="E414" s="55" t="s">
        <v>7</v>
      </c>
      <c r="F414" s="1" t="s">
        <v>7</v>
      </c>
      <c r="G414" s="1" t="s">
        <v>7</v>
      </c>
      <c r="H414" s="1" t="s">
        <v>7</v>
      </c>
      <c r="I414" s="55" t="s">
        <v>7</v>
      </c>
      <c r="J414" s="1" t="s">
        <v>7</v>
      </c>
      <c r="K414" s="1" t="s">
        <v>7</v>
      </c>
      <c r="L414" s="1" t="s">
        <v>7</v>
      </c>
      <c r="M414" s="55" t="s">
        <v>7</v>
      </c>
      <c r="N414" s="1" t="s">
        <v>7</v>
      </c>
      <c r="O414" s="1" t="s">
        <v>7</v>
      </c>
      <c r="P414" s="1" t="s">
        <v>7</v>
      </c>
      <c r="Q414" s="55" t="s">
        <v>7</v>
      </c>
      <c r="R414" s="55" t="s">
        <v>7</v>
      </c>
    </row>
    <row r="415" spans="1:20" ht="15.75" customHeight="1" x14ac:dyDescent="0.3">
      <c r="A415" s="15" t="s">
        <v>49</v>
      </c>
      <c r="B415" s="1"/>
      <c r="C415" s="1"/>
      <c r="D415" s="1"/>
      <c r="E415" s="55" t="s">
        <v>7</v>
      </c>
      <c r="F415" s="1"/>
      <c r="G415" s="1"/>
      <c r="H415" s="1"/>
      <c r="I415" s="55" t="s">
        <v>7</v>
      </c>
      <c r="J415" s="1"/>
      <c r="K415" s="1"/>
      <c r="L415" s="1"/>
      <c r="M415" s="55" t="s">
        <v>7</v>
      </c>
      <c r="N415" s="1"/>
      <c r="O415" s="1"/>
      <c r="P415" s="1"/>
      <c r="Q415" s="55" t="s">
        <v>7</v>
      </c>
      <c r="R415" s="55" t="s">
        <v>7</v>
      </c>
    </row>
    <row r="416" spans="1:20" ht="15.75" customHeight="1" x14ac:dyDescent="0.3">
      <c r="A416" s="71" t="s">
        <v>979</v>
      </c>
      <c r="B416" s="1"/>
      <c r="C416" s="1"/>
      <c r="D416" s="1"/>
      <c r="E416" s="55">
        <f>SUM(B416:D416)</f>
        <v>0</v>
      </c>
      <c r="F416" s="1"/>
      <c r="G416" s="1"/>
      <c r="H416" s="1">
        <v>1607</v>
      </c>
      <c r="I416" s="55">
        <f>SUM(F416:H416)</f>
        <v>1607</v>
      </c>
      <c r="J416" s="1"/>
      <c r="K416" s="1"/>
      <c r="L416" s="1"/>
      <c r="M416" s="55">
        <f>SUM(J416:L416)</f>
        <v>0</v>
      </c>
      <c r="N416" s="1"/>
      <c r="O416" s="1"/>
      <c r="P416" s="1"/>
      <c r="Q416" s="55">
        <f>SUM(N416:P416)</f>
        <v>0</v>
      </c>
      <c r="R416" s="55">
        <f>+E416+I416+M416+Q416</f>
        <v>1607</v>
      </c>
      <c r="T416" s="4" t="s">
        <v>938</v>
      </c>
    </row>
    <row r="417" spans="1:20" ht="15.75" customHeight="1" x14ac:dyDescent="0.3">
      <c r="A417" s="72" t="s">
        <v>981</v>
      </c>
      <c r="B417" s="1"/>
      <c r="C417" s="1"/>
      <c r="D417" s="1"/>
      <c r="E417" s="55">
        <f>SUM(B417:D417)</f>
        <v>0</v>
      </c>
      <c r="F417" s="1"/>
      <c r="G417" s="1">
        <v>2048</v>
      </c>
      <c r="H417" s="1"/>
      <c r="I417" s="55">
        <f>SUM(F417:H417)</f>
        <v>2048</v>
      </c>
      <c r="J417" s="1"/>
      <c r="K417" s="1"/>
      <c r="L417" s="1"/>
      <c r="M417" s="55">
        <f>SUM(J417:L417)</f>
        <v>0</v>
      </c>
      <c r="N417" s="1"/>
      <c r="O417" s="1"/>
      <c r="P417" s="1"/>
      <c r="Q417" s="55">
        <f>SUM(N417:P417)</f>
        <v>0</v>
      </c>
      <c r="R417" s="55">
        <f>+E417+I417+M417+Q417</f>
        <v>2048</v>
      </c>
      <c r="T417" s="4" t="s">
        <v>938</v>
      </c>
    </row>
    <row r="418" spans="1:20" ht="15.75" customHeight="1" x14ac:dyDescent="0.3">
      <c r="A418" s="15" t="s">
        <v>50</v>
      </c>
      <c r="B418" s="1"/>
      <c r="C418" s="1"/>
      <c r="D418" s="1"/>
      <c r="E418" s="55" t="s">
        <v>7</v>
      </c>
      <c r="F418" s="1"/>
      <c r="G418" s="1"/>
      <c r="H418" s="1"/>
      <c r="I418" s="55" t="s">
        <v>7</v>
      </c>
      <c r="J418" s="1"/>
      <c r="K418" s="1"/>
      <c r="L418" s="1"/>
      <c r="M418" s="55" t="s">
        <v>7</v>
      </c>
      <c r="N418" s="1"/>
      <c r="O418" s="1"/>
      <c r="P418" s="1"/>
      <c r="Q418" s="55" t="s">
        <v>7</v>
      </c>
      <c r="R418" s="55" t="s">
        <v>7</v>
      </c>
    </row>
    <row r="419" spans="1:20" ht="15.75" customHeight="1" x14ac:dyDescent="0.3">
      <c r="A419" s="71" t="s">
        <v>211</v>
      </c>
      <c r="B419" s="1"/>
      <c r="C419" s="1"/>
      <c r="D419" s="1"/>
      <c r="E419" s="55">
        <f>SUM(B419:D419)</f>
        <v>0</v>
      </c>
      <c r="F419" s="1"/>
      <c r="G419" s="1"/>
      <c r="H419" s="1"/>
      <c r="I419" s="55">
        <f>SUM(F419:H419)</f>
        <v>0</v>
      </c>
      <c r="J419" s="1"/>
      <c r="K419" s="1"/>
      <c r="L419" s="1"/>
      <c r="M419" s="55">
        <f>SUM(J419:L419)</f>
        <v>0</v>
      </c>
      <c r="N419" s="1"/>
      <c r="O419" s="1"/>
      <c r="P419" s="1"/>
      <c r="Q419" s="55">
        <f>SUM(N419:P419)</f>
        <v>0</v>
      </c>
      <c r="R419" s="55">
        <f>+E419+I419+M419+Q419</f>
        <v>0</v>
      </c>
    </row>
    <row r="420" spans="1:20" ht="15.75" customHeight="1" x14ac:dyDescent="0.3">
      <c r="A420" s="71" t="s">
        <v>758</v>
      </c>
      <c r="B420" s="1"/>
      <c r="C420" s="1"/>
      <c r="D420" s="1"/>
      <c r="E420" s="55">
        <f>SUM(B420:D420)</f>
        <v>0</v>
      </c>
      <c r="F420" s="1"/>
      <c r="G420" s="1"/>
      <c r="H420" s="1"/>
      <c r="I420" s="55">
        <f>SUM(F420:H420)</f>
        <v>0</v>
      </c>
      <c r="J420" s="1"/>
      <c r="K420" s="1"/>
      <c r="L420" s="1"/>
      <c r="M420" s="55">
        <f>SUM(J420:L420)</f>
        <v>0</v>
      </c>
      <c r="N420" s="1"/>
      <c r="O420" s="1"/>
      <c r="P420" s="1"/>
      <c r="Q420" s="55">
        <f>SUM(N420:P420)</f>
        <v>0</v>
      </c>
      <c r="R420" s="55">
        <f>+E420+I420+M420+Q420</f>
        <v>0</v>
      </c>
    </row>
    <row r="421" spans="1:20" ht="15.75" customHeight="1" x14ac:dyDescent="0.3">
      <c r="A421" s="71" t="s">
        <v>298</v>
      </c>
      <c r="B421" s="1"/>
      <c r="C421" s="1"/>
      <c r="D421" s="1"/>
      <c r="E421" s="55">
        <f>SUM(B421:D421)</f>
        <v>0</v>
      </c>
      <c r="F421" s="1"/>
      <c r="G421" s="1"/>
      <c r="H421" s="1">
        <v>4</v>
      </c>
      <c r="I421" s="55">
        <f>SUM(F421:H421)</f>
        <v>4</v>
      </c>
      <c r="J421" s="1">
        <v>4</v>
      </c>
      <c r="K421" s="1"/>
      <c r="L421" s="1"/>
      <c r="M421" s="55">
        <f>SUM(J421:L421)</f>
        <v>4</v>
      </c>
      <c r="N421" s="1"/>
      <c r="O421" s="1"/>
      <c r="P421" s="1"/>
      <c r="Q421" s="55">
        <f>SUM(N421:P421)</f>
        <v>0</v>
      </c>
      <c r="R421" s="55">
        <f>+E421+I421+M421+Q421</f>
        <v>8</v>
      </c>
    </row>
    <row r="422" spans="1:20" ht="15.75" customHeight="1" x14ac:dyDescent="0.3">
      <c r="A422" s="15" t="s">
        <v>51</v>
      </c>
      <c r="B422" s="1"/>
      <c r="C422" s="1"/>
      <c r="D422" s="1"/>
      <c r="E422" s="55" t="s">
        <v>7</v>
      </c>
      <c r="F422" s="1"/>
      <c r="G422" s="1"/>
      <c r="H422" s="1"/>
      <c r="I422" s="55" t="s">
        <v>7</v>
      </c>
      <c r="J422" s="1"/>
      <c r="K422" s="1"/>
      <c r="L422" s="1"/>
      <c r="M422" s="55" t="s">
        <v>7</v>
      </c>
      <c r="N422" s="1"/>
      <c r="O422" s="1"/>
      <c r="P422" s="1"/>
      <c r="Q422" s="55" t="s">
        <v>7</v>
      </c>
      <c r="R422" s="55" t="s">
        <v>7</v>
      </c>
    </row>
    <row r="423" spans="1:20" ht="15.75" customHeight="1" thickBot="1" x14ac:dyDescent="0.35">
      <c r="A423" s="15" t="s">
        <v>53</v>
      </c>
      <c r="B423" s="1"/>
      <c r="C423" s="1"/>
      <c r="D423" s="1"/>
      <c r="E423" s="55" t="s">
        <v>7</v>
      </c>
      <c r="F423" s="1"/>
      <c r="G423" s="1"/>
      <c r="H423" s="1"/>
      <c r="I423" s="55" t="s">
        <v>7</v>
      </c>
      <c r="J423" s="1"/>
      <c r="K423" s="1"/>
      <c r="L423" s="1"/>
      <c r="M423" s="55" t="s">
        <v>7</v>
      </c>
      <c r="N423" s="1"/>
      <c r="O423" s="1"/>
      <c r="P423" s="1"/>
      <c r="Q423" s="55" t="s">
        <v>7</v>
      </c>
      <c r="R423" s="55" t="s">
        <v>7</v>
      </c>
    </row>
    <row r="424" spans="1:20" ht="16.5" customHeight="1" thickBot="1" x14ac:dyDescent="0.35">
      <c r="A424" s="109" t="s">
        <v>54</v>
      </c>
      <c r="B424" s="86">
        <f>SUM(B414:B423)</f>
        <v>0</v>
      </c>
      <c r="C424" s="87">
        <f>SUM(C414:C423)</f>
        <v>0</v>
      </c>
      <c r="D424" s="87">
        <f>SUM(D414:D423)</f>
        <v>0</v>
      </c>
      <c r="E424" s="59">
        <f>SUM(B424:D424)</f>
        <v>0</v>
      </c>
      <c r="F424" s="87">
        <f>SUM(F414:F423)</f>
        <v>0</v>
      </c>
      <c r="G424" s="87">
        <f>SUM(G414:G423)</f>
        <v>2048</v>
      </c>
      <c r="H424" s="87">
        <f>SUM(H414:H423)</f>
        <v>1611</v>
      </c>
      <c r="I424" s="59">
        <f>SUM(F424:H424)</f>
        <v>3659</v>
      </c>
      <c r="J424" s="87">
        <f>SUM(J414:J423)</f>
        <v>4</v>
      </c>
      <c r="K424" s="87">
        <f>SUM(K414:K423)</f>
        <v>0</v>
      </c>
      <c r="L424" s="87">
        <f>SUM(L414:L423)</f>
        <v>0</v>
      </c>
      <c r="M424" s="59">
        <f>SUM(J424:L424)</f>
        <v>4</v>
      </c>
      <c r="N424" s="87">
        <f>SUM(N414:N423)</f>
        <v>0</v>
      </c>
      <c r="O424" s="87">
        <f>SUM(O414:O423)</f>
        <v>0</v>
      </c>
      <c r="P424" s="87">
        <f>SUM(P414:P423)</f>
        <v>0</v>
      </c>
      <c r="Q424" s="59">
        <f>SUM(N424:P424)</f>
        <v>0</v>
      </c>
      <c r="R424" s="59">
        <f>+E424+I424+M424+Q424</f>
        <v>3663</v>
      </c>
    </row>
    <row r="425" spans="1:20" ht="15.75" customHeight="1" x14ac:dyDescent="0.3">
      <c r="A425" s="15" t="s">
        <v>55</v>
      </c>
      <c r="B425" s="1"/>
      <c r="C425" s="1"/>
      <c r="D425" s="1"/>
      <c r="E425" s="55" t="s">
        <v>7</v>
      </c>
      <c r="F425" s="1"/>
      <c r="G425" s="1"/>
      <c r="H425" s="1"/>
      <c r="I425" s="55" t="s">
        <v>7</v>
      </c>
      <c r="J425" s="1"/>
      <c r="K425" s="1"/>
      <c r="L425" s="1"/>
      <c r="M425" s="55" t="s">
        <v>7</v>
      </c>
      <c r="N425" s="1" t="s">
        <v>7</v>
      </c>
      <c r="O425" s="1"/>
      <c r="P425" s="1"/>
      <c r="Q425" s="55" t="s">
        <v>7</v>
      </c>
      <c r="R425" s="55" t="s">
        <v>7</v>
      </c>
    </row>
    <row r="426" spans="1:20" ht="15.75" customHeight="1" x14ac:dyDescent="0.3">
      <c r="A426" s="15" t="s">
        <v>57</v>
      </c>
      <c r="B426" s="1"/>
      <c r="C426" s="1"/>
      <c r="D426" s="1"/>
      <c r="E426" s="55" t="s">
        <v>7</v>
      </c>
      <c r="F426" s="1"/>
      <c r="G426" s="1"/>
      <c r="H426" s="1"/>
      <c r="I426" s="55" t="s">
        <v>7</v>
      </c>
      <c r="J426" s="1"/>
      <c r="K426" s="1"/>
      <c r="L426" s="1"/>
      <c r="M426" s="55" t="s">
        <v>7</v>
      </c>
      <c r="N426" s="1"/>
      <c r="O426" s="1"/>
      <c r="P426" s="1"/>
      <c r="Q426" s="55" t="s">
        <v>7</v>
      </c>
      <c r="R426" s="55" t="s">
        <v>7</v>
      </c>
    </row>
    <row r="427" spans="1:20" ht="15.75" customHeight="1" x14ac:dyDescent="0.3">
      <c r="A427" s="71" t="s">
        <v>565</v>
      </c>
      <c r="B427" s="1">
        <v>360</v>
      </c>
      <c r="C427" s="1">
        <v>403</v>
      </c>
      <c r="D427" s="1">
        <v>249</v>
      </c>
      <c r="E427" s="55">
        <f>SUM(B427:D427)</f>
        <v>1012</v>
      </c>
      <c r="F427" s="1">
        <v>9177</v>
      </c>
      <c r="G427" s="1">
        <v>1055</v>
      </c>
      <c r="H427" s="1">
        <v>18742</v>
      </c>
      <c r="I427" s="55">
        <f>SUM(F427:H427)</f>
        <v>28974</v>
      </c>
      <c r="J427" s="1">
        <v>14381</v>
      </c>
      <c r="K427" s="1">
        <v>15966</v>
      </c>
      <c r="L427" s="1">
        <v>5023</v>
      </c>
      <c r="M427" s="55">
        <f>SUM(J427:L427)</f>
        <v>35370</v>
      </c>
      <c r="N427" s="1">
        <v>751</v>
      </c>
      <c r="O427" s="1">
        <v>316</v>
      </c>
      <c r="P427" s="1">
        <v>99</v>
      </c>
      <c r="Q427" s="55">
        <f>SUM(N427:P427)</f>
        <v>1166</v>
      </c>
      <c r="R427" s="55">
        <f>+E427+I427+M427+Q427</f>
        <v>66522</v>
      </c>
    </row>
    <row r="428" spans="1:20" ht="15.75" customHeight="1" thickBot="1" x14ac:dyDescent="0.35">
      <c r="A428" s="15" t="s">
        <v>58</v>
      </c>
      <c r="B428" s="1"/>
      <c r="C428" s="1"/>
      <c r="D428" s="1"/>
      <c r="E428" s="55" t="s">
        <v>7</v>
      </c>
      <c r="F428" s="1"/>
      <c r="G428" s="1"/>
      <c r="H428" s="1"/>
      <c r="I428" s="55" t="s">
        <v>7</v>
      </c>
      <c r="J428" s="1"/>
      <c r="K428" s="1"/>
      <c r="L428" s="1"/>
      <c r="M428" s="55" t="s">
        <v>7</v>
      </c>
      <c r="N428" s="1"/>
      <c r="O428" s="1"/>
      <c r="P428" s="1"/>
      <c r="Q428" s="55" t="s">
        <v>7</v>
      </c>
      <c r="R428" s="55" t="s">
        <v>7</v>
      </c>
    </row>
    <row r="429" spans="1:20" ht="16.5" customHeight="1" thickBot="1" x14ac:dyDescent="0.35">
      <c r="A429" s="57" t="s">
        <v>59</v>
      </c>
      <c r="B429" s="86">
        <f>SUM(B425:B428)</f>
        <v>360</v>
      </c>
      <c r="C429" s="87">
        <f>SUM(C425:C428)</f>
        <v>403</v>
      </c>
      <c r="D429" s="87">
        <f>SUM(D425:D428)</f>
        <v>249</v>
      </c>
      <c r="E429" s="59">
        <f>SUM(B429:D429)</f>
        <v>1012</v>
      </c>
      <c r="F429" s="87">
        <f>SUM(F425:F428)</f>
        <v>9177</v>
      </c>
      <c r="G429" s="87">
        <f>SUM(G425:G428)</f>
        <v>1055</v>
      </c>
      <c r="H429" s="87">
        <f>SUM(H425:H428)</f>
        <v>18742</v>
      </c>
      <c r="I429" s="59">
        <f>SUM(F429:H429)</f>
        <v>28974</v>
      </c>
      <c r="J429" s="87">
        <f>SUM(J425:J428)</f>
        <v>14381</v>
      </c>
      <c r="K429" s="87">
        <f>SUM(K425:K428)</f>
        <v>15966</v>
      </c>
      <c r="L429" s="87">
        <f>SUM(L425:L428)</f>
        <v>5023</v>
      </c>
      <c r="M429" s="59">
        <f>SUM(J429:L429)</f>
        <v>35370</v>
      </c>
      <c r="N429" s="87">
        <f>SUM(N425:N428)</f>
        <v>751</v>
      </c>
      <c r="O429" s="87">
        <f>SUM(O425:O428)</f>
        <v>316</v>
      </c>
      <c r="P429" s="87">
        <f>SUM(P425:P428)</f>
        <v>99</v>
      </c>
      <c r="Q429" s="59">
        <f>SUM(N429:P429)</f>
        <v>1166</v>
      </c>
      <c r="R429" s="59">
        <f>+E429+I429+M429+Q429</f>
        <v>66522</v>
      </c>
    </row>
    <row r="430" spans="1:20" ht="15.75" customHeight="1" x14ac:dyDescent="0.3">
      <c r="A430" s="15" t="s">
        <v>60</v>
      </c>
      <c r="B430" s="1"/>
      <c r="C430" s="1"/>
      <c r="D430" s="1"/>
      <c r="E430" s="55" t="s">
        <v>7</v>
      </c>
      <c r="F430" s="1"/>
      <c r="G430" s="1"/>
      <c r="H430" s="1"/>
      <c r="I430" s="55" t="s">
        <v>7</v>
      </c>
      <c r="J430" s="1"/>
      <c r="K430" s="1"/>
      <c r="L430" s="1"/>
      <c r="M430" s="55" t="s">
        <v>7</v>
      </c>
      <c r="N430" s="1"/>
      <c r="O430" s="1"/>
      <c r="P430" s="1"/>
      <c r="Q430" s="55" t="s">
        <v>7</v>
      </c>
      <c r="R430" s="55" t="s">
        <v>7</v>
      </c>
    </row>
    <row r="431" spans="1:20" ht="15.75" customHeight="1" x14ac:dyDescent="0.3">
      <c r="A431" s="15" t="s">
        <v>61</v>
      </c>
      <c r="B431" s="1"/>
      <c r="C431" s="1"/>
      <c r="D431" s="1"/>
      <c r="E431" s="55" t="s">
        <v>7</v>
      </c>
      <c r="F431" s="1"/>
      <c r="G431" s="1"/>
      <c r="H431" s="1"/>
      <c r="I431" s="55" t="s">
        <v>7</v>
      </c>
      <c r="J431" s="1"/>
      <c r="K431" s="1"/>
      <c r="L431" s="1"/>
      <c r="M431" s="55" t="s">
        <v>7</v>
      </c>
      <c r="N431" s="1"/>
      <c r="O431" s="1"/>
      <c r="P431" s="1"/>
      <c r="Q431" s="55" t="s">
        <v>7</v>
      </c>
      <c r="R431" s="55" t="s">
        <v>7</v>
      </c>
    </row>
    <row r="432" spans="1:20" ht="15.75" customHeight="1" x14ac:dyDescent="0.3">
      <c r="A432" s="15" t="s">
        <v>62</v>
      </c>
      <c r="B432" s="1"/>
      <c r="C432" s="1"/>
      <c r="D432" s="1"/>
      <c r="E432" s="55" t="s">
        <v>7</v>
      </c>
      <c r="F432" s="1"/>
      <c r="G432" s="1"/>
      <c r="H432" s="1"/>
      <c r="I432" s="55" t="s">
        <v>7</v>
      </c>
      <c r="J432" s="1"/>
      <c r="K432" s="1"/>
      <c r="L432" s="1"/>
      <c r="M432" s="55" t="s">
        <v>7</v>
      </c>
      <c r="N432" s="1"/>
      <c r="O432" s="1"/>
      <c r="P432" s="1"/>
      <c r="Q432" s="55" t="s">
        <v>7</v>
      </c>
      <c r="R432" s="55" t="s">
        <v>7</v>
      </c>
    </row>
    <row r="433" spans="1:20" s="454" customFormat="1" ht="15.75" customHeight="1" thickBot="1" x14ac:dyDescent="0.35">
      <c r="A433" s="453" t="s">
        <v>1154</v>
      </c>
      <c r="D433" s="454">
        <v>8000</v>
      </c>
      <c r="E433" s="455">
        <f>SUM(B433:D433)</f>
        <v>8000</v>
      </c>
      <c r="F433" s="454">
        <v>8000</v>
      </c>
      <c r="G433" s="454">
        <v>10000</v>
      </c>
      <c r="H433" s="454">
        <v>1000</v>
      </c>
      <c r="I433" s="455">
        <f>SUM(F433:H433)</f>
        <v>19000</v>
      </c>
      <c r="J433" s="454">
        <v>3000</v>
      </c>
      <c r="M433" s="455">
        <f>SUM(J433:L433)</f>
        <v>3000</v>
      </c>
      <c r="Q433" s="455">
        <f>SUM(N433:P433)</f>
        <v>0</v>
      </c>
      <c r="R433" s="455">
        <f>+E433+I433+M433+Q433</f>
        <v>30000</v>
      </c>
      <c r="T433" s="454" t="s">
        <v>938</v>
      </c>
    </row>
    <row r="434" spans="1:20" ht="16.5" customHeight="1" thickBot="1" x14ac:dyDescent="0.35">
      <c r="A434" s="114" t="s">
        <v>63</v>
      </c>
      <c r="B434" s="86">
        <f>SUM(B430:B433)</f>
        <v>0</v>
      </c>
      <c r="C434" s="87">
        <f>SUM(C430:C433)</f>
        <v>0</v>
      </c>
      <c r="D434" s="87">
        <f>SUM(D430:D433)</f>
        <v>8000</v>
      </c>
      <c r="E434" s="59">
        <f>SUM(B434:D434)</f>
        <v>8000</v>
      </c>
      <c r="F434" s="87">
        <f>SUM(F430:F433)</f>
        <v>8000</v>
      </c>
      <c r="G434" s="87">
        <f>SUM(G430:G433)</f>
        <v>10000</v>
      </c>
      <c r="H434" s="87">
        <f>SUM(H430:H433)</f>
        <v>1000</v>
      </c>
      <c r="I434" s="59">
        <f>SUM(F434:H434)</f>
        <v>19000</v>
      </c>
      <c r="J434" s="87">
        <f>SUM(J430:J433)</f>
        <v>3000</v>
      </c>
      <c r="K434" s="87">
        <f>SUM(K430:K433)</f>
        <v>0</v>
      </c>
      <c r="L434" s="87">
        <f>SUM(L430:L433)</f>
        <v>0</v>
      </c>
      <c r="M434" s="59">
        <f>SUM(J434:L434)</f>
        <v>3000</v>
      </c>
      <c r="N434" s="87">
        <f>SUM(N430:N433)</f>
        <v>0</v>
      </c>
      <c r="O434" s="87">
        <f>SUM(O430:O433)</f>
        <v>0</v>
      </c>
      <c r="P434" s="87">
        <f>SUM(P430:P433)</f>
        <v>0</v>
      </c>
      <c r="Q434" s="59">
        <f>SUM(N434:P434)</f>
        <v>0</v>
      </c>
      <c r="R434" s="59">
        <f>+E434+I434+M434+Q434</f>
        <v>30000</v>
      </c>
    </row>
    <row r="435" spans="1:20" ht="15.75" customHeight="1" x14ac:dyDescent="0.3">
      <c r="A435" s="15" t="s">
        <v>64</v>
      </c>
      <c r="B435" s="1"/>
      <c r="C435" s="1"/>
      <c r="D435" s="1"/>
      <c r="E435" s="55" t="s">
        <v>7</v>
      </c>
      <c r="F435" s="1"/>
      <c r="G435" s="1"/>
      <c r="H435" s="1"/>
      <c r="I435" s="55" t="s">
        <v>7</v>
      </c>
      <c r="J435" s="1"/>
      <c r="K435" s="1"/>
      <c r="L435" s="1"/>
      <c r="M435" s="55" t="s">
        <v>7</v>
      </c>
      <c r="N435" s="1"/>
      <c r="O435" s="1"/>
      <c r="P435" s="1"/>
      <c r="Q435" s="55" t="s">
        <v>7</v>
      </c>
      <c r="R435" s="55" t="s">
        <v>7</v>
      </c>
    </row>
    <row r="436" spans="1:20" ht="15.75" customHeight="1" x14ac:dyDescent="0.3">
      <c r="A436" s="15" t="s">
        <v>594</v>
      </c>
      <c r="B436" s="1"/>
      <c r="C436" s="1"/>
      <c r="D436" s="1"/>
      <c r="E436" s="55" t="s">
        <v>7</v>
      </c>
      <c r="F436" s="1"/>
      <c r="G436" s="1"/>
      <c r="H436" s="1"/>
      <c r="I436" s="55" t="s">
        <v>7</v>
      </c>
      <c r="J436" s="1"/>
      <c r="K436" s="1"/>
      <c r="L436" s="1"/>
      <c r="M436" s="55" t="s">
        <v>7</v>
      </c>
      <c r="N436" s="1"/>
      <c r="O436" s="1"/>
      <c r="P436" s="1"/>
      <c r="Q436" s="55" t="s">
        <v>7</v>
      </c>
      <c r="R436" s="55" t="s">
        <v>7</v>
      </c>
    </row>
    <row r="437" spans="1:20" ht="15.75" customHeight="1" x14ac:dyDescent="0.3">
      <c r="A437" s="15" t="s">
        <v>67</v>
      </c>
      <c r="B437" s="1"/>
      <c r="C437" s="1"/>
      <c r="D437" s="1"/>
      <c r="E437" s="55" t="s">
        <v>7</v>
      </c>
      <c r="F437" s="1"/>
      <c r="G437" s="1"/>
      <c r="H437" s="1"/>
      <c r="I437" s="55" t="s">
        <v>7</v>
      </c>
      <c r="J437" s="1"/>
      <c r="K437" s="1"/>
      <c r="L437" s="1"/>
      <c r="M437" s="55" t="s">
        <v>7</v>
      </c>
      <c r="N437" s="1"/>
      <c r="O437" s="1"/>
      <c r="P437" s="1"/>
      <c r="Q437" s="55" t="s">
        <v>7</v>
      </c>
      <c r="R437" s="55" t="s">
        <v>7</v>
      </c>
    </row>
    <row r="438" spans="1:20" ht="15.75" customHeight="1" x14ac:dyDescent="0.3">
      <c r="A438" s="15" t="s">
        <v>600</v>
      </c>
      <c r="B438" s="1"/>
      <c r="C438" s="1"/>
      <c r="D438" s="1"/>
      <c r="E438" s="55" t="s">
        <v>7</v>
      </c>
      <c r="F438" s="1"/>
      <c r="G438" s="1"/>
      <c r="H438" s="1"/>
      <c r="I438" s="55" t="s">
        <v>7</v>
      </c>
      <c r="J438" s="1"/>
      <c r="K438" s="1"/>
      <c r="L438" s="1"/>
      <c r="M438" s="55" t="s">
        <v>7</v>
      </c>
      <c r="N438" s="1"/>
      <c r="O438" s="1"/>
      <c r="P438" s="1"/>
      <c r="Q438" s="55" t="s">
        <v>7</v>
      </c>
      <c r="R438" s="55" t="s">
        <v>7</v>
      </c>
    </row>
    <row r="439" spans="1:20" ht="15.75" customHeight="1" x14ac:dyDescent="0.3">
      <c r="A439" s="15" t="s">
        <v>70</v>
      </c>
      <c r="B439" s="1"/>
      <c r="C439" s="1"/>
      <c r="D439" s="1"/>
      <c r="E439" s="55" t="s">
        <v>7</v>
      </c>
      <c r="F439" s="1"/>
      <c r="G439" s="1"/>
      <c r="H439" s="1"/>
      <c r="I439" s="55" t="s">
        <v>7</v>
      </c>
      <c r="J439" s="1"/>
      <c r="K439" s="1"/>
      <c r="L439" s="1"/>
      <c r="M439" s="55" t="s">
        <v>7</v>
      </c>
      <c r="N439" s="1"/>
      <c r="O439" s="1"/>
      <c r="P439" s="1"/>
      <c r="Q439" s="55" t="s">
        <v>7</v>
      </c>
      <c r="R439" s="55" t="s">
        <v>7</v>
      </c>
    </row>
    <row r="440" spans="1:20" ht="15.75" customHeight="1" x14ac:dyDescent="0.3">
      <c r="A440" s="71" t="s">
        <v>1144</v>
      </c>
      <c r="B440" s="1"/>
      <c r="C440" s="1"/>
      <c r="D440" s="1"/>
      <c r="E440" s="55">
        <f t="shared" ref="E440:E445" si="87">SUM(B440:D440)</f>
        <v>0</v>
      </c>
      <c r="F440" s="1"/>
      <c r="G440" s="1"/>
      <c r="H440" s="1"/>
      <c r="I440" s="55">
        <f t="shared" ref="I440:I445" si="88">SUM(F440:H440)</f>
        <v>0</v>
      </c>
      <c r="J440" s="1"/>
      <c r="K440" s="1">
        <v>2868</v>
      </c>
      <c r="L440" s="1">
        <v>1732</v>
      </c>
      <c r="M440" s="55">
        <f t="shared" ref="M440:M445" si="89">SUM(J440:L440)</f>
        <v>4600</v>
      </c>
      <c r="N440" s="1"/>
      <c r="O440" s="1"/>
      <c r="P440" s="1">
        <v>2095</v>
      </c>
      <c r="Q440" s="55">
        <f t="shared" ref="Q440:Q445" si="90">SUM(N440:P440)</f>
        <v>2095</v>
      </c>
      <c r="R440" s="55">
        <f t="shared" ref="R440:R445" si="91">+E440+I440+M440+Q440</f>
        <v>6695</v>
      </c>
      <c r="T440" s="4" t="s">
        <v>938</v>
      </c>
    </row>
    <row r="441" spans="1:20" ht="15.75" customHeight="1" thickBot="1" x14ac:dyDescent="0.35">
      <c r="A441" s="71" t="s">
        <v>983</v>
      </c>
      <c r="B441" s="1"/>
      <c r="C441" s="1"/>
      <c r="D441" s="1"/>
      <c r="E441" s="55">
        <f t="shared" si="87"/>
        <v>0</v>
      </c>
      <c r="F441" s="1"/>
      <c r="G441" s="1"/>
      <c r="H441" s="1"/>
      <c r="I441" s="55">
        <f t="shared" si="88"/>
        <v>0</v>
      </c>
      <c r="J441" s="1"/>
      <c r="K441" s="1"/>
      <c r="L441" s="1"/>
      <c r="M441" s="55">
        <f t="shared" si="89"/>
        <v>0</v>
      </c>
      <c r="N441" s="1"/>
      <c r="O441" s="1"/>
      <c r="P441" s="1"/>
      <c r="Q441" s="55">
        <f t="shared" si="90"/>
        <v>0</v>
      </c>
      <c r="R441" s="55">
        <f t="shared" si="91"/>
        <v>0</v>
      </c>
      <c r="T441" s="4" t="s">
        <v>938</v>
      </c>
    </row>
    <row r="442" spans="1:20" ht="16.5" customHeight="1" thickBot="1" x14ac:dyDescent="0.35">
      <c r="A442" s="57" t="s">
        <v>71</v>
      </c>
      <c r="B442" s="58">
        <f>SUM(B438:B441)</f>
        <v>0</v>
      </c>
      <c r="C442" s="58">
        <f>SUM(C438:C441)</f>
        <v>0</v>
      </c>
      <c r="D442" s="58">
        <f>SUM(D438:D441)</f>
        <v>0</v>
      </c>
      <c r="E442" s="60">
        <f t="shared" si="87"/>
        <v>0</v>
      </c>
      <c r="F442" s="58">
        <f>SUM(F438:F441)</f>
        <v>0</v>
      </c>
      <c r="G442" s="58">
        <f>SUM(G438:G441)</f>
        <v>0</v>
      </c>
      <c r="H442" s="58">
        <f>SUM(H438:H441)</f>
        <v>0</v>
      </c>
      <c r="I442" s="60">
        <f t="shared" si="88"/>
        <v>0</v>
      </c>
      <c r="J442" s="58">
        <f>SUM(J438:J441)</f>
        <v>0</v>
      </c>
      <c r="K442" s="58">
        <f>SUM(K438:K441)</f>
        <v>2868</v>
      </c>
      <c r="L442" s="58">
        <f>SUM(L438:L441)</f>
        <v>1732</v>
      </c>
      <c r="M442" s="60">
        <f t="shared" si="89"/>
        <v>4600</v>
      </c>
      <c r="N442" s="58">
        <f>SUM(N438:N441)</f>
        <v>0</v>
      </c>
      <c r="O442" s="58">
        <f>SUM(O438:O441)</f>
        <v>0</v>
      </c>
      <c r="P442" s="58">
        <f>SUM(P438:P441)</f>
        <v>2095</v>
      </c>
      <c r="Q442" s="60">
        <f t="shared" si="90"/>
        <v>2095</v>
      </c>
      <c r="R442" s="59">
        <f t="shared" si="91"/>
        <v>6695</v>
      </c>
    </row>
    <row r="443" spans="1:20" ht="16.5" customHeight="1" thickBot="1" x14ac:dyDescent="0.35">
      <c r="A443" s="114" t="s">
        <v>72</v>
      </c>
      <c r="B443" s="86">
        <f>SUM(B435:B441)</f>
        <v>0</v>
      </c>
      <c r="C443" s="87">
        <f>SUM(C435:C441)</f>
        <v>0</v>
      </c>
      <c r="D443" s="118">
        <f>SUM(D435:D441)</f>
        <v>0</v>
      </c>
      <c r="E443" s="60">
        <f t="shared" si="87"/>
        <v>0</v>
      </c>
      <c r="F443" s="87">
        <f>SUM(F435:F441)</f>
        <v>0</v>
      </c>
      <c r="G443" s="87">
        <f>SUM(G435:G441)</f>
        <v>0</v>
      </c>
      <c r="H443" s="87">
        <f>SUM(H435:H441)</f>
        <v>0</v>
      </c>
      <c r="I443" s="60">
        <f t="shared" si="88"/>
        <v>0</v>
      </c>
      <c r="J443" s="87">
        <f>SUM(J435:J441)</f>
        <v>0</v>
      </c>
      <c r="K443" s="87">
        <f>SUM(K435:K441)</f>
        <v>2868</v>
      </c>
      <c r="L443" s="87">
        <f>SUM(L435:L441)</f>
        <v>1732</v>
      </c>
      <c r="M443" s="60">
        <f t="shared" si="89"/>
        <v>4600</v>
      </c>
      <c r="N443" s="87">
        <f>SUM(N435:N441)</f>
        <v>0</v>
      </c>
      <c r="O443" s="87">
        <f>SUM(O435:O441)</f>
        <v>0</v>
      </c>
      <c r="P443" s="87">
        <f>SUM(P435:P441)</f>
        <v>2095</v>
      </c>
      <c r="Q443" s="60">
        <f t="shared" si="90"/>
        <v>2095</v>
      </c>
      <c r="R443" s="59">
        <f t="shared" si="91"/>
        <v>6695</v>
      </c>
    </row>
    <row r="444" spans="1:20" ht="16.5" customHeight="1" thickBot="1" x14ac:dyDescent="0.35">
      <c r="A444" s="57" t="s">
        <v>73</v>
      </c>
      <c r="B444" s="90">
        <f>+B424+B429+B434+B443</f>
        <v>360</v>
      </c>
      <c r="C444" s="58">
        <f>+C424+C429+C434+C443</f>
        <v>403</v>
      </c>
      <c r="D444" s="58">
        <f>+D424+D429+D434+D443</f>
        <v>8249</v>
      </c>
      <c r="E444" s="59">
        <f t="shared" si="87"/>
        <v>9012</v>
      </c>
      <c r="F444" s="58">
        <f>+F424+F429+F434+F443</f>
        <v>17177</v>
      </c>
      <c r="G444" s="58">
        <f>+G424+G429+G434+G443</f>
        <v>13103</v>
      </c>
      <c r="H444" s="58">
        <f>+H424+H429+H434+H443</f>
        <v>21353</v>
      </c>
      <c r="I444" s="59">
        <f t="shared" si="88"/>
        <v>51633</v>
      </c>
      <c r="J444" s="58">
        <f>+J424+J429+J434+J443</f>
        <v>17385</v>
      </c>
      <c r="K444" s="58">
        <f>+K424+K429+K434+K443</f>
        <v>18834</v>
      </c>
      <c r="L444" s="58">
        <f>+L424+L429+L434+L443</f>
        <v>6755</v>
      </c>
      <c r="M444" s="59">
        <f t="shared" si="89"/>
        <v>42974</v>
      </c>
      <c r="N444" s="58">
        <f>+N424+N429+N434+N443</f>
        <v>751</v>
      </c>
      <c r="O444" s="58">
        <f>+O424+O429+O434+O443</f>
        <v>316</v>
      </c>
      <c r="P444" s="58">
        <f>+P424+P429+P434+P443</f>
        <v>2194</v>
      </c>
      <c r="Q444" s="59">
        <f t="shared" si="90"/>
        <v>3261</v>
      </c>
      <c r="R444" s="81">
        <f t="shared" si="91"/>
        <v>106880</v>
      </c>
    </row>
    <row r="445" spans="1:20" ht="16.5" customHeight="1" thickBot="1" x14ac:dyDescent="0.35">
      <c r="A445" s="39" t="s">
        <v>40</v>
      </c>
      <c r="B445" s="21">
        <v>9</v>
      </c>
      <c r="C445" s="21">
        <v>16</v>
      </c>
      <c r="D445" s="21">
        <v>25</v>
      </c>
      <c r="E445" s="55">
        <f t="shared" si="87"/>
        <v>50</v>
      </c>
      <c r="F445" s="21">
        <v>34</v>
      </c>
      <c r="G445" s="21">
        <v>41</v>
      </c>
      <c r="H445" s="21">
        <v>41</v>
      </c>
      <c r="I445" s="55">
        <f t="shared" si="88"/>
        <v>116</v>
      </c>
      <c r="J445" s="21">
        <v>39</v>
      </c>
      <c r="K445" s="21">
        <v>30</v>
      </c>
      <c r="L445" s="21">
        <v>30</v>
      </c>
      <c r="M445" s="55">
        <f t="shared" si="89"/>
        <v>99</v>
      </c>
      <c r="N445" s="21">
        <v>28</v>
      </c>
      <c r="O445" s="21">
        <v>22</v>
      </c>
      <c r="P445" s="21">
        <v>16</v>
      </c>
      <c r="Q445" s="55">
        <f t="shared" si="90"/>
        <v>66</v>
      </c>
      <c r="R445" s="55">
        <f t="shared" si="91"/>
        <v>331</v>
      </c>
    </row>
    <row r="446" spans="1:20" ht="16.5" customHeight="1" thickBot="1" x14ac:dyDescent="0.35">
      <c r="A446" s="74"/>
      <c r="B446" s="75"/>
      <c r="C446" s="75"/>
      <c r="D446" s="75"/>
      <c r="E446" s="59"/>
      <c r="F446" s="75"/>
      <c r="G446" s="75"/>
      <c r="H446" s="75"/>
      <c r="I446" s="59"/>
      <c r="J446" s="75"/>
      <c r="K446" s="75"/>
      <c r="L446" s="75"/>
      <c r="M446" s="59"/>
      <c r="N446" s="75"/>
      <c r="O446" s="75"/>
      <c r="P446" s="75"/>
      <c r="Q446" s="59"/>
      <c r="R446" s="59" t="s">
        <v>7</v>
      </c>
    </row>
    <row r="447" spans="1:20" ht="15.75" customHeight="1" x14ac:dyDescent="0.3">
      <c r="A447" s="76" t="s">
        <v>41</v>
      </c>
      <c r="B447" s="77">
        <f>SUM(B444:B445)</f>
        <v>369</v>
      </c>
      <c r="C447" s="77">
        <f>SUM(C444:C445)</f>
        <v>419</v>
      </c>
      <c r="D447" s="77">
        <f>SUM(D444:D445)</f>
        <v>8274</v>
      </c>
      <c r="E447" s="60">
        <f>SUM(B447:D447)</f>
        <v>9062</v>
      </c>
      <c r="F447" s="77">
        <f>SUM(F444:F445)</f>
        <v>17211</v>
      </c>
      <c r="G447" s="77">
        <f>SUM(G444:G445)</f>
        <v>13144</v>
      </c>
      <c r="H447" s="77">
        <f>SUM(H444:H445)</f>
        <v>21394</v>
      </c>
      <c r="I447" s="60">
        <f>SUM(F447:H447)</f>
        <v>51749</v>
      </c>
      <c r="J447" s="77">
        <f>SUM(J444:J445)</f>
        <v>17424</v>
      </c>
      <c r="K447" s="77">
        <f>SUM(K444:K445)</f>
        <v>18864</v>
      </c>
      <c r="L447" s="77">
        <f>SUM(L444:L445)</f>
        <v>6785</v>
      </c>
      <c r="M447" s="60">
        <f>SUM(J447:L447)</f>
        <v>43073</v>
      </c>
      <c r="N447" s="77">
        <f>SUM(N444:N445)</f>
        <v>779</v>
      </c>
      <c r="O447" s="77">
        <f>SUM(O444:O445)</f>
        <v>338</v>
      </c>
      <c r="P447" s="77">
        <f>SUM(P444:P445)</f>
        <v>2210</v>
      </c>
      <c r="Q447" s="60">
        <f>SUM(N447:P447)</f>
        <v>3327</v>
      </c>
      <c r="R447" s="60">
        <f>+E447+I447+M447+Q447</f>
        <v>107211</v>
      </c>
    </row>
    <row r="448" spans="1:20" ht="15.75" customHeight="1" x14ac:dyDescent="0.3">
      <c r="A448" s="79" t="s">
        <v>42</v>
      </c>
      <c r="B448" s="1">
        <f>(B447/B10)/1.983</f>
        <v>6.0026353033038884</v>
      </c>
      <c r="C448" s="1">
        <f>(C447/C10)/1.983</f>
        <v>7.5462862906130672</v>
      </c>
      <c r="D448" s="1">
        <f>(D447/D10)/1.983</f>
        <v>134.59567615050508</v>
      </c>
      <c r="E448" s="55" t="s">
        <v>7</v>
      </c>
      <c r="F448" s="1">
        <f>(F447/F10)/1.983</f>
        <v>289.309127584468</v>
      </c>
      <c r="G448" s="1">
        <f>(G447/G10)/1.983</f>
        <v>213.81744831064043</v>
      </c>
      <c r="H448" s="1">
        <f>(H447/H10)/1.983</f>
        <v>359.62346612876109</v>
      </c>
      <c r="I448" s="55" t="s">
        <v>7</v>
      </c>
      <c r="J448" s="1">
        <f>(J447/J10)/1.983</f>
        <v>283.44151090722755</v>
      </c>
      <c r="K448" s="1">
        <f>(K447/K10)/1.983</f>
        <v>306.8664291640232</v>
      </c>
      <c r="L448" s="1">
        <f>(L447/L10)/1.983</f>
        <v>114.05278198016472</v>
      </c>
      <c r="M448" s="55" t="s">
        <v>7</v>
      </c>
      <c r="N448" s="1">
        <f>(N447/N10)/1.983</f>
        <v>12.672230084752655</v>
      </c>
      <c r="O448" s="1">
        <f>(O447/O10)/1.983</f>
        <v>5.6816271642292824</v>
      </c>
      <c r="P448" s="1">
        <f>(P447/P10)/1.983</f>
        <v>35.950742602443349</v>
      </c>
      <c r="Q448" s="55" t="s">
        <v>7</v>
      </c>
      <c r="R448" s="55" t="s">
        <v>7</v>
      </c>
    </row>
    <row r="449" spans="1:18" ht="15.75" customHeight="1" x14ac:dyDescent="0.3">
      <c r="A449" s="79" t="s">
        <v>303</v>
      </c>
      <c r="B449" s="1">
        <f>B447+B491</f>
        <v>16452</v>
      </c>
      <c r="C449" s="1">
        <f>C447+C491</f>
        <v>18357</v>
      </c>
      <c r="D449" s="1">
        <f>D447+D491</f>
        <v>30605</v>
      </c>
      <c r="E449" s="55">
        <f>SUM(B449:D449)</f>
        <v>65414</v>
      </c>
      <c r="F449" s="1">
        <f>F447+F491</f>
        <v>51626</v>
      </c>
      <c r="G449" s="1">
        <f>G447+G491</f>
        <v>40910</v>
      </c>
      <c r="H449" s="1">
        <f>H447+H491</f>
        <v>51790</v>
      </c>
      <c r="I449" s="55">
        <f>SUM(F449:H449)</f>
        <v>144326</v>
      </c>
      <c r="J449" s="1">
        <f>J447+J491</f>
        <v>43921</v>
      </c>
      <c r="K449" s="1">
        <f>K447+K491</f>
        <v>49364</v>
      </c>
      <c r="L449" s="1">
        <f>L447+L491</f>
        <v>31850</v>
      </c>
      <c r="M449" s="55">
        <f>SUM(J449:L449)</f>
        <v>125135</v>
      </c>
      <c r="N449" s="1">
        <f>N447+N491</f>
        <v>15811</v>
      </c>
      <c r="O449" s="1">
        <f>O447+O491</f>
        <v>9452</v>
      </c>
      <c r="P449" s="1">
        <f>P447+P491</f>
        <v>20820</v>
      </c>
      <c r="Q449" s="55">
        <f>SUM(N449:P449)</f>
        <v>46083</v>
      </c>
      <c r="R449" s="55">
        <f>+E449+I449+M449+Q449</f>
        <v>380958</v>
      </c>
    </row>
    <row r="450" spans="1:18" ht="16.5" customHeight="1" thickBot="1" x14ac:dyDescent="0.35">
      <c r="A450" s="80" t="s">
        <v>304</v>
      </c>
      <c r="B450" s="25">
        <f>(B449/B10)/1.983</f>
        <v>267.62969108389052</v>
      </c>
      <c r="C450" s="25">
        <f>(C449/C10)/1.983</f>
        <v>330.61378863194295</v>
      </c>
      <c r="D450" s="25">
        <f>(D449/D10)/1.983</f>
        <v>497.86084947863287</v>
      </c>
      <c r="E450" s="81" t="s">
        <v>7</v>
      </c>
      <c r="F450" s="25">
        <f>(F449/F10)/1.983</f>
        <v>867.8097159186417</v>
      </c>
      <c r="G450" s="25">
        <f>(G449/G10)/1.983</f>
        <v>665.49542075382692</v>
      </c>
      <c r="H450" s="25">
        <f>(H449/H10)/1.983</f>
        <v>870.56648176164049</v>
      </c>
      <c r="I450" s="81" t="s">
        <v>7</v>
      </c>
      <c r="J450" s="25">
        <f>(J449/J10)/1.983</f>
        <v>714.4762741366128</v>
      </c>
      <c r="K450" s="25">
        <f>(K449/K10)/1.983</f>
        <v>803.0192116864315</v>
      </c>
      <c r="L450" s="25">
        <f>(L449/L10)/1.983</f>
        <v>535.38409816775925</v>
      </c>
      <c r="M450" s="81" t="s">
        <v>7</v>
      </c>
      <c r="N450" s="25">
        <f>(N449/N10)/1.983</f>
        <v>257.20234899874742</v>
      </c>
      <c r="O450" s="25">
        <f>(O449/O10)/1.983</f>
        <v>158.88384602454192</v>
      </c>
      <c r="P450" s="25">
        <f>(P449/P10)/1.983</f>
        <v>338.68527646283735</v>
      </c>
      <c r="Q450" s="81" t="s">
        <v>7</v>
      </c>
      <c r="R450" s="81" t="s">
        <v>7</v>
      </c>
    </row>
    <row r="451" spans="1:18" ht="15.75" customHeight="1" x14ac:dyDescent="0.3">
      <c r="A451" s="2"/>
      <c r="B451" s="1"/>
      <c r="C451" s="1"/>
      <c r="D451" s="1"/>
      <c r="E451" s="1"/>
      <c r="F451" s="1"/>
      <c r="G451" s="1"/>
      <c r="H451" s="1"/>
      <c r="I451" s="1"/>
      <c r="J451" s="1"/>
      <c r="K451" s="1"/>
      <c r="L451" s="1"/>
      <c r="M451" s="1"/>
      <c r="N451" s="1"/>
      <c r="O451" s="1"/>
      <c r="P451" s="1"/>
      <c r="Q451" s="1"/>
      <c r="R451" s="2"/>
    </row>
    <row r="452" spans="1:18" ht="15.75" customHeight="1" thickBot="1" x14ac:dyDescent="0.35">
      <c r="A452" s="2"/>
      <c r="B452" s="1"/>
      <c r="C452" s="1"/>
      <c r="D452" s="1"/>
      <c r="E452" s="1"/>
      <c r="F452" s="1"/>
      <c r="G452" s="1"/>
      <c r="H452" s="1"/>
      <c r="I452" s="1"/>
      <c r="J452" s="1"/>
      <c r="K452" s="1"/>
      <c r="L452" s="1"/>
      <c r="M452" s="1"/>
      <c r="N452" s="1"/>
      <c r="O452" s="1"/>
      <c r="P452" s="1"/>
      <c r="Q452" s="1"/>
      <c r="R452" s="2"/>
    </row>
    <row r="453" spans="1:18" ht="16.5" customHeight="1" thickBot="1" x14ac:dyDescent="0.35">
      <c r="A453" s="124" t="s">
        <v>305</v>
      </c>
      <c r="B453" s="30" t="s">
        <v>8</v>
      </c>
      <c r="C453" s="31" t="s">
        <v>9</v>
      </c>
      <c r="D453" s="31" t="s">
        <v>10</v>
      </c>
      <c r="E453" s="32" t="s">
        <v>11</v>
      </c>
      <c r="F453" s="31" t="s">
        <v>12</v>
      </c>
      <c r="G453" s="31" t="s">
        <v>13</v>
      </c>
      <c r="H453" s="31" t="s">
        <v>14</v>
      </c>
      <c r="I453" s="33" t="s">
        <v>15</v>
      </c>
      <c r="J453" s="31" t="s">
        <v>16</v>
      </c>
      <c r="K453" s="31" t="s">
        <v>17</v>
      </c>
      <c r="L453" s="31" t="s">
        <v>18</v>
      </c>
      <c r="M453" s="33" t="s">
        <v>19</v>
      </c>
      <c r="N453" s="31" t="s">
        <v>20</v>
      </c>
      <c r="O453" s="31" t="s">
        <v>21</v>
      </c>
      <c r="P453" s="31" t="s">
        <v>22</v>
      </c>
      <c r="Q453" s="33" t="s">
        <v>23</v>
      </c>
      <c r="R453" s="34" t="s">
        <v>24</v>
      </c>
    </row>
    <row r="454" spans="1:18" ht="16.5" customHeight="1" thickBot="1" x14ac:dyDescent="0.35">
      <c r="A454" s="59"/>
      <c r="B454" s="75"/>
      <c r="C454" s="75"/>
      <c r="D454" s="75"/>
      <c r="E454" s="69"/>
      <c r="F454" s="75"/>
      <c r="G454" s="75"/>
      <c r="H454" s="75"/>
      <c r="I454" s="82"/>
      <c r="J454" s="75"/>
      <c r="K454" s="75"/>
      <c r="L454" s="75"/>
      <c r="M454" s="82"/>
      <c r="N454" s="75"/>
      <c r="O454" s="75"/>
      <c r="P454" s="75"/>
      <c r="Q454" s="82"/>
      <c r="R454" s="100"/>
    </row>
    <row r="455" spans="1:18" ht="15.75" customHeight="1" x14ac:dyDescent="0.3">
      <c r="A455" s="15" t="s">
        <v>48</v>
      </c>
      <c r="B455" s="1" t="s">
        <v>7</v>
      </c>
      <c r="C455" s="1" t="s">
        <v>7</v>
      </c>
      <c r="D455" s="1" t="s">
        <v>7</v>
      </c>
      <c r="E455" s="55" t="s">
        <v>7</v>
      </c>
      <c r="F455" s="1" t="s">
        <v>7</v>
      </c>
      <c r="G455" s="1" t="s">
        <v>7</v>
      </c>
      <c r="H455" s="1" t="s">
        <v>7</v>
      </c>
      <c r="I455" s="55" t="s">
        <v>7</v>
      </c>
      <c r="J455" s="1" t="s">
        <v>7</v>
      </c>
      <c r="K455" s="1" t="s">
        <v>7</v>
      </c>
      <c r="L455" s="1" t="s">
        <v>7</v>
      </c>
      <c r="M455" s="55" t="s">
        <v>7</v>
      </c>
      <c r="N455" s="1" t="s">
        <v>7</v>
      </c>
      <c r="O455" s="1" t="s">
        <v>7</v>
      </c>
      <c r="P455" s="1" t="s">
        <v>7</v>
      </c>
      <c r="Q455" s="55" t="s">
        <v>7</v>
      </c>
      <c r="R455" s="55" t="s">
        <v>7</v>
      </c>
    </row>
    <row r="456" spans="1:18" ht="15.75" customHeight="1" x14ac:dyDescent="0.3">
      <c r="A456" s="15" t="s">
        <v>49</v>
      </c>
      <c r="B456" s="1"/>
      <c r="C456" s="1"/>
      <c r="D456" s="1"/>
      <c r="E456" s="55" t="s">
        <v>7</v>
      </c>
      <c r="F456" s="1"/>
      <c r="G456" s="1"/>
      <c r="H456" s="1"/>
      <c r="I456" s="55" t="s">
        <v>7</v>
      </c>
      <c r="J456" s="1"/>
      <c r="K456" s="1"/>
      <c r="L456" s="1"/>
      <c r="M456" s="55" t="s">
        <v>7</v>
      </c>
      <c r="N456" s="1"/>
      <c r="O456" s="1"/>
      <c r="P456" s="1"/>
      <c r="Q456" s="55" t="s">
        <v>7</v>
      </c>
      <c r="R456" s="55" t="s">
        <v>7</v>
      </c>
    </row>
    <row r="457" spans="1:18" ht="15.75" customHeight="1" x14ac:dyDescent="0.3">
      <c r="A457" s="71" t="s">
        <v>306</v>
      </c>
      <c r="B457" s="1"/>
      <c r="C457" s="1"/>
      <c r="D457" s="1"/>
      <c r="E457" s="55">
        <f>SUM(B457:D457)</f>
        <v>0</v>
      </c>
      <c r="F457" s="1"/>
      <c r="G457" s="1">
        <v>861</v>
      </c>
      <c r="H457" s="1">
        <v>139</v>
      </c>
      <c r="I457" s="55">
        <f>SUM(F457:H457)</f>
        <v>1000</v>
      </c>
      <c r="J457" s="1"/>
      <c r="K457" s="1"/>
      <c r="L457" s="1"/>
      <c r="M457" s="55">
        <f>SUM(J457:L457)</f>
        <v>0</v>
      </c>
      <c r="N457" s="1"/>
      <c r="O457" s="1"/>
      <c r="P457" s="1"/>
      <c r="Q457" s="55">
        <f>SUM(N457:P457)</f>
        <v>0</v>
      </c>
      <c r="R457" s="55">
        <f>+E457+I457+M457+Q457</f>
        <v>1000</v>
      </c>
    </row>
    <row r="458" spans="1:18" ht="15.75" customHeight="1" x14ac:dyDescent="0.3">
      <c r="A458" s="71" t="s">
        <v>656</v>
      </c>
      <c r="B458" s="1"/>
      <c r="C458" s="1"/>
      <c r="D458" s="1"/>
      <c r="E458" s="55">
        <f>SUM(B458:D458)</f>
        <v>0</v>
      </c>
      <c r="F458" s="1"/>
      <c r="G458" s="1"/>
      <c r="H458" s="1">
        <v>1273</v>
      </c>
      <c r="I458" s="55">
        <f>SUM(F458:H458)</f>
        <v>1273</v>
      </c>
      <c r="J458" s="1">
        <v>1299</v>
      </c>
      <c r="K458" s="1">
        <v>1428</v>
      </c>
      <c r="L458" s="1"/>
      <c r="M458" s="55">
        <f>SUM(J458:L458)</f>
        <v>2727</v>
      </c>
      <c r="N458" s="1"/>
      <c r="O458" s="1"/>
      <c r="P458" s="1"/>
      <c r="Q458" s="55">
        <f>SUM(N458:P458)</f>
        <v>0</v>
      </c>
      <c r="R458" s="55">
        <f>+E458+I458+M458+Q458</f>
        <v>4000</v>
      </c>
    </row>
    <row r="459" spans="1:18" ht="15.75" customHeight="1" x14ac:dyDescent="0.3">
      <c r="A459" s="71" t="s">
        <v>657</v>
      </c>
      <c r="B459" s="1"/>
      <c r="C459" s="1"/>
      <c r="D459" s="1"/>
      <c r="E459" s="55">
        <f>SUM(B459:D459)</f>
        <v>0</v>
      </c>
      <c r="F459" s="1"/>
      <c r="G459" s="1"/>
      <c r="H459" s="1"/>
      <c r="I459" s="55">
        <f>SUM(F459:H459)</f>
        <v>0</v>
      </c>
      <c r="J459" s="1"/>
      <c r="K459" s="1">
        <v>6</v>
      </c>
      <c r="L459" s="1">
        <v>894</v>
      </c>
      <c r="M459" s="55">
        <f>SUM(J459:L459)</f>
        <v>900</v>
      </c>
      <c r="N459" s="1">
        <v>167</v>
      </c>
      <c r="O459" s="1">
        <v>726</v>
      </c>
      <c r="P459" s="1">
        <v>62</v>
      </c>
      <c r="Q459" s="55">
        <f>SUM(N459:P459)</f>
        <v>955</v>
      </c>
      <c r="R459" s="55">
        <f>+E459+I459+M459+Q459</f>
        <v>1855</v>
      </c>
    </row>
    <row r="460" spans="1:18" ht="15.75" customHeight="1" x14ac:dyDescent="0.3">
      <c r="A460" s="15" t="s">
        <v>50</v>
      </c>
      <c r="B460" s="1"/>
      <c r="C460" s="1"/>
      <c r="D460" s="1"/>
      <c r="E460" s="55" t="s">
        <v>7</v>
      </c>
      <c r="F460" s="1"/>
      <c r="G460" s="1"/>
      <c r="H460" s="1"/>
      <c r="I460" s="55" t="s">
        <v>7</v>
      </c>
      <c r="J460" s="1"/>
      <c r="K460" s="1"/>
      <c r="L460" s="1"/>
      <c r="M460" s="55" t="s">
        <v>7</v>
      </c>
      <c r="N460" s="1"/>
      <c r="O460" s="1"/>
      <c r="P460" s="1"/>
      <c r="Q460" s="55" t="s">
        <v>7</v>
      </c>
      <c r="R460" s="55" t="s">
        <v>7</v>
      </c>
    </row>
    <row r="461" spans="1:18" ht="15.75" customHeight="1" x14ac:dyDescent="0.3">
      <c r="A461" s="15" t="s">
        <v>51</v>
      </c>
      <c r="B461" s="1"/>
      <c r="C461" s="1"/>
      <c r="D461" s="1"/>
      <c r="E461" s="55" t="s">
        <v>7</v>
      </c>
      <c r="F461" s="1"/>
      <c r="G461" s="1"/>
      <c r="H461" s="1"/>
      <c r="I461" s="55" t="s">
        <v>7</v>
      </c>
      <c r="J461" s="1"/>
      <c r="K461" s="1"/>
      <c r="L461" s="1"/>
      <c r="M461" s="55" t="s">
        <v>7</v>
      </c>
      <c r="N461" s="1"/>
      <c r="O461" s="1"/>
      <c r="P461" s="1"/>
      <c r="Q461" s="55" t="s">
        <v>7</v>
      </c>
      <c r="R461" s="55" t="s">
        <v>7</v>
      </c>
    </row>
    <row r="462" spans="1:18" ht="15.75" customHeight="1" thickBot="1" x14ac:dyDescent="0.35">
      <c r="A462" s="15" t="s">
        <v>53</v>
      </c>
      <c r="B462" s="1"/>
      <c r="C462" s="1"/>
      <c r="D462" s="1"/>
      <c r="E462" s="55" t="s">
        <v>7</v>
      </c>
      <c r="F462" s="1"/>
      <c r="G462" s="1"/>
      <c r="H462" s="1"/>
      <c r="I462" s="55" t="s">
        <v>7</v>
      </c>
      <c r="J462" s="1"/>
      <c r="K462" s="1"/>
      <c r="L462" s="1"/>
      <c r="M462" s="55" t="s">
        <v>7</v>
      </c>
      <c r="N462" s="1"/>
      <c r="O462" s="1"/>
      <c r="P462" s="1"/>
      <c r="Q462" s="55" t="s">
        <v>7</v>
      </c>
      <c r="R462" s="55" t="s">
        <v>7</v>
      </c>
    </row>
    <row r="463" spans="1:18" ht="16.5" customHeight="1" thickBot="1" x14ac:dyDescent="0.35">
      <c r="A463" s="109" t="s">
        <v>54</v>
      </c>
      <c r="B463" s="86">
        <f>SUM(B455:B462)</f>
        <v>0</v>
      </c>
      <c r="C463" s="87">
        <f>SUM(C455:C462)</f>
        <v>0</v>
      </c>
      <c r="D463" s="87">
        <f>SUM(D455:D462)</f>
        <v>0</v>
      </c>
      <c r="E463" s="59">
        <f>SUM(B463:D463)</f>
        <v>0</v>
      </c>
      <c r="F463" s="87">
        <f>SUM(F455:F462)</f>
        <v>0</v>
      </c>
      <c r="G463" s="87">
        <f>SUM(G455:G462)</f>
        <v>861</v>
      </c>
      <c r="H463" s="87">
        <f>SUM(H455:H462)</f>
        <v>1412</v>
      </c>
      <c r="I463" s="59">
        <f>SUM(F463:H463)</f>
        <v>2273</v>
      </c>
      <c r="J463" s="87">
        <f>SUM(J455:J462)</f>
        <v>1299</v>
      </c>
      <c r="K463" s="87">
        <f>SUM(K455:K462)</f>
        <v>1434</v>
      </c>
      <c r="L463" s="87">
        <f>SUM(L455:L462)</f>
        <v>894</v>
      </c>
      <c r="M463" s="59">
        <f>SUM(J463:L463)</f>
        <v>3627</v>
      </c>
      <c r="N463" s="87">
        <f>SUM(N455:N462)</f>
        <v>167</v>
      </c>
      <c r="O463" s="87">
        <f>SUM(O455:O462)</f>
        <v>726</v>
      </c>
      <c r="P463" s="87">
        <f>SUM(P455:P462)</f>
        <v>62</v>
      </c>
      <c r="Q463" s="59">
        <f>SUM(N463:P463)</f>
        <v>955</v>
      </c>
      <c r="R463" s="59">
        <f>+E463+I463+M463+Q463</f>
        <v>6855</v>
      </c>
    </row>
    <row r="464" spans="1:18" ht="15.75" customHeight="1" x14ac:dyDescent="0.3">
      <c r="A464" s="15" t="s">
        <v>55</v>
      </c>
      <c r="B464" s="1"/>
      <c r="C464" s="1"/>
      <c r="D464" s="1"/>
      <c r="E464" s="60" t="s">
        <v>7</v>
      </c>
      <c r="F464" s="1"/>
      <c r="G464" s="1"/>
      <c r="H464" s="1"/>
      <c r="I464" s="60" t="s">
        <v>7</v>
      </c>
      <c r="J464" s="1"/>
      <c r="K464" s="1"/>
      <c r="L464" s="1"/>
      <c r="M464" s="60" t="s">
        <v>7</v>
      </c>
      <c r="N464" s="1"/>
      <c r="O464" s="1"/>
      <c r="P464" s="1"/>
      <c r="Q464" s="60" t="s">
        <v>7</v>
      </c>
      <c r="R464" s="125" t="s">
        <v>7</v>
      </c>
    </row>
    <row r="465" spans="1:20" ht="15.75" customHeight="1" x14ac:dyDescent="0.3">
      <c r="A465" s="15" t="s">
        <v>57</v>
      </c>
      <c r="B465" s="1"/>
      <c r="C465" s="1"/>
      <c r="D465" s="1"/>
      <c r="E465" s="55" t="s">
        <v>7</v>
      </c>
      <c r="F465" s="1"/>
      <c r="G465" s="1"/>
      <c r="H465" s="1"/>
      <c r="I465" s="55" t="s">
        <v>7</v>
      </c>
      <c r="J465" s="1"/>
      <c r="K465" s="1"/>
      <c r="L465" s="1"/>
      <c r="M465" s="55" t="s">
        <v>7</v>
      </c>
      <c r="N465" s="1"/>
      <c r="O465" s="1"/>
      <c r="P465" s="1"/>
      <c r="Q465" s="55" t="s">
        <v>7</v>
      </c>
      <c r="R465" s="125" t="s">
        <v>7</v>
      </c>
    </row>
    <row r="466" spans="1:20" ht="15.75" customHeight="1" x14ac:dyDescent="0.3">
      <c r="A466" s="71" t="s">
        <v>569</v>
      </c>
      <c r="B466" s="1">
        <v>676</v>
      </c>
      <c r="C466" s="1">
        <v>409</v>
      </c>
      <c r="D466" s="1">
        <v>2129</v>
      </c>
      <c r="E466" s="55">
        <f>SUM(B466:D466)</f>
        <v>3214</v>
      </c>
      <c r="F466" s="1">
        <v>6500</v>
      </c>
      <c r="G466" s="1">
        <v>4532</v>
      </c>
      <c r="H466" s="1">
        <v>7277</v>
      </c>
      <c r="I466" s="55">
        <f>SUM(F466:H466)</f>
        <v>18309</v>
      </c>
      <c r="J466" s="1">
        <v>5754</v>
      </c>
      <c r="K466" s="1">
        <v>5622</v>
      </c>
      <c r="L466" s="1">
        <v>2751</v>
      </c>
      <c r="M466" s="55">
        <f>SUM(J466:L466)</f>
        <v>14127</v>
      </c>
      <c r="N466" s="1">
        <v>430</v>
      </c>
      <c r="O466" s="1">
        <v>71</v>
      </c>
      <c r="P466" s="1"/>
      <c r="Q466" s="55">
        <f>SUM(N466:P466)</f>
        <v>501</v>
      </c>
      <c r="R466" s="55">
        <f>+E466+I466+M466+Q466</f>
        <v>36151</v>
      </c>
      <c r="S466" s="4">
        <f>+SUM(R466,R427,R327)</f>
        <v>124369</v>
      </c>
      <c r="T466" s="4" t="s">
        <v>985</v>
      </c>
    </row>
    <row r="467" spans="1:20" ht="15.75" customHeight="1" x14ac:dyDescent="0.3">
      <c r="A467" s="71" t="s">
        <v>309</v>
      </c>
      <c r="B467" s="1"/>
      <c r="C467" s="1"/>
      <c r="D467" s="1">
        <v>311</v>
      </c>
      <c r="E467" s="55">
        <f>SUM(B467:D467)</f>
        <v>311</v>
      </c>
      <c r="F467" s="1">
        <v>244</v>
      </c>
      <c r="G467" s="1">
        <v>445</v>
      </c>
      <c r="H467" s="1"/>
      <c r="I467" s="55">
        <f>SUM(F467:H467)</f>
        <v>689</v>
      </c>
      <c r="J467" s="1"/>
      <c r="K467" s="1"/>
      <c r="L467" s="1"/>
      <c r="M467" s="55">
        <f>SUM(J467:L467)</f>
        <v>0</v>
      </c>
      <c r="N467" s="1"/>
      <c r="O467" s="1"/>
      <c r="P467" s="1"/>
      <c r="Q467" s="55">
        <f>SUM(N467:P467)</f>
        <v>0</v>
      </c>
      <c r="R467" s="55">
        <f>+E467+I467+M467+Q467</f>
        <v>1000</v>
      </c>
    </row>
    <row r="468" spans="1:20" ht="15.75" customHeight="1" thickBot="1" x14ac:dyDescent="0.35">
      <c r="A468" s="15" t="s">
        <v>58</v>
      </c>
      <c r="B468" s="1"/>
      <c r="C468" s="1"/>
      <c r="D468" s="1"/>
      <c r="E468" s="55" t="s">
        <v>7</v>
      </c>
      <c r="F468" s="1"/>
      <c r="G468" s="1"/>
      <c r="H468" s="1"/>
      <c r="I468" s="55" t="s">
        <v>7</v>
      </c>
      <c r="J468" s="1"/>
      <c r="K468" s="1"/>
      <c r="L468" s="1"/>
      <c r="M468" s="55" t="s">
        <v>7</v>
      </c>
      <c r="N468" s="1"/>
      <c r="O468" s="1"/>
      <c r="P468" s="1"/>
      <c r="Q468" s="55" t="s">
        <v>7</v>
      </c>
      <c r="R468" s="125" t="s">
        <v>7</v>
      </c>
    </row>
    <row r="469" spans="1:20" ht="16.5" customHeight="1" thickBot="1" x14ac:dyDescent="0.35">
      <c r="A469" s="57" t="s">
        <v>59</v>
      </c>
      <c r="B469" s="86">
        <f>SUM(B464:B468)</f>
        <v>676</v>
      </c>
      <c r="C469" s="87">
        <f>SUM(C464:C468)</f>
        <v>409</v>
      </c>
      <c r="D469" s="87">
        <f>SUM(D464:D468)</f>
        <v>2440</v>
      </c>
      <c r="E469" s="59">
        <f>SUM(B469:D469)</f>
        <v>3525</v>
      </c>
      <c r="F469" s="87">
        <f>SUM(F464:F468)</f>
        <v>6744</v>
      </c>
      <c r="G469" s="87">
        <f>SUM(G464:G468)</f>
        <v>4977</v>
      </c>
      <c r="H469" s="87">
        <f>SUM(H464:H468)</f>
        <v>7277</v>
      </c>
      <c r="I469" s="59">
        <f>SUM(F469:H469)</f>
        <v>18998</v>
      </c>
      <c r="J469" s="87">
        <f>SUM(J464:J468)</f>
        <v>5754</v>
      </c>
      <c r="K469" s="87">
        <f>SUM(K464:K468)</f>
        <v>5622</v>
      </c>
      <c r="L469" s="87">
        <f>SUM(L464:L468)</f>
        <v>2751</v>
      </c>
      <c r="M469" s="59">
        <f>SUM(J469:L469)</f>
        <v>14127</v>
      </c>
      <c r="N469" s="87">
        <f>SUM(N464:N468)</f>
        <v>430</v>
      </c>
      <c r="O469" s="87">
        <f>SUM(O464:O468)</f>
        <v>71</v>
      </c>
      <c r="P469" s="87">
        <f>SUM(P464:P468)</f>
        <v>0</v>
      </c>
      <c r="Q469" s="59">
        <f>SUM(N469:P469)</f>
        <v>501</v>
      </c>
      <c r="R469" s="59">
        <f>+E469+I469+M469+Q469</f>
        <v>37151</v>
      </c>
    </row>
    <row r="470" spans="1:20" ht="15.75" customHeight="1" x14ac:dyDescent="0.3">
      <c r="A470" s="15" t="s">
        <v>60</v>
      </c>
      <c r="B470" s="1"/>
      <c r="C470" s="1"/>
      <c r="D470" s="1"/>
      <c r="E470" s="55" t="s">
        <v>7</v>
      </c>
      <c r="F470" s="1"/>
      <c r="G470" s="1"/>
      <c r="H470" s="1"/>
      <c r="I470" s="55" t="s">
        <v>7</v>
      </c>
      <c r="J470" s="1"/>
      <c r="K470" s="1"/>
      <c r="L470" s="1"/>
      <c r="M470" s="55" t="s">
        <v>7</v>
      </c>
      <c r="N470" s="1"/>
      <c r="O470" s="1"/>
      <c r="P470" s="1"/>
      <c r="Q470" s="55" t="s">
        <v>7</v>
      </c>
      <c r="R470" s="55" t="s">
        <v>7</v>
      </c>
    </row>
    <row r="471" spans="1:20" ht="15.75" customHeight="1" x14ac:dyDescent="0.3">
      <c r="A471" s="15" t="s">
        <v>61</v>
      </c>
      <c r="B471" s="1"/>
      <c r="C471" s="1"/>
      <c r="D471" s="1"/>
      <c r="E471" s="55" t="s">
        <v>7</v>
      </c>
      <c r="F471" s="1"/>
      <c r="G471" s="1"/>
      <c r="H471" s="1"/>
      <c r="I471" s="55" t="s">
        <v>7</v>
      </c>
      <c r="J471" s="1"/>
      <c r="K471" s="1"/>
      <c r="L471" s="1"/>
      <c r="M471" s="55" t="s">
        <v>7</v>
      </c>
      <c r="N471" s="1"/>
      <c r="O471" s="1"/>
      <c r="P471" s="1"/>
      <c r="Q471" s="55" t="s">
        <v>7</v>
      </c>
      <c r="R471" s="55" t="s">
        <v>7</v>
      </c>
    </row>
    <row r="472" spans="1:20" ht="15.75" customHeight="1" x14ac:dyDescent="0.3">
      <c r="A472" s="15" t="s">
        <v>62</v>
      </c>
      <c r="B472" s="1"/>
      <c r="C472" s="1"/>
      <c r="D472" s="1"/>
      <c r="E472" s="55" t="s">
        <v>7</v>
      </c>
      <c r="F472" s="1"/>
      <c r="G472" s="1"/>
      <c r="H472" s="1"/>
      <c r="I472" s="55" t="s">
        <v>7</v>
      </c>
      <c r="J472" s="1"/>
      <c r="K472" s="1"/>
      <c r="L472" s="1"/>
      <c r="M472" s="55" t="s">
        <v>7</v>
      </c>
      <c r="N472" s="1"/>
      <c r="O472" s="1"/>
      <c r="P472" s="1"/>
      <c r="Q472" s="55" t="s">
        <v>7</v>
      </c>
      <c r="R472" s="55" t="s">
        <v>7</v>
      </c>
    </row>
    <row r="473" spans="1:20" s="454" customFormat="1" ht="15.75" customHeight="1" thickBot="1" x14ac:dyDescent="0.35">
      <c r="A473" s="453" t="s">
        <v>1155</v>
      </c>
      <c r="E473" s="455">
        <f>SUM(B473:D473)</f>
        <v>0</v>
      </c>
      <c r="I473" s="455">
        <f>SUM(F473:H473)</f>
        <v>0</v>
      </c>
      <c r="M473" s="455">
        <f>SUM(J473:L473)</f>
        <v>0</v>
      </c>
      <c r="Q473" s="455">
        <f>SUM(N473:P473)</f>
        <v>0</v>
      </c>
      <c r="R473" s="455">
        <f>+E473+I473+M473+Q473</f>
        <v>0</v>
      </c>
      <c r="T473" s="454" t="s">
        <v>939</v>
      </c>
    </row>
    <row r="474" spans="1:20" ht="16.5" customHeight="1" thickBot="1" x14ac:dyDescent="0.35">
      <c r="A474" s="114" t="s">
        <v>63</v>
      </c>
      <c r="B474" s="86">
        <f>SUM(B470:B473)</f>
        <v>0</v>
      </c>
      <c r="C474" s="87">
        <f>SUM(C470:C473)</f>
        <v>0</v>
      </c>
      <c r="D474" s="87">
        <f>SUM(D470:D473)</f>
        <v>0</v>
      </c>
      <c r="E474" s="59">
        <f>SUM(B474:D474)</f>
        <v>0</v>
      </c>
      <c r="F474" s="87">
        <f>SUM(F470:F473)</f>
        <v>0</v>
      </c>
      <c r="G474" s="87">
        <f>SUM(G470:G473)</f>
        <v>0</v>
      </c>
      <c r="H474" s="87">
        <f>SUM(H470:H473)</f>
        <v>0</v>
      </c>
      <c r="I474" s="59">
        <f>SUM(F474:H474)</f>
        <v>0</v>
      </c>
      <c r="J474" s="87">
        <f>SUM(J470:J473)</f>
        <v>0</v>
      </c>
      <c r="K474" s="87">
        <f>SUM(K470:K473)</f>
        <v>0</v>
      </c>
      <c r="L474" s="87">
        <f>SUM(L470:L473)</f>
        <v>0</v>
      </c>
      <c r="M474" s="59">
        <f>SUM(J474:L474)</f>
        <v>0</v>
      </c>
      <c r="N474" s="87">
        <f>SUM(N470:N473)</f>
        <v>0</v>
      </c>
      <c r="O474" s="87">
        <f>SUM(O470:O473)</f>
        <v>0</v>
      </c>
      <c r="P474" s="87">
        <f>SUM(P470:P473)</f>
        <v>0</v>
      </c>
      <c r="Q474" s="59">
        <f>SUM(N474:P474)</f>
        <v>0</v>
      </c>
      <c r="R474" s="59">
        <f>+E474+I474+M474+Q474</f>
        <v>0</v>
      </c>
    </row>
    <row r="475" spans="1:20" ht="15.75" customHeight="1" x14ac:dyDescent="0.3">
      <c r="A475" s="15" t="s">
        <v>64</v>
      </c>
      <c r="B475" s="1"/>
      <c r="C475" s="1"/>
      <c r="D475" s="1"/>
      <c r="E475" s="55" t="s">
        <v>7</v>
      </c>
      <c r="F475" s="1"/>
      <c r="G475" s="1"/>
      <c r="H475" s="1"/>
      <c r="I475" s="55" t="s">
        <v>7</v>
      </c>
      <c r="J475" s="1"/>
      <c r="K475" s="1"/>
      <c r="L475" s="1"/>
      <c r="M475" s="55" t="s">
        <v>7</v>
      </c>
      <c r="N475" s="1"/>
      <c r="O475" s="1"/>
      <c r="P475" s="1"/>
      <c r="Q475" s="55" t="s">
        <v>7</v>
      </c>
      <c r="R475" s="55" t="s">
        <v>7</v>
      </c>
    </row>
    <row r="476" spans="1:20" ht="15.75" customHeight="1" x14ac:dyDescent="0.3">
      <c r="A476" s="15" t="s">
        <v>594</v>
      </c>
      <c r="B476" s="1"/>
      <c r="C476" s="1"/>
      <c r="D476" s="1"/>
      <c r="E476" s="55" t="s">
        <v>7</v>
      </c>
      <c r="F476" s="1"/>
      <c r="G476" s="1"/>
      <c r="H476" s="1"/>
      <c r="I476" s="55" t="s">
        <v>7</v>
      </c>
      <c r="J476" s="1"/>
      <c r="K476" s="1"/>
      <c r="L476" s="1"/>
      <c r="M476" s="55" t="s">
        <v>7</v>
      </c>
      <c r="N476" s="1"/>
      <c r="O476" s="1"/>
      <c r="P476" s="1"/>
      <c r="Q476" s="55" t="s">
        <v>7</v>
      </c>
      <c r="R476" s="55" t="s">
        <v>7</v>
      </c>
    </row>
    <row r="477" spans="1:20" ht="15.75" customHeight="1" x14ac:dyDescent="0.3">
      <c r="A477" s="15" t="s">
        <v>67</v>
      </c>
      <c r="B477" s="1"/>
      <c r="C477" s="1"/>
      <c r="D477" s="1"/>
      <c r="E477" s="55" t="s">
        <v>7</v>
      </c>
      <c r="F477" s="1"/>
      <c r="G477" s="1"/>
      <c r="H477" s="1"/>
      <c r="I477" s="55" t="s">
        <v>7</v>
      </c>
      <c r="J477" s="1"/>
      <c r="K477" s="1"/>
      <c r="L477" s="1"/>
      <c r="M477" s="55" t="s">
        <v>7</v>
      </c>
      <c r="N477" s="1"/>
      <c r="O477" s="1"/>
      <c r="P477" s="1"/>
      <c r="Q477" s="55" t="s">
        <v>7</v>
      </c>
      <c r="R477" s="55" t="s">
        <v>7</v>
      </c>
    </row>
    <row r="478" spans="1:20" ht="15.75" customHeight="1" x14ac:dyDescent="0.3">
      <c r="A478" s="15" t="s">
        <v>600</v>
      </c>
      <c r="B478" s="1"/>
      <c r="C478" s="1"/>
      <c r="D478" s="1"/>
      <c r="E478" s="55" t="s">
        <v>7</v>
      </c>
      <c r="F478" s="1"/>
      <c r="G478" s="1"/>
      <c r="H478" s="1"/>
      <c r="I478" s="55" t="s">
        <v>7</v>
      </c>
      <c r="J478" s="1"/>
      <c r="K478" s="1"/>
      <c r="L478" s="1"/>
      <c r="M478" s="55" t="s">
        <v>7</v>
      </c>
      <c r="N478" s="1"/>
      <c r="O478" s="1"/>
      <c r="P478" s="1"/>
      <c r="Q478" s="55" t="s">
        <v>7</v>
      </c>
      <c r="R478" s="55" t="s">
        <v>7</v>
      </c>
    </row>
    <row r="479" spans="1:20" ht="15.75" customHeight="1" x14ac:dyDescent="0.3">
      <c r="A479" s="71" t="s">
        <v>570</v>
      </c>
      <c r="B479" s="1"/>
      <c r="C479" s="1"/>
      <c r="D479" s="1"/>
      <c r="E479" s="55">
        <f>SUM(B479:D479)</f>
        <v>0</v>
      </c>
      <c r="F479" s="1"/>
      <c r="G479" s="1"/>
      <c r="H479" s="1"/>
      <c r="I479" s="55">
        <f>SUM(F479:H479)</f>
        <v>0</v>
      </c>
      <c r="J479" s="1"/>
      <c r="K479" s="1"/>
      <c r="L479" s="1"/>
      <c r="M479" s="55">
        <f>SUM(J479:L479)</f>
        <v>0</v>
      </c>
      <c r="N479" s="1"/>
      <c r="O479" s="1"/>
      <c r="P479" s="1"/>
      <c r="Q479" s="55">
        <f>SUM(N479:P479)</f>
        <v>0</v>
      </c>
      <c r="R479" s="55">
        <f>+E479+I479+M479+Q479</f>
        <v>0</v>
      </c>
    </row>
    <row r="480" spans="1:20" ht="15.75" customHeight="1" x14ac:dyDescent="0.3">
      <c r="A480" s="15" t="s">
        <v>70</v>
      </c>
      <c r="B480" s="1"/>
      <c r="C480" s="1"/>
      <c r="D480" s="1"/>
      <c r="E480" s="55"/>
      <c r="F480" s="1"/>
      <c r="G480" s="1"/>
      <c r="H480" s="1"/>
      <c r="I480" s="55"/>
      <c r="J480" s="1"/>
      <c r="K480" s="1"/>
      <c r="L480" s="1"/>
      <c r="M480" s="55"/>
      <c r="N480" s="1"/>
      <c r="O480" s="1"/>
      <c r="P480" s="1"/>
      <c r="Q480" s="55"/>
      <c r="R480" s="55" t="s">
        <v>7</v>
      </c>
    </row>
    <row r="481" spans="1:20" ht="15.75" customHeight="1" x14ac:dyDescent="0.3">
      <c r="A481" s="71" t="s">
        <v>1145</v>
      </c>
      <c r="B481" s="1"/>
      <c r="C481" s="1"/>
      <c r="D481" s="1"/>
      <c r="E481" s="55">
        <f t="shared" ref="E481:E487" si="92">SUM(B481:D481)</f>
        <v>0</v>
      </c>
      <c r="F481" s="1"/>
      <c r="G481" s="1"/>
      <c r="H481" s="1"/>
      <c r="I481" s="55">
        <f t="shared" ref="I481:I487" si="93">SUM(F481:H481)</f>
        <v>0</v>
      </c>
      <c r="J481" s="1"/>
      <c r="K481" s="1"/>
      <c r="L481" s="1"/>
      <c r="M481" s="55">
        <f t="shared" ref="M481:M487" si="94">SUM(J481:L481)</f>
        <v>0</v>
      </c>
      <c r="N481" s="1"/>
      <c r="O481" s="1"/>
      <c r="P481" s="1"/>
      <c r="Q481" s="55">
        <f t="shared" ref="Q481:Q487" si="95">SUM(N481:P481)</f>
        <v>0</v>
      </c>
      <c r="R481" s="55">
        <f t="shared" ref="R481:R487" si="96">+E481+I481+M481+Q481</f>
        <v>0</v>
      </c>
      <c r="T481" s="4" t="s">
        <v>939</v>
      </c>
    </row>
    <row r="482" spans="1:20" ht="15.75" customHeight="1" x14ac:dyDescent="0.3">
      <c r="A482" s="71" t="s">
        <v>986</v>
      </c>
      <c r="B482" s="1"/>
      <c r="C482" s="1"/>
      <c r="D482" s="1"/>
      <c r="E482" s="55">
        <f>SUM(B482:D482)</f>
        <v>0</v>
      </c>
      <c r="F482" s="1"/>
      <c r="G482" s="1"/>
      <c r="H482" s="1"/>
      <c r="I482" s="55">
        <f>SUM(F482:H482)</f>
        <v>0</v>
      </c>
      <c r="J482" s="1"/>
      <c r="K482" s="1"/>
      <c r="L482" s="1"/>
      <c r="M482" s="55">
        <f>SUM(J482:L482)</f>
        <v>0</v>
      </c>
      <c r="N482" s="1"/>
      <c r="O482" s="1"/>
      <c r="P482" s="1"/>
      <c r="Q482" s="55">
        <f>SUM(N482:P482)</f>
        <v>0</v>
      </c>
      <c r="R482" s="55">
        <f>+E482+I482+M482+Q482</f>
        <v>0</v>
      </c>
      <c r="T482" s="4" t="s">
        <v>939</v>
      </c>
    </row>
    <row r="483" spans="1:20" ht="15.75" customHeight="1" thickBot="1" x14ac:dyDescent="0.35">
      <c r="A483" s="71" t="s">
        <v>761</v>
      </c>
      <c r="B483" s="1"/>
      <c r="C483" s="1"/>
      <c r="D483" s="1"/>
      <c r="E483" s="55">
        <f t="shared" si="92"/>
        <v>0</v>
      </c>
      <c r="F483" s="1"/>
      <c r="G483" s="1"/>
      <c r="H483" s="1"/>
      <c r="I483" s="55">
        <f t="shared" si="93"/>
        <v>0</v>
      </c>
      <c r="J483" s="1"/>
      <c r="K483" s="1"/>
      <c r="L483" s="1"/>
      <c r="M483" s="55">
        <f t="shared" si="94"/>
        <v>0</v>
      </c>
      <c r="N483" s="1"/>
      <c r="O483" s="1"/>
      <c r="P483" s="1"/>
      <c r="Q483" s="55">
        <f t="shared" si="95"/>
        <v>0</v>
      </c>
      <c r="R483" s="55">
        <f t="shared" si="96"/>
        <v>0</v>
      </c>
    </row>
    <row r="484" spans="1:20" ht="16.5" customHeight="1" thickBot="1" x14ac:dyDescent="0.35">
      <c r="A484" s="57" t="s">
        <v>71</v>
      </c>
      <c r="B484" s="58">
        <f>SUM(B478:B483)</f>
        <v>0</v>
      </c>
      <c r="C484" s="58">
        <f>SUM(C478:C483)</f>
        <v>0</v>
      </c>
      <c r="D484" s="58">
        <f>SUM(D478:D483)</f>
        <v>0</v>
      </c>
      <c r="E484" s="60">
        <f t="shared" si="92"/>
        <v>0</v>
      </c>
      <c r="F484" s="58">
        <f>SUM(F478:F483)</f>
        <v>0</v>
      </c>
      <c r="G484" s="58">
        <f>SUM(G478:G483)</f>
        <v>0</v>
      </c>
      <c r="H484" s="58">
        <f>SUM(H478:H483)</f>
        <v>0</v>
      </c>
      <c r="I484" s="60">
        <f t="shared" si="93"/>
        <v>0</v>
      </c>
      <c r="J484" s="58">
        <f>SUM(J478:J483)</f>
        <v>0</v>
      </c>
      <c r="K484" s="58">
        <f>SUM(K478:K483)</f>
        <v>0</v>
      </c>
      <c r="L484" s="58">
        <f>SUM(L478:L483)</f>
        <v>0</v>
      </c>
      <c r="M484" s="60">
        <f t="shared" si="94"/>
        <v>0</v>
      </c>
      <c r="N484" s="58">
        <f>SUM(N478:N483)</f>
        <v>0</v>
      </c>
      <c r="O484" s="58">
        <f>SUM(O478:O483)</f>
        <v>0</v>
      </c>
      <c r="P484" s="58">
        <f>SUM(P478:P483)</f>
        <v>0</v>
      </c>
      <c r="Q484" s="60">
        <f t="shared" si="95"/>
        <v>0</v>
      </c>
      <c r="R484" s="59">
        <f t="shared" si="96"/>
        <v>0</v>
      </c>
    </row>
    <row r="485" spans="1:20" ht="16.5" customHeight="1" thickBot="1" x14ac:dyDescent="0.35">
      <c r="A485" s="114" t="s">
        <v>72</v>
      </c>
      <c r="B485" s="86">
        <f>SUM(B475:B483)</f>
        <v>0</v>
      </c>
      <c r="C485" s="87">
        <f>SUM(C475:C483)</f>
        <v>0</v>
      </c>
      <c r="D485" s="118">
        <f>SUM(D475:D483)</f>
        <v>0</v>
      </c>
      <c r="E485" s="60">
        <f t="shared" si="92"/>
        <v>0</v>
      </c>
      <c r="F485" s="87">
        <f>SUM(F475:F483)</f>
        <v>0</v>
      </c>
      <c r="G485" s="87">
        <f>SUM(G475:G483)</f>
        <v>0</v>
      </c>
      <c r="H485" s="87">
        <f>SUM(H475:H483)</f>
        <v>0</v>
      </c>
      <c r="I485" s="60">
        <f t="shared" si="93"/>
        <v>0</v>
      </c>
      <c r="J485" s="87">
        <f>SUM(J475:J483)</f>
        <v>0</v>
      </c>
      <c r="K485" s="87">
        <f>SUM(K475:K483)</f>
        <v>0</v>
      </c>
      <c r="L485" s="87">
        <f>SUM(L475:L483)</f>
        <v>0</v>
      </c>
      <c r="M485" s="60">
        <f t="shared" si="94"/>
        <v>0</v>
      </c>
      <c r="N485" s="87">
        <f>SUM(N475:N483)</f>
        <v>0</v>
      </c>
      <c r="O485" s="87">
        <f>SUM(O475:O483)</f>
        <v>0</v>
      </c>
      <c r="P485" s="87">
        <f>SUM(P475:P483)</f>
        <v>0</v>
      </c>
      <c r="Q485" s="60">
        <f t="shared" si="95"/>
        <v>0</v>
      </c>
      <c r="R485" s="59">
        <f t="shared" si="96"/>
        <v>0</v>
      </c>
    </row>
    <row r="486" spans="1:20" ht="16.5" customHeight="1" thickBot="1" x14ac:dyDescent="0.35">
      <c r="A486" s="57" t="s">
        <v>73</v>
      </c>
      <c r="B486" s="90">
        <f>+B463+B469+B474+B485</f>
        <v>676</v>
      </c>
      <c r="C486" s="58">
        <f>+C463+C469+C474+C485</f>
        <v>409</v>
      </c>
      <c r="D486" s="58">
        <f>+D463+D469+D474+D485</f>
        <v>2440</v>
      </c>
      <c r="E486" s="59">
        <f t="shared" si="92"/>
        <v>3525</v>
      </c>
      <c r="F486" s="58">
        <f>+F463+F469+F474+F485</f>
        <v>6744</v>
      </c>
      <c r="G486" s="58">
        <f>+G463+G469+G474+G485</f>
        <v>5838</v>
      </c>
      <c r="H486" s="58">
        <f>+H463+H469+H474+H485</f>
        <v>8689</v>
      </c>
      <c r="I486" s="59">
        <f t="shared" si="93"/>
        <v>21271</v>
      </c>
      <c r="J486" s="58">
        <f>+J463+J469+J474+J485</f>
        <v>7053</v>
      </c>
      <c r="K486" s="58">
        <f>+K463+K469+K474+K485</f>
        <v>7056</v>
      </c>
      <c r="L486" s="58">
        <f>+L463+L469+L474+L485</f>
        <v>3645</v>
      </c>
      <c r="M486" s="59">
        <f t="shared" si="94"/>
        <v>17754</v>
      </c>
      <c r="N486" s="58">
        <f>+N463+N469+N474+N485</f>
        <v>597</v>
      </c>
      <c r="O486" s="58">
        <f>+O463+O469+O474+O485</f>
        <v>797</v>
      </c>
      <c r="P486" s="58">
        <f>+P463+P469+P474+P485</f>
        <v>62</v>
      </c>
      <c r="Q486" s="59">
        <f t="shared" si="95"/>
        <v>1456</v>
      </c>
      <c r="R486" s="81">
        <f t="shared" si="96"/>
        <v>44006</v>
      </c>
    </row>
    <row r="487" spans="1:20" ht="16.5" customHeight="1" thickBot="1" x14ac:dyDescent="0.35">
      <c r="A487" s="39" t="s">
        <v>40</v>
      </c>
      <c r="B487" s="21">
        <v>23</v>
      </c>
      <c r="C487" s="21">
        <v>43</v>
      </c>
      <c r="D487" s="21">
        <v>66</v>
      </c>
      <c r="E487" s="81">
        <f t="shared" si="92"/>
        <v>132</v>
      </c>
      <c r="F487" s="21">
        <v>91</v>
      </c>
      <c r="G487" s="21">
        <v>108</v>
      </c>
      <c r="H487" s="21">
        <v>109</v>
      </c>
      <c r="I487" s="81">
        <f t="shared" si="93"/>
        <v>308</v>
      </c>
      <c r="J487" s="21">
        <v>104</v>
      </c>
      <c r="K487" s="21">
        <v>79</v>
      </c>
      <c r="L487" s="21">
        <v>80</v>
      </c>
      <c r="M487" s="81">
        <f t="shared" si="94"/>
        <v>263</v>
      </c>
      <c r="N487" s="21">
        <v>74</v>
      </c>
      <c r="O487" s="21">
        <v>58</v>
      </c>
      <c r="P487" s="21">
        <v>42</v>
      </c>
      <c r="Q487" s="81">
        <f t="shared" si="95"/>
        <v>174</v>
      </c>
      <c r="R487" s="55">
        <f t="shared" si="96"/>
        <v>877</v>
      </c>
    </row>
    <row r="488" spans="1:20" ht="16.5" customHeight="1" thickBot="1" x14ac:dyDescent="0.35">
      <c r="A488" s="41"/>
      <c r="B488" s="36"/>
      <c r="C488" s="36"/>
      <c r="D488" s="36"/>
      <c r="E488" s="42"/>
      <c r="F488" s="36"/>
      <c r="G488" s="36"/>
      <c r="H488" s="36"/>
      <c r="I488" s="126"/>
      <c r="J488" s="36"/>
      <c r="K488" s="36"/>
      <c r="L488" s="36"/>
      <c r="M488" s="126"/>
      <c r="N488" s="36"/>
      <c r="O488" s="36"/>
      <c r="P488" s="36"/>
      <c r="Q488" s="126"/>
      <c r="R488" s="42"/>
    </row>
    <row r="489" spans="1:20" ht="15.75" customHeight="1" x14ac:dyDescent="0.3">
      <c r="A489" s="15" t="s">
        <v>314</v>
      </c>
      <c r="B489" s="77">
        <f>SUM(B486:B487)</f>
        <v>699</v>
      </c>
      <c r="C489" s="77">
        <f>SUM(C486:C487)</f>
        <v>452</v>
      </c>
      <c r="D489" s="77">
        <f>SUM(D486:D487)</f>
        <v>2506</v>
      </c>
      <c r="E489" s="60">
        <f>SUM(B489:D489)</f>
        <v>3657</v>
      </c>
      <c r="F489" s="77">
        <f>SUM(F486:F487)</f>
        <v>6835</v>
      </c>
      <c r="G489" s="77">
        <f>SUM(G486:G487)</f>
        <v>5946</v>
      </c>
      <c r="H489" s="77">
        <f>SUM(H486:H487)</f>
        <v>8798</v>
      </c>
      <c r="I489" s="60">
        <f>SUM(F489:H489)</f>
        <v>21579</v>
      </c>
      <c r="J489" s="77">
        <f>SUM(J486:J487)</f>
        <v>7157</v>
      </c>
      <c r="K489" s="77">
        <f>SUM(K486:K487)</f>
        <v>7135</v>
      </c>
      <c r="L489" s="77">
        <f>SUM(L486:L487)</f>
        <v>3725</v>
      </c>
      <c r="M489" s="60">
        <f>SUM(J489:L489)</f>
        <v>18017</v>
      </c>
      <c r="N489" s="77">
        <f>SUM(N486:N487)</f>
        <v>671</v>
      </c>
      <c r="O489" s="77">
        <f>SUM(O486:O487)</f>
        <v>855</v>
      </c>
      <c r="P489" s="77">
        <f>SUM(P486:P487)</f>
        <v>104</v>
      </c>
      <c r="Q489" s="60">
        <f>SUM(N489:P489)</f>
        <v>1630</v>
      </c>
      <c r="R489" s="60">
        <f>+E489+I489+M489+Q489</f>
        <v>44883</v>
      </c>
    </row>
    <row r="490" spans="1:20" ht="15.75" customHeight="1" x14ac:dyDescent="0.3">
      <c r="A490" s="15" t="s">
        <v>42</v>
      </c>
      <c r="B490" s="1">
        <f>(B489/B10)/1.983</f>
        <v>11.370845737152894</v>
      </c>
      <c r="C490" s="1">
        <f>(C489/C10)/1.983</f>
        <v>8.1406238743606369</v>
      </c>
      <c r="D490" s="1">
        <f>(D489/D10)/1.983</f>
        <v>40.765864688562459</v>
      </c>
      <c r="E490" s="55" t="s">
        <v>7</v>
      </c>
      <c r="F490" s="1">
        <f>(F489/F10)/1.983</f>
        <v>114.89325937132291</v>
      </c>
      <c r="G490" s="1">
        <f>(G489/G10)/1.983</f>
        <v>96.725391635352111</v>
      </c>
      <c r="H490" s="1">
        <f>(H489/H10)/1.983</f>
        <v>147.89040174819297</v>
      </c>
      <c r="I490" s="55" t="s">
        <v>7</v>
      </c>
      <c r="J490" s="1">
        <f>(J489/J10)/1.983</f>
        <v>116.42509719714346</v>
      </c>
      <c r="K490" s="1">
        <f>(K489/K10)/1.983</f>
        <v>116.06721650155352</v>
      </c>
      <c r="L490" s="1">
        <f>(L489/L10)/1.983</f>
        <v>62.615565641284249</v>
      </c>
      <c r="M490" s="55" t="s">
        <v>7</v>
      </c>
      <c r="N490" s="1">
        <f>(N489/N10)/1.983</f>
        <v>10.915361215492981</v>
      </c>
      <c r="O490" s="1">
        <f>(O489/O10)/1.983</f>
        <v>14.372163388804841</v>
      </c>
      <c r="P490" s="1">
        <f>(P489/P10)/1.983</f>
        <v>1.6917996518796869</v>
      </c>
      <c r="Q490" s="55" t="s">
        <v>7</v>
      </c>
      <c r="R490" s="55" t="s">
        <v>7</v>
      </c>
    </row>
    <row r="491" spans="1:20" ht="15.75" customHeight="1" x14ac:dyDescent="0.3">
      <c r="A491" s="15" t="s">
        <v>315</v>
      </c>
      <c r="B491" s="1">
        <f>B489+B544</f>
        <v>16083</v>
      </c>
      <c r="C491" s="1">
        <f>C489+C544</f>
        <v>17938</v>
      </c>
      <c r="D491" s="1">
        <f>D489+D544</f>
        <v>22331</v>
      </c>
      <c r="E491" s="55">
        <f>SUM(B491:D491)</f>
        <v>56352</v>
      </c>
      <c r="F491" s="1">
        <f>F489+F544</f>
        <v>34415</v>
      </c>
      <c r="G491" s="1">
        <f>G489+G544</f>
        <v>27766</v>
      </c>
      <c r="H491" s="1">
        <f>H489+H544</f>
        <v>30396</v>
      </c>
      <c r="I491" s="55">
        <f>SUM(F491:H491)</f>
        <v>92577</v>
      </c>
      <c r="J491" s="1">
        <f>J489+J544</f>
        <v>26497</v>
      </c>
      <c r="K491" s="1">
        <f>K489+K544</f>
        <v>30500</v>
      </c>
      <c r="L491" s="1">
        <f>L489+L544</f>
        <v>25065</v>
      </c>
      <c r="M491" s="55">
        <f>SUM(J491:L491)</f>
        <v>82062</v>
      </c>
      <c r="N491" s="1">
        <f>N489+N544</f>
        <v>15032</v>
      </c>
      <c r="O491" s="1">
        <f>O489+O544</f>
        <v>9114</v>
      </c>
      <c r="P491" s="1">
        <f>P489+P544</f>
        <v>18610</v>
      </c>
      <c r="Q491" s="55">
        <f>SUM(N491:P491)</f>
        <v>42756</v>
      </c>
      <c r="R491" s="55">
        <f>+E491+I491+M491+Q491</f>
        <v>273747</v>
      </c>
    </row>
    <row r="492" spans="1:20" ht="16.5" customHeight="1" thickBot="1" x14ac:dyDescent="0.35">
      <c r="A492" s="20" t="s">
        <v>316</v>
      </c>
      <c r="B492" s="25">
        <f>(B491/B10)/1.983</f>
        <v>261.62705578058655</v>
      </c>
      <c r="C492" s="25">
        <f>(C491/C10)/1.983</f>
        <v>323.06750234132983</v>
      </c>
      <c r="D492" s="25">
        <f>(D491/D10)/1.983</f>
        <v>363.26517332812779</v>
      </c>
      <c r="E492" s="81" t="s">
        <v>7</v>
      </c>
      <c r="F492" s="25">
        <f>(F491/F10)/1.983</f>
        <v>578.50058833417381</v>
      </c>
      <c r="G492" s="25">
        <f>(G491/G10)/1.983</f>
        <v>451.67797244318638</v>
      </c>
      <c r="H492" s="25">
        <f>(H491/H10)/1.983</f>
        <v>510.94301563287945</v>
      </c>
      <c r="I492" s="81" t="s">
        <v>7</v>
      </c>
      <c r="J492" s="25">
        <f>(J491/J10)/1.983</f>
        <v>431.03476322938525</v>
      </c>
      <c r="K492" s="25">
        <f>(K491/K10)/1.983</f>
        <v>496.15278252240819</v>
      </c>
      <c r="L492" s="25">
        <f>(L491/L10)/1.983</f>
        <v>421.33131618759455</v>
      </c>
      <c r="M492" s="81" t="s">
        <v>7</v>
      </c>
      <c r="N492" s="25">
        <f>(N491/N10)/1.983</f>
        <v>244.53011891399473</v>
      </c>
      <c r="O492" s="25">
        <f>(O491/O10)/1.983</f>
        <v>153.20221886031266</v>
      </c>
      <c r="P492" s="25">
        <f>(P491/P10)/1.983</f>
        <v>302.73453386039398</v>
      </c>
      <c r="Q492" s="81" t="s">
        <v>7</v>
      </c>
      <c r="R492" s="81" t="s">
        <v>7</v>
      </c>
    </row>
    <row r="493" spans="1:20" ht="15.75" customHeight="1" x14ac:dyDescent="0.3">
      <c r="A493" s="2"/>
      <c r="B493" s="1"/>
      <c r="C493" s="1"/>
      <c r="D493" s="1"/>
      <c r="E493" s="1"/>
      <c r="F493" s="1"/>
      <c r="G493" s="1"/>
      <c r="H493" s="1"/>
      <c r="I493" s="1"/>
      <c r="J493" s="1"/>
      <c r="K493" s="1"/>
      <c r="L493" s="1"/>
      <c r="M493" s="1"/>
      <c r="N493" s="1"/>
      <c r="O493" s="1"/>
      <c r="P493" s="1"/>
      <c r="Q493" s="1"/>
      <c r="R493" s="2"/>
    </row>
    <row r="494" spans="1:20" ht="15.75" customHeight="1" thickBot="1" x14ac:dyDescent="0.35">
      <c r="A494" s="2"/>
      <c r="B494" s="1"/>
      <c r="C494" s="1"/>
      <c r="D494" s="1"/>
      <c r="E494" s="1"/>
      <c r="F494" s="1"/>
      <c r="G494" s="1"/>
      <c r="H494" s="1"/>
      <c r="I494" s="1"/>
      <c r="J494" s="1"/>
      <c r="K494" s="1"/>
      <c r="L494" s="1"/>
      <c r="M494" s="1"/>
      <c r="N494" s="1"/>
      <c r="O494" s="1"/>
      <c r="P494" s="1"/>
      <c r="Q494" s="1"/>
      <c r="R494" s="2"/>
    </row>
    <row r="495" spans="1:20" ht="16.5" customHeight="1" thickBot="1" x14ac:dyDescent="0.35">
      <c r="A495" s="124" t="s">
        <v>317</v>
      </c>
      <c r="B495" s="30" t="s">
        <v>8</v>
      </c>
      <c r="C495" s="31" t="s">
        <v>9</v>
      </c>
      <c r="D495" s="31" t="s">
        <v>10</v>
      </c>
      <c r="E495" s="32" t="s">
        <v>11</v>
      </c>
      <c r="F495" s="31" t="s">
        <v>12</v>
      </c>
      <c r="G495" s="31" t="s">
        <v>13</v>
      </c>
      <c r="H495" s="31" t="s">
        <v>14</v>
      </c>
      <c r="I495" s="33" t="s">
        <v>15</v>
      </c>
      <c r="J495" s="31" t="s">
        <v>16</v>
      </c>
      <c r="K495" s="31" t="s">
        <v>17</v>
      </c>
      <c r="L495" s="31" t="s">
        <v>18</v>
      </c>
      <c r="M495" s="33" t="s">
        <v>19</v>
      </c>
      <c r="N495" s="31" t="s">
        <v>20</v>
      </c>
      <c r="O495" s="31" t="s">
        <v>21</v>
      </c>
      <c r="P495" s="31" t="s">
        <v>22</v>
      </c>
      <c r="Q495" s="33" t="s">
        <v>23</v>
      </c>
      <c r="R495" s="34" t="s">
        <v>24</v>
      </c>
    </row>
    <row r="496" spans="1:20" ht="16.5" customHeight="1" thickBot="1" x14ac:dyDescent="0.35">
      <c r="A496" s="59"/>
      <c r="B496" s="75"/>
      <c r="C496" s="75"/>
      <c r="D496" s="75"/>
      <c r="E496" s="69"/>
      <c r="F496" s="75"/>
      <c r="G496" s="75"/>
      <c r="H496" s="75"/>
      <c r="I496" s="82"/>
      <c r="J496" s="75"/>
      <c r="K496" s="75"/>
      <c r="L496" s="75"/>
      <c r="M496" s="82"/>
      <c r="N496" s="75"/>
      <c r="O496" s="75"/>
      <c r="P496" s="75"/>
      <c r="Q496" s="82"/>
      <c r="R496" s="100"/>
    </row>
    <row r="497" spans="1:20" ht="15.75" customHeight="1" x14ac:dyDescent="0.3">
      <c r="A497" s="15" t="s">
        <v>48</v>
      </c>
      <c r="B497" s="1" t="s">
        <v>7</v>
      </c>
      <c r="C497" s="1" t="s">
        <v>7</v>
      </c>
      <c r="D497" s="1" t="s">
        <v>7</v>
      </c>
      <c r="E497" s="55" t="s">
        <v>7</v>
      </c>
      <c r="F497" s="1" t="s">
        <v>7</v>
      </c>
      <c r="G497" s="1" t="s">
        <v>7</v>
      </c>
      <c r="H497" s="1" t="s">
        <v>7</v>
      </c>
      <c r="I497" s="55" t="s">
        <v>7</v>
      </c>
      <c r="J497" s="1" t="s">
        <v>7</v>
      </c>
      <c r="K497" s="1" t="s">
        <v>7</v>
      </c>
      <c r="L497" s="1" t="s">
        <v>7</v>
      </c>
      <c r="M497" s="55" t="s">
        <v>7</v>
      </c>
      <c r="N497" s="1" t="s">
        <v>7</v>
      </c>
      <c r="O497" s="1" t="s">
        <v>7</v>
      </c>
      <c r="P497" s="1" t="s">
        <v>7</v>
      </c>
      <c r="Q497" s="55" t="s">
        <v>7</v>
      </c>
      <c r="R497" s="55" t="s">
        <v>7</v>
      </c>
    </row>
    <row r="498" spans="1:20" ht="15.75" customHeight="1" x14ac:dyDescent="0.3">
      <c r="A498" s="15" t="s">
        <v>49</v>
      </c>
      <c r="B498" s="1"/>
      <c r="C498" s="1"/>
      <c r="D498" s="1"/>
      <c r="E498" s="55" t="s">
        <v>7</v>
      </c>
      <c r="F498" s="1"/>
      <c r="G498" s="1"/>
      <c r="H498" s="1"/>
      <c r="I498" s="55" t="s">
        <v>7</v>
      </c>
      <c r="J498" s="1"/>
      <c r="K498" s="1"/>
      <c r="L498" s="1"/>
      <c r="M498" s="55" t="s">
        <v>7</v>
      </c>
      <c r="N498" s="1"/>
      <c r="O498" s="1"/>
      <c r="P498" s="1"/>
      <c r="Q498" s="55" t="s">
        <v>7</v>
      </c>
      <c r="R498" s="55" t="s">
        <v>7</v>
      </c>
    </row>
    <row r="499" spans="1:20" ht="15.75" customHeight="1" x14ac:dyDescent="0.3">
      <c r="A499" s="71" t="s">
        <v>762</v>
      </c>
      <c r="B499" s="1">
        <v>658</v>
      </c>
      <c r="C499" s="1">
        <v>646</v>
      </c>
      <c r="D499" s="1">
        <v>749</v>
      </c>
      <c r="E499" s="55">
        <f t="shared" ref="E499:E505" si="97">SUM(B499:D499)</f>
        <v>2053</v>
      </c>
      <c r="F499" s="1">
        <v>655</v>
      </c>
      <c r="G499" s="1">
        <v>589</v>
      </c>
      <c r="H499" s="1">
        <v>621</v>
      </c>
      <c r="I499" s="55">
        <f t="shared" ref="I499:I505" si="98">SUM(F499:H499)</f>
        <v>1865</v>
      </c>
      <c r="J499" s="1">
        <v>508</v>
      </c>
      <c r="K499" s="1">
        <v>363</v>
      </c>
      <c r="L499" s="1">
        <v>506</v>
      </c>
      <c r="M499" s="55">
        <f t="shared" ref="M499:M505" si="99">SUM(J499:L499)</f>
        <v>1377</v>
      </c>
      <c r="N499" s="1">
        <v>458</v>
      </c>
      <c r="O499" s="1">
        <v>377</v>
      </c>
      <c r="P499" s="1">
        <v>555</v>
      </c>
      <c r="Q499" s="55">
        <f t="shared" ref="Q499:Q505" si="100">SUM(N499:P499)</f>
        <v>1390</v>
      </c>
      <c r="R499" s="55">
        <f t="shared" ref="R499:R505" si="101">+E499+I499+M499+Q499</f>
        <v>6685</v>
      </c>
    </row>
    <row r="500" spans="1:20" ht="15.75" customHeight="1" x14ac:dyDescent="0.3">
      <c r="A500" s="71" t="s">
        <v>320</v>
      </c>
      <c r="B500" s="1"/>
      <c r="C500" s="1"/>
      <c r="D500" s="1"/>
      <c r="E500" s="55">
        <f>SUM(B500:D500)</f>
        <v>0</v>
      </c>
      <c r="F500" s="1"/>
      <c r="G500" s="1"/>
      <c r="H500" s="1"/>
      <c r="I500" s="55">
        <f>SUM(F500:H500)</f>
        <v>0</v>
      </c>
      <c r="J500" s="1">
        <v>100</v>
      </c>
      <c r="K500" s="1"/>
      <c r="L500" s="1"/>
      <c r="M500" s="55">
        <f>SUM(J500:L500)</f>
        <v>100</v>
      </c>
      <c r="N500" s="1"/>
      <c r="O500" s="1"/>
      <c r="P500" s="1"/>
      <c r="Q500" s="55">
        <f>SUM(N500:P500)</f>
        <v>0</v>
      </c>
      <c r="R500" s="55">
        <f>+E500+I500+M500+Q500</f>
        <v>100</v>
      </c>
    </row>
    <row r="501" spans="1:20" ht="15.75" customHeight="1" x14ac:dyDescent="0.3">
      <c r="A501" s="71" t="s">
        <v>318</v>
      </c>
      <c r="B501" s="1"/>
      <c r="C501" s="1"/>
      <c r="D501" s="1">
        <v>603</v>
      </c>
      <c r="E501" s="55">
        <f t="shared" si="97"/>
        <v>603</v>
      </c>
      <c r="F501" s="1">
        <v>2393</v>
      </c>
      <c r="G501" s="1">
        <v>705</v>
      </c>
      <c r="H501" s="1">
        <v>774</v>
      </c>
      <c r="I501" s="55">
        <f t="shared" si="98"/>
        <v>3872</v>
      </c>
      <c r="J501" s="1">
        <f>1319-551</f>
        <v>768</v>
      </c>
      <c r="K501" s="1"/>
      <c r="L501" s="1"/>
      <c r="M501" s="55">
        <f t="shared" si="99"/>
        <v>768</v>
      </c>
      <c r="N501" s="1"/>
      <c r="O501" s="1"/>
      <c r="P501" s="1"/>
      <c r="Q501" s="55">
        <f t="shared" si="100"/>
        <v>0</v>
      </c>
      <c r="R501" s="55">
        <f t="shared" si="101"/>
        <v>5243</v>
      </c>
      <c r="T501" s="4" t="s">
        <v>987</v>
      </c>
    </row>
    <row r="502" spans="1:20" ht="15.75" customHeight="1" x14ac:dyDescent="0.3">
      <c r="A502" s="71" t="s">
        <v>763</v>
      </c>
      <c r="B502" s="1"/>
      <c r="C502" s="1"/>
      <c r="D502" s="1"/>
      <c r="E502" s="55">
        <f>SUM(B502:D502)</f>
        <v>0</v>
      </c>
      <c r="F502" s="1"/>
      <c r="G502" s="1"/>
      <c r="H502" s="1"/>
      <c r="I502" s="55">
        <f>SUM(F502:H502)</f>
        <v>0</v>
      </c>
      <c r="J502" s="1"/>
      <c r="K502" s="1"/>
      <c r="L502" s="1"/>
      <c r="M502" s="55">
        <f>SUM(J502:L502)</f>
        <v>0</v>
      </c>
      <c r="N502" s="1"/>
      <c r="O502" s="1">
        <v>250</v>
      </c>
      <c r="P502" s="1">
        <v>182</v>
      </c>
      <c r="Q502" s="55">
        <f>SUM(N502:P502)</f>
        <v>432</v>
      </c>
      <c r="R502" s="55">
        <f>+E502+I502+M502+Q502</f>
        <v>432</v>
      </c>
      <c r="T502" s="4" t="s">
        <v>988</v>
      </c>
    </row>
    <row r="503" spans="1:20" ht="15.75" customHeight="1" x14ac:dyDescent="0.3">
      <c r="A503" s="71" t="s">
        <v>572</v>
      </c>
      <c r="B503" s="1"/>
      <c r="C503" s="1"/>
      <c r="D503" s="1"/>
      <c r="E503" s="55">
        <f t="shared" si="97"/>
        <v>0</v>
      </c>
      <c r="F503" s="1">
        <v>1033</v>
      </c>
      <c r="G503" s="1">
        <v>367</v>
      </c>
      <c r="H503" s="1"/>
      <c r="I503" s="55">
        <f t="shared" si="98"/>
        <v>1400</v>
      </c>
      <c r="J503" s="1"/>
      <c r="K503" s="1"/>
      <c r="L503" s="1"/>
      <c r="M503" s="55">
        <f t="shared" si="99"/>
        <v>0</v>
      </c>
      <c r="N503" s="1"/>
      <c r="O503" s="1"/>
      <c r="P503" s="1"/>
      <c r="Q503" s="55">
        <f t="shared" si="100"/>
        <v>0</v>
      </c>
      <c r="R503" s="55">
        <f t="shared" si="101"/>
        <v>1400</v>
      </c>
      <c r="T503" s="4" t="s">
        <v>988</v>
      </c>
    </row>
    <row r="504" spans="1:20" ht="15.75" customHeight="1" x14ac:dyDescent="0.3">
      <c r="A504" s="71" t="s">
        <v>319</v>
      </c>
      <c r="B504" s="1"/>
      <c r="C504" s="1"/>
      <c r="D504" s="1"/>
      <c r="E504" s="55">
        <f t="shared" si="97"/>
        <v>0</v>
      </c>
      <c r="F504" s="1"/>
      <c r="G504" s="1"/>
      <c r="H504" s="1"/>
      <c r="I504" s="55">
        <f t="shared" si="98"/>
        <v>0</v>
      </c>
      <c r="J504" s="1"/>
      <c r="K504" s="1">
        <v>2800</v>
      </c>
      <c r="L504" s="1"/>
      <c r="M504" s="55">
        <f t="shared" si="99"/>
        <v>2800</v>
      </c>
      <c r="N504" s="1"/>
      <c r="O504" s="1"/>
      <c r="P504" s="1"/>
      <c r="Q504" s="55">
        <f t="shared" si="100"/>
        <v>0</v>
      </c>
      <c r="R504" s="55">
        <f t="shared" si="101"/>
        <v>2800</v>
      </c>
      <c r="T504" s="4" t="s">
        <v>988</v>
      </c>
    </row>
    <row r="505" spans="1:20" ht="15.75" customHeight="1" x14ac:dyDescent="0.3">
      <c r="A505" s="71" t="s">
        <v>321</v>
      </c>
      <c r="B505" s="1"/>
      <c r="C505" s="1"/>
      <c r="D505" s="1">
        <v>676</v>
      </c>
      <c r="E505" s="55">
        <f t="shared" si="97"/>
        <v>676</v>
      </c>
      <c r="F505" s="1">
        <v>852</v>
      </c>
      <c r="G505" s="1"/>
      <c r="H505" s="1"/>
      <c r="I505" s="55">
        <f t="shared" si="98"/>
        <v>852</v>
      </c>
      <c r="J505" s="1"/>
      <c r="K505" s="1"/>
      <c r="L505" s="1"/>
      <c r="M505" s="55">
        <f t="shared" si="99"/>
        <v>0</v>
      </c>
      <c r="N505" s="1"/>
      <c r="O505" s="1"/>
      <c r="P505" s="1"/>
      <c r="Q505" s="55">
        <f t="shared" si="100"/>
        <v>0</v>
      </c>
      <c r="R505" s="55">
        <f t="shared" si="101"/>
        <v>1528</v>
      </c>
      <c r="T505" s="4" t="s">
        <v>988</v>
      </c>
    </row>
    <row r="506" spans="1:20" ht="15.75" customHeight="1" x14ac:dyDescent="0.3">
      <c r="A506" s="71" t="s">
        <v>764</v>
      </c>
      <c r="B506" s="1"/>
      <c r="C506" s="1"/>
      <c r="D506" s="1"/>
      <c r="E506" s="55">
        <f>SUM(B506:D506)</f>
        <v>0</v>
      </c>
      <c r="F506" s="1"/>
      <c r="G506" s="1"/>
      <c r="H506" s="1"/>
      <c r="I506" s="55">
        <f>SUM(F506:H506)</f>
        <v>0</v>
      </c>
      <c r="J506" s="1"/>
      <c r="K506" s="1">
        <v>180</v>
      </c>
      <c r="L506" s="1"/>
      <c r="M506" s="55">
        <f>SUM(J506:L506)</f>
        <v>180</v>
      </c>
      <c r="N506" s="1"/>
      <c r="O506" s="1"/>
      <c r="P506" s="1"/>
      <c r="Q506" s="55">
        <f>SUM(N506:P506)</f>
        <v>0</v>
      </c>
      <c r="R506" s="55">
        <f>+E506+I506+M506+Q506</f>
        <v>180</v>
      </c>
      <c r="T506" s="4" t="s">
        <v>987</v>
      </c>
    </row>
    <row r="507" spans="1:20" ht="15.75" customHeight="1" x14ac:dyDescent="0.3">
      <c r="A507" s="15" t="s">
        <v>50</v>
      </c>
      <c r="B507" s="1"/>
      <c r="C507" s="1"/>
      <c r="D507" s="1"/>
      <c r="E507" s="55" t="s">
        <v>7</v>
      </c>
      <c r="F507" s="1"/>
      <c r="G507" s="1"/>
      <c r="H507" s="1"/>
      <c r="I507" s="55" t="s">
        <v>7</v>
      </c>
      <c r="J507" s="1"/>
      <c r="K507" s="1"/>
      <c r="L507" s="1"/>
      <c r="M507" s="55" t="s">
        <v>7</v>
      </c>
      <c r="N507" s="1"/>
      <c r="O507" s="1"/>
      <c r="P507" s="1"/>
      <c r="Q507" s="55" t="s">
        <v>7</v>
      </c>
      <c r="R507" s="55" t="s">
        <v>7</v>
      </c>
    </row>
    <row r="508" spans="1:20" ht="15.75" customHeight="1" x14ac:dyDescent="0.3">
      <c r="A508" s="71" t="s">
        <v>321</v>
      </c>
      <c r="B508" s="1"/>
      <c r="C508" s="1"/>
      <c r="D508" s="1"/>
      <c r="E508" s="55">
        <f>SUM(B508:D508)</f>
        <v>0</v>
      </c>
      <c r="F508" s="1"/>
      <c r="G508" s="1"/>
      <c r="H508" s="1"/>
      <c r="I508" s="55">
        <f>SUM(F508:H508)</f>
        <v>0</v>
      </c>
      <c r="J508" s="1"/>
      <c r="K508" s="1"/>
      <c r="L508" s="1"/>
      <c r="M508" s="55">
        <f>SUM(J508:L508)</f>
        <v>0</v>
      </c>
      <c r="N508" s="1"/>
      <c r="O508" s="1"/>
      <c r="P508" s="1"/>
      <c r="Q508" s="55">
        <f>SUM(N508:P508)</f>
        <v>0</v>
      </c>
      <c r="R508" s="55">
        <f>+E508+I508+M508+Q508</f>
        <v>0</v>
      </c>
      <c r="T508" s="4" t="s">
        <v>988</v>
      </c>
    </row>
    <row r="509" spans="1:20" ht="15.75" customHeight="1" x14ac:dyDescent="0.3">
      <c r="A509" s="15" t="s">
        <v>51</v>
      </c>
      <c r="B509" s="1"/>
      <c r="C509" s="1"/>
      <c r="D509" s="1"/>
      <c r="E509" s="55" t="s">
        <v>7</v>
      </c>
      <c r="F509" s="1"/>
      <c r="G509" s="1"/>
      <c r="H509" s="1"/>
      <c r="I509" s="55" t="s">
        <v>7</v>
      </c>
      <c r="J509" s="1"/>
      <c r="K509" s="1"/>
      <c r="L509" s="1"/>
      <c r="M509" s="55" t="s">
        <v>7</v>
      </c>
      <c r="N509" s="1"/>
      <c r="O509" s="1"/>
      <c r="P509" s="1"/>
      <c r="Q509" s="55" t="s">
        <v>7</v>
      </c>
      <c r="R509" s="55" t="s">
        <v>7</v>
      </c>
    </row>
    <row r="510" spans="1:20" ht="15.75" customHeight="1" x14ac:dyDescent="0.3">
      <c r="A510" s="71" t="s">
        <v>326</v>
      </c>
      <c r="B510" s="1"/>
      <c r="C510" s="1"/>
      <c r="D510" s="1"/>
      <c r="E510" s="55">
        <f>SUM(B510:D510)</f>
        <v>0</v>
      </c>
      <c r="F510" s="1">
        <v>1000</v>
      </c>
      <c r="G510" s="1">
        <v>100</v>
      </c>
      <c r="H510" s="1">
        <v>1100</v>
      </c>
      <c r="I510" s="55">
        <f>SUM(F510:H510)</f>
        <v>2200</v>
      </c>
      <c r="J510" s="1"/>
      <c r="K510" s="1"/>
      <c r="L510" s="1"/>
      <c r="M510" s="55">
        <f>SUM(J510:L510)</f>
        <v>0</v>
      </c>
      <c r="N510" s="1"/>
      <c r="O510" s="1"/>
      <c r="P510" s="1"/>
      <c r="Q510" s="55">
        <f>SUM(N510:P510)</f>
        <v>0</v>
      </c>
      <c r="R510" s="55">
        <f>+E510+I510+M510+Q510</f>
        <v>2200</v>
      </c>
      <c r="T510" s="4" t="s">
        <v>988</v>
      </c>
    </row>
    <row r="511" spans="1:20" ht="15.75" customHeight="1" thickBot="1" x14ac:dyDescent="0.35">
      <c r="A511" s="15" t="s">
        <v>53</v>
      </c>
      <c r="B511" s="1"/>
      <c r="C511" s="1"/>
      <c r="D511" s="1"/>
      <c r="E511" s="55" t="s">
        <v>7</v>
      </c>
      <c r="F511" s="1"/>
      <c r="G511" s="1"/>
      <c r="H511" s="1"/>
      <c r="I511" s="55" t="s">
        <v>7</v>
      </c>
      <c r="J511" s="1"/>
      <c r="K511" s="1"/>
      <c r="L511" s="1"/>
      <c r="M511" s="55" t="s">
        <v>7</v>
      </c>
      <c r="N511" s="1"/>
      <c r="O511" s="1"/>
      <c r="P511" s="1"/>
      <c r="Q511" s="55" t="s">
        <v>7</v>
      </c>
      <c r="R511" s="55" t="s">
        <v>7</v>
      </c>
    </row>
    <row r="512" spans="1:20" ht="16.5" customHeight="1" thickBot="1" x14ac:dyDescent="0.35">
      <c r="A512" s="109" t="s">
        <v>54</v>
      </c>
      <c r="B512" s="86">
        <f>SUM(B497:B511)</f>
        <v>658</v>
      </c>
      <c r="C512" s="87">
        <f>SUM(C497:C511)</f>
        <v>646</v>
      </c>
      <c r="D512" s="87">
        <f>SUM(D497:D511)</f>
        <v>2028</v>
      </c>
      <c r="E512" s="59">
        <f>SUM(B512:D512)</f>
        <v>3332</v>
      </c>
      <c r="F512" s="87">
        <f>SUM(F497:F511)</f>
        <v>5933</v>
      </c>
      <c r="G512" s="87">
        <f>SUM(G497:G511)</f>
        <v>1761</v>
      </c>
      <c r="H512" s="87">
        <f>SUM(H497:H511)</f>
        <v>2495</v>
      </c>
      <c r="I512" s="59">
        <f>SUM(F512:H512)</f>
        <v>10189</v>
      </c>
      <c r="J512" s="87">
        <f>SUM(J497:J511)</f>
        <v>1376</v>
      </c>
      <c r="K512" s="87">
        <f>SUM(K497:K511)</f>
        <v>3343</v>
      </c>
      <c r="L512" s="87">
        <f>SUM(L497:L511)</f>
        <v>506</v>
      </c>
      <c r="M512" s="59">
        <f>SUM(J512:L512)</f>
        <v>5225</v>
      </c>
      <c r="N512" s="87">
        <f>SUM(N497:N511)</f>
        <v>458</v>
      </c>
      <c r="O512" s="87">
        <f>SUM(O497:O511)</f>
        <v>627</v>
      </c>
      <c r="P512" s="87">
        <f>SUM(P497:P511)</f>
        <v>737</v>
      </c>
      <c r="Q512" s="59">
        <f>SUM(N512:P512)</f>
        <v>1822</v>
      </c>
      <c r="R512" s="59">
        <f>+E512+I512+M512+Q512</f>
        <v>20568</v>
      </c>
    </row>
    <row r="513" spans="1:20" ht="15.75" customHeight="1" x14ac:dyDescent="0.3">
      <c r="A513" s="15" t="s">
        <v>55</v>
      </c>
      <c r="B513" s="1"/>
      <c r="C513" s="1"/>
      <c r="D513" s="1"/>
      <c r="E513" s="55" t="s">
        <v>7</v>
      </c>
      <c r="F513" s="1"/>
      <c r="G513" s="1"/>
      <c r="H513" s="1"/>
      <c r="I513" s="55" t="s">
        <v>7</v>
      </c>
      <c r="J513" s="1"/>
      <c r="K513" s="1"/>
      <c r="L513" s="1"/>
      <c r="M513" s="55" t="s">
        <v>7</v>
      </c>
      <c r="N513" s="1"/>
      <c r="O513" s="1"/>
      <c r="P513" s="1"/>
      <c r="Q513" s="55" t="s">
        <v>7</v>
      </c>
      <c r="R513" s="55" t="s">
        <v>7</v>
      </c>
    </row>
    <row r="514" spans="1:20" ht="15.75" customHeight="1" x14ac:dyDescent="0.3">
      <c r="A514" s="15" t="s">
        <v>57</v>
      </c>
      <c r="B514" s="1"/>
      <c r="C514" s="1"/>
      <c r="D514" s="1"/>
      <c r="E514" s="55" t="s">
        <v>7</v>
      </c>
      <c r="F514" s="1"/>
      <c r="G514" s="1"/>
      <c r="H514" s="1"/>
      <c r="I514" s="55" t="s">
        <v>7</v>
      </c>
      <c r="J514" s="1"/>
      <c r="K514" s="1"/>
      <c r="L514" s="1"/>
      <c r="M514" s="55" t="s">
        <v>7</v>
      </c>
      <c r="N514" s="1"/>
      <c r="O514" s="1"/>
      <c r="P514" s="1"/>
      <c r="Q514" s="55" t="s">
        <v>7</v>
      </c>
      <c r="R514" s="55" t="s">
        <v>7</v>
      </c>
    </row>
    <row r="515" spans="1:20" ht="15.75" customHeight="1" x14ac:dyDescent="0.3">
      <c r="A515" s="71" t="s">
        <v>324</v>
      </c>
      <c r="B515" s="1">
        <v>235</v>
      </c>
      <c r="C515" s="1">
        <v>454</v>
      </c>
      <c r="D515" s="1">
        <v>511</v>
      </c>
      <c r="E515" s="55">
        <f>SUM(B515:D515)</f>
        <v>1200</v>
      </c>
      <c r="F515" s="1">
        <v>300</v>
      </c>
      <c r="G515" s="1">
        <v>135</v>
      </c>
      <c r="H515" s="1"/>
      <c r="I515" s="55">
        <f>SUM(F515:H515)</f>
        <v>435</v>
      </c>
      <c r="J515" s="1"/>
      <c r="K515" s="1"/>
      <c r="L515" s="1"/>
      <c r="M515" s="55">
        <f>SUM(J515:L515)</f>
        <v>0</v>
      </c>
      <c r="N515" s="1"/>
      <c r="O515" s="1"/>
      <c r="P515" s="1"/>
      <c r="Q515" s="55">
        <f>SUM(N515:P515)</f>
        <v>0</v>
      </c>
      <c r="R515" s="55">
        <f>+E515+I515+M515+Q515</f>
        <v>1635</v>
      </c>
    </row>
    <row r="516" spans="1:20" ht="15.75" customHeight="1" x14ac:dyDescent="0.3">
      <c r="A516" s="71" t="s">
        <v>659</v>
      </c>
      <c r="B516" s="1"/>
      <c r="C516" s="1"/>
      <c r="D516" s="1"/>
      <c r="E516" s="55">
        <f>SUM(B516:D516)</f>
        <v>0</v>
      </c>
      <c r="F516" s="1"/>
      <c r="G516" s="1"/>
      <c r="H516" s="1"/>
      <c r="I516" s="55">
        <f>SUM(F516:H516)</f>
        <v>0</v>
      </c>
      <c r="J516" s="1"/>
      <c r="K516" s="1"/>
      <c r="L516" s="1"/>
      <c r="M516" s="55">
        <f>SUM(J516:L516)</f>
        <v>0</v>
      </c>
      <c r="N516" s="1"/>
      <c r="O516" s="1"/>
      <c r="P516" s="1"/>
      <c r="Q516" s="55">
        <f>SUM(N516:P516)</f>
        <v>0</v>
      </c>
      <c r="R516" s="55">
        <f>+E516+I516+M516+Q516</f>
        <v>0</v>
      </c>
    </row>
    <row r="517" spans="1:20" ht="15.75" customHeight="1" thickBot="1" x14ac:dyDescent="0.35">
      <c r="A517" s="15" t="s">
        <v>58</v>
      </c>
      <c r="B517" s="1"/>
      <c r="C517" s="1"/>
      <c r="D517" s="1"/>
      <c r="E517" s="55" t="s">
        <v>7</v>
      </c>
      <c r="F517" s="1"/>
      <c r="G517" s="1"/>
      <c r="H517" s="1"/>
      <c r="I517" s="55" t="s">
        <v>7</v>
      </c>
      <c r="J517" s="1"/>
      <c r="K517" s="1"/>
      <c r="L517" s="1"/>
      <c r="M517" s="55" t="s">
        <v>7</v>
      </c>
      <c r="N517" s="1"/>
      <c r="O517" s="1"/>
      <c r="P517" s="1"/>
      <c r="Q517" s="55" t="s">
        <v>7</v>
      </c>
      <c r="R517" s="55" t="s">
        <v>7</v>
      </c>
    </row>
    <row r="518" spans="1:20" ht="16.5" customHeight="1" thickBot="1" x14ac:dyDescent="0.35">
      <c r="A518" s="57" t="s">
        <v>59</v>
      </c>
      <c r="B518" s="86">
        <f>SUM(B513:B517)</f>
        <v>235</v>
      </c>
      <c r="C518" s="87">
        <f>SUM(C513:C517)</f>
        <v>454</v>
      </c>
      <c r="D518" s="87">
        <f>SUM(D513:D517)</f>
        <v>511</v>
      </c>
      <c r="E518" s="59">
        <f>SUM(B518:D518)</f>
        <v>1200</v>
      </c>
      <c r="F518" s="87">
        <f>SUM(F513:F517)</f>
        <v>300</v>
      </c>
      <c r="G518" s="87">
        <f>SUM(G513:G517)</f>
        <v>135</v>
      </c>
      <c r="H518" s="87">
        <f>SUM(H513:H517)</f>
        <v>0</v>
      </c>
      <c r="I518" s="59">
        <f>SUM(F518:H518)</f>
        <v>435</v>
      </c>
      <c r="J518" s="87">
        <f>SUM(J513:J517)</f>
        <v>0</v>
      </c>
      <c r="K518" s="87">
        <f>SUM(K513:K517)</f>
        <v>0</v>
      </c>
      <c r="L518" s="87">
        <f>SUM(L513:L517)</f>
        <v>0</v>
      </c>
      <c r="M518" s="59">
        <f>SUM(J518:L518)</f>
        <v>0</v>
      </c>
      <c r="N518" s="87">
        <f>SUM(N513:N517)</f>
        <v>0</v>
      </c>
      <c r="O518" s="87">
        <f>SUM(O513:O517)</f>
        <v>0</v>
      </c>
      <c r="P518" s="87">
        <f>SUM(P513:P517)</f>
        <v>0</v>
      </c>
      <c r="Q518" s="59">
        <f>SUM(N518:P518)</f>
        <v>0</v>
      </c>
      <c r="R518" s="59">
        <f>+E518+I518+M518+Q518</f>
        <v>1635</v>
      </c>
    </row>
    <row r="519" spans="1:20" ht="15.75" customHeight="1" x14ac:dyDescent="0.3">
      <c r="A519" s="15" t="s">
        <v>60</v>
      </c>
      <c r="B519" s="1"/>
      <c r="C519" s="1"/>
      <c r="D519" s="1"/>
      <c r="E519" s="55" t="s">
        <v>7</v>
      </c>
      <c r="F519" s="1"/>
      <c r="G519" s="1"/>
      <c r="H519" s="1"/>
      <c r="I519" s="55" t="s">
        <v>7</v>
      </c>
      <c r="J519" s="1"/>
      <c r="K519" s="1"/>
      <c r="L519" s="1"/>
      <c r="M519" s="55" t="s">
        <v>7</v>
      </c>
      <c r="N519" s="1"/>
      <c r="O519" s="1"/>
      <c r="P519" s="1"/>
      <c r="Q519" s="55" t="s">
        <v>7</v>
      </c>
      <c r="R519" s="55" t="s">
        <v>7</v>
      </c>
    </row>
    <row r="520" spans="1:20" ht="15.75" customHeight="1" x14ac:dyDescent="0.3">
      <c r="A520" s="15" t="s">
        <v>61</v>
      </c>
      <c r="B520" s="1"/>
      <c r="C520" s="1"/>
      <c r="D520" s="1"/>
      <c r="E520" s="55" t="s">
        <v>7</v>
      </c>
      <c r="F520" s="1"/>
      <c r="G520" s="1"/>
      <c r="H520" s="1"/>
      <c r="I520" s="55" t="s">
        <v>7</v>
      </c>
      <c r="J520" s="1"/>
      <c r="K520" s="1"/>
      <c r="L520" s="1"/>
      <c r="M520" s="55" t="s">
        <v>7</v>
      </c>
      <c r="N520" s="1"/>
      <c r="O520" s="1"/>
      <c r="P520" s="1"/>
      <c r="Q520" s="55" t="s">
        <v>7</v>
      </c>
      <c r="R520" s="55" t="s">
        <v>7</v>
      </c>
    </row>
    <row r="521" spans="1:20" ht="15.75" customHeight="1" x14ac:dyDescent="0.3">
      <c r="A521" s="15" t="s">
        <v>62</v>
      </c>
      <c r="B521" s="1"/>
      <c r="C521" s="1"/>
      <c r="D521" s="1"/>
      <c r="E521" s="55" t="s">
        <v>7</v>
      </c>
      <c r="F521" s="1"/>
      <c r="G521" s="1"/>
      <c r="H521" s="1"/>
      <c r="I521" s="55" t="s">
        <v>7</v>
      </c>
      <c r="J521" s="1"/>
      <c r="K521" s="1"/>
      <c r="L521" s="1"/>
      <c r="M521" s="55" t="s">
        <v>7</v>
      </c>
      <c r="N521" s="1"/>
      <c r="O521" s="1"/>
      <c r="P521" s="1"/>
      <c r="Q521" s="55" t="s">
        <v>7</v>
      </c>
      <c r="R521" s="55" t="s">
        <v>7</v>
      </c>
    </row>
    <row r="522" spans="1:20" ht="15.75" customHeight="1" thickBot="1" x14ac:dyDescent="0.35">
      <c r="A522" s="71" t="s">
        <v>991</v>
      </c>
      <c r="B522" s="1"/>
      <c r="C522" s="1"/>
      <c r="D522" s="1"/>
      <c r="E522" s="55">
        <f>SUM(B522:D522)</f>
        <v>0</v>
      </c>
      <c r="F522" s="1"/>
      <c r="G522" s="1"/>
      <c r="H522" s="1"/>
      <c r="I522" s="55">
        <f>SUM(F522:H522)</f>
        <v>0</v>
      </c>
      <c r="J522" s="1"/>
      <c r="K522" s="1"/>
      <c r="L522" s="1"/>
      <c r="M522" s="55">
        <f>SUM(J522:L522)</f>
        <v>0</v>
      </c>
      <c r="N522" s="1"/>
      <c r="O522" s="1"/>
      <c r="P522" s="1"/>
      <c r="Q522" s="55">
        <f>SUM(N522:P522)</f>
        <v>0</v>
      </c>
      <c r="R522" s="55">
        <f>+E522+I522+M522+Q522</f>
        <v>0</v>
      </c>
      <c r="T522" s="4" t="s">
        <v>988</v>
      </c>
    </row>
    <row r="523" spans="1:20" ht="16.5" customHeight="1" thickBot="1" x14ac:dyDescent="0.35">
      <c r="A523" s="114" t="s">
        <v>63</v>
      </c>
      <c r="B523" s="86">
        <f>SUM(B519:B522)</f>
        <v>0</v>
      </c>
      <c r="C523" s="87">
        <f>SUM(C519:C522)</f>
        <v>0</v>
      </c>
      <c r="D523" s="87">
        <f>SUM(D519:D522)</f>
        <v>0</v>
      </c>
      <c r="E523" s="59">
        <f>SUM(B523:D523)</f>
        <v>0</v>
      </c>
      <c r="F523" s="87">
        <f>SUM(F519:F522)</f>
        <v>0</v>
      </c>
      <c r="G523" s="87">
        <f>SUM(G519:G522)</f>
        <v>0</v>
      </c>
      <c r="H523" s="87">
        <f>SUM(H519:H522)</f>
        <v>0</v>
      </c>
      <c r="I523" s="59">
        <f>SUM(F523:H523)</f>
        <v>0</v>
      </c>
      <c r="J523" s="87">
        <f>SUM(J519:J522)</f>
        <v>0</v>
      </c>
      <c r="K523" s="87">
        <f>SUM(K519:K522)</f>
        <v>0</v>
      </c>
      <c r="L523" s="87">
        <f>SUM(L519:L522)</f>
        <v>0</v>
      </c>
      <c r="M523" s="59">
        <f>SUM(J523:L523)</f>
        <v>0</v>
      </c>
      <c r="N523" s="87">
        <f>SUM(N519:N522)</f>
        <v>0</v>
      </c>
      <c r="O523" s="87">
        <f>SUM(O519:O522)</f>
        <v>0</v>
      </c>
      <c r="P523" s="87">
        <f>SUM(P519:P522)</f>
        <v>0</v>
      </c>
      <c r="Q523" s="59">
        <f>SUM(N523:P523)</f>
        <v>0</v>
      </c>
      <c r="R523" s="59">
        <f>+E523+I523+M523+Q523</f>
        <v>0</v>
      </c>
    </row>
    <row r="524" spans="1:20" ht="15.75" customHeight="1" x14ac:dyDescent="0.3">
      <c r="A524" s="15" t="s">
        <v>64</v>
      </c>
      <c r="B524" s="1"/>
      <c r="C524" s="1"/>
      <c r="D524" s="1"/>
      <c r="E524" s="55" t="s">
        <v>7</v>
      </c>
      <c r="F524" s="1"/>
      <c r="G524" s="1"/>
      <c r="H524" s="1"/>
      <c r="I524" s="55" t="s">
        <v>7</v>
      </c>
      <c r="J524" s="1"/>
      <c r="K524" s="1"/>
      <c r="L524" s="1"/>
      <c r="M524" s="55" t="s">
        <v>7</v>
      </c>
      <c r="N524" s="1"/>
      <c r="O524" s="1"/>
      <c r="P524" s="1"/>
      <c r="Q524" s="55" t="s">
        <v>7</v>
      </c>
      <c r="R524" s="55" t="s">
        <v>7</v>
      </c>
    </row>
    <row r="525" spans="1:20" ht="15.75" customHeight="1" x14ac:dyDescent="0.3">
      <c r="A525" s="15" t="s">
        <v>594</v>
      </c>
      <c r="B525" s="1"/>
      <c r="C525" s="1"/>
      <c r="D525" s="1"/>
      <c r="E525" s="55" t="s">
        <v>7</v>
      </c>
      <c r="F525" s="1"/>
      <c r="G525" s="1"/>
      <c r="H525" s="1"/>
      <c r="I525" s="55" t="s">
        <v>7</v>
      </c>
      <c r="J525" s="1"/>
      <c r="K525" s="1"/>
      <c r="L525" s="1"/>
      <c r="M525" s="55" t="s">
        <v>7</v>
      </c>
      <c r="N525" s="1"/>
      <c r="O525" s="1"/>
      <c r="P525" s="1"/>
      <c r="Q525" s="55" t="s">
        <v>7</v>
      </c>
      <c r="R525" s="55" t="s">
        <v>7</v>
      </c>
    </row>
    <row r="526" spans="1:20" ht="15.75" customHeight="1" x14ac:dyDescent="0.3">
      <c r="A526" s="71" t="s">
        <v>326</v>
      </c>
      <c r="B526" s="1"/>
      <c r="C526" s="1"/>
      <c r="D526" s="1"/>
      <c r="E526" s="55">
        <f>SUM(B526:D526)</f>
        <v>0</v>
      </c>
      <c r="F526" s="1"/>
      <c r="G526" s="1">
        <v>140</v>
      </c>
      <c r="H526" s="1">
        <v>1095</v>
      </c>
      <c r="I526" s="55">
        <f>SUM(F526:H526)</f>
        <v>1235</v>
      </c>
      <c r="J526" s="1"/>
      <c r="K526" s="1">
        <v>165</v>
      </c>
      <c r="L526" s="1"/>
      <c r="M526" s="55">
        <f>SUM(J526:L526)</f>
        <v>165</v>
      </c>
      <c r="N526" s="1"/>
      <c r="O526" s="1"/>
      <c r="P526" s="1"/>
      <c r="Q526" s="55">
        <f>SUM(N526:P526)</f>
        <v>0</v>
      </c>
      <c r="R526" s="55">
        <f>+E526+I526+M526+Q526</f>
        <v>1400</v>
      </c>
      <c r="T526" s="4" t="s">
        <v>988</v>
      </c>
    </row>
    <row r="527" spans="1:20" ht="15.75" customHeight="1" x14ac:dyDescent="0.3">
      <c r="A527" s="71" t="s">
        <v>327</v>
      </c>
      <c r="B527" s="1"/>
      <c r="C527" s="1"/>
      <c r="D527" s="1"/>
      <c r="E527" s="55">
        <f>SUM(B527:D527)</f>
        <v>0</v>
      </c>
      <c r="F527" s="1"/>
      <c r="G527" s="1"/>
      <c r="H527" s="1"/>
      <c r="I527" s="55">
        <f>SUM(F527:H527)</f>
        <v>0</v>
      </c>
      <c r="J527" s="1"/>
      <c r="K527" s="1"/>
      <c r="L527" s="1"/>
      <c r="M527" s="55">
        <f>SUM(J527:L527)</f>
        <v>0</v>
      </c>
      <c r="N527" s="1"/>
      <c r="O527" s="1"/>
      <c r="P527" s="1"/>
      <c r="Q527" s="55">
        <f>SUM(N527:P527)</f>
        <v>0</v>
      </c>
      <c r="R527" s="55">
        <f>+E527+I527+M527+Q527</f>
        <v>0</v>
      </c>
      <c r="T527" s="4" t="s">
        <v>988</v>
      </c>
    </row>
    <row r="528" spans="1:20" ht="15.75" customHeight="1" x14ac:dyDescent="0.3">
      <c r="A528" s="15" t="s">
        <v>67</v>
      </c>
      <c r="B528" s="1"/>
      <c r="C528" s="1"/>
      <c r="D528" s="1"/>
      <c r="E528" s="55" t="s">
        <v>7</v>
      </c>
      <c r="F528" s="1"/>
      <c r="G528" s="1"/>
      <c r="H528" s="1"/>
      <c r="I528" s="55" t="s">
        <v>7</v>
      </c>
      <c r="J528" s="1"/>
      <c r="K528" s="1"/>
      <c r="L528" s="1"/>
      <c r="M528" s="55" t="s">
        <v>7</v>
      </c>
      <c r="N528" s="1"/>
      <c r="O528" s="1"/>
      <c r="P528" s="1"/>
      <c r="Q528" s="55" t="s">
        <v>7</v>
      </c>
      <c r="R528" s="55" t="s">
        <v>7</v>
      </c>
    </row>
    <row r="529" spans="1:20" ht="15.75" customHeight="1" x14ac:dyDescent="0.3">
      <c r="A529" s="71" t="s">
        <v>992</v>
      </c>
      <c r="B529" s="1"/>
      <c r="C529" s="1"/>
      <c r="D529" s="1"/>
      <c r="E529" s="55">
        <f>SUM(B529:D529)</f>
        <v>0</v>
      </c>
      <c r="F529" s="1"/>
      <c r="G529" s="1"/>
      <c r="H529" s="1"/>
      <c r="I529" s="55">
        <f>SUM(F529:H529)</f>
        <v>0</v>
      </c>
      <c r="J529" s="1"/>
      <c r="K529" s="1"/>
      <c r="L529" s="1"/>
      <c r="M529" s="55">
        <f>SUM(J529:L529)</f>
        <v>0</v>
      </c>
      <c r="N529" s="1"/>
      <c r="O529" s="1"/>
      <c r="P529" s="1"/>
      <c r="Q529" s="55">
        <f>SUM(N529:P529)</f>
        <v>0</v>
      </c>
      <c r="R529" s="55">
        <f>+E529+I529+M529+Q529</f>
        <v>0</v>
      </c>
    </row>
    <row r="530" spans="1:20" ht="15.75" customHeight="1" x14ac:dyDescent="0.3">
      <c r="A530" s="71" t="s">
        <v>768</v>
      </c>
      <c r="B530" s="1"/>
      <c r="C530" s="1"/>
      <c r="D530" s="1"/>
      <c r="E530" s="55">
        <f>SUM(B530:D530)</f>
        <v>0</v>
      </c>
      <c r="F530" s="1"/>
      <c r="G530" s="1"/>
      <c r="H530" s="1"/>
      <c r="I530" s="55">
        <f>SUM(F530:H530)</f>
        <v>0</v>
      </c>
      <c r="J530" s="1"/>
      <c r="K530" s="1"/>
      <c r="L530" s="1"/>
      <c r="M530" s="55">
        <f>SUM(J530:L530)</f>
        <v>0</v>
      </c>
      <c r="N530" s="1"/>
      <c r="O530" s="1"/>
      <c r="P530" s="1"/>
      <c r="Q530" s="55">
        <f>SUM(N530:P530)</f>
        <v>0</v>
      </c>
      <c r="R530" s="55">
        <f>+E530+I530+M530+Q530</f>
        <v>0</v>
      </c>
    </row>
    <row r="531" spans="1:20" ht="15.75" customHeight="1" x14ac:dyDescent="0.3">
      <c r="A531" s="71" t="s">
        <v>769</v>
      </c>
      <c r="B531" s="1"/>
      <c r="C531" s="1"/>
      <c r="D531" s="1"/>
      <c r="E531" s="55">
        <f>SUM(B531:D531)</f>
        <v>0</v>
      </c>
      <c r="F531" s="1"/>
      <c r="G531" s="1"/>
      <c r="H531" s="1"/>
      <c r="I531" s="55">
        <f>SUM(F531:H531)</f>
        <v>0</v>
      </c>
      <c r="J531" s="1"/>
      <c r="K531" s="1">
        <v>201</v>
      </c>
      <c r="L531" s="1">
        <v>2696</v>
      </c>
      <c r="M531" s="55">
        <f>SUM(J531:L531)</f>
        <v>2897</v>
      </c>
      <c r="N531" s="1">
        <v>2322</v>
      </c>
      <c r="O531" s="1">
        <v>184</v>
      </c>
      <c r="P531" s="1">
        <v>3897</v>
      </c>
      <c r="Q531" s="55">
        <f>SUM(N531:P531)</f>
        <v>6403</v>
      </c>
      <c r="R531" s="55">
        <f>+E531+I531+M531+Q531</f>
        <v>9300</v>
      </c>
      <c r="T531" s="4" t="s">
        <v>988</v>
      </c>
    </row>
    <row r="532" spans="1:20" ht="15.75" customHeight="1" x14ac:dyDescent="0.3">
      <c r="A532" s="71" t="s">
        <v>770</v>
      </c>
      <c r="B532" s="1"/>
      <c r="C532" s="1"/>
      <c r="D532" s="1"/>
      <c r="E532" s="55">
        <f>SUM(B532:D532)</f>
        <v>0</v>
      </c>
      <c r="F532" s="1"/>
      <c r="G532" s="1"/>
      <c r="H532" s="1"/>
      <c r="I532" s="55">
        <f>SUM(F532:H532)</f>
        <v>0</v>
      </c>
      <c r="J532" s="1"/>
      <c r="K532" s="1"/>
      <c r="L532" s="1"/>
      <c r="M532" s="55">
        <f>SUM(J532:L532)</f>
        <v>0</v>
      </c>
      <c r="N532" s="1"/>
      <c r="O532" s="1"/>
      <c r="P532" s="1"/>
      <c r="Q532" s="55">
        <f>SUM(N532:P532)</f>
        <v>0</v>
      </c>
      <c r="R532" s="55">
        <f>+E532+I532+M532+Q532</f>
        <v>0</v>
      </c>
      <c r="T532" s="4" t="s">
        <v>988</v>
      </c>
    </row>
    <row r="533" spans="1:20" ht="15.75" customHeight="1" x14ac:dyDescent="0.3">
      <c r="A533" s="15" t="s">
        <v>600</v>
      </c>
      <c r="B533" s="1"/>
      <c r="C533" s="1"/>
      <c r="D533" s="1"/>
      <c r="E533" s="55" t="s">
        <v>7</v>
      </c>
      <c r="F533" s="1"/>
      <c r="G533" s="1"/>
      <c r="H533" s="1"/>
      <c r="I533" s="55" t="s">
        <v>7</v>
      </c>
      <c r="J533" s="1"/>
      <c r="K533" s="1"/>
      <c r="L533" s="1"/>
      <c r="M533" s="55" t="s">
        <v>7</v>
      </c>
      <c r="N533" s="1"/>
      <c r="O533" s="1"/>
      <c r="P533" s="1"/>
      <c r="Q533" s="55" t="s">
        <v>7</v>
      </c>
      <c r="R533" s="55" t="s">
        <v>7</v>
      </c>
    </row>
    <row r="534" spans="1:20" ht="15.75" customHeight="1" x14ac:dyDescent="0.3">
      <c r="A534" s="15" t="s">
        <v>70</v>
      </c>
      <c r="B534" s="1"/>
      <c r="C534" s="1"/>
      <c r="D534" s="1"/>
      <c r="E534" s="55" t="s">
        <v>7</v>
      </c>
      <c r="F534" s="1"/>
      <c r="G534" s="1"/>
      <c r="H534" s="1"/>
      <c r="I534" s="55" t="s">
        <v>7</v>
      </c>
      <c r="J534" s="1"/>
      <c r="K534" s="1"/>
      <c r="L534" s="1"/>
      <c r="M534" s="55" t="s">
        <v>7</v>
      </c>
      <c r="N534" s="1"/>
      <c r="O534" s="1"/>
      <c r="P534" s="1"/>
      <c r="Q534" s="55" t="s">
        <v>7</v>
      </c>
      <c r="R534" s="55" t="s">
        <v>7</v>
      </c>
    </row>
    <row r="535" spans="1:20" ht="15.75" customHeight="1" x14ac:dyDescent="0.3">
      <c r="A535" s="71" t="s">
        <v>993</v>
      </c>
      <c r="B535" s="1"/>
      <c r="C535" s="1"/>
      <c r="D535" s="1"/>
      <c r="E535" s="55">
        <f t="shared" ref="E535:E540" si="102">SUM(B535:D535)</f>
        <v>0</v>
      </c>
      <c r="F535" s="1"/>
      <c r="G535" s="1"/>
      <c r="H535" s="1"/>
      <c r="I535" s="55">
        <f t="shared" ref="I535:I540" si="103">SUM(F535:H535)</f>
        <v>0</v>
      </c>
      <c r="J535" s="1"/>
      <c r="K535" s="1"/>
      <c r="L535" s="1"/>
      <c r="M535" s="55">
        <f t="shared" ref="M535:M540" si="104">SUM(J535:L535)</f>
        <v>0</v>
      </c>
      <c r="N535" s="1"/>
      <c r="O535" s="1"/>
      <c r="P535" s="1"/>
      <c r="Q535" s="55">
        <f t="shared" ref="Q535:Q540" si="105">SUM(N535:P535)</f>
        <v>0</v>
      </c>
      <c r="R535" s="55">
        <f t="shared" ref="R535:R540" si="106">+E535+I535+M535+Q535</f>
        <v>0</v>
      </c>
    </row>
    <row r="536" spans="1:20" ht="15.75" customHeight="1" thickBot="1" x14ac:dyDescent="0.35">
      <c r="A536" s="71" t="s">
        <v>771</v>
      </c>
      <c r="B536" s="1"/>
      <c r="C536" s="1"/>
      <c r="D536" s="1"/>
      <c r="E536" s="55">
        <f t="shared" si="102"/>
        <v>0</v>
      </c>
      <c r="F536" s="1"/>
      <c r="G536" s="1"/>
      <c r="H536" s="1"/>
      <c r="I536" s="55">
        <f t="shared" si="103"/>
        <v>0</v>
      </c>
      <c r="J536" s="1">
        <v>551</v>
      </c>
      <c r="K536" s="1">
        <v>1041</v>
      </c>
      <c r="L536" s="1">
        <v>361</v>
      </c>
      <c r="M536" s="55">
        <f t="shared" si="104"/>
        <v>1953</v>
      </c>
      <c r="N536" s="1"/>
      <c r="O536" s="1"/>
      <c r="P536" s="1"/>
      <c r="Q536" s="55">
        <f t="shared" si="105"/>
        <v>0</v>
      </c>
      <c r="R536" s="55">
        <f t="shared" si="106"/>
        <v>1953</v>
      </c>
    </row>
    <row r="537" spans="1:20" ht="16.5" customHeight="1" thickBot="1" x14ac:dyDescent="0.35">
      <c r="A537" s="57" t="s">
        <v>71</v>
      </c>
      <c r="B537" s="146">
        <f>SUM(B533:B536)</f>
        <v>0</v>
      </c>
      <c r="C537" s="146">
        <f>SUM(C533:C536)</f>
        <v>0</v>
      </c>
      <c r="D537" s="146">
        <f>SUM(D533:D536)</f>
        <v>0</v>
      </c>
      <c r="E537" s="60">
        <f t="shared" si="102"/>
        <v>0</v>
      </c>
      <c r="F537" s="146">
        <f>SUM(F533:F536)</f>
        <v>0</v>
      </c>
      <c r="G537" s="146">
        <f>SUM(G533:G536)</f>
        <v>0</v>
      </c>
      <c r="H537" s="146">
        <f>SUM(H533:H536)</f>
        <v>0</v>
      </c>
      <c r="I537" s="60">
        <f t="shared" si="103"/>
        <v>0</v>
      </c>
      <c r="J537" s="146">
        <f>SUM(J533:J536)</f>
        <v>551</v>
      </c>
      <c r="K537" s="146">
        <f>SUM(K533:K536)</f>
        <v>1041</v>
      </c>
      <c r="L537" s="146">
        <f>SUM(L533:L536)</f>
        <v>361</v>
      </c>
      <c r="M537" s="60">
        <f t="shared" si="104"/>
        <v>1953</v>
      </c>
      <c r="N537" s="146">
        <f>SUM(N533:N536)</f>
        <v>0</v>
      </c>
      <c r="O537" s="146">
        <f>SUM(O533:O536)</f>
        <v>0</v>
      </c>
      <c r="P537" s="146">
        <f>SUM(P533:P536)</f>
        <v>0</v>
      </c>
      <c r="Q537" s="60">
        <f t="shared" si="105"/>
        <v>0</v>
      </c>
      <c r="R537" s="59">
        <f t="shared" si="106"/>
        <v>1953</v>
      </c>
    </row>
    <row r="538" spans="1:20" ht="16.5" customHeight="1" thickBot="1" x14ac:dyDescent="0.35">
      <c r="A538" s="114" t="s">
        <v>72</v>
      </c>
      <c r="B538" s="86">
        <f>SUM(B524:B536)</f>
        <v>0</v>
      </c>
      <c r="C538" s="87">
        <f>SUM(C524:C536)</f>
        <v>0</v>
      </c>
      <c r="D538" s="118">
        <f>SUM(D524:D536)</f>
        <v>0</v>
      </c>
      <c r="E538" s="60">
        <f t="shared" si="102"/>
        <v>0</v>
      </c>
      <c r="F538" s="86">
        <f>SUM(F524:F536)</f>
        <v>0</v>
      </c>
      <c r="G538" s="87">
        <f>SUM(G524:G536)</f>
        <v>140</v>
      </c>
      <c r="H538" s="118">
        <f>SUM(H524:H536)</f>
        <v>1095</v>
      </c>
      <c r="I538" s="60">
        <f t="shared" si="103"/>
        <v>1235</v>
      </c>
      <c r="J538" s="86">
        <f>SUM(J524:J536)</f>
        <v>551</v>
      </c>
      <c r="K538" s="87">
        <f>SUM(K524:K536)</f>
        <v>1407</v>
      </c>
      <c r="L538" s="118">
        <f>SUM(L524:L536)</f>
        <v>3057</v>
      </c>
      <c r="M538" s="60">
        <f t="shared" si="104"/>
        <v>5015</v>
      </c>
      <c r="N538" s="86">
        <f>SUM(N524:N536)</f>
        <v>2322</v>
      </c>
      <c r="O538" s="87">
        <f>SUM(O524:O536)</f>
        <v>184</v>
      </c>
      <c r="P538" s="118">
        <f>SUM(P524:P536)</f>
        <v>3897</v>
      </c>
      <c r="Q538" s="60">
        <f t="shared" si="105"/>
        <v>6403</v>
      </c>
      <c r="R538" s="59">
        <f t="shared" si="106"/>
        <v>12653</v>
      </c>
    </row>
    <row r="539" spans="1:20" ht="16.5" customHeight="1" thickBot="1" x14ac:dyDescent="0.35">
      <c r="A539" s="57" t="s">
        <v>73</v>
      </c>
      <c r="B539" s="148">
        <f>+B512+B518+B523+B538</f>
        <v>893</v>
      </c>
      <c r="C539" s="149">
        <f>+C512+C518+C523+C538</f>
        <v>1100</v>
      </c>
      <c r="D539" s="149">
        <f>+D512+D518+D523+D538</f>
        <v>2539</v>
      </c>
      <c r="E539" s="59">
        <f t="shared" si="102"/>
        <v>4532</v>
      </c>
      <c r="F539" s="58">
        <f>+F512+F518+F523+F538</f>
        <v>6233</v>
      </c>
      <c r="G539" s="58">
        <f>+G512+G518+G523+G538</f>
        <v>2036</v>
      </c>
      <c r="H539" s="58">
        <f>+H512+H518+H523+H538</f>
        <v>3590</v>
      </c>
      <c r="I539" s="59">
        <f t="shared" si="103"/>
        <v>11859</v>
      </c>
      <c r="J539" s="58">
        <f>+J512+J518+J523+J538</f>
        <v>1927</v>
      </c>
      <c r="K539" s="58">
        <f>+K512+K518+K523+K538</f>
        <v>4750</v>
      </c>
      <c r="L539" s="58">
        <f>+L512+L518+L523+L538</f>
        <v>3563</v>
      </c>
      <c r="M539" s="59">
        <f t="shared" si="104"/>
        <v>10240</v>
      </c>
      <c r="N539" s="58">
        <f>+N512+N518+N523+N538</f>
        <v>2780</v>
      </c>
      <c r="O539" s="58">
        <f>+O512+O518+O523+O538</f>
        <v>811</v>
      </c>
      <c r="P539" s="58">
        <f>+P512+P518+P523+P538</f>
        <v>4634</v>
      </c>
      <c r="Q539" s="59">
        <f t="shared" si="105"/>
        <v>8225</v>
      </c>
      <c r="R539" s="81">
        <f t="shared" si="106"/>
        <v>34856</v>
      </c>
    </row>
    <row r="540" spans="1:20" ht="16.5" customHeight="1" thickBot="1" x14ac:dyDescent="0.35">
      <c r="A540" s="39" t="s">
        <v>40</v>
      </c>
      <c r="B540" s="21">
        <v>17</v>
      </c>
      <c r="C540" s="21">
        <v>47</v>
      </c>
      <c r="D540" s="21">
        <v>84</v>
      </c>
      <c r="E540" s="55">
        <f t="shared" si="102"/>
        <v>148</v>
      </c>
      <c r="F540" s="21">
        <v>116</v>
      </c>
      <c r="G540" s="21">
        <v>132</v>
      </c>
      <c r="H540" s="21">
        <v>138</v>
      </c>
      <c r="I540" s="55">
        <f t="shared" si="103"/>
        <v>386</v>
      </c>
      <c r="J540" s="21">
        <v>126</v>
      </c>
      <c r="K540" s="21">
        <v>95</v>
      </c>
      <c r="L540" s="21">
        <v>99</v>
      </c>
      <c r="M540" s="55">
        <f t="shared" si="104"/>
        <v>320</v>
      </c>
      <c r="N540" s="21">
        <v>91</v>
      </c>
      <c r="O540" s="21">
        <v>67</v>
      </c>
      <c r="P540" s="21">
        <v>38</v>
      </c>
      <c r="Q540" s="55">
        <f t="shared" si="105"/>
        <v>196</v>
      </c>
      <c r="R540" s="55">
        <f t="shared" si="106"/>
        <v>1050</v>
      </c>
    </row>
    <row r="541" spans="1:20" ht="16.5" customHeight="1" thickBot="1" x14ac:dyDescent="0.35">
      <c r="A541" s="41"/>
      <c r="B541" s="36"/>
      <c r="C541" s="36"/>
      <c r="D541" s="36"/>
      <c r="E541" s="42"/>
      <c r="F541" s="36"/>
      <c r="G541" s="36"/>
      <c r="H541" s="36"/>
      <c r="I541" s="42"/>
      <c r="J541" s="36"/>
      <c r="K541" s="36"/>
      <c r="L541" s="36"/>
      <c r="M541" s="42"/>
      <c r="N541" s="36"/>
      <c r="O541" s="36"/>
      <c r="P541" s="36"/>
      <c r="Q541" s="42"/>
      <c r="R541" s="42"/>
    </row>
    <row r="542" spans="1:20" ht="15.75" customHeight="1" x14ac:dyDescent="0.3">
      <c r="A542" s="76" t="s">
        <v>314</v>
      </c>
      <c r="B542" s="77">
        <f>SUM(B539:B540)</f>
        <v>910</v>
      </c>
      <c r="C542" s="77">
        <f>SUM(C539:C540)</f>
        <v>1147</v>
      </c>
      <c r="D542" s="77">
        <f>SUM(D539:D540)</f>
        <v>2623</v>
      </c>
      <c r="E542" s="60">
        <f>SUM(B542:D542)</f>
        <v>4680</v>
      </c>
      <c r="F542" s="77">
        <f>SUM(F539:F540)</f>
        <v>6349</v>
      </c>
      <c r="G542" s="77">
        <f>SUM(G539:G540)</f>
        <v>2168</v>
      </c>
      <c r="H542" s="77">
        <f>SUM(H539:H540)</f>
        <v>3728</v>
      </c>
      <c r="I542" s="60">
        <f>SUM(F542:H542)</f>
        <v>12245</v>
      </c>
      <c r="J542" s="77">
        <f>SUM(J539:J540)</f>
        <v>2053</v>
      </c>
      <c r="K542" s="77">
        <f>SUM(K539:K540)</f>
        <v>4845</v>
      </c>
      <c r="L542" s="77">
        <f>SUM(L539:L540)</f>
        <v>3662</v>
      </c>
      <c r="M542" s="60">
        <f>SUM(J542:L542)</f>
        <v>10560</v>
      </c>
      <c r="N542" s="77">
        <f>SUM(N539:N540)</f>
        <v>2871</v>
      </c>
      <c r="O542" s="77">
        <f>SUM(O539:O540)</f>
        <v>878</v>
      </c>
      <c r="P542" s="77">
        <f>SUM(P539:P540)</f>
        <v>4672</v>
      </c>
      <c r="Q542" s="60">
        <f>SUM(N542:P542)</f>
        <v>8421</v>
      </c>
      <c r="R542" s="60">
        <f>+E542+I542+M542+Q542</f>
        <v>35906</v>
      </c>
    </row>
    <row r="543" spans="1:20" ht="15.75" customHeight="1" x14ac:dyDescent="0.3">
      <c r="A543" s="79" t="s">
        <v>42</v>
      </c>
      <c r="B543" s="1">
        <f>(B542/B10)/1.983</f>
        <v>14.80324695394726</v>
      </c>
      <c r="C543" s="1">
        <f>(C542/C10)/1.983</f>
        <v>20.657733592680643</v>
      </c>
      <c r="D543" s="1">
        <f>(D542/D10)/1.983</f>
        <v>42.669139296927099</v>
      </c>
      <c r="E543" s="55" t="s">
        <v>7</v>
      </c>
      <c r="F543" s="1">
        <f>(F542/F10)/1.983</f>
        <v>106.72381912926541</v>
      </c>
      <c r="G543" s="1">
        <f>(G542/G10)/1.983</f>
        <v>35.267515819953474</v>
      </c>
      <c r="H543" s="1">
        <f>(H542/H10)/1.983</f>
        <v>62.665994284753737</v>
      </c>
      <c r="I543" s="55" t="s">
        <v>7</v>
      </c>
      <c r="J543" s="1">
        <f>(J542/J10)/1.983</f>
        <v>33.396775820278819</v>
      </c>
      <c r="K543" s="1">
        <f>(K542/K10)/1.983</f>
        <v>78.815089551510411</v>
      </c>
      <c r="L543" s="1">
        <f>(L542/L10)/1.983</f>
        <v>61.556564128424938</v>
      </c>
      <c r="M543" s="55" t="s">
        <v>7</v>
      </c>
      <c r="N543" s="1">
        <f>(N542/N10)/1.983</f>
        <v>46.703430774486357</v>
      </c>
      <c r="O543" s="1">
        <f>(O542/O10)/1.983</f>
        <v>14.758782988737602</v>
      </c>
      <c r="P543" s="1">
        <f>(P542/P10)/1.983</f>
        <v>76.000845899825947</v>
      </c>
      <c r="Q543" s="55" t="s">
        <v>7</v>
      </c>
      <c r="R543" s="55" t="s">
        <v>7</v>
      </c>
    </row>
    <row r="544" spans="1:20" ht="15.75" customHeight="1" x14ac:dyDescent="0.3">
      <c r="A544" s="79" t="s">
        <v>332</v>
      </c>
      <c r="B544" s="1">
        <f>B542+B554</f>
        <v>15384</v>
      </c>
      <c r="C544" s="1">
        <f>C542+C554</f>
        <v>17486</v>
      </c>
      <c r="D544" s="1">
        <f>D542+D554</f>
        <v>19825</v>
      </c>
      <c r="E544" s="55">
        <f>SUM(B544:D544)</f>
        <v>52695</v>
      </c>
      <c r="F544" s="1">
        <f>F542+F554</f>
        <v>27580</v>
      </c>
      <c r="G544" s="1">
        <f>G542+G554</f>
        <v>21820</v>
      </c>
      <c r="H544" s="1">
        <f>H542+H554</f>
        <v>21598</v>
      </c>
      <c r="I544" s="55">
        <f>SUM(F544:H544)</f>
        <v>70998</v>
      </c>
      <c r="J544" s="1">
        <f>J542+J554</f>
        <v>19340</v>
      </c>
      <c r="K544" s="1">
        <f>K542+K554</f>
        <v>23365</v>
      </c>
      <c r="L544" s="1">
        <f>L542+L554</f>
        <v>21340</v>
      </c>
      <c r="M544" s="55">
        <f>SUM(J544:L544)</f>
        <v>64045</v>
      </c>
      <c r="N544" s="1">
        <f>N542+N554</f>
        <v>14361</v>
      </c>
      <c r="O544" s="1">
        <f>O542+O554</f>
        <v>8259</v>
      </c>
      <c r="P544" s="1">
        <f>P542+P554</f>
        <v>18506</v>
      </c>
      <c r="Q544" s="55">
        <f>SUM(N544:P544)</f>
        <v>41126</v>
      </c>
      <c r="R544" s="55">
        <f>+E544+I544+M544+Q544</f>
        <v>228864</v>
      </c>
    </row>
    <row r="545" spans="1:18" ht="16.5" customHeight="1" thickBot="1" x14ac:dyDescent="0.35">
      <c r="A545" s="80" t="s">
        <v>333</v>
      </c>
      <c r="B545" s="25">
        <f>(B544/B10)/1.983</f>
        <v>250.2562100434337</v>
      </c>
      <c r="C545" s="25">
        <f>(C544/C10)/1.983</f>
        <v>314.92687846696924</v>
      </c>
      <c r="D545" s="25">
        <f>(D544/D10)/1.983</f>
        <v>322.4993086395653</v>
      </c>
      <c r="E545" s="81" t="s">
        <v>7</v>
      </c>
      <c r="F545" s="25">
        <f>(F544/F10)/1.983</f>
        <v>463.60732896285089</v>
      </c>
      <c r="G545" s="25">
        <f>(G544/G10)/1.983</f>
        <v>354.95258080783429</v>
      </c>
      <c r="H545" s="25">
        <f>(H544/H10)/1.983</f>
        <v>363.05261388468648</v>
      </c>
      <c r="I545" s="81" t="s">
        <v>7</v>
      </c>
      <c r="J545" s="25">
        <f>(J544/J10)/1.983</f>
        <v>314.60966603224176</v>
      </c>
      <c r="K545" s="25">
        <f>(K544/K10)/1.983</f>
        <v>380.08556602085469</v>
      </c>
      <c r="L545" s="25">
        <f>(L544/L10)/1.983</f>
        <v>358.71575054631029</v>
      </c>
      <c r="M545" s="81" t="s">
        <v>7</v>
      </c>
      <c r="N545" s="25">
        <f>(N544/N10)/1.983</f>
        <v>233.61475769850176</v>
      </c>
      <c r="O545" s="25">
        <f>(O544/O10)/1.983</f>
        <v>138.83005547150782</v>
      </c>
      <c r="P545" s="25">
        <f>(P544/P10)/1.983</f>
        <v>301.04273420851433</v>
      </c>
      <c r="Q545" s="81" t="s">
        <v>7</v>
      </c>
      <c r="R545" s="81" t="s">
        <v>7</v>
      </c>
    </row>
    <row r="546" spans="1:18" ht="15.75" customHeight="1" x14ac:dyDescent="0.3">
      <c r="A546" s="2"/>
      <c r="B546" s="1"/>
      <c r="C546" s="1"/>
      <c r="D546" s="1"/>
      <c r="E546" s="1"/>
      <c r="F546" s="1"/>
      <c r="G546" s="1"/>
      <c r="H546" s="1"/>
      <c r="I546" s="1"/>
      <c r="J546" s="1"/>
      <c r="K546" s="1"/>
      <c r="L546" s="1"/>
      <c r="M546" s="1"/>
      <c r="N546" s="1"/>
      <c r="O546" s="1"/>
      <c r="P546" s="1"/>
      <c r="Q546" s="1"/>
      <c r="R546" s="2"/>
    </row>
    <row r="547" spans="1:18" ht="16.5" customHeight="1" thickBot="1" x14ac:dyDescent="0.35">
      <c r="A547" s="106"/>
      <c r="B547" s="21"/>
      <c r="C547" s="21"/>
      <c r="D547" s="21"/>
      <c r="E547" s="21"/>
      <c r="F547" s="21"/>
      <c r="G547" s="21"/>
      <c r="H547" s="21"/>
      <c r="I547" s="21"/>
      <c r="J547" s="21"/>
      <c r="K547" s="21"/>
      <c r="L547" s="21"/>
      <c r="M547" s="21"/>
      <c r="N547" s="21"/>
      <c r="O547" s="21"/>
      <c r="P547" s="21"/>
      <c r="Q547" s="21"/>
      <c r="R547" s="106"/>
    </row>
    <row r="548" spans="1:18" ht="16.5" customHeight="1" thickBot="1" x14ac:dyDescent="0.35">
      <c r="A548" s="124" t="s">
        <v>334</v>
      </c>
      <c r="B548" s="30" t="s">
        <v>8</v>
      </c>
      <c r="C548" s="31" t="s">
        <v>9</v>
      </c>
      <c r="D548" s="31" t="s">
        <v>10</v>
      </c>
      <c r="E548" s="32" t="s">
        <v>11</v>
      </c>
      <c r="F548" s="31" t="s">
        <v>12</v>
      </c>
      <c r="G548" s="31" t="s">
        <v>13</v>
      </c>
      <c r="H548" s="31" t="s">
        <v>14</v>
      </c>
      <c r="I548" s="33" t="s">
        <v>15</v>
      </c>
      <c r="J548" s="31" t="s">
        <v>16</v>
      </c>
      <c r="K548" s="31" t="s">
        <v>17</v>
      </c>
      <c r="L548" s="31" t="s">
        <v>18</v>
      </c>
      <c r="M548" s="33" t="s">
        <v>19</v>
      </c>
      <c r="N548" s="31" t="s">
        <v>20</v>
      </c>
      <c r="O548" s="31" t="s">
        <v>21</v>
      </c>
      <c r="P548" s="31" t="s">
        <v>22</v>
      </c>
      <c r="Q548" s="32" t="s">
        <v>23</v>
      </c>
      <c r="R548" s="49" t="s">
        <v>24</v>
      </c>
    </row>
    <row r="549" spans="1:18" ht="16.5" customHeight="1" thickBot="1" x14ac:dyDescent="0.35">
      <c r="A549" s="41"/>
      <c r="B549" s="36"/>
      <c r="C549" s="36"/>
      <c r="D549" s="36"/>
      <c r="E549" s="37"/>
      <c r="F549" s="36"/>
      <c r="G549" s="36"/>
      <c r="H549" s="36"/>
      <c r="I549" s="37"/>
      <c r="J549" s="36"/>
      <c r="K549" s="36"/>
      <c r="L549" s="36"/>
      <c r="M549" s="37"/>
      <c r="N549" s="36"/>
      <c r="O549" s="36"/>
      <c r="P549" s="36"/>
      <c r="Q549" s="127"/>
      <c r="R549" s="128"/>
    </row>
    <row r="550" spans="1:18" ht="16.5" customHeight="1" thickBot="1" x14ac:dyDescent="0.35">
      <c r="A550" s="39" t="s">
        <v>40</v>
      </c>
      <c r="B550" s="21">
        <v>20</v>
      </c>
      <c r="C550" s="21">
        <v>22</v>
      </c>
      <c r="D550" s="21">
        <v>28</v>
      </c>
      <c r="E550" s="55">
        <f>SUM(B550:D550)</f>
        <v>70</v>
      </c>
      <c r="F550" s="21">
        <v>37</v>
      </c>
      <c r="G550" s="21">
        <v>42</v>
      </c>
      <c r="H550" s="21">
        <v>44</v>
      </c>
      <c r="I550" s="55">
        <f>SUM(F550:H550)</f>
        <v>123</v>
      </c>
      <c r="J550" s="21">
        <v>39</v>
      </c>
      <c r="K550" s="21">
        <v>36</v>
      </c>
      <c r="L550" s="21">
        <v>34</v>
      </c>
      <c r="M550" s="55">
        <f>SUM(J550:L550)</f>
        <v>109</v>
      </c>
      <c r="N550" s="21">
        <v>29</v>
      </c>
      <c r="O550" s="21">
        <v>23</v>
      </c>
      <c r="P550" s="21">
        <v>19</v>
      </c>
      <c r="Q550" s="55">
        <f>SUM(N550:P550)</f>
        <v>71</v>
      </c>
      <c r="R550" s="55">
        <f>+E550+I550+M550+Q550</f>
        <v>373</v>
      </c>
    </row>
    <row r="551" spans="1:18" ht="16.5" customHeight="1" thickBot="1" x14ac:dyDescent="0.35">
      <c r="A551" s="41"/>
      <c r="B551" s="36"/>
      <c r="C551" s="36"/>
      <c r="D551" s="36"/>
      <c r="E551" s="52"/>
      <c r="F551" s="36"/>
      <c r="G551" s="36"/>
      <c r="H551" s="36"/>
      <c r="I551" s="52"/>
      <c r="J551" s="36"/>
      <c r="K551" s="36"/>
      <c r="L551" s="36"/>
      <c r="M551" s="52"/>
      <c r="N551" s="36"/>
      <c r="O551" s="36"/>
      <c r="P551" s="36"/>
      <c r="Q551" s="52"/>
      <c r="R551" s="42"/>
    </row>
    <row r="552" spans="1:18" ht="15.75" customHeight="1" x14ac:dyDescent="0.3">
      <c r="A552" s="76" t="s">
        <v>314</v>
      </c>
      <c r="B552" s="77">
        <f>B550</f>
        <v>20</v>
      </c>
      <c r="C552" s="77">
        <f>C550</f>
        <v>22</v>
      </c>
      <c r="D552" s="77">
        <f>D550</f>
        <v>28</v>
      </c>
      <c r="E552" s="60">
        <f>SUM(B552:D552)</f>
        <v>70</v>
      </c>
      <c r="F552" s="77">
        <f>F550</f>
        <v>37</v>
      </c>
      <c r="G552" s="77">
        <f>G550</f>
        <v>42</v>
      </c>
      <c r="H552" s="77">
        <f>H550</f>
        <v>44</v>
      </c>
      <c r="I552" s="60">
        <f>SUM(F552:H552)</f>
        <v>123</v>
      </c>
      <c r="J552" s="77">
        <f>J550</f>
        <v>39</v>
      </c>
      <c r="K552" s="77">
        <f>K550</f>
        <v>36</v>
      </c>
      <c r="L552" s="77">
        <f>L550</f>
        <v>34</v>
      </c>
      <c r="M552" s="60">
        <f>SUM(J552:L552)</f>
        <v>109</v>
      </c>
      <c r="N552" s="77">
        <f>N550</f>
        <v>29</v>
      </c>
      <c r="O552" s="77">
        <f>O550</f>
        <v>23</v>
      </c>
      <c r="P552" s="77">
        <f>P550</f>
        <v>19</v>
      </c>
      <c r="Q552" s="60">
        <f>SUM(N552:P552)</f>
        <v>71</v>
      </c>
      <c r="R552" s="60">
        <f>+E552+I552+M552+Q552</f>
        <v>373</v>
      </c>
    </row>
    <row r="553" spans="1:18" ht="15.75" customHeight="1" x14ac:dyDescent="0.3">
      <c r="A553" s="79" t="s">
        <v>42</v>
      </c>
      <c r="B553" s="1">
        <f>(B552/B10)/1.983</f>
        <v>0.32534608689993977</v>
      </c>
      <c r="C553" s="1">
        <f>(C552/C10)/1.983</f>
        <v>0.39622505583171236</v>
      </c>
      <c r="D553" s="1">
        <f>(D552/D10)/1.983</f>
        <v>0.45548452165991571</v>
      </c>
      <c r="E553" s="55" t="s">
        <v>7</v>
      </c>
      <c r="F553" s="1">
        <f>(F552/F10)/1.983</f>
        <v>0.62195326945705165</v>
      </c>
      <c r="G553" s="1">
        <f>(G552/G10)/1.983</f>
        <v>0.68322678248987356</v>
      </c>
      <c r="H553" s="1">
        <f>(H552/H10)/1.983</f>
        <v>0.73962010421919644</v>
      </c>
      <c r="I553" s="55" t="s">
        <v>7</v>
      </c>
      <c r="J553" s="1">
        <f>(J552/J10)/1.983</f>
        <v>0.63442486945488263</v>
      </c>
      <c r="K553" s="1">
        <f>(K552/K10)/1.983</f>
        <v>0.5856229564198917</v>
      </c>
      <c r="L553" s="1">
        <f>(L552/L10)/1.983</f>
        <v>0.57152462598756093</v>
      </c>
      <c r="M553" s="55" t="s">
        <v>7</v>
      </c>
      <c r="N553" s="1">
        <f>(N552/N10)/1.983</f>
        <v>0.47175182600491267</v>
      </c>
      <c r="O553" s="1">
        <f>(O552/O10)/1.983</f>
        <v>0.38661959993276179</v>
      </c>
      <c r="P553" s="1">
        <f>(P552/P10)/1.983</f>
        <v>0.30907878255494281</v>
      </c>
      <c r="Q553" s="55" t="s">
        <v>7</v>
      </c>
      <c r="R553" s="55" t="s">
        <v>7</v>
      </c>
    </row>
    <row r="554" spans="1:18" ht="15.75" customHeight="1" x14ac:dyDescent="0.3">
      <c r="A554" s="79" t="s">
        <v>335</v>
      </c>
      <c r="B554" s="1">
        <f>B552+B590</f>
        <v>14474</v>
      </c>
      <c r="C554" s="1">
        <f>C552+C590</f>
        <v>16339</v>
      </c>
      <c r="D554" s="1">
        <f>D552+D590</f>
        <v>17202</v>
      </c>
      <c r="E554" s="55">
        <f>SUM(B554:D554)</f>
        <v>48015</v>
      </c>
      <c r="F554" s="1">
        <f>F552+F590</f>
        <v>21231</v>
      </c>
      <c r="G554" s="1">
        <f>G552+G590</f>
        <v>19652</v>
      </c>
      <c r="H554" s="1">
        <f>H552+H590</f>
        <v>17870</v>
      </c>
      <c r="I554" s="55">
        <f>SUM(F554:H554)</f>
        <v>58753</v>
      </c>
      <c r="J554" s="1">
        <f>J552+J590</f>
        <v>17287</v>
      </c>
      <c r="K554" s="1">
        <f>K552+K590</f>
        <v>18520</v>
      </c>
      <c r="L554" s="1">
        <f>L552+L590</f>
        <v>17678</v>
      </c>
      <c r="M554" s="55">
        <f>SUM(J554:L554)</f>
        <v>53485</v>
      </c>
      <c r="N554" s="1">
        <f>N552+N590</f>
        <v>11490</v>
      </c>
      <c r="O554" s="1">
        <f>O552+O590</f>
        <v>7381</v>
      </c>
      <c r="P554" s="1">
        <f>P552+P590</f>
        <v>13834</v>
      </c>
      <c r="Q554" s="55">
        <f>SUM(N554:P554)</f>
        <v>32705</v>
      </c>
      <c r="R554" s="55">
        <f>+E554+I554+M554+Q554</f>
        <v>192958</v>
      </c>
    </row>
    <row r="555" spans="1:18" ht="16.5" customHeight="1" thickBot="1" x14ac:dyDescent="0.35">
      <c r="A555" s="80" t="s">
        <v>336</v>
      </c>
      <c r="B555" s="25">
        <f>(B554/B10)/1.983</f>
        <v>235.45296308948642</v>
      </c>
      <c r="C555" s="25">
        <f>(C554/C10)/1.983</f>
        <v>294.2691448742886</v>
      </c>
      <c r="D555" s="25">
        <f>(D554/D10)/1.983</f>
        <v>279.83016934263821</v>
      </c>
      <c r="E555" s="81" t="s">
        <v>7</v>
      </c>
      <c r="F555" s="25">
        <f>(F554/F10)/1.983</f>
        <v>356.88350983358549</v>
      </c>
      <c r="G555" s="25">
        <f>(G554/G10)/1.983</f>
        <v>319.68506498788082</v>
      </c>
      <c r="H555" s="25">
        <f>(H554/H10)/1.983</f>
        <v>300.38661959993271</v>
      </c>
      <c r="I555" s="81" t="s">
        <v>7</v>
      </c>
      <c r="J555" s="25">
        <f>(J554/J10)/1.983</f>
        <v>281.21289021196293</v>
      </c>
      <c r="K555" s="25">
        <f>(K554/K10)/1.983</f>
        <v>301.2704764693442</v>
      </c>
      <c r="L555" s="25">
        <f>(L554/L10)/1.983</f>
        <v>297.15918641788534</v>
      </c>
      <c r="M555" s="81" t="s">
        <v>7</v>
      </c>
      <c r="N555" s="25">
        <f>(N554/N10)/1.983</f>
        <v>186.91132692401541</v>
      </c>
      <c r="O555" s="25">
        <f>(O554/O10)/1.983</f>
        <v>124.07127248277021</v>
      </c>
      <c r="P555" s="25">
        <f>(P554/P10)/1.983</f>
        <v>225.04188830868836</v>
      </c>
      <c r="Q555" s="81" t="s">
        <v>7</v>
      </c>
      <c r="R555" s="81" t="s">
        <v>7</v>
      </c>
    </row>
    <row r="556" spans="1:18" ht="15.75" customHeight="1" x14ac:dyDescent="0.3">
      <c r="A556" s="28"/>
      <c r="B556" s="1"/>
      <c r="C556" s="1"/>
      <c r="D556" s="1"/>
      <c r="E556" s="1"/>
      <c r="F556" s="1"/>
      <c r="G556" s="1"/>
      <c r="H556" s="1"/>
      <c r="I556" s="1"/>
      <c r="J556" s="1"/>
      <c r="K556" s="1"/>
      <c r="L556" s="1"/>
      <c r="M556" s="1"/>
      <c r="N556" s="1"/>
      <c r="O556" s="1"/>
      <c r="P556" s="1"/>
      <c r="Q556" s="1"/>
      <c r="R556" s="2"/>
    </row>
    <row r="557" spans="1:18" ht="15.75" customHeight="1" thickBot="1" x14ac:dyDescent="0.35">
      <c r="A557" s="28"/>
      <c r="B557" s="1"/>
      <c r="C557" s="1"/>
      <c r="D557" s="1"/>
      <c r="E557" s="1"/>
      <c r="F557" s="1"/>
      <c r="G557" s="1"/>
      <c r="H557" s="1"/>
      <c r="I557" s="1"/>
      <c r="J557" s="1"/>
      <c r="K557" s="1"/>
      <c r="L557" s="1"/>
      <c r="M557" s="1"/>
      <c r="N557" s="1"/>
      <c r="O557" s="1"/>
      <c r="P557" s="1"/>
      <c r="Q557" s="1"/>
      <c r="R557" s="2"/>
    </row>
    <row r="558" spans="1:18" ht="16.5" customHeight="1" thickBot="1" x14ac:dyDescent="0.35">
      <c r="A558" s="29" t="s">
        <v>337</v>
      </c>
      <c r="B558" s="30" t="s">
        <v>8</v>
      </c>
      <c r="C558" s="31" t="s">
        <v>9</v>
      </c>
      <c r="D558" s="31" t="s">
        <v>10</v>
      </c>
      <c r="E558" s="32" t="s">
        <v>11</v>
      </c>
      <c r="F558" s="31" t="s">
        <v>12</v>
      </c>
      <c r="G558" s="31" t="s">
        <v>13</v>
      </c>
      <c r="H558" s="31" t="s">
        <v>14</v>
      </c>
      <c r="I558" s="33" t="s">
        <v>15</v>
      </c>
      <c r="J558" s="31" t="s">
        <v>16</v>
      </c>
      <c r="K558" s="31" t="s">
        <v>17</v>
      </c>
      <c r="L558" s="31" t="s">
        <v>18</v>
      </c>
      <c r="M558" s="33" t="s">
        <v>19</v>
      </c>
      <c r="N558" s="31" t="s">
        <v>20</v>
      </c>
      <c r="O558" s="31" t="s">
        <v>21</v>
      </c>
      <c r="P558" s="31" t="s">
        <v>22</v>
      </c>
      <c r="Q558" s="33" t="s">
        <v>23</v>
      </c>
      <c r="R558" s="34" t="s">
        <v>24</v>
      </c>
    </row>
    <row r="559" spans="1:18" ht="16.5" customHeight="1" thickBot="1" x14ac:dyDescent="0.35">
      <c r="A559" s="41"/>
      <c r="B559" s="36"/>
      <c r="C559" s="36"/>
      <c r="D559" s="36"/>
      <c r="E559" s="52"/>
      <c r="F559" s="36"/>
      <c r="G559" s="36"/>
      <c r="H559" s="36"/>
      <c r="I559" s="52"/>
      <c r="J559" s="36"/>
      <c r="K559" s="36"/>
      <c r="L559" s="36"/>
      <c r="M559" s="52"/>
      <c r="N559" s="36"/>
      <c r="O559" s="36"/>
      <c r="P559" s="36"/>
      <c r="Q559" s="52"/>
      <c r="R559" s="38"/>
    </row>
    <row r="560" spans="1:18" ht="15.75" customHeight="1" x14ac:dyDescent="0.3">
      <c r="A560" s="15" t="s">
        <v>48</v>
      </c>
      <c r="B560" s="1" t="s">
        <v>7</v>
      </c>
      <c r="C560" s="1" t="s">
        <v>7</v>
      </c>
      <c r="D560" s="1" t="s">
        <v>7</v>
      </c>
      <c r="E560" s="55" t="s">
        <v>7</v>
      </c>
      <c r="F560" s="1" t="s">
        <v>7</v>
      </c>
      <c r="G560" s="1" t="s">
        <v>7</v>
      </c>
      <c r="H560" s="1" t="s">
        <v>7</v>
      </c>
      <c r="I560" s="55" t="s">
        <v>7</v>
      </c>
      <c r="J560" s="1" t="s">
        <v>7</v>
      </c>
      <c r="K560" s="1" t="s">
        <v>7</v>
      </c>
      <c r="L560" s="1" t="s">
        <v>7</v>
      </c>
      <c r="M560" s="55" t="s">
        <v>7</v>
      </c>
      <c r="N560" s="1" t="s">
        <v>7</v>
      </c>
      <c r="O560" s="1" t="s">
        <v>7</v>
      </c>
      <c r="P560" s="1" t="s">
        <v>7</v>
      </c>
      <c r="Q560" s="55" t="s">
        <v>7</v>
      </c>
      <c r="R560" s="55" t="s">
        <v>7</v>
      </c>
    </row>
    <row r="561" spans="1:18" ht="15.75" customHeight="1" x14ac:dyDescent="0.3">
      <c r="A561" s="15" t="s">
        <v>49</v>
      </c>
      <c r="B561" s="1"/>
      <c r="C561" s="1"/>
      <c r="D561" s="1"/>
      <c r="E561" s="55" t="s">
        <v>7</v>
      </c>
      <c r="F561" s="1"/>
      <c r="G561" s="1"/>
      <c r="H561" s="1"/>
      <c r="I561" s="55" t="s">
        <v>7</v>
      </c>
      <c r="J561" s="1"/>
      <c r="K561" s="1"/>
      <c r="L561" s="1"/>
      <c r="M561" s="55" t="s">
        <v>7</v>
      </c>
      <c r="N561" s="1"/>
      <c r="O561" s="1"/>
      <c r="P561" s="1"/>
      <c r="Q561" s="55" t="s">
        <v>7</v>
      </c>
      <c r="R561" s="55" t="s">
        <v>7</v>
      </c>
    </row>
    <row r="562" spans="1:18" ht="15.75" customHeight="1" x14ac:dyDescent="0.3">
      <c r="A562" s="71" t="s">
        <v>994</v>
      </c>
      <c r="B562" s="1"/>
      <c r="C562" s="1"/>
      <c r="D562" s="1">
        <v>46</v>
      </c>
      <c r="E562" s="55">
        <f>SUM(B562:D562)</f>
        <v>46</v>
      </c>
      <c r="F562" s="1">
        <v>1723</v>
      </c>
      <c r="G562" s="1">
        <v>1295</v>
      </c>
      <c r="H562" s="1">
        <v>2116</v>
      </c>
      <c r="I562" s="55">
        <f>SUM(F562:H562)</f>
        <v>5134</v>
      </c>
      <c r="J562" s="1">
        <v>2208</v>
      </c>
      <c r="K562" s="1">
        <v>1947</v>
      </c>
      <c r="L562" s="1">
        <v>1342</v>
      </c>
      <c r="M562" s="55">
        <f>SUM(J562:L562)</f>
        <v>5497</v>
      </c>
      <c r="N562" s="1">
        <v>324</v>
      </c>
      <c r="O562" s="1">
        <v>22</v>
      </c>
      <c r="P562" s="1">
        <v>2</v>
      </c>
      <c r="Q562" s="55">
        <f>SUM(N562:P562)</f>
        <v>348</v>
      </c>
      <c r="R562" s="55">
        <f>+E562+I562+M562+Q562</f>
        <v>11025</v>
      </c>
    </row>
    <row r="563" spans="1:18" ht="15.75" customHeight="1" x14ac:dyDescent="0.3">
      <c r="A563" s="71" t="s">
        <v>995</v>
      </c>
      <c r="B563" s="1"/>
      <c r="C563" s="1"/>
      <c r="D563" s="1"/>
      <c r="E563" s="55">
        <f>SUM(B563:D563)</f>
        <v>0</v>
      </c>
      <c r="F563" s="1">
        <v>126</v>
      </c>
      <c r="G563" s="1">
        <v>541</v>
      </c>
      <c r="H563" s="1">
        <v>460</v>
      </c>
      <c r="I563" s="55">
        <f>SUM(F563:H563)</f>
        <v>1127</v>
      </c>
      <c r="J563" s="1">
        <v>605</v>
      </c>
      <c r="K563" s="1">
        <v>405</v>
      </c>
      <c r="L563" s="1">
        <v>447</v>
      </c>
      <c r="M563" s="55">
        <f>SUM(J563:L563)</f>
        <v>1457</v>
      </c>
      <c r="N563" s="1">
        <v>135</v>
      </c>
      <c r="O563" s="1">
        <v>143</v>
      </c>
      <c r="P563" s="1">
        <v>194</v>
      </c>
      <c r="Q563" s="55">
        <f>SUM(N563:P563)</f>
        <v>472</v>
      </c>
      <c r="R563" s="55">
        <f>+E563+I563+M563+Q563</f>
        <v>3056</v>
      </c>
    </row>
    <row r="564" spans="1:18" ht="15.75" customHeight="1" x14ac:dyDescent="0.3">
      <c r="A564" s="71" t="s">
        <v>339</v>
      </c>
      <c r="B564" s="1"/>
      <c r="C564" s="1"/>
      <c r="D564" s="1"/>
      <c r="E564" s="55">
        <f>SUM(B564:D564)</f>
        <v>0</v>
      </c>
      <c r="F564" s="1">
        <v>71</v>
      </c>
      <c r="G564" s="1">
        <v>0</v>
      </c>
      <c r="H564" s="1">
        <v>88</v>
      </c>
      <c r="I564" s="55">
        <f>SUM(F564:H564)</f>
        <v>159</v>
      </c>
      <c r="J564" s="1">
        <v>50</v>
      </c>
      <c r="K564" s="1">
        <v>122</v>
      </c>
      <c r="L564" s="1"/>
      <c r="M564" s="55">
        <f>SUM(J564:L564)</f>
        <v>172</v>
      </c>
      <c r="N564" s="1"/>
      <c r="O564" s="1"/>
      <c r="P564" s="1"/>
      <c r="Q564" s="55">
        <f>SUM(N564:P564)</f>
        <v>0</v>
      </c>
      <c r="R564" s="55">
        <f>+E564+I564+M564+Q564</f>
        <v>331</v>
      </c>
    </row>
    <row r="565" spans="1:18" ht="15.75" customHeight="1" x14ac:dyDescent="0.3">
      <c r="A565" s="15" t="s">
        <v>50</v>
      </c>
      <c r="B565" s="1"/>
      <c r="C565" s="1"/>
      <c r="D565" s="1"/>
      <c r="E565" s="55" t="s">
        <v>7</v>
      </c>
      <c r="F565" s="1"/>
      <c r="G565" s="1"/>
      <c r="H565" s="1"/>
      <c r="I565" s="55" t="s">
        <v>7</v>
      </c>
      <c r="J565" s="1"/>
      <c r="K565" s="1"/>
      <c r="L565" s="1"/>
      <c r="M565" s="55" t="s">
        <v>7</v>
      </c>
      <c r="N565" s="1"/>
      <c r="O565" s="1"/>
      <c r="P565" s="1"/>
      <c r="Q565" s="55" t="s">
        <v>7</v>
      </c>
      <c r="R565" s="55" t="s">
        <v>7</v>
      </c>
    </row>
    <row r="566" spans="1:18" ht="15.75" customHeight="1" x14ac:dyDescent="0.3">
      <c r="A566" s="15" t="s">
        <v>51</v>
      </c>
      <c r="B566" s="1"/>
      <c r="C566" s="1"/>
      <c r="D566" s="1"/>
      <c r="E566" s="55" t="s">
        <v>7</v>
      </c>
      <c r="F566" s="1"/>
      <c r="G566" s="1"/>
      <c r="H566" s="1"/>
      <c r="I566" s="55" t="s">
        <v>7</v>
      </c>
      <c r="J566" s="1"/>
      <c r="K566" s="1"/>
      <c r="L566" s="1"/>
      <c r="M566" s="55" t="s">
        <v>7</v>
      </c>
      <c r="N566" s="1"/>
      <c r="O566" s="1"/>
      <c r="P566" s="1"/>
      <c r="Q566" s="55" t="s">
        <v>7</v>
      </c>
      <c r="R566" s="55" t="s">
        <v>7</v>
      </c>
    </row>
    <row r="567" spans="1:18" ht="15.75" customHeight="1" thickBot="1" x14ac:dyDescent="0.35">
      <c r="A567" s="15" t="s">
        <v>53</v>
      </c>
      <c r="B567" s="1"/>
      <c r="C567" s="1"/>
      <c r="D567" s="1"/>
      <c r="E567" s="55" t="s">
        <v>7</v>
      </c>
      <c r="F567" s="1"/>
      <c r="G567" s="1"/>
      <c r="H567" s="1"/>
      <c r="I567" s="55" t="s">
        <v>7</v>
      </c>
      <c r="J567" s="1"/>
      <c r="K567" s="1"/>
      <c r="L567" s="1"/>
      <c r="M567" s="55" t="s">
        <v>7</v>
      </c>
      <c r="N567" s="1"/>
      <c r="O567" s="1"/>
      <c r="P567" s="1"/>
      <c r="Q567" s="55" t="s">
        <v>7</v>
      </c>
      <c r="R567" s="55" t="s">
        <v>7</v>
      </c>
    </row>
    <row r="568" spans="1:18" ht="16.5" customHeight="1" thickBot="1" x14ac:dyDescent="0.35">
      <c r="A568" s="109" t="s">
        <v>54</v>
      </c>
      <c r="B568" s="86">
        <f>SUM(B560:B567)</f>
        <v>0</v>
      </c>
      <c r="C568" s="87">
        <f>SUM(C560:C567)</f>
        <v>0</v>
      </c>
      <c r="D568" s="87">
        <f>SUM(D560:D567)</f>
        <v>46</v>
      </c>
      <c r="E568" s="59">
        <f>SUM(B568:D568)</f>
        <v>46</v>
      </c>
      <c r="F568" s="87">
        <f>SUM(F560:F567)</f>
        <v>1920</v>
      </c>
      <c r="G568" s="87">
        <f>SUM(G560:G567)</f>
        <v>1836</v>
      </c>
      <c r="H568" s="87">
        <f>SUM(H560:H567)</f>
        <v>2664</v>
      </c>
      <c r="I568" s="59">
        <f>SUM(F568:H568)</f>
        <v>6420</v>
      </c>
      <c r="J568" s="87">
        <f>SUM(J560:J567)</f>
        <v>2863</v>
      </c>
      <c r="K568" s="87">
        <f>SUM(K560:K567)</f>
        <v>2474</v>
      </c>
      <c r="L568" s="87">
        <f>SUM(L560:L567)</f>
        <v>1789</v>
      </c>
      <c r="M568" s="59">
        <f>SUM(J568:L568)</f>
        <v>7126</v>
      </c>
      <c r="N568" s="87">
        <f>SUM(N560:N567)</f>
        <v>459</v>
      </c>
      <c r="O568" s="87">
        <f>SUM(O560:O567)</f>
        <v>165</v>
      </c>
      <c r="P568" s="87">
        <f>SUM(P560:P567)</f>
        <v>196</v>
      </c>
      <c r="Q568" s="59">
        <f>SUM(N568:P568)</f>
        <v>820</v>
      </c>
      <c r="R568" s="59">
        <f>+E568+I568+M568+Q568</f>
        <v>14412</v>
      </c>
    </row>
    <row r="569" spans="1:18" ht="15.75" customHeight="1" x14ac:dyDescent="0.3">
      <c r="A569" s="15" t="s">
        <v>55</v>
      </c>
      <c r="B569" s="1"/>
      <c r="C569" s="1"/>
      <c r="D569" s="1"/>
      <c r="E569" s="55" t="s">
        <v>7</v>
      </c>
      <c r="F569" s="1"/>
      <c r="G569" s="1"/>
      <c r="H569" s="1"/>
      <c r="I569" s="55" t="s">
        <v>7</v>
      </c>
      <c r="J569" s="1"/>
      <c r="K569" s="1"/>
      <c r="L569" s="1"/>
      <c r="M569" s="55" t="s">
        <v>7</v>
      </c>
      <c r="N569" s="1"/>
      <c r="O569" s="1"/>
      <c r="P569" s="1"/>
      <c r="Q569" s="55" t="s">
        <v>7</v>
      </c>
      <c r="R569" s="55" t="s">
        <v>7</v>
      </c>
    </row>
    <row r="570" spans="1:18" ht="15.75" customHeight="1" x14ac:dyDescent="0.3">
      <c r="A570" s="15" t="s">
        <v>57</v>
      </c>
      <c r="B570" s="1"/>
      <c r="C570" s="1"/>
      <c r="D570" s="1"/>
      <c r="E570" s="55" t="s">
        <v>7</v>
      </c>
      <c r="F570" s="1"/>
      <c r="G570" s="1"/>
      <c r="H570" s="1"/>
      <c r="I570" s="55" t="s">
        <v>7</v>
      </c>
      <c r="J570" s="1"/>
      <c r="K570" s="1"/>
      <c r="L570" s="1"/>
      <c r="M570" s="55" t="s">
        <v>7</v>
      </c>
      <c r="N570" s="1"/>
      <c r="O570" s="1"/>
      <c r="P570" s="1"/>
      <c r="Q570" s="55" t="s">
        <v>7</v>
      </c>
      <c r="R570" s="55" t="s">
        <v>7</v>
      </c>
    </row>
    <row r="571" spans="1:18" ht="15.75" customHeight="1" thickBot="1" x14ac:dyDescent="0.35">
      <c r="A571" s="15" t="s">
        <v>58</v>
      </c>
      <c r="B571" s="1"/>
      <c r="C571" s="1"/>
      <c r="D571" s="1"/>
      <c r="E571" s="55" t="s">
        <v>7</v>
      </c>
      <c r="F571" s="1"/>
      <c r="G571" s="1"/>
      <c r="H571" s="1"/>
      <c r="I571" s="55" t="s">
        <v>7</v>
      </c>
      <c r="J571" s="1"/>
      <c r="K571" s="1"/>
      <c r="L571" s="1"/>
      <c r="M571" s="55" t="s">
        <v>7</v>
      </c>
      <c r="N571" s="1"/>
      <c r="O571" s="1"/>
      <c r="P571" s="1"/>
      <c r="Q571" s="55" t="s">
        <v>7</v>
      </c>
      <c r="R571" s="55" t="s">
        <v>7</v>
      </c>
    </row>
    <row r="572" spans="1:18" ht="16.5" customHeight="1" thickBot="1" x14ac:dyDescent="0.35">
      <c r="A572" s="57" t="s">
        <v>59</v>
      </c>
      <c r="B572" s="86">
        <f>SUM(B569:B571)</f>
        <v>0</v>
      </c>
      <c r="C572" s="87">
        <f>SUM(C569:C571)</f>
        <v>0</v>
      </c>
      <c r="D572" s="87">
        <f>SUM(D569:D571)</f>
        <v>0</v>
      </c>
      <c r="E572" s="59">
        <f>SUM(B572:D572)</f>
        <v>0</v>
      </c>
      <c r="F572" s="87">
        <f>SUM(F569:F571)</f>
        <v>0</v>
      </c>
      <c r="G572" s="87">
        <f>SUM(G569:G571)</f>
        <v>0</v>
      </c>
      <c r="H572" s="87">
        <f>SUM(H569:H571)</f>
        <v>0</v>
      </c>
      <c r="I572" s="59">
        <f>SUM(F572:H572)</f>
        <v>0</v>
      </c>
      <c r="J572" s="87">
        <f>SUM(J569:J571)</f>
        <v>0</v>
      </c>
      <c r="K572" s="87">
        <f>SUM(K569:K571)</f>
        <v>0</v>
      </c>
      <c r="L572" s="87">
        <f>SUM(L569:L571)</f>
        <v>0</v>
      </c>
      <c r="M572" s="59">
        <f>SUM(J572:L572)</f>
        <v>0</v>
      </c>
      <c r="N572" s="87">
        <f>SUM(N569:N571)</f>
        <v>0</v>
      </c>
      <c r="O572" s="87">
        <f>SUM(O569:O571)</f>
        <v>0</v>
      </c>
      <c r="P572" s="87">
        <f>SUM(P569:P571)</f>
        <v>0</v>
      </c>
      <c r="Q572" s="59">
        <f>SUM(N572:P572)</f>
        <v>0</v>
      </c>
      <c r="R572" s="59">
        <f>+E572+I572+M572+Q572</f>
        <v>0</v>
      </c>
    </row>
    <row r="573" spans="1:18" ht="15.75" customHeight="1" x14ac:dyDescent="0.3">
      <c r="A573" s="15" t="s">
        <v>60</v>
      </c>
      <c r="B573" s="1"/>
      <c r="C573" s="1"/>
      <c r="D573" s="1"/>
      <c r="E573" s="55" t="s">
        <v>7</v>
      </c>
      <c r="F573" s="1"/>
      <c r="G573" s="1"/>
      <c r="H573" s="1"/>
      <c r="I573" s="55" t="s">
        <v>7</v>
      </c>
      <c r="J573" s="1"/>
      <c r="K573" s="1"/>
      <c r="L573" s="1"/>
      <c r="M573" s="55" t="s">
        <v>7</v>
      </c>
      <c r="N573" s="1"/>
      <c r="O573" s="1"/>
      <c r="P573" s="1"/>
      <c r="Q573" s="55" t="s">
        <v>7</v>
      </c>
      <c r="R573" s="55" t="s">
        <v>7</v>
      </c>
    </row>
    <row r="574" spans="1:18" ht="15.75" customHeight="1" x14ac:dyDescent="0.3">
      <c r="A574" s="15" t="s">
        <v>61</v>
      </c>
      <c r="B574" s="1"/>
      <c r="C574" s="1"/>
      <c r="D574" s="1"/>
      <c r="E574" s="55" t="s">
        <v>7</v>
      </c>
      <c r="F574" s="1"/>
      <c r="G574" s="1"/>
      <c r="H574" s="1"/>
      <c r="I574" s="55" t="s">
        <v>7</v>
      </c>
      <c r="J574" s="1"/>
      <c r="K574" s="1"/>
      <c r="L574" s="1"/>
      <c r="M574" s="55" t="s">
        <v>7</v>
      </c>
      <c r="N574" s="1"/>
      <c r="O574" s="1"/>
      <c r="P574" s="1"/>
      <c r="Q574" s="55" t="s">
        <v>7</v>
      </c>
      <c r="R574" s="55" t="s">
        <v>7</v>
      </c>
    </row>
    <row r="575" spans="1:18" ht="15.75" customHeight="1" thickBot="1" x14ac:dyDescent="0.35">
      <c r="A575" s="15" t="s">
        <v>62</v>
      </c>
      <c r="B575" s="1"/>
      <c r="C575" s="1"/>
      <c r="D575" s="1"/>
      <c r="E575" s="55" t="s">
        <v>7</v>
      </c>
      <c r="F575" s="1"/>
      <c r="G575" s="1"/>
      <c r="H575" s="1"/>
      <c r="I575" s="55" t="s">
        <v>7</v>
      </c>
      <c r="J575" s="1"/>
      <c r="K575" s="1"/>
      <c r="L575" s="1"/>
      <c r="M575" s="55" t="s">
        <v>7</v>
      </c>
      <c r="N575" s="1"/>
      <c r="O575" s="1"/>
      <c r="P575" s="1"/>
      <c r="Q575" s="55" t="s">
        <v>7</v>
      </c>
      <c r="R575" s="55" t="s">
        <v>7</v>
      </c>
    </row>
    <row r="576" spans="1:18" ht="16.5" customHeight="1" thickBot="1" x14ac:dyDescent="0.35">
      <c r="A576" s="114" t="s">
        <v>63</v>
      </c>
      <c r="B576" s="86">
        <f>SUM(B573:B575)</f>
        <v>0</v>
      </c>
      <c r="C576" s="87">
        <f>SUM(C573:C575)</f>
        <v>0</v>
      </c>
      <c r="D576" s="87">
        <f>SUM(D573:D575)</f>
        <v>0</v>
      </c>
      <c r="E576" s="59">
        <f>SUM(B576:D576)</f>
        <v>0</v>
      </c>
      <c r="F576" s="87">
        <f>SUM(F573:F575)</f>
        <v>0</v>
      </c>
      <c r="G576" s="87">
        <f>SUM(G573:G575)</f>
        <v>0</v>
      </c>
      <c r="H576" s="87">
        <f>SUM(H573:H575)</f>
        <v>0</v>
      </c>
      <c r="I576" s="59">
        <f>SUM(F576:H576)</f>
        <v>0</v>
      </c>
      <c r="J576" s="87">
        <f>SUM(J573:J575)</f>
        <v>0</v>
      </c>
      <c r="K576" s="87">
        <f>SUM(K573:K575)</f>
        <v>0</v>
      </c>
      <c r="L576" s="87">
        <f>SUM(L573:L575)</f>
        <v>0</v>
      </c>
      <c r="M576" s="59">
        <f>SUM(J576:L576)</f>
        <v>0</v>
      </c>
      <c r="N576" s="87">
        <f>SUM(N573:N575)</f>
        <v>0</v>
      </c>
      <c r="O576" s="87">
        <f>SUM(O573:O575)</f>
        <v>0</v>
      </c>
      <c r="P576" s="87">
        <f>SUM(P573:P575)</f>
        <v>0</v>
      </c>
      <c r="Q576" s="59">
        <f>SUM(N576:P576)</f>
        <v>0</v>
      </c>
      <c r="R576" s="59">
        <f>+E576+I576+M576+Q576</f>
        <v>0</v>
      </c>
    </row>
    <row r="577" spans="1:18" ht="15.75" customHeight="1" x14ac:dyDescent="0.3">
      <c r="A577" s="15" t="s">
        <v>64</v>
      </c>
      <c r="B577" s="1"/>
      <c r="C577" s="1"/>
      <c r="D577" s="1"/>
      <c r="E577" s="55" t="s">
        <v>7</v>
      </c>
      <c r="F577" s="1"/>
      <c r="G577" s="1"/>
      <c r="H577" s="1"/>
      <c r="I577" s="55" t="s">
        <v>7</v>
      </c>
      <c r="J577" s="1"/>
      <c r="K577" s="1"/>
      <c r="L577" s="1"/>
      <c r="M577" s="55" t="s">
        <v>7</v>
      </c>
      <c r="N577" s="1"/>
      <c r="O577" s="1"/>
      <c r="P577" s="1"/>
      <c r="Q577" s="55" t="s">
        <v>7</v>
      </c>
      <c r="R577" s="55" t="s">
        <v>7</v>
      </c>
    </row>
    <row r="578" spans="1:18" ht="15.75" customHeight="1" x14ac:dyDescent="0.3">
      <c r="A578" s="15" t="s">
        <v>594</v>
      </c>
      <c r="B578" s="1"/>
      <c r="C578" s="1"/>
      <c r="D578" s="1"/>
      <c r="E578" s="55" t="s">
        <v>7</v>
      </c>
      <c r="F578" s="1"/>
      <c r="G578" s="1"/>
      <c r="H578" s="1"/>
      <c r="I578" s="55" t="s">
        <v>7</v>
      </c>
      <c r="J578" s="1"/>
      <c r="K578" s="1"/>
      <c r="L578" s="1"/>
      <c r="M578" s="55" t="s">
        <v>7</v>
      </c>
      <c r="N578" s="1"/>
      <c r="O578" s="1"/>
      <c r="P578" s="1"/>
      <c r="Q578" s="55" t="s">
        <v>7</v>
      </c>
      <c r="R578" s="55" t="s">
        <v>7</v>
      </c>
    </row>
    <row r="579" spans="1:18" ht="15.75" customHeight="1" x14ac:dyDescent="0.3">
      <c r="A579" s="15" t="s">
        <v>67</v>
      </c>
      <c r="B579" s="1"/>
      <c r="C579" s="1"/>
      <c r="D579" s="1"/>
      <c r="E579" s="55" t="s">
        <v>7</v>
      </c>
      <c r="F579" s="1"/>
      <c r="G579" s="1"/>
      <c r="H579" s="1"/>
      <c r="I579" s="55" t="s">
        <v>7</v>
      </c>
      <c r="J579" s="1"/>
      <c r="K579" s="1"/>
      <c r="L579" s="1"/>
      <c r="M579" s="55" t="s">
        <v>7</v>
      </c>
      <c r="N579" s="1"/>
      <c r="O579" s="1"/>
      <c r="P579" s="1"/>
      <c r="Q579" s="55" t="s">
        <v>7</v>
      </c>
      <c r="R579" s="55" t="s">
        <v>7</v>
      </c>
    </row>
    <row r="580" spans="1:18" ht="15.75" customHeight="1" x14ac:dyDescent="0.3">
      <c r="A580" s="71" t="s">
        <v>773</v>
      </c>
      <c r="B580" s="1"/>
      <c r="C580" s="1"/>
      <c r="D580" s="1"/>
      <c r="E580" s="55">
        <f>SUM(B580:D580)</f>
        <v>0</v>
      </c>
      <c r="F580" s="1"/>
      <c r="G580" s="1"/>
      <c r="H580" s="1"/>
      <c r="I580" s="55">
        <f>SUM(F580:H580)</f>
        <v>0</v>
      </c>
      <c r="J580" s="1"/>
      <c r="K580" s="1"/>
      <c r="L580" s="1"/>
      <c r="M580" s="55">
        <f>SUM(J580:L580)</f>
        <v>0</v>
      </c>
      <c r="N580" s="1"/>
      <c r="O580" s="1"/>
      <c r="P580" s="1"/>
      <c r="Q580" s="55">
        <f>SUM(N580:P580)</f>
        <v>0</v>
      </c>
      <c r="R580" s="55">
        <f>+E580+I580+M580+Q580</f>
        <v>0</v>
      </c>
    </row>
    <row r="581" spans="1:18" ht="15.75" customHeight="1" x14ac:dyDescent="0.3">
      <c r="A581" s="15" t="s">
        <v>600</v>
      </c>
      <c r="B581" s="1"/>
      <c r="C581" s="1"/>
      <c r="D581" s="1"/>
      <c r="E581" s="55" t="s">
        <v>7</v>
      </c>
      <c r="F581" s="1"/>
      <c r="G581" s="1"/>
      <c r="H581" s="1"/>
      <c r="I581" s="55" t="s">
        <v>7</v>
      </c>
      <c r="J581" s="1"/>
      <c r="K581" s="1"/>
      <c r="L581" s="1"/>
      <c r="M581" s="55" t="s">
        <v>7</v>
      </c>
      <c r="N581" s="1"/>
      <c r="O581" s="1"/>
      <c r="P581" s="1"/>
      <c r="Q581" s="55" t="s">
        <v>7</v>
      </c>
      <c r="R581" s="55" t="s">
        <v>7</v>
      </c>
    </row>
    <row r="582" spans="1:18" ht="15.75" customHeight="1" thickBot="1" x14ac:dyDescent="0.35">
      <c r="A582" s="15" t="s">
        <v>70</v>
      </c>
      <c r="B582" s="1"/>
      <c r="C582" s="1"/>
      <c r="D582" s="1"/>
      <c r="E582" s="55" t="s">
        <v>7</v>
      </c>
      <c r="F582" s="1"/>
      <c r="G582" s="1"/>
      <c r="H582" s="1"/>
      <c r="I582" s="55" t="s">
        <v>7</v>
      </c>
      <c r="J582" s="1"/>
      <c r="K582" s="1"/>
      <c r="L582" s="1"/>
      <c r="M582" s="55" t="s">
        <v>7</v>
      </c>
      <c r="N582" s="1"/>
      <c r="O582" s="1"/>
      <c r="P582" s="1"/>
      <c r="Q582" s="55" t="s">
        <v>7</v>
      </c>
      <c r="R582" s="55" t="s">
        <v>7</v>
      </c>
    </row>
    <row r="583" spans="1:18" ht="16.5" customHeight="1" thickBot="1" x14ac:dyDescent="0.35">
      <c r="A583" s="57" t="s">
        <v>71</v>
      </c>
      <c r="B583" s="58">
        <f>SUM(B581:B582)</f>
        <v>0</v>
      </c>
      <c r="C583" s="58">
        <f>SUM(C581:C582)</f>
        <v>0</v>
      </c>
      <c r="D583" s="58">
        <f>SUM(D581:D582)</f>
        <v>0</v>
      </c>
      <c r="E583" s="60">
        <f>SUM(B583:D583)</f>
        <v>0</v>
      </c>
      <c r="F583" s="58">
        <f>SUM(F581:F582)</f>
        <v>0</v>
      </c>
      <c r="G583" s="58">
        <f>SUM(G581:G582)</f>
        <v>0</v>
      </c>
      <c r="H583" s="58">
        <f>SUM(H581:H582)</f>
        <v>0</v>
      </c>
      <c r="I583" s="60">
        <f>SUM(F583:H583)</f>
        <v>0</v>
      </c>
      <c r="J583" s="58">
        <f>SUM(J581:J582)</f>
        <v>0</v>
      </c>
      <c r="K583" s="58">
        <f>SUM(K581:K582)</f>
        <v>0</v>
      </c>
      <c r="L583" s="58">
        <f>SUM(L581:L582)</f>
        <v>0</v>
      </c>
      <c r="M583" s="60">
        <f>SUM(J583:L583)</f>
        <v>0</v>
      </c>
      <c r="N583" s="58">
        <f>SUM(N581:N582)</f>
        <v>0</v>
      </c>
      <c r="O583" s="58">
        <f>SUM(O581:O582)</f>
        <v>0</v>
      </c>
      <c r="P583" s="58">
        <f>SUM(P581:P582)</f>
        <v>0</v>
      </c>
      <c r="Q583" s="60">
        <f>SUM(N583:P583)</f>
        <v>0</v>
      </c>
      <c r="R583" s="59">
        <f>+E583+I583+M583+Q583</f>
        <v>0</v>
      </c>
    </row>
    <row r="584" spans="1:18" ht="16.5" customHeight="1" thickBot="1" x14ac:dyDescent="0.35">
      <c r="A584" s="114" t="s">
        <v>72</v>
      </c>
      <c r="B584" s="86">
        <f>SUM(B577:B582)</f>
        <v>0</v>
      </c>
      <c r="C584" s="87">
        <f>SUM(C577:C582)</f>
        <v>0</v>
      </c>
      <c r="D584" s="118">
        <f>SUM(D577:D582)</f>
        <v>0</v>
      </c>
      <c r="E584" s="60">
        <f>SUM(B584:D584)</f>
        <v>0</v>
      </c>
      <c r="F584" s="87">
        <f>SUM(F577:F582)</f>
        <v>0</v>
      </c>
      <c r="G584" s="87">
        <f>SUM(G577:G582)</f>
        <v>0</v>
      </c>
      <c r="H584" s="87">
        <f>SUM(H577:H582)</f>
        <v>0</v>
      </c>
      <c r="I584" s="60">
        <f>SUM(F584:H584)</f>
        <v>0</v>
      </c>
      <c r="J584" s="87">
        <f>SUM(J577:J582)</f>
        <v>0</v>
      </c>
      <c r="K584" s="87">
        <f>SUM(K577:K582)</f>
        <v>0</v>
      </c>
      <c r="L584" s="87">
        <f>SUM(L577:L582)</f>
        <v>0</v>
      </c>
      <c r="M584" s="60">
        <f>SUM(J584:L584)</f>
        <v>0</v>
      </c>
      <c r="N584" s="87">
        <f>SUM(N577:N582)</f>
        <v>0</v>
      </c>
      <c r="O584" s="87">
        <f>SUM(O577:O582)</f>
        <v>0</v>
      </c>
      <c r="P584" s="87">
        <f>SUM(P577:P582)</f>
        <v>0</v>
      </c>
      <c r="Q584" s="60">
        <f>SUM(N584:P584)</f>
        <v>0</v>
      </c>
      <c r="R584" s="59">
        <f>+E584+I584+M584+Q584</f>
        <v>0</v>
      </c>
    </row>
    <row r="585" spans="1:18" ht="16.5" customHeight="1" thickBot="1" x14ac:dyDescent="0.35">
      <c r="A585" s="57" t="s">
        <v>73</v>
      </c>
      <c r="B585" s="90">
        <f>+B568+B572+B576+B584</f>
        <v>0</v>
      </c>
      <c r="C585" s="58">
        <f>+C568+C572+C576+C584</f>
        <v>0</v>
      </c>
      <c r="D585" s="58">
        <f>+D568+D572+D576+D584</f>
        <v>46</v>
      </c>
      <c r="E585" s="59">
        <f>SUM(B585:D585)</f>
        <v>46</v>
      </c>
      <c r="F585" s="58">
        <f>+F568+F572+F576+F584</f>
        <v>1920</v>
      </c>
      <c r="G585" s="58">
        <f>+G568+G572+G576+G584</f>
        <v>1836</v>
      </c>
      <c r="H585" s="58">
        <f>+H568+H572+H576+H584</f>
        <v>2664</v>
      </c>
      <c r="I585" s="59">
        <f>SUM(F585:H585)</f>
        <v>6420</v>
      </c>
      <c r="J585" s="58">
        <f>+J568+J572+J576+J584</f>
        <v>2863</v>
      </c>
      <c r="K585" s="58">
        <f>+K568+K572+K576+K584</f>
        <v>2474</v>
      </c>
      <c r="L585" s="58">
        <f>+L568+L572+L576+L584</f>
        <v>1789</v>
      </c>
      <c r="M585" s="59">
        <f>SUM(J585:L585)</f>
        <v>7126</v>
      </c>
      <c r="N585" s="58">
        <f>+N568+N572+N576+N584</f>
        <v>459</v>
      </c>
      <c r="O585" s="58">
        <f>+O568+O572+O576+O584</f>
        <v>165</v>
      </c>
      <c r="P585" s="58">
        <f>+P568+P572+P576+P584</f>
        <v>196</v>
      </c>
      <c r="Q585" s="59">
        <f>SUM(N585:P585)</f>
        <v>820</v>
      </c>
      <c r="R585" s="81">
        <f>+E585+I585+M585+Q585</f>
        <v>14412</v>
      </c>
    </row>
    <row r="586" spans="1:18" ht="16.5" customHeight="1" thickBot="1" x14ac:dyDescent="0.35">
      <c r="A586" s="39" t="s">
        <v>40</v>
      </c>
      <c r="B586" s="21">
        <v>10</v>
      </c>
      <c r="C586" s="21">
        <v>11</v>
      </c>
      <c r="D586" s="21">
        <v>14</v>
      </c>
      <c r="E586" s="55">
        <f>SUM(B586:D586)</f>
        <v>35</v>
      </c>
      <c r="F586" s="21">
        <v>18</v>
      </c>
      <c r="G586" s="21">
        <v>21</v>
      </c>
      <c r="H586" s="21">
        <v>22</v>
      </c>
      <c r="I586" s="55">
        <f>SUM(F586:H586)</f>
        <v>61</v>
      </c>
      <c r="J586" s="21">
        <v>19</v>
      </c>
      <c r="K586" s="21">
        <v>17</v>
      </c>
      <c r="L586" s="21">
        <v>17</v>
      </c>
      <c r="M586" s="55">
        <f>SUM(J586:L586)</f>
        <v>53</v>
      </c>
      <c r="N586" s="21">
        <v>14</v>
      </c>
      <c r="O586" s="21">
        <v>11</v>
      </c>
      <c r="P586" s="21">
        <v>9</v>
      </c>
      <c r="Q586" s="55">
        <f>SUM(N586:P586)</f>
        <v>34</v>
      </c>
      <c r="R586" s="55">
        <f>+E586+I586+M586+Q586</f>
        <v>183</v>
      </c>
    </row>
    <row r="587" spans="1:18" ht="16.5" customHeight="1" thickBot="1" x14ac:dyDescent="0.35">
      <c r="A587" s="41"/>
      <c r="B587" s="36"/>
      <c r="C587" s="36"/>
      <c r="D587" s="36"/>
      <c r="E587" s="52"/>
      <c r="F587" s="36"/>
      <c r="G587" s="36"/>
      <c r="H587" s="36"/>
      <c r="I587" s="52"/>
      <c r="J587" s="36"/>
      <c r="K587" s="36"/>
      <c r="L587" s="36"/>
      <c r="M587" s="129"/>
      <c r="N587" s="36"/>
      <c r="O587" s="36"/>
      <c r="P587" s="36"/>
      <c r="Q587" s="129"/>
      <c r="R587" s="40"/>
    </row>
    <row r="588" spans="1:18" ht="15.75" customHeight="1" x14ac:dyDescent="0.3">
      <c r="A588" s="15" t="s">
        <v>314</v>
      </c>
      <c r="B588" s="1">
        <f>SUM(B585:B586)</f>
        <v>10</v>
      </c>
      <c r="C588" s="1">
        <f>SUM(C585:C586)</f>
        <v>11</v>
      </c>
      <c r="D588" s="1">
        <f>SUM(D585:D586)</f>
        <v>60</v>
      </c>
      <c r="E588" s="55">
        <f>SUM(B588:D588)</f>
        <v>81</v>
      </c>
      <c r="F588" s="1">
        <f>SUM(F585:F586)</f>
        <v>1938</v>
      </c>
      <c r="G588" s="1">
        <f>SUM(G585:G586)</f>
        <v>1857</v>
      </c>
      <c r="H588" s="1">
        <f>SUM(H585:H586)</f>
        <v>2686</v>
      </c>
      <c r="I588" s="60">
        <f>SUM(F588:H588)</f>
        <v>6481</v>
      </c>
      <c r="J588" s="1">
        <f>SUM(J585:J586)</f>
        <v>2882</v>
      </c>
      <c r="K588" s="1">
        <f>SUM(K585:K586)</f>
        <v>2491</v>
      </c>
      <c r="L588" s="1">
        <f>SUM(L585:L586)</f>
        <v>1806</v>
      </c>
      <c r="M588" s="60">
        <f>SUM(J588:L588)</f>
        <v>7179</v>
      </c>
      <c r="N588" s="1">
        <f>SUM(N585:N586)</f>
        <v>473</v>
      </c>
      <c r="O588" s="1">
        <f>SUM(O585:O586)</f>
        <v>176</v>
      </c>
      <c r="P588" s="1">
        <f>SUM(P585:P586)</f>
        <v>205</v>
      </c>
      <c r="Q588" s="60">
        <f>SUM(N588:P588)</f>
        <v>854</v>
      </c>
      <c r="R588" s="60">
        <f>+E588+I588+M588+Q588</f>
        <v>14595</v>
      </c>
    </row>
    <row r="589" spans="1:18" ht="15.75" customHeight="1" x14ac:dyDescent="0.3">
      <c r="A589" s="15" t="s">
        <v>42</v>
      </c>
      <c r="B589" s="1">
        <f>(B588/B10)/1.983</f>
        <v>0.16267304344996988</v>
      </c>
      <c r="C589" s="1">
        <f>(C588/C10)/1.983</f>
        <v>0.19811252791585618</v>
      </c>
      <c r="D589" s="1">
        <f>(D588/D10)/1.983</f>
        <v>0.97603826069981936</v>
      </c>
      <c r="E589" s="55" t="s">
        <v>7</v>
      </c>
      <c r="F589" s="1">
        <f>(F588/F10)/1.983</f>
        <v>32.576903681290972</v>
      </c>
      <c r="G589" s="1">
        <f>(G588/G10)/1.983</f>
        <v>30.208384168659411</v>
      </c>
      <c r="H589" s="1">
        <f>(H588/H10)/1.983</f>
        <v>45.150445453017312</v>
      </c>
      <c r="I589" s="55" t="s">
        <v>7</v>
      </c>
      <c r="J589" s="1">
        <f>(J588/J10)/1.983</f>
        <v>46.882371122281327</v>
      </c>
      <c r="K589" s="1">
        <f>(K588/K10)/1.983</f>
        <v>40.521855123387503</v>
      </c>
      <c r="L589" s="1">
        <f>(L588/L10)/1.983</f>
        <v>30.358043368633385</v>
      </c>
      <c r="M589" s="55" t="s">
        <v>7</v>
      </c>
      <c r="N589" s="1">
        <f>(N588/N10)/1.983</f>
        <v>7.694434955183576</v>
      </c>
      <c r="O589" s="1">
        <f>(O588/O10)/1.983</f>
        <v>2.9584804168767858</v>
      </c>
      <c r="P589" s="1">
        <f>(P588/P10)/1.983</f>
        <v>3.3347973907243831</v>
      </c>
      <c r="Q589" s="55" t="s">
        <v>7</v>
      </c>
      <c r="R589" s="55" t="s">
        <v>7</v>
      </c>
    </row>
    <row r="590" spans="1:18" ht="15.75" customHeight="1" x14ac:dyDescent="0.3">
      <c r="A590" s="15" t="s">
        <v>341</v>
      </c>
      <c r="B590" s="1">
        <f>B588+B634</f>
        <v>14454</v>
      </c>
      <c r="C590" s="1">
        <f>C588+C634</f>
        <v>16317</v>
      </c>
      <c r="D590" s="1">
        <f>D588+D634</f>
        <v>17174</v>
      </c>
      <c r="E590" s="55">
        <f>SUM(B590:D590)</f>
        <v>47945</v>
      </c>
      <c r="F590" s="1">
        <f>F588+F634</f>
        <v>21194</v>
      </c>
      <c r="G590" s="1">
        <f>G588+G634</f>
        <v>19610</v>
      </c>
      <c r="H590" s="1">
        <f>H588+H634</f>
        <v>17826</v>
      </c>
      <c r="I590" s="55">
        <f>SUM(F590:H590)</f>
        <v>58630</v>
      </c>
      <c r="J590" s="1">
        <f>J588+J634</f>
        <v>17248</v>
      </c>
      <c r="K590" s="1">
        <f>K588+K634</f>
        <v>18484</v>
      </c>
      <c r="L590" s="1">
        <f>L588+L634</f>
        <v>17644</v>
      </c>
      <c r="M590" s="55">
        <f>SUM(J590:L590)</f>
        <v>53376</v>
      </c>
      <c r="N590" s="1">
        <f>N588+N634</f>
        <v>11461</v>
      </c>
      <c r="O590" s="1">
        <f>O588+O634</f>
        <v>7358</v>
      </c>
      <c r="P590" s="1">
        <f>P588+P634</f>
        <v>13815</v>
      </c>
      <c r="Q590" s="55">
        <f>SUM(N590:P590)</f>
        <v>32634</v>
      </c>
      <c r="R590" s="55">
        <f>+E590+I590+M590+Q590</f>
        <v>192585</v>
      </c>
    </row>
    <row r="591" spans="1:18" ht="16.5" customHeight="1" thickBot="1" x14ac:dyDescent="0.35">
      <c r="A591" s="20" t="s">
        <v>342</v>
      </c>
      <c r="B591" s="21">
        <f>(B590/B10)/1.983</f>
        <v>235.12761700258648</v>
      </c>
      <c r="C591" s="21">
        <f>(C590/C10)/1.983</f>
        <v>293.87291981845686</v>
      </c>
      <c r="D591" s="21">
        <f>(D590/D10)/1.983</f>
        <v>279.3746848209783</v>
      </c>
      <c r="E591" s="81" t="s">
        <v>7</v>
      </c>
      <c r="F591" s="21">
        <f>(F590/F10)/1.983</f>
        <v>356.2615565641284</v>
      </c>
      <c r="G591" s="21">
        <f>(G590/G10)/1.983</f>
        <v>319.00183820539098</v>
      </c>
      <c r="H591" s="21">
        <f>(H590/H10)/1.983</f>
        <v>299.6469994957136</v>
      </c>
      <c r="I591" s="81" t="s">
        <v>7</v>
      </c>
      <c r="J591" s="21">
        <f>(J590/J10)/1.983</f>
        <v>280.57846534250808</v>
      </c>
      <c r="K591" s="21">
        <f>(K590/K10)/1.983</f>
        <v>300.68485351292435</v>
      </c>
      <c r="L591" s="21">
        <f>(L590/L10)/1.983</f>
        <v>296.5876617918978</v>
      </c>
      <c r="M591" s="81" t="s">
        <v>7</v>
      </c>
      <c r="N591" s="21">
        <f>(N590/N10)/1.983</f>
        <v>186.43957509801049</v>
      </c>
      <c r="O591" s="21">
        <f>(O590/O10)/1.983</f>
        <v>123.68465288283745</v>
      </c>
      <c r="P591" s="21">
        <f>(P590/P10)/1.983</f>
        <v>224.73280952613339</v>
      </c>
      <c r="Q591" s="81" t="s">
        <v>7</v>
      </c>
      <c r="R591" s="81" t="s">
        <v>7</v>
      </c>
    </row>
    <row r="592" spans="1:18" ht="15.75" customHeight="1" x14ac:dyDescent="0.3">
      <c r="A592" s="2"/>
      <c r="B592" s="1"/>
      <c r="C592" s="1"/>
      <c r="D592" s="1"/>
      <c r="E592" s="1"/>
      <c r="F592" s="1"/>
      <c r="G592" s="1"/>
      <c r="H592" s="1"/>
      <c r="I592" s="1"/>
      <c r="J592" s="1"/>
      <c r="K592" s="1"/>
      <c r="L592" s="1"/>
      <c r="M592" s="1"/>
      <c r="N592" s="1"/>
      <c r="O592" s="1"/>
      <c r="P592" s="1"/>
      <c r="Q592" s="1"/>
      <c r="R592" s="2"/>
    </row>
    <row r="593" spans="1:18" ht="16.5" customHeight="1" thickBot="1" x14ac:dyDescent="0.35">
      <c r="A593" s="106"/>
      <c r="B593" s="21"/>
      <c r="C593" s="21"/>
      <c r="D593" s="21"/>
      <c r="E593" s="21"/>
      <c r="F593" s="21"/>
      <c r="G593" s="21"/>
      <c r="H593" s="21"/>
      <c r="I593" s="21"/>
      <c r="J593" s="21"/>
      <c r="K593" s="21"/>
      <c r="L593" s="21"/>
      <c r="M593" s="21"/>
      <c r="N593" s="21"/>
      <c r="O593" s="21"/>
      <c r="P593" s="21"/>
      <c r="Q593" s="21"/>
      <c r="R593" s="106"/>
    </row>
    <row r="594" spans="1:18" ht="15.75" customHeight="1" thickBot="1" x14ac:dyDescent="0.35">
      <c r="A594" s="107" t="s">
        <v>343</v>
      </c>
      <c r="B594" s="47" t="s">
        <v>8</v>
      </c>
      <c r="C594" s="48" t="s">
        <v>9</v>
      </c>
      <c r="D594" s="48" t="s">
        <v>10</v>
      </c>
      <c r="E594" s="32" t="s">
        <v>11</v>
      </c>
      <c r="F594" s="48" t="s">
        <v>12</v>
      </c>
      <c r="G594" s="48" t="s">
        <v>13</v>
      </c>
      <c r="H594" s="48" t="s">
        <v>14</v>
      </c>
      <c r="I594" s="32" t="s">
        <v>15</v>
      </c>
      <c r="J594" s="48" t="s">
        <v>16</v>
      </c>
      <c r="K594" s="48" t="s">
        <v>17</v>
      </c>
      <c r="L594" s="48" t="s">
        <v>18</v>
      </c>
      <c r="M594" s="32" t="s">
        <v>19</v>
      </c>
      <c r="N594" s="48" t="s">
        <v>20</v>
      </c>
      <c r="O594" s="48" t="s">
        <v>21</v>
      </c>
      <c r="P594" s="48" t="s">
        <v>22</v>
      </c>
      <c r="Q594" s="32" t="s">
        <v>23</v>
      </c>
      <c r="R594" s="49" t="s">
        <v>24</v>
      </c>
    </row>
    <row r="595" spans="1:18" ht="16.5" customHeight="1" thickBot="1" x14ac:dyDescent="0.35">
      <c r="A595" s="130"/>
      <c r="B595" s="51"/>
      <c r="C595" s="51"/>
      <c r="D595" s="51"/>
      <c r="E595" s="52"/>
      <c r="F595" s="51"/>
      <c r="G595" s="51"/>
      <c r="H595" s="51"/>
      <c r="I595" s="52"/>
      <c r="J595" s="51"/>
      <c r="K595" s="51"/>
      <c r="L595" s="51"/>
      <c r="M595" s="52"/>
      <c r="N595" s="51"/>
      <c r="O595" s="51"/>
      <c r="P595" s="51"/>
      <c r="Q595" s="52"/>
      <c r="R595" s="53"/>
    </row>
    <row r="596" spans="1:18" ht="15.75" customHeight="1" x14ac:dyDescent="0.3">
      <c r="A596" s="15" t="s">
        <v>48</v>
      </c>
      <c r="B596" s="1" t="s">
        <v>7</v>
      </c>
      <c r="C596" s="1" t="s">
        <v>7</v>
      </c>
      <c r="D596" s="1" t="s">
        <v>7</v>
      </c>
      <c r="E596" s="55" t="s">
        <v>7</v>
      </c>
      <c r="F596" s="1" t="s">
        <v>7</v>
      </c>
      <c r="G596" s="1" t="s">
        <v>7</v>
      </c>
      <c r="H596" s="1" t="s">
        <v>7</v>
      </c>
      <c r="I596" s="55" t="s">
        <v>7</v>
      </c>
      <c r="J596" s="1" t="s">
        <v>7</v>
      </c>
      <c r="K596" s="1" t="s">
        <v>7</v>
      </c>
      <c r="L596" s="1" t="s">
        <v>7</v>
      </c>
      <c r="M596" s="55" t="s">
        <v>7</v>
      </c>
      <c r="N596" s="1" t="s">
        <v>7</v>
      </c>
      <c r="O596" s="1" t="s">
        <v>7</v>
      </c>
      <c r="P596" s="1" t="s">
        <v>7</v>
      </c>
      <c r="Q596" s="55" t="s">
        <v>7</v>
      </c>
      <c r="R596" s="55" t="s">
        <v>7</v>
      </c>
    </row>
    <row r="597" spans="1:18" ht="15.75" customHeight="1" x14ac:dyDescent="0.3">
      <c r="A597" s="15" t="s">
        <v>49</v>
      </c>
      <c r="B597" s="1"/>
      <c r="C597" s="1"/>
      <c r="D597" s="1"/>
      <c r="E597" s="55" t="s">
        <v>7</v>
      </c>
      <c r="F597" s="1"/>
      <c r="G597" s="1"/>
      <c r="H597" s="1"/>
      <c r="I597" s="55" t="s">
        <v>7</v>
      </c>
      <c r="J597" s="1"/>
      <c r="K597" s="1"/>
      <c r="L597" s="1"/>
      <c r="M597" s="55" t="s">
        <v>7</v>
      </c>
      <c r="N597" s="1"/>
      <c r="O597" s="1"/>
      <c r="P597" s="1"/>
      <c r="Q597" s="55" t="s">
        <v>7</v>
      </c>
      <c r="R597" s="55" t="s">
        <v>7</v>
      </c>
    </row>
    <row r="598" spans="1:18" ht="15.75" customHeight="1" x14ac:dyDescent="0.3">
      <c r="A598" s="71" t="s">
        <v>344</v>
      </c>
      <c r="B598" s="1">
        <v>4955</v>
      </c>
      <c r="C598" s="1">
        <v>6300</v>
      </c>
      <c r="D598" s="1">
        <v>6674</v>
      </c>
      <c r="E598" s="55">
        <f>SUM(B598:D598)</f>
        <v>17929</v>
      </c>
      <c r="F598" s="1">
        <v>6259</v>
      </c>
      <c r="G598" s="1">
        <v>6093</v>
      </c>
      <c r="H598" s="1">
        <v>4614</v>
      </c>
      <c r="I598" s="55">
        <f>SUM(F598:H598)</f>
        <v>16966</v>
      </c>
      <c r="J598" s="1">
        <v>4811</v>
      </c>
      <c r="K598" s="1">
        <v>5484</v>
      </c>
      <c r="L598" s="1">
        <v>4950</v>
      </c>
      <c r="M598" s="55">
        <f>SUM(J598:L598)</f>
        <v>15245</v>
      </c>
      <c r="N598" s="1">
        <v>3147</v>
      </c>
      <c r="O598" s="1">
        <v>3118</v>
      </c>
      <c r="P598" s="1">
        <v>5285</v>
      </c>
      <c r="Q598" s="55">
        <f>SUM(N598:P598)</f>
        <v>11550</v>
      </c>
      <c r="R598" s="55">
        <f>+E598+I598+M598+Q598</f>
        <v>61690</v>
      </c>
    </row>
    <row r="599" spans="1:18" ht="15.75" customHeight="1" x14ac:dyDescent="0.3">
      <c r="A599" s="71" t="s">
        <v>345</v>
      </c>
      <c r="B599" s="1">
        <v>4129</v>
      </c>
      <c r="C599" s="1">
        <v>4123</v>
      </c>
      <c r="D599" s="1">
        <v>3098</v>
      </c>
      <c r="E599" s="55">
        <f>SUM(B599:D599)</f>
        <v>11350</v>
      </c>
      <c r="F599" s="1">
        <v>4454</v>
      </c>
      <c r="G599" s="1">
        <v>5155</v>
      </c>
      <c r="H599" s="1">
        <v>5209</v>
      </c>
      <c r="I599" s="55">
        <f>SUM(F599:H599)</f>
        <v>14818</v>
      </c>
      <c r="J599" s="1">
        <v>2964</v>
      </c>
      <c r="K599" s="1">
        <v>4483</v>
      </c>
      <c r="L599" s="1">
        <v>5765</v>
      </c>
      <c r="M599" s="55">
        <f>SUM(J599:L599)</f>
        <v>13212</v>
      </c>
      <c r="N599" s="1">
        <v>4238</v>
      </c>
      <c r="O599" s="1">
        <v>309</v>
      </c>
      <c r="P599" s="1">
        <v>1127</v>
      </c>
      <c r="Q599" s="55">
        <f>SUM(N599:P599)</f>
        <v>5674</v>
      </c>
      <c r="R599" s="55">
        <f>+E599+I599+M599+Q599</f>
        <v>45054</v>
      </c>
    </row>
    <row r="600" spans="1:18" ht="15.75" customHeight="1" x14ac:dyDescent="0.3">
      <c r="A600" s="71" t="s">
        <v>998</v>
      </c>
      <c r="B600" s="1">
        <v>200</v>
      </c>
      <c r="C600" s="1">
        <v>200</v>
      </c>
      <c r="D600" s="1">
        <v>120</v>
      </c>
      <c r="E600" s="55">
        <f>SUM(B600:D600)</f>
        <v>520</v>
      </c>
      <c r="F600" s="1">
        <v>120</v>
      </c>
      <c r="G600" s="1">
        <v>120</v>
      </c>
      <c r="H600" s="1">
        <v>120</v>
      </c>
      <c r="I600" s="55">
        <f>SUM(F600:H600)</f>
        <v>360</v>
      </c>
      <c r="J600" s="1">
        <v>120</v>
      </c>
      <c r="K600" s="1">
        <v>120</v>
      </c>
      <c r="L600" s="1">
        <v>120</v>
      </c>
      <c r="M600" s="55">
        <f>SUM(J600:L600)</f>
        <v>360</v>
      </c>
      <c r="N600" s="1">
        <v>120</v>
      </c>
      <c r="O600" s="1">
        <v>120</v>
      </c>
      <c r="P600" s="1">
        <v>120</v>
      </c>
      <c r="Q600" s="55">
        <f>SUM(N600:P600)</f>
        <v>360</v>
      </c>
      <c r="R600" s="55">
        <f>+E600+I600+M600+Q600</f>
        <v>1600</v>
      </c>
    </row>
    <row r="601" spans="1:18" ht="15.75" customHeight="1" x14ac:dyDescent="0.3">
      <c r="A601" s="15" t="s">
        <v>50</v>
      </c>
      <c r="B601" s="1"/>
      <c r="C601" s="1"/>
      <c r="D601" s="1"/>
      <c r="E601" s="55" t="s">
        <v>7</v>
      </c>
      <c r="F601" s="1"/>
      <c r="G601" s="1"/>
      <c r="H601" s="1"/>
      <c r="I601" s="55" t="s">
        <v>7</v>
      </c>
      <c r="J601" s="1"/>
      <c r="K601" s="1"/>
      <c r="L601" s="1"/>
      <c r="M601" s="55" t="s">
        <v>7</v>
      </c>
      <c r="N601" s="1"/>
      <c r="O601" s="1"/>
      <c r="P601" s="1"/>
      <c r="Q601" s="55" t="s">
        <v>7</v>
      </c>
      <c r="R601" s="55" t="s">
        <v>7</v>
      </c>
    </row>
    <row r="602" spans="1:18" ht="15.75" customHeight="1" x14ac:dyDescent="0.3">
      <c r="A602" s="15" t="s">
        <v>51</v>
      </c>
      <c r="B602" s="1"/>
      <c r="C602" s="1"/>
      <c r="D602" s="1"/>
      <c r="E602" s="55" t="s">
        <v>7</v>
      </c>
      <c r="F602" s="1"/>
      <c r="G602" s="1"/>
      <c r="H602" s="1"/>
      <c r="I602" s="55" t="s">
        <v>7</v>
      </c>
      <c r="J602" s="1"/>
      <c r="K602" s="1"/>
      <c r="L602" s="1"/>
      <c r="M602" s="55" t="s">
        <v>7</v>
      </c>
      <c r="N602" s="1"/>
      <c r="O602" s="1"/>
      <c r="P602" s="1"/>
      <c r="Q602" s="55" t="s">
        <v>7</v>
      </c>
      <c r="R602" s="55" t="s">
        <v>7</v>
      </c>
    </row>
    <row r="603" spans="1:18" ht="15.75" customHeight="1" thickBot="1" x14ac:dyDescent="0.35">
      <c r="A603" s="15" t="s">
        <v>53</v>
      </c>
      <c r="B603" s="1"/>
      <c r="C603" s="1"/>
      <c r="D603" s="1"/>
      <c r="E603" s="55" t="s">
        <v>7</v>
      </c>
      <c r="F603" s="1"/>
      <c r="G603" s="1"/>
      <c r="H603" s="1"/>
      <c r="I603" s="55" t="s">
        <v>7</v>
      </c>
      <c r="J603" s="1"/>
      <c r="K603" s="1"/>
      <c r="L603" s="1"/>
      <c r="M603" s="55" t="s">
        <v>7</v>
      </c>
      <c r="N603" s="1"/>
      <c r="O603" s="1"/>
      <c r="P603" s="1"/>
      <c r="Q603" s="55" t="s">
        <v>7</v>
      </c>
      <c r="R603" s="55" t="s">
        <v>7</v>
      </c>
    </row>
    <row r="604" spans="1:18" ht="16.5" customHeight="1" thickBot="1" x14ac:dyDescent="0.35">
      <c r="A604" s="109" t="s">
        <v>54</v>
      </c>
      <c r="B604" s="86">
        <f>SUM(B596:B603)</f>
        <v>9284</v>
      </c>
      <c r="C604" s="87">
        <f>SUM(C596:C603)</f>
        <v>10623</v>
      </c>
      <c r="D604" s="87">
        <f>SUM(D596:D603)</f>
        <v>9892</v>
      </c>
      <c r="E604" s="59">
        <f>SUM(B604:D604)</f>
        <v>29799</v>
      </c>
      <c r="F604" s="87">
        <f>SUM(F596:F603)</f>
        <v>10833</v>
      </c>
      <c r="G604" s="87">
        <f>SUM(G596:G603)</f>
        <v>11368</v>
      </c>
      <c r="H604" s="87">
        <f>SUM(H596:H603)</f>
        <v>9943</v>
      </c>
      <c r="I604" s="59">
        <f>SUM(F604:H604)</f>
        <v>32144</v>
      </c>
      <c r="J604" s="87">
        <f>SUM(J596:J603)</f>
        <v>7895</v>
      </c>
      <c r="K604" s="87">
        <f>SUM(K596:K603)</f>
        <v>10087</v>
      </c>
      <c r="L604" s="87">
        <f>SUM(L596:L603)</f>
        <v>10835</v>
      </c>
      <c r="M604" s="59">
        <f>SUM(J604:L604)</f>
        <v>28817</v>
      </c>
      <c r="N604" s="87">
        <f>SUM(N596:N603)</f>
        <v>7505</v>
      </c>
      <c r="O604" s="87">
        <f>SUM(O596:O603)</f>
        <v>3547</v>
      </c>
      <c r="P604" s="87">
        <f>SUM(P596:P603)</f>
        <v>6532</v>
      </c>
      <c r="Q604" s="59">
        <f>SUM(N604:P604)</f>
        <v>17584</v>
      </c>
      <c r="R604" s="59">
        <f>+E604+I604+M604+Q604</f>
        <v>108344</v>
      </c>
    </row>
    <row r="605" spans="1:18" ht="15.75" customHeight="1" x14ac:dyDescent="0.3">
      <c r="A605" s="15" t="s">
        <v>55</v>
      </c>
      <c r="B605" s="1"/>
      <c r="C605" s="1"/>
      <c r="D605" s="1"/>
      <c r="E605" s="55" t="s">
        <v>7</v>
      </c>
      <c r="F605" s="1"/>
      <c r="G605" s="1"/>
      <c r="H605" s="1"/>
      <c r="I605" s="55" t="s">
        <v>7</v>
      </c>
      <c r="J605" s="1"/>
      <c r="K605" s="1"/>
      <c r="L605" s="1"/>
      <c r="M605" s="55" t="s">
        <v>7</v>
      </c>
      <c r="N605" s="1"/>
      <c r="O605" s="1"/>
      <c r="P605" s="1"/>
      <c r="Q605" s="55" t="s">
        <v>7</v>
      </c>
      <c r="R605" s="55" t="s">
        <v>7</v>
      </c>
    </row>
    <row r="606" spans="1:18" ht="15.75" customHeight="1" x14ac:dyDescent="0.3">
      <c r="A606" s="15" t="s">
        <v>57</v>
      </c>
      <c r="B606" s="1"/>
      <c r="C606" s="1"/>
      <c r="D606" s="1"/>
      <c r="E606" s="55" t="s">
        <v>7</v>
      </c>
      <c r="F606" s="1"/>
      <c r="G606" s="1"/>
      <c r="H606" s="1"/>
      <c r="I606" s="55" t="s">
        <v>7</v>
      </c>
      <c r="J606" s="1"/>
      <c r="K606" s="1"/>
      <c r="L606" s="1"/>
      <c r="M606" s="55" t="s">
        <v>7</v>
      </c>
      <c r="N606" s="1"/>
      <c r="O606" s="1"/>
      <c r="P606" s="1"/>
      <c r="Q606" s="55" t="s">
        <v>7</v>
      </c>
      <c r="R606" s="55" t="s">
        <v>7</v>
      </c>
    </row>
    <row r="607" spans="1:18" ht="15.75" customHeight="1" thickBot="1" x14ac:dyDescent="0.35">
      <c r="A607" s="15" t="s">
        <v>58</v>
      </c>
      <c r="B607" s="1"/>
      <c r="C607" s="1"/>
      <c r="D607" s="1"/>
      <c r="E607" s="55" t="s">
        <v>7</v>
      </c>
      <c r="F607" s="1"/>
      <c r="G607" s="1"/>
      <c r="H607" s="1"/>
      <c r="I607" s="55" t="s">
        <v>7</v>
      </c>
      <c r="J607" s="1"/>
      <c r="K607" s="1"/>
      <c r="L607" s="1"/>
      <c r="M607" s="55" t="s">
        <v>7</v>
      </c>
      <c r="N607" s="1"/>
      <c r="O607" s="1"/>
      <c r="P607" s="1"/>
      <c r="Q607" s="55" t="s">
        <v>7</v>
      </c>
      <c r="R607" s="55" t="s">
        <v>7</v>
      </c>
    </row>
    <row r="608" spans="1:18" ht="16.5" customHeight="1" thickBot="1" x14ac:dyDescent="0.35">
      <c r="A608" s="57" t="s">
        <v>59</v>
      </c>
      <c r="B608" s="86">
        <f>SUM(B605:B607)</f>
        <v>0</v>
      </c>
      <c r="C608" s="87">
        <f>SUM(C605:C607)</f>
        <v>0</v>
      </c>
      <c r="D608" s="87">
        <f>SUM(D605:D607)</f>
        <v>0</v>
      </c>
      <c r="E608" s="59">
        <f>SUM(B608:D608)</f>
        <v>0</v>
      </c>
      <c r="F608" s="87">
        <f>SUM(F605:F607)</f>
        <v>0</v>
      </c>
      <c r="G608" s="87">
        <f>SUM(G605:G607)</f>
        <v>0</v>
      </c>
      <c r="H608" s="87">
        <f>SUM(H605:H607)</f>
        <v>0</v>
      </c>
      <c r="I608" s="59">
        <f>SUM(F608:H608)</f>
        <v>0</v>
      </c>
      <c r="J608" s="87">
        <f>SUM(J605:J607)</f>
        <v>0</v>
      </c>
      <c r="K608" s="87">
        <f>SUM(K605:K607)</f>
        <v>0</v>
      </c>
      <c r="L608" s="87">
        <f>SUM(L605:L607)</f>
        <v>0</v>
      </c>
      <c r="M608" s="59">
        <f>SUM(J608:L608)</f>
        <v>0</v>
      </c>
      <c r="N608" s="87">
        <f>SUM(N605:N607)</f>
        <v>0</v>
      </c>
      <c r="O608" s="87">
        <f>SUM(O605:O607)</f>
        <v>0</v>
      </c>
      <c r="P608" s="87">
        <f>SUM(P605:P607)</f>
        <v>0</v>
      </c>
      <c r="Q608" s="59">
        <f>SUM(N608:P608)</f>
        <v>0</v>
      </c>
      <c r="R608" s="59">
        <f>+E608+I608+M608+Q608</f>
        <v>0</v>
      </c>
    </row>
    <row r="609" spans="1:20" ht="15.75" customHeight="1" x14ac:dyDescent="0.3">
      <c r="A609" s="15" t="s">
        <v>60</v>
      </c>
      <c r="B609" s="1"/>
      <c r="C609" s="1"/>
      <c r="D609" s="1"/>
      <c r="E609" s="55" t="s">
        <v>7</v>
      </c>
      <c r="F609" s="1"/>
      <c r="G609" s="1"/>
      <c r="H609" s="1"/>
      <c r="I609" s="55" t="s">
        <v>7</v>
      </c>
      <c r="J609" s="1"/>
      <c r="K609" s="1"/>
      <c r="L609" s="1"/>
      <c r="M609" s="55" t="s">
        <v>7</v>
      </c>
      <c r="N609" s="1"/>
      <c r="O609" s="1"/>
      <c r="P609" s="1"/>
      <c r="Q609" s="55" t="s">
        <v>7</v>
      </c>
      <c r="R609" s="55" t="s">
        <v>7</v>
      </c>
    </row>
    <row r="610" spans="1:20" ht="15.75" customHeight="1" x14ac:dyDescent="0.3">
      <c r="A610" s="15" t="s">
        <v>61</v>
      </c>
      <c r="B610" s="1"/>
      <c r="C610" s="1"/>
      <c r="D610" s="1"/>
      <c r="E610" s="55" t="s">
        <v>7</v>
      </c>
      <c r="F610" s="1"/>
      <c r="G610" s="1"/>
      <c r="H610" s="1"/>
      <c r="I610" s="55" t="s">
        <v>7</v>
      </c>
      <c r="J610" s="1"/>
      <c r="K610" s="1"/>
      <c r="L610" s="1"/>
      <c r="M610" s="55" t="s">
        <v>7</v>
      </c>
      <c r="N610" s="1"/>
      <c r="O610" s="1"/>
      <c r="P610" s="1"/>
      <c r="Q610" s="55" t="s">
        <v>7</v>
      </c>
      <c r="R610" s="55" t="s">
        <v>7</v>
      </c>
    </row>
    <row r="611" spans="1:20" ht="15.75" customHeight="1" x14ac:dyDescent="0.3">
      <c r="A611" s="71" t="s">
        <v>346</v>
      </c>
      <c r="B611" s="1">
        <v>284</v>
      </c>
      <c r="C611" s="1">
        <v>601</v>
      </c>
      <c r="D611" s="1">
        <v>1149</v>
      </c>
      <c r="E611" s="55">
        <f>SUM(B611:D611)</f>
        <v>2034</v>
      </c>
      <c r="F611" s="1">
        <v>2464</v>
      </c>
      <c r="G611" s="1">
        <v>1388</v>
      </c>
      <c r="H611" s="1">
        <v>1448</v>
      </c>
      <c r="I611" s="55">
        <f>SUM(F611:H611)</f>
        <v>5300</v>
      </c>
      <c r="J611" s="1">
        <v>1377</v>
      </c>
      <c r="K611" s="1">
        <v>1032</v>
      </c>
      <c r="L611" s="1">
        <v>899</v>
      </c>
      <c r="M611" s="55">
        <f>SUM(J611:L611)</f>
        <v>3308</v>
      </c>
      <c r="N611" s="1">
        <v>182</v>
      </c>
      <c r="O611" s="1"/>
      <c r="P611" s="1"/>
      <c r="Q611" s="55">
        <f>SUM(N611:P611)</f>
        <v>182</v>
      </c>
      <c r="R611" s="55">
        <f>+E611+I611+M611+Q611</f>
        <v>10824</v>
      </c>
      <c r="T611" s="4" t="s">
        <v>1000</v>
      </c>
    </row>
    <row r="612" spans="1:20" ht="15.75" customHeight="1" x14ac:dyDescent="0.3">
      <c r="A612" s="15" t="s">
        <v>62</v>
      </c>
      <c r="B612" s="1"/>
      <c r="C612" s="1"/>
      <c r="D612" s="1"/>
      <c r="E612" s="55" t="s">
        <v>7</v>
      </c>
      <c r="F612" s="1"/>
      <c r="G612" s="1"/>
      <c r="H612" s="1"/>
      <c r="I612" s="55" t="s">
        <v>7</v>
      </c>
      <c r="J612" s="1"/>
      <c r="K612" s="1"/>
      <c r="L612" s="1"/>
      <c r="M612" s="55" t="s">
        <v>7</v>
      </c>
      <c r="N612" s="1"/>
      <c r="O612" s="1"/>
      <c r="P612" s="1"/>
      <c r="Q612" s="55" t="s">
        <v>7</v>
      </c>
      <c r="R612" s="55" t="s">
        <v>7</v>
      </c>
    </row>
    <row r="613" spans="1:20" ht="15.75" customHeight="1" x14ac:dyDescent="0.3">
      <c r="A613" s="71" t="s">
        <v>1001</v>
      </c>
      <c r="B613" s="1"/>
      <c r="C613" s="1"/>
      <c r="D613" s="1"/>
      <c r="E613" s="55">
        <f>SUM(B613:D613)</f>
        <v>0</v>
      </c>
      <c r="F613" s="1"/>
      <c r="G613" s="1">
        <v>500</v>
      </c>
      <c r="H613" s="1"/>
      <c r="I613" s="55">
        <f>SUM(F613:H613)</f>
        <v>500</v>
      </c>
      <c r="J613" s="1"/>
      <c r="K613" s="1"/>
      <c r="L613" s="1"/>
      <c r="M613" s="55">
        <f>SUM(J613:L613)</f>
        <v>0</v>
      </c>
      <c r="N613" s="1"/>
      <c r="O613" s="1"/>
      <c r="P613" s="1"/>
      <c r="Q613" s="55">
        <f>SUM(N613:P613)</f>
        <v>0</v>
      </c>
      <c r="R613" s="55">
        <f>+E613+I613+M613+Q613</f>
        <v>500</v>
      </c>
      <c r="T613" s="4" t="s">
        <v>1002</v>
      </c>
    </row>
    <row r="614" spans="1:20" ht="15.75" customHeight="1" x14ac:dyDescent="0.3">
      <c r="A614" s="71" t="s">
        <v>1003</v>
      </c>
      <c r="B614" s="1"/>
      <c r="C614" s="1"/>
      <c r="D614" s="1"/>
      <c r="E614" s="55">
        <f>SUM(B614:D614)</f>
        <v>0</v>
      </c>
      <c r="F614" s="1"/>
      <c r="G614" s="1"/>
      <c r="H614" s="1"/>
      <c r="I614" s="55">
        <f>SUM(F614:H614)</f>
        <v>0</v>
      </c>
      <c r="J614" s="1"/>
      <c r="K614" s="1">
        <v>500</v>
      </c>
      <c r="L614" s="1">
        <v>500</v>
      </c>
      <c r="M614" s="55">
        <f>SUM(J614:L614)</f>
        <v>1000</v>
      </c>
      <c r="N614" s="1"/>
      <c r="O614" s="1"/>
      <c r="P614" s="1"/>
      <c r="Q614" s="55">
        <f>SUM(N614:P614)</f>
        <v>0</v>
      </c>
      <c r="R614" s="55">
        <f>+E614+I614+M614+Q614</f>
        <v>1000</v>
      </c>
      <c r="T614" s="4" t="s">
        <v>1002</v>
      </c>
    </row>
    <row r="615" spans="1:20" ht="15.75" customHeight="1" x14ac:dyDescent="0.3">
      <c r="A615" s="71" t="s">
        <v>1004</v>
      </c>
      <c r="B615" s="1"/>
      <c r="C615" s="1"/>
      <c r="D615" s="1"/>
      <c r="E615" s="55">
        <f>SUM(B615:D615)</f>
        <v>0</v>
      </c>
      <c r="F615" s="1"/>
      <c r="G615" s="1"/>
      <c r="H615" s="1"/>
      <c r="I615" s="55">
        <f>SUM(F615:H615)</f>
        <v>0</v>
      </c>
      <c r="J615" s="1"/>
      <c r="K615" s="1"/>
      <c r="L615" s="1"/>
      <c r="M615" s="55">
        <f>SUM(J615:L615)</f>
        <v>0</v>
      </c>
      <c r="N615" s="1"/>
      <c r="O615" s="1"/>
      <c r="P615" s="1"/>
      <c r="Q615" s="55">
        <f>SUM(N615:P615)</f>
        <v>0</v>
      </c>
      <c r="R615" s="55">
        <f>+E615+I615+M615+Q615</f>
        <v>0</v>
      </c>
      <c r="T615" s="4" t="s">
        <v>1002</v>
      </c>
    </row>
    <row r="616" spans="1:20" ht="15.75" customHeight="1" thickBot="1" x14ac:dyDescent="0.35">
      <c r="A616" s="71" t="s">
        <v>775</v>
      </c>
      <c r="B616" s="1"/>
      <c r="C616" s="1"/>
      <c r="D616" s="1"/>
      <c r="E616" s="55">
        <f>SUM(B616:D616)</f>
        <v>0</v>
      </c>
      <c r="F616" s="1"/>
      <c r="G616" s="1"/>
      <c r="H616" s="1"/>
      <c r="I616" s="55">
        <f>SUM(F616:H616)</f>
        <v>0</v>
      </c>
      <c r="J616" s="1"/>
      <c r="K616" s="1"/>
      <c r="L616" s="1"/>
      <c r="M616" s="55">
        <f>SUM(J616:L616)</f>
        <v>0</v>
      </c>
      <c r="N616" s="1"/>
      <c r="O616" s="1"/>
      <c r="P616" s="1"/>
      <c r="Q616" s="55">
        <f>SUM(N616:P616)</f>
        <v>0</v>
      </c>
      <c r="R616" s="55">
        <f>+E616+I616+M616+Q616</f>
        <v>0</v>
      </c>
      <c r="T616" s="4" t="s">
        <v>1002</v>
      </c>
    </row>
    <row r="617" spans="1:20" ht="16.5" customHeight="1" thickBot="1" x14ac:dyDescent="0.35">
      <c r="A617" s="57" t="s">
        <v>63</v>
      </c>
      <c r="B617" s="86">
        <f>SUM(B609:B616)</f>
        <v>284</v>
      </c>
      <c r="C617" s="87">
        <f>SUM(C609:C616)</f>
        <v>601</v>
      </c>
      <c r="D617" s="87">
        <f>SUM(D609:D616)</f>
        <v>1149</v>
      </c>
      <c r="E617" s="59">
        <f>SUM(B617:D617)</f>
        <v>2034</v>
      </c>
      <c r="F617" s="87">
        <f>SUM(F609:F616)</f>
        <v>2464</v>
      </c>
      <c r="G617" s="87">
        <f>SUM(G609:G616)</f>
        <v>1888</v>
      </c>
      <c r="H617" s="87">
        <f>SUM(H609:H616)</f>
        <v>1448</v>
      </c>
      <c r="I617" s="59">
        <f>SUM(F617:H617)</f>
        <v>5800</v>
      </c>
      <c r="J617" s="87">
        <f>SUM(J609:J616)</f>
        <v>1377</v>
      </c>
      <c r="K617" s="87">
        <f>SUM(K609:K616)</f>
        <v>1532</v>
      </c>
      <c r="L617" s="87">
        <f>SUM(L609:L616)</f>
        <v>1399</v>
      </c>
      <c r="M617" s="59">
        <f>SUM(J617:L617)</f>
        <v>4308</v>
      </c>
      <c r="N617" s="87">
        <f>SUM(N609:N616)</f>
        <v>182</v>
      </c>
      <c r="O617" s="87">
        <f>SUM(O609:O616)</f>
        <v>0</v>
      </c>
      <c r="P617" s="87">
        <f>SUM(P609:P616)</f>
        <v>0</v>
      </c>
      <c r="Q617" s="59">
        <f>SUM(N617:P617)</f>
        <v>182</v>
      </c>
      <c r="R617" s="118">
        <f>+E617+I617+M617+Q617</f>
        <v>12324</v>
      </c>
    </row>
    <row r="618" spans="1:20" ht="15.75" customHeight="1" x14ac:dyDescent="0.3">
      <c r="A618" s="15" t="s">
        <v>64</v>
      </c>
      <c r="B618" s="1"/>
      <c r="C618" s="1"/>
      <c r="D618" s="1"/>
      <c r="E618" s="55" t="s">
        <v>7</v>
      </c>
      <c r="F618" s="1"/>
      <c r="G618" s="1"/>
      <c r="H618" s="1"/>
      <c r="I618" s="55" t="s">
        <v>7</v>
      </c>
      <c r="J618" s="1"/>
      <c r="K618" s="1"/>
      <c r="L618" s="1"/>
      <c r="M618" s="55" t="s">
        <v>7</v>
      </c>
      <c r="N618" s="1"/>
      <c r="O618" s="1"/>
      <c r="P618" s="1"/>
      <c r="Q618" s="55" t="s">
        <v>7</v>
      </c>
      <c r="R618" s="55" t="s">
        <v>7</v>
      </c>
    </row>
    <row r="619" spans="1:20" ht="15.75" customHeight="1" x14ac:dyDescent="0.3">
      <c r="A619" s="15" t="s">
        <v>594</v>
      </c>
      <c r="B619" s="1"/>
      <c r="C619" s="1"/>
      <c r="D619" s="1"/>
      <c r="E619" s="55" t="s">
        <v>7</v>
      </c>
      <c r="F619" s="1"/>
      <c r="G619" s="1"/>
      <c r="H619" s="1"/>
      <c r="I619" s="55" t="s">
        <v>7</v>
      </c>
      <c r="J619" s="1"/>
      <c r="K619" s="1"/>
      <c r="L619" s="1"/>
      <c r="M619" s="55" t="s">
        <v>7</v>
      </c>
      <c r="N619" s="1"/>
      <c r="O619" s="1"/>
      <c r="P619" s="1"/>
      <c r="Q619" s="55" t="s">
        <v>7</v>
      </c>
      <c r="R619" s="55" t="s">
        <v>7</v>
      </c>
    </row>
    <row r="620" spans="1:20" ht="15.75" customHeight="1" x14ac:dyDescent="0.3">
      <c r="A620" s="15" t="s">
        <v>67</v>
      </c>
      <c r="B620" s="1"/>
      <c r="C620" s="1"/>
      <c r="D620" s="1"/>
      <c r="E620" s="55" t="s">
        <v>7</v>
      </c>
      <c r="F620" s="1"/>
      <c r="G620" s="1"/>
      <c r="H620" s="1"/>
      <c r="I620" s="55" t="s">
        <v>7</v>
      </c>
      <c r="J620" s="1"/>
      <c r="K620" s="1"/>
      <c r="L620" s="1"/>
      <c r="M620" s="55" t="s">
        <v>7</v>
      </c>
      <c r="N620" s="1"/>
      <c r="O620" s="1"/>
      <c r="P620" s="1"/>
      <c r="Q620" s="55" t="s">
        <v>7</v>
      </c>
      <c r="R620" s="55" t="s">
        <v>7</v>
      </c>
    </row>
    <row r="621" spans="1:20" ht="15.75" customHeight="1" x14ac:dyDescent="0.3">
      <c r="A621" s="71" t="s">
        <v>776</v>
      </c>
      <c r="B621" s="1"/>
      <c r="C621" s="1"/>
      <c r="D621" s="1"/>
      <c r="E621" s="55">
        <f>SUM(B621:D621)</f>
        <v>0</v>
      </c>
      <c r="F621" s="1"/>
      <c r="G621" s="1"/>
      <c r="H621" s="1"/>
      <c r="I621" s="55">
        <f>SUM(F621:H621)</f>
        <v>0</v>
      </c>
      <c r="J621" s="1"/>
      <c r="K621" s="1"/>
      <c r="L621" s="1"/>
      <c r="M621" s="55">
        <f>SUM(J621:L621)</f>
        <v>0</v>
      </c>
      <c r="N621" s="1"/>
      <c r="O621" s="1"/>
      <c r="P621" s="1"/>
      <c r="Q621" s="55">
        <f>SUM(N621:P621)</f>
        <v>0</v>
      </c>
      <c r="R621" s="55">
        <f>+E621+I621+M621+Q621</f>
        <v>0</v>
      </c>
    </row>
    <row r="622" spans="1:20" ht="15.75" customHeight="1" x14ac:dyDescent="0.3">
      <c r="A622" s="71" t="s">
        <v>777</v>
      </c>
      <c r="B622" s="1"/>
      <c r="C622" s="1"/>
      <c r="D622" s="1"/>
      <c r="E622" s="55">
        <f>SUM(B622:D622)</f>
        <v>0</v>
      </c>
      <c r="F622" s="1"/>
      <c r="G622" s="1"/>
      <c r="H622" s="1"/>
      <c r="I622" s="55">
        <f>SUM(F622:H622)</f>
        <v>0</v>
      </c>
      <c r="J622" s="1"/>
      <c r="K622" s="1"/>
      <c r="L622" s="1"/>
      <c r="M622" s="55">
        <f>SUM(J622:L622)</f>
        <v>0</v>
      </c>
      <c r="N622" s="1"/>
      <c r="O622" s="1"/>
      <c r="P622" s="1"/>
      <c r="Q622" s="55">
        <f>SUM(N622:P622)</f>
        <v>0</v>
      </c>
      <c r="R622" s="55">
        <f>+E622+I622+M622+Q622</f>
        <v>0</v>
      </c>
    </row>
    <row r="623" spans="1:20" ht="15.75" customHeight="1" x14ac:dyDescent="0.3">
      <c r="A623" s="71" t="s">
        <v>778</v>
      </c>
      <c r="B623" s="1">
        <v>2000</v>
      </c>
      <c r="C623" s="1">
        <v>2000</v>
      </c>
      <c r="D623" s="1">
        <v>2000</v>
      </c>
      <c r="E623" s="55">
        <f>SUM(B623:D623)</f>
        <v>6000</v>
      </c>
      <c r="F623" s="1">
        <v>2000</v>
      </c>
      <c r="G623" s="1"/>
      <c r="H623" s="1"/>
      <c r="I623" s="55">
        <f>SUM(F623:H623)</f>
        <v>2000</v>
      </c>
      <c r="J623" s="1"/>
      <c r="K623" s="1"/>
      <c r="L623" s="1"/>
      <c r="M623" s="55">
        <f>SUM(J623:L623)</f>
        <v>0</v>
      </c>
      <c r="N623" s="1"/>
      <c r="O623" s="1">
        <v>1500</v>
      </c>
      <c r="P623" s="1">
        <v>3755</v>
      </c>
      <c r="Q623" s="55">
        <f>SUM(N623:P623)</f>
        <v>5255</v>
      </c>
      <c r="R623" s="55">
        <f>+E623+I623+M623+Q623</f>
        <v>13255</v>
      </c>
    </row>
    <row r="624" spans="1:20" ht="15.75" customHeight="1" x14ac:dyDescent="0.3">
      <c r="A624" s="71" t="s">
        <v>779</v>
      </c>
      <c r="B624" s="1"/>
      <c r="C624" s="1"/>
      <c r="D624" s="1"/>
      <c r="E624" s="55">
        <f>SUM(B624:D624)</f>
        <v>0</v>
      </c>
      <c r="F624" s="1"/>
      <c r="G624" s="1"/>
      <c r="H624" s="1"/>
      <c r="I624" s="55">
        <f>SUM(F624:H624)</f>
        <v>0</v>
      </c>
      <c r="J624" s="1"/>
      <c r="K624" s="1"/>
      <c r="L624" s="1"/>
      <c r="M624" s="55">
        <f>SUM(J624:L624)</f>
        <v>0</v>
      </c>
      <c r="N624" s="1"/>
      <c r="O624" s="1"/>
      <c r="P624" s="1"/>
      <c r="Q624" s="55">
        <f>SUM(N624:P624)</f>
        <v>0</v>
      </c>
      <c r="R624" s="55">
        <f>+E624+I624+M624+Q624</f>
        <v>0</v>
      </c>
    </row>
    <row r="625" spans="1:18" ht="15.75" customHeight="1" x14ac:dyDescent="0.3">
      <c r="A625" s="15" t="s">
        <v>600</v>
      </c>
      <c r="B625" s="1"/>
      <c r="C625" s="1"/>
      <c r="D625" s="1"/>
      <c r="E625" s="55" t="s">
        <v>7</v>
      </c>
      <c r="F625" s="1"/>
      <c r="G625" s="1"/>
      <c r="H625" s="1"/>
      <c r="I625" s="55" t="s">
        <v>7</v>
      </c>
      <c r="J625" s="1"/>
      <c r="K625" s="1"/>
      <c r="L625" s="1"/>
      <c r="M625" s="55" t="s">
        <v>7</v>
      </c>
      <c r="N625" s="1"/>
      <c r="O625" s="1"/>
      <c r="P625" s="1"/>
      <c r="Q625" s="55" t="s">
        <v>7</v>
      </c>
      <c r="R625" s="55" t="s">
        <v>7</v>
      </c>
    </row>
    <row r="626" spans="1:18" ht="15.75" customHeight="1" thickBot="1" x14ac:dyDescent="0.35">
      <c r="A626" s="15" t="s">
        <v>70</v>
      </c>
      <c r="B626" s="1"/>
      <c r="C626" s="1"/>
      <c r="D626" s="1"/>
      <c r="E626" s="55" t="s">
        <v>7</v>
      </c>
      <c r="F626" s="1"/>
      <c r="G626" s="1"/>
      <c r="H626" s="1"/>
      <c r="I626" s="55" t="s">
        <v>7</v>
      </c>
      <c r="J626" s="1"/>
      <c r="K626" s="1"/>
      <c r="L626" s="1"/>
      <c r="M626" s="55" t="s">
        <v>7</v>
      </c>
      <c r="N626" s="1"/>
      <c r="O626" s="1"/>
      <c r="P626" s="1"/>
      <c r="Q626" s="55" t="s">
        <v>7</v>
      </c>
      <c r="R626" s="55" t="s">
        <v>7</v>
      </c>
    </row>
    <row r="627" spans="1:18" ht="16.5" customHeight="1" thickBot="1" x14ac:dyDescent="0.35">
      <c r="A627" s="57" t="s">
        <v>71</v>
      </c>
      <c r="B627" s="58">
        <f>SUM(B625:B626)</f>
        <v>0</v>
      </c>
      <c r="C627" s="58">
        <f>SUM(C625:C626)</f>
        <v>0</v>
      </c>
      <c r="D627" s="58">
        <f>SUM(D625:D626)</f>
        <v>0</v>
      </c>
      <c r="E627" s="60">
        <f>SUM(B627:D627)</f>
        <v>0</v>
      </c>
      <c r="F627" s="58">
        <f>SUM(F625:F626)</f>
        <v>0</v>
      </c>
      <c r="G627" s="58">
        <f>SUM(G625:G626)</f>
        <v>0</v>
      </c>
      <c r="H627" s="58">
        <f>SUM(H625:H626)</f>
        <v>0</v>
      </c>
      <c r="I627" s="60">
        <f>SUM(F627:H627)</f>
        <v>0</v>
      </c>
      <c r="J627" s="58">
        <f>SUM(J625:J626)</f>
        <v>0</v>
      </c>
      <c r="K627" s="58">
        <f>SUM(K625:K626)</f>
        <v>0</v>
      </c>
      <c r="L627" s="58">
        <f>SUM(L625:L626)</f>
        <v>0</v>
      </c>
      <c r="M627" s="60">
        <f>SUM(J627:L627)</f>
        <v>0</v>
      </c>
      <c r="N627" s="58">
        <f>SUM(N625:N626)</f>
        <v>0</v>
      </c>
      <c r="O627" s="58">
        <f>SUM(O625:O626)</f>
        <v>0</v>
      </c>
      <c r="P627" s="58">
        <f>SUM(P625:P626)</f>
        <v>0</v>
      </c>
      <c r="Q627" s="60">
        <f>SUM(N627:P627)</f>
        <v>0</v>
      </c>
      <c r="R627" s="59">
        <f>+E627+I627+M627+Q627</f>
        <v>0</v>
      </c>
    </row>
    <row r="628" spans="1:18" ht="16.5" customHeight="1" thickBot="1" x14ac:dyDescent="0.35">
      <c r="A628" s="114" t="s">
        <v>72</v>
      </c>
      <c r="B628" s="86">
        <f>SUM(B618:B626)</f>
        <v>2000</v>
      </c>
      <c r="C628" s="87">
        <f>SUM(C618:C626)</f>
        <v>2000</v>
      </c>
      <c r="D628" s="118">
        <f>SUM(D618:D626)</f>
        <v>2000</v>
      </c>
      <c r="E628" s="60">
        <f>SUM(B628:D628)</f>
        <v>6000</v>
      </c>
      <c r="F628" s="87">
        <f>SUM(F618:F626)</f>
        <v>2000</v>
      </c>
      <c r="G628" s="87">
        <f>SUM(G618:G626)</f>
        <v>0</v>
      </c>
      <c r="H628" s="87">
        <f>SUM(H618:H626)</f>
        <v>0</v>
      </c>
      <c r="I628" s="60">
        <f>SUM(F628:H628)</f>
        <v>2000</v>
      </c>
      <c r="J628" s="87">
        <f>SUM(J618:J626)</f>
        <v>0</v>
      </c>
      <c r="K628" s="87">
        <f>SUM(K618:K626)</f>
        <v>0</v>
      </c>
      <c r="L628" s="87">
        <f>SUM(L618:L626)</f>
        <v>0</v>
      </c>
      <c r="M628" s="60">
        <f>SUM(J628:L628)</f>
        <v>0</v>
      </c>
      <c r="N628" s="87">
        <f>SUM(N618:N626)</f>
        <v>0</v>
      </c>
      <c r="O628" s="87">
        <f>SUM(O618:O626)</f>
        <v>1500</v>
      </c>
      <c r="P628" s="87">
        <f>SUM(P618:P626)</f>
        <v>3755</v>
      </c>
      <c r="Q628" s="60">
        <f>SUM(N628:P628)</f>
        <v>5255</v>
      </c>
      <c r="R628" s="59">
        <f>+E628+I628+M628+Q628</f>
        <v>13255</v>
      </c>
    </row>
    <row r="629" spans="1:18" ht="16.5" customHeight="1" thickBot="1" x14ac:dyDescent="0.35">
      <c r="A629" s="57" t="s">
        <v>73</v>
      </c>
      <c r="B629" s="90">
        <f>+B604+B608+B617+B628</f>
        <v>11568</v>
      </c>
      <c r="C629" s="58">
        <f>+C604+C608+C617+C628</f>
        <v>13224</v>
      </c>
      <c r="D629" s="58">
        <f>+D604+D608+D617+D628</f>
        <v>13041</v>
      </c>
      <c r="E629" s="59">
        <f>SUM(B629:D629)</f>
        <v>37833</v>
      </c>
      <c r="F629" s="58">
        <f>+F604+F608+F617+F628</f>
        <v>15297</v>
      </c>
      <c r="G629" s="58">
        <f>+G604+G608+G617+G628</f>
        <v>13256</v>
      </c>
      <c r="H629" s="58">
        <f>+H604+H608+H617+H628</f>
        <v>11391</v>
      </c>
      <c r="I629" s="59">
        <f>SUM(F629:H629)</f>
        <v>39944</v>
      </c>
      <c r="J629" s="58">
        <f>+J604+J608+J617+J628</f>
        <v>9272</v>
      </c>
      <c r="K629" s="58">
        <f>+K604+K608+K617+K628</f>
        <v>11619</v>
      </c>
      <c r="L629" s="58">
        <f>+L604+L608+L617+L628</f>
        <v>12234</v>
      </c>
      <c r="M629" s="59">
        <f>SUM(J629:L629)</f>
        <v>33125</v>
      </c>
      <c r="N629" s="58">
        <f>+N604+N608+N617+N628</f>
        <v>7687</v>
      </c>
      <c r="O629" s="58">
        <f>+O604+O608+O617+O628</f>
        <v>5047</v>
      </c>
      <c r="P629" s="58">
        <f>+P604+P608+P617+P628</f>
        <v>10287</v>
      </c>
      <c r="Q629" s="59">
        <f>SUM(N629:P629)</f>
        <v>23021</v>
      </c>
      <c r="R629" s="81">
        <f>+E629+I629+M629+Q629</f>
        <v>133923</v>
      </c>
    </row>
    <row r="630" spans="1:18" ht="16.5" customHeight="1" thickBot="1" x14ac:dyDescent="0.35">
      <c r="A630" s="62" t="s">
        <v>40</v>
      </c>
      <c r="B630" s="21">
        <v>22</v>
      </c>
      <c r="C630" s="21">
        <v>24</v>
      </c>
      <c r="D630" s="21">
        <v>31</v>
      </c>
      <c r="E630" s="59">
        <f>SUM(B630:D630)</f>
        <v>77</v>
      </c>
      <c r="F630" s="21">
        <v>40</v>
      </c>
      <c r="G630" s="21">
        <v>45</v>
      </c>
      <c r="H630" s="21">
        <v>48</v>
      </c>
      <c r="I630" s="59">
        <f>SUM(F630:H630)</f>
        <v>133</v>
      </c>
      <c r="J630" s="21">
        <v>42</v>
      </c>
      <c r="K630" s="21">
        <v>39</v>
      </c>
      <c r="L630" s="21">
        <v>38</v>
      </c>
      <c r="M630" s="59">
        <f>SUM(J630:L630)</f>
        <v>119</v>
      </c>
      <c r="N630" s="21">
        <v>32</v>
      </c>
      <c r="O630" s="21">
        <v>25</v>
      </c>
      <c r="P630" s="21">
        <v>21</v>
      </c>
      <c r="Q630" s="59">
        <f>SUM(N630:P630)</f>
        <v>78</v>
      </c>
      <c r="R630" s="60">
        <f>+E630+I630+M630+Q630</f>
        <v>407</v>
      </c>
    </row>
    <row r="631" spans="1:18" ht="16.5" customHeight="1" thickBot="1" x14ac:dyDescent="0.35">
      <c r="A631" s="41"/>
      <c r="B631" s="36"/>
      <c r="C631" s="36"/>
      <c r="D631" s="36"/>
      <c r="E631" s="52"/>
      <c r="F631" s="36"/>
      <c r="G631" s="36"/>
      <c r="H631" s="36"/>
      <c r="I631" s="52"/>
      <c r="J631" s="36"/>
      <c r="K631" s="36"/>
      <c r="L631" s="36"/>
      <c r="M631" s="52"/>
      <c r="N631" s="36"/>
      <c r="O631" s="36"/>
      <c r="P631" s="36"/>
      <c r="Q631" s="52"/>
      <c r="R631" s="42"/>
    </row>
    <row r="632" spans="1:18" ht="15.75" customHeight="1" x14ac:dyDescent="0.3">
      <c r="A632" s="15" t="s">
        <v>314</v>
      </c>
      <c r="B632" s="1">
        <f>+SUM(B629:B630)</f>
        <v>11590</v>
      </c>
      <c r="C632" s="1">
        <f>+SUM(C629:C630)</f>
        <v>13248</v>
      </c>
      <c r="D632" s="1">
        <f>+SUM(D629:D630)</f>
        <v>13072</v>
      </c>
      <c r="E632" s="60">
        <f>SUM(B632:D632)</f>
        <v>37910</v>
      </c>
      <c r="F632" s="1">
        <f>+SUM(F629:F630)</f>
        <v>15337</v>
      </c>
      <c r="G632" s="1">
        <f>+SUM(G629:G630)</f>
        <v>13301</v>
      </c>
      <c r="H632" s="1">
        <f>+SUM(H629:H630)</f>
        <v>11439</v>
      </c>
      <c r="I632" s="60">
        <f>SUM(F632:H632)</f>
        <v>40077</v>
      </c>
      <c r="J632" s="1">
        <f>+SUM(J629:J630)</f>
        <v>9314</v>
      </c>
      <c r="K632" s="1">
        <f>+SUM(K629:K630)</f>
        <v>11658</v>
      </c>
      <c r="L632" s="1">
        <f>+SUM(L629:L630)</f>
        <v>12272</v>
      </c>
      <c r="M632" s="60">
        <f>SUM(J632:L632)</f>
        <v>33244</v>
      </c>
      <c r="N632" s="1">
        <f>+SUM(N629:N630)</f>
        <v>7719</v>
      </c>
      <c r="O632" s="1">
        <f>+SUM(O629:O630)</f>
        <v>5072</v>
      </c>
      <c r="P632" s="1">
        <f>+SUM(P629:P630)</f>
        <v>10308</v>
      </c>
      <c r="Q632" s="60">
        <f>SUM(N632:P632)</f>
        <v>23099</v>
      </c>
      <c r="R632" s="60">
        <f>+E632+I632+M632+Q632</f>
        <v>134330</v>
      </c>
    </row>
    <row r="633" spans="1:18" ht="15.75" customHeight="1" x14ac:dyDescent="0.3">
      <c r="A633" s="15" t="s">
        <v>42</v>
      </c>
      <c r="B633" s="1">
        <f>(B632/B10)/1.983</f>
        <v>188.53805735851512</v>
      </c>
      <c r="C633" s="1">
        <f>(C632/C10)/1.983</f>
        <v>238.59952452993301</v>
      </c>
      <c r="D633" s="1">
        <f>(D632/D10)/1.983</f>
        <v>212.64620239780066</v>
      </c>
      <c r="E633" s="55" t="s">
        <v>7</v>
      </c>
      <c r="F633" s="1">
        <f>(F632/F10)/1.983</f>
        <v>257.80803496385948</v>
      </c>
      <c r="G633" s="1">
        <f>(G632/G10)/1.983</f>
        <v>216.37141509280497</v>
      </c>
      <c r="H633" s="1">
        <f>(H632/H10)/1.983</f>
        <v>192.28441754916793</v>
      </c>
      <c r="I633" s="55" t="s">
        <v>7</v>
      </c>
      <c r="J633" s="1">
        <f>(J632/J10)/1.983</f>
        <v>151.51367266930197</v>
      </c>
      <c r="K633" s="1">
        <f>(K632/K10)/1.983</f>
        <v>189.64423405397491</v>
      </c>
      <c r="L633" s="1">
        <f>(L632/L10)/1.983</f>
        <v>206.28677088586315</v>
      </c>
      <c r="M633" s="55" t="s">
        <v>7</v>
      </c>
      <c r="N633" s="1">
        <f>(N632/N10)/1.983</f>
        <v>125.56732223903177</v>
      </c>
      <c r="O633" s="1">
        <f>(O632/O10)/1.983</f>
        <v>85.25802655908555</v>
      </c>
      <c r="P633" s="1">
        <f>(P632/P10)/1.983</f>
        <v>167.68337318822896</v>
      </c>
      <c r="Q633" s="55" t="s">
        <v>7</v>
      </c>
      <c r="R633" s="55" t="s">
        <v>7</v>
      </c>
    </row>
    <row r="634" spans="1:18" ht="15.75" customHeight="1" x14ac:dyDescent="0.3">
      <c r="A634" s="15" t="s">
        <v>351</v>
      </c>
      <c r="B634" s="1">
        <f>B632+B644</f>
        <v>14444</v>
      </c>
      <c r="C634" s="1">
        <f>C632+C644</f>
        <v>16306</v>
      </c>
      <c r="D634" s="1">
        <f>D632+D644</f>
        <v>17114</v>
      </c>
      <c r="E634" s="55">
        <f>SUM(B634:D634)</f>
        <v>47864</v>
      </c>
      <c r="F634" s="1">
        <f>F632+F644</f>
        <v>19256</v>
      </c>
      <c r="G634" s="1">
        <f>G632+G644</f>
        <v>17753</v>
      </c>
      <c r="H634" s="1">
        <f>H632+H644</f>
        <v>15140</v>
      </c>
      <c r="I634" s="55">
        <f>SUM(F634:H634)</f>
        <v>52149</v>
      </c>
      <c r="J634" s="1">
        <f>J632+J644</f>
        <v>14366</v>
      </c>
      <c r="K634" s="1">
        <f>K632+K644</f>
        <v>15993</v>
      </c>
      <c r="L634" s="1">
        <f>L632+L644</f>
        <v>15838</v>
      </c>
      <c r="M634" s="55">
        <f>SUM(J634:L634)</f>
        <v>46197</v>
      </c>
      <c r="N634" s="1">
        <f>N632+N644</f>
        <v>10988</v>
      </c>
      <c r="O634" s="1">
        <f>O632+O644</f>
        <v>7182</v>
      </c>
      <c r="P634" s="1">
        <f>P632+P644</f>
        <v>13610</v>
      </c>
      <c r="Q634" s="55">
        <f>SUM(N634:P634)</f>
        <v>31780</v>
      </c>
      <c r="R634" s="55">
        <f>+E634+I634+M634+Q634</f>
        <v>177990</v>
      </c>
    </row>
    <row r="635" spans="1:18" ht="16.5" customHeight="1" thickBot="1" x14ac:dyDescent="0.35">
      <c r="A635" s="20" t="s">
        <v>352</v>
      </c>
      <c r="B635" s="21">
        <f>(B634/B10)/1.983</f>
        <v>234.96494395913652</v>
      </c>
      <c r="C635" s="21">
        <f>(C634/C10)/1.983</f>
        <v>293.67480729054103</v>
      </c>
      <c r="D635" s="21">
        <f>(D634/D10)/1.983</f>
        <v>278.39864656027851</v>
      </c>
      <c r="E635" s="81" t="s">
        <v>7</v>
      </c>
      <c r="F635" s="21">
        <f>(F634/F10)/1.983</f>
        <v>323.68465288283744</v>
      </c>
      <c r="G635" s="21">
        <f>(G634/G10)/1.983</f>
        <v>288.79345403673153</v>
      </c>
      <c r="H635" s="21">
        <f>(H634/H10)/1.983</f>
        <v>254.49655404269626</v>
      </c>
      <c r="I635" s="81" t="s">
        <v>7</v>
      </c>
      <c r="J635" s="21">
        <f>(J634/J10)/1.983</f>
        <v>233.69609422022677</v>
      </c>
      <c r="K635" s="21">
        <f>(K634/K10)/1.983</f>
        <v>260.16299838953682</v>
      </c>
      <c r="L635" s="21">
        <f>(L634/L10)/1.983</f>
        <v>266.22961842326436</v>
      </c>
      <c r="M635" s="81" t="s">
        <v>7</v>
      </c>
      <c r="N635" s="21">
        <f>(N634/N10)/1.983</f>
        <v>178.74514014282693</v>
      </c>
      <c r="O635" s="21">
        <f>(O634/O10)/1.983</f>
        <v>120.72617246596066</v>
      </c>
      <c r="P635" s="21">
        <f>(P634/P10)/1.983</f>
        <v>221.39801213540903</v>
      </c>
      <c r="Q635" s="81" t="s">
        <v>7</v>
      </c>
      <c r="R635" s="81" t="s">
        <v>7</v>
      </c>
    </row>
    <row r="636" spans="1:18" ht="15.75" customHeight="1" x14ac:dyDescent="0.3">
      <c r="A636" s="2"/>
      <c r="B636" s="1"/>
      <c r="C636" s="1"/>
      <c r="D636" s="1"/>
      <c r="E636" s="1"/>
      <c r="F636" s="1"/>
      <c r="G636" s="1"/>
      <c r="H636" s="1"/>
      <c r="I636" s="1"/>
      <c r="J636" s="1"/>
      <c r="K636" s="1"/>
      <c r="L636" s="1"/>
      <c r="M636" s="1"/>
      <c r="N636" s="1"/>
      <c r="O636" s="1"/>
      <c r="P636" s="1"/>
      <c r="Q636" s="1"/>
      <c r="R636" s="2"/>
    </row>
    <row r="637" spans="1:18" ht="15.75" customHeight="1" thickBot="1" x14ac:dyDescent="0.35">
      <c r="A637" s="2"/>
      <c r="B637" s="1"/>
      <c r="C637" s="1"/>
      <c r="D637" s="1"/>
      <c r="E637" s="1"/>
      <c r="F637" s="1"/>
      <c r="G637" s="1"/>
      <c r="H637" s="1"/>
      <c r="I637" s="1"/>
      <c r="J637" s="1"/>
      <c r="K637" s="1"/>
      <c r="L637" s="1"/>
      <c r="M637" s="1"/>
      <c r="N637" s="1"/>
      <c r="O637" s="1"/>
      <c r="P637" s="1"/>
      <c r="Q637" s="1"/>
      <c r="R637" s="2"/>
    </row>
    <row r="638" spans="1:18" ht="16.5" customHeight="1" thickBot="1" x14ac:dyDescent="0.35">
      <c r="A638" s="124" t="s">
        <v>353</v>
      </c>
      <c r="B638" s="30" t="s">
        <v>8</v>
      </c>
      <c r="C638" s="31" t="s">
        <v>9</v>
      </c>
      <c r="D638" s="31" t="s">
        <v>10</v>
      </c>
      <c r="E638" s="32" t="s">
        <v>11</v>
      </c>
      <c r="F638" s="31" t="s">
        <v>12</v>
      </c>
      <c r="G638" s="31" t="s">
        <v>13</v>
      </c>
      <c r="H638" s="31" t="s">
        <v>14</v>
      </c>
      <c r="I638" s="33" t="s">
        <v>15</v>
      </c>
      <c r="J638" s="31" t="s">
        <v>16</v>
      </c>
      <c r="K638" s="31" t="s">
        <v>17</v>
      </c>
      <c r="L638" s="31" t="s">
        <v>18</v>
      </c>
      <c r="M638" s="33" t="s">
        <v>19</v>
      </c>
      <c r="N638" s="31" t="s">
        <v>20</v>
      </c>
      <c r="O638" s="31" t="s">
        <v>21</v>
      </c>
      <c r="P638" s="31" t="s">
        <v>22</v>
      </c>
      <c r="Q638" s="33" t="s">
        <v>23</v>
      </c>
      <c r="R638" s="34" t="s">
        <v>24</v>
      </c>
    </row>
    <row r="639" spans="1:18" ht="16.5" customHeight="1" thickBot="1" x14ac:dyDescent="0.35">
      <c r="A639" s="41"/>
      <c r="B639" s="36"/>
      <c r="C639" s="36"/>
      <c r="D639" s="36"/>
      <c r="E639" s="37"/>
      <c r="F639" s="36"/>
      <c r="G639" s="36"/>
      <c r="H639" s="36"/>
      <c r="I639" s="37"/>
      <c r="J639" s="36"/>
      <c r="K639" s="36"/>
      <c r="L639" s="36"/>
      <c r="M639" s="37"/>
      <c r="N639" s="36"/>
      <c r="O639" s="36"/>
      <c r="P639" s="36"/>
      <c r="Q639" s="37"/>
      <c r="R639" s="41"/>
    </row>
    <row r="640" spans="1:18" ht="16.5" customHeight="1" thickBot="1" x14ac:dyDescent="0.35">
      <c r="A640" s="39" t="s">
        <v>40</v>
      </c>
      <c r="B640" s="21">
        <v>2</v>
      </c>
      <c r="C640" s="21">
        <v>3</v>
      </c>
      <c r="D640" s="21">
        <v>5</v>
      </c>
      <c r="E640" s="55">
        <f>SUM(B640:D640)</f>
        <v>10</v>
      </c>
      <c r="F640" s="21">
        <v>7</v>
      </c>
      <c r="G640" s="21">
        <v>8</v>
      </c>
      <c r="H640" s="21">
        <v>9</v>
      </c>
      <c r="I640" s="55">
        <f>SUM(F640:H640)</f>
        <v>24</v>
      </c>
      <c r="J640" s="21">
        <v>7</v>
      </c>
      <c r="K640" s="21">
        <v>6</v>
      </c>
      <c r="L640" s="21">
        <v>6</v>
      </c>
      <c r="M640" s="55">
        <f>SUM(J640:L640)</f>
        <v>19</v>
      </c>
      <c r="N640" s="21">
        <v>5</v>
      </c>
      <c r="O640" s="21">
        <v>3</v>
      </c>
      <c r="P640" s="21">
        <v>2</v>
      </c>
      <c r="Q640" s="55">
        <f>SUM(N640:P640)</f>
        <v>10</v>
      </c>
      <c r="R640" s="60">
        <f>+E640+I640+M640+Q640</f>
        <v>63</v>
      </c>
    </row>
    <row r="641" spans="1:18" ht="16.5" customHeight="1" thickBot="1" x14ac:dyDescent="0.35">
      <c r="A641" s="41"/>
      <c r="B641" s="36"/>
      <c r="C641" s="36"/>
      <c r="D641" s="36"/>
      <c r="E641" s="52"/>
      <c r="F641" s="36"/>
      <c r="G641" s="36"/>
      <c r="H641" s="36"/>
      <c r="I641" s="52"/>
      <c r="J641" s="36"/>
      <c r="K641" s="36"/>
      <c r="L641" s="36"/>
      <c r="M641" s="52"/>
      <c r="N641" s="36"/>
      <c r="O641" s="36"/>
      <c r="P641" s="36"/>
      <c r="Q641" s="52"/>
      <c r="R641" s="42"/>
    </row>
    <row r="642" spans="1:18" ht="15.75" customHeight="1" x14ac:dyDescent="0.3">
      <c r="A642" s="15" t="s">
        <v>314</v>
      </c>
      <c r="B642" s="1">
        <f>B640</f>
        <v>2</v>
      </c>
      <c r="C642" s="1">
        <f>C640</f>
        <v>3</v>
      </c>
      <c r="D642" s="1">
        <f>D640</f>
        <v>5</v>
      </c>
      <c r="E642" s="60">
        <f>SUM(B642:D642)</f>
        <v>10</v>
      </c>
      <c r="F642" s="1">
        <f>F640</f>
        <v>7</v>
      </c>
      <c r="G642" s="1">
        <f>G640</f>
        <v>8</v>
      </c>
      <c r="H642" s="1">
        <f>H640</f>
        <v>9</v>
      </c>
      <c r="I642" s="60">
        <f>SUM(F642:H642)</f>
        <v>24</v>
      </c>
      <c r="J642" s="1">
        <f>J640</f>
        <v>7</v>
      </c>
      <c r="K642" s="1">
        <f>K640</f>
        <v>6</v>
      </c>
      <c r="L642" s="1">
        <f>L640</f>
        <v>6</v>
      </c>
      <c r="M642" s="60">
        <f>SUM(J642:L642)</f>
        <v>19</v>
      </c>
      <c r="N642" s="1">
        <f>N640</f>
        <v>5</v>
      </c>
      <c r="O642" s="1">
        <f>O640</f>
        <v>3</v>
      </c>
      <c r="P642" s="1">
        <f>P640</f>
        <v>2</v>
      </c>
      <c r="Q642" s="60">
        <f>SUM(N642:P642)</f>
        <v>10</v>
      </c>
      <c r="R642" s="60">
        <f>+E642+I642+M642+Q642</f>
        <v>63</v>
      </c>
    </row>
    <row r="643" spans="1:18" ht="15.75" customHeight="1" x14ac:dyDescent="0.3">
      <c r="A643" s="15" t="s">
        <v>42</v>
      </c>
      <c r="B643" s="1">
        <f>(B642/B10)/1.983</f>
        <v>3.2534608689993978E-2</v>
      </c>
      <c r="C643" s="1">
        <f>(C642/C10)/1.983</f>
        <v>5.403068943159714E-2</v>
      </c>
      <c r="D643" s="1">
        <f>(D642/D10)/1.983</f>
        <v>8.1336521724984942E-2</v>
      </c>
      <c r="E643" s="55" t="s">
        <v>7</v>
      </c>
      <c r="F643" s="1">
        <f>(F642/F10)/1.983</f>
        <v>0.1176668347621449</v>
      </c>
      <c r="G643" s="1">
        <f>(G642/G10)/1.983</f>
        <v>0.13013843475997591</v>
      </c>
      <c r="H643" s="1">
        <f>(H642/H10)/1.983</f>
        <v>0.15128593040847199</v>
      </c>
      <c r="I643" s="55" t="s">
        <v>7</v>
      </c>
      <c r="J643" s="1">
        <f>(J642/J10)/1.983</f>
        <v>0.11387113041497893</v>
      </c>
      <c r="K643" s="1">
        <f>(K642/K10)/1.983</f>
        <v>9.7603826069981942E-2</v>
      </c>
      <c r="L643" s="1">
        <f>(L642/L10)/1.983</f>
        <v>0.10085728693898134</v>
      </c>
      <c r="M643" s="55" t="s">
        <v>7</v>
      </c>
      <c r="N643" s="1">
        <f>(N642/N10)/1.983</f>
        <v>8.1336521724984942E-2</v>
      </c>
      <c r="O643" s="1">
        <f>(O642/O10)/1.983</f>
        <v>5.0428643469490671E-2</v>
      </c>
      <c r="P643" s="1">
        <f>(P642/P10)/1.983</f>
        <v>3.2534608689993978E-2</v>
      </c>
      <c r="Q643" s="55" t="s">
        <v>7</v>
      </c>
      <c r="R643" s="55" t="s">
        <v>7</v>
      </c>
    </row>
    <row r="644" spans="1:18" ht="15.75" customHeight="1" x14ac:dyDescent="0.3">
      <c r="A644" s="15" t="s">
        <v>354</v>
      </c>
      <c r="B644" s="1">
        <f>B642+B678+B724-B673</f>
        <v>2854</v>
      </c>
      <c r="C644" s="1">
        <f>C642+C678+C724-C673</f>
        <v>3058</v>
      </c>
      <c r="D644" s="1">
        <f>D642+D678+D724-D673</f>
        <v>4042</v>
      </c>
      <c r="E644" s="55">
        <f>SUM(B644:D644)</f>
        <v>9954</v>
      </c>
      <c r="F644" s="1">
        <f>F642+F678+F724-F673</f>
        <v>3919</v>
      </c>
      <c r="G644" s="1">
        <f>G642+G678+G724-G673</f>
        <v>4452</v>
      </c>
      <c r="H644" s="1">
        <f>H642+H678+H724-H673</f>
        <v>3701</v>
      </c>
      <c r="I644" s="55">
        <f>SUM(F644:H644)</f>
        <v>12072</v>
      </c>
      <c r="J644" s="1">
        <f>J642+J678+J724-J673</f>
        <v>5052</v>
      </c>
      <c r="K644" s="1">
        <f>K642+K678+K724-K673</f>
        <v>4335</v>
      </c>
      <c r="L644" s="1">
        <f>L642+L678+L724-L673</f>
        <v>3566</v>
      </c>
      <c r="M644" s="55">
        <f>SUM(J644:L644)</f>
        <v>12953</v>
      </c>
      <c r="N644" s="1">
        <f>N642+N678+N724-N673</f>
        <v>3269</v>
      </c>
      <c r="O644" s="1">
        <f>O642+O678+O724-O673</f>
        <v>2110</v>
      </c>
      <c r="P644" s="1">
        <f>P642+P678+P724-P673</f>
        <v>3302</v>
      </c>
      <c r="Q644" s="55">
        <f>SUM(N644:P644)</f>
        <v>8681</v>
      </c>
      <c r="R644" s="55">
        <f>+E644+I644+M644+Q644</f>
        <v>43660</v>
      </c>
    </row>
    <row r="645" spans="1:18" ht="16.5" customHeight="1" thickBot="1" x14ac:dyDescent="0.35">
      <c r="A645" s="20" t="s">
        <v>355</v>
      </c>
      <c r="B645" s="21">
        <f>(B644/B10)/1.983</f>
        <v>46.426886600621408</v>
      </c>
      <c r="C645" s="21">
        <f>(C644/C10)/1.983</f>
        <v>55.075282760608019</v>
      </c>
      <c r="D645" s="21">
        <f>(D644/D10)/1.983</f>
        <v>65.752444162477829</v>
      </c>
      <c r="E645" s="81" t="s">
        <v>7</v>
      </c>
      <c r="F645" s="21">
        <f>(F644/F10)/1.983</f>
        <v>65.876617918977971</v>
      </c>
      <c r="G645" s="21">
        <f>(G644/G10)/1.983</f>
        <v>72.422038943926609</v>
      </c>
      <c r="H645" s="21">
        <f>(H644/H10)/1.983</f>
        <v>62.21213649352832</v>
      </c>
      <c r="I645" s="81" t="s">
        <v>7</v>
      </c>
      <c r="J645" s="21">
        <f>(J644/J10)/1.983</f>
        <v>82.182421550924786</v>
      </c>
      <c r="K645" s="21">
        <f>(K644/K10)/1.983</f>
        <v>70.518764335561954</v>
      </c>
      <c r="L645" s="21">
        <f>(L644/L10)/1.983</f>
        <v>59.942847537401235</v>
      </c>
      <c r="M645" s="81" t="s">
        <v>7</v>
      </c>
      <c r="N645" s="21">
        <f>(N644/N10)/1.983</f>
        <v>53.177817903795159</v>
      </c>
      <c r="O645" s="21">
        <f>(O644/O10)/1.983</f>
        <v>35.468145906875101</v>
      </c>
      <c r="P645" s="21">
        <f>(P644/P10)/1.983</f>
        <v>53.714638947180063</v>
      </c>
      <c r="Q645" s="81" t="s">
        <v>7</v>
      </c>
      <c r="R645" s="81" t="s">
        <v>7</v>
      </c>
    </row>
    <row r="646" spans="1:18" ht="15.75" customHeight="1" x14ac:dyDescent="0.3">
      <c r="A646" s="2"/>
      <c r="B646" s="1"/>
      <c r="C646" s="1"/>
      <c r="D646" s="1"/>
      <c r="E646" s="1"/>
      <c r="F646" s="1"/>
      <c r="G646" s="1"/>
      <c r="H646" s="1"/>
      <c r="I646" s="1"/>
      <c r="J646" s="1"/>
      <c r="K646" s="1"/>
      <c r="L646" s="1"/>
      <c r="M646" s="1"/>
      <c r="N646" s="1"/>
      <c r="O646" s="1"/>
      <c r="P646" s="1"/>
      <c r="Q646" s="1"/>
      <c r="R646" s="2"/>
    </row>
    <row r="647" spans="1:18" ht="15.75" customHeight="1" thickBot="1" x14ac:dyDescent="0.35">
      <c r="A647" s="2"/>
      <c r="B647" s="1"/>
      <c r="C647" s="1"/>
      <c r="D647" s="1"/>
      <c r="E647" s="1"/>
      <c r="F647" s="1"/>
      <c r="G647" s="1"/>
      <c r="H647" s="1"/>
      <c r="I647" s="1"/>
      <c r="J647" s="1"/>
      <c r="K647" s="1"/>
      <c r="L647" s="1"/>
      <c r="M647" s="1"/>
      <c r="N647" s="1"/>
      <c r="O647" s="1"/>
      <c r="P647" s="1"/>
      <c r="Q647" s="1"/>
      <c r="R647" s="2"/>
    </row>
    <row r="648" spans="1:18" ht="16.5" customHeight="1" thickBot="1" x14ac:dyDescent="0.35">
      <c r="A648" s="124" t="s">
        <v>356</v>
      </c>
      <c r="B648" s="30" t="s">
        <v>8</v>
      </c>
      <c r="C648" s="31" t="s">
        <v>9</v>
      </c>
      <c r="D648" s="31" t="s">
        <v>10</v>
      </c>
      <c r="E648" s="33" t="s">
        <v>11</v>
      </c>
      <c r="F648" s="31" t="s">
        <v>12</v>
      </c>
      <c r="G648" s="31" t="s">
        <v>13</v>
      </c>
      <c r="H648" s="31" t="s">
        <v>14</v>
      </c>
      <c r="I648" s="33" t="s">
        <v>15</v>
      </c>
      <c r="J648" s="31" t="s">
        <v>16</v>
      </c>
      <c r="K648" s="31" t="s">
        <v>17</v>
      </c>
      <c r="L648" s="31" t="s">
        <v>18</v>
      </c>
      <c r="M648" s="33" t="s">
        <v>19</v>
      </c>
      <c r="N648" s="31" t="s">
        <v>20</v>
      </c>
      <c r="O648" s="31" t="s">
        <v>21</v>
      </c>
      <c r="P648" s="31" t="s">
        <v>22</v>
      </c>
      <c r="Q648" s="33" t="s">
        <v>23</v>
      </c>
      <c r="R648" s="131" t="s">
        <v>24</v>
      </c>
    </row>
    <row r="649" spans="1:18" ht="16.5" customHeight="1" thickBot="1" x14ac:dyDescent="0.35">
      <c r="A649" s="41"/>
      <c r="B649" s="36"/>
      <c r="C649" s="36"/>
      <c r="D649" s="36"/>
      <c r="E649" s="132"/>
      <c r="F649" s="36"/>
      <c r="G649" s="36"/>
      <c r="H649" s="36"/>
      <c r="I649" s="132"/>
      <c r="J649" s="36"/>
      <c r="K649" s="36"/>
      <c r="L649" s="36"/>
      <c r="M649" s="132"/>
      <c r="N649" s="36"/>
      <c r="O649" s="36"/>
      <c r="P649" s="36"/>
      <c r="Q649" s="132"/>
      <c r="R649" s="38"/>
    </row>
    <row r="650" spans="1:18" ht="15.75" customHeight="1" x14ac:dyDescent="0.3">
      <c r="A650" s="15" t="s">
        <v>48</v>
      </c>
      <c r="B650" s="1" t="s">
        <v>7</v>
      </c>
      <c r="C650" s="1" t="s">
        <v>7</v>
      </c>
      <c r="D650" s="1" t="s">
        <v>7</v>
      </c>
      <c r="E650" s="55" t="s">
        <v>7</v>
      </c>
      <c r="F650" s="1" t="s">
        <v>7</v>
      </c>
      <c r="G650" s="1" t="s">
        <v>7</v>
      </c>
      <c r="H650" s="1" t="s">
        <v>7</v>
      </c>
      <c r="I650" s="55" t="s">
        <v>7</v>
      </c>
      <c r="J650" s="1" t="s">
        <v>7</v>
      </c>
      <c r="K650" s="1" t="s">
        <v>7</v>
      </c>
      <c r="L650" s="1" t="s">
        <v>7</v>
      </c>
      <c r="M650" s="55" t="s">
        <v>7</v>
      </c>
      <c r="N650" s="1" t="s">
        <v>7</v>
      </c>
      <c r="O650" s="1" t="s">
        <v>7</v>
      </c>
      <c r="P650" s="1" t="s">
        <v>7</v>
      </c>
      <c r="Q650" s="55" t="s">
        <v>7</v>
      </c>
      <c r="R650" s="55" t="s">
        <v>7</v>
      </c>
    </row>
    <row r="651" spans="1:18" ht="15.75" customHeight="1" x14ac:dyDescent="0.3">
      <c r="A651" s="15" t="s">
        <v>49</v>
      </c>
      <c r="B651" s="1"/>
      <c r="C651" s="1"/>
      <c r="D651" s="1"/>
      <c r="E651" s="55" t="s">
        <v>7</v>
      </c>
      <c r="F651" s="1"/>
      <c r="G651" s="1"/>
      <c r="H651" s="1"/>
      <c r="I651" s="55" t="s">
        <v>7</v>
      </c>
      <c r="J651" s="1"/>
      <c r="K651" s="1"/>
      <c r="L651" s="1"/>
      <c r="M651" s="55" t="s">
        <v>7</v>
      </c>
      <c r="N651" s="1"/>
      <c r="O651" s="1"/>
      <c r="P651" s="1"/>
      <c r="Q651" s="55" t="s">
        <v>7</v>
      </c>
      <c r="R651" s="55" t="s">
        <v>7</v>
      </c>
    </row>
    <row r="652" spans="1:18" ht="15.75" customHeight="1" x14ac:dyDescent="0.3">
      <c r="A652" s="71" t="s">
        <v>357</v>
      </c>
      <c r="B652" s="1">
        <v>24</v>
      </c>
      <c r="C652" s="1">
        <v>30</v>
      </c>
      <c r="D652" s="1">
        <v>41</v>
      </c>
      <c r="E652" s="55">
        <f>SUM(B652:D652)</f>
        <v>95</v>
      </c>
      <c r="F652" s="1">
        <v>46</v>
      </c>
      <c r="G652" s="1">
        <v>27</v>
      </c>
      <c r="H652" s="1"/>
      <c r="I652" s="55">
        <f>SUM(F652:H652)</f>
        <v>73</v>
      </c>
      <c r="J652" s="1">
        <v>10</v>
      </c>
      <c r="K652" s="1"/>
      <c r="L652" s="1">
        <v>38</v>
      </c>
      <c r="M652" s="55">
        <f>SUM(J652:L652)</f>
        <v>48</v>
      </c>
      <c r="N652" s="1"/>
      <c r="O652" s="1"/>
      <c r="P652" s="1"/>
      <c r="Q652" s="55">
        <f>SUM(N652:P652)</f>
        <v>0</v>
      </c>
      <c r="R652" s="55">
        <f>+E652+I652+M652+Q652</f>
        <v>216</v>
      </c>
    </row>
    <row r="653" spans="1:18" ht="15.75" customHeight="1" x14ac:dyDescent="0.3">
      <c r="A653" s="15" t="s">
        <v>50</v>
      </c>
      <c r="B653" s="1"/>
      <c r="C653" s="1"/>
      <c r="D653" s="1"/>
      <c r="E653" s="55" t="s">
        <v>7</v>
      </c>
      <c r="F653" s="1"/>
      <c r="G653" s="1"/>
      <c r="H653" s="1"/>
      <c r="I653" s="55" t="s">
        <v>7</v>
      </c>
      <c r="J653" s="1"/>
      <c r="K653" s="1"/>
      <c r="L653" s="1"/>
      <c r="M653" s="55" t="s">
        <v>7</v>
      </c>
      <c r="N653" s="1"/>
      <c r="O653" s="1"/>
      <c r="P653" s="1"/>
      <c r="Q653" s="55" t="s">
        <v>7</v>
      </c>
      <c r="R653" s="55" t="s">
        <v>7</v>
      </c>
    </row>
    <row r="654" spans="1:18" ht="15.75" customHeight="1" x14ac:dyDescent="0.3">
      <c r="A654" s="15" t="s">
        <v>51</v>
      </c>
      <c r="B654" s="1"/>
      <c r="C654" s="1"/>
      <c r="D654" s="1"/>
      <c r="E654" s="55" t="s">
        <v>7</v>
      </c>
      <c r="F654" s="1"/>
      <c r="G654" s="1"/>
      <c r="H654" s="1"/>
      <c r="I654" s="55" t="s">
        <v>7</v>
      </c>
      <c r="J654" s="1"/>
      <c r="K654" s="1"/>
      <c r="L654" s="1"/>
      <c r="M654" s="55" t="s">
        <v>7</v>
      </c>
      <c r="N654" s="1"/>
      <c r="O654" s="1"/>
      <c r="P654" s="1"/>
      <c r="Q654" s="55" t="s">
        <v>7</v>
      </c>
      <c r="R654" s="55" t="s">
        <v>7</v>
      </c>
    </row>
    <row r="655" spans="1:18" ht="15.75" customHeight="1" thickBot="1" x14ac:dyDescent="0.35">
      <c r="A655" s="15" t="s">
        <v>53</v>
      </c>
      <c r="B655" s="1"/>
      <c r="C655" s="1"/>
      <c r="D655" s="1"/>
      <c r="E655" s="55" t="s">
        <v>7</v>
      </c>
      <c r="F655" s="1"/>
      <c r="G655" s="1"/>
      <c r="H655" s="1"/>
      <c r="I655" s="55" t="s">
        <v>7</v>
      </c>
      <c r="J655" s="1"/>
      <c r="K655" s="1"/>
      <c r="L655" s="1"/>
      <c r="M655" s="55" t="s">
        <v>7</v>
      </c>
      <c r="N655" s="1"/>
      <c r="O655" s="1"/>
      <c r="P655" s="1"/>
      <c r="Q655" s="55" t="s">
        <v>7</v>
      </c>
      <c r="R655" s="55" t="s">
        <v>7</v>
      </c>
    </row>
    <row r="656" spans="1:18" ht="16.5" customHeight="1" thickBot="1" x14ac:dyDescent="0.35">
      <c r="A656" s="57" t="s">
        <v>54</v>
      </c>
      <c r="B656" s="86">
        <f>SUM(B650:B655)</f>
        <v>24</v>
      </c>
      <c r="C656" s="87">
        <f>SUM(C650:C655)</f>
        <v>30</v>
      </c>
      <c r="D656" s="87">
        <f>SUM(D650:D655)</f>
        <v>41</v>
      </c>
      <c r="E656" s="59">
        <f>SUM(B656:D656)</f>
        <v>95</v>
      </c>
      <c r="F656" s="87">
        <f>SUM(F650:F655)</f>
        <v>46</v>
      </c>
      <c r="G656" s="87">
        <f>SUM(G650:G655)</f>
        <v>27</v>
      </c>
      <c r="H656" s="87">
        <f>SUM(H650:H655)</f>
        <v>0</v>
      </c>
      <c r="I656" s="59">
        <f>SUM(F656:H656)</f>
        <v>73</v>
      </c>
      <c r="J656" s="87">
        <f>SUM(J650:J655)</f>
        <v>10</v>
      </c>
      <c r="K656" s="87">
        <f>SUM(K650:K655)</f>
        <v>0</v>
      </c>
      <c r="L656" s="87">
        <f>SUM(L650:L655)</f>
        <v>38</v>
      </c>
      <c r="M656" s="59">
        <f>SUM(J656:L656)</f>
        <v>48</v>
      </c>
      <c r="N656" s="87">
        <f>SUM(N650:N655)</f>
        <v>0</v>
      </c>
      <c r="O656" s="87">
        <f>SUM(O650:O655)</f>
        <v>0</v>
      </c>
      <c r="P656" s="87">
        <f>SUM(P650:P655)</f>
        <v>0</v>
      </c>
      <c r="Q656" s="59">
        <f>SUM(N656:P656)</f>
        <v>0</v>
      </c>
      <c r="R656" s="59">
        <f>+E656+I656+M656+Q656</f>
        <v>216</v>
      </c>
    </row>
    <row r="657" spans="1:18" ht="15.75" customHeight="1" x14ac:dyDescent="0.3">
      <c r="A657" s="15" t="s">
        <v>55</v>
      </c>
      <c r="B657" s="1"/>
      <c r="C657" s="1"/>
      <c r="D657" s="1"/>
      <c r="E657" s="55" t="s">
        <v>7</v>
      </c>
      <c r="F657" s="1"/>
      <c r="G657" s="1"/>
      <c r="H657" s="1"/>
      <c r="I657" s="55" t="s">
        <v>7</v>
      </c>
      <c r="J657" s="1"/>
      <c r="K657" s="1"/>
      <c r="L657" s="1"/>
      <c r="M657" s="55" t="s">
        <v>7</v>
      </c>
      <c r="N657" s="1"/>
      <c r="O657" s="1"/>
      <c r="P657" s="1"/>
      <c r="Q657" s="55" t="s">
        <v>7</v>
      </c>
      <c r="R657" s="55" t="s">
        <v>7</v>
      </c>
    </row>
    <row r="658" spans="1:18" ht="15.75" customHeight="1" x14ac:dyDescent="0.3">
      <c r="A658" s="15" t="s">
        <v>57</v>
      </c>
      <c r="B658" s="1"/>
      <c r="C658" s="1"/>
      <c r="D658" s="1"/>
      <c r="E658" s="55" t="s">
        <v>7</v>
      </c>
      <c r="F658" s="1"/>
      <c r="G658" s="1"/>
      <c r="H658" s="1"/>
      <c r="I658" s="55" t="s">
        <v>7</v>
      </c>
      <c r="J658" s="1"/>
      <c r="K658" s="1"/>
      <c r="L658" s="1"/>
      <c r="M658" s="55" t="s">
        <v>7</v>
      </c>
      <c r="N658" s="1"/>
      <c r="O658" s="1"/>
      <c r="P658" s="1"/>
      <c r="Q658" s="55" t="s">
        <v>7</v>
      </c>
      <c r="R658" s="55" t="s">
        <v>7</v>
      </c>
    </row>
    <row r="659" spans="1:18" ht="15.75" customHeight="1" thickBot="1" x14ac:dyDescent="0.35">
      <c r="A659" s="15" t="s">
        <v>58</v>
      </c>
      <c r="B659" s="1"/>
      <c r="C659" s="1"/>
      <c r="D659" s="1"/>
      <c r="E659" s="55" t="s">
        <v>7</v>
      </c>
      <c r="F659" s="1"/>
      <c r="G659" s="1"/>
      <c r="H659" s="1"/>
      <c r="I659" s="55" t="s">
        <v>7</v>
      </c>
      <c r="J659" s="1"/>
      <c r="K659" s="1"/>
      <c r="L659" s="1"/>
      <c r="M659" s="55" t="s">
        <v>7</v>
      </c>
      <c r="N659" s="1"/>
      <c r="O659" s="1"/>
      <c r="P659" s="1"/>
      <c r="Q659" s="55" t="s">
        <v>7</v>
      </c>
      <c r="R659" s="55" t="s">
        <v>7</v>
      </c>
    </row>
    <row r="660" spans="1:18" ht="16.5" customHeight="1" thickBot="1" x14ac:dyDescent="0.35">
      <c r="A660" s="57" t="s">
        <v>59</v>
      </c>
      <c r="B660" s="86">
        <f>SUM(B657:B659)</f>
        <v>0</v>
      </c>
      <c r="C660" s="87">
        <f>SUM(C657:C659)</f>
        <v>0</v>
      </c>
      <c r="D660" s="87">
        <f>SUM(D657:D659)</f>
        <v>0</v>
      </c>
      <c r="E660" s="59">
        <f>SUM(B660:D660)</f>
        <v>0</v>
      </c>
      <c r="F660" s="87">
        <f>SUM(F657:F659)</f>
        <v>0</v>
      </c>
      <c r="G660" s="87">
        <f>SUM(G657:G659)</f>
        <v>0</v>
      </c>
      <c r="H660" s="87">
        <f>SUM(H657:H659)</f>
        <v>0</v>
      </c>
      <c r="I660" s="59">
        <f>SUM(F660:H660)</f>
        <v>0</v>
      </c>
      <c r="J660" s="87">
        <f>SUM(J657:J659)</f>
        <v>0</v>
      </c>
      <c r="K660" s="87">
        <f>SUM(K657:K659)</f>
        <v>0</v>
      </c>
      <c r="L660" s="87">
        <f>SUM(L657:L659)</f>
        <v>0</v>
      </c>
      <c r="M660" s="59">
        <f>SUM(J660:L660)</f>
        <v>0</v>
      </c>
      <c r="N660" s="87">
        <f>SUM(N657:N659)</f>
        <v>0</v>
      </c>
      <c r="O660" s="87">
        <f>SUM(O657:O659)</f>
        <v>0</v>
      </c>
      <c r="P660" s="87">
        <f>SUM(P657:P659)</f>
        <v>0</v>
      </c>
      <c r="Q660" s="59">
        <f>SUM(N660:P660)</f>
        <v>0</v>
      </c>
      <c r="R660" s="59">
        <f>+E660+I660+M660+Q660</f>
        <v>0</v>
      </c>
    </row>
    <row r="661" spans="1:18" ht="15.75" customHeight="1" x14ac:dyDescent="0.3">
      <c r="A661" s="15" t="s">
        <v>60</v>
      </c>
      <c r="B661" s="1"/>
      <c r="C661" s="1"/>
      <c r="D661" s="1"/>
      <c r="E661" s="55" t="s">
        <v>7</v>
      </c>
      <c r="F661" s="1"/>
      <c r="G661" s="1"/>
      <c r="H661" s="1"/>
      <c r="I661" s="55" t="s">
        <v>7</v>
      </c>
      <c r="J661" s="1"/>
      <c r="K661" s="1"/>
      <c r="L661" s="1"/>
      <c r="M661" s="55" t="s">
        <v>7</v>
      </c>
      <c r="N661" s="1"/>
      <c r="O661" s="1"/>
      <c r="P661" s="1"/>
      <c r="Q661" s="55" t="s">
        <v>7</v>
      </c>
      <c r="R661" s="55" t="s">
        <v>7</v>
      </c>
    </row>
    <row r="662" spans="1:18" ht="15.75" customHeight="1" x14ac:dyDescent="0.3">
      <c r="A662" s="15" t="s">
        <v>61</v>
      </c>
      <c r="B662" s="1"/>
      <c r="C662" s="1"/>
      <c r="D662" s="1"/>
      <c r="E662" s="55" t="s">
        <v>7</v>
      </c>
      <c r="F662" s="1"/>
      <c r="G662" s="1"/>
      <c r="H662" s="1"/>
      <c r="I662" s="55" t="s">
        <v>7</v>
      </c>
      <c r="J662" s="1"/>
      <c r="K662" s="1"/>
      <c r="L662" s="1"/>
      <c r="M662" s="55" t="s">
        <v>7</v>
      </c>
      <c r="N662" s="1"/>
      <c r="O662" s="1"/>
      <c r="P662" s="1"/>
      <c r="Q662" s="55" t="s">
        <v>7</v>
      </c>
      <c r="R662" s="55" t="s">
        <v>7</v>
      </c>
    </row>
    <row r="663" spans="1:18" ht="15.75" customHeight="1" thickBot="1" x14ac:dyDescent="0.35">
      <c r="A663" s="15" t="s">
        <v>62</v>
      </c>
      <c r="B663" s="1"/>
      <c r="C663" s="1"/>
      <c r="D663" s="1"/>
      <c r="E663" s="55" t="s">
        <v>7</v>
      </c>
      <c r="F663" s="1"/>
      <c r="G663" s="1"/>
      <c r="H663" s="1"/>
      <c r="I663" s="55" t="s">
        <v>7</v>
      </c>
      <c r="J663" s="1"/>
      <c r="K663" s="1"/>
      <c r="L663" s="1"/>
      <c r="M663" s="55" t="s">
        <v>7</v>
      </c>
      <c r="N663" s="1"/>
      <c r="O663" s="1"/>
      <c r="P663" s="1"/>
      <c r="Q663" s="55" t="s">
        <v>7</v>
      </c>
      <c r="R663" s="55" t="s">
        <v>7</v>
      </c>
    </row>
    <row r="664" spans="1:18" ht="16.5" customHeight="1" thickBot="1" x14ac:dyDescent="0.35">
      <c r="A664" s="57" t="s">
        <v>63</v>
      </c>
      <c r="B664" s="86">
        <f>SUM(B661:B663)</f>
        <v>0</v>
      </c>
      <c r="C664" s="87">
        <f>SUM(C661:C663)</f>
        <v>0</v>
      </c>
      <c r="D664" s="87">
        <f>SUM(D661:D663)</f>
        <v>0</v>
      </c>
      <c r="E664" s="59">
        <f>SUM(B664:D664)</f>
        <v>0</v>
      </c>
      <c r="F664" s="87">
        <f>SUM(F661:F663)</f>
        <v>0</v>
      </c>
      <c r="G664" s="87">
        <f>SUM(G661:G663)</f>
        <v>0</v>
      </c>
      <c r="H664" s="87">
        <f>SUM(H661:H663)</f>
        <v>0</v>
      </c>
      <c r="I664" s="59">
        <f>SUM(F664:H664)</f>
        <v>0</v>
      </c>
      <c r="J664" s="87">
        <f>SUM(J661:J663)</f>
        <v>0</v>
      </c>
      <c r="K664" s="87">
        <f>SUM(K661:K663)</f>
        <v>0</v>
      </c>
      <c r="L664" s="87">
        <f>SUM(L661:L663)</f>
        <v>0</v>
      </c>
      <c r="M664" s="59">
        <f>SUM(J664:L664)</f>
        <v>0</v>
      </c>
      <c r="N664" s="87">
        <f>SUM(N661:N663)</f>
        <v>0</v>
      </c>
      <c r="O664" s="87">
        <f>SUM(O661:O663)</f>
        <v>0</v>
      </c>
      <c r="P664" s="87">
        <f>SUM(P661:P663)</f>
        <v>0</v>
      </c>
      <c r="Q664" s="59">
        <f>SUM(N664:P664)</f>
        <v>0</v>
      </c>
      <c r="R664" s="59">
        <f>+E664+I664+M664+Q664</f>
        <v>0</v>
      </c>
    </row>
    <row r="665" spans="1:18" ht="15.75" customHeight="1" x14ac:dyDescent="0.3">
      <c r="A665" s="15" t="s">
        <v>64</v>
      </c>
      <c r="B665" s="1"/>
      <c r="C665" s="1"/>
      <c r="D665" s="1"/>
      <c r="E665" s="55" t="s">
        <v>7</v>
      </c>
      <c r="F665" s="1"/>
      <c r="G665" s="1"/>
      <c r="H665" s="1"/>
      <c r="I665" s="55" t="s">
        <v>7</v>
      </c>
      <c r="J665" s="1"/>
      <c r="K665" s="1"/>
      <c r="L665" s="1"/>
      <c r="M665" s="55" t="s">
        <v>7</v>
      </c>
      <c r="N665" s="1"/>
      <c r="O665" s="1"/>
      <c r="P665" s="1"/>
      <c r="Q665" s="55" t="s">
        <v>7</v>
      </c>
      <c r="R665" s="55" t="s">
        <v>7</v>
      </c>
    </row>
    <row r="666" spans="1:18" ht="15.75" customHeight="1" x14ac:dyDescent="0.3">
      <c r="A666" s="15" t="s">
        <v>594</v>
      </c>
      <c r="B666" s="1"/>
      <c r="C666" s="1"/>
      <c r="D666" s="1"/>
      <c r="E666" s="55" t="s">
        <v>7</v>
      </c>
      <c r="F666" s="1"/>
      <c r="G666" s="1"/>
      <c r="H666" s="1"/>
      <c r="I666" s="55" t="s">
        <v>7</v>
      </c>
      <c r="J666" s="1"/>
      <c r="K666" s="1"/>
      <c r="L666" s="1"/>
      <c r="M666" s="55" t="s">
        <v>7</v>
      </c>
      <c r="N666" s="1"/>
      <c r="O666" s="1"/>
      <c r="P666" s="1"/>
      <c r="Q666" s="55" t="s">
        <v>7</v>
      </c>
      <c r="R666" s="55" t="s">
        <v>7</v>
      </c>
    </row>
    <row r="667" spans="1:18" ht="15.75" customHeight="1" x14ac:dyDescent="0.3">
      <c r="A667" s="15" t="s">
        <v>67</v>
      </c>
      <c r="B667" s="1"/>
      <c r="C667" s="1"/>
      <c r="D667" s="1"/>
      <c r="E667" s="55" t="s">
        <v>7</v>
      </c>
      <c r="F667" s="1"/>
      <c r="G667" s="1"/>
      <c r="H667" s="1"/>
      <c r="I667" s="55" t="s">
        <v>7</v>
      </c>
      <c r="J667" s="1"/>
      <c r="K667" s="1"/>
      <c r="L667" s="1"/>
      <c r="M667" s="55" t="s">
        <v>7</v>
      </c>
      <c r="N667" s="1"/>
      <c r="O667" s="1"/>
      <c r="P667" s="1"/>
      <c r="Q667" s="55" t="s">
        <v>7</v>
      </c>
      <c r="R667" s="55" t="s">
        <v>7</v>
      </c>
    </row>
    <row r="668" spans="1:18" ht="15.75" customHeight="1" x14ac:dyDescent="0.3">
      <c r="A668" s="15" t="s">
        <v>600</v>
      </c>
      <c r="B668" s="1"/>
      <c r="C668" s="1"/>
      <c r="D668" s="1"/>
      <c r="E668" s="55" t="s">
        <v>7</v>
      </c>
      <c r="F668" s="1"/>
      <c r="G668" s="1"/>
      <c r="H668" s="1"/>
      <c r="I668" s="55" t="s">
        <v>7</v>
      </c>
      <c r="J668" s="1"/>
      <c r="K668" s="1"/>
      <c r="L668" s="1"/>
      <c r="M668" s="55" t="s">
        <v>7</v>
      </c>
      <c r="N668" s="1"/>
      <c r="O668" s="1"/>
      <c r="P668" s="1"/>
      <c r="Q668" s="55" t="s">
        <v>7</v>
      </c>
      <c r="R668" s="55" t="s">
        <v>7</v>
      </c>
    </row>
    <row r="669" spans="1:18" ht="15.75" customHeight="1" thickBot="1" x14ac:dyDescent="0.35">
      <c r="A669" s="15" t="s">
        <v>70</v>
      </c>
      <c r="B669" s="1"/>
      <c r="C669" s="1"/>
      <c r="D669" s="1"/>
      <c r="E669" s="55" t="s">
        <v>7</v>
      </c>
      <c r="F669" s="1"/>
      <c r="G669" s="1"/>
      <c r="H669" s="1"/>
      <c r="I669" s="55" t="s">
        <v>7</v>
      </c>
      <c r="J669" s="1"/>
      <c r="K669" s="1"/>
      <c r="L669" s="1"/>
      <c r="M669" s="55" t="s">
        <v>7</v>
      </c>
      <c r="N669" s="1"/>
      <c r="O669" s="1"/>
      <c r="P669" s="1"/>
      <c r="Q669" s="55" t="s">
        <v>7</v>
      </c>
      <c r="R669" s="55" t="s">
        <v>7</v>
      </c>
    </row>
    <row r="670" spans="1:18" ht="16.5" customHeight="1" thickBot="1" x14ac:dyDescent="0.35">
      <c r="A670" s="57" t="s">
        <v>71</v>
      </c>
      <c r="B670" s="58">
        <f>SUM(B668:B669)</f>
        <v>0</v>
      </c>
      <c r="C670" s="58">
        <f>SUM(C668:C669)</f>
        <v>0</v>
      </c>
      <c r="D670" s="58">
        <f>SUM(D668:D669)</f>
        <v>0</v>
      </c>
      <c r="E670" s="60">
        <f>SUM(B670:D670)</f>
        <v>0</v>
      </c>
      <c r="F670" s="58">
        <f>SUM(F668:F669)</f>
        <v>0</v>
      </c>
      <c r="G670" s="58">
        <f>SUM(G668:G669)</f>
        <v>0</v>
      </c>
      <c r="H670" s="58">
        <f>SUM(H668:H669)</f>
        <v>0</v>
      </c>
      <c r="I670" s="60">
        <f>SUM(F670:H670)</f>
        <v>0</v>
      </c>
      <c r="J670" s="58">
        <f>SUM(J668:J669)</f>
        <v>0</v>
      </c>
      <c r="K670" s="58">
        <f>SUM(K668:K669)</f>
        <v>0</v>
      </c>
      <c r="L670" s="58">
        <f>SUM(L668:L669)</f>
        <v>0</v>
      </c>
      <c r="M670" s="60">
        <f>SUM(J670:L670)</f>
        <v>0</v>
      </c>
      <c r="N670" s="58">
        <f>SUM(N668:N669)</f>
        <v>0</v>
      </c>
      <c r="O670" s="58">
        <f>SUM(O668:O669)</f>
        <v>0</v>
      </c>
      <c r="P670" s="58">
        <f>SUM(P668:P669)</f>
        <v>0</v>
      </c>
      <c r="Q670" s="60">
        <f>SUM(N670:P670)</f>
        <v>0</v>
      </c>
      <c r="R670" s="59">
        <f>+E670+I670+M670+Q670</f>
        <v>0</v>
      </c>
    </row>
    <row r="671" spans="1:18" ht="16.5" customHeight="1" thickBot="1" x14ac:dyDescent="0.35">
      <c r="A671" s="57" t="s">
        <v>72</v>
      </c>
      <c r="B671" s="86">
        <f>SUM(B665:B669)</f>
        <v>0</v>
      </c>
      <c r="C671" s="87">
        <f>SUM(C665:C669)</f>
        <v>0</v>
      </c>
      <c r="D671" s="118">
        <f>SUM(D665:D669)</f>
        <v>0</v>
      </c>
      <c r="E671" s="60">
        <f>SUM(B671:D671)</f>
        <v>0</v>
      </c>
      <c r="F671" s="87">
        <f>SUM(F665:F669)</f>
        <v>0</v>
      </c>
      <c r="G671" s="87">
        <f>SUM(G665:G669)</f>
        <v>0</v>
      </c>
      <c r="H671" s="87">
        <f>SUM(H665:H669)</f>
        <v>0</v>
      </c>
      <c r="I671" s="60">
        <f>SUM(F671:H671)</f>
        <v>0</v>
      </c>
      <c r="J671" s="87">
        <f>SUM(J665:J669)</f>
        <v>0</v>
      </c>
      <c r="K671" s="87">
        <f>SUM(K665:K669)</f>
        <v>0</v>
      </c>
      <c r="L671" s="87">
        <f>SUM(L665:L669)</f>
        <v>0</v>
      </c>
      <c r="M671" s="60">
        <f>SUM(J671:L671)</f>
        <v>0</v>
      </c>
      <c r="N671" s="87">
        <f>SUM(N665:N669)</f>
        <v>0</v>
      </c>
      <c r="O671" s="87">
        <f>SUM(O665:O669)</f>
        <v>0</v>
      </c>
      <c r="P671" s="87">
        <f>SUM(P665:P669)</f>
        <v>0</v>
      </c>
      <c r="Q671" s="60">
        <f>SUM(N671:P671)</f>
        <v>0</v>
      </c>
      <c r="R671" s="59">
        <f>+E671+I671+M671+Q671</f>
        <v>0</v>
      </c>
    </row>
    <row r="672" spans="1:18" ht="16.5" customHeight="1" thickBot="1" x14ac:dyDescent="0.35">
      <c r="A672" s="57" t="s">
        <v>73</v>
      </c>
      <c r="B672" s="90">
        <f>+B656+B660+B664+B671</f>
        <v>24</v>
      </c>
      <c r="C672" s="58">
        <f>+C656+C660+C664+C671</f>
        <v>30</v>
      </c>
      <c r="D672" s="58">
        <f>+D656+D660+D664+D671</f>
        <v>41</v>
      </c>
      <c r="E672" s="59">
        <f>SUM(B672:D672)</f>
        <v>95</v>
      </c>
      <c r="F672" s="58">
        <f>+F656+F660+F664+F671</f>
        <v>46</v>
      </c>
      <c r="G672" s="58">
        <f>+G656+G660+G664+G671</f>
        <v>27</v>
      </c>
      <c r="H672" s="58">
        <f>+H656+H660+H664+H671</f>
        <v>0</v>
      </c>
      <c r="I672" s="59">
        <f>SUM(F672:H672)</f>
        <v>73</v>
      </c>
      <c r="J672" s="58">
        <f>+J656+J660+J664+J671</f>
        <v>10</v>
      </c>
      <c r="K672" s="58">
        <f>+K656+K660+K664+K671</f>
        <v>0</v>
      </c>
      <c r="L672" s="58">
        <f>+L656+L660+L664+L671</f>
        <v>38</v>
      </c>
      <c r="M672" s="59">
        <f>SUM(J672:L672)</f>
        <v>48</v>
      </c>
      <c r="N672" s="58">
        <f>+N656+N660+N664+N671</f>
        <v>0</v>
      </c>
      <c r="O672" s="58">
        <f>+O656+O660+O664+O671</f>
        <v>0</v>
      </c>
      <c r="P672" s="58">
        <f>+P656+P660+P664+P671</f>
        <v>0</v>
      </c>
      <c r="Q672" s="59">
        <f>SUM(N672:P672)</f>
        <v>0</v>
      </c>
      <c r="R672" s="81">
        <f>+E672+I672+M672+Q672</f>
        <v>216</v>
      </c>
    </row>
    <row r="673" spans="1:20" ht="15.75" customHeight="1" x14ac:dyDescent="0.3">
      <c r="A673" s="71" t="s">
        <v>358</v>
      </c>
      <c r="B673" s="1">
        <v>514</v>
      </c>
      <c r="C673" s="1">
        <v>89</v>
      </c>
      <c r="D673" s="1">
        <v>4671</v>
      </c>
      <c r="E673" s="55">
        <f>SUM(B673:D673)</f>
        <v>5274</v>
      </c>
      <c r="F673" s="1">
        <v>5145</v>
      </c>
      <c r="G673" s="1">
        <v>6039</v>
      </c>
      <c r="H673" s="1">
        <v>5950</v>
      </c>
      <c r="I673" s="55">
        <f>SUM(F673:H673)</f>
        <v>17134</v>
      </c>
      <c r="J673" s="1">
        <v>5841</v>
      </c>
      <c r="K673" s="1">
        <v>5727</v>
      </c>
      <c r="L673" s="1">
        <v>5485</v>
      </c>
      <c r="M673" s="55">
        <f>SUM(J673:L673)</f>
        <v>17053</v>
      </c>
      <c r="N673" s="1">
        <v>5354</v>
      </c>
      <c r="O673" s="1">
        <v>4371</v>
      </c>
      <c r="P673" s="1">
        <v>4942</v>
      </c>
      <c r="Q673" s="55">
        <f>SUM(N673:P673)</f>
        <v>14667</v>
      </c>
      <c r="R673" s="55">
        <f>+E673+I673+M673+Q673</f>
        <v>54128</v>
      </c>
    </row>
    <row r="674" spans="1:20" ht="15.75" customHeight="1" thickBot="1" x14ac:dyDescent="0.35">
      <c r="A674" s="71" t="s">
        <v>40</v>
      </c>
      <c r="B674" s="1">
        <v>0</v>
      </c>
      <c r="C674" s="1">
        <v>0</v>
      </c>
      <c r="D674" s="1">
        <v>0</v>
      </c>
      <c r="E674" s="55">
        <f>SUM(B674:D674)</f>
        <v>0</v>
      </c>
      <c r="F674" s="1">
        <v>0</v>
      </c>
      <c r="G674" s="1">
        <v>0</v>
      </c>
      <c r="H674" s="1">
        <v>0</v>
      </c>
      <c r="I674" s="55">
        <f>SUM(F674:H674)</f>
        <v>0</v>
      </c>
      <c r="J674" s="1">
        <v>0</v>
      </c>
      <c r="K674" s="1">
        <v>0</v>
      </c>
      <c r="L674" s="1">
        <v>0</v>
      </c>
      <c r="M674" s="55">
        <f>SUM(J674:L674)</f>
        <v>0</v>
      </c>
      <c r="N674" s="1">
        <v>0</v>
      </c>
      <c r="O674" s="1">
        <v>0</v>
      </c>
      <c r="P674" s="1">
        <v>0</v>
      </c>
      <c r="Q674" s="55">
        <f>SUM(N674:P674)</f>
        <v>0</v>
      </c>
      <c r="R674" s="55">
        <f>+E674+I674+M674+Q674</f>
        <v>0</v>
      </c>
    </row>
    <row r="675" spans="1:20" ht="16.5" customHeight="1" thickBot="1" x14ac:dyDescent="0.35">
      <c r="A675" s="130"/>
      <c r="B675" s="51"/>
      <c r="C675" s="51"/>
      <c r="D675" s="51"/>
      <c r="E675" s="59" t="s">
        <v>7</v>
      </c>
      <c r="F675" s="51"/>
      <c r="G675" s="51"/>
      <c r="H675" s="51"/>
      <c r="I675" s="59" t="s">
        <v>7</v>
      </c>
      <c r="J675" s="51"/>
      <c r="K675" s="51"/>
      <c r="L675" s="51"/>
      <c r="M675" s="59" t="s">
        <v>7</v>
      </c>
      <c r="N675" s="51"/>
      <c r="O675" s="51"/>
      <c r="P675" s="51"/>
      <c r="Q675" s="59"/>
      <c r="R675" s="59"/>
    </row>
    <row r="676" spans="1:20" ht="15.75" customHeight="1" x14ac:dyDescent="0.3">
      <c r="A676" s="15" t="s">
        <v>41</v>
      </c>
      <c r="B676" s="1">
        <f>SUM(B672:B674)</f>
        <v>538</v>
      </c>
      <c r="C676" s="1">
        <f>SUM(C672:C674)</f>
        <v>119</v>
      </c>
      <c r="D676" s="1">
        <f>SUM(D672:D674)</f>
        <v>4712</v>
      </c>
      <c r="E676" s="60">
        <f>SUM(B676:D676)</f>
        <v>5369</v>
      </c>
      <c r="F676" s="1">
        <f>SUM(F672:F674)</f>
        <v>5191</v>
      </c>
      <c r="G676" s="1">
        <f>SUM(G672:G674)</f>
        <v>6066</v>
      </c>
      <c r="H676" s="1">
        <f>SUM(H672:H674)</f>
        <v>5950</v>
      </c>
      <c r="I676" s="60">
        <f>SUM(F676:H676)</f>
        <v>17207</v>
      </c>
      <c r="J676" s="1">
        <f>SUM(J672:J674)</f>
        <v>5851</v>
      </c>
      <c r="K676" s="1">
        <f>SUM(K672:K674)</f>
        <v>5727</v>
      </c>
      <c r="L676" s="1">
        <f>SUM(L672:L674)</f>
        <v>5523</v>
      </c>
      <c r="M676" s="60">
        <f>SUM(J676:L676)</f>
        <v>17101</v>
      </c>
      <c r="N676" s="1">
        <f>SUM(N672:N674)</f>
        <v>5354</v>
      </c>
      <c r="O676" s="1">
        <f>SUM(O672:O674)</f>
        <v>4371</v>
      </c>
      <c r="P676" s="1">
        <f>SUM(P672:P674)</f>
        <v>4942</v>
      </c>
      <c r="Q676" s="60">
        <f>SUM(N676:P676)</f>
        <v>14667</v>
      </c>
      <c r="R676" s="60">
        <f>+E676+I676+M676+Q676</f>
        <v>54344</v>
      </c>
    </row>
    <row r="677" spans="1:20" ht="15.75" customHeight="1" x14ac:dyDescent="0.3">
      <c r="A677" s="15" t="s">
        <v>42</v>
      </c>
      <c r="B677" s="1">
        <f>(B676/B10)/1.983</f>
        <v>8.7518097376083812</v>
      </c>
      <c r="C677" s="1">
        <f>(C676/C10)/1.983</f>
        <v>2.1432173474533536</v>
      </c>
      <c r="D677" s="1">
        <f>(D676/D10)/1.983</f>
        <v>76.651538073625815</v>
      </c>
      <c r="E677" s="55" t="s">
        <v>7</v>
      </c>
      <c r="F677" s="1">
        <f>(F676/F10)/1.983</f>
        <v>87.258362750042025</v>
      </c>
      <c r="G677" s="1">
        <f>(G676/G10)/1.983</f>
        <v>98.677468156751743</v>
      </c>
      <c r="H677" s="1">
        <f>(H676/H10)/1.983</f>
        <v>100.01680954782316</v>
      </c>
      <c r="I677" s="55" t="s">
        <v>7</v>
      </c>
      <c r="J677" s="1">
        <f>(J676/J10)/1.983</f>
        <v>95.179997722577397</v>
      </c>
      <c r="K677" s="1">
        <f>(K676/K10)/1.983</f>
        <v>93.162851983797765</v>
      </c>
      <c r="L677" s="1">
        <f>(L676/L10)/1.983</f>
        <v>92.839132627332319</v>
      </c>
      <c r="M677" s="55" t="s">
        <v>7</v>
      </c>
      <c r="N677" s="1">
        <f>(N676/N10)/1.983</f>
        <v>87.095147463113889</v>
      </c>
      <c r="O677" s="1">
        <f>(O676/O10)/1.983</f>
        <v>73.474533535047897</v>
      </c>
      <c r="P677" s="1">
        <f>(P676/P10)/1.983</f>
        <v>80.393018072975124</v>
      </c>
      <c r="Q677" s="55" t="s">
        <v>7</v>
      </c>
      <c r="R677" s="55" t="s">
        <v>7</v>
      </c>
    </row>
    <row r="678" spans="1:20" ht="15.75" customHeight="1" x14ac:dyDescent="0.3">
      <c r="A678" s="15" t="s">
        <v>359</v>
      </c>
      <c r="B678" s="1">
        <f>B676</f>
        <v>538</v>
      </c>
      <c r="C678" s="1">
        <f>C676</f>
        <v>119</v>
      </c>
      <c r="D678" s="1">
        <f>D676</f>
        <v>4712</v>
      </c>
      <c r="E678" s="55">
        <f>SUM(B678:D678)</f>
        <v>5369</v>
      </c>
      <c r="F678" s="1">
        <f>F676</f>
        <v>5191</v>
      </c>
      <c r="G678" s="1">
        <f>G676</f>
        <v>6066</v>
      </c>
      <c r="H678" s="1">
        <f>H676</f>
        <v>5950</v>
      </c>
      <c r="I678" s="55">
        <f>SUM(F678:H678)</f>
        <v>17207</v>
      </c>
      <c r="J678" s="1">
        <f>J676</f>
        <v>5851</v>
      </c>
      <c r="K678" s="1">
        <f>K676</f>
        <v>5727</v>
      </c>
      <c r="L678" s="1">
        <f>L676</f>
        <v>5523</v>
      </c>
      <c r="M678" s="55">
        <f>SUM(J678:L678)</f>
        <v>17101</v>
      </c>
      <c r="N678" s="1">
        <f>N676</f>
        <v>5354</v>
      </c>
      <c r="O678" s="1">
        <f>O676</f>
        <v>4371</v>
      </c>
      <c r="P678" s="1">
        <f>P676</f>
        <v>4942</v>
      </c>
      <c r="Q678" s="55">
        <f>SUM(N678:P678)</f>
        <v>14667</v>
      </c>
      <c r="R678" s="55">
        <f>+E678+I678+M678+Q678</f>
        <v>54344</v>
      </c>
    </row>
    <row r="679" spans="1:20" ht="16.5" customHeight="1" thickBot="1" x14ac:dyDescent="0.35">
      <c r="A679" s="20" t="s">
        <v>360</v>
      </c>
      <c r="B679" s="21">
        <f>(B678/B10)/1.983</f>
        <v>8.7518097376083812</v>
      </c>
      <c r="C679" s="21">
        <f>(C678/C10)/1.983</f>
        <v>2.1432173474533536</v>
      </c>
      <c r="D679" s="21">
        <f>(D678/D10)/1.983</f>
        <v>76.651538073625815</v>
      </c>
      <c r="E679" s="81" t="s">
        <v>7</v>
      </c>
      <c r="F679" s="21">
        <f>(F678/F10)/1.983</f>
        <v>87.258362750042025</v>
      </c>
      <c r="G679" s="21">
        <f>(G678/G10)/1.983</f>
        <v>98.677468156751743</v>
      </c>
      <c r="H679" s="21">
        <f>(H678/H10)/1.983</f>
        <v>100.01680954782316</v>
      </c>
      <c r="I679" s="81" t="s">
        <v>7</v>
      </c>
      <c r="J679" s="21">
        <f>(J678/J10)/1.983</f>
        <v>95.179997722577397</v>
      </c>
      <c r="K679" s="21">
        <f>(K678/K10)/1.983</f>
        <v>93.162851983797765</v>
      </c>
      <c r="L679" s="21">
        <f>(L678/L10)/1.983</f>
        <v>92.839132627332319</v>
      </c>
      <c r="M679" s="81" t="s">
        <v>7</v>
      </c>
      <c r="N679" s="21">
        <f>(N678/N10)/1.983</f>
        <v>87.095147463113889</v>
      </c>
      <c r="O679" s="21">
        <f>(O678/O10)/1.983</f>
        <v>73.474533535047897</v>
      </c>
      <c r="P679" s="21">
        <f>(P678/P10)/1.983</f>
        <v>80.393018072975124</v>
      </c>
      <c r="Q679" s="81" t="s">
        <v>7</v>
      </c>
      <c r="R679" s="81" t="s">
        <v>7</v>
      </c>
    </row>
    <row r="680" spans="1:20" ht="15.75" customHeight="1" x14ac:dyDescent="0.3">
      <c r="A680" s="2"/>
      <c r="B680" s="1"/>
      <c r="C680" s="1"/>
      <c r="D680" s="1"/>
      <c r="E680" s="1"/>
      <c r="F680" s="1"/>
      <c r="G680" s="1"/>
      <c r="H680" s="1"/>
      <c r="I680" s="1"/>
      <c r="J680" s="1"/>
      <c r="K680" s="1"/>
      <c r="L680" s="1"/>
      <c r="M680" s="1"/>
      <c r="N680" s="1"/>
      <c r="O680" s="1"/>
      <c r="P680" s="1"/>
      <c r="Q680" s="1"/>
      <c r="R680" s="2"/>
    </row>
    <row r="681" spans="1:20" ht="15.75" customHeight="1" thickBot="1" x14ac:dyDescent="0.35">
      <c r="A681" s="2"/>
      <c r="B681" s="1"/>
      <c r="C681" s="1"/>
      <c r="D681" s="1"/>
      <c r="E681" s="1"/>
      <c r="F681" s="1"/>
      <c r="G681" s="1"/>
      <c r="H681" s="1"/>
      <c r="I681" s="1"/>
      <c r="J681" s="1"/>
      <c r="K681" s="1"/>
      <c r="L681" s="1"/>
      <c r="M681" s="1"/>
      <c r="N681" s="1"/>
      <c r="O681" s="1"/>
      <c r="P681" s="1"/>
      <c r="Q681" s="1"/>
      <c r="R681" s="2"/>
    </row>
    <row r="682" spans="1:20" ht="16.5" customHeight="1" thickBot="1" x14ac:dyDescent="0.35">
      <c r="A682" s="124" t="s">
        <v>361</v>
      </c>
      <c r="B682" s="30" t="s">
        <v>8</v>
      </c>
      <c r="C682" s="31" t="s">
        <v>9</v>
      </c>
      <c r="D682" s="31" t="s">
        <v>10</v>
      </c>
      <c r="E682" s="32" t="s">
        <v>11</v>
      </c>
      <c r="F682" s="31" t="s">
        <v>12</v>
      </c>
      <c r="G682" s="31" t="s">
        <v>13</v>
      </c>
      <c r="H682" s="31" t="s">
        <v>14</v>
      </c>
      <c r="I682" s="33" t="s">
        <v>15</v>
      </c>
      <c r="J682" s="31" t="s">
        <v>16</v>
      </c>
      <c r="K682" s="31" t="s">
        <v>17</v>
      </c>
      <c r="L682" s="31" t="s">
        <v>18</v>
      </c>
      <c r="M682" s="33" t="s">
        <v>19</v>
      </c>
      <c r="N682" s="31" t="s">
        <v>20</v>
      </c>
      <c r="O682" s="31" t="s">
        <v>21</v>
      </c>
      <c r="P682" s="31" t="s">
        <v>22</v>
      </c>
      <c r="Q682" s="33" t="s">
        <v>23</v>
      </c>
      <c r="R682" s="133" t="s">
        <v>24</v>
      </c>
    </row>
    <row r="683" spans="1:20" ht="16.5" customHeight="1" thickBot="1" x14ac:dyDescent="0.35">
      <c r="A683" s="41"/>
      <c r="B683" s="36"/>
      <c r="C683" s="36"/>
      <c r="D683" s="36"/>
      <c r="E683" s="52"/>
      <c r="F683" s="36"/>
      <c r="G683" s="36"/>
      <c r="H683" s="36"/>
      <c r="I683" s="132"/>
      <c r="J683" s="36"/>
      <c r="K683" s="36"/>
      <c r="L683" s="36"/>
      <c r="M683" s="132"/>
      <c r="N683" s="36"/>
      <c r="O683" s="36"/>
      <c r="P683" s="36"/>
      <c r="Q683" s="134"/>
      <c r="R683" s="135"/>
    </row>
    <row r="684" spans="1:20" ht="15.75" customHeight="1" x14ac:dyDescent="0.3">
      <c r="A684" s="15" t="s">
        <v>48</v>
      </c>
      <c r="B684" s="1" t="s">
        <v>7</v>
      </c>
      <c r="C684" s="1" t="s">
        <v>7</v>
      </c>
      <c r="D684" s="1" t="s">
        <v>7</v>
      </c>
      <c r="E684" s="136"/>
      <c r="F684" s="1" t="s">
        <v>7</v>
      </c>
      <c r="G684" s="1" t="s">
        <v>7</v>
      </c>
      <c r="H684" s="1" t="s">
        <v>7</v>
      </c>
      <c r="I684" s="136"/>
      <c r="J684" s="1" t="s">
        <v>7</v>
      </c>
      <c r="K684" s="1" t="s">
        <v>7</v>
      </c>
      <c r="L684" s="1" t="s">
        <v>7</v>
      </c>
      <c r="M684" s="136"/>
      <c r="N684" s="1" t="s">
        <v>7</v>
      </c>
      <c r="O684" s="1" t="s">
        <v>7</v>
      </c>
      <c r="P684" s="1" t="s">
        <v>7</v>
      </c>
      <c r="Q684" s="137"/>
      <c r="R684" s="138" t="s">
        <v>7</v>
      </c>
    </row>
    <row r="685" spans="1:20" ht="15.75" customHeight="1" x14ac:dyDescent="0.3">
      <c r="A685" s="15" t="s">
        <v>49</v>
      </c>
      <c r="B685" s="1"/>
      <c r="C685" s="1"/>
      <c r="D685" s="1"/>
      <c r="E685" s="55" t="s">
        <v>7</v>
      </c>
      <c r="F685" s="1"/>
      <c r="G685" s="1"/>
      <c r="H685" s="1"/>
      <c r="I685" s="55" t="s">
        <v>7</v>
      </c>
      <c r="J685" s="1"/>
      <c r="K685" s="1"/>
      <c r="L685" s="1"/>
      <c r="M685" s="55" t="s">
        <v>7</v>
      </c>
      <c r="N685" s="1"/>
      <c r="O685" s="1"/>
      <c r="P685" s="1"/>
      <c r="Q685" s="55" t="s">
        <v>7</v>
      </c>
      <c r="R685" s="55" t="s">
        <v>7</v>
      </c>
    </row>
    <row r="686" spans="1:20" ht="15.75" customHeight="1" x14ac:dyDescent="0.3">
      <c r="A686" s="71" t="s">
        <v>362</v>
      </c>
      <c r="B686" s="1"/>
      <c r="C686" s="1"/>
      <c r="D686" s="1"/>
      <c r="E686" s="55">
        <f>SUM(B686:D686)</f>
        <v>0</v>
      </c>
      <c r="F686" s="1"/>
      <c r="G686" s="1"/>
      <c r="H686" s="1"/>
      <c r="I686" s="55">
        <f>SUM(F686:H686)</f>
        <v>0</v>
      </c>
      <c r="J686" s="1"/>
      <c r="K686" s="1"/>
      <c r="L686" s="1"/>
      <c r="M686" s="55">
        <f>SUM(J686:L686)</f>
        <v>0</v>
      </c>
      <c r="N686" s="1"/>
      <c r="O686" s="1"/>
      <c r="P686" s="1"/>
      <c r="Q686" s="55">
        <f>SUM(N686:P686)</f>
        <v>0</v>
      </c>
      <c r="R686" s="55">
        <f>+E686+I686+M686+Q686</f>
        <v>0</v>
      </c>
      <c r="T686" s="4" t="s">
        <v>1005</v>
      </c>
    </row>
    <row r="687" spans="1:20" ht="15.75" customHeight="1" x14ac:dyDescent="0.3">
      <c r="A687" s="71" t="s">
        <v>368</v>
      </c>
      <c r="B687" s="1"/>
      <c r="C687" s="1"/>
      <c r="D687" s="1"/>
      <c r="E687" s="55">
        <f>SUM(B687:D687)</f>
        <v>0</v>
      </c>
      <c r="F687" s="1"/>
      <c r="G687" s="1"/>
      <c r="H687" s="1"/>
      <c r="I687" s="55">
        <f>SUM(F687:H687)</f>
        <v>0</v>
      </c>
      <c r="J687" s="1"/>
      <c r="K687" s="1"/>
      <c r="L687" s="1"/>
      <c r="M687" s="55">
        <f>SUM(J687:L687)</f>
        <v>0</v>
      </c>
      <c r="N687" s="1"/>
      <c r="O687" s="1"/>
      <c r="P687" s="1"/>
      <c r="Q687" s="55">
        <f>SUM(N687:P687)</f>
        <v>0</v>
      </c>
      <c r="R687" s="55">
        <f>+E687+I687+M687+Q687</f>
        <v>0</v>
      </c>
    </row>
    <row r="688" spans="1:20" ht="15.75" customHeight="1" x14ac:dyDescent="0.3">
      <c r="A688" s="71" t="s">
        <v>664</v>
      </c>
      <c r="B688" s="1">
        <v>1849</v>
      </c>
      <c r="C688" s="1">
        <v>2360</v>
      </c>
      <c r="D688" s="1">
        <v>1787</v>
      </c>
      <c r="E688" s="55">
        <f>SUM(B688:D688)</f>
        <v>5996</v>
      </c>
      <c r="F688" s="1">
        <v>1792</v>
      </c>
      <c r="G688" s="1">
        <v>2621</v>
      </c>
      <c r="H688" s="1">
        <v>1865</v>
      </c>
      <c r="I688" s="55">
        <f>SUM(F688:H688)</f>
        <v>6278</v>
      </c>
      <c r="J688" s="1">
        <v>3126</v>
      </c>
      <c r="K688" s="1">
        <v>2086</v>
      </c>
      <c r="L688" s="1">
        <v>952</v>
      </c>
      <c r="M688" s="55">
        <f>SUM(J688:L688)</f>
        <v>6164</v>
      </c>
      <c r="N688" s="1">
        <v>1554</v>
      </c>
      <c r="O688" s="1">
        <v>1577</v>
      </c>
      <c r="P688" s="1">
        <v>1231</v>
      </c>
      <c r="Q688" s="55">
        <f>SUM(N688:P688)</f>
        <v>4362</v>
      </c>
      <c r="R688" s="55">
        <f>+E688+I688+M688+Q688</f>
        <v>22800</v>
      </c>
    </row>
    <row r="689" spans="1:20" ht="15.75" customHeight="1" x14ac:dyDescent="0.3">
      <c r="A689" s="15" t="s">
        <v>50</v>
      </c>
      <c r="B689" s="1"/>
      <c r="C689" s="1"/>
      <c r="D689" s="1"/>
      <c r="E689" s="55" t="s">
        <v>7</v>
      </c>
      <c r="F689" s="1"/>
      <c r="G689" s="1"/>
      <c r="H689" s="1"/>
      <c r="I689" s="55" t="s">
        <v>7</v>
      </c>
      <c r="J689" s="1"/>
      <c r="K689" s="1"/>
      <c r="L689" s="1"/>
      <c r="M689" s="55" t="s">
        <v>7</v>
      </c>
      <c r="N689" s="1"/>
      <c r="O689" s="1"/>
      <c r="P689" s="1"/>
      <c r="Q689" s="55" t="s">
        <v>7</v>
      </c>
      <c r="R689" s="55" t="s">
        <v>7</v>
      </c>
    </row>
    <row r="690" spans="1:20" ht="15.75" customHeight="1" x14ac:dyDescent="0.3">
      <c r="A690" s="15" t="s">
        <v>51</v>
      </c>
      <c r="B690" s="1"/>
      <c r="C690" s="1"/>
      <c r="D690" s="1"/>
      <c r="E690" s="55" t="s">
        <v>7</v>
      </c>
      <c r="F690" s="1"/>
      <c r="G690" s="1"/>
      <c r="H690" s="1"/>
      <c r="I690" s="55" t="s">
        <v>7</v>
      </c>
      <c r="J690" s="1"/>
      <c r="K690" s="1"/>
      <c r="L690" s="1"/>
      <c r="M690" s="55" t="s">
        <v>7</v>
      </c>
      <c r="N690" s="1"/>
      <c r="O690" s="1"/>
      <c r="P690" s="1"/>
      <c r="Q690" s="55" t="s">
        <v>7</v>
      </c>
      <c r="R690" s="55" t="s">
        <v>7</v>
      </c>
    </row>
    <row r="691" spans="1:20" ht="15.75" customHeight="1" x14ac:dyDescent="0.3">
      <c r="A691" s="71" t="s">
        <v>366</v>
      </c>
      <c r="B691" s="1"/>
      <c r="C691" s="1"/>
      <c r="D691" s="1">
        <v>1000</v>
      </c>
      <c r="E691" s="55">
        <f>SUM(B691:D691)</f>
        <v>1000</v>
      </c>
      <c r="F691" s="1">
        <v>500</v>
      </c>
      <c r="G691" s="1"/>
      <c r="H691" s="1"/>
      <c r="I691" s="55">
        <f>SUM(F691:H691)</f>
        <v>500</v>
      </c>
      <c r="J691" s="1"/>
      <c r="K691" s="1">
        <v>210</v>
      </c>
      <c r="L691" s="1"/>
      <c r="M691" s="55">
        <f>SUM(J691:L691)</f>
        <v>210</v>
      </c>
      <c r="N691" s="1"/>
      <c r="O691" s="1"/>
      <c r="P691" s="1"/>
      <c r="Q691" s="55">
        <f>SUM(N691:P691)</f>
        <v>0</v>
      </c>
      <c r="R691" s="55">
        <f>+E691+I691+M691+Q691</f>
        <v>1710</v>
      </c>
    </row>
    <row r="692" spans="1:20" ht="15.75" customHeight="1" thickBot="1" x14ac:dyDescent="0.35">
      <c r="A692" s="15" t="s">
        <v>53</v>
      </c>
      <c r="B692" s="1"/>
      <c r="C692" s="1"/>
      <c r="D692" s="1"/>
      <c r="E692" s="55" t="s">
        <v>7</v>
      </c>
      <c r="F692" s="1"/>
      <c r="G692" s="1"/>
      <c r="H692" s="1"/>
      <c r="I692" s="55" t="s">
        <v>7</v>
      </c>
      <c r="J692" s="1"/>
      <c r="K692" s="1"/>
      <c r="L692" s="1"/>
      <c r="M692" s="55" t="s">
        <v>7</v>
      </c>
      <c r="N692" s="1"/>
      <c r="O692" s="1"/>
      <c r="P692" s="1"/>
      <c r="Q692" s="55" t="s">
        <v>7</v>
      </c>
      <c r="R692" s="55" t="s">
        <v>7</v>
      </c>
    </row>
    <row r="693" spans="1:20" ht="16.5" customHeight="1" thickBot="1" x14ac:dyDescent="0.35">
      <c r="A693" s="57" t="s">
        <v>54</v>
      </c>
      <c r="B693" s="86">
        <f>SUM(B684:B692)</f>
        <v>1849</v>
      </c>
      <c r="C693" s="87">
        <f>SUM(C684:C692)</f>
        <v>2360</v>
      </c>
      <c r="D693" s="87">
        <f>SUM(D684:D692)</f>
        <v>2787</v>
      </c>
      <c r="E693" s="59">
        <f>SUM(B693:D693)</f>
        <v>6996</v>
      </c>
      <c r="F693" s="87">
        <f>SUM(F684:F692)</f>
        <v>2292</v>
      </c>
      <c r="G693" s="87">
        <f>SUM(G684:G692)</f>
        <v>2621</v>
      </c>
      <c r="H693" s="87">
        <f>SUM(H684:H692)</f>
        <v>1865</v>
      </c>
      <c r="I693" s="59">
        <f>SUM(F693:H693)</f>
        <v>6778</v>
      </c>
      <c r="J693" s="87">
        <f>SUM(J684:J692)</f>
        <v>3126</v>
      </c>
      <c r="K693" s="87">
        <f>SUM(K684:K692)</f>
        <v>2296</v>
      </c>
      <c r="L693" s="87">
        <f>SUM(L684:L692)</f>
        <v>952</v>
      </c>
      <c r="M693" s="59">
        <f>SUM(J693:L693)</f>
        <v>6374</v>
      </c>
      <c r="N693" s="87">
        <f>SUM(N684:N692)</f>
        <v>1554</v>
      </c>
      <c r="O693" s="87">
        <f>SUM(O684:O692)</f>
        <v>1577</v>
      </c>
      <c r="P693" s="87">
        <f>SUM(P684:P692)</f>
        <v>1231</v>
      </c>
      <c r="Q693" s="59">
        <f>SUM(N693:P693)</f>
        <v>4362</v>
      </c>
      <c r="R693" s="59">
        <f>+E693+I693+M693+Q693</f>
        <v>24510</v>
      </c>
    </row>
    <row r="694" spans="1:20" ht="15.75" customHeight="1" x14ac:dyDescent="0.3">
      <c r="A694" s="15" t="s">
        <v>55</v>
      </c>
      <c r="B694" s="1"/>
      <c r="C694" s="1"/>
      <c r="D694" s="1"/>
      <c r="E694" s="55" t="s">
        <v>7</v>
      </c>
      <c r="F694" s="1"/>
      <c r="G694" s="1"/>
      <c r="H694" s="1"/>
      <c r="I694" s="55" t="s">
        <v>7</v>
      </c>
      <c r="J694" s="1"/>
      <c r="K694" s="1"/>
      <c r="L694" s="1"/>
      <c r="M694" s="55" t="s">
        <v>7</v>
      </c>
      <c r="N694" s="1"/>
      <c r="O694" s="1"/>
      <c r="P694" s="1"/>
      <c r="Q694" s="55" t="s">
        <v>7</v>
      </c>
      <c r="R694" s="55" t="s">
        <v>7</v>
      </c>
    </row>
    <row r="695" spans="1:20" ht="15.75" customHeight="1" x14ac:dyDescent="0.3">
      <c r="A695" s="15" t="s">
        <v>57</v>
      </c>
      <c r="B695" s="1"/>
      <c r="C695" s="1"/>
      <c r="D695" s="1"/>
      <c r="E695" s="55" t="s">
        <v>7</v>
      </c>
      <c r="F695" s="1"/>
      <c r="G695" s="1"/>
      <c r="H695" s="1"/>
      <c r="I695" s="55" t="s">
        <v>7</v>
      </c>
      <c r="J695" s="1"/>
      <c r="K695" s="1"/>
      <c r="L695" s="1"/>
      <c r="M695" s="55" t="s">
        <v>7</v>
      </c>
      <c r="N695" s="1"/>
      <c r="O695" s="1"/>
      <c r="P695" s="1"/>
      <c r="Q695" s="55" t="s">
        <v>7</v>
      </c>
      <c r="R695" s="55" t="s">
        <v>7</v>
      </c>
    </row>
    <row r="696" spans="1:20" ht="15.75" customHeight="1" x14ac:dyDescent="0.3">
      <c r="A696" s="71" t="s">
        <v>781</v>
      </c>
      <c r="B696" s="1"/>
      <c r="C696" s="1"/>
      <c r="D696" s="1"/>
      <c r="E696" s="55">
        <f>SUM(B696:D696)</f>
        <v>0</v>
      </c>
      <c r="F696" s="1"/>
      <c r="G696" s="1"/>
      <c r="H696" s="1"/>
      <c r="I696" s="55">
        <f>SUM(F696:H696)</f>
        <v>0</v>
      </c>
      <c r="J696" s="1"/>
      <c r="K696" s="1"/>
      <c r="L696" s="1"/>
      <c r="M696" s="55">
        <f>SUM(J696:L696)</f>
        <v>0</v>
      </c>
      <c r="N696" s="1"/>
      <c r="O696" s="1"/>
      <c r="P696" s="1"/>
      <c r="Q696" s="55">
        <f>SUM(N696:P696)</f>
        <v>0</v>
      </c>
      <c r="R696" s="55">
        <f>+E696+I696+M696+Q696</f>
        <v>0</v>
      </c>
    </row>
    <row r="697" spans="1:20" ht="15.75" customHeight="1" thickBot="1" x14ac:dyDescent="0.35">
      <c r="A697" s="15" t="s">
        <v>58</v>
      </c>
      <c r="B697" s="1"/>
      <c r="C697" s="1"/>
      <c r="D697" s="1"/>
      <c r="E697" s="55" t="s">
        <v>7</v>
      </c>
      <c r="F697" s="1"/>
      <c r="G697" s="1"/>
      <c r="H697" s="1"/>
      <c r="I697" s="55" t="s">
        <v>7</v>
      </c>
      <c r="J697" s="1"/>
      <c r="K697" s="1"/>
      <c r="L697" s="1"/>
      <c r="M697" s="55" t="s">
        <v>7</v>
      </c>
      <c r="N697" s="1"/>
      <c r="O697" s="1"/>
      <c r="P697" s="1"/>
      <c r="Q697" s="55" t="s">
        <v>7</v>
      </c>
      <c r="R697" s="55" t="s">
        <v>7</v>
      </c>
    </row>
    <row r="698" spans="1:20" ht="16.5" customHeight="1" thickBot="1" x14ac:dyDescent="0.35">
      <c r="A698" s="57" t="s">
        <v>59</v>
      </c>
      <c r="B698" s="86">
        <f>SUM(B694:B697)</f>
        <v>0</v>
      </c>
      <c r="C698" s="87">
        <f>SUM(C694:C697)</f>
        <v>0</v>
      </c>
      <c r="D698" s="87">
        <f>SUM(D694:D697)</f>
        <v>0</v>
      </c>
      <c r="E698" s="59">
        <f>SUM(B698:D698)</f>
        <v>0</v>
      </c>
      <c r="F698" s="87">
        <f>SUM(F694:F697)</f>
        <v>0</v>
      </c>
      <c r="G698" s="87">
        <f>SUM(G694:G697)</f>
        <v>0</v>
      </c>
      <c r="H698" s="87">
        <f>SUM(H694:H697)</f>
        <v>0</v>
      </c>
      <c r="I698" s="59">
        <f>SUM(F698:H698)</f>
        <v>0</v>
      </c>
      <c r="J698" s="87">
        <f>SUM(J694:J697)</f>
        <v>0</v>
      </c>
      <c r="K698" s="87">
        <f>SUM(K694:K697)</f>
        <v>0</v>
      </c>
      <c r="L698" s="87">
        <f>SUM(L694:L697)</f>
        <v>0</v>
      </c>
      <c r="M698" s="59">
        <f>SUM(J698:L698)</f>
        <v>0</v>
      </c>
      <c r="N698" s="87">
        <f>SUM(N694:N697)</f>
        <v>0</v>
      </c>
      <c r="O698" s="87">
        <f>SUM(O694:O697)</f>
        <v>0</v>
      </c>
      <c r="P698" s="87">
        <f>SUM(P694:P697)</f>
        <v>0</v>
      </c>
      <c r="Q698" s="59">
        <f>SUM(N698:P698)</f>
        <v>0</v>
      </c>
      <c r="R698" s="59">
        <f>+E698+I698+M698+Q698</f>
        <v>0</v>
      </c>
    </row>
    <row r="699" spans="1:20" ht="15.75" customHeight="1" x14ac:dyDescent="0.3">
      <c r="A699" s="15" t="s">
        <v>60</v>
      </c>
      <c r="B699" s="1"/>
      <c r="C699" s="1"/>
      <c r="D699" s="1"/>
      <c r="E699" s="55" t="s">
        <v>7</v>
      </c>
      <c r="F699" s="1"/>
      <c r="G699" s="1"/>
      <c r="H699" s="1"/>
      <c r="I699" s="55" t="s">
        <v>7</v>
      </c>
      <c r="J699" s="1" t="s">
        <v>7</v>
      </c>
      <c r="K699" s="1"/>
      <c r="L699" s="1"/>
      <c r="M699" s="55" t="s">
        <v>7</v>
      </c>
      <c r="N699" s="1"/>
      <c r="O699" s="1"/>
      <c r="P699" s="1"/>
      <c r="Q699" s="55" t="s">
        <v>7</v>
      </c>
      <c r="R699" s="55" t="s">
        <v>7</v>
      </c>
    </row>
    <row r="700" spans="1:20" ht="18" customHeight="1" x14ac:dyDescent="0.3">
      <c r="A700" s="15" t="s">
        <v>61</v>
      </c>
      <c r="B700" s="1"/>
      <c r="C700" s="1"/>
      <c r="D700" s="1"/>
      <c r="E700" s="55" t="s">
        <v>7</v>
      </c>
      <c r="F700" s="1"/>
      <c r="G700" s="1"/>
      <c r="H700" s="1"/>
      <c r="I700" s="55" t="s">
        <v>7</v>
      </c>
      <c r="J700" s="1"/>
      <c r="K700" s="1"/>
      <c r="L700" s="1"/>
      <c r="M700" s="55" t="s">
        <v>7</v>
      </c>
      <c r="N700" s="1"/>
      <c r="O700" s="1"/>
      <c r="P700" s="1"/>
      <c r="Q700" s="55" t="s">
        <v>7</v>
      </c>
      <c r="R700" s="55" t="s">
        <v>7</v>
      </c>
    </row>
    <row r="701" spans="1:20" ht="15.75" customHeight="1" x14ac:dyDescent="0.3">
      <c r="A701" s="71" t="s">
        <v>1007</v>
      </c>
      <c r="B701" s="1">
        <v>307</v>
      </c>
      <c r="C701" s="1">
        <v>139</v>
      </c>
      <c r="D701" s="1">
        <v>589</v>
      </c>
      <c r="E701" s="55">
        <f>SUM(B701:D701)</f>
        <v>1035</v>
      </c>
      <c r="F701" s="1">
        <v>893</v>
      </c>
      <c r="G701" s="1">
        <v>1088</v>
      </c>
      <c r="H701" s="1">
        <v>1079</v>
      </c>
      <c r="I701" s="55">
        <f>SUM(F701:H701)</f>
        <v>3060</v>
      </c>
      <c r="J701" s="1">
        <v>769</v>
      </c>
      <c r="K701" s="1">
        <v>933</v>
      </c>
      <c r="L701" s="1">
        <v>903</v>
      </c>
      <c r="M701" s="55">
        <f>SUM(J701:L701)</f>
        <v>2605</v>
      </c>
      <c r="N701" s="1">
        <v>679</v>
      </c>
      <c r="O701" s="1">
        <v>288</v>
      </c>
      <c r="P701" s="1">
        <v>211</v>
      </c>
      <c r="Q701" s="55">
        <f>SUM(N701:P701)</f>
        <v>1178</v>
      </c>
      <c r="R701" s="55">
        <f>+E701+I701+M701+Q701</f>
        <v>7878</v>
      </c>
      <c r="T701" s="4" t="s">
        <v>1008</v>
      </c>
    </row>
    <row r="702" spans="1:20" ht="15.75" customHeight="1" x14ac:dyDescent="0.3">
      <c r="A702" s="71" t="s">
        <v>1009</v>
      </c>
      <c r="B702" s="1"/>
      <c r="C702" s="1"/>
      <c r="D702" s="1"/>
      <c r="E702" s="55">
        <f>SUM(B702:D702)</f>
        <v>0</v>
      </c>
      <c r="F702" s="1"/>
      <c r="G702" s="1"/>
      <c r="H702" s="1"/>
      <c r="I702" s="55">
        <f>SUM(F702:H702)</f>
        <v>0</v>
      </c>
      <c r="J702" s="1"/>
      <c r="K702" s="1"/>
      <c r="L702" s="1"/>
      <c r="M702" s="55">
        <f>SUM(J702:L702)</f>
        <v>0</v>
      </c>
      <c r="N702" s="1"/>
      <c r="O702" s="1"/>
      <c r="P702" s="1"/>
      <c r="Q702" s="55">
        <f>SUM(N702:P702)</f>
        <v>0</v>
      </c>
      <c r="R702" s="55">
        <f>+E702+I702+M702+Q702</f>
        <v>0</v>
      </c>
    </row>
    <row r="703" spans="1:20" ht="15.75" customHeight="1" x14ac:dyDescent="0.3">
      <c r="A703" s="15" t="s">
        <v>62</v>
      </c>
      <c r="B703" s="1"/>
      <c r="C703" s="1"/>
      <c r="D703" s="1"/>
      <c r="E703" s="55" t="s">
        <v>7</v>
      </c>
      <c r="F703" s="1"/>
      <c r="G703" s="1"/>
      <c r="H703" s="1"/>
      <c r="I703" s="55" t="s">
        <v>7</v>
      </c>
      <c r="J703" s="1"/>
      <c r="K703" s="1"/>
      <c r="L703" s="1"/>
      <c r="M703" s="55" t="s">
        <v>7</v>
      </c>
      <c r="N703" s="1"/>
      <c r="O703" s="1"/>
      <c r="P703" s="1"/>
      <c r="Q703" s="55" t="s">
        <v>7</v>
      </c>
      <c r="R703" s="55" t="s">
        <v>7</v>
      </c>
    </row>
    <row r="704" spans="1:20" ht="15.75" customHeight="1" x14ac:dyDescent="0.3">
      <c r="A704" s="71" t="s">
        <v>1012</v>
      </c>
      <c r="B704" s="1">
        <v>14</v>
      </c>
      <c r="C704" s="1">
        <v>21</v>
      </c>
      <c r="D704" s="1">
        <v>53</v>
      </c>
      <c r="E704" s="55">
        <f>SUM(B704:D704)</f>
        <v>88</v>
      </c>
      <c r="F704" s="1">
        <v>73</v>
      </c>
      <c r="G704" s="1">
        <v>91</v>
      </c>
      <c r="H704" s="1">
        <v>111</v>
      </c>
      <c r="I704" s="55">
        <f>SUM(F704:H704)</f>
        <v>275</v>
      </c>
      <c r="J704" s="1">
        <v>259</v>
      </c>
      <c r="K704" s="1">
        <v>50</v>
      </c>
      <c r="L704" s="1">
        <v>76</v>
      </c>
      <c r="M704" s="55">
        <f>SUM(J704:L704)</f>
        <v>385</v>
      </c>
      <c r="N704" s="1">
        <v>66</v>
      </c>
      <c r="O704" s="1">
        <v>48</v>
      </c>
      <c r="P704" s="1">
        <v>121</v>
      </c>
      <c r="Q704" s="55">
        <f>SUM(N704:P704)</f>
        <v>235</v>
      </c>
      <c r="R704" s="55">
        <f>+E704+I704+M704+Q704</f>
        <v>983</v>
      </c>
      <c r="T704" s="4" t="s">
        <v>1010</v>
      </c>
    </row>
    <row r="705" spans="1:20" ht="15.75" customHeight="1" x14ac:dyDescent="0.3">
      <c r="A705" s="71" t="s">
        <v>666</v>
      </c>
      <c r="B705" s="1"/>
      <c r="C705" s="1"/>
      <c r="D705" s="1"/>
      <c r="E705" s="55">
        <f>SUM(B705:D705)</f>
        <v>0</v>
      </c>
      <c r="F705" s="1"/>
      <c r="G705" s="1"/>
      <c r="H705" s="1"/>
      <c r="I705" s="55">
        <f>SUM(F705:H705)</f>
        <v>0</v>
      </c>
      <c r="J705" s="1"/>
      <c r="K705" s="1"/>
      <c r="L705" s="1"/>
      <c r="M705" s="55">
        <f>SUM(J705:L705)</f>
        <v>0</v>
      </c>
      <c r="N705" s="1"/>
      <c r="O705" s="1"/>
      <c r="P705" s="1"/>
      <c r="Q705" s="55">
        <f>SUM(N705:P705)</f>
        <v>0</v>
      </c>
      <c r="R705" s="55">
        <f>+E705+I705+M705+Q705</f>
        <v>0</v>
      </c>
      <c r="T705" s="4" t="s">
        <v>1005</v>
      </c>
    </row>
    <row r="706" spans="1:20" ht="15.75" customHeight="1" thickBot="1" x14ac:dyDescent="0.35">
      <c r="A706" s="71" t="s">
        <v>782</v>
      </c>
      <c r="B706" s="1">
        <v>647</v>
      </c>
      <c r="C706" s="1">
        <v>492</v>
      </c>
      <c r="D706" s="1">
        <v>550</v>
      </c>
      <c r="E706" s="55">
        <f>SUM(B706:D706)</f>
        <v>1689</v>
      </c>
      <c r="F706" s="1">
        <v>587</v>
      </c>
      <c r="G706" s="1">
        <v>594</v>
      </c>
      <c r="H706" s="1">
        <v>612</v>
      </c>
      <c r="I706" s="55">
        <f>SUM(F706:H706)</f>
        <v>1793</v>
      </c>
      <c r="J706" s="1">
        <v>856</v>
      </c>
      <c r="K706" s="1">
        <v>529</v>
      </c>
      <c r="L706" s="1">
        <v>772</v>
      </c>
      <c r="M706" s="55">
        <f>SUM(J706:L706)</f>
        <v>2157</v>
      </c>
      <c r="N706" s="1">
        <v>218</v>
      </c>
      <c r="O706" s="1">
        <v>181</v>
      </c>
      <c r="P706" s="1">
        <v>509</v>
      </c>
      <c r="Q706" s="55">
        <f>SUM(N706:P706)</f>
        <v>908</v>
      </c>
      <c r="R706" s="55">
        <f>+E706+I706+M706+Q706</f>
        <v>6547</v>
      </c>
      <c r="T706" s="4" t="s">
        <v>1013</v>
      </c>
    </row>
    <row r="707" spans="1:20" ht="16.5" customHeight="1" thickBot="1" x14ac:dyDescent="0.35">
      <c r="A707" s="57" t="s">
        <v>63</v>
      </c>
      <c r="B707" s="86">
        <f>SUM(B699:B706)</f>
        <v>968</v>
      </c>
      <c r="C707" s="87">
        <f>SUM(C699:C706)</f>
        <v>652</v>
      </c>
      <c r="D707" s="87">
        <f>SUM(D699:D706)</f>
        <v>1192</v>
      </c>
      <c r="E707" s="59">
        <f>SUM(B707:D707)</f>
        <v>2812</v>
      </c>
      <c r="F707" s="87">
        <f>SUM(F699:F706)</f>
        <v>1553</v>
      </c>
      <c r="G707" s="87">
        <f>SUM(G699:G706)</f>
        <v>1773</v>
      </c>
      <c r="H707" s="87">
        <f>SUM(H699:H706)</f>
        <v>1802</v>
      </c>
      <c r="I707" s="59">
        <f>SUM(F707:H707)</f>
        <v>5128</v>
      </c>
      <c r="J707" s="87">
        <f>SUM(J699:J706)</f>
        <v>1884</v>
      </c>
      <c r="K707" s="87">
        <f>SUM(K699:K706)</f>
        <v>1512</v>
      </c>
      <c r="L707" s="87">
        <f>SUM(L699:L706)</f>
        <v>1751</v>
      </c>
      <c r="M707" s="59">
        <f>SUM(J707:L707)</f>
        <v>5147</v>
      </c>
      <c r="N707" s="87">
        <f>SUM(N699:N706)</f>
        <v>963</v>
      </c>
      <c r="O707" s="87">
        <f>SUM(O699:O706)</f>
        <v>517</v>
      </c>
      <c r="P707" s="87">
        <f>SUM(P699:P706)</f>
        <v>841</v>
      </c>
      <c r="Q707" s="59">
        <f>SUM(N707:P707)</f>
        <v>2321</v>
      </c>
      <c r="R707" s="59">
        <f>+E707+I707+M707+Q707</f>
        <v>15408</v>
      </c>
    </row>
    <row r="708" spans="1:20" ht="15.75" customHeight="1" x14ac:dyDescent="0.3">
      <c r="A708" s="15" t="s">
        <v>64</v>
      </c>
      <c r="B708" s="1"/>
      <c r="C708" s="1"/>
      <c r="D708" s="1"/>
      <c r="E708" s="55" t="s">
        <v>7</v>
      </c>
      <c r="F708" s="1"/>
      <c r="G708" s="1"/>
      <c r="H708" s="1"/>
      <c r="I708" s="55" t="s">
        <v>7</v>
      </c>
      <c r="J708" s="1"/>
      <c r="K708" s="1"/>
      <c r="L708" s="1"/>
      <c r="M708" s="55" t="s">
        <v>7</v>
      </c>
      <c r="N708" s="1"/>
      <c r="O708" s="1"/>
      <c r="P708" s="1"/>
      <c r="Q708" s="55" t="s">
        <v>7</v>
      </c>
      <c r="R708" s="55" t="s">
        <v>7</v>
      </c>
    </row>
    <row r="709" spans="1:20" ht="15.75" customHeight="1" x14ac:dyDescent="0.3">
      <c r="A709" s="15" t="s">
        <v>594</v>
      </c>
      <c r="B709" s="1"/>
      <c r="C709" s="1"/>
      <c r="D709" s="1"/>
      <c r="E709" s="55" t="s">
        <v>7</v>
      </c>
      <c r="F709" s="1"/>
      <c r="G709" s="1"/>
      <c r="H709" s="1"/>
      <c r="I709" s="55" t="s">
        <v>7</v>
      </c>
      <c r="J709" s="1"/>
      <c r="K709" s="1"/>
      <c r="L709" s="1"/>
      <c r="M709" s="55" t="s">
        <v>7</v>
      </c>
      <c r="N709" s="1"/>
      <c r="O709" s="1"/>
      <c r="P709" s="1"/>
      <c r="Q709" s="55" t="s">
        <v>7</v>
      </c>
      <c r="R709" s="55" t="s">
        <v>7</v>
      </c>
    </row>
    <row r="710" spans="1:20" ht="15.75" customHeight="1" x14ac:dyDescent="0.3">
      <c r="A710" s="71" t="s">
        <v>366</v>
      </c>
      <c r="B710" s="1"/>
      <c r="C710" s="1"/>
      <c r="D710" s="1"/>
      <c r="E710" s="55">
        <f>SUM(B710:D710)</f>
        <v>0</v>
      </c>
      <c r="F710" s="1"/>
      <c r="G710" s="1"/>
      <c r="H710" s="1"/>
      <c r="I710" s="55">
        <f>SUM(F710:H710)</f>
        <v>0</v>
      </c>
      <c r="J710" s="1"/>
      <c r="K710" s="1">
        <v>500</v>
      </c>
      <c r="L710" s="1"/>
      <c r="M710" s="55">
        <f>SUM(J710:L710)</f>
        <v>500</v>
      </c>
      <c r="N710" s="1">
        <v>230</v>
      </c>
      <c r="O710" s="1"/>
      <c r="P710" s="1">
        <v>450</v>
      </c>
      <c r="Q710" s="55">
        <f>SUM(N710:P710)</f>
        <v>680</v>
      </c>
      <c r="R710" s="55">
        <f>+E710+I710+M710+Q710</f>
        <v>1180</v>
      </c>
    </row>
    <row r="711" spans="1:20" ht="15.75" customHeight="1" x14ac:dyDescent="0.3">
      <c r="A711" s="71" t="s">
        <v>367</v>
      </c>
      <c r="B711" s="1"/>
      <c r="C711" s="1"/>
      <c r="D711" s="1"/>
      <c r="E711" s="55">
        <f>SUM(B711:D711)</f>
        <v>0</v>
      </c>
      <c r="F711" s="1"/>
      <c r="G711" s="1"/>
      <c r="H711" s="1"/>
      <c r="I711" s="55">
        <f>SUM(F711:H711)</f>
        <v>0</v>
      </c>
      <c r="J711" s="1"/>
      <c r="K711" s="1"/>
      <c r="L711" s="1"/>
      <c r="M711" s="55">
        <f>SUM(J711:L711)</f>
        <v>0</v>
      </c>
      <c r="N711" s="1"/>
      <c r="O711" s="1"/>
      <c r="P711" s="1"/>
      <c r="Q711" s="55">
        <f>SUM(N711:P711)</f>
        <v>0</v>
      </c>
      <c r="R711" s="55">
        <f>+E711+I711+M711+Q711</f>
        <v>0</v>
      </c>
    </row>
    <row r="712" spans="1:20" ht="15.75" customHeight="1" x14ac:dyDescent="0.3">
      <c r="A712" s="15" t="s">
        <v>67</v>
      </c>
      <c r="B712" s="1"/>
      <c r="C712" s="1"/>
      <c r="D712" s="1"/>
      <c r="E712" s="55" t="s">
        <v>7</v>
      </c>
      <c r="F712" s="1"/>
      <c r="G712" s="1"/>
      <c r="H712" s="1"/>
      <c r="I712" s="55" t="s">
        <v>7</v>
      </c>
      <c r="J712" s="1"/>
      <c r="K712" s="1"/>
      <c r="L712" s="1"/>
      <c r="M712" s="55" t="s">
        <v>7</v>
      </c>
      <c r="N712" s="1"/>
      <c r="O712" s="1"/>
      <c r="P712" s="1"/>
      <c r="Q712" s="55" t="s">
        <v>7</v>
      </c>
      <c r="R712" s="55" t="s">
        <v>7</v>
      </c>
    </row>
    <row r="713" spans="1:20" ht="15.75" customHeight="1" x14ac:dyDescent="0.3">
      <c r="A713" s="71" t="s">
        <v>783</v>
      </c>
      <c r="B713" s="1"/>
      <c r="C713" s="1"/>
      <c r="D713" s="1"/>
      <c r="E713" s="55">
        <f>SUM(B713:D713)</f>
        <v>0</v>
      </c>
      <c r="F713" s="1"/>
      <c r="G713" s="1"/>
      <c r="H713" s="1"/>
      <c r="I713" s="55">
        <f>SUM(F713:H713)</f>
        <v>0</v>
      </c>
      <c r="J713" s="1"/>
      <c r="K713" s="1"/>
      <c r="L713" s="1">
        <v>800</v>
      </c>
      <c r="M713" s="55">
        <f>SUM(J713:L713)</f>
        <v>800</v>
      </c>
      <c r="N713" s="1">
        <v>500</v>
      </c>
      <c r="O713" s="1"/>
      <c r="P713" s="1">
        <v>767</v>
      </c>
      <c r="Q713" s="55">
        <f>SUM(N713:P713)</f>
        <v>1267</v>
      </c>
      <c r="R713" s="55">
        <f>+E713+I713+M713+Q713</f>
        <v>2067</v>
      </c>
    </row>
    <row r="714" spans="1:20" ht="15.75" customHeight="1" x14ac:dyDescent="0.3">
      <c r="A714" s="71" t="s">
        <v>784</v>
      </c>
      <c r="B714" s="1"/>
      <c r="C714" s="1"/>
      <c r="D714" s="1"/>
      <c r="E714" s="55">
        <f>SUM(B714:D714)</f>
        <v>0</v>
      </c>
      <c r="F714" s="1"/>
      <c r="G714" s="1"/>
      <c r="H714" s="1"/>
      <c r="I714" s="55">
        <f>SUM(F714:H714)</f>
        <v>0</v>
      </c>
      <c r="J714" s="1"/>
      <c r="K714" s="1"/>
      <c r="L714" s="1"/>
      <c r="M714" s="55">
        <f>SUM(J714:L714)</f>
        <v>0</v>
      </c>
      <c r="N714" s="1"/>
      <c r="O714" s="1"/>
      <c r="P714" s="1"/>
      <c r="Q714" s="55">
        <f>SUM(N714:P714)</f>
        <v>0</v>
      </c>
      <c r="R714" s="55">
        <f>+E714+I714+M714+Q714</f>
        <v>0</v>
      </c>
    </row>
    <row r="715" spans="1:20" ht="15.75" customHeight="1" x14ac:dyDescent="0.3">
      <c r="A715" s="15" t="s">
        <v>600</v>
      </c>
      <c r="B715" s="1"/>
      <c r="C715" s="1"/>
      <c r="D715" s="1"/>
      <c r="E715" s="55" t="s">
        <v>7</v>
      </c>
      <c r="F715" s="1"/>
      <c r="G715" s="1"/>
      <c r="H715" s="1"/>
      <c r="I715" s="55" t="s">
        <v>7</v>
      </c>
      <c r="J715" s="1"/>
      <c r="K715" s="1"/>
      <c r="L715" s="1"/>
      <c r="M715" s="55" t="s">
        <v>7</v>
      </c>
      <c r="N715" s="1"/>
      <c r="O715" s="1"/>
      <c r="P715" s="1"/>
      <c r="Q715" s="55" t="s">
        <v>7</v>
      </c>
      <c r="R715" s="55" t="s">
        <v>7</v>
      </c>
    </row>
    <row r="716" spans="1:20" ht="15.75" customHeight="1" thickBot="1" x14ac:dyDescent="0.35">
      <c r="A716" s="15" t="s">
        <v>70</v>
      </c>
      <c r="B716" s="1"/>
      <c r="C716" s="1"/>
      <c r="D716" s="1"/>
      <c r="E716" s="55" t="s">
        <v>7</v>
      </c>
      <c r="F716" s="1"/>
      <c r="G716" s="1"/>
      <c r="H716" s="1"/>
      <c r="I716" s="55" t="s">
        <v>7</v>
      </c>
      <c r="J716" s="1"/>
      <c r="K716" s="1"/>
      <c r="L716" s="1"/>
      <c r="M716" s="55" t="s">
        <v>7</v>
      </c>
      <c r="N716" s="1"/>
      <c r="O716" s="1"/>
      <c r="P716" s="1"/>
      <c r="Q716" s="55" t="s">
        <v>7</v>
      </c>
      <c r="R716" s="55" t="s">
        <v>7</v>
      </c>
    </row>
    <row r="717" spans="1:20" ht="16.5" customHeight="1" thickBot="1" x14ac:dyDescent="0.35">
      <c r="A717" s="57" t="s">
        <v>71</v>
      </c>
      <c r="B717" s="58">
        <f>SUM(B715:B716)</f>
        <v>0</v>
      </c>
      <c r="C717" s="58">
        <f>SUM(C715:C716)</f>
        <v>0</v>
      </c>
      <c r="D717" s="58">
        <f>SUM(D715:D716)</f>
        <v>0</v>
      </c>
      <c r="E717" s="60">
        <f>SUM(B717:D717)</f>
        <v>0</v>
      </c>
      <c r="F717" s="58">
        <f>SUM(F715:F716)</f>
        <v>0</v>
      </c>
      <c r="G717" s="58">
        <f>SUM(G715:G716)</f>
        <v>0</v>
      </c>
      <c r="H717" s="58">
        <f>SUM(H715:H716)</f>
        <v>0</v>
      </c>
      <c r="I717" s="60">
        <f>SUM(F717:H717)</f>
        <v>0</v>
      </c>
      <c r="J717" s="58">
        <f>SUM(J715:J716)</f>
        <v>0</v>
      </c>
      <c r="K717" s="58">
        <f>SUM(K715:K716)</f>
        <v>0</v>
      </c>
      <c r="L717" s="58">
        <f>SUM(L715:L716)</f>
        <v>0</v>
      </c>
      <c r="M717" s="60">
        <f>SUM(J717:L717)</f>
        <v>0</v>
      </c>
      <c r="N717" s="58">
        <f>SUM(N715:N716)</f>
        <v>0</v>
      </c>
      <c r="O717" s="58">
        <f>SUM(O715:O716)</f>
        <v>0</v>
      </c>
      <c r="P717" s="58">
        <f>SUM(P715:P716)</f>
        <v>0</v>
      </c>
      <c r="Q717" s="60">
        <f>SUM(N717:P717)</f>
        <v>0</v>
      </c>
      <c r="R717" s="59">
        <f>+E717+I717+M717+Q717</f>
        <v>0</v>
      </c>
    </row>
    <row r="718" spans="1:20" ht="16.5" customHeight="1" thickBot="1" x14ac:dyDescent="0.35">
      <c r="A718" s="57" t="s">
        <v>72</v>
      </c>
      <c r="B718" s="86">
        <f>SUM(B708:B716)</f>
        <v>0</v>
      </c>
      <c r="C718" s="87">
        <f>SUM(C708:C716)</f>
        <v>0</v>
      </c>
      <c r="D718" s="118">
        <f>SUM(D708:D716)</f>
        <v>0</v>
      </c>
      <c r="E718" s="60">
        <f>SUM(B718:D718)</f>
        <v>0</v>
      </c>
      <c r="F718" s="87">
        <f>SUM(F708:F716)</f>
        <v>0</v>
      </c>
      <c r="G718" s="87">
        <f>SUM(G708:G716)</f>
        <v>0</v>
      </c>
      <c r="H718" s="87">
        <f>SUM(H708:H716)</f>
        <v>0</v>
      </c>
      <c r="I718" s="60">
        <f>SUM(F718:H718)</f>
        <v>0</v>
      </c>
      <c r="J718" s="87">
        <f>SUM(J708:J716)</f>
        <v>0</v>
      </c>
      <c r="K718" s="87">
        <f>SUM(K708:K716)</f>
        <v>500</v>
      </c>
      <c r="L718" s="87">
        <f>SUM(L708:L716)</f>
        <v>800</v>
      </c>
      <c r="M718" s="60">
        <f>SUM(J718:L718)</f>
        <v>1300</v>
      </c>
      <c r="N718" s="87">
        <f>SUM(N708:N716)</f>
        <v>730</v>
      </c>
      <c r="O718" s="87">
        <f>SUM(O708:O716)</f>
        <v>0</v>
      </c>
      <c r="P718" s="87">
        <f>SUM(P708:P716)</f>
        <v>1217</v>
      </c>
      <c r="Q718" s="60">
        <f>SUM(N718:P718)</f>
        <v>1947</v>
      </c>
      <c r="R718" s="59">
        <f>+E718+I718+M718+Q718</f>
        <v>3247</v>
      </c>
    </row>
    <row r="719" spans="1:20" ht="16.5" customHeight="1" thickBot="1" x14ac:dyDescent="0.35">
      <c r="A719" s="57" t="s">
        <v>73</v>
      </c>
      <c r="B719" s="90">
        <f>+B693+B698+B707+B718</f>
        <v>2817</v>
      </c>
      <c r="C719" s="58">
        <f>+C693+C698+C707+C718</f>
        <v>3012</v>
      </c>
      <c r="D719" s="58">
        <f>+D693+D698+D707+D718</f>
        <v>3979</v>
      </c>
      <c r="E719" s="59">
        <f>SUM(B719:D719)</f>
        <v>9808</v>
      </c>
      <c r="F719" s="58">
        <f>+F693+F698+F707+F718</f>
        <v>3845</v>
      </c>
      <c r="G719" s="58">
        <f>+G693+G698+G707+G718</f>
        <v>4394</v>
      </c>
      <c r="H719" s="58">
        <f>+H693+H698+H707+H718</f>
        <v>3667</v>
      </c>
      <c r="I719" s="59">
        <f>SUM(F719:H719)</f>
        <v>11906</v>
      </c>
      <c r="J719" s="58">
        <f>+J693+J698+J707+J718</f>
        <v>5010</v>
      </c>
      <c r="K719" s="58">
        <f>+K693+K698+K707+K718</f>
        <v>4308</v>
      </c>
      <c r="L719" s="58">
        <f>+L693+L698+L707+L718</f>
        <v>3503</v>
      </c>
      <c r="M719" s="59">
        <f>SUM(J719:L719)</f>
        <v>12821</v>
      </c>
      <c r="N719" s="58">
        <f>+N693+N698+N707+N718</f>
        <v>3247</v>
      </c>
      <c r="O719" s="58">
        <f>+O693+O698+O707+O718</f>
        <v>2094</v>
      </c>
      <c r="P719" s="58">
        <f>+P693+P698+P707+P718</f>
        <v>3289</v>
      </c>
      <c r="Q719" s="59">
        <f>SUM(N719:P719)</f>
        <v>8630</v>
      </c>
      <c r="R719" s="81">
        <f>+E719+I719+M719+Q719</f>
        <v>43165</v>
      </c>
    </row>
    <row r="720" spans="1:20" ht="16.5" customHeight="1" thickBot="1" x14ac:dyDescent="0.35">
      <c r="A720" s="39" t="s">
        <v>40</v>
      </c>
      <c r="B720" s="21">
        <v>11</v>
      </c>
      <c r="C720" s="21">
        <v>13</v>
      </c>
      <c r="D720" s="21">
        <v>17</v>
      </c>
      <c r="E720" s="55">
        <f>SUM(B720:D720)</f>
        <v>41</v>
      </c>
      <c r="F720" s="21">
        <v>21</v>
      </c>
      <c r="G720" s="21">
        <v>23</v>
      </c>
      <c r="H720" s="21">
        <v>25</v>
      </c>
      <c r="I720" s="55">
        <f>SUM(F720:H720)</f>
        <v>69</v>
      </c>
      <c r="J720" s="21">
        <v>25</v>
      </c>
      <c r="K720" s="21">
        <v>21</v>
      </c>
      <c r="L720" s="21">
        <v>19</v>
      </c>
      <c r="M720" s="55">
        <f>SUM(J720:L720)</f>
        <v>65</v>
      </c>
      <c r="N720" s="21">
        <v>17</v>
      </c>
      <c r="O720" s="21">
        <v>13</v>
      </c>
      <c r="P720" s="21">
        <v>11</v>
      </c>
      <c r="Q720" s="55">
        <f>SUM(N720:P720)</f>
        <v>41</v>
      </c>
      <c r="R720" s="55">
        <f>+E720+I720+M720+Q720</f>
        <v>216</v>
      </c>
    </row>
    <row r="721" spans="1:18" ht="16.5" customHeight="1" thickBot="1" x14ac:dyDescent="0.35">
      <c r="A721" s="41"/>
      <c r="B721" s="36"/>
      <c r="C721" s="36"/>
      <c r="D721" s="36"/>
      <c r="E721" s="59" t="s">
        <v>7</v>
      </c>
      <c r="F721" s="36"/>
      <c r="G721" s="36"/>
      <c r="H721" s="36"/>
      <c r="I721" s="59" t="s">
        <v>7</v>
      </c>
      <c r="J721" s="36"/>
      <c r="K721" s="36"/>
      <c r="L721" s="36"/>
      <c r="M721" s="59" t="s">
        <v>7</v>
      </c>
      <c r="N721" s="36"/>
      <c r="O721" s="36"/>
      <c r="P721" s="36"/>
      <c r="Q721" s="59" t="s">
        <v>7</v>
      </c>
      <c r="R721" s="59" t="s">
        <v>7</v>
      </c>
    </row>
    <row r="722" spans="1:18" ht="15.75" customHeight="1" x14ac:dyDescent="0.3">
      <c r="A722" s="15" t="s">
        <v>41</v>
      </c>
      <c r="B722" s="1">
        <f>SUM(B719:B720)</f>
        <v>2828</v>
      </c>
      <c r="C722" s="1">
        <f>SUM(C719:C720)</f>
        <v>3025</v>
      </c>
      <c r="D722" s="1">
        <f>SUM(D719:D720)</f>
        <v>3996</v>
      </c>
      <c r="E722" s="60">
        <f>SUM(B722:D722)</f>
        <v>9849</v>
      </c>
      <c r="F722" s="1">
        <f>SUM(F719:F720)</f>
        <v>3866</v>
      </c>
      <c r="G722" s="1">
        <f>SUM(G719:G720)</f>
        <v>4417</v>
      </c>
      <c r="H722" s="1">
        <f>SUM(H719:H720)</f>
        <v>3692</v>
      </c>
      <c r="I722" s="60">
        <f>SUM(F722:H722)</f>
        <v>11975</v>
      </c>
      <c r="J722" s="1">
        <f>SUM(J719:J720)</f>
        <v>5035</v>
      </c>
      <c r="K722" s="1">
        <f>SUM(K719:K720)</f>
        <v>4329</v>
      </c>
      <c r="L722" s="1">
        <f>SUM(L719:L720)</f>
        <v>3522</v>
      </c>
      <c r="M722" s="60">
        <f>SUM(J722:L722)</f>
        <v>12886</v>
      </c>
      <c r="N722" s="1">
        <f>SUM(N719:N720)</f>
        <v>3264</v>
      </c>
      <c r="O722" s="1">
        <f>SUM(O719:O720)</f>
        <v>2107</v>
      </c>
      <c r="P722" s="1">
        <f>SUM(P719:P720)</f>
        <v>3300</v>
      </c>
      <c r="Q722" s="60">
        <f>SUM(N722:P722)</f>
        <v>8671</v>
      </c>
      <c r="R722" s="60">
        <f>+E722+I722+M722+Q722</f>
        <v>43381</v>
      </c>
    </row>
    <row r="723" spans="1:18" ht="15.75" customHeight="1" x14ac:dyDescent="0.3">
      <c r="A723" s="15" t="s">
        <v>42</v>
      </c>
      <c r="B723" s="1">
        <f>(B722/B10)/1.983</f>
        <v>46.003936687651482</v>
      </c>
      <c r="C723" s="1">
        <f>(C722/C10)/1.983</f>
        <v>54.480945176860459</v>
      </c>
      <c r="D723" s="1">
        <f>(D722/D10)/1.983</f>
        <v>65.004148162607976</v>
      </c>
      <c r="E723" s="55" t="s">
        <v>7</v>
      </c>
      <c r="F723" s="1">
        <f>(F722/F10)/1.983</f>
        <v>64.985711884350309</v>
      </c>
      <c r="G723" s="1">
        <f>(G722/G10)/1.983</f>
        <v>71.85268329185169</v>
      </c>
      <c r="H723" s="1">
        <f>(H722/H10)/1.983</f>
        <v>62.06085056311985</v>
      </c>
      <c r="I723" s="55" t="s">
        <v>7</v>
      </c>
      <c r="J723" s="1">
        <f>(J722/J10)/1.983</f>
        <v>81.905877377059838</v>
      </c>
      <c r="K723" s="1">
        <f>(K722/K10)/1.983</f>
        <v>70.421160509491969</v>
      </c>
      <c r="L723" s="1">
        <f>(L722/L10)/1.983</f>
        <v>59.20322743318205</v>
      </c>
      <c r="M723" s="55" t="s">
        <v>7</v>
      </c>
      <c r="N723" s="1">
        <f>(N722/N10)/1.983</f>
        <v>53.096481382070181</v>
      </c>
      <c r="O723" s="1">
        <f>(O722/O10)/1.983</f>
        <v>35.417717263405613</v>
      </c>
      <c r="P723" s="1">
        <f>(P722/P10)/1.983</f>
        <v>53.682104338490063</v>
      </c>
      <c r="Q723" s="55" t="s">
        <v>7</v>
      </c>
      <c r="R723" s="55" t="s">
        <v>7</v>
      </c>
    </row>
    <row r="724" spans="1:18" ht="15.75" customHeight="1" x14ac:dyDescent="0.3">
      <c r="A724" s="15" t="s">
        <v>372</v>
      </c>
      <c r="B724" s="1">
        <f>B722</f>
        <v>2828</v>
      </c>
      <c r="C724" s="1">
        <f>C722</f>
        <v>3025</v>
      </c>
      <c r="D724" s="1">
        <f>D722</f>
        <v>3996</v>
      </c>
      <c r="E724" s="55">
        <f>SUM(B724:D724)</f>
        <v>9849</v>
      </c>
      <c r="F724" s="1">
        <f>F722</f>
        <v>3866</v>
      </c>
      <c r="G724" s="1">
        <f>G722</f>
        <v>4417</v>
      </c>
      <c r="H724" s="1">
        <f>H722</f>
        <v>3692</v>
      </c>
      <c r="I724" s="55">
        <f>SUM(F724:H724)</f>
        <v>11975</v>
      </c>
      <c r="J724" s="1">
        <f>J722</f>
        <v>5035</v>
      </c>
      <c r="K724" s="1">
        <f>K722</f>
        <v>4329</v>
      </c>
      <c r="L724" s="1">
        <f>L722</f>
        <v>3522</v>
      </c>
      <c r="M724" s="55">
        <f>SUM(J724:L724)</f>
        <v>12886</v>
      </c>
      <c r="N724" s="1">
        <f>N722</f>
        <v>3264</v>
      </c>
      <c r="O724" s="1">
        <f>O722</f>
        <v>2107</v>
      </c>
      <c r="P724" s="1">
        <f>P722</f>
        <v>3300</v>
      </c>
      <c r="Q724" s="55">
        <f>SUM(N724:P724)</f>
        <v>8671</v>
      </c>
      <c r="R724" s="55">
        <f>+E724+I724+M724+Q724</f>
        <v>43381</v>
      </c>
    </row>
    <row r="725" spans="1:18" ht="16.5" customHeight="1" thickBot="1" x14ac:dyDescent="0.35">
      <c r="A725" s="20" t="s">
        <v>373</v>
      </c>
      <c r="B725" s="21">
        <f>(B724/B10)/1.983</f>
        <v>46.003936687651482</v>
      </c>
      <c r="C725" s="21">
        <f>(C724/C10)/1.983</f>
        <v>54.480945176860459</v>
      </c>
      <c r="D725" s="21">
        <f>(D724/D10)/1.983</f>
        <v>65.004148162607976</v>
      </c>
      <c r="E725" s="81" t="s">
        <v>7</v>
      </c>
      <c r="F725" s="21">
        <f>(F724/F10)/1.983</f>
        <v>64.985711884350309</v>
      </c>
      <c r="G725" s="21">
        <f>(G724/G10)/1.983</f>
        <v>71.85268329185169</v>
      </c>
      <c r="H725" s="21">
        <f>(H724/H10)/1.983</f>
        <v>62.06085056311985</v>
      </c>
      <c r="I725" s="81" t="s">
        <v>7</v>
      </c>
      <c r="J725" s="21">
        <f>(J724/J10)/1.983</f>
        <v>81.905877377059838</v>
      </c>
      <c r="K725" s="21">
        <f>(K724/K10)/1.983</f>
        <v>70.421160509491969</v>
      </c>
      <c r="L725" s="21">
        <f>(L724/L10)/1.983</f>
        <v>59.20322743318205</v>
      </c>
      <c r="M725" s="81" t="s">
        <v>7</v>
      </c>
      <c r="N725" s="21">
        <f>(N724/N10)/1.983</f>
        <v>53.096481382070181</v>
      </c>
      <c r="O725" s="21">
        <f>(O724/O10)/1.983</f>
        <v>35.417717263405613</v>
      </c>
      <c r="P725" s="21">
        <f>(P724/P10)/1.983</f>
        <v>53.682104338490063</v>
      </c>
      <c r="Q725" s="81" t="s">
        <v>7</v>
      </c>
      <c r="R725" s="81" t="s">
        <v>7</v>
      </c>
    </row>
    <row r="726" spans="1:18" ht="15.75" customHeight="1" x14ac:dyDescent="0.3">
      <c r="A726" s="28"/>
      <c r="B726" s="1"/>
      <c r="C726" s="1"/>
      <c r="D726" s="1"/>
      <c r="E726" s="2"/>
      <c r="F726" s="1"/>
      <c r="G726" s="1"/>
      <c r="H726" s="1"/>
      <c r="I726" s="2"/>
      <c r="J726" s="1"/>
      <c r="K726" s="1"/>
      <c r="L726" s="1"/>
      <c r="M726" s="2"/>
      <c r="N726" s="1"/>
      <c r="O726" s="1"/>
      <c r="P726" s="1"/>
      <c r="Q726" s="2"/>
      <c r="R726" s="2"/>
    </row>
    <row r="727" spans="1:18" ht="15.75" customHeight="1" x14ac:dyDescent="0.3">
      <c r="A727" s="28"/>
      <c r="B727" s="1"/>
      <c r="C727" s="1"/>
      <c r="D727" s="1"/>
      <c r="E727" s="1"/>
      <c r="F727" s="1"/>
      <c r="G727" s="1"/>
      <c r="H727" s="1"/>
      <c r="I727" s="1"/>
      <c r="J727" s="1"/>
      <c r="K727" s="1"/>
      <c r="L727" s="1"/>
      <c r="M727" s="1"/>
      <c r="N727" s="1"/>
      <c r="O727" s="1"/>
      <c r="P727" s="1"/>
      <c r="Q727" s="2" t="str">
        <f>+Q1</f>
        <v>PRINTED:</v>
      </c>
      <c r="R727" s="3">
        <f ca="1">+R1</f>
        <v>44909.46975358796</v>
      </c>
    </row>
    <row r="728" spans="1:18" ht="15.75" customHeight="1" x14ac:dyDescent="0.3">
      <c r="A728" s="499" t="s">
        <v>1</v>
      </c>
      <c r="B728" s="499"/>
      <c r="C728" s="499"/>
      <c r="D728" s="499"/>
      <c r="E728" s="499"/>
      <c r="F728" s="499"/>
      <c r="G728" s="499"/>
      <c r="H728" s="499"/>
      <c r="I728" s="499"/>
      <c r="J728" s="499"/>
      <c r="K728" s="499"/>
      <c r="L728" s="499"/>
      <c r="M728" s="499"/>
      <c r="N728" s="499"/>
      <c r="O728" s="499"/>
      <c r="P728" s="499"/>
      <c r="Q728" s="499"/>
      <c r="R728" s="499"/>
    </row>
    <row r="729" spans="1:18" ht="15.75" customHeight="1" x14ac:dyDescent="0.3">
      <c r="A729" s="499" t="s">
        <v>2</v>
      </c>
      <c r="B729" s="499"/>
      <c r="C729" s="499"/>
      <c r="D729" s="499"/>
      <c r="E729" s="499"/>
      <c r="F729" s="499"/>
      <c r="G729" s="499"/>
      <c r="H729" s="499"/>
      <c r="I729" s="499"/>
      <c r="J729" s="499"/>
      <c r="K729" s="499"/>
      <c r="L729" s="499"/>
      <c r="M729" s="499"/>
      <c r="N729" s="499"/>
      <c r="O729" s="499"/>
      <c r="P729" s="499"/>
      <c r="Q729" s="499"/>
      <c r="R729" s="499"/>
    </row>
    <row r="730" spans="1:18" ht="15.75" customHeight="1" x14ac:dyDescent="0.3">
      <c r="A730" s="499" t="s">
        <v>3</v>
      </c>
      <c r="B730" s="499"/>
      <c r="C730" s="499"/>
      <c r="D730" s="499"/>
      <c r="E730" s="499"/>
      <c r="F730" s="499"/>
      <c r="G730" s="499"/>
      <c r="H730" s="499"/>
      <c r="I730" s="499"/>
      <c r="J730" s="499"/>
      <c r="K730" s="499"/>
      <c r="L730" s="499"/>
      <c r="M730" s="499"/>
      <c r="N730" s="499"/>
      <c r="O730" s="499"/>
      <c r="P730" s="499"/>
      <c r="Q730" s="499"/>
      <c r="R730" s="499"/>
    </row>
    <row r="731" spans="1:18" ht="15.75" customHeight="1" x14ac:dyDescent="0.3">
      <c r="A731" s="504">
        <f>+A5</f>
        <v>2013</v>
      </c>
      <c r="B731" s="504"/>
      <c r="C731" s="504"/>
      <c r="D731" s="504"/>
      <c r="E731" s="504"/>
      <c r="F731" s="504"/>
      <c r="G731" s="504"/>
      <c r="H731" s="504"/>
      <c r="I731" s="504"/>
      <c r="J731" s="504"/>
      <c r="K731" s="504"/>
      <c r="L731" s="504"/>
      <c r="M731" s="504"/>
      <c r="N731" s="504"/>
      <c r="O731" s="504"/>
      <c r="P731" s="504"/>
      <c r="Q731" s="504"/>
      <c r="R731" s="504"/>
    </row>
    <row r="732" spans="1:18" ht="15.75" customHeight="1" x14ac:dyDescent="0.3">
      <c r="A732" s="1"/>
      <c r="B732" s="1"/>
      <c r="C732" s="1"/>
      <c r="D732" s="5"/>
      <c r="E732" s="5"/>
      <c r="F732" s="5"/>
      <c r="G732" s="6"/>
      <c r="H732" s="5"/>
      <c r="I732" s="5"/>
      <c r="J732" s="6"/>
      <c r="K732" s="6"/>
      <c r="L732" s="6"/>
      <c r="M732" s="6"/>
      <c r="N732" s="1"/>
      <c r="O732" s="6"/>
      <c r="P732" s="6"/>
      <c r="Q732" s="6"/>
      <c r="R732" s="6"/>
    </row>
    <row r="733" spans="1:18" ht="15.75" customHeight="1" x14ac:dyDescent="0.3">
      <c r="A733" s="499" t="str">
        <f>+A8</f>
        <v>Revised:  11/25/13</v>
      </c>
      <c r="B733" s="499"/>
      <c r="C733" s="499"/>
      <c r="D733" s="499"/>
      <c r="E733" s="499"/>
      <c r="F733" s="499"/>
      <c r="G733" s="499"/>
      <c r="H733" s="499"/>
      <c r="I733" s="499"/>
      <c r="J733" s="499"/>
      <c r="K733" s="499"/>
      <c r="L733" s="499"/>
      <c r="M733" s="499"/>
      <c r="N733" s="499"/>
      <c r="O733" s="499"/>
      <c r="P733" s="499"/>
      <c r="Q733" s="499"/>
      <c r="R733" s="499"/>
    </row>
    <row r="734" spans="1:18" ht="15.75" customHeight="1" x14ac:dyDescent="0.3">
      <c r="A734" s="314"/>
      <c r="B734" s="314"/>
      <c r="C734" s="314"/>
      <c r="D734" s="314"/>
      <c r="E734" s="314"/>
      <c r="F734" s="314"/>
      <c r="G734" s="314"/>
      <c r="H734" s="314"/>
      <c r="I734" s="314"/>
      <c r="J734" s="314"/>
      <c r="K734" s="314"/>
      <c r="L734" s="314"/>
      <c r="M734" s="314"/>
      <c r="N734" s="314"/>
      <c r="O734" s="314"/>
      <c r="P734" s="314"/>
      <c r="Q734" s="314"/>
      <c r="R734" s="314"/>
    </row>
    <row r="735" spans="1:18" ht="15.75" customHeight="1" x14ac:dyDescent="0.3">
      <c r="A735" s="314"/>
      <c r="B735" s="314"/>
      <c r="C735" s="314"/>
      <c r="D735" s="314"/>
      <c r="E735" s="314"/>
      <c r="F735" s="314"/>
      <c r="G735" s="314"/>
      <c r="H735" s="314"/>
      <c r="I735" s="314"/>
      <c r="J735" s="314"/>
      <c r="K735" s="314"/>
      <c r="L735" s="314"/>
      <c r="M735" s="314"/>
      <c r="N735" s="314"/>
      <c r="O735" s="314"/>
      <c r="P735" s="314"/>
      <c r="Q735" s="314"/>
      <c r="R735" s="314"/>
    </row>
    <row r="736" spans="1:18" ht="15.75" customHeight="1" thickBot="1" x14ac:dyDescent="0.35">
      <c r="A736" s="28"/>
      <c r="B736" s="1"/>
      <c r="C736" s="1"/>
      <c r="D736" s="1"/>
      <c r="E736" s="1"/>
      <c r="F736" s="1"/>
      <c r="G736" s="1"/>
      <c r="H736" s="1"/>
      <c r="I736" s="1"/>
      <c r="J736" s="1"/>
      <c r="K736" s="1"/>
      <c r="L736" s="1"/>
      <c r="M736" s="1"/>
      <c r="N736" s="1"/>
      <c r="O736" s="1"/>
      <c r="P736" s="1"/>
      <c r="Q736" s="1"/>
      <c r="R736" s="2"/>
    </row>
    <row r="737" spans="1:20" ht="16.5" customHeight="1" thickBot="1" x14ac:dyDescent="0.35">
      <c r="A737" s="124" t="s">
        <v>374</v>
      </c>
      <c r="B737" s="30" t="s">
        <v>8</v>
      </c>
      <c r="C737" s="31" t="s">
        <v>9</v>
      </c>
      <c r="D737" s="31" t="s">
        <v>10</v>
      </c>
      <c r="E737" s="32" t="s">
        <v>11</v>
      </c>
      <c r="F737" s="31" t="s">
        <v>12</v>
      </c>
      <c r="G737" s="31" t="s">
        <v>13</v>
      </c>
      <c r="H737" s="31" t="s">
        <v>14</v>
      </c>
      <c r="I737" s="33" t="s">
        <v>15</v>
      </c>
      <c r="J737" s="31" t="s">
        <v>16</v>
      </c>
      <c r="K737" s="31" t="s">
        <v>17</v>
      </c>
      <c r="L737" s="31" t="s">
        <v>18</v>
      </c>
      <c r="M737" s="33" t="s">
        <v>19</v>
      </c>
      <c r="N737" s="31" t="s">
        <v>20</v>
      </c>
      <c r="O737" s="31" t="s">
        <v>21</v>
      </c>
      <c r="P737" s="31" t="s">
        <v>22</v>
      </c>
      <c r="Q737" s="33" t="s">
        <v>23</v>
      </c>
      <c r="R737" s="133" t="s">
        <v>24</v>
      </c>
    </row>
    <row r="738" spans="1:20" ht="16.5" customHeight="1" thickBot="1" x14ac:dyDescent="0.35">
      <c r="A738" s="41"/>
      <c r="B738" s="36"/>
      <c r="C738" s="36"/>
      <c r="D738" s="36"/>
      <c r="E738" s="52"/>
      <c r="F738" s="36"/>
      <c r="G738" s="36"/>
      <c r="H738" s="36"/>
      <c r="I738" s="132"/>
      <c r="J738" s="36"/>
      <c r="K738" s="36"/>
      <c r="L738" s="36"/>
      <c r="M738" s="132"/>
      <c r="N738" s="36"/>
      <c r="O738" s="36"/>
      <c r="P738" s="36"/>
      <c r="Q738" s="134"/>
      <c r="R738" s="135"/>
    </row>
    <row r="739" spans="1:20" ht="15.75" customHeight="1" x14ac:dyDescent="0.3">
      <c r="A739" s="15" t="s">
        <v>48</v>
      </c>
      <c r="B739" s="1" t="s">
        <v>7</v>
      </c>
      <c r="C739" s="1" t="s">
        <v>7</v>
      </c>
      <c r="D739" s="1" t="s">
        <v>7</v>
      </c>
      <c r="E739" s="136"/>
      <c r="F739" s="1" t="s">
        <v>7</v>
      </c>
      <c r="G739" s="1" t="s">
        <v>7</v>
      </c>
      <c r="H739" s="1" t="s">
        <v>7</v>
      </c>
      <c r="I739" s="136"/>
      <c r="J739" s="1" t="s">
        <v>7</v>
      </c>
      <c r="K739" s="1" t="s">
        <v>7</v>
      </c>
      <c r="L739" s="1" t="s">
        <v>7</v>
      </c>
      <c r="M739" s="136"/>
      <c r="N739" s="1" t="s">
        <v>7</v>
      </c>
      <c r="O739" s="1" t="s">
        <v>7</v>
      </c>
      <c r="P739" s="1" t="s">
        <v>7</v>
      </c>
      <c r="Q739" s="137"/>
      <c r="R739" s="138" t="s">
        <v>7</v>
      </c>
    </row>
    <row r="740" spans="1:20" ht="15.75" customHeight="1" x14ac:dyDescent="0.3">
      <c r="A740" s="315" t="s">
        <v>49</v>
      </c>
      <c r="B740" s="1">
        <f>+SUM(B71:B80)+SUM(B137:B173)+SUM(B286:B300)+SUM(B415:B417)+SUM(B456:B459)+SUM(B498:B506)+SUM(B561:B564)+SUM(B597:B600)+SUM(B651:B652)+SUM(B685:B688)</f>
        <v>28350</v>
      </c>
      <c r="C740" s="1">
        <f>+SUM(C71:C80)+SUM(C137:C173)+SUM(C286:C300)+SUM(C415:C417)+SUM(C456:C459)+SUM(C498:C506)+SUM(C561:C564)+SUM(C597:C600)+SUM(C651:C652)+SUM(C685:C688)</f>
        <v>23810</v>
      </c>
      <c r="D740" s="1">
        <f>+SUM(D71:D80)+SUM(D137:D173)+SUM(D286:D300)+SUM(D415:D417)+SUM(D456:D459)+SUM(D498:D506)+SUM(D561:D564)+SUM(D597:D600)+SUM(D651:D652)+SUM(D685:D688)</f>
        <v>27843</v>
      </c>
      <c r="E740" s="55">
        <f t="shared" ref="E740:E746" si="107">SUM(B740:D740)</f>
        <v>80003</v>
      </c>
      <c r="F740" s="1">
        <f>+SUM(F71:F80)+SUM(F137:F173)+SUM(F286:F300)+SUM(F415:F417)+SUM(F456:F459)+SUM(F498:F506)+SUM(F561:F564)+SUM(F597:F600)+SUM(F651:F652)+SUM(F685:F688)</f>
        <v>40023</v>
      </c>
      <c r="G740" s="1">
        <f>+SUM(G71:G80)+SUM(G137:G173)+SUM(G286:G300)+SUM(G415:G417)+SUM(G456:G459)+SUM(G498:G506)+SUM(G561:G564)+SUM(G597:G600)+SUM(G651:G652)+SUM(G685:G688)</f>
        <v>36501</v>
      </c>
      <c r="H740" s="1">
        <f>+SUM(H71:H80)+SUM(H137:H173)+SUM(H286:H300)+SUM(H415:H417)+SUM(H456:H459)+SUM(H498:H506)+SUM(H561:H564)+SUM(H597:H600)+SUM(H651:H652)+SUM(H685:H688)</f>
        <v>39097</v>
      </c>
      <c r="I740" s="55">
        <f t="shared" ref="I740:I746" si="108">SUM(F740:H740)</f>
        <v>115621</v>
      </c>
      <c r="J740" s="1">
        <f>+SUM(J71:J80)+SUM(J137:J173)+SUM(J286:J300)+SUM(J415:J417)+SUM(J456:J459)+SUM(J498:J506)+SUM(J561:J564)+SUM(J597:J600)+SUM(J651:J652)+SUM(J685:J688)</f>
        <v>51396</v>
      </c>
      <c r="K740" s="1">
        <f>+SUM(K71:K80)+SUM(K137:K173)+SUM(K286:K300)+SUM(K415:K417)+SUM(K456:K459)+SUM(K498:K506)+SUM(K561:K564)+SUM(K597:K600)+SUM(K651:K652)+SUM(K685:K688)</f>
        <v>56535</v>
      </c>
      <c r="L740" s="1">
        <f>+SUM(L71:L80)+SUM(L137:L173)+SUM(L286:L300)+SUM(L415:L417)+SUM(L456:L459)+SUM(L498:L506)+SUM(L561:L564)+SUM(L597:L600)+SUM(L651:L652)+SUM(L685:L688)</f>
        <v>46748</v>
      </c>
      <c r="M740" s="55">
        <f t="shared" ref="M740:M746" si="109">SUM(J740:L740)</f>
        <v>154679</v>
      </c>
      <c r="N740" s="1">
        <f>+SUM(N71:N80)+SUM(N137:N173)+SUM(N286:N300)+SUM(N415:N417)+SUM(N456:N459)+SUM(N498:N506)+SUM(N561:N564)+SUM(N597:N600)+SUM(N651:N652)+SUM(N685:N688)</f>
        <v>44260</v>
      </c>
      <c r="O740" s="1">
        <f>+SUM(O71:O80)+SUM(O137:O173)+SUM(O286:O300)+SUM(O415:O417)+SUM(O456:O459)+SUM(O498:O506)+SUM(O561:O564)+SUM(O597:O600)+SUM(O651:O652)+SUM(O685:O688)</f>
        <v>29544</v>
      </c>
      <c r="P740" s="1">
        <f>+SUM(P71:P80)+SUM(P137:P173)+SUM(P286:P300)+SUM(P415:P417)+SUM(P456:P459)+SUM(P498:P506)+SUM(P561:P564)+SUM(P597:P600)+SUM(P651:P652)+SUM(P685:P688)</f>
        <v>31172</v>
      </c>
      <c r="Q740" s="55">
        <f t="shared" ref="Q740:Q746" si="110">SUM(N740:P740)</f>
        <v>104976</v>
      </c>
      <c r="R740" s="55">
        <f t="shared" ref="R740:R746" si="111">+E740+I740+M740+Q740</f>
        <v>455279</v>
      </c>
    </row>
    <row r="741" spans="1:20" ht="15.75" customHeight="1" x14ac:dyDescent="0.3">
      <c r="A741" s="15" t="s">
        <v>1014</v>
      </c>
      <c r="B741" s="1">
        <f>+B38+SUM(B81:B83)+SUM(B175:B185)+SUM(B302:B316)+SUM(B419:B421)+B460+SUM(B507:B508)+B565+B601+B653+SUM(B689:B689)</f>
        <v>137</v>
      </c>
      <c r="C741" s="1">
        <f>+C38+SUM(C81:C83)+SUM(C175:C185)+SUM(C302:C316)+SUM(C419:C421)+C460+SUM(C507:C508)+C565+C601+C653+SUM(C689:C689)</f>
        <v>145</v>
      </c>
      <c r="D741" s="1">
        <f>+D38+SUM(D81:D83)+SUM(D175:D185)+SUM(D302:D316)+SUM(D419:D421)+D460+SUM(D507:D508)+D565+D601+D653+SUM(D689:D689)</f>
        <v>253</v>
      </c>
      <c r="E741" s="55">
        <f t="shared" si="107"/>
        <v>535</v>
      </c>
      <c r="F741" s="1">
        <f>+F38+SUM(F81:F83)+SUM(F175:F185)+SUM(F302:F316)+SUM(F419:F421)+F460+SUM(F507:F508)+F565+F601+F653+SUM(F689:F689)</f>
        <v>401</v>
      </c>
      <c r="G741" s="1">
        <f>+G38+SUM(G81:G83)+SUM(G175:G185)+SUM(G302:G316)+SUM(G419:G421)+G460+SUM(G507:G508)+G565+G601+G653+SUM(G689:G689)</f>
        <v>592</v>
      </c>
      <c r="H741" s="1">
        <f>+H38+SUM(H81:H83)+SUM(H175:H185)+SUM(H302:H316)+SUM(H419:H421)+H460+SUM(H507:H508)+H565+H601+H653+SUM(H689:H689)</f>
        <v>571</v>
      </c>
      <c r="I741" s="55">
        <f t="shared" si="108"/>
        <v>1564</v>
      </c>
      <c r="J741" s="1">
        <f>+J38+SUM(J81:J83)+SUM(J175:J185)+SUM(J302:J316)+SUM(J419:J421)+J460+SUM(J507:J508)+J565+J601+J653+SUM(J689:J689)</f>
        <v>748</v>
      </c>
      <c r="K741" s="1">
        <f>+K38+SUM(K81:K83)+SUM(K175:K185)+SUM(K302:K316)+SUM(K419:K421)+K460+SUM(K507:K508)+K565+K601+K653+SUM(K689:K689)</f>
        <v>628</v>
      </c>
      <c r="L741" s="1">
        <f>+L38+SUM(L81:L83)+SUM(L175:L185)+SUM(L302:L316)+SUM(L419:L421)+L460+SUM(L507:L508)+L565+L601+L653+SUM(L689:L689)</f>
        <v>521</v>
      </c>
      <c r="M741" s="55">
        <f t="shared" si="109"/>
        <v>1897</v>
      </c>
      <c r="N741" s="1">
        <f>+N38+SUM(N81:N83)+SUM(N175:N185)+SUM(N302:N316)+SUM(N419:N421)+N460+SUM(N507:N508)+N565+N601+N653+SUM(N689:N689)</f>
        <v>526</v>
      </c>
      <c r="O741" s="1">
        <f>+O38+SUM(O81:O83)+SUM(O175:O185)+SUM(O302:O316)+SUM(O419:O421)+O460+SUM(O507:O508)+O565+O601+O653+SUM(O689:O689)</f>
        <v>222</v>
      </c>
      <c r="P741" s="1">
        <f>+P38+SUM(P81:P83)+SUM(P175:P185)+SUM(P302:P316)+SUM(P419:P421)+P460+SUM(P507:P508)+P565+P601+P653+SUM(P689:P689)</f>
        <v>331</v>
      </c>
      <c r="Q741" s="55">
        <f t="shared" si="110"/>
        <v>1079</v>
      </c>
      <c r="R741" s="55">
        <f t="shared" si="111"/>
        <v>5075</v>
      </c>
    </row>
    <row r="742" spans="1:20" ht="15.75" customHeight="1" x14ac:dyDescent="0.3">
      <c r="A742" s="315" t="s">
        <v>1015</v>
      </c>
      <c r="B742" s="1">
        <f>+SUM(B84:B86)+SUM(B186:B189)+SUM(B317:B321)+B422+B461+SUM(B509:B510)+B566+B602+B654+SUM(B690:B691)</f>
        <v>9</v>
      </c>
      <c r="C742" s="1">
        <f>+SUM(C84:C86)+SUM(C186:C189)+SUM(C317:C321)+C422+C461+SUM(C509:C510)+C566+C602+C654+SUM(C690:C691)</f>
        <v>8</v>
      </c>
      <c r="D742" s="1">
        <f>+SUM(D84:D86)+SUM(D186:D189)+SUM(D317:D321)+D422+D461+SUM(D509:D510)+D566+D602+D654+SUM(D690:D691)</f>
        <v>1253</v>
      </c>
      <c r="E742" s="55">
        <f t="shared" si="107"/>
        <v>1270</v>
      </c>
      <c r="F742" s="1">
        <f>+SUM(F84:F86)+SUM(F186:F189)+SUM(F317:F321)+F422+F461+SUM(F509:F510)+F566+F602+F654+SUM(F690:F691)</f>
        <v>1545</v>
      </c>
      <c r="G742" s="1">
        <f>+SUM(G84:G86)+SUM(G186:G189)+SUM(G317:G321)+G422+G461+SUM(G509:G510)+G566+G602+G654+SUM(G690:G691)</f>
        <v>6189</v>
      </c>
      <c r="H742" s="1">
        <f>+SUM(H84:H86)+SUM(H186:H189)+SUM(H317:H321)+H422+H461+SUM(H509:H510)+H566+H602+H654+SUM(H690:H691)</f>
        <v>4661</v>
      </c>
      <c r="I742" s="55">
        <f t="shared" si="108"/>
        <v>12395</v>
      </c>
      <c r="J742" s="1">
        <f>+SUM(J84:J86)+SUM(J186:J189)+SUM(J317:J321)+J422+J461+SUM(J509:J510)+J566+J602+J654+SUM(J690:J691)</f>
        <v>4214</v>
      </c>
      <c r="K742" s="1">
        <f>+SUM(K84:K86)+SUM(K186:K189)+SUM(K317:K321)+K422+K461+SUM(K509:K510)+K566+K602+K654+SUM(K690:K691)</f>
        <v>7373</v>
      </c>
      <c r="L742" s="1">
        <f>+SUM(L84:L86)+SUM(L186:L189)+SUM(L317:L321)+L422+L461+SUM(L509:L510)+L566+L602+L654+SUM(L690:L691)</f>
        <v>5264</v>
      </c>
      <c r="M742" s="55">
        <f t="shared" si="109"/>
        <v>16851</v>
      </c>
      <c r="N742" s="1">
        <f>+SUM(N84:N86)+SUM(N186:N189)+SUM(N317:N321)+N422+N461+SUM(N509:N510)+N566+N602+N654+SUM(N690:N691)</f>
        <v>2031</v>
      </c>
      <c r="O742" s="1">
        <f>+SUM(O84:O86)+SUM(O186:O189)+SUM(O317:O321)+O422+O461+SUM(O509:O510)+O566+O602+O654+SUM(O690:O691)</f>
        <v>1222</v>
      </c>
      <c r="P742" s="1">
        <f>+SUM(P84:P86)+SUM(P186:P189)+SUM(P317:P321)+P422+P461+SUM(P509:P510)+P566+P602+P654+SUM(P690:P691)</f>
        <v>1108</v>
      </c>
      <c r="Q742" s="55">
        <f t="shared" si="110"/>
        <v>4361</v>
      </c>
      <c r="R742" s="55">
        <f t="shared" si="111"/>
        <v>34877</v>
      </c>
    </row>
    <row r="743" spans="1:20" ht="15.75" customHeight="1" x14ac:dyDescent="0.3">
      <c r="A743" s="15" t="s">
        <v>785</v>
      </c>
      <c r="B743" s="1">
        <f>+B263+B396+B397</f>
        <v>0</v>
      </c>
      <c r="C743" s="1">
        <f>+C263+C396+C397</f>
        <v>0</v>
      </c>
      <c r="D743" s="1">
        <f>+D263+D396+D397</f>
        <v>0</v>
      </c>
      <c r="E743" s="55">
        <f t="shared" si="107"/>
        <v>0</v>
      </c>
      <c r="F743" s="1">
        <f>+F263+F396+F397</f>
        <v>0</v>
      </c>
      <c r="G743" s="1">
        <f>+G263+G396+G397</f>
        <v>0</v>
      </c>
      <c r="H743" s="1">
        <f>+H263+H396+H397</f>
        <v>0</v>
      </c>
      <c r="I743" s="55">
        <f t="shared" si="108"/>
        <v>0</v>
      </c>
      <c r="J743" s="1">
        <f>+J263+J396+J397</f>
        <v>0</v>
      </c>
      <c r="K743" s="1">
        <f>+K263+K396+K397</f>
        <v>0</v>
      </c>
      <c r="L743" s="1">
        <f>+L263+L396+L397</f>
        <v>0</v>
      </c>
      <c r="M743" s="55">
        <f t="shared" si="109"/>
        <v>0</v>
      </c>
      <c r="N743" s="1">
        <f>+N263+N396+N397</f>
        <v>0</v>
      </c>
      <c r="O743" s="1">
        <f>+O263+O396+O397</f>
        <v>0</v>
      </c>
      <c r="P743" s="1">
        <f>+P263+P396+P397</f>
        <v>0</v>
      </c>
      <c r="Q743" s="55">
        <f t="shared" si="110"/>
        <v>0</v>
      </c>
      <c r="R743" s="55">
        <f t="shared" si="111"/>
        <v>0</v>
      </c>
    </row>
    <row r="744" spans="1:20" ht="15.75" customHeight="1" x14ac:dyDescent="0.3">
      <c r="A744" s="315" t="s">
        <v>377</v>
      </c>
      <c r="B744" s="1">
        <f>+B264</f>
        <v>29</v>
      </c>
      <c r="C744" s="1">
        <f>+C264</f>
        <v>39</v>
      </c>
      <c r="D744" s="1">
        <f>+D264</f>
        <v>32</v>
      </c>
      <c r="E744" s="55">
        <f>SUM(B744:D744)</f>
        <v>100</v>
      </c>
      <c r="F744" s="1">
        <f>+F264</f>
        <v>72</v>
      </c>
      <c r="G744" s="1">
        <f>+G264</f>
        <v>111</v>
      </c>
      <c r="H744" s="1">
        <f>+H264</f>
        <v>84</v>
      </c>
      <c r="I744" s="55">
        <f>SUM(F744:H744)</f>
        <v>267</v>
      </c>
      <c r="J744" s="1">
        <f>+J264</f>
        <v>209</v>
      </c>
      <c r="K744" s="1">
        <f>+K264</f>
        <v>77</v>
      </c>
      <c r="L744" s="1">
        <f>+L264</f>
        <v>152</v>
      </c>
      <c r="M744" s="55">
        <f>SUM(J744:L744)</f>
        <v>438</v>
      </c>
      <c r="N744" s="1">
        <f>+N264</f>
        <v>76</v>
      </c>
      <c r="O744" s="1">
        <v>92</v>
      </c>
      <c r="P744" s="1">
        <v>7</v>
      </c>
      <c r="Q744" s="55">
        <f t="shared" si="110"/>
        <v>175</v>
      </c>
      <c r="R744" s="55">
        <f>+E744+I744+M744+Q744</f>
        <v>980</v>
      </c>
    </row>
    <row r="745" spans="1:20" ht="15.75" customHeight="1" thickBot="1" x14ac:dyDescent="0.35">
      <c r="A745" s="15" t="s">
        <v>53</v>
      </c>
      <c r="B745" s="1">
        <f>+B87+B423+B462+B511+B567+B603+B655+B692</f>
        <v>0</v>
      </c>
      <c r="C745" s="1">
        <f>+C87+C423+C462+C511+C567+C603+C655+C692</f>
        <v>0</v>
      </c>
      <c r="D745" s="1">
        <f>+D87+D423+D462+D511+D567+D603+D655+D692</f>
        <v>0</v>
      </c>
      <c r="E745" s="55">
        <f t="shared" si="107"/>
        <v>0</v>
      </c>
      <c r="F745" s="1">
        <f>+F87+F423+F462+F511+F567+F603+F655+F692</f>
        <v>0</v>
      </c>
      <c r="G745" s="1">
        <f>+G87+G423+G462+G511+G567+G603+G655+G692</f>
        <v>0</v>
      </c>
      <c r="H745" s="1">
        <f>+H87+H423+H462+H511+H567+H603+H655+H692</f>
        <v>0</v>
      </c>
      <c r="I745" s="55">
        <f t="shared" si="108"/>
        <v>0</v>
      </c>
      <c r="J745" s="1">
        <f>+J87+J423+J462+J511+J567+J603+J655+J692</f>
        <v>0</v>
      </c>
      <c r="K745" s="1">
        <f>+K87+K423+K462+K511+K567+K603+K655+K692</f>
        <v>0</v>
      </c>
      <c r="L745" s="1">
        <f>+L87+L423+L462+L511+L567+L603+L655+L692</f>
        <v>0</v>
      </c>
      <c r="M745" s="55">
        <f t="shared" si="109"/>
        <v>0</v>
      </c>
      <c r="N745" s="1">
        <f>+N87+N423+N462+N511+N567+N603+N655+N692</f>
        <v>0</v>
      </c>
      <c r="O745" s="1">
        <f>+O87+O423+O462+O511+O567+O603+O655+O692</f>
        <v>0</v>
      </c>
      <c r="P745" s="1">
        <f>+P87+P423+P462+P511+P567+P603+P655+P692</f>
        <v>0</v>
      </c>
      <c r="Q745" s="55">
        <f t="shared" si="110"/>
        <v>0</v>
      </c>
      <c r="R745" s="55">
        <f t="shared" si="111"/>
        <v>0</v>
      </c>
    </row>
    <row r="746" spans="1:20" ht="16.5" customHeight="1" thickBot="1" x14ac:dyDescent="0.35">
      <c r="A746" s="57" t="s">
        <v>54</v>
      </c>
      <c r="B746" s="86">
        <f>SUM(B739:B745)</f>
        <v>28525</v>
      </c>
      <c r="C746" s="87">
        <f>SUM(C739:C745)</f>
        <v>24002</v>
      </c>
      <c r="D746" s="87">
        <f>SUM(D739:D745)</f>
        <v>29381</v>
      </c>
      <c r="E746" s="59">
        <f t="shared" si="107"/>
        <v>81908</v>
      </c>
      <c r="F746" s="87">
        <f>SUM(F739:F745)</f>
        <v>42041</v>
      </c>
      <c r="G746" s="87">
        <f>SUM(G739:G745)</f>
        <v>43393</v>
      </c>
      <c r="H746" s="87">
        <f>SUM(H739:H745)</f>
        <v>44413</v>
      </c>
      <c r="I746" s="59">
        <f t="shared" si="108"/>
        <v>129847</v>
      </c>
      <c r="J746" s="87">
        <f>SUM(J739:J745)</f>
        <v>56567</v>
      </c>
      <c r="K746" s="87">
        <f>SUM(K739:K745)</f>
        <v>64613</v>
      </c>
      <c r="L746" s="87">
        <f>SUM(L739:L745)</f>
        <v>52685</v>
      </c>
      <c r="M746" s="59">
        <f t="shared" si="109"/>
        <v>173865</v>
      </c>
      <c r="N746" s="87">
        <f>SUM(N739:N745)</f>
        <v>46893</v>
      </c>
      <c r="O746" s="87">
        <f>SUM(O739:O745)</f>
        <v>31080</v>
      </c>
      <c r="P746" s="87">
        <f>SUM(P739:P745)</f>
        <v>32618</v>
      </c>
      <c r="Q746" s="59">
        <f t="shared" si="110"/>
        <v>110591</v>
      </c>
      <c r="R746" s="59">
        <f t="shared" si="111"/>
        <v>496211</v>
      </c>
      <c r="T746" s="4">
        <f>+R746-R743-R742</f>
        <v>461334</v>
      </c>
    </row>
    <row r="747" spans="1:20" ht="15.75" customHeight="1" x14ac:dyDescent="0.3">
      <c r="A747" s="15" t="s">
        <v>55</v>
      </c>
      <c r="B747" s="1"/>
      <c r="C747" s="1"/>
      <c r="D747" s="1"/>
      <c r="E747" s="55" t="s">
        <v>7</v>
      </c>
      <c r="F747" s="1"/>
      <c r="G747" s="1"/>
      <c r="H747" s="1"/>
      <c r="I747" s="55" t="s">
        <v>7</v>
      </c>
      <c r="J747" s="1"/>
      <c r="K747" s="1"/>
      <c r="L747" s="1"/>
      <c r="M747" s="55" t="s">
        <v>7</v>
      </c>
      <c r="N747" s="1"/>
      <c r="O747" s="1"/>
      <c r="P747" s="1"/>
      <c r="Q747" s="55" t="s">
        <v>7</v>
      </c>
      <c r="R747" s="55" t="s">
        <v>7</v>
      </c>
    </row>
    <row r="748" spans="1:20" ht="15.75" customHeight="1" x14ac:dyDescent="0.3">
      <c r="A748" s="15" t="s">
        <v>56</v>
      </c>
      <c r="B748" s="1">
        <f>SUM(B43:B43)+SUM(B193:B193)+SUM(B90:B90)+SUM(B325:B325)</f>
        <v>0</v>
      </c>
      <c r="C748" s="1">
        <f>SUM(C43:C43)+SUM(C193:C193)+SUM(C90:C90)+SUM(C325:C325)</f>
        <v>0</v>
      </c>
      <c r="D748" s="1">
        <f>SUM(D43:D43)+SUM(D193:D193)+SUM(D90:D90)+SUM(D325:D325)</f>
        <v>0</v>
      </c>
      <c r="E748" s="55">
        <f>SUM(B748:D748)</f>
        <v>0</v>
      </c>
      <c r="F748" s="1">
        <f>SUM(F43:F43)+SUM(F193:F193)+SUM(F90:F90)+SUM(F325:F325)</f>
        <v>0</v>
      </c>
      <c r="G748" s="1">
        <f>SUM(G43:G43)+SUM(G193:G193)+SUM(G90:G90)+SUM(G325:G325)</f>
        <v>0</v>
      </c>
      <c r="H748" s="1">
        <f>SUM(H43:H43)+SUM(H193:H193)+SUM(H90:H90)+SUM(H325:H325)</f>
        <v>0</v>
      </c>
      <c r="I748" s="55">
        <f>SUM(F748:H748)</f>
        <v>0</v>
      </c>
      <c r="J748" s="1">
        <f>SUM(J43:J43)+SUM(J193:J193)+SUM(J90:J90)+SUM(J325:J325)</f>
        <v>0</v>
      </c>
      <c r="K748" s="1">
        <f>SUM(K43:K43)+SUM(K193:K193)+SUM(K90:K90)+SUM(K325:K325)</f>
        <v>0</v>
      </c>
      <c r="L748" s="1">
        <f>SUM(L43:L43)+SUM(L193:L193)+SUM(L90:L90)+SUM(L325:L325)</f>
        <v>0</v>
      </c>
      <c r="M748" s="55">
        <f>SUM(J748:L748)</f>
        <v>0</v>
      </c>
      <c r="N748" s="1">
        <f>SUM(N43:N43)+SUM(N193:N193)+SUM(N90:N90)+SUM(N325:N325)</f>
        <v>0</v>
      </c>
      <c r="O748" s="1">
        <f>SUM(O43:O43)+SUM(O193:O193)+SUM(O90:O90)+SUM(O325:O325)</f>
        <v>0</v>
      </c>
      <c r="P748" s="1">
        <f>SUM(P43:P43)+SUM(P193:P193)+SUM(P90:P90)+SUM(P325:P325)</f>
        <v>0</v>
      </c>
      <c r="Q748" s="55">
        <f>SUM(N748:P748)</f>
        <v>0</v>
      </c>
      <c r="R748" s="55">
        <f>+E748+I748+M748+Q748</f>
        <v>0</v>
      </c>
    </row>
    <row r="749" spans="1:20" ht="15.75" customHeight="1" x14ac:dyDescent="0.3">
      <c r="A749" s="315" t="s">
        <v>57</v>
      </c>
      <c r="B749" s="1">
        <f>+SUM(B92:B93)+SUM(B194:B196)+SUM(B326:B334)+B427+SUM(B465:B467)+SUM(B514:B516)+SUM(B570:B570)+B606+B658+SUM(B695:B696)</f>
        <v>7611</v>
      </c>
      <c r="C749" s="1">
        <f>+SUM(C92:C93)+SUM(C194:C196)+SUM(C326:C334)+C427+SUM(C465:C467)+SUM(C514:C516)+SUM(C570:C570)+C606+C658+SUM(C695:C696)</f>
        <v>8377</v>
      </c>
      <c r="D749" s="1">
        <f>+SUM(D92:D93)+SUM(D194:D196)+SUM(D326:D334)+D427+SUM(D465:D467)+SUM(D514:D516)+SUM(D570:D570)+D606+D658+SUM(D695:D696)</f>
        <v>32382</v>
      </c>
      <c r="E749" s="55">
        <f>SUM(B749:D749)</f>
        <v>48370</v>
      </c>
      <c r="F749" s="1">
        <f>+SUM(F92:F93)+SUM(F194:F196)+SUM(F326:F334)+F427+SUM(F465:F467)+SUM(F514:F516)+SUM(F570:F570)+F606+F658+SUM(F695:F696)</f>
        <v>61616</v>
      </c>
      <c r="G749" s="1">
        <f>+SUM(G92:G93)+SUM(G194:G196)+SUM(G326:G334)+G427+SUM(G465:G467)+SUM(G514:G516)+SUM(G570:G570)+G606+G658+SUM(G695:G696)</f>
        <v>44504</v>
      </c>
      <c r="H749" s="1">
        <f>+SUM(H92:H93)+SUM(H194:H196)+SUM(H326:H334)+H427+SUM(H465:H467)+SUM(H514:H516)+SUM(H570:H570)+H606+H658+SUM(H695:H696)</f>
        <v>78665</v>
      </c>
      <c r="I749" s="55">
        <f>SUM(F749:H749)</f>
        <v>184785</v>
      </c>
      <c r="J749" s="1">
        <f>+SUM(J92:J93)+SUM(J194:J196)+SUM(J326:J334)+J427+SUM(J465:J467)+SUM(J514:J516)+SUM(J570:J570)+J606+J658+SUM(J695:J696)</f>
        <v>52163</v>
      </c>
      <c r="K749" s="1">
        <f>+SUM(K92:K93)+SUM(K194:K196)+SUM(K326:K334)+K427+SUM(K465:K467)+SUM(K514:K516)+SUM(K570:K570)+K606+K658+SUM(K695:K696)</f>
        <v>52385</v>
      </c>
      <c r="L749" s="1">
        <f>+SUM(L92:L93)+SUM(L194:L196)+SUM(L326:L334)+L427+SUM(L465:L467)+SUM(L514:L516)+SUM(L570:L570)+L606+L658+SUM(L695:L696)</f>
        <v>26934</v>
      </c>
      <c r="M749" s="55">
        <f>SUM(J749:L749)</f>
        <v>131482</v>
      </c>
      <c r="N749" s="1">
        <f>+SUM(N92:N93)+SUM(N194:N196)+SUM(N326:N334)+N427+SUM(N465:N467)+SUM(N514:N516)+SUM(N570:N570)+N606+N658+SUM(N695:N696)</f>
        <v>20735</v>
      </c>
      <c r="O749" s="1">
        <f>+SUM(O92:O93)+SUM(O194:O196)+SUM(O326:O334)+O427+SUM(O465:O467)+SUM(O514:O516)+SUM(O570:O570)+O606+O658+SUM(O695:O696)</f>
        <v>7320</v>
      </c>
      <c r="P749" s="1">
        <f>+SUM(P92:P93)+SUM(P194:P196)+SUM(P326:P334)+P427+SUM(P465:P467)+SUM(P514:P516)+SUM(P570:P570)+P606+P658+SUM(P695:P696)</f>
        <v>7308</v>
      </c>
      <c r="Q749" s="55">
        <f>SUM(N749:P749)</f>
        <v>35363</v>
      </c>
      <c r="R749" s="55">
        <f>+E749+I749+M749+Q749</f>
        <v>400000</v>
      </c>
    </row>
    <row r="750" spans="1:20" ht="15.75" customHeight="1" thickBot="1" x14ac:dyDescent="0.35">
      <c r="A750" s="15" t="s">
        <v>58</v>
      </c>
      <c r="B750" s="1">
        <f>+B94+B428+B468+B517+B571+B607+B659+B697</f>
        <v>0</v>
      </c>
      <c r="C750" s="1">
        <f>+C94+C428+C468+C517+C571+C607+C659+C697</f>
        <v>0</v>
      </c>
      <c r="D750" s="1">
        <f>+D94+D428+D468+D517+D571+D607+D659+D697</f>
        <v>0</v>
      </c>
      <c r="E750" s="55">
        <f>SUM(B750:D750)</f>
        <v>0</v>
      </c>
      <c r="F750" s="1">
        <f>+F94+F428+F468+F517+F571+F607+F659+F697</f>
        <v>0</v>
      </c>
      <c r="G750" s="1">
        <f>+G94+G428+G468+G517+G571+G607+G659+G697</f>
        <v>0</v>
      </c>
      <c r="H750" s="1">
        <f>+H94+H428+H468+H517+H571+H607+H659+H697</f>
        <v>0</v>
      </c>
      <c r="I750" s="55">
        <f>SUM(F750:H750)</f>
        <v>0</v>
      </c>
      <c r="J750" s="1">
        <f>+J94+J428+J468+J517+J571+J607+J659+J697</f>
        <v>0</v>
      </c>
      <c r="K750" s="1">
        <f>+K94+K428+K468+K517+K571+K607+K659+K697</f>
        <v>0</v>
      </c>
      <c r="L750" s="1">
        <f>+L94+L428+L468+L517+L571+L607+L659+L697</f>
        <v>0</v>
      </c>
      <c r="M750" s="55">
        <f>SUM(J750:L750)</f>
        <v>0</v>
      </c>
      <c r="N750" s="1">
        <f>+N94+N428+N468+N517+N571+N607+N659+N697</f>
        <v>0</v>
      </c>
      <c r="O750" s="1">
        <f>+O94+O428+O468+O517+O571+O607+O659+O697</f>
        <v>0</v>
      </c>
      <c r="P750" s="1">
        <f>+P94+P428+P468+P517+P571+P607+P659+P697</f>
        <v>0</v>
      </c>
      <c r="Q750" s="55">
        <f>SUM(N750:P750)</f>
        <v>0</v>
      </c>
      <c r="R750" s="55">
        <f>+E750+I750+M750+Q750</f>
        <v>0</v>
      </c>
    </row>
    <row r="751" spans="1:20" ht="16.5" customHeight="1" thickBot="1" x14ac:dyDescent="0.35">
      <c r="A751" s="57" t="s">
        <v>59</v>
      </c>
      <c r="B751" s="86">
        <f>SUM(B747:B750)</f>
        <v>7611</v>
      </c>
      <c r="C751" s="87">
        <f>SUM(C747:C750)</f>
        <v>8377</v>
      </c>
      <c r="D751" s="87">
        <f>SUM(D747:D750)</f>
        <v>32382</v>
      </c>
      <c r="E751" s="59">
        <f>SUM(B751:D751)</f>
        <v>48370</v>
      </c>
      <c r="F751" s="87">
        <f>SUM(F747:F750)</f>
        <v>61616</v>
      </c>
      <c r="G751" s="87">
        <f>SUM(G747:G750)</f>
        <v>44504</v>
      </c>
      <c r="H751" s="87">
        <f>SUM(H747:H750)</f>
        <v>78665</v>
      </c>
      <c r="I751" s="59">
        <f>SUM(F751:H751)</f>
        <v>184785</v>
      </c>
      <c r="J751" s="87">
        <f>SUM(J747:J750)</f>
        <v>52163</v>
      </c>
      <c r="K751" s="87">
        <f>SUM(K747:K750)</f>
        <v>52385</v>
      </c>
      <c r="L751" s="87">
        <f>SUM(L747:L750)</f>
        <v>26934</v>
      </c>
      <c r="M751" s="59">
        <f>SUM(J751:L751)</f>
        <v>131482</v>
      </c>
      <c r="N751" s="87">
        <f>SUM(N747:N750)</f>
        <v>20735</v>
      </c>
      <c r="O751" s="87">
        <f>SUM(O747:O750)</f>
        <v>7320</v>
      </c>
      <c r="P751" s="87">
        <f>SUM(P747:P750)</f>
        <v>7308</v>
      </c>
      <c r="Q751" s="59">
        <f>SUM(N751:P751)</f>
        <v>35363</v>
      </c>
      <c r="R751" s="59">
        <f>+E751+I751+M751+Q751</f>
        <v>400000</v>
      </c>
    </row>
    <row r="752" spans="1:20" ht="15.75" customHeight="1" x14ac:dyDescent="0.3">
      <c r="A752" s="15" t="s">
        <v>60</v>
      </c>
      <c r="B752" s="1"/>
      <c r="C752" s="1"/>
      <c r="D752" s="1"/>
      <c r="E752" s="55" t="s">
        <v>7</v>
      </c>
      <c r="F752" s="1"/>
      <c r="G752" s="1"/>
      <c r="H752" s="1"/>
      <c r="I752" s="55" t="s">
        <v>7</v>
      </c>
      <c r="J752" s="1"/>
      <c r="K752" s="1"/>
      <c r="L752" s="1"/>
      <c r="M752" s="55" t="s">
        <v>7</v>
      </c>
      <c r="N752" s="1"/>
      <c r="O752" s="1"/>
      <c r="P752" s="1"/>
      <c r="Q752" s="55" t="s">
        <v>7</v>
      </c>
      <c r="R752" s="55" t="s">
        <v>7</v>
      </c>
    </row>
    <row r="753" spans="1:20" ht="15.75" customHeight="1" x14ac:dyDescent="0.3">
      <c r="A753" s="315" t="s">
        <v>61</v>
      </c>
      <c r="B753" s="1">
        <f>+B48+B97+B200+SUM(B338:B340)+B431+B471+B520+B574+SUM(B610:B611)+B662+SUM(B700:B702)</f>
        <v>2573</v>
      </c>
      <c r="C753" s="1">
        <f>+C48+C97+C200+SUM(C338:C340)+C431+C471+C520+C574+SUM(C610:C611)+C662+SUM(C700:C702)</f>
        <v>6012</v>
      </c>
      <c r="D753" s="1">
        <f>+D48+D97+D200+SUM(D338:D340)+D431+D471+D520+D574+SUM(D610:D611)+D662+SUM(D700:D702)</f>
        <v>9803</v>
      </c>
      <c r="E753" s="55">
        <f>SUM(B753:D753)</f>
        <v>18388</v>
      </c>
      <c r="F753" s="1">
        <f>+F48+F97+F200+SUM(F338:F340)+F431+F471+F520+F574+SUM(F610:F611)+F662+SUM(F700:F702)</f>
        <v>18185</v>
      </c>
      <c r="G753" s="1">
        <f>+G48+G97+G200+SUM(G338:G340)+G431+G471+G520+G574+SUM(G610:G611)+G662+SUM(G700:G702)</f>
        <v>22461</v>
      </c>
      <c r="H753" s="1">
        <f>+H48+H97+H200+SUM(H338:H340)+H431+H471+H520+H574+SUM(H610:H611)+H662+SUM(H700:H702)</f>
        <v>26734</v>
      </c>
      <c r="I753" s="55">
        <f>SUM(F753:H753)</f>
        <v>67380</v>
      </c>
      <c r="J753" s="1">
        <f>+J48+J97+J200+SUM(J338:J340)+J431+J471+J520+J574+SUM(J610:J611)+J662+SUM(J700:J702)</f>
        <v>21248</v>
      </c>
      <c r="K753" s="1">
        <f>+K48+K97+K200+SUM(K338:K340)+K431+K471+K520+K574+SUM(K610:K611)+K662+SUM(K700:K702)</f>
        <v>16116</v>
      </c>
      <c r="L753" s="1">
        <f>+L48+L97+L200+SUM(L338:L340)+L431+L471+L520+L574+SUM(L610:L611)+L662+SUM(L700:L702)</f>
        <v>7388</v>
      </c>
      <c r="M753" s="55">
        <f>SUM(J753:L753)</f>
        <v>44752</v>
      </c>
      <c r="N753" s="1">
        <f>+N48+N97+N200+SUM(N338:N340)+N431+N471+N520+N574+SUM(N610:N611)+N662+SUM(N700:N702)</f>
        <v>11176</v>
      </c>
      <c r="O753" s="1">
        <f>+O48+O97+O200+SUM(O338:O340)+O431+O471+O520+O574+SUM(O610:O611)+O662+SUM(O700:O702)</f>
        <v>1138</v>
      </c>
      <c r="P753" s="1">
        <f>+P48+P97+P200+SUM(P338:P340)+P431+P471+P520+P574+SUM(P610:P611)+P662+SUM(P700:P702)</f>
        <v>8787</v>
      </c>
      <c r="Q753" s="55">
        <f>SUM(N753:P753)</f>
        <v>21101</v>
      </c>
      <c r="R753" s="55">
        <f>+E753+I753+M753+Q753</f>
        <v>151621</v>
      </c>
    </row>
    <row r="754" spans="1:20" ht="15.75" customHeight="1" thickBot="1" x14ac:dyDescent="0.35">
      <c r="A754" s="315" t="s">
        <v>62</v>
      </c>
      <c r="B754" s="1">
        <f>+B49+SUM(B98:B105)+SUM(B201:B239)+SUM(B341:B368)+SUM(B432:B433)+SUM(B472:B473)+SUM(B521:B522)+B575+SUM(B612:B616)+B663+SUM(B703:B706)</f>
        <v>9775</v>
      </c>
      <c r="C754" s="1">
        <f>+C49+SUM(C98:C105)+SUM(C201:C239)+SUM(C341:C368)+SUM(C432:C433)+SUM(C472:C473)+SUM(C521:C522)+C575+SUM(C612:C616)+C663+SUM(C703:C706)</f>
        <v>9956</v>
      </c>
      <c r="D754" s="1">
        <f>+D49+SUM(D98:D105)+SUM(D201:D239)+SUM(D341:D368)+SUM(D432:D433)+SUM(D472:D473)+SUM(D521:D522)+D575+SUM(D612:D616)+D663+SUM(D703:D706)</f>
        <v>30081</v>
      </c>
      <c r="E754" s="55">
        <f>SUM(B754:D754)</f>
        <v>49812</v>
      </c>
      <c r="F754" s="1">
        <f>+F49+SUM(F98:F105)+SUM(F201:F239)+SUM(F341:F368)+SUM(F432:F433)+SUM(F472:F473)+SUM(F521:F522)+F575+SUM(F612:F616)+F663+SUM(F703:F706)</f>
        <v>51789</v>
      </c>
      <c r="G754" s="1">
        <f>+G49+SUM(G98:G105)+SUM(G201:G239)+SUM(G341:G368)+SUM(G432:G433)+SUM(G472:G473)+SUM(G521:G522)+G575+SUM(G612:G616)+G663+SUM(G703:G706)</f>
        <v>75323</v>
      </c>
      <c r="H754" s="1">
        <f>+H49+SUM(H98:H105)+SUM(H201:H239)+SUM(H341:H368)+SUM(H432:H433)+SUM(H472:H473)+SUM(H521:H522)+H575+SUM(H612:H616)+H663+SUM(H703:H706)</f>
        <v>59007</v>
      </c>
      <c r="I754" s="55">
        <f>SUM(F754:H754)</f>
        <v>186119</v>
      </c>
      <c r="J754" s="1">
        <f>+J49+SUM(J98:J105)+SUM(J201:J239)+SUM(J341:J368)+SUM(J432:J433)+SUM(J472:J473)+SUM(J521:J522)+J575+SUM(J612:J616)+J663+SUM(J703:J706)</f>
        <v>47472</v>
      </c>
      <c r="K754" s="1">
        <f>+K49+SUM(K98:K105)+SUM(K201:K239)+SUM(K341:K368)+SUM(K432:K433)+SUM(K472:K473)+SUM(K521:K522)+K575+SUM(K612:K616)+K663+SUM(K703:K706)</f>
        <v>35838</v>
      </c>
      <c r="L754" s="1">
        <f>+L49+SUM(L98:L105)+SUM(L201:L239)+SUM(L341:L368)+SUM(L432:L433)+SUM(L472:L473)+SUM(L521:L522)+L575+SUM(L612:L616)+L663+SUM(L703:L706)</f>
        <v>24113</v>
      </c>
      <c r="M754" s="55">
        <f>SUM(J754:L754)</f>
        <v>107423</v>
      </c>
      <c r="N754" s="1">
        <f>+N49+SUM(N98:N105)+SUM(N201:N239)+SUM(N341:N368)+SUM(N432:N433)+SUM(N472:N473)+SUM(N521:N522)+N575+SUM(N612:N616)+N663+SUM(N703:N706)</f>
        <v>17862</v>
      </c>
      <c r="O754" s="1">
        <f>+O49+SUM(O98:O105)+SUM(O201:O239)+SUM(O341:O368)+SUM(O432:O433)+SUM(O472:O473)+SUM(O521:O522)+O575+SUM(O612:O616)+O663+SUM(O703:O706)</f>
        <v>8988</v>
      </c>
      <c r="P754" s="1">
        <f>+P49+SUM(P98:P105)+SUM(P201:P239)+SUM(P341:P368)+SUM(P432:P433)+SUM(P472:P473)+SUM(P521:P522)+P575+SUM(P612:P616)+P663+SUM(P703:P706)</f>
        <v>10820</v>
      </c>
      <c r="Q754" s="55">
        <f>SUM(N754:P754)</f>
        <v>37670</v>
      </c>
      <c r="R754" s="55">
        <f>+E754+I754+M754+Q754</f>
        <v>381024</v>
      </c>
    </row>
    <row r="755" spans="1:20" ht="16.5" customHeight="1" thickBot="1" x14ac:dyDescent="0.35">
      <c r="A755" s="57" t="s">
        <v>63</v>
      </c>
      <c r="B755" s="86">
        <f>SUM(B752:B754)</f>
        <v>12348</v>
      </c>
      <c r="C755" s="87">
        <f>SUM(C752:C754)</f>
        <v>15968</v>
      </c>
      <c r="D755" s="118">
        <f>SUM(D752:D754)</f>
        <v>39884</v>
      </c>
      <c r="E755" s="59">
        <f>SUM(B755:D755)</f>
        <v>68200</v>
      </c>
      <c r="F755" s="87">
        <f>SUM(F752:F754)</f>
        <v>69974</v>
      </c>
      <c r="G755" s="87">
        <f>SUM(G752:G754)</f>
        <v>97784</v>
      </c>
      <c r="H755" s="87">
        <f>SUM(H752:H754)</f>
        <v>85741</v>
      </c>
      <c r="I755" s="59">
        <f>SUM(F755:H755)</f>
        <v>253499</v>
      </c>
      <c r="J755" s="87">
        <f>SUM(J752:J754)</f>
        <v>68720</v>
      </c>
      <c r="K755" s="87">
        <f>SUM(K752:K754)</f>
        <v>51954</v>
      </c>
      <c r="L755" s="87">
        <f>SUM(L752:L754)</f>
        <v>31501</v>
      </c>
      <c r="M755" s="59">
        <f>SUM(J755:L755)</f>
        <v>152175</v>
      </c>
      <c r="N755" s="87">
        <f>SUM(N752:N754)</f>
        <v>29038</v>
      </c>
      <c r="O755" s="87">
        <f>SUM(O752:O754)</f>
        <v>10126</v>
      </c>
      <c r="P755" s="87">
        <f>SUM(P752:P754)</f>
        <v>19607</v>
      </c>
      <c r="Q755" s="59">
        <f>SUM(N755:P755)</f>
        <v>58771</v>
      </c>
      <c r="R755" s="59">
        <f>+E755+I755+M755+Q755</f>
        <v>532645</v>
      </c>
      <c r="T755" s="4">
        <v>1600000</v>
      </c>
    </row>
    <row r="756" spans="1:20" ht="20.25" customHeight="1" x14ac:dyDescent="0.3">
      <c r="A756" s="15" t="s">
        <v>1018</v>
      </c>
      <c r="B756" s="1"/>
      <c r="C756" s="1"/>
      <c r="D756" s="1"/>
      <c r="E756" s="55" t="s">
        <v>7</v>
      </c>
      <c r="F756" s="1"/>
      <c r="G756" s="1"/>
      <c r="H756" s="1"/>
      <c r="I756" s="55" t="s">
        <v>7</v>
      </c>
      <c r="J756" s="1"/>
      <c r="K756" s="1"/>
      <c r="L756" s="1"/>
      <c r="M756" s="55" t="s">
        <v>7</v>
      </c>
      <c r="N756" s="1"/>
      <c r="O756" s="1"/>
      <c r="P756" s="1"/>
      <c r="Q756" s="55" t="s">
        <v>7</v>
      </c>
      <c r="R756" s="55" t="s">
        <v>7</v>
      </c>
      <c r="T756" s="4">
        <f>+T755-28000-R740-R741-400000-R753-R754+12000</f>
        <v>191001</v>
      </c>
    </row>
    <row r="757" spans="1:20" ht="15.75" customHeight="1" x14ac:dyDescent="0.3">
      <c r="A757" s="15" t="s">
        <v>1019</v>
      </c>
      <c r="B757" s="1">
        <f>SUM(B52:B52)+SUM(B108:B116)+SUM(B242:B246)+SUM(B371:B372)+SUM(B436:B436)+B476+SUM(B525:B527)+B578+B619+B666+SUM(B709:B711)</f>
        <v>0</v>
      </c>
      <c r="C757" s="1">
        <f>SUM(C52:C52)+SUM(C108:C116)+SUM(C242:C246)+SUM(C371:C372)+SUM(C436:C436)+C476+SUM(C525:C527)+C578+C619+C666+SUM(C709:C711)</f>
        <v>0</v>
      </c>
      <c r="D757" s="1">
        <f>SUM(D52:D52)+SUM(D108:D116)+SUM(D242:D246)+SUM(D371:D372)+SUM(D436:D436)+D476+SUM(D525:D527)+D578+D619+D666+SUM(D709:D711)</f>
        <v>0</v>
      </c>
      <c r="E757" s="55">
        <f t="shared" ref="E757:E765" si="112">SUM(B757:D757)</f>
        <v>0</v>
      </c>
      <c r="F757" s="1">
        <f>SUM(F52:F52)+SUM(F108:F116)+SUM(F242:F246)+SUM(F371:F372)+SUM(F436:F436)+F476+SUM(F525:F527)+F578+F619+F666+SUM(F709:F711)</f>
        <v>0</v>
      </c>
      <c r="G757" s="1">
        <f>SUM(G52:G52)+SUM(G108:G116)+SUM(G242:G246)+SUM(G371:G372)+SUM(G436:G436)+G476+SUM(G525:G527)+G578+G619+G666+SUM(G709:G711)</f>
        <v>140</v>
      </c>
      <c r="H757" s="1">
        <f>SUM(H52:H52)+SUM(H108:H116)+SUM(H242:H246)+SUM(H371:H372)+SUM(H436:H436)+H476+SUM(H525:H527)+H578+H619+H666+SUM(H709:H711)</f>
        <v>1095</v>
      </c>
      <c r="I757" s="55">
        <f t="shared" ref="I757:I765" si="113">SUM(F757:H757)</f>
        <v>1235</v>
      </c>
      <c r="J757" s="1">
        <f>SUM(J52:J52)+SUM(J108:J116)+SUM(J242:J246)+SUM(J371:J372)+SUM(J436:J436)+J476+SUM(J525:J527)+J578+J619+J666+SUM(J709:J711)</f>
        <v>0</v>
      </c>
      <c r="K757" s="1">
        <f>SUM(K52:K52)+SUM(K108:K116)+SUM(K242:K246)+SUM(K371:K372)+SUM(K436:K436)+K476+SUM(K525:K527)+K578+K619+K666+SUM(K709:K711)</f>
        <v>665</v>
      </c>
      <c r="L757" s="1">
        <f>SUM(L52:L52)+SUM(L108:L116)+SUM(L242:L246)+SUM(L371:L372)+SUM(L436:L436)+L476+SUM(L525:L527)+L578+L619+L666+SUM(L709:L711)</f>
        <v>0</v>
      </c>
      <c r="M757" s="55">
        <f t="shared" ref="M757:M765" si="114">SUM(J757:L757)</f>
        <v>665</v>
      </c>
      <c r="N757" s="1">
        <f>SUM(N52:N52)+SUM(N108:N116)+SUM(N242:N246)+SUM(N371:N372)+SUM(N436:N436)+N476+SUM(N525:N527)+N578+N619+N666+SUM(N709:N711)</f>
        <v>230</v>
      </c>
      <c r="O757" s="1">
        <f>SUM(O52:O52)+SUM(O108:O116)+SUM(O242:O246)+SUM(O371:O372)+SUM(O436:O436)+O476+SUM(O525:O527)+O578+O619+O666+SUM(O709:O711)</f>
        <v>0</v>
      </c>
      <c r="P757" s="1">
        <f>SUM(P52:P52)+SUM(P108:P116)+SUM(P242:P246)+SUM(P371:P372)+SUM(P436:P436)+P476+SUM(P525:P527)+P578+P619+P666+SUM(P709:P711)</f>
        <v>3204</v>
      </c>
      <c r="Q757" s="55">
        <f t="shared" ref="Q757:Q765" si="115">SUM(N757:P757)</f>
        <v>3434</v>
      </c>
      <c r="R757" s="55">
        <f t="shared" ref="R757:R765" si="116">+E757+I757+M757+Q757</f>
        <v>5334</v>
      </c>
    </row>
    <row r="758" spans="1:20" ht="15.75" customHeight="1" x14ac:dyDescent="0.3">
      <c r="A758" s="15" t="s">
        <v>67</v>
      </c>
      <c r="B758" s="1">
        <f>SUM(B53:B54)+SUM(B117:B118)+SUM(B247:B248)+B250+B252+B254+B255+SUM(B373:B375)+B437+B477+SUM(B528:B529)+B531+SUM(B579:B580)+B621+B623+B667+SUM(B712:B713)</f>
        <v>2000</v>
      </c>
      <c r="C758" s="1">
        <f>SUM(C53:C54)+SUM(C117:C118)+SUM(C247:C248)+C250+C252+C254+C255+SUM(C373:C375)+C437+C477+SUM(C528:C529)+C531+SUM(C579:C580)+C621+C623+C667+SUM(C712:C713)</f>
        <v>2000</v>
      </c>
      <c r="D758" s="1">
        <f>SUM(D53:D54)+SUM(D117:D118)+SUM(D247:D248)+D250+D252+D254+D255+SUM(D373:D375)+D437+D477+SUM(D528:D529)+D531+SUM(D579:D580)+D621+D623+D667+SUM(D712:D713)</f>
        <v>2000</v>
      </c>
      <c r="E758" s="55">
        <f t="shared" si="112"/>
        <v>6000</v>
      </c>
      <c r="F758" s="1">
        <f>SUM(F53:F54)+SUM(F117:F118)+SUM(F247:F248)+F250+F252+F254+F255+SUM(F373:F375)+F437+F477+SUM(F528:F529)+F531+SUM(F579:F580)+F621+F623+F667+SUM(F712:F713)</f>
        <v>2000</v>
      </c>
      <c r="G758" s="1">
        <f>SUM(G53:G54)+SUM(G117:G118)+SUM(G247:G248)+G250+G252+G254+G255+SUM(G373:G375)+G437+G477+SUM(G528:G529)+G531+SUM(G579:G580)+G621+G623+G667+SUM(G712:G713)</f>
        <v>0</v>
      </c>
      <c r="H758" s="1">
        <f>SUM(H53:H54)+SUM(H117:H118)+SUM(H247:H248)+H250+H252+H254+H255+SUM(H373:H375)+H437+H477+SUM(H528:H529)+H531+SUM(H579:H580)+H621+H623+H667+SUM(H712:H713)</f>
        <v>0</v>
      </c>
      <c r="I758" s="55">
        <f t="shared" si="113"/>
        <v>2000</v>
      </c>
      <c r="J758" s="1">
        <f>SUM(J53:J54)+SUM(J117:J118)+SUM(J247:J248)+J250+J252+J254+J255+SUM(J373:J375)+J437+J477+SUM(J528:J529)+J531+SUM(J579:J580)+J621+J623+J667+SUM(J712:J713)</f>
        <v>0</v>
      </c>
      <c r="K758" s="1">
        <f>SUM(K53:K54)+SUM(K117:K118)+SUM(K247:K248)+K250+K252+K254+K255+SUM(K373:K375)+K437+K477+SUM(K528:K529)+K531+SUM(K579:K580)+K621+K623+K667+SUM(K712:K713)</f>
        <v>3535</v>
      </c>
      <c r="L758" s="1">
        <f>SUM(L53:L54)+SUM(L117:L118)+SUM(L247:L248)+L250+L252+L254+L255+SUM(L373:L375)+L437+L477+SUM(L528:L529)+L531+SUM(L579:L580)+L621+L623+L667+SUM(L712:L713)</f>
        <v>4496</v>
      </c>
      <c r="M758" s="55">
        <f t="shared" si="114"/>
        <v>8031</v>
      </c>
      <c r="N758" s="1">
        <f>SUM(N53:N54)+SUM(N117:N118)+SUM(N247:N248)+N250+N252+N254+N255+SUM(N373:N375)+N437+N477+SUM(N528:N529)+N531+SUM(N579:N580)+N621+N623+N667+SUM(N712:N713)</f>
        <v>4998</v>
      </c>
      <c r="O758" s="1">
        <f>SUM(O53:O54)+SUM(O117:O118)+SUM(O247:O248)+O250+O252+O254+O255+SUM(O373:O375)+O437+O477+SUM(O528:O529)+O531+SUM(O579:O580)+O621+O623+O667+SUM(O712:O713)</f>
        <v>6588</v>
      </c>
      <c r="P758" s="1">
        <f>SUM(P53:P54)+SUM(P117:P118)+SUM(P247:P248)+P250+P252+P254+P255+SUM(P373:P375)+P437+P477+SUM(P528:P529)+P531+SUM(P579:P580)+P621+P623+P667+SUM(P712:P713)</f>
        <v>26023</v>
      </c>
      <c r="Q758" s="55">
        <f t="shared" si="115"/>
        <v>37609</v>
      </c>
      <c r="R758" s="55">
        <f t="shared" si="116"/>
        <v>53640</v>
      </c>
    </row>
    <row r="759" spans="1:20" ht="15.75" customHeight="1" x14ac:dyDescent="0.3">
      <c r="A759" s="71" t="s">
        <v>378</v>
      </c>
      <c r="B759" s="1">
        <f>B119+B249+B251+B253+B530+B532+B622+B624+B714</f>
        <v>0</v>
      </c>
      <c r="C759" s="1">
        <f>C119+C249+C251+C253+C530+C532+C622+C624+C714</f>
        <v>0</v>
      </c>
      <c r="D759" s="1">
        <f>D119+D249+D251+D253+D530+D532+D622+D624+D714</f>
        <v>0</v>
      </c>
      <c r="E759" s="55">
        <f t="shared" si="112"/>
        <v>0</v>
      </c>
      <c r="F759" s="1">
        <f>F119+F249+F251+F253+F530+F532+F622+F624+F714</f>
        <v>0</v>
      </c>
      <c r="G759" s="1">
        <f>G119+G249+G251+G253+G530+G532+G622+G624+G714</f>
        <v>0</v>
      </c>
      <c r="H759" s="1">
        <f>H119+H249+H251+H253+H530+H532+H622+H624+H714</f>
        <v>0</v>
      </c>
      <c r="I759" s="55">
        <f t="shared" si="113"/>
        <v>0</v>
      </c>
      <c r="J759" s="1">
        <f>J119+J249+J251+J253+J530+J532+J622+J624+J714</f>
        <v>0</v>
      </c>
      <c r="K759" s="1">
        <f>K119+K249+K251+K253+K530+K532+K622+K624+K714</f>
        <v>0</v>
      </c>
      <c r="L759" s="1">
        <f>L119+L249+L251+L253+L530+L532+L622+L624+L714</f>
        <v>0</v>
      </c>
      <c r="M759" s="55">
        <f t="shared" si="114"/>
        <v>0</v>
      </c>
      <c r="N759" s="1">
        <f>N119+N249+N251+N253+N530+N532+N622+N624+N714</f>
        <v>0</v>
      </c>
      <c r="O759" s="1">
        <f>O119+O249+O251+O253+O530+O532+O622+O624+O714</f>
        <v>0</v>
      </c>
      <c r="P759" s="1">
        <f>P119+P249+P251+P253+P530+P532+P622+P624+P714</f>
        <v>0</v>
      </c>
      <c r="Q759" s="55">
        <f t="shared" si="115"/>
        <v>0</v>
      </c>
      <c r="R759" s="55">
        <f t="shared" si="116"/>
        <v>0</v>
      </c>
    </row>
    <row r="760" spans="1:20" ht="15.75" customHeight="1" x14ac:dyDescent="0.3">
      <c r="A760" s="15" t="s">
        <v>1020</v>
      </c>
      <c r="B760" s="1">
        <f>+B55+SUM(B120:B121)+SUM(B256:B256)+SUM(B376:B382)+SUM(B438:B438)+SUM(B478:B479)+B533+B581+B625+B715+B715</f>
        <v>0</v>
      </c>
      <c r="C760" s="1">
        <f>+C55+SUM(C120:C121)+SUM(C256:C256)+SUM(C376:C382)+SUM(C438:C438)+SUM(C478:C479)+C533+C581+C625+C715+C715</f>
        <v>0</v>
      </c>
      <c r="D760" s="1">
        <f>+D55+SUM(D120:D121)+SUM(D256:D256)+SUM(D376:D382)+SUM(D438:D438)+SUM(D478:D479)+D533+D581+D625+D715+D715</f>
        <v>0</v>
      </c>
      <c r="E760" s="55">
        <f t="shared" si="112"/>
        <v>0</v>
      </c>
      <c r="F760" s="1">
        <f>+F55+SUM(F120:F121)+SUM(F256:F256)+SUM(F376:F382)+SUM(F438:F438)+SUM(F478:F479)+F533+F581+F625+F715+F715</f>
        <v>0</v>
      </c>
      <c r="G760" s="1">
        <f>+G55+SUM(G120:G121)+SUM(G256:G256)+SUM(G376:G382)+SUM(G438:G438)+SUM(G478:G479)+G533+G581+G625+G715+G715</f>
        <v>0</v>
      </c>
      <c r="H760" s="1">
        <f>+H55+SUM(H120:H121)+SUM(H256:H256)+SUM(H376:H382)+SUM(H438:H438)+SUM(H478:H479)+H533+H581+H625+H715+H715</f>
        <v>1000</v>
      </c>
      <c r="I760" s="55">
        <f t="shared" si="113"/>
        <v>1000</v>
      </c>
      <c r="J760" s="1">
        <f>+J55+SUM(J120:J121)+SUM(J256:J256)+SUM(J376:J382)+SUM(J438:J438)+SUM(J478:J479)+J533+J581+J625+J715+J715</f>
        <v>0</v>
      </c>
      <c r="K760" s="1">
        <f>+K55+SUM(K120:K121)+SUM(K256:K256)+SUM(K376:K382)+SUM(K438:K438)+SUM(K478:K479)+K533+K581+K625+K715+K715</f>
        <v>0</v>
      </c>
      <c r="L760" s="1">
        <f>+L55+SUM(L120:L121)+SUM(L256:L256)+SUM(L376:L382)+SUM(L438:L438)+SUM(L478:L479)+L533+L581+L625+L715+L715</f>
        <v>435</v>
      </c>
      <c r="M760" s="55">
        <f t="shared" si="114"/>
        <v>435</v>
      </c>
      <c r="N760" s="1">
        <f>+N55+SUM(N120:N121)+SUM(N256:N256)+SUM(N376:N382)+SUM(N438:N438)+SUM(N478:N479)+N533+N581+N625+N715+N715</f>
        <v>1911</v>
      </c>
      <c r="O760" s="1">
        <f>+O55+SUM(O120:O121)+SUM(O256:O256)+SUM(O376:O382)+SUM(O438:O438)+SUM(O478:O479)+O533+O581+O625+O715+O715</f>
        <v>2723</v>
      </c>
      <c r="P760" s="1">
        <f>+P55+SUM(P120:P121)+SUM(P256:P256)+SUM(P376:P382)+SUM(P438:P438)+SUM(P478:P479)+P533+P581+P625+P715+P715</f>
        <v>1515</v>
      </c>
      <c r="Q760" s="55">
        <f t="shared" si="115"/>
        <v>6149</v>
      </c>
      <c r="R760" s="55">
        <f>+E760+I760+M760+Q760</f>
        <v>7584</v>
      </c>
    </row>
    <row r="761" spans="1:20" ht="22.5" customHeight="1" x14ac:dyDescent="0.3">
      <c r="A761" s="15" t="s">
        <v>1021</v>
      </c>
      <c r="B761" s="1">
        <f>SUM(B122:B122)+SUM(B257:B257)+B384+B385+B387+B388+B390+B392+SUM(B439:B440)+B481+B483+B534+SUM(B535:B536)+B582+B626+B669+B716</f>
        <v>510</v>
      </c>
      <c r="C761" s="1">
        <f>SUM(C122:C122)+SUM(C257:C257)+C384+C385+C387+C388+C390+C392+SUM(C439:C440)+C481+C483+C534+SUM(C535:C536)+C582+C626+C669+C716</f>
        <v>3140</v>
      </c>
      <c r="D761" s="1">
        <f>SUM(D122:D122)+SUM(D257:D257)+D384+D385+D387+D388+D390+D392+SUM(D439:D440)+D481+D483+D534+SUM(D535:D536)+D582+D626+D669+D716</f>
        <v>2350</v>
      </c>
      <c r="E761" s="55">
        <f t="shared" si="112"/>
        <v>6000</v>
      </c>
      <c r="F761" s="1">
        <f>SUM(F122:F122)+SUM(F257:F257)+F384+F385+F387+F388+F390+F392+SUM(F439:F440)+F481+F483+F534+SUM(F535:F536)+F582+F626+F669+F716</f>
        <v>1000</v>
      </c>
      <c r="G761" s="1">
        <f>SUM(G122:G122)+SUM(G257:G257)+G384+G385+G387+G388+G390+G392+SUM(G439:G440)+G481+G483+G534+SUM(G535:G536)+G582+G626+G669+G716</f>
        <v>2000</v>
      </c>
      <c r="H761" s="1">
        <f>SUM(H122:H122)+SUM(H257:H257)+H384+H385+H387+H388+H390+H392+SUM(H439:H440)+H481+H483+H534+SUM(H535:H536)+H582+H626+H669+H716</f>
        <v>0</v>
      </c>
      <c r="I761" s="55">
        <f t="shared" si="113"/>
        <v>3000</v>
      </c>
      <c r="J761" s="1">
        <f>SUM(J122:J122)+SUM(J257:J257)+J384+J385+J387+J388+J390+J392+SUM(J439:J440)+J481+J483+J534+SUM(J535:J536)+J582+J626+J669+J716</f>
        <v>1551</v>
      </c>
      <c r="K761" s="1">
        <f>SUM(K122:K122)+SUM(K257:K257)+K384+K385+K387+K388+K390+K392+SUM(K439:K440)+K481+K483+K534+SUM(K535:K536)+K582+K626+K669+K716</f>
        <v>6109</v>
      </c>
      <c r="L761" s="1">
        <f>SUM(L122:L122)+SUM(L257:L257)+L384+L385+L387+L388+L390+L392+SUM(L439:L440)+L481+L483+L534+SUM(L535:L536)+L582+L626+L669+L716</f>
        <v>2093</v>
      </c>
      <c r="M761" s="55">
        <f t="shared" si="114"/>
        <v>9753</v>
      </c>
      <c r="N761" s="1">
        <f>SUM(N122:N122)+SUM(N257:N257)+N384+N385+N387+N388+N390+N392+SUM(N439:N440)+N481+N483+N534+SUM(N535:N536)+N582+N626+N669+N716</f>
        <v>1448</v>
      </c>
      <c r="O761" s="1">
        <f>SUM(O122:O122)+SUM(O257:O257)+O384+O385+O387+O388+O390+O392+SUM(O439:O440)+O481+O483+O534+SUM(O535:O536)+O582+O626+O669+O716</f>
        <v>1587</v>
      </c>
      <c r="P761" s="1">
        <f>SUM(P122:P122)+SUM(P257:P257)+P384+P385+P387+P388+P390+P392+SUM(P439:P440)+P481+P483+P534+SUM(P535:P536)+P582+P626+P669+P716</f>
        <v>2802</v>
      </c>
      <c r="Q761" s="55">
        <f t="shared" si="115"/>
        <v>5837</v>
      </c>
      <c r="R761" s="55">
        <f t="shared" si="116"/>
        <v>24590</v>
      </c>
    </row>
    <row r="762" spans="1:20" ht="15.75" customHeight="1" thickBot="1" x14ac:dyDescent="0.35">
      <c r="A762" s="71" t="s">
        <v>379</v>
      </c>
      <c r="B762" s="1">
        <f>+B386+B389+B391+B441</f>
        <v>0</v>
      </c>
      <c r="C762" s="1">
        <f>+C386+C389+C391+C441</f>
        <v>0</v>
      </c>
      <c r="D762" s="1">
        <f>+D386+D389+D391+D441</f>
        <v>0</v>
      </c>
      <c r="E762" s="55">
        <f>SUM(B762:D762)</f>
        <v>0</v>
      </c>
      <c r="F762" s="1">
        <f>+F386+F389+F391+F441</f>
        <v>0</v>
      </c>
      <c r="G762" s="1">
        <f>+G386+G389+G391+G441</f>
        <v>0</v>
      </c>
      <c r="H762" s="1">
        <f>+H386+H389+H391+H441</f>
        <v>0</v>
      </c>
      <c r="I762" s="55">
        <f>SUM(F762:H762)</f>
        <v>0</v>
      </c>
      <c r="J762" s="1">
        <f>+J386+J389+J391+J441</f>
        <v>0</v>
      </c>
      <c r="K762" s="1">
        <f>+K386+K389+K391+K441</f>
        <v>0</v>
      </c>
      <c r="L762" s="1">
        <f>+L386+L389+L391+L441</f>
        <v>0</v>
      </c>
      <c r="M762" s="55">
        <f>SUM(J762:L762)</f>
        <v>0</v>
      </c>
      <c r="N762" s="1">
        <f>+N386+N389+N391+N441</f>
        <v>0</v>
      </c>
      <c r="O762" s="1">
        <f>+O386+O389+O391+O441</f>
        <v>0</v>
      </c>
      <c r="P762" s="1">
        <f>+P386+P389+P391+P441</f>
        <v>0</v>
      </c>
      <c r="Q762" s="55">
        <f>SUM(N762:P762)</f>
        <v>0</v>
      </c>
      <c r="R762" s="55">
        <f>+E762+I762+M762+Q762</f>
        <v>0</v>
      </c>
    </row>
    <row r="763" spans="1:20" ht="16.5" customHeight="1" thickBot="1" x14ac:dyDescent="0.35">
      <c r="A763" s="57" t="s">
        <v>71</v>
      </c>
      <c r="B763" s="146">
        <f>SUM(B760:B762)</f>
        <v>510</v>
      </c>
      <c r="C763" s="146">
        <f>SUM(C760:C762)</f>
        <v>3140</v>
      </c>
      <c r="D763" s="146">
        <f>SUM(D760:D762)</f>
        <v>2350</v>
      </c>
      <c r="E763" s="60">
        <f t="shared" si="112"/>
        <v>6000</v>
      </c>
      <c r="F763" s="146">
        <f>SUM(F760:F762)</f>
        <v>1000</v>
      </c>
      <c r="G763" s="146">
        <f>SUM(G760:G762)</f>
        <v>2000</v>
      </c>
      <c r="H763" s="146">
        <f>SUM(H760:H762)</f>
        <v>1000</v>
      </c>
      <c r="I763" s="60">
        <f t="shared" si="113"/>
        <v>4000</v>
      </c>
      <c r="J763" s="146">
        <f>SUM(J760:J762)</f>
        <v>1551</v>
      </c>
      <c r="K763" s="146">
        <f>SUM(K760:K762)</f>
        <v>6109</v>
      </c>
      <c r="L763" s="146">
        <f>SUM(L760:L762)</f>
        <v>2528</v>
      </c>
      <c r="M763" s="60">
        <f t="shared" si="114"/>
        <v>10188</v>
      </c>
      <c r="N763" s="146">
        <f>SUM(N760:N762)</f>
        <v>3359</v>
      </c>
      <c r="O763" s="146">
        <f>SUM(O760:O762)</f>
        <v>4310</v>
      </c>
      <c r="P763" s="146">
        <f>SUM(P760:P762)</f>
        <v>4317</v>
      </c>
      <c r="Q763" s="60">
        <f t="shared" si="115"/>
        <v>11986</v>
      </c>
      <c r="R763" s="59">
        <f t="shared" si="116"/>
        <v>32174</v>
      </c>
    </row>
    <row r="764" spans="1:20" ht="16.5" customHeight="1" thickBot="1" x14ac:dyDescent="0.35">
      <c r="A764" s="114" t="s">
        <v>72</v>
      </c>
      <c r="B764" s="86">
        <f>SUM(B756:B762)</f>
        <v>2510</v>
      </c>
      <c r="C764" s="87">
        <f>SUM(C756:C762)</f>
        <v>5140</v>
      </c>
      <c r="D764" s="118">
        <f>SUM(D756:D762)</f>
        <v>4350</v>
      </c>
      <c r="E764" s="147">
        <f t="shared" si="112"/>
        <v>12000</v>
      </c>
      <c r="F764" s="86">
        <f>SUM(F756:F762)</f>
        <v>3000</v>
      </c>
      <c r="G764" s="87">
        <f>SUM(G756:G762)</f>
        <v>2140</v>
      </c>
      <c r="H764" s="118">
        <f>SUM(H756:H762)</f>
        <v>2095</v>
      </c>
      <c r="I764" s="60">
        <f t="shared" si="113"/>
        <v>7235</v>
      </c>
      <c r="J764" s="86">
        <f>SUM(J756:J762)</f>
        <v>1551</v>
      </c>
      <c r="K764" s="87">
        <f>SUM(K756:K762)</f>
        <v>10309</v>
      </c>
      <c r="L764" s="118">
        <f>SUM(L756:L762)</f>
        <v>7024</v>
      </c>
      <c r="M764" s="60">
        <f t="shared" si="114"/>
        <v>18884</v>
      </c>
      <c r="N764" s="86">
        <f>SUM(N756:N762)</f>
        <v>8587</v>
      </c>
      <c r="O764" s="87">
        <f>SUM(O756:O762)</f>
        <v>10898</v>
      </c>
      <c r="P764" s="118">
        <f>SUM(P756:P762)</f>
        <v>33544</v>
      </c>
      <c r="Q764" s="60">
        <f t="shared" si="115"/>
        <v>53029</v>
      </c>
      <c r="R764" s="59">
        <f t="shared" si="116"/>
        <v>91148</v>
      </c>
    </row>
    <row r="765" spans="1:20" ht="16.5" customHeight="1" thickBot="1" x14ac:dyDescent="0.35">
      <c r="A765" s="57" t="s">
        <v>73</v>
      </c>
      <c r="B765" s="148">
        <f>+B746+B751+B755+B764</f>
        <v>50994</v>
      </c>
      <c r="C765" s="149">
        <f>+C746+C751+C755+C764</f>
        <v>53487</v>
      </c>
      <c r="D765" s="149">
        <f>+D746+D751+D755+D764</f>
        <v>105997</v>
      </c>
      <c r="E765" s="59">
        <f t="shared" si="112"/>
        <v>210478</v>
      </c>
      <c r="F765" s="58">
        <f>+F746+F751+F755+F764</f>
        <v>176631</v>
      </c>
      <c r="G765" s="58">
        <f>+G746+G751+G755+G764</f>
        <v>187821</v>
      </c>
      <c r="H765" s="58">
        <f>+H746+H751+H755+H764</f>
        <v>210914</v>
      </c>
      <c r="I765" s="59">
        <f t="shared" si="113"/>
        <v>575366</v>
      </c>
      <c r="J765" s="58">
        <f>+J746+J751+J755+J764</f>
        <v>179001</v>
      </c>
      <c r="K765" s="58">
        <f>+K746+K751+K755+K764</f>
        <v>179261</v>
      </c>
      <c r="L765" s="58">
        <f>+L746+L751+L755+L764</f>
        <v>118144</v>
      </c>
      <c r="M765" s="59">
        <f t="shared" si="114"/>
        <v>476406</v>
      </c>
      <c r="N765" s="58">
        <f>+N746+N751+N755+N764</f>
        <v>105253</v>
      </c>
      <c r="O765" s="58">
        <f>+O746+O751+O755+O764</f>
        <v>59424</v>
      </c>
      <c r="P765" s="58">
        <f>+P746+P751+P755+P764</f>
        <v>93077</v>
      </c>
      <c r="Q765" s="59">
        <f t="shared" si="115"/>
        <v>257754</v>
      </c>
      <c r="R765" s="81">
        <f t="shared" si="116"/>
        <v>1520004</v>
      </c>
    </row>
    <row r="766" spans="1:20" ht="15.75" customHeight="1" x14ac:dyDescent="0.3">
      <c r="A766" s="1" t="s">
        <v>1022</v>
      </c>
      <c r="B766" s="1"/>
      <c r="C766" s="1"/>
      <c r="D766" s="1"/>
      <c r="E766" s="1"/>
      <c r="F766" s="1"/>
      <c r="G766" s="1"/>
      <c r="H766" s="1"/>
      <c r="I766" s="1"/>
      <c r="J766" s="1"/>
      <c r="K766" s="1"/>
      <c r="L766" s="1"/>
      <c r="M766" s="1"/>
      <c r="N766" s="1"/>
      <c r="O766" s="316"/>
      <c r="P766" s="1"/>
      <c r="Q766" s="1"/>
      <c r="R766" s="2"/>
    </row>
    <row r="767" spans="1:20" ht="15.75" customHeight="1" x14ac:dyDescent="0.3">
      <c r="A767" s="1" t="s">
        <v>1146</v>
      </c>
      <c r="B767" s="1"/>
      <c r="C767" s="1"/>
      <c r="D767" s="1"/>
      <c r="E767" s="1"/>
      <c r="F767" s="1"/>
      <c r="G767" s="1"/>
      <c r="H767" s="1"/>
      <c r="I767" s="1"/>
      <c r="J767" s="1"/>
      <c r="K767" s="1"/>
      <c r="L767" s="1"/>
      <c r="M767" s="1"/>
      <c r="N767" s="1"/>
      <c r="O767" s="316"/>
      <c r="P767" s="1"/>
      <c r="Q767" s="1"/>
      <c r="R767" s="2"/>
    </row>
    <row r="768" spans="1:20" ht="15.75" customHeight="1" x14ac:dyDescent="0.3">
      <c r="A768" s="1"/>
      <c r="B768" s="1"/>
      <c r="C768" s="1"/>
      <c r="D768" s="1"/>
      <c r="E768" s="1"/>
      <c r="F768" s="1"/>
      <c r="G768" s="1"/>
      <c r="H768" s="1"/>
      <c r="I768" s="1"/>
      <c r="J768" s="1"/>
      <c r="K768" s="1"/>
      <c r="L768" s="1"/>
      <c r="M768" s="1"/>
      <c r="N768" s="1"/>
      <c r="O768" s="316"/>
      <c r="P768" s="1"/>
      <c r="Q768" s="2" t="str">
        <f>+Q1</f>
        <v>PRINTED:</v>
      </c>
      <c r="R768" s="3">
        <f ca="1">+R1</f>
        <v>44909.46975358796</v>
      </c>
    </row>
    <row r="769" spans="1:18" ht="15.75" customHeight="1" x14ac:dyDescent="0.3">
      <c r="A769" s="499" t="s">
        <v>1</v>
      </c>
      <c r="B769" s="499"/>
      <c r="C769" s="499"/>
      <c r="D769" s="499"/>
      <c r="E769" s="499"/>
      <c r="F769" s="499"/>
      <c r="G769" s="499"/>
      <c r="H769" s="499"/>
      <c r="I769" s="499"/>
      <c r="J769" s="499"/>
      <c r="K769" s="499"/>
      <c r="L769" s="499"/>
      <c r="M769" s="499"/>
      <c r="N769" s="499"/>
      <c r="O769" s="499"/>
      <c r="P769" s="499"/>
      <c r="Q769" s="499"/>
      <c r="R769" s="499"/>
    </row>
    <row r="770" spans="1:18" ht="15.75" customHeight="1" x14ac:dyDescent="0.3">
      <c r="A770" s="499" t="s">
        <v>2</v>
      </c>
      <c r="B770" s="499"/>
      <c r="C770" s="499"/>
      <c r="D770" s="499"/>
      <c r="E770" s="499"/>
      <c r="F770" s="499"/>
      <c r="G770" s="499"/>
      <c r="H770" s="499"/>
      <c r="I770" s="499"/>
      <c r="J770" s="499"/>
      <c r="K770" s="499"/>
      <c r="L770" s="499"/>
      <c r="M770" s="499"/>
      <c r="N770" s="499"/>
      <c r="O770" s="499"/>
      <c r="P770" s="499"/>
      <c r="Q770" s="499"/>
      <c r="R770" s="499"/>
    </row>
    <row r="771" spans="1:18" ht="15.75" customHeight="1" x14ac:dyDescent="0.3">
      <c r="A771" s="499" t="s">
        <v>3</v>
      </c>
      <c r="B771" s="499"/>
      <c r="C771" s="499"/>
      <c r="D771" s="499"/>
      <c r="E771" s="499"/>
      <c r="F771" s="499"/>
      <c r="G771" s="499"/>
      <c r="H771" s="499"/>
      <c r="I771" s="499"/>
      <c r="J771" s="499"/>
      <c r="K771" s="499"/>
      <c r="L771" s="499"/>
      <c r="M771" s="499"/>
      <c r="N771" s="499"/>
      <c r="O771" s="499"/>
      <c r="P771" s="499"/>
      <c r="Q771" s="499"/>
      <c r="R771" s="499"/>
    </row>
    <row r="772" spans="1:18" ht="15.75" customHeight="1" x14ac:dyDescent="0.3">
      <c r="A772" s="499">
        <f>+A5</f>
        <v>2013</v>
      </c>
      <c r="B772" s="499"/>
      <c r="C772" s="499"/>
      <c r="D772" s="499"/>
      <c r="E772" s="499"/>
      <c r="F772" s="499"/>
      <c r="G772" s="499"/>
      <c r="H772" s="499"/>
      <c r="I772" s="499"/>
      <c r="J772" s="499"/>
      <c r="K772" s="499"/>
      <c r="L772" s="499"/>
      <c r="M772" s="499"/>
      <c r="N772" s="499"/>
      <c r="O772" s="499"/>
      <c r="P772" s="499"/>
      <c r="Q772" s="499"/>
      <c r="R772" s="499"/>
    </row>
    <row r="773" spans="1:18" ht="15.75" customHeight="1" x14ac:dyDescent="0.3">
      <c r="A773" s="1"/>
      <c r="B773" s="1"/>
      <c r="C773" s="1"/>
      <c r="D773" s="5"/>
      <c r="E773" s="5"/>
      <c r="F773" s="5"/>
      <c r="G773" s="6"/>
      <c r="H773" s="5"/>
      <c r="I773" s="5"/>
      <c r="J773" s="6"/>
      <c r="K773" s="6"/>
      <c r="L773" s="6"/>
      <c r="M773" s="6"/>
      <c r="N773" s="1"/>
      <c r="O773" s="6"/>
      <c r="P773" s="6"/>
      <c r="Q773" s="6"/>
      <c r="R773" s="6"/>
    </row>
    <row r="774" spans="1:18" ht="15.75" customHeight="1" x14ac:dyDescent="0.3">
      <c r="A774" s="499" t="str">
        <f>+A8</f>
        <v>Revised:  11/25/13</v>
      </c>
      <c r="B774" s="499"/>
      <c r="C774" s="499"/>
      <c r="D774" s="499"/>
      <c r="E774" s="499"/>
      <c r="F774" s="499"/>
      <c r="G774" s="499"/>
      <c r="H774" s="499"/>
      <c r="I774" s="499"/>
      <c r="J774" s="499"/>
      <c r="K774" s="499"/>
      <c r="L774" s="499"/>
      <c r="M774" s="499"/>
      <c r="N774" s="499"/>
      <c r="O774" s="499"/>
      <c r="P774" s="499"/>
      <c r="Q774" s="499"/>
      <c r="R774" s="499"/>
    </row>
    <row r="775" spans="1:18" ht="15.75" customHeight="1" x14ac:dyDescent="0.3">
      <c r="A775" s="314"/>
      <c r="B775" s="314"/>
      <c r="C775" s="314"/>
      <c r="D775" s="314"/>
      <c r="E775" s="314"/>
      <c r="F775" s="314"/>
      <c r="G775" s="314"/>
      <c r="H775" s="314"/>
      <c r="I775" s="314"/>
      <c r="J775" s="314"/>
      <c r="K775" s="314"/>
      <c r="L775" s="314"/>
      <c r="M775" s="314"/>
      <c r="N775" s="314"/>
      <c r="O775" s="314"/>
      <c r="P775" s="314"/>
      <c r="Q775" s="314"/>
      <c r="R775" s="314"/>
    </row>
    <row r="776" spans="1:18" ht="15.75" customHeight="1" x14ac:dyDescent="0.3">
      <c r="A776" s="28"/>
      <c r="B776" s="1"/>
      <c r="C776" s="1"/>
      <c r="D776" s="1"/>
      <c r="E776" s="1"/>
      <c r="F776" s="1"/>
      <c r="G776" s="1"/>
      <c r="H776" s="1"/>
      <c r="I776" s="1"/>
      <c r="J776" s="1"/>
      <c r="K776" s="1"/>
      <c r="L776" s="1"/>
      <c r="M776" s="1"/>
      <c r="N776" s="1"/>
      <c r="O776" s="1"/>
      <c r="P776" s="1"/>
      <c r="Q776" s="1"/>
      <c r="R776" s="2"/>
    </row>
    <row r="777" spans="1:18" ht="15.75" customHeight="1" thickBot="1" x14ac:dyDescent="0.35">
      <c r="A777" s="1"/>
      <c r="B777" s="1"/>
      <c r="C777" s="1"/>
      <c r="D777" s="1"/>
      <c r="E777" s="1"/>
      <c r="F777" s="1"/>
      <c r="G777" s="1"/>
      <c r="H777" s="1"/>
      <c r="I777" s="1"/>
      <c r="J777" s="1"/>
      <c r="K777" s="1"/>
      <c r="L777" s="1"/>
      <c r="M777" s="1"/>
      <c r="N777" s="1"/>
      <c r="O777" s="316"/>
      <c r="P777" s="1"/>
      <c r="Q777" s="1"/>
      <c r="R777" s="2"/>
    </row>
    <row r="778" spans="1:18" ht="15.75" customHeight="1" thickBot="1" x14ac:dyDescent="0.35">
      <c r="A778" s="107" t="s">
        <v>380</v>
      </c>
      <c r="B778" s="47" t="s">
        <v>8</v>
      </c>
      <c r="C778" s="48" t="s">
        <v>9</v>
      </c>
      <c r="D778" s="48" t="s">
        <v>10</v>
      </c>
      <c r="E778" s="32" t="s">
        <v>11</v>
      </c>
      <c r="F778" s="48" t="s">
        <v>12</v>
      </c>
      <c r="G778" s="48" t="s">
        <v>13</v>
      </c>
      <c r="H778" s="48" t="s">
        <v>14</v>
      </c>
      <c r="I778" s="32" t="s">
        <v>15</v>
      </c>
      <c r="J778" s="48" t="s">
        <v>16</v>
      </c>
      <c r="K778" s="48" t="s">
        <v>17</v>
      </c>
      <c r="L778" s="48" t="s">
        <v>18</v>
      </c>
      <c r="M778" s="32" t="s">
        <v>19</v>
      </c>
      <c r="N778" s="48" t="s">
        <v>20</v>
      </c>
      <c r="O778" s="48" t="s">
        <v>21</v>
      </c>
      <c r="P778" s="48" t="s">
        <v>22</v>
      </c>
      <c r="Q778" s="32" t="s">
        <v>23</v>
      </c>
      <c r="R778" s="151" t="s">
        <v>24</v>
      </c>
    </row>
    <row r="779" spans="1:18" ht="16.5" customHeight="1" thickBot="1" x14ac:dyDescent="0.35">
      <c r="A779" s="152"/>
      <c r="B779" s="153"/>
      <c r="C779" s="153"/>
      <c r="D779" s="153"/>
      <c r="E779" s="52"/>
      <c r="F779" s="153"/>
      <c r="G779" s="153"/>
      <c r="H779" s="153"/>
      <c r="I779" s="37"/>
      <c r="J779" s="153"/>
      <c r="K779" s="153"/>
      <c r="L779" s="153"/>
      <c r="M779" s="37"/>
      <c r="N779" s="153"/>
      <c r="O779" s="153"/>
      <c r="P779" s="153"/>
      <c r="Q779" s="127"/>
      <c r="R779" s="154"/>
    </row>
    <row r="780" spans="1:18" ht="16.5" customHeight="1" thickBot="1" x14ac:dyDescent="0.35">
      <c r="A780" s="155" t="s">
        <v>381</v>
      </c>
      <c r="B780" s="156">
        <f>+B746</f>
        <v>28525</v>
      </c>
      <c r="C780" s="156">
        <f>+C746</f>
        <v>24002</v>
      </c>
      <c r="D780" s="156">
        <f>+D746</f>
        <v>29381</v>
      </c>
      <c r="E780" s="86">
        <f>+SUM(B780:D780)</f>
        <v>81908</v>
      </c>
      <c r="F780" s="156">
        <f>+F746</f>
        <v>42041</v>
      </c>
      <c r="G780" s="156">
        <f>+G746</f>
        <v>43393</v>
      </c>
      <c r="H780" s="156">
        <f>+H746</f>
        <v>44413</v>
      </c>
      <c r="I780" s="86">
        <f>+SUM(F780:H780)</f>
        <v>129847</v>
      </c>
      <c r="J780" s="156">
        <f>+J746</f>
        <v>56567</v>
      </c>
      <c r="K780" s="156">
        <f>+K746</f>
        <v>64613</v>
      </c>
      <c r="L780" s="156">
        <f>+L746</f>
        <v>52685</v>
      </c>
      <c r="M780" s="86">
        <f>+SUM(J780:L780)</f>
        <v>173865</v>
      </c>
      <c r="N780" s="156">
        <f>+N746</f>
        <v>46893</v>
      </c>
      <c r="O780" s="156">
        <f>+O746</f>
        <v>31080</v>
      </c>
      <c r="P780" s="156">
        <f>+P746</f>
        <v>32618</v>
      </c>
      <c r="Q780" s="86">
        <f>+SUM(N780:P780)</f>
        <v>110591</v>
      </c>
      <c r="R780" s="59">
        <f>+E780+I780+M780+Q780</f>
        <v>496211</v>
      </c>
    </row>
    <row r="781" spans="1:18" ht="16.5" customHeight="1" thickBot="1" x14ac:dyDescent="0.35">
      <c r="A781" s="33"/>
      <c r="B781" s="86"/>
      <c r="C781" s="86"/>
      <c r="D781" s="86"/>
      <c r="E781" s="86"/>
      <c r="F781" s="86"/>
      <c r="G781" s="86"/>
      <c r="H781" s="86"/>
      <c r="I781" s="86"/>
      <c r="J781" s="86"/>
      <c r="K781" s="86"/>
      <c r="L781" s="86"/>
      <c r="M781" s="86"/>
      <c r="N781" s="86"/>
      <c r="O781" s="86"/>
      <c r="P781" s="86"/>
      <c r="Q781" s="86"/>
      <c r="R781" s="59"/>
    </row>
    <row r="782" spans="1:18" ht="16.5" customHeight="1" thickBot="1" x14ac:dyDescent="0.35">
      <c r="A782" s="155" t="s">
        <v>382</v>
      </c>
      <c r="B782" s="156">
        <f>+B751</f>
        <v>7611</v>
      </c>
      <c r="C782" s="156">
        <f>+C751</f>
        <v>8377</v>
      </c>
      <c r="D782" s="156">
        <f>+D751</f>
        <v>32382</v>
      </c>
      <c r="E782" s="86">
        <f>+SUM(B782:D782)</f>
        <v>48370</v>
      </c>
      <c r="F782" s="156">
        <f>+F751</f>
        <v>61616</v>
      </c>
      <c r="G782" s="156">
        <f>+G751</f>
        <v>44504</v>
      </c>
      <c r="H782" s="156">
        <f>+H751</f>
        <v>78665</v>
      </c>
      <c r="I782" s="86">
        <f>+SUM(F782:H782)</f>
        <v>184785</v>
      </c>
      <c r="J782" s="156">
        <f>+J751</f>
        <v>52163</v>
      </c>
      <c r="K782" s="156">
        <f>+K751</f>
        <v>52385</v>
      </c>
      <c r="L782" s="156">
        <f>+L751</f>
        <v>26934</v>
      </c>
      <c r="M782" s="86">
        <f>+SUM(J782:L782)</f>
        <v>131482</v>
      </c>
      <c r="N782" s="156">
        <f>+N751</f>
        <v>20735</v>
      </c>
      <c r="O782" s="156">
        <f>+O751</f>
        <v>7320</v>
      </c>
      <c r="P782" s="156">
        <f>+P751</f>
        <v>7308</v>
      </c>
      <c r="Q782" s="86">
        <f>+SUM(N782:P782)</f>
        <v>35363</v>
      </c>
      <c r="R782" s="59">
        <f>+E782+I782+M782+Q782</f>
        <v>400000</v>
      </c>
    </row>
    <row r="783" spans="1:18" ht="16.5" customHeight="1" thickBot="1" x14ac:dyDescent="0.35">
      <c r="A783" s="33"/>
      <c r="B783" s="86"/>
      <c r="C783" s="86"/>
      <c r="D783" s="86"/>
      <c r="E783" s="86"/>
      <c r="F783" s="86"/>
      <c r="G783" s="86"/>
      <c r="H783" s="86"/>
      <c r="I783" s="86"/>
      <c r="J783" s="86"/>
      <c r="K783" s="86"/>
      <c r="L783" s="86"/>
      <c r="M783" s="86"/>
      <c r="N783" s="86"/>
      <c r="O783" s="86"/>
      <c r="P783" s="86"/>
      <c r="Q783" s="86"/>
      <c r="R783" s="59"/>
    </row>
    <row r="784" spans="1:18" ht="16.5" customHeight="1" thickBot="1" x14ac:dyDescent="0.35">
      <c r="A784" s="155" t="s">
        <v>383</v>
      </c>
      <c r="B784" s="156">
        <f>+B755</f>
        <v>12348</v>
      </c>
      <c r="C784" s="156">
        <f>+C755</f>
        <v>15968</v>
      </c>
      <c r="D784" s="156">
        <f>+D755</f>
        <v>39884</v>
      </c>
      <c r="E784" s="86">
        <f>+SUM(B784:D784)</f>
        <v>68200</v>
      </c>
      <c r="F784" s="156">
        <f>+F755</f>
        <v>69974</v>
      </c>
      <c r="G784" s="156">
        <f>+G755</f>
        <v>97784</v>
      </c>
      <c r="H784" s="156">
        <f>+H755</f>
        <v>85741</v>
      </c>
      <c r="I784" s="86">
        <f>+SUM(F784:H784)</f>
        <v>253499</v>
      </c>
      <c r="J784" s="156">
        <f>+J755</f>
        <v>68720</v>
      </c>
      <c r="K784" s="156">
        <f>+K755</f>
        <v>51954</v>
      </c>
      <c r="L784" s="156">
        <f>+L755</f>
        <v>31501</v>
      </c>
      <c r="M784" s="86">
        <f>+SUM(J784:L784)</f>
        <v>152175</v>
      </c>
      <c r="N784" s="156">
        <f>+N755</f>
        <v>29038</v>
      </c>
      <c r="O784" s="156">
        <f>+O755</f>
        <v>10126</v>
      </c>
      <c r="P784" s="156">
        <f>+P755</f>
        <v>19607</v>
      </c>
      <c r="Q784" s="86">
        <f>+SUM(N784:P784)</f>
        <v>58771</v>
      </c>
      <c r="R784" s="59">
        <f>+E784+I784+M784+Q784</f>
        <v>532645</v>
      </c>
    </row>
    <row r="785" spans="1:46" ht="16.5" customHeight="1" thickBot="1" x14ac:dyDescent="0.35">
      <c r="A785" s="33"/>
      <c r="B785" s="86"/>
      <c r="C785" s="86"/>
      <c r="D785" s="86"/>
      <c r="E785" s="86"/>
      <c r="F785" s="86"/>
      <c r="G785" s="86"/>
      <c r="H785" s="86"/>
      <c r="I785" s="86"/>
      <c r="J785" s="86"/>
      <c r="K785" s="86"/>
      <c r="L785" s="86"/>
      <c r="M785" s="86"/>
      <c r="N785" s="86"/>
      <c r="O785" s="86"/>
      <c r="P785" s="86"/>
      <c r="Q785" s="86"/>
      <c r="R785" s="59"/>
    </row>
    <row r="786" spans="1:46" ht="16.5" customHeight="1" thickBot="1" x14ac:dyDescent="0.35">
      <c r="A786" s="155" t="s">
        <v>384</v>
      </c>
      <c r="B786" s="156">
        <f>+B764</f>
        <v>2510</v>
      </c>
      <c r="C786" s="156">
        <f>+C764</f>
        <v>5140</v>
      </c>
      <c r="D786" s="156">
        <f>+D764</f>
        <v>4350</v>
      </c>
      <c r="E786" s="86">
        <f>+SUM(B786:D786)</f>
        <v>12000</v>
      </c>
      <c r="F786" s="156">
        <f>+F764</f>
        <v>3000</v>
      </c>
      <c r="G786" s="156">
        <f>+G764</f>
        <v>2140</v>
      </c>
      <c r="H786" s="156">
        <f>+H764</f>
        <v>2095</v>
      </c>
      <c r="I786" s="86">
        <f>+SUM(F786:H786)</f>
        <v>7235</v>
      </c>
      <c r="J786" s="156">
        <f>+J764</f>
        <v>1551</v>
      </c>
      <c r="K786" s="156">
        <f>+K764</f>
        <v>10309</v>
      </c>
      <c r="L786" s="156">
        <f>+L764</f>
        <v>7024</v>
      </c>
      <c r="M786" s="86">
        <f>+SUM(J786:L786)</f>
        <v>18884</v>
      </c>
      <c r="N786" s="156">
        <f>+N764</f>
        <v>8587</v>
      </c>
      <c r="O786" s="156">
        <f>+O764</f>
        <v>10898</v>
      </c>
      <c r="P786" s="156">
        <f>+P764</f>
        <v>33544</v>
      </c>
      <c r="Q786" s="86">
        <f>+SUM(N786:P786)</f>
        <v>53029</v>
      </c>
      <c r="R786" s="59">
        <f>+E786+I786+M786+Q786</f>
        <v>91148</v>
      </c>
    </row>
    <row r="787" spans="1:46" ht="16.5" customHeight="1" thickBot="1" x14ac:dyDescent="0.35">
      <c r="A787" s="33"/>
      <c r="B787" s="86"/>
      <c r="C787" s="86"/>
      <c r="D787" s="86"/>
      <c r="E787" s="86"/>
      <c r="F787" s="86"/>
      <c r="G787" s="86"/>
      <c r="H787" s="86"/>
      <c r="I787" s="86"/>
      <c r="J787" s="86"/>
      <c r="K787" s="86"/>
      <c r="L787" s="86"/>
      <c r="M787" s="86"/>
      <c r="N787" s="86"/>
      <c r="O787" s="86"/>
      <c r="P787" s="86"/>
      <c r="Q787" s="86"/>
      <c r="R787" s="59"/>
    </row>
    <row r="788" spans="1:46" ht="16.5" customHeight="1" thickBot="1" x14ac:dyDescent="0.35">
      <c r="A788" s="33" t="s">
        <v>385</v>
      </c>
      <c r="B788" s="90">
        <f t="shared" ref="B788:R788" si="117">+SUM(B780:B786)</f>
        <v>50994</v>
      </c>
      <c r="C788" s="90">
        <f t="shared" si="117"/>
        <v>53487</v>
      </c>
      <c r="D788" s="90">
        <f t="shared" si="117"/>
        <v>105997</v>
      </c>
      <c r="E788" s="90">
        <f t="shared" si="117"/>
        <v>210478</v>
      </c>
      <c r="F788" s="90">
        <f t="shared" si="117"/>
        <v>176631</v>
      </c>
      <c r="G788" s="90">
        <f t="shared" si="117"/>
        <v>187821</v>
      </c>
      <c r="H788" s="90">
        <f t="shared" si="117"/>
        <v>210914</v>
      </c>
      <c r="I788" s="90">
        <f t="shared" si="117"/>
        <v>575366</v>
      </c>
      <c r="J788" s="90">
        <f t="shared" si="117"/>
        <v>179001</v>
      </c>
      <c r="K788" s="90">
        <f t="shared" si="117"/>
        <v>179261</v>
      </c>
      <c r="L788" s="90">
        <f t="shared" si="117"/>
        <v>118144</v>
      </c>
      <c r="M788" s="90">
        <f t="shared" si="117"/>
        <v>476406</v>
      </c>
      <c r="N788" s="90">
        <f t="shared" si="117"/>
        <v>105253</v>
      </c>
      <c r="O788" s="90">
        <f t="shared" si="117"/>
        <v>59424</v>
      </c>
      <c r="P788" s="90">
        <f t="shared" si="117"/>
        <v>93077</v>
      </c>
      <c r="Q788" s="90">
        <f t="shared" si="117"/>
        <v>257754</v>
      </c>
      <c r="R788" s="157">
        <f t="shared" si="117"/>
        <v>1520004</v>
      </c>
    </row>
    <row r="789" spans="1:46" ht="15.75" customHeight="1" x14ac:dyDescent="0.35">
      <c r="A789" s="145"/>
      <c r="B789" s="158"/>
      <c r="C789" s="158"/>
      <c r="D789" s="158"/>
      <c r="E789" s="158"/>
      <c r="F789" s="158"/>
      <c r="G789" s="158"/>
      <c r="H789" s="317" t="s">
        <v>786</v>
      </c>
      <c r="I789" s="158"/>
      <c r="J789" s="158"/>
      <c r="K789" s="158"/>
      <c r="L789" s="158"/>
      <c r="M789" s="158"/>
      <c r="N789" s="158"/>
      <c r="O789" s="158"/>
      <c r="P789" s="158"/>
      <c r="Q789" s="158"/>
      <c r="R789" s="158"/>
    </row>
    <row r="790" spans="1:46" ht="15.75" customHeight="1" x14ac:dyDescent="0.35">
      <c r="A790" s="145"/>
      <c r="B790" s="158"/>
      <c r="C790" s="158"/>
      <c r="D790" s="158"/>
      <c r="E790" s="158"/>
      <c r="F790" s="158"/>
      <c r="G790" s="158"/>
      <c r="H790" s="317"/>
      <c r="I790" s="158"/>
      <c r="J790" s="158"/>
      <c r="K790" s="158"/>
      <c r="L790" s="158"/>
      <c r="M790" s="158"/>
      <c r="N790" s="158"/>
      <c r="O790" s="158"/>
      <c r="P790" s="158"/>
      <c r="Q790" s="158"/>
      <c r="R790" s="158"/>
    </row>
    <row r="791" spans="1:46" ht="15.75" customHeight="1" thickBot="1" x14ac:dyDescent="0.4">
      <c r="A791" s="145"/>
      <c r="B791" s="158"/>
      <c r="C791" s="158"/>
      <c r="D791" s="158"/>
      <c r="E791" s="158"/>
      <c r="F791" s="158"/>
      <c r="G791" s="158"/>
      <c r="H791" s="317"/>
      <c r="I791" s="158"/>
      <c r="J791" s="158"/>
      <c r="K791" s="158"/>
      <c r="L791" s="158"/>
      <c r="M791" s="158"/>
      <c r="N791" s="158"/>
      <c r="O791" s="158"/>
      <c r="P791" s="158"/>
      <c r="Q791" s="158"/>
      <c r="R791" s="158"/>
    </row>
    <row r="792" spans="1:46" ht="15.75" customHeight="1" x14ac:dyDescent="0.3">
      <c r="A792" s="363"/>
      <c r="B792" s="506" t="s">
        <v>386</v>
      </c>
      <c r="C792" s="506"/>
      <c r="D792" s="506"/>
      <c r="E792" s="506"/>
      <c r="F792" s="506"/>
      <c r="G792" s="506"/>
      <c r="H792" s="506"/>
      <c r="I792" s="506"/>
      <c r="J792" s="506"/>
      <c r="K792" s="506"/>
      <c r="L792" s="506"/>
      <c r="M792" s="506"/>
      <c r="N792" s="506"/>
      <c r="O792" s="506"/>
      <c r="P792" s="506"/>
      <c r="Q792" s="321" t="str">
        <f>+Q1</f>
        <v>PRINTED:</v>
      </c>
      <c r="R792" s="322">
        <f ca="1">+R1</f>
        <v>44909.46975358796</v>
      </c>
    </row>
    <row r="793" spans="1:46" ht="15.75" customHeight="1" thickBot="1" x14ac:dyDescent="0.35">
      <c r="A793" s="325"/>
      <c r="B793" s="503" t="str">
        <f>+A8</f>
        <v>Revised:  11/25/13</v>
      </c>
      <c r="C793" s="503"/>
      <c r="D793" s="503"/>
      <c r="E793" s="503"/>
      <c r="F793" s="503"/>
      <c r="G793" s="503"/>
      <c r="H793" s="503"/>
      <c r="I793" s="503"/>
      <c r="J793" s="503"/>
      <c r="K793" s="503"/>
      <c r="L793" s="503"/>
      <c r="M793" s="503"/>
      <c r="N793" s="503"/>
      <c r="O793" s="503"/>
      <c r="P793" s="503"/>
      <c r="Q793" s="159"/>
      <c r="R793" s="324"/>
    </row>
    <row r="794" spans="1:46" ht="15.75" customHeight="1" x14ac:dyDescent="0.3">
      <c r="A794" s="325"/>
      <c r="B794" s="503" t="s">
        <v>1024</v>
      </c>
      <c r="C794" s="503"/>
      <c r="D794" s="503"/>
      <c r="E794" s="503"/>
      <c r="F794" s="503"/>
      <c r="G794" s="503"/>
      <c r="H794" s="503"/>
      <c r="I794" s="503"/>
      <c r="J794" s="503"/>
      <c r="K794" s="503"/>
      <c r="L794" s="503"/>
      <c r="M794" s="503"/>
      <c r="N794" s="503"/>
      <c r="O794" s="503"/>
      <c r="P794" s="503"/>
      <c r="Q794" s="159"/>
      <c r="R794" s="324"/>
      <c r="AC794" s="318"/>
      <c r="AD794" s="319"/>
      <c r="AE794" s="321" t="s">
        <v>423</v>
      </c>
      <c r="AF794" s="319"/>
      <c r="AG794" s="319"/>
      <c r="AH794" s="319"/>
      <c r="AI794" s="319"/>
      <c r="AJ794" s="319"/>
      <c r="AK794" s="319" t="s">
        <v>424</v>
      </c>
      <c r="AL794" s="319"/>
      <c r="AM794" s="319" t="s">
        <v>7</v>
      </c>
      <c r="AN794" s="329" t="str">
        <f>+A8</f>
        <v>Revised:  11/25/13</v>
      </c>
      <c r="AO794" s="319"/>
      <c r="AP794" s="319"/>
      <c r="AQ794" s="319"/>
      <c r="AR794" s="319"/>
      <c r="AS794" s="321" t="str">
        <f>+Q1</f>
        <v>PRINTED:</v>
      </c>
      <c r="AT794" s="322">
        <f ca="1">+R1</f>
        <v>44909.46975358796</v>
      </c>
    </row>
    <row r="795" spans="1:46" ht="15.75" customHeight="1" x14ac:dyDescent="0.3">
      <c r="A795" s="325"/>
      <c r="B795" s="503"/>
      <c r="C795" s="503"/>
      <c r="D795" s="503"/>
      <c r="E795" s="503"/>
      <c r="F795" s="503"/>
      <c r="G795" s="503"/>
      <c r="H795" s="503"/>
      <c r="I795" s="503"/>
      <c r="J795" s="503"/>
      <c r="K795" s="503"/>
      <c r="L795" s="503"/>
      <c r="M795" s="503"/>
      <c r="N795" s="503"/>
      <c r="O795" s="503"/>
      <c r="P795" s="503"/>
      <c r="Q795" s="159"/>
      <c r="R795" s="324"/>
      <c r="AC795" s="323"/>
      <c r="AD795" s="159"/>
      <c r="AE795" s="159"/>
      <c r="AF795" s="159">
        <f>++A5</f>
        <v>2013</v>
      </c>
      <c r="AG795" s="159"/>
      <c r="AH795" s="159"/>
      <c r="AI795" s="159"/>
      <c r="AJ795" s="159"/>
      <c r="AK795" s="159"/>
      <c r="AL795" s="159"/>
      <c r="AM795" s="159"/>
      <c r="AN795" s="159"/>
      <c r="AO795" s="159"/>
      <c r="AP795" s="159"/>
      <c r="AQ795" s="159"/>
      <c r="AR795" s="159"/>
      <c r="AS795" s="159"/>
      <c r="AT795" s="324"/>
    </row>
    <row r="796" spans="1:46" ht="15.75" customHeight="1" x14ac:dyDescent="0.3">
      <c r="A796" s="325"/>
      <c r="B796" s="507">
        <f>+A5</f>
        <v>2013</v>
      </c>
      <c r="C796" s="507"/>
      <c r="D796" s="507"/>
      <c r="E796" s="507"/>
      <c r="F796" s="507"/>
      <c r="G796" s="507"/>
      <c r="H796" s="507"/>
      <c r="I796" s="507"/>
      <c r="J796" s="507"/>
      <c r="K796" s="507"/>
      <c r="L796" s="507"/>
      <c r="M796" s="507"/>
      <c r="N796" s="507"/>
      <c r="O796" s="507"/>
      <c r="P796" s="507"/>
      <c r="Q796" s="159"/>
      <c r="R796" s="324"/>
      <c r="AC796" s="323"/>
      <c r="AD796" s="159"/>
      <c r="AE796" s="159"/>
      <c r="AF796" s="159"/>
      <c r="AG796" s="159"/>
      <c r="AH796" s="159"/>
      <c r="AI796" s="159"/>
      <c r="AJ796" s="159"/>
      <c r="AK796" s="159"/>
      <c r="AL796" s="159"/>
      <c r="AM796" s="159"/>
      <c r="AN796" s="159"/>
      <c r="AO796" s="159"/>
      <c r="AP796" s="159"/>
      <c r="AQ796" s="159"/>
      <c r="AR796" s="159"/>
      <c r="AS796" s="159"/>
      <c r="AT796" s="324"/>
    </row>
    <row r="797" spans="1:46" ht="15.75" customHeight="1" x14ac:dyDescent="0.3">
      <c r="A797" s="325"/>
      <c r="B797" s="503" t="s">
        <v>388</v>
      </c>
      <c r="C797" s="503"/>
      <c r="D797" s="503"/>
      <c r="E797" s="503"/>
      <c r="F797" s="503"/>
      <c r="G797" s="503"/>
      <c r="H797" s="503"/>
      <c r="I797" s="503"/>
      <c r="J797" s="503"/>
      <c r="K797" s="503"/>
      <c r="L797" s="503"/>
      <c r="M797" s="503"/>
      <c r="N797" s="503"/>
      <c r="O797" s="503"/>
      <c r="P797" s="503"/>
      <c r="Q797" s="159"/>
      <c r="R797" s="324"/>
      <c r="AC797" s="323"/>
      <c r="AD797" s="159"/>
      <c r="AE797" s="159"/>
      <c r="AF797" s="159"/>
      <c r="AG797" s="159"/>
      <c r="AH797" s="159"/>
      <c r="AI797" s="164" t="s">
        <v>425</v>
      </c>
      <c r="AJ797" s="159"/>
      <c r="AK797" s="159"/>
      <c r="AL797" s="159"/>
      <c r="AM797" s="159"/>
      <c r="AN797" s="159"/>
      <c r="AO797" s="159"/>
      <c r="AP797" s="159"/>
      <c r="AQ797" s="159"/>
      <c r="AR797" s="159"/>
      <c r="AS797" s="159"/>
      <c r="AT797" s="324"/>
    </row>
    <row r="798" spans="1:46" ht="15.75" customHeight="1" x14ac:dyDescent="0.3">
      <c r="A798" s="325"/>
      <c r="B798" s="159"/>
      <c r="C798" s="159"/>
      <c r="D798" s="159"/>
      <c r="E798" s="159"/>
      <c r="F798" s="159"/>
      <c r="G798" s="159"/>
      <c r="H798" s="159"/>
      <c r="I798" s="159"/>
      <c r="J798" s="159"/>
      <c r="K798" s="159"/>
      <c r="L798" s="159"/>
      <c r="M798" s="159"/>
      <c r="N798" s="159"/>
      <c r="O798" s="159"/>
      <c r="P798" s="159"/>
      <c r="Q798" s="159"/>
      <c r="R798" s="324"/>
      <c r="AC798" s="323"/>
      <c r="AD798" s="159" t="s">
        <v>424</v>
      </c>
      <c r="AE798" s="159"/>
      <c r="AF798" s="164" t="s">
        <v>426</v>
      </c>
      <c r="AG798" s="164" t="s">
        <v>426</v>
      </c>
      <c r="AH798" s="164" t="s">
        <v>427</v>
      </c>
      <c r="AI798" s="164" t="s">
        <v>404</v>
      </c>
      <c r="AJ798" s="164" t="s">
        <v>428</v>
      </c>
      <c r="AK798" s="164" t="s">
        <v>429</v>
      </c>
      <c r="AL798" s="164" t="s">
        <v>422</v>
      </c>
      <c r="AM798" s="159" t="s">
        <v>424</v>
      </c>
      <c r="AN798" s="164" t="s">
        <v>430</v>
      </c>
      <c r="AO798" s="164" t="s">
        <v>430</v>
      </c>
      <c r="AP798" s="164" t="s">
        <v>430</v>
      </c>
      <c r="AQ798" s="159"/>
      <c r="AR798" s="159"/>
      <c r="AS798" s="159"/>
      <c r="AT798" s="324"/>
    </row>
    <row r="799" spans="1:46" ht="15.75" customHeight="1" thickBot="1" x14ac:dyDescent="0.4">
      <c r="A799" s="325" t="s">
        <v>389</v>
      </c>
      <c r="B799" s="364" t="s">
        <v>390</v>
      </c>
      <c r="C799" s="364" t="s">
        <v>391</v>
      </c>
      <c r="D799" s="364" t="s">
        <v>392</v>
      </c>
      <c r="E799" s="364" t="s">
        <v>393</v>
      </c>
      <c r="F799" s="364" t="s">
        <v>394</v>
      </c>
      <c r="G799" s="364" t="s">
        <v>394</v>
      </c>
      <c r="H799" s="364" t="s">
        <v>395</v>
      </c>
      <c r="I799" s="364" t="s">
        <v>396</v>
      </c>
      <c r="J799" s="364" t="s">
        <v>397</v>
      </c>
      <c r="K799" s="364" t="s">
        <v>398</v>
      </c>
      <c r="L799" s="364" t="s">
        <v>399</v>
      </c>
      <c r="M799" s="364" t="s">
        <v>400</v>
      </c>
      <c r="N799" s="364" t="s">
        <v>401</v>
      </c>
      <c r="O799" s="364" t="s">
        <v>402</v>
      </c>
      <c r="P799" s="364" t="s">
        <v>403</v>
      </c>
      <c r="Q799" s="364" t="s">
        <v>404</v>
      </c>
      <c r="R799" s="324"/>
      <c r="AC799" s="323"/>
      <c r="AD799" s="164" t="s">
        <v>394</v>
      </c>
      <c r="AE799" s="164" t="s">
        <v>431</v>
      </c>
      <c r="AF799" s="164" t="s">
        <v>432</v>
      </c>
      <c r="AG799" s="164" t="s">
        <v>432</v>
      </c>
      <c r="AH799" s="164" t="s">
        <v>433</v>
      </c>
      <c r="AI799" s="165" t="s">
        <v>434</v>
      </c>
      <c r="AJ799" s="164" t="s">
        <v>435</v>
      </c>
      <c r="AK799" s="164" t="s">
        <v>436</v>
      </c>
      <c r="AL799" s="164" t="s">
        <v>437</v>
      </c>
      <c r="AM799" s="159" t="s">
        <v>424</v>
      </c>
      <c r="AN799" s="164" t="s">
        <v>438</v>
      </c>
      <c r="AO799" s="164" t="s">
        <v>434</v>
      </c>
      <c r="AP799" s="164" t="s">
        <v>407</v>
      </c>
      <c r="AQ799" s="159"/>
      <c r="AR799" s="159"/>
      <c r="AS799" s="159"/>
      <c r="AT799" s="324"/>
    </row>
    <row r="800" spans="1:46" ht="15.75" customHeight="1" x14ac:dyDescent="0.3">
      <c r="A800" s="325" t="s">
        <v>405</v>
      </c>
      <c r="B800" s="159"/>
      <c r="C800" s="159"/>
      <c r="D800" s="159"/>
      <c r="E800" s="159"/>
      <c r="F800" s="164" t="s">
        <v>406</v>
      </c>
      <c r="G800" s="164" t="s">
        <v>407</v>
      </c>
      <c r="H800" s="159"/>
      <c r="I800" s="159"/>
      <c r="J800" s="159"/>
      <c r="K800" s="159"/>
      <c r="L800" s="159"/>
      <c r="M800" s="159"/>
      <c r="N800" s="159"/>
      <c r="O800" s="159"/>
      <c r="P800" s="159"/>
      <c r="Q800" s="159"/>
      <c r="R800" s="324"/>
      <c r="AC800" s="323"/>
      <c r="AD800" s="164" t="s">
        <v>406</v>
      </c>
      <c r="AE800" s="164" t="s">
        <v>439</v>
      </c>
      <c r="AF800" s="164" t="s">
        <v>440</v>
      </c>
      <c r="AG800" s="164" t="s">
        <v>441</v>
      </c>
      <c r="AH800" s="164" t="s">
        <v>442</v>
      </c>
      <c r="AI800" s="164" t="s">
        <v>442</v>
      </c>
      <c r="AJ800" s="164" t="s">
        <v>442</v>
      </c>
      <c r="AK800" s="164" t="s">
        <v>442</v>
      </c>
      <c r="AL800" s="164" t="s">
        <v>443</v>
      </c>
      <c r="AM800" s="159" t="s">
        <v>424</v>
      </c>
      <c r="AN800" s="164" t="s">
        <v>444</v>
      </c>
      <c r="AO800" s="164" t="s">
        <v>445</v>
      </c>
      <c r="AP800" s="164" t="s">
        <v>445</v>
      </c>
      <c r="AQ800" s="159"/>
      <c r="AR800" s="159"/>
      <c r="AS800" s="159"/>
      <c r="AT800" s="324"/>
    </row>
    <row r="801" spans="1:46" ht="15.75" customHeight="1" x14ac:dyDescent="0.3">
      <c r="A801" s="325" t="s">
        <v>408</v>
      </c>
      <c r="B801" s="456">
        <v>957</v>
      </c>
      <c r="C801" s="456">
        <v>122</v>
      </c>
      <c r="D801" s="456">
        <v>128</v>
      </c>
      <c r="E801" s="456">
        <v>219</v>
      </c>
      <c r="F801" s="456"/>
      <c r="G801" s="456"/>
      <c r="H801" s="456">
        <v>97</v>
      </c>
      <c r="I801" s="456">
        <v>160</v>
      </c>
      <c r="J801" s="456">
        <v>250</v>
      </c>
      <c r="K801" s="456">
        <v>260</v>
      </c>
      <c r="L801" s="456">
        <v>100</v>
      </c>
      <c r="M801" s="456">
        <v>118</v>
      </c>
      <c r="N801" s="456">
        <v>250</v>
      </c>
      <c r="O801" s="456">
        <v>190</v>
      </c>
      <c r="P801" s="456">
        <v>340</v>
      </c>
      <c r="Q801" s="456">
        <v>450</v>
      </c>
      <c r="R801" s="324"/>
      <c r="T801" s="45" t="s">
        <v>1026</v>
      </c>
      <c r="AC801" s="323"/>
      <c r="AD801" s="164" t="s">
        <v>446</v>
      </c>
      <c r="AE801" s="164" t="s">
        <v>447</v>
      </c>
      <c r="AF801" s="164" t="s">
        <v>448</v>
      </c>
      <c r="AG801" s="164" t="s">
        <v>448</v>
      </c>
      <c r="AH801" s="164" t="s">
        <v>448</v>
      </c>
      <c r="AI801" s="164" t="s">
        <v>448</v>
      </c>
      <c r="AJ801" s="164" t="s">
        <v>448</v>
      </c>
      <c r="AK801" s="164" t="s">
        <v>448</v>
      </c>
      <c r="AL801" s="164" t="s">
        <v>448</v>
      </c>
      <c r="AM801" s="159" t="s">
        <v>424</v>
      </c>
      <c r="AN801" s="164" t="s">
        <v>449</v>
      </c>
      <c r="AO801" s="164" t="s">
        <v>449</v>
      </c>
      <c r="AP801" s="164" t="s">
        <v>449</v>
      </c>
      <c r="AQ801" s="159"/>
      <c r="AR801" s="159"/>
      <c r="AS801" s="159"/>
      <c r="AT801" s="324"/>
    </row>
    <row r="802" spans="1:46" ht="15.75" customHeight="1" x14ac:dyDescent="0.3">
      <c r="A802" s="325"/>
      <c r="B802" s="159" t="s">
        <v>409</v>
      </c>
      <c r="C802" s="159" t="s">
        <v>409</v>
      </c>
      <c r="D802" s="159" t="s">
        <v>409</v>
      </c>
      <c r="E802" s="159" t="s">
        <v>409</v>
      </c>
      <c r="F802" s="159" t="s">
        <v>409</v>
      </c>
      <c r="G802" s="159" t="s">
        <v>409</v>
      </c>
      <c r="H802" s="159" t="s">
        <v>409</v>
      </c>
      <c r="I802" s="159" t="s">
        <v>409</v>
      </c>
      <c r="J802" s="159" t="s">
        <v>409</v>
      </c>
      <c r="K802" s="159" t="s">
        <v>409</v>
      </c>
      <c r="L802" s="159" t="s">
        <v>409</v>
      </c>
      <c r="M802" s="159" t="s">
        <v>409</v>
      </c>
      <c r="N802" s="159" t="s">
        <v>409</v>
      </c>
      <c r="O802" s="159" t="s">
        <v>409</v>
      </c>
      <c r="P802" s="159" t="s">
        <v>409</v>
      </c>
      <c r="Q802" s="159" t="s">
        <v>409</v>
      </c>
      <c r="R802" s="324"/>
      <c r="AC802" s="323"/>
      <c r="AD802" s="159" t="s">
        <v>409</v>
      </c>
      <c r="AE802" s="159" t="s">
        <v>409</v>
      </c>
      <c r="AF802" s="159" t="s">
        <v>409</v>
      </c>
      <c r="AG802" s="159" t="s">
        <v>409</v>
      </c>
      <c r="AH802" s="159" t="s">
        <v>409</v>
      </c>
      <c r="AI802" s="159" t="s">
        <v>409</v>
      </c>
      <c r="AJ802" s="159" t="s">
        <v>409</v>
      </c>
      <c r="AK802" s="159" t="s">
        <v>409</v>
      </c>
      <c r="AL802" s="159" t="s">
        <v>409</v>
      </c>
      <c r="AM802" s="159" t="s">
        <v>424</v>
      </c>
      <c r="AN802" s="159" t="s">
        <v>409</v>
      </c>
      <c r="AO802" s="159" t="s">
        <v>409</v>
      </c>
      <c r="AP802" s="159" t="s">
        <v>409</v>
      </c>
      <c r="AQ802" s="159"/>
      <c r="AR802" s="159"/>
      <c r="AS802" s="159"/>
      <c r="AT802" s="324"/>
    </row>
    <row r="803" spans="1:46" ht="15.75" customHeight="1" x14ac:dyDescent="0.3">
      <c r="A803" s="365" t="s">
        <v>795</v>
      </c>
      <c r="B803" s="159">
        <f>+B29</f>
        <v>81083</v>
      </c>
      <c r="C803" s="159">
        <f>+B64</f>
        <v>80986</v>
      </c>
      <c r="D803" s="159">
        <f>+B130</f>
        <v>80890</v>
      </c>
      <c r="E803" s="159">
        <f>+B270</f>
        <v>78934</v>
      </c>
      <c r="F803" s="159">
        <f>+B265</f>
        <v>54064</v>
      </c>
      <c r="G803" s="159">
        <f>+B277</f>
        <v>-24714</v>
      </c>
      <c r="H803" s="159">
        <f>+B402</f>
        <v>30420</v>
      </c>
      <c r="I803" s="159">
        <f>+B449</f>
        <v>16452</v>
      </c>
      <c r="J803" s="159">
        <f>+B491</f>
        <v>16083</v>
      </c>
      <c r="K803" s="159">
        <f>+B544</f>
        <v>15384</v>
      </c>
      <c r="L803" s="159">
        <f>+B554</f>
        <v>14474</v>
      </c>
      <c r="M803" s="159">
        <f>+B590</f>
        <v>14454</v>
      </c>
      <c r="N803" s="159">
        <f>+B634</f>
        <v>14444</v>
      </c>
      <c r="O803" s="159">
        <f>+B644</f>
        <v>2854</v>
      </c>
      <c r="P803" s="159">
        <f>+B678</f>
        <v>538</v>
      </c>
      <c r="Q803" s="159">
        <f>+B724</f>
        <v>2828</v>
      </c>
      <c r="R803" s="324"/>
      <c r="T803" s="366">
        <f>'[1]Lake Pleasant Forecast'!B35</f>
        <v>1690.1998116000643</v>
      </c>
      <c r="AC803" s="325" t="s">
        <v>410</v>
      </c>
      <c r="AD803" s="159">
        <f t="shared" ref="AD803:AD814" si="118">(F803)</f>
        <v>54064</v>
      </c>
      <c r="AE803" s="159">
        <f t="shared" ref="AE803:AE814" si="119">SUM($B$801:$E$801)+(T803-1526.8)/0.7702</f>
        <v>1638.1524430019012</v>
      </c>
      <c r="AF803" s="159">
        <f>(AD803*AE803/1000)</f>
        <v>88565.073678454792</v>
      </c>
      <c r="AG803" s="159">
        <f t="shared" ref="AG803:AG814" si="120">(((B803-F803)*B$801)+((C803-F803)*C$801)+((D803-F803)*D$801)+((E803-F803)*E$801))/1000</f>
        <v>38021.925000000003</v>
      </c>
      <c r="AH803" s="159">
        <f>(AF803+AG803)</f>
        <v>126586.99867845479</v>
      </c>
      <c r="AI803" s="159">
        <f t="shared" ref="AI803:AI814" si="121">SUM(H858:Q858)</f>
        <v>22365.401999999995</v>
      </c>
      <c r="AJ803" s="159">
        <f>+AH803+AI803</f>
        <v>148952.40067845478</v>
      </c>
      <c r="AK803" s="159">
        <f t="shared" ref="AK803:AK810" si="122">(G886)</f>
        <v>3680</v>
      </c>
      <c r="AL803" s="159">
        <f t="shared" ref="AL803:AL814" si="123">(AJ803-AK803)</f>
        <v>145272.40067845478</v>
      </c>
      <c r="AM803" s="159" t="s">
        <v>424</v>
      </c>
      <c r="AN803" s="159">
        <f>+B803/31/1.98</f>
        <v>1321.0003258390354</v>
      </c>
      <c r="AO803" s="159">
        <f>(AD803*43560/31/24/3600)</f>
        <v>879.26666666666665</v>
      </c>
      <c r="AP803" s="159">
        <f>+B280</f>
        <v>-402.03015958225564</v>
      </c>
      <c r="AQ803" s="159"/>
      <c r="AR803" s="159"/>
      <c r="AS803" s="159"/>
      <c r="AT803" s="324"/>
    </row>
    <row r="804" spans="1:46" ht="15.75" customHeight="1" x14ac:dyDescent="0.3">
      <c r="A804" s="365" t="s">
        <v>9</v>
      </c>
      <c r="B804" s="159">
        <f>+C29</f>
        <v>146057</v>
      </c>
      <c r="C804" s="159">
        <f>+C64</f>
        <v>145909</v>
      </c>
      <c r="D804" s="159">
        <f>+C130</f>
        <v>145736</v>
      </c>
      <c r="E804" s="159">
        <f>+C270</f>
        <v>143928</v>
      </c>
      <c r="F804" s="159">
        <f>+C265</f>
        <v>89116</v>
      </c>
      <c r="G804" s="159">
        <f>+C277</f>
        <v>0</v>
      </c>
      <c r="H804" s="159">
        <f>+C402</f>
        <v>36991</v>
      </c>
      <c r="I804" s="159">
        <f>+C449</f>
        <v>18357</v>
      </c>
      <c r="J804" s="159">
        <f>+C491</f>
        <v>17938</v>
      </c>
      <c r="K804" s="159">
        <f>+C544</f>
        <v>17486</v>
      </c>
      <c r="L804" s="159">
        <f>+C554</f>
        <v>16339</v>
      </c>
      <c r="M804" s="159">
        <f>+C590</f>
        <v>16317</v>
      </c>
      <c r="N804" s="159">
        <f>+C634</f>
        <v>16306</v>
      </c>
      <c r="O804" s="159">
        <f>+C644</f>
        <v>3058</v>
      </c>
      <c r="P804" s="159">
        <f>+C678</f>
        <v>119</v>
      </c>
      <c r="Q804" s="159">
        <f>+C724</f>
        <v>3025</v>
      </c>
      <c r="R804" s="324"/>
      <c r="T804" s="366">
        <f>'[1]Lake Pleasant Forecast'!B37</f>
        <v>1693.66</v>
      </c>
      <c r="AC804" s="325" t="s">
        <v>411</v>
      </c>
      <c r="AD804" s="159">
        <f t="shared" si="118"/>
        <v>89116</v>
      </c>
      <c r="AE804" s="159">
        <f t="shared" si="119"/>
        <v>1642.6450272656455</v>
      </c>
      <c r="AF804" s="159">
        <f>(AD804*AE804/1000)</f>
        <v>146385.95424980528</v>
      </c>
      <c r="AG804" s="159">
        <f t="shared" si="120"/>
        <v>80672.471000000005</v>
      </c>
      <c r="AH804" s="159">
        <f t="shared" ref="AH804:AH814" si="124">(AF804+AG804)</f>
        <v>227058.42524980527</v>
      </c>
      <c r="AI804" s="159">
        <f t="shared" si="121"/>
        <v>25174.643</v>
      </c>
      <c r="AJ804" s="159">
        <f t="shared" ref="AJ804:AJ814" si="125">+AH804+AI804</f>
        <v>252233.06824980528</v>
      </c>
      <c r="AK804" s="159">
        <f t="shared" si="122"/>
        <v>0</v>
      </c>
      <c r="AL804" s="159">
        <f t="shared" si="123"/>
        <v>252233.06824980528</v>
      </c>
      <c r="AM804" s="159" t="s">
        <v>424</v>
      </c>
      <c r="AN804" s="159">
        <f>+B804/28/1.98</f>
        <v>2634.5057720057721</v>
      </c>
      <c r="AO804" s="159">
        <f>(AD804*43560/29/24/3600)</f>
        <v>1549.2867816091953</v>
      </c>
      <c r="AP804" s="159">
        <f>+C280</f>
        <v>0</v>
      </c>
      <c r="AQ804" s="159"/>
      <c r="AR804" s="159"/>
      <c r="AS804" s="159"/>
      <c r="AT804" s="324"/>
    </row>
    <row r="805" spans="1:46" ht="15.75" customHeight="1" x14ac:dyDescent="0.3">
      <c r="A805" s="365" t="s">
        <v>10</v>
      </c>
      <c r="B805" s="159">
        <f>+D29</f>
        <v>178756</v>
      </c>
      <c r="C805" s="159">
        <f>+D64</f>
        <v>178482</v>
      </c>
      <c r="D805" s="159">
        <f>+D130</f>
        <v>178180</v>
      </c>
      <c r="E805" s="159">
        <f>+D270</f>
        <v>172020</v>
      </c>
      <c r="F805" s="159">
        <f>+D265</f>
        <v>66664</v>
      </c>
      <c r="G805" s="159">
        <f>+D277</f>
        <v>0</v>
      </c>
      <c r="H805" s="159">
        <f>+D402</f>
        <v>78562</v>
      </c>
      <c r="I805" s="159">
        <f>+D449</f>
        <v>30605</v>
      </c>
      <c r="J805" s="159">
        <f>+D491</f>
        <v>22331</v>
      </c>
      <c r="K805" s="159">
        <f>+D544</f>
        <v>19825</v>
      </c>
      <c r="L805" s="159">
        <f>+D554</f>
        <v>17202</v>
      </c>
      <c r="M805" s="159">
        <f>+D590</f>
        <v>17174</v>
      </c>
      <c r="N805" s="159">
        <f>+D634</f>
        <v>17114</v>
      </c>
      <c r="O805" s="159">
        <f>+D644</f>
        <v>4042</v>
      </c>
      <c r="P805" s="159">
        <f>+D678</f>
        <v>4712</v>
      </c>
      <c r="Q805" s="159">
        <f>+D724</f>
        <v>3996</v>
      </c>
      <c r="R805" s="324"/>
      <c r="T805" s="366">
        <f>'[1]Lake Pleasant Forecast'!B39</f>
        <v>1696.7</v>
      </c>
      <c r="AC805" s="325" t="s">
        <v>412</v>
      </c>
      <c r="AD805" s="159">
        <f t="shared" si="118"/>
        <v>66664</v>
      </c>
      <c r="AE805" s="159">
        <f t="shared" si="119"/>
        <v>1646.592054011945</v>
      </c>
      <c r="AF805" s="159">
        <f t="shared" ref="AF805:AF814" si="126">(AD805*AE805/1000)</f>
        <v>109768.4126886523</v>
      </c>
      <c r="AG805" s="159">
        <f t="shared" si="120"/>
        <v>158260.85200000001</v>
      </c>
      <c r="AH805" s="159">
        <f t="shared" si="124"/>
        <v>268029.2646886523</v>
      </c>
      <c r="AI805" s="159">
        <f t="shared" si="121"/>
        <v>35448.055999999997</v>
      </c>
      <c r="AJ805" s="159">
        <f t="shared" si="125"/>
        <v>303477.32068865228</v>
      </c>
      <c r="AK805" s="159">
        <f t="shared" si="122"/>
        <v>0</v>
      </c>
      <c r="AL805" s="159">
        <f t="shared" si="123"/>
        <v>303477.32068865228</v>
      </c>
      <c r="AM805" s="159" t="s">
        <v>424</v>
      </c>
      <c r="AN805" s="159">
        <f>+B805/31/1.98</f>
        <v>2912.2841316389704</v>
      </c>
      <c r="AO805" s="159">
        <f>(AD805*43560/31/24/3600)</f>
        <v>1084.1860215053764</v>
      </c>
      <c r="AP805" s="159">
        <f>+D280</f>
        <v>0</v>
      </c>
      <c r="AQ805" s="159"/>
      <c r="AR805" s="159"/>
      <c r="AS805" s="159"/>
      <c r="AT805" s="324"/>
    </row>
    <row r="806" spans="1:46" ht="15.75" customHeight="1" x14ac:dyDescent="0.3">
      <c r="A806" s="365" t="s">
        <v>12</v>
      </c>
      <c r="B806" s="159">
        <f>+F29</f>
        <v>150717</v>
      </c>
      <c r="C806" s="159">
        <f>+F64</f>
        <v>150350</v>
      </c>
      <c r="D806" s="159">
        <f>+F130</f>
        <v>149886</v>
      </c>
      <c r="E806" s="159">
        <f>+F270</f>
        <v>141106</v>
      </c>
      <c r="F806" s="159">
        <f>+F265</f>
        <v>316</v>
      </c>
      <c r="G806" s="159">
        <f>+F277</f>
        <v>-34341</v>
      </c>
      <c r="H806" s="159">
        <f>+F402</f>
        <v>131576</v>
      </c>
      <c r="I806" s="159">
        <f>+F449</f>
        <v>51626</v>
      </c>
      <c r="J806" s="159">
        <f>+F491</f>
        <v>34415</v>
      </c>
      <c r="K806" s="159">
        <f>+F544</f>
        <v>27580</v>
      </c>
      <c r="L806" s="159">
        <f>+F554</f>
        <v>21231</v>
      </c>
      <c r="M806" s="159">
        <f>+F590</f>
        <v>21194</v>
      </c>
      <c r="N806" s="159">
        <f>+F634</f>
        <v>19256</v>
      </c>
      <c r="O806" s="159">
        <f>+F644</f>
        <v>3919</v>
      </c>
      <c r="P806" s="159">
        <f>+F678</f>
        <v>5191</v>
      </c>
      <c r="Q806" s="159">
        <f>+F724</f>
        <v>3866</v>
      </c>
      <c r="R806" s="324"/>
      <c r="T806" s="366">
        <f>'[1]Lake Pleasant Forecast'!B41</f>
        <v>1696.11085484296</v>
      </c>
      <c r="AC806" s="325" t="s">
        <v>413</v>
      </c>
      <c r="AD806" s="159">
        <f t="shared" si="118"/>
        <v>316</v>
      </c>
      <c r="AE806" s="159">
        <f t="shared" si="119"/>
        <v>1645.8271291131655</v>
      </c>
      <c r="AF806" s="159">
        <f t="shared" si="126"/>
        <v>520.08137279976029</v>
      </c>
      <c r="AG806" s="159">
        <f t="shared" si="120"/>
        <v>212215.875</v>
      </c>
      <c r="AH806" s="159">
        <f t="shared" si="124"/>
        <v>212735.95637279976</v>
      </c>
      <c r="AI806" s="159">
        <f t="shared" si="121"/>
        <v>50484.824000000001</v>
      </c>
      <c r="AJ806" s="159">
        <f t="shared" si="125"/>
        <v>263220.78037279978</v>
      </c>
      <c r="AK806" s="159">
        <f t="shared" si="122"/>
        <v>5420</v>
      </c>
      <c r="AL806" s="159">
        <f t="shared" si="123"/>
        <v>257800.78037279978</v>
      </c>
      <c r="AM806" s="159" t="s">
        <v>424</v>
      </c>
      <c r="AN806" s="159">
        <f>+B806/30/1.98</f>
        <v>2537.3232323232323</v>
      </c>
      <c r="AO806" s="159">
        <f>(AD806*43560/30/24/3600)</f>
        <v>5.3105555555555553</v>
      </c>
      <c r="AP806" s="159">
        <f>+F280</f>
        <v>-577.25668179525974</v>
      </c>
      <c r="AQ806" s="159"/>
      <c r="AR806" s="159"/>
      <c r="AS806" s="159"/>
      <c r="AT806" s="324"/>
    </row>
    <row r="807" spans="1:46" ht="15.75" customHeight="1" x14ac:dyDescent="0.3">
      <c r="A807" s="365" t="s">
        <v>13</v>
      </c>
      <c r="B807" s="159">
        <f>+G29</f>
        <v>176183</v>
      </c>
      <c r="C807" s="159">
        <f>+G64</f>
        <v>175758</v>
      </c>
      <c r="D807" s="159">
        <f>+G130</f>
        <v>175185</v>
      </c>
      <c r="E807" s="159">
        <f>+G270</f>
        <v>167488</v>
      </c>
      <c r="F807" s="159">
        <f>+G265</f>
        <v>0</v>
      </c>
      <c r="G807" s="159">
        <f>+G277</f>
        <v>-20589</v>
      </c>
      <c r="H807" s="159">
        <f>+G402</f>
        <v>131462</v>
      </c>
      <c r="I807" s="159">
        <f>+G449</f>
        <v>40910</v>
      </c>
      <c r="J807" s="159">
        <f>+G491</f>
        <v>27766</v>
      </c>
      <c r="K807" s="159">
        <f>+G544</f>
        <v>21820</v>
      </c>
      <c r="L807" s="159">
        <f>+G554</f>
        <v>19652</v>
      </c>
      <c r="M807" s="159">
        <f>+G590</f>
        <v>19610</v>
      </c>
      <c r="N807" s="159">
        <f>+G634</f>
        <v>17753</v>
      </c>
      <c r="O807" s="159">
        <f>+G644</f>
        <v>4452</v>
      </c>
      <c r="P807" s="159">
        <f>+G678</f>
        <v>6066</v>
      </c>
      <c r="Q807" s="159">
        <f>+G724</f>
        <v>4417</v>
      </c>
      <c r="R807" s="324"/>
      <c r="T807" s="366">
        <f>'[1]Lake Pleasant Forecast'!B43</f>
        <v>1693.7800000000002</v>
      </c>
      <c r="AC807" s="325" t="s">
        <v>414</v>
      </c>
      <c r="AD807" s="159">
        <f t="shared" si="118"/>
        <v>0</v>
      </c>
      <c r="AE807" s="159">
        <f t="shared" si="119"/>
        <v>1642.8008309529996</v>
      </c>
      <c r="AF807" s="159">
        <f t="shared" si="126"/>
        <v>0</v>
      </c>
      <c r="AG807" s="159">
        <f t="shared" si="120"/>
        <v>249153.15900000001</v>
      </c>
      <c r="AH807" s="159">
        <f t="shared" si="124"/>
        <v>249153.15900000001</v>
      </c>
      <c r="AI807" s="159">
        <f t="shared" si="121"/>
        <v>45525.514000000003</v>
      </c>
      <c r="AJ807" s="159">
        <f t="shared" si="125"/>
        <v>294678.67300000001</v>
      </c>
      <c r="AK807" s="159">
        <f t="shared" si="122"/>
        <v>3177</v>
      </c>
      <c r="AL807" s="159">
        <f t="shared" si="123"/>
        <v>291501.67300000001</v>
      </c>
      <c r="AM807" s="159" t="s">
        <v>424</v>
      </c>
      <c r="AN807" s="159">
        <f>+B807/31/1.98</f>
        <v>2870.3649397197782</v>
      </c>
      <c r="AO807" s="159">
        <f>(AD807*43560/31/24/3600)</f>
        <v>0</v>
      </c>
      <c r="AP807" s="159">
        <f>+G280</f>
        <v>-334.92752915914298</v>
      </c>
      <c r="AQ807" s="159"/>
      <c r="AR807" s="159"/>
      <c r="AS807" s="159"/>
      <c r="AT807" s="324"/>
    </row>
    <row r="808" spans="1:46" ht="15.75" customHeight="1" x14ac:dyDescent="0.3">
      <c r="A808" s="365" t="s">
        <v>14</v>
      </c>
      <c r="B808" s="159">
        <f>+H29</f>
        <v>130223</v>
      </c>
      <c r="C808" s="159">
        <f>+H64</f>
        <v>129806</v>
      </c>
      <c r="D808" s="159">
        <f>+H130</f>
        <v>129293</v>
      </c>
      <c r="E808" s="159">
        <f>+H270</f>
        <v>122341</v>
      </c>
      <c r="F808" s="159">
        <f>+H265</f>
        <v>0</v>
      </c>
      <c r="G808" s="159">
        <f>+H277</f>
        <v>-78357</v>
      </c>
      <c r="H808" s="159">
        <f>+H402</f>
        <v>158659</v>
      </c>
      <c r="I808" s="159">
        <f>+H449</f>
        <v>51790</v>
      </c>
      <c r="J808" s="159">
        <f>+H491</f>
        <v>30396</v>
      </c>
      <c r="K808" s="159">
        <f>+H544</f>
        <v>21598</v>
      </c>
      <c r="L808" s="159">
        <f>+H554</f>
        <v>17870</v>
      </c>
      <c r="M808" s="159">
        <f>+H590</f>
        <v>17826</v>
      </c>
      <c r="N808" s="159">
        <f>+H634</f>
        <v>15140</v>
      </c>
      <c r="O808" s="159">
        <f>+H644</f>
        <v>3701</v>
      </c>
      <c r="P808" s="159">
        <f>+H678</f>
        <v>5950</v>
      </c>
      <c r="Q808" s="159">
        <f>+H724</f>
        <v>3692</v>
      </c>
      <c r="R808" s="324"/>
      <c r="T808" s="366">
        <f>'[1]Lake Pleasant Forecast'!B45</f>
        <v>1681.1000000000001</v>
      </c>
      <c r="AC808" s="325" t="s">
        <v>415</v>
      </c>
      <c r="AD808" s="159">
        <f t="shared" si="118"/>
        <v>0</v>
      </c>
      <c r="AE808" s="159">
        <f t="shared" si="119"/>
        <v>1626.3375746559338</v>
      </c>
      <c r="AF808" s="159">
        <f t="shared" si="126"/>
        <v>0</v>
      </c>
      <c r="AG808" s="159">
        <f t="shared" si="120"/>
        <v>183801.92600000001</v>
      </c>
      <c r="AH808" s="159">
        <f t="shared" si="124"/>
        <v>183801.92600000001</v>
      </c>
      <c r="AI808" s="159">
        <f t="shared" si="121"/>
        <v>48953.861000000004</v>
      </c>
      <c r="AJ808" s="159">
        <f t="shared" si="125"/>
        <v>232755.78700000001</v>
      </c>
      <c r="AK808" s="159">
        <f t="shared" si="122"/>
        <v>10593</v>
      </c>
      <c r="AL808" s="159">
        <f t="shared" si="123"/>
        <v>222162.78700000001</v>
      </c>
      <c r="AM808" s="159" t="s">
        <v>424</v>
      </c>
      <c r="AN808" s="159">
        <f>+B808/30/1.98</f>
        <v>2192.3063973063972</v>
      </c>
      <c r="AO808" s="159">
        <f t="shared" ref="AO808:AO813" si="127">(AD808*43560/30/24/3600)</f>
        <v>0</v>
      </c>
      <c r="AP808" s="159">
        <f>+H280</f>
        <v>-1317.1457387796268</v>
      </c>
      <c r="AQ808" s="159"/>
      <c r="AR808" s="159"/>
      <c r="AS808" s="159"/>
      <c r="AT808" s="324"/>
    </row>
    <row r="809" spans="1:46" ht="15.75" customHeight="1" x14ac:dyDescent="0.3">
      <c r="A809" s="365" t="s">
        <v>16</v>
      </c>
      <c r="B809" s="159">
        <f>+J29</f>
        <v>84931</v>
      </c>
      <c r="C809" s="159">
        <f>+J64</f>
        <v>84515</v>
      </c>
      <c r="D809" s="159">
        <f>+J130</f>
        <v>83968</v>
      </c>
      <c r="E809" s="159">
        <f>+J270</f>
        <v>76030</v>
      </c>
      <c r="F809" s="159">
        <f>+J265</f>
        <v>0</v>
      </c>
      <c r="G809" s="159">
        <f>+J277</f>
        <v>-94386</v>
      </c>
      <c r="H809" s="159">
        <f>+J402</f>
        <v>131606</v>
      </c>
      <c r="I809" s="159">
        <f>+J449</f>
        <v>43921</v>
      </c>
      <c r="J809" s="159">
        <f>+J491</f>
        <v>26497</v>
      </c>
      <c r="K809" s="159">
        <f>+J544</f>
        <v>19340</v>
      </c>
      <c r="L809" s="159">
        <f>+J554</f>
        <v>17287</v>
      </c>
      <c r="M809" s="159">
        <f>+J590</f>
        <v>17248</v>
      </c>
      <c r="N809" s="159">
        <f>+J634</f>
        <v>14366</v>
      </c>
      <c r="O809" s="159">
        <f>+J644</f>
        <v>5052</v>
      </c>
      <c r="P809" s="159">
        <f>+J678</f>
        <v>5851</v>
      </c>
      <c r="Q809" s="159">
        <f>+J724</f>
        <v>5035</v>
      </c>
      <c r="R809" s="324"/>
      <c r="T809" s="366">
        <f>'[1]Lake Pleasant Forecast'!B47</f>
        <v>1671.6699725311105</v>
      </c>
      <c r="AC809" s="325" t="s">
        <v>416</v>
      </c>
      <c r="AD809" s="159">
        <f t="shared" si="118"/>
        <v>0</v>
      </c>
      <c r="AE809" s="159">
        <f t="shared" si="119"/>
        <v>1614.093965893418</v>
      </c>
      <c r="AF809" s="159">
        <f t="shared" si="126"/>
        <v>0</v>
      </c>
      <c r="AG809" s="159">
        <f t="shared" si="120"/>
        <v>118988.27099999999</v>
      </c>
      <c r="AH809" s="159">
        <f t="shared" si="124"/>
        <v>118988.27099999999</v>
      </c>
      <c r="AI809" s="159">
        <f t="shared" si="121"/>
        <v>44016.225999999995</v>
      </c>
      <c r="AJ809" s="159">
        <f t="shared" si="125"/>
        <v>163004.49699999997</v>
      </c>
      <c r="AK809" s="159">
        <f t="shared" si="122"/>
        <v>11419</v>
      </c>
      <c r="AL809" s="159">
        <f t="shared" si="123"/>
        <v>151585.49699999997</v>
      </c>
      <c r="AM809" s="159" t="s">
        <v>424</v>
      </c>
      <c r="AN809" s="159">
        <f>+B809/31/1.98</f>
        <v>1383.6917562724013</v>
      </c>
      <c r="AO809" s="159">
        <f t="shared" si="127"/>
        <v>0</v>
      </c>
      <c r="AP809" s="159">
        <f>+J280</f>
        <v>-1535.4057879068857</v>
      </c>
      <c r="AQ809" s="159"/>
      <c r="AR809" s="159"/>
      <c r="AS809" s="159"/>
      <c r="AT809" s="324"/>
    </row>
    <row r="810" spans="1:46" ht="15.75" customHeight="1" x14ac:dyDescent="0.3">
      <c r="A810" s="365" t="s">
        <v>17</v>
      </c>
      <c r="B810" s="159">
        <f>+K29</f>
        <v>96915</v>
      </c>
      <c r="C810" s="159">
        <f>+K64</f>
        <v>96581</v>
      </c>
      <c r="D810" s="159">
        <f>+K130</f>
        <v>96205</v>
      </c>
      <c r="E810" s="159">
        <f>+K270</f>
        <v>87911</v>
      </c>
      <c r="F810" s="159">
        <f>+K265</f>
        <v>0</v>
      </c>
      <c r="G810" s="159">
        <f>+K277</f>
        <v>-87700</v>
      </c>
      <c r="H810" s="159">
        <f>+K402</f>
        <v>134898</v>
      </c>
      <c r="I810" s="159">
        <f>+K449</f>
        <v>49364</v>
      </c>
      <c r="J810" s="159">
        <f>+K491</f>
        <v>30500</v>
      </c>
      <c r="K810" s="159">
        <f>+K544</f>
        <v>23365</v>
      </c>
      <c r="L810" s="159">
        <f>+K554</f>
        <v>18520</v>
      </c>
      <c r="M810" s="159">
        <f>+K590</f>
        <v>18484</v>
      </c>
      <c r="N810" s="159">
        <f>+K634</f>
        <v>15993</v>
      </c>
      <c r="O810" s="159">
        <f>+K644</f>
        <v>4335</v>
      </c>
      <c r="P810" s="159">
        <f>+K678</f>
        <v>5727</v>
      </c>
      <c r="Q810" s="159">
        <f>+K724</f>
        <v>4329</v>
      </c>
      <c r="R810" s="324"/>
      <c r="T810" s="366">
        <f>'[1]Lake Pleasant Forecast'!B49</f>
        <v>1661.2798188452823</v>
      </c>
      <c r="AC810" s="325" t="s">
        <v>417</v>
      </c>
      <c r="AD810" s="159">
        <f t="shared" si="118"/>
        <v>0</v>
      </c>
      <c r="AE810" s="159">
        <f t="shared" si="119"/>
        <v>1600.6037637565339</v>
      </c>
      <c r="AF810" s="159">
        <f t="shared" si="126"/>
        <v>0</v>
      </c>
      <c r="AG810" s="159">
        <f t="shared" si="120"/>
        <v>136097.28599999999</v>
      </c>
      <c r="AH810" s="159">
        <f t="shared" si="124"/>
        <v>136097.28599999999</v>
      </c>
      <c r="AI810" s="159">
        <f t="shared" si="121"/>
        <v>47433.488000000005</v>
      </c>
      <c r="AJ810" s="159">
        <f t="shared" si="125"/>
        <v>183530.774</v>
      </c>
      <c r="AK810" s="159">
        <f t="shared" si="122"/>
        <v>9237</v>
      </c>
      <c r="AL810" s="159">
        <f t="shared" si="123"/>
        <v>174293.774</v>
      </c>
      <c r="AM810" s="159" t="s">
        <v>424</v>
      </c>
      <c r="AN810" s="159">
        <f>+B810/31/1.98</f>
        <v>1578.9345063538613</v>
      </c>
      <c r="AO810" s="159">
        <f t="shared" si="127"/>
        <v>0</v>
      </c>
      <c r="AP810" s="159">
        <f>+K280</f>
        <v>-1426.6425910562359</v>
      </c>
      <c r="AQ810" s="159"/>
      <c r="AR810" s="159"/>
      <c r="AS810" s="159"/>
      <c r="AT810" s="324"/>
    </row>
    <row r="811" spans="1:46" ht="15.75" customHeight="1" x14ac:dyDescent="0.3">
      <c r="A811" s="365" t="s">
        <v>18</v>
      </c>
      <c r="B811" s="159">
        <f>+L29</f>
        <v>149998</v>
      </c>
      <c r="C811" s="159">
        <f>+L64</f>
        <v>149682</v>
      </c>
      <c r="D811" s="159">
        <f>+L130</f>
        <v>149359</v>
      </c>
      <c r="E811" s="159">
        <f>+L270</f>
        <v>144368</v>
      </c>
      <c r="F811" s="159">
        <f>+L265</f>
        <v>27530</v>
      </c>
      <c r="G811" s="159">
        <f>+L277</f>
        <v>-371</v>
      </c>
      <c r="H811" s="159">
        <f>+L402</f>
        <v>83975</v>
      </c>
      <c r="I811" s="159">
        <f>+L449</f>
        <v>31850</v>
      </c>
      <c r="J811" s="159">
        <f>+L491</f>
        <v>25065</v>
      </c>
      <c r="K811" s="159">
        <f>+L544</f>
        <v>21340</v>
      </c>
      <c r="L811" s="159">
        <f>+L554</f>
        <v>17678</v>
      </c>
      <c r="M811" s="159">
        <f>+L590</f>
        <v>17644</v>
      </c>
      <c r="N811" s="159">
        <f>+L634</f>
        <v>15838</v>
      </c>
      <c r="O811" s="159">
        <f>+L644</f>
        <v>3566</v>
      </c>
      <c r="P811" s="159">
        <f>+L678</f>
        <v>5523</v>
      </c>
      <c r="Q811" s="159">
        <f>+L724</f>
        <v>3522</v>
      </c>
      <c r="R811" s="324"/>
      <c r="T811" s="366">
        <f>'[1]Lake Pleasant Forecast'!B51</f>
        <v>1659.68</v>
      </c>
      <c r="AC811" s="325" t="s">
        <v>418</v>
      </c>
      <c r="AD811" s="159">
        <f t="shared" si="118"/>
        <v>27530</v>
      </c>
      <c r="AE811" s="159">
        <f t="shared" si="119"/>
        <v>1598.5266164632565</v>
      </c>
      <c r="AF811" s="159">
        <f t="shared" si="126"/>
        <v>44007.437751233454</v>
      </c>
      <c r="AG811" s="159">
        <f t="shared" si="120"/>
        <v>173286.054</v>
      </c>
      <c r="AH811" s="159">
        <f t="shared" si="124"/>
        <v>217293.49175123347</v>
      </c>
      <c r="AI811" s="159">
        <f t="shared" si="121"/>
        <v>37005.777000000002</v>
      </c>
      <c r="AJ811" s="159">
        <f t="shared" si="125"/>
        <v>254299.26875123347</v>
      </c>
      <c r="AK811" s="159">
        <v>0</v>
      </c>
      <c r="AL811" s="159">
        <f t="shared" si="123"/>
        <v>254299.26875123347</v>
      </c>
      <c r="AM811" s="159" t="s">
        <v>424</v>
      </c>
      <c r="AN811" s="159">
        <f>+B811/30/1.98</f>
        <v>2525.2188552188554</v>
      </c>
      <c r="AO811" s="159">
        <f t="shared" si="127"/>
        <v>462.65694444444443</v>
      </c>
      <c r="AP811" s="159">
        <f>+L280</f>
        <v>-6.2363422423936798</v>
      </c>
      <c r="AQ811" s="159"/>
      <c r="AR811" s="159"/>
      <c r="AS811" s="159"/>
      <c r="AT811" s="324"/>
    </row>
    <row r="812" spans="1:46" ht="15.75" customHeight="1" x14ac:dyDescent="0.3">
      <c r="A812" s="365" t="s">
        <v>20</v>
      </c>
      <c r="B812" s="159">
        <f>+N29</f>
        <v>187598</v>
      </c>
      <c r="C812" s="159">
        <f>+N64</f>
        <v>187313</v>
      </c>
      <c r="D812" s="159">
        <f>+N130</f>
        <v>187011</v>
      </c>
      <c r="E812" s="159">
        <f>+N270</f>
        <v>181225</v>
      </c>
      <c r="F812" s="159">
        <f>+N265</f>
        <v>78545</v>
      </c>
      <c r="G812" s="159">
        <f>+N277</f>
        <v>0</v>
      </c>
      <c r="H812" s="159">
        <f>+N402</f>
        <v>69835</v>
      </c>
      <c r="I812" s="159">
        <f>+N449</f>
        <v>15811</v>
      </c>
      <c r="J812" s="159">
        <f>+N491</f>
        <v>15032</v>
      </c>
      <c r="K812" s="159">
        <f>+N544</f>
        <v>14361</v>
      </c>
      <c r="L812" s="159">
        <f>+N554</f>
        <v>11490</v>
      </c>
      <c r="M812" s="159">
        <f>+N590</f>
        <v>11461</v>
      </c>
      <c r="N812" s="159">
        <f>+N634</f>
        <v>10988</v>
      </c>
      <c r="O812" s="159">
        <f>+N644</f>
        <v>3269</v>
      </c>
      <c r="P812" s="159">
        <f>+N678</f>
        <v>5354</v>
      </c>
      <c r="Q812" s="159">
        <f>+N724</f>
        <v>3264</v>
      </c>
      <c r="R812" s="324"/>
      <c r="T812" s="366">
        <f>'[1]Lake Pleasant Forecast'!B53</f>
        <v>1666.2699999999998</v>
      </c>
      <c r="AC812" s="325" t="s">
        <v>419</v>
      </c>
      <c r="AD812" s="159">
        <f t="shared" si="118"/>
        <v>78545</v>
      </c>
      <c r="AE812" s="159">
        <f t="shared" si="119"/>
        <v>1607.0828356271095</v>
      </c>
      <c r="AF812" s="159">
        <f t="shared" si="126"/>
        <v>126228.32132433131</v>
      </c>
      <c r="AG812" s="159">
        <f t="shared" si="120"/>
        <v>154003.98499999999</v>
      </c>
      <c r="AH812" s="159">
        <f t="shared" si="124"/>
        <v>280232.30632433132</v>
      </c>
      <c r="AI812" s="159">
        <f t="shared" si="121"/>
        <v>25954.283000000003</v>
      </c>
      <c r="AJ812" s="159">
        <f t="shared" si="125"/>
        <v>306186.58932433132</v>
      </c>
      <c r="AK812" s="159">
        <v>0</v>
      </c>
      <c r="AL812" s="159">
        <f t="shared" si="123"/>
        <v>306186.58932433132</v>
      </c>
      <c r="AM812" s="159" t="s">
        <v>424</v>
      </c>
      <c r="AN812" s="159">
        <f>+B812/31/1.98</f>
        <v>3056.3375692407953</v>
      </c>
      <c r="AO812" s="159">
        <f t="shared" si="127"/>
        <v>1319.9923611111112</v>
      </c>
      <c r="AP812" s="159">
        <f>+N280</f>
        <v>0</v>
      </c>
      <c r="AQ812" s="159"/>
      <c r="AR812" s="159"/>
      <c r="AS812" s="159"/>
      <c r="AT812" s="324"/>
    </row>
    <row r="813" spans="1:46" ht="15.75" customHeight="1" x14ac:dyDescent="0.3">
      <c r="A813" s="365" t="s">
        <v>21</v>
      </c>
      <c r="B813" s="159">
        <f>+O29</f>
        <v>144410</v>
      </c>
      <c r="C813" s="159">
        <f>+O64</f>
        <v>144175</v>
      </c>
      <c r="D813" s="159">
        <f>+O130</f>
        <v>143948</v>
      </c>
      <c r="E813" s="159">
        <f>+O270</f>
        <v>140639</v>
      </c>
      <c r="F813" s="159">
        <f>+O265</f>
        <v>80601</v>
      </c>
      <c r="G813" s="159">
        <f>+O277</f>
        <v>0</v>
      </c>
      <c r="H813" s="159">
        <f>+O402</f>
        <v>35227</v>
      </c>
      <c r="I813" s="159">
        <f>+O449</f>
        <v>9452</v>
      </c>
      <c r="J813" s="159">
        <f>+O491</f>
        <v>9114</v>
      </c>
      <c r="K813" s="159">
        <f>+O544</f>
        <v>8259</v>
      </c>
      <c r="L813" s="159">
        <f>+O554</f>
        <v>7381</v>
      </c>
      <c r="M813" s="159">
        <f>+O590</f>
        <v>7358</v>
      </c>
      <c r="N813" s="159">
        <f>+O634</f>
        <v>7182</v>
      </c>
      <c r="O813" s="159">
        <f>+O644</f>
        <v>2110</v>
      </c>
      <c r="P813" s="159">
        <f>+O678</f>
        <v>4371</v>
      </c>
      <c r="Q813" s="159">
        <f>+O724</f>
        <v>2107</v>
      </c>
      <c r="R813" s="324"/>
      <c r="T813" s="366">
        <f>'[1]Lake Pleasant Forecast'!B55</f>
        <v>1674.31</v>
      </c>
      <c r="AC813" s="325" t="s">
        <v>420</v>
      </c>
      <c r="AD813" s="159">
        <f t="shared" si="118"/>
        <v>80601</v>
      </c>
      <c r="AE813" s="159">
        <f t="shared" si="119"/>
        <v>1617.5216826798235</v>
      </c>
      <c r="AF813" s="159">
        <f t="shared" si="126"/>
        <v>130373.86514567645</v>
      </c>
      <c r="AG813" s="159">
        <f t="shared" si="120"/>
        <v>90077.979000000007</v>
      </c>
      <c r="AH813" s="159">
        <f t="shared" si="124"/>
        <v>220451.84414567647</v>
      </c>
      <c r="AI813" s="159">
        <f t="shared" si="121"/>
        <v>15592.213</v>
      </c>
      <c r="AJ813" s="159">
        <f t="shared" si="125"/>
        <v>236044.05714567646</v>
      </c>
      <c r="AK813" s="159">
        <f>(G896)</f>
        <v>0</v>
      </c>
      <c r="AL813" s="159">
        <f t="shared" si="123"/>
        <v>236044.05714567646</v>
      </c>
      <c r="AM813" s="159" t="s">
        <v>424</v>
      </c>
      <c r="AN813" s="159">
        <f>+B813/30/1.98</f>
        <v>2431.1447811447815</v>
      </c>
      <c r="AO813" s="159">
        <f t="shared" si="127"/>
        <v>1354.5445833333333</v>
      </c>
      <c r="AP813" s="159">
        <f>+O280</f>
        <v>0</v>
      </c>
      <c r="AQ813" s="159"/>
      <c r="AR813" s="159"/>
      <c r="AS813" s="159"/>
      <c r="AT813" s="324"/>
    </row>
    <row r="814" spans="1:46" ht="15.75" customHeight="1" x14ac:dyDescent="0.3">
      <c r="A814" s="365" t="s">
        <v>22</v>
      </c>
      <c r="B814" s="159">
        <f>+P29</f>
        <v>137651</v>
      </c>
      <c r="C814" s="159">
        <f>+P64</f>
        <v>137465</v>
      </c>
      <c r="D814" s="159">
        <f>+P130</f>
        <v>137286</v>
      </c>
      <c r="E814" s="159">
        <f>+P270</f>
        <v>120118</v>
      </c>
      <c r="F814" s="159">
        <f>+P265</f>
        <v>43033</v>
      </c>
      <c r="G814" s="159">
        <f>+P277</f>
        <v>0</v>
      </c>
      <c r="H814" s="159">
        <f>+P402</f>
        <v>51905</v>
      </c>
      <c r="I814" s="159">
        <f>+P449</f>
        <v>20820</v>
      </c>
      <c r="J814" s="159">
        <f>+P491</f>
        <v>18610</v>
      </c>
      <c r="K814" s="159">
        <f>+P544</f>
        <v>18506</v>
      </c>
      <c r="L814" s="159">
        <f>+P554</f>
        <v>13834</v>
      </c>
      <c r="M814" s="159">
        <f>+P590</f>
        <v>13815</v>
      </c>
      <c r="N814" s="159">
        <f>+P634</f>
        <v>13610</v>
      </c>
      <c r="O814" s="159">
        <f>+P644</f>
        <v>3302</v>
      </c>
      <c r="P814" s="159">
        <f>+P678</f>
        <v>4942</v>
      </c>
      <c r="Q814" s="159">
        <f>+P724</f>
        <v>3300</v>
      </c>
      <c r="R814" s="324"/>
      <c r="T814" s="366">
        <f>'[1]Lake Pleasant Forecast'!B57</f>
        <v>1677.029882034898</v>
      </c>
      <c r="AC814" s="325" t="s">
        <v>421</v>
      </c>
      <c r="AD814" s="159">
        <f t="shared" si="118"/>
        <v>43033</v>
      </c>
      <c r="AE814" s="159">
        <f t="shared" si="119"/>
        <v>1621.0530797648637</v>
      </c>
      <c r="AF814" s="159">
        <f t="shared" si="126"/>
        <v>69758.777181521393</v>
      </c>
      <c r="AG814" s="159">
        <f t="shared" si="120"/>
        <v>131016.129</v>
      </c>
      <c r="AH814" s="159">
        <f t="shared" si="124"/>
        <v>200774.90618152139</v>
      </c>
      <c r="AI814" s="159">
        <f t="shared" si="121"/>
        <v>28038.775000000005</v>
      </c>
      <c r="AJ814" s="159">
        <f t="shared" si="125"/>
        <v>228813.68118152139</v>
      </c>
      <c r="AK814" s="159">
        <f>(G897)</f>
        <v>0</v>
      </c>
      <c r="AL814" s="159">
        <f t="shared" si="123"/>
        <v>228813.68118152139</v>
      </c>
      <c r="AM814" s="159" t="s">
        <v>424</v>
      </c>
      <c r="AN814" s="159">
        <f>+B814/31/1.98</f>
        <v>2242.6034538937765</v>
      </c>
      <c r="AO814" s="159">
        <f>(AD814*43560/31/24/3600)</f>
        <v>699.86465053763436</v>
      </c>
      <c r="AP814" s="159">
        <f>+P280</f>
        <v>0</v>
      </c>
      <c r="AQ814" s="159"/>
      <c r="AR814" s="159"/>
      <c r="AS814" s="159"/>
      <c r="AT814" s="324"/>
    </row>
    <row r="815" spans="1:46" ht="15.75" customHeight="1" x14ac:dyDescent="0.3">
      <c r="A815" s="325"/>
      <c r="B815" s="159"/>
      <c r="C815" s="159"/>
      <c r="D815" s="159"/>
      <c r="E815" s="159"/>
      <c r="F815" s="159"/>
      <c r="G815" s="159"/>
      <c r="H815" s="159"/>
      <c r="I815" s="159"/>
      <c r="J815" s="159"/>
      <c r="K815" s="159"/>
      <c r="L815" s="159"/>
      <c r="M815" s="159"/>
      <c r="N815" s="159"/>
      <c r="O815" s="159"/>
      <c r="P815" s="159"/>
      <c r="Q815" s="159"/>
      <c r="R815" s="324"/>
      <c r="AC815" s="323"/>
      <c r="AD815" s="159"/>
      <c r="AE815" s="159"/>
      <c r="AF815" s="159"/>
      <c r="AG815" s="159"/>
      <c r="AH815" s="159"/>
      <c r="AI815" s="159"/>
      <c r="AJ815" s="159"/>
      <c r="AK815" s="159"/>
      <c r="AL815" s="159"/>
      <c r="AM815" s="159" t="s">
        <v>424</v>
      </c>
      <c r="AN815" s="159"/>
      <c r="AO815" s="159"/>
      <c r="AP815" s="159"/>
      <c r="AQ815" s="159"/>
      <c r="AR815" s="159"/>
      <c r="AS815" s="159"/>
      <c r="AT815" s="324"/>
    </row>
    <row r="816" spans="1:46" ht="15.75" customHeight="1" x14ac:dyDescent="0.3">
      <c r="A816" s="325" t="s">
        <v>422</v>
      </c>
      <c r="B816" s="159">
        <f t="shared" ref="B816:Q816" si="128">SUM(B803:B814)</f>
        <v>1664522</v>
      </c>
      <c r="C816" s="159">
        <f t="shared" si="128"/>
        <v>1661022</v>
      </c>
      <c r="D816" s="159">
        <f t="shared" si="128"/>
        <v>1656947</v>
      </c>
      <c r="E816" s="159">
        <f t="shared" si="128"/>
        <v>1576108</v>
      </c>
      <c r="F816" s="159">
        <f t="shared" si="128"/>
        <v>439869</v>
      </c>
      <c r="G816" s="159">
        <f t="shared" si="128"/>
        <v>-340458</v>
      </c>
      <c r="H816" s="159">
        <f t="shared" si="128"/>
        <v>1075116</v>
      </c>
      <c r="I816" s="159">
        <f t="shared" si="128"/>
        <v>380958</v>
      </c>
      <c r="J816" s="159">
        <f t="shared" si="128"/>
        <v>273747</v>
      </c>
      <c r="K816" s="159">
        <f t="shared" si="128"/>
        <v>228864</v>
      </c>
      <c r="L816" s="159">
        <f t="shared" si="128"/>
        <v>192958</v>
      </c>
      <c r="M816" s="159">
        <f t="shared" si="128"/>
        <v>192585</v>
      </c>
      <c r="N816" s="159">
        <f t="shared" si="128"/>
        <v>177990</v>
      </c>
      <c r="O816" s="159">
        <f t="shared" si="128"/>
        <v>43660</v>
      </c>
      <c r="P816" s="159">
        <f t="shared" si="128"/>
        <v>54344</v>
      </c>
      <c r="Q816" s="159">
        <f t="shared" si="128"/>
        <v>43381</v>
      </c>
      <c r="R816" s="324"/>
      <c r="AC816" s="323" t="s">
        <v>422</v>
      </c>
      <c r="AD816" s="159">
        <f>SUM(AD803:AD814)</f>
        <v>439869</v>
      </c>
      <c r="AE816" s="159"/>
      <c r="AF816" s="159">
        <f t="shared" ref="AF816:AL816" si="129">SUM(AF803:AF814)</f>
        <v>715607.92339247477</v>
      </c>
      <c r="AG816" s="159">
        <f t="shared" si="129"/>
        <v>1725595.912</v>
      </c>
      <c r="AH816" s="159">
        <f t="shared" si="129"/>
        <v>2441203.8353924747</v>
      </c>
      <c r="AI816" s="159">
        <f t="shared" si="129"/>
        <v>425993.06199999998</v>
      </c>
      <c r="AJ816" s="159">
        <f t="shared" si="129"/>
        <v>2867196.897392475</v>
      </c>
      <c r="AK816" s="159">
        <f t="shared" si="129"/>
        <v>43526</v>
      </c>
      <c r="AL816" s="159">
        <f t="shared" si="129"/>
        <v>2823670.897392475</v>
      </c>
      <c r="AM816" s="159"/>
      <c r="AN816" s="159"/>
      <c r="AO816" s="159"/>
      <c r="AP816" s="159"/>
      <c r="AQ816" s="159"/>
      <c r="AR816" s="159"/>
      <c r="AS816" s="159"/>
      <c r="AT816" s="324"/>
    </row>
    <row r="817" spans="1:50" ht="16.5" customHeight="1" thickBot="1" x14ac:dyDescent="0.35">
      <c r="A817" s="330" t="s">
        <v>7</v>
      </c>
      <c r="B817" s="327"/>
      <c r="C817" s="327"/>
      <c r="D817" s="327"/>
      <c r="E817" s="327"/>
      <c r="F817" s="327"/>
      <c r="G817" s="327"/>
      <c r="H817" s="327"/>
      <c r="I817" s="327"/>
      <c r="J817" s="327"/>
      <c r="K817" s="327"/>
      <c r="L817" s="327"/>
      <c r="M817" s="327"/>
      <c r="N817" s="327"/>
      <c r="O817" s="327"/>
      <c r="P817" s="327"/>
      <c r="Q817" s="327"/>
      <c r="R817" s="328"/>
      <c r="AC817" s="323"/>
      <c r="AD817" s="159"/>
      <c r="AE817" s="159"/>
      <c r="AF817" s="159"/>
      <c r="AG817" s="159"/>
      <c r="AH817" s="159"/>
      <c r="AI817" s="159"/>
      <c r="AJ817" s="159"/>
      <c r="AK817" s="159"/>
      <c r="AL817" s="159"/>
      <c r="AM817" s="159"/>
      <c r="AN817" s="159"/>
      <c r="AO817" s="159"/>
      <c r="AP817" s="159"/>
      <c r="AQ817" s="159"/>
      <c r="AR817" s="159"/>
      <c r="AS817" s="159"/>
      <c r="AT817" s="324"/>
    </row>
    <row r="818" spans="1:50" ht="15.75" customHeight="1" x14ac:dyDescent="0.3">
      <c r="A818" s="164"/>
      <c r="B818" s="159"/>
      <c r="C818" s="159"/>
      <c r="D818" s="159"/>
      <c r="E818" s="159"/>
      <c r="F818" s="159"/>
      <c r="G818" s="159"/>
      <c r="H818" s="159"/>
      <c r="I818" s="159"/>
      <c r="J818" s="159"/>
      <c r="K818" s="159"/>
      <c r="L818" s="159"/>
      <c r="M818" s="159"/>
      <c r="N818" s="159"/>
      <c r="O818" s="159"/>
      <c r="P818" s="159"/>
      <c r="Q818" s="159"/>
      <c r="R818" s="159"/>
      <c r="AC818" s="323" t="s">
        <v>450</v>
      </c>
      <c r="AD818" s="159"/>
      <c r="AE818" s="159"/>
      <c r="AF818" s="159"/>
      <c r="AG818" s="159"/>
      <c r="AH818" s="159"/>
      <c r="AI818" s="159"/>
      <c r="AJ818" s="159"/>
      <c r="AK818" s="159"/>
      <c r="AL818" s="159"/>
      <c r="AM818" s="159"/>
      <c r="AN818" s="159"/>
      <c r="AO818" s="159"/>
      <c r="AP818" s="159"/>
      <c r="AQ818" s="159"/>
      <c r="AR818" s="159"/>
      <c r="AS818" s="159"/>
      <c r="AT818" s="324"/>
    </row>
    <row r="819" spans="1:50" ht="15.75" customHeight="1" x14ac:dyDescent="0.3">
      <c r="A819" s="365"/>
      <c r="AC819" s="323" t="s">
        <v>451</v>
      </c>
      <c r="AD819" s="159"/>
      <c r="AE819" s="159"/>
      <c r="AF819" s="159"/>
      <c r="AG819" s="159"/>
      <c r="AH819" s="159"/>
      <c r="AI819" s="159"/>
      <c r="AJ819" s="159"/>
      <c r="AK819" s="159"/>
      <c r="AL819" s="159"/>
      <c r="AM819" s="159"/>
      <c r="AN819" s="159"/>
      <c r="AO819" s="159"/>
      <c r="AP819" s="159"/>
      <c r="AQ819" s="159"/>
      <c r="AR819" s="159"/>
      <c r="AS819" s="159"/>
      <c r="AT819" s="324"/>
    </row>
    <row r="820" spans="1:50" ht="15.75" customHeight="1" thickBot="1" x14ac:dyDescent="0.35">
      <c r="A820" s="365"/>
      <c r="AC820" s="323"/>
      <c r="AD820" s="159"/>
      <c r="AE820" s="159"/>
      <c r="AF820" s="159"/>
      <c r="AG820" s="159"/>
      <c r="AH820" s="159"/>
      <c r="AI820" s="159"/>
      <c r="AJ820" s="159"/>
      <c r="AK820" s="159"/>
      <c r="AL820" s="159"/>
      <c r="AM820" s="159"/>
      <c r="AN820" s="159"/>
      <c r="AO820" s="159"/>
      <c r="AP820" s="159"/>
      <c r="AQ820" s="159"/>
      <c r="AR820" s="159"/>
      <c r="AS820" s="159"/>
      <c r="AT820" s="324"/>
    </row>
    <row r="821" spans="1:50" ht="15.75" customHeight="1" x14ac:dyDescent="0.3">
      <c r="A821" s="363"/>
      <c r="B821" s="506" t="s">
        <v>454</v>
      </c>
      <c r="C821" s="506"/>
      <c r="D821" s="506"/>
      <c r="E821" s="506"/>
      <c r="F821" s="506"/>
      <c r="G821" s="506"/>
      <c r="H821" s="506"/>
      <c r="I821" s="506"/>
      <c r="J821" s="506"/>
      <c r="K821" s="506"/>
      <c r="L821" s="506"/>
      <c r="M821" s="506"/>
      <c r="N821" s="506"/>
      <c r="O821" s="506"/>
      <c r="P821" s="506"/>
      <c r="Q821" s="321" t="str">
        <f>+Q1</f>
        <v>PRINTED:</v>
      </c>
      <c r="R821" s="322">
        <f ca="1">+R1</f>
        <v>44909.46975358796</v>
      </c>
      <c r="AC821" s="323" t="s">
        <v>452</v>
      </c>
      <c r="AD821" s="159"/>
      <c r="AE821" s="159"/>
      <c r="AF821" s="159"/>
      <c r="AG821" s="159"/>
      <c r="AH821" s="159"/>
      <c r="AI821" s="159"/>
      <c r="AJ821" s="159"/>
      <c r="AK821" s="159"/>
      <c r="AL821" s="159"/>
      <c r="AM821" s="159"/>
      <c r="AN821" s="159"/>
      <c r="AO821" s="159"/>
      <c r="AP821" s="159"/>
      <c r="AQ821" s="159"/>
      <c r="AR821" s="159"/>
      <c r="AS821" s="159"/>
      <c r="AT821" s="324"/>
    </row>
    <row r="822" spans="1:50" ht="15.75" customHeight="1" x14ac:dyDescent="0.3">
      <c r="A822" s="325"/>
      <c r="B822" s="503" t="str">
        <f>+A8</f>
        <v>Revised:  11/25/13</v>
      </c>
      <c r="C822" s="503"/>
      <c r="D822" s="503"/>
      <c r="E822" s="503"/>
      <c r="F822" s="503"/>
      <c r="G822" s="503"/>
      <c r="H822" s="503"/>
      <c r="I822" s="503"/>
      <c r="J822" s="503"/>
      <c r="K822" s="503"/>
      <c r="L822" s="503"/>
      <c r="M822" s="503"/>
      <c r="N822" s="503"/>
      <c r="O822" s="503"/>
      <c r="P822" s="503"/>
      <c r="Q822" s="159"/>
      <c r="R822" s="324"/>
      <c r="AC822" s="323"/>
      <c r="AD822" s="159"/>
      <c r="AE822" s="159"/>
      <c r="AF822" s="159"/>
      <c r="AG822" s="159"/>
      <c r="AH822" s="159"/>
      <c r="AI822" s="159"/>
      <c r="AJ822" s="159"/>
      <c r="AK822" s="159"/>
      <c r="AL822" s="159"/>
      <c r="AM822" s="159"/>
      <c r="AN822" s="159"/>
      <c r="AO822" s="159"/>
      <c r="AP822" s="159"/>
      <c r="AQ822" s="159"/>
      <c r="AR822" s="159"/>
      <c r="AS822" s="159"/>
      <c r="AT822" s="324"/>
    </row>
    <row r="823" spans="1:50" ht="15.75" customHeight="1" thickBot="1" x14ac:dyDescent="0.35">
      <c r="A823" s="325"/>
      <c r="B823" s="503" t="s">
        <v>787</v>
      </c>
      <c r="C823" s="503"/>
      <c r="D823" s="503"/>
      <c r="E823" s="503"/>
      <c r="F823" s="503"/>
      <c r="G823" s="503"/>
      <c r="H823" s="503"/>
      <c r="I823" s="503"/>
      <c r="J823" s="503"/>
      <c r="K823" s="503"/>
      <c r="L823" s="503"/>
      <c r="M823" s="503"/>
      <c r="N823" s="503"/>
      <c r="O823" s="503"/>
      <c r="P823" s="503"/>
      <c r="Q823" s="159"/>
      <c r="R823" s="324"/>
      <c r="AC823" s="326" t="s">
        <v>453</v>
      </c>
      <c r="AD823" s="327"/>
      <c r="AE823" s="327"/>
      <c r="AF823" s="327"/>
      <c r="AG823" s="327"/>
      <c r="AH823" s="327"/>
      <c r="AI823" s="327"/>
      <c r="AJ823" s="327"/>
      <c r="AK823" s="327"/>
      <c r="AL823" s="327"/>
      <c r="AM823" s="327"/>
      <c r="AN823" s="327"/>
      <c r="AO823" s="327"/>
      <c r="AP823" s="327"/>
      <c r="AQ823" s="327"/>
      <c r="AR823" s="327"/>
      <c r="AS823" s="327"/>
      <c r="AT823" s="328"/>
    </row>
    <row r="824" spans="1:50" ht="15.75" customHeight="1" x14ac:dyDescent="0.3">
      <c r="A824" s="325"/>
      <c r="B824" s="503"/>
      <c r="C824" s="503"/>
      <c r="D824" s="503"/>
      <c r="E824" s="503"/>
      <c r="F824" s="503"/>
      <c r="G824" s="503"/>
      <c r="H824" s="503"/>
      <c r="I824" s="503"/>
      <c r="J824" s="503"/>
      <c r="K824" s="503"/>
      <c r="L824" s="503"/>
      <c r="M824" s="503"/>
      <c r="N824" s="503"/>
      <c r="O824" s="503"/>
      <c r="P824" s="503"/>
      <c r="Q824" s="159"/>
      <c r="R824" s="324"/>
    </row>
    <row r="825" spans="1:50" ht="15.75" customHeight="1" thickBot="1" x14ac:dyDescent="0.35">
      <c r="A825" s="325"/>
      <c r="B825" s="507">
        <f>+A5</f>
        <v>2013</v>
      </c>
      <c r="C825" s="507"/>
      <c r="D825" s="507"/>
      <c r="E825" s="507"/>
      <c r="F825" s="507"/>
      <c r="G825" s="507"/>
      <c r="H825" s="507"/>
      <c r="I825" s="507"/>
      <c r="J825" s="507"/>
      <c r="K825" s="507"/>
      <c r="L825" s="507"/>
      <c r="M825" s="507"/>
      <c r="N825" s="507"/>
      <c r="O825" s="507"/>
      <c r="P825" s="507"/>
      <c r="Q825" s="159"/>
      <c r="R825" s="324"/>
    </row>
    <row r="826" spans="1:50" ht="15.75" customHeight="1" x14ac:dyDescent="0.3">
      <c r="A826" s="325"/>
      <c r="B826" s="503" t="s">
        <v>1027</v>
      </c>
      <c r="C826" s="503"/>
      <c r="D826" s="503"/>
      <c r="E826" s="503"/>
      <c r="F826" s="503"/>
      <c r="G826" s="503"/>
      <c r="H826" s="503"/>
      <c r="I826" s="503"/>
      <c r="J826" s="503"/>
      <c r="K826" s="503"/>
      <c r="L826" s="503"/>
      <c r="M826" s="503"/>
      <c r="N826" s="503"/>
      <c r="O826" s="503"/>
      <c r="P826" s="503"/>
      <c r="Q826" s="159"/>
      <c r="R826" s="324"/>
      <c r="AC826" s="318"/>
      <c r="AD826" s="319"/>
      <c r="AE826" s="319"/>
      <c r="AF826" s="319"/>
      <c r="AG826" s="319"/>
      <c r="AH826" s="319"/>
      <c r="AI826" s="319"/>
      <c r="AJ826" s="319"/>
      <c r="AK826" s="319"/>
      <c r="AL826" s="319"/>
      <c r="AM826" s="319"/>
      <c r="AN826" s="319"/>
      <c r="AO826" s="319"/>
      <c r="AP826" s="319"/>
      <c r="AQ826" s="319"/>
      <c r="AR826" s="319"/>
      <c r="AS826" s="321" t="str">
        <f>+Q1</f>
        <v>PRINTED:</v>
      </c>
      <c r="AT826" s="331">
        <f ca="1">+R1</f>
        <v>44909.46975358796</v>
      </c>
      <c r="AU826" s="332"/>
      <c r="AW826" s="161" t="s">
        <v>467</v>
      </c>
      <c r="AX826" s="159"/>
    </row>
    <row r="827" spans="1:50" ht="15.75" customHeight="1" x14ac:dyDescent="0.35">
      <c r="A827" s="325"/>
      <c r="B827" s="159"/>
      <c r="C827" s="159"/>
      <c r="D827" s="159"/>
      <c r="E827" s="159"/>
      <c r="F827" s="159"/>
      <c r="G827" s="159"/>
      <c r="H827" s="159"/>
      <c r="I827" s="159"/>
      <c r="J827" s="159"/>
      <c r="K827" s="159"/>
      <c r="L827" s="159"/>
      <c r="M827" s="159"/>
      <c r="N827" s="159"/>
      <c r="O827" s="159"/>
      <c r="P827" s="159"/>
      <c r="Q827" s="159"/>
      <c r="R827" s="324"/>
      <c r="AC827" s="323"/>
      <c r="AD827" s="159"/>
      <c r="AE827" s="161" t="s">
        <v>460</v>
      </c>
      <c r="AF827" s="159"/>
      <c r="AG827" s="159"/>
      <c r="AH827" s="159"/>
      <c r="AI827" s="159"/>
      <c r="AJ827" s="159"/>
      <c r="AK827" s="159"/>
      <c r="AL827" s="159"/>
      <c r="AM827" s="159"/>
      <c r="AN827" s="167"/>
      <c r="AO827" s="161" t="s">
        <v>461</v>
      </c>
      <c r="AP827" s="159"/>
      <c r="AQ827" s="159"/>
      <c r="AR827" s="159"/>
      <c r="AS827" s="159"/>
      <c r="AT827" s="159"/>
      <c r="AU827" s="307"/>
      <c r="AW827" s="159" t="s">
        <v>468</v>
      </c>
      <c r="AX827" s="159"/>
    </row>
    <row r="828" spans="1:50" ht="15.75" customHeight="1" thickBot="1" x14ac:dyDescent="0.35">
      <c r="A828" s="325" t="s">
        <v>389</v>
      </c>
      <c r="B828" s="364" t="s">
        <v>390</v>
      </c>
      <c r="C828" s="364" t="s">
        <v>391</v>
      </c>
      <c r="D828" s="364" t="s">
        <v>392</v>
      </c>
      <c r="E828" s="364" t="s">
        <v>393</v>
      </c>
      <c r="F828" s="364" t="s">
        <v>394</v>
      </c>
      <c r="G828" s="364" t="s">
        <v>394</v>
      </c>
      <c r="H828" s="364" t="s">
        <v>395</v>
      </c>
      <c r="I828" s="364" t="s">
        <v>396</v>
      </c>
      <c r="J828" s="364" t="s">
        <v>397</v>
      </c>
      <c r="K828" s="364" t="s">
        <v>398</v>
      </c>
      <c r="L828" s="364" t="s">
        <v>399</v>
      </c>
      <c r="M828" s="364" t="s">
        <v>400</v>
      </c>
      <c r="N828" s="364" t="s">
        <v>401</v>
      </c>
      <c r="O828" s="364" t="s">
        <v>402</v>
      </c>
      <c r="P828" s="364" t="s">
        <v>403</v>
      </c>
      <c r="Q828" s="364" t="s">
        <v>404</v>
      </c>
      <c r="R828" s="324"/>
      <c r="AC828" s="323"/>
      <c r="AD828" s="159"/>
      <c r="AE828" s="159"/>
      <c r="AF828" s="159"/>
      <c r="AG828" s="159" t="s">
        <v>7</v>
      </c>
      <c r="AH828" s="163" t="str">
        <f>+A8</f>
        <v>Revised:  11/25/13</v>
      </c>
      <c r="AI828" s="159"/>
      <c r="AJ828" s="159"/>
      <c r="AK828" s="159"/>
      <c r="AL828" s="159"/>
      <c r="AM828" s="159"/>
      <c r="AN828" s="159"/>
      <c r="AO828" s="159"/>
      <c r="AP828" s="159"/>
      <c r="AQ828" s="159"/>
      <c r="AR828" s="159" t="s">
        <v>7</v>
      </c>
      <c r="AS828" s="163" t="str">
        <f>+A8</f>
        <v>Revised:  11/25/13</v>
      </c>
      <c r="AT828" s="159"/>
      <c r="AU828" s="307"/>
      <c r="AW828" s="159"/>
      <c r="AX828" s="159"/>
    </row>
    <row r="829" spans="1:50" ht="15.75" customHeight="1" x14ac:dyDescent="0.3">
      <c r="A829" s="325" t="s">
        <v>405</v>
      </c>
      <c r="B829" s="159"/>
      <c r="C829" s="159"/>
      <c r="D829" s="159"/>
      <c r="E829" s="159"/>
      <c r="F829" s="164" t="s">
        <v>406</v>
      </c>
      <c r="G829" s="164" t="s">
        <v>407</v>
      </c>
      <c r="H829" s="159"/>
      <c r="I829" s="159"/>
      <c r="J829" s="159"/>
      <c r="K829" s="159"/>
      <c r="L829" s="159"/>
      <c r="M829" s="159"/>
      <c r="N829" s="159"/>
      <c r="O829" s="159"/>
      <c r="P829" s="159"/>
      <c r="Q829" s="159"/>
      <c r="R829" s="324"/>
      <c r="AC829" s="323"/>
      <c r="AD829" s="159"/>
      <c r="AE829" s="159"/>
      <c r="AF829" s="159" t="s">
        <v>787</v>
      </c>
      <c r="AG829" s="159"/>
      <c r="AH829" s="159"/>
      <c r="AI829" s="159"/>
      <c r="AJ829" s="159"/>
      <c r="AK829" s="159"/>
      <c r="AL829" s="159"/>
      <c r="AM829" s="159"/>
      <c r="AN829" s="159"/>
      <c r="AO829" s="159"/>
      <c r="AP829" s="159" t="s">
        <v>787</v>
      </c>
      <c r="AQ829" s="159"/>
      <c r="AR829" s="159"/>
      <c r="AS829" s="159"/>
      <c r="AT829" s="159"/>
      <c r="AU829" s="307"/>
      <c r="AW829" s="159" t="s">
        <v>424</v>
      </c>
      <c r="AX829" s="164" t="s">
        <v>442</v>
      </c>
    </row>
    <row r="830" spans="1:50" ht="15.75" customHeight="1" x14ac:dyDescent="0.3">
      <c r="A830" s="325" t="s">
        <v>408</v>
      </c>
      <c r="B830" s="159">
        <f>+B$801</f>
        <v>957</v>
      </c>
      <c r="C830" s="159">
        <f>+C$801</f>
        <v>122</v>
      </c>
      <c r="D830" s="159">
        <f>+D$801</f>
        <v>128</v>
      </c>
      <c r="E830" s="159">
        <f>+E$801</f>
        <v>219</v>
      </c>
      <c r="F830" s="159"/>
      <c r="G830" s="159"/>
      <c r="H830" s="159">
        <f t="shared" ref="H830:Q830" si="130">+H$801</f>
        <v>97</v>
      </c>
      <c r="I830" s="159">
        <f t="shared" si="130"/>
        <v>160</v>
      </c>
      <c r="J830" s="159">
        <f t="shared" si="130"/>
        <v>250</v>
      </c>
      <c r="K830" s="159">
        <f t="shared" si="130"/>
        <v>260</v>
      </c>
      <c r="L830" s="159">
        <f t="shared" si="130"/>
        <v>100</v>
      </c>
      <c r="M830" s="159">
        <f t="shared" si="130"/>
        <v>118</v>
      </c>
      <c r="N830" s="159">
        <f t="shared" si="130"/>
        <v>250</v>
      </c>
      <c r="O830" s="159">
        <f t="shared" si="130"/>
        <v>190</v>
      </c>
      <c r="P830" s="159">
        <f t="shared" si="130"/>
        <v>340</v>
      </c>
      <c r="Q830" s="159">
        <f t="shared" si="130"/>
        <v>450</v>
      </c>
      <c r="R830" s="324"/>
      <c r="AC830" s="323"/>
      <c r="AD830" s="159"/>
      <c r="AE830" s="159"/>
      <c r="AF830" s="159"/>
      <c r="AG830" s="159"/>
      <c r="AH830" s="159"/>
      <c r="AI830" s="159"/>
      <c r="AJ830" s="159"/>
      <c r="AK830" s="159"/>
      <c r="AL830" s="159"/>
      <c r="AM830" s="159"/>
      <c r="AN830" s="159"/>
      <c r="AO830" s="159"/>
      <c r="AP830" s="159"/>
      <c r="AQ830" s="159"/>
      <c r="AR830" s="159"/>
      <c r="AS830" s="159"/>
      <c r="AT830" s="159"/>
      <c r="AU830" s="307"/>
      <c r="AW830" s="164" t="s">
        <v>442</v>
      </c>
      <c r="AX830" s="164" t="s">
        <v>439</v>
      </c>
    </row>
    <row r="831" spans="1:50" ht="15.75" customHeight="1" x14ac:dyDescent="0.3">
      <c r="A831" s="325"/>
      <c r="B831" s="166" t="s">
        <v>409</v>
      </c>
      <c r="C831" s="166" t="s">
        <v>409</v>
      </c>
      <c r="D831" s="166" t="s">
        <v>409</v>
      </c>
      <c r="E831" s="166" t="s">
        <v>409</v>
      </c>
      <c r="F831" s="166" t="s">
        <v>409</v>
      </c>
      <c r="G831" s="166" t="s">
        <v>409</v>
      </c>
      <c r="H831" s="166" t="s">
        <v>409</v>
      </c>
      <c r="I831" s="166" t="s">
        <v>409</v>
      </c>
      <c r="J831" s="166" t="s">
        <v>409</v>
      </c>
      <c r="K831" s="166" t="s">
        <v>409</v>
      </c>
      <c r="L831" s="166" t="s">
        <v>409</v>
      </c>
      <c r="M831" s="166" t="s">
        <v>409</v>
      </c>
      <c r="N831" s="166" t="s">
        <v>409</v>
      </c>
      <c r="O831" s="166" t="s">
        <v>409</v>
      </c>
      <c r="P831" s="166" t="s">
        <v>409</v>
      </c>
      <c r="Q831" s="166" t="s">
        <v>409</v>
      </c>
      <c r="R831" s="324"/>
      <c r="AC831" s="323"/>
      <c r="AD831" s="159"/>
      <c r="AE831" s="159"/>
      <c r="AF831" s="159"/>
      <c r="AG831" s="159">
        <f>+A5</f>
        <v>2013</v>
      </c>
      <c r="AH831" s="159"/>
      <c r="AI831" s="159"/>
      <c r="AJ831" s="159"/>
      <c r="AK831" s="159"/>
      <c r="AL831" s="159"/>
      <c r="AM831" s="159"/>
      <c r="AN831" s="159"/>
      <c r="AO831" s="159"/>
      <c r="AP831" s="159"/>
      <c r="AQ831" s="159"/>
      <c r="AR831" s="159">
        <f>+A5</f>
        <v>2013</v>
      </c>
      <c r="AS831" s="159"/>
      <c r="AT831" s="159"/>
      <c r="AU831" s="307"/>
      <c r="AW831" s="164" t="s">
        <v>491</v>
      </c>
      <c r="AX831" s="164" t="s">
        <v>492</v>
      </c>
    </row>
    <row r="832" spans="1:50" ht="15.75" customHeight="1" x14ac:dyDescent="0.3">
      <c r="A832" s="365" t="s">
        <v>795</v>
      </c>
      <c r="B832" s="159">
        <f t="shared" ref="B832:Q832" si="131">(B803/$B$10/1.983)</f>
        <v>1319.0018382053909</v>
      </c>
      <c r="C832" s="159">
        <f t="shared" si="131"/>
        <v>1317.4239096839262</v>
      </c>
      <c r="D832" s="159">
        <f t="shared" si="131"/>
        <v>1315.8622484668065</v>
      </c>
      <c r="E832" s="159">
        <f t="shared" si="131"/>
        <v>1284.0434011679924</v>
      </c>
      <c r="F832" s="159">
        <f t="shared" si="131"/>
        <v>879.47554210791725</v>
      </c>
      <c r="G832" s="159">
        <f t="shared" si="131"/>
        <v>-402.03015958225564</v>
      </c>
      <c r="H832" s="159">
        <f t="shared" si="131"/>
        <v>494.85139817480842</v>
      </c>
      <c r="I832" s="159">
        <f t="shared" si="131"/>
        <v>267.62969108389052</v>
      </c>
      <c r="J832" s="159">
        <f t="shared" si="131"/>
        <v>261.62705578058655</v>
      </c>
      <c r="K832" s="159">
        <f t="shared" si="131"/>
        <v>250.2562100434337</v>
      </c>
      <c r="L832" s="159">
        <f t="shared" si="131"/>
        <v>235.45296308948642</v>
      </c>
      <c r="M832" s="159">
        <f t="shared" si="131"/>
        <v>235.12761700258648</v>
      </c>
      <c r="N832" s="159">
        <f t="shared" si="131"/>
        <v>234.96494395913652</v>
      </c>
      <c r="O832" s="159">
        <f t="shared" si="131"/>
        <v>46.426886600621408</v>
      </c>
      <c r="P832" s="159">
        <f t="shared" si="131"/>
        <v>8.7518097376083812</v>
      </c>
      <c r="Q832" s="159">
        <f t="shared" si="131"/>
        <v>46.003936687651482</v>
      </c>
      <c r="R832" s="324"/>
      <c r="AC832" s="323"/>
      <c r="AD832" s="159"/>
      <c r="AE832" s="159"/>
      <c r="AF832" s="159"/>
      <c r="AG832" s="159" t="s">
        <v>457</v>
      </c>
      <c r="AH832" s="159"/>
      <c r="AI832" s="159"/>
      <c r="AJ832" s="159"/>
      <c r="AK832" s="159"/>
      <c r="AL832" s="159"/>
      <c r="AM832" s="159"/>
      <c r="AN832" s="159"/>
      <c r="AO832" s="159"/>
      <c r="AP832" s="159"/>
      <c r="AQ832" s="159"/>
      <c r="AR832" s="159" t="s">
        <v>457</v>
      </c>
      <c r="AS832" s="159"/>
      <c r="AT832" s="159"/>
      <c r="AU832" s="307"/>
      <c r="AW832" s="164" t="s">
        <v>409</v>
      </c>
      <c r="AX832" s="164" t="s">
        <v>409</v>
      </c>
    </row>
    <row r="833" spans="1:50" ht="15.75" customHeight="1" x14ac:dyDescent="0.3">
      <c r="A833" s="365" t="s">
        <v>9</v>
      </c>
      <c r="B833" s="159">
        <f t="shared" ref="B833:Q833" si="132">(B804/$C$10/1.983)</f>
        <v>2630.5201354369278</v>
      </c>
      <c r="C833" s="159">
        <f t="shared" si="132"/>
        <v>2627.8546214249695</v>
      </c>
      <c r="D833" s="159">
        <f t="shared" si="132"/>
        <v>2624.7388516677474</v>
      </c>
      <c r="E833" s="159">
        <f t="shared" si="132"/>
        <v>2592.1763561703046</v>
      </c>
      <c r="F833" s="159">
        <f t="shared" si="132"/>
        <v>1604.9996397954037</v>
      </c>
      <c r="G833" s="159">
        <f t="shared" si="132"/>
        <v>0</v>
      </c>
      <c r="H833" s="159">
        <f t="shared" si="132"/>
        <v>666.21641092140339</v>
      </c>
      <c r="I833" s="159">
        <f t="shared" si="132"/>
        <v>330.61378863194295</v>
      </c>
      <c r="J833" s="159">
        <f t="shared" si="132"/>
        <v>323.06750234132983</v>
      </c>
      <c r="K833" s="159">
        <f t="shared" si="132"/>
        <v>314.92687846696924</v>
      </c>
      <c r="L833" s="159">
        <f t="shared" si="132"/>
        <v>294.2691448742886</v>
      </c>
      <c r="M833" s="159">
        <f t="shared" si="132"/>
        <v>293.87291981845686</v>
      </c>
      <c r="N833" s="159">
        <f t="shared" si="132"/>
        <v>293.67480729054103</v>
      </c>
      <c r="O833" s="159">
        <f t="shared" si="132"/>
        <v>55.075282760608019</v>
      </c>
      <c r="P833" s="159">
        <f t="shared" si="132"/>
        <v>2.1432173474533536</v>
      </c>
      <c r="Q833" s="159">
        <f t="shared" si="132"/>
        <v>54.480945176860459</v>
      </c>
      <c r="R833" s="324"/>
      <c r="AC833" s="323"/>
      <c r="AD833" s="159"/>
      <c r="AE833" s="159"/>
      <c r="AF833" s="159"/>
      <c r="AG833" s="159"/>
      <c r="AH833" s="159"/>
      <c r="AI833" s="159"/>
      <c r="AJ833" s="159"/>
      <c r="AK833" s="159"/>
      <c r="AL833" s="159"/>
      <c r="AM833" s="159"/>
      <c r="AN833" s="159"/>
      <c r="AO833" s="159"/>
      <c r="AP833" s="159"/>
      <c r="AQ833" s="159"/>
      <c r="AR833" s="159"/>
      <c r="AS833" s="159"/>
      <c r="AT833" s="159"/>
      <c r="AU833" s="307"/>
      <c r="AW833" s="159">
        <f t="shared" ref="AW833:AW844" si="133">SUM(L858:Q858)</f>
        <v>8761.7520000000004</v>
      </c>
      <c r="AX833" s="172">
        <v>2.4700000000000002</v>
      </c>
    </row>
    <row r="834" spans="1:50" ht="15.75" customHeight="1" x14ac:dyDescent="0.3">
      <c r="A834" s="365" t="s">
        <v>10</v>
      </c>
      <c r="B834" s="159">
        <f t="shared" ref="B834:Q834" si="134">(B805/$D$10/1.983)</f>
        <v>2907.8782554942818</v>
      </c>
      <c r="C834" s="159">
        <f t="shared" si="134"/>
        <v>2903.4210141037524</v>
      </c>
      <c r="D834" s="159">
        <f t="shared" si="134"/>
        <v>2898.5082881915637</v>
      </c>
      <c r="E834" s="159">
        <f t="shared" si="134"/>
        <v>2798.3016934263824</v>
      </c>
      <c r="F834" s="159">
        <f t="shared" si="134"/>
        <v>1084.4435768548794</v>
      </c>
      <c r="G834" s="159">
        <f t="shared" si="134"/>
        <v>0</v>
      </c>
      <c r="H834" s="159">
        <f t="shared" si="134"/>
        <v>1277.9919639516536</v>
      </c>
      <c r="I834" s="159">
        <f t="shared" si="134"/>
        <v>497.86084947863287</v>
      </c>
      <c r="J834" s="159">
        <f t="shared" si="134"/>
        <v>363.26517332812779</v>
      </c>
      <c r="K834" s="159">
        <f t="shared" si="134"/>
        <v>322.4993086395653</v>
      </c>
      <c r="L834" s="159">
        <f t="shared" si="134"/>
        <v>279.83016934263821</v>
      </c>
      <c r="M834" s="159">
        <f t="shared" si="134"/>
        <v>279.3746848209783</v>
      </c>
      <c r="N834" s="159">
        <f t="shared" si="134"/>
        <v>278.39864656027851</v>
      </c>
      <c r="O834" s="159">
        <f t="shared" si="134"/>
        <v>65.752444162477829</v>
      </c>
      <c r="P834" s="159">
        <f t="shared" si="134"/>
        <v>76.651538073625815</v>
      </c>
      <c r="Q834" s="159">
        <f t="shared" si="134"/>
        <v>65.004148162607976</v>
      </c>
      <c r="R834" s="324"/>
      <c r="AC834" s="323" t="s">
        <v>389</v>
      </c>
      <c r="AD834" s="164" t="s">
        <v>390</v>
      </c>
      <c r="AE834" s="164" t="s">
        <v>391</v>
      </c>
      <c r="AF834" s="164" t="s">
        <v>392</v>
      </c>
      <c r="AG834" s="164" t="s">
        <v>393</v>
      </c>
      <c r="AH834" s="164" t="s">
        <v>394</v>
      </c>
      <c r="AI834" s="159"/>
      <c r="AJ834" s="164" t="s">
        <v>422</v>
      </c>
      <c r="AK834" s="159"/>
      <c r="AL834" s="159"/>
      <c r="AM834" s="159"/>
      <c r="AN834" s="159" t="s">
        <v>389</v>
      </c>
      <c r="AO834" s="164" t="s">
        <v>390</v>
      </c>
      <c r="AP834" s="164" t="s">
        <v>391</v>
      </c>
      <c r="AQ834" s="164" t="s">
        <v>392</v>
      </c>
      <c r="AR834" s="164" t="s">
        <v>393</v>
      </c>
      <c r="AS834" s="164" t="s">
        <v>394</v>
      </c>
      <c r="AT834" s="164" t="s">
        <v>422</v>
      </c>
      <c r="AU834" s="307"/>
      <c r="AW834" s="159">
        <f t="shared" si="133"/>
        <v>9618.5360000000001</v>
      </c>
      <c r="AX834" s="172">
        <v>2.4700000000000002</v>
      </c>
    </row>
    <row r="835" spans="1:50" ht="15.75" customHeight="1" x14ac:dyDescent="0.3">
      <c r="A835" s="365" t="s">
        <v>12</v>
      </c>
      <c r="B835" s="159">
        <f t="shared" ref="B835:Q835" si="135">(B806/$F$10/1.983)</f>
        <v>2533.4846192637415</v>
      </c>
      <c r="C835" s="159">
        <f t="shared" si="135"/>
        <v>2527.315515212641</v>
      </c>
      <c r="D835" s="159">
        <f t="shared" si="135"/>
        <v>2519.5158850226926</v>
      </c>
      <c r="E835" s="159">
        <f t="shared" si="135"/>
        <v>2371.9280551353168</v>
      </c>
      <c r="F835" s="159">
        <f t="shared" si="135"/>
        <v>5.3118171121196838</v>
      </c>
      <c r="G835" s="159">
        <f t="shared" si="135"/>
        <v>-577.25668179525974</v>
      </c>
      <c r="H835" s="159">
        <f t="shared" si="135"/>
        <v>2211.7330643805681</v>
      </c>
      <c r="I835" s="159">
        <f t="shared" si="135"/>
        <v>867.8097159186417</v>
      </c>
      <c r="J835" s="159">
        <f t="shared" si="135"/>
        <v>578.50058833417381</v>
      </c>
      <c r="K835" s="159">
        <f t="shared" si="135"/>
        <v>463.60732896285089</v>
      </c>
      <c r="L835" s="159">
        <f t="shared" si="135"/>
        <v>356.88350983358549</v>
      </c>
      <c r="M835" s="159">
        <f t="shared" si="135"/>
        <v>356.2615565641284</v>
      </c>
      <c r="N835" s="159">
        <f t="shared" si="135"/>
        <v>323.68465288283744</v>
      </c>
      <c r="O835" s="159">
        <f t="shared" si="135"/>
        <v>65.876617918977971</v>
      </c>
      <c r="P835" s="159">
        <f t="shared" si="135"/>
        <v>87.258362750042025</v>
      </c>
      <c r="Q835" s="159">
        <f t="shared" si="135"/>
        <v>64.985711884350309</v>
      </c>
      <c r="R835" s="324"/>
      <c r="AC835" s="323" t="s">
        <v>405</v>
      </c>
      <c r="AD835" s="159"/>
      <c r="AE835" s="159"/>
      <c r="AF835" s="159"/>
      <c r="AG835" s="159"/>
      <c r="AH835" s="164" t="s">
        <v>406</v>
      </c>
      <c r="AI835" s="159"/>
      <c r="AJ835" s="164" t="s">
        <v>465</v>
      </c>
      <c r="AK835" s="159"/>
      <c r="AL835" s="159"/>
      <c r="AM835" s="159"/>
      <c r="AN835" s="159" t="s">
        <v>405</v>
      </c>
      <c r="AO835" s="159"/>
      <c r="AP835" s="159"/>
      <c r="AQ835" s="159"/>
      <c r="AR835" s="159"/>
      <c r="AS835" s="164" t="s">
        <v>406</v>
      </c>
      <c r="AT835" s="164" t="s">
        <v>465</v>
      </c>
      <c r="AU835" s="307"/>
      <c r="AW835" s="159">
        <f t="shared" si="133"/>
        <v>12193.492</v>
      </c>
      <c r="AX835" s="172">
        <v>2.4700000000000002</v>
      </c>
    </row>
    <row r="836" spans="1:50" ht="15.75" customHeight="1" x14ac:dyDescent="0.3">
      <c r="A836" s="365" t="s">
        <v>13</v>
      </c>
      <c r="B836" s="159">
        <f t="shared" ref="B836:Q836" si="136">(B807/$G$10/1.983)</f>
        <v>2866.0224814146045</v>
      </c>
      <c r="C836" s="159">
        <f t="shared" si="136"/>
        <v>2859.1088770679812</v>
      </c>
      <c r="D836" s="159">
        <f t="shared" si="136"/>
        <v>2849.7877116782975</v>
      </c>
      <c r="E836" s="159">
        <f t="shared" si="136"/>
        <v>2724.5782701348558</v>
      </c>
      <c r="F836" s="159">
        <f t="shared" si="136"/>
        <v>0</v>
      </c>
      <c r="G836" s="159">
        <f t="shared" si="136"/>
        <v>-334.92752915914298</v>
      </c>
      <c r="H836" s="159">
        <f t="shared" si="136"/>
        <v>2138.5323638019945</v>
      </c>
      <c r="I836" s="159">
        <f t="shared" si="136"/>
        <v>665.49542075382692</v>
      </c>
      <c r="J836" s="159">
        <f t="shared" si="136"/>
        <v>451.67797244318638</v>
      </c>
      <c r="K836" s="159">
        <f t="shared" si="136"/>
        <v>354.95258080783429</v>
      </c>
      <c r="L836" s="159">
        <f t="shared" si="136"/>
        <v>319.68506498788082</v>
      </c>
      <c r="M836" s="159">
        <f t="shared" si="136"/>
        <v>319.00183820539098</v>
      </c>
      <c r="N836" s="159">
        <f t="shared" si="136"/>
        <v>288.79345403673153</v>
      </c>
      <c r="O836" s="159">
        <f t="shared" si="136"/>
        <v>72.422038943926609</v>
      </c>
      <c r="P836" s="159">
        <f t="shared" si="136"/>
        <v>98.677468156751743</v>
      </c>
      <c r="Q836" s="159">
        <f t="shared" si="136"/>
        <v>71.85268329185169</v>
      </c>
      <c r="R836" s="324"/>
      <c r="AC836" s="323" t="s">
        <v>408</v>
      </c>
      <c r="AD836" s="159">
        <f>+B$801</f>
        <v>957</v>
      </c>
      <c r="AE836" s="159">
        <f>+C$801</f>
        <v>122</v>
      </c>
      <c r="AF836" s="159">
        <f>+D$801</f>
        <v>128</v>
      </c>
      <c r="AG836" s="159">
        <f>+E$801</f>
        <v>219</v>
      </c>
      <c r="AH836" s="159"/>
      <c r="AI836" s="159"/>
      <c r="AJ836" s="164" t="s">
        <v>442</v>
      </c>
      <c r="AK836" s="159"/>
      <c r="AL836" s="159"/>
      <c r="AM836" s="159"/>
      <c r="AN836" s="159" t="s">
        <v>408</v>
      </c>
      <c r="AO836" s="159">
        <f>+B$801</f>
        <v>957</v>
      </c>
      <c r="AP836" s="159">
        <f>+C$801</f>
        <v>122</v>
      </c>
      <c r="AQ836" s="159">
        <f>+D$801</f>
        <v>128</v>
      </c>
      <c r="AR836" s="159">
        <f>+E$801</f>
        <v>219</v>
      </c>
      <c r="AS836" s="159"/>
      <c r="AT836" s="164" t="s">
        <v>442</v>
      </c>
      <c r="AU836" s="307"/>
      <c r="AW836" s="159">
        <f t="shared" si="133"/>
        <v>13687.242000000002</v>
      </c>
      <c r="AX836" s="172">
        <v>2.4700000000000002</v>
      </c>
    </row>
    <row r="837" spans="1:50" ht="15.75" customHeight="1" x14ac:dyDescent="0.3">
      <c r="A837" s="365" t="s">
        <v>14</v>
      </c>
      <c r="B837" s="159">
        <f t="shared" ref="B837:Q837" si="137">(B808/$H$10/1.983)</f>
        <v>2188.9897461758278</v>
      </c>
      <c r="C837" s="159">
        <f t="shared" si="137"/>
        <v>2181.9801647335685</v>
      </c>
      <c r="D837" s="159">
        <f t="shared" si="137"/>
        <v>2173.3568667002855</v>
      </c>
      <c r="E837" s="159">
        <f t="shared" si="137"/>
        <v>2056.4968902336527</v>
      </c>
      <c r="F837" s="159">
        <f t="shared" si="137"/>
        <v>0</v>
      </c>
      <c r="G837" s="159">
        <f t="shared" si="137"/>
        <v>-1317.1457387796268</v>
      </c>
      <c r="H837" s="159">
        <f t="shared" si="137"/>
        <v>2666.9860480753064</v>
      </c>
      <c r="I837" s="159">
        <f t="shared" si="137"/>
        <v>870.56648176164049</v>
      </c>
      <c r="J837" s="159">
        <f t="shared" si="137"/>
        <v>510.94301563287945</v>
      </c>
      <c r="K837" s="159">
        <f t="shared" si="137"/>
        <v>363.05261388468648</v>
      </c>
      <c r="L837" s="159">
        <f t="shared" si="137"/>
        <v>300.38661959993271</v>
      </c>
      <c r="M837" s="159">
        <f t="shared" si="137"/>
        <v>299.6469994957136</v>
      </c>
      <c r="N837" s="159">
        <f t="shared" si="137"/>
        <v>254.49655404269626</v>
      </c>
      <c r="O837" s="159">
        <f t="shared" si="137"/>
        <v>62.21213649352832</v>
      </c>
      <c r="P837" s="159">
        <f t="shared" si="137"/>
        <v>100.01680954782316</v>
      </c>
      <c r="Q837" s="159">
        <f t="shared" si="137"/>
        <v>62.06085056311985</v>
      </c>
      <c r="R837" s="324"/>
      <c r="AC837" s="323"/>
      <c r="AD837" s="159" t="s">
        <v>409</v>
      </c>
      <c r="AE837" s="159" t="s">
        <v>409</v>
      </c>
      <c r="AF837" s="159" t="s">
        <v>409</v>
      </c>
      <c r="AG837" s="159" t="s">
        <v>409</v>
      </c>
      <c r="AH837" s="159" t="s">
        <v>409</v>
      </c>
      <c r="AI837" s="159"/>
      <c r="AJ837" s="159" t="s">
        <v>459</v>
      </c>
      <c r="AK837" s="159"/>
      <c r="AL837" s="159"/>
      <c r="AM837" s="159"/>
      <c r="AN837" s="159"/>
      <c r="AO837" s="159" t="s">
        <v>409</v>
      </c>
      <c r="AP837" s="159" t="s">
        <v>409</v>
      </c>
      <c r="AQ837" s="159" t="s">
        <v>409</v>
      </c>
      <c r="AR837" s="159" t="s">
        <v>409</v>
      </c>
      <c r="AS837" s="159" t="s">
        <v>409</v>
      </c>
      <c r="AT837" s="159" t="s">
        <v>459</v>
      </c>
      <c r="AU837" s="307"/>
      <c r="AW837" s="159">
        <f t="shared" si="133"/>
        <v>13613.4</v>
      </c>
      <c r="AX837" s="172">
        <v>2.4700000000000002</v>
      </c>
    </row>
    <row r="838" spans="1:50" ht="15.75" customHeight="1" x14ac:dyDescent="0.3">
      <c r="A838" s="365" t="s">
        <v>16</v>
      </c>
      <c r="B838" s="159">
        <f t="shared" ref="B838:Q838" si="138">(B809/$J$10/1.983)</f>
        <v>1381.5984253249392</v>
      </c>
      <c r="C838" s="159">
        <f t="shared" si="138"/>
        <v>1374.8312267174206</v>
      </c>
      <c r="D838" s="159">
        <f t="shared" si="138"/>
        <v>1365.9330112407072</v>
      </c>
      <c r="E838" s="159">
        <f t="shared" si="138"/>
        <v>1236.8031493501212</v>
      </c>
      <c r="F838" s="159">
        <f t="shared" si="138"/>
        <v>0</v>
      </c>
      <c r="G838" s="159">
        <f t="shared" si="138"/>
        <v>-1535.4057879068857</v>
      </c>
      <c r="H838" s="159">
        <f t="shared" si="138"/>
        <v>2140.8748556276737</v>
      </c>
      <c r="I838" s="159">
        <f t="shared" si="138"/>
        <v>714.4762741366128</v>
      </c>
      <c r="J838" s="159">
        <f t="shared" si="138"/>
        <v>431.03476322938525</v>
      </c>
      <c r="K838" s="159">
        <f t="shared" si="138"/>
        <v>314.60966603224176</v>
      </c>
      <c r="L838" s="159">
        <f t="shared" si="138"/>
        <v>281.21289021196293</v>
      </c>
      <c r="M838" s="159">
        <f t="shared" si="138"/>
        <v>280.57846534250808</v>
      </c>
      <c r="N838" s="159">
        <f t="shared" si="138"/>
        <v>233.69609422022677</v>
      </c>
      <c r="O838" s="159">
        <f t="shared" si="138"/>
        <v>82.182421550924786</v>
      </c>
      <c r="P838" s="159">
        <f t="shared" si="138"/>
        <v>95.179997722577397</v>
      </c>
      <c r="Q838" s="159">
        <f t="shared" si="138"/>
        <v>81.905877377059838</v>
      </c>
      <c r="R838" s="324"/>
      <c r="AC838" s="325" t="s">
        <v>410</v>
      </c>
      <c r="AD838" s="159">
        <f t="shared" ref="AD838:AG849" si="139">($F803)*B$801/1000</f>
        <v>51739.248</v>
      </c>
      <c r="AE838" s="159">
        <f t="shared" si="139"/>
        <v>6595.808</v>
      </c>
      <c r="AF838" s="159">
        <f t="shared" si="139"/>
        <v>6920.192</v>
      </c>
      <c r="AG838" s="159">
        <f t="shared" si="139"/>
        <v>11840.016</v>
      </c>
      <c r="AH838" s="159">
        <f t="shared" ref="AH838:AH849" si="140">(F803*((T803-1526.8)/0.7702))/1000</f>
        <v>11469.809678454791</v>
      </c>
      <c r="AI838" s="159"/>
      <c r="AJ838" s="159">
        <f t="shared" ref="AJ838:AJ849" si="141">SUM(AD838:AH838)</f>
        <v>88565.073678454792</v>
      </c>
      <c r="AK838" s="159"/>
      <c r="AL838" s="159"/>
      <c r="AM838" s="159"/>
      <c r="AN838" s="164" t="s">
        <v>410</v>
      </c>
      <c r="AO838" s="159">
        <f t="shared" ref="AO838:AR849" si="142">(B803-$F803)*B$801/1000</f>
        <v>25857.183000000001</v>
      </c>
      <c r="AP838" s="159">
        <f t="shared" si="142"/>
        <v>3284.4839999999999</v>
      </c>
      <c r="AQ838" s="159">
        <f t="shared" si="142"/>
        <v>3433.7280000000001</v>
      </c>
      <c r="AR838" s="159">
        <f t="shared" si="142"/>
        <v>5446.53</v>
      </c>
      <c r="AS838" s="159">
        <f>((F803-$F803)*(('[1]Lake Pleasant Forecast'!B35-1526.8)/0.7702))/1000</f>
        <v>0</v>
      </c>
      <c r="AT838" s="159">
        <f t="shared" ref="AT838:AT849" si="143">SUM(AN838:AR838)</f>
        <v>38021.925000000003</v>
      </c>
      <c r="AU838" s="307"/>
      <c r="AW838" s="159">
        <f t="shared" si="133"/>
        <v>12063.057999999999</v>
      </c>
      <c r="AX838" s="172">
        <v>2.4700000000000002</v>
      </c>
    </row>
    <row r="839" spans="1:50" ht="15.75" customHeight="1" x14ac:dyDescent="0.3">
      <c r="A839" s="365" t="s">
        <v>17</v>
      </c>
      <c r="B839" s="159">
        <f t="shared" ref="B839:Q839" si="144">(B810/$K$10/1.983)</f>
        <v>1576.5458005953833</v>
      </c>
      <c r="C839" s="159">
        <f t="shared" si="144"/>
        <v>1571.1125209441543</v>
      </c>
      <c r="D839" s="159">
        <f t="shared" si="144"/>
        <v>1564.9960145104355</v>
      </c>
      <c r="E839" s="159">
        <f t="shared" si="144"/>
        <v>1430.0749922730304</v>
      </c>
      <c r="F839" s="159">
        <f t="shared" si="144"/>
        <v>0</v>
      </c>
      <c r="G839" s="159">
        <f t="shared" si="144"/>
        <v>-1426.6425910562359</v>
      </c>
      <c r="H839" s="159">
        <f t="shared" si="144"/>
        <v>2194.4268215314041</v>
      </c>
      <c r="I839" s="159">
        <f t="shared" si="144"/>
        <v>803.0192116864315</v>
      </c>
      <c r="J839" s="159">
        <f t="shared" si="144"/>
        <v>496.15278252240819</v>
      </c>
      <c r="K839" s="159">
        <f t="shared" si="144"/>
        <v>380.08556602085469</v>
      </c>
      <c r="L839" s="159">
        <f t="shared" si="144"/>
        <v>301.2704764693442</v>
      </c>
      <c r="M839" s="159">
        <f t="shared" si="144"/>
        <v>300.68485351292435</v>
      </c>
      <c r="N839" s="159">
        <f t="shared" si="144"/>
        <v>260.16299838953682</v>
      </c>
      <c r="O839" s="159">
        <f t="shared" si="144"/>
        <v>70.518764335561954</v>
      </c>
      <c r="P839" s="159">
        <f t="shared" si="144"/>
        <v>93.162851983797765</v>
      </c>
      <c r="Q839" s="159">
        <f t="shared" si="144"/>
        <v>70.421160509491969</v>
      </c>
      <c r="R839" s="324"/>
      <c r="AC839" s="325" t="s">
        <v>411</v>
      </c>
      <c r="AD839" s="159">
        <f t="shared" si="139"/>
        <v>85284.012000000002</v>
      </c>
      <c r="AE839" s="159">
        <f t="shared" si="139"/>
        <v>10872.152</v>
      </c>
      <c r="AF839" s="159">
        <f t="shared" si="139"/>
        <v>11406.848</v>
      </c>
      <c r="AG839" s="159">
        <f t="shared" si="139"/>
        <v>19516.403999999999</v>
      </c>
      <c r="AH839" s="159">
        <f t="shared" si="140"/>
        <v>19306.53824980526</v>
      </c>
      <c r="AI839" s="159"/>
      <c r="AJ839" s="159">
        <f t="shared" si="141"/>
        <v>146385.95424980525</v>
      </c>
      <c r="AK839" s="159"/>
      <c r="AL839" s="159"/>
      <c r="AM839" s="159"/>
      <c r="AN839" s="164" t="s">
        <v>411</v>
      </c>
      <c r="AO839" s="159">
        <f t="shared" si="142"/>
        <v>54492.536999999997</v>
      </c>
      <c r="AP839" s="159">
        <f t="shared" si="142"/>
        <v>6928.7460000000001</v>
      </c>
      <c r="AQ839" s="159">
        <f t="shared" si="142"/>
        <v>7247.36</v>
      </c>
      <c r="AR839" s="159">
        <f t="shared" si="142"/>
        <v>12003.828</v>
      </c>
      <c r="AS839" s="159">
        <f>((F804-$F804)*(('[1]Lake Pleasant Forecast'!B37-1526.8)/0.7702))/1000</f>
        <v>0</v>
      </c>
      <c r="AT839" s="159">
        <f t="shared" si="143"/>
        <v>80672.47099999999</v>
      </c>
      <c r="AU839" s="307"/>
      <c r="AW839" s="159">
        <f t="shared" si="133"/>
        <v>12570.433999999999</v>
      </c>
      <c r="AX839" s="172">
        <v>2.4700000000000002</v>
      </c>
    </row>
    <row r="840" spans="1:50" ht="15.75" customHeight="1" x14ac:dyDescent="0.3">
      <c r="A840" s="365" t="s">
        <v>18</v>
      </c>
      <c r="B840" s="159">
        <f t="shared" ref="B840:Q840" si="145">(B811/$L$10/1.983)</f>
        <v>2521.3985543788872</v>
      </c>
      <c r="C840" s="159">
        <f t="shared" si="145"/>
        <v>2516.0867372667672</v>
      </c>
      <c r="D840" s="159">
        <f t="shared" si="145"/>
        <v>2510.6572533198855</v>
      </c>
      <c r="E840" s="159">
        <f t="shared" si="145"/>
        <v>2426.7608001344761</v>
      </c>
      <c r="F840" s="159">
        <f t="shared" si="145"/>
        <v>462.76685157169265</v>
      </c>
      <c r="G840" s="159">
        <f t="shared" si="145"/>
        <v>-6.2363422423936798</v>
      </c>
      <c r="H840" s="159">
        <f t="shared" si="145"/>
        <v>1411.5817784501596</v>
      </c>
      <c r="I840" s="159">
        <f t="shared" si="145"/>
        <v>535.38409816775925</v>
      </c>
      <c r="J840" s="159">
        <f t="shared" si="145"/>
        <v>421.33131618759455</v>
      </c>
      <c r="K840" s="159">
        <f t="shared" si="145"/>
        <v>358.71575054631029</v>
      </c>
      <c r="L840" s="159">
        <f t="shared" si="145"/>
        <v>297.15918641788534</v>
      </c>
      <c r="M840" s="159">
        <f t="shared" si="145"/>
        <v>296.5876617918978</v>
      </c>
      <c r="N840" s="159">
        <f t="shared" si="145"/>
        <v>266.22961842326436</v>
      </c>
      <c r="O840" s="159">
        <f t="shared" si="145"/>
        <v>59.942847537401235</v>
      </c>
      <c r="P840" s="159">
        <f t="shared" si="145"/>
        <v>92.839132627332319</v>
      </c>
      <c r="Q840" s="159">
        <f t="shared" si="145"/>
        <v>59.20322743318205</v>
      </c>
      <c r="R840" s="324"/>
      <c r="AC840" s="325" t="s">
        <v>412</v>
      </c>
      <c r="AD840" s="159">
        <f t="shared" si="139"/>
        <v>63797.447999999997</v>
      </c>
      <c r="AE840" s="159">
        <f t="shared" si="139"/>
        <v>8133.0079999999998</v>
      </c>
      <c r="AF840" s="159">
        <f t="shared" si="139"/>
        <v>8532.9920000000002</v>
      </c>
      <c r="AG840" s="159">
        <f t="shared" si="139"/>
        <v>14599.415999999999</v>
      </c>
      <c r="AH840" s="159">
        <f t="shared" si="140"/>
        <v>14705.548688652307</v>
      </c>
      <c r="AI840" s="159"/>
      <c r="AJ840" s="159">
        <f t="shared" si="141"/>
        <v>109768.41268865229</v>
      </c>
      <c r="AK840" s="159"/>
      <c r="AL840" s="159"/>
      <c r="AM840" s="159"/>
      <c r="AN840" s="164" t="s">
        <v>412</v>
      </c>
      <c r="AO840" s="159">
        <f t="shared" si="142"/>
        <v>107272.04399999999</v>
      </c>
      <c r="AP840" s="159">
        <f t="shared" si="142"/>
        <v>13641.796</v>
      </c>
      <c r="AQ840" s="159">
        <f t="shared" si="142"/>
        <v>14274.048000000001</v>
      </c>
      <c r="AR840" s="159">
        <f t="shared" si="142"/>
        <v>23072.964</v>
      </c>
      <c r="AS840" s="159">
        <f>((F805-$F805)*(('[1]Lake Pleasant Forecast'!B39-1526.8)/0.7702))/1000</f>
        <v>0</v>
      </c>
      <c r="AT840" s="159">
        <f t="shared" si="143"/>
        <v>158260.85200000001</v>
      </c>
      <c r="AU840" s="307"/>
      <c r="AW840" s="159">
        <f t="shared" si="133"/>
        <v>12750.242</v>
      </c>
      <c r="AX840" s="172">
        <v>2.4700000000000002</v>
      </c>
    </row>
    <row r="841" spans="1:50" ht="15.75" customHeight="1" x14ac:dyDescent="0.3">
      <c r="A841" s="365" t="s">
        <v>20</v>
      </c>
      <c r="B841" s="159">
        <f t="shared" ref="B841:Q841" si="146">(B812/$N$10/1.983)</f>
        <v>3051.7137605127455</v>
      </c>
      <c r="C841" s="159">
        <f t="shared" si="146"/>
        <v>3047.077578774421</v>
      </c>
      <c r="D841" s="159">
        <f t="shared" si="146"/>
        <v>3042.1648528622322</v>
      </c>
      <c r="E841" s="159">
        <f t="shared" si="146"/>
        <v>2948.0422299220795</v>
      </c>
      <c r="F841" s="159">
        <f t="shared" si="146"/>
        <v>1277.7154197777884</v>
      </c>
      <c r="G841" s="159">
        <f t="shared" si="146"/>
        <v>0</v>
      </c>
      <c r="H841" s="159">
        <f t="shared" si="146"/>
        <v>1136.0271989328646</v>
      </c>
      <c r="I841" s="159">
        <f t="shared" si="146"/>
        <v>257.20234899874742</v>
      </c>
      <c r="J841" s="159">
        <f t="shared" si="146"/>
        <v>244.53011891399473</v>
      </c>
      <c r="K841" s="159">
        <f t="shared" si="146"/>
        <v>233.61475769850176</v>
      </c>
      <c r="L841" s="159">
        <f t="shared" si="146"/>
        <v>186.91132692401541</v>
      </c>
      <c r="M841" s="159">
        <f t="shared" si="146"/>
        <v>186.43957509801049</v>
      </c>
      <c r="N841" s="159">
        <f t="shared" si="146"/>
        <v>178.74514014282693</v>
      </c>
      <c r="O841" s="159">
        <f t="shared" si="146"/>
        <v>53.177817903795159</v>
      </c>
      <c r="P841" s="159">
        <f t="shared" si="146"/>
        <v>87.095147463113889</v>
      </c>
      <c r="Q841" s="159">
        <f t="shared" si="146"/>
        <v>53.096481382070181</v>
      </c>
      <c r="R841" s="324"/>
      <c r="AC841" s="325" t="s">
        <v>413</v>
      </c>
      <c r="AD841" s="159">
        <f t="shared" si="139"/>
        <v>302.41199999999998</v>
      </c>
      <c r="AE841" s="159">
        <f t="shared" si="139"/>
        <v>38.552</v>
      </c>
      <c r="AF841" s="159">
        <f t="shared" si="139"/>
        <v>40.448</v>
      </c>
      <c r="AG841" s="159">
        <f t="shared" si="139"/>
        <v>69.203999999999994</v>
      </c>
      <c r="AH841" s="159">
        <f t="shared" si="140"/>
        <v>69.465372799760274</v>
      </c>
      <c r="AI841" s="159"/>
      <c r="AJ841" s="159">
        <f t="shared" si="141"/>
        <v>520.08137279976029</v>
      </c>
      <c r="AK841" s="159"/>
      <c r="AL841" s="159"/>
      <c r="AM841" s="159"/>
      <c r="AN841" s="164" t="s">
        <v>413</v>
      </c>
      <c r="AO841" s="159">
        <f t="shared" si="142"/>
        <v>143933.75700000001</v>
      </c>
      <c r="AP841" s="159">
        <f t="shared" si="142"/>
        <v>18304.148000000001</v>
      </c>
      <c r="AQ841" s="159">
        <f t="shared" si="142"/>
        <v>19144.96</v>
      </c>
      <c r="AR841" s="159">
        <f t="shared" si="142"/>
        <v>30833.01</v>
      </c>
      <c r="AS841" s="159">
        <f>((F806-$F806)*(('[1]Lake Pleasant Forecast'!B41-1526.8)/0.7702))/1000</f>
        <v>0</v>
      </c>
      <c r="AT841" s="159">
        <f t="shared" si="143"/>
        <v>212215.87500000003</v>
      </c>
      <c r="AU841" s="307"/>
      <c r="AW841" s="159">
        <f t="shared" si="133"/>
        <v>11949.552</v>
      </c>
      <c r="AX841" s="172">
        <v>2.4700000000000002</v>
      </c>
    </row>
    <row r="842" spans="1:50" ht="15.75" customHeight="1" x14ac:dyDescent="0.3">
      <c r="A842" s="365" t="s">
        <v>21</v>
      </c>
      <c r="B842" s="159">
        <f t="shared" ref="B842:Q842" si="147">(B813/$O$10/1.983)</f>
        <v>2427.4668011430495</v>
      </c>
      <c r="C842" s="159">
        <f t="shared" si="147"/>
        <v>2423.5165574046055</v>
      </c>
      <c r="D842" s="159">
        <f t="shared" si="147"/>
        <v>2419.7007900487474</v>
      </c>
      <c r="E842" s="159">
        <f t="shared" si="147"/>
        <v>2364.077996301899</v>
      </c>
      <c r="F842" s="159">
        <f t="shared" si="147"/>
        <v>1354.8663640948057</v>
      </c>
      <c r="G842" s="159">
        <f t="shared" si="147"/>
        <v>0</v>
      </c>
      <c r="H842" s="159">
        <f t="shared" si="147"/>
        <v>592.14994116658261</v>
      </c>
      <c r="I842" s="159">
        <f t="shared" si="147"/>
        <v>158.88384602454192</v>
      </c>
      <c r="J842" s="159">
        <f t="shared" si="147"/>
        <v>153.20221886031266</v>
      </c>
      <c r="K842" s="159">
        <f t="shared" si="147"/>
        <v>138.83005547150782</v>
      </c>
      <c r="L842" s="159">
        <f t="shared" si="147"/>
        <v>124.07127248277021</v>
      </c>
      <c r="M842" s="159">
        <f t="shared" si="147"/>
        <v>123.68465288283745</v>
      </c>
      <c r="N842" s="159">
        <f t="shared" si="147"/>
        <v>120.72617246596066</v>
      </c>
      <c r="O842" s="159">
        <f t="shared" si="147"/>
        <v>35.468145906875101</v>
      </c>
      <c r="P842" s="159">
        <f t="shared" si="147"/>
        <v>73.474533535047897</v>
      </c>
      <c r="Q842" s="159">
        <f t="shared" si="147"/>
        <v>35.417717263405613</v>
      </c>
      <c r="R842" s="324"/>
      <c r="AC842" s="325" t="s">
        <v>414</v>
      </c>
      <c r="AD842" s="159">
        <f t="shared" si="139"/>
        <v>0</v>
      </c>
      <c r="AE842" s="159">
        <f t="shared" si="139"/>
        <v>0</v>
      </c>
      <c r="AF842" s="159">
        <f t="shared" si="139"/>
        <v>0</v>
      </c>
      <c r="AG842" s="159">
        <f t="shared" si="139"/>
        <v>0</v>
      </c>
      <c r="AH842" s="159">
        <f t="shared" si="140"/>
        <v>0</v>
      </c>
      <c r="AI842" s="159"/>
      <c r="AJ842" s="159">
        <f t="shared" si="141"/>
        <v>0</v>
      </c>
      <c r="AK842" s="159"/>
      <c r="AL842" s="159"/>
      <c r="AM842" s="159"/>
      <c r="AN842" s="164" t="s">
        <v>414</v>
      </c>
      <c r="AO842" s="159">
        <f t="shared" si="142"/>
        <v>168607.13099999999</v>
      </c>
      <c r="AP842" s="159">
        <f t="shared" si="142"/>
        <v>21442.475999999999</v>
      </c>
      <c r="AQ842" s="159">
        <f t="shared" si="142"/>
        <v>22423.68</v>
      </c>
      <c r="AR842" s="159">
        <f t="shared" si="142"/>
        <v>36679.872000000003</v>
      </c>
      <c r="AS842" s="159">
        <f>((F807-$F807)*(('[1]Lake Pleasant Forecast'!B43-1526.8)/0.7702))/1000</f>
        <v>0</v>
      </c>
      <c r="AT842" s="159">
        <f t="shared" si="143"/>
        <v>249153.15899999999</v>
      </c>
      <c r="AU842" s="307"/>
      <c r="AW842" s="159">
        <f t="shared" si="133"/>
        <v>9158.6679999999997</v>
      </c>
      <c r="AX842" s="172">
        <v>2.4700000000000002</v>
      </c>
    </row>
    <row r="843" spans="1:50" ht="15.75" customHeight="1" thickBot="1" x14ac:dyDescent="0.35">
      <c r="A843" s="365" t="s">
        <v>22</v>
      </c>
      <c r="B843" s="327">
        <f t="shared" ref="B843:Q843" si="148">(B814/$P$10/1.983)</f>
        <v>2239.2107103931803</v>
      </c>
      <c r="C843" s="327">
        <f t="shared" si="148"/>
        <v>2236.1849917850109</v>
      </c>
      <c r="D843" s="327">
        <f t="shared" si="148"/>
        <v>2233.2731443072571</v>
      </c>
      <c r="E843" s="327">
        <f t="shared" si="148"/>
        <v>1953.9960633123485</v>
      </c>
      <c r="F843" s="327">
        <f t="shared" si="148"/>
        <v>700.03090787825545</v>
      </c>
      <c r="G843" s="327">
        <f t="shared" si="148"/>
        <v>0</v>
      </c>
      <c r="H843" s="327">
        <f t="shared" si="148"/>
        <v>844.3544320270687</v>
      </c>
      <c r="I843" s="327">
        <f t="shared" si="148"/>
        <v>338.68527646283735</v>
      </c>
      <c r="J843" s="327">
        <f t="shared" si="148"/>
        <v>302.73453386039398</v>
      </c>
      <c r="K843" s="327">
        <f t="shared" si="148"/>
        <v>301.04273420851433</v>
      </c>
      <c r="L843" s="327">
        <f t="shared" si="148"/>
        <v>225.04188830868836</v>
      </c>
      <c r="M843" s="327">
        <f t="shared" si="148"/>
        <v>224.73280952613339</v>
      </c>
      <c r="N843" s="327">
        <f t="shared" si="148"/>
        <v>221.39801213540903</v>
      </c>
      <c r="O843" s="327">
        <f t="shared" si="148"/>
        <v>53.714638947180063</v>
      </c>
      <c r="P843" s="327">
        <f t="shared" si="148"/>
        <v>80.393018072975124</v>
      </c>
      <c r="Q843" s="327">
        <f t="shared" si="148"/>
        <v>53.682104338490063</v>
      </c>
      <c r="R843" s="328"/>
      <c r="AC843" s="325" t="s">
        <v>415</v>
      </c>
      <c r="AD843" s="159">
        <f t="shared" si="139"/>
        <v>0</v>
      </c>
      <c r="AE843" s="159">
        <f t="shared" si="139"/>
        <v>0</v>
      </c>
      <c r="AF843" s="159">
        <f t="shared" si="139"/>
        <v>0</v>
      </c>
      <c r="AG843" s="159">
        <f t="shared" si="139"/>
        <v>0</v>
      </c>
      <c r="AH843" s="159">
        <f t="shared" si="140"/>
        <v>0</v>
      </c>
      <c r="AI843" s="159"/>
      <c r="AJ843" s="159">
        <f t="shared" si="141"/>
        <v>0</v>
      </c>
      <c r="AK843" s="159"/>
      <c r="AL843" s="159"/>
      <c r="AM843" s="159"/>
      <c r="AN843" s="164" t="s">
        <v>415</v>
      </c>
      <c r="AO843" s="159">
        <f t="shared" si="142"/>
        <v>124623.41099999999</v>
      </c>
      <c r="AP843" s="159">
        <f t="shared" si="142"/>
        <v>15836.332</v>
      </c>
      <c r="AQ843" s="159">
        <f t="shared" si="142"/>
        <v>16549.504000000001</v>
      </c>
      <c r="AR843" s="159">
        <f t="shared" si="142"/>
        <v>26792.679</v>
      </c>
      <c r="AS843" s="159">
        <f>((F808-$F808)*(('[1]Lake Pleasant Forecast'!B45-1526.8)/0.7702))/1000</f>
        <v>0</v>
      </c>
      <c r="AT843" s="159">
        <f t="shared" si="143"/>
        <v>183801.92599999998</v>
      </c>
      <c r="AU843" s="307"/>
      <c r="AW843" s="159">
        <f t="shared" si="133"/>
        <v>6237.0339999999997</v>
      </c>
      <c r="AX843" s="172">
        <v>2.4700000000000002</v>
      </c>
    </row>
    <row r="844" spans="1:50" ht="15.75" customHeight="1" x14ac:dyDescent="0.3">
      <c r="A844" s="365"/>
      <c r="AC844" s="325" t="s">
        <v>416</v>
      </c>
      <c r="AD844" s="159">
        <f t="shared" si="139"/>
        <v>0</v>
      </c>
      <c r="AE844" s="159">
        <f t="shared" si="139"/>
        <v>0</v>
      </c>
      <c r="AF844" s="159">
        <f t="shared" si="139"/>
        <v>0</v>
      </c>
      <c r="AG844" s="159">
        <f t="shared" si="139"/>
        <v>0</v>
      </c>
      <c r="AH844" s="159">
        <f t="shared" si="140"/>
        <v>0</v>
      </c>
      <c r="AI844" s="159"/>
      <c r="AJ844" s="159">
        <f t="shared" si="141"/>
        <v>0</v>
      </c>
      <c r="AK844" s="159"/>
      <c r="AL844" s="159"/>
      <c r="AM844" s="159"/>
      <c r="AN844" s="164" t="s">
        <v>416</v>
      </c>
      <c r="AO844" s="159">
        <f t="shared" si="142"/>
        <v>81278.967000000004</v>
      </c>
      <c r="AP844" s="159">
        <f t="shared" si="142"/>
        <v>10310.83</v>
      </c>
      <c r="AQ844" s="159">
        <f t="shared" si="142"/>
        <v>10747.904</v>
      </c>
      <c r="AR844" s="159">
        <f t="shared" si="142"/>
        <v>16650.57</v>
      </c>
      <c r="AS844" s="159">
        <f>((F809-$F809)*(('[1]Lake Pleasant Forecast'!B47-1526.8)/0.7702))/1000</f>
        <v>0</v>
      </c>
      <c r="AT844" s="159">
        <f t="shared" si="143"/>
        <v>118988.27100000001</v>
      </c>
      <c r="AU844" s="307"/>
      <c r="AW844" s="159">
        <f t="shared" si="133"/>
        <v>10208.73</v>
      </c>
      <c r="AX844" s="172">
        <v>2.4700000000000002</v>
      </c>
    </row>
    <row r="845" spans="1:50" ht="15.75" customHeight="1" x14ac:dyDescent="0.3">
      <c r="A845" s="365"/>
      <c r="AC845" s="325" t="s">
        <v>417</v>
      </c>
      <c r="AD845" s="159">
        <f t="shared" si="139"/>
        <v>0</v>
      </c>
      <c r="AE845" s="159">
        <f t="shared" si="139"/>
        <v>0</v>
      </c>
      <c r="AF845" s="159">
        <f t="shared" si="139"/>
        <v>0</v>
      </c>
      <c r="AG845" s="159">
        <f t="shared" si="139"/>
        <v>0</v>
      </c>
      <c r="AH845" s="159">
        <f t="shared" si="140"/>
        <v>0</v>
      </c>
      <c r="AI845" s="159"/>
      <c r="AJ845" s="159">
        <f t="shared" si="141"/>
        <v>0</v>
      </c>
      <c r="AK845" s="159"/>
      <c r="AL845" s="159"/>
      <c r="AM845" s="159"/>
      <c r="AN845" s="164" t="s">
        <v>417</v>
      </c>
      <c r="AO845" s="159">
        <f t="shared" si="142"/>
        <v>92747.654999999999</v>
      </c>
      <c r="AP845" s="159">
        <f t="shared" si="142"/>
        <v>11782.882</v>
      </c>
      <c r="AQ845" s="159">
        <f t="shared" si="142"/>
        <v>12314.24</v>
      </c>
      <c r="AR845" s="159">
        <f t="shared" si="142"/>
        <v>19252.508999999998</v>
      </c>
      <c r="AS845" s="159">
        <f>((F810-$F810)*(('[1]Lake Pleasant Forecast'!B49-1526.8)/0.7702))/1000</f>
        <v>0</v>
      </c>
      <c r="AT845" s="159">
        <f t="shared" si="143"/>
        <v>136097.28599999999</v>
      </c>
      <c r="AU845" s="307"/>
      <c r="AW845" s="159"/>
      <c r="AX845" s="172"/>
    </row>
    <row r="846" spans="1:50" ht="15.75" customHeight="1" thickBot="1" x14ac:dyDescent="0.35">
      <c r="A846" s="365"/>
      <c r="AC846" s="325" t="s">
        <v>418</v>
      </c>
      <c r="AD846" s="159">
        <f t="shared" si="139"/>
        <v>26346.21</v>
      </c>
      <c r="AE846" s="159">
        <f t="shared" si="139"/>
        <v>3358.66</v>
      </c>
      <c r="AF846" s="159">
        <f t="shared" si="139"/>
        <v>3523.84</v>
      </c>
      <c r="AG846" s="159">
        <f t="shared" si="139"/>
        <v>6029.07</v>
      </c>
      <c r="AH846" s="159">
        <f t="shared" si="140"/>
        <v>4749.6577512334488</v>
      </c>
      <c r="AI846" s="159"/>
      <c r="AJ846" s="159">
        <f t="shared" si="141"/>
        <v>44007.437751233447</v>
      </c>
      <c r="AK846" s="159"/>
      <c r="AL846" s="159"/>
      <c r="AM846" s="159"/>
      <c r="AN846" s="164" t="s">
        <v>418</v>
      </c>
      <c r="AO846" s="159">
        <f t="shared" si="142"/>
        <v>117201.876</v>
      </c>
      <c r="AP846" s="159">
        <f t="shared" si="142"/>
        <v>14902.544</v>
      </c>
      <c r="AQ846" s="159">
        <f t="shared" si="142"/>
        <v>15594.111999999999</v>
      </c>
      <c r="AR846" s="159">
        <f t="shared" si="142"/>
        <v>25587.522000000001</v>
      </c>
      <c r="AS846" s="159">
        <f>((F811-$F811)*(('[1]Lake Pleasant Forecast'!B51-1526.8)/0.7702))/1000</f>
        <v>0</v>
      </c>
      <c r="AT846" s="159">
        <f t="shared" si="143"/>
        <v>173286.054</v>
      </c>
      <c r="AU846" s="307"/>
      <c r="AW846" s="159">
        <f>(SUM(AW833:AW844))</f>
        <v>132812.13999999998</v>
      </c>
      <c r="AX846" s="172"/>
    </row>
    <row r="847" spans="1:50" ht="15.75" customHeight="1" x14ac:dyDescent="0.3">
      <c r="A847" s="363"/>
      <c r="B847" s="506" t="s">
        <v>456</v>
      </c>
      <c r="C847" s="506"/>
      <c r="D847" s="506"/>
      <c r="E847" s="506"/>
      <c r="F847" s="506"/>
      <c r="G847" s="506"/>
      <c r="H847" s="506"/>
      <c r="I847" s="506"/>
      <c r="J847" s="506"/>
      <c r="K847" s="506"/>
      <c r="L847" s="506"/>
      <c r="M847" s="506"/>
      <c r="N847" s="506"/>
      <c r="O847" s="506"/>
      <c r="P847" s="506"/>
      <c r="Q847" s="321" t="str">
        <f>+Q1</f>
        <v>PRINTED:</v>
      </c>
      <c r="R847" s="322">
        <f ca="1">+R1</f>
        <v>44909.46975358796</v>
      </c>
      <c r="AC847" s="325" t="s">
        <v>419</v>
      </c>
      <c r="AD847" s="159">
        <f t="shared" si="139"/>
        <v>75167.565000000002</v>
      </c>
      <c r="AE847" s="159">
        <f t="shared" si="139"/>
        <v>9582.49</v>
      </c>
      <c r="AF847" s="159">
        <f t="shared" si="139"/>
        <v>10053.76</v>
      </c>
      <c r="AG847" s="159">
        <f t="shared" si="139"/>
        <v>17201.355</v>
      </c>
      <c r="AH847" s="159">
        <f t="shared" si="140"/>
        <v>14223.15132433132</v>
      </c>
      <c r="AI847" s="159"/>
      <c r="AJ847" s="159">
        <f t="shared" si="141"/>
        <v>126228.32132433132</v>
      </c>
      <c r="AK847" s="159"/>
      <c r="AL847" s="159"/>
      <c r="AM847" s="159"/>
      <c r="AN847" s="164" t="s">
        <v>419</v>
      </c>
      <c r="AO847" s="159">
        <f t="shared" si="142"/>
        <v>104363.72100000001</v>
      </c>
      <c r="AP847" s="159">
        <f t="shared" si="142"/>
        <v>13269.696</v>
      </c>
      <c r="AQ847" s="159">
        <f t="shared" si="142"/>
        <v>13883.647999999999</v>
      </c>
      <c r="AR847" s="159">
        <f t="shared" si="142"/>
        <v>22486.92</v>
      </c>
      <c r="AS847" s="159">
        <f>((F812-$F812)*(('[1]Lake Pleasant Forecast'!B53-1526.8)/0.7702))/1000</f>
        <v>0</v>
      </c>
      <c r="AT847" s="159">
        <f t="shared" si="143"/>
        <v>154003.98499999999</v>
      </c>
      <c r="AU847" s="307"/>
    </row>
    <row r="848" spans="1:50" ht="16.5" customHeight="1" x14ac:dyDescent="0.3">
      <c r="A848" s="325"/>
      <c r="B848" s="503" t="str">
        <f>+A8</f>
        <v>Revised:  11/25/13</v>
      </c>
      <c r="C848" s="503"/>
      <c r="D848" s="503"/>
      <c r="E848" s="503"/>
      <c r="F848" s="503"/>
      <c r="G848" s="503"/>
      <c r="H848" s="503"/>
      <c r="I848" s="503"/>
      <c r="J848" s="503"/>
      <c r="K848" s="503"/>
      <c r="L848" s="503"/>
      <c r="M848" s="503"/>
      <c r="N848" s="503"/>
      <c r="O848" s="503"/>
      <c r="P848" s="503"/>
      <c r="Q848" s="159"/>
      <c r="R848" s="324"/>
      <c r="AC848" s="325" t="s">
        <v>420</v>
      </c>
      <c r="AD848" s="159">
        <f t="shared" si="139"/>
        <v>77135.157000000007</v>
      </c>
      <c r="AE848" s="159">
        <f t="shared" si="139"/>
        <v>9833.3220000000001</v>
      </c>
      <c r="AF848" s="159">
        <f t="shared" si="139"/>
        <v>10316.928</v>
      </c>
      <c r="AG848" s="159">
        <f t="shared" si="139"/>
        <v>17651.618999999999</v>
      </c>
      <c r="AH848" s="159">
        <f t="shared" si="140"/>
        <v>15436.839145676448</v>
      </c>
      <c r="AI848" s="159"/>
      <c r="AJ848" s="159">
        <f t="shared" si="141"/>
        <v>130373.86514567646</v>
      </c>
      <c r="AK848" s="159"/>
      <c r="AL848" s="159"/>
      <c r="AM848" s="159"/>
      <c r="AN848" s="164" t="s">
        <v>420</v>
      </c>
      <c r="AO848" s="159">
        <f t="shared" si="142"/>
        <v>61065.213000000003</v>
      </c>
      <c r="AP848" s="159">
        <f t="shared" si="142"/>
        <v>7756.0280000000002</v>
      </c>
      <c r="AQ848" s="159">
        <f t="shared" si="142"/>
        <v>8108.4160000000002</v>
      </c>
      <c r="AR848" s="159">
        <f t="shared" si="142"/>
        <v>13148.322</v>
      </c>
      <c r="AS848" s="159">
        <f>((F813-$F813)*(('[1]Lake Pleasant Forecast'!B55-1526.8)/0.7702))/1000</f>
        <v>0</v>
      </c>
      <c r="AT848" s="159">
        <f t="shared" si="143"/>
        <v>90077.979000000007</v>
      </c>
      <c r="AU848" s="307"/>
    </row>
    <row r="849" spans="1:47" ht="15.75" customHeight="1" x14ac:dyDescent="0.3">
      <c r="A849" s="325"/>
      <c r="B849" s="503" t="s">
        <v>1024</v>
      </c>
      <c r="C849" s="503"/>
      <c r="D849" s="503"/>
      <c r="E849" s="503"/>
      <c r="F849" s="503"/>
      <c r="G849" s="503"/>
      <c r="H849" s="503"/>
      <c r="I849" s="503"/>
      <c r="J849" s="503"/>
      <c r="K849" s="503"/>
      <c r="L849" s="503"/>
      <c r="M849" s="503"/>
      <c r="N849" s="503"/>
      <c r="O849" s="503"/>
      <c r="P849" s="503"/>
      <c r="Q849" s="159"/>
      <c r="R849" s="324"/>
      <c r="AC849" s="325" t="s">
        <v>421</v>
      </c>
      <c r="AD849" s="159">
        <f t="shared" si="139"/>
        <v>41182.580999999998</v>
      </c>
      <c r="AE849" s="159">
        <f t="shared" si="139"/>
        <v>5250.0259999999998</v>
      </c>
      <c r="AF849" s="159">
        <f t="shared" si="139"/>
        <v>5508.2240000000002</v>
      </c>
      <c r="AG849" s="159">
        <f t="shared" si="139"/>
        <v>9424.2270000000008</v>
      </c>
      <c r="AH849" s="159">
        <f t="shared" si="140"/>
        <v>8393.7191815213828</v>
      </c>
      <c r="AI849" s="159"/>
      <c r="AJ849" s="159">
        <f t="shared" si="141"/>
        <v>69758.777181521378</v>
      </c>
      <c r="AK849" s="159"/>
      <c r="AL849" s="159"/>
      <c r="AM849" s="159"/>
      <c r="AN849" s="164" t="s">
        <v>421</v>
      </c>
      <c r="AO849" s="159">
        <f t="shared" si="142"/>
        <v>90549.426000000007</v>
      </c>
      <c r="AP849" s="159">
        <f t="shared" si="142"/>
        <v>11520.704</v>
      </c>
      <c r="AQ849" s="159">
        <f t="shared" si="142"/>
        <v>12064.384</v>
      </c>
      <c r="AR849" s="159">
        <f t="shared" si="142"/>
        <v>16881.615000000002</v>
      </c>
      <c r="AS849" s="159">
        <f>((F814-$F814)*(('[1]Lake Pleasant Forecast'!B57-1526.8)/0.7702))/1000</f>
        <v>0</v>
      </c>
      <c r="AT849" s="159">
        <f t="shared" si="143"/>
        <v>131016.12900000002</v>
      </c>
      <c r="AU849" s="307"/>
    </row>
    <row r="850" spans="1:47" ht="15.75" customHeight="1" x14ac:dyDescent="0.3">
      <c r="A850" s="325"/>
      <c r="B850" s="159"/>
      <c r="C850" s="159"/>
      <c r="D850" s="159"/>
      <c r="E850" s="159"/>
      <c r="F850" s="159"/>
      <c r="G850" s="159"/>
      <c r="H850" s="159"/>
      <c r="I850" s="159"/>
      <c r="J850" s="159"/>
      <c r="K850" s="159"/>
      <c r="L850" s="159"/>
      <c r="M850" s="159"/>
      <c r="N850" s="159"/>
      <c r="O850" s="159"/>
      <c r="P850" s="159"/>
      <c r="Q850" s="159"/>
      <c r="R850" s="324"/>
      <c r="AC850" s="323"/>
      <c r="AD850" s="159"/>
      <c r="AE850" s="159"/>
      <c r="AF850" s="159"/>
      <c r="AG850" s="159"/>
      <c r="AH850" s="159"/>
      <c r="AI850" s="159"/>
      <c r="AJ850" s="159"/>
      <c r="AK850" s="159"/>
      <c r="AL850" s="159"/>
      <c r="AM850" s="159"/>
      <c r="AN850" s="159"/>
      <c r="AO850" s="159"/>
      <c r="AP850" s="159"/>
      <c r="AQ850" s="159"/>
      <c r="AR850" s="159"/>
      <c r="AS850" s="159"/>
      <c r="AT850" s="159"/>
      <c r="AU850" s="307"/>
    </row>
    <row r="851" spans="1:47" ht="15.75" customHeight="1" thickBot="1" x14ac:dyDescent="0.35">
      <c r="A851" s="325"/>
      <c r="B851" s="507">
        <f>A5</f>
        <v>2013</v>
      </c>
      <c r="C851" s="507"/>
      <c r="D851" s="507"/>
      <c r="E851" s="507"/>
      <c r="F851" s="507"/>
      <c r="G851" s="507"/>
      <c r="H851" s="507"/>
      <c r="I851" s="507"/>
      <c r="J851" s="507"/>
      <c r="K851" s="507"/>
      <c r="L851" s="507"/>
      <c r="M851" s="507"/>
      <c r="N851" s="507"/>
      <c r="O851" s="507"/>
      <c r="P851" s="507"/>
      <c r="Q851" s="159"/>
      <c r="R851" s="324"/>
      <c r="S851" s="159"/>
      <c r="AC851" s="330" t="s">
        <v>422</v>
      </c>
      <c r="AD851" s="327">
        <f>SUM(AD838:AD849)</f>
        <v>420954.63300000003</v>
      </c>
      <c r="AE851" s="327">
        <f>SUM(AE838:AE849)</f>
        <v>53664.017999999996</v>
      </c>
      <c r="AF851" s="327">
        <f>SUM(AF838:AF849)</f>
        <v>56303.232000000004</v>
      </c>
      <c r="AG851" s="327">
        <f>SUM(AG838:AG849)</f>
        <v>96331.311000000002</v>
      </c>
      <c r="AH851" s="327">
        <f>SUM(AH838:AH849)</f>
        <v>88354.729392474721</v>
      </c>
      <c r="AI851" s="327"/>
      <c r="AJ851" s="327">
        <f>SUM(AJ838:AJ849)</f>
        <v>715607.92339247477</v>
      </c>
      <c r="AK851" s="327"/>
      <c r="AL851" s="327"/>
      <c r="AM851" s="327"/>
      <c r="AN851" s="335" t="s">
        <v>422</v>
      </c>
      <c r="AO851" s="327">
        <f t="shared" ref="AO851:AT851" si="149">SUM(AO838:AO849)</f>
        <v>1171992.9210000001</v>
      </c>
      <c r="AP851" s="327">
        <f t="shared" si="149"/>
        <v>148980.66599999997</v>
      </c>
      <c r="AQ851" s="327">
        <f t="shared" si="149"/>
        <v>155785.98399999997</v>
      </c>
      <c r="AR851" s="327">
        <f t="shared" si="149"/>
        <v>248836.34099999996</v>
      </c>
      <c r="AS851" s="327">
        <f t="shared" si="149"/>
        <v>0</v>
      </c>
      <c r="AT851" s="327">
        <f t="shared" si="149"/>
        <v>1725595.912</v>
      </c>
      <c r="AU851" s="313"/>
    </row>
    <row r="852" spans="1:47" ht="15.75" customHeight="1" x14ac:dyDescent="0.3">
      <c r="A852" s="325"/>
      <c r="B852" s="503" t="s">
        <v>457</v>
      </c>
      <c r="C852" s="503"/>
      <c r="D852" s="503"/>
      <c r="E852" s="503"/>
      <c r="F852" s="503"/>
      <c r="G852" s="503"/>
      <c r="H852" s="503"/>
      <c r="I852" s="503"/>
      <c r="J852" s="503"/>
      <c r="K852" s="503"/>
      <c r="L852" s="503"/>
      <c r="M852" s="503"/>
      <c r="N852" s="503"/>
      <c r="O852" s="503"/>
      <c r="P852" s="503"/>
      <c r="Q852" s="159"/>
      <c r="R852" s="324"/>
      <c r="S852" s="159"/>
    </row>
    <row r="853" spans="1:47" ht="15.75" customHeight="1" thickBot="1" x14ac:dyDescent="0.35">
      <c r="A853" s="325"/>
      <c r="B853" s="159"/>
      <c r="C853" s="159"/>
      <c r="D853" s="159"/>
      <c r="E853" s="159"/>
      <c r="F853" s="159"/>
      <c r="G853" s="159"/>
      <c r="H853" s="159"/>
      <c r="I853" s="159"/>
      <c r="J853" s="159"/>
      <c r="K853" s="159"/>
      <c r="L853" s="159"/>
      <c r="M853" s="159"/>
      <c r="N853" s="159"/>
      <c r="O853" s="159"/>
      <c r="P853" s="159"/>
      <c r="Q853" s="159"/>
      <c r="R853" s="324"/>
      <c r="S853" s="159"/>
    </row>
    <row r="854" spans="1:47" ht="15.75" customHeight="1" thickBot="1" x14ac:dyDescent="0.35">
      <c r="A854" s="325" t="s">
        <v>389</v>
      </c>
      <c r="B854" s="364" t="s">
        <v>390</v>
      </c>
      <c r="C854" s="364" t="s">
        <v>391</v>
      </c>
      <c r="D854" s="364" t="s">
        <v>392</v>
      </c>
      <c r="E854" s="364" t="s">
        <v>393</v>
      </c>
      <c r="F854" s="364" t="s">
        <v>394</v>
      </c>
      <c r="G854" s="364" t="s">
        <v>394</v>
      </c>
      <c r="H854" s="364" t="s">
        <v>395</v>
      </c>
      <c r="I854" s="364" t="s">
        <v>396</v>
      </c>
      <c r="J854" s="364" t="s">
        <v>397</v>
      </c>
      <c r="K854" s="364" t="s">
        <v>398</v>
      </c>
      <c r="L854" s="364" t="s">
        <v>399</v>
      </c>
      <c r="M854" s="364" t="s">
        <v>400</v>
      </c>
      <c r="N854" s="364" t="s">
        <v>401</v>
      </c>
      <c r="O854" s="364" t="s">
        <v>402</v>
      </c>
      <c r="P854" s="364" t="s">
        <v>403</v>
      </c>
      <c r="Q854" s="364" t="s">
        <v>404</v>
      </c>
      <c r="R854" s="457" t="s">
        <v>422</v>
      </c>
      <c r="S854" s="164"/>
    </row>
    <row r="855" spans="1:47" ht="15.75" customHeight="1" x14ac:dyDescent="0.3">
      <c r="A855" s="325" t="s">
        <v>405</v>
      </c>
      <c r="B855" s="159"/>
      <c r="C855" s="159"/>
      <c r="D855" s="159"/>
      <c r="E855" s="159"/>
      <c r="F855" s="164" t="s">
        <v>406</v>
      </c>
      <c r="G855" s="164" t="s">
        <v>407</v>
      </c>
      <c r="H855" s="159"/>
      <c r="I855" s="159"/>
      <c r="J855" s="159"/>
      <c r="K855" s="159"/>
      <c r="L855" s="159"/>
      <c r="M855" s="159"/>
      <c r="N855" s="159"/>
      <c r="O855" s="159"/>
      <c r="P855" s="159"/>
      <c r="Q855" s="159"/>
      <c r="R855" s="377" t="s">
        <v>458</v>
      </c>
      <c r="S855" s="164"/>
    </row>
    <row r="856" spans="1:47" ht="15.75" customHeight="1" x14ac:dyDescent="0.3">
      <c r="A856" s="325" t="s">
        <v>408</v>
      </c>
      <c r="B856" s="159">
        <f>+B$801</f>
        <v>957</v>
      </c>
      <c r="C856" s="159">
        <f>+C$801</f>
        <v>122</v>
      </c>
      <c r="D856" s="159">
        <f>+D$801</f>
        <v>128</v>
      </c>
      <c r="E856" s="159">
        <f>+E$801</f>
        <v>219</v>
      </c>
      <c r="F856" s="159"/>
      <c r="G856" s="159"/>
      <c r="H856" s="159">
        <f t="shared" ref="H856:Q856" si="150">+H$801</f>
        <v>97</v>
      </c>
      <c r="I856" s="159">
        <f t="shared" si="150"/>
        <v>160</v>
      </c>
      <c r="J856" s="159">
        <f t="shared" si="150"/>
        <v>250</v>
      </c>
      <c r="K856" s="159">
        <f t="shared" si="150"/>
        <v>260</v>
      </c>
      <c r="L856" s="159">
        <f t="shared" si="150"/>
        <v>100</v>
      </c>
      <c r="M856" s="159">
        <f t="shared" si="150"/>
        <v>118</v>
      </c>
      <c r="N856" s="159">
        <f t="shared" si="150"/>
        <v>250</v>
      </c>
      <c r="O856" s="159">
        <f t="shared" si="150"/>
        <v>190</v>
      </c>
      <c r="P856" s="159">
        <f t="shared" si="150"/>
        <v>340</v>
      </c>
      <c r="Q856" s="159">
        <f t="shared" si="150"/>
        <v>450</v>
      </c>
      <c r="R856" s="377" t="s">
        <v>442</v>
      </c>
      <c r="S856" s="164"/>
    </row>
    <row r="857" spans="1:47" ht="15.75" customHeight="1" x14ac:dyDescent="0.3">
      <c r="A857" s="325"/>
      <c r="B857" s="159" t="s">
        <v>409</v>
      </c>
      <c r="C857" s="159" t="s">
        <v>409</v>
      </c>
      <c r="D857" s="159" t="s">
        <v>409</v>
      </c>
      <c r="E857" s="159" t="s">
        <v>409</v>
      </c>
      <c r="F857" s="159" t="s">
        <v>409</v>
      </c>
      <c r="G857" s="159" t="s">
        <v>409</v>
      </c>
      <c r="H857" s="159" t="s">
        <v>409</v>
      </c>
      <c r="I857" s="159" t="s">
        <v>409</v>
      </c>
      <c r="J857" s="159" t="s">
        <v>409</v>
      </c>
      <c r="K857" s="159" t="s">
        <v>409</v>
      </c>
      <c r="L857" s="159" t="s">
        <v>409</v>
      </c>
      <c r="M857" s="159" t="s">
        <v>409</v>
      </c>
      <c r="N857" s="159" t="s">
        <v>409</v>
      </c>
      <c r="O857" s="159" t="s">
        <v>409</v>
      </c>
      <c r="P857" s="159" t="s">
        <v>409</v>
      </c>
      <c r="Q857" s="159" t="s">
        <v>409</v>
      </c>
      <c r="R857" s="374" t="s">
        <v>459</v>
      </c>
      <c r="S857" s="164"/>
    </row>
    <row r="858" spans="1:47" ht="15.75" customHeight="1" x14ac:dyDescent="0.3">
      <c r="A858" s="365" t="s">
        <v>795</v>
      </c>
      <c r="B858" s="159">
        <f t="shared" ref="B858:B869" si="151">ROUND((B803*$B$801)/1000,0)</f>
        <v>77596</v>
      </c>
      <c r="C858" s="159">
        <f>(C803*C801)/1000</f>
        <v>9880.2919999999995</v>
      </c>
      <c r="D858" s="159">
        <f>(D803*D801)/1000</f>
        <v>10353.92</v>
      </c>
      <c r="E858" s="159">
        <f>(E803*E801)/1000</f>
        <v>17286.545999999998</v>
      </c>
      <c r="F858" s="159">
        <f t="shared" ref="F858:F869" si="152">(F803*((T803-1526.8)/0.7702))/1000</f>
        <v>11469.809678454791</v>
      </c>
      <c r="G858" s="159">
        <f t="shared" ref="G858:G869" si="153">(G803*((T803-1591.4)/0.6635))/1000</f>
        <v>-3680.0882349419553</v>
      </c>
      <c r="H858" s="159">
        <f t="shared" ref="H858:Q858" si="154">(H803*H801)/1000</f>
        <v>2950.74</v>
      </c>
      <c r="I858" s="159">
        <f t="shared" si="154"/>
        <v>2632.32</v>
      </c>
      <c r="J858" s="159">
        <f t="shared" si="154"/>
        <v>4020.75</v>
      </c>
      <c r="K858" s="159">
        <f t="shared" si="154"/>
        <v>3999.84</v>
      </c>
      <c r="L858" s="159">
        <f t="shared" si="154"/>
        <v>1447.4</v>
      </c>
      <c r="M858" s="159">
        <f t="shared" si="154"/>
        <v>1705.5719999999999</v>
      </c>
      <c r="N858" s="159">
        <f t="shared" si="154"/>
        <v>3611</v>
      </c>
      <c r="O858" s="159">
        <f t="shared" si="154"/>
        <v>542.26</v>
      </c>
      <c r="P858" s="159">
        <f t="shared" si="154"/>
        <v>182.92</v>
      </c>
      <c r="Q858" s="159">
        <f t="shared" si="154"/>
        <v>1272.5999999999999</v>
      </c>
      <c r="R858" s="379">
        <f>(SUM(B858:Q858))</f>
        <v>145271.88144351286</v>
      </c>
      <c r="S858" s="168"/>
    </row>
    <row r="859" spans="1:47" ht="15.75" customHeight="1" x14ac:dyDescent="0.3">
      <c r="A859" s="365" t="s">
        <v>9</v>
      </c>
      <c r="B859" s="159">
        <f t="shared" si="151"/>
        <v>139777</v>
      </c>
      <c r="C859" s="159">
        <f>(C804*C801)/1000</f>
        <v>17800.898000000001</v>
      </c>
      <c r="D859" s="159">
        <f>(D804*D801)/1000</f>
        <v>18654.207999999999</v>
      </c>
      <c r="E859" s="159">
        <f>(E804*E801)/1000</f>
        <v>31520.232</v>
      </c>
      <c r="F859" s="159">
        <f t="shared" si="152"/>
        <v>19306.53824980526</v>
      </c>
      <c r="G859" s="159">
        <f t="shared" si="153"/>
        <v>0</v>
      </c>
      <c r="H859" s="159">
        <f t="shared" ref="H859:Q859" si="155">(H804*H801)/1000</f>
        <v>3588.127</v>
      </c>
      <c r="I859" s="159">
        <f t="shared" si="155"/>
        <v>2937.12</v>
      </c>
      <c r="J859" s="159">
        <f t="shared" si="155"/>
        <v>4484.5</v>
      </c>
      <c r="K859" s="159">
        <f t="shared" si="155"/>
        <v>4546.3599999999997</v>
      </c>
      <c r="L859" s="159">
        <f t="shared" si="155"/>
        <v>1633.9</v>
      </c>
      <c r="M859" s="159">
        <f t="shared" si="155"/>
        <v>1925.4059999999999</v>
      </c>
      <c r="N859" s="159">
        <f t="shared" si="155"/>
        <v>4076.5</v>
      </c>
      <c r="O859" s="159">
        <f t="shared" si="155"/>
        <v>581.02</v>
      </c>
      <c r="P859" s="159">
        <f t="shared" si="155"/>
        <v>40.46</v>
      </c>
      <c r="Q859" s="159">
        <f t="shared" si="155"/>
        <v>1361.25</v>
      </c>
      <c r="R859" s="379">
        <f t="shared" ref="R859:R869" si="156">(SUM(B859:Q859))</f>
        <v>252233.51924980516</v>
      </c>
      <c r="S859" s="168"/>
    </row>
    <row r="860" spans="1:47" ht="15.75" customHeight="1" x14ac:dyDescent="0.3">
      <c r="A860" s="365" t="s">
        <v>10</v>
      </c>
      <c r="B860" s="159">
        <f t="shared" si="151"/>
        <v>171069</v>
      </c>
      <c r="C860" s="159">
        <f>(C805*C801)/1000</f>
        <v>21774.804</v>
      </c>
      <c r="D860" s="159">
        <f>(D805*D801)/1000</f>
        <v>22807.040000000001</v>
      </c>
      <c r="E860" s="159">
        <f>(E805*E801)/1000</f>
        <v>37672.379999999997</v>
      </c>
      <c r="F860" s="159">
        <f t="shared" si="152"/>
        <v>14705.548688652307</v>
      </c>
      <c r="G860" s="159">
        <f t="shared" si="153"/>
        <v>0</v>
      </c>
      <c r="H860" s="159">
        <f t="shared" ref="H860:Q860" si="157">(H805*H801)/1000</f>
        <v>7620.5140000000001</v>
      </c>
      <c r="I860" s="159">
        <f t="shared" si="157"/>
        <v>4896.8</v>
      </c>
      <c r="J860" s="159">
        <f t="shared" si="157"/>
        <v>5582.75</v>
      </c>
      <c r="K860" s="159">
        <f t="shared" si="157"/>
        <v>5154.5</v>
      </c>
      <c r="L860" s="159">
        <f t="shared" si="157"/>
        <v>1720.2</v>
      </c>
      <c r="M860" s="159">
        <f t="shared" si="157"/>
        <v>2026.5319999999999</v>
      </c>
      <c r="N860" s="159">
        <f t="shared" si="157"/>
        <v>4278.5</v>
      </c>
      <c r="O860" s="159">
        <f t="shared" si="157"/>
        <v>767.98</v>
      </c>
      <c r="P860" s="159">
        <f t="shared" si="157"/>
        <v>1602.08</v>
      </c>
      <c r="Q860" s="159">
        <f t="shared" si="157"/>
        <v>1798.2</v>
      </c>
      <c r="R860" s="379">
        <f t="shared" si="156"/>
        <v>303476.82868865237</v>
      </c>
      <c r="S860" s="168"/>
    </row>
    <row r="861" spans="1:47" ht="15.75" customHeight="1" x14ac:dyDescent="0.3">
      <c r="A861" s="365" t="s">
        <v>12</v>
      </c>
      <c r="B861" s="159">
        <f t="shared" si="151"/>
        <v>144236</v>
      </c>
      <c r="C861" s="159">
        <f>(C806*C801)/1000</f>
        <v>18342.7</v>
      </c>
      <c r="D861" s="159">
        <f>(D806*D801)/1000</f>
        <v>19185.407999999999</v>
      </c>
      <c r="E861" s="159">
        <f>(E806*E801)/1000</f>
        <v>30902.214</v>
      </c>
      <c r="F861" s="159">
        <f t="shared" si="152"/>
        <v>69.465372799760274</v>
      </c>
      <c r="G861" s="159">
        <f t="shared" si="153"/>
        <v>-5419.5560906738274</v>
      </c>
      <c r="H861" s="159">
        <f t="shared" ref="H861:Q861" si="158">(H806*H801)/1000</f>
        <v>12762.871999999999</v>
      </c>
      <c r="I861" s="159">
        <f t="shared" si="158"/>
        <v>8260.16</v>
      </c>
      <c r="J861" s="159">
        <f t="shared" si="158"/>
        <v>8603.75</v>
      </c>
      <c r="K861" s="159">
        <f t="shared" si="158"/>
        <v>7170.8</v>
      </c>
      <c r="L861" s="159">
        <f t="shared" si="158"/>
        <v>2123.1</v>
      </c>
      <c r="M861" s="159">
        <f t="shared" si="158"/>
        <v>2500.8919999999998</v>
      </c>
      <c r="N861" s="159">
        <f t="shared" si="158"/>
        <v>4814</v>
      </c>
      <c r="O861" s="159">
        <f t="shared" si="158"/>
        <v>744.61</v>
      </c>
      <c r="P861" s="159">
        <f t="shared" si="158"/>
        <v>1764.94</v>
      </c>
      <c r="Q861" s="159">
        <f t="shared" si="158"/>
        <v>1739.7</v>
      </c>
      <c r="R861" s="379">
        <f t="shared" si="156"/>
        <v>257801.05528212592</v>
      </c>
      <c r="S861" s="168"/>
    </row>
    <row r="862" spans="1:47" ht="15.75" customHeight="1" x14ac:dyDescent="0.3">
      <c r="A862" s="365" t="s">
        <v>13</v>
      </c>
      <c r="B862" s="159">
        <f t="shared" si="151"/>
        <v>168607</v>
      </c>
      <c r="C862" s="159">
        <f>(C807*C801)/1000</f>
        <v>21442.475999999999</v>
      </c>
      <c r="D862" s="159">
        <f>(D807*D801)/1000</f>
        <v>22423.68</v>
      </c>
      <c r="E862" s="159">
        <f>(E807*E801)/1000</f>
        <v>36679.872000000003</v>
      </c>
      <c r="F862" s="159">
        <f t="shared" si="152"/>
        <v>0</v>
      </c>
      <c r="G862" s="159">
        <f t="shared" si="153"/>
        <v>-3176.9432102486849</v>
      </c>
      <c r="H862" s="159">
        <f t="shared" ref="H862:Q862" si="159">(H807*H801)/1000</f>
        <v>12751.814</v>
      </c>
      <c r="I862" s="159">
        <f t="shared" si="159"/>
        <v>6545.6</v>
      </c>
      <c r="J862" s="159">
        <f t="shared" si="159"/>
        <v>6941.5</v>
      </c>
      <c r="K862" s="159">
        <f t="shared" si="159"/>
        <v>5673.2</v>
      </c>
      <c r="L862" s="159">
        <f t="shared" si="159"/>
        <v>1965.2</v>
      </c>
      <c r="M862" s="159">
        <f t="shared" si="159"/>
        <v>2313.98</v>
      </c>
      <c r="N862" s="159">
        <f t="shared" si="159"/>
        <v>4438.25</v>
      </c>
      <c r="O862" s="159">
        <f t="shared" si="159"/>
        <v>845.88</v>
      </c>
      <c r="P862" s="159">
        <f t="shared" si="159"/>
        <v>2062.44</v>
      </c>
      <c r="Q862" s="159">
        <f t="shared" si="159"/>
        <v>1987.65</v>
      </c>
      <c r="R862" s="379">
        <f t="shared" si="156"/>
        <v>291501.59878975136</v>
      </c>
      <c r="S862" s="168"/>
    </row>
    <row r="863" spans="1:47" ht="15.75" customHeight="1" x14ac:dyDescent="0.3">
      <c r="A863" s="365" t="s">
        <v>14</v>
      </c>
      <c r="B863" s="159">
        <f t="shared" si="151"/>
        <v>124623</v>
      </c>
      <c r="C863" s="159">
        <f>(C808*C801)/1000</f>
        <v>15836.332</v>
      </c>
      <c r="D863" s="159">
        <f>(D808*D801)/1000</f>
        <v>16549.504000000001</v>
      </c>
      <c r="E863" s="159">
        <f>(E808*E801)/1000</f>
        <v>26792.679</v>
      </c>
      <c r="F863" s="159">
        <f t="shared" si="152"/>
        <v>0</v>
      </c>
      <c r="G863" s="159">
        <f t="shared" si="153"/>
        <v>-10593.252298417488</v>
      </c>
      <c r="H863" s="159">
        <f t="shared" ref="H863:Q863" si="160">(H808*H801)/1000</f>
        <v>15389.923000000001</v>
      </c>
      <c r="I863" s="159">
        <f t="shared" si="160"/>
        <v>8286.4</v>
      </c>
      <c r="J863" s="159">
        <f t="shared" si="160"/>
        <v>7599</v>
      </c>
      <c r="K863" s="159">
        <f t="shared" si="160"/>
        <v>5615.48</v>
      </c>
      <c r="L863" s="159">
        <f t="shared" si="160"/>
        <v>1787</v>
      </c>
      <c r="M863" s="159">
        <f t="shared" si="160"/>
        <v>2103.4679999999998</v>
      </c>
      <c r="N863" s="159">
        <f t="shared" si="160"/>
        <v>3785</v>
      </c>
      <c r="O863" s="159">
        <f t="shared" si="160"/>
        <v>703.19</v>
      </c>
      <c r="P863" s="159">
        <f t="shared" si="160"/>
        <v>2023</v>
      </c>
      <c r="Q863" s="159">
        <f t="shared" si="160"/>
        <v>1661.4</v>
      </c>
      <c r="R863" s="379">
        <f t="shared" si="156"/>
        <v>222162.12370158252</v>
      </c>
      <c r="S863" s="168"/>
    </row>
    <row r="864" spans="1:47" ht="15.75" customHeight="1" x14ac:dyDescent="0.3">
      <c r="A864" s="365" t="s">
        <v>16</v>
      </c>
      <c r="B864" s="159">
        <f t="shared" si="151"/>
        <v>81279</v>
      </c>
      <c r="C864" s="159">
        <f>(C809*C801)/1000</f>
        <v>10310.83</v>
      </c>
      <c r="D864" s="159">
        <f>(D809*D801)/1000</f>
        <v>10747.904</v>
      </c>
      <c r="E864" s="159">
        <f>(E809*E801)/1000</f>
        <v>16650.57</v>
      </c>
      <c r="F864" s="159">
        <f t="shared" si="152"/>
        <v>0</v>
      </c>
      <c r="G864" s="159">
        <f t="shared" si="153"/>
        <v>-11418.78165383781</v>
      </c>
      <c r="H864" s="159">
        <f t="shared" ref="H864:Q864" si="161">(H809*H801)/1000</f>
        <v>12765.781999999999</v>
      </c>
      <c r="I864" s="159">
        <f t="shared" si="161"/>
        <v>7027.36</v>
      </c>
      <c r="J864" s="159">
        <f t="shared" si="161"/>
        <v>6624.25</v>
      </c>
      <c r="K864" s="159">
        <f t="shared" si="161"/>
        <v>5028.3999999999996</v>
      </c>
      <c r="L864" s="159">
        <f t="shared" si="161"/>
        <v>1728.7</v>
      </c>
      <c r="M864" s="159">
        <f t="shared" si="161"/>
        <v>2035.2639999999999</v>
      </c>
      <c r="N864" s="159">
        <f t="shared" si="161"/>
        <v>3591.5</v>
      </c>
      <c r="O864" s="159">
        <f t="shared" si="161"/>
        <v>959.88</v>
      </c>
      <c r="P864" s="159">
        <f t="shared" si="161"/>
        <v>1989.34</v>
      </c>
      <c r="Q864" s="159">
        <f t="shared" si="161"/>
        <v>2265.75</v>
      </c>
      <c r="R864" s="379">
        <f t="shared" si="156"/>
        <v>151585.74834616217</v>
      </c>
      <c r="S864" s="168"/>
    </row>
    <row r="865" spans="1:19" ht="15.75" customHeight="1" x14ac:dyDescent="0.3">
      <c r="A865" s="365" t="s">
        <v>17</v>
      </c>
      <c r="B865" s="159">
        <f t="shared" si="151"/>
        <v>92748</v>
      </c>
      <c r="C865" s="159">
        <f>(C810*C801)/1000</f>
        <v>11782.882</v>
      </c>
      <c r="D865" s="159">
        <f>(D810*D801)/1000</f>
        <v>12314.24</v>
      </c>
      <c r="E865" s="159">
        <f>(E810*E801)/1000</f>
        <v>19252.508999999998</v>
      </c>
      <c r="F865" s="159">
        <f t="shared" si="152"/>
        <v>0</v>
      </c>
      <c r="G865" s="159">
        <f t="shared" si="153"/>
        <v>-9236.5638473718936</v>
      </c>
      <c r="H865" s="159">
        <f t="shared" ref="H865:Q865" si="162">(H810*H801)/1000</f>
        <v>13085.106</v>
      </c>
      <c r="I865" s="159">
        <f t="shared" si="162"/>
        <v>7898.24</v>
      </c>
      <c r="J865" s="159">
        <f t="shared" si="162"/>
        <v>7625</v>
      </c>
      <c r="K865" s="159">
        <f t="shared" si="162"/>
        <v>6074.9</v>
      </c>
      <c r="L865" s="159">
        <f t="shared" si="162"/>
        <v>1852</v>
      </c>
      <c r="M865" s="159">
        <f t="shared" si="162"/>
        <v>2181.1120000000001</v>
      </c>
      <c r="N865" s="159">
        <f t="shared" si="162"/>
        <v>3998.25</v>
      </c>
      <c r="O865" s="159">
        <f t="shared" si="162"/>
        <v>823.65</v>
      </c>
      <c r="P865" s="159">
        <f t="shared" si="162"/>
        <v>1947.18</v>
      </c>
      <c r="Q865" s="159">
        <f t="shared" si="162"/>
        <v>1948.05</v>
      </c>
      <c r="R865" s="379">
        <f t="shared" si="156"/>
        <v>174294.55515262805</v>
      </c>
      <c r="S865" s="168"/>
    </row>
    <row r="866" spans="1:19" ht="15.75" customHeight="1" x14ac:dyDescent="0.3">
      <c r="A866" s="365" t="s">
        <v>18</v>
      </c>
      <c r="B866" s="159">
        <f t="shared" si="151"/>
        <v>143548</v>
      </c>
      <c r="C866" s="159">
        <f>(C811*C801)/1000</f>
        <v>18261.204000000002</v>
      </c>
      <c r="D866" s="159">
        <f>(D811*D801)/1000</f>
        <v>19117.952000000001</v>
      </c>
      <c r="E866" s="159">
        <f>(E811*E801)/1000</f>
        <v>31616.592000000001</v>
      </c>
      <c r="F866" s="159">
        <f t="shared" si="152"/>
        <v>4749.6577512334488</v>
      </c>
      <c r="G866" s="159">
        <f t="shared" si="153"/>
        <v>-38.179171062547091</v>
      </c>
      <c r="H866" s="159">
        <f t="shared" ref="H866:Q866" si="163">(H811*H801)/1000</f>
        <v>8145.5749999999998</v>
      </c>
      <c r="I866" s="159">
        <f t="shared" si="163"/>
        <v>5096</v>
      </c>
      <c r="J866" s="159">
        <f t="shared" si="163"/>
        <v>6266.25</v>
      </c>
      <c r="K866" s="159">
        <f t="shared" si="163"/>
        <v>5548.4</v>
      </c>
      <c r="L866" s="159">
        <f t="shared" si="163"/>
        <v>1767.8</v>
      </c>
      <c r="M866" s="159">
        <f t="shared" si="163"/>
        <v>2081.9920000000002</v>
      </c>
      <c r="N866" s="159">
        <f t="shared" si="163"/>
        <v>3959.5</v>
      </c>
      <c r="O866" s="159">
        <f t="shared" si="163"/>
        <v>677.54</v>
      </c>
      <c r="P866" s="159">
        <f t="shared" si="163"/>
        <v>1877.82</v>
      </c>
      <c r="Q866" s="159">
        <f t="shared" si="163"/>
        <v>1584.9</v>
      </c>
      <c r="R866" s="379">
        <f t="shared" si="156"/>
        <v>254261.00358017092</v>
      </c>
      <c r="S866" s="168"/>
    </row>
    <row r="867" spans="1:19" ht="15.75" customHeight="1" x14ac:dyDescent="0.3">
      <c r="A867" s="365" t="s">
        <v>20</v>
      </c>
      <c r="B867" s="159">
        <f t="shared" si="151"/>
        <v>179531</v>
      </c>
      <c r="C867" s="159">
        <f>(C812*C801)/1000</f>
        <v>22852.186000000002</v>
      </c>
      <c r="D867" s="159">
        <f>(D812*D801)/1000</f>
        <v>23937.407999999999</v>
      </c>
      <c r="E867" s="159">
        <f>(E812*E801)/1000</f>
        <v>39688.275000000001</v>
      </c>
      <c r="F867" s="159">
        <f t="shared" si="152"/>
        <v>14223.15132433132</v>
      </c>
      <c r="G867" s="159">
        <f t="shared" si="153"/>
        <v>0</v>
      </c>
      <c r="H867" s="159">
        <f t="shared" ref="H867:Q867" si="164">(H812*H801)/1000</f>
        <v>6773.9949999999999</v>
      </c>
      <c r="I867" s="159">
        <f t="shared" si="164"/>
        <v>2529.7600000000002</v>
      </c>
      <c r="J867" s="159">
        <f t="shared" si="164"/>
        <v>3758</v>
      </c>
      <c r="K867" s="159">
        <f t="shared" si="164"/>
        <v>3733.86</v>
      </c>
      <c r="L867" s="159">
        <f t="shared" si="164"/>
        <v>1149</v>
      </c>
      <c r="M867" s="159">
        <f t="shared" si="164"/>
        <v>1352.3979999999999</v>
      </c>
      <c r="N867" s="159">
        <f t="shared" si="164"/>
        <v>2747</v>
      </c>
      <c r="O867" s="159">
        <f t="shared" si="164"/>
        <v>621.11</v>
      </c>
      <c r="P867" s="159">
        <f t="shared" si="164"/>
        <v>1820.36</v>
      </c>
      <c r="Q867" s="159">
        <f t="shared" si="164"/>
        <v>1468.8</v>
      </c>
      <c r="R867" s="379">
        <f t="shared" si="156"/>
        <v>306186.30332433124</v>
      </c>
      <c r="S867" s="168"/>
    </row>
    <row r="868" spans="1:19" ht="15.75" customHeight="1" x14ac:dyDescent="0.3">
      <c r="A868" s="365" t="s">
        <v>21</v>
      </c>
      <c r="B868" s="159">
        <f t="shared" si="151"/>
        <v>138200</v>
      </c>
      <c r="C868" s="159">
        <f>(C813*C801)/1000</f>
        <v>17589.349999999999</v>
      </c>
      <c r="D868" s="159">
        <f>(D813*D801)/1000</f>
        <v>18425.344000000001</v>
      </c>
      <c r="E868" s="159">
        <f>(E813*E801)/1000</f>
        <v>30799.940999999999</v>
      </c>
      <c r="F868" s="159">
        <f t="shared" si="152"/>
        <v>15436.839145676448</v>
      </c>
      <c r="G868" s="159">
        <f t="shared" si="153"/>
        <v>0</v>
      </c>
      <c r="H868" s="159">
        <f t="shared" ref="H868:Q868" si="165">(H813*H801)/1000</f>
        <v>3417.0189999999998</v>
      </c>
      <c r="I868" s="159">
        <f t="shared" si="165"/>
        <v>1512.32</v>
      </c>
      <c r="J868" s="159">
        <f t="shared" si="165"/>
        <v>2278.5</v>
      </c>
      <c r="K868" s="159">
        <f t="shared" si="165"/>
        <v>2147.34</v>
      </c>
      <c r="L868" s="159">
        <f t="shared" si="165"/>
        <v>738.1</v>
      </c>
      <c r="M868" s="159">
        <f t="shared" si="165"/>
        <v>868.24400000000003</v>
      </c>
      <c r="N868" s="159">
        <f t="shared" si="165"/>
        <v>1795.5</v>
      </c>
      <c r="O868" s="159">
        <f t="shared" si="165"/>
        <v>400.9</v>
      </c>
      <c r="P868" s="159">
        <f t="shared" si="165"/>
        <v>1486.14</v>
      </c>
      <c r="Q868" s="159">
        <f t="shared" si="165"/>
        <v>948.15</v>
      </c>
      <c r="R868" s="379">
        <f t="shared" si="156"/>
        <v>236043.68714567646</v>
      </c>
      <c r="S868" s="168"/>
    </row>
    <row r="869" spans="1:19" ht="15.75" customHeight="1" x14ac:dyDescent="0.3">
      <c r="A869" s="365" t="s">
        <v>22</v>
      </c>
      <c r="B869" s="159">
        <f t="shared" si="151"/>
        <v>131732</v>
      </c>
      <c r="C869" s="159">
        <f>(C814*C801)/1000</f>
        <v>16770.73</v>
      </c>
      <c r="D869" s="159">
        <f>(D814*D801)/1000</f>
        <v>17572.608</v>
      </c>
      <c r="E869" s="159">
        <f>(E814*E801)/1000</f>
        <v>26305.842000000001</v>
      </c>
      <c r="F869" s="159">
        <f t="shared" si="152"/>
        <v>8393.7191815213828</v>
      </c>
      <c r="G869" s="159">
        <f t="shared" si="153"/>
        <v>0</v>
      </c>
      <c r="H869" s="159">
        <f t="shared" ref="H869:Q869" si="166">(H814*H801)/1000</f>
        <v>5034.7849999999999</v>
      </c>
      <c r="I869" s="159">
        <f t="shared" si="166"/>
        <v>3331.2</v>
      </c>
      <c r="J869" s="159">
        <f t="shared" si="166"/>
        <v>4652.5</v>
      </c>
      <c r="K869" s="159">
        <f t="shared" si="166"/>
        <v>4811.5600000000004</v>
      </c>
      <c r="L869" s="159">
        <f t="shared" si="166"/>
        <v>1383.4</v>
      </c>
      <c r="M869" s="159">
        <f t="shared" si="166"/>
        <v>1630.17</v>
      </c>
      <c r="N869" s="159">
        <f t="shared" si="166"/>
        <v>3402.5</v>
      </c>
      <c r="O869" s="159">
        <f t="shared" si="166"/>
        <v>627.38</v>
      </c>
      <c r="P869" s="159">
        <f t="shared" si="166"/>
        <v>1680.28</v>
      </c>
      <c r="Q869" s="159">
        <f t="shared" si="166"/>
        <v>1485</v>
      </c>
      <c r="R869" s="379">
        <f t="shared" si="156"/>
        <v>228813.67418152143</v>
      </c>
      <c r="S869" s="168"/>
    </row>
    <row r="870" spans="1:19" ht="15.75" customHeight="1" x14ac:dyDescent="0.3">
      <c r="A870" s="325"/>
      <c r="B870" s="159"/>
      <c r="C870" s="159"/>
      <c r="D870" s="159"/>
      <c r="E870" s="159"/>
      <c r="F870" s="159"/>
      <c r="G870" s="159"/>
      <c r="H870" s="159"/>
      <c r="I870" s="159"/>
      <c r="J870" s="159"/>
      <c r="K870" s="159"/>
      <c r="L870" s="159"/>
      <c r="M870" s="159"/>
      <c r="N870" s="159"/>
      <c r="O870" s="159"/>
      <c r="P870" s="159"/>
      <c r="Q870" s="159"/>
      <c r="R870" s="374"/>
      <c r="S870" s="168"/>
    </row>
    <row r="871" spans="1:19" ht="15.75" customHeight="1" x14ac:dyDescent="0.3">
      <c r="A871" s="325" t="s">
        <v>422</v>
      </c>
      <c r="B871" s="159">
        <f>SUM(B858:B869)</f>
        <v>1592946</v>
      </c>
      <c r="C871" s="159">
        <f t="shared" ref="C871:R871" si="167">SUM(C858:C869)</f>
        <v>202644.68400000001</v>
      </c>
      <c r="D871" s="159">
        <f t="shared" si="167"/>
        <v>212089.21599999999</v>
      </c>
      <c r="E871" s="159">
        <f t="shared" si="167"/>
        <v>345167.652</v>
      </c>
      <c r="F871" s="159">
        <f t="shared" si="167"/>
        <v>88354.729392474721</v>
      </c>
      <c r="G871" s="159">
        <f t="shared" si="167"/>
        <v>-43563.364506554208</v>
      </c>
      <c r="H871" s="159">
        <f t="shared" si="167"/>
        <v>104286.25199999999</v>
      </c>
      <c r="I871" s="159">
        <f t="shared" si="167"/>
        <v>60953.279999999999</v>
      </c>
      <c r="J871" s="159">
        <f t="shared" si="167"/>
        <v>68436.75</v>
      </c>
      <c r="K871" s="159">
        <f t="shared" si="167"/>
        <v>59504.639999999999</v>
      </c>
      <c r="L871" s="159">
        <f t="shared" si="167"/>
        <v>19295.800000000003</v>
      </c>
      <c r="M871" s="159">
        <f t="shared" si="167"/>
        <v>22725.03</v>
      </c>
      <c r="N871" s="159">
        <f t="shared" si="167"/>
        <v>44497.5</v>
      </c>
      <c r="O871" s="159">
        <f t="shared" si="167"/>
        <v>8295.4</v>
      </c>
      <c r="P871" s="159">
        <f t="shared" si="167"/>
        <v>18476.96</v>
      </c>
      <c r="Q871" s="159">
        <f t="shared" si="167"/>
        <v>19521.45</v>
      </c>
      <c r="R871" s="381">
        <f t="shared" si="167"/>
        <v>2823631.9788859203</v>
      </c>
      <c r="S871" s="168"/>
    </row>
    <row r="872" spans="1:19" ht="16.5" customHeight="1" thickBot="1" x14ac:dyDescent="0.35">
      <c r="A872" s="330" t="s">
        <v>7</v>
      </c>
      <c r="B872" s="327"/>
      <c r="C872" s="327"/>
      <c r="D872" s="327"/>
      <c r="E872" s="327"/>
      <c r="F872" s="327"/>
      <c r="G872" s="327"/>
      <c r="H872" s="327"/>
      <c r="I872" s="327"/>
      <c r="J872" s="327"/>
      <c r="K872" s="327"/>
      <c r="L872" s="327"/>
      <c r="M872" s="327"/>
      <c r="N872" s="327"/>
      <c r="O872" s="327"/>
      <c r="P872" s="327"/>
      <c r="Q872" s="327"/>
      <c r="R872" s="383"/>
      <c r="S872" s="159"/>
    </row>
    <row r="873" spans="1:19" ht="15.75" customHeight="1" x14ac:dyDescent="0.3">
      <c r="A873" s="159"/>
      <c r="B873" s="159"/>
      <c r="C873" s="159"/>
      <c r="D873" s="159"/>
      <c r="E873" s="159"/>
      <c r="F873" s="159"/>
      <c r="G873" s="159"/>
      <c r="H873" s="159"/>
      <c r="I873" s="159"/>
      <c r="J873" s="159"/>
      <c r="K873" s="159"/>
      <c r="L873" s="159"/>
      <c r="M873" s="159"/>
      <c r="N873" s="159"/>
      <c r="O873" s="159"/>
      <c r="P873" s="159"/>
      <c r="Q873" s="159"/>
      <c r="R873" s="159"/>
    </row>
    <row r="874" spans="1:19" ht="15.75" customHeight="1" x14ac:dyDescent="0.3"/>
    <row r="875" spans="1:19" ht="15.75" customHeight="1" thickBot="1" x14ac:dyDescent="0.35"/>
    <row r="876" spans="1:19" ht="15.75" customHeight="1" x14ac:dyDescent="0.3">
      <c r="B876" s="519" t="s">
        <v>1156</v>
      </c>
      <c r="C876" s="506"/>
      <c r="D876" s="506"/>
      <c r="E876" s="506"/>
      <c r="F876" s="506"/>
      <c r="G876" s="506"/>
      <c r="H876" s="506"/>
      <c r="I876" s="506"/>
      <c r="J876" s="506"/>
      <c r="K876" s="506"/>
      <c r="L876" s="506"/>
      <c r="M876" s="506"/>
      <c r="N876" s="506"/>
      <c r="O876" s="506"/>
      <c r="P876" s="506"/>
      <c r="Q876" s="321" t="str">
        <f>+Q1</f>
        <v>PRINTED:</v>
      </c>
      <c r="R876" s="331">
        <f ca="1">+R1</f>
        <v>44909.46975358796</v>
      </c>
      <c r="S876" s="450"/>
    </row>
    <row r="877" spans="1:19" ht="15.75" customHeight="1" x14ac:dyDescent="0.3">
      <c r="B877" s="556">
        <f>+A5</f>
        <v>2013</v>
      </c>
      <c r="C877" s="557"/>
      <c r="D877" s="557"/>
      <c r="E877" s="557"/>
      <c r="F877" s="557"/>
      <c r="G877" s="557"/>
      <c r="H877" s="557"/>
      <c r="I877" s="557"/>
      <c r="J877" s="557"/>
      <c r="K877" s="557"/>
      <c r="L877" s="557"/>
      <c r="M877" s="557"/>
      <c r="N877" s="557"/>
      <c r="O877" s="557"/>
      <c r="P877" s="557"/>
      <c r="Q877" s="159"/>
      <c r="R877" s="159"/>
      <c r="S877" s="324"/>
    </row>
    <row r="878" spans="1:19" ht="15.75" customHeight="1" x14ac:dyDescent="0.3">
      <c r="B878" s="518" t="str">
        <f>+A8</f>
        <v>Revised:  11/25/13</v>
      </c>
      <c r="C878" s="503"/>
      <c r="D878" s="503"/>
      <c r="E878" s="503"/>
      <c r="F878" s="503"/>
      <c r="G878" s="503"/>
      <c r="H878" s="503"/>
      <c r="I878" s="503"/>
      <c r="J878" s="503"/>
      <c r="K878" s="503"/>
      <c r="L878" s="503"/>
      <c r="M878" s="503"/>
      <c r="N878" s="503"/>
      <c r="O878" s="503"/>
      <c r="P878" s="503"/>
      <c r="Q878" s="159"/>
      <c r="R878" s="159"/>
      <c r="S878" s="324"/>
    </row>
    <row r="879" spans="1:19" ht="15.75" customHeight="1" thickBot="1" x14ac:dyDescent="0.35">
      <c r="B879" s="521" t="s">
        <v>1040</v>
      </c>
      <c r="C879" s="522"/>
      <c r="D879" s="522"/>
      <c r="E879" s="522"/>
      <c r="F879" s="522"/>
      <c r="G879" s="522"/>
      <c r="H879" s="522"/>
      <c r="I879" s="522"/>
      <c r="J879" s="522"/>
      <c r="K879" s="522"/>
      <c r="L879" s="522"/>
      <c r="M879" s="522"/>
      <c r="N879" s="522"/>
      <c r="O879" s="522"/>
      <c r="P879" s="522"/>
      <c r="Q879" s="159"/>
      <c r="R879" s="159"/>
      <c r="S879" s="324"/>
    </row>
    <row r="880" spans="1:19" ht="15.75" customHeight="1" thickBot="1" x14ac:dyDescent="0.35">
      <c r="A880" s="384"/>
      <c r="B880" s="523" t="s">
        <v>1041</v>
      </c>
      <c r="C880" s="524"/>
      <c r="D880" s="524"/>
      <c r="E880" s="524"/>
      <c r="F880" s="525"/>
      <c r="G880" s="523" t="s">
        <v>1042</v>
      </c>
      <c r="H880" s="524"/>
      <c r="I880" s="524"/>
      <c r="J880" s="524"/>
      <c r="K880" s="524"/>
      <c r="L880" s="524"/>
      <c r="M880" s="526" t="s">
        <v>1043</v>
      </c>
      <c r="N880" s="536"/>
      <c r="O880" s="553"/>
      <c r="P880" s="524" t="s">
        <v>1044</v>
      </c>
      <c r="Q880" s="524"/>
      <c r="R880" s="525"/>
      <c r="S880" s="324"/>
    </row>
    <row r="881" spans="1:19" ht="15.75" customHeight="1" x14ac:dyDescent="0.3">
      <c r="A881" s="384"/>
      <c r="B881" s="325" t="s">
        <v>428</v>
      </c>
      <c r="C881" s="164"/>
      <c r="D881" s="164" t="s">
        <v>469</v>
      </c>
      <c r="E881" s="164" t="s">
        <v>470</v>
      </c>
      <c r="F881" s="333" t="s">
        <v>1045</v>
      </c>
      <c r="G881" s="325" t="s">
        <v>471</v>
      </c>
      <c r="H881" s="164"/>
      <c r="I881" s="164"/>
      <c r="J881" s="164" t="s">
        <v>472</v>
      </c>
      <c r="K881" s="164" t="s">
        <v>1046</v>
      </c>
      <c r="L881" s="164" t="s">
        <v>1047</v>
      </c>
      <c r="M881" s="537" t="s">
        <v>1157</v>
      </c>
      <c r="N881" s="538"/>
      <c r="O881" s="554"/>
      <c r="P881" s="164" t="s">
        <v>1049</v>
      </c>
      <c r="Q881" s="388" t="s">
        <v>486</v>
      </c>
      <c r="R881" s="389" t="s">
        <v>1050</v>
      </c>
      <c r="S881" s="324"/>
    </row>
    <row r="882" spans="1:19" ht="15.75" customHeight="1" x14ac:dyDescent="0.3">
      <c r="A882" s="384"/>
      <c r="B882" s="390" t="s">
        <v>1051</v>
      </c>
      <c r="C882" s="391" t="s">
        <v>1052</v>
      </c>
      <c r="D882" s="391" t="s">
        <v>1053</v>
      </c>
      <c r="E882" s="164" t="s">
        <v>442</v>
      </c>
      <c r="F882" s="392" t="s">
        <v>1054</v>
      </c>
      <c r="G882" s="325" t="s">
        <v>429</v>
      </c>
      <c r="H882" s="164" t="s">
        <v>478</v>
      </c>
      <c r="I882" s="164" t="s">
        <v>479</v>
      </c>
      <c r="J882" s="391" t="s">
        <v>1055</v>
      </c>
      <c r="K882" s="164" t="s">
        <v>1034</v>
      </c>
      <c r="L882" s="391" t="s">
        <v>1056</v>
      </c>
      <c r="M882" s="393" t="s">
        <v>1057</v>
      </c>
      <c r="N882" s="385" t="s">
        <v>1058</v>
      </c>
      <c r="O882" s="394" t="s">
        <v>422</v>
      </c>
      <c r="P882" s="164" t="s">
        <v>1061</v>
      </c>
      <c r="Q882" s="164" t="s">
        <v>1062</v>
      </c>
      <c r="R882" s="333" t="s">
        <v>1063</v>
      </c>
      <c r="S882" s="324"/>
    </row>
    <row r="883" spans="1:19" ht="15.75" customHeight="1" x14ac:dyDescent="0.3">
      <c r="A883" s="384"/>
      <c r="B883" s="395" t="s">
        <v>1064</v>
      </c>
      <c r="C883" s="169">
        <v>5.0000000000000001E-3</v>
      </c>
      <c r="D883" s="169">
        <v>4.2999999999999997E-2</v>
      </c>
      <c r="E883" s="164" t="s">
        <v>485</v>
      </c>
      <c r="F883" s="396" t="s">
        <v>1065</v>
      </c>
      <c r="G883" s="325" t="s">
        <v>1066</v>
      </c>
      <c r="H883" s="164" t="s">
        <v>442</v>
      </c>
      <c r="I883" s="164" t="s">
        <v>442</v>
      </c>
      <c r="J883" s="164" t="s">
        <v>442</v>
      </c>
      <c r="K883" s="164" t="s">
        <v>486</v>
      </c>
      <c r="L883" s="164" t="s">
        <v>1067</v>
      </c>
      <c r="M883" s="397" t="s">
        <v>434</v>
      </c>
      <c r="N883" s="386" t="s">
        <v>1068</v>
      </c>
      <c r="O883" s="394" t="s">
        <v>1069</v>
      </c>
      <c r="P883" s="164" t="s">
        <v>442</v>
      </c>
      <c r="Q883" s="164" t="s">
        <v>442</v>
      </c>
      <c r="R883" s="333" t="s">
        <v>442</v>
      </c>
      <c r="S883" s="324"/>
    </row>
    <row r="884" spans="1:19" ht="15.75" customHeight="1" x14ac:dyDescent="0.3">
      <c r="A884" s="377" t="s">
        <v>1071</v>
      </c>
      <c r="B884" s="325" t="s">
        <v>448</v>
      </c>
      <c r="C884" s="164" t="s">
        <v>448</v>
      </c>
      <c r="D884" s="164" t="s">
        <v>448</v>
      </c>
      <c r="E884" s="164" t="s">
        <v>448</v>
      </c>
      <c r="F884" s="333" t="s">
        <v>448</v>
      </c>
      <c r="G884" s="325" t="s">
        <v>448</v>
      </c>
      <c r="H884" s="164" t="s">
        <v>448</v>
      </c>
      <c r="I884" s="164" t="s">
        <v>448</v>
      </c>
      <c r="J884" s="164" t="s">
        <v>448</v>
      </c>
      <c r="K884" s="164" t="s">
        <v>448</v>
      </c>
      <c r="L884" s="164" t="s">
        <v>448</v>
      </c>
      <c r="M884" s="397" t="s">
        <v>448</v>
      </c>
      <c r="N884" s="386" t="s">
        <v>448</v>
      </c>
      <c r="O884" s="394" t="s">
        <v>448</v>
      </c>
      <c r="P884" s="164" t="s">
        <v>448</v>
      </c>
      <c r="Q884" s="164" t="s">
        <v>448</v>
      </c>
      <c r="R884" s="333" t="s">
        <v>448</v>
      </c>
      <c r="S884" s="324"/>
    </row>
    <row r="885" spans="1:19" ht="15.75" customHeight="1" x14ac:dyDescent="0.3">
      <c r="A885" s="377" t="s">
        <v>409</v>
      </c>
      <c r="B885" s="325" t="s">
        <v>409</v>
      </c>
      <c r="C885" s="164" t="s">
        <v>409</v>
      </c>
      <c r="D885" s="164" t="s">
        <v>409</v>
      </c>
      <c r="E885" s="164" t="s">
        <v>493</v>
      </c>
      <c r="F885" s="333" t="s">
        <v>409</v>
      </c>
      <c r="G885" s="325" t="s">
        <v>409</v>
      </c>
      <c r="H885" s="164" t="s">
        <v>494</v>
      </c>
      <c r="I885" s="164" t="s">
        <v>494</v>
      </c>
      <c r="J885" s="164" t="s">
        <v>409</v>
      </c>
      <c r="K885" s="164" t="s">
        <v>409</v>
      </c>
      <c r="L885" s="164" t="s">
        <v>409</v>
      </c>
      <c r="M885" s="397" t="s">
        <v>409</v>
      </c>
      <c r="N885" s="386" t="s">
        <v>409</v>
      </c>
      <c r="O885" s="394" t="s">
        <v>409</v>
      </c>
      <c r="P885" s="164" t="s">
        <v>409</v>
      </c>
      <c r="Q885" s="164" t="s">
        <v>409</v>
      </c>
      <c r="R885" s="333" t="s">
        <v>409</v>
      </c>
      <c r="S885" s="324"/>
    </row>
    <row r="886" spans="1:19" ht="15.75" customHeight="1" x14ac:dyDescent="0.3">
      <c r="A886" s="365" t="s">
        <v>795</v>
      </c>
      <c r="B886" s="325">
        <f t="shared" ref="B886:B897" si="168">+ROUND(AJ803,0)</f>
        <v>148952</v>
      </c>
      <c r="C886" s="164">
        <f t="shared" ref="C886:C897" si="169">+ROUND(B886*$C$883,0)</f>
        <v>745</v>
      </c>
      <c r="D886" s="164">
        <f t="shared" ref="D886:D897" si="170">ROUND((B886*D$883),0)</f>
        <v>6405</v>
      </c>
      <c r="E886" s="164">
        <f t="shared" ref="E886:E897" si="171">+B886+C886</f>
        <v>149697</v>
      </c>
      <c r="F886" s="333">
        <f t="shared" ref="F886:F897" si="172">(D886+E886)</f>
        <v>156102</v>
      </c>
      <c r="G886" s="325">
        <f t="shared" ref="G886:G897" si="173">ROUND((G803*((T803-1591.4)/0.6635))/(-1000),0)</f>
        <v>3680</v>
      </c>
      <c r="H886" s="164">
        <f t="shared" ref="H886:H897" si="174">ROUND((K1014),0)</f>
        <v>10653</v>
      </c>
      <c r="I886" s="164">
        <f t="shared" ref="I886:I897" si="175">(O1014)</f>
        <v>0</v>
      </c>
      <c r="J886" s="164">
        <f>(H886+I886)</f>
        <v>10653</v>
      </c>
      <c r="K886" s="398">
        <v>0</v>
      </c>
      <c r="L886" s="398">
        <v>0</v>
      </c>
      <c r="M886" s="399">
        <v>175704</v>
      </c>
      <c r="N886" s="400">
        <v>0</v>
      </c>
      <c r="O886" s="394">
        <f>+M886+N886</f>
        <v>175704</v>
      </c>
      <c r="P886" s="402">
        <f>(F886-G886-J886-K886-L886-O886)</f>
        <v>-33935</v>
      </c>
      <c r="Q886" s="164" t="str">
        <f>+IF(P886&gt;=0,ABS(P886),"")</f>
        <v/>
      </c>
      <c r="R886" s="333">
        <f>+IF(P886&lt;=0,ABS(P886),"")</f>
        <v>33935</v>
      </c>
      <c r="S886" s="324"/>
    </row>
    <row r="887" spans="1:19" ht="15.75" customHeight="1" x14ac:dyDescent="0.3">
      <c r="A887" s="365" t="s">
        <v>9</v>
      </c>
      <c r="B887" s="325">
        <f t="shared" si="168"/>
        <v>252233</v>
      </c>
      <c r="C887" s="164">
        <f t="shared" si="169"/>
        <v>1261</v>
      </c>
      <c r="D887" s="164">
        <f t="shared" si="170"/>
        <v>10846</v>
      </c>
      <c r="E887" s="164">
        <f t="shared" si="171"/>
        <v>253494</v>
      </c>
      <c r="F887" s="333">
        <f t="shared" si="172"/>
        <v>264340</v>
      </c>
      <c r="G887" s="325">
        <f t="shared" si="173"/>
        <v>0</v>
      </c>
      <c r="H887" s="164">
        <f t="shared" si="174"/>
        <v>11930</v>
      </c>
      <c r="I887" s="164">
        <f t="shared" si="175"/>
        <v>0</v>
      </c>
      <c r="J887" s="164">
        <f t="shared" ref="J887:J896" si="176">(H887+I887)</f>
        <v>11930</v>
      </c>
      <c r="K887" s="398">
        <v>0</v>
      </c>
      <c r="L887" s="398">
        <v>0</v>
      </c>
      <c r="M887" s="399">
        <v>244608</v>
      </c>
      <c r="N887" s="400">
        <v>0</v>
      </c>
      <c r="O887" s="394">
        <f t="shared" ref="O887:O899" si="177">+M887+N887</f>
        <v>244608</v>
      </c>
      <c r="P887" s="402">
        <f>(F887-G887-J887-K887-L887-O887)</f>
        <v>7802</v>
      </c>
      <c r="Q887" s="164">
        <f t="shared" ref="Q887:Q897" si="178">+IF(P887&gt;=0,ABS(P887),"")</f>
        <v>7802</v>
      </c>
      <c r="R887" s="333" t="str">
        <f t="shared" ref="R887:R897" si="179">+IF(P887&lt;=0,ABS(P887),"")</f>
        <v/>
      </c>
      <c r="S887" s="324"/>
    </row>
    <row r="888" spans="1:19" ht="15.75" customHeight="1" x14ac:dyDescent="0.3">
      <c r="A888" s="365" t="s">
        <v>10</v>
      </c>
      <c r="B888" s="325">
        <f t="shared" si="168"/>
        <v>303477</v>
      </c>
      <c r="C888" s="164">
        <f t="shared" si="169"/>
        <v>1517</v>
      </c>
      <c r="D888" s="164">
        <f t="shared" si="170"/>
        <v>13050</v>
      </c>
      <c r="E888" s="164">
        <f t="shared" si="171"/>
        <v>304994</v>
      </c>
      <c r="F888" s="333">
        <f t="shared" si="172"/>
        <v>318044</v>
      </c>
      <c r="G888" s="325">
        <f t="shared" si="173"/>
        <v>0</v>
      </c>
      <c r="H888" s="164">
        <f t="shared" si="174"/>
        <v>17147</v>
      </c>
      <c r="I888" s="164">
        <f t="shared" si="175"/>
        <v>0</v>
      </c>
      <c r="J888" s="164">
        <f t="shared" si="176"/>
        <v>17147</v>
      </c>
      <c r="K888" s="398">
        <v>0</v>
      </c>
      <c r="L888" s="398">
        <v>0</v>
      </c>
      <c r="M888" s="399">
        <v>310968</v>
      </c>
      <c r="N888" s="400">
        <v>0</v>
      </c>
      <c r="O888" s="394">
        <f t="shared" si="177"/>
        <v>310968</v>
      </c>
      <c r="P888" s="402">
        <f t="shared" ref="P888:P897" si="180">(F888-G888-J888-K888-L888-O888)</f>
        <v>-10071</v>
      </c>
      <c r="Q888" s="164" t="str">
        <f t="shared" si="178"/>
        <v/>
      </c>
      <c r="R888" s="333">
        <f t="shared" si="179"/>
        <v>10071</v>
      </c>
      <c r="S888" s="324"/>
    </row>
    <row r="889" spans="1:19" ht="15.75" customHeight="1" x14ac:dyDescent="0.3">
      <c r="A889" s="365" t="s">
        <v>12</v>
      </c>
      <c r="B889" s="325">
        <f t="shared" si="168"/>
        <v>263221</v>
      </c>
      <c r="C889" s="164">
        <f t="shared" si="169"/>
        <v>1316</v>
      </c>
      <c r="D889" s="164">
        <f t="shared" si="170"/>
        <v>11319</v>
      </c>
      <c r="E889" s="164">
        <f t="shared" si="171"/>
        <v>264537</v>
      </c>
      <c r="F889" s="333">
        <f t="shared" si="172"/>
        <v>275856</v>
      </c>
      <c r="G889" s="325">
        <f t="shared" si="173"/>
        <v>5420</v>
      </c>
      <c r="H889" s="164">
        <f t="shared" si="174"/>
        <v>19834</v>
      </c>
      <c r="I889" s="164">
        <f t="shared" si="175"/>
        <v>0</v>
      </c>
      <c r="J889" s="164">
        <f t="shared" si="176"/>
        <v>19834</v>
      </c>
      <c r="K889" s="398">
        <v>0</v>
      </c>
      <c r="L889" s="398">
        <v>0</v>
      </c>
      <c r="M889" s="399">
        <v>294528</v>
      </c>
      <c r="N889" s="400">
        <v>0</v>
      </c>
      <c r="O889" s="394">
        <f t="shared" si="177"/>
        <v>294528</v>
      </c>
      <c r="P889" s="402">
        <f t="shared" si="180"/>
        <v>-43926</v>
      </c>
      <c r="Q889" s="164" t="str">
        <f t="shared" si="178"/>
        <v/>
      </c>
      <c r="R889" s="333">
        <f t="shared" si="179"/>
        <v>43926</v>
      </c>
      <c r="S889" s="324"/>
    </row>
    <row r="890" spans="1:19" ht="15.75" customHeight="1" x14ac:dyDescent="0.3">
      <c r="A890" s="365" t="s">
        <v>13</v>
      </c>
      <c r="B890" s="325">
        <f t="shared" si="168"/>
        <v>294679</v>
      </c>
      <c r="C890" s="164">
        <f t="shared" si="169"/>
        <v>1473</v>
      </c>
      <c r="D890" s="164">
        <f t="shared" si="170"/>
        <v>12671</v>
      </c>
      <c r="E890" s="164">
        <f t="shared" si="171"/>
        <v>296152</v>
      </c>
      <c r="F890" s="333">
        <f t="shared" si="172"/>
        <v>308823</v>
      </c>
      <c r="G890" s="325">
        <f t="shared" si="173"/>
        <v>3177</v>
      </c>
      <c r="H890" s="164">
        <f t="shared" si="174"/>
        <v>16704</v>
      </c>
      <c r="I890" s="164">
        <f t="shared" si="175"/>
        <v>0</v>
      </c>
      <c r="J890" s="164">
        <f t="shared" si="176"/>
        <v>16704</v>
      </c>
      <c r="K890" s="398">
        <v>0</v>
      </c>
      <c r="L890" s="398">
        <v>0</v>
      </c>
      <c r="M890" s="399">
        <v>300840</v>
      </c>
      <c r="N890" s="400">
        <v>0</v>
      </c>
      <c r="O890" s="394">
        <f t="shared" si="177"/>
        <v>300840</v>
      </c>
      <c r="P890" s="402">
        <f t="shared" si="180"/>
        <v>-11898</v>
      </c>
      <c r="Q890" s="164" t="str">
        <f t="shared" si="178"/>
        <v/>
      </c>
      <c r="R890" s="333">
        <f t="shared" si="179"/>
        <v>11898</v>
      </c>
      <c r="S890" s="324"/>
    </row>
    <row r="891" spans="1:19" ht="15.75" customHeight="1" x14ac:dyDescent="0.3">
      <c r="A891" s="365" t="s">
        <v>14</v>
      </c>
      <c r="B891" s="325">
        <f t="shared" si="168"/>
        <v>232756</v>
      </c>
      <c r="C891" s="164">
        <f t="shared" si="169"/>
        <v>1164</v>
      </c>
      <c r="D891" s="164">
        <f t="shared" si="170"/>
        <v>10009</v>
      </c>
      <c r="E891" s="164">
        <f t="shared" si="171"/>
        <v>233920</v>
      </c>
      <c r="F891" s="333">
        <f t="shared" si="172"/>
        <v>243929</v>
      </c>
      <c r="G891" s="325">
        <f t="shared" si="173"/>
        <v>10593</v>
      </c>
      <c r="H891" s="164">
        <f t="shared" si="174"/>
        <v>15526</v>
      </c>
      <c r="I891" s="164">
        <f t="shared" si="175"/>
        <v>0</v>
      </c>
      <c r="J891" s="164">
        <f t="shared" si="176"/>
        <v>15526</v>
      </c>
      <c r="K891" s="398">
        <v>0</v>
      </c>
      <c r="L891" s="398">
        <v>0</v>
      </c>
      <c r="M891" s="399">
        <v>236880</v>
      </c>
      <c r="N891" s="400">
        <v>0</v>
      </c>
      <c r="O891" s="394">
        <f t="shared" si="177"/>
        <v>236880</v>
      </c>
      <c r="P891" s="402">
        <f t="shared" si="180"/>
        <v>-19070</v>
      </c>
      <c r="Q891" s="164" t="str">
        <f t="shared" si="178"/>
        <v/>
      </c>
      <c r="R891" s="333">
        <f t="shared" si="179"/>
        <v>19070</v>
      </c>
      <c r="S891" s="324"/>
    </row>
    <row r="892" spans="1:19" ht="15.75" customHeight="1" x14ac:dyDescent="0.3">
      <c r="A892" s="365" t="s">
        <v>16</v>
      </c>
      <c r="B892" s="325">
        <f t="shared" si="168"/>
        <v>163004</v>
      </c>
      <c r="C892" s="164">
        <f t="shared" si="169"/>
        <v>815</v>
      </c>
      <c r="D892" s="164">
        <f t="shared" si="170"/>
        <v>7009</v>
      </c>
      <c r="E892" s="164">
        <f t="shared" si="171"/>
        <v>163819</v>
      </c>
      <c r="F892" s="333">
        <f t="shared" si="172"/>
        <v>170828</v>
      </c>
      <c r="G892" s="325">
        <f t="shared" si="173"/>
        <v>11419</v>
      </c>
      <c r="H892" s="164">
        <f t="shared" si="174"/>
        <v>13264</v>
      </c>
      <c r="I892" s="164">
        <f t="shared" si="175"/>
        <v>0</v>
      </c>
      <c r="J892" s="164">
        <f t="shared" si="176"/>
        <v>13264</v>
      </c>
      <c r="K892" s="398">
        <v>0</v>
      </c>
      <c r="L892" s="398">
        <v>0</v>
      </c>
      <c r="M892" s="399">
        <v>154752</v>
      </c>
      <c r="N892" s="400">
        <v>0</v>
      </c>
      <c r="O892" s="394">
        <f t="shared" si="177"/>
        <v>154752</v>
      </c>
      <c r="P892" s="402">
        <f t="shared" si="180"/>
        <v>-8607</v>
      </c>
      <c r="Q892" s="164" t="str">
        <f t="shared" si="178"/>
        <v/>
      </c>
      <c r="R892" s="333">
        <f t="shared" si="179"/>
        <v>8607</v>
      </c>
      <c r="S892" s="324"/>
    </row>
    <row r="893" spans="1:19" ht="15.75" customHeight="1" x14ac:dyDescent="0.3">
      <c r="A893" s="365" t="s">
        <v>17</v>
      </c>
      <c r="B893" s="325">
        <f t="shared" si="168"/>
        <v>183531</v>
      </c>
      <c r="C893" s="164">
        <f t="shared" si="169"/>
        <v>918</v>
      </c>
      <c r="D893" s="164">
        <f t="shared" si="170"/>
        <v>7892</v>
      </c>
      <c r="E893" s="164">
        <f t="shared" si="171"/>
        <v>184449</v>
      </c>
      <c r="F893" s="333">
        <f t="shared" si="172"/>
        <v>192341</v>
      </c>
      <c r="G893" s="325">
        <f t="shared" si="173"/>
        <v>9237</v>
      </c>
      <c r="H893" s="164">
        <f t="shared" si="174"/>
        <v>11537</v>
      </c>
      <c r="I893" s="164">
        <f t="shared" si="175"/>
        <v>0</v>
      </c>
      <c r="J893" s="164">
        <f t="shared" si="176"/>
        <v>11537</v>
      </c>
      <c r="K893" s="398">
        <v>0</v>
      </c>
      <c r="L893" s="398">
        <v>0</v>
      </c>
      <c r="M893" s="399">
        <v>159960</v>
      </c>
      <c r="N893" s="400">
        <v>0</v>
      </c>
      <c r="O893" s="394">
        <f t="shared" si="177"/>
        <v>159960</v>
      </c>
      <c r="P893" s="402">
        <f t="shared" si="180"/>
        <v>11607</v>
      </c>
      <c r="Q893" s="164">
        <f t="shared" si="178"/>
        <v>11607</v>
      </c>
      <c r="R893" s="333" t="str">
        <f t="shared" si="179"/>
        <v/>
      </c>
      <c r="S893" s="324"/>
    </row>
    <row r="894" spans="1:19" ht="15.75" customHeight="1" x14ac:dyDescent="0.3">
      <c r="A894" s="365" t="s">
        <v>18</v>
      </c>
      <c r="B894" s="325">
        <f t="shared" si="168"/>
        <v>254299</v>
      </c>
      <c r="C894" s="164">
        <f t="shared" si="169"/>
        <v>1271</v>
      </c>
      <c r="D894" s="164">
        <f t="shared" si="170"/>
        <v>10935</v>
      </c>
      <c r="E894" s="164">
        <f t="shared" si="171"/>
        <v>255570</v>
      </c>
      <c r="F894" s="333">
        <f t="shared" si="172"/>
        <v>266505</v>
      </c>
      <c r="G894" s="325">
        <f t="shared" si="173"/>
        <v>38</v>
      </c>
      <c r="H894" s="164">
        <f t="shared" si="174"/>
        <v>7751</v>
      </c>
      <c r="I894" s="164">
        <f t="shared" si="175"/>
        <v>0</v>
      </c>
      <c r="J894" s="164">
        <f t="shared" si="176"/>
        <v>7751</v>
      </c>
      <c r="K894" s="398">
        <v>0</v>
      </c>
      <c r="L894" s="398">
        <v>0</v>
      </c>
      <c r="M894" s="399">
        <v>221760</v>
      </c>
      <c r="N894" s="400">
        <v>0</v>
      </c>
      <c r="O894" s="394">
        <f t="shared" si="177"/>
        <v>221760</v>
      </c>
      <c r="P894" s="402">
        <f t="shared" si="180"/>
        <v>36956</v>
      </c>
      <c r="Q894" s="164">
        <f t="shared" si="178"/>
        <v>36956</v>
      </c>
      <c r="R894" s="333" t="str">
        <f t="shared" si="179"/>
        <v/>
      </c>
      <c r="S894" s="324"/>
    </row>
    <row r="895" spans="1:19" ht="15.75" customHeight="1" x14ac:dyDescent="0.3">
      <c r="A895" s="365" t="s">
        <v>20</v>
      </c>
      <c r="B895" s="325">
        <f t="shared" si="168"/>
        <v>306187</v>
      </c>
      <c r="C895" s="164">
        <f t="shared" si="169"/>
        <v>1531</v>
      </c>
      <c r="D895" s="164">
        <f t="shared" si="170"/>
        <v>13166</v>
      </c>
      <c r="E895" s="164">
        <f t="shared" si="171"/>
        <v>307718</v>
      </c>
      <c r="F895" s="333">
        <f t="shared" si="172"/>
        <v>320884</v>
      </c>
      <c r="G895" s="325">
        <f t="shared" si="173"/>
        <v>0</v>
      </c>
      <c r="H895" s="164">
        <f t="shared" si="174"/>
        <v>11649</v>
      </c>
      <c r="I895" s="164">
        <f t="shared" si="175"/>
        <v>0</v>
      </c>
      <c r="J895" s="164">
        <f t="shared" si="176"/>
        <v>11649</v>
      </c>
      <c r="K895" s="398">
        <v>0</v>
      </c>
      <c r="L895" s="398">
        <v>0</v>
      </c>
      <c r="M895" s="399">
        <v>237336</v>
      </c>
      <c r="N895" s="400">
        <v>36704</v>
      </c>
      <c r="O895" s="394">
        <f t="shared" si="177"/>
        <v>274040</v>
      </c>
      <c r="P895" s="402">
        <f t="shared" si="180"/>
        <v>35195</v>
      </c>
      <c r="Q895" s="164">
        <f t="shared" si="178"/>
        <v>35195</v>
      </c>
      <c r="R895" s="333" t="str">
        <f t="shared" si="179"/>
        <v/>
      </c>
      <c r="S895" s="324"/>
    </row>
    <row r="896" spans="1:19" ht="15.75" customHeight="1" x14ac:dyDescent="0.3">
      <c r="A896" s="365" t="s">
        <v>21</v>
      </c>
      <c r="B896" s="325">
        <f t="shared" si="168"/>
        <v>236044</v>
      </c>
      <c r="C896" s="164">
        <f t="shared" si="169"/>
        <v>1180</v>
      </c>
      <c r="D896" s="164">
        <f t="shared" si="170"/>
        <v>10150</v>
      </c>
      <c r="E896" s="164">
        <f t="shared" si="171"/>
        <v>237224</v>
      </c>
      <c r="F896" s="333">
        <f t="shared" si="172"/>
        <v>247374</v>
      </c>
      <c r="G896" s="325">
        <f t="shared" si="173"/>
        <v>0</v>
      </c>
      <c r="H896" s="164">
        <f t="shared" si="174"/>
        <v>8035</v>
      </c>
      <c r="I896" s="164">
        <f t="shared" si="175"/>
        <v>0</v>
      </c>
      <c r="J896" s="164">
        <f t="shared" si="176"/>
        <v>8035</v>
      </c>
      <c r="K896" s="398">
        <v>0</v>
      </c>
      <c r="L896" s="398">
        <v>0</v>
      </c>
      <c r="M896" s="399">
        <v>217440</v>
      </c>
      <c r="N896" s="400">
        <v>35520</v>
      </c>
      <c r="O896" s="394">
        <f t="shared" si="177"/>
        <v>252960</v>
      </c>
      <c r="P896" s="402">
        <f t="shared" si="180"/>
        <v>-13621</v>
      </c>
      <c r="Q896" s="164" t="str">
        <f t="shared" si="178"/>
        <v/>
      </c>
      <c r="R896" s="333">
        <f t="shared" si="179"/>
        <v>13621</v>
      </c>
      <c r="S896" s="324"/>
    </row>
    <row r="897" spans="1:21" ht="15.75" customHeight="1" x14ac:dyDescent="0.3">
      <c r="A897" s="365" t="s">
        <v>22</v>
      </c>
      <c r="B897" s="325">
        <f t="shared" si="168"/>
        <v>228814</v>
      </c>
      <c r="C897" s="164">
        <f t="shared" si="169"/>
        <v>1144</v>
      </c>
      <c r="D897" s="164">
        <f t="shared" si="170"/>
        <v>9839</v>
      </c>
      <c r="E897" s="164">
        <f t="shared" si="171"/>
        <v>229958</v>
      </c>
      <c r="F897" s="333">
        <f t="shared" si="172"/>
        <v>239797</v>
      </c>
      <c r="G897" s="325">
        <f t="shared" si="173"/>
        <v>0</v>
      </c>
      <c r="H897" s="164">
        <f t="shared" si="174"/>
        <v>8092</v>
      </c>
      <c r="I897" s="164">
        <f t="shared" si="175"/>
        <v>0</v>
      </c>
      <c r="J897" s="164">
        <f>(H897+I897)</f>
        <v>8092</v>
      </c>
      <c r="K897" s="398">
        <v>0</v>
      </c>
      <c r="L897" s="398">
        <v>0</v>
      </c>
      <c r="M897" s="399">
        <v>203856</v>
      </c>
      <c r="N897" s="400">
        <v>44391.999999999993</v>
      </c>
      <c r="O897" s="394">
        <f t="shared" si="177"/>
        <v>248248</v>
      </c>
      <c r="P897" s="402">
        <f t="shared" si="180"/>
        <v>-16543</v>
      </c>
      <c r="Q897" s="164" t="str">
        <f t="shared" si="178"/>
        <v/>
      </c>
      <c r="R897" s="333">
        <f t="shared" si="179"/>
        <v>16543</v>
      </c>
      <c r="S897" s="324"/>
    </row>
    <row r="898" spans="1:21" ht="15.75" customHeight="1" x14ac:dyDescent="0.3">
      <c r="A898" s="377" t="s">
        <v>424</v>
      </c>
      <c r="B898" s="325" t="s">
        <v>424</v>
      </c>
      <c r="C898" s="164"/>
      <c r="D898" s="164"/>
      <c r="E898" s="164" t="s">
        <v>7</v>
      </c>
      <c r="F898" s="333"/>
      <c r="G898" s="325"/>
      <c r="H898" s="164"/>
      <c r="I898" s="164" t="s">
        <v>7</v>
      </c>
      <c r="J898" s="164" t="s">
        <v>7</v>
      </c>
      <c r="K898" s="403"/>
      <c r="L898" s="164"/>
      <c r="M898" s="399"/>
      <c r="N898" s="400"/>
      <c r="O898" s="394">
        <f t="shared" si="177"/>
        <v>0</v>
      </c>
      <c r="P898" s="402"/>
      <c r="Q898" s="164"/>
      <c r="R898" s="333"/>
      <c r="S898" s="324"/>
    </row>
    <row r="899" spans="1:21" ht="16.5" customHeight="1" thickBot="1" x14ac:dyDescent="0.35">
      <c r="A899" s="404" t="s">
        <v>422</v>
      </c>
      <c r="B899" s="330">
        <f>SUM(B886:B897)</f>
        <v>2867197</v>
      </c>
      <c r="C899" s="335">
        <f>+SUM(C886:C897)</f>
        <v>14335</v>
      </c>
      <c r="D899" s="335">
        <f>SUM(D886:D897)</f>
        <v>123291</v>
      </c>
      <c r="E899" s="335">
        <f>(B899*1.005)</f>
        <v>2881532.9849999999</v>
      </c>
      <c r="F899" s="405">
        <f>SUM(F886:F897)</f>
        <v>3004823</v>
      </c>
      <c r="G899" s="330">
        <f>SUM(G886:G897)</f>
        <v>43564</v>
      </c>
      <c r="H899" s="335">
        <f>(K1028)</f>
        <v>152122</v>
      </c>
      <c r="I899" s="335">
        <f>(O1028)</f>
        <v>0</v>
      </c>
      <c r="J899" s="335">
        <f>(H899+I899)</f>
        <v>152122</v>
      </c>
      <c r="K899" s="335">
        <f>SUM(K886:K897)</f>
        <v>0</v>
      </c>
      <c r="L899" s="335">
        <f>SUM(L886:L897)</f>
        <v>0</v>
      </c>
      <c r="M899" s="406">
        <f>SUM(M886:M897)</f>
        <v>2758632</v>
      </c>
      <c r="N899" s="407">
        <f>SUM(N886:N897)</f>
        <v>116616</v>
      </c>
      <c r="O899" s="408">
        <f t="shared" si="177"/>
        <v>2875248</v>
      </c>
      <c r="P899" s="411">
        <f>(F899-G899-J899-K899-L899-O899)</f>
        <v>-66111</v>
      </c>
      <c r="Q899" s="335">
        <f>+SUM(Q886:Q897)</f>
        <v>91560</v>
      </c>
      <c r="R899" s="405">
        <f>+SUM(R886:R897)</f>
        <v>157671</v>
      </c>
      <c r="S899" s="324"/>
    </row>
    <row r="900" spans="1:21" ht="15.75" customHeight="1" x14ac:dyDescent="0.3">
      <c r="A900" s="306"/>
      <c r="B900" s="159"/>
      <c r="C900" s="159"/>
      <c r="D900" s="159"/>
      <c r="E900" s="159"/>
      <c r="F900" s="159" t="s">
        <v>424</v>
      </c>
      <c r="G900" s="159"/>
      <c r="H900" s="159"/>
      <c r="I900" s="159"/>
      <c r="K900" s="159"/>
      <c r="L900" s="159"/>
      <c r="M900" s="173"/>
      <c r="O900" s="307"/>
      <c r="P900" s="159"/>
      <c r="S900" s="307"/>
    </row>
    <row r="901" spans="1:21" ht="15.75" customHeight="1" x14ac:dyDescent="0.3">
      <c r="A901" s="323" t="s">
        <v>1074</v>
      </c>
      <c r="O901" s="307"/>
      <c r="P901" s="159"/>
      <c r="Q901" s="159"/>
      <c r="R901" s="159"/>
      <c r="S901" s="307"/>
    </row>
    <row r="902" spans="1:21" ht="15.75" customHeight="1" x14ac:dyDescent="0.3">
      <c r="A902" s="323" t="s">
        <v>498</v>
      </c>
      <c r="D902" s="159"/>
      <c r="E902" s="159"/>
      <c r="F902" s="159"/>
      <c r="G902" s="159"/>
      <c r="H902" s="159"/>
      <c r="I902" s="159"/>
      <c r="J902" s="159"/>
      <c r="K902" s="159"/>
      <c r="L902" s="159"/>
      <c r="M902" s="159"/>
      <c r="N902" s="159"/>
      <c r="O902" s="324"/>
      <c r="P902" s="159"/>
      <c r="Q902" s="159"/>
      <c r="R902" s="159"/>
      <c r="S902" s="307"/>
    </row>
    <row r="903" spans="1:21" ht="15.75" customHeight="1" x14ac:dyDescent="0.3">
      <c r="A903" s="323" t="s">
        <v>1075</v>
      </c>
      <c r="D903" s="159"/>
      <c r="E903" s="159"/>
      <c r="F903" s="159"/>
      <c r="G903" s="159"/>
      <c r="H903" s="159"/>
      <c r="I903" s="159"/>
      <c r="J903" s="159"/>
      <c r="K903" s="159"/>
      <c r="L903" s="159"/>
      <c r="M903" s="159"/>
      <c r="N903" s="159"/>
      <c r="O903" s="324"/>
      <c r="P903" s="159"/>
      <c r="Q903" s="159"/>
      <c r="R903" s="159"/>
      <c r="S903" s="307"/>
    </row>
    <row r="904" spans="1:21" ht="15.75" customHeight="1" thickBot="1" x14ac:dyDescent="0.35">
      <c r="A904" s="326" t="s">
        <v>1076</v>
      </c>
      <c r="B904" s="312"/>
      <c r="C904" s="312"/>
      <c r="D904" s="327"/>
      <c r="E904" s="327"/>
      <c r="F904" s="327"/>
      <c r="G904" s="327"/>
      <c r="H904" s="327"/>
      <c r="I904" s="327"/>
      <c r="J904" s="327"/>
      <c r="K904" s="327"/>
      <c r="L904" s="327"/>
      <c r="M904" s="327"/>
      <c r="N904" s="327"/>
      <c r="O904" s="328"/>
      <c r="P904" s="159"/>
      <c r="Q904" s="159"/>
      <c r="R904" s="159"/>
      <c r="S904" s="307"/>
    </row>
    <row r="905" spans="1:21" ht="15.75" customHeight="1" thickBot="1" x14ac:dyDescent="0.35">
      <c r="A905" s="323"/>
      <c r="D905" s="159"/>
      <c r="E905" s="159"/>
      <c r="F905" s="159"/>
      <c r="G905" s="159"/>
      <c r="H905" s="159"/>
      <c r="I905" s="159"/>
      <c r="J905" s="159"/>
      <c r="K905" s="159"/>
      <c r="L905" s="159"/>
      <c r="M905" s="159"/>
      <c r="N905" s="159"/>
      <c r="O905" s="159"/>
      <c r="P905" s="159"/>
      <c r="Q905" s="159"/>
      <c r="R905" s="159"/>
      <c r="S905" s="307"/>
    </row>
    <row r="906" spans="1:21" ht="15.75" customHeight="1" thickBot="1" x14ac:dyDescent="0.35">
      <c r="A906" s="365"/>
      <c r="B906" s="534" t="s">
        <v>1077</v>
      </c>
      <c r="C906" s="535"/>
      <c r="D906" s="535"/>
      <c r="E906" s="535"/>
      <c r="F906" s="535"/>
      <c r="G906" s="535"/>
      <c r="H906" s="535"/>
      <c r="I906" s="535"/>
      <c r="J906" s="535"/>
      <c r="K906" s="535"/>
      <c r="L906" s="535"/>
      <c r="M906" s="535"/>
      <c r="N906" s="535"/>
      <c r="O906" s="535"/>
      <c r="P906" s="555"/>
      <c r="Q906" s="159"/>
      <c r="R906" s="159"/>
      <c r="S906" s="307"/>
    </row>
    <row r="907" spans="1:21" ht="15.75" customHeight="1" thickBot="1" x14ac:dyDescent="0.35">
      <c r="A907" s="365"/>
      <c r="B907" s="523" t="s">
        <v>1041</v>
      </c>
      <c r="C907" s="524"/>
      <c r="D907" s="524"/>
      <c r="E907" s="524"/>
      <c r="F907" s="525"/>
      <c r="G907" s="523" t="s">
        <v>1042</v>
      </c>
      <c r="H907" s="524"/>
      <c r="I907" s="524"/>
      <c r="J907" s="524"/>
      <c r="K907" s="524"/>
      <c r="L907" s="524"/>
      <c r="M907" s="526" t="s">
        <v>1043</v>
      </c>
      <c r="N907" s="536"/>
      <c r="O907" s="536"/>
      <c r="P907" s="523" t="s">
        <v>1044</v>
      </c>
      <c r="Q907" s="524"/>
      <c r="R907" s="525"/>
      <c r="S907" s="307"/>
      <c r="U907" s="4" t="s">
        <v>1158</v>
      </c>
    </row>
    <row r="908" spans="1:21" ht="15.75" customHeight="1" x14ac:dyDescent="0.3">
      <c r="A908" s="377"/>
      <c r="B908" s="325" t="s">
        <v>428</v>
      </c>
      <c r="C908" s="164"/>
      <c r="D908" s="164" t="s">
        <v>469</v>
      </c>
      <c r="E908" s="164" t="s">
        <v>470</v>
      </c>
      <c r="F908" s="333" t="s">
        <v>1045</v>
      </c>
      <c r="G908" s="325" t="s">
        <v>471</v>
      </c>
      <c r="H908" s="164"/>
      <c r="I908" s="164"/>
      <c r="J908" s="164" t="s">
        <v>472</v>
      </c>
      <c r="K908" s="164" t="s">
        <v>1046</v>
      </c>
      <c r="L908" s="164" t="s">
        <v>1047</v>
      </c>
      <c r="M908" s="537" t="s">
        <v>1159</v>
      </c>
      <c r="N908" s="538"/>
      <c r="O908" s="538"/>
      <c r="P908" s="325" t="s">
        <v>1049</v>
      </c>
      <c r="Q908" s="388" t="s">
        <v>486</v>
      </c>
      <c r="R908" s="389" t="s">
        <v>1050</v>
      </c>
      <c r="S908" s="307"/>
    </row>
    <row r="909" spans="1:21" ht="15.75" customHeight="1" x14ac:dyDescent="0.3">
      <c r="A909" s="377"/>
      <c r="B909" s="390" t="s">
        <v>1051</v>
      </c>
      <c r="C909" s="391" t="s">
        <v>1052</v>
      </c>
      <c r="D909" s="391" t="s">
        <v>1053</v>
      </c>
      <c r="E909" s="164" t="s">
        <v>442</v>
      </c>
      <c r="F909" s="392" t="s">
        <v>1054</v>
      </c>
      <c r="G909" s="325" t="s">
        <v>429</v>
      </c>
      <c r="H909" s="164" t="s">
        <v>478</v>
      </c>
      <c r="I909" s="164" t="s">
        <v>479</v>
      </c>
      <c r="J909" s="391" t="s">
        <v>1055</v>
      </c>
      <c r="K909" s="164" t="s">
        <v>1034</v>
      </c>
      <c r="L909" s="391" t="s">
        <v>1056</v>
      </c>
      <c r="M909" s="393" t="s">
        <v>1057</v>
      </c>
      <c r="N909" s="385" t="s">
        <v>1058</v>
      </c>
      <c r="O909" s="386" t="s">
        <v>422</v>
      </c>
      <c r="P909" s="325" t="s">
        <v>1061</v>
      </c>
      <c r="Q909" s="164" t="s">
        <v>1062</v>
      </c>
      <c r="R909" s="333" t="s">
        <v>1063</v>
      </c>
      <c r="S909" s="307"/>
    </row>
    <row r="910" spans="1:21" ht="15.75" customHeight="1" x14ac:dyDescent="0.3">
      <c r="A910" s="377"/>
      <c r="B910" s="395" t="s">
        <v>1064</v>
      </c>
      <c r="C910" s="169">
        <v>5.0000000000000001E-3</v>
      </c>
      <c r="D910" s="169">
        <v>4.2999999999999997E-2</v>
      </c>
      <c r="E910" s="164" t="s">
        <v>485</v>
      </c>
      <c r="F910" s="396" t="s">
        <v>1065</v>
      </c>
      <c r="G910" s="325" t="s">
        <v>1066</v>
      </c>
      <c r="H910" s="164" t="s">
        <v>442</v>
      </c>
      <c r="I910" s="164" t="s">
        <v>442</v>
      </c>
      <c r="J910" s="164" t="s">
        <v>442</v>
      </c>
      <c r="K910" s="164" t="s">
        <v>486</v>
      </c>
      <c r="L910" s="164" t="s">
        <v>1067</v>
      </c>
      <c r="M910" s="397" t="s">
        <v>434</v>
      </c>
      <c r="N910" s="386" t="s">
        <v>1068</v>
      </c>
      <c r="O910" s="386" t="s">
        <v>1069</v>
      </c>
      <c r="P910" s="325" t="s">
        <v>442</v>
      </c>
      <c r="Q910" s="164" t="s">
        <v>442</v>
      </c>
      <c r="R910" s="333" t="s">
        <v>442</v>
      </c>
      <c r="S910" s="307"/>
    </row>
    <row r="911" spans="1:21" ht="15.75" customHeight="1" x14ac:dyDescent="0.3">
      <c r="A911" s="377" t="s">
        <v>1071</v>
      </c>
      <c r="B911" s="325" t="s">
        <v>1078</v>
      </c>
      <c r="C911" s="164" t="s">
        <v>1078</v>
      </c>
      <c r="D911" s="164" t="s">
        <v>1078</v>
      </c>
      <c r="E911" s="164" t="s">
        <v>1078</v>
      </c>
      <c r="F911" s="164" t="s">
        <v>1078</v>
      </c>
      <c r="G911" s="325" t="s">
        <v>1078</v>
      </c>
      <c r="H911" s="164" t="s">
        <v>1078</v>
      </c>
      <c r="I911" s="164" t="s">
        <v>1078</v>
      </c>
      <c r="J911" s="164" t="s">
        <v>1078</v>
      </c>
      <c r="K911" s="164" t="s">
        <v>1078</v>
      </c>
      <c r="L911" s="164" t="s">
        <v>1078</v>
      </c>
      <c r="M911" s="397" t="s">
        <v>1078</v>
      </c>
      <c r="N911" s="386" t="s">
        <v>1079</v>
      </c>
      <c r="O911" s="386" t="s">
        <v>1078</v>
      </c>
      <c r="P911" s="325" t="s">
        <v>1078</v>
      </c>
      <c r="Q911" s="164" t="s">
        <v>1078</v>
      </c>
      <c r="R911" s="333" t="s">
        <v>1078</v>
      </c>
      <c r="S911" s="307"/>
    </row>
    <row r="912" spans="1:21" ht="15.75" customHeight="1" x14ac:dyDescent="0.3">
      <c r="A912" s="377" t="s">
        <v>409</v>
      </c>
      <c r="B912" s="325" t="s">
        <v>409</v>
      </c>
      <c r="C912" s="164" t="s">
        <v>409</v>
      </c>
      <c r="D912" s="164" t="s">
        <v>409</v>
      </c>
      <c r="E912" s="164" t="s">
        <v>493</v>
      </c>
      <c r="F912" s="333" t="s">
        <v>409</v>
      </c>
      <c r="G912" s="325" t="s">
        <v>409</v>
      </c>
      <c r="H912" s="164" t="s">
        <v>494</v>
      </c>
      <c r="I912" s="164" t="s">
        <v>494</v>
      </c>
      <c r="J912" s="164" t="s">
        <v>409</v>
      </c>
      <c r="K912" s="164" t="s">
        <v>409</v>
      </c>
      <c r="L912" s="164" t="s">
        <v>409</v>
      </c>
      <c r="M912" s="397" t="s">
        <v>409</v>
      </c>
      <c r="N912" s="386" t="s">
        <v>409</v>
      </c>
      <c r="O912" s="386" t="s">
        <v>409</v>
      </c>
      <c r="P912" s="325" t="s">
        <v>409</v>
      </c>
      <c r="Q912" s="164" t="s">
        <v>409</v>
      </c>
      <c r="R912" s="333" t="s">
        <v>409</v>
      </c>
      <c r="S912" s="307"/>
    </row>
    <row r="913" spans="1:19" ht="15.75" customHeight="1" x14ac:dyDescent="0.3">
      <c r="A913" s="365" t="s">
        <v>795</v>
      </c>
      <c r="B913" s="325">
        <f>+B886/($B$10*24)</f>
        <v>200.20430107526883</v>
      </c>
      <c r="C913" s="164">
        <f t="shared" ref="C913:P913" si="181">+C886/($B$10*24)</f>
        <v>1.0013440860215055</v>
      </c>
      <c r="D913" s="164">
        <f t="shared" si="181"/>
        <v>8.6088709677419359</v>
      </c>
      <c r="E913" s="164">
        <f t="shared" si="181"/>
        <v>201.20564516129033</v>
      </c>
      <c r="F913" s="333">
        <f t="shared" si="181"/>
        <v>209.81451612903226</v>
      </c>
      <c r="G913" s="164">
        <f t="shared" si="181"/>
        <v>4.946236559139785</v>
      </c>
      <c r="H913" s="164">
        <f t="shared" si="181"/>
        <v>14.318548387096774</v>
      </c>
      <c r="I913" s="164">
        <f t="shared" si="181"/>
        <v>0</v>
      </c>
      <c r="J913" s="164">
        <f t="shared" si="181"/>
        <v>14.318548387096774</v>
      </c>
      <c r="K913" s="164">
        <f t="shared" si="181"/>
        <v>0</v>
      </c>
      <c r="L913" s="164">
        <f t="shared" si="181"/>
        <v>0</v>
      </c>
      <c r="M913" s="399">
        <f t="shared" si="181"/>
        <v>236.16129032258064</v>
      </c>
      <c r="N913" s="400">
        <f t="shared" si="181"/>
        <v>0</v>
      </c>
      <c r="O913" s="386">
        <f t="shared" si="181"/>
        <v>236.16129032258064</v>
      </c>
      <c r="P913" s="414">
        <f t="shared" si="181"/>
        <v>-45.611559139784944</v>
      </c>
      <c r="Q913" s="164" t="str">
        <f>+IF(P913&gt;=0,ABS(P913),"")</f>
        <v/>
      </c>
      <c r="R913" s="333">
        <f>+IF(P913&lt;=0,ABS(P913),"")</f>
        <v>45.611559139784944</v>
      </c>
      <c r="S913" s="307"/>
    </row>
    <row r="914" spans="1:19" ht="15.75" customHeight="1" x14ac:dyDescent="0.3">
      <c r="A914" s="365" t="s">
        <v>9</v>
      </c>
      <c r="B914" s="325">
        <f>+B887/($C$10*24)</f>
        <v>375.3467261904762</v>
      </c>
      <c r="C914" s="164">
        <f t="shared" ref="C914:O914" si="182">+C887/($C$10*24)</f>
        <v>1.8764880952380953</v>
      </c>
      <c r="D914" s="164">
        <f t="shared" si="182"/>
        <v>16.139880952380953</v>
      </c>
      <c r="E914" s="164">
        <f t="shared" si="182"/>
        <v>377.22321428571428</v>
      </c>
      <c r="F914" s="333">
        <f t="shared" si="182"/>
        <v>393.36309523809524</v>
      </c>
      <c r="G914" s="164">
        <f t="shared" si="182"/>
        <v>0</v>
      </c>
      <c r="H914" s="164">
        <f t="shared" si="182"/>
        <v>17.75297619047619</v>
      </c>
      <c r="I914" s="164">
        <f t="shared" si="182"/>
        <v>0</v>
      </c>
      <c r="J914" s="164">
        <f t="shared" si="182"/>
        <v>17.75297619047619</v>
      </c>
      <c r="K914" s="164">
        <f t="shared" si="182"/>
        <v>0</v>
      </c>
      <c r="L914" s="164">
        <f t="shared" si="182"/>
        <v>0</v>
      </c>
      <c r="M914" s="399">
        <f t="shared" si="182"/>
        <v>364</v>
      </c>
      <c r="N914" s="400">
        <f t="shared" si="182"/>
        <v>0</v>
      </c>
      <c r="O914" s="386">
        <f t="shared" si="182"/>
        <v>364</v>
      </c>
      <c r="P914" s="414">
        <f>+P887/($C$10*24)</f>
        <v>11.610119047619047</v>
      </c>
      <c r="Q914" s="164">
        <f t="shared" ref="Q914:Q924" si="183">+IF(P914&gt;=0,ABS(P914),"")</f>
        <v>11.610119047619047</v>
      </c>
      <c r="R914" s="333" t="str">
        <f t="shared" ref="R914:R924" si="184">+IF(P914&lt;=0,ABS(P914),"")</f>
        <v/>
      </c>
      <c r="S914" s="307"/>
    </row>
    <row r="915" spans="1:19" ht="15.75" customHeight="1" x14ac:dyDescent="0.3">
      <c r="A915" s="365" t="s">
        <v>10</v>
      </c>
      <c r="B915" s="325">
        <f>+B888/($D$10*24)</f>
        <v>407.89919354838707</v>
      </c>
      <c r="C915" s="164">
        <f t="shared" ref="C915:P915" si="185">+C888/($D$10*24)</f>
        <v>2.038978494623656</v>
      </c>
      <c r="D915" s="164">
        <f t="shared" si="185"/>
        <v>17.54032258064516</v>
      </c>
      <c r="E915" s="164">
        <f t="shared" si="185"/>
        <v>409.93817204301075</v>
      </c>
      <c r="F915" s="333">
        <f t="shared" si="185"/>
        <v>427.47849462365593</v>
      </c>
      <c r="G915" s="164">
        <f t="shared" si="185"/>
        <v>0</v>
      </c>
      <c r="H915" s="164">
        <f t="shared" si="185"/>
        <v>23.047043010752688</v>
      </c>
      <c r="I915" s="164">
        <f t="shared" si="185"/>
        <v>0</v>
      </c>
      <c r="J915" s="164">
        <f t="shared" si="185"/>
        <v>23.047043010752688</v>
      </c>
      <c r="K915" s="164">
        <f t="shared" si="185"/>
        <v>0</v>
      </c>
      <c r="L915" s="164">
        <f t="shared" si="185"/>
        <v>0</v>
      </c>
      <c r="M915" s="399">
        <f t="shared" si="185"/>
        <v>417.96774193548384</v>
      </c>
      <c r="N915" s="400">
        <f t="shared" si="185"/>
        <v>0</v>
      </c>
      <c r="O915" s="386">
        <f t="shared" si="185"/>
        <v>417.96774193548384</v>
      </c>
      <c r="P915" s="414">
        <f t="shared" si="185"/>
        <v>-13.536290322580646</v>
      </c>
      <c r="Q915" s="164" t="str">
        <f t="shared" si="183"/>
        <v/>
      </c>
      <c r="R915" s="333">
        <f t="shared" si="184"/>
        <v>13.536290322580646</v>
      </c>
      <c r="S915" s="307"/>
    </row>
    <row r="916" spans="1:19" ht="15.75" customHeight="1" x14ac:dyDescent="0.3">
      <c r="A916" s="365" t="s">
        <v>12</v>
      </c>
      <c r="B916" s="325">
        <f>+B889/($F$10*24)</f>
        <v>365.58472222222224</v>
      </c>
      <c r="C916" s="164">
        <f t="shared" ref="C916:P916" si="186">+C889/($F$10*24)</f>
        <v>1.8277777777777777</v>
      </c>
      <c r="D916" s="164">
        <f t="shared" si="186"/>
        <v>15.720833333333333</v>
      </c>
      <c r="E916" s="164">
        <f t="shared" si="186"/>
        <v>367.41250000000002</v>
      </c>
      <c r="F916" s="333">
        <f t="shared" si="186"/>
        <v>383.13333333333333</v>
      </c>
      <c r="G916" s="164">
        <f t="shared" si="186"/>
        <v>7.5277777777777777</v>
      </c>
      <c r="H916" s="164">
        <f t="shared" si="186"/>
        <v>27.547222222222221</v>
      </c>
      <c r="I916" s="164">
        <f t="shared" si="186"/>
        <v>0</v>
      </c>
      <c r="J916" s="164">
        <f t="shared" si="186"/>
        <v>27.547222222222221</v>
      </c>
      <c r="K916" s="164">
        <f t="shared" si="186"/>
        <v>0</v>
      </c>
      <c r="L916" s="164">
        <f t="shared" si="186"/>
        <v>0</v>
      </c>
      <c r="M916" s="399">
        <f t="shared" si="186"/>
        <v>409.06666666666666</v>
      </c>
      <c r="N916" s="400">
        <f t="shared" si="186"/>
        <v>0</v>
      </c>
      <c r="O916" s="386">
        <f t="shared" si="186"/>
        <v>409.06666666666666</v>
      </c>
      <c r="P916" s="414">
        <f t="shared" si="186"/>
        <v>-61.008333333333333</v>
      </c>
      <c r="Q916" s="164" t="str">
        <f t="shared" si="183"/>
        <v/>
      </c>
      <c r="R916" s="333">
        <f t="shared" si="184"/>
        <v>61.008333333333333</v>
      </c>
      <c r="S916" s="307"/>
    </row>
    <row r="917" spans="1:19" ht="15.75" customHeight="1" x14ac:dyDescent="0.3">
      <c r="A917" s="365" t="s">
        <v>13</v>
      </c>
      <c r="B917" s="325">
        <f>+B890/($G$10*24)</f>
        <v>396.07392473118279</v>
      </c>
      <c r="C917" s="164">
        <f t="shared" ref="C917:P917" si="187">+C890/($G$10*24)</f>
        <v>1.9798387096774193</v>
      </c>
      <c r="D917" s="164">
        <f t="shared" si="187"/>
        <v>17.030913978494624</v>
      </c>
      <c r="E917" s="164">
        <f t="shared" si="187"/>
        <v>398.05376344086022</v>
      </c>
      <c r="F917" s="333">
        <f t="shared" si="187"/>
        <v>415.08467741935482</v>
      </c>
      <c r="G917" s="164">
        <f t="shared" si="187"/>
        <v>4.270161290322581</v>
      </c>
      <c r="H917" s="164">
        <f t="shared" si="187"/>
        <v>22.451612903225808</v>
      </c>
      <c r="I917" s="164">
        <f t="shared" si="187"/>
        <v>0</v>
      </c>
      <c r="J917" s="164">
        <f t="shared" si="187"/>
        <v>22.451612903225808</v>
      </c>
      <c r="K917" s="164">
        <f t="shared" si="187"/>
        <v>0</v>
      </c>
      <c r="L917" s="164">
        <f t="shared" si="187"/>
        <v>0</v>
      </c>
      <c r="M917" s="399">
        <f t="shared" si="187"/>
        <v>404.35483870967744</v>
      </c>
      <c r="N917" s="400">
        <f t="shared" si="187"/>
        <v>0</v>
      </c>
      <c r="O917" s="386">
        <f t="shared" si="187"/>
        <v>404.35483870967744</v>
      </c>
      <c r="P917" s="414">
        <f t="shared" si="187"/>
        <v>-15.991935483870968</v>
      </c>
      <c r="Q917" s="164" t="str">
        <f t="shared" si="183"/>
        <v/>
      </c>
      <c r="R917" s="333">
        <f t="shared" si="184"/>
        <v>15.991935483870968</v>
      </c>
      <c r="S917" s="307"/>
    </row>
    <row r="918" spans="1:19" ht="15.75" customHeight="1" x14ac:dyDescent="0.3">
      <c r="A918" s="365" t="s">
        <v>14</v>
      </c>
      <c r="B918" s="325">
        <f>+B891/($H$10*24)</f>
        <v>323.27222222222224</v>
      </c>
      <c r="C918" s="164">
        <f t="shared" ref="C918:P918" si="188">+C891/($H$10*24)</f>
        <v>1.6166666666666667</v>
      </c>
      <c r="D918" s="164">
        <f t="shared" si="188"/>
        <v>13.901388888888889</v>
      </c>
      <c r="E918" s="164">
        <f t="shared" si="188"/>
        <v>324.88888888888891</v>
      </c>
      <c r="F918" s="333">
        <f t="shared" si="188"/>
        <v>338.79027777777776</v>
      </c>
      <c r="G918" s="164">
        <f t="shared" si="188"/>
        <v>14.7125</v>
      </c>
      <c r="H918" s="164">
        <f t="shared" si="188"/>
        <v>21.56388888888889</v>
      </c>
      <c r="I918" s="164">
        <f t="shared" si="188"/>
        <v>0</v>
      </c>
      <c r="J918" s="164">
        <f t="shared" si="188"/>
        <v>21.56388888888889</v>
      </c>
      <c r="K918" s="164">
        <f t="shared" si="188"/>
        <v>0</v>
      </c>
      <c r="L918" s="164">
        <f t="shared" si="188"/>
        <v>0</v>
      </c>
      <c r="M918" s="399">
        <f t="shared" si="188"/>
        <v>329</v>
      </c>
      <c r="N918" s="400">
        <f t="shared" si="188"/>
        <v>0</v>
      </c>
      <c r="O918" s="386">
        <f t="shared" si="188"/>
        <v>329</v>
      </c>
      <c r="P918" s="414">
        <f t="shared" si="188"/>
        <v>-26.486111111111111</v>
      </c>
      <c r="Q918" s="164" t="str">
        <f t="shared" si="183"/>
        <v/>
      </c>
      <c r="R918" s="333">
        <f t="shared" si="184"/>
        <v>26.486111111111111</v>
      </c>
      <c r="S918" s="307"/>
    </row>
    <row r="919" spans="1:19" ht="15.75" customHeight="1" x14ac:dyDescent="0.3">
      <c r="A919" s="365" t="s">
        <v>16</v>
      </c>
      <c r="B919" s="325">
        <f>+B892/($J$10*24)</f>
        <v>219.09139784946237</v>
      </c>
      <c r="C919" s="164">
        <f t="shared" ref="C919:P919" si="189">+C892/($J$10*24)</f>
        <v>1.0954301075268817</v>
      </c>
      <c r="D919" s="164">
        <f t="shared" si="189"/>
        <v>9.4206989247311821</v>
      </c>
      <c r="E919" s="164">
        <f t="shared" si="189"/>
        <v>220.18682795698925</v>
      </c>
      <c r="F919" s="333">
        <f t="shared" si="189"/>
        <v>229.60752688172042</v>
      </c>
      <c r="G919" s="164">
        <f t="shared" si="189"/>
        <v>15.348118279569892</v>
      </c>
      <c r="H919" s="164">
        <f t="shared" si="189"/>
        <v>17.827956989247312</v>
      </c>
      <c r="I919" s="164">
        <f t="shared" si="189"/>
        <v>0</v>
      </c>
      <c r="J919" s="164">
        <f t="shared" si="189"/>
        <v>17.827956989247312</v>
      </c>
      <c r="K919" s="164">
        <f t="shared" si="189"/>
        <v>0</v>
      </c>
      <c r="L919" s="164">
        <f t="shared" si="189"/>
        <v>0</v>
      </c>
      <c r="M919" s="399">
        <f t="shared" si="189"/>
        <v>208</v>
      </c>
      <c r="N919" s="400">
        <f t="shared" si="189"/>
        <v>0</v>
      </c>
      <c r="O919" s="386">
        <f t="shared" si="189"/>
        <v>208</v>
      </c>
      <c r="P919" s="414">
        <f t="shared" si="189"/>
        <v>-11.568548387096774</v>
      </c>
      <c r="Q919" s="164" t="str">
        <f t="shared" si="183"/>
        <v/>
      </c>
      <c r="R919" s="333">
        <f t="shared" si="184"/>
        <v>11.568548387096774</v>
      </c>
      <c r="S919" s="307"/>
    </row>
    <row r="920" spans="1:19" ht="15.75" customHeight="1" x14ac:dyDescent="0.3">
      <c r="A920" s="365" t="s">
        <v>17</v>
      </c>
      <c r="B920" s="325">
        <f>+B893/($K$10*24)</f>
        <v>246.68145161290323</v>
      </c>
      <c r="C920" s="164">
        <f t="shared" ref="C920:P920" si="190">+C893/($K$10*24)</f>
        <v>1.2338709677419355</v>
      </c>
      <c r="D920" s="164">
        <f t="shared" si="190"/>
        <v>10.60752688172043</v>
      </c>
      <c r="E920" s="164">
        <f t="shared" si="190"/>
        <v>247.91532258064515</v>
      </c>
      <c r="F920" s="333">
        <f t="shared" si="190"/>
        <v>258.52284946236557</v>
      </c>
      <c r="G920" s="164">
        <f t="shared" si="190"/>
        <v>12.415322580645162</v>
      </c>
      <c r="H920" s="164">
        <f t="shared" si="190"/>
        <v>15.506720430107526</v>
      </c>
      <c r="I920" s="164">
        <f t="shared" si="190"/>
        <v>0</v>
      </c>
      <c r="J920" s="164">
        <f t="shared" si="190"/>
        <v>15.506720430107526</v>
      </c>
      <c r="K920" s="164">
        <f t="shared" si="190"/>
        <v>0</v>
      </c>
      <c r="L920" s="164">
        <f t="shared" si="190"/>
        <v>0</v>
      </c>
      <c r="M920" s="399">
        <f t="shared" si="190"/>
        <v>215</v>
      </c>
      <c r="N920" s="400">
        <f t="shared" si="190"/>
        <v>0</v>
      </c>
      <c r="O920" s="386">
        <f t="shared" si="190"/>
        <v>215</v>
      </c>
      <c r="P920" s="414">
        <f t="shared" si="190"/>
        <v>15.600806451612904</v>
      </c>
      <c r="Q920" s="164">
        <f t="shared" si="183"/>
        <v>15.600806451612904</v>
      </c>
      <c r="R920" s="333" t="str">
        <f t="shared" si="184"/>
        <v/>
      </c>
      <c r="S920" s="307"/>
    </row>
    <row r="921" spans="1:19" ht="15.75" customHeight="1" x14ac:dyDescent="0.3">
      <c r="A921" s="365" t="s">
        <v>18</v>
      </c>
      <c r="B921" s="325">
        <f>+B894/($L$10*24)</f>
        <v>353.19305555555553</v>
      </c>
      <c r="C921" s="164">
        <f t="shared" ref="C921:P921" si="191">+C894/($L$10*24)</f>
        <v>1.7652777777777777</v>
      </c>
      <c r="D921" s="164">
        <f t="shared" si="191"/>
        <v>15.1875</v>
      </c>
      <c r="E921" s="164">
        <f t="shared" si="191"/>
        <v>354.95833333333331</v>
      </c>
      <c r="F921" s="333">
        <f t="shared" si="191"/>
        <v>370.14583333333331</v>
      </c>
      <c r="G921" s="164">
        <f t="shared" si="191"/>
        <v>5.2777777777777778E-2</v>
      </c>
      <c r="H921" s="164">
        <f t="shared" si="191"/>
        <v>10.765277777777778</v>
      </c>
      <c r="I921" s="164">
        <f t="shared" si="191"/>
        <v>0</v>
      </c>
      <c r="J921" s="164">
        <f t="shared" si="191"/>
        <v>10.765277777777778</v>
      </c>
      <c r="K921" s="164">
        <f t="shared" si="191"/>
        <v>0</v>
      </c>
      <c r="L921" s="164">
        <f t="shared" si="191"/>
        <v>0</v>
      </c>
      <c r="M921" s="399">
        <f t="shared" si="191"/>
        <v>308</v>
      </c>
      <c r="N921" s="400">
        <f t="shared" si="191"/>
        <v>0</v>
      </c>
      <c r="O921" s="386">
        <f t="shared" si="191"/>
        <v>308</v>
      </c>
      <c r="P921" s="414">
        <f t="shared" si="191"/>
        <v>51.327777777777776</v>
      </c>
      <c r="Q921" s="164">
        <f t="shared" si="183"/>
        <v>51.327777777777776</v>
      </c>
      <c r="R921" s="333" t="str">
        <f t="shared" si="184"/>
        <v/>
      </c>
      <c r="S921" s="307"/>
    </row>
    <row r="922" spans="1:19" ht="15.75" customHeight="1" x14ac:dyDescent="0.3">
      <c r="A922" s="365" t="s">
        <v>20</v>
      </c>
      <c r="B922" s="325">
        <f>+B895/($N$10*24)</f>
        <v>411.54166666666669</v>
      </c>
      <c r="C922" s="164">
        <f t="shared" ref="C922:P922" si="192">+C895/($N$10*24)</f>
        <v>2.057795698924731</v>
      </c>
      <c r="D922" s="164">
        <f t="shared" si="192"/>
        <v>17.696236559139784</v>
      </c>
      <c r="E922" s="164">
        <f t="shared" si="192"/>
        <v>413.59946236559142</v>
      </c>
      <c r="F922" s="333">
        <f t="shared" si="192"/>
        <v>431.2956989247312</v>
      </c>
      <c r="G922" s="164">
        <f t="shared" si="192"/>
        <v>0</v>
      </c>
      <c r="H922" s="164">
        <f t="shared" si="192"/>
        <v>15.65725806451613</v>
      </c>
      <c r="I922" s="164">
        <f t="shared" si="192"/>
        <v>0</v>
      </c>
      <c r="J922" s="164">
        <f t="shared" si="192"/>
        <v>15.65725806451613</v>
      </c>
      <c r="K922" s="164">
        <f t="shared" si="192"/>
        <v>0</v>
      </c>
      <c r="L922" s="164">
        <f t="shared" si="192"/>
        <v>0</v>
      </c>
      <c r="M922" s="399">
        <f t="shared" si="192"/>
        <v>319</v>
      </c>
      <c r="N922" s="400">
        <f t="shared" si="192"/>
        <v>49.333333333333336</v>
      </c>
      <c r="O922" s="386">
        <f t="shared" si="192"/>
        <v>368.33333333333331</v>
      </c>
      <c r="P922" s="414">
        <f t="shared" si="192"/>
        <v>47.30510752688172</v>
      </c>
      <c r="Q922" s="164">
        <f t="shared" si="183"/>
        <v>47.30510752688172</v>
      </c>
      <c r="R922" s="333" t="str">
        <f t="shared" si="184"/>
        <v/>
      </c>
      <c r="S922" s="307"/>
    </row>
    <row r="923" spans="1:19" ht="15.75" customHeight="1" x14ac:dyDescent="0.3">
      <c r="A923" s="365" t="s">
        <v>21</v>
      </c>
      <c r="B923" s="325">
        <f>+B896/($O$10*24)</f>
        <v>327.8388888888889</v>
      </c>
      <c r="C923" s="164">
        <f t="shared" ref="C923:P923" si="193">+C896/($O$10*24)</f>
        <v>1.6388888888888888</v>
      </c>
      <c r="D923" s="164">
        <f t="shared" si="193"/>
        <v>14.097222222222221</v>
      </c>
      <c r="E923" s="164">
        <f t="shared" si="193"/>
        <v>329.47777777777776</v>
      </c>
      <c r="F923" s="333">
        <f t="shared" si="193"/>
        <v>343.57499999999999</v>
      </c>
      <c r="G923" s="164">
        <f t="shared" si="193"/>
        <v>0</v>
      </c>
      <c r="H923" s="164">
        <f t="shared" si="193"/>
        <v>11.159722222222221</v>
      </c>
      <c r="I923" s="164">
        <f t="shared" si="193"/>
        <v>0</v>
      </c>
      <c r="J923" s="164">
        <f t="shared" si="193"/>
        <v>11.159722222222221</v>
      </c>
      <c r="K923" s="164">
        <f t="shared" si="193"/>
        <v>0</v>
      </c>
      <c r="L923" s="164">
        <f t="shared" si="193"/>
        <v>0</v>
      </c>
      <c r="M923" s="399">
        <f t="shared" si="193"/>
        <v>302</v>
      </c>
      <c r="N923" s="400">
        <f t="shared" si="193"/>
        <v>49.333333333333336</v>
      </c>
      <c r="O923" s="386">
        <f t="shared" si="193"/>
        <v>351.33333333333331</v>
      </c>
      <c r="P923" s="414">
        <f t="shared" si="193"/>
        <v>-18.918055555555554</v>
      </c>
      <c r="Q923" s="164" t="str">
        <f t="shared" si="183"/>
        <v/>
      </c>
      <c r="R923" s="333">
        <f t="shared" si="184"/>
        <v>18.918055555555554</v>
      </c>
      <c r="S923" s="307"/>
    </row>
    <row r="924" spans="1:19" ht="15.75" customHeight="1" thickBot="1" x14ac:dyDescent="0.35">
      <c r="A924" s="365" t="s">
        <v>22</v>
      </c>
      <c r="B924" s="330">
        <f>+B897/($P$10*24)</f>
        <v>307.5456989247312</v>
      </c>
      <c r="C924" s="335">
        <f t="shared" ref="C924:P924" si="194">+C897/($P$10*24)</f>
        <v>1.5376344086021505</v>
      </c>
      <c r="D924" s="335">
        <f t="shared" si="194"/>
        <v>13.224462365591398</v>
      </c>
      <c r="E924" s="335">
        <f t="shared" si="194"/>
        <v>309.08333333333331</v>
      </c>
      <c r="F924" s="405">
        <f t="shared" si="194"/>
        <v>322.30779569892474</v>
      </c>
      <c r="G924" s="335">
        <f t="shared" si="194"/>
        <v>0</v>
      </c>
      <c r="H924" s="335">
        <f t="shared" si="194"/>
        <v>10.876344086021506</v>
      </c>
      <c r="I924" s="335">
        <f t="shared" si="194"/>
        <v>0</v>
      </c>
      <c r="J924" s="335">
        <f t="shared" si="194"/>
        <v>10.876344086021506</v>
      </c>
      <c r="K924" s="335">
        <f t="shared" si="194"/>
        <v>0</v>
      </c>
      <c r="L924" s="335">
        <f t="shared" si="194"/>
        <v>0</v>
      </c>
      <c r="M924" s="451">
        <f t="shared" si="194"/>
        <v>274</v>
      </c>
      <c r="N924" s="410">
        <f t="shared" si="194"/>
        <v>59.666666666666657</v>
      </c>
      <c r="O924" s="407">
        <f t="shared" si="194"/>
        <v>333.66666666666669</v>
      </c>
      <c r="P924" s="415">
        <f t="shared" si="194"/>
        <v>-22.23521505376344</v>
      </c>
      <c r="Q924" s="335" t="str">
        <f t="shared" si="183"/>
        <v/>
      </c>
      <c r="R924" s="405">
        <f t="shared" si="184"/>
        <v>22.23521505376344</v>
      </c>
      <c r="S924" s="307"/>
    </row>
    <row r="925" spans="1:19" ht="15.75" customHeight="1" x14ac:dyDescent="0.3">
      <c r="A925" s="416"/>
      <c r="S925" s="307"/>
    </row>
    <row r="926" spans="1:19" ht="16.5" customHeight="1" thickBot="1" x14ac:dyDescent="0.35">
      <c r="A926" s="417"/>
      <c r="B926" s="312"/>
      <c r="C926" s="312"/>
      <c r="D926" s="312"/>
      <c r="E926" s="312"/>
      <c r="F926" s="312"/>
      <c r="G926" s="312"/>
      <c r="H926" s="312"/>
      <c r="I926" s="312"/>
      <c r="J926" s="312"/>
      <c r="K926" s="312"/>
      <c r="L926" s="312"/>
      <c r="M926" s="312"/>
      <c r="N926" s="312"/>
      <c r="O926" s="312"/>
      <c r="P926" s="312"/>
      <c r="Q926" s="312"/>
      <c r="R926" s="312"/>
      <c r="S926" s="313"/>
    </row>
    <row r="927" spans="1:19" ht="15.75" customHeight="1" x14ac:dyDescent="0.3">
      <c r="A927" s="166"/>
      <c r="B927" s="159"/>
      <c r="C927" s="159"/>
      <c r="D927" s="159"/>
      <c r="E927" s="159"/>
      <c r="F927" s="159"/>
      <c r="G927" s="159"/>
      <c r="H927" s="159"/>
      <c r="I927" s="159"/>
      <c r="J927" s="159"/>
      <c r="K927" s="159"/>
      <c r="L927" s="159"/>
      <c r="M927" s="159"/>
      <c r="N927" s="159"/>
      <c r="O927" s="159"/>
      <c r="P927" s="159"/>
      <c r="Q927" s="159"/>
      <c r="R927" s="159"/>
    </row>
    <row r="928" spans="1:19" ht="15.75" customHeight="1" x14ac:dyDescent="0.3">
      <c r="A928" s="418"/>
    </row>
    <row r="929" spans="1:33" ht="15.75" customHeight="1" thickBot="1" x14ac:dyDescent="0.35">
      <c r="A929" s="418"/>
    </row>
    <row r="930" spans="1:33" ht="15.75" customHeight="1" x14ac:dyDescent="0.3">
      <c r="A930" s="419"/>
      <c r="B930" s="506" t="s">
        <v>1080</v>
      </c>
      <c r="C930" s="506"/>
      <c r="D930" s="506"/>
      <c r="E930" s="506"/>
      <c r="F930" s="506"/>
      <c r="G930" s="506"/>
      <c r="H930" s="506"/>
      <c r="I930" s="506"/>
      <c r="J930" s="506"/>
      <c r="K930" s="506"/>
      <c r="L930" s="506"/>
      <c r="M930" s="506"/>
      <c r="N930" s="506"/>
      <c r="O930" s="506"/>
      <c r="P930" s="506"/>
      <c r="Q930" s="321" t="str">
        <f>+Q1</f>
        <v>PRINTED:</v>
      </c>
      <c r="R930" s="322">
        <f ca="1">+R1</f>
        <v>44909.46975358796</v>
      </c>
    </row>
    <row r="931" spans="1:33" ht="15.75" customHeight="1" x14ac:dyDescent="0.3">
      <c r="A931" s="420"/>
      <c r="B931" s="503" t="str">
        <f>+A8</f>
        <v>Revised:  11/25/13</v>
      </c>
      <c r="C931" s="503"/>
      <c r="D931" s="503"/>
      <c r="E931" s="503"/>
      <c r="F931" s="503"/>
      <c r="G931" s="503"/>
      <c r="H931" s="503"/>
      <c r="I931" s="503"/>
      <c r="J931" s="503"/>
      <c r="K931" s="503"/>
      <c r="L931" s="503"/>
      <c r="M931" s="503"/>
      <c r="N931" s="503"/>
      <c r="O931" s="503"/>
      <c r="P931" s="503"/>
      <c r="Q931" s="159"/>
      <c r="R931" s="324"/>
    </row>
    <row r="932" spans="1:33" ht="16.5" customHeight="1" x14ac:dyDescent="0.3">
      <c r="A932" s="420"/>
      <c r="B932" s="503" t="s">
        <v>1024</v>
      </c>
      <c r="C932" s="503"/>
      <c r="D932" s="503"/>
      <c r="E932" s="503"/>
      <c r="F932" s="503"/>
      <c r="G932" s="503"/>
      <c r="H932" s="503"/>
      <c r="I932" s="503"/>
      <c r="J932" s="503"/>
      <c r="K932" s="503"/>
      <c r="L932" s="503"/>
      <c r="M932" s="503"/>
      <c r="N932" s="503"/>
      <c r="O932" s="503"/>
      <c r="P932" s="503"/>
      <c r="Q932" s="159"/>
      <c r="R932" s="324"/>
    </row>
    <row r="933" spans="1:33" ht="15.75" customHeight="1" x14ac:dyDescent="0.3">
      <c r="A933" s="420"/>
      <c r="B933" s="159"/>
      <c r="C933" s="159"/>
      <c r="D933" s="159"/>
      <c r="E933" s="159"/>
      <c r="F933" s="159"/>
      <c r="G933" s="159"/>
      <c r="H933" s="159"/>
      <c r="I933" s="159"/>
      <c r="J933" s="159"/>
      <c r="K933" s="159"/>
      <c r="L933" s="159"/>
      <c r="M933" s="159"/>
      <c r="N933" s="159"/>
      <c r="O933" s="159"/>
      <c r="P933" s="159"/>
      <c r="Q933" s="159"/>
      <c r="R933" s="324"/>
      <c r="AG933" s="365"/>
    </row>
    <row r="934" spans="1:33" ht="15.75" customHeight="1" x14ac:dyDescent="0.3">
      <c r="A934" s="420"/>
      <c r="B934" s="539">
        <f>+A5</f>
        <v>2013</v>
      </c>
      <c r="C934" s="509"/>
      <c r="D934" s="509"/>
      <c r="E934" s="509"/>
      <c r="F934" s="509"/>
      <c r="G934" s="509"/>
      <c r="H934" s="509"/>
      <c r="I934" s="509"/>
      <c r="J934" s="509"/>
      <c r="K934" s="509"/>
      <c r="L934" s="509"/>
      <c r="M934" s="509"/>
      <c r="N934" s="509"/>
      <c r="O934" s="509"/>
      <c r="P934" s="509"/>
      <c r="Q934" s="159"/>
      <c r="R934" s="324"/>
    </row>
    <row r="935" spans="1:33" ht="15.75" customHeight="1" thickBot="1" x14ac:dyDescent="0.35">
      <c r="A935" s="420"/>
      <c r="B935" s="503" t="s">
        <v>457</v>
      </c>
      <c r="C935" s="503"/>
      <c r="D935" s="503"/>
      <c r="E935" s="503"/>
      <c r="F935" s="503"/>
      <c r="G935" s="503"/>
      <c r="H935" s="503"/>
      <c r="I935" s="503"/>
      <c r="J935" s="503"/>
      <c r="K935" s="503"/>
      <c r="L935" s="503"/>
      <c r="M935" s="503"/>
      <c r="N935" s="503"/>
      <c r="O935" s="503"/>
      <c r="P935" s="503"/>
      <c r="Q935" s="159"/>
      <c r="R935" s="324"/>
    </row>
    <row r="936" spans="1:33" ht="15.75" customHeight="1" x14ac:dyDescent="0.3">
      <c r="A936" s="420"/>
      <c r="B936" s="546" t="s">
        <v>1084</v>
      </c>
      <c r="C936" s="563"/>
      <c r="D936" s="458"/>
      <c r="E936" s="164"/>
      <c r="F936" s="164"/>
      <c r="G936" s="164"/>
      <c r="H936" s="164"/>
      <c r="I936" s="164"/>
      <c r="J936" s="164"/>
      <c r="K936" s="164"/>
      <c r="L936" s="164"/>
      <c r="M936" s="164"/>
      <c r="N936" s="164"/>
      <c r="O936" s="164"/>
      <c r="P936" s="164"/>
      <c r="Q936" s="159"/>
      <c r="R936" s="324"/>
    </row>
    <row r="937" spans="1:33" ht="15.75" customHeight="1" thickBot="1" x14ac:dyDescent="0.35">
      <c r="A937" s="364" t="s">
        <v>1071</v>
      </c>
      <c r="B937" s="423" t="s">
        <v>1085</v>
      </c>
      <c r="C937" s="425" t="s">
        <v>1086</v>
      </c>
      <c r="D937" s="424" t="s">
        <v>391</v>
      </c>
      <c r="E937" s="424" t="s">
        <v>392</v>
      </c>
      <c r="F937" s="424" t="s">
        <v>393</v>
      </c>
      <c r="G937" s="424" t="s">
        <v>1088</v>
      </c>
      <c r="H937" s="424" t="s">
        <v>1089</v>
      </c>
      <c r="I937" s="424" t="s">
        <v>395</v>
      </c>
      <c r="J937" s="424" t="s">
        <v>396</v>
      </c>
      <c r="K937" s="424" t="s">
        <v>397</v>
      </c>
      <c r="L937" s="424" t="s">
        <v>398</v>
      </c>
      <c r="M937" s="424" t="s">
        <v>399</v>
      </c>
      <c r="N937" s="424" t="s">
        <v>400</v>
      </c>
      <c r="O937" s="424" t="s">
        <v>401</v>
      </c>
      <c r="P937" s="424" t="s">
        <v>402</v>
      </c>
      <c r="Q937" s="424" t="s">
        <v>403</v>
      </c>
      <c r="R937" s="425" t="s">
        <v>404</v>
      </c>
      <c r="S937" s="426" t="s">
        <v>1090</v>
      </c>
      <c r="T937" s="426" t="s">
        <v>1091</v>
      </c>
    </row>
    <row r="938" spans="1:33" ht="15.75" customHeight="1" x14ac:dyDescent="0.3">
      <c r="A938" s="375" t="s">
        <v>795</v>
      </c>
      <c r="B938" s="375">
        <f t="shared" ref="B938:C949" si="195">+E965</f>
        <v>245</v>
      </c>
      <c r="C938" s="427">
        <f t="shared" si="195"/>
        <v>0</v>
      </c>
      <c r="D938" s="365">
        <f t="shared" ref="D938:R938" si="196">+C858/$B$10/24</f>
        <v>13.279962365591397</v>
      </c>
      <c r="E938" s="365">
        <f t="shared" si="196"/>
        <v>13.916559139784946</v>
      </c>
      <c r="F938" s="365">
        <f t="shared" si="196"/>
        <v>23.234604838709675</v>
      </c>
      <c r="G938" s="365">
        <f t="shared" si="196"/>
        <v>15.416410858138159</v>
      </c>
      <c r="H938" s="365">
        <f t="shared" si="196"/>
        <v>-4.9463551544918749</v>
      </c>
      <c r="I938" s="365">
        <f t="shared" si="196"/>
        <v>3.9660483870967735</v>
      </c>
      <c r="J938" s="365">
        <f t="shared" si="196"/>
        <v>3.5380645161290327</v>
      </c>
      <c r="K938" s="365">
        <f t="shared" si="196"/>
        <v>5.4042338709677411</v>
      </c>
      <c r="L938" s="365">
        <f t="shared" si="196"/>
        <v>5.3761290322580644</v>
      </c>
      <c r="M938" s="365">
        <f t="shared" si="196"/>
        <v>1.9454301075268818</v>
      </c>
      <c r="N938" s="365">
        <f t="shared" si="196"/>
        <v>2.2924354838709675</v>
      </c>
      <c r="O938" s="365">
        <f t="shared" si="196"/>
        <v>4.853494623655914</v>
      </c>
      <c r="P938" s="365">
        <f t="shared" si="196"/>
        <v>0.72884408602150541</v>
      </c>
      <c r="Q938" s="365">
        <f t="shared" si="196"/>
        <v>0.24586021505376343</v>
      </c>
      <c r="R938" s="427">
        <f t="shared" si="196"/>
        <v>1.7104838709677417</v>
      </c>
      <c r="S938" s="365">
        <f>+B938+SUM(D938:R938)</f>
        <v>335.96220624128068</v>
      </c>
      <c r="T938" s="365">
        <f>+C938+SUM(D938:R938)</f>
        <v>90.962206241280697</v>
      </c>
    </row>
    <row r="939" spans="1:33" ht="15.75" customHeight="1" x14ac:dyDescent="0.3">
      <c r="A939" s="375" t="s">
        <v>9</v>
      </c>
      <c r="B939" s="375">
        <f t="shared" si="195"/>
        <v>294</v>
      </c>
      <c r="C939" s="427">
        <f t="shared" si="195"/>
        <v>147</v>
      </c>
      <c r="D939" s="365">
        <f t="shared" ref="D939:R939" si="197">+C859/$C$10/24</f>
        <v>26.489431547619049</v>
      </c>
      <c r="E939" s="365">
        <f t="shared" si="197"/>
        <v>27.759238095238093</v>
      </c>
      <c r="F939" s="365">
        <f t="shared" si="197"/>
        <v>46.90510714285714</v>
      </c>
      <c r="G939" s="365">
        <f t="shared" si="197"/>
        <v>28.729967633638779</v>
      </c>
      <c r="H939" s="365">
        <f t="shared" si="197"/>
        <v>0</v>
      </c>
      <c r="I939" s="365">
        <f t="shared" si="197"/>
        <v>5.3394747023809517</v>
      </c>
      <c r="J939" s="365">
        <f t="shared" si="197"/>
        <v>4.3707142857142856</v>
      </c>
      <c r="K939" s="365">
        <f t="shared" si="197"/>
        <v>6.6733630952380949</v>
      </c>
      <c r="L939" s="365">
        <f t="shared" si="197"/>
        <v>6.765416666666666</v>
      </c>
      <c r="M939" s="365">
        <f t="shared" si="197"/>
        <v>2.4313988095238099</v>
      </c>
      <c r="N939" s="365">
        <f t="shared" si="197"/>
        <v>2.8651874999999998</v>
      </c>
      <c r="O939" s="365">
        <f t="shared" si="197"/>
        <v>6.0662202380952381</v>
      </c>
      <c r="P939" s="365">
        <f t="shared" si="197"/>
        <v>0.86461309523809515</v>
      </c>
      <c r="Q939" s="365">
        <f t="shared" si="197"/>
        <v>6.0208333333333336E-2</v>
      </c>
      <c r="R939" s="427">
        <f t="shared" si="197"/>
        <v>2.0256696428571428</v>
      </c>
      <c r="S939" s="365">
        <f t="shared" ref="S939:S949" si="198">+B939+SUM(D939:R939)</f>
        <v>461.34601078840069</v>
      </c>
      <c r="T939" s="365">
        <f t="shared" ref="T939:T949" si="199">+C939+SUM(D939:R939)</f>
        <v>314.34601078840069</v>
      </c>
    </row>
    <row r="940" spans="1:33" ht="15.75" customHeight="1" x14ac:dyDescent="0.3">
      <c r="A940" s="375" t="s">
        <v>10</v>
      </c>
      <c r="B940" s="375">
        <f t="shared" si="195"/>
        <v>294</v>
      </c>
      <c r="C940" s="427">
        <f t="shared" si="195"/>
        <v>196</v>
      </c>
      <c r="D940" s="365">
        <f t="shared" ref="D940:R940" si="200">+C860/$D$10/24</f>
        <v>29.267209677419356</v>
      </c>
      <c r="E940" s="365">
        <f t="shared" si="200"/>
        <v>30.65462365591398</v>
      </c>
      <c r="F940" s="365">
        <f t="shared" si="200"/>
        <v>50.634919354838708</v>
      </c>
      <c r="G940" s="365">
        <f t="shared" si="200"/>
        <v>19.765522430984284</v>
      </c>
      <c r="H940" s="365">
        <f t="shared" si="200"/>
        <v>0</v>
      </c>
      <c r="I940" s="365">
        <f t="shared" si="200"/>
        <v>10.242626344086021</v>
      </c>
      <c r="J940" s="365">
        <f t="shared" si="200"/>
        <v>6.5817204301075272</v>
      </c>
      <c r="K940" s="365">
        <f t="shared" si="200"/>
        <v>7.50369623655914</v>
      </c>
      <c r="L940" s="365">
        <f t="shared" si="200"/>
        <v>6.9280913978494629</v>
      </c>
      <c r="M940" s="365">
        <f t="shared" si="200"/>
        <v>2.3120967741935483</v>
      </c>
      <c r="N940" s="365">
        <f t="shared" si="200"/>
        <v>2.7238333333333333</v>
      </c>
      <c r="O940" s="365">
        <f t="shared" si="200"/>
        <v>5.750672043010753</v>
      </c>
      <c r="P940" s="365">
        <f t="shared" si="200"/>
        <v>1.0322311827956989</v>
      </c>
      <c r="Q940" s="365">
        <f t="shared" si="200"/>
        <v>2.1533333333333333</v>
      </c>
      <c r="R940" s="427">
        <f t="shared" si="200"/>
        <v>2.4169354838709678</v>
      </c>
      <c r="S940" s="365">
        <f t="shared" si="198"/>
        <v>471.96751167829615</v>
      </c>
      <c r="T940" s="365">
        <f t="shared" si="199"/>
        <v>373.96751167829615</v>
      </c>
    </row>
    <row r="941" spans="1:33" ht="15.75" customHeight="1" x14ac:dyDescent="0.3">
      <c r="A941" s="375" t="s">
        <v>12</v>
      </c>
      <c r="B941" s="375">
        <f t="shared" si="195"/>
        <v>294</v>
      </c>
      <c r="C941" s="427">
        <f t="shared" si="195"/>
        <v>196</v>
      </c>
      <c r="D941" s="365">
        <f t="shared" ref="D941:R941" si="201">+C861/$F$10/24</f>
        <v>25.475972222222225</v>
      </c>
      <c r="E941" s="365">
        <f t="shared" si="201"/>
        <v>26.6464</v>
      </c>
      <c r="F941" s="365">
        <f t="shared" si="201"/>
        <v>42.91974166666666</v>
      </c>
      <c r="G941" s="365">
        <f t="shared" si="201"/>
        <v>9.6479684444111494E-2</v>
      </c>
      <c r="H941" s="365">
        <f t="shared" si="201"/>
        <v>-7.5271612370469825</v>
      </c>
      <c r="I941" s="365">
        <f t="shared" si="201"/>
        <v>17.726211111111109</v>
      </c>
      <c r="J941" s="365">
        <f t="shared" si="201"/>
        <v>11.472444444444443</v>
      </c>
      <c r="K941" s="365">
        <f t="shared" si="201"/>
        <v>11.949652777777779</v>
      </c>
      <c r="L941" s="365">
        <f t="shared" si="201"/>
        <v>9.9594444444444452</v>
      </c>
      <c r="M941" s="365">
        <f t="shared" si="201"/>
        <v>2.94875</v>
      </c>
      <c r="N941" s="365">
        <f t="shared" si="201"/>
        <v>3.4734611111111104</v>
      </c>
      <c r="O941" s="365">
        <f t="shared" si="201"/>
        <v>6.6861111111111109</v>
      </c>
      <c r="P941" s="365">
        <f t="shared" si="201"/>
        <v>1.0341805555555557</v>
      </c>
      <c r="Q941" s="365">
        <f t="shared" si="201"/>
        <v>2.4513055555555554</v>
      </c>
      <c r="R941" s="427">
        <f t="shared" si="201"/>
        <v>2.4162500000000002</v>
      </c>
      <c r="S941" s="365">
        <f t="shared" si="198"/>
        <v>451.7292434473971</v>
      </c>
      <c r="T941" s="365">
        <f t="shared" si="199"/>
        <v>353.7292434473971</v>
      </c>
    </row>
    <row r="942" spans="1:33" ht="15.75" customHeight="1" x14ac:dyDescent="0.3">
      <c r="A942" s="375" t="s">
        <v>13</v>
      </c>
      <c r="B942" s="375">
        <f t="shared" si="195"/>
        <v>294</v>
      </c>
      <c r="C942" s="427">
        <f t="shared" si="195"/>
        <v>196</v>
      </c>
      <c r="D942" s="365">
        <f t="shared" ref="D942:R942" si="202">+C862/$G$10/24</f>
        <v>28.820532258064514</v>
      </c>
      <c r="E942" s="365">
        <f t="shared" si="202"/>
        <v>30.139354838709679</v>
      </c>
      <c r="F942" s="365">
        <f t="shared" si="202"/>
        <v>49.300903225806458</v>
      </c>
      <c r="G942" s="365">
        <f t="shared" si="202"/>
        <v>0</v>
      </c>
      <c r="H942" s="365">
        <f t="shared" si="202"/>
        <v>-4.2700849600116735</v>
      </c>
      <c r="I942" s="365">
        <f t="shared" si="202"/>
        <v>17.139534946236559</v>
      </c>
      <c r="J942" s="365">
        <f t="shared" si="202"/>
        <v>8.7978494623655923</v>
      </c>
      <c r="K942" s="365">
        <f t="shared" si="202"/>
        <v>9.32997311827957</v>
      </c>
      <c r="L942" s="365">
        <f t="shared" si="202"/>
        <v>7.6252688172043008</v>
      </c>
      <c r="M942" s="365">
        <f t="shared" si="202"/>
        <v>2.6413978494623658</v>
      </c>
      <c r="N942" s="365">
        <f t="shared" si="202"/>
        <v>3.1101881720430105</v>
      </c>
      <c r="O942" s="365">
        <f t="shared" si="202"/>
        <v>5.9653897849462361</v>
      </c>
      <c r="P942" s="365">
        <f t="shared" si="202"/>
        <v>1.1369354838709678</v>
      </c>
      <c r="Q942" s="365">
        <f t="shared" si="202"/>
        <v>2.7720967741935483</v>
      </c>
      <c r="R942" s="427">
        <f t="shared" si="202"/>
        <v>2.6715725806451616</v>
      </c>
      <c r="S942" s="365">
        <f t="shared" si="198"/>
        <v>459.18091235181635</v>
      </c>
      <c r="T942" s="365">
        <f t="shared" si="199"/>
        <v>361.18091235181635</v>
      </c>
    </row>
    <row r="943" spans="1:33" ht="15.75" customHeight="1" x14ac:dyDescent="0.3">
      <c r="A943" s="375" t="s">
        <v>14</v>
      </c>
      <c r="B943" s="375">
        <f t="shared" si="195"/>
        <v>294</v>
      </c>
      <c r="C943" s="427">
        <f t="shared" si="195"/>
        <v>98</v>
      </c>
      <c r="D943" s="365">
        <f t="shared" ref="D943:R943" si="203">+C863/$H$10/24</f>
        <v>21.994905555555558</v>
      </c>
      <c r="E943" s="365">
        <f t="shared" si="203"/>
        <v>22.985422222222223</v>
      </c>
      <c r="F943" s="365">
        <f t="shared" si="203"/>
        <v>37.212054166666668</v>
      </c>
      <c r="G943" s="365">
        <f t="shared" si="203"/>
        <v>0</v>
      </c>
      <c r="H943" s="365">
        <f t="shared" si="203"/>
        <v>-14.712850414468734</v>
      </c>
      <c r="I943" s="365">
        <f t="shared" si="203"/>
        <v>21.374893055555557</v>
      </c>
      <c r="J943" s="365">
        <f t="shared" si="203"/>
        <v>11.508888888888889</v>
      </c>
      <c r="K943" s="365">
        <f t="shared" si="203"/>
        <v>10.554166666666667</v>
      </c>
      <c r="L943" s="365">
        <f t="shared" si="203"/>
        <v>7.7992777777777773</v>
      </c>
      <c r="M943" s="365">
        <f t="shared" si="203"/>
        <v>2.4819444444444447</v>
      </c>
      <c r="N943" s="365">
        <f t="shared" si="203"/>
        <v>2.9214833333333332</v>
      </c>
      <c r="O943" s="365">
        <f t="shared" si="203"/>
        <v>5.2569444444444446</v>
      </c>
      <c r="P943" s="365">
        <f t="shared" si="203"/>
        <v>0.97665277777777781</v>
      </c>
      <c r="Q943" s="365">
        <f t="shared" si="203"/>
        <v>2.8097222222222222</v>
      </c>
      <c r="R943" s="427">
        <f t="shared" si="203"/>
        <v>2.3075000000000001</v>
      </c>
      <c r="S943" s="365">
        <f t="shared" si="198"/>
        <v>429.47100514108683</v>
      </c>
      <c r="T943" s="365">
        <f t="shared" si="199"/>
        <v>233.47100514108686</v>
      </c>
    </row>
    <row r="944" spans="1:33" ht="15.75" customHeight="1" x14ac:dyDescent="0.3">
      <c r="A944" s="375" t="s">
        <v>16</v>
      </c>
      <c r="B944" s="375">
        <f t="shared" si="195"/>
        <v>147</v>
      </c>
      <c r="C944" s="427">
        <f t="shared" si="195"/>
        <v>98</v>
      </c>
      <c r="D944" s="365">
        <f t="shared" ref="D944:R944" si="204">+C864/$J$10/24</f>
        <v>13.85864247311828</v>
      </c>
      <c r="E944" s="365">
        <f t="shared" si="204"/>
        <v>14.44610752688172</v>
      </c>
      <c r="F944" s="365">
        <f t="shared" si="204"/>
        <v>22.379798387096773</v>
      </c>
      <c r="G944" s="365">
        <f t="shared" si="204"/>
        <v>0</v>
      </c>
      <c r="H944" s="365">
        <f t="shared" si="204"/>
        <v>-15.347824803545443</v>
      </c>
      <c r="I944" s="365">
        <f t="shared" si="204"/>
        <v>17.158309139784944</v>
      </c>
      <c r="J944" s="365">
        <f t="shared" si="204"/>
        <v>9.4453763440860214</v>
      </c>
      <c r="K944" s="365">
        <f t="shared" si="204"/>
        <v>8.9035618279569899</v>
      </c>
      <c r="L944" s="365">
        <f t="shared" si="204"/>
        <v>6.7586021505376337</v>
      </c>
      <c r="M944" s="365">
        <f t="shared" si="204"/>
        <v>2.3235215053763443</v>
      </c>
      <c r="N944" s="365">
        <f t="shared" si="204"/>
        <v>2.735569892473118</v>
      </c>
      <c r="O944" s="365">
        <f t="shared" si="204"/>
        <v>4.827284946236559</v>
      </c>
      <c r="P944" s="365">
        <f t="shared" si="204"/>
        <v>1.2901612903225808</v>
      </c>
      <c r="Q944" s="365">
        <f t="shared" si="204"/>
        <v>2.6738440860215054</v>
      </c>
      <c r="R944" s="427">
        <f t="shared" si="204"/>
        <v>3.0453629032258065</v>
      </c>
      <c r="S944" s="365">
        <f t="shared" si="198"/>
        <v>241.49831766957283</v>
      </c>
      <c r="T944" s="365">
        <f t="shared" si="199"/>
        <v>192.49831766957283</v>
      </c>
    </row>
    <row r="945" spans="1:20" ht="15.75" customHeight="1" x14ac:dyDescent="0.3">
      <c r="A945" s="375" t="s">
        <v>17</v>
      </c>
      <c r="B945" s="375">
        <f t="shared" si="195"/>
        <v>147</v>
      </c>
      <c r="C945" s="427">
        <f t="shared" si="195"/>
        <v>98</v>
      </c>
      <c r="D945" s="365">
        <f t="shared" ref="D945:R945" si="205">+C865/$K$10/24</f>
        <v>15.837206989247312</v>
      </c>
      <c r="E945" s="365">
        <f t="shared" si="205"/>
        <v>16.551397849462365</v>
      </c>
      <c r="F945" s="365">
        <f t="shared" si="205"/>
        <v>25.877028225806452</v>
      </c>
      <c r="G945" s="365">
        <f t="shared" si="205"/>
        <v>0</v>
      </c>
      <c r="H945" s="365">
        <f t="shared" si="205"/>
        <v>-12.41473635399448</v>
      </c>
      <c r="I945" s="365">
        <f t="shared" si="205"/>
        <v>17.587508064516129</v>
      </c>
      <c r="J945" s="365">
        <f t="shared" si="205"/>
        <v>10.615913978494623</v>
      </c>
      <c r="K945" s="365">
        <f t="shared" si="205"/>
        <v>10.248655913978494</v>
      </c>
      <c r="L945" s="365">
        <f t="shared" si="205"/>
        <v>8.1651881720430097</v>
      </c>
      <c r="M945" s="365">
        <f t="shared" si="205"/>
        <v>2.489247311827957</v>
      </c>
      <c r="N945" s="365">
        <f t="shared" si="205"/>
        <v>2.9316021505376342</v>
      </c>
      <c r="O945" s="365">
        <f t="shared" si="205"/>
        <v>5.373991935483871</v>
      </c>
      <c r="P945" s="365">
        <f t="shared" si="205"/>
        <v>1.1070564516129033</v>
      </c>
      <c r="Q945" s="365">
        <f t="shared" si="205"/>
        <v>2.6171774193548387</v>
      </c>
      <c r="R945" s="427">
        <f t="shared" si="205"/>
        <v>2.6183467741935482</v>
      </c>
      <c r="S945" s="365">
        <f t="shared" si="198"/>
        <v>256.6055848825647</v>
      </c>
      <c r="T945" s="365">
        <f t="shared" si="199"/>
        <v>207.60558488256467</v>
      </c>
    </row>
    <row r="946" spans="1:20" ht="15.75" customHeight="1" x14ac:dyDescent="0.3">
      <c r="A946" s="375" t="s">
        <v>18</v>
      </c>
      <c r="B946" s="375">
        <f t="shared" si="195"/>
        <v>245</v>
      </c>
      <c r="C946" s="427">
        <f t="shared" si="195"/>
        <v>147</v>
      </c>
      <c r="D946" s="365">
        <f t="shared" ref="D946:R946" si="206">+C866/$L$10/24</f>
        <v>25.362783333333336</v>
      </c>
      <c r="E946" s="365">
        <f t="shared" si="206"/>
        <v>26.552711111111112</v>
      </c>
      <c r="F946" s="365">
        <f t="shared" si="206"/>
        <v>43.911933333333337</v>
      </c>
      <c r="G946" s="365">
        <f t="shared" si="206"/>
        <v>6.596746876713123</v>
      </c>
      <c r="H946" s="365">
        <f t="shared" si="206"/>
        <v>-5.3026626475759849E-2</v>
      </c>
      <c r="I946" s="365">
        <f t="shared" si="206"/>
        <v>11.31329861111111</v>
      </c>
      <c r="J946" s="365">
        <f t="shared" si="206"/>
        <v>7.0777777777777784</v>
      </c>
      <c r="K946" s="365">
        <f t="shared" si="206"/>
        <v>8.703125</v>
      </c>
      <c r="L946" s="365">
        <f t="shared" si="206"/>
        <v>7.7061111111111105</v>
      </c>
      <c r="M946" s="365">
        <f t="shared" si="206"/>
        <v>2.4552777777777774</v>
      </c>
      <c r="N946" s="365">
        <f t="shared" si="206"/>
        <v>2.8916555555555559</v>
      </c>
      <c r="O946" s="365">
        <f t="shared" si="206"/>
        <v>5.499305555555555</v>
      </c>
      <c r="P946" s="365">
        <f t="shared" si="206"/>
        <v>0.9410277777777778</v>
      </c>
      <c r="Q946" s="365">
        <f t="shared" si="206"/>
        <v>2.6080833333333335</v>
      </c>
      <c r="R946" s="427">
        <f t="shared" si="206"/>
        <v>2.2012500000000004</v>
      </c>
      <c r="S946" s="365">
        <f t="shared" si="198"/>
        <v>398.76806052801516</v>
      </c>
      <c r="T946" s="365">
        <f t="shared" si="199"/>
        <v>300.76806052801516</v>
      </c>
    </row>
    <row r="947" spans="1:20" ht="15.75" customHeight="1" x14ac:dyDescent="0.3">
      <c r="A947" s="375" t="s">
        <v>20</v>
      </c>
      <c r="B947" s="375">
        <f t="shared" si="195"/>
        <v>245</v>
      </c>
      <c r="C947" s="427">
        <f t="shared" si="195"/>
        <v>147</v>
      </c>
      <c r="D947" s="365">
        <f t="shared" ref="D947:R947" si="207">+C867/$N$10/24</f>
        <v>30.715303763440861</v>
      </c>
      <c r="E947" s="365">
        <f t="shared" si="207"/>
        <v>32.17393548387097</v>
      </c>
      <c r="F947" s="365">
        <f t="shared" si="207"/>
        <v>53.344455645161297</v>
      </c>
      <c r="G947" s="365">
        <f t="shared" si="207"/>
        <v>19.117138876789408</v>
      </c>
      <c r="H947" s="365">
        <f t="shared" si="207"/>
        <v>0</v>
      </c>
      <c r="I947" s="365">
        <f t="shared" si="207"/>
        <v>9.1048319892473106</v>
      </c>
      <c r="J947" s="365">
        <f t="shared" si="207"/>
        <v>3.400215053763441</v>
      </c>
      <c r="K947" s="365">
        <f t="shared" si="207"/>
        <v>5.051075268817204</v>
      </c>
      <c r="L947" s="365">
        <f t="shared" si="207"/>
        <v>5.0186290322580644</v>
      </c>
      <c r="M947" s="365">
        <f t="shared" si="207"/>
        <v>1.5443548387096773</v>
      </c>
      <c r="N947" s="365">
        <f t="shared" si="207"/>
        <v>1.8177392473118277</v>
      </c>
      <c r="O947" s="365">
        <f t="shared" si="207"/>
        <v>3.6922043010752685</v>
      </c>
      <c r="P947" s="365">
        <f t="shared" si="207"/>
        <v>0.83482526881720431</v>
      </c>
      <c r="Q947" s="365">
        <f t="shared" si="207"/>
        <v>2.4467204301075269</v>
      </c>
      <c r="R947" s="427">
        <f t="shared" si="207"/>
        <v>1.9741935483870969</v>
      </c>
      <c r="S947" s="365">
        <f t="shared" si="198"/>
        <v>415.23562274775713</v>
      </c>
      <c r="T947" s="365">
        <f t="shared" si="199"/>
        <v>317.23562274775713</v>
      </c>
    </row>
    <row r="948" spans="1:20" ht="15.75" customHeight="1" x14ac:dyDescent="0.3">
      <c r="A948" s="375" t="s">
        <v>21</v>
      </c>
      <c r="B948" s="375">
        <f t="shared" si="195"/>
        <v>245</v>
      </c>
      <c r="C948" s="427">
        <f t="shared" si="195"/>
        <v>147</v>
      </c>
      <c r="D948" s="365">
        <f t="shared" ref="D948:R948" si="208">+C868/$O$10/24</f>
        <v>24.429652777777775</v>
      </c>
      <c r="E948" s="365">
        <f t="shared" si="208"/>
        <v>25.590755555555557</v>
      </c>
      <c r="F948" s="365">
        <f t="shared" si="208"/>
        <v>42.777695833333333</v>
      </c>
      <c r="G948" s="365">
        <f t="shared" si="208"/>
        <v>21.440054368995064</v>
      </c>
      <c r="H948" s="365">
        <f t="shared" si="208"/>
        <v>0</v>
      </c>
      <c r="I948" s="365">
        <f t="shared" si="208"/>
        <v>4.7458597222222219</v>
      </c>
      <c r="J948" s="365">
        <f t="shared" si="208"/>
        <v>2.1004444444444443</v>
      </c>
      <c r="K948" s="365">
        <f t="shared" si="208"/>
        <v>3.1645833333333333</v>
      </c>
      <c r="L948" s="365">
        <f t="shared" si="208"/>
        <v>2.9824166666666669</v>
      </c>
      <c r="M948" s="365">
        <f t="shared" si="208"/>
        <v>1.025138888888889</v>
      </c>
      <c r="N948" s="365">
        <f t="shared" si="208"/>
        <v>1.2058944444444444</v>
      </c>
      <c r="O948" s="365">
        <f t="shared" si="208"/>
        <v>2.4937499999999999</v>
      </c>
      <c r="P948" s="365">
        <f t="shared" si="208"/>
        <v>0.55680555555555555</v>
      </c>
      <c r="Q948" s="365">
        <f t="shared" si="208"/>
        <v>2.0640833333333335</v>
      </c>
      <c r="R948" s="427">
        <f t="shared" si="208"/>
        <v>1.316875</v>
      </c>
      <c r="S948" s="365">
        <f t="shared" si="198"/>
        <v>380.89400992455063</v>
      </c>
      <c r="T948" s="365">
        <f t="shared" si="199"/>
        <v>282.89400992455063</v>
      </c>
    </row>
    <row r="949" spans="1:20" ht="15.75" customHeight="1" thickBot="1" x14ac:dyDescent="0.35">
      <c r="A949" s="382" t="s">
        <v>22</v>
      </c>
      <c r="B949" s="382">
        <f t="shared" si="195"/>
        <v>294</v>
      </c>
      <c r="C949" s="429">
        <f t="shared" si="195"/>
        <v>98</v>
      </c>
      <c r="D949" s="369">
        <f t="shared" ref="D949:R949" si="209">+C869/$P$10/24</f>
        <v>22.541303763440862</v>
      </c>
      <c r="E949" s="369">
        <f t="shared" si="209"/>
        <v>23.619096774193551</v>
      </c>
      <c r="F949" s="369">
        <f t="shared" si="209"/>
        <v>35.35731451612903</v>
      </c>
      <c r="G949" s="369">
        <f t="shared" si="209"/>
        <v>11.281880620324438</v>
      </c>
      <c r="H949" s="369">
        <f t="shared" si="209"/>
        <v>0</v>
      </c>
      <c r="I949" s="369">
        <f t="shared" si="209"/>
        <v>6.7671841397849457</v>
      </c>
      <c r="J949" s="369">
        <f t="shared" si="209"/>
        <v>4.4774193548387098</v>
      </c>
      <c r="K949" s="369">
        <f t="shared" si="209"/>
        <v>6.2533602150537639</v>
      </c>
      <c r="L949" s="369">
        <f t="shared" si="209"/>
        <v>6.4671505376344092</v>
      </c>
      <c r="M949" s="369">
        <f t="shared" si="209"/>
        <v>1.8594086021505378</v>
      </c>
      <c r="N949" s="369">
        <f t="shared" si="209"/>
        <v>2.1910887096774192</v>
      </c>
      <c r="O949" s="369">
        <f t="shared" si="209"/>
        <v>4.573252688172043</v>
      </c>
      <c r="P949" s="369">
        <f t="shared" si="209"/>
        <v>0.84325268817204302</v>
      </c>
      <c r="Q949" s="369">
        <f t="shared" si="209"/>
        <v>2.2584408602150536</v>
      </c>
      <c r="R949" s="429">
        <f t="shared" si="209"/>
        <v>1.995967741935484</v>
      </c>
      <c r="S949" s="365">
        <f t="shared" si="198"/>
        <v>424.48612121172232</v>
      </c>
      <c r="T949" s="365">
        <f t="shared" si="199"/>
        <v>228.48612121172232</v>
      </c>
    </row>
    <row r="950" spans="1:20" ht="15.75" customHeight="1" x14ac:dyDescent="0.3">
      <c r="A950" s="418"/>
    </row>
    <row r="951" spans="1:20" ht="15.75" customHeight="1" x14ac:dyDescent="0.3">
      <c r="A951" s="418" t="s">
        <v>1096</v>
      </c>
    </row>
    <row r="952" spans="1:20" ht="15.75" customHeight="1" x14ac:dyDescent="0.3">
      <c r="A952" s="418"/>
    </row>
    <row r="953" spans="1:20" ht="15.75" customHeight="1" x14ac:dyDescent="0.3">
      <c r="A953" s="418"/>
    </row>
    <row r="954" spans="1:20" ht="15.75" customHeight="1" thickBot="1" x14ac:dyDescent="0.35">
      <c r="A954" s="418"/>
    </row>
    <row r="955" spans="1:20" ht="15.75" customHeight="1" x14ac:dyDescent="0.3">
      <c r="A955" s="430"/>
      <c r="B955" s="506" t="s">
        <v>1097</v>
      </c>
      <c r="C955" s="506"/>
      <c r="D955" s="506"/>
      <c r="E955" s="506"/>
      <c r="F955" s="506"/>
      <c r="G955" s="506"/>
      <c r="H955" s="506"/>
      <c r="I955" s="506"/>
      <c r="J955" s="506"/>
      <c r="K955" s="506"/>
      <c r="L955" s="506"/>
      <c r="M955" s="506"/>
      <c r="N955" s="506"/>
      <c r="O955" s="506"/>
      <c r="P955" s="506"/>
      <c r="Q955" s="321" t="str">
        <f>+Q1</f>
        <v>PRINTED:</v>
      </c>
      <c r="R955" s="322">
        <f ca="1">+R1</f>
        <v>44909.46975358796</v>
      </c>
    </row>
    <row r="956" spans="1:20" ht="16.5" customHeight="1" x14ac:dyDescent="0.3">
      <c r="A956" s="416"/>
      <c r="B956" s="503" t="str">
        <f>+A8</f>
        <v>Revised:  11/25/13</v>
      </c>
      <c r="C956" s="503"/>
      <c r="D956" s="503"/>
      <c r="E956" s="503"/>
      <c r="F956" s="503"/>
      <c r="G956" s="503"/>
      <c r="H956" s="503"/>
      <c r="I956" s="503"/>
      <c r="J956" s="503"/>
      <c r="K956" s="503"/>
      <c r="L956" s="503"/>
      <c r="M956" s="503"/>
      <c r="N956" s="503"/>
      <c r="O956" s="503"/>
      <c r="P956" s="503"/>
      <c r="R956" s="307"/>
    </row>
    <row r="957" spans="1:20" ht="16.5" customHeight="1" x14ac:dyDescent="0.3">
      <c r="A957" s="416"/>
      <c r="B957" s="503" t="s">
        <v>1024</v>
      </c>
      <c r="C957" s="503"/>
      <c r="D957" s="503"/>
      <c r="E957" s="503"/>
      <c r="F957" s="503"/>
      <c r="G957" s="503"/>
      <c r="H957" s="503"/>
      <c r="I957" s="503"/>
      <c r="J957" s="503"/>
      <c r="K957" s="503"/>
      <c r="L957" s="503"/>
      <c r="M957" s="503"/>
      <c r="N957" s="503"/>
      <c r="O957" s="503"/>
      <c r="P957" s="503"/>
      <c r="R957" s="307"/>
    </row>
    <row r="958" spans="1:20" ht="16.5" customHeight="1" x14ac:dyDescent="0.3">
      <c r="A958" s="416"/>
      <c r="B958" s="159"/>
      <c r="C958" s="159"/>
      <c r="D958" s="159"/>
      <c r="E958" s="159"/>
      <c r="F958" s="159"/>
      <c r="G958" s="159"/>
      <c r="H958" s="159"/>
      <c r="I958" s="159"/>
      <c r="J958" s="159"/>
      <c r="K958" s="159"/>
      <c r="L958" s="159"/>
      <c r="M958" s="159"/>
      <c r="N958" s="159"/>
      <c r="O958" s="159"/>
      <c r="P958" s="159"/>
      <c r="R958" s="307"/>
    </row>
    <row r="959" spans="1:20" ht="16.5" customHeight="1" x14ac:dyDescent="0.3">
      <c r="A959" s="416"/>
      <c r="B959" s="539">
        <f>+A5</f>
        <v>2013</v>
      </c>
      <c r="C959" s="509"/>
      <c r="D959" s="509"/>
      <c r="E959" s="509"/>
      <c r="F959" s="509"/>
      <c r="G959" s="509"/>
      <c r="H959" s="509"/>
      <c r="I959" s="509"/>
      <c r="J959" s="509"/>
      <c r="K959" s="509"/>
      <c r="L959" s="509"/>
      <c r="M959" s="509"/>
      <c r="N959" s="509"/>
      <c r="O959" s="509"/>
      <c r="P959" s="509"/>
      <c r="R959" s="307"/>
    </row>
    <row r="960" spans="1:20" ht="15.75" customHeight="1" x14ac:dyDescent="0.3">
      <c r="A960" s="416"/>
      <c r="B960" s="503" t="s">
        <v>457</v>
      </c>
      <c r="C960" s="503"/>
      <c r="D960" s="503"/>
      <c r="E960" s="503"/>
      <c r="F960" s="503"/>
      <c r="G960" s="503"/>
      <c r="H960" s="503"/>
      <c r="I960" s="503"/>
      <c r="J960" s="503"/>
      <c r="K960" s="503"/>
      <c r="L960" s="503"/>
      <c r="M960" s="503"/>
      <c r="N960" s="503"/>
      <c r="O960" s="503"/>
      <c r="P960" s="503"/>
      <c r="R960" s="307"/>
    </row>
    <row r="961" spans="1:19" ht="15.75" customHeight="1" thickBot="1" x14ac:dyDescent="0.35">
      <c r="A961" s="416"/>
      <c r="R961" s="307"/>
    </row>
    <row r="962" spans="1:19" ht="15.75" customHeight="1" x14ac:dyDescent="0.3">
      <c r="A962" s="416"/>
      <c r="B962" s="542" t="s">
        <v>1098</v>
      </c>
      <c r="C962" s="558"/>
      <c r="D962" s="558"/>
      <c r="E962" s="558"/>
      <c r="F962" s="558"/>
      <c r="G962" s="558"/>
      <c r="H962" s="558"/>
      <c r="I962" s="559"/>
      <c r="J962" s="560" t="s">
        <v>1099</v>
      </c>
      <c r="K962" s="561"/>
      <c r="L962" s="561"/>
      <c r="M962" s="562"/>
      <c r="N962" s="365" t="s">
        <v>1100</v>
      </c>
      <c r="O962" s="365" t="s">
        <v>1101</v>
      </c>
      <c r="R962" s="307"/>
    </row>
    <row r="963" spans="1:19" ht="15.75" customHeight="1" thickBot="1" x14ac:dyDescent="0.35">
      <c r="A963" s="416" t="s">
        <v>1071</v>
      </c>
      <c r="B963" s="431" t="s">
        <v>1102</v>
      </c>
      <c r="C963" s="432" t="s">
        <v>1085</v>
      </c>
      <c r="D963" s="432" t="s">
        <v>1086</v>
      </c>
      <c r="E963" s="432" t="s">
        <v>1085</v>
      </c>
      <c r="F963" s="432" t="s">
        <v>1086</v>
      </c>
      <c r="G963" s="432" t="s">
        <v>1085</v>
      </c>
      <c r="H963" s="432" t="s">
        <v>1086</v>
      </c>
      <c r="I963" s="433" t="s">
        <v>1104</v>
      </c>
      <c r="J963" s="431" t="s">
        <v>1105</v>
      </c>
      <c r="K963" s="432" t="s">
        <v>1085</v>
      </c>
      <c r="L963" s="432" t="s">
        <v>1085</v>
      </c>
      <c r="M963" s="433" t="s">
        <v>1104</v>
      </c>
      <c r="N963" s="434" t="s">
        <v>422</v>
      </c>
      <c r="O963" s="434" t="s">
        <v>1106</v>
      </c>
      <c r="R963" s="307"/>
      <c r="S963" s="365"/>
    </row>
    <row r="964" spans="1:19" ht="15.75" customHeight="1" thickTop="1" x14ac:dyDescent="0.3">
      <c r="A964" s="416"/>
      <c r="B964" s="436"/>
      <c r="C964" s="437" t="s">
        <v>1107</v>
      </c>
      <c r="D964" s="437" t="s">
        <v>1107</v>
      </c>
      <c r="E964" s="438" t="s">
        <v>1079</v>
      </c>
      <c r="F964" s="438" t="s">
        <v>1079</v>
      </c>
      <c r="G964" s="438" t="s">
        <v>1108</v>
      </c>
      <c r="H964" s="438" t="s">
        <v>1108</v>
      </c>
      <c r="I964" s="439" t="s">
        <v>1109</v>
      </c>
      <c r="J964" s="440"/>
      <c r="K964" s="437" t="s">
        <v>1107</v>
      </c>
      <c r="L964" s="438" t="s">
        <v>1079</v>
      </c>
      <c r="M964" s="439" t="s">
        <v>1108</v>
      </c>
      <c r="N964" s="434" t="s">
        <v>1108</v>
      </c>
      <c r="O964" s="434" t="s">
        <v>1108</v>
      </c>
      <c r="R964" s="307"/>
      <c r="S964" s="365"/>
    </row>
    <row r="965" spans="1:19" ht="15.75" customHeight="1" x14ac:dyDescent="0.3">
      <c r="A965" s="416" t="s">
        <v>795</v>
      </c>
      <c r="B965" s="375" t="e">
        <f ca="1">+$B$10-J965</f>
        <v>#NAME?</v>
      </c>
      <c r="C965" s="441">
        <v>5</v>
      </c>
      <c r="D965" s="441">
        <v>0</v>
      </c>
      <c r="E965" s="365">
        <f t="shared" ref="E965:E976" si="210">+G965/8</f>
        <v>245</v>
      </c>
      <c r="F965" s="365">
        <f t="shared" ref="F965:F976" si="211">+H965/16</f>
        <v>0</v>
      </c>
      <c r="G965" s="365">
        <f t="shared" ref="G965:G976" si="212">+C965*49*8</f>
        <v>1960</v>
      </c>
      <c r="H965" s="365">
        <f t="shared" ref="H965:H976" si="213">+D965*49*16</f>
        <v>0</v>
      </c>
      <c r="I965" s="427">
        <f t="shared" ref="I965:I976" si="214">+H965+G965</f>
        <v>1960</v>
      </c>
      <c r="J965" s="375" t="e">
        <f ca="1">SUMPRODUCT(--(WEEKDAY(ROW(INDIRECT(DATE($B$959,MonthFromText(A965),1)&amp;":"&amp;DATE($B$959,MonthFromText(A965),$B$10))),1)=1))</f>
        <v>#NAME?</v>
      </c>
      <c r="K965" s="441">
        <v>5</v>
      </c>
      <c r="L965" s="4">
        <f t="shared" ref="L965:L976" si="215">+M965/24</f>
        <v>245</v>
      </c>
      <c r="M965" s="427">
        <f t="shared" ref="M965:M976" si="216">+K965*49*24</f>
        <v>5880</v>
      </c>
      <c r="N965" s="365" t="e">
        <f t="shared" ref="N965:N976" ca="1" si="217">+(I965*B965)+(J965*M965)</f>
        <v>#NAME?</v>
      </c>
      <c r="O965" s="365" t="e">
        <f t="shared" ref="O965:O976" ca="1" si="218">+N965-B858</f>
        <v>#NAME?</v>
      </c>
      <c r="R965" s="307"/>
      <c r="S965" s="365"/>
    </row>
    <row r="966" spans="1:19" ht="15.75" customHeight="1" x14ac:dyDescent="0.3">
      <c r="A966" s="416" t="s">
        <v>9</v>
      </c>
      <c r="B966" s="375" t="e">
        <f ca="1">+$C$10-J966</f>
        <v>#NAME?</v>
      </c>
      <c r="C966" s="441">
        <v>6</v>
      </c>
      <c r="D966" s="441">
        <v>3</v>
      </c>
      <c r="E966" s="365">
        <f t="shared" si="210"/>
        <v>294</v>
      </c>
      <c r="F966" s="365">
        <f t="shared" si="211"/>
        <v>147</v>
      </c>
      <c r="G966" s="365">
        <f t="shared" si="212"/>
        <v>2352</v>
      </c>
      <c r="H966" s="365">
        <f t="shared" si="213"/>
        <v>2352</v>
      </c>
      <c r="I966" s="427">
        <f t="shared" si="214"/>
        <v>4704</v>
      </c>
      <c r="J966" s="375" t="e">
        <f ca="1">SUMPRODUCT(--(WEEKDAY(ROW(INDIRECT(DATE($B$959,MonthFromText(A966),1)&amp;":"&amp;DATE($B$959,MonthFromText(A966),$C$10))),1)=1))</f>
        <v>#NAME?</v>
      </c>
      <c r="K966" s="441">
        <v>6</v>
      </c>
      <c r="L966" s="4">
        <f t="shared" si="215"/>
        <v>294</v>
      </c>
      <c r="M966" s="427">
        <f t="shared" si="216"/>
        <v>7056</v>
      </c>
      <c r="N966" s="365" t="e">
        <f t="shared" ca="1" si="217"/>
        <v>#NAME?</v>
      </c>
      <c r="O966" s="365" t="e">
        <f t="shared" ca="1" si="218"/>
        <v>#NAME?</v>
      </c>
      <c r="R966" s="307"/>
      <c r="S966" s="365"/>
    </row>
    <row r="967" spans="1:19" ht="16.5" customHeight="1" x14ac:dyDescent="0.3">
      <c r="A967" s="416" t="s">
        <v>10</v>
      </c>
      <c r="B967" s="375" t="e">
        <f ca="1">+$D$10-J967</f>
        <v>#NAME?</v>
      </c>
      <c r="C967" s="441">
        <v>6</v>
      </c>
      <c r="D967" s="441">
        <v>4</v>
      </c>
      <c r="E967" s="365">
        <f t="shared" si="210"/>
        <v>294</v>
      </c>
      <c r="F967" s="365">
        <f t="shared" si="211"/>
        <v>196</v>
      </c>
      <c r="G967" s="365">
        <f t="shared" si="212"/>
        <v>2352</v>
      </c>
      <c r="H967" s="365">
        <f t="shared" si="213"/>
        <v>3136</v>
      </c>
      <c r="I967" s="427">
        <f t="shared" si="214"/>
        <v>5488</v>
      </c>
      <c r="J967" s="375" t="e">
        <f ca="1">SUMPRODUCT(--(WEEKDAY(ROW(INDIRECT(DATE($B$959,MonthFromText(A967),1)&amp;":"&amp;DATE($B$959,MonthFromText(A967),$D$10))),1)=1))</f>
        <v>#NAME?</v>
      </c>
      <c r="K967" s="441">
        <v>6</v>
      </c>
      <c r="L967" s="4">
        <f t="shared" si="215"/>
        <v>294</v>
      </c>
      <c r="M967" s="427">
        <f t="shared" si="216"/>
        <v>7056</v>
      </c>
      <c r="N967" s="365" t="e">
        <f t="shared" ca="1" si="217"/>
        <v>#NAME?</v>
      </c>
      <c r="O967" s="365" t="e">
        <f t="shared" ca="1" si="218"/>
        <v>#NAME?</v>
      </c>
      <c r="R967" s="307"/>
      <c r="S967" s="365"/>
    </row>
    <row r="968" spans="1:19" ht="16.5" customHeight="1" x14ac:dyDescent="0.3">
      <c r="A968" s="416" t="s">
        <v>12</v>
      </c>
      <c r="B968" s="375" t="e">
        <f ca="1">+$F$10-J968</f>
        <v>#NAME?</v>
      </c>
      <c r="C968" s="441">
        <v>6</v>
      </c>
      <c r="D968" s="441">
        <v>4</v>
      </c>
      <c r="E968" s="365">
        <f t="shared" si="210"/>
        <v>294</v>
      </c>
      <c r="F968" s="365">
        <f t="shared" si="211"/>
        <v>196</v>
      </c>
      <c r="G968" s="365">
        <f t="shared" si="212"/>
        <v>2352</v>
      </c>
      <c r="H968" s="365">
        <f t="shared" si="213"/>
        <v>3136</v>
      </c>
      <c r="I968" s="427">
        <f t="shared" si="214"/>
        <v>5488</v>
      </c>
      <c r="J968" s="375" t="e">
        <f ca="1">SUMPRODUCT(--(WEEKDAY(ROW(INDIRECT(DATE($B$959,MonthFromText(A968),1)&amp;":"&amp;DATE($B$959,MonthFromText(A968),$F$10))),1)=1))</f>
        <v>#NAME?</v>
      </c>
      <c r="K968" s="441">
        <v>6</v>
      </c>
      <c r="L968" s="4">
        <f t="shared" si="215"/>
        <v>294</v>
      </c>
      <c r="M968" s="427">
        <f t="shared" si="216"/>
        <v>7056</v>
      </c>
      <c r="N968" s="365" t="e">
        <f t="shared" ca="1" si="217"/>
        <v>#NAME?</v>
      </c>
      <c r="O968" s="365" t="e">
        <f t="shared" ca="1" si="218"/>
        <v>#NAME?</v>
      </c>
      <c r="R968" s="307"/>
      <c r="S968" s="365"/>
    </row>
    <row r="969" spans="1:19" ht="15.75" customHeight="1" x14ac:dyDescent="0.3">
      <c r="A969" s="416" t="s">
        <v>13</v>
      </c>
      <c r="B969" s="375" t="e">
        <f ca="1">+$G$10-J969</f>
        <v>#NAME?</v>
      </c>
      <c r="C969" s="441">
        <v>6</v>
      </c>
      <c r="D969" s="441">
        <v>4</v>
      </c>
      <c r="E969" s="365">
        <f t="shared" si="210"/>
        <v>294</v>
      </c>
      <c r="F969" s="365">
        <f t="shared" si="211"/>
        <v>196</v>
      </c>
      <c r="G969" s="365">
        <f t="shared" si="212"/>
        <v>2352</v>
      </c>
      <c r="H969" s="365">
        <f t="shared" si="213"/>
        <v>3136</v>
      </c>
      <c r="I969" s="427">
        <f t="shared" si="214"/>
        <v>5488</v>
      </c>
      <c r="J969" s="375" t="e">
        <f ca="1">SUMPRODUCT(--(WEEKDAY(ROW(INDIRECT(DATE($B$959,MonthFromText(A969),1)&amp;":"&amp;DATE($B$959,MonthFromText(A969),$G$10))),1)=1))</f>
        <v>#NAME?</v>
      </c>
      <c r="K969" s="441">
        <v>6</v>
      </c>
      <c r="L969" s="4">
        <f t="shared" si="215"/>
        <v>294</v>
      </c>
      <c r="M969" s="427">
        <f t="shared" si="216"/>
        <v>7056</v>
      </c>
      <c r="N969" s="365" t="e">
        <f t="shared" ca="1" si="217"/>
        <v>#NAME?</v>
      </c>
      <c r="O969" s="365" t="e">
        <f t="shared" ca="1" si="218"/>
        <v>#NAME?</v>
      </c>
      <c r="R969" s="307"/>
      <c r="S969" s="365"/>
    </row>
    <row r="970" spans="1:19" ht="15.75" customHeight="1" x14ac:dyDescent="0.3">
      <c r="A970" s="416" t="s">
        <v>14</v>
      </c>
      <c r="B970" s="375" t="e">
        <f ca="1">+$H$10-J970</f>
        <v>#NAME?</v>
      </c>
      <c r="C970" s="441">
        <v>6</v>
      </c>
      <c r="D970" s="441">
        <v>2</v>
      </c>
      <c r="E970" s="365">
        <f t="shared" si="210"/>
        <v>294</v>
      </c>
      <c r="F970" s="365">
        <f t="shared" si="211"/>
        <v>98</v>
      </c>
      <c r="G970" s="365">
        <f t="shared" si="212"/>
        <v>2352</v>
      </c>
      <c r="H970" s="365">
        <f t="shared" si="213"/>
        <v>1568</v>
      </c>
      <c r="I970" s="427">
        <f t="shared" si="214"/>
        <v>3920</v>
      </c>
      <c r="J970" s="375" t="e">
        <f ca="1">SUMPRODUCT(--(WEEKDAY(ROW(INDIRECT(DATE($B$959,MonthFromText(A970),1)&amp;":"&amp;DATE($B$959,MonthFromText(A970),$H$10))),1)=1))</f>
        <v>#NAME?</v>
      </c>
      <c r="K970" s="441">
        <v>5</v>
      </c>
      <c r="L970" s="4">
        <f t="shared" si="215"/>
        <v>245</v>
      </c>
      <c r="M970" s="427">
        <f t="shared" si="216"/>
        <v>5880</v>
      </c>
      <c r="N970" s="365" t="e">
        <f t="shared" ca="1" si="217"/>
        <v>#NAME?</v>
      </c>
      <c r="O970" s="365" t="e">
        <f t="shared" ca="1" si="218"/>
        <v>#NAME?</v>
      </c>
      <c r="R970" s="307"/>
      <c r="S970" s="365"/>
    </row>
    <row r="971" spans="1:19" ht="15.75" customHeight="1" x14ac:dyDescent="0.3">
      <c r="A971" s="416" t="s">
        <v>16</v>
      </c>
      <c r="B971" s="375" t="e">
        <f ca="1">+$J$10-J971</f>
        <v>#NAME?</v>
      </c>
      <c r="C971" s="441">
        <v>3</v>
      </c>
      <c r="D971" s="441">
        <v>2</v>
      </c>
      <c r="E971" s="365">
        <f t="shared" si="210"/>
        <v>147</v>
      </c>
      <c r="F971" s="365">
        <f t="shared" si="211"/>
        <v>98</v>
      </c>
      <c r="G971" s="365">
        <f t="shared" si="212"/>
        <v>1176</v>
      </c>
      <c r="H971" s="365">
        <f t="shared" si="213"/>
        <v>1568</v>
      </c>
      <c r="I971" s="427">
        <f t="shared" si="214"/>
        <v>2744</v>
      </c>
      <c r="J971" s="375" t="e">
        <f ca="1">SUMPRODUCT(--(WEEKDAY(ROW(INDIRECT(DATE($B$959,MonthFromText(A971),1)&amp;":"&amp;DATE($B$959,MonthFromText(A971),$J$10))),1)=1))</f>
        <v>#NAME?</v>
      </c>
      <c r="K971" s="441">
        <v>3</v>
      </c>
      <c r="L971" s="4">
        <f t="shared" si="215"/>
        <v>147</v>
      </c>
      <c r="M971" s="427">
        <f t="shared" si="216"/>
        <v>3528</v>
      </c>
      <c r="N971" s="365" t="e">
        <f t="shared" ca="1" si="217"/>
        <v>#NAME?</v>
      </c>
      <c r="O971" s="365" t="e">
        <f t="shared" ca="1" si="218"/>
        <v>#NAME?</v>
      </c>
      <c r="R971" s="307"/>
      <c r="S971" s="365"/>
    </row>
    <row r="972" spans="1:19" ht="15.75" customHeight="1" x14ac:dyDescent="0.3">
      <c r="A972" s="416" t="s">
        <v>17</v>
      </c>
      <c r="B972" s="375" t="e">
        <f ca="1">+$K$10-J972</f>
        <v>#NAME?</v>
      </c>
      <c r="C972" s="441">
        <v>3</v>
      </c>
      <c r="D972" s="441">
        <v>2</v>
      </c>
      <c r="E972" s="365">
        <f t="shared" si="210"/>
        <v>147</v>
      </c>
      <c r="F972" s="365">
        <f t="shared" si="211"/>
        <v>98</v>
      </c>
      <c r="G972" s="365">
        <f t="shared" si="212"/>
        <v>1176</v>
      </c>
      <c r="H972" s="365">
        <f t="shared" si="213"/>
        <v>1568</v>
      </c>
      <c r="I972" s="427">
        <f t="shared" si="214"/>
        <v>2744</v>
      </c>
      <c r="J972" s="375" t="e">
        <f ca="1">SUMPRODUCT(--(WEEKDAY(ROW(INDIRECT(DATE($B$959,MonthFromText(A972),1)&amp;":"&amp;DATE($B$959,MonthFromText(A972),$K$10))),1)=1))</f>
        <v>#NAME?</v>
      </c>
      <c r="K972" s="441">
        <v>3</v>
      </c>
      <c r="L972" s="4">
        <f t="shared" si="215"/>
        <v>147</v>
      </c>
      <c r="M972" s="427">
        <f t="shared" si="216"/>
        <v>3528</v>
      </c>
      <c r="N972" s="365" t="e">
        <f t="shared" ca="1" si="217"/>
        <v>#NAME?</v>
      </c>
      <c r="O972" s="365" t="e">
        <f t="shared" ca="1" si="218"/>
        <v>#NAME?</v>
      </c>
      <c r="R972" s="307"/>
      <c r="S972" s="365"/>
    </row>
    <row r="973" spans="1:19" ht="15.75" customHeight="1" x14ac:dyDescent="0.3">
      <c r="A973" s="416" t="s">
        <v>18</v>
      </c>
      <c r="B973" s="375" t="e">
        <f ca="1">+$L$10-J973</f>
        <v>#NAME?</v>
      </c>
      <c r="C973" s="441">
        <v>5</v>
      </c>
      <c r="D973" s="441">
        <v>3</v>
      </c>
      <c r="E973" s="365">
        <f t="shared" si="210"/>
        <v>245</v>
      </c>
      <c r="F973" s="365">
        <f t="shared" si="211"/>
        <v>147</v>
      </c>
      <c r="G973" s="365">
        <f t="shared" si="212"/>
        <v>1960</v>
      </c>
      <c r="H973" s="365">
        <f t="shared" si="213"/>
        <v>2352</v>
      </c>
      <c r="I973" s="427">
        <f t="shared" si="214"/>
        <v>4312</v>
      </c>
      <c r="J973" s="375" t="e">
        <f ca="1">SUMPRODUCT(--(WEEKDAY(ROW(INDIRECT(DATE($B$959,MonthFromText(A973),1)&amp;":"&amp;DATE($B$959,MonthFromText(A973),$L$10))),1)=1))</f>
        <v>#NAME?</v>
      </c>
      <c r="K973" s="441">
        <v>5</v>
      </c>
      <c r="L973" s="4">
        <f t="shared" si="215"/>
        <v>245</v>
      </c>
      <c r="M973" s="427">
        <f t="shared" si="216"/>
        <v>5880</v>
      </c>
      <c r="N973" s="365" t="e">
        <f t="shared" ca="1" si="217"/>
        <v>#NAME?</v>
      </c>
      <c r="O973" s="365" t="e">
        <f t="shared" ca="1" si="218"/>
        <v>#NAME?</v>
      </c>
      <c r="R973" s="307"/>
      <c r="S973" s="365"/>
    </row>
    <row r="974" spans="1:19" ht="15.75" customHeight="1" x14ac:dyDescent="0.3">
      <c r="A974" s="416" t="s">
        <v>20</v>
      </c>
      <c r="B974" s="375" t="e">
        <f ca="1">+$N$10-J974</f>
        <v>#NAME?</v>
      </c>
      <c r="C974" s="441">
        <v>5</v>
      </c>
      <c r="D974" s="441">
        <v>3</v>
      </c>
      <c r="E974" s="365">
        <f t="shared" si="210"/>
        <v>245</v>
      </c>
      <c r="F974" s="365">
        <f t="shared" si="211"/>
        <v>147</v>
      </c>
      <c r="G974" s="365">
        <f t="shared" si="212"/>
        <v>1960</v>
      </c>
      <c r="H974" s="365">
        <f t="shared" si="213"/>
        <v>2352</v>
      </c>
      <c r="I974" s="427">
        <f t="shared" si="214"/>
        <v>4312</v>
      </c>
      <c r="J974" s="375" t="e">
        <f ca="1">SUMPRODUCT(--(WEEKDAY(ROW(INDIRECT(DATE($B$959,MonthFromText(A974),1)&amp;":"&amp;DATE($B$959,MonthFromText(A974),$N$10))),1)=1))</f>
        <v>#NAME?</v>
      </c>
      <c r="K974" s="441">
        <v>5</v>
      </c>
      <c r="L974" s="4">
        <f t="shared" si="215"/>
        <v>245</v>
      </c>
      <c r="M974" s="427">
        <f t="shared" si="216"/>
        <v>5880</v>
      </c>
      <c r="N974" s="365" t="e">
        <f t="shared" ca="1" si="217"/>
        <v>#NAME?</v>
      </c>
      <c r="O974" s="365" t="e">
        <f t="shared" ca="1" si="218"/>
        <v>#NAME?</v>
      </c>
      <c r="R974" s="307"/>
      <c r="S974" s="365"/>
    </row>
    <row r="975" spans="1:19" ht="15.75" customHeight="1" x14ac:dyDescent="0.3">
      <c r="A975" s="416" t="s">
        <v>21</v>
      </c>
      <c r="B975" s="375" t="e">
        <f ca="1">+$O$10-J975</f>
        <v>#NAME?</v>
      </c>
      <c r="C975" s="441">
        <v>5</v>
      </c>
      <c r="D975" s="441">
        <v>3</v>
      </c>
      <c r="E975" s="365">
        <f t="shared" si="210"/>
        <v>245</v>
      </c>
      <c r="F975" s="365">
        <f t="shared" si="211"/>
        <v>147</v>
      </c>
      <c r="G975" s="365">
        <f t="shared" si="212"/>
        <v>1960</v>
      </c>
      <c r="H975" s="365">
        <f t="shared" si="213"/>
        <v>2352</v>
      </c>
      <c r="I975" s="427">
        <f t="shared" si="214"/>
        <v>4312</v>
      </c>
      <c r="J975" s="375" t="e">
        <f ca="1">SUMPRODUCT(--(WEEKDAY(ROW(INDIRECT(DATE($B$959,MonthFromText(A975),1)&amp;":"&amp;DATE($B$959,MonthFromText(A975),$O$10))),1)=1))</f>
        <v>#NAME?</v>
      </c>
      <c r="K975" s="441">
        <v>6</v>
      </c>
      <c r="L975" s="4">
        <f t="shared" si="215"/>
        <v>294</v>
      </c>
      <c r="M975" s="427">
        <f t="shared" si="216"/>
        <v>7056</v>
      </c>
      <c r="N975" s="365" t="e">
        <f t="shared" ca="1" si="217"/>
        <v>#NAME?</v>
      </c>
      <c r="O975" s="365" t="e">
        <f t="shared" ca="1" si="218"/>
        <v>#NAME?</v>
      </c>
      <c r="R975" s="307"/>
      <c r="S975" s="365"/>
    </row>
    <row r="976" spans="1:19" ht="15.75" customHeight="1" thickBot="1" x14ac:dyDescent="0.35">
      <c r="A976" s="416" t="s">
        <v>22</v>
      </c>
      <c r="B976" s="382" t="e">
        <f ca="1">+$P$10-J976</f>
        <v>#NAME?</v>
      </c>
      <c r="C976" s="442">
        <v>6</v>
      </c>
      <c r="D976" s="442">
        <v>2</v>
      </c>
      <c r="E976" s="369">
        <f t="shared" si="210"/>
        <v>294</v>
      </c>
      <c r="F976" s="369">
        <f t="shared" si="211"/>
        <v>98</v>
      </c>
      <c r="G976" s="369">
        <f t="shared" si="212"/>
        <v>2352</v>
      </c>
      <c r="H976" s="369">
        <f t="shared" si="213"/>
        <v>1568</v>
      </c>
      <c r="I976" s="429">
        <f t="shared" si="214"/>
        <v>3920</v>
      </c>
      <c r="J976" s="382" t="e">
        <f ca="1">SUMPRODUCT(--(WEEKDAY(ROW(INDIRECT(DATE($B$959,MonthFromText(A976),1)&amp;":"&amp;DATE($B$959,MonthFromText(A976),$P$10))),1)=1))</f>
        <v>#NAME?</v>
      </c>
      <c r="K976" s="442">
        <v>6</v>
      </c>
      <c r="L976" s="312">
        <f t="shared" si="215"/>
        <v>294</v>
      </c>
      <c r="M976" s="429">
        <f t="shared" si="216"/>
        <v>7056</v>
      </c>
      <c r="N976" s="443" t="e">
        <f t="shared" ca="1" si="217"/>
        <v>#NAME?</v>
      </c>
      <c r="O976" s="459" t="e">
        <f t="shared" ca="1" si="218"/>
        <v>#NAME?</v>
      </c>
      <c r="R976" s="307"/>
      <c r="S976" s="365"/>
    </row>
    <row r="977" spans="1:18" ht="15.75" customHeight="1" thickBot="1" x14ac:dyDescent="0.35">
      <c r="A977" s="311"/>
      <c r="B977" s="312"/>
      <c r="C977" s="312"/>
      <c r="D977" s="312"/>
      <c r="E977" s="312"/>
      <c r="F977" s="312"/>
      <c r="G977" s="312"/>
      <c r="H977" s="312"/>
      <c r="I977" s="312"/>
      <c r="J977" s="312"/>
      <c r="K977" s="312"/>
      <c r="L977" s="312"/>
      <c r="M977" s="312"/>
      <c r="N977" s="369" t="e">
        <f ca="1">+SUM(N965:N976)</f>
        <v>#NAME?</v>
      </c>
      <c r="O977" s="369" t="e">
        <f ca="1">+N977-B871</f>
        <v>#NAME?</v>
      </c>
      <c r="P977" s="312"/>
      <c r="Q977" s="312"/>
      <c r="R977" s="313"/>
    </row>
    <row r="978" spans="1:18" ht="15.75" customHeight="1" x14ac:dyDescent="0.3">
      <c r="A978" s="418" t="s">
        <v>1110</v>
      </c>
      <c r="J978" s="365"/>
    </row>
    <row r="979" spans="1:18" ht="15.75" customHeight="1" x14ac:dyDescent="0.3">
      <c r="A979" s="418" t="s">
        <v>1111</v>
      </c>
    </row>
    <row r="980" spans="1:18" ht="15.75" customHeight="1" x14ac:dyDescent="0.3">
      <c r="A980" s="418" t="s">
        <v>1112</v>
      </c>
    </row>
    <row r="981" spans="1:18" ht="15.75" customHeight="1" x14ac:dyDescent="0.3"/>
    <row r="982" spans="1:18" ht="15.75" customHeight="1" x14ac:dyDescent="0.3"/>
    <row r="983" spans="1:18" ht="15.75" customHeight="1" x14ac:dyDescent="0.3"/>
    <row r="984" spans="1:18" ht="15.75" customHeight="1" x14ac:dyDescent="0.3"/>
    <row r="985" spans="1:18" ht="16.5" customHeight="1" x14ac:dyDescent="0.3"/>
    <row r="986" spans="1:18" ht="15.75" customHeight="1" x14ac:dyDescent="0.3"/>
    <row r="987" spans="1:18" ht="16.5" customHeight="1" x14ac:dyDescent="0.3"/>
    <row r="988" spans="1:18" ht="15.75" customHeight="1" x14ac:dyDescent="0.3"/>
    <row r="989" spans="1:18" ht="15.75" customHeight="1" x14ac:dyDescent="0.3"/>
    <row r="990" spans="1:18" ht="15.75" customHeight="1" x14ac:dyDescent="0.3"/>
    <row r="991" spans="1:18" ht="15.75" customHeight="1" x14ac:dyDescent="0.3"/>
    <row r="992" spans="1:18" ht="15.75" customHeight="1" x14ac:dyDescent="0.3">
      <c r="I992" s="365"/>
      <c r="J992" s="365"/>
    </row>
    <row r="993" spans="1:19" ht="15.75" customHeight="1" x14ac:dyDescent="0.3"/>
    <row r="994" spans="1:19" ht="15.75" customHeight="1" x14ac:dyDescent="0.3"/>
    <row r="995" spans="1:19" ht="15.75" customHeight="1" x14ac:dyDescent="0.3"/>
    <row r="996" spans="1:19" ht="15.75" customHeight="1" x14ac:dyDescent="0.3"/>
    <row r="997" spans="1:19" ht="15.75" customHeight="1" x14ac:dyDescent="0.3"/>
    <row r="998" spans="1:19" ht="15.75" customHeight="1" x14ac:dyDescent="0.3"/>
    <row r="999" spans="1:19" ht="15.75" customHeight="1" thickBot="1" x14ac:dyDescent="0.35"/>
    <row r="1000" spans="1:19" ht="15.75" customHeight="1" x14ac:dyDescent="0.35">
      <c r="A1000" s="318"/>
      <c r="B1000" s="319"/>
      <c r="C1000" s="336"/>
      <c r="D1000" s="336"/>
      <c r="E1000" s="336"/>
      <c r="F1000" s="336"/>
      <c r="G1000" s="336"/>
      <c r="H1000" s="321" t="s">
        <v>506</v>
      </c>
      <c r="I1000" s="319"/>
      <c r="J1000" s="319"/>
      <c r="K1000" s="319"/>
      <c r="L1000" s="319"/>
      <c r="M1000" s="319"/>
      <c r="N1000" s="319"/>
      <c r="O1000" s="319"/>
      <c r="P1000" s="319"/>
      <c r="Q1000" s="321" t="str">
        <f>+Q1</f>
        <v>PRINTED:</v>
      </c>
      <c r="R1000" s="331">
        <f ca="1">+R1</f>
        <v>44909.46975358796</v>
      </c>
      <c r="S1000" s="332"/>
    </row>
    <row r="1001" spans="1:19" ht="15.75" customHeight="1" x14ac:dyDescent="0.35">
      <c r="A1001" s="323"/>
      <c r="B1001" s="159"/>
      <c r="C1001" s="167"/>
      <c r="D1001" s="167"/>
      <c r="E1001" s="167"/>
      <c r="F1001" s="167"/>
      <c r="G1001" s="167"/>
      <c r="H1001" s="159" t="s">
        <v>424</v>
      </c>
      <c r="I1001" s="159" t="s">
        <v>7</v>
      </c>
      <c r="J1001" s="163" t="str">
        <f>+A8</f>
        <v>Revised:  11/25/13</v>
      </c>
      <c r="K1001" s="159"/>
      <c r="L1001" s="159"/>
      <c r="M1001" s="159"/>
      <c r="N1001" s="159"/>
      <c r="O1001" s="159"/>
      <c r="P1001" s="159"/>
      <c r="Q1001" s="159"/>
      <c r="R1001" s="159"/>
      <c r="S1001" s="307"/>
    </row>
    <row r="1002" spans="1:19" ht="15.75" customHeight="1" x14ac:dyDescent="0.35">
      <c r="A1002" s="323"/>
      <c r="B1002" s="159"/>
      <c r="C1002" s="167"/>
      <c r="D1002" s="167"/>
      <c r="E1002" s="167"/>
      <c r="F1002" s="167"/>
      <c r="G1002" s="167"/>
      <c r="H1002" s="159" t="s">
        <v>387</v>
      </c>
      <c r="I1002" s="159"/>
      <c r="J1002" s="159"/>
      <c r="K1002" s="159"/>
      <c r="L1002" s="159"/>
      <c r="M1002" s="159"/>
      <c r="N1002" s="159"/>
      <c r="O1002" s="159"/>
      <c r="P1002" s="159"/>
      <c r="Q1002" s="159"/>
      <c r="R1002" s="159"/>
      <c r="S1002" s="307"/>
    </row>
    <row r="1003" spans="1:19" ht="15.75" customHeight="1" x14ac:dyDescent="0.35">
      <c r="A1003" s="323"/>
      <c r="B1003" s="159"/>
      <c r="C1003" s="167"/>
      <c r="D1003" s="167"/>
      <c r="E1003" s="167"/>
      <c r="F1003" s="167"/>
      <c r="G1003" s="167"/>
      <c r="H1003" s="159"/>
      <c r="I1003" s="159"/>
      <c r="J1003" s="159"/>
      <c r="K1003" s="159"/>
      <c r="L1003" s="159"/>
      <c r="M1003" s="159"/>
      <c r="N1003" s="159"/>
      <c r="O1003" s="159"/>
      <c r="P1003" s="159"/>
      <c r="Q1003" s="159"/>
      <c r="R1003" s="159"/>
      <c r="S1003" s="307"/>
    </row>
    <row r="1004" spans="1:19" ht="15.75" customHeight="1" x14ac:dyDescent="0.35">
      <c r="A1004" s="323"/>
      <c r="B1004" s="159"/>
      <c r="C1004" s="167"/>
      <c r="D1004" s="167"/>
      <c r="E1004" s="167"/>
      <c r="F1004" s="167"/>
      <c r="G1004" s="167"/>
      <c r="H1004" s="159" t="s">
        <v>424</v>
      </c>
      <c r="I1004" s="159">
        <f>+A5</f>
        <v>2013</v>
      </c>
      <c r="J1004" s="159"/>
      <c r="K1004" s="159"/>
      <c r="L1004" s="159"/>
      <c r="M1004" s="159"/>
      <c r="N1004" s="159"/>
      <c r="O1004" s="159"/>
      <c r="P1004" s="159"/>
      <c r="Q1004" s="159"/>
      <c r="R1004" s="159"/>
      <c r="S1004" s="307"/>
    </row>
    <row r="1005" spans="1:19" ht="15.75" customHeight="1" x14ac:dyDescent="0.3">
      <c r="A1005" s="323"/>
      <c r="B1005" s="159"/>
      <c r="C1005" s="159"/>
      <c r="D1005" s="159"/>
      <c r="E1005" s="159"/>
      <c r="F1005" s="159"/>
      <c r="G1005" s="159"/>
      <c r="H1005" s="159"/>
      <c r="I1005" s="159"/>
      <c r="J1005" s="159"/>
      <c r="K1005" s="159"/>
      <c r="L1005" s="159"/>
      <c r="M1005" s="159"/>
      <c r="N1005" s="159"/>
      <c r="O1005" s="159"/>
      <c r="P1005" s="159"/>
      <c r="Q1005" s="159"/>
      <c r="R1005" s="159"/>
      <c r="S1005" s="307"/>
    </row>
    <row r="1006" spans="1:19" ht="15.75" customHeight="1" x14ac:dyDescent="0.3">
      <c r="A1006" s="323"/>
      <c r="B1006" s="159"/>
      <c r="C1006" s="161" t="s">
        <v>507</v>
      </c>
      <c r="D1006" s="159"/>
      <c r="E1006" s="159"/>
      <c r="F1006" s="159"/>
      <c r="G1006" s="161" t="s">
        <v>508</v>
      </c>
      <c r="H1006" s="159"/>
      <c r="I1006" s="159"/>
      <c r="J1006" s="159"/>
      <c r="K1006" s="160" t="s">
        <v>509</v>
      </c>
      <c r="L1006" s="159"/>
      <c r="M1006" s="159"/>
      <c r="N1006" s="159"/>
      <c r="O1006" s="160" t="s">
        <v>510</v>
      </c>
      <c r="P1006" s="159"/>
      <c r="Q1006" s="159"/>
      <c r="R1006" s="159"/>
      <c r="S1006" s="307"/>
    </row>
    <row r="1007" spans="1:19" ht="15.75" customHeight="1" x14ac:dyDescent="0.3">
      <c r="A1007" s="323"/>
      <c r="B1007" s="159"/>
      <c r="C1007" s="159">
        <f>+A5</f>
        <v>2013</v>
      </c>
      <c r="D1007" s="159"/>
      <c r="E1007" s="159"/>
      <c r="F1007" s="159" t="s">
        <v>511</v>
      </c>
      <c r="G1007" s="159"/>
      <c r="H1007" s="159"/>
      <c r="I1007" s="159"/>
      <c r="J1007" s="159"/>
      <c r="K1007" s="159">
        <f>+A5</f>
        <v>2013</v>
      </c>
      <c r="L1007" s="159"/>
      <c r="M1007" s="159"/>
      <c r="N1007" s="159"/>
      <c r="O1007" s="159">
        <f>+A5</f>
        <v>2013</v>
      </c>
      <c r="P1007" s="159"/>
      <c r="Q1007" s="159"/>
      <c r="R1007" s="159"/>
      <c r="S1007" s="307"/>
    </row>
    <row r="1008" spans="1:19" ht="15.75" customHeight="1" x14ac:dyDescent="0.3">
      <c r="A1008" s="323"/>
      <c r="B1008" s="159"/>
      <c r="C1008" s="159"/>
      <c r="D1008" s="159"/>
      <c r="E1008" s="159"/>
      <c r="F1008" s="159"/>
      <c r="G1008" s="159">
        <f>+A5</f>
        <v>2013</v>
      </c>
      <c r="H1008" s="159"/>
      <c r="I1008" s="159"/>
      <c r="J1008" s="159"/>
      <c r="K1008" s="159"/>
      <c r="L1008" s="159"/>
      <c r="M1008" s="159"/>
      <c r="N1008" s="159"/>
      <c r="O1008" s="159"/>
      <c r="P1008" s="159"/>
      <c r="Q1008" s="159"/>
      <c r="R1008" s="159"/>
      <c r="S1008" s="307"/>
    </row>
    <row r="1009" spans="1:19" ht="15.75" customHeight="1" x14ac:dyDescent="0.3">
      <c r="A1009" s="323"/>
      <c r="B1009" s="159"/>
      <c r="C1009" s="164" t="s">
        <v>475</v>
      </c>
      <c r="D1009" s="164" t="s">
        <v>512</v>
      </c>
      <c r="E1009" s="164" t="s">
        <v>513</v>
      </c>
      <c r="F1009" s="159"/>
      <c r="G1009" s="164" t="s">
        <v>473</v>
      </c>
      <c r="H1009" s="164" t="s">
        <v>512</v>
      </c>
      <c r="I1009" s="164" t="s">
        <v>514</v>
      </c>
      <c r="J1009" s="159"/>
      <c r="K1009" s="164" t="s">
        <v>472</v>
      </c>
      <c r="L1009" s="164" t="s">
        <v>512</v>
      </c>
      <c r="M1009" s="164" t="s">
        <v>515</v>
      </c>
      <c r="N1009" s="159"/>
      <c r="O1009" s="164" t="s">
        <v>472</v>
      </c>
      <c r="P1009" s="164" t="s">
        <v>512</v>
      </c>
      <c r="Q1009" s="164" t="s">
        <v>515</v>
      </c>
      <c r="R1009" s="159"/>
      <c r="S1009" s="307"/>
    </row>
    <row r="1010" spans="1:19" ht="15.75" customHeight="1" x14ac:dyDescent="0.3">
      <c r="A1010" s="323"/>
      <c r="B1010" s="159"/>
      <c r="C1010" s="164" t="s">
        <v>483</v>
      </c>
      <c r="D1010" s="164" t="s">
        <v>442</v>
      </c>
      <c r="E1010" s="164" t="s">
        <v>462</v>
      </c>
      <c r="F1010" s="159"/>
      <c r="G1010" s="164" t="s">
        <v>481</v>
      </c>
      <c r="H1010" s="164" t="s">
        <v>442</v>
      </c>
      <c r="I1010" s="164" t="s">
        <v>462</v>
      </c>
      <c r="J1010" s="159"/>
      <c r="K1010" s="164" t="s">
        <v>480</v>
      </c>
      <c r="L1010" s="164" t="s">
        <v>442</v>
      </c>
      <c r="M1010" s="164" t="s">
        <v>462</v>
      </c>
      <c r="N1010" s="159"/>
      <c r="O1010" s="164" t="s">
        <v>480</v>
      </c>
      <c r="P1010" s="164" t="s">
        <v>442</v>
      </c>
      <c r="Q1010" s="164" t="s">
        <v>462</v>
      </c>
      <c r="R1010" s="159"/>
      <c r="S1010" s="307"/>
    </row>
    <row r="1011" spans="1:19" ht="15.75" customHeight="1" x14ac:dyDescent="0.3">
      <c r="A1011" s="323"/>
      <c r="B1011" s="159"/>
      <c r="C1011" s="164" t="s">
        <v>442</v>
      </c>
      <c r="D1011" s="164" t="s">
        <v>439</v>
      </c>
      <c r="E1011" s="164" t="s">
        <v>463</v>
      </c>
      <c r="F1011" s="159"/>
      <c r="G1011" s="164" t="s">
        <v>486</v>
      </c>
      <c r="H1011" s="164" t="s">
        <v>439</v>
      </c>
      <c r="I1011" s="164" t="s">
        <v>463</v>
      </c>
      <c r="J1011" s="159"/>
      <c r="K1011" s="164" t="s">
        <v>442</v>
      </c>
      <c r="L1011" s="164" t="s">
        <v>439</v>
      </c>
      <c r="M1011" s="164" t="s">
        <v>463</v>
      </c>
      <c r="N1011" s="159"/>
      <c r="O1011" s="164" t="s">
        <v>442</v>
      </c>
      <c r="P1011" s="164" t="s">
        <v>439</v>
      </c>
      <c r="Q1011" s="164" t="s">
        <v>463</v>
      </c>
      <c r="R1011" s="159"/>
      <c r="S1011" s="307"/>
    </row>
    <row r="1012" spans="1:19" ht="15.75" customHeight="1" x14ac:dyDescent="0.3">
      <c r="A1012" s="323"/>
      <c r="B1012" s="159"/>
      <c r="C1012" s="164" t="s">
        <v>448</v>
      </c>
      <c r="D1012" s="164" t="s">
        <v>516</v>
      </c>
      <c r="E1012" s="164" t="s">
        <v>464</v>
      </c>
      <c r="F1012" s="159"/>
      <c r="G1012" s="164" t="s">
        <v>448</v>
      </c>
      <c r="H1012" s="164" t="s">
        <v>516</v>
      </c>
      <c r="I1012" s="164" t="s">
        <v>464</v>
      </c>
      <c r="J1012" s="159"/>
      <c r="K1012" s="164" t="s">
        <v>448</v>
      </c>
      <c r="L1012" s="164" t="s">
        <v>516</v>
      </c>
      <c r="M1012" s="164" t="s">
        <v>464</v>
      </c>
      <c r="N1012" s="159"/>
      <c r="O1012" s="164" t="s">
        <v>448</v>
      </c>
      <c r="P1012" s="164" t="s">
        <v>516</v>
      </c>
      <c r="Q1012" s="164" t="s">
        <v>464</v>
      </c>
      <c r="R1012" s="159"/>
      <c r="S1012" s="307"/>
    </row>
    <row r="1013" spans="1:19" ht="15.75" customHeight="1" x14ac:dyDescent="0.3">
      <c r="A1013" s="323"/>
      <c r="B1013" s="159"/>
      <c r="C1013" s="159" t="s">
        <v>409</v>
      </c>
      <c r="D1013" s="159" t="s">
        <v>409</v>
      </c>
      <c r="E1013" s="159" t="s">
        <v>409</v>
      </c>
      <c r="F1013" s="159"/>
      <c r="G1013" s="164" t="s">
        <v>409</v>
      </c>
      <c r="H1013" s="164" t="s">
        <v>409</v>
      </c>
      <c r="I1013" s="164" t="s">
        <v>409</v>
      </c>
      <c r="J1013" s="159"/>
      <c r="K1013" s="159" t="s">
        <v>409</v>
      </c>
      <c r="L1013" s="159" t="s">
        <v>409</v>
      </c>
      <c r="M1013" s="159" t="s">
        <v>409</v>
      </c>
      <c r="N1013" s="159"/>
      <c r="O1013" s="159" t="s">
        <v>409</v>
      </c>
      <c r="P1013" s="159" t="s">
        <v>409</v>
      </c>
      <c r="Q1013" s="159" t="s">
        <v>409</v>
      </c>
      <c r="R1013" s="159"/>
      <c r="S1013" s="307"/>
    </row>
    <row r="1014" spans="1:19" ht="15.75" customHeight="1" x14ac:dyDescent="0.3">
      <c r="A1014" s="325" t="s">
        <v>410</v>
      </c>
      <c r="B1014" s="159"/>
      <c r="C1014" s="159">
        <f t="shared" ref="C1014:C1025" si="219">(P886)</f>
        <v>-33935</v>
      </c>
      <c r="D1014" s="172">
        <v>0</v>
      </c>
      <c r="E1014" s="168">
        <f t="shared" ref="E1014:E1025" si="220">(P886*D1014/1000)</f>
        <v>0</v>
      </c>
      <c r="F1014" s="159"/>
      <c r="G1014" s="159">
        <v>0</v>
      </c>
      <c r="H1014" s="172">
        <v>0</v>
      </c>
      <c r="I1014" s="168">
        <f t="shared" ref="I1014:I1025" si="221">(G1014*H1014/1000)</f>
        <v>0</v>
      </c>
      <c r="J1014" s="159"/>
      <c r="K1014" s="447">
        <v>10653</v>
      </c>
      <c r="L1014" s="448">
        <v>0</v>
      </c>
      <c r="M1014" s="168">
        <f t="shared" ref="M1014:M1025" si="222">(K1014*L1014/1000)</f>
        <v>0</v>
      </c>
      <c r="N1014" s="159"/>
      <c r="O1014" s="447">
        <v>0</v>
      </c>
      <c r="P1014" s="172">
        <v>0</v>
      </c>
      <c r="Q1014" s="168">
        <f t="shared" ref="Q1014:Q1025" si="223">(O1014*P1014/1000)</f>
        <v>0</v>
      </c>
      <c r="R1014" s="159"/>
      <c r="S1014" s="307"/>
    </row>
    <row r="1015" spans="1:19" ht="15.75" customHeight="1" x14ac:dyDescent="0.3">
      <c r="A1015" s="325" t="s">
        <v>411</v>
      </c>
      <c r="B1015" s="159"/>
      <c r="C1015" s="159">
        <f t="shared" si="219"/>
        <v>7802</v>
      </c>
      <c r="D1015" s="172">
        <v>0</v>
      </c>
      <c r="E1015" s="168">
        <f t="shared" si="220"/>
        <v>0</v>
      </c>
      <c r="F1015" s="159"/>
      <c r="G1015" s="159" t="e">
        <f>#REF!</f>
        <v>#REF!</v>
      </c>
      <c r="H1015" s="172">
        <v>0</v>
      </c>
      <c r="I1015" s="168" t="e">
        <f t="shared" si="221"/>
        <v>#REF!</v>
      </c>
      <c r="J1015" s="159"/>
      <c r="K1015" s="447">
        <v>11930</v>
      </c>
      <c r="L1015" s="448">
        <v>0</v>
      </c>
      <c r="M1015" s="168">
        <f t="shared" si="222"/>
        <v>0</v>
      </c>
      <c r="N1015" s="159"/>
      <c r="O1015" s="447">
        <v>0</v>
      </c>
      <c r="P1015" s="172">
        <v>0</v>
      </c>
      <c r="Q1015" s="168">
        <f t="shared" si="223"/>
        <v>0</v>
      </c>
      <c r="R1015" s="159"/>
      <c r="S1015" s="307"/>
    </row>
    <row r="1016" spans="1:19" ht="15.75" customHeight="1" x14ac:dyDescent="0.3">
      <c r="A1016" s="325" t="s">
        <v>412</v>
      </c>
      <c r="B1016" s="159"/>
      <c r="C1016" s="159">
        <f t="shared" si="219"/>
        <v>-10071</v>
      </c>
      <c r="D1016" s="172">
        <v>0</v>
      </c>
      <c r="E1016" s="168">
        <f t="shared" si="220"/>
        <v>0</v>
      </c>
      <c r="F1016" s="159">
        <f>SUM(E1014:E1016)</f>
        <v>0</v>
      </c>
      <c r="G1016" s="159" t="e">
        <f>#REF!</f>
        <v>#REF!</v>
      </c>
      <c r="H1016" s="172">
        <v>0</v>
      </c>
      <c r="I1016" s="168" t="e">
        <f t="shared" si="221"/>
        <v>#REF!</v>
      </c>
      <c r="J1016" s="159" t="e">
        <f>SUM(I1014:I1016)</f>
        <v>#REF!</v>
      </c>
      <c r="K1016" s="447">
        <v>17147</v>
      </c>
      <c r="L1016" s="448">
        <v>0</v>
      </c>
      <c r="M1016" s="168">
        <f t="shared" si="222"/>
        <v>0</v>
      </c>
      <c r="N1016" s="159">
        <f>SUM(M1014:M1016)</f>
        <v>0</v>
      </c>
      <c r="O1016" s="447">
        <v>0</v>
      </c>
      <c r="P1016" s="172">
        <v>0</v>
      </c>
      <c r="Q1016" s="168">
        <f t="shared" si="223"/>
        <v>0</v>
      </c>
      <c r="R1016" s="159">
        <f>SUM(Q1014:Q1016)</f>
        <v>0</v>
      </c>
      <c r="S1016" s="307"/>
    </row>
    <row r="1017" spans="1:19" ht="15.75" customHeight="1" x14ac:dyDescent="0.3">
      <c r="A1017" s="325" t="s">
        <v>413</v>
      </c>
      <c r="B1017" s="159"/>
      <c r="C1017" s="159">
        <f t="shared" si="219"/>
        <v>-43926</v>
      </c>
      <c r="D1017" s="172">
        <v>0</v>
      </c>
      <c r="E1017" s="168">
        <f t="shared" si="220"/>
        <v>0</v>
      </c>
      <c r="F1017" s="159"/>
      <c r="G1017" s="159" t="e">
        <f>#REF!</f>
        <v>#REF!</v>
      </c>
      <c r="H1017" s="172">
        <v>0</v>
      </c>
      <c r="I1017" s="168" t="e">
        <f t="shared" si="221"/>
        <v>#REF!</v>
      </c>
      <c r="J1017" s="159"/>
      <c r="K1017" s="447">
        <v>19834</v>
      </c>
      <c r="L1017" s="448">
        <v>0</v>
      </c>
      <c r="M1017" s="168">
        <f t="shared" si="222"/>
        <v>0</v>
      </c>
      <c r="N1017" s="159"/>
      <c r="O1017" s="447">
        <v>0</v>
      </c>
      <c r="P1017" s="172">
        <v>0</v>
      </c>
      <c r="Q1017" s="168">
        <f t="shared" si="223"/>
        <v>0</v>
      </c>
      <c r="R1017" s="159"/>
      <c r="S1017" s="307"/>
    </row>
    <row r="1018" spans="1:19" ht="15.75" customHeight="1" x14ac:dyDescent="0.3">
      <c r="A1018" s="325" t="s">
        <v>414</v>
      </c>
      <c r="B1018" s="159"/>
      <c r="C1018" s="159">
        <f t="shared" si="219"/>
        <v>-11898</v>
      </c>
      <c r="D1018" s="172">
        <v>0</v>
      </c>
      <c r="E1018" s="168">
        <f t="shared" si="220"/>
        <v>0</v>
      </c>
      <c r="F1018" s="159"/>
      <c r="G1018" s="159" t="e">
        <f>#REF!</f>
        <v>#REF!</v>
      </c>
      <c r="H1018" s="172">
        <v>0</v>
      </c>
      <c r="I1018" s="168" t="e">
        <f t="shared" si="221"/>
        <v>#REF!</v>
      </c>
      <c r="J1018" s="159"/>
      <c r="K1018" s="447">
        <v>16704</v>
      </c>
      <c r="L1018" s="448">
        <v>0</v>
      </c>
      <c r="M1018" s="168">
        <f t="shared" si="222"/>
        <v>0</v>
      </c>
      <c r="N1018" s="159"/>
      <c r="O1018" s="447">
        <v>0</v>
      </c>
      <c r="P1018" s="172">
        <v>0</v>
      </c>
      <c r="Q1018" s="168">
        <f t="shared" si="223"/>
        <v>0</v>
      </c>
      <c r="R1018" s="159"/>
      <c r="S1018" s="307"/>
    </row>
    <row r="1019" spans="1:19" ht="15.75" customHeight="1" x14ac:dyDescent="0.3">
      <c r="A1019" s="325" t="s">
        <v>415</v>
      </c>
      <c r="B1019" s="159"/>
      <c r="C1019" s="159">
        <f t="shared" si="219"/>
        <v>-19070</v>
      </c>
      <c r="D1019" s="172">
        <v>0</v>
      </c>
      <c r="E1019" s="168">
        <f t="shared" si="220"/>
        <v>0</v>
      </c>
      <c r="F1019" s="159">
        <f>SUM(E1017:E1019)</f>
        <v>0</v>
      </c>
      <c r="G1019" s="159" t="e">
        <f>#REF!</f>
        <v>#REF!</v>
      </c>
      <c r="H1019" s="172">
        <v>0</v>
      </c>
      <c r="I1019" s="168" t="e">
        <f t="shared" si="221"/>
        <v>#REF!</v>
      </c>
      <c r="J1019" s="159" t="e">
        <f>SUM(I1017:I1019)</f>
        <v>#REF!</v>
      </c>
      <c r="K1019" s="447">
        <v>15526</v>
      </c>
      <c r="L1019" s="448">
        <v>0</v>
      </c>
      <c r="M1019" s="168">
        <f t="shared" si="222"/>
        <v>0</v>
      </c>
      <c r="N1019" s="159">
        <f>SUM(M1017:M1019)</f>
        <v>0</v>
      </c>
      <c r="O1019" s="447">
        <v>0</v>
      </c>
      <c r="P1019" s="172">
        <v>0</v>
      </c>
      <c r="Q1019" s="168">
        <f t="shared" si="223"/>
        <v>0</v>
      </c>
      <c r="R1019" s="159">
        <f>SUM(Q1017:Q1019)</f>
        <v>0</v>
      </c>
      <c r="S1019" s="307"/>
    </row>
    <row r="1020" spans="1:19" ht="15.75" customHeight="1" x14ac:dyDescent="0.3">
      <c r="A1020" s="325" t="s">
        <v>416</v>
      </c>
      <c r="B1020" s="159"/>
      <c r="C1020" s="159">
        <f t="shared" si="219"/>
        <v>-8607</v>
      </c>
      <c r="D1020" s="172">
        <v>0</v>
      </c>
      <c r="E1020" s="168">
        <f t="shared" si="220"/>
        <v>0</v>
      </c>
      <c r="F1020" s="159"/>
      <c r="G1020" s="159" t="e">
        <f>#REF!</f>
        <v>#REF!</v>
      </c>
      <c r="H1020" s="172">
        <v>0</v>
      </c>
      <c r="I1020" s="168" t="e">
        <f t="shared" si="221"/>
        <v>#REF!</v>
      </c>
      <c r="J1020" s="159"/>
      <c r="K1020" s="447">
        <v>13264</v>
      </c>
      <c r="L1020" s="448">
        <v>0</v>
      </c>
      <c r="M1020" s="168">
        <f t="shared" si="222"/>
        <v>0</v>
      </c>
      <c r="N1020" s="159"/>
      <c r="O1020" s="447">
        <v>0</v>
      </c>
      <c r="P1020" s="172">
        <v>0</v>
      </c>
      <c r="Q1020" s="168">
        <f t="shared" si="223"/>
        <v>0</v>
      </c>
      <c r="R1020" s="159"/>
      <c r="S1020" s="307"/>
    </row>
    <row r="1021" spans="1:19" ht="15.75" customHeight="1" x14ac:dyDescent="0.3">
      <c r="A1021" s="325" t="s">
        <v>417</v>
      </c>
      <c r="B1021" s="159"/>
      <c r="C1021" s="159">
        <f t="shared" si="219"/>
        <v>11607</v>
      </c>
      <c r="D1021" s="172">
        <v>0</v>
      </c>
      <c r="E1021" s="168">
        <f t="shared" si="220"/>
        <v>0</v>
      </c>
      <c r="F1021" s="159"/>
      <c r="G1021" s="159" t="e">
        <f>#REF!</f>
        <v>#REF!</v>
      </c>
      <c r="H1021" s="172">
        <v>0</v>
      </c>
      <c r="I1021" s="168" t="e">
        <f t="shared" si="221"/>
        <v>#REF!</v>
      </c>
      <c r="J1021" s="159"/>
      <c r="K1021" s="447">
        <v>11537</v>
      </c>
      <c r="L1021" s="448">
        <v>0</v>
      </c>
      <c r="M1021" s="168">
        <f t="shared" si="222"/>
        <v>0</v>
      </c>
      <c r="N1021" s="159"/>
      <c r="O1021" s="447">
        <v>0</v>
      </c>
      <c r="P1021" s="172">
        <v>0</v>
      </c>
      <c r="Q1021" s="168">
        <f t="shared" si="223"/>
        <v>0</v>
      </c>
      <c r="R1021" s="159"/>
      <c r="S1021" s="307"/>
    </row>
    <row r="1022" spans="1:19" ht="15.75" customHeight="1" x14ac:dyDescent="0.3">
      <c r="A1022" s="325" t="s">
        <v>418</v>
      </c>
      <c r="B1022" s="159"/>
      <c r="C1022" s="159">
        <f t="shared" si="219"/>
        <v>36956</v>
      </c>
      <c r="D1022" s="172">
        <v>0</v>
      </c>
      <c r="E1022" s="168">
        <f t="shared" si="220"/>
        <v>0</v>
      </c>
      <c r="F1022" s="159">
        <f>SUM(E1020:E1022)</f>
        <v>0</v>
      </c>
      <c r="G1022" s="159" t="e">
        <f>#REF!</f>
        <v>#REF!</v>
      </c>
      <c r="H1022" s="172">
        <v>0</v>
      </c>
      <c r="I1022" s="168" t="e">
        <f t="shared" si="221"/>
        <v>#REF!</v>
      </c>
      <c r="J1022" s="159" t="e">
        <f>SUM(I1020:I1022)</f>
        <v>#REF!</v>
      </c>
      <c r="K1022" s="447">
        <v>7751</v>
      </c>
      <c r="L1022" s="448">
        <v>0</v>
      </c>
      <c r="M1022" s="168">
        <f t="shared" si="222"/>
        <v>0</v>
      </c>
      <c r="N1022" s="159">
        <f>SUM(M1020:M1022)</f>
        <v>0</v>
      </c>
      <c r="O1022" s="447">
        <v>0</v>
      </c>
      <c r="P1022" s="172">
        <v>0</v>
      </c>
      <c r="Q1022" s="168">
        <f t="shared" si="223"/>
        <v>0</v>
      </c>
      <c r="R1022" s="159">
        <f>SUM(Q1020:Q1022)</f>
        <v>0</v>
      </c>
      <c r="S1022" s="307"/>
    </row>
    <row r="1023" spans="1:19" ht="15.75" customHeight="1" x14ac:dyDescent="0.3">
      <c r="A1023" s="325" t="s">
        <v>419</v>
      </c>
      <c r="B1023" s="159"/>
      <c r="C1023" s="159">
        <f t="shared" si="219"/>
        <v>35195</v>
      </c>
      <c r="D1023" s="172">
        <v>0</v>
      </c>
      <c r="E1023" s="168">
        <f t="shared" si="220"/>
        <v>0</v>
      </c>
      <c r="F1023" s="159"/>
      <c r="G1023" s="159" t="e">
        <f>#REF!</f>
        <v>#REF!</v>
      </c>
      <c r="H1023" s="172">
        <v>0</v>
      </c>
      <c r="I1023" s="168" t="e">
        <f t="shared" si="221"/>
        <v>#REF!</v>
      </c>
      <c r="J1023" s="159"/>
      <c r="K1023" s="447">
        <v>11649</v>
      </c>
      <c r="L1023" s="448">
        <v>0</v>
      </c>
      <c r="M1023" s="168">
        <f t="shared" si="222"/>
        <v>0</v>
      </c>
      <c r="N1023" s="159"/>
      <c r="O1023" s="447">
        <v>0</v>
      </c>
      <c r="P1023" s="172">
        <v>0</v>
      </c>
      <c r="Q1023" s="168">
        <f t="shared" si="223"/>
        <v>0</v>
      </c>
      <c r="R1023" s="159"/>
      <c r="S1023" s="307"/>
    </row>
    <row r="1024" spans="1:19" ht="15.75" customHeight="1" x14ac:dyDescent="0.3">
      <c r="A1024" s="325" t="s">
        <v>420</v>
      </c>
      <c r="B1024" s="159"/>
      <c r="C1024" s="159">
        <f t="shared" si="219"/>
        <v>-13621</v>
      </c>
      <c r="D1024" s="172">
        <v>0</v>
      </c>
      <c r="E1024" s="168">
        <f t="shared" si="220"/>
        <v>0</v>
      </c>
      <c r="F1024" s="159"/>
      <c r="G1024" s="159" t="e">
        <f>#REF!</f>
        <v>#REF!</v>
      </c>
      <c r="H1024" s="172">
        <v>0</v>
      </c>
      <c r="I1024" s="168" t="e">
        <f t="shared" si="221"/>
        <v>#REF!</v>
      </c>
      <c r="J1024" s="159"/>
      <c r="K1024" s="447">
        <v>8035</v>
      </c>
      <c r="L1024" s="448">
        <v>0</v>
      </c>
      <c r="M1024" s="168">
        <f t="shared" si="222"/>
        <v>0</v>
      </c>
      <c r="N1024" s="159"/>
      <c r="O1024" s="447">
        <v>0</v>
      </c>
      <c r="P1024" s="172">
        <v>0</v>
      </c>
      <c r="Q1024" s="168">
        <f t="shared" si="223"/>
        <v>0</v>
      </c>
      <c r="R1024" s="159"/>
      <c r="S1024" s="307"/>
    </row>
    <row r="1025" spans="1:19" ht="15.75" customHeight="1" x14ac:dyDescent="0.3">
      <c r="A1025" s="325" t="s">
        <v>421</v>
      </c>
      <c r="B1025" s="159"/>
      <c r="C1025" s="159">
        <f t="shared" si="219"/>
        <v>-16543</v>
      </c>
      <c r="D1025" s="172">
        <v>0</v>
      </c>
      <c r="E1025" s="168">
        <f t="shared" si="220"/>
        <v>0</v>
      </c>
      <c r="F1025" s="159">
        <f>SUM(E1023:E1025)</f>
        <v>0</v>
      </c>
      <c r="G1025" s="159" t="e">
        <f>#REF!</f>
        <v>#REF!</v>
      </c>
      <c r="H1025" s="172">
        <v>0</v>
      </c>
      <c r="I1025" s="168" t="e">
        <f t="shared" si="221"/>
        <v>#REF!</v>
      </c>
      <c r="J1025" s="159" t="e">
        <f>SUM(I1023:I1025)</f>
        <v>#REF!</v>
      </c>
      <c r="K1025" s="447">
        <v>8092</v>
      </c>
      <c r="L1025" s="448">
        <v>0</v>
      </c>
      <c r="M1025" s="168">
        <f t="shared" si="222"/>
        <v>0</v>
      </c>
      <c r="N1025" s="159">
        <f>SUM(M1023:M1025)</f>
        <v>0</v>
      </c>
      <c r="O1025" s="447">
        <v>0</v>
      </c>
      <c r="P1025" s="172">
        <v>0</v>
      </c>
      <c r="Q1025" s="168">
        <f t="shared" si="223"/>
        <v>0</v>
      </c>
      <c r="R1025" s="159">
        <f>SUM(Q1023:Q1025)</f>
        <v>0</v>
      </c>
      <c r="S1025" s="307"/>
    </row>
    <row r="1026" spans="1:19" ht="15.75" customHeight="1" x14ac:dyDescent="0.3">
      <c r="A1026" s="323"/>
      <c r="B1026" s="159"/>
      <c r="C1026" s="159"/>
      <c r="D1026" s="159"/>
      <c r="E1026" s="159"/>
      <c r="F1026" s="159"/>
      <c r="G1026" s="159"/>
      <c r="H1026" s="159"/>
      <c r="I1026" s="159"/>
      <c r="J1026" s="159"/>
      <c r="K1026" s="159"/>
      <c r="L1026" s="159"/>
      <c r="M1026" s="159"/>
      <c r="N1026" s="159"/>
      <c r="O1026" s="159"/>
      <c r="P1026" s="159"/>
      <c r="Q1026" s="159"/>
      <c r="R1026" s="159"/>
      <c r="S1026" s="307"/>
    </row>
    <row r="1027" spans="1:19" ht="15.75" customHeight="1" x14ac:dyDescent="0.3">
      <c r="A1027" s="323"/>
      <c r="B1027" s="159"/>
      <c r="C1027" s="159"/>
      <c r="D1027" s="159"/>
      <c r="E1027" s="159"/>
      <c r="F1027" s="159"/>
      <c r="G1027" s="159"/>
      <c r="H1027" s="159"/>
      <c r="I1027" s="159"/>
      <c r="J1027" s="159"/>
      <c r="K1027" s="159"/>
      <c r="L1027" s="159"/>
      <c r="M1027" s="159"/>
      <c r="N1027" s="159"/>
      <c r="O1027" s="159"/>
      <c r="P1027" s="159"/>
      <c r="Q1027" s="159"/>
      <c r="R1027" s="159"/>
      <c r="S1027" s="307"/>
    </row>
    <row r="1028" spans="1:19" ht="16.5" customHeight="1" thickBot="1" x14ac:dyDescent="0.35">
      <c r="A1028" s="326" t="s">
        <v>422</v>
      </c>
      <c r="B1028" s="327"/>
      <c r="C1028" s="327">
        <f>SUM(C1014:C1025)</f>
        <v>-66111</v>
      </c>
      <c r="D1028" s="327"/>
      <c r="E1028" s="337">
        <f>SUM(E1014:E1025)</f>
        <v>0</v>
      </c>
      <c r="F1028" s="327"/>
      <c r="G1028" s="327" t="e">
        <f>SUM(G1014:G1025)</f>
        <v>#REF!</v>
      </c>
      <c r="H1028" s="327" t="s">
        <v>424</v>
      </c>
      <c r="I1028" s="337" t="e">
        <f>SUM(I1014:I1025)</f>
        <v>#REF!</v>
      </c>
      <c r="J1028" s="327"/>
      <c r="K1028" s="327">
        <f>SUM(K1014:K1025)</f>
        <v>152122</v>
      </c>
      <c r="L1028" s="327" t="s">
        <v>424</v>
      </c>
      <c r="M1028" s="337">
        <f>SUM(M1014:M1025)</f>
        <v>0</v>
      </c>
      <c r="N1028" s="327"/>
      <c r="O1028" s="327">
        <f>(SUM(O1014:O1025))</f>
        <v>0</v>
      </c>
      <c r="P1028" s="327" t="s">
        <v>424</v>
      </c>
      <c r="Q1028" s="337">
        <f>SUM(Q1014:Q1025)</f>
        <v>0</v>
      </c>
      <c r="R1028" s="327"/>
      <c r="S1028" s="313"/>
    </row>
  </sheetData>
  <scenarios current="0">
    <scenario name="Jan" count="1" user="Windows User" comment="Created by Windows User on 4/11/2013">
      <inputCells r="B265" val="57771.3688407242" numFmtId="37"/>
    </scenario>
  </scenarios>
  <autoFilter ref="A31:R1028" xr:uid="{00000000-0009-0000-0000-000011000000}"/>
  <mergeCells count="61">
    <mergeCell ref="B962:I962"/>
    <mergeCell ref="J962:M962"/>
    <mergeCell ref="B930:P930"/>
    <mergeCell ref="B931:P931"/>
    <mergeCell ref="B932:P932"/>
    <mergeCell ref="B934:P934"/>
    <mergeCell ref="B935:P935"/>
    <mergeCell ref="B936:C936"/>
    <mergeCell ref="B955:P955"/>
    <mergeCell ref="B956:P956"/>
    <mergeCell ref="B957:P957"/>
    <mergeCell ref="B959:P959"/>
    <mergeCell ref="B960:P960"/>
    <mergeCell ref="M908:O908"/>
    <mergeCell ref="B879:P879"/>
    <mergeCell ref="B880:F880"/>
    <mergeCell ref="G880:L880"/>
    <mergeCell ref="M880:O880"/>
    <mergeCell ref="P880:R880"/>
    <mergeCell ref="M881:O881"/>
    <mergeCell ref="B906:P906"/>
    <mergeCell ref="B907:F907"/>
    <mergeCell ref="G907:L907"/>
    <mergeCell ref="M907:O907"/>
    <mergeCell ref="P907:R907"/>
    <mergeCell ref="B878:P878"/>
    <mergeCell ref="B823:P823"/>
    <mergeCell ref="B824:P824"/>
    <mergeCell ref="B825:P825"/>
    <mergeCell ref="B826:P826"/>
    <mergeCell ref="B847:P847"/>
    <mergeCell ref="B848:P848"/>
    <mergeCell ref="B849:P849"/>
    <mergeCell ref="B851:P851"/>
    <mergeCell ref="B852:P852"/>
    <mergeCell ref="B876:P876"/>
    <mergeCell ref="B877:P877"/>
    <mergeCell ref="B822:P822"/>
    <mergeCell ref="A770:R770"/>
    <mergeCell ref="A771:R771"/>
    <mergeCell ref="A772:R772"/>
    <mergeCell ref="A774:R774"/>
    <mergeCell ref="B792:P792"/>
    <mergeCell ref="B793:P793"/>
    <mergeCell ref="B794:P794"/>
    <mergeCell ref="B795:P795"/>
    <mergeCell ref="B796:P796"/>
    <mergeCell ref="B797:P797"/>
    <mergeCell ref="B821:P821"/>
    <mergeCell ref="A769:R769"/>
    <mergeCell ref="A2:R2"/>
    <mergeCell ref="A3:R3"/>
    <mergeCell ref="A4:R4"/>
    <mergeCell ref="A5:R5"/>
    <mergeCell ref="A6:R6"/>
    <mergeCell ref="A8:R8"/>
    <mergeCell ref="A728:R728"/>
    <mergeCell ref="A729:R729"/>
    <mergeCell ref="A730:R730"/>
    <mergeCell ref="A731:R731"/>
    <mergeCell ref="A733:R733"/>
  </mergeCells>
  <conditionalFormatting sqref="P886:P899">
    <cfRule type="cellIs" dxfId="7" priority="3" operator="lessThan">
      <formula>0</formula>
    </cfRule>
    <cfRule type="cellIs" dxfId="6" priority="4" operator="greaterThan">
      <formula>0</formula>
    </cfRule>
  </conditionalFormatting>
  <conditionalFormatting sqref="P913:P924">
    <cfRule type="cellIs" dxfId="5" priority="1" operator="lessThan">
      <formula>0</formula>
    </cfRule>
    <cfRule type="cellIs" dxfId="4" priority="2" operator="greaterThan">
      <formula>0</formula>
    </cfRule>
  </conditionalFormatting>
  <printOptions horizontalCentered="1"/>
  <pageMargins left="0.25" right="0.25" top="0.25" bottom="0.25" header="0" footer="0"/>
  <pageSetup paperSize="17" scale="82" orientation="landscape" r:id="rId1"/>
  <headerFooter alignWithMargins="0"/>
  <rowBreaks count="5" manualBreakCount="5">
    <brk id="725" max="17" man="1"/>
    <brk id="765" max="17" man="1"/>
    <brk id="818" max="18" man="1"/>
    <brk id="846" max="18" man="1"/>
    <brk id="825" min="28" max="46"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37A52-58BE-4D6D-81CD-48867A9919E4}">
  <sheetPr codeName="Sheet9">
    <pageSetUpPr fitToPage="1"/>
  </sheetPr>
  <dimension ref="A1:AJ990"/>
  <sheetViews>
    <sheetView topLeftCell="A886" zoomScale="70" zoomScaleNormal="70" workbookViewId="0">
      <selection activeCell="B908" sqref="B908"/>
    </sheetView>
  </sheetViews>
  <sheetFormatPr defaultColWidth="8.77734375" defaultRowHeight="15.6" x14ac:dyDescent="0.3"/>
  <cols>
    <col min="1" max="1" width="48.21875" style="4" customWidth="1"/>
    <col min="2" max="3" width="13" style="4" bestFit="1" customWidth="1"/>
    <col min="4" max="4" width="13.109375" style="4" customWidth="1"/>
    <col min="5" max="5" width="14" style="4" customWidth="1"/>
    <col min="6" max="6" width="13.6640625" style="4" customWidth="1"/>
    <col min="7" max="8" width="11.21875" style="4" bestFit="1" customWidth="1"/>
    <col min="9" max="9" width="13.109375" style="4" customWidth="1"/>
    <col min="10"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8.77734375" style="4"/>
    <col min="20" max="20" width="11.21875" style="4" bestFit="1" customWidth="1"/>
    <col min="21" max="16384" width="8.77734375" style="4"/>
  </cols>
  <sheetData>
    <row r="1" spans="1:36" x14ac:dyDescent="0.3">
      <c r="A1" s="1"/>
      <c r="B1" s="1"/>
      <c r="C1" s="1"/>
      <c r="D1" s="1"/>
      <c r="E1" s="1"/>
      <c r="F1" s="1"/>
      <c r="G1" s="1"/>
      <c r="H1" s="1"/>
      <c r="I1" s="1"/>
      <c r="J1" s="1"/>
      <c r="K1" s="1"/>
      <c r="L1" s="1"/>
      <c r="M1" s="1"/>
      <c r="N1" s="1"/>
      <c r="O1" s="1"/>
      <c r="P1" s="1"/>
      <c r="Q1" s="2" t="s">
        <v>0</v>
      </c>
      <c r="R1" s="3">
        <f ca="1">NOW()</f>
        <v>44909.46975358796</v>
      </c>
    </row>
    <row r="2" spans="1:36" ht="19.8" x14ac:dyDescent="0.35">
      <c r="A2" s="500" t="s">
        <v>1</v>
      </c>
      <c r="B2" s="500"/>
      <c r="C2" s="500"/>
      <c r="D2" s="500"/>
      <c r="E2" s="500"/>
      <c r="F2" s="500"/>
      <c r="G2" s="500"/>
      <c r="H2" s="500"/>
      <c r="I2" s="500"/>
      <c r="J2" s="500"/>
      <c r="K2" s="500"/>
      <c r="L2" s="500"/>
      <c r="M2" s="500"/>
      <c r="N2" s="500"/>
      <c r="O2" s="500"/>
      <c r="P2" s="500"/>
      <c r="Q2" s="500"/>
      <c r="R2" s="500"/>
    </row>
    <row r="3" spans="1:36" ht="19.8" x14ac:dyDescent="0.35">
      <c r="A3" s="500" t="s">
        <v>2</v>
      </c>
      <c r="B3" s="500"/>
      <c r="C3" s="500"/>
      <c r="D3" s="500"/>
      <c r="E3" s="500"/>
      <c r="F3" s="500"/>
      <c r="G3" s="500"/>
      <c r="H3" s="500"/>
      <c r="I3" s="500"/>
      <c r="J3" s="500"/>
      <c r="K3" s="500"/>
      <c r="L3" s="500"/>
      <c r="M3" s="500"/>
      <c r="N3" s="500"/>
      <c r="O3" s="500"/>
      <c r="P3" s="500"/>
      <c r="Q3" s="500"/>
      <c r="R3" s="500"/>
    </row>
    <row r="4" spans="1:36" ht="18" x14ac:dyDescent="0.35">
      <c r="A4" s="501" t="s">
        <v>3</v>
      </c>
      <c r="B4" s="501"/>
      <c r="C4" s="501"/>
      <c r="D4" s="501"/>
      <c r="E4" s="501"/>
      <c r="F4" s="501"/>
      <c r="G4" s="501"/>
      <c r="H4" s="501"/>
      <c r="I4" s="501"/>
      <c r="J4" s="501"/>
      <c r="K4" s="501"/>
      <c r="L4" s="501"/>
      <c r="M4" s="501"/>
      <c r="N4" s="501"/>
      <c r="O4" s="501"/>
      <c r="P4" s="501"/>
      <c r="Q4" s="501"/>
      <c r="R4" s="501"/>
    </row>
    <row r="5" spans="1:36" ht="18" x14ac:dyDescent="0.35">
      <c r="A5" s="501" t="s">
        <v>1160</v>
      </c>
      <c r="B5" s="501"/>
      <c r="C5" s="501"/>
      <c r="D5" s="501"/>
      <c r="E5" s="501"/>
      <c r="F5" s="501"/>
      <c r="G5" s="501"/>
      <c r="H5" s="501"/>
      <c r="I5" s="501"/>
      <c r="J5" s="501"/>
      <c r="K5" s="501"/>
      <c r="L5" s="501"/>
      <c r="M5" s="501"/>
      <c r="N5" s="501"/>
      <c r="O5" s="501"/>
      <c r="P5" s="501"/>
      <c r="Q5" s="501"/>
      <c r="R5" s="501"/>
    </row>
    <row r="6" spans="1:36" x14ac:dyDescent="0.3">
      <c r="A6" s="1"/>
      <c r="B6" s="1"/>
      <c r="C6" s="1"/>
      <c r="D6" s="5"/>
      <c r="E6" s="5"/>
      <c r="F6" s="5"/>
      <c r="G6" s="6"/>
      <c r="H6" s="5"/>
      <c r="I6" s="5"/>
      <c r="J6" s="6"/>
      <c r="K6" s="6"/>
      <c r="L6" s="6"/>
      <c r="M6" s="6"/>
      <c r="N6" s="1"/>
      <c r="O6" s="6"/>
      <c r="P6" s="6"/>
      <c r="Q6" s="6"/>
      <c r="R6" s="6"/>
    </row>
    <row r="7" spans="1:36" ht="18" x14ac:dyDescent="0.35">
      <c r="A7" s="501" t="s">
        <v>1161</v>
      </c>
      <c r="B7" s="501"/>
      <c r="C7" s="501"/>
      <c r="D7" s="501"/>
      <c r="E7" s="501"/>
      <c r="F7" s="501"/>
      <c r="G7" s="501"/>
      <c r="H7" s="501"/>
      <c r="I7" s="501"/>
      <c r="J7" s="501"/>
      <c r="K7" s="501"/>
      <c r="L7" s="501"/>
      <c r="M7" s="501"/>
      <c r="N7" s="501"/>
      <c r="O7" s="501"/>
      <c r="P7" s="501"/>
      <c r="Q7" s="501"/>
      <c r="R7" s="501"/>
    </row>
    <row r="8" spans="1:36" ht="18" x14ac:dyDescent="0.35">
      <c r="A8" s="296"/>
      <c r="B8" s="296"/>
      <c r="C8" s="296"/>
      <c r="D8" s="296"/>
      <c r="E8" s="296"/>
      <c r="F8" s="296"/>
      <c r="G8" s="296"/>
      <c r="H8" s="296"/>
      <c r="I8" s="296"/>
      <c r="J8" s="296"/>
      <c r="K8" s="296"/>
      <c r="L8" s="296"/>
      <c r="M8" s="296"/>
      <c r="N8" s="296"/>
      <c r="O8" s="296"/>
      <c r="P8" s="296"/>
      <c r="Q8" s="296"/>
      <c r="R8" s="296"/>
    </row>
    <row r="9" spans="1:36" x14ac:dyDescent="0.3">
      <c r="A9" s="499" t="s">
        <v>1162</v>
      </c>
      <c r="B9" s="499"/>
      <c r="C9" s="499"/>
      <c r="D9" s="499"/>
      <c r="E9" s="499"/>
      <c r="F9" s="499"/>
      <c r="G9" s="499"/>
      <c r="H9" s="499"/>
      <c r="I9" s="499"/>
      <c r="J9" s="499"/>
      <c r="K9" s="499"/>
      <c r="L9" s="499"/>
      <c r="M9" s="499"/>
      <c r="N9" s="499"/>
      <c r="O9" s="499"/>
      <c r="P9" s="499"/>
      <c r="Q9" s="499"/>
      <c r="R9" s="499"/>
    </row>
    <row r="10" spans="1:36" x14ac:dyDescent="0.3">
      <c r="A10" s="5"/>
      <c r="B10" s="6"/>
      <c r="C10" s="6"/>
      <c r="D10" s="6"/>
      <c r="E10" s="6"/>
      <c r="F10" s="6"/>
      <c r="G10" s="6"/>
      <c r="H10" s="6"/>
      <c r="I10" s="6"/>
      <c r="J10" s="6"/>
      <c r="K10" s="6"/>
      <c r="L10" s="6"/>
      <c r="M10" s="6"/>
      <c r="N10" s="6"/>
      <c r="O10" s="6"/>
      <c r="P10" s="6"/>
      <c r="Q10" s="6"/>
      <c r="R10" s="6"/>
    </row>
    <row r="11" spans="1:36" ht="16.2" thickBot="1" x14ac:dyDescent="0.35">
      <c r="A11" s="1"/>
      <c r="B11" s="1"/>
      <c r="C11" s="1"/>
      <c r="D11" s="1"/>
      <c r="E11" s="1"/>
      <c r="F11" s="1"/>
      <c r="G11" s="1"/>
      <c r="H11" s="1"/>
      <c r="I11" s="1"/>
      <c r="J11" s="1"/>
      <c r="K11" s="1"/>
      <c r="L11" s="1"/>
      <c r="M11" s="1"/>
      <c r="N11" s="1"/>
      <c r="O11" s="1"/>
      <c r="P11" s="1"/>
      <c r="Q11" s="1"/>
      <c r="R11" s="1"/>
    </row>
    <row r="12" spans="1:36" ht="16.2" thickBot="1" x14ac:dyDescent="0.35">
      <c r="A12" s="297" t="s">
        <v>7</v>
      </c>
      <c r="B12" s="298" t="s">
        <v>8</v>
      </c>
      <c r="C12" s="48" t="s">
        <v>9</v>
      </c>
      <c r="D12" s="48" t="s">
        <v>10</v>
      </c>
      <c r="E12" s="32" t="s">
        <v>11</v>
      </c>
      <c r="F12" s="48" t="s">
        <v>12</v>
      </c>
      <c r="G12" s="48" t="s">
        <v>13</v>
      </c>
      <c r="H12" s="48" t="s">
        <v>14</v>
      </c>
      <c r="I12" s="32" t="s">
        <v>15</v>
      </c>
      <c r="J12" s="48" t="s">
        <v>16</v>
      </c>
      <c r="K12" s="48" t="s">
        <v>17</v>
      </c>
      <c r="L12" s="48" t="s">
        <v>18</v>
      </c>
      <c r="M12" s="32" t="s">
        <v>19</v>
      </c>
      <c r="N12" s="48" t="s">
        <v>20</v>
      </c>
      <c r="O12" s="48" t="s">
        <v>21</v>
      </c>
      <c r="P12" s="48" t="s">
        <v>22</v>
      </c>
      <c r="Q12" s="32" t="s">
        <v>23</v>
      </c>
      <c r="R12" s="49" t="s">
        <v>24</v>
      </c>
    </row>
    <row r="13" spans="1:36" ht="16.5" customHeight="1" thickBot="1" x14ac:dyDescent="0.35">
      <c r="A13" s="67"/>
      <c r="B13" s="51"/>
      <c r="C13" s="51"/>
      <c r="D13" s="51"/>
      <c r="E13" s="52"/>
      <c r="F13" s="51"/>
      <c r="G13" s="51"/>
      <c r="H13" s="51"/>
      <c r="I13" s="52"/>
      <c r="J13" s="51"/>
      <c r="K13" s="51"/>
      <c r="L13" s="51"/>
      <c r="M13" s="52"/>
      <c r="N13" s="51"/>
      <c r="O13" s="51"/>
      <c r="P13" s="51"/>
      <c r="Q13" s="52"/>
      <c r="R13" s="52"/>
    </row>
    <row r="14" spans="1:36" ht="15.75" customHeight="1" x14ac:dyDescent="0.3">
      <c r="A14" s="15" t="s">
        <v>25</v>
      </c>
      <c r="B14" s="1">
        <f>+B760</f>
        <v>71862</v>
      </c>
      <c r="C14" s="1">
        <f>+C760</f>
        <v>97013</v>
      </c>
      <c r="D14" s="1">
        <f>+D760</f>
        <v>138394</v>
      </c>
      <c r="E14" s="16">
        <f t="shared" ref="E14:E20" si="0">SUM(B14:D14)</f>
        <v>307269</v>
      </c>
      <c r="F14" s="1">
        <f>+F760</f>
        <v>173973</v>
      </c>
      <c r="G14" s="1">
        <f>+G760</f>
        <v>190845</v>
      </c>
      <c r="H14" s="1">
        <f>+H760</f>
        <v>207776</v>
      </c>
      <c r="I14" s="16">
        <f t="shared" ref="I14:I20" si="1">SUM(F14:H14)</f>
        <v>572594</v>
      </c>
      <c r="J14" s="1">
        <f>+J760</f>
        <v>174557</v>
      </c>
      <c r="K14" s="1">
        <f>+K760</f>
        <v>175287</v>
      </c>
      <c r="L14" s="1">
        <f>+L760</f>
        <v>133433</v>
      </c>
      <c r="M14" s="16">
        <f t="shared" ref="M14:M20" si="2">SUM(J14:L14)</f>
        <v>483277</v>
      </c>
      <c r="N14" s="1">
        <f>+N760</f>
        <v>101903</v>
      </c>
      <c r="O14" s="1">
        <f>+O760</f>
        <v>59004</v>
      </c>
      <c r="P14" s="1">
        <f>+P760</f>
        <v>74452.000000000015</v>
      </c>
      <c r="Q14" s="17">
        <f t="shared" ref="Q14:Q20" si="3">SUM(N14:P14)</f>
        <v>235359</v>
      </c>
      <c r="R14" s="16">
        <f t="shared" ref="R14:R21" si="4">+E14+I14+M14+Q14</f>
        <v>1598499</v>
      </c>
      <c r="V14" s="339"/>
      <c r="W14" s="339"/>
      <c r="X14" s="339"/>
      <c r="Z14" s="339"/>
      <c r="AA14" s="339"/>
      <c r="AB14" s="339"/>
      <c r="AD14" s="339"/>
      <c r="AE14" s="339"/>
      <c r="AF14" s="339"/>
      <c r="AH14" s="339"/>
      <c r="AI14" s="339"/>
      <c r="AJ14" s="339"/>
    </row>
    <row r="15" spans="1:36" ht="15.75" customHeight="1" x14ac:dyDescent="0.3">
      <c r="A15" s="15" t="s">
        <v>27</v>
      </c>
      <c r="B15" s="1">
        <f>B26+B61+B124+B246+B375+B420+B461+B514+B524+B559+B602+B612+B646+B692</f>
        <v>739</v>
      </c>
      <c r="C15" s="1">
        <f>C26+C61+C124+C246+C375+C420+C461+C514+C524+C559+C602+C612+C646+C692</f>
        <v>1283</v>
      </c>
      <c r="D15" s="1">
        <f>D26+D61+D124+D246+D375+D420+D461+D514+D524+D559+D602+D612+D646+D692</f>
        <v>2185</v>
      </c>
      <c r="E15" s="16">
        <f t="shared" si="0"/>
        <v>4207</v>
      </c>
      <c r="F15" s="1">
        <f>F26+F61+F124+F246+F375+F420+F461+F514+F524+F559+F602+F612+F646+F692</f>
        <v>2959</v>
      </c>
      <c r="G15" s="1">
        <f>G26+G61+G124+G246+G375+G420+G461+G514+G524+G559+G602+G612+G646+G692</f>
        <v>3425</v>
      </c>
      <c r="H15" s="1">
        <f>H26+H61+H124+H246+H375+H420+H461+H514+H524+H559+H602+H612+H646+H692</f>
        <v>3464</v>
      </c>
      <c r="I15" s="16">
        <f t="shared" si="1"/>
        <v>9848</v>
      </c>
      <c r="J15" s="1">
        <f>J26+J61+J124+J246+J375+J420+J461+J514+J524+J559+J602+J612+J646+J692</f>
        <v>3382</v>
      </c>
      <c r="K15" s="1">
        <f>K26+K61+K124+K246+K375+K420+K461+K514+K524+K559+K602+K612+K646+K692</f>
        <v>2663</v>
      </c>
      <c r="L15" s="1">
        <f>L26+L61+L124+L246+L375+L420+L461+L514+L524+L559+L602+L612+L646+L692</f>
        <v>2559</v>
      </c>
      <c r="M15" s="16">
        <f t="shared" si="2"/>
        <v>8604</v>
      </c>
      <c r="N15" s="1">
        <f>N26+N61+N124+N246+N375+N420+N461+N514+N524+N559+N602+N612+N646+N692</f>
        <v>2343</v>
      </c>
      <c r="O15" s="1">
        <f>O26+O61+O124+O246+O375+O420+O461+O514+O524+O559+O602+O612+O646+O692</f>
        <v>1892</v>
      </c>
      <c r="P15" s="1">
        <f>P26+P61+P124+P246+P375+P420+P461+P514+P524+P559+P602+P612+P646+P692</f>
        <v>1423</v>
      </c>
      <c r="Q15" s="17">
        <f t="shared" si="3"/>
        <v>5658</v>
      </c>
      <c r="R15" s="16">
        <f t="shared" si="4"/>
        <v>28317</v>
      </c>
    </row>
    <row r="16" spans="1:36" ht="15.75" customHeight="1" x14ac:dyDescent="0.3">
      <c r="A16" s="15" t="s">
        <v>28</v>
      </c>
      <c r="B16" s="1">
        <f>B241</f>
        <v>0</v>
      </c>
      <c r="C16" s="1">
        <f>C241</f>
        <v>2973</v>
      </c>
      <c r="D16" s="1">
        <f>D241</f>
        <v>4033</v>
      </c>
      <c r="E16" s="16">
        <f t="shared" si="0"/>
        <v>7006</v>
      </c>
      <c r="F16" s="1">
        <f>F241</f>
        <v>4005</v>
      </c>
      <c r="G16" s="1">
        <f>G241</f>
        <v>5449</v>
      </c>
      <c r="H16" s="1">
        <f>H241</f>
        <v>4499</v>
      </c>
      <c r="I16" s="16">
        <f t="shared" si="1"/>
        <v>13953</v>
      </c>
      <c r="J16" s="1">
        <f>J241</f>
        <v>2651</v>
      </c>
      <c r="K16" s="1">
        <f>K241</f>
        <v>3116</v>
      </c>
      <c r="L16" s="1">
        <f>L241</f>
        <v>3139</v>
      </c>
      <c r="M16" s="16">
        <f t="shared" si="2"/>
        <v>8906</v>
      </c>
      <c r="N16" s="1">
        <f>N241</f>
        <v>3227</v>
      </c>
      <c r="O16" s="1">
        <f>O241</f>
        <v>3812</v>
      </c>
      <c r="P16" s="1">
        <f>P241</f>
        <v>1548</v>
      </c>
      <c r="Q16" s="17">
        <f t="shared" si="3"/>
        <v>8587</v>
      </c>
      <c r="R16" s="16">
        <f t="shared" si="4"/>
        <v>38452</v>
      </c>
    </row>
    <row r="17" spans="1:20" ht="15.75" customHeight="1" x14ac:dyDescent="0.3">
      <c r="A17" s="18" t="s">
        <v>29</v>
      </c>
      <c r="B17" s="1">
        <f>+B242</f>
        <v>-267</v>
      </c>
      <c r="C17" s="1">
        <f>+C242</f>
        <v>-578</v>
      </c>
      <c r="D17" s="1">
        <f>+D242</f>
        <v>-1487</v>
      </c>
      <c r="E17" s="16">
        <f t="shared" si="0"/>
        <v>-2332</v>
      </c>
      <c r="F17" s="1">
        <f>+F242</f>
        <v>-2176</v>
      </c>
      <c r="G17" s="1">
        <f>+G242</f>
        <v>-1120</v>
      </c>
      <c r="H17" s="1">
        <f>+H242</f>
        <v>-4972</v>
      </c>
      <c r="I17" s="16">
        <f t="shared" si="1"/>
        <v>-8268</v>
      </c>
      <c r="J17" s="1">
        <f>+J242</f>
        <v>-3294</v>
      </c>
      <c r="K17" s="1">
        <f>+K242</f>
        <v>0</v>
      </c>
      <c r="L17" s="1">
        <f>+L242</f>
        <v>0</v>
      </c>
      <c r="M17" s="16">
        <f t="shared" si="2"/>
        <v>-3294</v>
      </c>
      <c r="N17" s="1">
        <f>+N242</f>
        <v>-344</v>
      </c>
      <c r="O17" s="1">
        <f>+O242</f>
        <v>-654</v>
      </c>
      <c r="P17" s="1">
        <f>+P242</f>
        <v>-193</v>
      </c>
      <c r="Q17" s="17">
        <f t="shared" si="3"/>
        <v>-1191</v>
      </c>
      <c r="R17" s="16">
        <f t="shared" si="4"/>
        <v>-15085</v>
      </c>
    </row>
    <row r="18" spans="1:20" ht="15.75" customHeight="1" x14ac:dyDescent="0.3">
      <c r="A18" s="19" t="s">
        <v>31</v>
      </c>
      <c r="B18" s="1">
        <f>B245</f>
        <v>111219</v>
      </c>
      <c r="C18" s="1">
        <f>C245</f>
        <v>67581</v>
      </c>
      <c r="D18" s="1">
        <f>D245</f>
        <v>44397</v>
      </c>
      <c r="E18" s="16">
        <f t="shared" si="0"/>
        <v>223197</v>
      </c>
      <c r="F18" s="1">
        <f>F245</f>
        <v>6884</v>
      </c>
      <c r="G18" s="1">
        <f>G245</f>
        <v>1498</v>
      </c>
      <c r="H18" s="1">
        <f>H245</f>
        <v>0</v>
      </c>
      <c r="I18" s="16">
        <f t="shared" si="1"/>
        <v>8382</v>
      </c>
      <c r="J18" s="1">
        <f>J245</f>
        <v>0</v>
      </c>
      <c r="K18" s="1">
        <f>K245</f>
        <v>0</v>
      </c>
      <c r="L18" s="1">
        <f>L245</f>
        <v>4628</v>
      </c>
      <c r="M18" s="16">
        <f t="shared" si="2"/>
        <v>4628</v>
      </c>
      <c r="N18" s="1">
        <f>N245</f>
        <v>9922</v>
      </c>
      <c r="O18" s="1">
        <f>O245</f>
        <v>109236</v>
      </c>
      <c r="P18" s="1">
        <f>P245</f>
        <v>56385</v>
      </c>
      <c r="Q18" s="17">
        <f t="shared" si="3"/>
        <v>175543</v>
      </c>
      <c r="R18" s="16">
        <f t="shared" si="4"/>
        <v>411750</v>
      </c>
    </row>
    <row r="19" spans="1:20" ht="15.75" customHeight="1" x14ac:dyDescent="0.3">
      <c r="A19" s="19" t="s">
        <v>32</v>
      </c>
      <c r="B19" s="1">
        <f>B257</f>
        <v>0</v>
      </c>
      <c r="C19" s="1">
        <f>C257</f>
        <v>0</v>
      </c>
      <c r="D19" s="1">
        <f>D257</f>
        <v>0</v>
      </c>
      <c r="E19" s="16">
        <f t="shared" si="0"/>
        <v>0</v>
      </c>
      <c r="F19" s="1">
        <f>F257</f>
        <v>-4241</v>
      </c>
      <c r="G19" s="1">
        <f>G257</f>
        <v>-19505</v>
      </c>
      <c r="H19" s="1">
        <f>H257</f>
        <v>-79570</v>
      </c>
      <c r="I19" s="16">
        <f t="shared" si="1"/>
        <v>-103316</v>
      </c>
      <c r="J19" s="1">
        <f>J257</f>
        <v>-137316</v>
      </c>
      <c r="K19" s="1">
        <f>K257</f>
        <v>-94470</v>
      </c>
      <c r="L19" s="1">
        <f>L257</f>
        <v>-6379</v>
      </c>
      <c r="M19" s="16">
        <f t="shared" si="2"/>
        <v>-238165</v>
      </c>
      <c r="N19" s="1">
        <f>N257</f>
        <v>-85065</v>
      </c>
      <c r="O19" s="1">
        <f>O257</f>
        <v>0</v>
      </c>
      <c r="P19" s="1">
        <f>P257</f>
        <v>0</v>
      </c>
      <c r="Q19" s="17">
        <f t="shared" si="3"/>
        <v>-85065</v>
      </c>
      <c r="R19" s="16">
        <f t="shared" si="4"/>
        <v>-426546</v>
      </c>
    </row>
    <row r="20" spans="1:20" ht="16.5" customHeight="1" thickBot="1" x14ac:dyDescent="0.35">
      <c r="A20" s="20" t="s">
        <v>33</v>
      </c>
      <c r="B20" s="21">
        <f>(B30)</f>
        <v>183553</v>
      </c>
      <c r="C20" s="21">
        <f>(C30)</f>
        <v>168272</v>
      </c>
      <c r="D20" s="21">
        <f>(D30)</f>
        <v>187522</v>
      </c>
      <c r="E20" s="22">
        <f t="shared" si="0"/>
        <v>539347</v>
      </c>
      <c r="F20" s="21">
        <f>(F30)</f>
        <v>181404</v>
      </c>
      <c r="G20" s="21">
        <f>(G30)</f>
        <v>180592</v>
      </c>
      <c r="H20" s="21">
        <f>(H30)</f>
        <v>131197</v>
      </c>
      <c r="I20" s="22">
        <f t="shared" si="1"/>
        <v>493193</v>
      </c>
      <c r="J20" s="21">
        <f>(J30)</f>
        <v>39980</v>
      </c>
      <c r="K20" s="21">
        <f>(K30)</f>
        <v>86596</v>
      </c>
      <c r="L20" s="21">
        <f>(L30)</f>
        <v>137380</v>
      </c>
      <c r="M20" s="22">
        <f t="shared" si="2"/>
        <v>263956</v>
      </c>
      <c r="N20" s="21">
        <f>(N30)</f>
        <v>31986</v>
      </c>
      <c r="O20" s="21">
        <f>(O30)</f>
        <v>173290</v>
      </c>
      <c r="P20" s="21">
        <f>(P30)</f>
        <v>133980</v>
      </c>
      <c r="Q20" s="23">
        <f t="shared" si="3"/>
        <v>339256</v>
      </c>
      <c r="R20" s="22">
        <f t="shared" si="4"/>
        <v>1635752</v>
      </c>
    </row>
    <row r="21" spans="1:20" ht="16.5" customHeight="1" thickBot="1" x14ac:dyDescent="0.35">
      <c r="A21" s="20" t="s">
        <v>36</v>
      </c>
      <c r="B21" s="21">
        <v>186564</v>
      </c>
      <c r="C21" s="21">
        <v>168959</v>
      </c>
      <c r="D21" s="21">
        <v>187497</v>
      </c>
      <c r="E21" s="22">
        <f>SUM(B21:D21)</f>
        <v>543020</v>
      </c>
      <c r="F21" s="21">
        <v>179531</v>
      </c>
      <c r="G21" s="21">
        <v>179210</v>
      </c>
      <c r="H21" s="21">
        <v>129951</v>
      </c>
      <c r="I21" s="22">
        <f>SUM(F21:H21)</f>
        <v>488692</v>
      </c>
      <c r="J21" s="21">
        <v>34437</v>
      </c>
      <c r="K21" s="21">
        <v>85226</v>
      </c>
      <c r="L21" s="21">
        <v>136910</v>
      </c>
      <c r="M21" s="22">
        <f>SUM(J21:L21)</f>
        <v>256573</v>
      </c>
      <c r="N21" s="21">
        <v>31581</v>
      </c>
      <c r="O21" s="21">
        <v>173912</v>
      </c>
      <c r="P21" s="21">
        <v>132284</v>
      </c>
      <c r="Q21" s="23">
        <f>SUM(N21:P21)</f>
        <v>337777</v>
      </c>
      <c r="R21" s="22">
        <f t="shared" si="4"/>
        <v>1626062</v>
      </c>
    </row>
    <row r="22" spans="1:20" ht="15.75" customHeight="1" x14ac:dyDescent="0.3">
      <c r="A22" s="1"/>
      <c r="B22" s="1"/>
      <c r="C22" s="1"/>
      <c r="D22" s="1"/>
      <c r="E22" s="1"/>
      <c r="F22" s="1"/>
      <c r="G22" s="1"/>
      <c r="H22" s="1"/>
      <c r="I22" s="1"/>
      <c r="J22" s="1"/>
      <c r="K22" s="1"/>
      <c r="L22" s="1"/>
      <c r="M22" s="1"/>
      <c r="N22" s="1"/>
      <c r="O22" s="1"/>
      <c r="P22" s="1"/>
      <c r="Q22" s="1"/>
      <c r="R22" s="2"/>
    </row>
    <row r="23" spans="1:20" ht="15.75" customHeight="1" thickBot="1" x14ac:dyDescent="0.35">
      <c r="A23" s="1"/>
      <c r="B23" s="1"/>
      <c r="C23" s="1"/>
      <c r="D23" s="1"/>
      <c r="E23" s="1"/>
      <c r="F23" s="27" t="s">
        <v>7</v>
      </c>
      <c r="G23" s="27" t="s">
        <v>7</v>
      </c>
      <c r="H23" s="1"/>
      <c r="I23" s="1"/>
      <c r="J23" s="1"/>
      <c r="K23" s="1"/>
      <c r="L23" s="1"/>
      <c r="M23" s="1"/>
      <c r="N23" s="27" t="s">
        <v>7</v>
      </c>
      <c r="O23" s="27" t="s">
        <v>7</v>
      </c>
      <c r="P23" s="27" t="s">
        <v>7</v>
      </c>
      <c r="Q23" s="27"/>
      <c r="R23" s="28" t="s">
        <v>7</v>
      </c>
    </row>
    <row r="24" spans="1:20" ht="16.5" customHeight="1" thickBot="1" x14ac:dyDescent="0.35">
      <c r="A24" s="29" t="s">
        <v>39</v>
      </c>
      <c r="B24" s="30" t="s">
        <v>8</v>
      </c>
      <c r="C24" s="31" t="s">
        <v>9</v>
      </c>
      <c r="D24" s="31" t="s">
        <v>10</v>
      </c>
      <c r="E24" s="32" t="s">
        <v>11</v>
      </c>
      <c r="F24" s="31" t="s">
        <v>12</v>
      </c>
      <c r="G24" s="31" t="s">
        <v>13</v>
      </c>
      <c r="H24" s="31" t="s">
        <v>14</v>
      </c>
      <c r="I24" s="33" t="s">
        <v>15</v>
      </c>
      <c r="J24" s="31" t="s">
        <v>16</v>
      </c>
      <c r="K24" s="31" t="s">
        <v>17</v>
      </c>
      <c r="L24" s="31" t="s">
        <v>18</v>
      </c>
      <c r="M24" s="33" t="s">
        <v>19</v>
      </c>
      <c r="N24" s="31" t="s">
        <v>20</v>
      </c>
      <c r="O24" s="31" t="s">
        <v>21</v>
      </c>
      <c r="P24" s="31" t="s">
        <v>22</v>
      </c>
      <c r="Q24" s="33" t="s">
        <v>23</v>
      </c>
      <c r="R24" s="34" t="s">
        <v>24</v>
      </c>
    </row>
    <row r="25" spans="1:20" ht="16.5" customHeight="1" thickBot="1" x14ac:dyDescent="0.35">
      <c r="A25" s="35"/>
      <c r="B25" s="36"/>
      <c r="C25" s="36"/>
      <c r="D25" s="36"/>
      <c r="E25" s="37"/>
      <c r="F25" s="36"/>
      <c r="G25" s="36"/>
      <c r="H25" s="36"/>
      <c r="I25" s="37"/>
      <c r="J25" s="36"/>
      <c r="K25" s="36"/>
      <c r="L25" s="36"/>
      <c r="M25" s="37"/>
      <c r="N25" s="36"/>
      <c r="O25" s="36"/>
      <c r="P25" s="36"/>
      <c r="Q25" s="37"/>
      <c r="R25" s="38"/>
    </row>
    <row r="26" spans="1:20" ht="16.5" customHeight="1" thickBot="1" x14ac:dyDescent="0.35">
      <c r="A26" s="39" t="s">
        <v>40</v>
      </c>
      <c r="B26" s="21">
        <v>97</v>
      </c>
      <c r="C26" s="21">
        <v>148</v>
      </c>
      <c r="D26" s="21">
        <v>274</v>
      </c>
      <c r="E26" s="40">
        <f>SUM(B26:D26)</f>
        <v>519</v>
      </c>
      <c r="F26" s="21">
        <v>367</v>
      </c>
      <c r="G26" s="21">
        <v>425</v>
      </c>
      <c r="H26" s="21">
        <v>417</v>
      </c>
      <c r="I26" s="40">
        <f>SUM(F26:H26)</f>
        <v>1209</v>
      </c>
      <c r="J26" s="21">
        <v>416</v>
      </c>
      <c r="K26" s="21">
        <v>334</v>
      </c>
      <c r="L26" s="21">
        <v>316</v>
      </c>
      <c r="M26" s="40">
        <f>SUM(J26:L26)</f>
        <v>1066</v>
      </c>
      <c r="N26" s="21">
        <v>285</v>
      </c>
      <c r="O26" s="21">
        <v>235</v>
      </c>
      <c r="P26" s="21">
        <v>186</v>
      </c>
      <c r="Q26" s="40">
        <f>SUM(N26:P26)</f>
        <v>706</v>
      </c>
      <c r="R26" s="22">
        <f>+E26+I26+M26+Q26</f>
        <v>3500</v>
      </c>
    </row>
    <row r="27" spans="1:20" ht="16.5" customHeight="1" thickBot="1" x14ac:dyDescent="0.35">
      <c r="A27" s="41"/>
      <c r="B27" s="36"/>
      <c r="C27" s="36"/>
      <c r="D27" s="36"/>
      <c r="E27" s="42"/>
      <c r="F27" s="36"/>
      <c r="G27" s="36"/>
      <c r="H27" s="36"/>
      <c r="I27" s="42"/>
      <c r="J27" s="36"/>
      <c r="K27" s="36"/>
      <c r="L27" s="36"/>
      <c r="M27" s="42"/>
      <c r="N27" s="36"/>
      <c r="O27" s="36"/>
      <c r="P27" s="36"/>
      <c r="Q27" s="42"/>
      <c r="R27" s="43"/>
    </row>
    <row r="28" spans="1:20" ht="15.75" customHeight="1" x14ac:dyDescent="0.3">
      <c r="A28" s="15" t="s">
        <v>41</v>
      </c>
      <c r="B28" s="1">
        <f>B26</f>
        <v>97</v>
      </c>
      <c r="C28" s="1">
        <f>C26</f>
        <v>148</v>
      </c>
      <c r="D28" s="1">
        <f>D26</f>
        <v>274</v>
      </c>
      <c r="E28" s="40">
        <f>SUM(B28:D28)</f>
        <v>519</v>
      </c>
      <c r="F28" s="1">
        <f>F26</f>
        <v>367</v>
      </c>
      <c r="G28" s="1">
        <f>G26</f>
        <v>425</v>
      </c>
      <c r="H28" s="1">
        <f>H26</f>
        <v>417</v>
      </c>
      <c r="I28" s="40">
        <f>SUM(F28:H28)</f>
        <v>1209</v>
      </c>
      <c r="J28" s="1">
        <f>J26</f>
        <v>416</v>
      </c>
      <c r="K28" s="1">
        <f>K26</f>
        <v>334</v>
      </c>
      <c r="L28" s="1">
        <f>L26</f>
        <v>316</v>
      </c>
      <c r="M28" s="40">
        <f>SUM(J28:L28)</f>
        <v>1066</v>
      </c>
      <c r="N28" s="1">
        <f>N26</f>
        <v>285</v>
      </c>
      <c r="O28" s="1">
        <f>O26</f>
        <v>235</v>
      </c>
      <c r="P28" s="1">
        <f>P26</f>
        <v>186</v>
      </c>
      <c r="Q28" s="44">
        <f>SUM(N28:P28)</f>
        <v>706</v>
      </c>
      <c r="R28" s="40">
        <f>+E28+I28+M28+Q28</f>
        <v>3500</v>
      </c>
    </row>
    <row r="29" spans="1:20" ht="15.75" customHeight="1" x14ac:dyDescent="0.3">
      <c r="A29" s="15" t="s">
        <v>42</v>
      </c>
      <c r="B29" s="1">
        <f>(B28/31)/1.983</f>
        <v>1.5779285214647079</v>
      </c>
      <c r="C29" s="1">
        <f>(C28/28)/1.983</f>
        <v>2.6655140119587926</v>
      </c>
      <c r="D29" s="1">
        <f>(D28/31)/1.983</f>
        <v>4.457241390529175</v>
      </c>
      <c r="E29" s="16"/>
      <c r="F29" s="1">
        <f>(F28/30)/1.983</f>
        <v>6.1691040511010247</v>
      </c>
      <c r="G29" s="1">
        <f>(G28/31)/1.983</f>
        <v>6.9136043466237203</v>
      </c>
      <c r="H29" s="1">
        <f>(H28/30)/1.983</f>
        <v>7.0095814422592033</v>
      </c>
      <c r="I29" s="16"/>
      <c r="J29" s="1">
        <f>(J28/31)/1.983</f>
        <v>6.7671986075187478</v>
      </c>
      <c r="K29" s="1">
        <f>(K28/31)/1.983</f>
        <v>5.433279651228994</v>
      </c>
      <c r="L29" s="1">
        <f>(L28/30)/1.983</f>
        <v>5.3118171121196838</v>
      </c>
      <c r="M29" s="16"/>
      <c r="N29" s="1">
        <f>(N28/31)/1.983</f>
        <v>4.6361817383241419</v>
      </c>
      <c r="O29" s="1">
        <f>(O28/30)/1.983</f>
        <v>3.9502437384434357</v>
      </c>
      <c r="P29" s="1">
        <f>(P28/31)/1.983</f>
        <v>3.02571860816944</v>
      </c>
      <c r="Q29" s="17"/>
      <c r="R29" s="16"/>
    </row>
    <row r="30" spans="1:20" ht="15.75" customHeight="1" x14ac:dyDescent="0.3">
      <c r="A30" s="15" t="s">
        <v>43</v>
      </c>
      <c r="B30" s="1">
        <f>B28+B65</f>
        <v>183553</v>
      </c>
      <c r="C30" s="1">
        <f>C28+C65</f>
        <v>168272</v>
      </c>
      <c r="D30" s="1">
        <f>D28+D65</f>
        <v>187522</v>
      </c>
      <c r="E30" s="16">
        <f>SUM(B30:D30)</f>
        <v>539347</v>
      </c>
      <c r="F30" s="1">
        <f>F28+F65</f>
        <v>181404</v>
      </c>
      <c r="G30" s="1">
        <f>G28+G65</f>
        <v>180592</v>
      </c>
      <c r="H30" s="1">
        <f>H28+H65</f>
        <v>131197</v>
      </c>
      <c r="I30" s="16">
        <f>SUM(F30:H30)</f>
        <v>493193</v>
      </c>
      <c r="J30" s="1">
        <f>J28+J65</f>
        <v>39980</v>
      </c>
      <c r="K30" s="1">
        <f>K28+K65</f>
        <v>86596</v>
      </c>
      <c r="L30" s="1">
        <f>L28+L65</f>
        <v>137380</v>
      </c>
      <c r="M30" s="16">
        <f>SUM(J30:L30)</f>
        <v>263956</v>
      </c>
      <c r="N30" s="1">
        <f>N28+N65</f>
        <v>31986</v>
      </c>
      <c r="O30" s="1">
        <f>O28+O65</f>
        <v>173290</v>
      </c>
      <c r="P30" s="1">
        <f>P28+P65</f>
        <v>133980</v>
      </c>
      <c r="Q30" s="17">
        <f>SUM(N30:P30)</f>
        <v>339256</v>
      </c>
      <c r="R30" s="16">
        <f>+E30+I30+M30+Q30</f>
        <v>1635752</v>
      </c>
    </row>
    <row r="31" spans="1:20" s="344" customFormat="1" ht="16.5" customHeight="1" thickBot="1" x14ac:dyDescent="0.35">
      <c r="A31" s="340" t="s">
        <v>44</v>
      </c>
      <c r="B31" s="341">
        <f>(B30/31)/1.983</f>
        <v>2985.9125144372324</v>
      </c>
      <c r="C31" s="341">
        <f>(C30/29)/1.983</f>
        <v>2926.113342723494</v>
      </c>
      <c r="D31" s="341">
        <f>(D30/31)/1.983</f>
        <v>3050.4774453825253</v>
      </c>
      <c r="E31" s="342"/>
      <c r="F31" s="341">
        <f>(F30/30)/1.983</f>
        <v>3049.319213313162</v>
      </c>
      <c r="G31" s="341">
        <f>(G30/31)/1.983</f>
        <v>2937.7450262716966</v>
      </c>
      <c r="H31" s="341">
        <f>(H30/30)/1.983</f>
        <v>2205.3622457555894</v>
      </c>
      <c r="I31" s="342"/>
      <c r="J31" s="341">
        <f>(J30/31)/1.983</f>
        <v>650.36682771297967</v>
      </c>
      <c r="K31" s="341">
        <f>(K30/31)/1.983</f>
        <v>1408.6834870593593</v>
      </c>
      <c r="L31" s="341">
        <f>(L30/30)/1.983</f>
        <v>2309.295679946209</v>
      </c>
      <c r="M31" s="342"/>
      <c r="N31" s="341">
        <f>(N30/31)/1.983</f>
        <v>520.32599677907365</v>
      </c>
      <c r="O31" s="341">
        <f>(O30/30)/1.983</f>
        <v>2912.9265422760127</v>
      </c>
      <c r="P31" s="341">
        <f>(P30/31)/1.983</f>
        <v>2179.4934361426967</v>
      </c>
      <c r="Q31" s="343"/>
      <c r="R31" s="342"/>
      <c r="T31" s="345" t="s">
        <v>45</v>
      </c>
    </row>
    <row r="32" spans="1:20" ht="15.75" customHeight="1" x14ac:dyDescent="0.3">
      <c r="A32" s="2"/>
      <c r="B32" s="1"/>
      <c r="C32" s="1"/>
      <c r="D32" s="1"/>
      <c r="E32" s="1"/>
      <c r="F32" s="1"/>
      <c r="G32" s="1"/>
      <c r="H32" s="1"/>
      <c r="I32" s="1"/>
      <c r="J32" s="1"/>
      <c r="K32" s="1"/>
      <c r="L32" s="1"/>
      <c r="M32" s="1"/>
      <c r="N32" s="1"/>
      <c r="O32" s="1"/>
      <c r="P32" s="1"/>
      <c r="Q32" s="1"/>
      <c r="R32" s="2"/>
      <c r="T32" s="45" t="s">
        <v>46</v>
      </c>
    </row>
    <row r="33" spans="1:18" ht="15.75" customHeight="1" thickBot="1" x14ac:dyDescent="0.35">
      <c r="A33" s="2"/>
      <c r="B33" s="1"/>
      <c r="C33" s="1"/>
      <c r="D33" s="1"/>
      <c r="E33" s="1"/>
      <c r="F33" s="1"/>
      <c r="G33" s="1"/>
      <c r="H33" s="1"/>
      <c r="I33" s="1"/>
      <c r="J33" s="1"/>
      <c r="K33" s="1"/>
      <c r="L33" s="1"/>
      <c r="M33" s="1"/>
      <c r="N33" s="1"/>
      <c r="O33" s="1"/>
      <c r="P33" s="1"/>
      <c r="Q33" s="1"/>
      <c r="R33" s="2"/>
    </row>
    <row r="34" spans="1:18" ht="15.75" customHeight="1" thickBot="1" x14ac:dyDescent="0.35">
      <c r="A34" s="46" t="s">
        <v>47</v>
      </c>
      <c r="B34" s="47" t="s">
        <v>8</v>
      </c>
      <c r="C34" s="48" t="s">
        <v>9</v>
      </c>
      <c r="D34" s="48" t="s">
        <v>10</v>
      </c>
      <c r="E34" s="32" t="s">
        <v>11</v>
      </c>
      <c r="F34" s="48" t="s">
        <v>12</v>
      </c>
      <c r="G34" s="48" t="s">
        <v>13</v>
      </c>
      <c r="H34" s="48" t="s">
        <v>14</v>
      </c>
      <c r="I34" s="32" t="s">
        <v>15</v>
      </c>
      <c r="J34" s="48" t="s">
        <v>16</v>
      </c>
      <c r="K34" s="48" t="s">
        <v>17</v>
      </c>
      <c r="L34" s="48" t="s">
        <v>18</v>
      </c>
      <c r="M34" s="32" t="s">
        <v>19</v>
      </c>
      <c r="N34" s="48" t="s">
        <v>20</v>
      </c>
      <c r="O34" s="48" t="s">
        <v>21</v>
      </c>
      <c r="P34" s="48" t="s">
        <v>22</v>
      </c>
      <c r="Q34" s="32" t="s">
        <v>23</v>
      </c>
      <c r="R34" s="49" t="s">
        <v>24</v>
      </c>
    </row>
    <row r="35" spans="1:18" ht="16.5" customHeight="1" thickBot="1" x14ac:dyDescent="0.35">
      <c r="A35" s="42"/>
      <c r="B35" s="50"/>
      <c r="C35" s="51"/>
      <c r="D35" s="51"/>
      <c r="E35" s="52"/>
      <c r="F35" s="51"/>
      <c r="G35" s="51"/>
      <c r="H35" s="51"/>
      <c r="I35" s="52"/>
      <c r="J35" s="51"/>
      <c r="K35" s="51"/>
      <c r="L35" s="51"/>
      <c r="M35" s="52"/>
      <c r="N35" s="51"/>
      <c r="O35" s="51"/>
      <c r="P35" s="51"/>
      <c r="Q35" s="52"/>
      <c r="R35" s="53"/>
    </row>
    <row r="36" spans="1:18" ht="15.75" customHeight="1" x14ac:dyDescent="0.3">
      <c r="A36" s="54" t="s">
        <v>48</v>
      </c>
      <c r="B36" s="28"/>
      <c r="C36" s="28"/>
      <c r="D36" s="28"/>
      <c r="E36" s="55" t="s">
        <v>7</v>
      </c>
      <c r="F36" s="28"/>
      <c r="G36" s="28"/>
      <c r="H36" s="28"/>
      <c r="I36" s="55" t="s">
        <v>7</v>
      </c>
      <c r="J36" s="28"/>
      <c r="K36" s="28"/>
      <c r="L36" s="28"/>
      <c r="M36" s="55" t="s">
        <v>7</v>
      </c>
      <c r="N36" s="28"/>
      <c r="O36" s="28"/>
      <c r="P36" s="28"/>
      <c r="Q36" s="55" t="s">
        <v>7</v>
      </c>
      <c r="R36" s="55" t="s">
        <v>7</v>
      </c>
    </row>
    <row r="37" spans="1:18" ht="15.75" customHeight="1" x14ac:dyDescent="0.3">
      <c r="A37" s="18" t="s">
        <v>49</v>
      </c>
      <c r="B37" s="28" t="s">
        <v>7</v>
      </c>
      <c r="C37" s="56"/>
      <c r="D37" s="56"/>
      <c r="E37" s="55" t="s">
        <v>7</v>
      </c>
      <c r="F37" s="56"/>
      <c r="G37" s="56"/>
      <c r="H37" s="56"/>
      <c r="I37" s="55" t="s">
        <v>7</v>
      </c>
      <c r="J37" s="56"/>
      <c r="K37" s="56"/>
      <c r="L37" s="56"/>
      <c r="M37" s="55" t="s">
        <v>7</v>
      </c>
      <c r="N37" s="56"/>
      <c r="O37" s="56"/>
      <c r="P37" s="56"/>
      <c r="Q37" s="55" t="s">
        <v>7</v>
      </c>
      <c r="R37" s="55" t="s">
        <v>7</v>
      </c>
    </row>
    <row r="38" spans="1:18" ht="15.75" customHeight="1" x14ac:dyDescent="0.3">
      <c r="A38" s="18" t="s">
        <v>50</v>
      </c>
      <c r="B38" s="28"/>
      <c r="C38" s="28"/>
      <c r="D38" s="28"/>
      <c r="E38" s="55" t="s">
        <v>7</v>
      </c>
      <c r="F38" s="28"/>
      <c r="G38" s="28"/>
      <c r="H38" s="28"/>
      <c r="I38" s="55" t="s">
        <v>7</v>
      </c>
      <c r="J38" s="28"/>
      <c r="K38" s="28"/>
      <c r="L38" s="28"/>
      <c r="M38" s="55" t="s">
        <v>7</v>
      </c>
      <c r="N38" s="28"/>
      <c r="O38" s="28"/>
      <c r="P38" s="28"/>
      <c r="Q38" s="55" t="s">
        <v>7</v>
      </c>
      <c r="R38" s="55" t="s">
        <v>7</v>
      </c>
    </row>
    <row r="39" spans="1:18" ht="15.75" customHeight="1" x14ac:dyDescent="0.3">
      <c r="A39" s="61" t="s">
        <v>527</v>
      </c>
      <c r="B39" s="1">
        <v>0</v>
      </c>
      <c r="C39" s="1">
        <v>1</v>
      </c>
      <c r="D39" s="1">
        <v>16</v>
      </c>
      <c r="E39" s="55">
        <f>SUM(B39:D39)</f>
        <v>17</v>
      </c>
      <c r="F39" s="1">
        <v>59</v>
      </c>
      <c r="G39" s="1">
        <v>160</v>
      </c>
      <c r="H39" s="1">
        <v>89</v>
      </c>
      <c r="I39" s="55">
        <f>SUM(F39:H39)</f>
        <v>308</v>
      </c>
      <c r="J39" s="1">
        <v>74</v>
      </c>
      <c r="K39" s="1">
        <v>54</v>
      </c>
      <c r="L39" s="1">
        <v>137</v>
      </c>
      <c r="M39" s="55">
        <f>SUM(J39:L39)</f>
        <v>265</v>
      </c>
      <c r="N39" s="1">
        <v>25</v>
      </c>
      <c r="O39" s="1">
        <v>39</v>
      </c>
      <c r="P39" s="1"/>
      <c r="Q39" s="55">
        <f>SUM(N39:P39)</f>
        <v>64</v>
      </c>
      <c r="R39" s="55">
        <f>+E39+I39+M39+Q39</f>
        <v>654</v>
      </c>
    </row>
    <row r="40" spans="1:18" ht="15.75" customHeight="1" x14ac:dyDescent="0.3">
      <c r="A40" s="18" t="s">
        <v>51</v>
      </c>
      <c r="B40" s="28"/>
      <c r="C40" s="28"/>
      <c r="D40" s="28"/>
      <c r="E40" s="55" t="s">
        <v>52</v>
      </c>
      <c r="F40" s="28"/>
      <c r="G40" s="28"/>
      <c r="H40" s="28"/>
      <c r="I40" s="55" t="s">
        <v>52</v>
      </c>
      <c r="J40" s="28"/>
      <c r="K40" s="28"/>
      <c r="L40" s="28"/>
      <c r="M40" s="55" t="s">
        <v>52</v>
      </c>
      <c r="N40" s="28"/>
      <c r="O40" s="28"/>
      <c r="P40" s="28"/>
      <c r="Q40" s="55" t="s">
        <v>52</v>
      </c>
      <c r="R40" s="55" t="s">
        <v>52</v>
      </c>
    </row>
    <row r="41" spans="1:18" ht="15.75" customHeight="1" thickBot="1" x14ac:dyDescent="0.35">
      <c r="A41" s="18" t="s">
        <v>53</v>
      </c>
      <c r="B41" s="56"/>
      <c r="C41" s="56"/>
      <c r="D41" s="56"/>
      <c r="E41" s="55" t="s">
        <v>7</v>
      </c>
      <c r="F41" s="56"/>
      <c r="G41" s="56"/>
      <c r="H41" s="56"/>
      <c r="I41" s="55" t="s">
        <v>7</v>
      </c>
      <c r="J41" s="56"/>
      <c r="K41" s="56"/>
      <c r="L41" s="56"/>
      <c r="M41" s="55" t="s">
        <v>7</v>
      </c>
      <c r="N41" s="56"/>
      <c r="O41" s="56"/>
      <c r="P41" s="56"/>
      <c r="Q41" s="55" t="s">
        <v>7</v>
      </c>
      <c r="R41" s="55" t="s">
        <v>7</v>
      </c>
    </row>
    <row r="42" spans="1:18" ht="16.5" customHeight="1" thickBot="1" x14ac:dyDescent="0.35">
      <c r="A42" s="57" t="s">
        <v>54</v>
      </c>
      <c r="B42" s="58">
        <f>SUM(B36:B41)</f>
        <v>0</v>
      </c>
      <c r="C42" s="58">
        <f>SUM(C36:C41)</f>
        <v>1</v>
      </c>
      <c r="D42" s="58">
        <f>SUM(D36:D41)</f>
        <v>16</v>
      </c>
      <c r="E42" s="59">
        <f>SUM(B42:D42)</f>
        <v>17</v>
      </c>
      <c r="F42" s="58">
        <f>SUM(F36:F41)</f>
        <v>59</v>
      </c>
      <c r="G42" s="58">
        <f>SUM(G36:G41)</f>
        <v>160</v>
      </c>
      <c r="H42" s="58">
        <f>SUM(H36:H41)</f>
        <v>89</v>
      </c>
      <c r="I42" s="59">
        <f>SUM(F42:H42)</f>
        <v>308</v>
      </c>
      <c r="J42" s="58">
        <f>SUM(J36:J41)</f>
        <v>74</v>
      </c>
      <c r="K42" s="58">
        <f>SUM(K36:K41)</f>
        <v>54</v>
      </c>
      <c r="L42" s="58">
        <f>SUM(L36:L41)</f>
        <v>137</v>
      </c>
      <c r="M42" s="59">
        <f>SUM(J42:L42)</f>
        <v>265</v>
      </c>
      <c r="N42" s="58">
        <f>SUM(N36:N41)</f>
        <v>25</v>
      </c>
      <c r="O42" s="58">
        <f>SUM(O36:O41)</f>
        <v>39</v>
      </c>
      <c r="P42" s="58">
        <f>SUM(P36:P41)</f>
        <v>0</v>
      </c>
      <c r="Q42" s="59">
        <f>SUM(N42:P42)</f>
        <v>64</v>
      </c>
      <c r="R42" s="59">
        <f>+E42+I42+M42+Q42</f>
        <v>654</v>
      </c>
    </row>
    <row r="43" spans="1:18" ht="15.75" customHeight="1" x14ac:dyDescent="0.3">
      <c r="A43" s="18" t="s">
        <v>55</v>
      </c>
      <c r="B43" s="56"/>
      <c r="C43" s="56"/>
      <c r="D43" s="56"/>
      <c r="E43" s="55" t="s">
        <v>7</v>
      </c>
      <c r="F43" s="56"/>
      <c r="G43" s="56"/>
      <c r="H43" s="56"/>
      <c r="I43" s="55" t="s">
        <v>7</v>
      </c>
      <c r="J43" s="56"/>
      <c r="K43" s="56"/>
      <c r="L43" s="56"/>
      <c r="M43" s="55" t="s">
        <v>7</v>
      </c>
      <c r="N43" s="56"/>
      <c r="O43" s="56"/>
      <c r="P43" s="56"/>
      <c r="Q43" s="55" t="s">
        <v>7</v>
      </c>
      <c r="R43" s="60" t="s">
        <v>7</v>
      </c>
    </row>
    <row r="44" spans="1:18" ht="15.75" customHeight="1" x14ac:dyDescent="0.3">
      <c r="A44" s="18" t="s">
        <v>56</v>
      </c>
      <c r="B44" s="56"/>
      <c r="C44" s="56"/>
      <c r="D44" s="56"/>
      <c r="E44" s="55"/>
      <c r="F44" s="56"/>
      <c r="G44" s="56"/>
      <c r="H44" s="56"/>
      <c r="I44" s="55"/>
      <c r="J44" s="56"/>
      <c r="K44" s="56"/>
      <c r="L44" s="56"/>
      <c r="M44" s="55"/>
      <c r="N44" s="56"/>
      <c r="O44" s="56"/>
      <c r="P44" s="56"/>
      <c r="Q44" s="55"/>
      <c r="R44" s="55"/>
    </row>
    <row r="45" spans="1:18" ht="15.75" customHeight="1" x14ac:dyDescent="0.3">
      <c r="A45" s="18" t="s">
        <v>57</v>
      </c>
      <c r="B45" s="56"/>
      <c r="C45" s="56"/>
      <c r="D45" s="56"/>
      <c r="E45" s="55" t="s">
        <v>7</v>
      </c>
      <c r="F45" s="56"/>
      <c r="G45" s="56"/>
      <c r="H45" s="56"/>
      <c r="I45" s="55" t="s">
        <v>7</v>
      </c>
      <c r="J45" s="56"/>
      <c r="K45" s="56"/>
      <c r="L45" s="56"/>
      <c r="M45" s="55" t="s">
        <v>7</v>
      </c>
      <c r="N45" s="56"/>
      <c r="O45" s="56"/>
      <c r="P45" s="56"/>
      <c r="Q45" s="55" t="s">
        <v>7</v>
      </c>
      <c r="R45" s="55" t="s">
        <v>7</v>
      </c>
    </row>
    <row r="46" spans="1:18" ht="15.75" customHeight="1" thickBot="1" x14ac:dyDescent="0.35">
      <c r="A46" s="18" t="s">
        <v>58</v>
      </c>
      <c r="B46" s="56"/>
      <c r="C46" s="56"/>
      <c r="D46" s="56"/>
      <c r="E46" s="55" t="s">
        <v>7</v>
      </c>
      <c r="F46" s="56"/>
      <c r="G46" s="56"/>
      <c r="H46" s="56"/>
      <c r="I46" s="55" t="s">
        <v>7</v>
      </c>
      <c r="J46" s="56"/>
      <c r="K46" s="56"/>
      <c r="L46" s="56"/>
      <c r="M46" s="55" t="s">
        <v>7</v>
      </c>
      <c r="N46" s="56"/>
      <c r="O46" s="56"/>
      <c r="P46" s="56"/>
      <c r="Q46" s="55" t="s">
        <v>7</v>
      </c>
      <c r="R46" s="55" t="s">
        <v>7</v>
      </c>
    </row>
    <row r="47" spans="1:18" ht="16.5" customHeight="1" thickBot="1" x14ac:dyDescent="0.35">
      <c r="A47" s="57" t="s">
        <v>59</v>
      </c>
      <c r="B47" s="58">
        <f>SUM(B43:B46)</f>
        <v>0</v>
      </c>
      <c r="C47" s="58">
        <f>SUM(C43:C46)</f>
        <v>0</v>
      </c>
      <c r="D47" s="58">
        <f>SUM(D43:D46)</f>
        <v>0</v>
      </c>
      <c r="E47" s="59">
        <f>SUM(B47:D47)</f>
        <v>0</v>
      </c>
      <c r="F47" s="58">
        <f>SUM(F43:F46)</f>
        <v>0</v>
      </c>
      <c r="G47" s="58">
        <f>SUM(G43:G46)</f>
        <v>0</v>
      </c>
      <c r="H47" s="58">
        <f>SUM(H43:H46)</f>
        <v>0</v>
      </c>
      <c r="I47" s="59">
        <f>SUM(F47:H47)</f>
        <v>0</v>
      </c>
      <c r="J47" s="58">
        <f>SUM(J43:J46)</f>
        <v>0</v>
      </c>
      <c r="K47" s="58">
        <f>SUM(K43:K46)</f>
        <v>0</v>
      </c>
      <c r="L47" s="58">
        <f>SUM(L43:L46)</f>
        <v>0</v>
      </c>
      <c r="M47" s="59">
        <f>SUM(J47:L47)</f>
        <v>0</v>
      </c>
      <c r="N47" s="58">
        <f>SUM(N43:N46)</f>
        <v>0</v>
      </c>
      <c r="O47" s="58">
        <f>SUM(O43:O46)</f>
        <v>0</v>
      </c>
      <c r="P47" s="58">
        <f>SUM(P43:P46)</f>
        <v>0</v>
      </c>
      <c r="Q47" s="59">
        <f>SUM(N47:P47)</f>
        <v>0</v>
      </c>
      <c r="R47" s="59">
        <f>+E47+I47+M47+Q47</f>
        <v>0</v>
      </c>
    </row>
    <row r="48" spans="1:18" ht="15.75" customHeight="1" x14ac:dyDescent="0.3">
      <c r="A48" s="18" t="s">
        <v>60</v>
      </c>
      <c r="B48" s="56"/>
      <c r="C48" s="56"/>
      <c r="D48" s="56"/>
      <c r="E48" s="55" t="s">
        <v>7</v>
      </c>
      <c r="F48" s="56"/>
      <c r="G48" s="56"/>
      <c r="H48" s="56"/>
      <c r="I48" s="55" t="s">
        <v>7</v>
      </c>
      <c r="J48" s="56"/>
      <c r="K48" s="56"/>
      <c r="L48" s="56"/>
      <c r="M48" s="55" t="s">
        <v>7</v>
      </c>
      <c r="N48" s="56"/>
      <c r="O48" s="56"/>
      <c r="P48" s="56"/>
      <c r="Q48" s="55" t="s">
        <v>7</v>
      </c>
      <c r="R48" s="55" t="s">
        <v>7</v>
      </c>
    </row>
    <row r="49" spans="1:18" ht="15.75" customHeight="1" x14ac:dyDescent="0.3">
      <c r="A49" s="18" t="s">
        <v>61</v>
      </c>
      <c r="B49" s="56"/>
      <c r="C49" s="56"/>
      <c r="D49" s="56"/>
      <c r="E49" s="55" t="s">
        <v>7</v>
      </c>
      <c r="F49" s="56"/>
      <c r="G49" s="56"/>
      <c r="H49" s="56"/>
      <c r="I49" s="55" t="s">
        <v>7</v>
      </c>
      <c r="J49" s="56"/>
      <c r="K49" s="56"/>
      <c r="L49" s="56"/>
      <c r="M49" s="55" t="s">
        <v>7</v>
      </c>
      <c r="N49" s="56"/>
      <c r="O49" s="56"/>
      <c r="P49" s="56"/>
      <c r="Q49" s="55" t="s">
        <v>7</v>
      </c>
      <c r="R49" s="55" t="s">
        <v>7</v>
      </c>
    </row>
    <row r="50" spans="1:18" ht="15.75" customHeight="1" thickBot="1" x14ac:dyDescent="0.35">
      <c r="A50" s="18" t="s">
        <v>62</v>
      </c>
      <c r="B50" s="56"/>
      <c r="C50" s="56"/>
      <c r="D50" s="56"/>
      <c r="E50" s="55"/>
      <c r="F50" s="56"/>
      <c r="G50" s="56"/>
      <c r="H50" s="56"/>
      <c r="I50" s="55"/>
      <c r="J50" s="56"/>
      <c r="K50" s="56"/>
      <c r="L50" s="56"/>
      <c r="M50" s="55"/>
      <c r="N50" s="56"/>
      <c r="O50" s="56"/>
      <c r="P50" s="56"/>
      <c r="Q50" s="55"/>
      <c r="R50" s="55"/>
    </row>
    <row r="51" spans="1:18" ht="16.5" customHeight="1" thickBot="1" x14ac:dyDescent="0.35">
      <c r="A51" s="57" t="s">
        <v>63</v>
      </c>
      <c r="B51" s="58">
        <f>SUM(B48:B50)</f>
        <v>0</v>
      </c>
      <c r="C51" s="58">
        <f>SUM(C48:C50)</f>
        <v>0</v>
      </c>
      <c r="D51" s="58">
        <f>SUM(D48:D50)</f>
        <v>0</v>
      </c>
      <c r="E51" s="59">
        <f>SUM(B51:D51)</f>
        <v>0</v>
      </c>
      <c r="F51" s="58">
        <f>SUM(F48:F50)</f>
        <v>0</v>
      </c>
      <c r="G51" s="58">
        <f>SUM(G48:G50)</f>
        <v>0</v>
      </c>
      <c r="H51" s="58">
        <f>SUM(H48:H50)</f>
        <v>0</v>
      </c>
      <c r="I51" s="59">
        <f>SUM(F51:H51)</f>
        <v>0</v>
      </c>
      <c r="J51" s="58">
        <f>SUM(J48:J50)</f>
        <v>0</v>
      </c>
      <c r="K51" s="58">
        <f>SUM(K48:K50)</f>
        <v>0</v>
      </c>
      <c r="L51" s="58">
        <f>SUM(L48:L50)</f>
        <v>0</v>
      </c>
      <c r="M51" s="59">
        <f>SUM(J51:L51)</f>
        <v>0</v>
      </c>
      <c r="N51" s="58">
        <f>SUM(N48:N50)</f>
        <v>0</v>
      </c>
      <c r="O51" s="58">
        <f>SUM(O48:O50)</f>
        <v>0</v>
      </c>
      <c r="P51" s="58">
        <f>SUM(P48:P50)</f>
        <v>0</v>
      </c>
      <c r="Q51" s="59">
        <f>SUM(N51:P51)</f>
        <v>0</v>
      </c>
      <c r="R51" s="59">
        <f>+E51+I51+M51+Q51</f>
        <v>0</v>
      </c>
    </row>
    <row r="52" spans="1:18" ht="15.75" customHeight="1" x14ac:dyDescent="0.3">
      <c r="A52" s="18" t="s">
        <v>64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594</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18" t="s">
        <v>67</v>
      </c>
      <c r="B54" s="56"/>
      <c r="C54" s="56"/>
      <c r="D54" s="56"/>
      <c r="E54" s="55" t="s">
        <v>7</v>
      </c>
      <c r="F54" s="56"/>
      <c r="G54" s="56"/>
      <c r="H54" s="56"/>
      <c r="I54" s="55" t="s">
        <v>7</v>
      </c>
      <c r="J54" s="56"/>
      <c r="K54" s="56"/>
      <c r="L54" s="56"/>
      <c r="M54" s="55" t="s">
        <v>7</v>
      </c>
      <c r="N54" s="56"/>
      <c r="O54" s="56"/>
      <c r="P54" s="56"/>
      <c r="Q54" s="55" t="s">
        <v>7</v>
      </c>
      <c r="R54" s="55" t="s">
        <v>7</v>
      </c>
    </row>
    <row r="55" spans="1:18" ht="15.75" customHeight="1" x14ac:dyDescent="0.3">
      <c r="A55" s="61" t="s">
        <v>685</v>
      </c>
      <c r="B55" s="1"/>
      <c r="C55" s="1"/>
      <c r="D55" s="1"/>
      <c r="E55" s="55">
        <f>SUM(B55:D55)</f>
        <v>0</v>
      </c>
      <c r="F55" s="1"/>
      <c r="G55" s="1"/>
      <c r="H55" s="1"/>
      <c r="I55" s="55">
        <f>SUM(F55:H55)</f>
        <v>0</v>
      </c>
      <c r="J55" s="1"/>
      <c r="K55" s="1"/>
      <c r="L55" s="1"/>
      <c r="M55" s="55">
        <f>SUM(J55:L55)</f>
        <v>0</v>
      </c>
      <c r="N55" s="1"/>
      <c r="O55" s="1"/>
      <c r="P55" s="1"/>
      <c r="Q55" s="55">
        <f>SUM(N55:P55)</f>
        <v>0</v>
      </c>
      <c r="R55" s="55">
        <f>+E55+I55+M55+Q55</f>
        <v>0</v>
      </c>
    </row>
    <row r="56" spans="1:18" ht="15.75" customHeight="1" x14ac:dyDescent="0.3">
      <c r="A56" s="18" t="s">
        <v>600</v>
      </c>
      <c r="B56" s="56"/>
      <c r="C56" s="56"/>
      <c r="D56" s="56"/>
      <c r="E56" s="55" t="s">
        <v>7</v>
      </c>
      <c r="F56" s="56"/>
      <c r="G56" s="56"/>
      <c r="H56" s="56"/>
      <c r="I56" s="55" t="s">
        <v>7</v>
      </c>
      <c r="J56" s="56"/>
      <c r="K56" s="56"/>
      <c r="L56" s="56"/>
      <c r="M56" s="55" t="s">
        <v>7</v>
      </c>
      <c r="N56" s="56"/>
      <c r="O56" s="56"/>
      <c r="P56" s="56"/>
      <c r="Q56" s="55" t="s">
        <v>7</v>
      </c>
      <c r="R56" s="55" t="s">
        <v>7</v>
      </c>
    </row>
    <row r="57" spans="1:18" ht="15.75" customHeight="1" thickBot="1" x14ac:dyDescent="0.35">
      <c r="A57" s="18" t="s">
        <v>70</v>
      </c>
      <c r="B57" s="56"/>
      <c r="C57" s="56"/>
      <c r="D57" s="56"/>
      <c r="E57" s="55" t="s">
        <v>7</v>
      </c>
      <c r="F57" s="56"/>
      <c r="G57" s="56"/>
      <c r="H57" s="56"/>
      <c r="I57" s="55" t="s">
        <v>7</v>
      </c>
      <c r="J57" s="56"/>
      <c r="K57" s="56"/>
      <c r="L57" s="56"/>
      <c r="M57" s="55" t="s">
        <v>7</v>
      </c>
      <c r="N57" s="56"/>
      <c r="O57" s="56"/>
      <c r="P57" s="56"/>
      <c r="Q57" s="55" t="s">
        <v>7</v>
      </c>
      <c r="R57" s="55" t="s">
        <v>7</v>
      </c>
    </row>
    <row r="58" spans="1:18" ht="16.5" customHeight="1" thickBot="1" x14ac:dyDescent="0.35">
      <c r="A58" s="57" t="s">
        <v>71</v>
      </c>
      <c r="B58" s="58">
        <f>SUM(B56:B57)</f>
        <v>0</v>
      </c>
      <c r="C58" s="58">
        <f>SUM(C56:C57)</f>
        <v>0</v>
      </c>
      <c r="D58" s="58">
        <f>SUM(D56:D57)</f>
        <v>0</v>
      </c>
      <c r="E58" s="60">
        <f>SUM(B58:D58)</f>
        <v>0</v>
      </c>
      <c r="F58" s="58">
        <f>SUM(F56:F57)</f>
        <v>0</v>
      </c>
      <c r="G58" s="58">
        <f>SUM(G56:G57)</f>
        <v>0</v>
      </c>
      <c r="H58" s="58">
        <f>SUM(H56:H57)</f>
        <v>0</v>
      </c>
      <c r="I58" s="60">
        <f>SUM(F58:H58)</f>
        <v>0</v>
      </c>
      <c r="J58" s="58">
        <f>SUM(J56:J57)</f>
        <v>0</v>
      </c>
      <c r="K58" s="58">
        <f>SUM(K56:K57)</f>
        <v>0</v>
      </c>
      <c r="L58" s="58">
        <f>SUM(L56:L57)</f>
        <v>0</v>
      </c>
      <c r="M58" s="60">
        <f>SUM(J58:L58)</f>
        <v>0</v>
      </c>
      <c r="N58" s="58">
        <f>SUM(N56:N57)</f>
        <v>0</v>
      </c>
      <c r="O58" s="58">
        <f>SUM(O56:O57)</f>
        <v>0</v>
      </c>
      <c r="P58" s="58">
        <f>SUM(P56:P57)</f>
        <v>0</v>
      </c>
      <c r="Q58" s="60">
        <f>SUM(N58:P58)</f>
        <v>0</v>
      </c>
      <c r="R58" s="59">
        <f>+E58+I58+M58+Q58</f>
        <v>0</v>
      </c>
    </row>
    <row r="59" spans="1:18" ht="16.5" customHeight="1" thickBot="1" x14ac:dyDescent="0.35">
      <c r="A59" s="57" t="s">
        <v>72</v>
      </c>
      <c r="B59" s="58">
        <f>SUM(B52:B57)</f>
        <v>0</v>
      </c>
      <c r="C59" s="58">
        <f>SUM(C52:C57)</f>
        <v>0</v>
      </c>
      <c r="D59" s="58">
        <f>SUM(D52:D57)</f>
        <v>0</v>
      </c>
      <c r="E59" s="60">
        <f>SUM(B59:D59)</f>
        <v>0</v>
      </c>
      <c r="F59" s="58">
        <f>SUM(F52:F57)</f>
        <v>0</v>
      </c>
      <c r="G59" s="58">
        <f>SUM(G52:G57)</f>
        <v>0</v>
      </c>
      <c r="H59" s="58">
        <f>SUM(H52:H57)</f>
        <v>0</v>
      </c>
      <c r="I59" s="60">
        <f>SUM(F59:H59)</f>
        <v>0</v>
      </c>
      <c r="J59" s="58">
        <f>SUM(J52:J57)</f>
        <v>0</v>
      </c>
      <c r="K59" s="58">
        <f>SUM(K52:K57)</f>
        <v>0</v>
      </c>
      <c r="L59" s="58">
        <f>SUM(L52:L57)</f>
        <v>0</v>
      </c>
      <c r="M59" s="60">
        <f>SUM(J59:L59)</f>
        <v>0</v>
      </c>
      <c r="N59" s="58">
        <f>SUM(N52:N57)</f>
        <v>0</v>
      </c>
      <c r="O59" s="58">
        <f>SUM(O52:O57)</f>
        <v>0</v>
      </c>
      <c r="P59" s="58">
        <f>SUM(P52:P57)</f>
        <v>0</v>
      </c>
      <c r="Q59" s="60">
        <f>SUM(N59:P59)</f>
        <v>0</v>
      </c>
      <c r="R59" s="59">
        <f>+E59+I59+M59+Q59</f>
        <v>0</v>
      </c>
    </row>
    <row r="60" spans="1:18" ht="16.5" customHeight="1" thickBot="1" x14ac:dyDescent="0.35">
      <c r="A60" s="57" t="s">
        <v>73</v>
      </c>
      <c r="B60" s="58">
        <f>+B42+B47+B51+B59</f>
        <v>0</v>
      </c>
      <c r="C60" s="58">
        <f>+C42+C47+C51+C59</f>
        <v>1</v>
      </c>
      <c r="D60" s="58">
        <f>+D42+D47+D51+D59</f>
        <v>16</v>
      </c>
      <c r="E60" s="59">
        <f>SUM(B60:D60)</f>
        <v>17</v>
      </c>
      <c r="F60" s="58">
        <f>+F42+F47+F51+F59</f>
        <v>59</v>
      </c>
      <c r="G60" s="58">
        <f>+G42+G47+G51+G59</f>
        <v>160</v>
      </c>
      <c r="H60" s="58">
        <f>+H42+H47+H51+H59</f>
        <v>89</v>
      </c>
      <c r="I60" s="59">
        <f>SUM(F60:H60)</f>
        <v>308</v>
      </c>
      <c r="J60" s="58">
        <f>+J42+J47+J51+J59</f>
        <v>74</v>
      </c>
      <c r="K60" s="58">
        <f>+K42+K47+K51+K59</f>
        <v>54</v>
      </c>
      <c r="L60" s="58">
        <f>+L42+L47+L51+L59</f>
        <v>137</v>
      </c>
      <c r="M60" s="59">
        <f>SUM(J60:L60)</f>
        <v>265</v>
      </c>
      <c r="N60" s="58">
        <f>+N42+N47+N51+N59</f>
        <v>25</v>
      </c>
      <c r="O60" s="58">
        <f>+O42+O47+O51+O59</f>
        <v>39</v>
      </c>
      <c r="P60" s="58">
        <f>+P42+P47+P51+P59</f>
        <v>0</v>
      </c>
      <c r="Q60" s="59">
        <f>SUM(N60:P60)</f>
        <v>64</v>
      </c>
      <c r="R60" s="59">
        <f>+E60+I60+M60+Q60</f>
        <v>654</v>
      </c>
    </row>
    <row r="61" spans="1:18" ht="16.5" customHeight="1" thickBot="1" x14ac:dyDescent="0.35">
      <c r="A61" s="62" t="s">
        <v>40</v>
      </c>
      <c r="B61" s="63">
        <v>96</v>
      </c>
      <c r="C61" s="63">
        <v>145</v>
      </c>
      <c r="D61" s="63">
        <v>261</v>
      </c>
      <c r="E61" s="42">
        <f>SUM(B61:D61)</f>
        <v>502</v>
      </c>
      <c r="F61" s="63">
        <v>350</v>
      </c>
      <c r="G61" s="63">
        <v>402</v>
      </c>
      <c r="H61" s="63">
        <v>396</v>
      </c>
      <c r="I61" s="42">
        <f>SUM(F61:H61)</f>
        <v>1148</v>
      </c>
      <c r="J61" s="63">
        <v>394</v>
      </c>
      <c r="K61" s="63">
        <v>318</v>
      </c>
      <c r="L61" s="63">
        <v>301</v>
      </c>
      <c r="M61" s="42">
        <f>SUM(J61:L61)</f>
        <v>1013</v>
      </c>
      <c r="N61" s="63">
        <v>272</v>
      </c>
      <c r="O61" s="63">
        <v>226</v>
      </c>
      <c r="P61" s="63">
        <v>179</v>
      </c>
      <c r="Q61" s="42">
        <f>SUM(N61:P61)</f>
        <v>677</v>
      </c>
      <c r="R61" s="42">
        <f>+E61+I61+M61+Q61</f>
        <v>3340</v>
      </c>
    </row>
    <row r="62" spans="1:18" ht="16.5" customHeight="1" thickBot="1" x14ac:dyDescent="0.35">
      <c r="A62" s="41"/>
      <c r="B62" s="36"/>
      <c r="C62" s="36"/>
      <c r="D62" s="36"/>
      <c r="E62" s="22"/>
      <c r="F62" s="36"/>
      <c r="G62" s="36"/>
      <c r="H62" s="36"/>
      <c r="I62" s="22"/>
      <c r="J62" s="36"/>
      <c r="K62" s="36"/>
      <c r="L62" s="36"/>
      <c r="M62" s="22"/>
      <c r="N62" s="36"/>
      <c r="O62" s="36"/>
      <c r="P62" s="36"/>
      <c r="Q62" s="22"/>
      <c r="R62" s="41"/>
    </row>
    <row r="63" spans="1:18" ht="15.75" customHeight="1" x14ac:dyDescent="0.3">
      <c r="A63" s="15" t="s">
        <v>41</v>
      </c>
      <c r="B63" s="1">
        <f>+B60+B61</f>
        <v>96</v>
      </c>
      <c r="C63" s="1">
        <f>+C60+C61</f>
        <v>146</v>
      </c>
      <c r="D63" s="1">
        <f>+D60+D61</f>
        <v>277</v>
      </c>
      <c r="E63" s="40">
        <f>SUM(B63:D63)</f>
        <v>519</v>
      </c>
      <c r="F63" s="1">
        <f>+F60+F61</f>
        <v>409</v>
      </c>
      <c r="G63" s="1">
        <f>+G60+G61</f>
        <v>562</v>
      </c>
      <c r="H63" s="1">
        <f>+H60+H61</f>
        <v>485</v>
      </c>
      <c r="I63" s="40">
        <f>SUM(F63:H63)</f>
        <v>1456</v>
      </c>
      <c r="J63" s="1">
        <f>+J60+J61</f>
        <v>468</v>
      </c>
      <c r="K63" s="1">
        <f>+K60+K61</f>
        <v>372</v>
      </c>
      <c r="L63" s="1">
        <f>+L60+L61</f>
        <v>438</v>
      </c>
      <c r="M63" s="40">
        <f>SUM(J63:L63)</f>
        <v>1278</v>
      </c>
      <c r="N63" s="1">
        <f>+N60+N61</f>
        <v>297</v>
      </c>
      <c r="O63" s="1">
        <f>+O60+O61</f>
        <v>265</v>
      </c>
      <c r="P63" s="1">
        <f>+P60+P61</f>
        <v>179</v>
      </c>
      <c r="Q63" s="44">
        <f>SUM(N63:P63)</f>
        <v>741</v>
      </c>
      <c r="R63" s="16">
        <f>+E63+I63+M63+Q63</f>
        <v>3994</v>
      </c>
    </row>
    <row r="64" spans="1:18" ht="15.75" customHeight="1" x14ac:dyDescent="0.3">
      <c r="A64" s="15" t="s">
        <v>42</v>
      </c>
      <c r="B64" s="1">
        <f>(B63/31)/1.983</f>
        <v>1.5616612171197111</v>
      </c>
      <c r="C64" s="1">
        <f>(C63/28)/1.983</f>
        <v>2.6294935523377276</v>
      </c>
      <c r="D64" s="1">
        <f>(D63/31)/1.983</f>
        <v>4.5060433035641658</v>
      </c>
      <c r="E64" s="16"/>
      <c r="F64" s="1">
        <f>(F63/30)/1.983</f>
        <v>6.8751050596738938</v>
      </c>
      <c r="G64" s="1">
        <f>(G63/31)/1.983</f>
        <v>9.1422250418883078</v>
      </c>
      <c r="H64" s="1">
        <f>(H63/30)/1.983</f>
        <v>8.1526306942343254</v>
      </c>
      <c r="I64" s="16"/>
      <c r="J64" s="1">
        <f>(J63/31)/1.983</f>
        <v>7.6130984334585916</v>
      </c>
      <c r="K64" s="1">
        <f>(K63/31)/1.983</f>
        <v>6.0514372163388801</v>
      </c>
      <c r="L64" s="1">
        <f>(L63/30)/1.983</f>
        <v>7.362581946545637</v>
      </c>
      <c r="M64" s="16"/>
      <c r="N64" s="1">
        <f>(N63/31)/1.983</f>
        <v>4.8313893904641061</v>
      </c>
      <c r="O64" s="1">
        <f>(O63/30)/1.983</f>
        <v>4.4545301731383429</v>
      </c>
      <c r="P64" s="1">
        <f>(P63/31)/1.983</f>
        <v>2.9118474777544612</v>
      </c>
      <c r="Q64" s="17"/>
      <c r="R64" s="64"/>
    </row>
    <row r="65" spans="1:19" ht="15.75" customHeight="1" x14ac:dyDescent="0.3">
      <c r="A65" s="15" t="s">
        <v>74</v>
      </c>
      <c r="B65" s="1">
        <f>B63+B128</f>
        <v>183456</v>
      </c>
      <c r="C65" s="1">
        <f>C63+C128</f>
        <v>168124</v>
      </c>
      <c r="D65" s="1">
        <f>D63+D128</f>
        <v>187248</v>
      </c>
      <c r="E65" s="16">
        <f>SUM(B65:D65)</f>
        <v>538828</v>
      </c>
      <c r="F65" s="1">
        <f>F63+F128</f>
        <v>181037</v>
      </c>
      <c r="G65" s="1">
        <f>G63+G128</f>
        <v>180167</v>
      </c>
      <c r="H65" s="1">
        <f>H63+H128</f>
        <v>130780</v>
      </c>
      <c r="I65" s="16">
        <f>SUM(F65:H65)</f>
        <v>491984</v>
      </c>
      <c r="J65" s="1">
        <f>J63+J128</f>
        <v>39564</v>
      </c>
      <c r="K65" s="1">
        <f>K63+K128</f>
        <v>86262</v>
      </c>
      <c r="L65" s="1">
        <f>L63+L128</f>
        <v>137064</v>
      </c>
      <c r="M65" s="16">
        <f>SUM(J65:L65)</f>
        <v>262890</v>
      </c>
      <c r="N65" s="1">
        <f>N63+N128</f>
        <v>31701</v>
      </c>
      <c r="O65" s="1">
        <f>O63+O128</f>
        <v>173055</v>
      </c>
      <c r="P65" s="1">
        <f>P63+P128</f>
        <v>133794</v>
      </c>
      <c r="Q65" s="17">
        <f>SUM(N65:P65)</f>
        <v>338550</v>
      </c>
      <c r="R65" s="16">
        <f>+E65+I65+M65+Q65</f>
        <v>1632252</v>
      </c>
    </row>
    <row r="66" spans="1:19" ht="16.5" customHeight="1" thickBot="1" x14ac:dyDescent="0.35">
      <c r="A66" s="20" t="s">
        <v>75</v>
      </c>
      <c r="B66" s="21">
        <f>(B65/31)/1.983</f>
        <v>2984.334585915768</v>
      </c>
      <c r="C66" s="21">
        <f>(C65/28)/1.983</f>
        <v>3027.9518766659462</v>
      </c>
      <c r="D66" s="21">
        <f>(D65/31)/1.983</f>
        <v>3046.0202039919964</v>
      </c>
      <c r="E66" s="22"/>
      <c r="F66" s="21">
        <f>(F65/30)/1.983</f>
        <v>3043.1501092620606</v>
      </c>
      <c r="G66" s="21">
        <f>(G65/31)/1.983</f>
        <v>2930.8314219250728</v>
      </c>
      <c r="H66" s="21">
        <f>(H65/30)/1.983</f>
        <v>2198.3526643133296</v>
      </c>
      <c r="I66" s="22"/>
      <c r="J66" s="21">
        <f>(J65/31)/1.983</f>
        <v>643.59962910546085</v>
      </c>
      <c r="K66" s="21">
        <f>(K65/31)/1.983</f>
        <v>1403.2502074081303</v>
      </c>
      <c r="L66" s="21">
        <f>(L65/30)/1.983</f>
        <v>2303.9838628340899</v>
      </c>
      <c r="M66" s="22"/>
      <c r="N66" s="21">
        <f>(N65/31)/1.983</f>
        <v>515.68981504074952</v>
      </c>
      <c r="O66" s="21">
        <f>(O65/30)/1.983</f>
        <v>2908.9762985375692</v>
      </c>
      <c r="P66" s="21">
        <f>(P65/31)/1.983</f>
        <v>2176.4677175345273</v>
      </c>
      <c r="Q66" s="23"/>
      <c r="R66" s="65" t="s">
        <v>7</v>
      </c>
    </row>
    <row r="67" spans="1:19" ht="15.75" customHeight="1" x14ac:dyDescent="0.3">
      <c r="A67" s="2"/>
      <c r="B67" s="1"/>
      <c r="C67" s="1"/>
      <c r="D67" s="1"/>
      <c r="E67" s="1"/>
      <c r="F67" s="1"/>
      <c r="G67" s="1"/>
      <c r="H67" s="1"/>
      <c r="I67" s="1"/>
      <c r="J67" s="1"/>
      <c r="K67" s="1"/>
      <c r="L67" s="1"/>
      <c r="M67" s="1"/>
      <c r="N67" s="1"/>
      <c r="O67" s="1"/>
      <c r="P67" s="1"/>
      <c r="Q67" s="1"/>
      <c r="R67" s="2"/>
    </row>
    <row r="68" spans="1:19" ht="15.75" customHeight="1" thickBot="1" x14ac:dyDescent="0.35">
      <c r="A68" s="2"/>
      <c r="B68" s="1"/>
      <c r="C68" s="1"/>
      <c r="D68" s="1"/>
      <c r="E68" s="1"/>
      <c r="F68" s="1"/>
      <c r="G68" s="1"/>
      <c r="H68" s="1"/>
      <c r="I68" s="1"/>
      <c r="J68" s="1"/>
      <c r="K68" s="1"/>
      <c r="L68" s="1"/>
      <c r="M68" s="1"/>
      <c r="N68" s="1"/>
      <c r="O68" s="1"/>
      <c r="P68" s="1"/>
      <c r="Q68" s="1"/>
      <c r="R68" s="2"/>
    </row>
    <row r="69" spans="1:19" ht="16.5" customHeight="1" thickBot="1" x14ac:dyDescent="0.35">
      <c r="A69" s="29" t="s">
        <v>76</v>
      </c>
      <c r="B69" s="30" t="s">
        <v>8</v>
      </c>
      <c r="C69" s="31" t="s">
        <v>9</v>
      </c>
      <c r="D69" s="31" t="s">
        <v>10</v>
      </c>
      <c r="E69" s="32" t="s">
        <v>11</v>
      </c>
      <c r="F69" s="31" t="s">
        <v>12</v>
      </c>
      <c r="G69" s="31" t="s">
        <v>13</v>
      </c>
      <c r="H69" s="31" t="s">
        <v>14</v>
      </c>
      <c r="I69" s="33" t="s">
        <v>15</v>
      </c>
      <c r="J69" s="31" t="s">
        <v>16</v>
      </c>
      <c r="K69" s="31" t="s">
        <v>17</v>
      </c>
      <c r="L69" s="31" t="s">
        <v>18</v>
      </c>
      <c r="M69" s="33" t="s">
        <v>19</v>
      </c>
      <c r="N69" s="31" t="s">
        <v>20</v>
      </c>
      <c r="O69" s="31" t="s">
        <v>21</v>
      </c>
      <c r="P69" s="31" t="s">
        <v>22</v>
      </c>
      <c r="Q69" s="33" t="s">
        <v>23</v>
      </c>
      <c r="R69" s="34" t="s">
        <v>24</v>
      </c>
    </row>
    <row r="70" spans="1:19" ht="16.5" customHeight="1" thickBot="1" x14ac:dyDescent="0.35">
      <c r="A70" s="66"/>
      <c r="B70" s="67"/>
      <c r="C70" s="68"/>
      <c r="D70" s="68"/>
      <c r="E70" s="69"/>
      <c r="F70" s="68"/>
      <c r="G70" s="68"/>
      <c r="H70" s="68"/>
      <c r="I70" s="69"/>
      <c r="J70" s="68"/>
      <c r="K70" s="68"/>
      <c r="L70" s="68"/>
      <c r="M70" s="69"/>
      <c r="N70" s="68"/>
      <c r="O70" s="68"/>
      <c r="P70" s="70"/>
      <c r="Q70" s="69"/>
      <c r="R70" s="59"/>
    </row>
    <row r="71" spans="1:19" ht="15.75" customHeight="1" x14ac:dyDescent="0.3">
      <c r="A71" s="54" t="s">
        <v>48</v>
      </c>
      <c r="B71" s="28"/>
      <c r="C71" s="28"/>
      <c r="D71" s="28"/>
      <c r="E71" s="55" t="s">
        <v>7</v>
      </c>
      <c r="F71" s="28"/>
      <c r="G71" s="28"/>
      <c r="H71" s="28"/>
      <c r="I71" s="55" t="s">
        <v>7</v>
      </c>
      <c r="J71" s="28"/>
      <c r="K71" s="28"/>
      <c r="L71" s="28"/>
      <c r="M71" s="55" t="s">
        <v>7</v>
      </c>
      <c r="N71" s="28"/>
      <c r="O71" s="28"/>
      <c r="P71" s="28"/>
      <c r="Q71" s="55" t="s">
        <v>7</v>
      </c>
      <c r="R71" s="55" t="s">
        <v>7</v>
      </c>
    </row>
    <row r="72" spans="1:19" ht="15.75" customHeight="1" x14ac:dyDescent="0.3">
      <c r="A72" s="18" t="s">
        <v>49</v>
      </c>
      <c r="B72" s="28"/>
      <c r="C72" s="56"/>
      <c r="D72" s="56"/>
      <c r="E72" s="55" t="s">
        <v>7</v>
      </c>
      <c r="F72" s="56"/>
      <c r="G72" s="56"/>
      <c r="H72" s="56"/>
      <c r="I72" s="55" t="s">
        <v>7</v>
      </c>
      <c r="J72" s="56"/>
      <c r="K72" s="56"/>
      <c r="L72" s="56"/>
      <c r="M72" s="55" t="s">
        <v>7</v>
      </c>
      <c r="N72" s="56"/>
      <c r="O72" s="56"/>
      <c r="P72" s="56"/>
      <c r="Q72" s="55" t="s">
        <v>7</v>
      </c>
      <c r="R72" s="55" t="s">
        <v>7</v>
      </c>
    </row>
    <row r="73" spans="1:19" ht="15.75" customHeight="1" x14ac:dyDescent="0.3">
      <c r="A73" s="71" t="s">
        <v>686</v>
      </c>
      <c r="B73" s="1"/>
      <c r="C73" s="1"/>
      <c r="D73" s="1"/>
      <c r="E73" s="55">
        <f t="shared" ref="E73:E79" si="5">SUM(B73:D73)</f>
        <v>0</v>
      </c>
      <c r="F73" s="1"/>
      <c r="G73" s="1"/>
      <c r="H73" s="1"/>
      <c r="I73" s="55">
        <f t="shared" ref="I73:I79" si="6">SUM(F73:H73)</f>
        <v>0</v>
      </c>
      <c r="J73" s="1"/>
      <c r="K73" s="1"/>
      <c r="L73" s="1"/>
      <c r="M73" s="55">
        <f t="shared" ref="M73:M79" si="7">SUM(J73:L73)</f>
        <v>0</v>
      </c>
      <c r="N73" s="1"/>
      <c r="O73" s="1"/>
      <c r="P73" s="1"/>
      <c r="Q73" s="55">
        <f t="shared" ref="Q73:Q79" si="8">SUM(N73:P73)</f>
        <v>0</v>
      </c>
      <c r="R73" s="55">
        <f t="shared" ref="R73:R79" si="9">+E73+I73+M73+Q73</f>
        <v>0</v>
      </c>
    </row>
    <row r="74" spans="1:19" ht="15.75" customHeight="1" x14ac:dyDescent="0.3">
      <c r="A74" s="71" t="s">
        <v>687</v>
      </c>
      <c r="B74" s="1"/>
      <c r="C74" s="1"/>
      <c r="D74" s="1"/>
      <c r="E74" s="55">
        <f>SUM(B74:D74)</f>
        <v>0</v>
      </c>
      <c r="F74" s="1"/>
      <c r="G74" s="1"/>
      <c r="H74" s="1"/>
      <c r="I74" s="55">
        <f>SUM(F74:H74)</f>
        <v>0</v>
      </c>
      <c r="J74" s="1"/>
      <c r="K74" s="1"/>
      <c r="L74" s="1"/>
      <c r="M74" s="55">
        <f>SUM(J74:L74)</f>
        <v>0</v>
      </c>
      <c r="N74" s="1"/>
      <c r="O74" s="1"/>
      <c r="P74" s="1"/>
      <c r="Q74" s="55">
        <f>SUM(N74:P74)</f>
        <v>0</v>
      </c>
      <c r="R74" s="55">
        <f>+E74+I74+M74+Q74</f>
        <v>0</v>
      </c>
    </row>
    <row r="75" spans="1:19" ht="15.75" customHeight="1" x14ac:dyDescent="0.3">
      <c r="A75" s="71" t="s">
        <v>524</v>
      </c>
      <c r="B75" s="1"/>
      <c r="C75" s="1"/>
      <c r="D75" s="1"/>
      <c r="E75" s="55">
        <f t="shared" si="5"/>
        <v>0</v>
      </c>
      <c r="F75" s="1"/>
      <c r="G75" s="1"/>
      <c r="H75" s="1"/>
      <c r="I75" s="55">
        <f t="shared" si="6"/>
        <v>0</v>
      </c>
      <c r="J75" s="1"/>
      <c r="K75" s="1"/>
      <c r="L75" s="1"/>
      <c r="M75" s="55">
        <f t="shared" si="7"/>
        <v>0</v>
      </c>
      <c r="N75" s="1"/>
      <c r="O75" s="1"/>
      <c r="P75" s="1"/>
      <c r="Q75" s="55">
        <f t="shared" si="8"/>
        <v>0</v>
      </c>
      <c r="R75" s="55">
        <f t="shared" si="9"/>
        <v>0</v>
      </c>
    </row>
    <row r="76" spans="1:19" ht="15.75" customHeight="1" x14ac:dyDescent="0.3">
      <c r="A76" s="71" t="s">
        <v>78</v>
      </c>
      <c r="B76" s="1"/>
      <c r="C76" s="1"/>
      <c r="D76" s="1"/>
      <c r="E76" s="55">
        <f t="shared" si="5"/>
        <v>0</v>
      </c>
      <c r="F76" s="1"/>
      <c r="G76" s="1"/>
      <c r="H76" s="1"/>
      <c r="I76" s="55">
        <f t="shared" si="6"/>
        <v>0</v>
      </c>
      <c r="J76" s="1"/>
      <c r="K76" s="1"/>
      <c r="L76" s="1"/>
      <c r="M76" s="55">
        <f t="shared" si="7"/>
        <v>0</v>
      </c>
      <c r="N76" s="1"/>
      <c r="O76" s="1"/>
      <c r="P76" s="1"/>
      <c r="Q76" s="55">
        <f t="shared" si="8"/>
        <v>0</v>
      </c>
      <c r="R76" s="55">
        <f t="shared" si="9"/>
        <v>0</v>
      </c>
    </row>
    <row r="77" spans="1:19" ht="15.75" customHeight="1" x14ac:dyDescent="0.3">
      <c r="A77" s="71" t="s">
        <v>525</v>
      </c>
      <c r="B77" s="1"/>
      <c r="C77" s="1"/>
      <c r="D77" s="1"/>
      <c r="E77" s="55">
        <f t="shared" si="5"/>
        <v>0</v>
      </c>
      <c r="F77" s="1"/>
      <c r="G77" s="1"/>
      <c r="H77" s="1"/>
      <c r="I77" s="55">
        <f t="shared" si="6"/>
        <v>0</v>
      </c>
      <c r="J77" s="1"/>
      <c r="K77" s="1"/>
      <c r="L77" s="1"/>
      <c r="M77" s="55">
        <f t="shared" si="7"/>
        <v>0</v>
      </c>
      <c r="N77" s="1"/>
      <c r="O77" s="1">
        <v>200</v>
      </c>
      <c r="P77" s="1">
        <v>308</v>
      </c>
      <c r="Q77" s="55">
        <f t="shared" si="8"/>
        <v>508</v>
      </c>
      <c r="R77" s="55">
        <f t="shared" si="9"/>
        <v>508</v>
      </c>
    </row>
    <row r="78" spans="1:19" ht="15.75" customHeight="1" x14ac:dyDescent="0.3">
      <c r="A78" s="72" t="s">
        <v>79</v>
      </c>
      <c r="B78" s="1"/>
      <c r="C78" s="1"/>
      <c r="D78" s="1"/>
      <c r="E78" s="55">
        <f t="shared" si="5"/>
        <v>0</v>
      </c>
      <c r="F78" s="1"/>
      <c r="G78" s="1"/>
      <c r="H78" s="1"/>
      <c r="I78" s="55">
        <f t="shared" si="6"/>
        <v>0</v>
      </c>
      <c r="J78" s="1"/>
      <c r="K78" s="1"/>
      <c r="L78" s="1"/>
      <c r="M78" s="55">
        <f t="shared" si="7"/>
        <v>0</v>
      </c>
      <c r="N78" s="1"/>
      <c r="O78" s="1"/>
      <c r="P78" s="1"/>
      <c r="Q78" s="55">
        <f t="shared" si="8"/>
        <v>0</v>
      </c>
      <c r="R78" s="55">
        <f t="shared" si="9"/>
        <v>0</v>
      </c>
    </row>
    <row r="79" spans="1:19" ht="15.75" customHeight="1" x14ac:dyDescent="0.3">
      <c r="A79" s="72" t="s">
        <v>80</v>
      </c>
      <c r="B79" s="1"/>
      <c r="C79" s="1"/>
      <c r="D79" s="1"/>
      <c r="E79" s="55">
        <f t="shared" si="5"/>
        <v>0</v>
      </c>
      <c r="F79" s="1"/>
      <c r="G79" s="1"/>
      <c r="H79" s="1"/>
      <c r="I79" s="55">
        <f t="shared" si="6"/>
        <v>0</v>
      </c>
      <c r="J79" s="1"/>
      <c r="K79" s="1"/>
      <c r="L79" s="1"/>
      <c r="M79" s="55">
        <f t="shared" si="7"/>
        <v>0</v>
      </c>
      <c r="N79" s="1"/>
      <c r="O79" s="1"/>
      <c r="P79" s="1"/>
      <c r="Q79" s="55">
        <f t="shared" si="8"/>
        <v>0</v>
      </c>
      <c r="R79" s="55">
        <f t="shared" si="9"/>
        <v>0</v>
      </c>
      <c r="S79" s="4">
        <f>SUM(R73:R79)</f>
        <v>508</v>
      </c>
    </row>
    <row r="80" spans="1:19" ht="15.75" customHeight="1" x14ac:dyDescent="0.3">
      <c r="A80" s="18" t="s">
        <v>50</v>
      </c>
      <c r="B80" s="28"/>
      <c r="C80" s="28"/>
      <c r="D80" s="28"/>
      <c r="E80" s="55" t="s">
        <v>7</v>
      </c>
      <c r="F80" s="28"/>
      <c r="G80" s="28"/>
      <c r="H80" s="28"/>
      <c r="I80" s="55" t="s">
        <v>7</v>
      </c>
      <c r="J80" s="28"/>
      <c r="K80" s="28"/>
      <c r="L80" s="28"/>
      <c r="M80" s="55" t="s">
        <v>7</v>
      </c>
      <c r="N80" s="28"/>
      <c r="O80" s="28"/>
      <c r="P80" s="28"/>
      <c r="Q80" s="55" t="s">
        <v>7</v>
      </c>
      <c r="R80" s="55" t="s">
        <v>7</v>
      </c>
    </row>
    <row r="81" spans="1:18" ht="15.75" customHeight="1" x14ac:dyDescent="0.3">
      <c r="A81" s="72" t="s">
        <v>81</v>
      </c>
      <c r="B81" s="1"/>
      <c r="C81" s="1"/>
      <c r="D81" s="1"/>
      <c r="E81" s="55">
        <f>SUM(B81:D81)</f>
        <v>0</v>
      </c>
      <c r="F81" s="1"/>
      <c r="G81" s="1"/>
      <c r="H81" s="1"/>
      <c r="I81" s="55">
        <f>SUM(F81:H81)</f>
        <v>0</v>
      </c>
      <c r="J81" s="1"/>
      <c r="K81" s="1"/>
      <c r="L81" s="1"/>
      <c r="M81" s="55">
        <f>SUM(J81:L81)</f>
        <v>0</v>
      </c>
      <c r="N81" s="1"/>
      <c r="O81" s="1"/>
      <c r="P81" s="1">
        <v>509</v>
      </c>
      <c r="Q81" s="55">
        <f>SUM(N81:P81)</f>
        <v>509</v>
      </c>
      <c r="R81" s="55">
        <f>+E81+I81+M81+Q81</f>
        <v>509</v>
      </c>
    </row>
    <row r="82" spans="1:18" ht="15.75" customHeight="1" x14ac:dyDescent="0.3">
      <c r="A82" s="72" t="s">
        <v>83</v>
      </c>
      <c r="B82" s="1"/>
      <c r="C82" s="1"/>
      <c r="D82" s="1"/>
      <c r="E82" s="55">
        <f>SUM(B82:D82)</f>
        <v>0</v>
      </c>
      <c r="F82" s="1"/>
      <c r="G82" s="1"/>
      <c r="H82" s="1"/>
      <c r="I82" s="55">
        <f>SUM(F82:H82)</f>
        <v>0</v>
      </c>
      <c r="J82" s="1"/>
      <c r="K82" s="1"/>
      <c r="L82" s="1"/>
      <c r="M82" s="55">
        <f>SUM(J82:L82)</f>
        <v>0</v>
      </c>
      <c r="N82" s="1"/>
      <c r="O82" s="1"/>
      <c r="P82" s="1"/>
      <c r="Q82" s="55">
        <f>SUM(N82:P82)</f>
        <v>0</v>
      </c>
      <c r="R82" s="55">
        <f>+E82+I82+M82+Q82</f>
        <v>0</v>
      </c>
    </row>
    <row r="83" spans="1:18" ht="15.75" customHeight="1" x14ac:dyDescent="0.3">
      <c r="A83" s="18" t="s">
        <v>51</v>
      </c>
      <c r="B83" s="28"/>
      <c r="C83" s="28"/>
      <c r="D83" s="28"/>
      <c r="E83" s="55" t="s">
        <v>52</v>
      </c>
      <c r="F83" s="28"/>
      <c r="G83" s="28"/>
      <c r="H83" s="28"/>
      <c r="I83" s="55" t="s">
        <v>52</v>
      </c>
      <c r="J83" s="28"/>
      <c r="K83" s="28"/>
      <c r="L83" s="28"/>
      <c r="M83" s="55" t="s">
        <v>52</v>
      </c>
      <c r="N83" s="28"/>
      <c r="O83" s="28"/>
      <c r="P83" s="28"/>
      <c r="Q83" s="55" t="s">
        <v>52</v>
      </c>
      <c r="R83" s="55" t="s">
        <v>52</v>
      </c>
    </row>
    <row r="84" spans="1:18" ht="15.75" customHeight="1" x14ac:dyDescent="0.3">
      <c r="A84" s="61" t="s">
        <v>689</v>
      </c>
      <c r="B84" s="1"/>
      <c r="C84" s="1"/>
      <c r="D84" s="1"/>
      <c r="E84" s="55">
        <f>SUM(B84:D84)</f>
        <v>0</v>
      </c>
      <c r="F84" s="1"/>
      <c r="G84" s="1"/>
      <c r="H84" s="1"/>
      <c r="I84" s="55">
        <f>SUM(F84:H84)</f>
        <v>0</v>
      </c>
      <c r="J84" s="1"/>
      <c r="K84" s="1"/>
      <c r="L84" s="1"/>
      <c r="M84" s="55">
        <f>SUM(J84:L84)</f>
        <v>0</v>
      </c>
      <c r="N84" s="1"/>
      <c r="O84" s="1"/>
      <c r="P84" s="1"/>
      <c r="Q84" s="55">
        <f>SUM(N84:P84)</f>
        <v>0</v>
      </c>
      <c r="R84" s="55">
        <f>+E84+I84+M84+Q84</f>
        <v>0</v>
      </c>
    </row>
    <row r="85" spans="1:18" ht="15.75" customHeight="1" x14ac:dyDescent="0.3">
      <c r="A85" s="61" t="s">
        <v>688</v>
      </c>
      <c r="B85" s="1">
        <v>305</v>
      </c>
      <c r="C85" s="1">
        <v>694</v>
      </c>
      <c r="D85" s="1">
        <v>1103</v>
      </c>
      <c r="E85" s="55">
        <f>SUM(B85:D85)</f>
        <v>2102</v>
      </c>
      <c r="F85" s="1">
        <v>2105</v>
      </c>
      <c r="G85" s="1">
        <v>1129</v>
      </c>
      <c r="H85" s="1">
        <f>1093-129</f>
        <v>964</v>
      </c>
      <c r="I85" s="55">
        <f>SUM(F85:H85)</f>
        <v>4198</v>
      </c>
      <c r="J85" s="1"/>
      <c r="K85" s="1"/>
      <c r="L85" s="1"/>
      <c r="M85" s="55">
        <f>SUM(J85:L85)</f>
        <v>0</v>
      </c>
      <c r="N85" s="1"/>
      <c r="O85" s="1"/>
      <c r="P85" s="1">
        <v>285</v>
      </c>
      <c r="Q85" s="55">
        <f>SUM(N85:P85)</f>
        <v>285</v>
      </c>
      <c r="R85" s="55">
        <f>+E85+I85+M85+Q85</f>
        <v>6585</v>
      </c>
    </row>
    <row r="86" spans="1:18" ht="15.75" customHeight="1" thickBot="1" x14ac:dyDescent="0.35">
      <c r="A86" s="18" t="s">
        <v>53</v>
      </c>
      <c r="B86" s="56"/>
      <c r="C86" s="56"/>
      <c r="D86" s="56"/>
      <c r="E86" s="55" t="s">
        <v>7</v>
      </c>
      <c r="F86" s="56"/>
      <c r="G86" s="56"/>
      <c r="H86" s="56"/>
      <c r="I86" s="55" t="s">
        <v>7</v>
      </c>
      <c r="J86" s="56"/>
      <c r="K86" s="56"/>
      <c r="L86" s="56"/>
      <c r="M86" s="55" t="s">
        <v>7</v>
      </c>
      <c r="N86" s="56"/>
      <c r="O86" s="56"/>
      <c r="P86" s="56"/>
      <c r="Q86" s="55" t="s">
        <v>7</v>
      </c>
      <c r="R86" s="55" t="s">
        <v>7</v>
      </c>
    </row>
    <row r="87" spans="1:18" ht="16.5" customHeight="1" thickBot="1" x14ac:dyDescent="0.35">
      <c r="A87" s="57" t="s">
        <v>54</v>
      </c>
      <c r="B87" s="58">
        <f>SUM(B71:B86)</f>
        <v>305</v>
      </c>
      <c r="C87" s="58">
        <f>SUM(C71:C86)</f>
        <v>694</v>
      </c>
      <c r="D87" s="58">
        <f>SUM(D71:D86)</f>
        <v>1103</v>
      </c>
      <c r="E87" s="59">
        <f>SUM(B87:D87)</f>
        <v>2102</v>
      </c>
      <c r="F87" s="58">
        <f>SUM(F71:F86)</f>
        <v>2105</v>
      </c>
      <c r="G87" s="58">
        <f>SUM(G71:G86)</f>
        <v>1129</v>
      </c>
      <c r="H87" s="58">
        <f>SUM(H71:H86)</f>
        <v>964</v>
      </c>
      <c r="I87" s="59">
        <f>SUM(F87:H87)</f>
        <v>4198</v>
      </c>
      <c r="J87" s="58">
        <f>SUM(J71:J86)</f>
        <v>0</v>
      </c>
      <c r="K87" s="58">
        <f>SUM(K71:K86)</f>
        <v>0</v>
      </c>
      <c r="L87" s="58">
        <f>SUM(L71:L86)</f>
        <v>0</v>
      </c>
      <c r="M87" s="59">
        <f>SUM(J87:L87)</f>
        <v>0</v>
      </c>
      <c r="N87" s="58">
        <f>SUM(N71:N86)</f>
        <v>0</v>
      </c>
      <c r="O87" s="58">
        <f>SUM(O71:O86)</f>
        <v>200</v>
      </c>
      <c r="P87" s="58">
        <f>SUM(P71:P86)</f>
        <v>1102</v>
      </c>
      <c r="Q87" s="59">
        <f>SUM(N87:P87)</f>
        <v>1302</v>
      </c>
      <c r="R87" s="59">
        <f>+E87+I87+M87+Q87</f>
        <v>7602</v>
      </c>
    </row>
    <row r="88" spans="1:18" ht="15.75" customHeight="1" x14ac:dyDescent="0.3">
      <c r="A88" s="18" t="s">
        <v>55</v>
      </c>
      <c r="B88" s="56"/>
      <c r="C88" s="56"/>
      <c r="D88" s="56"/>
      <c r="E88" s="55" t="s">
        <v>7</v>
      </c>
      <c r="F88" s="56"/>
      <c r="G88" s="56"/>
      <c r="H88" s="56"/>
      <c r="I88" s="55" t="s">
        <v>7</v>
      </c>
      <c r="J88" s="56"/>
      <c r="K88" s="56"/>
      <c r="L88" s="56"/>
      <c r="M88" s="55" t="s">
        <v>7</v>
      </c>
      <c r="N88" s="56"/>
      <c r="O88" s="56"/>
      <c r="P88" s="56"/>
      <c r="Q88" s="55" t="s">
        <v>7</v>
      </c>
      <c r="R88" s="60" t="s">
        <v>7</v>
      </c>
    </row>
    <row r="89" spans="1:18" ht="15.75" customHeight="1" x14ac:dyDescent="0.3">
      <c r="A89" s="18" t="s">
        <v>56</v>
      </c>
      <c r="B89" s="56"/>
      <c r="C89" s="56"/>
      <c r="D89" s="56"/>
      <c r="E89" s="55" t="s">
        <v>7</v>
      </c>
      <c r="F89" s="56"/>
      <c r="G89" s="56"/>
      <c r="H89" s="56"/>
      <c r="I89" s="55" t="s">
        <v>7</v>
      </c>
      <c r="J89" s="56"/>
      <c r="K89" s="56"/>
      <c r="L89" s="56"/>
      <c r="M89" s="55" t="s">
        <v>7</v>
      </c>
      <c r="N89" s="56"/>
      <c r="O89" s="56"/>
      <c r="P89" s="56"/>
      <c r="Q89" s="55" t="s">
        <v>7</v>
      </c>
      <c r="R89" s="55" t="s">
        <v>7</v>
      </c>
    </row>
    <row r="90" spans="1:18" ht="15.75" customHeight="1" x14ac:dyDescent="0.3">
      <c r="A90" s="18" t="s">
        <v>57</v>
      </c>
      <c r="B90" s="56"/>
      <c r="C90" s="56"/>
      <c r="D90" s="56"/>
      <c r="E90" s="55" t="s">
        <v>7</v>
      </c>
      <c r="F90" s="56"/>
      <c r="G90" s="56"/>
      <c r="H90" s="56"/>
      <c r="I90" s="55" t="s">
        <v>7</v>
      </c>
      <c r="J90" s="56"/>
      <c r="K90" s="56"/>
      <c r="L90" s="56"/>
      <c r="M90" s="55" t="s">
        <v>7</v>
      </c>
      <c r="N90" s="56"/>
      <c r="O90" s="56"/>
      <c r="P90" s="56"/>
      <c r="Q90" s="55" t="s">
        <v>7</v>
      </c>
      <c r="R90" s="55" t="s">
        <v>7</v>
      </c>
    </row>
    <row r="91" spans="1:18" ht="15.75" customHeight="1" x14ac:dyDescent="0.3">
      <c r="A91" s="72" t="s">
        <v>81</v>
      </c>
      <c r="B91" s="1">
        <v>1459</v>
      </c>
      <c r="C91" s="1">
        <v>1790</v>
      </c>
      <c r="D91" s="1">
        <v>2600</v>
      </c>
      <c r="E91" s="55">
        <f>SUM(B91:D91)</f>
        <v>5849</v>
      </c>
      <c r="F91" s="1">
        <v>5219</v>
      </c>
      <c r="G91" s="1">
        <v>5546</v>
      </c>
      <c r="H91" s="1">
        <v>4821</v>
      </c>
      <c r="I91" s="55">
        <f>SUM(F91:H91)</f>
        <v>15586</v>
      </c>
      <c r="J91" s="1">
        <v>6327</v>
      </c>
      <c r="K91" s="1">
        <v>7248</v>
      </c>
      <c r="L91" s="1">
        <v>6141</v>
      </c>
      <c r="M91" s="55">
        <f>SUM(J91:L91)</f>
        <v>19716</v>
      </c>
      <c r="N91" s="1">
        <v>2916</v>
      </c>
      <c r="O91" s="1">
        <v>1804</v>
      </c>
      <c r="P91" s="1">
        <v>4493</v>
      </c>
      <c r="Q91" s="55">
        <f>SUM(N91:P91)</f>
        <v>9213</v>
      </c>
      <c r="R91" s="55">
        <f>+E91+I91+M91+Q91</f>
        <v>50364</v>
      </c>
    </row>
    <row r="92" spans="1:18" ht="15.75" customHeight="1" x14ac:dyDescent="0.3">
      <c r="A92" s="72" t="s">
        <v>87</v>
      </c>
      <c r="B92" s="1"/>
      <c r="C92" s="1"/>
      <c r="D92" s="1"/>
      <c r="E92" s="55">
        <f>SUM(B92:D92)</f>
        <v>0</v>
      </c>
      <c r="F92" s="1"/>
      <c r="G92" s="1">
        <v>1000</v>
      </c>
      <c r="H92" s="1">
        <v>1000</v>
      </c>
      <c r="I92" s="55">
        <f>SUM(F92:H92)</f>
        <v>2000</v>
      </c>
      <c r="J92" s="1">
        <v>1000</v>
      </c>
      <c r="K92" s="1">
        <v>460</v>
      </c>
      <c r="L92" s="1"/>
      <c r="M92" s="55">
        <f>SUM(J92:L92)</f>
        <v>1460</v>
      </c>
      <c r="N92" s="1"/>
      <c r="O92" s="1"/>
      <c r="P92" s="1"/>
      <c r="Q92" s="55">
        <f>SUM(N92:P92)</f>
        <v>0</v>
      </c>
      <c r="R92" s="55">
        <f>+E92+I92+M92+Q92</f>
        <v>3460</v>
      </c>
    </row>
    <row r="93" spans="1:18" ht="15.75" customHeight="1" thickBot="1" x14ac:dyDescent="0.35">
      <c r="A93" s="18" t="s">
        <v>58</v>
      </c>
      <c r="B93" s="56"/>
      <c r="C93" s="56"/>
      <c r="D93" s="56"/>
      <c r="E93" s="55" t="s">
        <v>7</v>
      </c>
      <c r="F93" s="56"/>
      <c r="G93" s="56"/>
      <c r="H93" s="56"/>
      <c r="I93" s="55" t="s">
        <v>7</v>
      </c>
      <c r="J93" s="56"/>
      <c r="K93" s="56"/>
      <c r="L93" s="56"/>
      <c r="M93" s="55" t="s">
        <v>7</v>
      </c>
      <c r="N93" s="56"/>
      <c r="O93" s="56"/>
      <c r="P93" s="56"/>
      <c r="Q93" s="55" t="s">
        <v>7</v>
      </c>
      <c r="R93" s="55" t="s">
        <v>7</v>
      </c>
    </row>
    <row r="94" spans="1:18" ht="16.5" customHeight="1" thickBot="1" x14ac:dyDescent="0.35">
      <c r="A94" s="57" t="s">
        <v>59</v>
      </c>
      <c r="B94" s="58">
        <f>SUM(B88:B93)</f>
        <v>1459</v>
      </c>
      <c r="C94" s="58">
        <f>SUM(C88:C93)</f>
        <v>1790</v>
      </c>
      <c r="D94" s="58">
        <f>SUM(D88:D93)</f>
        <v>2600</v>
      </c>
      <c r="E94" s="59">
        <f>SUM(B94:D94)</f>
        <v>5849</v>
      </c>
      <c r="F94" s="58">
        <f>SUM(F88:F93)</f>
        <v>5219</v>
      </c>
      <c r="G94" s="58">
        <f>SUM(G88:G93)</f>
        <v>6546</v>
      </c>
      <c r="H94" s="58">
        <f>SUM(H88:H93)</f>
        <v>5821</v>
      </c>
      <c r="I94" s="59">
        <f>SUM(F94:H94)</f>
        <v>17586</v>
      </c>
      <c r="J94" s="58">
        <f>SUM(J88:J93)</f>
        <v>7327</v>
      </c>
      <c r="K94" s="58">
        <f>SUM(K88:K93)</f>
        <v>7708</v>
      </c>
      <c r="L94" s="58">
        <f>SUM(L88:L93)</f>
        <v>6141</v>
      </c>
      <c r="M94" s="59">
        <f>SUM(J94:L94)</f>
        <v>21176</v>
      </c>
      <c r="N94" s="58">
        <f>SUM(N88:N93)</f>
        <v>2916</v>
      </c>
      <c r="O94" s="58">
        <f>SUM(O88:O93)</f>
        <v>1804</v>
      </c>
      <c r="P94" s="58">
        <f>SUM(P88:P93)</f>
        <v>4493</v>
      </c>
      <c r="Q94" s="59">
        <f>SUM(N94:P94)</f>
        <v>9213</v>
      </c>
      <c r="R94" s="59">
        <f>+E94+I94+M94+Q94</f>
        <v>53824</v>
      </c>
    </row>
    <row r="95" spans="1:18" ht="15.75" customHeight="1" x14ac:dyDescent="0.3">
      <c r="A95" s="18" t="s">
        <v>60</v>
      </c>
      <c r="B95" s="56"/>
      <c r="C95" s="56"/>
      <c r="D95" s="56"/>
      <c r="E95" s="55" t="s">
        <v>7</v>
      </c>
      <c r="F95" s="56"/>
      <c r="G95" s="56"/>
      <c r="H95" s="56"/>
      <c r="I95" s="55" t="s">
        <v>7</v>
      </c>
      <c r="J95" s="56"/>
      <c r="K95" s="56"/>
      <c r="L95" s="56"/>
      <c r="M95" s="55" t="s">
        <v>7</v>
      </c>
      <c r="N95" s="56"/>
      <c r="O95" s="56"/>
      <c r="P95" s="56"/>
      <c r="Q95" s="55" t="s">
        <v>7</v>
      </c>
      <c r="R95" s="55" t="s">
        <v>7</v>
      </c>
    </row>
    <row r="96" spans="1:18" ht="15.75" customHeight="1" x14ac:dyDescent="0.3">
      <c r="A96" s="18" t="s">
        <v>61</v>
      </c>
      <c r="B96" s="56"/>
      <c r="C96" s="56"/>
      <c r="D96" s="56"/>
      <c r="E96" s="55" t="s">
        <v>7</v>
      </c>
      <c r="F96" s="56"/>
      <c r="G96" s="56"/>
      <c r="H96" s="56"/>
      <c r="I96" s="55" t="s">
        <v>7</v>
      </c>
      <c r="J96" s="56"/>
      <c r="K96" s="56"/>
      <c r="L96" s="56"/>
      <c r="M96" s="55" t="s">
        <v>7</v>
      </c>
      <c r="N96" s="56"/>
      <c r="O96" s="56"/>
      <c r="P96" s="56"/>
      <c r="Q96" s="55" t="s">
        <v>7</v>
      </c>
      <c r="R96" s="55" t="s">
        <v>7</v>
      </c>
    </row>
    <row r="97" spans="1:18" ht="15.75" customHeight="1" x14ac:dyDescent="0.3">
      <c r="A97" s="18" t="s">
        <v>62</v>
      </c>
      <c r="B97" s="56"/>
      <c r="C97" s="56"/>
      <c r="D97" s="56"/>
      <c r="E97" s="55"/>
      <c r="F97" s="56"/>
      <c r="G97" s="56"/>
      <c r="H97" s="56"/>
      <c r="I97" s="55"/>
      <c r="J97" s="56"/>
      <c r="K97" s="56"/>
      <c r="L97" s="56"/>
      <c r="M97" s="55"/>
      <c r="N97" s="56"/>
      <c r="O97" s="56"/>
      <c r="P97" s="56"/>
      <c r="Q97" s="55"/>
      <c r="R97" s="55"/>
    </row>
    <row r="98" spans="1:18" ht="15.75" customHeight="1" x14ac:dyDescent="0.3">
      <c r="A98" s="72" t="s">
        <v>88</v>
      </c>
      <c r="B98" s="1"/>
      <c r="C98" s="1"/>
      <c r="D98" s="1"/>
      <c r="E98" s="55">
        <f t="shared" ref="E98:E105" si="10">SUM(B98:D98)</f>
        <v>0</v>
      </c>
      <c r="F98" s="1"/>
      <c r="G98" s="1"/>
      <c r="H98" s="1"/>
      <c r="I98" s="55">
        <f t="shared" ref="I98:I105" si="11">SUM(F98:H98)</f>
        <v>0</v>
      </c>
      <c r="J98" s="1"/>
      <c r="K98" s="1"/>
      <c r="L98" s="1"/>
      <c r="M98" s="55">
        <f t="shared" ref="M98:M105" si="12">SUM(J98:L98)</f>
        <v>0</v>
      </c>
      <c r="N98" s="1"/>
      <c r="O98" s="1"/>
      <c r="P98" s="1"/>
      <c r="Q98" s="55">
        <f t="shared" ref="Q98:Q105" si="13">SUM(N98:P98)</f>
        <v>0</v>
      </c>
      <c r="R98" s="55">
        <f t="shared" ref="R98:R105" si="14">+E98+I98+M98+Q98</f>
        <v>0</v>
      </c>
    </row>
    <row r="99" spans="1:18" ht="15.75" customHeight="1" x14ac:dyDescent="0.3">
      <c r="A99" s="72" t="s">
        <v>89</v>
      </c>
      <c r="B99" s="1"/>
      <c r="C99" s="1"/>
      <c r="D99" s="1"/>
      <c r="E99" s="55">
        <f t="shared" si="10"/>
        <v>0</v>
      </c>
      <c r="F99" s="1"/>
      <c r="G99" s="1"/>
      <c r="H99" s="1"/>
      <c r="I99" s="55">
        <f t="shared" si="11"/>
        <v>0</v>
      </c>
      <c r="J99" s="1"/>
      <c r="K99" s="1"/>
      <c r="L99" s="1"/>
      <c r="M99" s="55">
        <f t="shared" si="12"/>
        <v>0</v>
      </c>
      <c r="N99" s="1"/>
      <c r="O99" s="1"/>
      <c r="P99" s="1"/>
      <c r="Q99" s="55">
        <f t="shared" si="13"/>
        <v>0</v>
      </c>
      <c r="R99" s="55">
        <f t="shared" si="14"/>
        <v>0</v>
      </c>
    </row>
    <row r="100" spans="1:18" ht="15.75" customHeight="1" x14ac:dyDescent="0.3">
      <c r="A100" s="72" t="s">
        <v>90</v>
      </c>
      <c r="B100" s="1"/>
      <c r="C100" s="1"/>
      <c r="D100" s="1"/>
      <c r="E100" s="55">
        <f>SUM(B100:D100)</f>
        <v>0</v>
      </c>
      <c r="F100" s="1"/>
      <c r="G100" s="1"/>
      <c r="H100" s="1"/>
      <c r="I100" s="55">
        <f>SUM(F100:H100)</f>
        <v>0</v>
      </c>
      <c r="J100" s="1"/>
      <c r="K100" s="1"/>
      <c r="L100" s="1"/>
      <c r="M100" s="55">
        <f>SUM(J100:L100)</f>
        <v>0</v>
      </c>
      <c r="N100" s="1"/>
      <c r="O100" s="1"/>
      <c r="P100" s="1"/>
      <c r="Q100" s="55">
        <f>SUM(N100:P100)</f>
        <v>0</v>
      </c>
      <c r="R100" s="55">
        <f>+E100+I100+M100+Q100</f>
        <v>0</v>
      </c>
    </row>
    <row r="101" spans="1:18" ht="15.75" customHeight="1" x14ac:dyDescent="0.3">
      <c r="A101" s="72" t="s">
        <v>690</v>
      </c>
      <c r="B101" s="1"/>
      <c r="C101" s="1"/>
      <c r="D101" s="1"/>
      <c r="E101" s="55">
        <f>SUM(B101:D101)</f>
        <v>0</v>
      </c>
      <c r="F101" s="1"/>
      <c r="G101" s="1"/>
      <c r="H101" s="1"/>
      <c r="I101" s="55">
        <f>SUM(F101:H101)</f>
        <v>0</v>
      </c>
      <c r="J101" s="1"/>
      <c r="K101" s="1"/>
      <c r="L101" s="1"/>
      <c r="M101" s="55">
        <f>SUM(J101:L101)</f>
        <v>0</v>
      </c>
      <c r="N101" s="1"/>
      <c r="O101" s="1"/>
      <c r="P101" s="1"/>
      <c r="Q101" s="55">
        <f>SUM(N101:P101)</f>
        <v>0</v>
      </c>
      <c r="R101" s="55">
        <f>+E101+I101+M101+Q101</f>
        <v>0</v>
      </c>
    </row>
    <row r="102" spans="1:18" ht="15.75" customHeight="1" x14ac:dyDescent="0.3">
      <c r="A102" s="72" t="s">
        <v>528</v>
      </c>
      <c r="B102" s="1"/>
      <c r="C102" s="1"/>
      <c r="D102" s="1"/>
      <c r="E102" s="55">
        <f>SUM(B102:D102)</f>
        <v>0</v>
      </c>
      <c r="F102" s="1"/>
      <c r="G102" s="1"/>
      <c r="H102" s="1"/>
      <c r="I102" s="55">
        <f>SUM(F102:H102)</f>
        <v>0</v>
      </c>
      <c r="J102" s="1"/>
      <c r="K102" s="1"/>
      <c r="L102" s="1"/>
      <c r="M102" s="55">
        <f>SUM(J102:L102)</f>
        <v>0</v>
      </c>
      <c r="N102" s="1"/>
      <c r="O102" s="1"/>
      <c r="P102" s="1"/>
      <c r="Q102" s="55">
        <f>SUM(N102:P102)</f>
        <v>0</v>
      </c>
      <c r="R102" s="55">
        <f>+E102+I102+M102+Q102</f>
        <v>0</v>
      </c>
    </row>
    <row r="103" spans="1:18" ht="15.75" customHeight="1" x14ac:dyDescent="0.3">
      <c r="A103" s="72" t="s">
        <v>94</v>
      </c>
      <c r="B103" s="1"/>
      <c r="C103" s="1"/>
      <c r="D103" s="1"/>
      <c r="E103" s="55">
        <f t="shared" si="10"/>
        <v>0</v>
      </c>
      <c r="F103" s="1"/>
      <c r="G103" s="1"/>
      <c r="H103" s="1"/>
      <c r="I103" s="55">
        <f t="shared" si="11"/>
        <v>0</v>
      </c>
      <c r="J103" s="1"/>
      <c r="K103" s="1"/>
      <c r="L103" s="1"/>
      <c r="M103" s="55">
        <f t="shared" si="12"/>
        <v>0</v>
      </c>
      <c r="N103" s="1"/>
      <c r="O103" s="1"/>
      <c r="P103" s="1"/>
      <c r="Q103" s="55">
        <f t="shared" si="13"/>
        <v>0</v>
      </c>
      <c r="R103" s="55">
        <f t="shared" si="14"/>
        <v>0</v>
      </c>
    </row>
    <row r="104" spans="1:18" ht="15.75" customHeight="1" thickBot="1" x14ac:dyDescent="0.35">
      <c r="A104" s="72" t="s">
        <v>95</v>
      </c>
      <c r="B104" s="1"/>
      <c r="C104" s="1"/>
      <c r="D104" s="1"/>
      <c r="E104" s="55">
        <f t="shared" si="10"/>
        <v>0</v>
      </c>
      <c r="F104" s="1"/>
      <c r="G104" s="1"/>
      <c r="H104" s="1"/>
      <c r="I104" s="55">
        <f t="shared" si="11"/>
        <v>0</v>
      </c>
      <c r="J104" s="1"/>
      <c r="K104" s="1"/>
      <c r="L104" s="1"/>
      <c r="M104" s="55">
        <f t="shared" si="12"/>
        <v>0</v>
      </c>
      <c r="N104" s="1"/>
      <c r="O104" s="1"/>
      <c r="P104" s="1"/>
      <c r="Q104" s="55">
        <f t="shared" si="13"/>
        <v>0</v>
      </c>
      <c r="R104" s="55">
        <f t="shared" si="14"/>
        <v>0</v>
      </c>
    </row>
    <row r="105" spans="1:18" ht="16.5" customHeight="1" thickBot="1" x14ac:dyDescent="0.35">
      <c r="A105" s="57" t="s">
        <v>63</v>
      </c>
      <c r="B105" s="58">
        <f>SUM(B95:B104)</f>
        <v>0</v>
      </c>
      <c r="C105" s="58">
        <f>SUM(C95:C104)</f>
        <v>0</v>
      </c>
      <c r="D105" s="58">
        <f>SUM(D95:D104)</f>
        <v>0</v>
      </c>
      <c r="E105" s="59">
        <f t="shared" si="10"/>
        <v>0</v>
      </c>
      <c r="F105" s="58">
        <f>SUM(F95:F104)</f>
        <v>0</v>
      </c>
      <c r="G105" s="58">
        <f>SUM(G95:G104)</f>
        <v>0</v>
      </c>
      <c r="H105" s="58">
        <f>SUM(H95:H104)</f>
        <v>0</v>
      </c>
      <c r="I105" s="59">
        <f t="shared" si="11"/>
        <v>0</v>
      </c>
      <c r="J105" s="58">
        <f>SUM(J95:J104)</f>
        <v>0</v>
      </c>
      <c r="K105" s="58">
        <f>SUM(K95:K104)</f>
        <v>0</v>
      </c>
      <c r="L105" s="58">
        <f>SUM(L95:L104)</f>
        <v>0</v>
      </c>
      <c r="M105" s="59">
        <f t="shared" si="12"/>
        <v>0</v>
      </c>
      <c r="N105" s="58">
        <f>SUM(N95:N104)</f>
        <v>0</v>
      </c>
      <c r="O105" s="58">
        <f>SUM(O95:O104)</f>
        <v>0</v>
      </c>
      <c r="P105" s="58">
        <f>SUM(P95:P104)</f>
        <v>0</v>
      </c>
      <c r="Q105" s="59">
        <f t="shared" si="13"/>
        <v>0</v>
      </c>
      <c r="R105" s="59">
        <f t="shared" si="14"/>
        <v>0</v>
      </c>
    </row>
    <row r="106" spans="1:18" ht="15.75" customHeight="1" x14ac:dyDescent="0.3">
      <c r="A106" s="18" t="s">
        <v>64</v>
      </c>
      <c r="B106" s="56"/>
      <c r="C106" s="56"/>
      <c r="D106" s="56"/>
      <c r="E106" s="55" t="s">
        <v>7</v>
      </c>
      <c r="F106" s="56"/>
      <c r="G106" s="56"/>
      <c r="H106" s="56"/>
      <c r="I106" s="55" t="s">
        <v>7</v>
      </c>
      <c r="J106" s="56"/>
      <c r="K106" s="56"/>
      <c r="L106" s="56"/>
      <c r="M106" s="55" t="s">
        <v>7</v>
      </c>
      <c r="N106" s="56"/>
      <c r="O106" s="56"/>
      <c r="P106" s="56"/>
      <c r="Q106" s="55" t="s">
        <v>7</v>
      </c>
      <c r="R106" s="55" t="s">
        <v>7</v>
      </c>
    </row>
    <row r="107" spans="1:18" ht="15.75" customHeight="1" x14ac:dyDescent="0.3">
      <c r="A107" s="18" t="s">
        <v>594</v>
      </c>
      <c r="B107" s="56"/>
      <c r="C107" s="56"/>
      <c r="D107" s="56"/>
      <c r="E107" s="55" t="s">
        <v>7</v>
      </c>
      <c r="F107" s="56"/>
      <c r="G107" s="56"/>
      <c r="H107" s="56"/>
      <c r="I107" s="55" t="s">
        <v>7</v>
      </c>
      <c r="J107" s="56"/>
      <c r="K107" s="56"/>
      <c r="L107" s="56"/>
      <c r="M107" s="55" t="s">
        <v>7</v>
      </c>
      <c r="N107" s="56"/>
      <c r="O107" s="56"/>
      <c r="P107" s="56"/>
      <c r="Q107" s="55" t="s">
        <v>7</v>
      </c>
      <c r="R107" s="55" t="s">
        <v>7</v>
      </c>
    </row>
    <row r="108" spans="1:18" ht="15.75" customHeight="1" x14ac:dyDescent="0.3">
      <c r="A108" s="61" t="s">
        <v>691</v>
      </c>
      <c r="B108" s="1"/>
      <c r="C108" s="1"/>
      <c r="D108" s="1"/>
      <c r="E108" s="55">
        <f t="shared" ref="E108:E113" si="15">SUM(B108:D108)</f>
        <v>0</v>
      </c>
      <c r="F108" s="1"/>
      <c r="G108" s="1"/>
      <c r="H108" s="1"/>
      <c r="I108" s="55">
        <f t="shared" ref="I108:I113" si="16">SUM(F108:H108)</f>
        <v>0</v>
      </c>
      <c r="J108" s="1"/>
      <c r="K108" s="1"/>
      <c r="L108" s="1"/>
      <c r="M108" s="55">
        <f t="shared" ref="M108:M113" si="17">SUM(J108:L108)</f>
        <v>0</v>
      </c>
      <c r="N108" s="1"/>
      <c r="O108" s="1"/>
      <c r="P108" s="1"/>
      <c r="Q108" s="55">
        <f t="shared" ref="Q108:Q113" si="18">SUM(N108:P108)</f>
        <v>0</v>
      </c>
      <c r="R108" s="55">
        <f t="shared" ref="R108:R113" si="19">+E108+I108+M108+Q108</f>
        <v>0</v>
      </c>
    </row>
    <row r="109" spans="1:18" ht="15.75" customHeight="1" x14ac:dyDescent="0.3">
      <c r="A109" s="61" t="s">
        <v>97</v>
      </c>
      <c r="B109" s="1"/>
      <c r="C109" s="1"/>
      <c r="D109" s="1"/>
      <c r="E109" s="55">
        <f t="shared" si="15"/>
        <v>0</v>
      </c>
      <c r="F109" s="1"/>
      <c r="G109" s="1"/>
      <c r="H109" s="1"/>
      <c r="I109" s="55">
        <f t="shared" si="16"/>
        <v>0</v>
      </c>
      <c r="J109" s="1"/>
      <c r="K109" s="1"/>
      <c r="L109" s="1"/>
      <c r="M109" s="55">
        <f t="shared" si="17"/>
        <v>0</v>
      </c>
      <c r="N109" s="1"/>
      <c r="O109" s="1"/>
      <c r="P109" s="1"/>
      <c r="Q109" s="55">
        <f t="shared" si="18"/>
        <v>0</v>
      </c>
      <c r="R109" s="55">
        <f t="shared" si="19"/>
        <v>0</v>
      </c>
    </row>
    <row r="110" spans="1:18" ht="15.75" customHeight="1" x14ac:dyDescent="0.3">
      <c r="A110" s="61" t="s">
        <v>692</v>
      </c>
      <c r="B110" s="1"/>
      <c r="C110" s="1"/>
      <c r="D110" s="1"/>
      <c r="E110" s="55">
        <f t="shared" si="15"/>
        <v>0</v>
      </c>
      <c r="F110" s="1"/>
      <c r="G110" s="1"/>
      <c r="H110" s="1"/>
      <c r="I110" s="55">
        <f t="shared" si="16"/>
        <v>0</v>
      </c>
      <c r="J110" s="1"/>
      <c r="K110" s="1"/>
      <c r="L110" s="1"/>
      <c r="M110" s="55">
        <f t="shared" si="17"/>
        <v>0</v>
      </c>
      <c r="N110" s="1"/>
      <c r="O110" s="1"/>
      <c r="P110" s="1"/>
      <c r="Q110" s="55">
        <f t="shared" si="18"/>
        <v>0</v>
      </c>
      <c r="R110" s="55">
        <f t="shared" si="19"/>
        <v>0</v>
      </c>
    </row>
    <row r="111" spans="1:18" ht="15.75" customHeight="1" x14ac:dyDescent="0.3">
      <c r="A111" s="61" t="s">
        <v>530</v>
      </c>
      <c r="B111" s="1"/>
      <c r="C111" s="1"/>
      <c r="D111" s="1"/>
      <c r="E111" s="55">
        <f t="shared" si="15"/>
        <v>0</v>
      </c>
      <c r="F111" s="1"/>
      <c r="G111" s="1"/>
      <c r="H111" s="1"/>
      <c r="I111" s="55">
        <f t="shared" si="16"/>
        <v>0</v>
      </c>
      <c r="J111" s="1"/>
      <c r="K111" s="1"/>
      <c r="L111" s="1"/>
      <c r="M111" s="55">
        <f t="shared" si="17"/>
        <v>0</v>
      </c>
      <c r="N111" s="1"/>
      <c r="O111" s="1"/>
      <c r="P111" s="1"/>
      <c r="Q111" s="55">
        <f t="shared" si="18"/>
        <v>0</v>
      </c>
      <c r="R111" s="55">
        <f t="shared" si="19"/>
        <v>0</v>
      </c>
    </row>
    <row r="112" spans="1:18" ht="15.75" customHeight="1" x14ac:dyDescent="0.3">
      <c r="A112" s="61" t="s">
        <v>597</v>
      </c>
      <c r="B112" s="1"/>
      <c r="C112" s="1"/>
      <c r="D112" s="1"/>
      <c r="E112" s="55">
        <f t="shared" si="15"/>
        <v>0</v>
      </c>
      <c r="F112" s="1"/>
      <c r="G112" s="1"/>
      <c r="H112" s="1"/>
      <c r="I112" s="55">
        <f t="shared" si="16"/>
        <v>0</v>
      </c>
      <c r="J112" s="1"/>
      <c r="K112" s="1"/>
      <c r="L112" s="1"/>
      <c r="M112" s="55">
        <f t="shared" si="17"/>
        <v>0</v>
      </c>
      <c r="N112" s="1"/>
      <c r="O112" s="1"/>
      <c r="P112" s="1"/>
      <c r="Q112" s="55">
        <f t="shared" si="18"/>
        <v>0</v>
      </c>
      <c r="R112" s="55">
        <f t="shared" si="19"/>
        <v>0</v>
      </c>
    </row>
    <row r="113" spans="1:18" ht="15.75" customHeight="1" x14ac:dyDescent="0.3">
      <c r="A113" s="61" t="s">
        <v>85</v>
      </c>
      <c r="B113" s="1">
        <v>0</v>
      </c>
      <c r="C113" s="1">
        <v>0</v>
      </c>
      <c r="D113" s="1"/>
      <c r="E113" s="55">
        <f t="shared" si="15"/>
        <v>0</v>
      </c>
      <c r="F113" s="1">
        <v>0</v>
      </c>
      <c r="G113" s="1">
        <v>0</v>
      </c>
      <c r="H113" s="1">
        <v>0</v>
      </c>
      <c r="I113" s="55">
        <f t="shared" si="16"/>
        <v>0</v>
      </c>
      <c r="J113" s="1">
        <v>0</v>
      </c>
      <c r="K113" s="1">
        <v>0</v>
      </c>
      <c r="L113" s="1">
        <v>0</v>
      </c>
      <c r="M113" s="55">
        <f t="shared" si="17"/>
        <v>0</v>
      </c>
      <c r="N113" s="1">
        <v>0</v>
      </c>
      <c r="O113" s="1">
        <v>0</v>
      </c>
      <c r="P113" s="1">
        <v>0</v>
      </c>
      <c r="Q113" s="55">
        <f t="shared" si="18"/>
        <v>0</v>
      </c>
      <c r="R113" s="55">
        <f t="shared" si="19"/>
        <v>0</v>
      </c>
    </row>
    <row r="114" spans="1:18" ht="15.75" customHeight="1" x14ac:dyDescent="0.3">
      <c r="A114" s="61" t="s">
        <v>808</v>
      </c>
      <c r="B114" s="1"/>
      <c r="C114" s="1"/>
      <c r="D114" s="1"/>
      <c r="E114" s="55">
        <f>SUM(B114:D114)</f>
        <v>0</v>
      </c>
      <c r="F114" s="1"/>
      <c r="G114" s="1"/>
      <c r="H114" s="1"/>
      <c r="I114" s="55">
        <f>SUM(F114:H114)</f>
        <v>0</v>
      </c>
      <c r="J114" s="1"/>
      <c r="K114" s="1"/>
      <c r="L114" s="1"/>
      <c r="M114" s="55">
        <f>SUM(J114:L114)</f>
        <v>0</v>
      </c>
      <c r="N114" s="1"/>
      <c r="O114" s="1"/>
      <c r="P114" s="1"/>
      <c r="Q114" s="55">
        <f>SUM(N114:P114)</f>
        <v>0</v>
      </c>
      <c r="R114" s="55">
        <f>+E114+I114+M114+Q114</f>
        <v>0</v>
      </c>
    </row>
    <row r="115" spans="1:18" ht="15.75" customHeight="1" x14ac:dyDescent="0.3">
      <c r="A115" s="18" t="s">
        <v>67</v>
      </c>
      <c r="B115" s="56"/>
      <c r="C115" s="56"/>
      <c r="D115" s="56"/>
      <c r="E115" s="55" t="s">
        <v>7</v>
      </c>
      <c r="F115" s="56"/>
      <c r="G115" s="56"/>
      <c r="H115" s="56"/>
      <c r="I115" s="55" t="s">
        <v>7</v>
      </c>
      <c r="J115" s="56"/>
      <c r="K115" s="56"/>
      <c r="L115" s="56"/>
      <c r="M115" s="55" t="s">
        <v>7</v>
      </c>
      <c r="N115" s="56"/>
      <c r="O115" s="56"/>
      <c r="P115" s="56"/>
      <c r="Q115" s="55" t="s">
        <v>7</v>
      </c>
      <c r="R115" s="55" t="s">
        <v>7</v>
      </c>
    </row>
    <row r="116" spans="1:18" ht="15.75" customHeight="1" x14ac:dyDescent="0.3">
      <c r="A116" s="61" t="s">
        <v>810</v>
      </c>
      <c r="B116" s="1">
        <v>13414</v>
      </c>
      <c r="C116" s="1">
        <v>16005</v>
      </c>
      <c r="D116" s="1">
        <v>16933</v>
      </c>
      <c r="E116" s="55">
        <f>SUM(B116:D116)</f>
        <v>46352</v>
      </c>
      <c r="F116" s="1">
        <v>463</v>
      </c>
      <c r="G116" s="1"/>
      <c r="H116" s="1"/>
      <c r="I116" s="55">
        <f>SUM(F116:H116)</f>
        <v>463</v>
      </c>
      <c r="J116" s="1"/>
      <c r="K116" s="1"/>
      <c r="L116" s="1"/>
      <c r="M116" s="55">
        <f>SUM(J116:L116)</f>
        <v>0</v>
      </c>
      <c r="N116" s="1"/>
      <c r="O116" s="1"/>
      <c r="P116" s="1">
        <v>2</v>
      </c>
      <c r="Q116" s="55">
        <f>SUM(N116:P116)</f>
        <v>2</v>
      </c>
      <c r="R116" s="55">
        <f>+E116+I116+M116+Q116</f>
        <v>46817</v>
      </c>
    </row>
    <row r="117" spans="1:18" ht="15.75" customHeight="1" x14ac:dyDescent="0.3">
      <c r="A117" s="61" t="s">
        <v>695</v>
      </c>
      <c r="B117" s="1"/>
      <c r="C117" s="1"/>
      <c r="D117" s="1"/>
      <c r="E117" s="55">
        <f>SUM(B117:D117)</f>
        <v>0</v>
      </c>
      <c r="F117" s="1"/>
      <c r="G117" s="1"/>
      <c r="H117" s="1"/>
      <c r="I117" s="55">
        <f>SUM(F117:H117)</f>
        <v>0</v>
      </c>
      <c r="J117" s="1"/>
      <c r="K117" s="1"/>
      <c r="L117" s="1"/>
      <c r="M117" s="55">
        <f>SUM(J117:L117)</f>
        <v>0</v>
      </c>
      <c r="N117" s="1"/>
      <c r="O117" s="1"/>
      <c r="P117" s="1"/>
      <c r="Q117" s="55">
        <f>SUM(N117:P117)</f>
        <v>0</v>
      </c>
      <c r="R117" s="55">
        <f>+E117+I117+M117+Q117</f>
        <v>0</v>
      </c>
    </row>
    <row r="118" spans="1:18" ht="15.75" customHeight="1" x14ac:dyDescent="0.3">
      <c r="A118" s="18" t="s">
        <v>600</v>
      </c>
      <c r="B118" s="56"/>
      <c r="C118" s="56"/>
      <c r="D118" s="56"/>
      <c r="E118" s="55" t="s">
        <v>7</v>
      </c>
      <c r="F118" s="56"/>
      <c r="G118" s="56"/>
      <c r="H118" s="56"/>
      <c r="I118" s="55" t="s">
        <v>7</v>
      </c>
      <c r="J118" s="56"/>
      <c r="K118" s="56"/>
      <c r="L118" s="56"/>
      <c r="M118" s="55" t="s">
        <v>7</v>
      </c>
      <c r="N118" s="56"/>
      <c r="O118" s="56"/>
      <c r="P118" s="56"/>
      <c r="Q118" s="55" t="s">
        <v>7</v>
      </c>
      <c r="R118" s="55" t="s">
        <v>7</v>
      </c>
    </row>
    <row r="119" spans="1:18" ht="15.75" customHeight="1" x14ac:dyDescent="0.3">
      <c r="A119" s="61" t="s">
        <v>105</v>
      </c>
      <c r="B119" s="1"/>
      <c r="C119" s="1"/>
      <c r="D119" s="1"/>
      <c r="E119" s="55">
        <f>SUM(B119:D119)</f>
        <v>0</v>
      </c>
      <c r="F119" s="1"/>
      <c r="G119" s="1"/>
      <c r="H119" s="1">
        <v>440</v>
      </c>
      <c r="I119" s="55">
        <f>SUM(F119:H119)</f>
        <v>440</v>
      </c>
      <c r="J119" s="1">
        <v>894</v>
      </c>
      <c r="K119" s="1">
        <v>1237</v>
      </c>
      <c r="L119" s="1">
        <v>660</v>
      </c>
      <c r="M119" s="55">
        <f>SUM(J119:L119)</f>
        <v>2791</v>
      </c>
      <c r="N119" s="1">
        <v>837</v>
      </c>
      <c r="O119" s="1">
        <v>625</v>
      </c>
      <c r="P119" s="1">
        <v>6</v>
      </c>
      <c r="Q119" s="55">
        <f>SUM(N119:P119)</f>
        <v>1468</v>
      </c>
      <c r="R119" s="55">
        <f>+E119+I119+M119+Q119</f>
        <v>4699</v>
      </c>
    </row>
    <row r="120" spans="1:18" ht="15.75" customHeight="1" thickBot="1" x14ac:dyDescent="0.35">
      <c r="A120" s="18" t="s">
        <v>70</v>
      </c>
      <c r="B120" s="56"/>
      <c r="C120" s="56"/>
      <c r="D120" s="56"/>
      <c r="E120" s="55" t="s">
        <v>7</v>
      </c>
      <c r="F120" s="56"/>
      <c r="G120" s="56"/>
      <c r="H120" s="56"/>
      <c r="I120" s="55" t="s">
        <v>7</v>
      </c>
      <c r="J120" s="56"/>
      <c r="K120" s="56"/>
      <c r="L120" s="56"/>
      <c r="M120" s="55" t="s">
        <v>7</v>
      </c>
      <c r="N120" s="56"/>
      <c r="O120" s="56"/>
      <c r="P120" s="56"/>
      <c r="Q120" s="55" t="s">
        <v>7</v>
      </c>
      <c r="R120" s="55" t="s">
        <v>7</v>
      </c>
    </row>
    <row r="121" spans="1:18" ht="16.5" customHeight="1" thickBot="1" x14ac:dyDescent="0.35">
      <c r="A121" s="57" t="s">
        <v>71</v>
      </c>
      <c r="B121" s="58">
        <f>SUM(B120:B120)</f>
        <v>0</v>
      </c>
      <c r="C121" s="58">
        <f>SUM(C120:C120)</f>
        <v>0</v>
      </c>
      <c r="D121" s="58">
        <f>SUM(D120:D120)</f>
        <v>0</v>
      </c>
      <c r="E121" s="60">
        <f>SUM(B121:D121)</f>
        <v>0</v>
      </c>
      <c r="F121" s="58">
        <f>SUM(F120:F120)</f>
        <v>0</v>
      </c>
      <c r="G121" s="58">
        <f>SUM(G120:G120)</f>
        <v>0</v>
      </c>
      <c r="H121" s="58">
        <f>SUM(H120:H120)</f>
        <v>0</v>
      </c>
      <c r="I121" s="60">
        <f>SUM(F121:H121)</f>
        <v>0</v>
      </c>
      <c r="J121" s="58">
        <f>SUM(J120:J120)</f>
        <v>0</v>
      </c>
      <c r="K121" s="58">
        <f>SUM(K120:K120)</f>
        <v>0</v>
      </c>
      <c r="L121" s="58">
        <f>SUM(L120:L120)</f>
        <v>0</v>
      </c>
      <c r="M121" s="60">
        <f>SUM(J121:L121)</f>
        <v>0</v>
      </c>
      <c r="N121" s="58">
        <f>SUM(N120:N120)</f>
        <v>0</v>
      </c>
      <c r="O121" s="58">
        <f>SUM(O120:O120)</f>
        <v>0</v>
      </c>
      <c r="P121" s="58">
        <f>SUM(P120:P120)</f>
        <v>0</v>
      </c>
      <c r="Q121" s="60">
        <f>SUM(N121:P121)</f>
        <v>0</v>
      </c>
      <c r="R121" s="59">
        <f>+E121+I121+M121+Q121</f>
        <v>0</v>
      </c>
    </row>
    <row r="122" spans="1:18" ht="16.5" customHeight="1" thickBot="1" x14ac:dyDescent="0.35">
      <c r="A122" s="57" t="s">
        <v>72</v>
      </c>
      <c r="B122" s="58">
        <f>SUM(B106:B120)</f>
        <v>13414</v>
      </c>
      <c r="C122" s="58">
        <f>SUM(C106:C120)</f>
        <v>16005</v>
      </c>
      <c r="D122" s="58">
        <f>SUM(D106:D120)</f>
        <v>16933</v>
      </c>
      <c r="E122" s="60">
        <f>SUM(B122:D122)</f>
        <v>46352</v>
      </c>
      <c r="F122" s="58">
        <f>SUM(F106:F120)</f>
        <v>463</v>
      </c>
      <c r="G122" s="58">
        <f>SUM(G106:G120)</f>
        <v>0</v>
      </c>
      <c r="H122" s="58">
        <f>SUM(H106:H120)</f>
        <v>440</v>
      </c>
      <c r="I122" s="60">
        <f>SUM(F122:H122)</f>
        <v>903</v>
      </c>
      <c r="J122" s="58">
        <f>SUM(J106:J120)</f>
        <v>894</v>
      </c>
      <c r="K122" s="58">
        <f>SUM(K106:K120)</f>
        <v>1237</v>
      </c>
      <c r="L122" s="58">
        <f>SUM(L106:L120)</f>
        <v>660</v>
      </c>
      <c r="M122" s="60">
        <f>SUM(J122:L122)</f>
        <v>2791</v>
      </c>
      <c r="N122" s="58">
        <f>SUM(N106:N120)</f>
        <v>837</v>
      </c>
      <c r="O122" s="58">
        <f>SUM(O106:O120)</f>
        <v>625</v>
      </c>
      <c r="P122" s="58">
        <f>SUM(P106:P120)</f>
        <v>8</v>
      </c>
      <c r="Q122" s="60">
        <f>SUM(N122:P122)</f>
        <v>1470</v>
      </c>
      <c r="R122" s="59">
        <f>+E122+I122+M122+Q122</f>
        <v>51516</v>
      </c>
    </row>
    <row r="123" spans="1:18" ht="16.5" customHeight="1" thickBot="1" x14ac:dyDescent="0.35">
      <c r="A123" s="57" t="s">
        <v>73</v>
      </c>
      <c r="B123" s="58">
        <f>+B87+B94+B105+B122</f>
        <v>15178</v>
      </c>
      <c r="C123" s="58">
        <f>+C87+C94+C105+C122</f>
        <v>18489</v>
      </c>
      <c r="D123" s="58">
        <f>+D87+D94+D105+D122</f>
        <v>20636</v>
      </c>
      <c r="E123" s="59">
        <f>SUM(B123:D123)</f>
        <v>54303</v>
      </c>
      <c r="F123" s="58">
        <f>+F87+F94+F105+F122</f>
        <v>7787</v>
      </c>
      <c r="G123" s="58">
        <f>+G87+G94+G105+G122</f>
        <v>7675</v>
      </c>
      <c r="H123" s="58">
        <f>+H87+H94+H105+H122</f>
        <v>7225</v>
      </c>
      <c r="I123" s="59">
        <f>SUM(F123:H123)</f>
        <v>22687</v>
      </c>
      <c r="J123" s="58">
        <f>+J87+J94+J105+J122</f>
        <v>8221</v>
      </c>
      <c r="K123" s="58">
        <f>+K87+K94+K105+K122</f>
        <v>8945</v>
      </c>
      <c r="L123" s="58">
        <f>+L87+L94+L105+L122</f>
        <v>6801</v>
      </c>
      <c r="M123" s="59">
        <f>SUM(J123:L123)</f>
        <v>23967</v>
      </c>
      <c r="N123" s="58">
        <f>+N87+N94+N105+N122</f>
        <v>3753</v>
      </c>
      <c r="O123" s="58">
        <f>+O87+O94+O105+O122</f>
        <v>2629</v>
      </c>
      <c r="P123" s="58">
        <f>+P87+P94+P105+P122</f>
        <v>5603</v>
      </c>
      <c r="Q123" s="59">
        <f>SUM(N123:P123)</f>
        <v>11985</v>
      </c>
      <c r="R123" s="59">
        <f>+E123+I123+M123+Q123</f>
        <v>112942</v>
      </c>
    </row>
    <row r="124" spans="1:18" ht="16.5" customHeight="1" thickBot="1" x14ac:dyDescent="0.35">
      <c r="A124" s="73" t="s">
        <v>40</v>
      </c>
      <c r="B124" s="21">
        <v>173</v>
      </c>
      <c r="C124" s="21">
        <v>260</v>
      </c>
      <c r="D124" s="21">
        <v>471</v>
      </c>
      <c r="E124" s="55">
        <f>SUM(B124:D124)</f>
        <v>904</v>
      </c>
      <c r="F124" s="21">
        <v>629</v>
      </c>
      <c r="G124" s="21">
        <v>725</v>
      </c>
      <c r="H124" s="21">
        <v>712</v>
      </c>
      <c r="I124" s="55">
        <f>SUM(F124:H124)</f>
        <v>2066</v>
      </c>
      <c r="J124" s="21">
        <v>711</v>
      </c>
      <c r="K124" s="21">
        <v>573</v>
      </c>
      <c r="L124" s="21">
        <v>542</v>
      </c>
      <c r="M124" s="55">
        <f>SUM(J124:L124)</f>
        <v>1826</v>
      </c>
      <c r="N124" s="21">
        <v>490</v>
      </c>
      <c r="O124" s="21">
        <v>407</v>
      </c>
      <c r="P124" s="21">
        <v>323</v>
      </c>
      <c r="Q124" s="55">
        <f>SUM(N124:P124)</f>
        <v>1220</v>
      </c>
      <c r="R124" s="55">
        <f>+E124+I124+M124+Q124</f>
        <v>6016</v>
      </c>
    </row>
    <row r="125" spans="1:18" ht="16.5" customHeight="1" thickBot="1" x14ac:dyDescent="0.35">
      <c r="A125" s="74"/>
      <c r="B125" s="75"/>
      <c r="C125" s="75"/>
      <c r="D125" s="75"/>
      <c r="E125" s="59" t="s">
        <v>7</v>
      </c>
      <c r="F125" s="75"/>
      <c r="G125" s="75"/>
      <c r="H125" s="75"/>
      <c r="I125" s="59" t="s">
        <v>7</v>
      </c>
      <c r="J125" s="75"/>
      <c r="K125" s="75"/>
      <c r="L125" s="75"/>
      <c r="M125" s="59" t="s">
        <v>7</v>
      </c>
      <c r="N125" s="75"/>
      <c r="O125" s="75"/>
      <c r="P125" s="75"/>
      <c r="Q125" s="59" t="s">
        <v>7</v>
      </c>
      <c r="R125" s="59" t="s">
        <v>7</v>
      </c>
    </row>
    <row r="126" spans="1:18" ht="15.75" customHeight="1" x14ac:dyDescent="0.3">
      <c r="A126" s="76" t="s">
        <v>41</v>
      </c>
      <c r="B126" s="77">
        <f>+B123+B124</f>
        <v>15351</v>
      </c>
      <c r="C126" s="77">
        <f>+C123+C124</f>
        <v>18749</v>
      </c>
      <c r="D126" s="77">
        <f>+D123+D124</f>
        <v>21107</v>
      </c>
      <c r="E126" s="55">
        <f>SUM(B126:D126)</f>
        <v>55207</v>
      </c>
      <c r="F126" s="77">
        <f>+F123+F124</f>
        <v>8416</v>
      </c>
      <c r="G126" s="77">
        <f>+G123+G124</f>
        <v>8400</v>
      </c>
      <c r="H126" s="77">
        <f>+H123+H124</f>
        <v>7937</v>
      </c>
      <c r="I126" s="55">
        <f>SUM(F126:H126)</f>
        <v>24753</v>
      </c>
      <c r="J126" s="77">
        <f>+J123+J124</f>
        <v>8932</v>
      </c>
      <c r="K126" s="77">
        <f>+K123+K124</f>
        <v>9518</v>
      </c>
      <c r="L126" s="77">
        <f>+L123+L124</f>
        <v>7343</v>
      </c>
      <c r="M126" s="55">
        <f>SUM(J126:L126)</f>
        <v>25793</v>
      </c>
      <c r="N126" s="77">
        <f>+N123+N124</f>
        <v>4243</v>
      </c>
      <c r="O126" s="77">
        <f>+O123+O124</f>
        <v>3036</v>
      </c>
      <c r="P126" s="77">
        <f>+P123+P124</f>
        <v>5926</v>
      </c>
      <c r="Q126" s="55">
        <f>SUM(N126:P126)</f>
        <v>13205</v>
      </c>
      <c r="R126" s="55">
        <f>+E126+I126+M126+Q126</f>
        <v>118958</v>
      </c>
    </row>
    <row r="127" spans="1:18" ht="15.75" customHeight="1" x14ac:dyDescent="0.3">
      <c r="A127" s="78" t="s">
        <v>42</v>
      </c>
      <c r="B127" s="1">
        <f>(B126/31)/1.983</f>
        <v>249.71938900004878</v>
      </c>
      <c r="C127" s="1">
        <f>(C126/28)/1.983</f>
        <v>337.67379871767162</v>
      </c>
      <c r="D127" s="1">
        <f>(D126/31)/1.983</f>
        <v>343.35399280985149</v>
      </c>
      <c r="E127" s="55" t="s">
        <v>7</v>
      </c>
      <c r="F127" s="1">
        <f>(F126/30)/1.983</f>
        <v>141.4691544797445</v>
      </c>
      <c r="G127" s="1">
        <f>(G126/31)/1.983</f>
        <v>136.64535649797469</v>
      </c>
      <c r="H127" s="1">
        <f>(H126/30)/1.983</f>
        <v>133.41738107244913</v>
      </c>
      <c r="I127" s="55" t="s">
        <v>7</v>
      </c>
      <c r="J127" s="1">
        <f>(J126/31)/1.983</f>
        <v>145.2995624095131</v>
      </c>
      <c r="K127" s="1">
        <f>(K126/31)/1.983</f>
        <v>154.83220275568135</v>
      </c>
      <c r="L127" s="1">
        <f>(L126/30)/1.983</f>
        <v>123.43250966549</v>
      </c>
      <c r="M127" s="55" t="s">
        <v>7</v>
      </c>
      <c r="N127" s="1">
        <f>(N126/31)/1.983</f>
        <v>69.022172335822233</v>
      </c>
      <c r="O127" s="1">
        <f>(O126/30)/1.983</f>
        <v>51.03378719112456</v>
      </c>
      <c r="P127" s="1">
        <f>(P126/31)/1.983</f>
        <v>96.400045548452155</v>
      </c>
      <c r="Q127" s="55" t="s">
        <v>7</v>
      </c>
      <c r="R127" s="55" t="s">
        <v>7</v>
      </c>
    </row>
    <row r="128" spans="1:18" ht="15.75" customHeight="1" x14ac:dyDescent="0.3">
      <c r="A128" s="79" t="s">
        <v>106</v>
      </c>
      <c r="B128" s="1">
        <f>B126+B250</f>
        <v>183360</v>
      </c>
      <c r="C128" s="1">
        <f>C126+C250</f>
        <v>167978</v>
      </c>
      <c r="D128" s="1">
        <f>D126+D250</f>
        <v>186971</v>
      </c>
      <c r="E128" s="55">
        <f>SUM(B128:D128)</f>
        <v>538309</v>
      </c>
      <c r="F128" s="1">
        <f>F126+F250</f>
        <v>180628</v>
      </c>
      <c r="G128" s="1">
        <f>G126+G250</f>
        <v>179605</v>
      </c>
      <c r="H128" s="1">
        <f>H126+H250</f>
        <v>130295</v>
      </c>
      <c r="I128" s="55">
        <f>SUM(F128:H128)</f>
        <v>490528</v>
      </c>
      <c r="J128" s="1">
        <f>J126+J250</f>
        <v>39096</v>
      </c>
      <c r="K128" s="1">
        <f>K126+K250</f>
        <v>85890</v>
      </c>
      <c r="L128" s="1">
        <f>L126+L250</f>
        <v>136626</v>
      </c>
      <c r="M128" s="55">
        <f>SUM(J128:L128)</f>
        <v>261612</v>
      </c>
      <c r="N128" s="1">
        <f>N126+N250</f>
        <v>31404</v>
      </c>
      <c r="O128" s="1">
        <f>O126+O250</f>
        <v>172790</v>
      </c>
      <c r="P128" s="1">
        <f>P126+P250</f>
        <v>133615</v>
      </c>
      <c r="Q128" s="55">
        <f>SUM(N128:P128)</f>
        <v>337809</v>
      </c>
      <c r="R128" s="55">
        <f>+E128+I128+M128+Q128</f>
        <v>1628258</v>
      </c>
    </row>
    <row r="129" spans="1:18" ht="16.5" customHeight="1" thickBot="1" x14ac:dyDescent="0.35">
      <c r="A129" s="80" t="s">
        <v>107</v>
      </c>
      <c r="B129" s="25">
        <f>(B128/31)/1.983</f>
        <v>2982.7729246986482</v>
      </c>
      <c r="C129" s="25">
        <f>(C128/28)/1.983</f>
        <v>3025.3223831136083</v>
      </c>
      <c r="D129" s="25">
        <f>(D128/31)/1.983</f>
        <v>3041.5141606884322</v>
      </c>
      <c r="E129" s="81" t="s">
        <v>7</v>
      </c>
      <c r="F129" s="25">
        <f>(F128/30)/1.983</f>
        <v>3036.2750042023868</v>
      </c>
      <c r="G129" s="25">
        <f>(G128/31)/1.983</f>
        <v>2921.6891968831846</v>
      </c>
      <c r="H129" s="25">
        <f>(H128/30)/1.983</f>
        <v>2190.2000336190958</v>
      </c>
      <c r="I129" s="81" t="s">
        <v>7</v>
      </c>
      <c r="J129" s="25">
        <f>(J128/31)/1.983</f>
        <v>635.98653067200235</v>
      </c>
      <c r="K129" s="25">
        <f>(K128/31)/1.983</f>
        <v>1397.1987701917915</v>
      </c>
      <c r="L129" s="25">
        <f>(L128/30)/1.983</f>
        <v>2296.6212808875439</v>
      </c>
      <c r="M129" s="81" t="s">
        <v>7</v>
      </c>
      <c r="N129" s="25">
        <f>(N128/31)/1.983</f>
        <v>510.85842565028543</v>
      </c>
      <c r="O129" s="25">
        <f>(O128/30)/1.983</f>
        <v>2904.521768364431</v>
      </c>
      <c r="P129" s="25">
        <f>(P128/31)/1.983</f>
        <v>2173.5558700567726</v>
      </c>
      <c r="Q129" s="81" t="s">
        <v>7</v>
      </c>
      <c r="R129" s="81" t="s">
        <v>7</v>
      </c>
    </row>
    <row r="130" spans="1:18" ht="15.75" customHeight="1" x14ac:dyDescent="0.3">
      <c r="A130" s="28"/>
      <c r="B130" s="1"/>
      <c r="C130" s="1"/>
      <c r="D130" s="1"/>
      <c r="E130" s="1"/>
      <c r="F130" s="1"/>
      <c r="G130" s="1"/>
      <c r="H130" s="1"/>
      <c r="I130" s="1"/>
      <c r="J130" s="1"/>
      <c r="K130" s="1"/>
      <c r="L130" s="1"/>
      <c r="M130" s="1"/>
      <c r="N130" s="1"/>
      <c r="O130" s="1"/>
      <c r="P130" s="1"/>
      <c r="Q130" s="1"/>
      <c r="R130" s="2"/>
    </row>
    <row r="131" spans="1:18" ht="15.75" customHeight="1" thickBot="1" x14ac:dyDescent="0.35">
      <c r="A131" s="28" t="s">
        <v>7</v>
      </c>
      <c r="B131" s="1"/>
      <c r="C131" s="1"/>
      <c r="D131" s="1"/>
      <c r="E131" s="1"/>
      <c r="F131" s="1"/>
      <c r="G131" s="1"/>
      <c r="H131" s="1"/>
      <c r="I131" s="1"/>
      <c r="J131" s="1"/>
      <c r="K131" s="1"/>
      <c r="L131" s="1"/>
      <c r="M131" s="1"/>
      <c r="N131" s="1"/>
      <c r="O131" s="1"/>
      <c r="P131" s="1"/>
      <c r="Q131" s="1"/>
      <c r="R131" s="2"/>
    </row>
    <row r="132" spans="1:18" ht="16.5" customHeight="1" thickBot="1" x14ac:dyDescent="0.35">
      <c r="A132" s="29" t="s">
        <v>108</v>
      </c>
      <c r="B132" s="30" t="s">
        <v>8</v>
      </c>
      <c r="C132" s="31" t="s">
        <v>9</v>
      </c>
      <c r="D132" s="31" t="s">
        <v>10</v>
      </c>
      <c r="E132" s="32" t="s">
        <v>11</v>
      </c>
      <c r="F132" s="31" t="s">
        <v>12</v>
      </c>
      <c r="G132" s="31" t="s">
        <v>13</v>
      </c>
      <c r="H132" s="31" t="s">
        <v>14</v>
      </c>
      <c r="I132" s="33" t="s">
        <v>15</v>
      </c>
      <c r="J132" s="31" t="s">
        <v>16</v>
      </c>
      <c r="K132" s="31" t="s">
        <v>17</v>
      </c>
      <c r="L132" s="31" t="s">
        <v>18</v>
      </c>
      <c r="M132" s="33" t="s">
        <v>19</v>
      </c>
      <c r="N132" s="31" t="s">
        <v>20</v>
      </c>
      <c r="O132" s="31" t="s">
        <v>21</v>
      </c>
      <c r="P132" s="31" t="s">
        <v>22</v>
      </c>
      <c r="Q132" s="33" t="s">
        <v>23</v>
      </c>
      <c r="R132" s="34" t="s">
        <v>24</v>
      </c>
    </row>
    <row r="133" spans="1:18" ht="16.5" customHeight="1" thickBot="1" x14ac:dyDescent="0.35">
      <c r="A133" s="74"/>
      <c r="B133" s="75"/>
      <c r="C133" s="75"/>
      <c r="D133" s="75"/>
      <c r="E133" s="82"/>
      <c r="F133" s="75"/>
      <c r="G133" s="75"/>
      <c r="H133" s="75"/>
      <c r="I133" s="82"/>
      <c r="J133" s="75"/>
      <c r="K133" s="75"/>
      <c r="L133" s="75"/>
      <c r="M133" s="82"/>
      <c r="N133" s="75"/>
      <c r="O133" s="75"/>
      <c r="P133" s="75"/>
      <c r="Q133" s="82"/>
      <c r="R133" s="74"/>
    </row>
    <row r="134" spans="1:18" ht="15.75" customHeight="1" x14ac:dyDescent="0.3">
      <c r="A134" s="15" t="s">
        <v>48</v>
      </c>
      <c r="B134" s="1" t="s">
        <v>7</v>
      </c>
      <c r="C134" s="1" t="s">
        <v>7</v>
      </c>
      <c r="D134" s="1" t="s">
        <v>7</v>
      </c>
      <c r="E134" s="55" t="s">
        <v>7</v>
      </c>
      <c r="F134" s="1" t="s">
        <v>7</v>
      </c>
      <c r="G134" s="1" t="s">
        <v>7</v>
      </c>
      <c r="H134" s="1" t="s">
        <v>7</v>
      </c>
      <c r="I134" s="55" t="s">
        <v>7</v>
      </c>
      <c r="J134" s="1" t="s">
        <v>7</v>
      </c>
      <c r="K134" s="1" t="s">
        <v>7</v>
      </c>
      <c r="L134" s="1" t="s">
        <v>7</v>
      </c>
      <c r="M134" s="55" t="s">
        <v>7</v>
      </c>
      <c r="N134" s="1" t="s">
        <v>7</v>
      </c>
      <c r="O134" s="1" t="s">
        <v>7</v>
      </c>
      <c r="P134" s="1" t="s">
        <v>7</v>
      </c>
      <c r="Q134" s="55" t="s">
        <v>7</v>
      </c>
      <c r="R134" s="83" t="s">
        <v>7</v>
      </c>
    </row>
    <row r="135" spans="1:18" ht="15.75" customHeight="1" x14ac:dyDescent="0.3">
      <c r="A135" s="15" t="s">
        <v>49</v>
      </c>
      <c r="B135" s="1"/>
      <c r="C135" s="1"/>
      <c r="D135" s="1"/>
      <c r="E135" s="55" t="s">
        <v>7</v>
      </c>
      <c r="F135" s="1"/>
      <c r="G135" s="1"/>
      <c r="H135" s="1"/>
      <c r="I135" s="55" t="s">
        <v>7</v>
      </c>
      <c r="J135" s="1"/>
      <c r="K135" s="1"/>
      <c r="L135" s="1"/>
      <c r="M135" s="55" t="s">
        <v>7</v>
      </c>
      <c r="N135" s="1"/>
      <c r="O135" s="1"/>
      <c r="P135" s="1"/>
      <c r="Q135" s="55" t="s">
        <v>7</v>
      </c>
      <c r="R135" s="83"/>
    </row>
    <row r="136" spans="1:18" ht="15.75" customHeight="1" x14ac:dyDescent="0.3">
      <c r="A136" s="84" t="s">
        <v>602</v>
      </c>
      <c r="B136" s="1"/>
      <c r="C136" s="1"/>
      <c r="D136" s="1">
        <v>243</v>
      </c>
      <c r="E136" s="55">
        <f>SUM(B136:D136)</f>
        <v>243</v>
      </c>
      <c r="F136" s="1">
        <v>657</v>
      </c>
      <c r="G136" s="1">
        <v>658</v>
      </c>
      <c r="H136" s="1">
        <v>658</v>
      </c>
      <c r="I136" s="55">
        <f>SUM(F136:H136)</f>
        <v>1973</v>
      </c>
      <c r="J136" s="1">
        <v>658</v>
      </c>
      <c r="K136" s="1">
        <v>658</v>
      </c>
      <c r="L136" s="1">
        <v>657</v>
      </c>
      <c r="M136" s="55">
        <f>SUM(J136:L136)</f>
        <v>1973</v>
      </c>
      <c r="N136" s="1"/>
      <c r="O136" s="1"/>
      <c r="P136" s="1"/>
      <c r="Q136" s="55">
        <f>SUM(N136:P136)</f>
        <v>0</v>
      </c>
      <c r="R136" s="55">
        <f>+E136+I136+M136+Q136</f>
        <v>4189</v>
      </c>
    </row>
    <row r="137" spans="1:18" ht="15.75" customHeight="1" x14ac:dyDescent="0.3">
      <c r="A137" s="84" t="s">
        <v>603</v>
      </c>
      <c r="B137" s="1"/>
      <c r="C137" s="1"/>
      <c r="D137" s="1">
        <v>734</v>
      </c>
      <c r="E137" s="55">
        <f>SUM(B137:D137)</f>
        <v>734</v>
      </c>
      <c r="F137" s="1">
        <v>694</v>
      </c>
      <c r="G137" s="1">
        <v>1036</v>
      </c>
      <c r="H137" s="1">
        <v>1150</v>
      </c>
      <c r="I137" s="55">
        <f>SUM(F137:H137)</f>
        <v>2880</v>
      </c>
      <c r="J137" s="1">
        <v>959</v>
      </c>
      <c r="K137" s="1">
        <v>1249</v>
      </c>
      <c r="L137" s="1">
        <v>741</v>
      </c>
      <c r="M137" s="55">
        <f>SUM(J137:L137)</f>
        <v>2949</v>
      </c>
      <c r="N137" s="1">
        <v>955</v>
      </c>
      <c r="O137" s="1">
        <v>889</v>
      </c>
      <c r="P137" s="1">
        <v>412</v>
      </c>
      <c r="Q137" s="55">
        <f>SUM(N137:P137)</f>
        <v>2256</v>
      </c>
      <c r="R137" s="55">
        <f>+E137+I137+M137+Q137</f>
        <v>8819</v>
      </c>
    </row>
    <row r="138" spans="1:18" ht="15.75" customHeight="1" x14ac:dyDescent="0.3">
      <c r="A138" s="84" t="s">
        <v>604</v>
      </c>
      <c r="B138" s="1"/>
      <c r="C138" s="1"/>
      <c r="D138" s="1">
        <v>200</v>
      </c>
      <c r="E138" s="55">
        <f>SUM(B138:D138)</f>
        <v>200</v>
      </c>
      <c r="F138" s="1">
        <v>362</v>
      </c>
      <c r="G138" s="1">
        <v>362</v>
      </c>
      <c r="H138" s="1">
        <v>362</v>
      </c>
      <c r="I138" s="55">
        <f>SUM(F138:H138)</f>
        <v>1086</v>
      </c>
      <c r="J138" s="1">
        <v>362</v>
      </c>
      <c r="K138" s="1">
        <v>362</v>
      </c>
      <c r="L138" s="1">
        <v>362</v>
      </c>
      <c r="M138" s="55">
        <f>SUM(J138:L138)</f>
        <v>1086</v>
      </c>
      <c r="N138" s="1"/>
      <c r="O138" s="1"/>
      <c r="P138" s="1"/>
      <c r="Q138" s="55">
        <f>SUM(N138:P138)</f>
        <v>0</v>
      </c>
      <c r="R138" s="55">
        <f>+E138+I138+M138+Q138</f>
        <v>2372</v>
      </c>
    </row>
    <row r="139" spans="1:18" ht="15.75" customHeight="1" x14ac:dyDescent="0.3">
      <c r="A139" s="84" t="s">
        <v>605</v>
      </c>
      <c r="B139" s="1"/>
      <c r="C139" s="1"/>
      <c r="D139" s="1">
        <v>200</v>
      </c>
      <c r="E139" s="55">
        <f>SUM(B139:D139)</f>
        <v>200</v>
      </c>
      <c r="F139" s="1">
        <v>514</v>
      </c>
      <c r="G139" s="1">
        <v>513</v>
      </c>
      <c r="H139" s="1">
        <v>511</v>
      </c>
      <c r="I139" s="55">
        <f>SUM(F139:H139)</f>
        <v>1538</v>
      </c>
      <c r="J139" s="1">
        <v>258</v>
      </c>
      <c r="K139" s="1">
        <v>258</v>
      </c>
      <c r="L139" s="1">
        <v>258</v>
      </c>
      <c r="M139" s="55">
        <f>SUM(J139:L139)</f>
        <v>774</v>
      </c>
      <c r="N139" s="1">
        <v>719</v>
      </c>
      <c r="O139" s="1"/>
      <c r="P139" s="1"/>
      <c r="Q139" s="55">
        <f>SUM(N139:P139)</f>
        <v>719</v>
      </c>
      <c r="R139" s="55">
        <f>+E139+I139+M139+Q139</f>
        <v>3231</v>
      </c>
    </row>
    <row r="140" spans="1:18" ht="15.75" customHeight="1" x14ac:dyDescent="0.3">
      <c r="A140" s="71" t="s">
        <v>111</v>
      </c>
      <c r="B140" s="1"/>
      <c r="C140" s="1"/>
      <c r="D140" s="1">
        <v>0</v>
      </c>
      <c r="E140" s="55">
        <f>SUM(B140:D140)</f>
        <v>0</v>
      </c>
      <c r="F140" s="1">
        <v>0</v>
      </c>
      <c r="G140" s="1">
        <v>0</v>
      </c>
      <c r="H140" s="1">
        <v>0</v>
      </c>
      <c r="I140" s="55">
        <f>SUM(F140:H140)</f>
        <v>0</v>
      </c>
      <c r="J140" s="1">
        <v>0</v>
      </c>
      <c r="K140" s="1">
        <v>0</v>
      </c>
      <c r="L140" s="1">
        <v>0</v>
      </c>
      <c r="M140" s="55">
        <f>SUM(J140:L140)</f>
        <v>0</v>
      </c>
      <c r="N140" s="1">
        <v>0</v>
      </c>
      <c r="O140" s="1">
        <v>0</v>
      </c>
      <c r="P140" s="1">
        <v>0</v>
      </c>
      <c r="Q140" s="55">
        <f>SUM(N140:P140)</f>
        <v>0</v>
      </c>
      <c r="R140" s="55">
        <f>+E140+I140+M140+Q140</f>
        <v>0</v>
      </c>
    </row>
    <row r="141" spans="1:18" ht="15.75" customHeight="1" x14ac:dyDescent="0.3">
      <c r="A141" s="84" t="s">
        <v>606</v>
      </c>
      <c r="B141" s="1"/>
      <c r="C141" s="1"/>
      <c r="D141" s="1">
        <v>2000</v>
      </c>
      <c r="E141" s="55">
        <f t="shared" ref="E141:E156" si="20">SUM(B141:D141)</f>
        <v>2000</v>
      </c>
      <c r="F141" s="1">
        <v>3416</v>
      </c>
      <c r="G141" s="1"/>
      <c r="H141" s="1"/>
      <c r="I141" s="55">
        <f t="shared" ref="I141:I156" si="21">SUM(F141:H141)</f>
        <v>3416</v>
      </c>
      <c r="J141" s="1"/>
      <c r="K141" s="1"/>
      <c r="L141" s="1"/>
      <c r="M141" s="55">
        <f t="shared" ref="M141:M156" si="22">SUM(J141:L141)</f>
        <v>0</v>
      </c>
      <c r="N141" s="1"/>
      <c r="O141" s="1"/>
      <c r="P141" s="1"/>
      <c r="Q141" s="55">
        <f t="shared" ref="Q141:Q156" si="23">SUM(N141:P141)</f>
        <v>0</v>
      </c>
      <c r="R141" s="55">
        <f t="shared" ref="R141:R156" si="24">+E141+I141+M141+Q141</f>
        <v>5416</v>
      </c>
    </row>
    <row r="142" spans="1:18" ht="15.75" customHeight="1" x14ac:dyDescent="0.3">
      <c r="A142" s="84" t="s">
        <v>696</v>
      </c>
      <c r="B142" s="1"/>
      <c r="C142" s="1"/>
      <c r="D142" s="1"/>
      <c r="E142" s="55">
        <f t="shared" si="20"/>
        <v>0</v>
      </c>
      <c r="F142" s="1"/>
      <c r="G142" s="1">
        <f>1261+2996</f>
        <v>4257</v>
      </c>
      <c r="H142" s="1">
        <v>294</v>
      </c>
      <c r="I142" s="55">
        <f t="shared" si="21"/>
        <v>4551</v>
      </c>
      <c r="J142" s="1">
        <v>445</v>
      </c>
      <c r="K142" s="1"/>
      <c r="L142" s="1"/>
      <c r="M142" s="55">
        <f t="shared" si="22"/>
        <v>445</v>
      </c>
      <c r="N142" s="1"/>
      <c r="O142" s="1"/>
      <c r="P142" s="1"/>
      <c r="Q142" s="55">
        <f t="shared" si="23"/>
        <v>0</v>
      </c>
      <c r="R142" s="55">
        <f t="shared" si="24"/>
        <v>4996</v>
      </c>
    </row>
    <row r="143" spans="1:18" ht="15.75" customHeight="1" x14ac:dyDescent="0.3">
      <c r="A143" s="71" t="s">
        <v>114</v>
      </c>
      <c r="B143" s="1">
        <v>5</v>
      </c>
      <c r="C143" s="1">
        <v>32</v>
      </c>
      <c r="D143" s="1">
        <v>45</v>
      </c>
      <c r="E143" s="55">
        <f t="shared" si="20"/>
        <v>82</v>
      </c>
      <c r="F143" s="1">
        <v>44</v>
      </c>
      <c r="G143" s="1">
        <v>54</v>
      </c>
      <c r="H143" s="1">
        <v>51</v>
      </c>
      <c r="I143" s="55">
        <f t="shared" si="21"/>
        <v>149</v>
      </c>
      <c r="J143" s="1">
        <v>56</v>
      </c>
      <c r="K143" s="1">
        <v>49</v>
      </c>
      <c r="L143" s="1">
        <v>45</v>
      </c>
      <c r="M143" s="55">
        <f t="shared" si="22"/>
        <v>150</v>
      </c>
      <c r="N143" s="1">
        <v>52</v>
      </c>
      <c r="O143" s="1">
        <v>25</v>
      </c>
      <c r="P143" s="1">
        <v>21</v>
      </c>
      <c r="Q143" s="55">
        <f t="shared" si="23"/>
        <v>98</v>
      </c>
      <c r="R143" s="55">
        <f t="shared" si="24"/>
        <v>479</v>
      </c>
    </row>
    <row r="144" spans="1:18" ht="15.75" customHeight="1" x14ac:dyDescent="0.3">
      <c r="A144" s="71" t="s">
        <v>115</v>
      </c>
      <c r="B144" s="1">
        <v>140</v>
      </c>
      <c r="C144" s="1">
        <v>138</v>
      </c>
      <c r="D144" s="1">
        <v>154</v>
      </c>
      <c r="E144" s="55">
        <f t="shared" si="20"/>
        <v>432</v>
      </c>
      <c r="F144" s="1">
        <v>161</v>
      </c>
      <c r="G144" s="1">
        <v>196</v>
      </c>
      <c r="H144" s="1">
        <v>216</v>
      </c>
      <c r="I144" s="55">
        <f t="shared" si="21"/>
        <v>573</v>
      </c>
      <c r="J144" s="1">
        <v>216</v>
      </c>
      <c r="K144" s="1">
        <v>208</v>
      </c>
      <c r="L144" s="1">
        <v>192</v>
      </c>
      <c r="M144" s="55">
        <f t="shared" si="22"/>
        <v>616</v>
      </c>
      <c r="N144" s="1">
        <v>174</v>
      </c>
      <c r="O144" s="1">
        <v>166</v>
      </c>
      <c r="P144" s="1">
        <v>164</v>
      </c>
      <c r="Q144" s="55">
        <f t="shared" si="23"/>
        <v>504</v>
      </c>
      <c r="R144" s="55">
        <f t="shared" si="24"/>
        <v>2125</v>
      </c>
    </row>
    <row r="145" spans="1:19" ht="15.75" customHeight="1" x14ac:dyDescent="0.3">
      <c r="A145" s="71" t="s">
        <v>116</v>
      </c>
      <c r="B145" s="1"/>
      <c r="C145" s="1"/>
      <c r="D145" s="1"/>
      <c r="E145" s="55">
        <f t="shared" si="20"/>
        <v>0</v>
      </c>
      <c r="F145" s="1"/>
      <c r="G145" s="1"/>
      <c r="H145" s="1"/>
      <c r="I145" s="55">
        <f t="shared" si="21"/>
        <v>0</v>
      </c>
      <c r="J145" s="1"/>
      <c r="K145" s="1"/>
      <c r="L145" s="1"/>
      <c r="M145" s="55">
        <f t="shared" si="22"/>
        <v>0</v>
      </c>
      <c r="N145" s="1"/>
      <c r="O145" s="1"/>
      <c r="P145" s="1"/>
      <c r="Q145" s="55">
        <f t="shared" si="23"/>
        <v>0</v>
      </c>
      <c r="R145" s="55">
        <f t="shared" si="24"/>
        <v>0</v>
      </c>
    </row>
    <row r="146" spans="1:19" ht="15.75" customHeight="1" x14ac:dyDescent="0.3">
      <c r="A146" s="71" t="s">
        <v>117</v>
      </c>
      <c r="B146" s="1">
        <v>428</v>
      </c>
      <c r="C146" s="1">
        <v>413</v>
      </c>
      <c r="D146" s="1">
        <v>488</v>
      </c>
      <c r="E146" s="55">
        <f t="shared" si="20"/>
        <v>1329</v>
      </c>
      <c r="F146" s="1">
        <v>517</v>
      </c>
      <c r="G146" s="1">
        <v>598</v>
      </c>
      <c r="H146" s="1">
        <v>637</v>
      </c>
      <c r="I146" s="55">
        <f t="shared" si="21"/>
        <v>1752</v>
      </c>
      <c r="J146" s="1">
        <v>656</v>
      </c>
      <c r="K146" s="1">
        <v>641</v>
      </c>
      <c r="L146" s="1">
        <v>583</v>
      </c>
      <c r="M146" s="55">
        <f t="shared" si="22"/>
        <v>1880</v>
      </c>
      <c r="N146" s="1">
        <v>642</v>
      </c>
      <c r="O146" s="1">
        <v>735</v>
      </c>
      <c r="P146" s="1">
        <v>438</v>
      </c>
      <c r="Q146" s="55">
        <f t="shared" si="23"/>
        <v>1815</v>
      </c>
      <c r="R146" s="55">
        <f t="shared" si="24"/>
        <v>6776</v>
      </c>
    </row>
    <row r="147" spans="1:19" ht="15.75" customHeight="1" x14ac:dyDescent="0.3">
      <c r="A147" s="71" t="s">
        <v>118</v>
      </c>
      <c r="B147" s="1"/>
      <c r="C147" s="1"/>
      <c r="D147" s="1"/>
      <c r="E147" s="55">
        <f t="shared" ref="E147:E153" si="25">SUM(B147:D147)</f>
        <v>0</v>
      </c>
      <c r="F147" s="1"/>
      <c r="G147" s="1"/>
      <c r="H147" s="1"/>
      <c r="I147" s="55">
        <f t="shared" ref="I147:I153" si="26">SUM(F147:H147)</f>
        <v>0</v>
      </c>
      <c r="J147" s="1"/>
      <c r="K147" s="1"/>
      <c r="L147" s="1"/>
      <c r="M147" s="55">
        <f t="shared" ref="M147:M153" si="27">SUM(J147:L147)</f>
        <v>0</v>
      </c>
      <c r="N147" s="1"/>
      <c r="O147" s="1"/>
      <c r="P147" s="1"/>
      <c r="Q147" s="55">
        <f t="shared" ref="Q147:Q153" si="28">SUM(N147:P147)</f>
        <v>0</v>
      </c>
      <c r="R147" s="55">
        <f t="shared" si="24"/>
        <v>0</v>
      </c>
    </row>
    <row r="148" spans="1:19" s="123" customFormat="1" ht="15.75" customHeight="1" x14ac:dyDescent="0.3">
      <c r="A148" s="289" t="s">
        <v>697</v>
      </c>
      <c r="B148" s="121"/>
      <c r="C148" s="121"/>
      <c r="D148" s="121"/>
      <c r="E148" s="113">
        <f t="shared" si="25"/>
        <v>0</v>
      </c>
      <c r="F148" s="121"/>
      <c r="G148" s="121"/>
      <c r="H148" s="121"/>
      <c r="I148" s="113">
        <f t="shared" si="26"/>
        <v>0</v>
      </c>
      <c r="J148" s="121"/>
      <c r="K148" s="121"/>
      <c r="L148" s="121"/>
      <c r="M148" s="113">
        <f t="shared" si="27"/>
        <v>0</v>
      </c>
      <c r="N148" s="121"/>
      <c r="O148" s="121"/>
      <c r="P148" s="121">
        <v>0</v>
      </c>
      <c r="Q148" s="113">
        <f t="shared" si="28"/>
        <v>0</v>
      </c>
      <c r="R148" s="113">
        <f t="shared" si="24"/>
        <v>0</v>
      </c>
    </row>
    <row r="149" spans="1:19" ht="15.75" customHeight="1" x14ac:dyDescent="0.3">
      <c r="A149" s="71" t="s">
        <v>698</v>
      </c>
      <c r="B149" s="1"/>
      <c r="C149" s="1"/>
      <c r="D149" s="1"/>
      <c r="E149" s="55">
        <f>SUM(B149:D149)</f>
        <v>0</v>
      </c>
      <c r="F149" s="1"/>
      <c r="G149" s="1">
        <v>317</v>
      </c>
      <c r="H149" s="1">
        <v>1245</v>
      </c>
      <c r="I149" s="55">
        <f>SUM(F149:H149)</f>
        <v>1562</v>
      </c>
      <c r="J149" s="1">
        <v>1241</v>
      </c>
      <c r="K149" s="1">
        <v>1236</v>
      </c>
      <c r="L149" s="1">
        <v>9</v>
      </c>
      <c r="M149" s="55">
        <f>SUM(J149:L149)</f>
        <v>2486</v>
      </c>
      <c r="N149" s="1"/>
      <c r="O149" s="1"/>
      <c r="P149" s="1">
        <v>24</v>
      </c>
      <c r="Q149" s="55">
        <f>SUM(N149:P149)</f>
        <v>24</v>
      </c>
      <c r="R149" s="55">
        <f>+E149+I149+M149+Q149</f>
        <v>4072</v>
      </c>
    </row>
    <row r="150" spans="1:19" ht="15.75" customHeight="1" x14ac:dyDescent="0.3">
      <c r="A150" s="71" t="s">
        <v>120</v>
      </c>
      <c r="B150" s="1">
        <v>24</v>
      </c>
      <c r="C150" s="1">
        <v>24</v>
      </c>
      <c r="D150" s="1">
        <v>48</v>
      </c>
      <c r="E150" s="55">
        <f>SUM(B150:D150)</f>
        <v>96</v>
      </c>
      <c r="F150" s="1">
        <v>62</v>
      </c>
      <c r="G150" s="1">
        <v>72</v>
      </c>
      <c r="H150" s="1">
        <v>101</v>
      </c>
      <c r="I150" s="55">
        <f>SUM(F150:H150)</f>
        <v>235</v>
      </c>
      <c r="J150" s="1">
        <v>82</v>
      </c>
      <c r="K150" s="1">
        <v>60</v>
      </c>
      <c r="L150" s="1">
        <v>64</v>
      </c>
      <c r="M150" s="55">
        <f>SUM(J150:L150)</f>
        <v>206</v>
      </c>
      <c r="N150" s="1">
        <v>66</v>
      </c>
      <c r="O150" s="1">
        <v>38</v>
      </c>
      <c r="P150" s="1">
        <v>24</v>
      </c>
      <c r="Q150" s="55">
        <f>SUM(N150:P150)</f>
        <v>128</v>
      </c>
      <c r="R150" s="55">
        <f>+E150+I150+M150+Q150</f>
        <v>665</v>
      </c>
    </row>
    <row r="151" spans="1:19" ht="15.75" customHeight="1" x14ac:dyDescent="0.3">
      <c r="A151" s="84" t="s">
        <v>1163</v>
      </c>
      <c r="B151" s="1">
        <v>0</v>
      </c>
      <c r="C151" s="1">
        <v>0</v>
      </c>
      <c r="D151" s="1">
        <v>0</v>
      </c>
      <c r="E151" s="55">
        <f>SUM(B151:D151)</f>
        <v>0</v>
      </c>
      <c r="F151" s="1">
        <v>2775</v>
      </c>
      <c r="G151" s="1">
        <v>2579</v>
      </c>
      <c r="H151" s="1">
        <v>1286</v>
      </c>
      <c r="I151" s="55">
        <f>SUM(F151:H151)</f>
        <v>6640</v>
      </c>
      <c r="J151" s="1">
        <v>1294</v>
      </c>
      <c r="K151" s="1">
        <v>1160</v>
      </c>
      <c r="L151" s="1">
        <v>1080</v>
      </c>
      <c r="M151" s="55">
        <f>SUM(J151:L151)</f>
        <v>3534</v>
      </c>
      <c r="N151" s="1">
        <v>1119</v>
      </c>
      <c r="O151" s="1">
        <v>858</v>
      </c>
      <c r="P151" s="1">
        <v>698</v>
      </c>
      <c r="Q151" s="55">
        <f>SUM(N151:P151)</f>
        <v>2675</v>
      </c>
      <c r="R151" s="55">
        <f>+E151+I151+M151+Q151</f>
        <v>12849</v>
      </c>
    </row>
    <row r="152" spans="1:19" ht="15.75" customHeight="1" x14ac:dyDescent="0.3">
      <c r="A152" s="84" t="s">
        <v>611</v>
      </c>
      <c r="B152" s="1"/>
      <c r="C152" s="1"/>
      <c r="D152" s="1"/>
      <c r="E152" s="55">
        <f t="shared" si="25"/>
        <v>0</v>
      </c>
      <c r="F152" s="1"/>
      <c r="G152" s="1"/>
      <c r="H152" s="1"/>
      <c r="I152" s="55">
        <f t="shared" si="26"/>
        <v>0</v>
      </c>
      <c r="J152" s="1"/>
      <c r="K152" s="1"/>
      <c r="L152" s="1"/>
      <c r="M152" s="55">
        <f t="shared" si="27"/>
        <v>0</v>
      </c>
      <c r="N152" s="1"/>
      <c r="O152" s="1"/>
      <c r="P152" s="1"/>
      <c r="Q152" s="55">
        <f t="shared" si="28"/>
        <v>0</v>
      </c>
      <c r="R152" s="55">
        <f t="shared" si="24"/>
        <v>0</v>
      </c>
    </row>
    <row r="153" spans="1:19" ht="15.75" customHeight="1" x14ac:dyDescent="0.3">
      <c r="A153" s="71" t="s">
        <v>122</v>
      </c>
      <c r="B153" s="1">
        <v>6865</v>
      </c>
      <c r="C153" s="1">
        <v>7728</v>
      </c>
      <c r="D153" s="1">
        <v>9180</v>
      </c>
      <c r="E153" s="55">
        <f t="shared" si="25"/>
        <v>23773</v>
      </c>
      <c r="F153" s="1">
        <v>10572</v>
      </c>
      <c r="G153" s="1">
        <v>1799</v>
      </c>
      <c r="H153" s="1"/>
      <c r="I153" s="55">
        <f t="shared" si="26"/>
        <v>12371</v>
      </c>
      <c r="J153" s="1">
        <v>12536</v>
      </c>
      <c r="K153" s="1">
        <v>13611</v>
      </c>
      <c r="L153" s="1">
        <v>11000</v>
      </c>
      <c r="M153" s="55">
        <f t="shared" si="27"/>
        <v>37147</v>
      </c>
      <c r="N153" s="1">
        <v>12158</v>
      </c>
      <c r="O153" s="1">
        <v>10647</v>
      </c>
      <c r="P153" s="1">
        <v>7922</v>
      </c>
      <c r="Q153" s="55">
        <f t="shared" si="28"/>
        <v>30727</v>
      </c>
      <c r="R153" s="55">
        <f t="shared" si="24"/>
        <v>104018</v>
      </c>
    </row>
    <row r="154" spans="1:19" ht="15.75" customHeight="1" x14ac:dyDescent="0.3">
      <c r="A154" s="71" t="s">
        <v>123</v>
      </c>
      <c r="B154" s="1">
        <v>14</v>
      </c>
      <c r="C154" s="1">
        <v>14</v>
      </c>
      <c r="D154" s="1">
        <v>18</v>
      </c>
      <c r="E154" s="55">
        <f t="shared" si="20"/>
        <v>46</v>
      </c>
      <c r="F154" s="1">
        <v>17</v>
      </c>
      <c r="G154" s="1">
        <v>16</v>
      </c>
      <c r="H154" s="1">
        <v>17</v>
      </c>
      <c r="I154" s="55">
        <f t="shared" si="21"/>
        <v>50</v>
      </c>
      <c r="J154" s="1">
        <v>19</v>
      </c>
      <c r="K154" s="1">
        <v>20</v>
      </c>
      <c r="L154" s="1">
        <v>19</v>
      </c>
      <c r="M154" s="55">
        <f t="shared" si="22"/>
        <v>58</v>
      </c>
      <c r="N154" s="1">
        <v>21</v>
      </c>
      <c r="O154" s="1">
        <v>18</v>
      </c>
      <c r="P154" s="1">
        <v>11</v>
      </c>
      <c r="Q154" s="55">
        <f t="shared" si="23"/>
        <v>50</v>
      </c>
      <c r="R154" s="55">
        <f t="shared" si="24"/>
        <v>204</v>
      </c>
    </row>
    <row r="155" spans="1:19" ht="15.75" customHeight="1" x14ac:dyDescent="0.3">
      <c r="A155" s="71" t="s">
        <v>124</v>
      </c>
      <c r="B155" s="1">
        <f>3283</f>
        <v>3283</v>
      </c>
      <c r="C155" s="1">
        <v>0</v>
      </c>
      <c r="D155" s="1">
        <v>3112</v>
      </c>
      <c r="E155" s="55">
        <f t="shared" si="20"/>
        <v>6395</v>
      </c>
      <c r="F155" s="1">
        <v>5692</v>
      </c>
      <c r="G155" s="1">
        <v>7152</v>
      </c>
      <c r="H155" s="1">
        <v>7080</v>
      </c>
      <c r="I155" s="55">
        <f t="shared" si="21"/>
        <v>19924</v>
      </c>
      <c r="J155" s="1">
        <v>6602</v>
      </c>
      <c r="K155" s="1">
        <v>6150</v>
      </c>
      <c r="L155" s="1">
        <v>5973</v>
      </c>
      <c r="M155" s="55">
        <f t="shared" si="22"/>
        <v>18725</v>
      </c>
      <c r="N155" s="1">
        <v>6275</v>
      </c>
      <c r="O155" s="1">
        <v>4170</v>
      </c>
      <c r="P155" s="1">
        <v>603.99999999999545</v>
      </c>
      <c r="Q155" s="55">
        <f t="shared" si="23"/>
        <v>11048.999999999996</v>
      </c>
      <c r="R155" s="55">
        <f t="shared" si="24"/>
        <v>56093</v>
      </c>
    </row>
    <row r="156" spans="1:19" ht="15.75" customHeight="1" x14ac:dyDescent="0.3">
      <c r="A156" s="84" t="s">
        <v>1164</v>
      </c>
      <c r="B156" s="1"/>
      <c r="C156" s="1"/>
      <c r="D156" s="1"/>
      <c r="E156" s="55">
        <f t="shared" si="20"/>
        <v>0</v>
      </c>
      <c r="F156" s="1"/>
      <c r="G156" s="1"/>
      <c r="H156" s="1">
        <v>1524</v>
      </c>
      <c r="I156" s="55">
        <f t="shared" si="21"/>
        <v>1524</v>
      </c>
      <c r="J156" s="1"/>
      <c r="K156" s="1">
        <v>1524</v>
      </c>
      <c r="L156" s="1"/>
      <c r="M156" s="55">
        <f t="shared" si="22"/>
        <v>1524</v>
      </c>
      <c r="N156" s="1"/>
      <c r="O156" s="1">
        <v>315</v>
      </c>
      <c r="P156" s="1">
        <v>1867</v>
      </c>
      <c r="Q156" s="55">
        <f t="shared" si="23"/>
        <v>2182</v>
      </c>
      <c r="R156" s="55">
        <f t="shared" si="24"/>
        <v>5230</v>
      </c>
    </row>
    <row r="157" spans="1:19" ht="15.75" customHeight="1" x14ac:dyDescent="0.3">
      <c r="A157" s="71" t="s">
        <v>125</v>
      </c>
      <c r="B157" s="1">
        <v>22</v>
      </c>
      <c r="C157" s="1">
        <v>300</v>
      </c>
      <c r="D157" s="1">
        <v>350</v>
      </c>
      <c r="E157" s="55">
        <f>SUM(B157:D157)</f>
        <v>672</v>
      </c>
      <c r="F157" s="1">
        <v>350</v>
      </c>
      <c r="G157" s="1">
        <v>400</v>
      </c>
      <c r="H157" s="1">
        <v>450</v>
      </c>
      <c r="I157" s="55">
        <f>SUM(F157:H157)</f>
        <v>1200</v>
      </c>
      <c r="J157" s="1">
        <v>493</v>
      </c>
      <c r="K157" s="1">
        <v>500</v>
      </c>
      <c r="L157" s="1">
        <v>400</v>
      </c>
      <c r="M157" s="55">
        <f>SUM(J157:L157)</f>
        <v>1393</v>
      </c>
      <c r="N157" s="1">
        <v>400</v>
      </c>
      <c r="O157" s="1">
        <v>300</v>
      </c>
      <c r="P157" s="1">
        <v>350</v>
      </c>
      <c r="Q157" s="55">
        <f>SUM(N157:P157)</f>
        <v>1050</v>
      </c>
      <c r="R157" s="55">
        <f>+E157+I157+M157+Q157</f>
        <v>4315</v>
      </c>
    </row>
    <row r="158" spans="1:19" ht="15.75" customHeight="1" x14ac:dyDescent="0.3">
      <c r="A158" s="71" t="s">
        <v>700</v>
      </c>
      <c r="B158" s="1">
        <v>2</v>
      </c>
      <c r="C158" s="1">
        <v>2</v>
      </c>
      <c r="D158" s="1">
        <v>2</v>
      </c>
      <c r="E158" s="55">
        <f>SUM(B158:D158)</f>
        <v>6</v>
      </c>
      <c r="F158" s="1">
        <v>3</v>
      </c>
      <c r="G158" s="1">
        <v>3</v>
      </c>
      <c r="H158" s="1">
        <v>3</v>
      </c>
      <c r="I158" s="55">
        <f>SUM(F158:H158)</f>
        <v>9</v>
      </c>
      <c r="J158" s="1">
        <v>3</v>
      </c>
      <c r="K158" s="1">
        <v>3</v>
      </c>
      <c r="L158" s="1">
        <v>3</v>
      </c>
      <c r="M158" s="55">
        <f>SUM(J158:L158)</f>
        <v>9</v>
      </c>
      <c r="N158" s="1">
        <v>3</v>
      </c>
      <c r="O158" s="1">
        <v>2</v>
      </c>
      <c r="P158" s="1">
        <v>2</v>
      </c>
      <c r="Q158" s="55">
        <f>SUM(N158:P158)</f>
        <v>7</v>
      </c>
      <c r="R158" s="55">
        <f>+E158+I158+M158+Q158</f>
        <v>31</v>
      </c>
      <c r="S158" s="4">
        <f>SUM(R136:R158)</f>
        <v>225880</v>
      </c>
    </row>
    <row r="159" spans="1:19" ht="15.75" customHeight="1" x14ac:dyDescent="0.3">
      <c r="A159" s="15" t="s">
        <v>50</v>
      </c>
      <c r="B159" s="1"/>
      <c r="C159" s="1"/>
      <c r="D159" s="1"/>
      <c r="E159" s="55" t="s">
        <v>7</v>
      </c>
      <c r="F159" s="1"/>
      <c r="G159" s="1"/>
      <c r="H159" s="1"/>
      <c r="I159" s="55" t="s">
        <v>7</v>
      </c>
      <c r="J159" s="1"/>
      <c r="K159" s="1"/>
      <c r="L159" s="1"/>
      <c r="M159" s="55" t="s">
        <v>7</v>
      </c>
      <c r="N159" s="1"/>
      <c r="O159" s="1"/>
      <c r="P159" s="1"/>
      <c r="Q159" s="55" t="s">
        <v>7</v>
      </c>
      <c r="R159" s="55" t="s">
        <v>7</v>
      </c>
    </row>
    <row r="160" spans="1:19" ht="15.75" customHeight="1" x14ac:dyDescent="0.3">
      <c r="A160" s="71" t="s">
        <v>701</v>
      </c>
      <c r="B160" s="1"/>
      <c r="C160" s="1"/>
      <c r="D160" s="1"/>
      <c r="E160" s="55">
        <f t="shared" ref="E160:E170" si="29">SUM(B160:D160)</f>
        <v>0</v>
      </c>
      <c r="F160" s="1"/>
      <c r="G160" s="1"/>
      <c r="H160" s="1"/>
      <c r="I160" s="55">
        <f t="shared" ref="I160:I170" si="30">SUM(F160:H160)</f>
        <v>0</v>
      </c>
      <c r="J160" s="1"/>
      <c r="K160" s="1"/>
      <c r="L160" s="1"/>
      <c r="M160" s="55">
        <f t="shared" ref="M160:M170" si="31">SUM(J160:L160)</f>
        <v>0</v>
      </c>
      <c r="N160" s="1"/>
      <c r="O160" s="1"/>
      <c r="P160" s="1"/>
      <c r="Q160" s="55">
        <f t="shared" ref="Q160:Q170" si="32">SUM(N160:P160)</f>
        <v>0</v>
      </c>
      <c r="R160" s="55">
        <f t="shared" ref="R160:R170" si="33">+E160+I160+M160+Q160</f>
        <v>0</v>
      </c>
    </row>
    <row r="161" spans="1:20" ht="15.75" customHeight="1" x14ac:dyDescent="0.3">
      <c r="A161" s="71" t="s">
        <v>127</v>
      </c>
      <c r="B161" s="1">
        <v>16</v>
      </c>
      <c r="C161" s="1">
        <v>22</v>
      </c>
      <c r="D161" s="1">
        <v>32</v>
      </c>
      <c r="E161" s="55">
        <f>SUM(B161:D161)</f>
        <v>70</v>
      </c>
      <c r="F161" s="1">
        <v>41</v>
      </c>
      <c r="G161" s="1">
        <v>51</v>
      </c>
      <c r="H161" s="1">
        <v>52</v>
      </c>
      <c r="I161" s="55">
        <f>SUM(F161:H161)</f>
        <v>144</v>
      </c>
      <c r="J161" s="1">
        <v>52</v>
      </c>
      <c r="K161" s="1">
        <v>43</v>
      </c>
      <c r="L161" s="1">
        <v>36</v>
      </c>
      <c r="M161" s="55">
        <f>SUM(J161:L161)</f>
        <v>131</v>
      </c>
      <c r="N161" s="1">
        <v>66</v>
      </c>
      <c r="O161" s="1">
        <v>32</v>
      </c>
      <c r="P161" s="1">
        <v>19</v>
      </c>
      <c r="Q161" s="55">
        <f>SUM(N161:P161)</f>
        <v>117</v>
      </c>
      <c r="R161" s="55">
        <f>+E161+I161+M161+Q161</f>
        <v>462</v>
      </c>
    </row>
    <row r="162" spans="1:20" ht="15.75" customHeight="1" x14ac:dyDescent="0.3">
      <c r="A162" s="71" t="s">
        <v>128</v>
      </c>
      <c r="B162" s="1">
        <v>1</v>
      </c>
      <c r="C162" s="1">
        <v>3</v>
      </c>
      <c r="D162" s="1">
        <v>4</v>
      </c>
      <c r="E162" s="55">
        <f t="shared" si="29"/>
        <v>8</v>
      </c>
      <c r="F162" s="1">
        <v>12</v>
      </c>
      <c r="G162" s="1">
        <v>15</v>
      </c>
      <c r="H162" s="1">
        <v>5</v>
      </c>
      <c r="I162" s="55">
        <f t="shared" si="30"/>
        <v>32</v>
      </c>
      <c r="J162" s="1">
        <v>22</v>
      </c>
      <c r="K162" s="1">
        <v>17</v>
      </c>
      <c r="L162" s="1">
        <v>14</v>
      </c>
      <c r="M162" s="55">
        <f t="shared" si="31"/>
        <v>53</v>
      </c>
      <c r="N162" s="1">
        <v>14</v>
      </c>
      <c r="O162" s="1">
        <v>10</v>
      </c>
      <c r="P162" s="1">
        <v>2</v>
      </c>
      <c r="Q162" s="55">
        <f t="shared" si="32"/>
        <v>26</v>
      </c>
      <c r="R162" s="55">
        <f t="shared" si="33"/>
        <v>119</v>
      </c>
    </row>
    <row r="163" spans="1:20" ht="15.75" customHeight="1" x14ac:dyDescent="0.3">
      <c r="A163" s="71" t="s">
        <v>129</v>
      </c>
      <c r="B163" s="1">
        <v>35</v>
      </c>
      <c r="C163" s="1">
        <v>35</v>
      </c>
      <c r="D163" s="1">
        <v>35</v>
      </c>
      <c r="E163" s="55">
        <f t="shared" si="29"/>
        <v>105</v>
      </c>
      <c r="F163" s="1">
        <v>35</v>
      </c>
      <c r="G163" s="1">
        <v>35</v>
      </c>
      <c r="H163" s="1">
        <v>35</v>
      </c>
      <c r="I163" s="55">
        <f t="shared" si="30"/>
        <v>105</v>
      </c>
      <c r="J163" s="1">
        <v>50</v>
      </c>
      <c r="K163" s="1">
        <v>50</v>
      </c>
      <c r="L163" s="1">
        <v>50</v>
      </c>
      <c r="M163" s="55">
        <f t="shared" si="31"/>
        <v>150</v>
      </c>
      <c r="N163" s="1">
        <v>50</v>
      </c>
      <c r="O163" s="1">
        <v>50</v>
      </c>
      <c r="P163" s="1">
        <v>50</v>
      </c>
      <c r="Q163" s="55">
        <f t="shared" si="32"/>
        <v>150</v>
      </c>
      <c r="R163" s="55">
        <f t="shared" si="33"/>
        <v>510</v>
      </c>
    </row>
    <row r="164" spans="1:20" ht="15.75" customHeight="1" x14ac:dyDescent="0.3">
      <c r="A164" s="71" t="s">
        <v>540</v>
      </c>
      <c r="B164" s="1">
        <v>1</v>
      </c>
      <c r="C164" s="1">
        <v>0</v>
      </c>
      <c r="D164" s="1">
        <v>0</v>
      </c>
      <c r="E164" s="55">
        <f t="shared" si="29"/>
        <v>1</v>
      </c>
      <c r="F164" s="1">
        <v>0</v>
      </c>
      <c r="G164" s="1">
        <v>0</v>
      </c>
      <c r="H164" s="1">
        <v>1</v>
      </c>
      <c r="I164" s="55">
        <f t="shared" si="30"/>
        <v>1</v>
      </c>
      <c r="J164" s="1">
        <v>0</v>
      </c>
      <c r="K164" s="1">
        <v>0</v>
      </c>
      <c r="L164" s="1">
        <v>1</v>
      </c>
      <c r="M164" s="55">
        <f t="shared" si="31"/>
        <v>1</v>
      </c>
      <c r="N164" s="1"/>
      <c r="O164" s="1"/>
      <c r="P164" s="1"/>
      <c r="Q164" s="55">
        <f t="shared" si="32"/>
        <v>0</v>
      </c>
      <c r="R164" s="55">
        <f t="shared" si="33"/>
        <v>3</v>
      </c>
    </row>
    <row r="165" spans="1:20" ht="15.75" customHeight="1" x14ac:dyDescent="0.3">
      <c r="A165" s="71" t="s">
        <v>120</v>
      </c>
      <c r="B165" s="1"/>
      <c r="C165" s="1"/>
      <c r="D165" s="1"/>
      <c r="E165" s="55">
        <f t="shared" si="29"/>
        <v>0</v>
      </c>
      <c r="F165" s="1"/>
      <c r="G165" s="1"/>
      <c r="H165" s="1"/>
      <c r="I165" s="55">
        <f t="shared" si="30"/>
        <v>0</v>
      </c>
      <c r="J165" s="1"/>
      <c r="K165" s="1"/>
      <c r="L165" s="1">
        <v>0</v>
      </c>
      <c r="M165" s="55">
        <f t="shared" si="31"/>
        <v>0</v>
      </c>
      <c r="N165" s="1">
        <v>0</v>
      </c>
      <c r="O165" s="1">
        <v>0</v>
      </c>
      <c r="P165" s="1">
        <v>2</v>
      </c>
      <c r="Q165" s="55">
        <f t="shared" si="32"/>
        <v>2</v>
      </c>
      <c r="R165" s="55">
        <f t="shared" si="33"/>
        <v>2</v>
      </c>
    </row>
    <row r="166" spans="1:20" ht="15.75" customHeight="1" x14ac:dyDescent="0.3">
      <c r="A166" s="71" t="s">
        <v>132</v>
      </c>
      <c r="B166" s="1">
        <v>0</v>
      </c>
      <c r="C166" s="1">
        <v>1</v>
      </c>
      <c r="D166" s="1">
        <v>1</v>
      </c>
      <c r="E166" s="55">
        <f t="shared" si="29"/>
        <v>2</v>
      </c>
      <c r="F166" s="1">
        <v>1</v>
      </c>
      <c r="G166" s="1">
        <v>1</v>
      </c>
      <c r="H166" s="1">
        <v>2</v>
      </c>
      <c r="I166" s="55">
        <f t="shared" si="30"/>
        <v>4</v>
      </c>
      <c r="J166" s="1">
        <v>2</v>
      </c>
      <c r="K166" s="1">
        <v>1</v>
      </c>
      <c r="L166" s="1">
        <v>2</v>
      </c>
      <c r="M166" s="55">
        <f t="shared" si="31"/>
        <v>5</v>
      </c>
      <c r="N166" s="1">
        <v>1</v>
      </c>
      <c r="O166" s="1">
        <v>1</v>
      </c>
      <c r="P166" s="1">
        <v>0</v>
      </c>
      <c r="Q166" s="55">
        <f t="shared" si="32"/>
        <v>2</v>
      </c>
      <c r="R166" s="55">
        <f t="shared" si="33"/>
        <v>13</v>
      </c>
    </row>
    <row r="167" spans="1:20" ht="15.75" customHeight="1" x14ac:dyDescent="0.3">
      <c r="A167" s="84" t="s">
        <v>614</v>
      </c>
      <c r="B167" s="1"/>
      <c r="C167" s="1"/>
      <c r="D167" s="1"/>
      <c r="E167" s="55">
        <f t="shared" si="29"/>
        <v>0</v>
      </c>
      <c r="F167" s="1"/>
      <c r="G167" s="1"/>
      <c r="H167" s="1"/>
      <c r="I167" s="55">
        <f t="shared" si="30"/>
        <v>0</v>
      </c>
      <c r="J167" s="1"/>
      <c r="K167" s="1"/>
      <c r="L167" s="1"/>
      <c r="M167" s="55">
        <f t="shared" si="31"/>
        <v>0</v>
      </c>
      <c r="N167" s="1"/>
      <c r="O167" s="1"/>
      <c r="P167" s="1"/>
      <c r="Q167" s="55">
        <f t="shared" si="32"/>
        <v>0</v>
      </c>
      <c r="R167" s="55">
        <f t="shared" si="33"/>
        <v>0</v>
      </c>
    </row>
    <row r="168" spans="1:20" ht="15.75" customHeight="1" x14ac:dyDescent="0.3">
      <c r="A168" s="71" t="s">
        <v>134</v>
      </c>
      <c r="B168" s="1">
        <v>24</v>
      </c>
      <c r="C168" s="1">
        <v>24</v>
      </c>
      <c r="D168" s="1">
        <v>24</v>
      </c>
      <c r="E168" s="55">
        <f t="shared" si="29"/>
        <v>72</v>
      </c>
      <c r="F168" s="1">
        <v>24</v>
      </c>
      <c r="G168" s="1">
        <v>24</v>
      </c>
      <c r="H168" s="1">
        <v>24</v>
      </c>
      <c r="I168" s="55">
        <f t="shared" si="30"/>
        <v>72</v>
      </c>
      <c r="J168" s="1">
        <v>24</v>
      </c>
      <c r="K168" s="1">
        <v>24</v>
      </c>
      <c r="L168" s="1">
        <v>24</v>
      </c>
      <c r="M168" s="55">
        <f t="shared" si="31"/>
        <v>72</v>
      </c>
      <c r="N168" s="1">
        <v>24</v>
      </c>
      <c r="O168" s="1">
        <v>24</v>
      </c>
      <c r="P168" s="1">
        <v>24</v>
      </c>
      <c r="Q168" s="55">
        <f t="shared" si="32"/>
        <v>72</v>
      </c>
      <c r="R168" s="55">
        <f t="shared" si="33"/>
        <v>288</v>
      </c>
    </row>
    <row r="169" spans="1:20" ht="15.75" customHeight="1" x14ac:dyDescent="0.3">
      <c r="A169" s="71" t="s">
        <v>1165</v>
      </c>
      <c r="B169" s="1">
        <v>0</v>
      </c>
      <c r="C169" s="1">
        <v>0</v>
      </c>
      <c r="D169" s="1">
        <v>500</v>
      </c>
      <c r="E169" s="55">
        <f t="shared" si="29"/>
        <v>500</v>
      </c>
      <c r="F169" s="1">
        <v>50</v>
      </c>
      <c r="G169" s="1">
        <v>320</v>
      </c>
      <c r="H169" s="1">
        <v>500</v>
      </c>
      <c r="I169" s="55">
        <f t="shared" si="30"/>
        <v>870</v>
      </c>
      <c r="J169" s="1">
        <v>620</v>
      </c>
      <c r="K169" s="1">
        <v>620</v>
      </c>
      <c r="L169" s="1">
        <v>350</v>
      </c>
      <c r="M169" s="55">
        <f t="shared" si="31"/>
        <v>1590</v>
      </c>
      <c r="N169" s="1">
        <v>290</v>
      </c>
      <c r="O169" s="1">
        <v>200</v>
      </c>
      <c r="P169" s="1">
        <v>50</v>
      </c>
      <c r="Q169" s="55">
        <f t="shared" si="32"/>
        <v>540</v>
      </c>
      <c r="R169" s="55">
        <f t="shared" si="33"/>
        <v>3500</v>
      </c>
      <c r="T169" s="4" t="s">
        <v>859</v>
      </c>
    </row>
    <row r="170" spans="1:20" ht="15.75" customHeight="1" x14ac:dyDescent="0.3">
      <c r="A170" s="84" t="s">
        <v>135</v>
      </c>
      <c r="B170" s="1">
        <v>0</v>
      </c>
      <c r="C170" s="1">
        <v>0</v>
      </c>
      <c r="D170" s="1">
        <v>0</v>
      </c>
      <c r="E170" s="55">
        <f t="shared" si="29"/>
        <v>0</v>
      </c>
      <c r="F170" s="1">
        <v>0</v>
      </c>
      <c r="G170" s="1">
        <v>0</v>
      </c>
      <c r="H170" s="1">
        <v>0</v>
      </c>
      <c r="I170" s="55">
        <f t="shared" si="30"/>
        <v>0</v>
      </c>
      <c r="J170" s="1">
        <v>0</v>
      </c>
      <c r="K170" s="1">
        <v>0</v>
      </c>
      <c r="L170" s="1">
        <v>0</v>
      </c>
      <c r="M170" s="55">
        <f t="shared" si="31"/>
        <v>0</v>
      </c>
      <c r="N170" s="1">
        <v>11</v>
      </c>
      <c r="O170" s="1">
        <v>10</v>
      </c>
      <c r="P170" s="1">
        <v>3</v>
      </c>
      <c r="Q170" s="55">
        <f t="shared" si="32"/>
        <v>24</v>
      </c>
      <c r="R170" s="55">
        <f t="shared" si="33"/>
        <v>24</v>
      </c>
    </row>
    <row r="171" spans="1:20" ht="15.75" customHeight="1" x14ac:dyDescent="0.3">
      <c r="A171" s="15" t="s">
        <v>51</v>
      </c>
      <c r="B171" s="1"/>
      <c r="C171" s="1"/>
      <c r="D171" s="1"/>
      <c r="E171" s="55" t="s">
        <v>7</v>
      </c>
      <c r="F171" s="1"/>
      <c r="G171" s="1"/>
      <c r="H171" s="1"/>
      <c r="I171" s="55" t="s">
        <v>7</v>
      </c>
      <c r="J171" s="1"/>
      <c r="K171" s="1"/>
      <c r="L171" s="1"/>
      <c r="M171" s="55" t="s">
        <v>7</v>
      </c>
      <c r="N171" s="1"/>
      <c r="O171" s="1"/>
      <c r="P171" s="1"/>
      <c r="Q171" s="55" t="s">
        <v>7</v>
      </c>
      <c r="R171" s="55" t="s">
        <v>7</v>
      </c>
    </row>
    <row r="172" spans="1:20" ht="15.75" customHeight="1" x14ac:dyDescent="0.3">
      <c r="A172" s="85" t="s">
        <v>703</v>
      </c>
      <c r="B172" s="1"/>
      <c r="C172" s="1"/>
      <c r="D172" s="1"/>
      <c r="E172" s="55">
        <f>SUM(B172:D172)</f>
        <v>0</v>
      </c>
      <c r="F172" s="1"/>
      <c r="G172" s="1"/>
      <c r="H172" s="1"/>
      <c r="I172" s="55">
        <f>SUM(F172:H172)</f>
        <v>0</v>
      </c>
      <c r="J172" s="1"/>
      <c r="K172" s="1"/>
      <c r="L172" s="1"/>
      <c r="M172" s="55">
        <f>SUM(J172:L172)</f>
        <v>0</v>
      </c>
      <c r="N172" s="1"/>
      <c r="O172" s="1"/>
      <c r="P172" s="1"/>
      <c r="Q172" s="55">
        <f>SUM(N172:P172)</f>
        <v>0</v>
      </c>
      <c r="R172" s="55">
        <f>+E172+I172+M172+Q172</f>
        <v>0</v>
      </c>
    </row>
    <row r="173" spans="1:20" ht="15.75" customHeight="1" x14ac:dyDescent="0.3">
      <c r="A173" s="85" t="s">
        <v>704</v>
      </c>
      <c r="B173" s="1"/>
      <c r="C173" s="1"/>
      <c r="D173" s="1"/>
      <c r="E173" s="55">
        <f>SUM(B173:D173)</f>
        <v>0</v>
      </c>
      <c r="F173" s="1"/>
      <c r="G173" s="1"/>
      <c r="H173" s="1"/>
      <c r="I173" s="55">
        <f>SUM(F173:H173)</f>
        <v>0</v>
      </c>
      <c r="J173" s="1"/>
      <c r="K173" s="1"/>
      <c r="L173" s="1"/>
      <c r="M173" s="55">
        <f>SUM(J173:L173)</f>
        <v>0</v>
      </c>
      <c r="N173" s="1"/>
      <c r="O173" s="1"/>
      <c r="P173" s="1"/>
      <c r="Q173" s="55">
        <f>SUM(N173:P173)</f>
        <v>0</v>
      </c>
      <c r="R173" s="55">
        <f>+E173+I173+M173+Q173</f>
        <v>0</v>
      </c>
    </row>
    <row r="174" spans="1:20" ht="15.75" customHeight="1" x14ac:dyDescent="0.3">
      <c r="A174" s="61" t="s">
        <v>705</v>
      </c>
      <c r="B174" s="1">
        <v>15</v>
      </c>
      <c r="C174" s="1">
        <v>19</v>
      </c>
      <c r="D174" s="1">
        <v>25</v>
      </c>
      <c r="E174" s="55">
        <f>SUM(B174:D174)</f>
        <v>59</v>
      </c>
      <c r="F174" s="1">
        <v>39</v>
      </c>
      <c r="G174" s="1">
        <v>67</v>
      </c>
      <c r="H174" s="1">
        <v>82</v>
      </c>
      <c r="I174" s="55">
        <f>SUM(F174:H174)</f>
        <v>188</v>
      </c>
      <c r="J174" s="1">
        <v>74</v>
      </c>
      <c r="K174" s="1">
        <v>67</v>
      </c>
      <c r="L174" s="1">
        <v>38</v>
      </c>
      <c r="M174" s="55">
        <f>SUM(J174:L174)</f>
        <v>179</v>
      </c>
      <c r="N174" s="1">
        <v>51</v>
      </c>
      <c r="O174" s="1">
        <v>25</v>
      </c>
      <c r="P174" s="1">
        <v>10</v>
      </c>
      <c r="Q174" s="55">
        <f>SUM(N174:P174)</f>
        <v>86</v>
      </c>
      <c r="R174" s="55">
        <f>+E174+I174+M174+Q174</f>
        <v>512</v>
      </c>
    </row>
    <row r="175" spans="1:20" ht="15.75" customHeight="1" thickBot="1" x14ac:dyDescent="0.35">
      <c r="A175" s="15" t="s">
        <v>53</v>
      </c>
      <c r="B175" s="1"/>
      <c r="C175" s="1"/>
      <c r="D175" s="1"/>
      <c r="E175" s="55" t="s">
        <v>7</v>
      </c>
      <c r="F175" s="1"/>
      <c r="G175" s="1"/>
      <c r="H175" s="1"/>
      <c r="I175" s="55" t="s">
        <v>7</v>
      </c>
      <c r="J175" s="1"/>
      <c r="K175" s="1"/>
      <c r="L175" s="1"/>
      <c r="M175" s="55" t="s">
        <v>7</v>
      </c>
      <c r="N175" s="1"/>
      <c r="O175" s="1"/>
      <c r="P175" s="1"/>
      <c r="Q175" s="55" t="s">
        <v>7</v>
      </c>
      <c r="R175" s="55" t="s">
        <v>7</v>
      </c>
    </row>
    <row r="176" spans="1:20" ht="16.5" customHeight="1" thickBot="1" x14ac:dyDescent="0.35">
      <c r="A176" s="57" t="s">
        <v>54</v>
      </c>
      <c r="B176" s="86">
        <f>SUM(B134:B175)</f>
        <v>10875</v>
      </c>
      <c r="C176" s="87">
        <f>SUM(C134:C175)</f>
        <v>8755</v>
      </c>
      <c r="D176" s="87">
        <f>SUM(D134:D175)</f>
        <v>17395</v>
      </c>
      <c r="E176" s="59">
        <f>SUM(B176:D176)</f>
        <v>37025</v>
      </c>
      <c r="F176" s="87">
        <f>SUM(F134:F175)</f>
        <v>26038</v>
      </c>
      <c r="G176" s="87">
        <f>SUM(G134:G175)</f>
        <v>20525</v>
      </c>
      <c r="H176" s="87">
        <f>SUM(H134:H175)</f>
        <v>16286</v>
      </c>
      <c r="I176" s="59">
        <f>SUM(F176:H176)</f>
        <v>62849</v>
      </c>
      <c r="J176" s="87">
        <f>SUM(J134:J175)</f>
        <v>26724</v>
      </c>
      <c r="K176" s="87">
        <f>SUM(K134:K175)</f>
        <v>28511</v>
      </c>
      <c r="L176" s="87">
        <f>SUM(L134:L175)</f>
        <v>21901</v>
      </c>
      <c r="M176" s="59">
        <f>SUM(J176:L176)</f>
        <v>77136</v>
      </c>
      <c r="N176" s="87">
        <f>SUM(N134:N175)</f>
        <v>23091</v>
      </c>
      <c r="O176" s="87">
        <f>SUM(O134:O175)</f>
        <v>18515</v>
      </c>
      <c r="P176" s="87">
        <f>SUM(P134:P175)</f>
        <v>12696.999999999996</v>
      </c>
      <c r="Q176" s="59">
        <f>SUM(N176:P176)</f>
        <v>54303</v>
      </c>
      <c r="R176" s="59">
        <f>+E176+I176+M176+Q176</f>
        <v>231313</v>
      </c>
    </row>
    <row r="177" spans="1:18" ht="15.75" customHeight="1" x14ac:dyDescent="0.3">
      <c r="A177" s="15" t="s">
        <v>55</v>
      </c>
      <c r="B177" s="1"/>
      <c r="C177" s="1"/>
      <c r="D177" s="1"/>
      <c r="E177" s="55" t="s">
        <v>7</v>
      </c>
      <c r="F177" s="1"/>
      <c r="G177" s="1"/>
      <c r="H177" s="1"/>
      <c r="I177" s="55" t="s">
        <v>7</v>
      </c>
      <c r="J177" s="1"/>
      <c r="K177" s="1"/>
      <c r="L177" s="1"/>
      <c r="M177" s="55" t="s">
        <v>7</v>
      </c>
      <c r="N177" s="1"/>
      <c r="O177" s="1"/>
      <c r="P177" s="1"/>
      <c r="Q177" s="55" t="s">
        <v>7</v>
      </c>
      <c r="R177" s="55" t="s">
        <v>7</v>
      </c>
    </row>
    <row r="178" spans="1:18" ht="15.75" customHeight="1" x14ac:dyDescent="0.3">
      <c r="A178" s="15" t="s">
        <v>56</v>
      </c>
      <c r="B178" s="1"/>
      <c r="C178" s="1"/>
      <c r="D178" s="1"/>
      <c r="E178" s="55" t="s">
        <v>7</v>
      </c>
      <c r="F178" s="1"/>
      <c r="G178" s="1"/>
      <c r="H178" s="1"/>
      <c r="I178" s="55" t="s">
        <v>7</v>
      </c>
      <c r="J178" s="1"/>
      <c r="K178" s="1"/>
      <c r="L178" s="1"/>
      <c r="M178" s="55" t="s">
        <v>7</v>
      </c>
      <c r="N178" s="1"/>
      <c r="O178" s="1"/>
      <c r="P178" s="1"/>
      <c r="Q178" s="55" t="s">
        <v>7</v>
      </c>
      <c r="R178" s="55" t="s">
        <v>7</v>
      </c>
    </row>
    <row r="179" spans="1:18" ht="15.75" customHeight="1" x14ac:dyDescent="0.3">
      <c r="A179" s="15" t="s">
        <v>57</v>
      </c>
      <c r="B179" s="1"/>
      <c r="C179" s="1"/>
      <c r="D179" s="1"/>
      <c r="E179" s="55" t="s">
        <v>7</v>
      </c>
      <c r="F179" s="1"/>
      <c r="G179" s="1"/>
      <c r="H179" s="1"/>
      <c r="I179" s="55" t="s">
        <v>7</v>
      </c>
      <c r="J179" s="1"/>
      <c r="K179" s="1"/>
      <c r="L179" s="1"/>
      <c r="M179" s="55" t="s">
        <v>7</v>
      </c>
      <c r="N179" s="1"/>
      <c r="O179" s="1"/>
      <c r="P179" s="1"/>
      <c r="Q179" s="55" t="s">
        <v>7</v>
      </c>
      <c r="R179" s="55" t="s">
        <v>7</v>
      </c>
    </row>
    <row r="180" spans="1:18" ht="15.75" customHeight="1" x14ac:dyDescent="0.3">
      <c r="A180" s="61" t="s">
        <v>616</v>
      </c>
      <c r="B180" s="1"/>
      <c r="C180" s="1"/>
      <c r="D180" s="1">
        <v>500</v>
      </c>
      <c r="E180" s="55">
        <f>SUM(B180:D180)</f>
        <v>500</v>
      </c>
      <c r="F180" s="1">
        <v>500</v>
      </c>
      <c r="G180" s="1">
        <v>500</v>
      </c>
      <c r="H180" s="1">
        <v>500</v>
      </c>
      <c r="I180" s="55">
        <f>SUM(F180:H180)</f>
        <v>1500</v>
      </c>
      <c r="J180" s="1">
        <v>500</v>
      </c>
      <c r="K180" s="1">
        <v>500</v>
      </c>
      <c r="L180" s="1">
        <v>500</v>
      </c>
      <c r="M180" s="55">
        <f>SUM(J180:L180)</f>
        <v>1500</v>
      </c>
      <c r="N180" s="1">
        <v>500</v>
      </c>
      <c r="O180" s="1"/>
      <c r="P180" s="1"/>
      <c r="Q180" s="55">
        <f>SUM(N180:P180)</f>
        <v>500</v>
      </c>
      <c r="R180" s="55">
        <f>+E180+I180+M180+Q180</f>
        <v>4000</v>
      </c>
    </row>
    <row r="181" spans="1:18" ht="15.75" customHeight="1" thickBot="1" x14ac:dyDescent="0.35">
      <c r="A181" s="15" t="s">
        <v>58</v>
      </c>
      <c r="B181" s="1"/>
      <c r="C181" s="1"/>
      <c r="D181" s="1"/>
      <c r="E181" s="55" t="s">
        <v>7</v>
      </c>
      <c r="F181" s="1"/>
      <c r="G181" s="1"/>
      <c r="H181" s="1"/>
      <c r="I181" s="55" t="s">
        <v>7</v>
      </c>
      <c r="J181" s="1"/>
      <c r="K181" s="1"/>
      <c r="L181" s="1"/>
      <c r="M181" s="55" t="s">
        <v>7</v>
      </c>
      <c r="N181" s="1"/>
      <c r="O181" s="1"/>
      <c r="P181" s="1"/>
      <c r="Q181" s="55" t="s">
        <v>7</v>
      </c>
      <c r="R181" s="55" t="s">
        <v>7</v>
      </c>
    </row>
    <row r="182" spans="1:18" ht="16.5" customHeight="1" thickBot="1" x14ac:dyDescent="0.35">
      <c r="A182" s="57" t="s">
        <v>59</v>
      </c>
      <c r="B182" s="86">
        <f>SUM(B177:B181)</f>
        <v>0</v>
      </c>
      <c r="C182" s="87">
        <f>SUM(C177:C181)</f>
        <v>0</v>
      </c>
      <c r="D182" s="87">
        <f>SUM(D177:D181)</f>
        <v>500</v>
      </c>
      <c r="E182" s="59">
        <f>SUM(B182:D182)</f>
        <v>500</v>
      </c>
      <c r="F182" s="87">
        <f>SUM(F177:F181)</f>
        <v>500</v>
      </c>
      <c r="G182" s="87">
        <f>SUM(G177:G181)</f>
        <v>500</v>
      </c>
      <c r="H182" s="87">
        <f>SUM(H177:H181)</f>
        <v>500</v>
      </c>
      <c r="I182" s="59">
        <f>SUM(F182:H182)</f>
        <v>1500</v>
      </c>
      <c r="J182" s="87">
        <f>SUM(J177:J181)</f>
        <v>500</v>
      </c>
      <c r="K182" s="87">
        <f>SUM(K177:K181)</f>
        <v>500</v>
      </c>
      <c r="L182" s="87">
        <f>SUM(L177:L181)</f>
        <v>500</v>
      </c>
      <c r="M182" s="59">
        <f>SUM(J182:L182)</f>
        <v>1500</v>
      </c>
      <c r="N182" s="87">
        <f>SUM(N177:N181)</f>
        <v>500</v>
      </c>
      <c r="O182" s="87">
        <f>SUM(O177:O181)</f>
        <v>0</v>
      </c>
      <c r="P182" s="87">
        <f>SUM(P177:P181)</f>
        <v>0</v>
      </c>
      <c r="Q182" s="59">
        <f>SUM(N182:P182)</f>
        <v>500</v>
      </c>
      <c r="R182" s="59">
        <f>+E182+I182+M182+Q182</f>
        <v>4000</v>
      </c>
    </row>
    <row r="183" spans="1:18" ht="15.75" customHeight="1" x14ac:dyDescent="0.3">
      <c r="A183" s="15" t="s">
        <v>60</v>
      </c>
      <c r="B183" s="1"/>
      <c r="C183" s="1"/>
      <c r="D183" s="1"/>
      <c r="E183" s="55" t="s">
        <v>7</v>
      </c>
      <c r="F183" s="1"/>
      <c r="G183" s="1"/>
      <c r="H183" s="1"/>
      <c r="I183" s="55" t="s">
        <v>7</v>
      </c>
      <c r="J183" s="1"/>
      <c r="K183" s="1"/>
      <c r="L183" s="1"/>
      <c r="M183" s="55" t="s">
        <v>7</v>
      </c>
      <c r="N183" s="1"/>
      <c r="O183" s="1"/>
      <c r="P183" s="1"/>
      <c r="Q183" s="55" t="s">
        <v>7</v>
      </c>
      <c r="R183" s="55" t="s">
        <v>7</v>
      </c>
    </row>
    <row r="184" spans="1:18" ht="15.75" customHeight="1" x14ac:dyDescent="0.3">
      <c r="A184" s="15" t="s">
        <v>61</v>
      </c>
      <c r="B184" s="1"/>
      <c r="C184" s="1"/>
      <c r="D184" s="1"/>
      <c r="E184" s="55" t="s">
        <v>7</v>
      </c>
      <c r="F184" s="1"/>
      <c r="G184" s="1"/>
      <c r="H184" s="1"/>
      <c r="I184" s="55" t="s">
        <v>7</v>
      </c>
      <c r="J184" s="1"/>
      <c r="K184" s="1"/>
      <c r="L184" s="1"/>
      <c r="M184" s="55" t="s">
        <v>7</v>
      </c>
      <c r="N184" s="1"/>
      <c r="O184" s="1"/>
      <c r="P184" s="1"/>
      <c r="Q184" s="55" t="s">
        <v>7</v>
      </c>
      <c r="R184" s="55" t="s">
        <v>7</v>
      </c>
    </row>
    <row r="185" spans="1:18" ht="15.75" customHeight="1" x14ac:dyDescent="0.3">
      <c r="A185" s="15" t="s">
        <v>62</v>
      </c>
      <c r="B185" s="1"/>
      <c r="C185" s="1"/>
      <c r="D185" s="1"/>
      <c r="E185" s="55" t="s">
        <v>7</v>
      </c>
      <c r="F185" s="1"/>
      <c r="G185" s="1"/>
      <c r="H185" s="1"/>
      <c r="I185" s="55" t="s">
        <v>7</v>
      </c>
      <c r="J185" s="1"/>
      <c r="K185" s="1"/>
      <c r="L185" s="1"/>
      <c r="M185" s="55" t="s">
        <v>7</v>
      </c>
      <c r="N185" s="1"/>
      <c r="O185" s="1"/>
      <c r="P185" s="1"/>
      <c r="Q185" s="55" t="s">
        <v>7</v>
      </c>
      <c r="R185" s="55" t="s">
        <v>7</v>
      </c>
    </row>
    <row r="186" spans="1:18" ht="15.75" customHeight="1" x14ac:dyDescent="0.3">
      <c r="A186" s="88" t="s">
        <v>142</v>
      </c>
      <c r="B186" s="1">
        <v>306</v>
      </c>
      <c r="C186" s="1">
        <v>285</v>
      </c>
      <c r="D186" s="1">
        <v>318</v>
      </c>
      <c r="E186" s="55">
        <f>SUM(B186:D186)</f>
        <v>909</v>
      </c>
      <c r="F186" s="1">
        <v>384</v>
      </c>
      <c r="G186" s="1">
        <v>475</v>
      </c>
      <c r="H186" s="1">
        <v>553</v>
      </c>
      <c r="I186" s="55">
        <f>SUM(F186:H186)</f>
        <v>1412</v>
      </c>
      <c r="J186" s="1">
        <v>523</v>
      </c>
      <c r="K186" s="1">
        <v>453</v>
      </c>
      <c r="L186" s="1">
        <v>417</v>
      </c>
      <c r="M186" s="55">
        <f>SUM(J186:L186)</f>
        <v>1393</v>
      </c>
      <c r="N186" s="1">
        <v>439</v>
      </c>
      <c r="O186" s="1">
        <v>370</v>
      </c>
      <c r="P186" s="1">
        <v>259</v>
      </c>
      <c r="Q186" s="55">
        <f>SUM(N186:P186)</f>
        <v>1068</v>
      </c>
      <c r="R186" s="55">
        <f>+E186+I186+M186+Q186</f>
        <v>4782</v>
      </c>
    </row>
    <row r="187" spans="1:18" ht="15.75" customHeight="1" x14ac:dyDescent="0.3">
      <c r="A187" s="88" t="s">
        <v>143</v>
      </c>
      <c r="B187" s="1"/>
      <c r="C187" s="1"/>
      <c r="D187" s="1">
        <v>357</v>
      </c>
      <c r="E187" s="55">
        <f>SUM(B187:D187)</f>
        <v>357</v>
      </c>
      <c r="F187" s="1"/>
      <c r="G187" s="1"/>
      <c r="H187" s="1"/>
      <c r="I187" s="55">
        <f>SUM(F187:H187)</f>
        <v>0</v>
      </c>
      <c r="J187" s="1"/>
      <c r="K187" s="1"/>
      <c r="L187" s="1"/>
      <c r="M187" s="55">
        <f>SUM(J187:L187)</f>
        <v>0</v>
      </c>
      <c r="N187" s="1"/>
      <c r="O187" s="1"/>
      <c r="P187" s="1"/>
      <c r="Q187" s="55">
        <f>SUM(N187:P187)</f>
        <v>0</v>
      </c>
      <c r="R187" s="55">
        <f>+E187+I187+M187+Q187</f>
        <v>357</v>
      </c>
    </row>
    <row r="188" spans="1:18" ht="15.75" customHeight="1" x14ac:dyDescent="0.3">
      <c r="A188" s="88" t="s">
        <v>145</v>
      </c>
      <c r="B188" s="1">
        <v>33</v>
      </c>
      <c r="C188" s="1">
        <v>31</v>
      </c>
      <c r="D188" s="1">
        <v>40</v>
      </c>
      <c r="E188" s="55">
        <f>SUM(B188:D188)</f>
        <v>104</v>
      </c>
      <c r="F188" s="1">
        <v>57</v>
      </c>
      <c r="G188" s="1">
        <v>54</v>
      </c>
      <c r="H188" s="1">
        <v>102</v>
      </c>
      <c r="I188" s="55">
        <f>SUM(F188:H188)</f>
        <v>213</v>
      </c>
      <c r="J188" s="1">
        <v>81</v>
      </c>
      <c r="K188" s="1">
        <v>66</v>
      </c>
      <c r="L188" s="1">
        <v>77</v>
      </c>
      <c r="M188" s="55">
        <f>SUM(J188:L188)</f>
        <v>224</v>
      </c>
      <c r="N188" s="1">
        <v>70</v>
      </c>
      <c r="O188" s="1">
        <v>39</v>
      </c>
      <c r="P188" s="1">
        <v>21</v>
      </c>
      <c r="Q188" s="55">
        <f>SUM(N188:P188)</f>
        <v>130</v>
      </c>
      <c r="R188" s="55">
        <f>+E188+I188+M188+Q188</f>
        <v>671</v>
      </c>
    </row>
    <row r="189" spans="1:18" ht="15.75" customHeight="1" x14ac:dyDescent="0.3">
      <c r="A189" s="72" t="s">
        <v>146</v>
      </c>
      <c r="B189" s="1"/>
      <c r="C189" s="1"/>
      <c r="D189" s="1"/>
      <c r="E189" s="55">
        <f t="shared" ref="E189:E219" si="34">SUM(B189:D189)</f>
        <v>0</v>
      </c>
      <c r="F189" s="1"/>
      <c r="G189" s="1"/>
      <c r="H189" s="1"/>
      <c r="I189" s="55">
        <f t="shared" ref="I189:I219" si="35">SUM(F189:H189)</f>
        <v>0</v>
      </c>
      <c r="J189" s="1"/>
      <c r="K189" s="1"/>
      <c r="L189" s="1"/>
      <c r="M189" s="55">
        <f t="shared" ref="M189:M219" si="36">SUM(J189:L189)</f>
        <v>0</v>
      </c>
      <c r="N189" s="1"/>
      <c r="O189" s="1"/>
      <c r="P189" s="1"/>
      <c r="Q189" s="55">
        <f t="shared" ref="Q189:Q219" si="37">SUM(N189:P189)</f>
        <v>0</v>
      </c>
      <c r="R189" s="55">
        <f t="shared" ref="R189:R219" si="38">+E189+I189+M189+Q189</f>
        <v>0</v>
      </c>
    </row>
    <row r="190" spans="1:18" ht="15.75" customHeight="1" x14ac:dyDescent="0.3">
      <c r="A190" s="72" t="s">
        <v>147</v>
      </c>
      <c r="B190" s="1"/>
      <c r="C190" s="1"/>
      <c r="D190" s="1"/>
      <c r="E190" s="55">
        <f>SUM(B190:D190)</f>
        <v>0</v>
      </c>
      <c r="F190" s="1"/>
      <c r="G190" s="1"/>
      <c r="H190" s="1"/>
      <c r="I190" s="55">
        <f>SUM(F190:H190)</f>
        <v>0</v>
      </c>
      <c r="J190" s="1"/>
      <c r="K190" s="1"/>
      <c r="L190" s="1"/>
      <c r="M190" s="55">
        <f>SUM(J190:L190)</f>
        <v>0</v>
      </c>
      <c r="N190" s="1"/>
      <c r="O190" s="1"/>
      <c r="P190" s="1"/>
      <c r="Q190" s="55">
        <f>SUM(N190:P190)</f>
        <v>0</v>
      </c>
      <c r="R190" s="55">
        <f>+E190+I190+M190+Q190</f>
        <v>0</v>
      </c>
    </row>
    <row r="191" spans="1:18" ht="15.75" customHeight="1" x14ac:dyDescent="0.3">
      <c r="A191" s="72" t="s">
        <v>148</v>
      </c>
      <c r="B191" s="1">
        <v>629</v>
      </c>
      <c r="C191" s="1">
        <v>53</v>
      </c>
      <c r="D191" s="1"/>
      <c r="E191" s="55">
        <f>SUM(B191:D191)</f>
        <v>682</v>
      </c>
      <c r="F191" s="1"/>
      <c r="G191" s="1"/>
      <c r="H191" s="1"/>
      <c r="I191" s="55">
        <f>SUM(F191:H191)</f>
        <v>0</v>
      </c>
      <c r="J191" s="1"/>
      <c r="K191" s="1"/>
      <c r="L191" s="1"/>
      <c r="M191" s="55">
        <f>SUM(J191:L191)</f>
        <v>0</v>
      </c>
      <c r="N191" s="1"/>
      <c r="O191" s="1"/>
      <c r="P191" s="1"/>
      <c r="Q191" s="55">
        <f>SUM(N191:P191)</f>
        <v>0</v>
      </c>
      <c r="R191" s="55">
        <f>+E191+I191+M191+Q191</f>
        <v>682</v>
      </c>
    </row>
    <row r="192" spans="1:18" ht="15.75" customHeight="1" x14ac:dyDescent="0.3">
      <c r="A192" s="72" t="s">
        <v>149</v>
      </c>
      <c r="B192" s="1"/>
      <c r="C192" s="1"/>
      <c r="D192" s="1"/>
      <c r="E192" s="55">
        <f t="shared" si="34"/>
        <v>0</v>
      </c>
      <c r="F192" s="1"/>
      <c r="G192" s="1"/>
      <c r="H192" s="1"/>
      <c r="I192" s="55">
        <f t="shared" si="35"/>
        <v>0</v>
      </c>
      <c r="J192" s="1"/>
      <c r="K192" s="1"/>
      <c r="L192" s="1"/>
      <c r="M192" s="55">
        <f t="shared" si="36"/>
        <v>0</v>
      </c>
      <c r="N192" s="1"/>
      <c r="O192" s="1"/>
      <c r="P192" s="1"/>
      <c r="Q192" s="55">
        <f t="shared" si="37"/>
        <v>0</v>
      </c>
      <c r="R192" s="55">
        <f t="shared" si="38"/>
        <v>0</v>
      </c>
    </row>
    <row r="193" spans="1:21" ht="15.75" customHeight="1" x14ac:dyDescent="0.3">
      <c r="A193" s="72" t="s">
        <v>869</v>
      </c>
      <c r="B193" s="1">
        <v>1136</v>
      </c>
      <c r="C193" s="1"/>
      <c r="D193" s="1"/>
      <c r="E193" s="55">
        <f>SUM(B193:D193)</f>
        <v>1136</v>
      </c>
      <c r="F193" s="1"/>
      <c r="G193" s="1"/>
      <c r="H193" s="1"/>
      <c r="I193" s="55">
        <f>SUM(F193:H193)</f>
        <v>0</v>
      </c>
      <c r="J193" s="1"/>
      <c r="K193" s="1"/>
      <c r="L193" s="1"/>
      <c r="M193" s="55">
        <f>SUM(J193:L193)</f>
        <v>0</v>
      </c>
      <c r="N193" s="1"/>
      <c r="O193" s="1"/>
      <c r="P193" s="1"/>
      <c r="Q193" s="55">
        <f>SUM(N193:P193)</f>
        <v>0</v>
      </c>
      <c r="R193" s="55">
        <f>+E193+I193+M193+Q193</f>
        <v>1136</v>
      </c>
    </row>
    <row r="194" spans="1:21" ht="15.75" customHeight="1" x14ac:dyDescent="0.3">
      <c r="A194" s="72" t="s">
        <v>151</v>
      </c>
      <c r="B194" s="1">
        <v>23</v>
      </c>
      <c r="C194" s="1"/>
      <c r="D194" s="1"/>
      <c r="E194" s="55">
        <f t="shared" si="34"/>
        <v>23</v>
      </c>
      <c r="F194" s="1"/>
      <c r="G194" s="1"/>
      <c r="H194" s="1"/>
      <c r="I194" s="55">
        <f t="shared" si="35"/>
        <v>0</v>
      </c>
      <c r="J194" s="1"/>
      <c r="K194" s="1"/>
      <c r="L194" s="1"/>
      <c r="M194" s="55">
        <f t="shared" si="36"/>
        <v>0</v>
      </c>
      <c r="N194" s="1"/>
      <c r="O194" s="1"/>
      <c r="P194" s="1"/>
      <c r="Q194" s="55">
        <f t="shared" si="37"/>
        <v>0</v>
      </c>
      <c r="R194" s="55">
        <f t="shared" si="38"/>
        <v>23</v>
      </c>
    </row>
    <row r="195" spans="1:21" ht="15.75" customHeight="1" x14ac:dyDescent="0.3">
      <c r="A195" s="72" t="s">
        <v>152</v>
      </c>
      <c r="B195" s="1">
        <v>23</v>
      </c>
      <c r="C195" s="1"/>
      <c r="D195" s="1"/>
      <c r="E195" s="55">
        <f t="shared" si="34"/>
        <v>23</v>
      </c>
      <c r="F195" s="1"/>
      <c r="G195" s="1"/>
      <c r="H195" s="1"/>
      <c r="I195" s="55">
        <f t="shared" si="35"/>
        <v>0</v>
      </c>
      <c r="J195" s="1"/>
      <c r="K195" s="1"/>
      <c r="L195" s="1"/>
      <c r="M195" s="55">
        <f t="shared" si="36"/>
        <v>0</v>
      </c>
      <c r="N195" s="1"/>
      <c r="O195" s="1"/>
      <c r="P195" s="1"/>
      <c r="Q195" s="55">
        <f t="shared" si="37"/>
        <v>0</v>
      </c>
      <c r="R195" s="55">
        <f t="shared" si="38"/>
        <v>23</v>
      </c>
    </row>
    <row r="196" spans="1:21" ht="15.75" customHeight="1" x14ac:dyDescent="0.3">
      <c r="A196" s="72" t="s">
        <v>153</v>
      </c>
      <c r="B196" s="1"/>
      <c r="C196" s="1"/>
      <c r="D196" s="1"/>
      <c r="E196" s="55">
        <f t="shared" si="34"/>
        <v>0</v>
      </c>
      <c r="F196" s="1"/>
      <c r="G196" s="1">
        <v>4300</v>
      </c>
      <c r="H196" s="1"/>
      <c r="I196" s="55">
        <f t="shared" si="35"/>
        <v>4300</v>
      </c>
      <c r="J196" s="1"/>
      <c r="K196" s="1"/>
      <c r="L196" s="1"/>
      <c r="M196" s="55">
        <f t="shared" si="36"/>
        <v>0</v>
      </c>
      <c r="N196" s="1"/>
      <c r="O196" s="1"/>
      <c r="P196" s="1"/>
      <c r="Q196" s="55">
        <f t="shared" si="37"/>
        <v>0</v>
      </c>
      <c r="R196" s="55">
        <f t="shared" si="38"/>
        <v>4300</v>
      </c>
    </row>
    <row r="197" spans="1:21" ht="15.75" customHeight="1" x14ac:dyDescent="0.3">
      <c r="A197" s="72" t="s">
        <v>620</v>
      </c>
      <c r="B197" s="1">
        <v>1268</v>
      </c>
      <c r="C197" s="1">
        <v>2364</v>
      </c>
      <c r="D197" s="1">
        <v>2240</v>
      </c>
      <c r="E197" s="55">
        <f t="shared" si="34"/>
        <v>5872</v>
      </c>
      <c r="F197" s="1">
        <v>1128</v>
      </c>
      <c r="G197" s="1"/>
      <c r="H197" s="1"/>
      <c r="I197" s="55">
        <f t="shared" si="35"/>
        <v>1128</v>
      </c>
      <c r="J197" s="1"/>
      <c r="K197" s="1"/>
      <c r="L197" s="1"/>
      <c r="M197" s="55">
        <f t="shared" si="36"/>
        <v>0</v>
      </c>
      <c r="N197" s="1"/>
      <c r="O197" s="1"/>
      <c r="P197" s="1"/>
      <c r="Q197" s="55">
        <f t="shared" si="37"/>
        <v>0</v>
      </c>
      <c r="R197" s="55">
        <f t="shared" si="38"/>
        <v>7000</v>
      </c>
    </row>
    <row r="198" spans="1:21" ht="15.75" customHeight="1" x14ac:dyDescent="0.3">
      <c r="A198" s="72" t="s">
        <v>621</v>
      </c>
      <c r="B198" s="1"/>
      <c r="C198" s="1"/>
      <c r="D198" s="1"/>
      <c r="E198" s="55">
        <f t="shared" si="34"/>
        <v>0</v>
      </c>
      <c r="F198" s="1"/>
      <c r="G198" s="1">
        <v>19</v>
      </c>
      <c r="H198" s="1">
        <v>14084</v>
      </c>
      <c r="I198" s="55">
        <f t="shared" si="35"/>
        <v>14103</v>
      </c>
      <c r="J198" s="1">
        <v>897</v>
      </c>
      <c r="K198" s="1"/>
      <c r="L198" s="1"/>
      <c r="M198" s="55">
        <f t="shared" si="36"/>
        <v>897</v>
      </c>
      <c r="N198" s="1"/>
      <c r="O198" s="1"/>
      <c r="P198" s="1"/>
      <c r="Q198" s="55">
        <f t="shared" si="37"/>
        <v>0</v>
      </c>
      <c r="R198" s="55">
        <f t="shared" si="38"/>
        <v>15000</v>
      </c>
    </row>
    <row r="199" spans="1:21" ht="15.75" customHeight="1" x14ac:dyDescent="0.3">
      <c r="A199" s="72" t="s">
        <v>622</v>
      </c>
      <c r="B199" s="1"/>
      <c r="C199" s="1"/>
      <c r="D199" s="1"/>
      <c r="E199" s="55">
        <f t="shared" si="34"/>
        <v>0</v>
      </c>
      <c r="F199" s="1"/>
      <c r="G199" s="1"/>
      <c r="H199" s="1"/>
      <c r="I199" s="55">
        <f t="shared" si="35"/>
        <v>0</v>
      </c>
      <c r="J199" s="1"/>
      <c r="K199" s="1"/>
      <c r="L199" s="1"/>
      <c r="M199" s="55">
        <f t="shared" si="36"/>
        <v>0</v>
      </c>
      <c r="N199" s="1"/>
      <c r="O199" s="1"/>
      <c r="P199" s="1">
        <v>3303</v>
      </c>
      <c r="Q199" s="55">
        <f t="shared" si="37"/>
        <v>3303</v>
      </c>
      <c r="R199" s="55">
        <f t="shared" si="38"/>
        <v>3303</v>
      </c>
    </row>
    <row r="200" spans="1:21" ht="15.75" customHeight="1" x14ac:dyDescent="0.3">
      <c r="A200" s="72" t="s">
        <v>159</v>
      </c>
      <c r="B200" s="1"/>
      <c r="C200" s="1"/>
      <c r="D200" s="1"/>
      <c r="E200" s="55">
        <f t="shared" si="34"/>
        <v>0</v>
      </c>
      <c r="F200" s="1"/>
      <c r="G200" s="1"/>
      <c r="H200" s="1"/>
      <c r="I200" s="55">
        <f t="shared" si="35"/>
        <v>0</v>
      </c>
      <c r="J200" s="1"/>
      <c r="K200" s="1"/>
      <c r="L200" s="1"/>
      <c r="M200" s="55">
        <f t="shared" si="36"/>
        <v>0</v>
      </c>
      <c r="N200" s="1"/>
      <c r="O200" s="1"/>
      <c r="P200" s="1"/>
      <c r="Q200" s="55">
        <f t="shared" si="37"/>
        <v>0</v>
      </c>
      <c r="R200" s="55">
        <f t="shared" si="38"/>
        <v>0</v>
      </c>
    </row>
    <row r="201" spans="1:21" ht="15.75" customHeight="1" x14ac:dyDescent="0.3">
      <c r="A201" s="72" t="s">
        <v>160</v>
      </c>
      <c r="B201" s="1"/>
      <c r="C201" s="1"/>
      <c r="D201" s="1"/>
      <c r="E201" s="55">
        <f t="shared" si="34"/>
        <v>0</v>
      </c>
      <c r="F201" s="1"/>
      <c r="G201" s="1"/>
      <c r="H201" s="1"/>
      <c r="I201" s="55">
        <f t="shared" si="35"/>
        <v>0</v>
      </c>
      <c r="J201" s="1"/>
      <c r="K201" s="1"/>
      <c r="L201" s="1"/>
      <c r="M201" s="55">
        <f t="shared" si="36"/>
        <v>0</v>
      </c>
      <c r="N201" s="1"/>
      <c r="O201" s="1"/>
      <c r="P201" s="1"/>
      <c r="Q201" s="55">
        <f t="shared" si="37"/>
        <v>0</v>
      </c>
      <c r="R201" s="55">
        <f t="shared" si="38"/>
        <v>0</v>
      </c>
      <c r="S201" s="89"/>
      <c r="T201" s="89"/>
      <c r="U201" s="89"/>
    </row>
    <row r="202" spans="1:21" ht="15.75" customHeight="1" x14ac:dyDescent="0.3">
      <c r="A202" s="72" t="s">
        <v>161</v>
      </c>
      <c r="B202" s="1"/>
      <c r="C202" s="1"/>
      <c r="D202" s="1">
        <v>186</v>
      </c>
      <c r="E202" s="55">
        <f t="shared" si="34"/>
        <v>186</v>
      </c>
      <c r="F202" s="1">
        <v>969</v>
      </c>
      <c r="G202" s="1">
        <v>659</v>
      </c>
      <c r="H202" s="1"/>
      <c r="I202" s="55">
        <f t="shared" si="35"/>
        <v>1628</v>
      </c>
      <c r="J202" s="1"/>
      <c r="K202" s="1"/>
      <c r="L202" s="1"/>
      <c r="M202" s="55">
        <f t="shared" si="36"/>
        <v>0</v>
      </c>
      <c r="N202" s="1"/>
      <c r="O202" s="1"/>
      <c r="P202" s="1"/>
      <c r="Q202" s="55">
        <f t="shared" si="37"/>
        <v>0</v>
      </c>
      <c r="R202" s="55">
        <f t="shared" si="38"/>
        <v>1814</v>
      </c>
    </row>
    <row r="203" spans="1:21" ht="15.75" customHeight="1" x14ac:dyDescent="0.3">
      <c r="A203" s="72" t="s">
        <v>162</v>
      </c>
      <c r="B203" s="1"/>
      <c r="C203" s="1"/>
      <c r="D203" s="1"/>
      <c r="E203" s="55">
        <f t="shared" si="34"/>
        <v>0</v>
      </c>
      <c r="F203" s="1"/>
      <c r="G203" s="1"/>
      <c r="H203" s="1"/>
      <c r="I203" s="55">
        <f t="shared" si="35"/>
        <v>0</v>
      </c>
      <c r="J203" s="1"/>
      <c r="K203" s="1"/>
      <c r="L203" s="1"/>
      <c r="M203" s="55">
        <f t="shared" si="36"/>
        <v>0</v>
      </c>
      <c r="N203" s="1"/>
      <c r="O203" s="1"/>
      <c r="P203" s="1"/>
      <c r="Q203" s="55">
        <f t="shared" si="37"/>
        <v>0</v>
      </c>
      <c r="R203" s="55">
        <f t="shared" si="38"/>
        <v>0</v>
      </c>
    </row>
    <row r="204" spans="1:21" ht="15.75" customHeight="1" x14ac:dyDescent="0.3">
      <c r="A204" s="72" t="s">
        <v>163</v>
      </c>
      <c r="B204" s="1"/>
      <c r="C204" s="1"/>
      <c r="D204" s="1"/>
      <c r="E204" s="55">
        <f t="shared" si="34"/>
        <v>0</v>
      </c>
      <c r="F204" s="1"/>
      <c r="G204" s="1">
        <v>3023</v>
      </c>
      <c r="H204" s="1"/>
      <c r="I204" s="55">
        <f t="shared" si="35"/>
        <v>3023</v>
      </c>
      <c r="J204" s="1"/>
      <c r="K204" s="1"/>
      <c r="L204" s="1"/>
      <c r="M204" s="55">
        <f t="shared" si="36"/>
        <v>0</v>
      </c>
      <c r="N204" s="1"/>
      <c r="O204" s="1"/>
      <c r="P204" s="1"/>
      <c r="Q204" s="55">
        <f t="shared" si="37"/>
        <v>0</v>
      </c>
      <c r="R204" s="55">
        <f t="shared" si="38"/>
        <v>3023</v>
      </c>
    </row>
    <row r="205" spans="1:21" ht="15.75" customHeight="1" x14ac:dyDescent="0.3">
      <c r="A205" s="72" t="s">
        <v>164</v>
      </c>
      <c r="B205" s="1">
        <v>60</v>
      </c>
      <c r="C205" s="1"/>
      <c r="D205" s="1"/>
      <c r="E205" s="55">
        <f t="shared" si="34"/>
        <v>60</v>
      </c>
      <c r="F205" s="1"/>
      <c r="G205" s="1"/>
      <c r="H205" s="1"/>
      <c r="I205" s="55">
        <f t="shared" si="35"/>
        <v>0</v>
      </c>
      <c r="J205" s="1"/>
      <c r="K205" s="1"/>
      <c r="L205" s="1"/>
      <c r="M205" s="55">
        <f t="shared" si="36"/>
        <v>0</v>
      </c>
      <c r="N205" s="1"/>
      <c r="O205" s="1"/>
      <c r="P205" s="1"/>
      <c r="Q205" s="55">
        <f t="shared" si="37"/>
        <v>0</v>
      </c>
      <c r="R205" s="55">
        <f t="shared" si="38"/>
        <v>60</v>
      </c>
    </row>
    <row r="206" spans="1:21" ht="15.75" customHeight="1" x14ac:dyDescent="0.3">
      <c r="A206" s="72" t="s">
        <v>165</v>
      </c>
      <c r="B206" s="1">
        <v>60</v>
      </c>
      <c r="C206" s="1"/>
      <c r="D206" s="1"/>
      <c r="E206" s="55">
        <f t="shared" si="34"/>
        <v>60</v>
      </c>
      <c r="F206" s="1"/>
      <c r="G206" s="1"/>
      <c r="H206" s="1"/>
      <c r="I206" s="55">
        <f t="shared" si="35"/>
        <v>0</v>
      </c>
      <c r="J206" s="1"/>
      <c r="K206" s="1"/>
      <c r="L206" s="1"/>
      <c r="M206" s="55">
        <f t="shared" si="36"/>
        <v>0</v>
      </c>
      <c r="N206" s="1"/>
      <c r="O206" s="1"/>
      <c r="P206" s="1"/>
      <c r="Q206" s="55">
        <f t="shared" si="37"/>
        <v>0</v>
      </c>
      <c r="R206" s="55">
        <f t="shared" si="38"/>
        <v>60</v>
      </c>
    </row>
    <row r="207" spans="1:21" ht="15.75" customHeight="1" x14ac:dyDescent="0.3">
      <c r="A207" s="72" t="s">
        <v>706</v>
      </c>
      <c r="B207" s="1"/>
      <c r="C207" s="1"/>
      <c r="D207" s="1"/>
      <c r="E207" s="55">
        <f t="shared" si="34"/>
        <v>0</v>
      </c>
      <c r="F207" s="1"/>
      <c r="G207" s="1"/>
      <c r="H207" s="1"/>
      <c r="I207" s="55">
        <f t="shared" si="35"/>
        <v>0</v>
      </c>
      <c r="J207" s="1"/>
      <c r="K207" s="1"/>
      <c r="L207" s="1"/>
      <c r="M207" s="55">
        <f t="shared" si="36"/>
        <v>0</v>
      </c>
      <c r="N207" s="1"/>
      <c r="O207" s="1"/>
      <c r="P207" s="1">
        <v>250</v>
      </c>
      <c r="Q207" s="55">
        <f t="shared" si="37"/>
        <v>250</v>
      </c>
      <c r="R207" s="55">
        <f t="shared" si="38"/>
        <v>250</v>
      </c>
    </row>
    <row r="208" spans="1:21" ht="15.75" customHeight="1" x14ac:dyDescent="0.3">
      <c r="A208" s="72" t="s">
        <v>1166</v>
      </c>
      <c r="B208" s="1">
        <v>500</v>
      </c>
      <c r="C208" s="1">
        <v>455</v>
      </c>
      <c r="D208" s="1">
        <v>810</v>
      </c>
      <c r="E208" s="55">
        <f>SUM(B208:D208)</f>
        <v>1765</v>
      </c>
      <c r="F208" s="1">
        <v>775</v>
      </c>
      <c r="G208" s="1">
        <v>565</v>
      </c>
      <c r="H208" s="1">
        <v>360</v>
      </c>
      <c r="I208" s="55">
        <f>SUM(F208:H208)</f>
        <v>1700</v>
      </c>
      <c r="J208" s="1">
        <v>375</v>
      </c>
      <c r="K208" s="1">
        <v>1216</v>
      </c>
      <c r="L208" s="1">
        <v>525</v>
      </c>
      <c r="M208" s="55">
        <f>SUM(J208:L208)</f>
        <v>2116</v>
      </c>
      <c r="N208" s="1">
        <v>139</v>
      </c>
      <c r="O208" s="1">
        <v>610</v>
      </c>
      <c r="P208" s="1">
        <v>430.00000000000051</v>
      </c>
      <c r="Q208" s="55">
        <f>SUM(N208:P208)</f>
        <v>1179.0000000000005</v>
      </c>
      <c r="R208" s="55">
        <f>+E208+I208+M208+Q208</f>
        <v>6760</v>
      </c>
    </row>
    <row r="209" spans="1:20" ht="15.75" customHeight="1" x14ac:dyDescent="0.3">
      <c r="A209" s="88" t="s">
        <v>708</v>
      </c>
      <c r="B209" s="1">
        <v>675</v>
      </c>
      <c r="C209" s="1">
        <v>1089</v>
      </c>
      <c r="D209" s="1">
        <v>1477</v>
      </c>
      <c r="E209" s="55">
        <f>SUM(B209:D209)</f>
        <v>3241</v>
      </c>
      <c r="F209" s="1">
        <v>1802</v>
      </c>
      <c r="G209" s="1">
        <v>2907</v>
      </c>
      <c r="H209" s="1">
        <v>0</v>
      </c>
      <c r="I209" s="55">
        <f>SUM(F209:H209)</f>
        <v>4709</v>
      </c>
      <c r="J209" s="1">
        <f>14+3237</f>
        <v>3251</v>
      </c>
      <c r="K209" s="1">
        <v>1000</v>
      </c>
      <c r="L209" s="1">
        <v>1335</v>
      </c>
      <c r="M209" s="55">
        <f>SUM(J209:L209)</f>
        <v>5586</v>
      </c>
      <c r="N209" s="1">
        <v>648</v>
      </c>
      <c r="O209" s="1">
        <v>2334</v>
      </c>
      <c r="P209" s="1">
        <v>1683.0000000000036</v>
      </c>
      <c r="Q209" s="55">
        <f>SUM(N209:P209)</f>
        <v>4665.0000000000036</v>
      </c>
      <c r="R209" s="55">
        <f>+E209+I209+M209+Q209</f>
        <v>18201.000000000004</v>
      </c>
    </row>
    <row r="210" spans="1:20" ht="15.75" customHeight="1" x14ac:dyDescent="0.3">
      <c r="A210" s="72" t="s">
        <v>168</v>
      </c>
      <c r="B210" s="1"/>
      <c r="C210" s="1"/>
      <c r="D210" s="1"/>
      <c r="E210" s="55">
        <f>SUM(B210:D210)</f>
        <v>0</v>
      </c>
      <c r="F210" s="1"/>
      <c r="G210" s="1"/>
      <c r="H210" s="1"/>
      <c r="I210" s="55">
        <f>SUM(F210:H210)</f>
        <v>0</v>
      </c>
      <c r="J210" s="1"/>
      <c r="K210" s="1"/>
      <c r="L210" s="1"/>
      <c r="M210" s="55">
        <f>SUM(J210:L210)</f>
        <v>0</v>
      </c>
      <c r="N210" s="1"/>
      <c r="O210" s="1"/>
      <c r="P210" s="1"/>
      <c r="Q210" s="55">
        <f>SUM(N210:P210)</f>
        <v>0</v>
      </c>
      <c r="R210" s="55">
        <f>+E210+I210+M210+Q210</f>
        <v>0</v>
      </c>
    </row>
    <row r="211" spans="1:20" ht="15.75" customHeight="1" x14ac:dyDescent="0.3">
      <c r="A211" s="72" t="s">
        <v>169</v>
      </c>
      <c r="B211" s="1"/>
      <c r="C211" s="1"/>
      <c r="D211" s="1"/>
      <c r="E211" s="55">
        <f>SUM(B211:D211)</f>
        <v>0</v>
      </c>
      <c r="F211" s="1"/>
      <c r="G211" s="1"/>
      <c r="H211" s="1"/>
      <c r="I211" s="55">
        <f>SUM(F211:H211)</f>
        <v>0</v>
      </c>
      <c r="J211" s="1"/>
      <c r="K211" s="1"/>
      <c r="L211" s="1"/>
      <c r="M211" s="55">
        <f>SUM(J211:L211)</f>
        <v>0</v>
      </c>
      <c r="N211" s="1"/>
      <c r="O211" s="1"/>
      <c r="P211" s="1"/>
      <c r="Q211" s="55">
        <f>SUM(N211:P211)</f>
        <v>0</v>
      </c>
      <c r="R211" s="55">
        <f>+E211+I211+M211+Q211</f>
        <v>0</v>
      </c>
    </row>
    <row r="212" spans="1:20" ht="15.75" customHeight="1" x14ac:dyDescent="0.3">
      <c r="A212" s="72" t="s">
        <v>170</v>
      </c>
      <c r="B212" s="1"/>
      <c r="C212" s="1">
        <v>1365</v>
      </c>
      <c r="D212" s="1">
        <v>1485</v>
      </c>
      <c r="E212" s="55">
        <f t="shared" si="34"/>
        <v>2850</v>
      </c>
      <c r="F212" s="1"/>
      <c r="G212" s="1"/>
      <c r="H212" s="1"/>
      <c r="I212" s="55">
        <f t="shared" si="35"/>
        <v>0</v>
      </c>
      <c r="J212" s="1"/>
      <c r="K212" s="1"/>
      <c r="L212" s="1"/>
      <c r="M212" s="55">
        <f t="shared" si="36"/>
        <v>0</v>
      </c>
      <c r="N212" s="1"/>
      <c r="O212" s="1"/>
      <c r="P212" s="1"/>
      <c r="Q212" s="55">
        <f t="shared" si="37"/>
        <v>0</v>
      </c>
      <c r="R212" s="55">
        <f t="shared" si="38"/>
        <v>2850</v>
      </c>
    </row>
    <row r="213" spans="1:20" ht="15.75" customHeight="1" x14ac:dyDescent="0.3">
      <c r="A213" s="72" t="s">
        <v>171</v>
      </c>
      <c r="B213" s="1"/>
      <c r="C213" s="1"/>
      <c r="D213" s="1"/>
      <c r="E213" s="55">
        <f t="shared" si="34"/>
        <v>0</v>
      </c>
      <c r="F213" s="1"/>
      <c r="G213" s="1"/>
      <c r="H213" s="1"/>
      <c r="I213" s="55">
        <f t="shared" si="35"/>
        <v>0</v>
      </c>
      <c r="J213" s="1"/>
      <c r="K213" s="1"/>
      <c r="L213" s="1"/>
      <c r="M213" s="55">
        <f t="shared" si="36"/>
        <v>0</v>
      </c>
      <c r="N213" s="1"/>
      <c r="O213" s="1"/>
      <c r="P213" s="1"/>
      <c r="Q213" s="55">
        <f t="shared" si="37"/>
        <v>0</v>
      </c>
      <c r="R213" s="55">
        <f t="shared" si="38"/>
        <v>0</v>
      </c>
    </row>
    <row r="214" spans="1:20" ht="15.75" customHeight="1" x14ac:dyDescent="0.3">
      <c r="A214" s="72" t="s">
        <v>172</v>
      </c>
      <c r="B214" s="1"/>
      <c r="C214" s="1"/>
      <c r="D214" s="1"/>
      <c r="E214" s="55">
        <f t="shared" si="34"/>
        <v>0</v>
      </c>
      <c r="F214" s="1"/>
      <c r="G214" s="1">
        <v>4750</v>
      </c>
      <c r="H214" s="1"/>
      <c r="I214" s="55">
        <f t="shared" si="35"/>
        <v>4750</v>
      </c>
      <c r="J214" s="1"/>
      <c r="K214" s="1"/>
      <c r="L214" s="1"/>
      <c r="M214" s="55">
        <f t="shared" si="36"/>
        <v>0</v>
      </c>
      <c r="N214" s="1"/>
      <c r="O214" s="1"/>
      <c r="P214" s="1"/>
      <c r="Q214" s="55">
        <f t="shared" si="37"/>
        <v>0</v>
      </c>
      <c r="R214" s="55">
        <f t="shared" si="38"/>
        <v>4750</v>
      </c>
    </row>
    <row r="215" spans="1:20" ht="15.75" customHeight="1" x14ac:dyDescent="0.3">
      <c r="A215" s="72" t="s">
        <v>173</v>
      </c>
      <c r="B215" s="1">
        <v>95</v>
      </c>
      <c r="C215" s="1"/>
      <c r="D215" s="1"/>
      <c r="E215" s="55">
        <f t="shared" si="34"/>
        <v>95</v>
      </c>
      <c r="F215" s="1"/>
      <c r="G215" s="1"/>
      <c r="H215" s="1"/>
      <c r="I215" s="55">
        <f t="shared" si="35"/>
        <v>0</v>
      </c>
      <c r="J215" s="1"/>
      <c r="K215" s="1"/>
      <c r="L215" s="1"/>
      <c r="M215" s="55">
        <f t="shared" si="36"/>
        <v>0</v>
      </c>
      <c r="N215" s="1"/>
      <c r="O215" s="1"/>
      <c r="P215" s="1"/>
      <c r="Q215" s="55">
        <f t="shared" si="37"/>
        <v>0</v>
      </c>
      <c r="R215" s="55">
        <f t="shared" si="38"/>
        <v>95</v>
      </c>
    </row>
    <row r="216" spans="1:20" ht="15.75" customHeight="1" x14ac:dyDescent="0.3">
      <c r="A216" s="72" t="s">
        <v>174</v>
      </c>
      <c r="B216" s="1">
        <v>95</v>
      </c>
      <c r="C216" s="1"/>
      <c r="D216" s="1"/>
      <c r="E216" s="55">
        <f t="shared" si="34"/>
        <v>95</v>
      </c>
      <c r="F216" s="1"/>
      <c r="G216" s="1"/>
      <c r="H216" s="1"/>
      <c r="I216" s="55">
        <f t="shared" si="35"/>
        <v>0</v>
      </c>
      <c r="J216" s="1"/>
      <c r="K216" s="1"/>
      <c r="L216" s="1"/>
      <c r="M216" s="55">
        <f t="shared" si="36"/>
        <v>0</v>
      </c>
      <c r="N216" s="1"/>
      <c r="O216" s="1"/>
      <c r="P216" s="1"/>
      <c r="Q216" s="55">
        <f t="shared" si="37"/>
        <v>0</v>
      </c>
      <c r="R216" s="55">
        <f t="shared" si="38"/>
        <v>95</v>
      </c>
    </row>
    <row r="217" spans="1:20" ht="15.75" customHeight="1" x14ac:dyDescent="0.3">
      <c r="A217" s="72" t="s">
        <v>709</v>
      </c>
      <c r="B217" s="1">
        <v>866</v>
      </c>
      <c r="C217" s="1">
        <v>4444</v>
      </c>
      <c r="D217" s="1">
        <v>1690</v>
      </c>
      <c r="E217" s="55">
        <f>SUM(B217:D217)</f>
        <v>7000</v>
      </c>
      <c r="F217" s="1"/>
      <c r="G217" s="1"/>
      <c r="H217" s="1"/>
      <c r="I217" s="55">
        <f>SUM(F217:H217)</f>
        <v>0</v>
      </c>
      <c r="J217" s="1"/>
      <c r="K217" s="1"/>
      <c r="L217" s="1"/>
      <c r="M217" s="55">
        <f>SUM(J217:L217)</f>
        <v>0</v>
      </c>
      <c r="N217" s="1"/>
      <c r="O217" s="1"/>
      <c r="P217" s="1"/>
      <c r="Q217" s="55">
        <f>SUM(N217:P217)</f>
        <v>0</v>
      </c>
      <c r="R217" s="55">
        <f>+E217+I217+M217+Q217</f>
        <v>7000</v>
      </c>
    </row>
    <row r="218" spans="1:20" ht="15.75" customHeight="1" thickBot="1" x14ac:dyDescent="0.35">
      <c r="A218" s="72" t="s">
        <v>175</v>
      </c>
      <c r="B218" s="1">
        <v>500</v>
      </c>
      <c r="C218" s="1"/>
      <c r="D218" s="1"/>
      <c r="E218" s="55">
        <f t="shared" si="34"/>
        <v>500</v>
      </c>
      <c r="F218" s="1"/>
      <c r="G218" s="1"/>
      <c r="H218" s="1"/>
      <c r="I218" s="55">
        <f t="shared" si="35"/>
        <v>0</v>
      </c>
      <c r="J218" s="1"/>
      <c r="K218" s="1"/>
      <c r="L218" s="1"/>
      <c r="M218" s="55">
        <f t="shared" si="36"/>
        <v>0</v>
      </c>
      <c r="N218" s="1"/>
      <c r="O218" s="1"/>
      <c r="P218" s="1"/>
      <c r="Q218" s="55">
        <f t="shared" si="37"/>
        <v>0</v>
      </c>
      <c r="R218" s="55">
        <f t="shared" si="38"/>
        <v>500</v>
      </c>
    </row>
    <row r="219" spans="1:20" ht="16.5" customHeight="1" thickBot="1" x14ac:dyDescent="0.35">
      <c r="A219" s="57" t="s">
        <v>63</v>
      </c>
      <c r="B219" s="86">
        <f>SUM(B183:B218)</f>
        <v>6269</v>
      </c>
      <c r="C219" s="87">
        <f>SUM(C183:C218)</f>
        <v>10086</v>
      </c>
      <c r="D219" s="87">
        <f>SUM(D183:D218)</f>
        <v>8603</v>
      </c>
      <c r="E219" s="59">
        <f t="shared" si="34"/>
        <v>24958</v>
      </c>
      <c r="F219" s="87">
        <f>SUM(F183:F218)</f>
        <v>5115</v>
      </c>
      <c r="G219" s="87">
        <f>SUM(G183:G218)</f>
        <v>16752</v>
      </c>
      <c r="H219" s="87">
        <f>SUM(H183:H218)</f>
        <v>15099</v>
      </c>
      <c r="I219" s="59">
        <f t="shared" si="35"/>
        <v>36966</v>
      </c>
      <c r="J219" s="87">
        <f>SUM(J183:J218)</f>
        <v>5127</v>
      </c>
      <c r="K219" s="87">
        <f>SUM(K183:K218)</f>
        <v>2735</v>
      </c>
      <c r="L219" s="87">
        <f>SUM(L183:L218)</f>
        <v>2354</v>
      </c>
      <c r="M219" s="59">
        <f t="shared" si="36"/>
        <v>10216</v>
      </c>
      <c r="N219" s="87">
        <f>SUM(N183:N218)</f>
        <v>1296</v>
      </c>
      <c r="O219" s="87">
        <f>SUM(O183:O218)</f>
        <v>3353</v>
      </c>
      <c r="P219" s="87">
        <f>SUM(P183:P218)</f>
        <v>5946.0000000000045</v>
      </c>
      <c r="Q219" s="59">
        <f t="shared" si="37"/>
        <v>10595.000000000004</v>
      </c>
      <c r="R219" s="59">
        <f t="shared" si="38"/>
        <v>82735</v>
      </c>
    </row>
    <row r="220" spans="1:20" ht="15.75" customHeight="1" x14ac:dyDescent="0.3">
      <c r="A220" s="15" t="s">
        <v>64</v>
      </c>
      <c r="B220" s="1"/>
      <c r="C220" s="1"/>
      <c r="D220" s="1"/>
      <c r="E220" s="55" t="s">
        <v>7</v>
      </c>
      <c r="F220" s="1"/>
      <c r="G220" s="1"/>
      <c r="H220" s="1"/>
      <c r="I220" s="55" t="s">
        <v>7</v>
      </c>
      <c r="J220" s="1"/>
      <c r="K220" s="1"/>
      <c r="L220" s="1"/>
      <c r="M220" s="55" t="s">
        <v>7</v>
      </c>
      <c r="N220" s="1"/>
      <c r="O220" s="1"/>
      <c r="P220" s="1"/>
      <c r="Q220" s="55" t="s">
        <v>7</v>
      </c>
      <c r="R220" s="55" t="s">
        <v>7</v>
      </c>
    </row>
    <row r="221" spans="1:20" ht="15.75" customHeight="1" x14ac:dyDescent="0.3">
      <c r="A221" s="15" t="s">
        <v>594</v>
      </c>
      <c r="B221" s="1"/>
      <c r="C221" s="1"/>
      <c r="D221" s="1"/>
      <c r="E221" s="55" t="s">
        <v>7</v>
      </c>
      <c r="F221" s="1"/>
      <c r="G221" s="1"/>
      <c r="H221" s="1"/>
      <c r="I221" s="55" t="s">
        <v>7</v>
      </c>
      <c r="J221" s="1"/>
      <c r="K221" s="1"/>
      <c r="L221" s="1"/>
      <c r="M221" s="55" t="s">
        <v>7</v>
      </c>
      <c r="N221" s="1"/>
      <c r="O221" s="1"/>
      <c r="P221" s="1"/>
      <c r="Q221" s="55" t="s">
        <v>7</v>
      </c>
      <c r="R221" s="55" t="s">
        <v>7</v>
      </c>
    </row>
    <row r="222" spans="1:20" ht="15.75" customHeight="1" x14ac:dyDescent="0.3">
      <c r="A222" s="85" t="s">
        <v>702</v>
      </c>
      <c r="B222" s="1"/>
      <c r="C222" s="1"/>
      <c r="D222" s="1"/>
      <c r="E222" s="55">
        <f>SUM(B222:D222)</f>
        <v>0</v>
      </c>
      <c r="F222" s="1"/>
      <c r="G222" s="1"/>
      <c r="H222" s="1"/>
      <c r="I222" s="55">
        <f>SUM(F222:H222)</f>
        <v>0</v>
      </c>
      <c r="J222" s="1"/>
      <c r="K222" s="1"/>
      <c r="L222" s="1"/>
      <c r="M222" s="55">
        <f>SUM(J222:L222)</f>
        <v>0</v>
      </c>
      <c r="N222" s="1"/>
      <c r="O222" s="1"/>
      <c r="P222" s="1"/>
      <c r="Q222" s="55">
        <f>SUM(N222:P222)</f>
        <v>0</v>
      </c>
      <c r="R222" s="55">
        <f>+E222+I222+M222+Q222</f>
        <v>0</v>
      </c>
    </row>
    <row r="223" spans="1:20" ht="15.75" customHeight="1" x14ac:dyDescent="0.3">
      <c r="A223" s="85" t="s">
        <v>1167</v>
      </c>
      <c r="B223" s="1"/>
      <c r="C223" s="1"/>
      <c r="D223" s="1"/>
      <c r="E223" s="55">
        <f>SUM(B223:D223)</f>
        <v>0</v>
      </c>
      <c r="F223" s="1"/>
      <c r="G223" s="1"/>
      <c r="H223" s="1"/>
      <c r="I223" s="55">
        <f>SUM(F223:H223)</f>
        <v>0</v>
      </c>
      <c r="J223" s="1">
        <v>484</v>
      </c>
      <c r="K223" s="1">
        <v>484</v>
      </c>
      <c r="L223" s="1">
        <v>484</v>
      </c>
      <c r="M223" s="55">
        <f>SUM(J223:L223)</f>
        <v>1452</v>
      </c>
      <c r="N223" s="1">
        <v>484</v>
      </c>
      <c r="O223" s="1">
        <v>484</v>
      </c>
      <c r="P223" s="1">
        <v>480</v>
      </c>
      <c r="Q223" s="55">
        <f>SUM(N223:P223)</f>
        <v>1448</v>
      </c>
      <c r="R223" s="55">
        <f>+E223+I223+M223+Q223</f>
        <v>2900</v>
      </c>
      <c r="T223" s="4" t="s">
        <v>1168</v>
      </c>
    </row>
    <row r="224" spans="1:20" ht="15.75" customHeight="1" x14ac:dyDescent="0.3">
      <c r="A224" s="85" t="s">
        <v>177</v>
      </c>
      <c r="B224" s="1"/>
      <c r="C224" s="1"/>
      <c r="D224" s="1"/>
      <c r="E224" s="55">
        <f>SUM(B224:D224)</f>
        <v>0</v>
      </c>
      <c r="F224" s="1"/>
      <c r="G224" s="1"/>
      <c r="H224" s="1"/>
      <c r="I224" s="55">
        <f>SUM(F224:H224)</f>
        <v>0</v>
      </c>
      <c r="J224" s="1"/>
      <c r="K224" s="1"/>
      <c r="L224" s="1"/>
      <c r="M224" s="55">
        <f>SUM(J224:L224)</f>
        <v>0</v>
      </c>
      <c r="N224" s="1"/>
      <c r="O224" s="1"/>
      <c r="P224" s="1"/>
      <c r="Q224" s="55">
        <f>SUM(N224:P224)</f>
        <v>0</v>
      </c>
      <c r="R224" s="55">
        <f>+E224+I224+M224+Q224</f>
        <v>0</v>
      </c>
    </row>
    <row r="225" spans="1:18" ht="15.75" customHeight="1" x14ac:dyDescent="0.3">
      <c r="A225" s="85" t="s">
        <v>178</v>
      </c>
      <c r="B225" s="1"/>
      <c r="C225" s="1"/>
      <c r="D225" s="1"/>
      <c r="E225" s="55">
        <f>SUM(B225:D225)</f>
        <v>0</v>
      </c>
      <c r="F225" s="1"/>
      <c r="G225" s="1"/>
      <c r="H225" s="1"/>
      <c r="I225" s="55">
        <f>SUM(F225:H225)</f>
        <v>0</v>
      </c>
      <c r="J225" s="1"/>
      <c r="K225" s="1"/>
      <c r="L225" s="1"/>
      <c r="M225" s="55">
        <f>SUM(J225:L225)</f>
        <v>0</v>
      </c>
      <c r="N225" s="1"/>
      <c r="O225" s="1"/>
      <c r="P225" s="1">
        <v>1</v>
      </c>
      <c r="Q225" s="55">
        <f>SUM(N225:P225)</f>
        <v>1</v>
      </c>
      <c r="R225" s="55">
        <f>+E225+I225+M225+Q225</f>
        <v>1</v>
      </c>
    </row>
    <row r="226" spans="1:18" ht="15.75" customHeight="1" x14ac:dyDescent="0.3">
      <c r="A226" s="91" t="s">
        <v>1169</v>
      </c>
      <c r="B226" s="1"/>
      <c r="C226" s="1"/>
      <c r="D226" s="1"/>
      <c r="E226" s="55">
        <f>SUM(B226:D226)</f>
        <v>0</v>
      </c>
      <c r="F226" s="1"/>
      <c r="G226" s="1"/>
      <c r="H226" s="1"/>
      <c r="I226" s="55">
        <f>SUM(F226:H226)</f>
        <v>0</v>
      </c>
      <c r="J226" s="1"/>
      <c r="K226" s="1"/>
      <c r="L226" s="1">
        <v>200</v>
      </c>
      <c r="M226" s="55">
        <f>SUM(J226:L226)</f>
        <v>200</v>
      </c>
      <c r="N226" s="1"/>
      <c r="O226" s="1"/>
      <c r="P226" s="1"/>
      <c r="Q226" s="55">
        <f>SUM(N226:P226)</f>
        <v>0</v>
      </c>
      <c r="R226" s="55">
        <f>+E226+I226+M226+Q226</f>
        <v>200</v>
      </c>
    </row>
    <row r="227" spans="1:18" ht="15.75" customHeight="1" x14ac:dyDescent="0.3">
      <c r="A227" s="15" t="s">
        <v>67</v>
      </c>
      <c r="B227" s="1"/>
      <c r="C227" s="1"/>
      <c r="D227" s="1"/>
      <c r="E227" s="55" t="s">
        <v>7</v>
      </c>
      <c r="F227" s="1"/>
      <c r="G227" s="1"/>
      <c r="H227" s="1"/>
      <c r="I227" s="55" t="s">
        <v>7</v>
      </c>
      <c r="J227" s="1"/>
      <c r="K227" s="1"/>
      <c r="L227" s="1"/>
      <c r="M227" s="55" t="s">
        <v>7</v>
      </c>
      <c r="N227" s="1"/>
      <c r="O227" s="1"/>
      <c r="P227" s="1"/>
      <c r="Q227" s="55" t="s">
        <v>7</v>
      </c>
      <c r="R227" s="55" t="s">
        <v>7</v>
      </c>
    </row>
    <row r="228" spans="1:18" ht="15.75" customHeight="1" x14ac:dyDescent="0.3">
      <c r="A228" s="85" t="s">
        <v>710</v>
      </c>
      <c r="B228" s="1"/>
      <c r="C228" s="1"/>
      <c r="D228" s="1"/>
      <c r="E228" s="55">
        <f>SUM(B228:D228)</f>
        <v>0</v>
      </c>
      <c r="F228" s="1"/>
      <c r="G228" s="1"/>
      <c r="H228" s="1"/>
      <c r="I228" s="55">
        <f>SUM(F228:H228)</f>
        <v>0</v>
      </c>
      <c r="J228" s="1"/>
      <c r="K228" s="1"/>
      <c r="L228" s="1"/>
      <c r="M228" s="55">
        <f>SUM(J228:L228)</f>
        <v>0</v>
      </c>
      <c r="N228" s="1"/>
      <c r="O228" s="1"/>
      <c r="P228" s="1"/>
      <c r="Q228" s="55">
        <f>SUM(N228:P228)</f>
        <v>0</v>
      </c>
      <c r="R228" s="55">
        <f>+E228+I228+M228+Q228</f>
        <v>0</v>
      </c>
    </row>
    <row r="229" spans="1:18" ht="15.75" customHeight="1" x14ac:dyDescent="0.3">
      <c r="A229" s="85" t="s">
        <v>711</v>
      </c>
      <c r="B229" s="1"/>
      <c r="C229" s="1"/>
      <c r="D229" s="1"/>
      <c r="E229" s="55">
        <f>SUM(B229:D229)</f>
        <v>0</v>
      </c>
      <c r="F229" s="1"/>
      <c r="G229" s="1"/>
      <c r="H229" s="1"/>
      <c r="I229" s="55">
        <f>SUM(F229:H229)</f>
        <v>0</v>
      </c>
      <c r="J229" s="1"/>
      <c r="K229" s="1"/>
      <c r="L229" s="1"/>
      <c r="M229" s="55">
        <f>SUM(J229:L229)</f>
        <v>0</v>
      </c>
      <c r="N229" s="1"/>
      <c r="O229" s="1"/>
      <c r="P229" s="1"/>
      <c r="Q229" s="55">
        <f>SUM(N229:P229)</f>
        <v>0</v>
      </c>
      <c r="R229" s="55">
        <f>+E229+I229+M229+Q229</f>
        <v>0</v>
      </c>
    </row>
    <row r="230" spans="1:18" ht="15.75" customHeight="1" x14ac:dyDescent="0.3">
      <c r="A230" s="71" t="s">
        <v>712</v>
      </c>
      <c r="B230" s="1"/>
      <c r="C230" s="1"/>
      <c r="D230" s="1"/>
      <c r="E230" s="55">
        <f t="shared" ref="E230:E235" si="39">SUM(B230:D230)</f>
        <v>0</v>
      </c>
      <c r="F230" s="1"/>
      <c r="G230" s="1"/>
      <c r="H230" s="1"/>
      <c r="I230" s="55">
        <f t="shared" ref="I230:I235" si="40">SUM(F230:H230)</f>
        <v>0</v>
      </c>
      <c r="J230" s="1"/>
      <c r="K230" s="1"/>
      <c r="L230" s="1"/>
      <c r="M230" s="55">
        <f t="shared" ref="M230:M235" si="41">SUM(J230:L230)</f>
        <v>0</v>
      </c>
      <c r="N230" s="1"/>
      <c r="O230" s="1"/>
      <c r="P230" s="1"/>
      <c r="Q230" s="55">
        <f t="shared" ref="Q230:Q235" si="42">SUM(N230:P230)</f>
        <v>0</v>
      </c>
      <c r="R230" s="55">
        <f t="shared" ref="R230:R235" si="43">+E230+I230+M230+Q230</f>
        <v>0</v>
      </c>
    </row>
    <row r="231" spans="1:18" ht="15.75" customHeight="1" x14ac:dyDescent="0.3">
      <c r="A231" s="71" t="s">
        <v>713</v>
      </c>
      <c r="B231" s="1"/>
      <c r="C231" s="1"/>
      <c r="D231" s="1"/>
      <c r="E231" s="55">
        <f t="shared" si="39"/>
        <v>0</v>
      </c>
      <c r="F231" s="1"/>
      <c r="G231" s="1"/>
      <c r="H231" s="1"/>
      <c r="I231" s="55">
        <f t="shared" si="40"/>
        <v>0</v>
      </c>
      <c r="J231" s="1"/>
      <c r="K231" s="1"/>
      <c r="L231" s="1"/>
      <c r="M231" s="55">
        <f t="shared" si="41"/>
        <v>0</v>
      </c>
      <c r="N231" s="1"/>
      <c r="O231" s="1"/>
      <c r="P231" s="1"/>
      <c r="Q231" s="55">
        <f t="shared" si="42"/>
        <v>0</v>
      </c>
      <c r="R231" s="55">
        <f t="shared" si="43"/>
        <v>0</v>
      </c>
    </row>
    <row r="232" spans="1:18" ht="15.75" customHeight="1" x14ac:dyDescent="0.3">
      <c r="A232" s="84" t="s">
        <v>714</v>
      </c>
      <c r="B232" s="1"/>
      <c r="C232" s="1"/>
      <c r="D232" s="1"/>
      <c r="E232" s="55">
        <f t="shared" si="39"/>
        <v>0</v>
      </c>
      <c r="F232" s="1"/>
      <c r="G232" s="1"/>
      <c r="H232" s="1"/>
      <c r="I232" s="55">
        <f t="shared" si="40"/>
        <v>0</v>
      </c>
      <c r="J232" s="1"/>
      <c r="K232" s="1"/>
      <c r="L232" s="1"/>
      <c r="M232" s="55">
        <f t="shared" si="41"/>
        <v>0</v>
      </c>
      <c r="N232" s="1"/>
      <c r="O232" s="1"/>
      <c r="P232" s="1"/>
      <c r="Q232" s="55">
        <f t="shared" si="42"/>
        <v>0</v>
      </c>
      <c r="R232" s="55">
        <f t="shared" si="43"/>
        <v>0</v>
      </c>
    </row>
    <row r="233" spans="1:18" ht="15.75" customHeight="1" x14ac:dyDescent="0.3">
      <c r="A233" s="84" t="s">
        <v>715</v>
      </c>
      <c r="B233" s="1"/>
      <c r="C233" s="1"/>
      <c r="D233" s="1"/>
      <c r="E233" s="55">
        <f t="shared" si="39"/>
        <v>0</v>
      </c>
      <c r="F233" s="1"/>
      <c r="G233" s="1"/>
      <c r="H233" s="1"/>
      <c r="I233" s="55">
        <f t="shared" si="40"/>
        <v>0</v>
      </c>
      <c r="J233" s="1"/>
      <c r="K233" s="1"/>
      <c r="L233" s="1"/>
      <c r="M233" s="55">
        <f t="shared" si="41"/>
        <v>0</v>
      </c>
      <c r="N233" s="1"/>
      <c r="O233" s="1"/>
      <c r="P233" s="1"/>
      <c r="Q233" s="55">
        <f t="shared" si="42"/>
        <v>0</v>
      </c>
      <c r="R233" s="55">
        <f t="shared" si="43"/>
        <v>0</v>
      </c>
    </row>
    <row r="234" spans="1:18" ht="15.75" customHeight="1" x14ac:dyDescent="0.3">
      <c r="A234" s="61" t="s">
        <v>716</v>
      </c>
      <c r="B234" s="1"/>
      <c r="C234" s="1"/>
      <c r="D234" s="1"/>
      <c r="E234" s="55">
        <f t="shared" si="39"/>
        <v>0</v>
      </c>
      <c r="F234" s="1"/>
      <c r="G234" s="1"/>
      <c r="H234" s="1"/>
      <c r="I234" s="55">
        <f t="shared" si="40"/>
        <v>0</v>
      </c>
      <c r="J234" s="1"/>
      <c r="K234" s="1"/>
      <c r="L234" s="1"/>
      <c r="M234" s="55">
        <f t="shared" si="41"/>
        <v>0</v>
      </c>
      <c r="N234" s="1"/>
      <c r="O234" s="1"/>
      <c r="P234" s="1"/>
      <c r="Q234" s="55">
        <f t="shared" si="42"/>
        <v>0</v>
      </c>
      <c r="R234" s="55">
        <f t="shared" si="43"/>
        <v>0</v>
      </c>
    </row>
    <row r="235" spans="1:18" ht="15.75" customHeight="1" x14ac:dyDescent="0.3">
      <c r="A235" s="61" t="s">
        <v>717</v>
      </c>
      <c r="B235" s="1"/>
      <c r="C235" s="1"/>
      <c r="D235" s="1"/>
      <c r="E235" s="55">
        <f t="shared" si="39"/>
        <v>0</v>
      </c>
      <c r="F235" s="1"/>
      <c r="G235" s="1"/>
      <c r="H235" s="1"/>
      <c r="I235" s="55">
        <f t="shared" si="40"/>
        <v>0</v>
      </c>
      <c r="J235" s="1"/>
      <c r="K235" s="1"/>
      <c r="L235" s="1"/>
      <c r="M235" s="55">
        <f t="shared" si="41"/>
        <v>0</v>
      </c>
      <c r="N235" s="1"/>
      <c r="O235" s="1"/>
      <c r="P235" s="1"/>
      <c r="Q235" s="55">
        <f t="shared" si="42"/>
        <v>0</v>
      </c>
      <c r="R235" s="55">
        <f t="shared" si="43"/>
        <v>0</v>
      </c>
    </row>
    <row r="236" spans="1:18" ht="15.75" customHeight="1" x14ac:dyDescent="0.3">
      <c r="A236" s="15" t="s">
        <v>600</v>
      </c>
      <c r="B236" s="1"/>
      <c r="C236" s="1"/>
      <c r="D236" s="1"/>
      <c r="E236" s="55" t="s">
        <v>7</v>
      </c>
      <c r="F236" s="1"/>
      <c r="G236" s="1"/>
      <c r="H236" s="1"/>
      <c r="I236" s="55" t="s">
        <v>7</v>
      </c>
      <c r="J236" s="1"/>
      <c r="K236" s="1"/>
      <c r="L236" s="1"/>
      <c r="M236" s="55" t="s">
        <v>7</v>
      </c>
      <c r="N236" s="1"/>
      <c r="O236" s="1"/>
      <c r="P236" s="1"/>
      <c r="Q236" s="55" t="s">
        <v>7</v>
      </c>
      <c r="R236" s="55" t="s">
        <v>7</v>
      </c>
    </row>
    <row r="237" spans="1:18" ht="15.75" customHeight="1" thickBot="1" x14ac:dyDescent="0.35">
      <c r="A237" s="15" t="s">
        <v>70</v>
      </c>
      <c r="B237" s="1"/>
      <c r="C237" s="1"/>
      <c r="D237" s="1"/>
      <c r="E237" s="55" t="s">
        <v>7</v>
      </c>
      <c r="F237" s="1"/>
      <c r="G237" s="1"/>
      <c r="H237" s="1"/>
      <c r="I237" s="55" t="s">
        <v>7</v>
      </c>
      <c r="J237" s="1"/>
      <c r="K237" s="1"/>
      <c r="L237" s="1"/>
      <c r="M237" s="55" t="s">
        <v>7</v>
      </c>
      <c r="N237" s="1"/>
      <c r="O237" s="1"/>
      <c r="P237" s="1"/>
      <c r="Q237" s="55" t="s">
        <v>7</v>
      </c>
      <c r="R237" s="55" t="s">
        <v>7</v>
      </c>
    </row>
    <row r="238" spans="1:18" ht="16.5" customHeight="1" thickBot="1" x14ac:dyDescent="0.35">
      <c r="A238" s="57" t="s">
        <v>71</v>
      </c>
      <c r="B238" s="58">
        <f>SUM(B236:B237)</f>
        <v>0</v>
      </c>
      <c r="C238" s="58">
        <f>SUM(C236:C237)</f>
        <v>0</v>
      </c>
      <c r="D238" s="58">
        <f>SUM(D236:D237)</f>
        <v>0</v>
      </c>
      <c r="E238" s="60">
        <f t="shared" ref="E238:E246" si="44">SUM(B238:D238)</f>
        <v>0</v>
      </c>
      <c r="F238" s="58">
        <f>SUM(F236:F237)</f>
        <v>0</v>
      </c>
      <c r="G238" s="58">
        <f>SUM(G236:G237)</f>
        <v>0</v>
      </c>
      <c r="H238" s="58">
        <f>SUM(H236:H237)</f>
        <v>0</v>
      </c>
      <c r="I238" s="60">
        <f t="shared" ref="I238:I246" si="45">SUM(F238:H238)</f>
        <v>0</v>
      </c>
      <c r="J238" s="58">
        <f>SUM(J236:J237)</f>
        <v>0</v>
      </c>
      <c r="K238" s="58">
        <f>SUM(K236:K237)</f>
        <v>0</v>
      </c>
      <c r="L238" s="58">
        <f>SUM(L236:L237)</f>
        <v>0</v>
      </c>
      <c r="M238" s="60">
        <f t="shared" ref="M238:M246" si="46">SUM(J238:L238)</f>
        <v>0</v>
      </c>
      <c r="N238" s="58">
        <f>SUM(N236:N237)</f>
        <v>0</v>
      </c>
      <c r="O238" s="58">
        <f>SUM(O236:O237)</f>
        <v>0</v>
      </c>
      <c r="P238" s="58">
        <f>SUM(P236:P237)</f>
        <v>0</v>
      </c>
      <c r="Q238" s="60">
        <f t="shared" ref="Q238:Q246" si="47">SUM(N238:P238)</f>
        <v>0</v>
      </c>
      <c r="R238" s="59">
        <f t="shared" ref="R238:R246" si="48">+E238+I238+M238+Q238</f>
        <v>0</v>
      </c>
    </row>
    <row r="239" spans="1:18" ht="16.5" customHeight="1" thickBot="1" x14ac:dyDescent="0.35">
      <c r="A239" s="57" t="s">
        <v>72</v>
      </c>
      <c r="B239" s="86">
        <f>SUM(B220:B237)</f>
        <v>0</v>
      </c>
      <c r="C239" s="87">
        <f>SUM(C220:C237)</f>
        <v>0</v>
      </c>
      <c r="D239" s="87">
        <f>SUM(D220:D237)</f>
        <v>0</v>
      </c>
      <c r="E239" s="59">
        <f t="shared" si="44"/>
        <v>0</v>
      </c>
      <c r="F239" s="87">
        <f>SUM(F220:F237)</f>
        <v>0</v>
      </c>
      <c r="G239" s="87">
        <f>SUM(G220:G237)</f>
        <v>0</v>
      </c>
      <c r="H239" s="87">
        <f>SUM(H220:H237)</f>
        <v>0</v>
      </c>
      <c r="I239" s="59">
        <f t="shared" si="45"/>
        <v>0</v>
      </c>
      <c r="J239" s="87">
        <f>SUM(J220:J237)</f>
        <v>484</v>
      </c>
      <c r="K239" s="87">
        <f>SUM(K220:K237)</f>
        <v>484</v>
      </c>
      <c r="L239" s="87">
        <f>SUM(L220:L237)</f>
        <v>684</v>
      </c>
      <c r="M239" s="59">
        <f t="shared" si="46"/>
        <v>1652</v>
      </c>
      <c r="N239" s="87">
        <f>SUM(N220:N237)</f>
        <v>484</v>
      </c>
      <c r="O239" s="87">
        <f>SUM(O220:O237)</f>
        <v>484</v>
      </c>
      <c r="P239" s="87">
        <f>SUM(P220:P237)</f>
        <v>481</v>
      </c>
      <c r="Q239" s="59">
        <f t="shared" si="47"/>
        <v>1449</v>
      </c>
      <c r="R239" s="59">
        <f t="shared" si="48"/>
        <v>3101</v>
      </c>
    </row>
    <row r="240" spans="1:18" ht="16.5" customHeight="1" thickBot="1" x14ac:dyDescent="0.35">
      <c r="A240" s="57" t="s">
        <v>73</v>
      </c>
      <c r="B240" s="90">
        <f>+B176+B182+B219+B239</f>
        <v>17144</v>
      </c>
      <c r="C240" s="58">
        <f>+C176+C182+C219+C239</f>
        <v>18841</v>
      </c>
      <c r="D240" s="58">
        <f>+D176+D182+D219+D239</f>
        <v>26498</v>
      </c>
      <c r="E240" s="81">
        <f t="shared" si="44"/>
        <v>62483</v>
      </c>
      <c r="F240" s="58">
        <f>+F176+F182+F219+F239</f>
        <v>31653</v>
      </c>
      <c r="G240" s="58">
        <f>+G176+G182+G219+G239</f>
        <v>37777</v>
      </c>
      <c r="H240" s="58">
        <f>+H176+H182+H219+H239</f>
        <v>31885</v>
      </c>
      <c r="I240" s="81">
        <f t="shared" si="45"/>
        <v>101315</v>
      </c>
      <c r="J240" s="58">
        <f>+J176+J182+J219+J239</f>
        <v>32835</v>
      </c>
      <c r="K240" s="58">
        <f>+K176+K182+K219+K239</f>
        <v>32230</v>
      </c>
      <c r="L240" s="58">
        <f>+L176+L182+L219+L239</f>
        <v>25439</v>
      </c>
      <c r="M240" s="81">
        <f t="shared" si="46"/>
        <v>90504</v>
      </c>
      <c r="N240" s="58">
        <f>+N176+N182+N219+N239</f>
        <v>25371</v>
      </c>
      <c r="O240" s="58">
        <f>+O176+O182+O219+O239</f>
        <v>22352</v>
      </c>
      <c r="P240" s="58">
        <f>+P176+P182+P219+P239</f>
        <v>19124</v>
      </c>
      <c r="Q240" s="81">
        <f t="shared" si="47"/>
        <v>66847</v>
      </c>
      <c r="R240" s="81">
        <f t="shared" si="48"/>
        <v>321149</v>
      </c>
    </row>
    <row r="241" spans="1:18" ht="15.75" customHeight="1" x14ac:dyDescent="0.3">
      <c r="A241" s="88" t="s">
        <v>192</v>
      </c>
      <c r="B241" s="1">
        <v>0</v>
      </c>
      <c r="C241" s="1">
        <v>2973</v>
      </c>
      <c r="D241" s="1">
        <f>6267-500-1377-357</f>
        <v>4033</v>
      </c>
      <c r="E241" s="55">
        <f t="shared" si="44"/>
        <v>7006</v>
      </c>
      <c r="F241" s="1">
        <f>6732-500-2227</f>
        <v>4005</v>
      </c>
      <c r="G241" s="1">
        <f>8535-500-17-2569</f>
        <v>5449</v>
      </c>
      <c r="H241" s="1">
        <f>7711-500-31-2681</f>
        <v>4499</v>
      </c>
      <c r="I241" s="55">
        <f t="shared" si="45"/>
        <v>13953</v>
      </c>
      <c r="J241" s="1">
        <f>5432-500-44-2237</f>
        <v>2651</v>
      </c>
      <c r="K241" s="1">
        <f>6167-500-24-2527</f>
        <v>3116</v>
      </c>
      <c r="L241" s="1">
        <f>5669-500-12-2018</f>
        <v>3139</v>
      </c>
      <c r="M241" s="55">
        <f t="shared" si="46"/>
        <v>8906</v>
      </c>
      <c r="N241" s="1">
        <f>4039+1378-500-16-1674</f>
        <v>3227</v>
      </c>
      <c r="O241" s="1">
        <f>4709-8-889</f>
        <v>3812</v>
      </c>
      <c r="P241" s="1">
        <f>1961-1-412</f>
        <v>1548</v>
      </c>
      <c r="Q241" s="55">
        <f t="shared" si="47"/>
        <v>8587</v>
      </c>
      <c r="R241" s="55">
        <f t="shared" si="48"/>
        <v>38452</v>
      </c>
    </row>
    <row r="242" spans="1:18" ht="15.75" customHeight="1" x14ac:dyDescent="0.3">
      <c r="A242" s="91" t="s">
        <v>193</v>
      </c>
      <c r="B242" s="1">
        <v>-267</v>
      </c>
      <c r="C242" s="1">
        <v>-578</v>
      </c>
      <c r="D242" s="1">
        <v>-1487</v>
      </c>
      <c r="E242" s="55">
        <f t="shared" si="44"/>
        <v>-2332</v>
      </c>
      <c r="F242" s="1">
        <v>-2176</v>
      </c>
      <c r="G242" s="1">
        <v>-1120</v>
      </c>
      <c r="H242" s="1">
        <v>-4972</v>
      </c>
      <c r="I242" s="55">
        <f t="shared" si="45"/>
        <v>-8268</v>
      </c>
      <c r="J242" s="1">
        <v>-3294</v>
      </c>
      <c r="K242" s="1">
        <v>0</v>
      </c>
      <c r="L242" s="1">
        <v>0</v>
      </c>
      <c r="M242" s="55">
        <f t="shared" si="46"/>
        <v>-3294</v>
      </c>
      <c r="N242" s="1">
        <v>-344</v>
      </c>
      <c r="O242" s="1">
        <v>-654</v>
      </c>
      <c r="P242" s="1">
        <v>-193</v>
      </c>
      <c r="Q242" s="55">
        <f t="shared" si="47"/>
        <v>-1191</v>
      </c>
      <c r="R242" s="55">
        <f t="shared" si="48"/>
        <v>-15085</v>
      </c>
    </row>
    <row r="243" spans="1:18" ht="15.75" customHeight="1" x14ac:dyDescent="0.3">
      <c r="A243" s="71" t="s">
        <v>718</v>
      </c>
      <c r="B243" s="1"/>
      <c r="C243" s="1"/>
      <c r="D243" s="1"/>
      <c r="E243" s="55">
        <f t="shared" si="44"/>
        <v>0</v>
      </c>
      <c r="F243" s="1"/>
      <c r="G243" s="1"/>
      <c r="H243" s="1"/>
      <c r="I243" s="55">
        <f t="shared" si="45"/>
        <v>0</v>
      </c>
      <c r="J243" s="1"/>
      <c r="K243" s="1"/>
      <c r="L243" s="1"/>
      <c r="M243" s="55">
        <f t="shared" si="46"/>
        <v>0</v>
      </c>
      <c r="N243" s="1"/>
      <c r="O243" s="1"/>
      <c r="P243" s="1"/>
      <c r="Q243" s="55">
        <f t="shared" si="47"/>
        <v>0</v>
      </c>
      <c r="R243" s="55">
        <f t="shared" si="48"/>
        <v>0</v>
      </c>
    </row>
    <row r="244" spans="1:18" ht="15.75" customHeight="1" x14ac:dyDescent="0.3">
      <c r="A244" s="91" t="s">
        <v>195</v>
      </c>
      <c r="B244" s="1">
        <v>19</v>
      </c>
      <c r="C244" s="1">
        <v>23</v>
      </c>
      <c r="D244" s="1">
        <v>17</v>
      </c>
      <c r="E244" s="55">
        <f>SUM(B244:D244)</f>
        <v>59</v>
      </c>
      <c r="F244" s="1">
        <v>17</v>
      </c>
      <c r="G244" s="1">
        <v>26</v>
      </c>
      <c r="H244" s="1">
        <v>18</v>
      </c>
      <c r="I244" s="55">
        <f>SUM(F244:H244)</f>
        <v>61</v>
      </c>
      <c r="J244" s="1">
        <v>9</v>
      </c>
      <c r="K244" s="1">
        <v>39</v>
      </c>
      <c r="L244" s="1">
        <v>39</v>
      </c>
      <c r="M244" s="55">
        <f>SUM(J244:L244)</f>
        <v>87</v>
      </c>
      <c r="N244" s="1">
        <v>35</v>
      </c>
      <c r="O244" s="1">
        <v>34</v>
      </c>
      <c r="P244" s="1">
        <v>419</v>
      </c>
      <c r="Q244" s="55">
        <f>SUM(N244:P244)</f>
        <v>488</v>
      </c>
      <c r="R244" s="55">
        <f t="shared" si="48"/>
        <v>695</v>
      </c>
    </row>
    <row r="245" spans="1:18" ht="15.75" customHeight="1" x14ac:dyDescent="0.3">
      <c r="A245" s="84" t="s">
        <v>196</v>
      </c>
      <c r="B245" s="1">
        <v>111219</v>
      </c>
      <c r="C245" s="1">
        <v>67581</v>
      </c>
      <c r="D245" s="1">
        <v>44397</v>
      </c>
      <c r="E245" s="55">
        <f t="shared" si="44"/>
        <v>223197</v>
      </c>
      <c r="F245" s="1">
        <v>6884</v>
      </c>
      <c r="G245" s="1">
        <v>1498</v>
      </c>
      <c r="H245" s="1"/>
      <c r="I245" s="55">
        <f t="shared" si="45"/>
        <v>8382</v>
      </c>
      <c r="J245" s="1"/>
      <c r="K245" s="1"/>
      <c r="L245" s="1">
        <v>4628</v>
      </c>
      <c r="M245" s="55">
        <f t="shared" si="46"/>
        <v>4628</v>
      </c>
      <c r="N245" s="1">
        <v>9922</v>
      </c>
      <c r="O245" s="1">
        <v>109236</v>
      </c>
      <c r="P245" s="1">
        <v>56385</v>
      </c>
      <c r="Q245" s="55">
        <f t="shared" si="47"/>
        <v>175543</v>
      </c>
      <c r="R245" s="55">
        <f t="shared" si="48"/>
        <v>411750</v>
      </c>
    </row>
    <row r="246" spans="1:18" ht="16.5" customHeight="1" thickBot="1" x14ac:dyDescent="0.35">
      <c r="A246" s="39" t="s">
        <v>40</v>
      </c>
      <c r="B246" s="21">
        <v>104</v>
      </c>
      <c r="C246" s="21">
        <v>268</v>
      </c>
      <c r="D246" s="21">
        <v>474</v>
      </c>
      <c r="E246" s="55">
        <f t="shared" si="44"/>
        <v>846</v>
      </c>
      <c r="F246" s="21">
        <v>647</v>
      </c>
      <c r="G246" s="21">
        <v>742</v>
      </c>
      <c r="H246" s="21">
        <v>781</v>
      </c>
      <c r="I246" s="55">
        <f t="shared" si="45"/>
        <v>2170</v>
      </c>
      <c r="J246" s="21">
        <v>774</v>
      </c>
      <c r="K246" s="21">
        <v>596</v>
      </c>
      <c r="L246" s="21">
        <v>546</v>
      </c>
      <c r="M246" s="55">
        <f t="shared" si="46"/>
        <v>1916</v>
      </c>
      <c r="N246" s="21">
        <v>517</v>
      </c>
      <c r="O246" s="21">
        <v>413</v>
      </c>
      <c r="P246" s="21">
        <v>302</v>
      </c>
      <c r="Q246" s="55">
        <f t="shared" si="47"/>
        <v>1232</v>
      </c>
      <c r="R246" s="55">
        <f t="shared" si="48"/>
        <v>6164</v>
      </c>
    </row>
    <row r="247" spans="1:18" ht="16.5" customHeight="1" thickBot="1" x14ac:dyDescent="0.35">
      <c r="A247" s="74"/>
      <c r="B247" s="75"/>
      <c r="C247" s="75"/>
      <c r="D247" s="75"/>
      <c r="E247" s="60"/>
      <c r="F247" s="75"/>
      <c r="G247" s="75"/>
      <c r="H247" s="75"/>
      <c r="I247" s="59"/>
      <c r="J247" s="75"/>
      <c r="K247" s="75"/>
      <c r="L247" s="75"/>
      <c r="M247" s="59"/>
      <c r="N247" s="75"/>
      <c r="O247" s="75"/>
      <c r="P247" s="75"/>
      <c r="Q247" s="59"/>
      <c r="R247" s="59" t="s">
        <v>7</v>
      </c>
    </row>
    <row r="248" spans="1:18" ht="15.75" customHeight="1" x14ac:dyDescent="0.3">
      <c r="A248" s="76" t="s">
        <v>41</v>
      </c>
      <c r="B248" s="77">
        <f>SUM(B240:B246)</f>
        <v>128219</v>
      </c>
      <c r="C248" s="77">
        <f>SUM(C240:C246)</f>
        <v>89108</v>
      </c>
      <c r="D248" s="77">
        <f>SUM(D240:D246)</f>
        <v>73932</v>
      </c>
      <c r="E248" s="60">
        <f>SUM(B248:D248)</f>
        <v>291259</v>
      </c>
      <c r="F248" s="77">
        <f>SUM(F240:F246)</f>
        <v>41030</v>
      </c>
      <c r="G248" s="77">
        <f>SUM(G240:G246)</f>
        <v>44372</v>
      </c>
      <c r="H248" s="77">
        <f>SUM(H240:H246)</f>
        <v>32211</v>
      </c>
      <c r="I248" s="60">
        <f>SUM(F248:H248)</f>
        <v>117613</v>
      </c>
      <c r="J248" s="77">
        <f>SUM(J240:J246)</f>
        <v>32975</v>
      </c>
      <c r="K248" s="77">
        <f>SUM(K240:K246)</f>
        <v>35981</v>
      </c>
      <c r="L248" s="77">
        <f>SUM(L240:L246)</f>
        <v>33791</v>
      </c>
      <c r="M248" s="60">
        <f>SUM(J248:L248)</f>
        <v>102747</v>
      </c>
      <c r="N248" s="77">
        <f>SUM(N240:N246)</f>
        <v>38728</v>
      </c>
      <c r="O248" s="77">
        <f>SUM(O240:O246)</f>
        <v>135193</v>
      </c>
      <c r="P248" s="77">
        <f>SUM(P240:P246)</f>
        <v>77585</v>
      </c>
      <c r="Q248" s="92">
        <f>SUM(N248:P248)</f>
        <v>251506</v>
      </c>
      <c r="R248" s="60">
        <f>+E248+I248+M248+Q248</f>
        <v>763125</v>
      </c>
    </row>
    <row r="249" spans="1:18" ht="15.75" customHeight="1" x14ac:dyDescent="0.3">
      <c r="A249" s="79" t="s">
        <v>42</v>
      </c>
      <c r="B249" s="1">
        <f>(B248/31)/1.983</f>
        <v>2085.777495811169</v>
      </c>
      <c r="C249" s="1">
        <f>(C248/28)/1.983</f>
        <v>1604.8555579569195</v>
      </c>
      <c r="D249" s="1">
        <f>(D248/31)/1.983</f>
        <v>1202.6743448343175</v>
      </c>
      <c r="E249" s="55" t="s">
        <v>7</v>
      </c>
      <c r="F249" s="1">
        <f>(F248/30)/1.983</f>
        <v>689.69574718440072</v>
      </c>
      <c r="G249" s="1">
        <f>(G248/31)/1.983</f>
        <v>721.81282839620633</v>
      </c>
      <c r="H249" s="1">
        <f>(H248/30)/1.983</f>
        <v>541.45234493192129</v>
      </c>
      <c r="I249" s="55" t="s">
        <v>7</v>
      </c>
      <c r="J249" s="1">
        <f>(J248/31)/1.983</f>
        <v>536.41436077627577</v>
      </c>
      <c r="K249" s="1">
        <f>(K248/31)/1.983</f>
        <v>585.31387763733676</v>
      </c>
      <c r="L249" s="1">
        <f>(L248/30)/1.983</f>
        <v>568.01143049251971</v>
      </c>
      <c r="M249" s="55" t="s">
        <v>7</v>
      </c>
      <c r="N249" s="1">
        <f>(N248/31)/1.983</f>
        <v>630.00016267304341</v>
      </c>
      <c r="O249" s="1">
        <f>(O248/30)/1.983</f>
        <v>2272.5331988569505</v>
      </c>
      <c r="P249" s="1">
        <f>(P248/31)/1.983</f>
        <v>1262.0988076065914</v>
      </c>
      <c r="Q249" s="93" t="s">
        <v>7</v>
      </c>
      <c r="R249" s="55" t="s">
        <v>7</v>
      </c>
    </row>
    <row r="250" spans="1:18" ht="15.75" customHeight="1" x14ac:dyDescent="0.3">
      <c r="A250" s="79" t="s">
        <v>197</v>
      </c>
      <c r="B250" s="1">
        <f>(+B248+B379)+B257</f>
        <v>168009</v>
      </c>
      <c r="C250" s="1">
        <f>(+C248+C379)+C257</f>
        <v>149229</v>
      </c>
      <c r="D250" s="1">
        <f>(+D248+D379)+D257</f>
        <v>165864</v>
      </c>
      <c r="E250" s="55">
        <f>SUM(B250:D250)</f>
        <v>483102</v>
      </c>
      <c r="F250" s="1">
        <f>(+F248+F379)+F257</f>
        <v>172212</v>
      </c>
      <c r="G250" s="1">
        <f>(+G248+G379)+G257</f>
        <v>171205</v>
      </c>
      <c r="H250" s="1">
        <f>(+H248+H379)+H257</f>
        <v>122358</v>
      </c>
      <c r="I250" s="55">
        <f>SUM(F250:H250)</f>
        <v>465775</v>
      </c>
      <c r="J250" s="1">
        <f>(+J248+J379)+J257</f>
        <v>30164</v>
      </c>
      <c r="K250" s="1">
        <f>(+K248+K379)+K257</f>
        <v>76372</v>
      </c>
      <c r="L250" s="1">
        <f>(+L248+L379)+L257</f>
        <v>129283</v>
      </c>
      <c r="M250" s="55">
        <f>SUM(J250:L250)</f>
        <v>235819</v>
      </c>
      <c r="N250" s="1">
        <f>(+N248+N379)+N257</f>
        <v>27161</v>
      </c>
      <c r="O250" s="1">
        <f>(+O248+O379)+O257</f>
        <v>169754</v>
      </c>
      <c r="P250" s="1">
        <f>(+P248+P379)+P257</f>
        <v>127689.00000000001</v>
      </c>
      <c r="Q250" s="93">
        <f>SUM(N250:P250)</f>
        <v>324604</v>
      </c>
      <c r="R250" s="55">
        <f>+E250+I250+M250+Q250</f>
        <v>1509300</v>
      </c>
    </row>
    <row r="251" spans="1:18" ht="16.5" customHeight="1" thickBot="1" x14ac:dyDescent="0.35">
      <c r="A251" s="80" t="s">
        <v>198</v>
      </c>
      <c r="B251" s="25">
        <f>(B250/31)/1.983</f>
        <v>2733.0535356985993</v>
      </c>
      <c r="C251" s="25">
        <f>(C250/28)/1.983</f>
        <v>2687.6485843959367</v>
      </c>
      <c r="D251" s="25">
        <f>(D250/31)/1.983</f>
        <v>2698.1601678785805</v>
      </c>
      <c r="E251" s="81" t="s">
        <v>7</v>
      </c>
      <c r="F251" s="25">
        <f>(F250/30)/1.983</f>
        <v>2894.8058497226421</v>
      </c>
      <c r="G251" s="25">
        <f>(G250/31)/1.983</f>
        <v>2785.0438403852099</v>
      </c>
      <c r="H251" s="25">
        <f>(H250/30)/1.983</f>
        <v>2056.7826525466462</v>
      </c>
      <c r="I251" s="81" t="s">
        <v>7</v>
      </c>
      <c r="J251" s="25">
        <f>(J250/31)/1.983</f>
        <v>490.68696826248919</v>
      </c>
      <c r="K251" s="25">
        <f>(K250/31)/1.983</f>
        <v>1242.36656743611</v>
      </c>
      <c r="L251" s="25">
        <f>(L250/30)/1.983</f>
        <v>2173.1887712220541</v>
      </c>
      <c r="M251" s="81" t="s">
        <v>7</v>
      </c>
      <c r="N251" s="25">
        <f>(N250/30)/1.983</f>
        <v>456.56412842494535</v>
      </c>
      <c r="O251" s="25">
        <f>(O250/30)/1.983</f>
        <v>2853.4879811733063</v>
      </c>
      <c r="P251" s="25">
        <f>(P250/31)/1.983</f>
        <v>2077.1558245083211</v>
      </c>
      <c r="Q251" s="94" t="s">
        <v>7</v>
      </c>
      <c r="R251" s="81" t="s">
        <v>7</v>
      </c>
    </row>
    <row r="252" spans="1:18" ht="16.5" customHeight="1" thickBot="1" x14ac:dyDescent="0.35">
      <c r="A252" s="95" t="s">
        <v>199</v>
      </c>
      <c r="B252" s="96">
        <f>+(B250-(B136+B137+B138+B139+B141+B142+B151+B156+B167+B170+B172+B173+B186+B187+B188+B209+B222+B224+B225+B228+B229+B232+B233+B241+B245+B253)-B257)/(31*1.983)</f>
        <v>907.32516714655208</v>
      </c>
      <c r="C252" s="96">
        <f>+(C250-(C136+C137+C138+C139+C141+C142+C151+C156+C167+C170+C172+C173+C186+C187+C188+C209+C222+C224+C225+C228+C229+C232+C233+C241+C245+C253)-C257)/(31*1.983)</f>
        <v>1256.9746067379174</v>
      </c>
      <c r="D252" s="96">
        <f>+(D250-(D136+D137+D138+D139+D141+D142+D151+D156+D167+D170+D172+D173+D186+D187+D188+D209+D222+D224+D225+D228+D229+D232+D233+D241+D245+D253)-D257)/(31*1.983)</f>
        <v>1819.7420005530882</v>
      </c>
      <c r="E252" s="97"/>
      <c r="F252" s="96">
        <f>+(F250-(F136+F137+F138+F139+F141+F142+F151+F156+F167+F170+F172+F173+F186+F187+F188+F209+F222+F224+F225+F228+F229+F232+F233+F241+F245+F253)-F257)/(31*1.983)</f>
        <v>2519.8542449530687</v>
      </c>
      <c r="G252" s="96">
        <f>+(G250-(G136+G137+G138+G139+G141+G142+G151+G156+G167+G170+G172+G173+G186+G187+G188+G209+G222+G224+G225+G228+G229+G232+G233+G241+G245+G253)-G257)/(31*1.983)</f>
        <v>2780.4401932555752</v>
      </c>
      <c r="H252" s="96">
        <f>+(H250-(H136+H137+H138+H139+H141+H142+H151+H156+H167+H170+H172+H173+H186+H187+H188+H209+H222+H224+H225+H228+H229+H232+H233+H241+H245+H253)-H257)/(31*1.983)</f>
        <v>3106.87618954663</v>
      </c>
      <c r="I252" s="97"/>
      <c r="J252" s="96">
        <f>+(J250-(J136+J137+J138+J139+J141+J142+J151+J156+J167+J170+J172+J173+J186+J187+J188+J209+J222+J224+J225+J228+J229+J232+J233+J241+J245+J253)-J257)/(31*1.983)</f>
        <v>2553.9342475558374</v>
      </c>
      <c r="K252" s="96">
        <f>+(K250-(K136+K137+K138+K139+K141+K142+K151+K156+K167+K170+K172+K173+K186+K187+K188+K209+K222+K224+K225+K228+K229+K232+K233+K241+K245+K253)-K257)/(31*1.983)</f>
        <v>2618.9709303271352</v>
      </c>
      <c r="L252" s="96">
        <f>+(L250-(L136+L137+L138+L139+L141+L142+L151+L156+L167+L170+L172+L173+L186+L187+L188+L209+L222+L224+L225+L228+L229+L232+L233+L241+L245+L253)-L257)/(31*1.983)</f>
        <v>2000.3578806955898</v>
      </c>
      <c r="M252" s="97"/>
      <c r="N252" s="96">
        <f>+(N250-(N136+N137+N138+N139+N141+N142+N151+N156+N167+N170+N172+N173+N186+N187+N188+N209+N222+N224+N225+N228+N229+N232+N233+N241+N245+N253)-N257)/(31*1.983)</f>
        <v>1547.2809200787335</v>
      </c>
      <c r="O252" s="96">
        <f>+(O250-(O136+O137+O138+O139+O141+O142+O151+O156+O167+O170+O172+O173+O186+O187+O188+O209+O222+O224+O225+O228+O229+O232+O233+O241+O245+O253)-O257)/(31*1.983)</f>
        <v>844.12668976623877</v>
      </c>
      <c r="P252" s="96">
        <f>+(P250-(P136+P137+P138+P139+P141+P142+P151+P156+P167+P170+P172+P173+P186+P187+P188+P209+P222+P224+P225+P228+P229+P232+P233+P241+P245+P253)-P257)/(31*1.983)</f>
        <v>1054.316529207945</v>
      </c>
      <c r="Q252" s="98"/>
      <c r="R252" s="97"/>
    </row>
    <row r="253" spans="1:18" ht="15.75" customHeight="1" x14ac:dyDescent="0.3">
      <c r="A253" s="299" t="s">
        <v>719</v>
      </c>
      <c r="B253" s="1"/>
      <c r="C253" s="1"/>
      <c r="D253" s="1"/>
      <c r="E253" s="1"/>
      <c r="F253" s="1"/>
      <c r="G253" s="1"/>
      <c r="H253" s="1"/>
      <c r="I253" s="1"/>
      <c r="J253" s="1"/>
      <c r="K253" s="1"/>
      <c r="L253" s="1"/>
      <c r="M253" s="1"/>
      <c r="N253" s="1"/>
      <c r="O253" s="1"/>
      <c r="P253" s="1"/>
      <c r="Q253" s="1"/>
      <c r="R253" s="2"/>
    </row>
    <row r="254" spans="1:18" ht="15.75" customHeight="1" thickBot="1" x14ac:dyDescent="0.35">
      <c r="A254" s="28"/>
      <c r="B254" s="1"/>
      <c r="C254" s="1"/>
      <c r="D254" s="1"/>
      <c r="E254" s="1"/>
      <c r="F254" s="1"/>
      <c r="G254" s="1"/>
      <c r="H254" s="1"/>
      <c r="I254" s="1"/>
      <c r="J254" s="1"/>
      <c r="K254" s="1"/>
      <c r="L254" s="1"/>
      <c r="M254" s="1"/>
      <c r="N254" s="1"/>
      <c r="O254" s="1"/>
      <c r="P254" s="1"/>
      <c r="Q254" s="1"/>
      <c r="R254" s="2"/>
    </row>
    <row r="255" spans="1:18" ht="16.5" customHeight="1" thickBot="1" x14ac:dyDescent="0.35">
      <c r="A255" s="29" t="s">
        <v>201</v>
      </c>
      <c r="B255" s="30" t="s">
        <v>8</v>
      </c>
      <c r="C255" s="31" t="s">
        <v>9</v>
      </c>
      <c r="D255" s="31" t="s">
        <v>10</v>
      </c>
      <c r="E255" s="32" t="s">
        <v>11</v>
      </c>
      <c r="F255" s="31" t="s">
        <v>12</v>
      </c>
      <c r="G255" s="31" t="s">
        <v>13</v>
      </c>
      <c r="H255" s="31" t="s">
        <v>14</v>
      </c>
      <c r="I255" s="33" t="s">
        <v>15</v>
      </c>
      <c r="J255" s="31" t="s">
        <v>16</v>
      </c>
      <c r="K255" s="31" t="s">
        <v>17</v>
      </c>
      <c r="L255" s="31" t="s">
        <v>18</v>
      </c>
      <c r="M255" s="33" t="s">
        <v>19</v>
      </c>
      <c r="N255" s="31" t="s">
        <v>20</v>
      </c>
      <c r="O255" s="31" t="s">
        <v>21</v>
      </c>
      <c r="P255" s="31" t="s">
        <v>22</v>
      </c>
      <c r="Q255" s="33" t="s">
        <v>23</v>
      </c>
      <c r="R255" s="34" t="s">
        <v>24</v>
      </c>
    </row>
    <row r="256" spans="1:18" ht="16.5" customHeight="1" thickBot="1" x14ac:dyDescent="0.35">
      <c r="A256" s="74"/>
      <c r="B256" s="75"/>
      <c r="C256" s="75"/>
      <c r="D256" s="75"/>
      <c r="E256" s="82"/>
      <c r="F256" s="75"/>
      <c r="G256" s="75"/>
      <c r="H256" s="75"/>
      <c r="I256" s="82"/>
      <c r="J256" s="75"/>
      <c r="K256" s="75"/>
      <c r="L256" s="75"/>
      <c r="M256" s="82"/>
      <c r="N256" s="75"/>
      <c r="O256" s="75"/>
      <c r="P256" s="75"/>
      <c r="Q256" s="82"/>
      <c r="R256" s="100"/>
    </row>
    <row r="257" spans="1:20" ht="15.75" customHeight="1" thickBot="1" x14ac:dyDescent="0.35">
      <c r="A257" s="71" t="s">
        <v>202</v>
      </c>
      <c r="B257" s="1"/>
      <c r="C257" s="1"/>
      <c r="D257" s="1"/>
      <c r="E257" s="55">
        <f>SUM(B257:D257)</f>
        <v>0</v>
      </c>
      <c r="F257" s="1">
        <v>-4241</v>
      </c>
      <c r="G257" s="1">
        <v>-19505</v>
      </c>
      <c r="H257" s="1">
        <v>-79570</v>
      </c>
      <c r="I257" s="55">
        <f>SUM(F257:H257)</f>
        <v>-103316</v>
      </c>
      <c r="J257" s="1">
        <v>-137316</v>
      </c>
      <c r="K257" s="1">
        <v>-94470</v>
      </c>
      <c r="L257" s="1">
        <v>-6379</v>
      </c>
      <c r="M257" s="55">
        <f>SUM(J257:L257)</f>
        <v>-238165</v>
      </c>
      <c r="N257" s="1">
        <v>-85065</v>
      </c>
      <c r="O257" s="1"/>
      <c r="P257" s="1"/>
      <c r="Q257" s="55">
        <f>SUM(N257:P257)</f>
        <v>-85065</v>
      </c>
      <c r="R257" s="55">
        <f>+E257+I257+M257+Q257</f>
        <v>-426546</v>
      </c>
    </row>
    <row r="258" spans="1:20" ht="16.5" customHeight="1" thickBot="1" x14ac:dyDescent="0.35">
      <c r="A258" s="101"/>
      <c r="B258" s="102"/>
      <c r="C258" s="102"/>
      <c r="D258" s="102"/>
      <c r="E258" s="103"/>
      <c r="F258" s="102"/>
      <c r="G258" s="102"/>
      <c r="H258" s="102"/>
      <c r="I258" s="103"/>
      <c r="J258" s="102"/>
      <c r="K258" s="102"/>
      <c r="L258" s="102"/>
      <c r="M258" s="103"/>
      <c r="N258" s="102"/>
      <c r="O258" s="102"/>
      <c r="P258" s="102"/>
      <c r="Q258" s="103"/>
      <c r="R258" s="104"/>
    </row>
    <row r="259" spans="1:20" ht="15.75" customHeight="1" x14ac:dyDescent="0.3">
      <c r="A259" s="15" t="s">
        <v>32</v>
      </c>
      <c r="B259" s="1">
        <f>B257</f>
        <v>0</v>
      </c>
      <c r="C259" s="1">
        <f>C257</f>
        <v>0</v>
      </c>
      <c r="D259" s="1">
        <f>D257</f>
        <v>0</v>
      </c>
      <c r="E259" s="55">
        <f>SUM(B259:D259)</f>
        <v>0</v>
      </c>
      <c r="F259" s="1">
        <f>F257</f>
        <v>-4241</v>
      </c>
      <c r="G259" s="1">
        <f>G257</f>
        <v>-19505</v>
      </c>
      <c r="H259" s="1">
        <f>H257</f>
        <v>-79570</v>
      </c>
      <c r="I259" s="55">
        <f>SUM(F259:H259)</f>
        <v>-103316</v>
      </c>
      <c r="J259" s="1">
        <f>J257</f>
        <v>-137316</v>
      </c>
      <c r="K259" s="1">
        <f>K257</f>
        <v>-94470</v>
      </c>
      <c r="L259" s="1">
        <f>L257</f>
        <v>-6379</v>
      </c>
      <c r="M259" s="55">
        <f>SUM(J259:L259)</f>
        <v>-238165</v>
      </c>
      <c r="N259" s="1">
        <f>N257</f>
        <v>-85065</v>
      </c>
      <c r="O259" s="1">
        <f>O257</f>
        <v>0</v>
      </c>
      <c r="P259" s="1">
        <f>P257</f>
        <v>0</v>
      </c>
      <c r="Q259" s="55">
        <f>SUM(N259:P259)</f>
        <v>-85065</v>
      </c>
      <c r="R259" s="105">
        <f>R257</f>
        <v>-426546</v>
      </c>
    </row>
    <row r="260" spans="1:20" ht="16.5" customHeight="1" thickBot="1" x14ac:dyDescent="0.35">
      <c r="A260" s="20" t="s">
        <v>42</v>
      </c>
      <c r="B260" s="21">
        <f>(B259/31)/1.983</f>
        <v>0</v>
      </c>
      <c r="C260" s="21">
        <f>(C259/28)/1.983</f>
        <v>0</v>
      </c>
      <c r="D260" s="21">
        <f>(D259/31)/1.983</f>
        <v>0</v>
      </c>
      <c r="E260" s="81"/>
      <c r="F260" s="21">
        <f>(F259/30)/1.983</f>
        <v>-71.289292318036644</v>
      </c>
      <c r="G260" s="21">
        <f>(G259/31)/1.983</f>
        <v>-317.2937712491663</v>
      </c>
      <c r="H260" s="21">
        <f>(H259/30)/1.983</f>
        <v>-1337.5357202891241</v>
      </c>
      <c r="I260" s="81"/>
      <c r="J260" s="21">
        <f>(J259/31)/1.983</f>
        <v>-2233.7611634376067</v>
      </c>
      <c r="K260" s="21">
        <f>(K259/31)/1.983</f>
        <v>-1536.7722414718658</v>
      </c>
      <c r="L260" s="21">
        <f>(L259/30)/1.983</f>
        <v>-107.22810556396033</v>
      </c>
      <c r="M260" s="81"/>
      <c r="N260" s="21">
        <f>(N259/31)/1.983</f>
        <v>-1383.778244107169</v>
      </c>
      <c r="O260" s="21">
        <f>(O259/30)/1.983</f>
        <v>0</v>
      </c>
      <c r="P260" s="21">
        <f>(P259/31)/1.983</f>
        <v>0</v>
      </c>
      <c r="Q260" s="81"/>
      <c r="R260" s="100" t="s">
        <v>7</v>
      </c>
      <c r="T260" s="4" t="s">
        <v>205</v>
      </c>
    </row>
    <row r="261" spans="1:20" ht="15.75" customHeight="1" x14ac:dyDescent="0.3">
      <c r="A261" s="2"/>
      <c r="B261" s="1"/>
      <c r="C261" s="1"/>
      <c r="D261" s="1"/>
      <c r="E261" s="1"/>
      <c r="F261" s="1"/>
      <c r="G261" s="1"/>
      <c r="H261" s="1"/>
      <c r="I261" s="1"/>
      <c r="J261" s="1"/>
      <c r="K261" s="1"/>
      <c r="L261" s="1"/>
      <c r="M261" s="1"/>
      <c r="N261" s="1"/>
      <c r="O261" s="1"/>
      <c r="P261" s="1"/>
      <c r="Q261" s="1"/>
      <c r="R261" s="2"/>
      <c r="T261" s="4" t="s">
        <v>206</v>
      </c>
    </row>
    <row r="262" spans="1:20" ht="16.5" customHeight="1" thickBot="1" x14ac:dyDescent="0.35">
      <c r="A262" s="106"/>
      <c r="B262" s="21"/>
      <c r="C262" s="21"/>
      <c r="D262" s="21"/>
      <c r="E262" s="21"/>
      <c r="F262" s="21"/>
      <c r="G262" s="21"/>
      <c r="H262" s="21"/>
      <c r="I262" s="21"/>
      <c r="J262" s="21"/>
      <c r="K262" s="21"/>
      <c r="L262" s="21"/>
      <c r="M262" s="21"/>
      <c r="N262" s="21"/>
      <c r="O262" s="21"/>
      <c r="P262" s="21"/>
      <c r="Q262" s="21"/>
      <c r="R262" s="106"/>
      <c r="T262" s="4" t="s">
        <v>205</v>
      </c>
    </row>
    <row r="263" spans="1:20" ht="16.5" customHeight="1" thickBot="1" x14ac:dyDescent="0.35">
      <c r="A263" s="107" t="s">
        <v>203</v>
      </c>
      <c r="B263" s="30" t="s">
        <v>8</v>
      </c>
      <c r="C263" s="31" t="s">
        <v>9</v>
      </c>
      <c r="D263" s="31" t="s">
        <v>10</v>
      </c>
      <c r="E263" s="32" t="s">
        <v>11</v>
      </c>
      <c r="F263" s="31" t="s">
        <v>12</v>
      </c>
      <c r="G263" s="31" t="s">
        <v>13</v>
      </c>
      <c r="H263" s="31" t="s">
        <v>14</v>
      </c>
      <c r="I263" s="33" t="s">
        <v>15</v>
      </c>
      <c r="J263" s="31" t="s">
        <v>16</v>
      </c>
      <c r="K263" s="31" t="s">
        <v>17</v>
      </c>
      <c r="L263" s="31" t="s">
        <v>18</v>
      </c>
      <c r="M263" s="33" t="s">
        <v>19</v>
      </c>
      <c r="N263" s="31" t="s">
        <v>20</v>
      </c>
      <c r="O263" s="31" t="s">
        <v>21</v>
      </c>
      <c r="P263" s="31" t="s">
        <v>22</v>
      </c>
      <c r="Q263" s="33" t="s">
        <v>23</v>
      </c>
      <c r="R263" s="34" t="s">
        <v>24</v>
      </c>
      <c r="T263" s="4" t="s">
        <v>209</v>
      </c>
    </row>
    <row r="264" spans="1:20" ht="16.5" customHeight="1" thickBot="1" x14ac:dyDescent="0.35">
      <c r="A264" s="59"/>
      <c r="B264" s="75"/>
      <c r="C264" s="75"/>
      <c r="D264" s="75"/>
      <c r="E264" s="69"/>
      <c r="F264" s="75"/>
      <c r="G264" s="75"/>
      <c r="H264" s="75"/>
      <c r="I264" s="82"/>
      <c r="J264" s="75"/>
      <c r="K264" s="75"/>
      <c r="L264" s="75"/>
      <c r="M264" s="82"/>
      <c r="N264" s="75"/>
      <c r="O264" s="75"/>
      <c r="P264" s="75"/>
      <c r="Q264" s="82"/>
      <c r="R264" s="105"/>
      <c r="T264" s="4" t="s">
        <v>210</v>
      </c>
    </row>
    <row r="265" spans="1:20" ht="15.75" customHeight="1" x14ac:dyDescent="0.3">
      <c r="A265" s="15" t="s">
        <v>48</v>
      </c>
      <c r="B265" s="1" t="s">
        <v>7</v>
      </c>
      <c r="C265" s="1" t="s">
        <v>7</v>
      </c>
      <c r="D265" s="1" t="s">
        <v>7</v>
      </c>
      <c r="E265" s="55" t="s">
        <v>7</v>
      </c>
      <c r="F265" s="1" t="s">
        <v>7</v>
      </c>
      <c r="G265" s="1" t="s">
        <v>7</v>
      </c>
      <c r="H265" s="1" t="s">
        <v>7</v>
      </c>
      <c r="I265" s="55" t="s">
        <v>7</v>
      </c>
      <c r="J265" s="1" t="s">
        <v>7</v>
      </c>
      <c r="K265" s="1" t="s">
        <v>7</v>
      </c>
      <c r="L265" s="1" t="s">
        <v>7</v>
      </c>
      <c r="M265" s="55" t="s">
        <v>7</v>
      </c>
      <c r="N265" s="1" t="s">
        <v>7</v>
      </c>
      <c r="O265" s="1" t="s">
        <v>7</v>
      </c>
      <c r="P265" s="1" t="s">
        <v>7</v>
      </c>
      <c r="Q265" s="55" t="s">
        <v>7</v>
      </c>
      <c r="R265" s="60" t="s">
        <v>7</v>
      </c>
      <c r="T265" s="4" t="s">
        <v>209</v>
      </c>
    </row>
    <row r="266" spans="1:20" ht="15.75" customHeight="1" x14ac:dyDescent="0.3">
      <c r="A266" s="15" t="s">
        <v>49</v>
      </c>
      <c r="B266" s="1"/>
      <c r="C266" s="1"/>
      <c r="D266" s="1"/>
      <c r="E266" s="55" t="s">
        <v>7</v>
      </c>
      <c r="F266" s="1"/>
      <c r="G266" s="1"/>
      <c r="H266" s="1"/>
      <c r="I266" s="55" t="s">
        <v>7</v>
      </c>
      <c r="J266" s="1"/>
      <c r="K266" s="1"/>
      <c r="L266" s="1"/>
      <c r="M266" s="55" t="s">
        <v>7</v>
      </c>
      <c r="N266" s="1"/>
      <c r="O266" s="1"/>
      <c r="P266" s="1"/>
      <c r="Q266" s="55" t="s">
        <v>7</v>
      </c>
      <c r="R266" s="55" t="s">
        <v>7</v>
      </c>
      <c r="T266" s="4" t="s">
        <v>209</v>
      </c>
    </row>
    <row r="267" spans="1:20" ht="15.75" customHeight="1" x14ac:dyDescent="0.3">
      <c r="A267" s="72" t="s">
        <v>204</v>
      </c>
      <c r="B267" s="1">
        <v>113</v>
      </c>
      <c r="C267" s="108">
        <v>75</v>
      </c>
      <c r="D267" s="1">
        <v>99</v>
      </c>
      <c r="E267" s="55">
        <f t="shared" ref="E267:E278" si="49">SUM(B267:D267)</f>
        <v>287</v>
      </c>
      <c r="F267" s="1">
        <v>95</v>
      </c>
      <c r="G267" s="1">
        <v>98</v>
      </c>
      <c r="H267" s="1">
        <v>103</v>
      </c>
      <c r="I267" s="55">
        <f t="shared" ref="I267:I278" si="50">SUM(F267:H267)</f>
        <v>296</v>
      </c>
      <c r="J267" s="1">
        <v>58</v>
      </c>
      <c r="K267" s="1">
        <v>92</v>
      </c>
      <c r="L267" s="1">
        <v>75</v>
      </c>
      <c r="M267" s="55">
        <f t="shared" ref="M267:M278" si="51">SUM(J267:L267)</f>
        <v>225</v>
      </c>
      <c r="N267" s="1">
        <v>121</v>
      </c>
      <c r="O267" s="1">
        <v>114</v>
      </c>
      <c r="P267" s="1">
        <v>106</v>
      </c>
      <c r="Q267" s="55">
        <f t="shared" ref="Q267:Q278" si="52">SUM(N267:P267)</f>
        <v>341</v>
      </c>
      <c r="R267" s="55">
        <f t="shared" ref="R267:R278" si="53">+E267+I267+M267+Q267</f>
        <v>1149</v>
      </c>
      <c r="T267" s="4" t="s">
        <v>210</v>
      </c>
    </row>
    <row r="268" spans="1:20" ht="15.75" customHeight="1" x14ac:dyDescent="0.3">
      <c r="A268" s="72" t="s">
        <v>632</v>
      </c>
      <c r="B268" s="1">
        <v>150</v>
      </c>
      <c r="C268" s="1">
        <v>135</v>
      </c>
      <c r="D268" s="1">
        <v>211</v>
      </c>
      <c r="E268" s="55">
        <f t="shared" si="49"/>
        <v>496</v>
      </c>
      <c r="F268" s="1">
        <v>296</v>
      </c>
      <c r="G268" s="1">
        <v>377</v>
      </c>
      <c r="H268" s="1">
        <v>457</v>
      </c>
      <c r="I268" s="55">
        <f t="shared" si="50"/>
        <v>1130</v>
      </c>
      <c r="J268" s="1">
        <v>274</v>
      </c>
      <c r="K268" s="1">
        <v>282</v>
      </c>
      <c r="L268" s="1">
        <v>307</v>
      </c>
      <c r="M268" s="55">
        <f t="shared" si="51"/>
        <v>863</v>
      </c>
      <c r="N268" s="1">
        <v>425</v>
      </c>
      <c r="O268" s="1">
        <v>203</v>
      </c>
      <c r="P268" s="1">
        <v>112</v>
      </c>
      <c r="Q268" s="55">
        <f t="shared" si="52"/>
        <v>740</v>
      </c>
      <c r="R268" s="55">
        <f t="shared" si="53"/>
        <v>3229</v>
      </c>
      <c r="T268" s="4" t="s">
        <v>210</v>
      </c>
    </row>
    <row r="269" spans="1:20" ht="15.75" customHeight="1" x14ac:dyDescent="0.3">
      <c r="A269" s="72" t="s">
        <v>208</v>
      </c>
      <c r="B269" s="1">
        <v>106</v>
      </c>
      <c r="C269" s="1">
        <v>54</v>
      </c>
      <c r="D269" s="1">
        <v>70</v>
      </c>
      <c r="E269" s="55">
        <f t="shared" si="49"/>
        <v>230</v>
      </c>
      <c r="F269" s="1">
        <v>120</v>
      </c>
      <c r="G269" s="1">
        <v>174</v>
      </c>
      <c r="H269" s="1">
        <v>221</v>
      </c>
      <c r="I269" s="55">
        <f t="shared" si="50"/>
        <v>515</v>
      </c>
      <c r="J269" s="1">
        <v>263</v>
      </c>
      <c r="K269" s="1">
        <v>284</v>
      </c>
      <c r="L269" s="1">
        <v>120</v>
      </c>
      <c r="M269" s="55">
        <f t="shared" si="51"/>
        <v>667</v>
      </c>
      <c r="N269" s="1">
        <v>160</v>
      </c>
      <c r="O269" s="1">
        <v>68</v>
      </c>
      <c r="P269" s="1">
        <v>28</v>
      </c>
      <c r="Q269" s="55">
        <f t="shared" si="52"/>
        <v>256</v>
      </c>
      <c r="R269" s="55">
        <f t="shared" si="53"/>
        <v>1668</v>
      </c>
      <c r="T269" s="4" t="s">
        <v>214</v>
      </c>
    </row>
    <row r="270" spans="1:20" ht="15.75" customHeight="1" x14ac:dyDescent="0.3">
      <c r="A270" s="72" t="s">
        <v>1170</v>
      </c>
      <c r="B270" s="1"/>
      <c r="C270" s="1"/>
      <c r="D270" s="1"/>
      <c r="E270" s="55">
        <f t="shared" si="49"/>
        <v>0</v>
      </c>
      <c r="F270" s="1">
        <v>612</v>
      </c>
      <c r="G270" s="1">
        <v>1143</v>
      </c>
      <c r="H270" s="1">
        <v>1083</v>
      </c>
      <c r="I270" s="55">
        <f t="shared" si="50"/>
        <v>2838</v>
      </c>
      <c r="J270" s="1">
        <v>114</v>
      </c>
      <c r="K270" s="1"/>
      <c r="L270" s="1"/>
      <c r="M270" s="55">
        <f t="shared" si="51"/>
        <v>114</v>
      </c>
      <c r="N270" s="1"/>
      <c r="O270" s="1">
        <v>888</v>
      </c>
      <c r="P270" s="1">
        <v>1145</v>
      </c>
      <c r="Q270" s="55">
        <f t="shared" si="52"/>
        <v>2033</v>
      </c>
      <c r="R270" s="55">
        <f t="shared" si="53"/>
        <v>4985</v>
      </c>
    </row>
    <row r="271" spans="1:20" ht="15.75" customHeight="1" x14ac:dyDescent="0.3">
      <c r="A271" s="72" t="s">
        <v>920</v>
      </c>
      <c r="B271" s="1">
        <v>21</v>
      </c>
      <c r="C271" s="1">
        <v>17</v>
      </c>
      <c r="D271" s="1">
        <v>25</v>
      </c>
      <c r="E271" s="55">
        <f t="shared" si="49"/>
        <v>63</v>
      </c>
      <c r="F271" s="1">
        <v>1620</v>
      </c>
      <c r="G271" s="1">
        <v>22</v>
      </c>
      <c r="H271" s="1">
        <v>23</v>
      </c>
      <c r="I271" s="55">
        <f t="shared" si="50"/>
        <v>1665</v>
      </c>
      <c r="J271" s="1">
        <v>18</v>
      </c>
      <c r="K271" s="1">
        <v>17</v>
      </c>
      <c r="L271" s="1">
        <v>24</v>
      </c>
      <c r="M271" s="55">
        <f t="shared" si="51"/>
        <v>59</v>
      </c>
      <c r="N271" s="1">
        <v>87</v>
      </c>
      <c r="O271" s="1">
        <v>30</v>
      </c>
      <c r="P271" s="1">
        <v>20</v>
      </c>
      <c r="Q271" s="55">
        <f t="shared" si="52"/>
        <v>137</v>
      </c>
      <c r="R271" s="55">
        <f t="shared" si="53"/>
        <v>1924</v>
      </c>
      <c r="T271" s="4" t="s">
        <v>218</v>
      </c>
    </row>
    <row r="272" spans="1:20" ht="15.75" customHeight="1" x14ac:dyDescent="0.3">
      <c r="A272" s="72" t="s">
        <v>921</v>
      </c>
      <c r="B272" s="1"/>
      <c r="C272" s="1"/>
      <c r="D272" s="1"/>
      <c r="E272" s="55">
        <f t="shared" si="49"/>
        <v>0</v>
      </c>
      <c r="F272" s="1"/>
      <c r="G272" s="1"/>
      <c r="H272" s="1">
        <v>2048</v>
      </c>
      <c r="I272" s="55">
        <f t="shared" si="50"/>
        <v>2048</v>
      </c>
      <c r="J272" s="1"/>
      <c r="K272" s="1"/>
      <c r="L272" s="1"/>
      <c r="M272" s="55">
        <f t="shared" si="51"/>
        <v>0</v>
      </c>
      <c r="N272" s="1"/>
      <c r="O272" s="1"/>
      <c r="P272" s="1"/>
      <c r="Q272" s="55">
        <f t="shared" si="52"/>
        <v>0</v>
      </c>
      <c r="R272" s="55">
        <f t="shared" si="53"/>
        <v>2048</v>
      </c>
      <c r="T272" s="4" t="s">
        <v>220</v>
      </c>
    </row>
    <row r="273" spans="1:20" ht="15.75" customHeight="1" x14ac:dyDescent="0.3">
      <c r="A273" s="72" t="s">
        <v>922</v>
      </c>
      <c r="B273" s="1"/>
      <c r="C273" s="1"/>
      <c r="D273" s="1"/>
      <c r="E273" s="55">
        <f>SUM(B273:D273)</f>
        <v>0</v>
      </c>
      <c r="F273" s="1"/>
      <c r="G273" s="1">
        <v>1624</v>
      </c>
      <c r="H273" s="1"/>
      <c r="I273" s="55">
        <f>SUM(F273:H273)</f>
        <v>1624</v>
      </c>
      <c r="J273" s="1"/>
      <c r="K273" s="1"/>
      <c r="L273" s="1"/>
      <c r="M273" s="55">
        <f>SUM(J273:L273)</f>
        <v>0</v>
      </c>
      <c r="N273" s="1"/>
      <c r="O273" s="1"/>
      <c r="P273" s="1"/>
      <c r="Q273" s="55">
        <f>SUM(N273:P273)</f>
        <v>0</v>
      </c>
      <c r="R273" s="55">
        <f>+E273+I273+M273+Q273</f>
        <v>1624</v>
      </c>
    </row>
    <row r="274" spans="1:20" ht="15.75" customHeight="1" x14ac:dyDescent="0.3">
      <c r="A274" s="72" t="s">
        <v>118</v>
      </c>
      <c r="B274" s="1"/>
      <c r="C274" s="1"/>
      <c r="D274" s="1"/>
      <c r="E274" s="55">
        <f t="shared" si="49"/>
        <v>0</v>
      </c>
      <c r="F274" s="1"/>
      <c r="G274" s="1">
        <f>5095-G273</f>
        <v>3471</v>
      </c>
      <c r="H274" s="1">
        <v>2140</v>
      </c>
      <c r="I274" s="55">
        <f t="shared" si="50"/>
        <v>5611</v>
      </c>
      <c r="J274" s="1"/>
      <c r="K274" s="1"/>
      <c r="L274" s="1"/>
      <c r="M274" s="55">
        <f t="shared" si="51"/>
        <v>0</v>
      </c>
      <c r="N274" s="1"/>
      <c r="O274" s="1"/>
      <c r="P274" s="1"/>
      <c r="Q274" s="55">
        <f t="shared" si="52"/>
        <v>0</v>
      </c>
      <c r="R274" s="55">
        <f t="shared" si="53"/>
        <v>5611</v>
      </c>
      <c r="T274" s="4" t="s">
        <v>214</v>
      </c>
    </row>
    <row r="275" spans="1:20" ht="15.75" customHeight="1" x14ac:dyDescent="0.3">
      <c r="A275" s="72" t="s">
        <v>924</v>
      </c>
      <c r="B275" s="1">
        <v>47</v>
      </c>
      <c r="C275" s="1">
        <v>26</v>
      </c>
      <c r="D275" s="1">
        <v>39</v>
      </c>
      <c r="E275" s="55">
        <f t="shared" si="49"/>
        <v>112</v>
      </c>
      <c r="F275" s="1">
        <v>35</v>
      </c>
      <c r="G275" s="1"/>
      <c r="H275" s="1"/>
      <c r="I275" s="55">
        <f t="shared" si="50"/>
        <v>35</v>
      </c>
      <c r="J275" s="1"/>
      <c r="K275" s="1"/>
      <c r="L275" s="1"/>
      <c r="M275" s="55">
        <f t="shared" si="51"/>
        <v>0</v>
      </c>
      <c r="N275" s="1"/>
      <c r="O275" s="1"/>
      <c r="P275" s="1"/>
      <c r="Q275" s="55">
        <f t="shared" si="52"/>
        <v>0</v>
      </c>
      <c r="R275" s="55">
        <f t="shared" si="53"/>
        <v>147</v>
      </c>
      <c r="S275" s="300"/>
      <c r="T275" s="4" t="s">
        <v>209</v>
      </c>
    </row>
    <row r="276" spans="1:20" ht="15.75" customHeight="1" x14ac:dyDescent="0.3">
      <c r="A276" s="72" t="s">
        <v>215</v>
      </c>
      <c r="B276" s="1">
        <v>3307</v>
      </c>
      <c r="C276" s="1">
        <v>1617</v>
      </c>
      <c r="D276" s="1"/>
      <c r="E276" s="55">
        <f t="shared" si="49"/>
        <v>4924</v>
      </c>
      <c r="F276" s="1">
        <v>1687</v>
      </c>
      <c r="G276" s="1">
        <v>3619</v>
      </c>
      <c r="H276" s="1">
        <v>5259</v>
      </c>
      <c r="I276" s="55">
        <f t="shared" si="50"/>
        <v>10565</v>
      </c>
      <c r="J276" s="1">
        <v>5067</v>
      </c>
      <c r="K276" s="1">
        <v>5097</v>
      </c>
      <c r="L276" s="1">
        <v>4573</v>
      </c>
      <c r="M276" s="55">
        <f t="shared" si="51"/>
        <v>14737</v>
      </c>
      <c r="N276" s="1">
        <v>5030</v>
      </c>
      <c r="O276" s="1">
        <v>4562</v>
      </c>
      <c r="P276" s="1">
        <v>2930</v>
      </c>
      <c r="Q276" s="55">
        <f t="shared" si="52"/>
        <v>12522</v>
      </c>
      <c r="R276" s="55">
        <f t="shared" si="53"/>
        <v>42748</v>
      </c>
      <c r="T276" s="4" t="s">
        <v>224</v>
      </c>
    </row>
    <row r="277" spans="1:20" ht="15.75" customHeight="1" x14ac:dyDescent="0.3">
      <c r="A277" s="72" t="s">
        <v>720</v>
      </c>
      <c r="B277" s="1"/>
      <c r="C277" s="1"/>
      <c r="D277" s="1"/>
      <c r="E277" s="55">
        <f t="shared" si="49"/>
        <v>0</v>
      </c>
      <c r="F277" s="1"/>
      <c r="G277" s="1">
        <v>3000</v>
      </c>
      <c r="H277" s="1"/>
      <c r="I277" s="55">
        <f t="shared" si="50"/>
        <v>3000</v>
      </c>
      <c r="J277" s="1"/>
      <c r="K277" s="1"/>
      <c r="L277" s="1"/>
      <c r="M277" s="55">
        <f t="shared" si="51"/>
        <v>0</v>
      </c>
      <c r="N277" s="1"/>
      <c r="O277" s="1"/>
      <c r="P277" s="1"/>
      <c r="Q277" s="55">
        <f t="shared" si="52"/>
        <v>0</v>
      </c>
      <c r="R277" s="55">
        <f t="shared" si="53"/>
        <v>3000</v>
      </c>
    </row>
    <row r="278" spans="1:20" ht="15.75" customHeight="1" x14ac:dyDescent="0.3">
      <c r="A278" s="72" t="s">
        <v>930</v>
      </c>
      <c r="B278" s="1">
        <v>0</v>
      </c>
      <c r="C278" s="1">
        <v>0</v>
      </c>
      <c r="D278" s="1">
        <v>0</v>
      </c>
      <c r="E278" s="55">
        <f t="shared" si="49"/>
        <v>0</v>
      </c>
      <c r="F278" s="1">
        <v>0</v>
      </c>
      <c r="G278" s="1">
        <v>29</v>
      </c>
      <c r="H278" s="1">
        <v>109</v>
      </c>
      <c r="I278" s="55">
        <f t="shared" si="50"/>
        <v>138</v>
      </c>
      <c r="J278" s="1">
        <v>65</v>
      </c>
      <c r="K278" s="1">
        <v>73</v>
      </c>
      <c r="L278" s="1">
        <v>30</v>
      </c>
      <c r="M278" s="55">
        <f t="shared" si="51"/>
        <v>168</v>
      </c>
      <c r="N278" s="1">
        <v>42</v>
      </c>
      <c r="O278" s="1"/>
      <c r="P278" s="1"/>
      <c r="Q278" s="55">
        <f t="shared" si="52"/>
        <v>42</v>
      </c>
      <c r="R278" s="55">
        <f t="shared" si="53"/>
        <v>348</v>
      </c>
      <c r="S278" s="4">
        <f>SUM(R267:R278)</f>
        <v>68481</v>
      </c>
      <c r="T278" s="4" t="s">
        <v>226</v>
      </c>
    </row>
    <row r="279" spans="1:20" ht="15.75" customHeight="1" x14ac:dyDescent="0.3">
      <c r="A279" s="15" t="s">
        <v>50</v>
      </c>
      <c r="B279" s="1"/>
      <c r="C279" s="1"/>
      <c r="D279" s="1"/>
      <c r="E279" s="55" t="s">
        <v>7</v>
      </c>
      <c r="F279" s="1"/>
      <c r="G279" s="1"/>
      <c r="H279" s="1"/>
      <c r="I279" s="55" t="s">
        <v>7</v>
      </c>
      <c r="J279" s="1"/>
      <c r="K279" s="1"/>
      <c r="L279" s="1"/>
      <c r="M279" s="55" t="s">
        <v>7</v>
      </c>
      <c r="N279" s="1"/>
      <c r="O279" s="1"/>
      <c r="P279" s="1"/>
      <c r="Q279" s="55" t="s">
        <v>7</v>
      </c>
      <c r="R279" s="55" t="s">
        <v>7</v>
      </c>
      <c r="T279" s="4" t="s">
        <v>214</v>
      </c>
    </row>
    <row r="280" spans="1:20" ht="15.75" customHeight="1" x14ac:dyDescent="0.3">
      <c r="A280" s="72" t="s">
        <v>217</v>
      </c>
      <c r="B280" s="1"/>
      <c r="C280" s="1"/>
      <c r="D280" s="1"/>
      <c r="E280" s="55">
        <f t="shared" ref="E280:E293" si="54">SUM(B280:D280)</f>
        <v>0</v>
      </c>
      <c r="F280" s="1"/>
      <c r="G280" s="1"/>
      <c r="H280" s="1"/>
      <c r="I280" s="55">
        <f t="shared" ref="I280:I293" si="55">SUM(F280:H280)</f>
        <v>0</v>
      </c>
      <c r="J280" s="1"/>
      <c r="K280" s="1"/>
      <c r="L280" s="1"/>
      <c r="M280" s="55">
        <f t="shared" ref="M280:M293" si="56">SUM(J280:L280)</f>
        <v>0</v>
      </c>
      <c r="N280" s="1"/>
      <c r="O280" s="1"/>
      <c r="P280" s="1"/>
      <c r="Q280" s="55">
        <f t="shared" ref="Q280:Q293" si="57">SUM(N280:P280)</f>
        <v>0</v>
      </c>
      <c r="R280" s="55">
        <f t="shared" ref="R280:R293" si="58">+E280+I280+M280+Q280</f>
        <v>0</v>
      </c>
      <c r="T280" s="4" t="s">
        <v>206</v>
      </c>
    </row>
    <row r="281" spans="1:20" ht="15.75" customHeight="1" x14ac:dyDescent="0.3">
      <c r="A281" s="72" t="s">
        <v>219</v>
      </c>
      <c r="B281" s="1">
        <v>3</v>
      </c>
      <c r="C281" s="1">
        <v>6</v>
      </c>
      <c r="D281" s="1">
        <v>9</v>
      </c>
      <c r="E281" s="55">
        <f>SUM(B281:D281)</f>
        <v>18</v>
      </c>
      <c r="F281" s="1">
        <v>27</v>
      </c>
      <c r="G281" s="1">
        <v>30</v>
      </c>
      <c r="H281" s="1">
        <v>6</v>
      </c>
      <c r="I281" s="55">
        <f>SUM(F281:H281)</f>
        <v>63</v>
      </c>
      <c r="J281" s="1">
        <v>18</v>
      </c>
      <c r="K281" s="1">
        <v>24</v>
      </c>
      <c r="L281" s="1">
        <v>8</v>
      </c>
      <c r="M281" s="55">
        <f>SUM(J281:L281)</f>
        <v>50</v>
      </c>
      <c r="N281" s="1">
        <v>26</v>
      </c>
      <c r="O281" s="1">
        <v>0</v>
      </c>
      <c r="P281" s="1">
        <v>0</v>
      </c>
      <c r="Q281" s="55">
        <f>SUM(N281:P281)</f>
        <v>26</v>
      </c>
      <c r="R281" s="55">
        <f>+E281+I281+M281+Q281</f>
        <v>157</v>
      </c>
      <c r="T281" s="4" t="s">
        <v>206</v>
      </c>
    </row>
    <row r="282" spans="1:20" ht="15.75" customHeight="1" x14ac:dyDescent="0.3">
      <c r="A282" s="72" t="s">
        <v>924</v>
      </c>
      <c r="B282" s="1">
        <v>0</v>
      </c>
      <c r="C282" s="1">
        <v>0</v>
      </c>
      <c r="D282" s="1">
        <v>0</v>
      </c>
      <c r="E282" s="55">
        <f t="shared" si="54"/>
        <v>0</v>
      </c>
      <c r="F282" s="1">
        <v>33</v>
      </c>
      <c r="G282" s="1">
        <v>30</v>
      </c>
      <c r="H282" s="1">
        <v>28</v>
      </c>
      <c r="I282" s="55">
        <f t="shared" si="55"/>
        <v>91</v>
      </c>
      <c r="J282" s="1">
        <v>25</v>
      </c>
      <c r="K282" s="1">
        <v>11</v>
      </c>
      <c r="L282" s="1">
        <v>21</v>
      </c>
      <c r="M282" s="55">
        <f t="shared" si="56"/>
        <v>57</v>
      </c>
      <c r="N282" s="1">
        <v>59</v>
      </c>
      <c r="O282" s="1">
        <v>45</v>
      </c>
      <c r="P282" s="1">
        <v>30</v>
      </c>
      <c r="Q282" s="55">
        <f t="shared" si="57"/>
        <v>134</v>
      </c>
      <c r="R282" s="55">
        <f>+E282+I282+M282+Q282</f>
        <v>282</v>
      </c>
      <c r="T282" s="4" t="s">
        <v>209</v>
      </c>
    </row>
    <row r="283" spans="1:20" ht="15.75" customHeight="1" x14ac:dyDescent="0.3">
      <c r="A283" s="72" t="s">
        <v>721</v>
      </c>
      <c r="B283" s="1">
        <v>3</v>
      </c>
      <c r="C283" s="1">
        <v>3</v>
      </c>
      <c r="D283" s="1">
        <v>7</v>
      </c>
      <c r="E283" s="55">
        <f>SUM(B283:D283)</f>
        <v>13</v>
      </c>
      <c r="F283" s="1">
        <v>2</v>
      </c>
      <c r="G283" s="1">
        <v>7</v>
      </c>
      <c r="H283" s="1">
        <v>2</v>
      </c>
      <c r="I283" s="55">
        <f>SUM(F283:H283)</f>
        <v>11</v>
      </c>
      <c r="J283" s="1">
        <v>2</v>
      </c>
      <c r="K283" s="1">
        <v>4</v>
      </c>
      <c r="L283" s="1">
        <v>2</v>
      </c>
      <c r="M283" s="55">
        <f>SUM(J283:L283)</f>
        <v>8</v>
      </c>
      <c r="N283" s="1">
        <v>2</v>
      </c>
      <c r="O283" s="1">
        <v>0</v>
      </c>
      <c r="P283" s="1">
        <v>2</v>
      </c>
      <c r="Q283" s="55">
        <f>SUM(N283:P283)</f>
        <v>4</v>
      </c>
      <c r="R283" s="55">
        <f>+E283+I283+M283+Q283</f>
        <v>36</v>
      </c>
      <c r="T283" s="4" t="s">
        <v>209</v>
      </c>
    </row>
    <row r="284" spans="1:20" ht="15.75" customHeight="1" x14ac:dyDescent="0.3">
      <c r="A284" s="72" t="s">
        <v>633</v>
      </c>
      <c r="B284" s="1">
        <v>22</v>
      </c>
      <c r="C284" s="1">
        <v>21</v>
      </c>
      <c r="D284" s="1">
        <v>43</v>
      </c>
      <c r="E284" s="55">
        <f t="shared" si="54"/>
        <v>86</v>
      </c>
      <c r="F284" s="1">
        <v>51</v>
      </c>
      <c r="G284" s="1">
        <v>66</v>
      </c>
      <c r="H284" s="1">
        <v>80</v>
      </c>
      <c r="I284" s="55">
        <f t="shared" si="55"/>
        <v>197</v>
      </c>
      <c r="J284" s="1">
        <v>58</v>
      </c>
      <c r="K284" s="1">
        <v>48</v>
      </c>
      <c r="L284" s="1">
        <v>37</v>
      </c>
      <c r="M284" s="55">
        <f t="shared" si="56"/>
        <v>143</v>
      </c>
      <c r="N284" s="1">
        <v>58</v>
      </c>
      <c r="O284" s="1">
        <v>27</v>
      </c>
      <c r="P284" s="1">
        <v>18</v>
      </c>
      <c r="Q284" s="55">
        <f t="shared" si="57"/>
        <v>103</v>
      </c>
      <c r="R284" s="55">
        <f t="shared" si="58"/>
        <v>529</v>
      </c>
    </row>
    <row r="285" spans="1:20" ht="15.75" customHeight="1" x14ac:dyDescent="0.3">
      <c r="A285" s="72" t="s">
        <v>222</v>
      </c>
      <c r="B285" s="1"/>
      <c r="C285" s="1"/>
      <c r="D285" s="1">
        <v>1</v>
      </c>
      <c r="E285" s="55">
        <f t="shared" si="54"/>
        <v>1</v>
      </c>
      <c r="F285" s="1">
        <v>0</v>
      </c>
      <c r="G285" s="1">
        <v>0</v>
      </c>
      <c r="H285" s="1"/>
      <c r="I285" s="55">
        <f t="shared" si="55"/>
        <v>0</v>
      </c>
      <c r="J285" s="1">
        <v>1</v>
      </c>
      <c r="K285" s="1">
        <v>0</v>
      </c>
      <c r="L285" s="1">
        <v>1</v>
      </c>
      <c r="M285" s="55">
        <f t="shared" si="56"/>
        <v>2</v>
      </c>
      <c r="N285" s="1">
        <v>1</v>
      </c>
      <c r="O285" s="1">
        <v>0</v>
      </c>
      <c r="P285" s="1">
        <v>0</v>
      </c>
      <c r="Q285" s="55">
        <f t="shared" si="57"/>
        <v>1</v>
      </c>
      <c r="R285" s="55">
        <f t="shared" si="58"/>
        <v>4</v>
      </c>
      <c r="T285" s="4" t="s">
        <v>209</v>
      </c>
    </row>
    <row r="286" spans="1:20" ht="15.75" customHeight="1" x14ac:dyDescent="0.3">
      <c r="A286" s="72" t="s">
        <v>225</v>
      </c>
      <c r="B286" s="1"/>
      <c r="C286" s="1"/>
      <c r="D286" s="1"/>
      <c r="E286" s="55">
        <f t="shared" si="54"/>
        <v>0</v>
      </c>
      <c r="F286" s="1"/>
      <c r="G286" s="1">
        <v>76</v>
      </c>
      <c r="H286" s="1">
        <v>103</v>
      </c>
      <c r="I286" s="55">
        <f t="shared" si="55"/>
        <v>179</v>
      </c>
      <c r="J286" s="1">
        <v>122</v>
      </c>
      <c r="K286" s="1">
        <v>30</v>
      </c>
      <c r="L286" s="1"/>
      <c r="M286" s="55">
        <f t="shared" si="56"/>
        <v>152</v>
      </c>
      <c r="N286" s="1"/>
      <c r="O286" s="1"/>
      <c r="P286" s="1"/>
      <c r="Q286" s="55">
        <f t="shared" si="57"/>
        <v>0</v>
      </c>
      <c r="R286" s="55">
        <f t="shared" si="58"/>
        <v>331</v>
      </c>
      <c r="T286" s="4" t="s">
        <v>235</v>
      </c>
    </row>
    <row r="287" spans="1:20" ht="15.75" customHeight="1" x14ac:dyDescent="0.3">
      <c r="A287" s="72" t="s">
        <v>227</v>
      </c>
      <c r="B287" s="1">
        <v>1</v>
      </c>
      <c r="C287" s="1">
        <v>1</v>
      </c>
      <c r="D287" s="1">
        <v>1</v>
      </c>
      <c r="E287" s="55">
        <f t="shared" si="54"/>
        <v>3</v>
      </c>
      <c r="F287" s="1">
        <v>2</v>
      </c>
      <c r="G287" s="1">
        <v>1</v>
      </c>
      <c r="H287" s="1">
        <v>1</v>
      </c>
      <c r="I287" s="55">
        <f t="shared" si="55"/>
        <v>4</v>
      </c>
      <c r="J287" s="1">
        <v>1</v>
      </c>
      <c r="K287" s="1">
        <v>2</v>
      </c>
      <c r="L287" s="1">
        <v>1</v>
      </c>
      <c r="M287" s="55">
        <f t="shared" si="56"/>
        <v>4</v>
      </c>
      <c r="N287" s="1">
        <v>2</v>
      </c>
      <c r="O287" s="1">
        <v>1</v>
      </c>
      <c r="P287" s="1">
        <v>1</v>
      </c>
      <c r="Q287" s="55">
        <f t="shared" si="57"/>
        <v>4</v>
      </c>
      <c r="R287" s="55">
        <f t="shared" si="58"/>
        <v>15</v>
      </c>
      <c r="T287" s="4" t="s">
        <v>209</v>
      </c>
    </row>
    <row r="288" spans="1:20" ht="15.75" customHeight="1" x14ac:dyDescent="0.3">
      <c r="A288" s="72" t="s">
        <v>1128</v>
      </c>
      <c r="B288" s="1"/>
      <c r="C288" s="1"/>
      <c r="D288" s="1"/>
      <c r="E288" s="55">
        <f t="shared" si="54"/>
        <v>0</v>
      </c>
      <c r="F288" s="1"/>
      <c r="G288" s="1"/>
      <c r="H288" s="1"/>
      <c r="I288" s="55">
        <f t="shared" si="55"/>
        <v>0</v>
      </c>
      <c r="J288" s="1"/>
      <c r="K288" s="1"/>
      <c r="L288" s="1"/>
      <c r="M288" s="55">
        <f t="shared" si="56"/>
        <v>0</v>
      </c>
      <c r="N288" s="1">
        <v>46</v>
      </c>
      <c r="O288" s="1">
        <v>6</v>
      </c>
      <c r="P288" s="1">
        <v>0</v>
      </c>
      <c r="Q288" s="55">
        <f t="shared" si="57"/>
        <v>52</v>
      </c>
      <c r="R288" s="55">
        <f t="shared" si="58"/>
        <v>52</v>
      </c>
      <c r="T288" s="4" t="s">
        <v>209</v>
      </c>
    </row>
    <row r="289" spans="1:20" ht="15.75" customHeight="1" x14ac:dyDescent="0.3">
      <c r="A289" s="72" t="s">
        <v>228</v>
      </c>
      <c r="B289" s="1">
        <v>30</v>
      </c>
      <c r="C289" s="1">
        <v>29</v>
      </c>
      <c r="D289" s="1">
        <v>43</v>
      </c>
      <c r="E289" s="55">
        <f t="shared" si="54"/>
        <v>102</v>
      </c>
      <c r="F289" s="1">
        <v>44</v>
      </c>
      <c r="G289" s="1">
        <v>59</v>
      </c>
      <c r="H289" s="1">
        <v>83</v>
      </c>
      <c r="I289" s="55">
        <f t="shared" si="55"/>
        <v>186</v>
      </c>
      <c r="J289" s="1">
        <v>55</v>
      </c>
      <c r="K289" s="1">
        <v>51</v>
      </c>
      <c r="L289" s="1">
        <v>33</v>
      </c>
      <c r="M289" s="55">
        <f t="shared" si="56"/>
        <v>139</v>
      </c>
      <c r="N289" s="1">
        <v>75</v>
      </c>
      <c r="O289" s="1">
        <v>39</v>
      </c>
      <c r="P289" s="1">
        <v>32</v>
      </c>
      <c r="Q289" s="55">
        <f t="shared" si="57"/>
        <v>146</v>
      </c>
      <c r="R289" s="55">
        <f t="shared" si="58"/>
        <v>573</v>
      </c>
      <c r="T289" s="4" t="s">
        <v>214</v>
      </c>
    </row>
    <row r="290" spans="1:20" ht="15.75" customHeight="1" x14ac:dyDescent="0.3">
      <c r="A290" s="72" t="s">
        <v>229</v>
      </c>
      <c r="B290" s="1">
        <v>2</v>
      </c>
      <c r="C290" s="1">
        <v>1</v>
      </c>
      <c r="D290" s="1">
        <v>2</v>
      </c>
      <c r="E290" s="55">
        <f t="shared" si="54"/>
        <v>5</v>
      </c>
      <c r="F290" s="1">
        <v>2</v>
      </c>
      <c r="G290" s="1">
        <v>2</v>
      </c>
      <c r="H290" s="1">
        <v>2</v>
      </c>
      <c r="I290" s="55">
        <f t="shared" si="55"/>
        <v>6</v>
      </c>
      <c r="J290" s="1">
        <v>1</v>
      </c>
      <c r="K290" s="1">
        <v>2</v>
      </c>
      <c r="L290" s="1">
        <v>2</v>
      </c>
      <c r="M290" s="55">
        <f t="shared" si="56"/>
        <v>5</v>
      </c>
      <c r="N290" s="1">
        <v>2</v>
      </c>
      <c r="O290" s="1">
        <v>1</v>
      </c>
      <c r="P290" s="1">
        <v>1</v>
      </c>
      <c r="Q290" s="55">
        <f t="shared" si="57"/>
        <v>4</v>
      </c>
      <c r="R290" s="55">
        <f t="shared" si="58"/>
        <v>20</v>
      </c>
      <c r="T290" s="4" t="s">
        <v>241</v>
      </c>
    </row>
    <row r="291" spans="1:20" ht="15.75" customHeight="1" x14ac:dyDescent="0.3">
      <c r="A291" s="72" t="s">
        <v>634</v>
      </c>
      <c r="B291" s="1"/>
      <c r="C291" s="1">
        <v>8</v>
      </c>
      <c r="D291" s="1"/>
      <c r="E291" s="55">
        <f>SUM(B291:D291)</f>
        <v>8</v>
      </c>
      <c r="F291" s="1">
        <v>9</v>
      </c>
      <c r="G291" s="1">
        <v>14</v>
      </c>
      <c r="H291" s="1">
        <v>17</v>
      </c>
      <c r="I291" s="55">
        <f>SUM(F291:H291)</f>
        <v>40</v>
      </c>
      <c r="J291" s="1">
        <v>0</v>
      </c>
      <c r="K291" s="1">
        <v>7</v>
      </c>
      <c r="L291" s="1">
        <v>0</v>
      </c>
      <c r="M291" s="55">
        <f>SUM(J291:L291)</f>
        <v>7</v>
      </c>
      <c r="N291" s="1">
        <v>0</v>
      </c>
      <c r="O291" s="1">
        <v>0</v>
      </c>
      <c r="P291" s="1">
        <v>5</v>
      </c>
      <c r="Q291" s="55">
        <f>SUM(N291:P291)</f>
        <v>5</v>
      </c>
      <c r="R291" s="55">
        <f>+E291+I291+M291+Q291</f>
        <v>60</v>
      </c>
    </row>
    <row r="292" spans="1:20" ht="15.75" customHeight="1" x14ac:dyDescent="0.3">
      <c r="A292" s="72" t="s">
        <v>635</v>
      </c>
      <c r="B292" s="1">
        <v>0</v>
      </c>
      <c r="C292" s="1">
        <v>0</v>
      </c>
      <c r="D292" s="1"/>
      <c r="E292" s="55">
        <f t="shared" si="54"/>
        <v>0</v>
      </c>
      <c r="F292" s="1">
        <v>0</v>
      </c>
      <c r="G292" s="1">
        <v>8</v>
      </c>
      <c r="H292" s="1">
        <v>32</v>
      </c>
      <c r="I292" s="55">
        <f t="shared" si="55"/>
        <v>40</v>
      </c>
      <c r="J292" s="1">
        <v>16</v>
      </c>
      <c r="K292" s="1">
        <v>12</v>
      </c>
      <c r="L292" s="1">
        <v>15</v>
      </c>
      <c r="M292" s="55">
        <f t="shared" si="56"/>
        <v>43</v>
      </c>
      <c r="N292" s="1">
        <v>0</v>
      </c>
      <c r="O292" s="1">
        <v>24</v>
      </c>
      <c r="P292" s="1">
        <v>2</v>
      </c>
      <c r="Q292" s="55">
        <f t="shared" si="57"/>
        <v>26</v>
      </c>
      <c r="R292" s="55">
        <f t="shared" si="58"/>
        <v>109</v>
      </c>
    </row>
    <row r="293" spans="1:20" ht="15.75" customHeight="1" x14ac:dyDescent="0.3">
      <c r="A293" s="72" t="s">
        <v>237</v>
      </c>
      <c r="B293" s="1">
        <v>14</v>
      </c>
      <c r="C293" s="1">
        <v>11</v>
      </c>
      <c r="D293" s="1">
        <v>19</v>
      </c>
      <c r="E293" s="55">
        <f t="shared" si="54"/>
        <v>44</v>
      </c>
      <c r="F293" s="1">
        <v>23</v>
      </c>
      <c r="G293" s="1">
        <v>29</v>
      </c>
      <c r="H293" s="1">
        <v>27</v>
      </c>
      <c r="I293" s="55">
        <f t="shared" si="55"/>
        <v>79</v>
      </c>
      <c r="J293" s="1">
        <v>45</v>
      </c>
      <c r="K293" s="1">
        <v>36</v>
      </c>
      <c r="L293" s="1">
        <v>36</v>
      </c>
      <c r="M293" s="55">
        <f t="shared" si="56"/>
        <v>117</v>
      </c>
      <c r="N293" s="1">
        <v>85</v>
      </c>
      <c r="O293" s="1">
        <v>34</v>
      </c>
      <c r="P293" s="1">
        <v>19</v>
      </c>
      <c r="Q293" s="55">
        <f t="shared" si="57"/>
        <v>138</v>
      </c>
      <c r="R293" s="55">
        <f t="shared" si="58"/>
        <v>378</v>
      </c>
    </row>
    <row r="294" spans="1:20" ht="15.75" customHeight="1" x14ac:dyDescent="0.3">
      <c r="A294" s="15" t="s">
        <v>51</v>
      </c>
      <c r="B294" s="1"/>
      <c r="C294" s="1"/>
      <c r="D294" s="1"/>
      <c r="E294" s="55" t="s">
        <v>7</v>
      </c>
      <c r="F294" s="1"/>
      <c r="G294" s="1"/>
      <c r="H294" s="1"/>
      <c r="I294" s="55" t="s">
        <v>7</v>
      </c>
      <c r="J294" s="1"/>
      <c r="K294" s="1"/>
      <c r="L294" s="1"/>
      <c r="M294" s="55" t="s">
        <v>7</v>
      </c>
      <c r="N294" s="1"/>
      <c r="O294" s="1"/>
      <c r="P294" s="1"/>
      <c r="Q294" s="55" t="s">
        <v>7</v>
      </c>
      <c r="R294" s="55" t="s">
        <v>7</v>
      </c>
      <c r="T294" s="4" t="s">
        <v>214</v>
      </c>
    </row>
    <row r="295" spans="1:20" ht="15.75" customHeight="1" x14ac:dyDescent="0.3">
      <c r="A295" s="72" t="s">
        <v>722</v>
      </c>
      <c r="B295" s="1"/>
      <c r="C295" s="1"/>
      <c r="D295" s="1">
        <v>240</v>
      </c>
      <c r="E295" s="55">
        <f>SUM(B295:D295)</f>
        <v>240</v>
      </c>
      <c r="F295" s="1"/>
      <c r="G295" s="1"/>
      <c r="H295" s="1"/>
      <c r="I295" s="55">
        <f>SUM(F295:H295)</f>
        <v>0</v>
      </c>
      <c r="J295" s="1"/>
      <c r="K295" s="1"/>
      <c r="L295" s="1"/>
      <c r="M295" s="55">
        <f>SUM(J295:L295)</f>
        <v>0</v>
      </c>
      <c r="N295" s="1"/>
      <c r="O295" s="1"/>
      <c r="P295" s="1"/>
      <c r="Q295" s="55">
        <f>SUM(N295:P295)</f>
        <v>0</v>
      </c>
      <c r="R295" s="55">
        <f>+E295+I295+M295+Q295</f>
        <v>240</v>
      </c>
      <c r="T295" s="4" t="s">
        <v>246</v>
      </c>
    </row>
    <row r="296" spans="1:20" ht="15.75" customHeight="1" x14ac:dyDescent="0.3">
      <c r="A296" s="72" t="s">
        <v>723</v>
      </c>
      <c r="B296" s="1"/>
      <c r="C296" s="1"/>
      <c r="D296" s="1"/>
      <c r="E296" s="55">
        <f>SUM(B296:D296)</f>
        <v>0</v>
      </c>
      <c r="F296" s="1"/>
      <c r="G296" s="1">
        <v>3920</v>
      </c>
      <c r="H296" s="1">
        <v>2080</v>
      </c>
      <c r="I296" s="55">
        <f>SUM(F296:H296)</f>
        <v>6000</v>
      </c>
      <c r="J296" s="1"/>
      <c r="K296" s="1"/>
      <c r="L296" s="1"/>
      <c r="M296" s="55">
        <f>SUM(J296:L296)</f>
        <v>0</v>
      </c>
      <c r="N296" s="1"/>
      <c r="O296" s="1"/>
      <c r="P296" s="1"/>
      <c r="Q296" s="55">
        <f>SUM(N296:P296)</f>
        <v>0</v>
      </c>
      <c r="R296" s="55">
        <f>+E296+I296+M296+Q296</f>
        <v>6000</v>
      </c>
      <c r="T296" s="4" t="s">
        <v>209</v>
      </c>
    </row>
    <row r="297" spans="1:20" ht="15.75" customHeight="1" x14ac:dyDescent="0.3">
      <c r="A297" s="72" t="s">
        <v>724</v>
      </c>
      <c r="B297" s="1"/>
      <c r="C297" s="1"/>
      <c r="D297" s="1"/>
      <c r="E297" s="55">
        <f>SUM(B297:D297)</f>
        <v>0</v>
      </c>
      <c r="F297" s="1"/>
      <c r="G297" s="1">
        <v>2316</v>
      </c>
      <c r="H297" s="1">
        <v>684</v>
      </c>
      <c r="I297" s="55">
        <f>SUM(F297:H297)</f>
        <v>3000</v>
      </c>
      <c r="J297" s="1"/>
      <c r="K297" s="1"/>
      <c r="L297" s="1"/>
      <c r="M297" s="55">
        <f>SUM(J297:L297)</f>
        <v>0</v>
      </c>
      <c r="N297" s="1"/>
      <c r="O297" s="1"/>
      <c r="P297" s="1"/>
      <c r="Q297" s="55">
        <f>SUM(N297:P297)</f>
        <v>0</v>
      </c>
      <c r="R297" s="55">
        <f>+E297+I297+M297+Q297</f>
        <v>3000</v>
      </c>
      <c r="T297" s="4" t="s">
        <v>249</v>
      </c>
    </row>
    <row r="298" spans="1:20" ht="15.75" customHeight="1" x14ac:dyDescent="0.3">
      <c r="A298" s="72" t="s">
        <v>725</v>
      </c>
      <c r="B298" s="1"/>
      <c r="C298" s="1"/>
      <c r="D298" s="1"/>
      <c r="E298" s="55">
        <f>SUM(B298:D298)</f>
        <v>0</v>
      </c>
      <c r="F298" s="1">
        <v>1000</v>
      </c>
      <c r="G298" s="1"/>
      <c r="H298" s="1"/>
      <c r="I298" s="55">
        <f>SUM(F298:H298)</f>
        <v>1000</v>
      </c>
      <c r="J298" s="1">
        <v>500</v>
      </c>
      <c r="K298" s="1"/>
      <c r="L298" s="1"/>
      <c r="M298" s="55">
        <f>SUM(J298:L298)</f>
        <v>500</v>
      </c>
      <c r="N298" s="1"/>
      <c r="O298" s="1"/>
      <c r="P298" s="1">
        <v>215</v>
      </c>
      <c r="Q298" s="55">
        <f>SUM(N298:P298)</f>
        <v>215</v>
      </c>
      <c r="R298" s="55">
        <f>+E298+I298+M298+Q298</f>
        <v>1715</v>
      </c>
      <c r="T298" s="4" t="s">
        <v>214</v>
      </c>
    </row>
    <row r="299" spans="1:20" ht="16.5" customHeight="1" thickBot="1" x14ac:dyDescent="0.35">
      <c r="A299" s="15" t="s">
        <v>53</v>
      </c>
      <c r="B299" s="1"/>
      <c r="C299" s="1"/>
      <c r="D299" s="1"/>
      <c r="E299" s="55" t="s">
        <v>7</v>
      </c>
      <c r="F299" s="1"/>
      <c r="G299" s="1"/>
      <c r="H299" s="1"/>
      <c r="I299" s="55" t="s">
        <v>7</v>
      </c>
      <c r="J299" s="1"/>
      <c r="K299" s="1"/>
      <c r="L299" s="1"/>
      <c r="M299" s="55" t="s">
        <v>7</v>
      </c>
      <c r="N299" s="1"/>
      <c r="O299" s="1"/>
      <c r="P299" s="1"/>
      <c r="Q299" s="55" t="s">
        <v>7</v>
      </c>
      <c r="R299" s="81" t="s">
        <v>7</v>
      </c>
      <c r="T299" s="4" t="s">
        <v>224</v>
      </c>
    </row>
    <row r="300" spans="1:20" ht="16.5" customHeight="1" thickBot="1" x14ac:dyDescent="0.35">
      <c r="A300" s="109" t="s">
        <v>54</v>
      </c>
      <c r="B300" s="86">
        <f>SUM(B265:B299)</f>
        <v>3819</v>
      </c>
      <c r="C300" s="87">
        <f>SUM(C265:C299)</f>
        <v>2004</v>
      </c>
      <c r="D300" s="87">
        <f>SUM(D265:D299)</f>
        <v>809</v>
      </c>
      <c r="E300" s="59">
        <f>SUM(B300:D300)</f>
        <v>6632</v>
      </c>
      <c r="F300" s="87">
        <f>SUM(F265:F299)</f>
        <v>5658</v>
      </c>
      <c r="G300" s="87">
        <f>SUM(G265:G299)</f>
        <v>20115</v>
      </c>
      <c r="H300" s="87">
        <f>SUM(H265:H299)</f>
        <v>14588</v>
      </c>
      <c r="I300" s="59">
        <f>SUM(F300:H300)</f>
        <v>40361</v>
      </c>
      <c r="J300" s="87">
        <f>SUM(J265:J299)</f>
        <v>6703</v>
      </c>
      <c r="K300" s="87">
        <f>SUM(K265:K299)</f>
        <v>6072</v>
      </c>
      <c r="L300" s="87">
        <f>SUM(L265:L299)</f>
        <v>5285</v>
      </c>
      <c r="M300" s="59">
        <f>SUM(J300:L300)</f>
        <v>18060</v>
      </c>
      <c r="N300" s="87">
        <f>SUM(N265:N299)</f>
        <v>6221</v>
      </c>
      <c r="O300" s="87">
        <f>SUM(O265:O299)</f>
        <v>6042</v>
      </c>
      <c r="P300" s="87">
        <f>SUM(P265:P299)</f>
        <v>4666</v>
      </c>
      <c r="Q300" s="59">
        <f>SUM(N300:P300)</f>
        <v>16929</v>
      </c>
      <c r="R300" s="59">
        <f>+E300+I300+M300+Q300</f>
        <v>81982</v>
      </c>
      <c r="T300" s="89" t="s">
        <v>253</v>
      </c>
    </row>
    <row r="301" spans="1:20" ht="15.75" customHeight="1" x14ac:dyDescent="0.3">
      <c r="A301" s="15" t="s">
        <v>55</v>
      </c>
      <c r="B301" s="1"/>
      <c r="C301" s="1"/>
      <c r="D301" s="1"/>
      <c r="E301" s="55" t="s">
        <v>7</v>
      </c>
      <c r="F301" s="1"/>
      <c r="G301" s="1"/>
      <c r="H301" s="1"/>
      <c r="I301" s="55" t="s">
        <v>7</v>
      </c>
      <c r="J301" s="1"/>
      <c r="K301" s="1"/>
      <c r="L301" s="1"/>
      <c r="M301" s="55" t="s">
        <v>7</v>
      </c>
      <c r="N301" s="1"/>
      <c r="O301" s="1"/>
      <c r="P301" s="1"/>
      <c r="Q301" s="55" t="s">
        <v>7</v>
      </c>
      <c r="R301" s="55" t="s">
        <v>7</v>
      </c>
    </row>
    <row r="302" spans="1:20" ht="15.75" customHeight="1" x14ac:dyDescent="0.3">
      <c r="A302" s="15" t="s">
        <v>242</v>
      </c>
      <c r="B302" s="1"/>
      <c r="C302" s="1"/>
      <c r="D302" s="1"/>
      <c r="E302" s="55"/>
      <c r="F302" s="1"/>
      <c r="G302" s="1"/>
      <c r="H302" s="1"/>
      <c r="I302" s="55"/>
      <c r="J302" s="1"/>
      <c r="K302" s="1"/>
      <c r="L302" s="1"/>
      <c r="M302" s="55"/>
      <c r="N302" s="1"/>
      <c r="O302" s="1"/>
      <c r="P302" s="1"/>
      <c r="Q302" s="55"/>
      <c r="R302" s="55"/>
    </row>
    <row r="303" spans="1:20" ht="15.75" customHeight="1" x14ac:dyDescent="0.3">
      <c r="A303" s="15" t="s">
        <v>57</v>
      </c>
      <c r="B303" s="1"/>
      <c r="C303" s="1"/>
      <c r="D303" s="1"/>
      <c r="E303" s="55" t="s">
        <v>7</v>
      </c>
      <c r="F303" s="1"/>
      <c r="G303" s="1"/>
      <c r="H303" s="1"/>
      <c r="I303" s="55" t="s">
        <v>7</v>
      </c>
      <c r="J303" s="1"/>
      <c r="K303" s="1"/>
      <c r="L303" s="1"/>
      <c r="M303" s="55" t="s">
        <v>7</v>
      </c>
      <c r="N303" s="1"/>
      <c r="O303" s="1"/>
      <c r="P303" s="1"/>
      <c r="Q303" s="55" t="s">
        <v>7</v>
      </c>
      <c r="R303" s="55" t="s">
        <v>7</v>
      </c>
      <c r="T303" s="4" t="s">
        <v>209</v>
      </c>
    </row>
    <row r="304" spans="1:20" ht="15.75" customHeight="1" x14ac:dyDescent="0.3">
      <c r="A304" s="72" t="s">
        <v>553</v>
      </c>
      <c r="B304" s="1">
        <v>4</v>
      </c>
      <c r="C304" s="1">
        <v>534</v>
      </c>
      <c r="D304" s="1">
        <v>1434</v>
      </c>
      <c r="E304" s="55">
        <f>SUM(B304:D304)</f>
        <v>1972</v>
      </c>
      <c r="F304" s="1">
        <v>2528</v>
      </c>
      <c r="G304" s="1">
        <v>2880</v>
      </c>
      <c r="H304" s="1">
        <v>4278</v>
      </c>
      <c r="I304" s="55">
        <f>SUM(F304:H304)</f>
        <v>9686</v>
      </c>
      <c r="J304" s="1">
        <v>4575</v>
      </c>
      <c r="K304" s="1">
        <v>5312</v>
      </c>
      <c r="L304" s="1">
        <v>2766</v>
      </c>
      <c r="M304" s="55">
        <f>SUM(J304:L304)</f>
        <v>12653</v>
      </c>
      <c r="N304" s="1">
        <v>1962</v>
      </c>
      <c r="O304" s="1">
        <v>1293</v>
      </c>
      <c r="P304" s="1">
        <v>928</v>
      </c>
      <c r="Q304" s="55">
        <f>SUM(N304:P304)</f>
        <v>4183</v>
      </c>
      <c r="R304" s="55">
        <f t="shared" ref="R304:R311" si="59">+E304+I304+M304+Q304</f>
        <v>28494</v>
      </c>
    </row>
    <row r="305" spans="1:20" ht="15.75" customHeight="1" x14ac:dyDescent="0.3">
      <c r="A305" s="72" t="s">
        <v>244</v>
      </c>
      <c r="B305" s="1"/>
      <c r="C305" s="1"/>
      <c r="D305" s="1"/>
      <c r="E305" s="55">
        <f>SUM(B305:D305)</f>
        <v>0</v>
      </c>
      <c r="F305" s="1">
        <v>59</v>
      </c>
      <c r="G305" s="1">
        <v>68</v>
      </c>
      <c r="H305" s="1">
        <v>76</v>
      </c>
      <c r="I305" s="55">
        <f>SUM(F305:H305)</f>
        <v>203</v>
      </c>
      <c r="J305" s="1">
        <v>25</v>
      </c>
      <c r="K305" s="1">
        <v>42</v>
      </c>
      <c r="L305" s="1">
        <v>41</v>
      </c>
      <c r="M305" s="55">
        <f>SUM(J305:L305)</f>
        <v>108</v>
      </c>
      <c r="N305" s="1">
        <v>112</v>
      </c>
      <c r="O305" s="1">
        <v>0</v>
      </c>
      <c r="P305" s="1">
        <v>0</v>
      </c>
      <c r="Q305" s="55">
        <f>SUM(N305:P305)</f>
        <v>112</v>
      </c>
      <c r="R305" s="55">
        <f t="shared" si="59"/>
        <v>423</v>
      </c>
    </row>
    <row r="306" spans="1:20" ht="15.75" customHeight="1" x14ac:dyDescent="0.3">
      <c r="A306" s="72" t="s">
        <v>245</v>
      </c>
      <c r="B306" s="1">
        <v>1237</v>
      </c>
      <c r="C306" s="1">
        <v>3135</v>
      </c>
      <c r="D306" s="1">
        <v>6091</v>
      </c>
      <c r="E306" s="55">
        <f t="shared" ref="E306:E311" si="60">SUM(B306:D306)</f>
        <v>10463</v>
      </c>
      <c r="F306" s="1">
        <v>9728</v>
      </c>
      <c r="G306" s="1">
        <v>10412</v>
      </c>
      <c r="H306" s="1">
        <v>4097</v>
      </c>
      <c r="I306" s="55">
        <f t="shared" ref="I306:I311" si="61">SUM(F306:H306)</f>
        <v>24237</v>
      </c>
      <c r="J306" s="1">
        <v>1098</v>
      </c>
      <c r="K306" s="1">
        <v>100</v>
      </c>
      <c r="L306" s="1"/>
      <c r="M306" s="55">
        <f t="shared" ref="M306:M311" si="62">SUM(J306:L306)</f>
        <v>1198</v>
      </c>
      <c r="N306" s="1"/>
      <c r="O306" s="1">
        <v>425</v>
      </c>
      <c r="P306" s="1"/>
      <c r="Q306" s="55">
        <f t="shared" ref="Q306:Q311" si="63">SUM(N306:P306)</f>
        <v>425</v>
      </c>
      <c r="R306" s="55">
        <f t="shared" si="59"/>
        <v>36323</v>
      </c>
    </row>
    <row r="307" spans="1:20" ht="15.75" customHeight="1" x14ac:dyDescent="0.3">
      <c r="A307" s="72" t="s">
        <v>727</v>
      </c>
      <c r="B307" s="1">
        <v>1248</v>
      </c>
      <c r="C307" s="1">
        <v>1567</v>
      </c>
      <c r="D307" s="1">
        <v>6093</v>
      </c>
      <c r="E307" s="55">
        <f t="shared" si="60"/>
        <v>8908</v>
      </c>
      <c r="F307" s="1">
        <v>13712</v>
      </c>
      <c r="G307" s="1">
        <v>24405</v>
      </c>
      <c r="H307" s="1">
        <v>23863</v>
      </c>
      <c r="I307" s="55">
        <f t="shared" si="61"/>
        <v>61980</v>
      </c>
      <c r="J307" s="1">
        <v>7272</v>
      </c>
      <c r="K307" s="1">
        <v>11511</v>
      </c>
      <c r="L307" s="1">
        <v>10658</v>
      </c>
      <c r="M307" s="55">
        <f t="shared" si="62"/>
        <v>29441</v>
      </c>
      <c r="N307" s="1">
        <v>6876</v>
      </c>
      <c r="O307" s="1">
        <v>3656</v>
      </c>
      <c r="P307" s="1">
        <v>3750.00000000001</v>
      </c>
      <c r="Q307" s="55">
        <f t="shared" si="63"/>
        <v>14282.000000000011</v>
      </c>
      <c r="R307" s="55">
        <f t="shared" si="59"/>
        <v>114611.00000000001</v>
      </c>
      <c r="T307" s="4" t="s">
        <v>256</v>
      </c>
    </row>
    <row r="308" spans="1:20" ht="15.75" customHeight="1" x14ac:dyDescent="0.3">
      <c r="A308" s="72" t="s">
        <v>248</v>
      </c>
      <c r="B308" s="1">
        <v>1000</v>
      </c>
      <c r="C308" s="1">
        <v>2948</v>
      </c>
      <c r="D308" s="1">
        <v>3897</v>
      </c>
      <c r="E308" s="55">
        <f t="shared" si="60"/>
        <v>7845</v>
      </c>
      <c r="F308" s="1">
        <v>6774</v>
      </c>
      <c r="G308" s="1">
        <v>126</v>
      </c>
      <c r="H308" s="1">
        <v>8712</v>
      </c>
      <c r="I308" s="55">
        <f t="shared" si="61"/>
        <v>15612</v>
      </c>
      <c r="J308" s="1">
        <v>3733</v>
      </c>
      <c r="K308" s="1">
        <v>1759</v>
      </c>
      <c r="L308" s="1">
        <v>1623</v>
      </c>
      <c r="M308" s="55">
        <f t="shared" si="62"/>
        <v>7115</v>
      </c>
      <c r="N308" s="1">
        <v>3766</v>
      </c>
      <c r="O308" s="1">
        <v>3500</v>
      </c>
      <c r="P308" s="1"/>
      <c r="Q308" s="55">
        <f t="shared" si="63"/>
        <v>7266</v>
      </c>
      <c r="R308" s="55">
        <f t="shared" si="59"/>
        <v>37838</v>
      </c>
    </row>
    <row r="309" spans="1:20" ht="15.75" customHeight="1" x14ac:dyDescent="0.3">
      <c r="A309" s="72" t="s">
        <v>250</v>
      </c>
      <c r="B309" s="1">
        <v>958</v>
      </c>
      <c r="C309" s="1">
        <v>1753</v>
      </c>
      <c r="D309" s="1">
        <v>3303</v>
      </c>
      <c r="E309" s="55">
        <f t="shared" si="60"/>
        <v>6014</v>
      </c>
      <c r="F309" s="1">
        <v>3762</v>
      </c>
      <c r="G309" s="1">
        <v>2224</v>
      </c>
      <c r="H309" s="1"/>
      <c r="I309" s="55">
        <f t="shared" si="61"/>
        <v>5986</v>
      </c>
      <c r="J309" s="1"/>
      <c r="K309" s="1"/>
      <c r="L309" s="1"/>
      <c r="M309" s="55">
        <f t="shared" si="62"/>
        <v>0</v>
      </c>
      <c r="N309" s="1"/>
      <c r="O309" s="1"/>
      <c r="P309" s="1"/>
      <c r="Q309" s="55">
        <f t="shared" si="63"/>
        <v>0</v>
      </c>
      <c r="R309" s="55">
        <f t="shared" si="59"/>
        <v>12000</v>
      </c>
      <c r="T309" s="4" t="s">
        <v>210</v>
      </c>
    </row>
    <row r="310" spans="1:20" ht="15.75" customHeight="1" x14ac:dyDescent="0.3">
      <c r="A310" s="72" t="s">
        <v>251</v>
      </c>
      <c r="B310" s="1">
        <v>893</v>
      </c>
      <c r="C310" s="1">
        <v>848</v>
      </c>
      <c r="D310" s="1">
        <v>2951</v>
      </c>
      <c r="E310" s="55">
        <f t="shared" si="60"/>
        <v>4692</v>
      </c>
      <c r="F310" s="1">
        <v>308</v>
      </c>
      <c r="G310" s="1"/>
      <c r="H310" s="1"/>
      <c r="I310" s="55">
        <f t="shared" si="61"/>
        <v>308</v>
      </c>
      <c r="J310" s="1"/>
      <c r="K310" s="1"/>
      <c r="L310" s="1"/>
      <c r="M310" s="55">
        <f t="shared" si="62"/>
        <v>0</v>
      </c>
      <c r="N310" s="1"/>
      <c r="O310" s="1"/>
      <c r="P310" s="1"/>
      <c r="Q310" s="55">
        <f t="shared" si="63"/>
        <v>0</v>
      </c>
      <c r="R310" s="55">
        <f t="shared" si="59"/>
        <v>5000</v>
      </c>
      <c r="T310" s="4" t="s">
        <v>210</v>
      </c>
    </row>
    <row r="311" spans="1:20" ht="15.75" customHeight="1" x14ac:dyDescent="0.3">
      <c r="A311" s="72" t="s">
        <v>252</v>
      </c>
      <c r="B311" s="1">
        <v>45</v>
      </c>
      <c r="C311" s="1">
        <v>0</v>
      </c>
      <c r="D311" s="1">
        <v>285</v>
      </c>
      <c r="E311" s="55">
        <f t="shared" si="60"/>
        <v>330</v>
      </c>
      <c r="F311" s="1">
        <v>895</v>
      </c>
      <c r="G311" s="1">
        <v>1473</v>
      </c>
      <c r="H311" s="1">
        <v>3067</v>
      </c>
      <c r="I311" s="55">
        <f t="shared" si="61"/>
        <v>5435</v>
      </c>
      <c r="J311" s="1">
        <v>3074</v>
      </c>
      <c r="K311" s="1">
        <v>2549</v>
      </c>
      <c r="L311" s="1">
        <v>454</v>
      </c>
      <c r="M311" s="55">
        <f t="shared" si="62"/>
        <v>6077</v>
      </c>
      <c r="N311" s="1">
        <v>297</v>
      </c>
      <c r="O311" s="1">
        <v>62</v>
      </c>
      <c r="P311" s="1">
        <v>548</v>
      </c>
      <c r="Q311" s="55">
        <f t="shared" si="63"/>
        <v>907</v>
      </c>
      <c r="R311" s="55">
        <f t="shared" si="59"/>
        <v>12749</v>
      </c>
      <c r="T311" s="4" t="s">
        <v>210</v>
      </c>
    </row>
    <row r="312" spans="1:20" ht="15.75" customHeight="1" thickBot="1" x14ac:dyDescent="0.35">
      <c r="A312" s="15" t="s">
        <v>58</v>
      </c>
      <c r="B312" s="1"/>
      <c r="C312" s="1"/>
      <c r="D312" s="1"/>
      <c r="E312" s="55" t="s">
        <v>7</v>
      </c>
      <c r="F312" s="1"/>
      <c r="G312" s="1"/>
      <c r="H312" s="1"/>
      <c r="I312" s="55" t="s">
        <v>7</v>
      </c>
      <c r="J312" s="1"/>
      <c r="K312" s="1"/>
      <c r="L312" s="1"/>
      <c r="M312" s="55" t="s">
        <v>7</v>
      </c>
      <c r="N312" s="1"/>
      <c r="O312" s="1"/>
      <c r="P312" s="1"/>
      <c r="Q312" s="55" t="s">
        <v>7</v>
      </c>
      <c r="R312" s="55" t="s">
        <v>7</v>
      </c>
      <c r="T312" s="4" t="s">
        <v>259</v>
      </c>
    </row>
    <row r="313" spans="1:20" ht="16.5" customHeight="1" thickBot="1" x14ac:dyDescent="0.35">
      <c r="A313" s="57" t="s">
        <v>59</v>
      </c>
      <c r="B313" s="86">
        <f>SUM(B301:B312)</f>
        <v>5385</v>
      </c>
      <c r="C313" s="87">
        <f>SUM(C301:C312)</f>
        <v>10785</v>
      </c>
      <c r="D313" s="87">
        <f>SUM(D301:D312)</f>
        <v>24054</v>
      </c>
      <c r="E313" s="59">
        <f>SUM(B313:D313)</f>
        <v>40224</v>
      </c>
      <c r="F313" s="87">
        <f>SUM(F301:F312)</f>
        <v>37766</v>
      </c>
      <c r="G313" s="87">
        <f>SUM(G301:G312)</f>
        <v>41588</v>
      </c>
      <c r="H313" s="87">
        <f>SUM(H301:H312)</f>
        <v>44093</v>
      </c>
      <c r="I313" s="59">
        <f>SUM(F313:H313)</f>
        <v>123447</v>
      </c>
      <c r="J313" s="87">
        <f>SUM(J301:J312)</f>
        <v>19777</v>
      </c>
      <c r="K313" s="87">
        <f>SUM(K301:K312)</f>
        <v>21273</v>
      </c>
      <c r="L313" s="87">
        <f>SUM(L301:L312)</f>
        <v>15542</v>
      </c>
      <c r="M313" s="59">
        <f>SUM(J313:L313)</f>
        <v>56592</v>
      </c>
      <c r="N313" s="87">
        <f>SUM(N301:N312)</f>
        <v>13013</v>
      </c>
      <c r="O313" s="87">
        <f>SUM(O301:O312)</f>
        <v>8936</v>
      </c>
      <c r="P313" s="87">
        <f>SUM(P301:P312)</f>
        <v>5226.00000000001</v>
      </c>
      <c r="Q313" s="59">
        <f>SUM(N313:P313)</f>
        <v>27175.000000000011</v>
      </c>
      <c r="R313" s="59">
        <f>+E313+I313+M313+Q313</f>
        <v>247438</v>
      </c>
      <c r="T313" s="4" t="s">
        <v>209</v>
      </c>
    </row>
    <row r="314" spans="1:20" ht="15.75" customHeight="1" x14ac:dyDescent="0.3">
      <c r="A314" s="15" t="s">
        <v>60</v>
      </c>
      <c r="B314" s="1"/>
      <c r="C314" s="1"/>
      <c r="D314" s="1"/>
      <c r="E314" s="55" t="s">
        <v>7</v>
      </c>
      <c r="F314" s="1"/>
      <c r="G314" s="1"/>
      <c r="H314" s="1"/>
      <c r="I314" s="55" t="s">
        <v>7</v>
      </c>
      <c r="J314" s="1"/>
      <c r="K314" s="1"/>
      <c r="L314" s="1"/>
      <c r="M314" s="55" t="s">
        <v>7</v>
      </c>
      <c r="N314" s="1"/>
      <c r="O314" s="1"/>
      <c r="P314" s="1"/>
      <c r="Q314" s="55" t="s">
        <v>7</v>
      </c>
      <c r="R314" s="55" t="s">
        <v>7</v>
      </c>
      <c r="T314" s="4" t="s">
        <v>210</v>
      </c>
    </row>
    <row r="315" spans="1:20" ht="15.75" customHeight="1" x14ac:dyDescent="0.3">
      <c r="A315" s="15" t="s">
        <v>61</v>
      </c>
      <c r="B315" s="1"/>
      <c r="C315" s="1"/>
      <c r="D315" s="1"/>
      <c r="E315" s="55" t="s">
        <v>7</v>
      </c>
      <c r="F315" s="1"/>
      <c r="G315" s="1"/>
      <c r="H315" s="1"/>
      <c r="I315" s="55" t="s">
        <v>7</v>
      </c>
      <c r="J315" s="1"/>
      <c r="K315" s="1"/>
      <c r="L315" s="1"/>
      <c r="M315" s="55" t="s">
        <v>7</v>
      </c>
      <c r="N315" s="1"/>
      <c r="O315" s="1"/>
      <c r="P315" s="1"/>
      <c r="Q315" s="55" t="s">
        <v>7</v>
      </c>
      <c r="R315" s="55" t="s">
        <v>7</v>
      </c>
      <c r="T315" s="4" t="s">
        <v>210</v>
      </c>
    </row>
    <row r="316" spans="1:20" ht="15.75" customHeight="1" x14ac:dyDescent="0.3">
      <c r="A316" s="72" t="s">
        <v>254</v>
      </c>
      <c r="B316" s="1">
        <v>2863</v>
      </c>
      <c r="C316" s="1">
        <v>5143</v>
      </c>
      <c r="D316" s="1">
        <v>7624</v>
      </c>
      <c r="E316" s="55">
        <f>SUM(B316:D316)</f>
        <v>15630</v>
      </c>
      <c r="F316" s="1">
        <v>10452</v>
      </c>
      <c r="G316" s="1">
        <v>12255</v>
      </c>
      <c r="H316" s="1">
        <v>11714</v>
      </c>
      <c r="I316" s="55">
        <f>SUM(F316:H316)</f>
        <v>34421</v>
      </c>
      <c r="J316" s="1">
        <v>6985</v>
      </c>
      <c r="K316" s="1">
        <v>6275</v>
      </c>
      <c r="L316" s="1">
        <v>5150</v>
      </c>
      <c r="M316" s="55">
        <f>SUM(J316:L316)</f>
        <v>18410</v>
      </c>
      <c r="N316" s="1">
        <v>4022</v>
      </c>
      <c r="O316" s="1">
        <v>382</v>
      </c>
      <c r="P316" s="1">
        <v>3528</v>
      </c>
      <c r="Q316" s="55">
        <f>SUM(N316:P316)</f>
        <v>7932</v>
      </c>
      <c r="R316" s="55">
        <f>+E316+I316+M316+Q316</f>
        <v>76393</v>
      </c>
      <c r="T316" s="4" t="s">
        <v>210</v>
      </c>
    </row>
    <row r="317" spans="1:20" ht="15.75" customHeight="1" x14ac:dyDescent="0.3">
      <c r="A317" s="72" t="s">
        <v>947</v>
      </c>
      <c r="B317" s="1">
        <v>452</v>
      </c>
      <c r="C317" s="1">
        <v>2293</v>
      </c>
      <c r="D317" s="1">
        <v>3989</v>
      </c>
      <c r="E317" s="55">
        <f>SUM(B317:D317)</f>
        <v>6734</v>
      </c>
      <c r="F317" s="1">
        <v>9329</v>
      </c>
      <c r="G317" s="1">
        <v>8457</v>
      </c>
      <c r="H317" s="1">
        <v>11586</v>
      </c>
      <c r="I317" s="55">
        <f>SUM(F317:H317)</f>
        <v>29372</v>
      </c>
      <c r="J317" s="1">
        <v>10586</v>
      </c>
      <c r="K317" s="1">
        <v>8637</v>
      </c>
      <c r="L317" s="1">
        <v>9029</v>
      </c>
      <c r="M317" s="55">
        <f>SUM(J317:L317)</f>
        <v>28252</v>
      </c>
      <c r="N317" s="1">
        <v>7871</v>
      </c>
      <c r="O317" s="1"/>
      <c r="P317" s="1">
        <v>2075</v>
      </c>
      <c r="Q317" s="55">
        <f>SUM(N317:P317)</f>
        <v>9946</v>
      </c>
      <c r="R317" s="55">
        <f>+E317+I317+M317+Q317</f>
        <v>74304</v>
      </c>
      <c r="T317" s="4" t="s">
        <v>210</v>
      </c>
    </row>
    <row r="318" spans="1:20" ht="15.75" customHeight="1" x14ac:dyDescent="0.3">
      <c r="A318" s="15" t="s">
        <v>62</v>
      </c>
      <c r="B318" s="1"/>
      <c r="C318" s="1"/>
      <c r="D318" s="1"/>
      <c r="E318" s="55" t="s">
        <v>7</v>
      </c>
      <c r="F318" s="1"/>
      <c r="G318" s="1"/>
      <c r="H318" s="1"/>
      <c r="I318" s="55" t="s">
        <v>7</v>
      </c>
      <c r="J318" s="1"/>
      <c r="K318" s="1"/>
      <c r="L318" s="1"/>
      <c r="M318" s="55" t="s">
        <v>7</v>
      </c>
      <c r="N318" s="1"/>
      <c r="O318" s="1"/>
      <c r="P318" s="1"/>
      <c r="Q318" s="55" t="s">
        <v>7</v>
      </c>
      <c r="R318" s="55" t="s">
        <v>7</v>
      </c>
      <c r="T318" s="4" t="s">
        <v>210</v>
      </c>
    </row>
    <row r="319" spans="1:20" ht="15.75" customHeight="1" x14ac:dyDescent="0.3">
      <c r="A319" s="72" t="s">
        <v>146</v>
      </c>
      <c r="B319" s="1"/>
      <c r="C319" s="1"/>
      <c r="D319" s="1">
        <v>478</v>
      </c>
      <c r="E319" s="55">
        <f>SUM(B319:D319)</f>
        <v>478</v>
      </c>
      <c r="F319" s="1">
        <v>494</v>
      </c>
      <c r="G319" s="1"/>
      <c r="H319" s="1"/>
      <c r="I319" s="55">
        <f>SUM(F319:H319)</f>
        <v>494</v>
      </c>
      <c r="J319" s="1"/>
      <c r="K319" s="1"/>
      <c r="L319" s="1"/>
      <c r="M319" s="55">
        <f>SUM(J319:L319)</f>
        <v>0</v>
      </c>
      <c r="N319" s="1"/>
      <c r="O319" s="1"/>
      <c r="P319" s="1"/>
      <c r="Q319" s="55">
        <f>SUM(N319:P319)</f>
        <v>0</v>
      </c>
      <c r="R319" s="55">
        <f>+E319+I319+M319+Q319</f>
        <v>972</v>
      </c>
      <c r="T319" s="4" t="s">
        <v>210</v>
      </c>
    </row>
    <row r="320" spans="1:20" ht="15.75" customHeight="1" x14ac:dyDescent="0.3">
      <c r="A320" s="72" t="s">
        <v>147</v>
      </c>
      <c r="B320" s="1">
        <v>390</v>
      </c>
      <c r="C320" s="1">
        <v>352</v>
      </c>
      <c r="D320" s="1">
        <v>478</v>
      </c>
      <c r="E320" s="55">
        <f t="shared" ref="E320:E346" si="64">SUM(B320:D320)</f>
        <v>1220</v>
      </c>
      <c r="F320" s="1">
        <v>317</v>
      </c>
      <c r="G320" s="1"/>
      <c r="H320" s="1"/>
      <c r="I320" s="55">
        <f t="shared" ref="I320:I346" si="65">SUM(F320:H320)</f>
        <v>317</v>
      </c>
      <c r="J320" s="1"/>
      <c r="K320" s="1"/>
      <c r="L320" s="1"/>
      <c r="M320" s="55">
        <f t="shared" ref="M320:M346" si="66">SUM(J320:L320)</f>
        <v>0</v>
      </c>
      <c r="N320" s="1"/>
      <c r="O320" s="1"/>
      <c r="P320" s="1"/>
      <c r="Q320" s="55">
        <f t="shared" ref="Q320:Q346" si="67">SUM(N320:P320)</f>
        <v>0</v>
      </c>
      <c r="R320" s="55">
        <f>+E320+I320+M320+Q320</f>
        <v>1537</v>
      </c>
      <c r="T320" s="4" t="s">
        <v>210</v>
      </c>
    </row>
    <row r="321" spans="1:20" ht="15.75" customHeight="1" x14ac:dyDescent="0.3">
      <c r="A321" s="72" t="s">
        <v>149</v>
      </c>
      <c r="B321" s="1"/>
      <c r="C321" s="1">
        <v>627</v>
      </c>
      <c r="D321" s="1"/>
      <c r="E321" s="55">
        <f t="shared" si="64"/>
        <v>627</v>
      </c>
      <c r="F321" s="1"/>
      <c r="G321" s="1"/>
      <c r="H321" s="1"/>
      <c r="I321" s="55">
        <f t="shared" si="65"/>
        <v>0</v>
      </c>
      <c r="J321" s="1"/>
      <c r="K321" s="1"/>
      <c r="L321" s="1"/>
      <c r="M321" s="55">
        <f t="shared" si="66"/>
        <v>0</v>
      </c>
      <c r="N321" s="1"/>
      <c r="O321" s="1"/>
      <c r="P321" s="1"/>
      <c r="Q321" s="55">
        <f t="shared" si="67"/>
        <v>0</v>
      </c>
      <c r="R321" s="55">
        <f t="shared" ref="R321:R344" si="68">+E321+I321+M321+Q321</f>
        <v>627</v>
      </c>
    </row>
    <row r="322" spans="1:20" ht="15.75" customHeight="1" x14ac:dyDescent="0.3">
      <c r="A322" s="72" t="s">
        <v>951</v>
      </c>
      <c r="B322" s="1"/>
      <c r="C322" s="1"/>
      <c r="D322" s="1"/>
      <c r="E322" s="55">
        <f t="shared" si="64"/>
        <v>0</v>
      </c>
      <c r="F322" s="1"/>
      <c r="G322" s="1"/>
      <c r="H322" s="1"/>
      <c r="I322" s="55">
        <f>SUM(F322:H322)</f>
        <v>0</v>
      </c>
      <c r="J322" s="1"/>
      <c r="K322" s="1">
        <v>4083</v>
      </c>
      <c r="L322" s="1">
        <v>2302</v>
      </c>
      <c r="M322" s="55">
        <f>SUM(J322:L322)</f>
        <v>6385</v>
      </c>
      <c r="N322" s="1">
        <v>2172</v>
      </c>
      <c r="O322" s="1">
        <v>1877</v>
      </c>
      <c r="P322" s="1">
        <v>566</v>
      </c>
      <c r="Q322" s="55">
        <f>SUM(N322:P322)</f>
        <v>4615</v>
      </c>
      <c r="R322" s="55">
        <f>+E322+I322+M322+Q322</f>
        <v>11000</v>
      </c>
    </row>
    <row r="323" spans="1:20" ht="15.75" customHeight="1" x14ac:dyDescent="0.3">
      <c r="A323" s="72" t="s">
        <v>639</v>
      </c>
      <c r="B323" s="1"/>
      <c r="C323" s="1">
        <v>2000</v>
      </c>
      <c r="D323" s="1">
        <v>8900</v>
      </c>
      <c r="E323" s="55">
        <f t="shared" si="64"/>
        <v>10900</v>
      </c>
      <c r="F323" s="1">
        <v>15000</v>
      </c>
      <c r="G323" s="1">
        <v>10000</v>
      </c>
      <c r="H323" s="1">
        <v>10000</v>
      </c>
      <c r="I323" s="55">
        <f t="shared" si="65"/>
        <v>35000</v>
      </c>
      <c r="J323" s="1">
        <v>11630</v>
      </c>
      <c r="K323" s="1">
        <v>5000</v>
      </c>
      <c r="L323" s="1"/>
      <c r="M323" s="55">
        <f t="shared" si="66"/>
        <v>16630</v>
      </c>
      <c r="N323" s="1"/>
      <c r="O323" s="1"/>
      <c r="P323" s="1"/>
      <c r="Q323" s="55">
        <f t="shared" si="67"/>
        <v>0</v>
      </c>
      <c r="R323" s="55">
        <f t="shared" si="68"/>
        <v>62530</v>
      </c>
    </row>
    <row r="324" spans="1:20" ht="15.75" customHeight="1" x14ac:dyDescent="0.3">
      <c r="A324" s="72" t="s">
        <v>1171</v>
      </c>
      <c r="B324" s="1"/>
      <c r="C324" s="1"/>
      <c r="D324" s="1"/>
      <c r="E324" s="55">
        <f t="shared" si="64"/>
        <v>0</v>
      </c>
      <c r="F324" s="1"/>
      <c r="G324" s="1">
        <v>2000</v>
      </c>
      <c r="H324" s="1"/>
      <c r="I324" s="55">
        <f t="shared" si="65"/>
        <v>2000</v>
      </c>
      <c r="J324" s="1"/>
      <c r="K324" s="1"/>
      <c r="L324" s="1"/>
      <c r="M324" s="55">
        <f t="shared" si="66"/>
        <v>0</v>
      </c>
      <c r="N324" s="1"/>
      <c r="O324" s="1"/>
      <c r="P324" s="1"/>
      <c r="Q324" s="55">
        <f t="shared" si="67"/>
        <v>0</v>
      </c>
      <c r="R324" s="55">
        <f t="shared" si="68"/>
        <v>2000</v>
      </c>
    </row>
    <row r="325" spans="1:20" ht="15.75" customHeight="1" x14ac:dyDescent="0.3">
      <c r="A325" s="72" t="s">
        <v>641</v>
      </c>
      <c r="B325" s="1">
        <v>1750</v>
      </c>
      <c r="C325" s="1">
        <v>4175</v>
      </c>
      <c r="D325" s="1">
        <v>7214</v>
      </c>
      <c r="E325" s="55">
        <f t="shared" si="64"/>
        <v>13139</v>
      </c>
      <c r="F325" s="1">
        <v>7657</v>
      </c>
      <c r="G325" s="1">
        <v>7935</v>
      </c>
      <c r="H325" s="1">
        <v>8705</v>
      </c>
      <c r="I325" s="55">
        <f t="shared" si="65"/>
        <v>24297</v>
      </c>
      <c r="J325" s="1">
        <v>9340</v>
      </c>
      <c r="K325" s="1">
        <v>9215</v>
      </c>
      <c r="L325" s="1">
        <v>7560</v>
      </c>
      <c r="M325" s="55">
        <f t="shared" si="66"/>
        <v>26115</v>
      </c>
      <c r="N325" s="1">
        <v>6666</v>
      </c>
      <c r="O325" s="1">
        <v>3597</v>
      </c>
      <c r="P325" s="1">
        <v>3136</v>
      </c>
      <c r="Q325" s="55">
        <f t="shared" si="67"/>
        <v>13399</v>
      </c>
      <c r="R325" s="55">
        <f t="shared" si="68"/>
        <v>76950</v>
      </c>
    </row>
    <row r="326" spans="1:20" ht="15.75" customHeight="1" x14ac:dyDescent="0.3">
      <c r="A326" s="72" t="s">
        <v>640</v>
      </c>
      <c r="B326" s="1"/>
      <c r="C326" s="1"/>
      <c r="D326" s="1"/>
      <c r="E326" s="55">
        <f>SUM(B326:D326)</f>
        <v>0</v>
      </c>
      <c r="F326" s="1"/>
      <c r="G326" s="1">
        <v>0</v>
      </c>
      <c r="H326" s="1">
        <v>9657</v>
      </c>
      <c r="I326" s="55">
        <f>SUM(F326:H326)</f>
        <v>9657</v>
      </c>
      <c r="J326" s="1">
        <v>10960</v>
      </c>
      <c r="K326" s="1">
        <v>10903</v>
      </c>
      <c r="L326" s="1">
        <v>6590</v>
      </c>
      <c r="M326" s="55">
        <f>SUM(J326:L326)</f>
        <v>28453</v>
      </c>
      <c r="N326" s="1">
        <v>3558</v>
      </c>
      <c r="O326" s="1">
        <v>658</v>
      </c>
      <c r="P326" s="1">
        <v>4068</v>
      </c>
      <c r="Q326" s="55">
        <f>SUM(N326:P326)</f>
        <v>8284</v>
      </c>
      <c r="R326" s="55">
        <f>+E326+I326+M326+Q326</f>
        <v>46394</v>
      </c>
    </row>
    <row r="327" spans="1:20" ht="15.75" customHeight="1" x14ac:dyDescent="0.3">
      <c r="A327" s="72" t="s">
        <v>638</v>
      </c>
      <c r="B327" s="1">
        <v>1121</v>
      </c>
      <c r="C327" s="1">
        <v>1070</v>
      </c>
      <c r="D327" s="1">
        <v>750</v>
      </c>
      <c r="E327" s="55">
        <f t="shared" si="64"/>
        <v>2941</v>
      </c>
      <c r="F327" s="1"/>
      <c r="G327" s="1"/>
      <c r="H327" s="1"/>
      <c r="I327" s="55">
        <f t="shared" si="65"/>
        <v>0</v>
      </c>
      <c r="J327" s="1"/>
      <c r="K327" s="1"/>
      <c r="L327" s="1"/>
      <c r="M327" s="55">
        <f t="shared" si="66"/>
        <v>0</v>
      </c>
      <c r="N327" s="1"/>
      <c r="O327" s="1"/>
      <c r="P327" s="1"/>
      <c r="Q327" s="55">
        <f t="shared" si="67"/>
        <v>0</v>
      </c>
      <c r="R327" s="55">
        <f t="shared" si="68"/>
        <v>2941</v>
      </c>
      <c r="T327" s="4" t="s">
        <v>265</v>
      </c>
    </row>
    <row r="328" spans="1:20" ht="15.75" customHeight="1" x14ac:dyDescent="0.3">
      <c r="A328" s="72" t="s">
        <v>642</v>
      </c>
      <c r="B328" s="1">
        <v>1247</v>
      </c>
      <c r="C328" s="1">
        <v>1247</v>
      </c>
      <c r="D328" s="1">
        <v>1246</v>
      </c>
      <c r="E328" s="55">
        <f>SUM(B328:D328)</f>
        <v>3740</v>
      </c>
      <c r="F328" s="1">
        <v>1246</v>
      </c>
      <c r="G328" s="1">
        <v>1246</v>
      </c>
      <c r="H328" s="1"/>
      <c r="I328" s="55">
        <f>SUM(F328:H328)</f>
        <v>2492</v>
      </c>
      <c r="J328" s="1"/>
      <c r="K328" s="1"/>
      <c r="L328" s="1"/>
      <c r="M328" s="55">
        <f>SUM(J328:L328)</f>
        <v>0</v>
      </c>
      <c r="N328" s="1"/>
      <c r="O328" s="1"/>
      <c r="P328" s="1"/>
      <c r="Q328" s="55">
        <f>SUM(N328:P328)</f>
        <v>0</v>
      </c>
      <c r="R328" s="55">
        <f>+E328+I328+M328+Q328</f>
        <v>6232</v>
      </c>
      <c r="T328" s="4" t="s">
        <v>210</v>
      </c>
    </row>
    <row r="329" spans="1:20" ht="15.75" customHeight="1" x14ac:dyDescent="0.3">
      <c r="A329" s="72" t="s">
        <v>737</v>
      </c>
      <c r="B329" s="1"/>
      <c r="C329" s="1"/>
      <c r="D329" s="1"/>
      <c r="E329" s="55">
        <f>SUM(B329:D329)</f>
        <v>0</v>
      </c>
      <c r="F329" s="1"/>
      <c r="G329" s="1"/>
      <c r="H329" s="1"/>
      <c r="I329" s="55">
        <f>SUM(F329:H329)</f>
        <v>0</v>
      </c>
      <c r="J329" s="1"/>
      <c r="K329" s="1"/>
      <c r="L329" s="1"/>
      <c r="M329" s="55">
        <f>SUM(J329:L329)</f>
        <v>0</v>
      </c>
      <c r="N329" s="1"/>
      <c r="O329" s="1"/>
      <c r="P329" s="1"/>
      <c r="Q329" s="55">
        <f>SUM(N329:P329)</f>
        <v>0</v>
      </c>
      <c r="R329" s="55">
        <f>+E329+I329+M329+Q329</f>
        <v>0</v>
      </c>
    </row>
    <row r="330" spans="1:20" ht="15.75" customHeight="1" x14ac:dyDescent="0.3">
      <c r="A330" s="72" t="s">
        <v>643</v>
      </c>
      <c r="B330" s="1">
        <v>0</v>
      </c>
      <c r="C330" s="1">
        <v>1000</v>
      </c>
      <c r="D330" s="1"/>
      <c r="E330" s="55">
        <f>SUM(B330:D330)</f>
        <v>1000</v>
      </c>
      <c r="F330" s="1"/>
      <c r="G330" s="1"/>
      <c r="H330" s="1"/>
      <c r="I330" s="55">
        <f>SUM(F330:H330)</f>
        <v>0</v>
      </c>
      <c r="J330" s="1"/>
      <c r="K330" s="1"/>
      <c r="L330" s="1"/>
      <c r="M330" s="55">
        <f>SUM(J330:L330)</f>
        <v>0</v>
      </c>
      <c r="N330" s="1"/>
      <c r="O330" s="1"/>
      <c r="P330" s="1"/>
      <c r="Q330" s="55">
        <f>SUM(N330:P330)</f>
        <v>0</v>
      </c>
      <c r="R330" s="55">
        <f>+E330+I330+M330+Q330</f>
        <v>1000</v>
      </c>
      <c r="T330" s="4" t="s">
        <v>268</v>
      </c>
    </row>
    <row r="331" spans="1:20" ht="15.75" customHeight="1" x14ac:dyDescent="0.3">
      <c r="A331" s="72" t="s">
        <v>159</v>
      </c>
      <c r="B331" s="1"/>
      <c r="C331" s="1"/>
      <c r="D331" s="1"/>
      <c r="E331" s="55">
        <f t="shared" si="64"/>
        <v>0</v>
      </c>
      <c r="F331" s="1"/>
      <c r="G331" s="1"/>
      <c r="H331" s="1"/>
      <c r="I331" s="55">
        <f t="shared" si="65"/>
        <v>0</v>
      </c>
      <c r="J331" s="1">
        <v>1015</v>
      </c>
      <c r="K331" s="1">
        <v>789</v>
      </c>
      <c r="L331" s="1">
        <v>738</v>
      </c>
      <c r="M331" s="55">
        <f t="shared" si="66"/>
        <v>2542</v>
      </c>
      <c r="N331" s="1"/>
      <c r="O331" s="1"/>
      <c r="P331" s="1"/>
      <c r="Q331" s="55">
        <f t="shared" si="67"/>
        <v>0</v>
      </c>
      <c r="R331" s="55">
        <f t="shared" si="68"/>
        <v>2542</v>
      </c>
      <c r="T331" s="4" t="s">
        <v>214</v>
      </c>
    </row>
    <row r="332" spans="1:20" ht="15.75" customHeight="1" x14ac:dyDescent="0.3">
      <c r="A332" s="72" t="s">
        <v>1172</v>
      </c>
      <c r="B332" s="1"/>
      <c r="C332" s="1"/>
      <c r="D332" s="1"/>
      <c r="E332" s="55">
        <f>SUM(B332:D332)</f>
        <v>0</v>
      </c>
      <c r="F332" s="1"/>
      <c r="G332" s="1"/>
      <c r="H332" s="1"/>
      <c r="I332" s="55">
        <f>SUM(F332:H332)</f>
        <v>0</v>
      </c>
      <c r="J332" s="1"/>
      <c r="K332" s="1"/>
      <c r="L332" s="1">
        <v>44</v>
      </c>
      <c r="M332" s="55">
        <f>SUM(J332:L332)</f>
        <v>44</v>
      </c>
      <c r="N332" s="1"/>
      <c r="O332" s="1"/>
      <c r="P332" s="1"/>
      <c r="Q332" s="55">
        <f>SUM(N332:P332)</f>
        <v>0</v>
      </c>
      <c r="R332" s="55">
        <f>+E332+I332+M332+Q332</f>
        <v>44</v>
      </c>
    </row>
    <row r="333" spans="1:20" ht="15.75" customHeight="1" x14ac:dyDescent="0.3">
      <c r="A333" s="72" t="s">
        <v>1173</v>
      </c>
      <c r="B333" s="1"/>
      <c r="C333" s="1"/>
      <c r="D333" s="1"/>
      <c r="E333" s="55">
        <f t="shared" si="64"/>
        <v>0</v>
      </c>
      <c r="F333" s="1">
        <v>2000</v>
      </c>
      <c r="G333" s="1">
        <v>683</v>
      </c>
      <c r="H333" s="1"/>
      <c r="I333" s="55">
        <f t="shared" si="65"/>
        <v>2683</v>
      </c>
      <c r="J333" s="1"/>
      <c r="K333" s="1"/>
      <c r="L333" s="1"/>
      <c r="M333" s="55">
        <f t="shared" si="66"/>
        <v>0</v>
      </c>
      <c r="N333" s="1"/>
      <c r="O333" s="1"/>
      <c r="P333" s="1"/>
      <c r="Q333" s="55">
        <f t="shared" si="67"/>
        <v>0</v>
      </c>
      <c r="R333" s="55">
        <f t="shared" si="68"/>
        <v>2683</v>
      </c>
    </row>
    <row r="334" spans="1:20" ht="15.75" customHeight="1" x14ac:dyDescent="0.3">
      <c r="A334" s="72" t="s">
        <v>1174</v>
      </c>
      <c r="B334" s="1"/>
      <c r="C334" s="1"/>
      <c r="D334" s="1"/>
      <c r="E334" s="55">
        <f>SUM(B334:D334)</f>
        <v>0</v>
      </c>
      <c r="F334" s="1"/>
      <c r="G334" s="1"/>
      <c r="H334" s="1">
        <v>3287</v>
      </c>
      <c r="I334" s="55">
        <f>SUM(F334:H334)</f>
        <v>3287</v>
      </c>
      <c r="J334" s="1">
        <v>3392</v>
      </c>
      <c r="K334" s="1">
        <v>3267</v>
      </c>
      <c r="L334" s="1">
        <v>1054</v>
      </c>
      <c r="M334" s="55">
        <f>SUM(J334:L334)</f>
        <v>7713</v>
      </c>
      <c r="N334" s="1"/>
      <c r="O334" s="1"/>
      <c r="P334" s="1"/>
      <c r="Q334" s="55">
        <f>SUM(N334:P334)</f>
        <v>0</v>
      </c>
      <c r="R334" s="55">
        <f>+E334+I334+M334+Q334</f>
        <v>11000</v>
      </c>
    </row>
    <row r="335" spans="1:20" ht="15.75" customHeight="1" x14ac:dyDescent="0.3">
      <c r="A335" s="72" t="s">
        <v>160</v>
      </c>
      <c r="B335" s="1"/>
      <c r="C335" s="1"/>
      <c r="D335" s="1"/>
      <c r="E335" s="55">
        <f t="shared" si="64"/>
        <v>0</v>
      </c>
      <c r="F335" s="1">
        <f>4088-1886</f>
        <v>2202</v>
      </c>
      <c r="G335" s="1"/>
      <c r="H335" s="1"/>
      <c r="I335" s="55">
        <f t="shared" si="65"/>
        <v>2202</v>
      </c>
      <c r="J335" s="1"/>
      <c r="K335" s="1"/>
      <c r="L335" s="1"/>
      <c r="M335" s="55">
        <f t="shared" si="66"/>
        <v>0</v>
      </c>
      <c r="N335" s="1"/>
      <c r="O335" s="1"/>
      <c r="P335" s="1"/>
      <c r="Q335" s="55">
        <f t="shared" si="67"/>
        <v>0</v>
      </c>
      <c r="R335" s="55">
        <f t="shared" si="68"/>
        <v>2202</v>
      </c>
    </row>
    <row r="336" spans="1:20" ht="15.75" customHeight="1" x14ac:dyDescent="0.3">
      <c r="A336" s="72" t="s">
        <v>969</v>
      </c>
      <c r="B336" s="1"/>
      <c r="C336" s="1"/>
      <c r="D336" s="1"/>
      <c r="E336" s="55">
        <f>SUM(B336:D336)</f>
        <v>0</v>
      </c>
      <c r="F336" s="1">
        <v>1886</v>
      </c>
      <c r="G336" s="1"/>
      <c r="H336" s="1"/>
      <c r="I336" s="55">
        <f>SUM(F336:H336)</f>
        <v>1886</v>
      </c>
      <c r="J336" s="1"/>
      <c r="K336" s="1"/>
      <c r="L336" s="1"/>
      <c r="M336" s="55">
        <f>SUM(J336:L336)</f>
        <v>0</v>
      </c>
      <c r="N336" s="1"/>
      <c r="O336" s="1"/>
      <c r="P336" s="1"/>
      <c r="Q336" s="55">
        <f>SUM(N336:P336)</f>
        <v>0</v>
      </c>
      <c r="R336" s="55">
        <f>+E336+I336+M336+Q336</f>
        <v>1886</v>
      </c>
    </row>
    <row r="337" spans="1:20" ht="15.75" customHeight="1" x14ac:dyDescent="0.3">
      <c r="A337" s="72" t="s">
        <v>162</v>
      </c>
      <c r="B337" s="1"/>
      <c r="C337" s="1">
        <v>703</v>
      </c>
      <c r="D337" s="1">
        <v>966</v>
      </c>
      <c r="E337" s="55">
        <f t="shared" si="64"/>
        <v>1669</v>
      </c>
      <c r="F337" s="1"/>
      <c r="G337" s="1"/>
      <c r="H337" s="1"/>
      <c r="I337" s="55">
        <f t="shared" si="65"/>
        <v>0</v>
      </c>
      <c r="J337" s="1"/>
      <c r="K337" s="1"/>
      <c r="L337" s="1"/>
      <c r="M337" s="55">
        <f t="shared" si="66"/>
        <v>0</v>
      </c>
      <c r="N337" s="1"/>
      <c r="O337" s="1"/>
      <c r="P337" s="1"/>
      <c r="Q337" s="55">
        <f t="shared" si="67"/>
        <v>0</v>
      </c>
      <c r="R337" s="55">
        <f t="shared" si="68"/>
        <v>1669</v>
      </c>
      <c r="T337" s="4" t="s">
        <v>224</v>
      </c>
    </row>
    <row r="338" spans="1:20" ht="15.75" customHeight="1" x14ac:dyDescent="0.3">
      <c r="A338" s="72" t="s">
        <v>1175</v>
      </c>
      <c r="B338" s="1"/>
      <c r="C338" s="1"/>
      <c r="D338" s="1"/>
      <c r="E338" s="55">
        <f>SUM(B338:D338)</f>
        <v>0</v>
      </c>
      <c r="F338" s="1">
        <v>78</v>
      </c>
      <c r="G338" s="1">
        <v>777</v>
      </c>
      <c r="H338" s="1">
        <v>833</v>
      </c>
      <c r="I338" s="55">
        <f>SUM(F338:H338)</f>
        <v>1688</v>
      </c>
      <c r="J338" s="1">
        <v>926</v>
      </c>
      <c r="K338" s="1">
        <v>841</v>
      </c>
      <c r="L338" s="1">
        <v>761</v>
      </c>
      <c r="M338" s="55">
        <f>SUM(J338:L338)</f>
        <v>2528</v>
      </c>
      <c r="N338" s="1">
        <v>696</v>
      </c>
      <c r="O338" s="1">
        <v>496</v>
      </c>
      <c r="P338" s="1">
        <v>498</v>
      </c>
      <c r="Q338" s="55">
        <f>SUM(N338:P338)</f>
        <v>1690</v>
      </c>
      <c r="R338" s="55">
        <f>+E338+I338+M338+Q338</f>
        <v>5906</v>
      </c>
    </row>
    <row r="339" spans="1:20" ht="15.75" customHeight="1" x14ac:dyDescent="0.3">
      <c r="A339" s="72" t="s">
        <v>1176</v>
      </c>
      <c r="B339" s="1">
        <v>562</v>
      </c>
      <c r="C339" s="1">
        <v>2158</v>
      </c>
      <c r="D339" s="1">
        <v>3109</v>
      </c>
      <c r="E339" s="55">
        <f>SUM(B339:D339)</f>
        <v>5829</v>
      </c>
      <c r="F339" s="1"/>
      <c r="G339" s="1">
        <v>554</v>
      </c>
      <c r="H339" s="1">
        <v>1757</v>
      </c>
      <c r="I339" s="55">
        <f>SUM(F339:H339)</f>
        <v>2311</v>
      </c>
      <c r="J339" s="1">
        <v>1590</v>
      </c>
      <c r="K339" s="1">
        <v>2780</v>
      </c>
      <c r="L339" s="1">
        <v>877</v>
      </c>
      <c r="M339" s="55">
        <f>SUM(J339:L339)</f>
        <v>5247</v>
      </c>
      <c r="N339" s="1">
        <v>687.99999999999841</v>
      </c>
      <c r="O339" s="1"/>
      <c r="P339" s="1"/>
      <c r="Q339" s="55">
        <f>SUM(N339:P339)</f>
        <v>687.99999999999841</v>
      </c>
      <c r="R339" s="55">
        <f>+E339+I339+M339+Q339</f>
        <v>14074.999999999998</v>
      </c>
    </row>
    <row r="340" spans="1:20" ht="15.75" customHeight="1" x14ac:dyDescent="0.3">
      <c r="A340" s="72" t="s">
        <v>741</v>
      </c>
      <c r="B340" s="1"/>
      <c r="C340" s="1"/>
      <c r="D340" s="1"/>
      <c r="E340" s="55">
        <f t="shared" si="64"/>
        <v>0</v>
      </c>
      <c r="F340" s="1"/>
      <c r="G340" s="1"/>
      <c r="H340" s="1"/>
      <c r="I340" s="55">
        <f t="shared" si="65"/>
        <v>0</v>
      </c>
      <c r="J340" s="1"/>
      <c r="K340" s="1"/>
      <c r="L340" s="1"/>
      <c r="M340" s="55">
        <f t="shared" si="66"/>
        <v>0</v>
      </c>
      <c r="N340" s="1">
        <v>761</v>
      </c>
      <c r="O340" s="1">
        <v>217</v>
      </c>
      <c r="P340" s="1"/>
      <c r="Q340" s="55">
        <f t="shared" si="67"/>
        <v>978</v>
      </c>
      <c r="R340" s="55">
        <f t="shared" si="68"/>
        <v>978</v>
      </c>
      <c r="T340" s="4" t="s">
        <v>214</v>
      </c>
    </row>
    <row r="341" spans="1:20" ht="15.75" customHeight="1" x14ac:dyDescent="0.3">
      <c r="A341" s="72" t="s">
        <v>1177</v>
      </c>
      <c r="B341" s="1"/>
      <c r="C341" s="1"/>
      <c r="D341" s="1"/>
      <c r="E341" s="55">
        <f>SUM(B341:D341)</f>
        <v>0</v>
      </c>
      <c r="F341" s="1"/>
      <c r="G341" s="1"/>
      <c r="H341" s="1"/>
      <c r="I341" s="55">
        <f>SUM(F341:H341)</f>
        <v>0</v>
      </c>
      <c r="J341" s="1"/>
      <c r="K341" s="1"/>
      <c r="L341" s="1"/>
      <c r="M341" s="55">
        <f>SUM(J341:L341)</f>
        <v>0</v>
      </c>
      <c r="N341" s="1">
        <v>665</v>
      </c>
      <c r="O341" s="1"/>
      <c r="P341" s="1"/>
      <c r="Q341" s="55">
        <f>SUM(N341:P341)</f>
        <v>665</v>
      </c>
      <c r="R341" s="55">
        <f>+E341+I341+M341+Q341</f>
        <v>665</v>
      </c>
    </row>
    <row r="342" spans="1:20" ht="15.75" customHeight="1" x14ac:dyDescent="0.3">
      <c r="A342" s="72" t="s">
        <v>742</v>
      </c>
      <c r="B342" s="1"/>
      <c r="C342" s="1"/>
      <c r="D342" s="1"/>
      <c r="E342" s="55">
        <f>SUM(B342:D342)</f>
        <v>0</v>
      </c>
      <c r="F342" s="1"/>
      <c r="G342" s="1"/>
      <c r="H342" s="1"/>
      <c r="I342" s="55">
        <f>SUM(F342:H342)</f>
        <v>0</v>
      </c>
      <c r="J342" s="1"/>
      <c r="K342" s="1"/>
      <c r="L342" s="1">
        <v>1456</v>
      </c>
      <c r="M342" s="55">
        <f>SUM(J342:L342)</f>
        <v>1456</v>
      </c>
      <c r="N342" s="1">
        <v>965</v>
      </c>
      <c r="O342" s="1"/>
      <c r="P342" s="1"/>
      <c r="Q342" s="55">
        <f>SUM(N342:P342)</f>
        <v>965</v>
      </c>
      <c r="R342" s="55">
        <f>+E342+I342+M342+Q342</f>
        <v>2421</v>
      </c>
    </row>
    <row r="343" spans="1:20" ht="15.75" customHeight="1" x14ac:dyDescent="0.3">
      <c r="A343" s="72" t="s">
        <v>169</v>
      </c>
      <c r="B343" s="1"/>
      <c r="C343" s="1"/>
      <c r="D343" s="1"/>
      <c r="E343" s="55">
        <f t="shared" si="64"/>
        <v>0</v>
      </c>
      <c r="F343" s="1">
        <v>2730</v>
      </c>
      <c r="G343" s="1">
        <v>3694</v>
      </c>
      <c r="H343" s="1"/>
      <c r="I343" s="55">
        <f t="shared" si="65"/>
        <v>6424</v>
      </c>
      <c r="J343" s="1"/>
      <c r="K343" s="1"/>
      <c r="L343" s="1"/>
      <c r="M343" s="55">
        <f t="shared" si="66"/>
        <v>0</v>
      </c>
      <c r="N343" s="1"/>
      <c r="O343" s="1"/>
      <c r="P343" s="1"/>
      <c r="Q343" s="55">
        <f t="shared" si="67"/>
        <v>0</v>
      </c>
      <c r="R343" s="55">
        <f t="shared" si="68"/>
        <v>6424</v>
      </c>
      <c r="T343" s="4" t="s">
        <v>209</v>
      </c>
    </row>
    <row r="344" spans="1:20" ht="15.75" customHeight="1" x14ac:dyDescent="0.3">
      <c r="A344" s="72" t="s">
        <v>171</v>
      </c>
      <c r="B344" s="1"/>
      <c r="C344" s="1"/>
      <c r="D344" s="1">
        <v>1324</v>
      </c>
      <c r="E344" s="55">
        <f t="shared" si="64"/>
        <v>1324</v>
      </c>
      <c r="F344" s="1">
        <v>1298</v>
      </c>
      <c r="G344" s="1"/>
      <c r="H344" s="1"/>
      <c r="I344" s="55">
        <f t="shared" si="65"/>
        <v>1298</v>
      </c>
      <c r="J344" s="1"/>
      <c r="K344" s="1"/>
      <c r="L344" s="1"/>
      <c r="M344" s="55">
        <f t="shared" si="66"/>
        <v>0</v>
      </c>
      <c r="N344" s="1"/>
      <c r="O344" s="1"/>
      <c r="P344" s="1"/>
      <c r="Q344" s="55">
        <f t="shared" si="67"/>
        <v>0</v>
      </c>
      <c r="R344" s="55">
        <f t="shared" si="68"/>
        <v>2622</v>
      </c>
      <c r="T344" s="4" t="s">
        <v>214</v>
      </c>
    </row>
    <row r="345" spans="1:20" ht="15.75" customHeight="1" thickBot="1" x14ac:dyDescent="0.35">
      <c r="A345" s="72" t="s">
        <v>975</v>
      </c>
      <c r="B345" s="1"/>
      <c r="C345" s="1"/>
      <c r="D345" s="1"/>
      <c r="E345" s="55">
        <f>SUM(B345:D345)</f>
        <v>0</v>
      </c>
      <c r="F345" s="1"/>
      <c r="G345" s="1"/>
      <c r="H345" s="1"/>
      <c r="I345" s="55">
        <f>SUM(F345:H345)</f>
        <v>0</v>
      </c>
      <c r="J345" s="1"/>
      <c r="K345" s="1">
        <v>7000</v>
      </c>
      <c r="L345" s="1"/>
      <c r="M345" s="55">
        <f>SUM(J345:L345)</f>
        <v>7000</v>
      </c>
      <c r="N345" s="1"/>
      <c r="O345" s="1"/>
      <c r="P345" s="1"/>
      <c r="Q345" s="55">
        <f>SUM(N345:P345)</f>
        <v>0</v>
      </c>
      <c r="R345" s="55">
        <f>+E345+I345+M345+Q345</f>
        <v>7000</v>
      </c>
    </row>
    <row r="346" spans="1:20" ht="16.5" customHeight="1" thickBot="1" x14ac:dyDescent="0.35">
      <c r="A346" s="114" t="s">
        <v>63</v>
      </c>
      <c r="B346" s="90">
        <f>SUM(B314:B345)</f>
        <v>8385</v>
      </c>
      <c r="C346" s="58">
        <f>SUM(C314:C345)</f>
        <v>20768</v>
      </c>
      <c r="D346" s="58">
        <f>SUM(D314:D345)</f>
        <v>36078</v>
      </c>
      <c r="E346" s="59">
        <f t="shared" si="64"/>
        <v>65231</v>
      </c>
      <c r="F346" s="58">
        <f>SUM(F314:F345)</f>
        <v>54689</v>
      </c>
      <c r="G346" s="58">
        <f>SUM(G314:G345)</f>
        <v>47601</v>
      </c>
      <c r="H346" s="58">
        <f>SUM(H314:H345)</f>
        <v>57539</v>
      </c>
      <c r="I346" s="59">
        <f t="shared" si="65"/>
        <v>159829</v>
      </c>
      <c r="J346" s="58">
        <f>SUM(J314:J345)</f>
        <v>56424</v>
      </c>
      <c r="K346" s="58">
        <f>SUM(K314:K345)</f>
        <v>58790</v>
      </c>
      <c r="L346" s="58">
        <f>SUM(L314:L345)</f>
        <v>35561</v>
      </c>
      <c r="M346" s="59">
        <f t="shared" si="66"/>
        <v>150775</v>
      </c>
      <c r="N346" s="58">
        <f>SUM(N314:N345)</f>
        <v>28064</v>
      </c>
      <c r="O346" s="58">
        <f>SUM(O314:O345)</f>
        <v>7227</v>
      </c>
      <c r="P346" s="58">
        <f>SUM(P314:P345)</f>
        <v>13871</v>
      </c>
      <c r="Q346" s="59">
        <f t="shared" si="67"/>
        <v>49162</v>
      </c>
      <c r="R346" s="59">
        <f>+E346+I346+M346+Q346</f>
        <v>424997</v>
      </c>
      <c r="T346" s="89" t="s">
        <v>277</v>
      </c>
    </row>
    <row r="347" spans="1:20" ht="15.75" customHeight="1" x14ac:dyDescent="0.3">
      <c r="A347" s="15" t="s">
        <v>64</v>
      </c>
      <c r="B347" s="1"/>
      <c r="C347" s="1"/>
      <c r="D347" s="1"/>
      <c r="E347" s="55" t="s">
        <v>7</v>
      </c>
      <c r="F347" s="1"/>
      <c r="G347" s="1"/>
      <c r="H347" s="1"/>
      <c r="I347" s="55" t="s">
        <v>7</v>
      </c>
      <c r="J347" s="1"/>
      <c r="K347" s="1"/>
      <c r="L347" s="1"/>
      <c r="M347" s="55" t="s">
        <v>7</v>
      </c>
      <c r="N347" s="1"/>
      <c r="O347" s="1"/>
      <c r="P347" s="1"/>
      <c r="Q347" s="55" t="s">
        <v>7</v>
      </c>
      <c r="R347" s="55" t="s">
        <v>7</v>
      </c>
    </row>
    <row r="348" spans="1:20" ht="15.75" customHeight="1" x14ac:dyDescent="0.3">
      <c r="A348" s="15" t="s">
        <v>594</v>
      </c>
      <c r="B348" s="1"/>
      <c r="C348" s="1"/>
      <c r="D348" s="1"/>
      <c r="E348" s="55" t="s">
        <v>7</v>
      </c>
      <c r="F348" s="1"/>
      <c r="G348" s="1"/>
      <c r="H348" s="1"/>
      <c r="I348" s="55" t="s">
        <v>7</v>
      </c>
      <c r="J348" s="1"/>
      <c r="K348" s="1"/>
      <c r="L348" s="1"/>
      <c r="M348" s="55" t="s">
        <v>7</v>
      </c>
      <c r="N348" s="1"/>
      <c r="O348" s="1"/>
      <c r="P348" s="1"/>
      <c r="Q348" s="55" t="s">
        <v>7</v>
      </c>
      <c r="R348" s="55" t="s">
        <v>7</v>
      </c>
      <c r="T348" s="4" t="s">
        <v>209</v>
      </c>
    </row>
    <row r="349" spans="1:20" ht="15.75" customHeight="1" x14ac:dyDescent="0.3">
      <c r="A349" s="72" t="s">
        <v>743</v>
      </c>
      <c r="B349" s="1"/>
      <c r="C349" s="1"/>
      <c r="D349" s="1"/>
      <c r="E349" s="55">
        <f>SUM(B349:D349)</f>
        <v>0</v>
      </c>
      <c r="F349" s="1"/>
      <c r="G349" s="1"/>
      <c r="H349" s="1"/>
      <c r="I349" s="55">
        <f>SUM(F349:H349)</f>
        <v>0</v>
      </c>
      <c r="J349" s="1"/>
      <c r="K349" s="1"/>
      <c r="L349" s="1"/>
      <c r="M349" s="55">
        <f>SUM(J349:L349)</f>
        <v>0</v>
      </c>
      <c r="N349" s="1"/>
      <c r="O349" s="1"/>
      <c r="P349" s="1">
        <v>123</v>
      </c>
      <c r="Q349" s="55">
        <f>SUM(N349:P349)</f>
        <v>123</v>
      </c>
      <c r="R349" s="55">
        <f>+E349+I349+M349+Q349</f>
        <v>123</v>
      </c>
    </row>
    <row r="350" spans="1:20" ht="15.75" customHeight="1" x14ac:dyDescent="0.3">
      <c r="A350" s="72" t="s">
        <v>1178</v>
      </c>
      <c r="B350" s="1"/>
      <c r="C350" s="1"/>
      <c r="D350" s="1"/>
      <c r="E350" s="55">
        <f>SUM(B350:D350)</f>
        <v>0</v>
      </c>
      <c r="F350" s="1"/>
      <c r="G350" s="1"/>
      <c r="H350" s="1"/>
      <c r="I350" s="55">
        <f>SUM(F350:H350)</f>
        <v>0</v>
      </c>
      <c r="J350" s="1"/>
      <c r="K350" s="1"/>
      <c r="L350" s="1"/>
      <c r="M350" s="55">
        <f>SUM(J350:L350)</f>
        <v>0</v>
      </c>
      <c r="N350" s="1">
        <v>50</v>
      </c>
      <c r="O350" s="1"/>
      <c r="P350" s="1"/>
      <c r="Q350" s="55">
        <f>SUM(N350:P350)</f>
        <v>50</v>
      </c>
      <c r="R350" s="55">
        <f>+E350+I350+M350+Q350</f>
        <v>50</v>
      </c>
    </row>
    <row r="351" spans="1:20" ht="15.75" customHeight="1" x14ac:dyDescent="0.3">
      <c r="A351" s="15" t="s">
        <v>67</v>
      </c>
      <c r="B351" s="1"/>
      <c r="C351" s="1"/>
      <c r="D351" s="1"/>
      <c r="E351" s="55" t="s">
        <v>7</v>
      </c>
      <c r="F351" s="1"/>
      <c r="G351" s="1"/>
      <c r="H351" s="1"/>
      <c r="I351" s="55" t="s">
        <v>7</v>
      </c>
      <c r="J351" s="1"/>
      <c r="K351" s="1"/>
      <c r="L351" s="1"/>
      <c r="M351" s="55" t="s">
        <v>7</v>
      </c>
      <c r="N351" s="1"/>
      <c r="O351" s="1"/>
      <c r="P351" s="1"/>
      <c r="Q351" s="55" t="s">
        <v>7</v>
      </c>
      <c r="R351" s="55" t="s">
        <v>7</v>
      </c>
    </row>
    <row r="352" spans="1:20" ht="15.75" customHeight="1" x14ac:dyDescent="0.3">
      <c r="A352" s="72" t="s">
        <v>744</v>
      </c>
      <c r="B352" s="1"/>
      <c r="C352" s="1"/>
      <c r="D352" s="1"/>
      <c r="E352" s="55">
        <f>SUM(B352:D352)</f>
        <v>0</v>
      </c>
      <c r="F352" s="1"/>
      <c r="G352" s="1"/>
      <c r="H352" s="1"/>
      <c r="I352" s="55">
        <f>SUM(F352:H352)</f>
        <v>0</v>
      </c>
      <c r="J352" s="1"/>
      <c r="K352" s="1"/>
      <c r="L352" s="1"/>
      <c r="M352" s="55">
        <f>SUM(J352:L352)</f>
        <v>0</v>
      </c>
      <c r="N352" s="1"/>
      <c r="O352" s="1"/>
      <c r="P352" s="1"/>
      <c r="Q352" s="55">
        <f>SUM(N352:P352)</f>
        <v>0</v>
      </c>
      <c r="R352" s="55">
        <f>+E352+I352+M352+Q352</f>
        <v>0</v>
      </c>
      <c r="T352" s="4" t="s">
        <v>209</v>
      </c>
    </row>
    <row r="353" spans="1:20" ht="15.75" customHeight="1" x14ac:dyDescent="0.3">
      <c r="A353" s="72" t="s">
        <v>1179</v>
      </c>
      <c r="B353" s="1"/>
      <c r="C353" s="1">
        <v>1000</v>
      </c>
      <c r="D353" s="1">
        <v>0</v>
      </c>
      <c r="E353" s="55">
        <f>SUM(B353:D353)</f>
        <v>1000</v>
      </c>
      <c r="F353" s="1"/>
      <c r="G353" s="1"/>
      <c r="H353" s="1"/>
      <c r="I353" s="55">
        <f>SUM(F353:H353)</f>
        <v>0</v>
      </c>
      <c r="J353" s="1"/>
      <c r="K353" s="1"/>
      <c r="L353" s="1"/>
      <c r="M353" s="55">
        <f>SUM(J353:L353)</f>
        <v>0</v>
      </c>
      <c r="N353" s="1">
        <v>1386</v>
      </c>
      <c r="O353" s="1"/>
      <c r="P353" s="1"/>
      <c r="Q353" s="55">
        <f>SUM(N353:P353)</f>
        <v>1386</v>
      </c>
      <c r="R353" s="55">
        <f>+E353+I353+M353+Q353</f>
        <v>2386</v>
      </c>
      <c r="T353" s="4" t="s">
        <v>214</v>
      </c>
    </row>
    <row r="354" spans="1:20" ht="15.75" customHeight="1" x14ac:dyDescent="0.3">
      <c r="A354" s="15" t="s">
        <v>600</v>
      </c>
      <c r="B354" s="1"/>
      <c r="C354" s="1"/>
      <c r="D354" s="1"/>
      <c r="E354" s="55" t="s">
        <v>7</v>
      </c>
      <c r="F354" s="1"/>
      <c r="G354" s="1"/>
      <c r="H354" s="1"/>
      <c r="I354" s="55" t="s">
        <v>7</v>
      </c>
      <c r="J354" s="1"/>
      <c r="K354" s="1"/>
      <c r="L354" s="1"/>
      <c r="M354" s="55" t="s">
        <v>7</v>
      </c>
      <c r="N354" s="1"/>
      <c r="O354" s="1"/>
      <c r="P354" s="1"/>
      <c r="Q354" s="55" t="s">
        <v>7</v>
      </c>
      <c r="R354" s="55" t="s">
        <v>7</v>
      </c>
      <c r="T354" s="4" t="s">
        <v>256</v>
      </c>
    </row>
    <row r="355" spans="1:20" ht="15.75" customHeight="1" x14ac:dyDescent="0.3">
      <c r="A355" s="72" t="s">
        <v>270</v>
      </c>
      <c r="B355" s="1"/>
      <c r="C355" s="1"/>
      <c r="D355" s="1"/>
      <c r="E355" s="55">
        <f t="shared" ref="E355:E360" si="69">SUM(B355:D355)</f>
        <v>0</v>
      </c>
      <c r="F355" s="1">
        <v>1175</v>
      </c>
      <c r="G355" s="1">
        <v>10</v>
      </c>
      <c r="H355" s="1">
        <v>3586</v>
      </c>
      <c r="I355" s="55">
        <f t="shared" ref="I355:I360" si="70">SUM(F355:H355)</f>
        <v>4771</v>
      </c>
      <c r="J355" s="1">
        <v>1229</v>
      </c>
      <c r="K355" s="1"/>
      <c r="L355" s="1"/>
      <c r="M355" s="55">
        <f t="shared" ref="M355:M360" si="71">SUM(J355:L355)</f>
        <v>1229</v>
      </c>
      <c r="N355" s="1"/>
      <c r="O355" s="1"/>
      <c r="P355" s="1"/>
      <c r="Q355" s="55">
        <f t="shared" ref="Q355:Q360" si="72">SUM(N355:P355)</f>
        <v>0</v>
      </c>
      <c r="R355" s="55">
        <f t="shared" ref="R355:R360" si="73">+E355+I355+M355+Q355</f>
        <v>6000</v>
      </c>
      <c r="T355" s="4" t="s">
        <v>246</v>
      </c>
    </row>
    <row r="356" spans="1:20" ht="15.75" customHeight="1" x14ac:dyDescent="0.3">
      <c r="A356" s="72" t="s">
        <v>646</v>
      </c>
      <c r="B356" s="1"/>
      <c r="C356" s="1"/>
      <c r="D356" s="1"/>
      <c r="E356" s="55">
        <f t="shared" si="69"/>
        <v>0</v>
      </c>
      <c r="F356" s="1"/>
      <c r="G356" s="1"/>
      <c r="H356" s="1">
        <v>6357</v>
      </c>
      <c r="I356" s="55">
        <f t="shared" si="70"/>
        <v>6357</v>
      </c>
      <c r="J356" s="1">
        <v>4776</v>
      </c>
      <c r="K356" s="1">
        <v>635</v>
      </c>
      <c r="L356" s="1"/>
      <c r="M356" s="55">
        <f t="shared" si="71"/>
        <v>5411</v>
      </c>
      <c r="N356" s="1">
        <v>158</v>
      </c>
      <c r="O356" s="1"/>
      <c r="P356" s="1">
        <v>305</v>
      </c>
      <c r="Q356" s="55">
        <f t="shared" si="72"/>
        <v>463</v>
      </c>
      <c r="R356" s="55">
        <f t="shared" si="73"/>
        <v>12231</v>
      </c>
      <c r="T356" s="4" t="s">
        <v>209</v>
      </c>
    </row>
    <row r="357" spans="1:20" ht="15.75" customHeight="1" x14ac:dyDescent="0.3">
      <c r="A357" s="72" t="s">
        <v>271</v>
      </c>
      <c r="B357" s="1"/>
      <c r="C357" s="1"/>
      <c r="D357" s="1"/>
      <c r="E357" s="55">
        <f t="shared" si="69"/>
        <v>0</v>
      </c>
      <c r="F357" s="1"/>
      <c r="G357" s="1"/>
      <c r="H357" s="1">
        <v>825</v>
      </c>
      <c r="I357" s="55">
        <f t="shared" si="70"/>
        <v>825</v>
      </c>
      <c r="J357" s="1"/>
      <c r="K357" s="1"/>
      <c r="L357" s="1"/>
      <c r="M357" s="55">
        <f t="shared" si="71"/>
        <v>0</v>
      </c>
      <c r="N357" s="1"/>
      <c r="O357" s="1"/>
      <c r="P357" s="1"/>
      <c r="Q357" s="55">
        <f t="shared" si="72"/>
        <v>0</v>
      </c>
      <c r="R357" s="55">
        <f t="shared" si="73"/>
        <v>825</v>
      </c>
      <c r="T357" s="4" t="s">
        <v>209</v>
      </c>
    </row>
    <row r="358" spans="1:20" ht="15.75" customHeight="1" x14ac:dyDescent="0.3">
      <c r="A358" s="72" t="s">
        <v>647</v>
      </c>
      <c r="B358" s="1"/>
      <c r="C358" s="1"/>
      <c r="D358" s="1"/>
      <c r="E358" s="55">
        <f t="shared" si="69"/>
        <v>0</v>
      </c>
      <c r="F358" s="1"/>
      <c r="G358" s="1"/>
      <c r="H358" s="1"/>
      <c r="I358" s="55">
        <f t="shared" si="70"/>
        <v>0</v>
      </c>
      <c r="J358" s="1"/>
      <c r="K358" s="1"/>
      <c r="L358" s="1"/>
      <c r="M358" s="55">
        <f t="shared" si="71"/>
        <v>0</v>
      </c>
      <c r="N358" s="1"/>
      <c r="O358" s="1"/>
      <c r="P358" s="1"/>
      <c r="Q358" s="55">
        <f t="shared" si="72"/>
        <v>0</v>
      </c>
      <c r="R358" s="55">
        <f t="shared" si="73"/>
        <v>0</v>
      </c>
      <c r="T358" s="4" t="s">
        <v>214</v>
      </c>
    </row>
    <row r="359" spans="1:20" ht="15.75" customHeight="1" x14ac:dyDescent="0.3">
      <c r="A359" s="72" t="s">
        <v>652</v>
      </c>
      <c r="B359" s="1"/>
      <c r="C359" s="1"/>
      <c r="D359" s="1"/>
      <c r="E359" s="55">
        <f t="shared" si="69"/>
        <v>0</v>
      </c>
      <c r="F359" s="1"/>
      <c r="G359" s="1"/>
      <c r="H359" s="1"/>
      <c r="I359" s="55">
        <f t="shared" si="70"/>
        <v>0</v>
      </c>
      <c r="J359" s="1"/>
      <c r="K359" s="1"/>
      <c r="L359" s="1"/>
      <c r="M359" s="55">
        <f t="shared" si="71"/>
        <v>0</v>
      </c>
      <c r="N359" s="1"/>
      <c r="O359" s="1"/>
      <c r="P359" s="1"/>
      <c r="Q359" s="55">
        <f t="shared" si="72"/>
        <v>0</v>
      </c>
      <c r="R359" s="55">
        <f t="shared" si="73"/>
        <v>0</v>
      </c>
    </row>
    <row r="360" spans="1:20" ht="15.75" customHeight="1" x14ac:dyDescent="0.3">
      <c r="A360" s="72" t="s">
        <v>746</v>
      </c>
      <c r="B360" s="1"/>
      <c r="C360" s="1"/>
      <c r="D360" s="1"/>
      <c r="E360" s="55">
        <f t="shared" si="69"/>
        <v>0</v>
      </c>
      <c r="F360" s="1"/>
      <c r="G360" s="1"/>
      <c r="H360" s="1"/>
      <c r="I360" s="55">
        <f t="shared" si="70"/>
        <v>0</v>
      </c>
      <c r="J360" s="1"/>
      <c r="K360" s="1"/>
      <c r="L360" s="1"/>
      <c r="M360" s="55">
        <f t="shared" si="71"/>
        <v>0</v>
      </c>
      <c r="N360" s="1"/>
      <c r="O360" s="1"/>
      <c r="P360" s="1"/>
      <c r="Q360" s="55">
        <f t="shared" si="72"/>
        <v>0</v>
      </c>
      <c r="R360" s="55">
        <f t="shared" si="73"/>
        <v>0</v>
      </c>
    </row>
    <row r="361" spans="1:20" ht="15.75" customHeight="1" x14ac:dyDescent="0.3">
      <c r="A361" s="15" t="s">
        <v>70</v>
      </c>
      <c r="B361" s="1"/>
      <c r="C361" s="1"/>
      <c r="D361" s="1"/>
      <c r="E361" s="55" t="s">
        <v>7</v>
      </c>
      <c r="F361" s="1"/>
      <c r="G361" s="1"/>
      <c r="H361" s="1"/>
      <c r="I361" s="55" t="s">
        <v>7</v>
      </c>
      <c r="J361" s="1"/>
      <c r="K361" s="1"/>
      <c r="L361" s="1"/>
      <c r="M361" s="55" t="s">
        <v>7</v>
      </c>
      <c r="N361" s="1"/>
      <c r="O361" s="1"/>
      <c r="P361" s="1"/>
      <c r="Q361" s="55" t="s">
        <v>7</v>
      </c>
      <c r="R361" s="55" t="s">
        <v>7</v>
      </c>
    </row>
    <row r="362" spans="1:20" ht="15.75" customHeight="1" x14ac:dyDescent="0.3">
      <c r="A362" s="72" t="s">
        <v>748</v>
      </c>
      <c r="B362" s="1"/>
      <c r="C362" s="1"/>
      <c r="D362" s="1"/>
      <c r="E362" s="55">
        <f>SUM(B362:D362)</f>
        <v>0</v>
      </c>
      <c r="F362" s="1"/>
      <c r="G362" s="1"/>
      <c r="H362" s="1"/>
      <c r="I362" s="55">
        <f>SUM(F362:H362)</f>
        <v>0</v>
      </c>
      <c r="J362" s="1"/>
      <c r="K362" s="1"/>
      <c r="L362" s="1"/>
      <c r="M362" s="55">
        <f>SUM(J362:L362)</f>
        <v>0</v>
      </c>
      <c r="N362" s="1"/>
      <c r="O362" s="1"/>
      <c r="P362" s="1"/>
      <c r="Q362" s="55">
        <f>SUM(N362:P362)</f>
        <v>0</v>
      </c>
      <c r="R362" s="55">
        <f>+E362+I362+M362+Q362</f>
        <v>0</v>
      </c>
    </row>
    <row r="363" spans="1:20" ht="15.75" customHeight="1" x14ac:dyDescent="0.3">
      <c r="A363" s="72" t="s">
        <v>749</v>
      </c>
      <c r="B363" s="1"/>
      <c r="C363" s="1"/>
      <c r="D363" s="1"/>
      <c r="E363" s="55">
        <f>SUM(B363:D363)</f>
        <v>0</v>
      </c>
      <c r="F363" s="1"/>
      <c r="G363" s="1"/>
      <c r="H363" s="1"/>
      <c r="I363" s="55">
        <f>SUM(F363:H363)</f>
        <v>0</v>
      </c>
      <c r="J363" s="1"/>
      <c r="K363" s="1"/>
      <c r="L363" s="1"/>
      <c r="M363" s="55">
        <f>SUM(J363:L363)</f>
        <v>0</v>
      </c>
      <c r="N363" s="1"/>
      <c r="O363" s="1"/>
      <c r="P363" s="1"/>
      <c r="Q363" s="55">
        <f>SUM(N363:P363)</f>
        <v>0</v>
      </c>
      <c r="R363" s="55">
        <f>+E363+I363+M363+Q363</f>
        <v>0</v>
      </c>
    </row>
    <row r="364" spans="1:20" ht="15.75" customHeight="1" x14ac:dyDescent="0.3">
      <c r="A364" s="72" t="s">
        <v>750</v>
      </c>
      <c r="B364" s="1">
        <v>1013</v>
      </c>
      <c r="C364" s="1">
        <v>0</v>
      </c>
      <c r="D364" s="1">
        <v>3128</v>
      </c>
      <c r="E364" s="55">
        <f>SUM(B364:D364)</f>
        <v>4141</v>
      </c>
      <c r="F364" s="1">
        <v>1999</v>
      </c>
      <c r="G364" s="1">
        <v>0</v>
      </c>
      <c r="H364" s="1">
        <v>49</v>
      </c>
      <c r="I364" s="55">
        <f>SUM(F364:H364)</f>
        <v>2048</v>
      </c>
      <c r="J364" s="1">
        <v>5215</v>
      </c>
      <c r="K364" s="1">
        <v>0</v>
      </c>
      <c r="L364" s="1">
        <v>6646</v>
      </c>
      <c r="M364" s="55">
        <f>SUM(J364:L364)</f>
        <v>11861</v>
      </c>
      <c r="N364" s="1">
        <v>1908</v>
      </c>
      <c r="O364" s="1">
        <v>172</v>
      </c>
      <c r="P364" s="1">
        <v>3736</v>
      </c>
      <c r="Q364" s="55">
        <f>SUM(N364:P364)</f>
        <v>5816</v>
      </c>
      <c r="R364" s="55">
        <f>+E364+I364+M364+Q364</f>
        <v>23866</v>
      </c>
    </row>
    <row r="365" spans="1:20" ht="15.75" customHeight="1" x14ac:dyDescent="0.3">
      <c r="A365" s="72" t="s">
        <v>751</v>
      </c>
      <c r="B365" s="1">
        <v>0</v>
      </c>
      <c r="C365" s="1"/>
      <c r="D365" s="1"/>
      <c r="E365" s="55">
        <f t="shared" ref="E365:E375" si="74">SUM(B365:D365)</f>
        <v>0</v>
      </c>
      <c r="F365" s="1"/>
      <c r="G365" s="1"/>
      <c r="H365" s="1"/>
      <c r="I365" s="55">
        <f t="shared" ref="I365:I375" si="75">SUM(F365:H365)</f>
        <v>0</v>
      </c>
      <c r="J365" s="1"/>
      <c r="K365" s="1">
        <v>734</v>
      </c>
      <c r="L365" s="1">
        <v>1468</v>
      </c>
      <c r="M365" s="55">
        <f t="shared" ref="M365:M375" si="76">SUM(J365:L365)</f>
        <v>2202</v>
      </c>
      <c r="N365" s="1">
        <v>1000</v>
      </c>
      <c r="O365" s="1">
        <v>468</v>
      </c>
      <c r="P365" s="1"/>
      <c r="Q365" s="55">
        <f t="shared" ref="Q365:Q375" si="77">SUM(N365:P365)</f>
        <v>1468</v>
      </c>
      <c r="R365" s="55">
        <f t="shared" ref="R365:R375" si="78">+E365+I365+M365+Q365</f>
        <v>3670</v>
      </c>
    </row>
    <row r="366" spans="1:20" ht="15.75" customHeight="1" x14ac:dyDescent="0.3">
      <c r="A366" s="72" t="s">
        <v>752</v>
      </c>
      <c r="B366" s="1"/>
      <c r="C366" s="1"/>
      <c r="D366" s="1"/>
      <c r="E366" s="55">
        <f>SUM(B366:D366)</f>
        <v>0</v>
      </c>
      <c r="F366" s="1"/>
      <c r="G366" s="1"/>
      <c r="H366" s="1"/>
      <c r="I366" s="55">
        <f>SUM(F366:H366)</f>
        <v>0</v>
      </c>
      <c r="J366" s="1"/>
      <c r="K366" s="1"/>
      <c r="L366" s="1"/>
      <c r="M366" s="55">
        <f>SUM(J366:L366)</f>
        <v>0</v>
      </c>
      <c r="N366" s="1"/>
      <c r="O366" s="1"/>
      <c r="P366" s="1"/>
      <c r="Q366" s="55">
        <f>SUM(N366:P366)</f>
        <v>0</v>
      </c>
      <c r="R366" s="55">
        <f>+E366+I366+M366+Q366</f>
        <v>0</v>
      </c>
    </row>
    <row r="367" spans="1:20" ht="15.75" customHeight="1" x14ac:dyDescent="0.3">
      <c r="A367" s="72" t="s">
        <v>753</v>
      </c>
      <c r="B367" s="1">
        <v>510</v>
      </c>
      <c r="C367" s="1">
        <v>1020</v>
      </c>
      <c r="D367" s="1">
        <v>1330</v>
      </c>
      <c r="E367" s="55">
        <f>SUM(B367:D367)</f>
        <v>2860</v>
      </c>
      <c r="F367" s="1">
        <v>1440</v>
      </c>
      <c r="G367" s="1">
        <v>1440</v>
      </c>
      <c r="H367" s="1">
        <v>1440</v>
      </c>
      <c r="I367" s="55">
        <f>SUM(F367:H367)</f>
        <v>4320</v>
      </c>
      <c r="J367" s="1">
        <v>690</v>
      </c>
      <c r="K367" s="1">
        <v>490</v>
      </c>
      <c r="L367" s="1">
        <v>310</v>
      </c>
      <c r="M367" s="55">
        <f>SUM(J367:L367)</f>
        <v>1490</v>
      </c>
      <c r="N367" s="1">
        <v>0</v>
      </c>
      <c r="O367" s="1">
        <v>0</v>
      </c>
      <c r="P367" s="1">
        <v>0</v>
      </c>
      <c r="Q367" s="55">
        <f>SUM(N367:P367)</f>
        <v>0</v>
      </c>
      <c r="R367" s="55">
        <f>+E367+I367+M367+Q367</f>
        <v>8670</v>
      </c>
    </row>
    <row r="368" spans="1:20" ht="15.75" customHeight="1" x14ac:dyDescent="0.3">
      <c r="A368" s="72" t="s">
        <v>754</v>
      </c>
      <c r="B368" s="1"/>
      <c r="C368" s="1"/>
      <c r="D368" s="1"/>
      <c r="E368" s="55">
        <f>SUM(B368:D368)</f>
        <v>0</v>
      </c>
      <c r="F368" s="1"/>
      <c r="G368" s="1"/>
      <c r="H368" s="1"/>
      <c r="I368" s="55">
        <f>SUM(F368:H368)</f>
        <v>0</v>
      </c>
      <c r="J368" s="1"/>
      <c r="K368" s="1"/>
      <c r="L368" s="1"/>
      <c r="M368" s="55">
        <f>SUM(J368:L368)</f>
        <v>0</v>
      </c>
      <c r="N368" s="1"/>
      <c r="O368" s="1"/>
      <c r="P368" s="1"/>
      <c r="Q368" s="55">
        <f>SUM(N368:P368)</f>
        <v>0</v>
      </c>
      <c r="R368" s="55">
        <f>+E368+I368+M368+Q368</f>
        <v>0</v>
      </c>
    </row>
    <row r="369" spans="1:18" ht="15.75" customHeight="1" thickBot="1" x14ac:dyDescent="0.35">
      <c r="A369" s="72" t="s">
        <v>755</v>
      </c>
      <c r="B369" s="1"/>
      <c r="C369" s="1"/>
      <c r="D369" s="1"/>
      <c r="E369" s="55">
        <f>SUM(B369:D369)</f>
        <v>0</v>
      </c>
      <c r="F369" s="1"/>
      <c r="G369" s="1"/>
      <c r="H369" s="1"/>
      <c r="I369" s="55">
        <f>SUM(F369:H369)</f>
        <v>0</v>
      </c>
      <c r="J369" s="1">
        <v>175</v>
      </c>
      <c r="K369" s="1"/>
      <c r="L369" s="1">
        <v>637</v>
      </c>
      <c r="M369" s="55">
        <f>SUM(J369:L369)</f>
        <v>812</v>
      </c>
      <c r="N369" s="1">
        <v>1872</v>
      </c>
      <c r="O369" s="1">
        <v>1025</v>
      </c>
      <c r="P369" s="1">
        <v>1248</v>
      </c>
      <c r="Q369" s="55">
        <f>SUM(N369:P369)</f>
        <v>4145</v>
      </c>
      <c r="R369" s="55">
        <f>+E369+I369+M369+Q369</f>
        <v>4957</v>
      </c>
    </row>
    <row r="370" spans="1:18" ht="16.5" customHeight="1" thickBot="1" x14ac:dyDescent="0.35">
      <c r="A370" s="57" t="s">
        <v>71</v>
      </c>
      <c r="B370" s="58">
        <f>SUM(B355:B369)</f>
        <v>1523</v>
      </c>
      <c r="C370" s="58">
        <f>SUM(C355:C369)</f>
        <v>1020</v>
      </c>
      <c r="D370" s="58">
        <f>SUM(D355:D369)</f>
        <v>4458</v>
      </c>
      <c r="E370" s="60">
        <f t="shared" si="74"/>
        <v>7001</v>
      </c>
      <c r="F370" s="58">
        <f>SUM(F355:F369)</f>
        <v>4614</v>
      </c>
      <c r="G370" s="58">
        <f>SUM(G355:G369)</f>
        <v>1450</v>
      </c>
      <c r="H370" s="58">
        <f>SUM(H355:H369)</f>
        <v>12257</v>
      </c>
      <c r="I370" s="60">
        <f t="shared" si="75"/>
        <v>18321</v>
      </c>
      <c r="J370" s="58">
        <f>SUM(J355:J369)</f>
        <v>12085</v>
      </c>
      <c r="K370" s="58">
        <f>SUM(K355:K369)</f>
        <v>1859</v>
      </c>
      <c r="L370" s="58">
        <f>SUM(L355:L369)</f>
        <v>9061</v>
      </c>
      <c r="M370" s="60">
        <f t="shared" si="76"/>
        <v>23005</v>
      </c>
      <c r="N370" s="58">
        <f>SUM(N355:N369)</f>
        <v>4938</v>
      </c>
      <c r="O370" s="58">
        <f>SUM(O355:O369)</f>
        <v>1665</v>
      </c>
      <c r="P370" s="58">
        <f>SUM(P355:P369)</f>
        <v>5289</v>
      </c>
      <c r="Q370" s="60">
        <f t="shared" si="77"/>
        <v>11892</v>
      </c>
      <c r="R370" s="59">
        <f t="shared" si="78"/>
        <v>60219</v>
      </c>
    </row>
    <row r="371" spans="1:18" ht="16.5" customHeight="1" thickBot="1" x14ac:dyDescent="0.35">
      <c r="A371" s="114" t="s">
        <v>72</v>
      </c>
      <c r="B371" s="86">
        <f>SUM(B347:B369)</f>
        <v>1523</v>
      </c>
      <c r="C371" s="87">
        <f>SUM(C347:C369)</f>
        <v>2020</v>
      </c>
      <c r="D371" s="118">
        <f>SUM(D347:D369)</f>
        <v>4458</v>
      </c>
      <c r="E371" s="60">
        <f t="shared" si="74"/>
        <v>8001</v>
      </c>
      <c r="F371" s="87">
        <f>SUM(F347:F369)</f>
        <v>4614</v>
      </c>
      <c r="G371" s="87">
        <f>SUM(G347:G369)</f>
        <v>1450</v>
      </c>
      <c r="H371" s="87">
        <f>SUM(H347:H369)</f>
        <v>12257</v>
      </c>
      <c r="I371" s="60">
        <f t="shared" si="75"/>
        <v>18321</v>
      </c>
      <c r="J371" s="87">
        <f>SUM(J347:J369)</f>
        <v>12085</v>
      </c>
      <c r="K371" s="87">
        <f>SUM(K347:K369)</f>
        <v>1859</v>
      </c>
      <c r="L371" s="87">
        <f>SUM(L347:L369)</f>
        <v>9061</v>
      </c>
      <c r="M371" s="60">
        <f t="shared" si="76"/>
        <v>23005</v>
      </c>
      <c r="N371" s="87">
        <f>SUM(N347:N369)</f>
        <v>6374</v>
      </c>
      <c r="O371" s="87">
        <f>SUM(O347:O369)</f>
        <v>1665</v>
      </c>
      <c r="P371" s="87">
        <f>SUM(P347:P369)</f>
        <v>5412</v>
      </c>
      <c r="Q371" s="60">
        <f t="shared" si="77"/>
        <v>13451</v>
      </c>
      <c r="R371" s="59">
        <f t="shared" si="78"/>
        <v>62778</v>
      </c>
    </row>
    <row r="372" spans="1:18" ht="16.5" customHeight="1" thickBot="1" x14ac:dyDescent="0.35">
      <c r="A372" s="57" t="s">
        <v>73</v>
      </c>
      <c r="B372" s="90">
        <f>+B300+B313+B346+B371</f>
        <v>19112</v>
      </c>
      <c r="C372" s="58">
        <f>+C300+C313+C346+C371</f>
        <v>35577</v>
      </c>
      <c r="D372" s="58">
        <f>+D300+D313+D346+D371</f>
        <v>65399</v>
      </c>
      <c r="E372" s="59">
        <f t="shared" si="74"/>
        <v>120088</v>
      </c>
      <c r="F372" s="58">
        <f>+F300+F313+F346+F371</f>
        <v>102727</v>
      </c>
      <c r="G372" s="58">
        <f>+G300+G313+G346+G371</f>
        <v>110754</v>
      </c>
      <c r="H372" s="58">
        <f>+H300+H313+H346+H371</f>
        <v>128477</v>
      </c>
      <c r="I372" s="59">
        <f t="shared" si="75"/>
        <v>341958</v>
      </c>
      <c r="J372" s="58">
        <f>+J300+J313+J346+J371</f>
        <v>94989</v>
      </c>
      <c r="K372" s="58">
        <f>+K300+K313+K346+K371</f>
        <v>87994</v>
      </c>
      <c r="L372" s="58">
        <f>+L300+L313+L346+L371</f>
        <v>65449</v>
      </c>
      <c r="M372" s="59">
        <f t="shared" si="76"/>
        <v>248432</v>
      </c>
      <c r="N372" s="58">
        <f>+N300+N313+N346+N371</f>
        <v>53672</v>
      </c>
      <c r="O372" s="58">
        <f>+O300+O313+O346+O371</f>
        <v>23870</v>
      </c>
      <c r="P372" s="58">
        <f>+P300+P313+P346+P371</f>
        <v>29175.000000000011</v>
      </c>
      <c r="Q372" s="59">
        <f t="shared" si="77"/>
        <v>106717.00000000001</v>
      </c>
      <c r="R372" s="81">
        <f t="shared" si="78"/>
        <v>817195</v>
      </c>
    </row>
    <row r="373" spans="1:18" ht="15.75" customHeight="1" x14ac:dyDescent="0.3">
      <c r="A373" s="71" t="s">
        <v>756</v>
      </c>
      <c r="B373" s="1">
        <v>0</v>
      </c>
      <c r="C373" s="1">
        <v>0</v>
      </c>
      <c r="D373" s="1">
        <v>0</v>
      </c>
      <c r="E373" s="55">
        <f t="shared" si="74"/>
        <v>0</v>
      </c>
      <c r="F373" s="1">
        <v>0</v>
      </c>
      <c r="G373" s="1">
        <v>0</v>
      </c>
      <c r="H373" s="1">
        <v>0</v>
      </c>
      <c r="I373" s="55">
        <f t="shared" si="75"/>
        <v>0</v>
      </c>
      <c r="J373" s="1">
        <v>0</v>
      </c>
      <c r="K373" s="1">
        <v>0</v>
      </c>
      <c r="L373" s="1">
        <v>0</v>
      </c>
      <c r="M373" s="55">
        <f t="shared" si="76"/>
        <v>0</v>
      </c>
      <c r="N373" s="1">
        <v>0</v>
      </c>
      <c r="O373" s="1">
        <v>0</v>
      </c>
      <c r="P373" s="1">
        <v>0</v>
      </c>
      <c r="Q373" s="55">
        <f t="shared" si="77"/>
        <v>0</v>
      </c>
      <c r="R373" s="55">
        <f t="shared" si="78"/>
        <v>0</v>
      </c>
    </row>
    <row r="374" spans="1:18" ht="15.75" customHeight="1" x14ac:dyDescent="0.3">
      <c r="A374" s="71" t="s">
        <v>757</v>
      </c>
      <c r="B374" s="1">
        <v>0</v>
      </c>
      <c r="C374" s="1">
        <v>0</v>
      </c>
      <c r="D374" s="1">
        <v>0</v>
      </c>
      <c r="E374" s="55">
        <f t="shared" si="74"/>
        <v>0</v>
      </c>
      <c r="F374" s="1">
        <v>0</v>
      </c>
      <c r="G374" s="1">
        <v>0</v>
      </c>
      <c r="H374" s="1">
        <v>0</v>
      </c>
      <c r="I374" s="55">
        <f t="shared" si="75"/>
        <v>0</v>
      </c>
      <c r="J374" s="1">
        <v>0</v>
      </c>
      <c r="K374" s="1">
        <v>0</v>
      </c>
      <c r="L374" s="1">
        <v>0</v>
      </c>
      <c r="M374" s="55">
        <f t="shared" si="76"/>
        <v>0</v>
      </c>
      <c r="N374" s="1">
        <v>0</v>
      </c>
      <c r="O374" s="1">
        <v>0</v>
      </c>
      <c r="P374" s="1">
        <v>0</v>
      </c>
      <c r="Q374" s="55">
        <f t="shared" si="77"/>
        <v>0</v>
      </c>
      <c r="R374" s="55">
        <f t="shared" si="78"/>
        <v>0</v>
      </c>
    </row>
    <row r="375" spans="1:18" ht="16.5" customHeight="1" thickBot="1" x14ac:dyDescent="0.35">
      <c r="A375" s="73" t="s">
        <v>40</v>
      </c>
      <c r="B375" s="21">
        <v>155</v>
      </c>
      <c r="C375" s="21">
        <v>283</v>
      </c>
      <c r="D375" s="21">
        <v>435</v>
      </c>
      <c r="E375" s="81">
        <f t="shared" si="74"/>
        <v>873</v>
      </c>
      <c r="F375" s="21">
        <v>602</v>
      </c>
      <c r="G375" s="21">
        <v>711</v>
      </c>
      <c r="H375" s="21">
        <v>722</v>
      </c>
      <c r="I375" s="81">
        <f t="shared" si="75"/>
        <v>2035</v>
      </c>
      <c r="J375" s="21">
        <v>686</v>
      </c>
      <c r="K375" s="21">
        <v>519</v>
      </c>
      <c r="L375" s="21">
        <v>531</v>
      </c>
      <c r="M375" s="81">
        <f t="shared" si="76"/>
        <v>1736</v>
      </c>
      <c r="N375" s="21">
        <v>489</v>
      </c>
      <c r="O375" s="21">
        <v>389</v>
      </c>
      <c r="P375" s="21">
        <v>275</v>
      </c>
      <c r="Q375" s="81">
        <f t="shared" si="77"/>
        <v>1153</v>
      </c>
      <c r="R375" s="55">
        <f t="shared" si="78"/>
        <v>5797</v>
      </c>
    </row>
    <row r="376" spans="1:18" ht="16.5" customHeight="1" thickBot="1" x14ac:dyDescent="0.35">
      <c r="A376" s="74"/>
      <c r="B376" s="75"/>
      <c r="C376" s="75"/>
      <c r="D376" s="75"/>
      <c r="E376" s="59"/>
      <c r="F376" s="75"/>
      <c r="G376" s="75"/>
      <c r="H376" s="75"/>
      <c r="I376" s="59"/>
      <c r="J376" s="75"/>
      <c r="K376" s="75"/>
      <c r="L376" s="75"/>
      <c r="M376" s="59"/>
      <c r="N376" s="75"/>
      <c r="O376" s="75"/>
      <c r="P376" s="75"/>
      <c r="Q376" s="59"/>
      <c r="R376" s="59" t="s">
        <v>7</v>
      </c>
    </row>
    <row r="377" spans="1:18" ht="15.75" customHeight="1" x14ac:dyDescent="0.3">
      <c r="A377" s="76" t="s">
        <v>41</v>
      </c>
      <c r="B377" s="77">
        <f>SUM(B372:B375)</f>
        <v>19267</v>
      </c>
      <c r="C377" s="77">
        <f>SUM(C372:C375)</f>
        <v>35860</v>
      </c>
      <c r="D377" s="77">
        <f>SUM(D372:D375)</f>
        <v>65834</v>
      </c>
      <c r="E377" s="60">
        <f>SUM(B377:D377)</f>
        <v>120961</v>
      </c>
      <c r="F377" s="77">
        <f>SUM(F372:F375)</f>
        <v>103329</v>
      </c>
      <c r="G377" s="77">
        <f>SUM(G372:G375)</f>
        <v>111465</v>
      </c>
      <c r="H377" s="77">
        <f>SUM(H372:H375)</f>
        <v>129199</v>
      </c>
      <c r="I377" s="60">
        <f>SUM(F377:H377)</f>
        <v>343993</v>
      </c>
      <c r="J377" s="77">
        <f>SUM(J372:J375)</f>
        <v>95675</v>
      </c>
      <c r="K377" s="77">
        <f>SUM(K372:K375)</f>
        <v>88513</v>
      </c>
      <c r="L377" s="77">
        <f>SUM(L372:L375)</f>
        <v>65980</v>
      </c>
      <c r="M377" s="60">
        <f>SUM(J377:L377)</f>
        <v>250168</v>
      </c>
      <c r="N377" s="77">
        <f>SUM(N372:N375)</f>
        <v>54161</v>
      </c>
      <c r="O377" s="77">
        <f>SUM(O372:O375)</f>
        <v>24259</v>
      </c>
      <c r="P377" s="77">
        <f>SUM(P372:P375)</f>
        <v>29450.000000000011</v>
      </c>
      <c r="Q377" s="60">
        <f>SUM(N377:P377)</f>
        <v>107870.00000000001</v>
      </c>
      <c r="R377" s="60">
        <f>+E377+I377+M377+Q377</f>
        <v>822992</v>
      </c>
    </row>
    <row r="378" spans="1:18" ht="15.75" customHeight="1" x14ac:dyDescent="0.3">
      <c r="A378" s="79" t="s">
        <v>42</v>
      </c>
      <c r="B378" s="1">
        <f>(B377/31)/1.983</f>
        <v>313.42215281505702</v>
      </c>
      <c r="C378" s="1">
        <f>(C377/28)/1.983</f>
        <v>645.8468410056912</v>
      </c>
      <c r="D378" s="1">
        <f>(D377/31)/1.983</f>
        <v>1070.9417142485318</v>
      </c>
      <c r="E378" s="55" t="s">
        <v>7</v>
      </c>
      <c r="F378" s="1">
        <f>(F377/30)/1.983</f>
        <v>1736.9137670196671</v>
      </c>
      <c r="G378" s="1">
        <f>(G377/31)/1.983</f>
        <v>1813.2350788150893</v>
      </c>
      <c r="H378" s="1">
        <f>(H377/30)/1.983</f>
        <v>2171.7767692049083</v>
      </c>
      <c r="I378" s="55" t="s">
        <v>7</v>
      </c>
      <c r="J378" s="1">
        <f>(J377/31)/1.983</f>
        <v>1556.3743432075871</v>
      </c>
      <c r="K378" s="1">
        <f>(K377/31)/1.983</f>
        <v>1439.8679094887186</v>
      </c>
      <c r="L378" s="1">
        <f>(L377/30)/1.983</f>
        <v>1109.0939653723315</v>
      </c>
      <c r="M378" s="55" t="s">
        <v>7</v>
      </c>
      <c r="N378" s="1">
        <f>(N377/31)/1.983</f>
        <v>881.05347062938199</v>
      </c>
      <c r="O378" s="1">
        <f>(O377/30)/1.983</f>
        <v>407.7828206421247</v>
      </c>
      <c r="P378" s="1">
        <f>(P377/31)/1.983</f>
        <v>479.07211296016152</v>
      </c>
      <c r="Q378" s="55" t="s">
        <v>7</v>
      </c>
      <c r="R378" s="55" t="s">
        <v>7</v>
      </c>
    </row>
    <row r="379" spans="1:18" ht="15.75" customHeight="1" x14ac:dyDescent="0.3">
      <c r="A379" s="79" t="s">
        <v>289</v>
      </c>
      <c r="B379" s="1">
        <f>B377+B424</f>
        <v>39790</v>
      </c>
      <c r="C379" s="1">
        <f>C377+C424</f>
        <v>60121</v>
      </c>
      <c r="D379" s="1">
        <f>D377+D424</f>
        <v>91932</v>
      </c>
      <c r="E379" s="55">
        <f>SUM(B379:D379)</f>
        <v>191843</v>
      </c>
      <c r="F379" s="1">
        <f>F377+F424</f>
        <v>135423</v>
      </c>
      <c r="G379" s="1">
        <f>G377+G424</f>
        <v>146338</v>
      </c>
      <c r="H379" s="1">
        <f>H377+H424</f>
        <v>169717</v>
      </c>
      <c r="I379" s="55">
        <f>SUM(F379:H379)</f>
        <v>451478</v>
      </c>
      <c r="J379" s="1">
        <f>J377+J424</f>
        <v>134505</v>
      </c>
      <c r="K379" s="1">
        <f>K377+K424</f>
        <v>134861</v>
      </c>
      <c r="L379" s="1">
        <f>L377+L424</f>
        <v>101871</v>
      </c>
      <c r="M379" s="55">
        <f>SUM(J379:L379)</f>
        <v>371237</v>
      </c>
      <c r="N379" s="1">
        <f>N377+N424</f>
        <v>73498</v>
      </c>
      <c r="O379" s="1">
        <f>O377+O424</f>
        <v>34561</v>
      </c>
      <c r="P379" s="1">
        <f>P377+P424</f>
        <v>50104.000000000015</v>
      </c>
      <c r="Q379" s="55">
        <f>SUM(N379:P379)</f>
        <v>158163</v>
      </c>
      <c r="R379" s="55">
        <f>+E379+I379+M379+Q379</f>
        <v>1172721</v>
      </c>
    </row>
    <row r="380" spans="1:18" s="344" customFormat="1" ht="16.5" customHeight="1" thickBot="1" x14ac:dyDescent="0.35">
      <c r="A380" s="356" t="s">
        <v>290</v>
      </c>
      <c r="B380" s="357">
        <f>(B379/31)/1.983</f>
        <v>647.27603988743022</v>
      </c>
      <c r="C380" s="357">
        <f>(C379/28)/1.983</f>
        <v>1082.7930264390175</v>
      </c>
      <c r="D380" s="357">
        <f>(D379/31)/1.983</f>
        <v>1495.4858230442633</v>
      </c>
      <c r="E380" s="358" t="s">
        <v>7</v>
      </c>
      <c r="F380" s="357">
        <f>(F379/30)/1.983</f>
        <v>2276.3993948562784</v>
      </c>
      <c r="G380" s="357">
        <f>(G379/31)/1.983</f>
        <v>2380.5247832381697</v>
      </c>
      <c r="H380" s="357">
        <f>(H379/30)/1.983</f>
        <v>2852.8660279038495</v>
      </c>
      <c r="I380" s="358" t="s">
        <v>7</v>
      </c>
      <c r="J380" s="357">
        <f>(J379/31)/1.983</f>
        <v>2188.0337709238202</v>
      </c>
      <c r="K380" s="357">
        <f>(K379/31)/1.983</f>
        <v>2193.8249312706389</v>
      </c>
      <c r="L380" s="357">
        <f>(L379/30)/1.983</f>
        <v>1712.4054462934946</v>
      </c>
      <c r="M380" s="358" t="s">
        <v>7</v>
      </c>
      <c r="N380" s="357">
        <f>(N379/31)/1.983</f>
        <v>1195.6143347485888</v>
      </c>
      <c r="O380" s="357">
        <f>(O379/30)/1.983</f>
        <v>580.95478231635559</v>
      </c>
      <c r="P380" s="357">
        <f>(P379/31)/1.983</f>
        <v>815.05701690172941</v>
      </c>
      <c r="Q380" s="358" t="s">
        <v>7</v>
      </c>
      <c r="R380" s="358" t="s">
        <v>7</v>
      </c>
    </row>
    <row r="381" spans="1:18" ht="15.75" customHeight="1" x14ac:dyDescent="0.3">
      <c r="A381" s="120" t="s">
        <v>291</v>
      </c>
      <c r="B381" s="121">
        <f>B$382+(SUMIF($T$258:$T$358,"FLG",B$265:B$374)/31/1.98)+(SUMIF($T$258:$T$358,"FCA",B$265:B$374)/31/1.98)+(SUMIF($T$258:$T$358,"NSC",B$265:B$374)/31/1.98)</f>
        <v>372.28739002932554</v>
      </c>
      <c r="C381" s="121">
        <f>C$382+(SUMIF($T$258:$T$358,"FLG",C$265:C$374)/28/1.98)+(SUMIF($T$258:$T$358,"FCA",C$265:C$374)/28/1.98)+(SUMIF($T$258:$T$358,"NSC",C$265:C$374)/28/1.98)</f>
        <v>459.79437229437229</v>
      </c>
      <c r="D381" s="121">
        <f>D$382+(SUMIF($T$258:$T$358,"FLG",D$265:D$374)/31/1.98)+(SUMIF($T$258:$T$358,"FCA",D$265:D$374)/31/1.98)+(SUMIF($T$258:$T$358,"NSC",D$265:D$374)/31/1.98)</f>
        <v>536.65689149560126</v>
      </c>
      <c r="E381" s="122"/>
      <c r="F381" s="121">
        <f>F$382+(SUMIF($T$258:$T$358,"FLG",F$265:F$374)/30/1.98)+(SUMIF($T$258:$T$358,"FCA",F$265:F$374)/30/1.98)+(SUMIF($T$258:$T$358,"NSC",F$265:F$374)/30/1.98)</f>
        <v>615.89225589225589</v>
      </c>
      <c r="G381" s="121">
        <f>G$382+(SUMIF($T$258:$T$358,"FLG",G$265:G$374)/31/1.98)+(SUMIF($T$258:$T$358,"FCA",G$265:G$374)/31/1.98)+(SUMIF($T$258:$T$358,"NSC",G$265:G$374)/31/1.98)</f>
        <v>615.00488758553286</v>
      </c>
      <c r="H381" s="121">
        <f>H$382+(SUMIF($T$258:$T$358,"FLG",H$265:H$374)/30/1.98)+(SUMIF($T$258:$T$358,"FCA",H$265:H$374)/30/1.98)+(SUMIF($T$258:$T$358,"NSC",H$265:H$374)/30/1.98)</f>
        <v>798.46801346801351</v>
      </c>
      <c r="I381" s="45"/>
      <c r="J381" s="121">
        <f>J$382+(SUMIF($T$258:$T$358,"FLG",J$265:J$374)/31/1.98)+(SUMIF($T$258:$T$358,"FCA",J$265:J$374)/31/1.98)+(SUMIF($T$258:$T$358,"NSC",J$265:J$374)/31/1.98)</f>
        <v>741.03942652329749</v>
      </c>
      <c r="K381" s="121">
        <f>K$382+(SUMIF($T$258:$T$358,"FLG",K$265:K$374)/31/1.98)+(SUMIF($T$258:$T$358,"FCA",K$265:K$374)/31/1.98)+(SUMIF($T$258:$T$358,"NSC",K$265:K$374)/31/1.98)</f>
        <v>756.33756924079501</v>
      </c>
      <c r="L381" s="121">
        <f>L$382+(SUMIF($T$258:$T$358,"FLG",L$265:L$374)/30/1.98)+(SUMIF($T$258:$T$358,"FCA",L$265:L$374)/30/1.98)+(SUMIF($T$258:$T$358,"NSC",L$265:L$374)/30/1.98)</f>
        <v>717.30639730639723</v>
      </c>
      <c r="M381" s="45"/>
      <c r="N381" s="121">
        <f>N$382+(SUMIF($T$258:$T$358,"FLG",N$265:N$374)/31/1.98)+(SUMIF($T$258:$T$358,"FCA",N$265:N$374)/31/1.98)+(SUMIF($T$258:$T$358,"NSC",N$265:N$374)/31/1.98)</f>
        <v>349.15281850765723</v>
      </c>
      <c r="O381" s="121">
        <f>O$382+(SUMIF($T$258:$T$358,"FLG",O$265:O$374)/30/1.98)+(SUMIF($T$258:$T$358,"FCA",O$265:O$374)/30/1.98)+(SUMIF($T$258:$T$358,"NSC",O$265:O$374)/30/1.98)</f>
        <v>193.11447811447809</v>
      </c>
      <c r="P381" s="121">
        <f>P$382+(SUMIF($T$258:$T$358,"FLG",P$265:P$374)/31/1.98)+(SUMIF($T$258:$T$358,"FCA",P$265:P$374)/31/1.98)+(SUMIF($T$258:$T$358,"NSC",P$265:P$374)/31/1.98)</f>
        <v>417.07396546106224</v>
      </c>
      <c r="Q381" s="45"/>
      <c r="R381" s="45"/>
    </row>
    <row r="382" spans="1:18" ht="15.75" customHeight="1" x14ac:dyDescent="0.3">
      <c r="A382" s="120" t="s">
        <v>292</v>
      </c>
      <c r="B382" s="121">
        <f>B$383+(SUMIF($T$258:$T$358,"FCI",B$265:B$374)/31/1.98)+(SUMIF($T$258:$T$358,"FCC",B$265:B$374)/31/1.98)</f>
        <v>372.28739002932554</v>
      </c>
      <c r="C382" s="121">
        <f>C$383+(SUMIF($T$258:$T$358,"FCI",C$265:C$374)/28/1.98)+(SUMIF($T$258:$T$358,"FCC",C$265:C$374)/28/1.98)</f>
        <v>459.79437229437229</v>
      </c>
      <c r="D382" s="121">
        <f>D$383+(SUMIF($T$258:$T$358,"FCI",D$265:D$374)/31/1.98)+(SUMIF($T$258:$T$358,"FCC",D$265:D$374)/31/1.98)</f>
        <v>536.65689149560126</v>
      </c>
      <c r="E382" s="122"/>
      <c r="F382" s="121">
        <f>F$383+(SUMIF($T$258:$T$358,"FCI",F$265:F$374)/30/1.98)+(SUMIF($T$258:$T$358,"FCC",F$265:F$374)/30/1.98)</f>
        <v>615.89225589225589</v>
      </c>
      <c r="G382" s="121">
        <f>G$383+(SUMIF($T$258:$T$358,"FCI",G$265:G$374)/31/1.98)+(SUMIF($T$258:$T$358,"FCC",G$265:G$374)/31/1.98)</f>
        <v>615.00488758553286</v>
      </c>
      <c r="H382" s="121">
        <f>H$383+(SUMIF($T$258:$T$358,"FCI",H$265:H$374)/30/1.98)+(SUMIF($T$258:$T$358,"FCC",H$265:H$374)/30/1.98)</f>
        <v>798.46801346801351</v>
      </c>
      <c r="I382" s="45"/>
      <c r="J382" s="121">
        <f>J$383+(SUMIF($T$258:$T$358,"FCI",J$265:J$374)/31/1.98)+(SUMIF($T$258:$T$358,"FCC",J$265:J$374)/31/1.98)</f>
        <v>741.03942652329749</v>
      </c>
      <c r="K382" s="121">
        <f>K$383+(SUMIF($T$258:$T$358,"FCI",K$265:K$374)/31/1.98)+(SUMIF($T$258:$T$358,"FCC",K$265:K$374)/31/1.98)</f>
        <v>756.33756924079501</v>
      </c>
      <c r="L382" s="121">
        <f>L$383+(SUMIF($T$258:$T$358,"FCI",L$265:L$374)/30/1.98)+(SUMIF($T$258:$T$358,"FCC",L$265:L$374)/30/1.98)</f>
        <v>717.30639730639723</v>
      </c>
      <c r="M382" s="45"/>
      <c r="N382" s="121">
        <f>N$383+(SUMIF($T$258:$T$358,"FCI",N$265:N$374)/31/1.98)+(SUMIF($T$258:$T$358,"FCC",N$265:N$374)/31/1.98)</f>
        <v>349.15281850765723</v>
      </c>
      <c r="O382" s="121">
        <f>O$383+(SUMIF($T$258:$T$358,"FCI",O$265:O$374)/30/1.98)+(SUMIF($T$258:$T$358,"FCC",O$265:O$374)/30/1.98)</f>
        <v>193.11447811447809</v>
      </c>
      <c r="P382" s="121">
        <f>P$383+(SUMIF($T$258:$T$358,"FCI",P$265:P$374)/31/1.98)+(SUMIF($T$258:$T$358,"FCC",P$265:P$374)/31/1.98)</f>
        <v>417.07396546106224</v>
      </c>
      <c r="Q382" s="45"/>
      <c r="R382" s="45"/>
    </row>
    <row r="383" spans="1:18" ht="15.75" customHeight="1" x14ac:dyDescent="0.3">
      <c r="A383" s="120" t="s">
        <v>293</v>
      </c>
      <c r="B383" s="121">
        <f>B$384+(SUMIF($T$258:$T$358,"PIL",B$265:B$374)/31/1.98)+(SUMIF($T$258:$T$358,"KLK",B$265:B$374)/31/1.98)</f>
        <v>372.28739002932554</v>
      </c>
      <c r="C383" s="121">
        <f>C$384+(SUMIF($T$258:$T$358,"PIL",C$265:C$374)/28/1.98)+(SUMIF($T$258:$T$358,"KLK",C$265:C$374)/28/1.98)</f>
        <v>459.79437229437229</v>
      </c>
      <c r="D383" s="121">
        <f>D$384+(SUMIF($T$258:$T$358,"PIL",D$265:D$374)/31/1.98)+(SUMIF($T$258:$T$358,"KLK",D$265:D$374)/31/1.98)</f>
        <v>536.65689149560126</v>
      </c>
      <c r="E383" s="122"/>
      <c r="F383" s="121">
        <f>F$384+(SUMIF($T$258:$T$358,"PIL",F$265:F$374)/30/1.98)+(SUMIF($T$258:$T$358,"KLK",F$265:F$374)/30/1.98)</f>
        <v>615.89225589225589</v>
      </c>
      <c r="G383" s="121">
        <f>G$384+(SUMIF($T$258:$T$358,"PIL",G$265:G$374)/31/1.98)+(SUMIF($T$258:$T$358,"KLK",G$265:G$374)/31/1.98)</f>
        <v>615.00488758553286</v>
      </c>
      <c r="H383" s="121">
        <f>H$384+(SUMIF($T$258:$T$358,"PIL",H$265:H$374)/30/1.98)+(SUMIF($T$258:$T$358,"KLK",H$265:H$374)/30/1.98)</f>
        <v>798.46801346801351</v>
      </c>
      <c r="I383" s="45"/>
      <c r="J383" s="121">
        <f>J$384+(SUMIF($T$258:$T$358,"PIL",J$265:J$374)/31/1.98)+(SUMIF($T$258:$T$358,"KLK",J$265:J$374)/31/1.98)</f>
        <v>741.03942652329749</v>
      </c>
      <c r="K383" s="121">
        <f>K$384+(SUMIF($T$258:$T$358,"PIL",K$265:K$374)/31/1.98)+(SUMIF($T$258:$T$358,"KLK",K$265:K$374)/31/1.98)</f>
        <v>756.33756924079501</v>
      </c>
      <c r="L383" s="121">
        <f>L$384+(SUMIF($T$258:$T$358,"PIL",L$265:L$374)/30/1.98)+(SUMIF($T$258:$T$358,"KLK",L$265:L$374)/30/1.98)</f>
        <v>717.30639730639723</v>
      </c>
      <c r="M383" s="45"/>
      <c r="N383" s="121">
        <f>N$384+(SUMIF($T$258:$T$358,"PIL",N$265:N$374)/31/1.98)+(SUMIF($T$258:$T$358,"KLK",N$265:N$374)/31/1.98)</f>
        <v>349.15281850765723</v>
      </c>
      <c r="O383" s="121">
        <f>O$384+(SUMIF($T$258:$T$358,"PIL",O$265:O$374)/30/1.98)+(SUMIF($T$258:$T$358,"KLK",O$265:O$374)/30/1.98)</f>
        <v>193.11447811447809</v>
      </c>
      <c r="P383" s="121">
        <f>P$384+(SUMIF($T$258:$T$358,"PIL",P$265:P$374)/31/1.98)+(SUMIF($T$258:$T$358,"KLK",P$265:P$374)/31/1.98)</f>
        <v>417.07396546106224</v>
      </c>
      <c r="Q383" s="45"/>
      <c r="R383" s="45"/>
    </row>
    <row r="384" spans="1:18" ht="15.75" customHeight="1" x14ac:dyDescent="0.3">
      <c r="A384" s="120" t="s">
        <v>294</v>
      </c>
      <c r="B384" s="121">
        <f>B$385+(SUMIF($T$258:$T$358,"CGE",B$265:B$374)/31/1.98)</f>
        <v>372.28739002932554</v>
      </c>
      <c r="C384" s="121">
        <f>C$385+(SUMIF($T$258:$T$358,"CGE",C$265:C$374)/28/1.98)</f>
        <v>459.79437229437229</v>
      </c>
      <c r="D384" s="121">
        <f>D$385+(SUMIF($T$258:$T$358,"CGE",D$265:D$374)/31/1.98)</f>
        <v>536.65689149560126</v>
      </c>
      <c r="E384" s="122"/>
      <c r="F384" s="121">
        <f>F$385+(SUMIF($T$258:$T$358,"CGE",F$265:F$374)/30/1.98)</f>
        <v>615.89225589225589</v>
      </c>
      <c r="G384" s="121">
        <f>G$385+(SUMIF($T$258:$T$358,"CGE",G$265:G$374)/31/1.98)</f>
        <v>615.00488758553286</v>
      </c>
      <c r="H384" s="121">
        <f>H$385+(SUMIF($T$258:$T$358,"CGE",H$265:H$374)/30/1.98)</f>
        <v>798.46801346801351</v>
      </c>
      <c r="I384" s="45"/>
      <c r="J384" s="121">
        <f>J$385+(SUMIF($T$258:$T$358,"CGE",J$265:J$374)/31/1.98)</f>
        <v>741.03942652329749</v>
      </c>
      <c r="K384" s="121">
        <f>K$385+(SUMIF($T$258:$T$358,"CGE",K$265:K$374)/31/1.98)</f>
        <v>756.33756924079501</v>
      </c>
      <c r="L384" s="121">
        <f>L$385+(SUMIF($T$258:$T$358,"CGE",L$265:L$374)/30/1.98)</f>
        <v>717.30639730639723</v>
      </c>
      <c r="M384" s="45"/>
      <c r="N384" s="121">
        <f>N$385+(SUMIF($T$258:$T$358,"CGE",N$265:N$374)/31/1.98)</f>
        <v>349.15281850765723</v>
      </c>
      <c r="O384" s="121">
        <f>O$385+(SUMIF($T$258:$T$358,"CGE",O$265:O$374)/30/1.98)</f>
        <v>193.11447811447809</v>
      </c>
      <c r="P384" s="121">
        <f>P$385+(SUMIF($T$258:$T$358,"CGE",P$265:P$374)/31/1.98)</f>
        <v>417.07396546106224</v>
      </c>
      <c r="Q384" s="45"/>
      <c r="R384" s="45"/>
    </row>
    <row r="385" spans="1:18" ht="15.75" customHeight="1" x14ac:dyDescent="0.3">
      <c r="A385" s="120" t="s">
        <v>295</v>
      </c>
      <c r="B385" s="121">
        <f>B$386+(SUMIF($T$258:$T$358,"SRO",B$265:B$374)/31/1.98)</f>
        <v>372.28739002932554</v>
      </c>
      <c r="C385" s="121">
        <f>C$386+(SUMIF($T$258:$T$358,"SRO",C$265:C$374)/28/1.98)</f>
        <v>459.79437229437229</v>
      </c>
      <c r="D385" s="121">
        <f>D$386+(SUMIF($T$258:$T$358,"SRO",D$265:D$374)/31/1.98)</f>
        <v>536.65689149560126</v>
      </c>
      <c r="E385" s="122"/>
      <c r="F385" s="121">
        <f>F$386+(SUMIF($T$258:$T$358,"SRO",F$265:F$374)/30/1.98)</f>
        <v>615.89225589225589</v>
      </c>
      <c r="G385" s="121">
        <f>G$386+(SUMIF($T$258:$T$358,"SRO",G$265:G$374)/31/1.98)</f>
        <v>615.00488758553286</v>
      </c>
      <c r="H385" s="121">
        <f>H$386+(SUMIF($T$258:$T$358,"SRO",H$265:H$374)/30/1.98)</f>
        <v>798.46801346801351</v>
      </c>
      <c r="I385" s="45"/>
      <c r="J385" s="121">
        <f>J$386+(SUMIF($T$258:$T$358,"SRO",J$265:J$374)/31/1.98)</f>
        <v>741.03942652329749</v>
      </c>
      <c r="K385" s="121">
        <f>K$386+(SUMIF($T$258:$T$358,"SRO",K$265:K$374)/31/1.98)</f>
        <v>756.33756924079501</v>
      </c>
      <c r="L385" s="121">
        <f>L$386+(SUMIF($T$258:$T$358,"SRO",L$265:L$374)/30/1.98)</f>
        <v>717.30639730639723</v>
      </c>
      <c r="M385" s="45"/>
      <c r="N385" s="121">
        <f>N$386+(SUMIF($T$258:$T$358,"SRO",N$265:N$374)/31/1.98)</f>
        <v>349.15281850765723</v>
      </c>
      <c r="O385" s="121">
        <f>O$386+(SUMIF($T$258:$T$358,"SRO",O$265:O$374)/30/1.98)</f>
        <v>193.11447811447809</v>
      </c>
      <c r="P385" s="121">
        <f>P$386+(SUMIF($T$258:$T$358,"SRO",P$265:P$374)/31/1.98)</f>
        <v>417.07396546106224</v>
      </c>
      <c r="Q385" s="45"/>
      <c r="R385" s="45"/>
    </row>
    <row r="386" spans="1:18" ht="15.75" customHeight="1" x14ac:dyDescent="0.3">
      <c r="A386" s="120" t="s">
        <v>296</v>
      </c>
      <c r="B386" s="121">
        <f>B$424/31/1.98</f>
        <v>334.35972629521018</v>
      </c>
      <c r="C386" s="121">
        <f>C$424/28/1.98</f>
        <v>437.6082251082251</v>
      </c>
      <c r="D386" s="121">
        <f>D$424/31/1.98</f>
        <v>425.18735744542198</v>
      </c>
      <c r="E386" s="123"/>
      <c r="F386" s="121">
        <f>F$424/30/1.98</f>
        <v>540.30303030303025</v>
      </c>
      <c r="G386" s="121">
        <f>G$424/31/1.98</f>
        <v>568.14923427826659</v>
      </c>
      <c r="H386" s="121">
        <f>H$424/30/1.98</f>
        <v>682.12121212121212</v>
      </c>
      <c r="I386" s="1"/>
      <c r="J386" s="121">
        <f>J$424/31/1.98</f>
        <v>632.6164874551971</v>
      </c>
      <c r="K386" s="121">
        <f>K$424/31/1.98</f>
        <v>755.0993809058325</v>
      </c>
      <c r="L386" s="121">
        <f>L$424/30/1.98</f>
        <v>604.22558922558915</v>
      </c>
      <c r="N386" s="121">
        <f>N$424/31/1.98</f>
        <v>315.0374714890844</v>
      </c>
      <c r="O386" s="121">
        <f>O$424/30/1.98</f>
        <v>173.43434343434342</v>
      </c>
      <c r="P386" s="121">
        <f>P$424/31/1.98</f>
        <v>336.49397197784293</v>
      </c>
      <c r="R386" s="45"/>
    </row>
    <row r="387" spans="1:18" ht="15.75" customHeight="1" thickBot="1" x14ac:dyDescent="0.35">
      <c r="A387" s="28"/>
      <c r="B387" s="1"/>
      <c r="C387" s="1"/>
      <c r="D387" s="1"/>
      <c r="E387" s="1"/>
      <c r="F387" s="1"/>
      <c r="G387" s="1"/>
      <c r="H387" s="1"/>
      <c r="I387" s="1"/>
      <c r="J387" s="1"/>
      <c r="K387" s="1"/>
      <c r="L387" s="1"/>
      <c r="M387" s="1"/>
      <c r="N387" s="1"/>
      <c r="O387" s="1"/>
      <c r="P387" s="1"/>
      <c r="Q387" s="1"/>
      <c r="R387" s="2"/>
    </row>
    <row r="388" spans="1:18" ht="16.5" customHeight="1" thickBot="1" x14ac:dyDescent="0.35">
      <c r="A388" s="29" t="s">
        <v>297</v>
      </c>
      <c r="B388" s="30" t="s">
        <v>8</v>
      </c>
      <c r="C388" s="31" t="s">
        <v>9</v>
      </c>
      <c r="D388" s="31" t="s">
        <v>10</v>
      </c>
      <c r="E388" s="32" t="s">
        <v>11</v>
      </c>
      <c r="F388" s="31" t="s">
        <v>12</v>
      </c>
      <c r="G388" s="31" t="s">
        <v>13</v>
      </c>
      <c r="H388" s="31" t="s">
        <v>14</v>
      </c>
      <c r="I388" s="33" t="s">
        <v>15</v>
      </c>
      <c r="J388" s="31" t="s">
        <v>16</v>
      </c>
      <c r="K388" s="31" t="s">
        <v>17</v>
      </c>
      <c r="L388" s="31" t="s">
        <v>18</v>
      </c>
      <c r="M388" s="33" t="s">
        <v>19</v>
      </c>
      <c r="N388" s="31" t="s">
        <v>20</v>
      </c>
      <c r="O388" s="31" t="s">
        <v>21</v>
      </c>
      <c r="P388" s="31" t="s">
        <v>22</v>
      </c>
      <c r="Q388" s="33" t="s">
        <v>23</v>
      </c>
      <c r="R388" s="34" t="s">
        <v>24</v>
      </c>
    </row>
    <row r="389" spans="1:18" ht="16.5" customHeight="1" thickBot="1" x14ac:dyDescent="0.35">
      <c r="A389" s="59"/>
      <c r="B389" s="75"/>
      <c r="C389" s="75"/>
      <c r="D389" s="75"/>
      <c r="E389" s="69"/>
      <c r="F389" s="75"/>
      <c r="G389" s="75"/>
      <c r="H389" s="75"/>
      <c r="I389" s="82"/>
      <c r="J389" s="75"/>
      <c r="K389" s="75"/>
      <c r="L389" s="75"/>
      <c r="M389" s="82"/>
      <c r="N389" s="75"/>
      <c r="O389" s="75"/>
      <c r="P389" s="75"/>
      <c r="Q389" s="82"/>
      <c r="R389" s="100"/>
    </row>
    <row r="390" spans="1:18" ht="15.75" customHeight="1" x14ac:dyDescent="0.3">
      <c r="A390" s="15" t="s">
        <v>48</v>
      </c>
      <c r="B390" s="1" t="s">
        <v>7</v>
      </c>
      <c r="C390" s="1" t="s">
        <v>7</v>
      </c>
      <c r="D390" s="1" t="s">
        <v>7</v>
      </c>
      <c r="E390" s="55" t="s">
        <v>7</v>
      </c>
      <c r="F390" s="1" t="s">
        <v>7</v>
      </c>
      <c r="G390" s="1" t="s">
        <v>7</v>
      </c>
      <c r="H390" s="1" t="s">
        <v>7</v>
      </c>
      <c r="I390" s="55" t="s">
        <v>7</v>
      </c>
      <c r="J390" s="1" t="s">
        <v>7</v>
      </c>
      <c r="K390" s="1" t="s">
        <v>7</v>
      </c>
      <c r="L390" s="1" t="s">
        <v>7</v>
      </c>
      <c r="M390" s="55" t="s">
        <v>7</v>
      </c>
      <c r="N390" s="1" t="s">
        <v>7</v>
      </c>
      <c r="O390" s="1" t="s">
        <v>7</v>
      </c>
      <c r="P390" s="1" t="s">
        <v>7</v>
      </c>
      <c r="Q390" s="55" t="s">
        <v>7</v>
      </c>
      <c r="R390" s="55" t="s">
        <v>7</v>
      </c>
    </row>
    <row r="391" spans="1:18" ht="15.75" customHeight="1" x14ac:dyDescent="0.3">
      <c r="A391" s="15" t="s">
        <v>49</v>
      </c>
      <c r="B391" s="1"/>
      <c r="C391" s="1"/>
      <c r="D391" s="1"/>
      <c r="E391" s="55" t="s">
        <v>7</v>
      </c>
      <c r="F391" s="1"/>
      <c r="G391" s="1"/>
      <c r="H391" s="1"/>
      <c r="I391" s="55" t="s">
        <v>7</v>
      </c>
      <c r="J391" s="1"/>
      <c r="K391" s="1"/>
      <c r="L391" s="1"/>
      <c r="M391" s="55" t="s">
        <v>7</v>
      </c>
      <c r="N391" s="1"/>
      <c r="O391" s="1"/>
      <c r="P391" s="1"/>
      <c r="Q391" s="55" t="s">
        <v>7</v>
      </c>
      <c r="R391" s="55" t="s">
        <v>7</v>
      </c>
    </row>
    <row r="392" spans="1:18" ht="15.75" customHeight="1" x14ac:dyDescent="0.3">
      <c r="A392" s="71" t="s">
        <v>211</v>
      </c>
      <c r="B392" s="1"/>
      <c r="C392" s="1"/>
      <c r="D392" s="1"/>
      <c r="E392" s="55">
        <f>SUM(B392:D392)</f>
        <v>0</v>
      </c>
      <c r="F392" s="1"/>
      <c r="G392" s="1"/>
      <c r="H392" s="1"/>
      <c r="I392" s="55">
        <f>SUM(F392:H392)</f>
        <v>0</v>
      </c>
      <c r="J392" s="1"/>
      <c r="K392" s="1"/>
      <c r="L392" s="1"/>
      <c r="M392" s="55">
        <f>SUM(J392:L392)</f>
        <v>0</v>
      </c>
      <c r="N392" s="1"/>
      <c r="O392" s="1"/>
      <c r="P392" s="1"/>
      <c r="Q392" s="55">
        <f>SUM(N392:P392)</f>
        <v>0</v>
      </c>
      <c r="R392" s="55">
        <f>+E392+I392+M392+Q392</f>
        <v>0</v>
      </c>
    </row>
    <row r="393" spans="1:18" ht="15.75" customHeight="1" x14ac:dyDescent="0.3">
      <c r="A393" s="72" t="s">
        <v>212</v>
      </c>
      <c r="B393" s="1"/>
      <c r="C393" s="1"/>
      <c r="D393" s="1"/>
      <c r="E393" s="55">
        <f>SUM(B393:D393)</f>
        <v>0</v>
      </c>
      <c r="F393" s="1"/>
      <c r="G393" s="1"/>
      <c r="H393" s="1"/>
      <c r="I393" s="55">
        <f>SUM(F393:H393)</f>
        <v>0</v>
      </c>
      <c r="J393" s="1"/>
      <c r="K393" s="1"/>
      <c r="L393" s="1"/>
      <c r="M393" s="55">
        <f>SUM(J393:L393)</f>
        <v>0</v>
      </c>
      <c r="N393" s="1"/>
      <c r="O393" s="1"/>
      <c r="P393" s="1"/>
      <c r="Q393" s="55">
        <f>SUM(N393:P393)</f>
        <v>0</v>
      </c>
      <c r="R393" s="55">
        <f>+E393+I393+M393+Q393</f>
        <v>0</v>
      </c>
    </row>
    <row r="394" spans="1:18" ht="15.75" customHeight="1" x14ac:dyDescent="0.3">
      <c r="A394" s="15" t="s">
        <v>50</v>
      </c>
      <c r="B394" s="1"/>
      <c r="C394" s="1"/>
      <c r="D394" s="1"/>
      <c r="E394" s="55" t="s">
        <v>7</v>
      </c>
      <c r="F394" s="1"/>
      <c r="G394" s="1"/>
      <c r="H394" s="1"/>
      <c r="I394" s="55" t="s">
        <v>7</v>
      </c>
      <c r="J394" s="1"/>
      <c r="K394" s="1"/>
      <c r="L394" s="1"/>
      <c r="M394" s="55" t="s">
        <v>7</v>
      </c>
      <c r="N394" s="1"/>
      <c r="O394" s="1"/>
      <c r="P394" s="1"/>
      <c r="Q394" s="55" t="s">
        <v>7</v>
      </c>
      <c r="R394" s="55" t="s">
        <v>7</v>
      </c>
    </row>
    <row r="395" spans="1:18" ht="15.75" customHeight="1" x14ac:dyDescent="0.3">
      <c r="A395" s="71" t="s">
        <v>211</v>
      </c>
      <c r="B395" s="1"/>
      <c r="C395" s="1"/>
      <c r="D395" s="1"/>
      <c r="E395" s="55">
        <f>SUM(B395:D395)</f>
        <v>0</v>
      </c>
      <c r="F395" s="1"/>
      <c r="G395" s="1"/>
      <c r="H395" s="1"/>
      <c r="I395" s="55">
        <f>SUM(F395:H395)</f>
        <v>0</v>
      </c>
      <c r="J395" s="1"/>
      <c r="K395" s="1"/>
      <c r="L395" s="1"/>
      <c r="M395" s="55">
        <f>SUM(J395:L395)</f>
        <v>0</v>
      </c>
      <c r="N395" s="1"/>
      <c r="O395" s="1"/>
      <c r="P395" s="1"/>
      <c r="Q395" s="55">
        <f>SUM(N395:P395)</f>
        <v>0</v>
      </c>
      <c r="R395" s="55">
        <f>+E395+I395+M395+Q395</f>
        <v>0</v>
      </c>
    </row>
    <row r="396" spans="1:18" ht="15.75" customHeight="1" x14ac:dyDescent="0.3">
      <c r="A396" s="71" t="s">
        <v>758</v>
      </c>
      <c r="B396" s="1"/>
      <c r="C396" s="1"/>
      <c r="D396" s="1"/>
      <c r="E396" s="55">
        <f>SUM(B396:D396)</f>
        <v>0</v>
      </c>
      <c r="F396" s="1"/>
      <c r="G396" s="1"/>
      <c r="H396" s="1"/>
      <c r="I396" s="55">
        <f>SUM(F396:H396)</f>
        <v>0</v>
      </c>
      <c r="J396" s="1"/>
      <c r="K396" s="1"/>
      <c r="L396" s="1"/>
      <c r="M396" s="55">
        <f>SUM(J396:L396)</f>
        <v>0</v>
      </c>
      <c r="N396" s="1"/>
      <c r="O396" s="1"/>
      <c r="P396" s="1"/>
      <c r="Q396" s="55">
        <f>SUM(N396:P396)</f>
        <v>0</v>
      </c>
      <c r="R396" s="55">
        <f>+E396+I396+M396+Q396</f>
        <v>0</v>
      </c>
    </row>
    <row r="397" spans="1:18" ht="15.75" customHeight="1" x14ac:dyDescent="0.3">
      <c r="A397" s="71" t="s">
        <v>298</v>
      </c>
      <c r="B397" s="1"/>
      <c r="C397" s="1"/>
      <c r="D397" s="1">
        <v>2</v>
      </c>
      <c r="E397" s="55">
        <f>SUM(B397:D397)</f>
        <v>2</v>
      </c>
      <c r="F397" s="1"/>
      <c r="G397" s="1"/>
      <c r="H397" s="1">
        <v>2</v>
      </c>
      <c r="I397" s="55">
        <f>SUM(F397:H397)</f>
        <v>2</v>
      </c>
      <c r="J397" s="1">
        <v>2</v>
      </c>
      <c r="K397" s="1">
        <v>0</v>
      </c>
      <c r="L397" s="1">
        <v>2</v>
      </c>
      <c r="M397" s="55">
        <f>SUM(J397:L397)</f>
        <v>4</v>
      </c>
      <c r="N397" s="1"/>
      <c r="O397" s="1"/>
      <c r="P397" s="1"/>
      <c r="Q397" s="55">
        <f>SUM(N397:P397)</f>
        <v>0</v>
      </c>
      <c r="R397" s="55">
        <f>+E397+I397+M397+Q397</f>
        <v>8</v>
      </c>
    </row>
    <row r="398" spans="1:18" ht="15.75" customHeight="1" x14ac:dyDescent="0.3">
      <c r="A398" s="15" t="s">
        <v>51</v>
      </c>
      <c r="B398" s="1"/>
      <c r="C398" s="1"/>
      <c r="D398" s="1"/>
      <c r="E398" s="55" t="s">
        <v>7</v>
      </c>
      <c r="F398" s="1"/>
      <c r="G398" s="1"/>
      <c r="H398" s="1"/>
      <c r="I398" s="55" t="s">
        <v>7</v>
      </c>
      <c r="J398" s="1"/>
      <c r="K398" s="1"/>
      <c r="L398" s="1"/>
      <c r="M398" s="55" t="s">
        <v>7</v>
      </c>
      <c r="N398" s="1"/>
      <c r="O398" s="1"/>
      <c r="P398" s="1"/>
      <c r="Q398" s="55" t="s">
        <v>7</v>
      </c>
      <c r="R398" s="55" t="s">
        <v>7</v>
      </c>
    </row>
    <row r="399" spans="1:18" ht="15.75" customHeight="1" thickBot="1" x14ac:dyDescent="0.35">
      <c r="A399" s="15" t="s">
        <v>53</v>
      </c>
      <c r="B399" s="1"/>
      <c r="C399" s="1"/>
      <c r="D399" s="1"/>
      <c r="E399" s="55" t="s">
        <v>7</v>
      </c>
      <c r="F399" s="1"/>
      <c r="G399" s="1"/>
      <c r="H399" s="1"/>
      <c r="I399" s="55" t="s">
        <v>7</v>
      </c>
      <c r="J399" s="1"/>
      <c r="K399" s="1"/>
      <c r="L399" s="1"/>
      <c r="M399" s="55" t="s">
        <v>7</v>
      </c>
      <c r="N399" s="1"/>
      <c r="O399" s="1"/>
      <c r="P399" s="1"/>
      <c r="Q399" s="55" t="s">
        <v>7</v>
      </c>
      <c r="R399" s="55" t="s">
        <v>7</v>
      </c>
    </row>
    <row r="400" spans="1:18" ht="16.5" customHeight="1" thickBot="1" x14ac:dyDescent="0.35">
      <c r="A400" s="109" t="s">
        <v>54</v>
      </c>
      <c r="B400" s="86">
        <f>SUM(B390:B399)</f>
        <v>0</v>
      </c>
      <c r="C400" s="87">
        <f>SUM(C390:C399)</f>
        <v>0</v>
      </c>
      <c r="D400" s="87">
        <f>SUM(D390:D399)</f>
        <v>2</v>
      </c>
      <c r="E400" s="59">
        <f>SUM(B400:D400)</f>
        <v>2</v>
      </c>
      <c r="F400" s="87">
        <f>SUM(F390:F399)</f>
        <v>0</v>
      </c>
      <c r="G400" s="87">
        <f>SUM(G390:G399)</f>
        <v>0</v>
      </c>
      <c r="H400" s="87">
        <f>SUM(H390:H399)</f>
        <v>2</v>
      </c>
      <c r="I400" s="59">
        <f>SUM(F400:H400)</f>
        <v>2</v>
      </c>
      <c r="J400" s="87">
        <f>SUM(J390:J399)</f>
        <v>2</v>
      </c>
      <c r="K400" s="87">
        <f>SUM(K390:K399)</f>
        <v>0</v>
      </c>
      <c r="L400" s="87">
        <f>SUM(L390:L399)</f>
        <v>2</v>
      </c>
      <c r="M400" s="59">
        <f>SUM(J400:L400)</f>
        <v>4</v>
      </c>
      <c r="N400" s="87">
        <f>SUM(N390:N399)</f>
        <v>0</v>
      </c>
      <c r="O400" s="87">
        <f>SUM(O390:O399)</f>
        <v>0</v>
      </c>
      <c r="P400" s="87">
        <f>SUM(P390:P399)</f>
        <v>0</v>
      </c>
      <c r="Q400" s="59">
        <f>SUM(N400:P400)</f>
        <v>0</v>
      </c>
      <c r="R400" s="59">
        <f>+E400+I400+M400+Q400</f>
        <v>8</v>
      </c>
    </row>
    <row r="401" spans="1:18" ht="15.75" customHeight="1" x14ac:dyDescent="0.3">
      <c r="A401" s="15" t="s">
        <v>55</v>
      </c>
      <c r="B401" s="1"/>
      <c r="C401" s="1"/>
      <c r="D401" s="1"/>
      <c r="E401" s="55" t="s">
        <v>7</v>
      </c>
      <c r="F401" s="1"/>
      <c r="G401" s="1"/>
      <c r="H401" s="1"/>
      <c r="I401" s="55" t="s">
        <v>7</v>
      </c>
      <c r="J401" s="1"/>
      <c r="K401" s="1"/>
      <c r="L401" s="1"/>
      <c r="M401" s="55" t="s">
        <v>7</v>
      </c>
      <c r="N401" s="1" t="s">
        <v>7</v>
      </c>
      <c r="O401" s="1"/>
      <c r="P401" s="1"/>
      <c r="Q401" s="55" t="s">
        <v>7</v>
      </c>
      <c r="R401" s="55" t="s">
        <v>7</v>
      </c>
    </row>
    <row r="402" spans="1:18" ht="15.75" customHeight="1" x14ac:dyDescent="0.3">
      <c r="A402" s="15" t="s">
        <v>57</v>
      </c>
      <c r="B402" s="1"/>
      <c r="C402" s="1"/>
      <c r="D402" s="1"/>
      <c r="E402" s="55" t="s">
        <v>7</v>
      </c>
      <c r="F402" s="1"/>
      <c r="G402" s="1"/>
      <c r="H402" s="1"/>
      <c r="I402" s="55" t="s">
        <v>7</v>
      </c>
      <c r="J402" s="1"/>
      <c r="K402" s="1"/>
      <c r="L402" s="1"/>
      <c r="M402" s="55" t="s">
        <v>7</v>
      </c>
      <c r="N402" s="1"/>
      <c r="O402" s="1"/>
      <c r="P402" s="1"/>
      <c r="Q402" s="55" t="s">
        <v>7</v>
      </c>
      <c r="R402" s="55" t="s">
        <v>7</v>
      </c>
    </row>
    <row r="403" spans="1:18" ht="15.75" customHeight="1" x14ac:dyDescent="0.3">
      <c r="A403" s="71" t="s">
        <v>565</v>
      </c>
      <c r="B403" s="1">
        <v>0</v>
      </c>
      <c r="C403" s="1">
        <v>285</v>
      </c>
      <c r="D403" s="1">
        <v>0</v>
      </c>
      <c r="E403" s="55">
        <f>SUM(B403:D403)</f>
        <v>285</v>
      </c>
      <c r="F403" s="1">
        <v>584</v>
      </c>
      <c r="G403" s="1">
        <v>3464</v>
      </c>
      <c r="H403" s="1">
        <v>12887</v>
      </c>
      <c r="I403" s="55">
        <f>SUM(F403:H403)</f>
        <v>16935</v>
      </c>
      <c r="J403" s="1">
        <v>11249</v>
      </c>
      <c r="K403" s="1">
        <v>17704</v>
      </c>
      <c r="L403" s="1">
        <v>9125</v>
      </c>
      <c r="M403" s="55">
        <f>SUM(J403:L403)</f>
        <v>38078</v>
      </c>
      <c r="N403" s="1">
        <f>2749-N304</f>
        <v>787</v>
      </c>
      <c r="O403" s="1">
        <v>743</v>
      </c>
      <c r="P403" s="1">
        <v>412</v>
      </c>
      <c r="Q403" s="55">
        <f>SUM(N403:P403)</f>
        <v>1942</v>
      </c>
      <c r="R403" s="55">
        <f>+E403+I403+M403+Q403</f>
        <v>57240</v>
      </c>
    </row>
    <row r="404" spans="1:18" ht="15.75" customHeight="1" thickBot="1" x14ac:dyDescent="0.35">
      <c r="A404" s="15" t="s">
        <v>58</v>
      </c>
      <c r="B404" s="1"/>
      <c r="C404" s="1"/>
      <c r="D404" s="1"/>
      <c r="E404" s="55" t="s">
        <v>7</v>
      </c>
      <c r="F404" s="1"/>
      <c r="G404" s="1"/>
      <c r="H404" s="1"/>
      <c r="I404" s="55" t="s">
        <v>7</v>
      </c>
      <c r="J404" s="1"/>
      <c r="K404" s="1"/>
      <c r="L404" s="1"/>
      <c r="M404" s="55" t="s">
        <v>7</v>
      </c>
      <c r="N404" s="1"/>
      <c r="O404" s="1"/>
      <c r="P404" s="1"/>
      <c r="Q404" s="55" t="s">
        <v>7</v>
      </c>
      <c r="R404" s="55" t="s">
        <v>7</v>
      </c>
    </row>
    <row r="405" spans="1:18" ht="16.5" customHeight="1" thickBot="1" x14ac:dyDescent="0.35">
      <c r="A405" s="57" t="s">
        <v>59</v>
      </c>
      <c r="B405" s="86">
        <f>SUM(B401:B404)</f>
        <v>0</v>
      </c>
      <c r="C405" s="87">
        <f>SUM(C401:C404)</f>
        <v>285</v>
      </c>
      <c r="D405" s="87">
        <f>SUM(D401:D404)</f>
        <v>0</v>
      </c>
      <c r="E405" s="59">
        <f>SUM(B405:D405)</f>
        <v>285</v>
      </c>
      <c r="F405" s="87">
        <f>SUM(F401:F404)</f>
        <v>584</v>
      </c>
      <c r="G405" s="87">
        <f>SUM(G401:G404)</f>
        <v>3464</v>
      </c>
      <c r="H405" s="87">
        <f>SUM(H401:H404)</f>
        <v>12887</v>
      </c>
      <c r="I405" s="59">
        <f>SUM(F405:H405)</f>
        <v>16935</v>
      </c>
      <c r="J405" s="87">
        <f>SUM(J401:J404)</f>
        <v>11249</v>
      </c>
      <c r="K405" s="87">
        <f>SUM(K401:K404)</f>
        <v>17704</v>
      </c>
      <c r="L405" s="87">
        <f>SUM(L401:L404)</f>
        <v>9125</v>
      </c>
      <c r="M405" s="59">
        <f>SUM(J405:L405)</f>
        <v>38078</v>
      </c>
      <c r="N405" s="87">
        <f>SUM(N401:N404)</f>
        <v>787</v>
      </c>
      <c r="O405" s="87">
        <f>SUM(O401:O404)</f>
        <v>743</v>
      </c>
      <c r="P405" s="87">
        <f>SUM(P401:P404)</f>
        <v>412</v>
      </c>
      <c r="Q405" s="59">
        <f>SUM(N405:P405)</f>
        <v>1942</v>
      </c>
      <c r="R405" s="59">
        <f>+E405+I405+M405+Q405</f>
        <v>57240</v>
      </c>
    </row>
    <row r="406" spans="1:18" ht="15.75" customHeight="1" x14ac:dyDescent="0.3">
      <c r="A406" s="15" t="s">
        <v>60</v>
      </c>
      <c r="B406" s="1"/>
      <c r="C406" s="1"/>
      <c r="D406" s="1"/>
      <c r="E406" s="55" t="s">
        <v>7</v>
      </c>
      <c r="F406" s="1"/>
      <c r="G406" s="1"/>
      <c r="H406" s="1"/>
      <c r="I406" s="55" t="s">
        <v>7</v>
      </c>
      <c r="J406" s="1"/>
      <c r="K406" s="1"/>
      <c r="L406" s="1"/>
      <c r="M406" s="55" t="s">
        <v>7</v>
      </c>
      <c r="N406" s="1"/>
      <c r="O406" s="1"/>
      <c r="P406" s="1"/>
      <c r="Q406" s="55" t="s">
        <v>7</v>
      </c>
      <c r="R406" s="55" t="s">
        <v>7</v>
      </c>
    </row>
    <row r="407" spans="1:18" ht="15.75" customHeight="1" x14ac:dyDescent="0.3">
      <c r="A407" s="15" t="s">
        <v>61</v>
      </c>
      <c r="B407" s="1"/>
      <c r="C407" s="1"/>
      <c r="D407" s="1"/>
      <c r="E407" s="55" t="s">
        <v>7</v>
      </c>
      <c r="F407" s="1"/>
      <c r="G407" s="1"/>
      <c r="H407" s="1"/>
      <c r="I407" s="55" t="s">
        <v>7</v>
      </c>
      <c r="J407" s="1"/>
      <c r="K407" s="1"/>
      <c r="L407" s="1"/>
      <c r="M407" s="55" t="s">
        <v>7</v>
      </c>
      <c r="N407" s="1"/>
      <c r="O407" s="1"/>
      <c r="P407" s="1"/>
      <c r="Q407" s="55" t="s">
        <v>7</v>
      </c>
      <c r="R407" s="55" t="s">
        <v>7</v>
      </c>
    </row>
    <row r="408" spans="1:18" ht="15.75" customHeight="1" thickBot="1" x14ac:dyDescent="0.35">
      <c r="A408" s="15" t="s">
        <v>62</v>
      </c>
      <c r="B408" s="1"/>
      <c r="C408" s="1"/>
      <c r="D408" s="1"/>
      <c r="E408" s="55" t="s">
        <v>7</v>
      </c>
      <c r="F408" s="1"/>
      <c r="G408" s="1"/>
      <c r="H408" s="1"/>
      <c r="I408" s="55" t="s">
        <v>7</v>
      </c>
      <c r="J408" s="1"/>
      <c r="K408" s="1"/>
      <c r="L408" s="1"/>
      <c r="M408" s="55" t="s">
        <v>7</v>
      </c>
      <c r="N408" s="1"/>
      <c r="O408" s="1"/>
      <c r="P408" s="1"/>
      <c r="Q408" s="55" t="s">
        <v>7</v>
      </c>
      <c r="R408" s="55" t="s">
        <v>7</v>
      </c>
    </row>
    <row r="409" spans="1:18" ht="16.5" customHeight="1" thickBot="1" x14ac:dyDescent="0.35">
      <c r="A409" s="114" t="s">
        <v>63</v>
      </c>
      <c r="B409" s="86">
        <f>SUM(B406:B408)</f>
        <v>0</v>
      </c>
      <c r="C409" s="87">
        <f>SUM(C406:C408)</f>
        <v>0</v>
      </c>
      <c r="D409" s="87">
        <f>SUM(D406:D408)</f>
        <v>0</v>
      </c>
      <c r="E409" s="59">
        <f>SUM(B409:D409)</f>
        <v>0</v>
      </c>
      <c r="F409" s="87">
        <f>SUM(F406:F408)</f>
        <v>0</v>
      </c>
      <c r="G409" s="87">
        <f>SUM(G406:G408)</f>
        <v>0</v>
      </c>
      <c r="H409" s="87">
        <f>SUM(H406:H408)</f>
        <v>0</v>
      </c>
      <c r="I409" s="59">
        <f>SUM(F409:H409)</f>
        <v>0</v>
      </c>
      <c r="J409" s="87">
        <f>SUM(J406:J408)</f>
        <v>0</v>
      </c>
      <c r="K409" s="87">
        <f>SUM(K406:K408)</f>
        <v>0</v>
      </c>
      <c r="L409" s="87">
        <f>SUM(L406:L408)</f>
        <v>0</v>
      </c>
      <c r="M409" s="59">
        <f>SUM(J409:L409)</f>
        <v>0</v>
      </c>
      <c r="N409" s="87">
        <f>SUM(N406:N408)</f>
        <v>0</v>
      </c>
      <c r="O409" s="87">
        <f>SUM(O406:O408)</f>
        <v>0</v>
      </c>
      <c r="P409" s="87">
        <f>SUM(P406:P408)</f>
        <v>0</v>
      </c>
      <c r="Q409" s="59">
        <f>SUM(N409:P409)</f>
        <v>0</v>
      </c>
      <c r="R409" s="59">
        <f>+E409+I409+M409+Q409</f>
        <v>0</v>
      </c>
    </row>
    <row r="410" spans="1:18" ht="15.75" customHeight="1" x14ac:dyDescent="0.3">
      <c r="A410" s="15" t="s">
        <v>64</v>
      </c>
      <c r="B410" s="1"/>
      <c r="C410" s="1"/>
      <c r="D410" s="1"/>
      <c r="E410" s="55" t="s">
        <v>7</v>
      </c>
      <c r="F410" s="1"/>
      <c r="G410" s="1"/>
      <c r="H410" s="1"/>
      <c r="I410" s="55" t="s">
        <v>7</v>
      </c>
      <c r="J410" s="1"/>
      <c r="K410" s="1"/>
      <c r="L410" s="1"/>
      <c r="M410" s="55" t="s">
        <v>7</v>
      </c>
      <c r="N410" s="1"/>
      <c r="O410" s="1"/>
      <c r="P410" s="1"/>
      <c r="Q410" s="55" t="s">
        <v>7</v>
      </c>
      <c r="R410" s="55" t="s">
        <v>7</v>
      </c>
    </row>
    <row r="411" spans="1:18" ht="15.75" customHeight="1" x14ac:dyDescent="0.3">
      <c r="A411" s="15" t="s">
        <v>594</v>
      </c>
      <c r="B411" s="1"/>
      <c r="C411" s="1"/>
      <c r="D411" s="1"/>
      <c r="E411" s="55" t="s">
        <v>7</v>
      </c>
      <c r="F411" s="1"/>
      <c r="G411" s="1"/>
      <c r="H411" s="1"/>
      <c r="I411" s="55" t="s">
        <v>7</v>
      </c>
      <c r="J411" s="1"/>
      <c r="K411" s="1"/>
      <c r="L411" s="1"/>
      <c r="M411" s="55" t="s">
        <v>7</v>
      </c>
      <c r="N411" s="1"/>
      <c r="O411" s="1"/>
      <c r="P411" s="1"/>
      <c r="Q411" s="55" t="s">
        <v>7</v>
      </c>
      <c r="R411" s="55" t="s">
        <v>7</v>
      </c>
    </row>
    <row r="412" spans="1:18" ht="15.75" customHeight="1" x14ac:dyDescent="0.3">
      <c r="A412" s="15" t="s">
        <v>67</v>
      </c>
      <c r="B412" s="1"/>
      <c r="C412" s="1"/>
      <c r="D412" s="1"/>
      <c r="E412" s="55" t="s">
        <v>7</v>
      </c>
      <c r="F412" s="1"/>
      <c r="G412" s="1"/>
      <c r="H412" s="1"/>
      <c r="I412" s="55" t="s">
        <v>7</v>
      </c>
      <c r="J412" s="1"/>
      <c r="K412" s="1"/>
      <c r="L412" s="1"/>
      <c r="M412" s="55" t="s">
        <v>7</v>
      </c>
      <c r="N412" s="1"/>
      <c r="O412" s="1"/>
      <c r="P412" s="1"/>
      <c r="Q412" s="55" t="s">
        <v>7</v>
      </c>
      <c r="R412" s="55" t="s">
        <v>7</v>
      </c>
    </row>
    <row r="413" spans="1:18" ht="15.75" customHeight="1" x14ac:dyDescent="0.3">
      <c r="A413" s="15" t="s">
        <v>600</v>
      </c>
      <c r="B413" s="1"/>
      <c r="C413" s="1"/>
      <c r="D413" s="1"/>
      <c r="E413" s="55" t="s">
        <v>7</v>
      </c>
      <c r="F413" s="1"/>
      <c r="G413" s="1"/>
      <c r="H413" s="1"/>
      <c r="I413" s="55" t="s">
        <v>7</v>
      </c>
      <c r="J413" s="1"/>
      <c r="K413" s="1"/>
      <c r="L413" s="1"/>
      <c r="M413" s="55" t="s">
        <v>7</v>
      </c>
      <c r="N413" s="1"/>
      <c r="O413" s="1"/>
      <c r="P413" s="1"/>
      <c r="Q413" s="55" t="s">
        <v>7</v>
      </c>
      <c r="R413" s="55" t="s">
        <v>7</v>
      </c>
    </row>
    <row r="414" spans="1:18" ht="15.75" customHeight="1" x14ac:dyDescent="0.3">
      <c r="A414" s="15" t="s">
        <v>70</v>
      </c>
      <c r="B414" s="1"/>
      <c r="C414" s="1"/>
      <c r="D414" s="1"/>
      <c r="E414" s="55" t="s">
        <v>7</v>
      </c>
      <c r="F414" s="1"/>
      <c r="G414" s="1"/>
      <c r="H414" s="1"/>
      <c r="I414" s="55" t="s">
        <v>7</v>
      </c>
      <c r="J414" s="1"/>
      <c r="K414" s="1"/>
      <c r="L414" s="1"/>
      <c r="M414" s="55" t="s">
        <v>7</v>
      </c>
      <c r="N414" s="1"/>
      <c r="O414" s="1"/>
      <c r="P414" s="1"/>
      <c r="Q414" s="55" t="s">
        <v>7</v>
      </c>
      <c r="R414" s="55" t="s">
        <v>7</v>
      </c>
    </row>
    <row r="415" spans="1:18" ht="15.75" customHeight="1" x14ac:dyDescent="0.3">
      <c r="A415" s="71" t="s">
        <v>759</v>
      </c>
      <c r="B415" s="1"/>
      <c r="C415" s="1"/>
      <c r="D415" s="1"/>
      <c r="E415" s="55">
        <f t="shared" ref="E415:E420" si="79">SUM(B415:D415)</f>
        <v>0</v>
      </c>
      <c r="F415" s="1"/>
      <c r="G415" s="1"/>
      <c r="H415" s="1"/>
      <c r="I415" s="55">
        <f t="shared" ref="I415:I420" si="80">SUM(F415:H415)</f>
        <v>0</v>
      </c>
      <c r="J415" s="1"/>
      <c r="K415" s="1"/>
      <c r="L415" s="1"/>
      <c r="M415" s="55">
        <f t="shared" ref="M415:M420" si="81">SUM(J415:L415)</f>
        <v>0</v>
      </c>
      <c r="N415" s="1">
        <v>2361</v>
      </c>
      <c r="O415" s="1"/>
      <c r="P415" s="1"/>
      <c r="Q415" s="55">
        <f t="shared" ref="Q415:Q420" si="82">SUM(N415:P415)</f>
        <v>2361</v>
      </c>
      <c r="R415" s="55">
        <f t="shared" ref="R415:R420" si="83">+E415+I415+M415+Q415</f>
        <v>2361</v>
      </c>
    </row>
    <row r="416" spans="1:18" ht="15.75" customHeight="1" thickBot="1" x14ac:dyDescent="0.35">
      <c r="A416" s="71" t="s">
        <v>760</v>
      </c>
      <c r="B416" s="1"/>
      <c r="C416" s="1"/>
      <c r="D416" s="1"/>
      <c r="E416" s="55">
        <f t="shared" si="79"/>
        <v>0</v>
      </c>
      <c r="F416" s="1"/>
      <c r="G416" s="1"/>
      <c r="H416" s="1"/>
      <c r="I416" s="55">
        <f t="shared" si="80"/>
        <v>0</v>
      </c>
      <c r="J416" s="1"/>
      <c r="K416" s="1"/>
      <c r="L416" s="1"/>
      <c r="M416" s="55">
        <f t="shared" si="81"/>
        <v>0</v>
      </c>
      <c r="N416" s="1"/>
      <c r="O416" s="1"/>
      <c r="P416" s="1"/>
      <c r="Q416" s="55">
        <f t="shared" si="82"/>
        <v>0</v>
      </c>
      <c r="R416" s="55">
        <f t="shared" si="83"/>
        <v>0</v>
      </c>
    </row>
    <row r="417" spans="1:18" ht="16.5" customHeight="1" thickBot="1" x14ac:dyDescent="0.35">
      <c r="A417" s="57" t="s">
        <v>71</v>
      </c>
      <c r="B417" s="58">
        <f>SUM(B413:B416)</f>
        <v>0</v>
      </c>
      <c r="C417" s="58">
        <f>SUM(C413:C416)</f>
        <v>0</v>
      </c>
      <c r="D417" s="58">
        <f>SUM(D413:D416)</f>
        <v>0</v>
      </c>
      <c r="E417" s="60">
        <f t="shared" si="79"/>
        <v>0</v>
      </c>
      <c r="F417" s="58">
        <f>SUM(F413:F416)</f>
        <v>0</v>
      </c>
      <c r="G417" s="58">
        <f>SUM(G413:G416)</f>
        <v>0</v>
      </c>
      <c r="H417" s="58">
        <f>SUM(H413:H416)</f>
        <v>0</v>
      </c>
      <c r="I417" s="60">
        <f t="shared" si="80"/>
        <v>0</v>
      </c>
      <c r="J417" s="58">
        <f>SUM(J413:J416)</f>
        <v>0</v>
      </c>
      <c r="K417" s="58">
        <f>SUM(K413:K416)</f>
        <v>0</v>
      </c>
      <c r="L417" s="58">
        <f>SUM(L413:L416)</f>
        <v>0</v>
      </c>
      <c r="M417" s="60">
        <f t="shared" si="81"/>
        <v>0</v>
      </c>
      <c r="N417" s="58">
        <f>SUM(N413:N416)</f>
        <v>2361</v>
      </c>
      <c r="O417" s="58">
        <f>SUM(O413:O416)</f>
        <v>0</v>
      </c>
      <c r="P417" s="58">
        <f>SUM(P413:P416)</f>
        <v>0</v>
      </c>
      <c r="Q417" s="60">
        <f t="shared" si="82"/>
        <v>2361</v>
      </c>
      <c r="R417" s="59">
        <f t="shared" si="83"/>
        <v>2361</v>
      </c>
    </row>
    <row r="418" spans="1:18" ht="16.5" customHeight="1" thickBot="1" x14ac:dyDescent="0.35">
      <c r="A418" s="114" t="s">
        <v>72</v>
      </c>
      <c r="B418" s="86">
        <f>SUM(B410:B416)</f>
        <v>0</v>
      </c>
      <c r="C418" s="87">
        <f>SUM(C410:C416)</f>
        <v>0</v>
      </c>
      <c r="D418" s="118">
        <f>SUM(D410:D416)</f>
        <v>0</v>
      </c>
      <c r="E418" s="60">
        <f t="shared" si="79"/>
        <v>0</v>
      </c>
      <c r="F418" s="87">
        <f>SUM(F410:F416)</f>
        <v>0</v>
      </c>
      <c r="G418" s="87">
        <f>SUM(G410:G416)</f>
        <v>0</v>
      </c>
      <c r="H418" s="87">
        <f>SUM(H410:H416)</f>
        <v>0</v>
      </c>
      <c r="I418" s="60">
        <f t="shared" si="80"/>
        <v>0</v>
      </c>
      <c r="J418" s="87">
        <f>SUM(J410:J416)</f>
        <v>0</v>
      </c>
      <c r="K418" s="87">
        <f>SUM(K410:K416)</f>
        <v>0</v>
      </c>
      <c r="L418" s="87">
        <f>SUM(L410:L416)</f>
        <v>0</v>
      </c>
      <c r="M418" s="60">
        <f t="shared" si="81"/>
        <v>0</v>
      </c>
      <c r="N418" s="87">
        <f>SUM(N410:N416)</f>
        <v>2361</v>
      </c>
      <c r="O418" s="87">
        <f>SUM(O410:O416)</f>
        <v>0</v>
      </c>
      <c r="P418" s="87">
        <f>SUM(P410:P416)</f>
        <v>0</v>
      </c>
      <c r="Q418" s="60">
        <f t="shared" si="82"/>
        <v>2361</v>
      </c>
      <c r="R418" s="59">
        <f t="shared" si="83"/>
        <v>2361</v>
      </c>
    </row>
    <row r="419" spans="1:18" ht="16.5" customHeight="1" thickBot="1" x14ac:dyDescent="0.35">
      <c r="A419" s="57" t="s">
        <v>73</v>
      </c>
      <c r="B419" s="90">
        <f>+B400+B405+B409+B418</f>
        <v>0</v>
      </c>
      <c r="C419" s="58">
        <f>+C400+C405+C409+C418</f>
        <v>285</v>
      </c>
      <c r="D419" s="58">
        <f>+D400+D405+D409+D418</f>
        <v>2</v>
      </c>
      <c r="E419" s="59">
        <f t="shared" si="79"/>
        <v>287</v>
      </c>
      <c r="F419" s="58">
        <f>+F400+F405+F409+F418</f>
        <v>584</v>
      </c>
      <c r="G419" s="58">
        <f>+G400+G405+G409+G418</f>
        <v>3464</v>
      </c>
      <c r="H419" s="58">
        <f>+H400+H405+H409+H418</f>
        <v>12889</v>
      </c>
      <c r="I419" s="59">
        <f t="shared" si="80"/>
        <v>16937</v>
      </c>
      <c r="J419" s="58">
        <f>+J400+J405+J409+J418</f>
        <v>11251</v>
      </c>
      <c r="K419" s="58">
        <f>+K400+K405+K409+K418</f>
        <v>17704</v>
      </c>
      <c r="L419" s="58">
        <f>+L400+L405+L409+L418</f>
        <v>9127</v>
      </c>
      <c r="M419" s="59">
        <f t="shared" si="81"/>
        <v>38082</v>
      </c>
      <c r="N419" s="58">
        <f>+N400+N405+N409+N418</f>
        <v>3148</v>
      </c>
      <c r="O419" s="58">
        <f>+O400+O405+O409+O418</f>
        <v>743</v>
      </c>
      <c r="P419" s="58">
        <f>+P400+P405+P409+P418</f>
        <v>412</v>
      </c>
      <c r="Q419" s="59">
        <f t="shared" si="82"/>
        <v>4303</v>
      </c>
      <c r="R419" s="81">
        <f t="shared" si="83"/>
        <v>59609</v>
      </c>
    </row>
    <row r="420" spans="1:18" ht="16.5" customHeight="1" thickBot="1" x14ac:dyDescent="0.35">
      <c r="A420" s="39" t="s">
        <v>40</v>
      </c>
      <c r="B420" s="21">
        <v>9</v>
      </c>
      <c r="C420" s="21">
        <v>16</v>
      </c>
      <c r="D420" s="21">
        <v>25</v>
      </c>
      <c r="E420" s="55">
        <f t="shared" si="79"/>
        <v>50</v>
      </c>
      <c r="F420" s="21">
        <v>34</v>
      </c>
      <c r="G420" s="21">
        <v>41</v>
      </c>
      <c r="H420" s="21">
        <v>41</v>
      </c>
      <c r="I420" s="55">
        <f t="shared" si="80"/>
        <v>116</v>
      </c>
      <c r="J420" s="21">
        <v>39</v>
      </c>
      <c r="K420" s="21">
        <v>30</v>
      </c>
      <c r="L420" s="21">
        <v>30</v>
      </c>
      <c r="M420" s="55">
        <f t="shared" si="81"/>
        <v>99</v>
      </c>
      <c r="N420" s="21">
        <v>28</v>
      </c>
      <c r="O420" s="21">
        <v>22</v>
      </c>
      <c r="P420" s="21">
        <v>16</v>
      </c>
      <c r="Q420" s="55">
        <f t="shared" si="82"/>
        <v>66</v>
      </c>
      <c r="R420" s="55">
        <f t="shared" si="83"/>
        <v>331</v>
      </c>
    </row>
    <row r="421" spans="1:18" ht="16.5" customHeight="1" thickBot="1" x14ac:dyDescent="0.35">
      <c r="A421" s="74"/>
      <c r="B421" s="75"/>
      <c r="C421" s="75"/>
      <c r="D421" s="75"/>
      <c r="E421" s="59"/>
      <c r="F421" s="75"/>
      <c r="G421" s="75"/>
      <c r="H421" s="75"/>
      <c r="I421" s="59"/>
      <c r="J421" s="75"/>
      <c r="K421" s="75"/>
      <c r="L421" s="75"/>
      <c r="M421" s="59"/>
      <c r="N421" s="75"/>
      <c r="O421" s="75"/>
      <c r="P421" s="75"/>
      <c r="Q421" s="59"/>
      <c r="R421" s="59" t="s">
        <v>7</v>
      </c>
    </row>
    <row r="422" spans="1:18" ht="15.75" customHeight="1" x14ac:dyDescent="0.3">
      <c r="A422" s="76" t="s">
        <v>41</v>
      </c>
      <c r="B422" s="77">
        <f>SUM(B419:B420)</f>
        <v>9</v>
      </c>
      <c r="C422" s="77">
        <f>SUM(C419:C420)</f>
        <v>301</v>
      </c>
      <c r="D422" s="77">
        <f>SUM(D419:D420)</f>
        <v>27</v>
      </c>
      <c r="E422" s="60">
        <f>SUM(B422:D422)</f>
        <v>337</v>
      </c>
      <c r="F422" s="77">
        <f>SUM(F419:F420)</f>
        <v>618</v>
      </c>
      <c r="G422" s="77">
        <f>SUM(G419:G420)</f>
        <v>3505</v>
      </c>
      <c r="H422" s="77">
        <f>SUM(H419:H420)</f>
        <v>12930</v>
      </c>
      <c r="I422" s="60">
        <f>SUM(F422:H422)</f>
        <v>17053</v>
      </c>
      <c r="J422" s="77">
        <f>SUM(J419:J420)</f>
        <v>11290</v>
      </c>
      <c r="K422" s="77">
        <f>SUM(K419:K420)</f>
        <v>17734</v>
      </c>
      <c r="L422" s="77">
        <f>SUM(L419:L420)</f>
        <v>9157</v>
      </c>
      <c r="M422" s="60">
        <f>SUM(J422:L422)</f>
        <v>38181</v>
      </c>
      <c r="N422" s="77">
        <f>SUM(N419:N420)</f>
        <v>3176</v>
      </c>
      <c r="O422" s="77">
        <f>SUM(O419:O420)</f>
        <v>765</v>
      </c>
      <c r="P422" s="77">
        <f>SUM(P419:P420)</f>
        <v>428</v>
      </c>
      <c r="Q422" s="60">
        <f>SUM(N422:P422)</f>
        <v>4369</v>
      </c>
      <c r="R422" s="60">
        <f>+E422+I422+M422+Q422</f>
        <v>59940</v>
      </c>
    </row>
    <row r="423" spans="1:18" ht="15.75" customHeight="1" x14ac:dyDescent="0.3">
      <c r="A423" s="79" t="s">
        <v>42</v>
      </c>
      <c r="B423" s="1">
        <f>(B422/31)/1.983</f>
        <v>0.14640573910497293</v>
      </c>
      <c r="C423" s="1">
        <f>(C422/28)/1.983</f>
        <v>5.4210791729702468</v>
      </c>
      <c r="D423" s="1">
        <f>(D422/31)/1.983</f>
        <v>0.43921721731491875</v>
      </c>
      <c r="E423" s="55" t="s">
        <v>7</v>
      </c>
      <c r="F423" s="1">
        <f>(F422/30)/1.983</f>
        <v>10.388300554715078</v>
      </c>
      <c r="G423" s="1">
        <f>(G422/31)/1.983</f>
        <v>57.016901729214446</v>
      </c>
      <c r="H423" s="1">
        <f>(H422/30)/1.983</f>
        <v>217.34745335350479</v>
      </c>
      <c r="I423" s="55" t="s">
        <v>7</v>
      </c>
      <c r="J423" s="1">
        <f>(J422/31)/1.983</f>
        <v>183.657866055016</v>
      </c>
      <c r="K423" s="1">
        <f>(K422/31)/1.983</f>
        <v>288.48437525417665</v>
      </c>
      <c r="L423" s="1">
        <f>(L422/30)/1.983</f>
        <v>153.9250294167087</v>
      </c>
      <c r="M423" s="55" t="s">
        <v>7</v>
      </c>
      <c r="N423" s="1">
        <f>(N422/31)/1.983</f>
        <v>51.664958599710438</v>
      </c>
      <c r="O423" s="1">
        <f>(O422/30)/1.983</f>
        <v>12.859304084720121</v>
      </c>
      <c r="P423" s="1">
        <f>(P422/31)/1.983</f>
        <v>6.962406259658712</v>
      </c>
      <c r="Q423" s="55" t="s">
        <v>7</v>
      </c>
      <c r="R423" s="55" t="s">
        <v>7</v>
      </c>
    </row>
    <row r="424" spans="1:18" ht="15.75" customHeight="1" x14ac:dyDescent="0.3">
      <c r="A424" s="79" t="s">
        <v>303</v>
      </c>
      <c r="B424" s="1">
        <f>B422+B465</f>
        <v>20523</v>
      </c>
      <c r="C424" s="1">
        <f>C422+C465</f>
        <v>24261</v>
      </c>
      <c r="D424" s="1">
        <f>D422+D465</f>
        <v>26098</v>
      </c>
      <c r="E424" s="55">
        <f>SUM(B424:D424)</f>
        <v>70882</v>
      </c>
      <c r="F424" s="1">
        <f>F422+F465</f>
        <v>32094</v>
      </c>
      <c r="G424" s="1">
        <f>G422+G465</f>
        <v>34873</v>
      </c>
      <c r="H424" s="1">
        <f>H422+H465</f>
        <v>40518</v>
      </c>
      <c r="I424" s="55">
        <f>SUM(F424:H424)</f>
        <v>107485</v>
      </c>
      <c r="J424" s="1">
        <f>J422+J465</f>
        <v>38830</v>
      </c>
      <c r="K424" s="1">
        <f>K422+K465</f>
        <v>46348</v>
      </c>
      <c r="L424" s="1">
        <f>L422+L465</f>
        <v>35891</v>
      </c>
      <c r="M424" s="55">
        <f>SUM(J424:L424)</f>
        <v>121069</v>
      </c>
      <c r="N424" s="1">
        <f>N422+N465</f>
        <v>19337</v>
      </c>
      <c r="O424" s="1">
        <f>O422+O465</f>
        <v>10302</v>
      </c>
      <c r="P424" s="1">
        <f>P422+P465</f>
        <v>20654</v>
      </c>
      <c r="Q424" s="55">
        <f>SUM(N424:P424)</f>
        <v>50293</v>
      </c>
      <c r="R424" s="55">
        <f>+E424+I424+M424+Q424</f>
        <v>349729</v>
      </c>
    </row>
    <row r="425" spans="1:18" ht="16.5" customHeight="1" thickBot="1" x14ac:dyDescent="0.35">
      <c r="A425" s="80" t="s">
        <v>304</v>
      </c>
      <c r="B425" s="25">
        <f>(B424/31)/1.983</f>
        <v>333.8538870723732</v>
      </c>
      <c r="C425" s="25">
        <f>(C424/28)/1.983</f>
        <v>436.94618543332609</v>
      </c>
      <c r="D425" s="25">
        <f>(D424/31)/1.983</f>
        <v>424.54410879573146</v>
      </c>
      <c r="E425" s="81" t="s">
        <v>7</v>
      </c>
      <c r="F425" s="25">
        <f>(F424/30)/1.983</f>
        <v>539.48562783661112</v>
      </c>
      <c r="G425" s="25">
        <f>(G424/31)/1.983</f>
        <v>567.28970442308002</v>
      </c>
      <c r="H425" s="25">
        <f>(H424/30)/1.983</f>
        <v>681.08925869894097</v>
      </c>
      <c r="I425" s="81" t="s">
        <v>7</v>
      </c>
      <c r="J425" s="25">
        <f>(J424/31)/1.983</f>
        <v>631.65942771623304</v>
      </c>
      <c r="K425" s="25">
        <f>(K424/31)/1.983</f>
        <v>753.95702178192039</v>
      </c>
      <c r="L425" s="25">
        <f>(L424/30)/1.983</f>
        <v>603.31148092116314</v>
      </c>
      <c r="M425" s="81" t="s">
        <v>7</v>
      </c>
      <c r="N425" s="25">
        <f>(N424/31)/1.983</f>
        <v>314.56086411920677</v>
      </c>
      <c r="O425" s="25">
        <f>(O424/30)/1.983</f>
        <v>173.17196167423094</v>
      </c>
      <c r="P425" s="25">
        <f>(P424/31)/1.983</f>
        <v>335.98490394156784</v>
      </c>
      <c r="Q425" s="81" t="s">
        <v>7</v>
      </c>
      <c r="R425" s="81" t="s">
        <v>7</v>
      </c>
    </row>
    <row r="426" spans="1:18" ht="15.75" customHeight="1" x14ac:dyDescent="0.3">
      <c r="A426" s="2"/>
      <c r="B426" s="1"/>
      <c r="C426" s="1"/>
      <c r="D426" s="1"/>
      <c r="E426" s="1"/>
      <c r="F426" s="1"/>
      <c r="G426" s="1"/>
      <c r="H426" s="1"/>
      <c r="I426" s="1"/>
      <c r="J426" s="1"/>
      <c r="K426" s="1"/>
      <c r="L426" s="1"/>
      <c r="M426" s="1"/>
      <c r="N426" s="1"/>
      <c r="O426" s="1"/>
      <c r="P426" s="1"/>
      <c r="Q426" s="1"/>
      <c r="R426" s="2"/>
    </row>
    <row r="427" spans="1:18" ht="15.75" customHeight="1" thickBot="1" x14ac:dyDescent="0.35">
      <c r="A427" s="2"/>
      <c r="B427" s="1"/>
      <c r="C427" s="1"/>
      <c r="D427" s="1"/>
      <c r="E427" s="1"/>
      <c r="F427" s="1"/>
      <c r="G427" s="1"/>
      <c r="H427" s="1"/>
      <c r="I427" s="1"/>
      <c r="J427" s="1"/>
      <c r="K427" s="1"/>
      <c r="L427" s="1"/>
      <c r="M427" s="1"/>
      <c r="N427" s="1"/>
      <c r="O427" s="1"/>
      <c r="P427" s="1"/>
      <c r="Q427" s="1"/>
      <c r="R427" s="2"/>
    </row>
    <row r="428" spans="1:18" ht="16.5" customHeight="1" thickBot="1" x14ac:dyDescent="0.35">
      <c r="A428" s="124" t="s">
        <v>305</v>
      </c>
      <c r="B428" s="30" t="s">
        <v>8</v>
      </c>
      <c r="C428" s="31" t="s">
        <v>9</v>
      </c>
      <c r="D428" s="31" t="s">
        <v>10</v>
      </c>
      <c r="E428" s="32" t="s">
        <v>11</v>
      </c>
      <c r="F428" s="31" t="s">
        <v>12</v>
      </c>
      <c r="G428" s="31" t="s">
        <v>13</v>
      </c>
      <c r="H428" s="31" t="s">
        <v>14</v>
      </c>
      <c r="I428" s="33" t="s">
        <v>15</v>
      </c>
      <c r="J428" s="31" t="s">
        <v>16</v>
      </c>
      <c r="K428" s="31" t="s">
        <v>17</v>
      </c>
      <c r="L428" s="31" t="s">
        <v>18</v>
      </c>
      <c r="M428" s="33" t="s">
        <v>19</v>
      </c>
      <c r="N428" s="31" t="s">
        <v>20</v>
      </c>
      <c r="O428" s="31" t="s">
        <v>21</v>
      </c>
      <c r="P428" s="31" t="s">
        <v>22</v>
      </c>
      <c r="Q428" s="33" t="s">
        <v>23</v>
      </c>
      <c r="R428" s="34" t="s">
        <v>24</v>
      </c>
    </row>
    <row r="429" spans="1:18" ht="16.5" customHeight="1" thickBot="1" x14ac:dyDescent="0.35">
      <c r="A429" s="59"/>
      <c r="B429" s="75"/>
      <c r="C429" s="75"/>
      <c r="D429" s="75"/>
      <c r="E429" s="69"/>
      <c r="F429" s="75"/>
      <c r="G429" s="75"/>
      <c r="H429" s="75"/>
      <c r="I429" s="82"/>
      <c r="J429" s="75"/>
      <c r="K429" s="75"/>
      <c r="L429" s="75"/>
      <c r="M429" s="82"/>
      <c r="N429" s="75"/>
      <c r="O429" s="75"/>
      <c r="P429" s="75"/>
      <c r="Q429" s="82"/>
      <c r="R429" s="100"/>
    </row>
    <row r="430" spans="1:18" ht="15.75" customHeight="1" x14ac:dyDescent="0.3">
      <c r="A430" s="15" t="s">
        <v>48</v>
      </c>
      <c r="B430" s="1" t="s">
        <v>7</v>
      </c>
      <c r="C430" s="1" t="s">
        <v>7</v>
      </c>
      <c r="D430" s="1" t="s">
        <v>7</v>
      </c>
      <c r="E430" s="55" t="s">
        <v>7</v>
      </c>
      <c r="F430" s="1" t="s">
        <v>7</v>
      </c>
      <c r="G430" s="1" t="s">
        <v>7</v>
      </c>
      <c r="H430" s="1" t="s">
        <v>7</v>
      </c>
      <c r="I430" s="55" t="s">
        <v>7</v>
      </c>
      <c r="J430" s="1" t="s">
        <v>7</v>
      </c>
      <c r="K430" s="1" t="s">
        <v>7</v>
      </c>
      <c r="L430" s="1" t="s">
        <v>7</v>
      </c>
      <c r="M430" s="55" t="s">
        <v>7</v>
      </c>
      <c r="N430" s="1" t="s">
        <v>7</v>
      </c>
      <c r="O430" s="1" t="s">
        <v>7</v>
      </c>
      <c r="P430" s="1" t="s">
        <v>7</v>
      </c>
      <c r="Q430" s="55" t="s">
        <v>7</v>
      </c>
      <c r="R430" s="55" t="s">
        <v>7</v>
      </c>
    </row>
    <row r="431" spans="1:18" ht="15.75" customHeight="1" x14ac:dyDescent="0.3">
      <c r="A431" s="15" t="s">
        <v>49</v>
      </c>
      <c r="B431" s="1"/>
      <c r="C431" s="1"/>
      <c r="D431" s="1"/>
      <c r="E431" s="55" t="s">
        <v>7</v>
      </c>
      <c r="F431" s="1"/>
      <c r="G431" s="1"/>
      <c r="H431" s="1"/>
      <c r="I431" s="55" t="s">
        <v>7</v>
      </c>
      <c r="J431" s="1"/>
      <c r="K431" s="1"/>
      <c r="L431" s="1"/>
      <c r="M431" s="55" t="s">
        <v>7</v>
      </c>
      <c r="N431" s="1"/>
      <c r="O431" s="1"/>
      <c r="P431" s="1"/>
      <c r="Q431" s="55" t="s">
        <v>7</v>
      </c>
      <c r="R431" s="55" t="s">
        <v>7</v>
      </c>
    </row>
    <row r="432" spans="1:18" ht="15.75" customHeight="1" x14ac:dyDescent="0.3">
      <c r="A432" s="71" t="s">
        <v>306</v>
      </c>
      <c r="B432" s="1"/>
      <c r="C432" s="1"/>
      <c r="D432" s="1"/>
      <c r="E432" s="55">
        <f>SUM(B432:D432)</f>
        <v>0</v>
      </c>
      <c r="F432" s="1"/>
      <c r="G432" s="1"/>
      <c r="H432" s="1">
        <v>846</v>
      </c>
      <c r="I432" s="55">
        <f>SUM(F432:H432)</f>
        <v>846</v>
      </c>
      <c r="J432" s="1">
        <v>154</v>
      </c>
      <c r="K432" s="1"/>
      <c r="L432" s="1"/>
      <c r="M432" s="55">
        <f>SUM(J432:L432)</f>
        <v>154</v>
      </c>
      <c r="N432" s="1"/>
      <c r="O432" s="1"/>
      <c r="P432" s="1"/>
      <c r="Q432" s="55">
        <f>SUM(N432:P432)</f>
        <v>0</v>
      </c>
      <c r="R432" s="55">
        <f>+E432+I432+M432+Q432</f>
        <v>1000</v>
      </c>
    </row>
    <row r="433" spans="1:20" ht="15.75" customHeight="1" x14ac:dyDescent="0.3">
      <c r="A433" s="71" t="s">
        <v>656</v>
      </c>
      <c r="B433" s="1"/>
      <c r="C433" s="1"/>
      <c r="D433" s="1"/>
      <c r="E433" s="55">
        <f>SUM(B433:D433)</f>
        <v>0</v>
      </c>
      <c r="F433" s="1"/>
      <c r="G433" s="1"/>
      <c r="H433" s="1"/>
      <c r="I433" s="55">
        <f>SUM(F433:H433)</f>
        <v>0</v>
      </c>
      <c r="J433" s="1">
        <v>1532</v>
      </c>
      <c r="K433" s="1">
        <v>968</v>
      </c>
      <c r="L433" s="1"/>
      <c r="M433" s="55">
        <f>SUM(J433:L433)</f>
        <v>2500</v>
      </c>
      <c r="N433" s="1"/>
      <c r="O433" s="1"/>
      <c r="P433" s="1"/>
      <c r="Q433" s="55">
        <f>SUM(N433:P433)</f>
        <v>0</v>
      </c>
      <c r="R433" s="55">
        <f>+E433+I433+M433+Q433</f>
        <v>2500</v>
      </c>
    </row>
    <row r="434" spans="1:20" ht="15.75" customHeight="1" x14ac:dyDescent="0.3">
      <c r="A434" s="71" t="s">
        <v>657</v>
      </c>
      <c r="B434" s="1"/>
      <c r="C434" s="1"/>
      <c r="D434" s="1"/>
      <c r="E434" s="55">
        <f>SUM(B434:D434)</f>
        <v>0</v>
      </c>
      <c r="F434" s="1"/>
      <c r="G434" s="1"/>
      <c r="H434" s="1"/>
      <c r="I434" s="55">
        <f>SUM(F434:H434)</f>
        <v>0</v>
      </c>
      <c r="J434" s="1">
        <v>0</v>
      </c>
      <c r="K434" s="1">
        <v>585</v>
      </c>
      <c r="L434" s="1">
        <v>1272</v>
      </c>
      <c r="M434" s="55">
        <f>SUM(J434:L434)</f>
        <v>1857</v>
      </c>
      <c r="N434" s="1"/>
      <c r="O434" s="1"/>
      <c r="P434" s="1"/>
      <c r="Q434" s="55">
        <f>SUM(N434:P434)</f>
        <v>0</v>
      </c>
      <c r="R434" s="55">
        <f>+E434+I434+M434+Q434</f>
        <v>1857</v>
      </c>
    </row>
    <row r="435" spans="1:20" ht="15.75" customHeight="1" x14ac:dyDescent="0.3">
      <c r="A435" s="15" t="s">
        <v>50</v>
      </c>
      <c r="B435" s="1"/>
      <c r="C435" s="1"/>
      <c r="D435" s="1"/>
      <c r="E435" s="55" t="s">
        <v>7</v>
      </c>
      <c r="F435" s="1"/>
      <c r="G435" s="1"/>
      <c r="H435" s="1"/>
      <c r="I435" s="55" t="s">
        <v>7</v>
      </c>
      <c r="J435" s="1"/>
      <c r="K435" s="1"/>
      <c r="L435" s="1"/>
      <c r="M435" s="55" t="s">
        <v>7</v>
      </c>
      <c r="N435" s="1"/>
      <c r="O435" s="1"/>
      <c r="P435" s="1"/>
      <c r="Q435" s="55" t="s">
        <v>7</v>
      </c>
      <c r="R435" s="55" t="s">
        <v>7</v>
      </c>
    </row>
    <row r="436" spans="1:20" ht="15.75" customHeight="1" x14ac:dyDescent="0.3">
      <c r="A436" s="15" t="s">
        <v>51</v>
      </c>
      <c r="B436" s="1"/>
      <c r="C436" s="1"/>
      <c r="D436" s="1"/>
      <c r="E436" s="55" t="s">
        <v>7</v>
      </c>
      <c r="F436" s="1"/>
      <c r="G436" s="1"/>
      <c r="H436" s="1"/>
      <c r="I436" s="55" t="s">
        <v>7</v>
      </c>
      <c r="J436" s="1"/>
      <c r="K436" s="1"/>
      <c r="L436" s="1"/>
      <c r="M436" s="55" t="s">
        <v>7</v>
      </c>
      <c r="N436" s="1"/>
      <c r="O436" s="1"/>
      <c r="P436" s="1"/>
      <c r="Q436" s="55" t="s">
        <v>7</v>
      </c>
      <c r="R436" s="55" t="s">
        <v>7</v>
      </c>
    </row>
    <row r="437" spans="1:20" ht="15.75" customHeight="1" thickBot="1" x14ac:dyDescent="0.35">
      <c r="A437" s="15" t="s">
        <v>53</v>
      </c>
      <c r="B437" s="1"/>
      <c r="C437" s="1"/>
      <c r="D437" s="1"/>
      <c r="E437" s="55" t="s">
        <v>7</v>
      </c>
      <c r="F437" s="1"/>
      <c r="G437" s="1"/>
      <c r="H437" s="1"/>
      <c r="I437" s="55" t="s">
        <v>7</v>
      </c>
      <c r="J437" s="1"/>
      <c r="K437" s="1"/>
      <c r="L437" s="1"/>
      <c r="M437" s="55" t="s">
        <v>7</v>
      </c>
      <c r="N437" s="1"/>
      <c r="O437" s="1"/>
      <c r="P437" s="1"/>
      <c r="Q437" s="55" t="s">
        <v>7</v>
      </c>
      <c r="R437" s="55" t="s">
        <v>7</v>
      </c>
    </row>
    <row r="438" spans="1:20" ht="16.5" customHeight="1" thickBot="1" x14ac:dyDescent="0.35">
      <c r="A438" s="109" t="s">
        <v>54</v>
      </c>
      <c r="B438" s="86">
        <f>SUM(B430:B437)</f>
        <v>0</v>
      </c>
      <c r="C438" s="87">
        <f>SUM(C430:C437)</f>
        <v>0</v>
      </c>
      <c r="D438" s="87">
        <f>SUM(D430:D437)</f>
        <v>0</v>
      </c>
      <c r="E438" s="59">
        <f>SUM(B438:D438)</f>
        <v>0</v>
      </c>
      <c r="F438" s="87">
        <f>SUM(F430:F437)</f>
        <v>0</v>
      </c>
      <c r="G438" s="87">
        <f>SUM(G430:G437)</f>
        <v>0</v>
      </c>
      <c r="H438" s="87">
        <f>SUM(H430:H437)</f>
        <v>846</v>
      </c>
      <c r="I438" s="59">
        <f>SUM(F438:H438)</f>
        <v>846</v>
      </c>
      <c r="J438" s="87">
        <f>SUM(J430:J437)</f>
        <v>1686</v>
      </c>
      <c r="K438" s="87">
        <f>SUM(K430:K437)</f>
        <v>1553</v>
      </c>
      <c r="L438" s="87">
        <f>SUM(L430:L437)</f>
        <v>1272</v>
      </c>
      <c r="M438" s="59">
        <f>SUM(J438:L438)</f>
        <v>4511</v>
      </c>
      <c r="N438" s="87">
        <f>SUM(N430:N437)</f>
        <v>0</v>
      </c>
      <c r="O438" s="87">
        <f>SUM(O430:O437)</f>
        <v>0</v>
      </c>
      <c r="P438" s="87">
        <f>SUM(P430:P437)</f>
        <v>0</v>
      </c>
      <c r="Q438" s="59">
        <f>SUM(N438:P438)</f>
        <v>0</v>
      </c>
      <c r="R438" s="59">
        <f>+E438+I438+M438+Q438</f>
        <v>5357</v>
      </c>
    </row>
    <row r="439" spans="1:20" ht="15.75" customHeight="1" x14ac:dyDescent="0.3">
      <c r="A439" s="15" t="s">
        <v>55</v>
      </c>
      <c r="B439" s="1"/>
      <c r="C439" s="1"/>
      <c r="D439" s="1"/>
      <c r="E439" s="60" t="s">
        <v>7</v>
      </c>
      <c r="F439" s="1"/>
      <c r="G439" s="1"/>
      <c r="H439" s="1"/>
      <c r="I439" s="60" t="s">
        <v>7</v>
      </c>
      <c r="J439" s="1"/>
      <c r="K439" s="1"/>
      <c r="L439" s="1"/>
      <c r="M439" s="60" t="s">
        <v>7</v>
      </c>
      <c r="N439" s="1"/>
      <c r="O439" s="1"/>
      <c r="P439" s="1"/>
      <c r="Q439" s="60" t="s">
        <v>7</v>
      </c>
      <c r="R439" s="125" t="s">
        <v>7</v>
      </c>
    </row>
    <row r="440" spans="1:20" ht="15.75" customHeight="1" x14ac:dyDescent="0.3">
      <c r="A440" s="15" t="s">
        <v>57</v>
      </c>
      <c r="B440" s="1"/>
      <c r="C440" s="1"/>
      <c r="D440" s="1"/>
      <c r="E440" s="55" t="s">
        <v>7</v>
      </c>
      <c r="F440" s="1"/>
      <c r="G440" s="1"/>
      <c r="H440" s="1"/>
      <c r="I440" s="55" t="s">
        <v>7</v>
      </c>
      <c r="J440" s="1"/>
      <c r="K440" s="1"/>
      <c r="L440" s="1"/>
      <c r="M440" s="55" t="s">
        <v>7</v>
      </c>
      <c r="N440" s="1"/>
      <c r="O440" s="1"/>
      <c r="P440" s="1"/>
      <c r="Q440" s="55" t="s">
        <v>7</v>
      </c>
      <c r="R440" s="125" t="s">
        <v>7</v>
      </c>
    </row>
    <row r="441" spans="1:20" ht="15.75" customHeight="1" x14ac:dyDescent="0.3">
      <c r="A441" s="71" t="s">
        <v>569</v>
      </c>
      <c r="B441" s="1">
        <v>663</v>
      </c>
      <c r="C441" s="1">
        <v>221</v>
      </c>
      <c r="D441" s="1">
        <v>0</v>
      </c>
      <c r="E441" s="55">
        <f>SUM(B441:D441)</f>
        <v>884</v>
      </c>
      <c r="F441" s="1">
        <v>5220</v>
      </c>
      <c r="G441" s="1">
        <v>5491</v>
      </c>
      <c r="H441" s="1">
        <v>6264</v>
      </c>
      <c r="I441" s="55">
        <f>SUM(F441:H441)</f>
        <v>16975</v>
      </c>
      <c r="J441" s="1">
        <v>6991</v>
      </c>
      <c r="K441" s="1">
        <v>7395</v>
      </c>
      <c r="L441" s="1">
        <v>1925</v>
      </c>
      <c r="M441" s="55">
        <f>SUM(J441:L441)</f>
        <v>16311</v>
      </c>
      <c r="N441" s="1"/>
      <c r="O441" s="1">
        <v>344</v>
      </c>
      <c r="P441" s="1">
        <v>349</v>
      </c>
      <c r="Q441" s="55">
        <f>SUM(N441:P441)</f>
        <v>693</v>
      </c>
      <c r="R441" s="55">
        <f>+E441+I441+M441+Q441</f>
        <v>34863</v>
      </c>
      <c r="S441" s="4">
        <f>+SUM(R441,R403,R304)</f>
        <v>120597</v>
      </c>
      <c r="T441" s="4" t="s">
        <v>985</v>
      </c>
    </row>
    <row r="442" spans="1:20" ht="15.75" customHeight="1" x14ac:dyDescent="0.3">
      <c r="A442" s="71" t="s">
        <v>309</v>
      </c>
      <c r="B442" s="1"/>
      <c r="C442" s="1">
        <v>129</v>
      </c>
      <c r="D442" s="1">
        <v>371</v>
      </c>
      <c r="E442" s="55">
        <f>SUM(B442:D442)</f>
        <v>500</v>
      </c>
      <c r="F442" s="1">
        <v>466</v>
      </c>
      <c r="G442" s="1">
        <v>34</v>
      </c>
      <c r="H442" s="1"/>
      <c r="I442" s="55">
        <f>SUM(F442:H442)</f>
        <v>500</v>
      </c>
      <c r="J442" s="1"/>
      <c r="K442" s="1"/>
      <c r="L442" s="1"/>
      <c r="M442" s="55">
        <f>SUM(J442:L442)</f>
        <v>0</v>
      </c>
      <c r="N442" s="1"/>
      <c r="O442" s="1"/>
      <c r="P442" s="1"/>
      <c r="Q442" s="55">
        <f>SUM(N442:P442)</f>
        <v>0</v>
      </c>
      <c r="R442" s="55">
        <f>+E442+I442+M442+Q442</f>
        <v>1000</v>
      </c>
    </row>
    <row r="443" spans="1:20" ht="15.75" customHeight="1" thickBot="1" x14ac:dyDescent="0.35">
      <c r="A443" s="15" t="s">
        <v>58</v>
      </c>
      <c r="B443" s="1"/>
      <c r="C443" s="1"/>
      <c r="D443" s="1"/>
      <c r="E443" s="55" t="s">
        <v>7</v>
      </c>
      <c r="F443" s="1"/>
      <c r="G443" s="1"/>
      <c r="H443" s="1"/>
      <c r="I443" s="55" t="s">
        <v>7</v>
      </c>
      <c r="J443" s="1"/>
      <c r="K443" s="1"/>
      <c r="L443" s="1"/>
      <c r="M443" s="55" t="s">
        <v>7</v>
      </c>
      <c r="N443" s="1"/>
      <c r="O443" s="1"/>
      <c r="P443" s="1"/>
      <c r="Q443" s="55" t="s">
        <v>7</v>
      </c>
      <c r="R443" s="125" t="s">
        <v>7</v>
      </c>
    </row>
    <row r="444" spans="1:20" ht="16.5" customHeight="1" thickBot="1" x14ac:dyDescent="0.35">
      <c r="A444" s="57" t="s">
        <v>59</v>
      </c>
      <c r="B444" s="86">
        <f>SUM(B439:B443)</f>
        <v>663</v>
      </c>
      <c r="C444" s="87">
        <f>SUM(C439:C443)</f>
        <v>350</v>
      </c>
      <c r="D444" s="87">
        <f>SUM(D439:D443)</f>
        <v>371</v>
      </c>
      <c r="E444" s="59">
        <f>SUM(B444:D444)</f>
        <v>1384</v>
      </c>
      <c r="F444" s="87">
        <f>SUM(F439:F443)</f>
        <v>5686</v>
      </c>
      <c r="G444" s="87">
        <f>SUM(G439:G443)</f>
        <v>5525</v>
      </c>
      <c r="H444" s="87">
        <f>SUM(H439:H443)</f>
        <v>6264</v>
      </c>
      <c r="I444" s="59">
        <f>SUM(F444:H444)</f>
        <v>17475</v>
      </c>
      <c r="J444" s="87">
        <f>SUM(J439:J443)</f>
        <v>6991</v>
      </c>
      <c r="K444" s="87">
        <f>SUM(K439:K443)</f>
        <v>7395</v>
      </c>
      <c r="L444" s="87">
        <f>SUM(L439:L443)</f>
        <v>1925</v>
      </c>
      <c r="M444" s="59">
        <f>SUM(J444:L444)</f>
        <v>16311</v>
      </c>
      <c r="N444" s="87">
        <f>SUM(N439:N443)</f>
        <v>0</v>
      </c>
      <c r="O444" s="87">
        <f>SUM(O439:O443)</f>
        <v>344</v>
      </c>
      <c r="P444" s="87">
        <f>SUM(P439:P443)</f>
        <v>349</v>
      </c>
      <c r="Q444" s="59">
        <f>SUM(N444:P444)</f>
        <v>693</v>
      </c>
      <c r="R444" s="59">
        <f>+E444+I444+M444+Q444</f>
        <v>35863</v>
      </c>
    </row>
    <row r="445" spans="1:20" ht="15.75" customHeight="1" x14ac:dyDescent="0.3">
      <c r="A445" s="15" t="s">
        <v>60</v>
      </c>
      <c r="B445" s="1"/>
      <c r="C445" s="1"/>
      <c r="D445" s="1"/>
      <c r="E445" s="55" t="s">
        <v>7</v>
      </c>
      <c r="F445" s="1"/>
      <c r="G445" s="1"/>
      <c r="H445" s="1"/>
      <c r="I445" s="55" t="s">
        <v>7</v>
      </c>
      <c r="J445" s="1"/>
      <c r="K445" s="1"/>
      <c r="L445" s="1"/>
      <c r="M445" s="55" t="s">
        <v>7</v>
      </c>
      <c r="N445" s="1"/>
      <c r="O445" s="1"/>
      <c r="P445" s="1"/>
      <c r="Q445" s="55" t="s">
        <v>7</v>
      </c>
      <c r="R445" s="55" t="s">
        <v>7</v>
      </c>
    </row>
    <row r="446" spans="1:20" ht="15.75" customHeight="1" x14ac:dyDescent="0.3">
      <c r="A446" s="15" t="s">
        <v>61</v>
      </c>
      <c r="B446" s="1"/>
      <c r="C446" s="1"/>
      <c r="D446" s="1"/>
      <c r="E446" s="55" t="s">
        <v>7</v>
      </c>
      <c r="F446" s="1"/>
      <c r="G446" s="1"/>
      <c r="H446" s="1"/>
      <c r="I446" s="55" t="s">
        <v>7</v>
      </c>
      <c r="J446" s="1"/>
      <c r="K446" s="1"/>
      <c r="L446" s="1"/>
      <c r="M446" s="55" t="s">
        <v>7</v>
      </c>
      <c r="N446" s="1"/>
      <c r="O446" s="1"/>
      <c r="P446" s="1"/>
      <c r="Q446" s="55" t="s">
        <v>7</v>
      </c>
      <c r="R446" s="55" t="s">
        <v>7</v>
      </c>
    </row>
    <row r="447" spans="1:20" ht="15.75" customHeight="1" thickBot="1" x14ac:dyDescent="0.35">
      <c r="A447" s="15" t="s">
        <v>62</v>
      </c>
      <c r="B447" s="1"/>
      <c r="C447" s="1"/>
      <c r="D447" s="1"/>
      <c r="E447" s="55" t="s">
        <v>7</v>
      </c>
      <c r="F447" s="1"/>
      <c r="G447" s="1"/>
      <c r="H447" s="1"/>
      <c r="I447" s="55" t="s">
        <v>7</v>
      </c>
      <c r="J447" s="1"/>
      <c r="K447" s="1"/>
      <c r="L447" s="1"/>
      <c r="M447" s="55" t="s">
        <v>7</v>
      </c>
      <c r="N447" s="1"/>
      <c r="O447" s="1"/>
      <c r="P447" s="1"/>
      <c r="Q447" s="55" t="s">
        <v>7</v>
      </c>
      <c r="R447" s="55" t="s">
        <v>7</v>
      </c>
    </row>
    <row r="448" spans="1:20" ht="16.5" customHeight="1" thickBot="1" x14ac:dyDescent="0.35">
      <c r="A448" s="114" t="s">
        <v>63</v>
      </c>
      <c r="B448" s="86">
        <f>SUM(B445:B447)</f>
        <v>0</v>
      </c>
      <c r="C448" s="87">
        <f>SUM(C445:C447)</f>
        <v>0</v>
      </c>
      <c r="D448" s="87">
        <f>SUM(D445:D447)</f>
        <v>0</v>
      </c>
      <c r="E448" s="59">
        <f>SUM(B448:D448)</f>
        <v>0</v>
      </c>
      <c r="F448" s="87">
        <f>SUM(F445:F447)</f>
        <v>0</v>
      </c>
      <c r="G448" s="87">
        <f>SUM(G445:G447)</f>
        <v>0</v>
      </c>
      <c r="H448" s="87">
        <f>SUM(H445:H447)</f>
        <v>0</v>
      </c>
      <c r="I448" s="59">
        <f>SUM(F448:H448)</f>
        <v>0</v>
      </c>
      <c r="J448" s="87">
        <f>SUM(J445:J447)</f>
        <v>0</v>
      </c>
      <c r="K448" s="87">
        <f>SUM(K445:K447)</f>
        <v>0</v>
      </c>
      <c r="L448" s="87">
        <f>SUM(L445:L447)</f>
        <v>0</v>
      </c>
      <c r="M448" s="59">
        <f>SUM(J448:L448)</f>
        <v>0</v>
      </c>
      <c r="N448" s="87">
        <f>SUM(N445:N447)</f>
        <v>0</v>
      </c>
      <c r="O448" s="87">
        <f>SUM(O445:O447)</f>
        <v>0</v>
      </c>
      <c r="P448" s="87">
        <f>SUM(P445:P447)</f>
        <v>0</v>
      </c>
      <c r="Q448" s="59">
        <f>SUM(N448:P448)</f>
        <v>0</v>
      </c>
      <c r="R448" s="59">
        <f>+E448+I448+M448+Q448</f>
        <v>0</v>
      </c>
    </row>
    <row r="449" spans="1:18" ht="15.75" customHeight="1" x14ac:dyDescent="0.3">
      <c r="A449" s="15" t="s">
        <v>64</v>
      </c>
      <c r="B449" s="1"/>
      <c r="C449" s="1"/>
      <c r="D449" s="1"/>
      <c r="E449" s="55" t="s">
        <v>7</v>
      </c>
      <c r="F449" s="1"/>
      <c r="G449" s="1"/>
      <c r="H449" s="1"/>
      <c r="I449" s="55" t="s">
        <v>7</v>
      </c>
      <c r="J449" s="1"/>
      <c r="K449" s="1"/>
      <c r="L449" s="1"/>
      <c r="M449" s="55" t="s">
        <v>7</v>
      </c>
      <c r="N449" s="1"/>
      <c r="O449" s="1"/>
      <c r="P449" s="1"/>
      <c r="Q449" s="55" t="s">
        <v>7</v>
      </c>
      <c r="R449" s="55" t="s">
        <v>7</v>
      </c>
    </row>
    <row r="450" spans="1:18" ht="15.75" customHeight="1" x14ac:dyDescent="0.3">
      <c r="A450" s="15" t="s">
        <v>594</v>
      </c>
      <c r="B450" s="1"/>
      <c r="C450" s="1"/>
      <c r="D450" s="1"/>
      <c r="E450" s="55" t="s">
        <v>7</v>
      </c>
      <c r="F450" s="1"/>
      <c r="G450" s="1"/>
      <c r="H450" s="1"/>
      <c r="I450" s="55" t="s">
        <v>7</v>
      </c>
      <c r="J450" s="1"/>
      <c r="K450" s="1"/>
      <c r="L450" s="1"/>
      <c r="M450" s="55" t="s">
        <v>7</v>
      </c>
      <c r="N450" s="1"/>
      <c r="O450" s="1"/>
      <c r="P450" s="1"/>
      <c r="Q450" s="55" t="s">
        <v>7</v>
      </c>
      <c r="R450" s="55" t="s">
        <v>7</v>
      </c>
    </row>
    <row r="451" spans="1:18" ht="15.75" customHeight="1" x14ac:dyDescent="0.3">
      <c r="A451" s="15" t="s">
        <v>67</v>
      </c>
      <c r="B451" s="1"/>
      <c r="C451" s="1"/>
      <c r="D451" s="1"/>
      <c r="E451" s="55" t="s">
        <v>7</v>
      </c>
      <c r="F451" s="1"/>
      <c r="G451" s="1"/>
      <c r="H451" s="1"/>
      <c r="I451" s="55" t="s">
        <v>7</v>
      </c>
      <c r="J451" s="1"/>
      <c r="K451" s="1"/>
      <c r="L451" s="1"/>
      <c r="M451" s="55" t="s">
        <v>7</v>
      </c>
      <c r="N451" s="1"/>
      <c r="O451" s="1"/>
      <c r="P451" s="1"/>
      <c r="Q451" s="55" t="s">
        <v>7</v>
      </c>
      <c r="R451" s="55" t="s">
        <v>7</v>
      </c>
    </row>
    <row r="452" spans="1:18" ht="15.75" customHeight="1" x14ac:dyDescent="0.3">
      <c r="A452" s="15" t="s">
        <v>600</v>
      </c>
      <c r="B452" s="1"/>
      <c r="C452" s="1"/>
      <c r="D452" s="1"/>
      <c r="E452" s="55" t="s">
        <v>7</v>
      </c>
      <c r="F452" s="1"/>
      <c r="G452" s="1"/>
      <c r="H452" s="1"/>
      <c r="I452" s="55" t="s">
        <v>7</v>
      </c>
      <c r="J452" s="1"/>
      <c r="K452" s="1"/>
      <c r="L452" s="1"/>
      <c r="M452" s="55" t="s">
        <v>7</v>
      </c>
      <c r="N452" s="1"/>
      <c r="O452" s="1"/>
      <c r="P452" s="1"/>
      <c r="Q452" s="55" t="s">
        <v>7</v>
      </c>
      <c r="R452" s="55" t="s">
        <v>7</v>
      </c>
    </row>
    <row r="453" spans="1:18" ht="15.75" customHeight="1" x14ac:dyDescent="0.3">
      <c r="A453" s="71" t="s">
        <v>570</v>
      </c>
      <c r="B453" s="1"/>
      <c r="C453" s="1"/>
      <c r="D453" s="1"/>
      <c r="E453" s="55">
        <f>SUM(B453:D453)</f>
        <v>0</v>
      </c>
      <c r="F453" s="1"/>
      <c r="G453" s="1"/>
      <c r="H453" s="1"/>
      <c r="I453" s="55">
        <f>SUM(F453:H453)</f>
        <v>0</v>
      </c>
      <c r="J453" s="1"/>
      <c r="K453" s="1"/>
      <c r="L453" s="1"/>
      <c r="M453" s="55">
        <f>SUM(J453:L453)</f>
        <v>0</v>
      </c>
      <c r="N453" s="1"/>
      <c r="O453" s="1"/>
      <c r="P453" s="1"/>
      <c r="Q453" s="55">
        <f>SUM(N453:P453)</f>
        <v>0</v>
      </c>
      <c r="R453" s="55">
        <f>+E453+I453+M453+Q453</f>
        <v>0</v>
      </c>
    </row>
    <row r="454" spans="1:18" ht="15.75" customHeight="1" x14ac:dyDescent="0.3">
      <c r="A454" s="15" t="s">
        <v>70</v>
      </c>
      <c r="B454" s="1"/>
      <c r="C454" s="1"/>
      <c r="D454" s="1"/>
      <c r="E454" s="55"/>
      <c r="F454" s="1"/>
      <c r="G454" s="1"/>
      <c r="H454" s="1"/>
      <c r="I454" s="55"/>
      <c r="J454" s="1"/>
      <c r="K454" s="1"/>
      <c r="L454" s="1"/>
      <c r="M454" s="55"/>
      <c r="N454" s="1"/>
      <c r="O454" s="1"/>
      <c r="P454" s="1"/>
      <c r="Q454" s="55"/>
      <c r="R454" s="55" t="s">
        <v>7</v>
      </c>
    </row>
    <row r="455" spans="1:18" ht="15.75" customHeight="1" x14ac:dyDescent="0.3">
      <c r="A455" s="71" t="s">
        <v>748</v>
      </c>
      <c r="B455" s="1"/>
      <c r="C455" s="1"/>
      <c r="D455" s="1"/>
      <c r="E455" s="55">
        <f t="shared" ref="E455:E461" si="84">SUM(B455:D455)</f>
        <v>0</v>
      </c>
      <c r="F455" s="1"/>
      <c r="G455" s="1"/>
      <c r="H455" s="1"/>
      <c r="I455" s="55">
        <f t="shared" ref="I455:I461" si="85">SUM(F455:H455)</f>
        <v>0</v>
      </c>
      <c r="J455" s="1">
        <v>0</v>
      </c>
      <c r="K455" s="1">
        <v>0</v>
      </c>
      <c r="L455" s="1">
        <v>2000</v>
      </c>
      <c r="M455" s="55">
        <f t="shared" ref="M455:M461" si="86">SUM(J455:L455)</f>
        <v>2000</v>
      </c>
      <c r="N455" s="1">
        <v>1684</v>
      </c>
      <c r="O455" s="1"/>
      <c r="P455" s="1">
        <v>2201</v>
      </c>
      <c r="Q455" s="55">
        <f t="shared" ref="Q455:Q461" si="87">SUM(N455:P455)</f>
        <v>3885</v>
      </c>
      <c r="R455" s="55">
        <f t="shared" ref="R455:R461" si="88">+E455+I455+M455+Q455</f>
        <v>5885</v>
      </c>
    </row>
    <row r="456" spans="1:18" ht="15.75" customHeight="1" x14ac:dyDescent="0.3">
      <c r="A456" s="71" t="s">
        <v>749</v>
      </c>
      <c r="B456" s="1"/>
      <c r="C456" s="1"/>
      <c r="D456" s="1"/>
      <c r="E456" s="55">
        <f>SUM(B456:D456)</f>
        <v>0</v>
      </c>
      <c r="F456" s="1"/>
      <c r="G456" s="1"/>
      <c r="H456" s="1"/>
      <c r="I456" s="55">
        <f>SUM(F456:H456)</f>
        <v>0</v>
      </c>
      <c r="J456" s="1"/>
      <c r="K456" s="1"/>
      <c r="L456" s="1"/>
      <c r="M456" s="55">
        <f>SUM(J456:L456)</f>
        <v>0</v>
      </c>
      <c r="N456" s="1"/>
      <c r="O456" s="1"/>
      <c r="P456" s="1"/>
      <c r="Q456" s="55">
        <f>SUM(N456:P456)</f>
        <v>0</v>
      </c>
      <c r="R456" s="55">
        <f>+E456+I456+M456+Q456</f>
        <v>0</v>
      </c>
    </row>
    <row r="457" spans="1:18" ht="15.75" customHeight="1" thickBot="1" x14ac:dyDescent="0.35">
      <c r="A457" s="71" t="s">
        <v>761</v>
      </c>
      <c r="B457" s="1"/>
      <c r="C457" s="1"/>
      <c r="D457" s="1"/>
      <c r="E457" s="55">
        <f t="shared" si="84"/>
        <v>0</v>
      </c>
      <c r="F457" s="1"/>
      <c r="G457" s="1">
        <v>1178</v>
      </c>
      <c r="H457" s="1">
        <v>322</v>
      </c>
      <c r="I457" s="55">
        <f t="shared" si="85"/>
        <v>1500</v>
      </c>
      <c r="J457" s="1"/>
      <c r="K457" s="1"/>
      <c r="L457" s="1">
        <v>21</v>
      </c>
      <c r="M457" s="55">
        <f t="shared" si="86"/>
        <v>21</v>
      </c>
      <c r="N457" s="1">
        <v>129</v>
      </c>
      <c r="O457" s="1">
        <v>201</v>
      </c>
      <c r="P457" s="1"/>
      <c r="Q457" s="55">
        <f t="shared" si="87"/>
        <v>330</v>
      </c>
      <c r="R457" s="55">
        <f t="shared" si="88"/>
        <v>1851</v>
      </c>
    </row>
    <row r="458" spans="1:18" ht="16.5" customHeight="1" thickBot="1" x14ac:dyDescent="0.35">
      <c r="A458" s="57" t="s">
        <v>71</v>
      </c>
      <c r="B458" s="58">
        <f>SUM(B452:B457)</f>
        <v>0</v>
      </c>
      <c r="C458" s="58">
        <f>SUM(C452:C457)</f>
        <v>0</v>
      </c>
      <c r="D458" s="58">
        <f>SUM(D452:D457)</f>
        <v>0</v>
      </c>
      <c r="E458" s="60">
        <f t="shared" si="84"/>
        <v>0</v>
      </c>
      <c r="F458" s="58">
        <f>SUM(F452:F457)</f>
        <v>0</v>
      </c>
      <c r="G458" s="58">
        <f>SUM(G452:G457)</f>
        <v>1178</v>
      </c>
      <c r="H458" s="58">
        <f>SUM(H452:H457)</f>
        <v>322</v>
      </c>
      <c r="I458" s="60">
        <f t="shared" si="85"/>
        <v>1500</v>
      </c>
      <c r="J458" s="58">
        <f>SUM(J452:J457)</f>
        <v>0</v>
      </c>
      <c r="K458" s="58">
        <f>SUM(K452:K457)</f>
        <v>0</v>
      </c>
      <c r="L458" s="58">
        <f>SUM(L452:L457)</f>
        <v>2021</v>
      </c>
      <c r="M458" s="60">
        <f t="shared" si="86"/>
        <v>2021</v>
      </c>
      <c r="N458" s="58">
        <f>SUM(N452:N457)</f>
        <v>1813</v>
      </c>
      <c r="O458" s="58">
        <f>SUM(O452:O457)</f>
        <v>201</v>
      </c>
      <c r="P458" s="58">
        <f>SUM(P452:P457)</f>
        <v>2201</v>
      </c>
      <c r="Q458" s="60">
        <f t="shared" si="87"/>
        <v>4215</v>
      </c>
      <c r="R458" s="59">
        <f t="shared" si="88"/>
        <v>7736</v>
      </c>
    </row>
    <row r="459" spans="1:18" ht="16.5" customHeight="1" thickBot="1" x14ac:dyDescent="0.35">
      <c r="A459" s="114" t="s">
        <v>72</v>
      </c>
      <c r="B459" s="86">
        <f>SUM(B449:B457)</f>
        <v>0</v>
      </c>
      <c r="C459" s="87">
        <f>SUM(C449:C457)</f>
        <v>0</v>
      </c>
      <c r="D459" s="118">
        <f>SUM(D449:D457)</f>
        <v>0</v>
      </c>
      <c r="E459" s="60">
        <f t="shared" si="84"/>
        <v>0</v>
      </c>
      <c r="F459" s="87">
        <f>SUM(F449:F457)</f>
        <v>0</v>
      </c>
      <c r="G459" s="87">
        <f>SUM(G449:G457)</f>
        <v>1178</v>
      </c>
      <c r="H459" s="87">
        <f>SUM(H449:H457)</f>
        <v>322</v>
      </c>
      <c r="I459" s="60">
        <f t="shared" si="85"/>
        <v>1500</v>
      </c>
      <c r="J459" s="87">
        <f>SUM(J449:J457)</f>
        <v>0</v>
      </c>
      <c r="K459" s="87">
        <f>SUM(K449:K457)</f>
        <v>0</v>
      </c>
      <c r="L459" s="87">
        <f>SUM(L449:L457)</f>
        <v>2021</v>
      </c>
      <c r="M459" s="60">
        <f t="shared" si="86"/>
        <v>2021</v>
      </c>
      <c r="N459" s="87">
        <f>SUM(N449:N457)</f>
        <v>1813</v>
      </c>
      <c r="O459" s="87">
        <f>SUM(O449:O457)</f>
        <v>201</v>
      </c>
      <c r="P459" s="87">
        <f>SUM(P449:P457)</f>
        <v>2201</v>
      </c>
      <c r="Q459" s="60">
        <f t="shared" si="87"/>
        <v>4215</v>
      </c>
      <c r="R459" s="59">
        <f t="shared" si="88"/>
        <v>7736</v>
      </c>
    </row>
    <row r="460" spans="1:18" ht="16.5" customHeight="1" thickBot="1" x14ac:dyDescent="0.35">
      <c r="A460" s="57" t="s">
        <v>73</v>
      </c>
      <c r="B460" s="90">
        <f>+B438+B444+B448+B459</f>
        <v>663</v>
      </c>
      <c r="C460" s="58">
        <f>+C438+C444+C448+C459</f>
        <v>350</v>
      </c>
      <c r="D460" s="58">
        <f>+D438+D444+D448+D459</f>
        <v>371</v>
      </c>
      <c r="E460" s="59">
        <f t="shared" si="84"/>
        <v>1384</v>
      </c>
      <c r="F460" s="58">
        <f>+F438+F444+F448+F459</f>
        <v>5686</v>
      </c>
      <c r="G460" s="58">
        <f>+G438+G444+G448+G459</f>
        <v>6703</v>
      </c>
      <c r="H460" s="58">
        <f>+H438+H444+H448+H459</f>
        <v>7432</v>
      </c>
      <c r="I460" s="59">
        <f t="shared" si="85"/>
        <v>19821</v>
      </c>
      <c r="J460" s="58">
        <f>+J438+J444+J448+J459</f>
        <v>8677</v>
      </c>
      <c r="K460" s="58">
        <f>+K438+K444+K448+K459</f>
        <v>8948</v>
      </c>
      <c r="L460" s="58">
        <f>+L438+L444+L448+L459</f>
        <v>5218</v>
      </c>
      <c r="M460" s="59">
        <f t="shared" si="86"/>
        <v>22843</v>
      </c>
      <c r="N460" s="58">
        <f>+N438+N444+N448+N459</f>
        <v>1813</v>
      </c>
      <c r="O460" s="58">
        <f>+O438+O444+O448+O459</f>
        <v>545</v>
      </c>
      <c r="P460" s="58">
        <f>+P438+P444+P448+P459</f>
        <v>2550</v>
      </c>
      <c r="Q460" s="59">
        <f t="shared" si="87"/>
        <v>4908</v>
      </c>
      <c r="R460" s="81">
        <f t="shared" si="88"/>
        <v>48956</v>
      </c>
    </row>
    <row r="461" spans="1:18" ht="16.5" customHeight="1" thickBot="1" x14ac:dyDescent="0.35">
      <c r="A461" s="39" t="s">
        <v>40</v>
      </c>
      <c r="B461" s="21">
        <v>23</v>
      </c>
      <c r="C461" s="21">
        <v>43</v>
      </c>
      <c r="D461" s="21">
        <v>66</v>
      </c>
      <c r="E461" s="81">
        <f t="shared" si="84"/>
        <v>132</v>
      </c>
      <c r="F461" s="21">
        <v>91</v>
      </c>
      <c r="G461" s="21">
        <v>108</v>
      </c>
      <c r="H461" s="21">
        <v>109</v>
      </c>
      <c r="I461" s="81">
        <f t="shared" si="85"/>
        <v>308</v>
      </c>
      <c r="J461" s="21">
        <v>104</v>
      </c>
      <c r="K461" s="21">
        <v>79</v>
      </c>
      <c r="L461" s="21">
        <v>80</v>
      </c>
      <c r="M461" s="81">
        <f t="shared" si="86"/>
        <v>263</v>
      </c>
      <c r="N461" s="21">
        <v>74</v>
      </c>
      <c r="O461" s="21">
        <v>58</v>
      </c>
      <c r="P461" s="21">
        <v>42</v>
      </c>
      <c r="Q461" s="81">
        <f t="shared" si="87"/>
        <v>174</v>
      </c>
      <c r="R461" s="55">
        <f t="shared" si="88"/>
        <v>877</v>
      </c>
    </row>
    <row r="462" spans="1:18" ht="16.5" customHeight="1" thickBot="1" x14ac:dyDescent="0.35">
      <c r="A462" s="41"/>
      <c r="B462" s="36"/>
      <c r="C462" s="36"/>
      <c r="D462" s="36"/>
      <c r="E462" s="42"/>
      <c r="F462" s="36"/>
      <c r="G462" s="36"/>
      <c r="H462" s="36"/>
      <c r="I462" s="126"/>
      <c r="J462" s="36"/>
      <c r="K462" s="36"/>
      <c r="L462" s="36"/>
      <c r="M462" s="126"/>
      <c r="N462" s="36"/>
      <c r="O462" s="36"/>
      <c r="P462" s="36"/>
      <c r="Q462" s="126"/>
      <c r="R462" s="42"/>
    </row>
    <row r="463" spans="1:18" ht="15.75" customHeight="1" x14ac:dyDescent="0.3">
      <c r="A463" s="15" t="s">
        <v>314</v>
      </c>
      <c r="B463" s="77">
        <f>SUM(B460:B461)</f>
        <v>686</v>
      </c>
      <c r="C463" s="77">
        <f>SUM(C460:C461)</f>
        <v>393</v>
      </c>
      <c r="D463" s="77">
        <f>SUM(D460:D461)</f>
        <v>437</v>
      </c>
      <c r="E463" s="60">
        <f>SUM(B463:D463)</f>
        <v>1516</v>
      </c>
      <c r="F463" s="77">
        <f>SUM(F460:F461)</f>
        <v>5777</v>
      </c>
      <c r="G463" s="77">
        <f>SUM(G460:G461)</f>
        <v>6811</v>
      </c>
      <c r="H463" s="77">
        <f>SUM(H460:H461)</f>
        <v>7541</v>
      </c>
      <c r="I463" s="60">
        <f>SUM(F463:H463)</f>
        <v>20129</v>
      </c>
      <c r="J463" s="77">
        <f>SUM(J460:J461)</f>
        <v>8781</v>
      </c>
      <c r="K463" s="77">
        <f>SUM(K460:K461)</f>
        <v>9027</v>
      </c>
      <c r="L463" s="77">
        <f>SUM(L460:L461)</f>
        <v>5298</v>
      </c>
      <c r="M463" s="60">
        <f>SUM(J463:L463)</f>
        <v>23106</v>
      </c>
      <c r="N463" s="77">
        <f>SUM(N460:N461)</f>
        <v>1887</v>
      </c>
      <c r="O463" s="77">
        <f>SUM(O460:O461)</f>
        <v>603</v>
      </c>
      <c r="P463" s="77">
        <f>SUM(P460:P461)</f>
        <v>2592</v>
      </c>
      <c r="Q463" s="60">
        <f>SUM(N463:P463)</f>
        <v>5082</v>
      </c>
      <c r="R463" s="60">
        <f>+E463+I463+M463+Q463</f>
        <v>49833</v>
      </c>
    </row>
    <row r="464" spans="1:18" ht="15.75" customHeight="1" x14ac:dyDescent="0.3">
      <c r="A464" s="15" t="s">
        <v>42</v>
      </c>
      <c r="B464" s="1">
        <f>(B463/31)/1.983</f>
        <v>11.159370780667935</v>
      </c>
      <c r="C464" s="1">
        <f>(C463/28)/1.983</f>
        <v>7.0780203155392263</v>
      </c>
      <c r="D464" s="1">
        <f>(D463/31)/1.983</f>
        <v>7.1088119987636853</v>
      </c>
      <c r="E464" s="55" t="s">
        <v>7</v>
      </c>
      <c r="F464" s="1">
        <f>(F463/30)/1.983</f>
        <v>97.108757774415864</v>
      </c>
      <c r="G464" s="1">
        <f>(G463/31)/1.983</f>
        <v>110.7966098937745</v>
      </c>
      <c r="H464" s="1">
        <f>(H463/30)/1.983</f>
        <v>126.76080013447638</v>
      </c>
      <c r="I464" s="55" t="s">
        <v>7</v>
      </c>
      <c r="J464" s="1">
        <f>(J463/31)/1.983</f>
        <v>142.84319945341855</v>
      </c>
      <c r="K464" s="1">
        <f>(K463/31)/1.983</f>
        <v>146.84495632228783</v>
      </c>
      <c r="L464" s="1">
        <f>(L463/30)/1.983</f>
        <v>89.056984367120521</v>
      </c>
      <c r="M464" s="55" t="s">
        <v>7</v>
      </c>
      <c r="N464" s="1">
        <f>(N463/31)/1.983</f>
        <v>30.696403299009319</v>
      </c>
      <c r="O464" s="1">
        <f>(O463/30)/1.983</f>
        <v>10.136157337367624</v>
      </c>
      <c r="P464" s="1">
        <f>(P463/31)/1.983</f>
        <v>42.164852862232195</v>
      </c>
      <c r="Q464" s="55" t="s">
        <v>7</v>
      </c>
      <c r="R464" s="55" t="s">
        <v>7</v>
      </c>
    </row>
    <row r="465" spans="1:18" ht="15.75" customHeight="1" x14ac:dyDescent="0.3">
      <c r="A465" s="15" t="s">
        <v>315</v>
      </c>
      <c r="B465" s="1">
        <f>B463+B518</f>
        <v>20514</v>
      </c>
      <c r="C465" s="1">
        <f>C463+C518</f>
        <v>23960</v>
      </c>
      <c r="D465" s="1">
        <f>D463+D518</f>
        <v>26071</v>
      </c>
      <c r="E465" s="55">
        <f>SUM(B465:D465)</f>
        <v>70545</v>
      </c>
      <c r="F465" s="1">
        <f>F463+F518</f>
        <v>31476</v>
      </c>
      <c r="G465" s="1">
        <f>G463+G518</f>
        <v>31368</v>
      </c>
      <c r="H465" s="1">
        <f>H463+H518</f>
        <v>27588</v>
      </c>
      <c r="I465" s="55">
        <f>SUM(F465:H465)</f>
        <v>90432</v>
      </c>
      <c r="J465" s="1">
        <f>J463+J518</f>
        <v>27540</v>
      </c>
      <c r="K465" s="1">
        <f>K463+K518</f>
        <v>28614</v>
      </c>
      <c r="L465" s="1">
        <f>L463+L518</f>
        <v>26734</v>
      </c>
      <c r="M465" s="55">
        <f>SUM(J465:L465)</f>
        <v>82888</v>
      </c>
      <c r="N465" s="1">
        <f>N463+N518</f>
        <v>16161</v>
      </c>
      <c r="O465" s="1">
        <f>O463+O518</f>
        <v>9537</v>
      </c>
      <c r="P465" s="1">
        <f>P463+P518</f>
        <v>20226</v>
      </c>
      <c r="Q465" s="55">
        <f>SUM(N465:P465)</f>
        <v>45924</v>
      </c>
      <c r="R465" s="55">
        <f>+E465+I465+M465+Q465</f>
        <v>289789</v>
      </c>
    </row>
    <row r="466" spans="1:18" ht="16.5" customHeight="1" thickBot="1" x14ac:dyDescent="0.35">
      <c r="A466" s="20" t="s">
        <v>316</v>
      </c>
      <c r="B466" s="25">
        <f>(B465/31)/1.983</f>
        <v>333.70748133326828</v>
      </c>
      <c r="C466" s="25">
        <f>(C465/28)/1.983</f>
        <v>431.52510626035581</v>
      </c>
      <c r="D466" s="25">
        <f>(D465/31)/1.983</f>
        <v>424.10489157841653</v>
      </c>
      <c r="E466" s="81" t="s">
        <v>7</v>
      </c>
      <c r="F466" s="25">
        <f>(F465/30)/1.983</f>
        <v>529.09732728189613</v>
      </c>
      <c r="G466" s="25">
        <f>(G465/31)/1.983</f>
        <v>510.27280269386557</v>
      </c>
      <c r="H466" s="25">
        <f>(H465/30)/1.983</f>
        <v>463.74180534543621</v>
      </c>
      <c r="I466" s="81" t="s">
        <v>7</v>
      </c>
      <c r="J466" s="25">
        <f>(J465/31)/1.983</f>
        <v>448.00156166121707</v>
      </c>
      <c r="K466" s="25">
        <f>(K465/31)/1.983</f>
        <v>465.47264652774385</v>
      </c>
      <c r="L466" s="25">
        <f>(L465/30)/1.983</f>
        <v>449.3864515044545</v>
      </c>
      <c r="M466" s="81" t="s">
        <v>7</v>
      </c>
      <c r="N466" s="25">
        <f>(N465/31)/1.983</f>
        <v>262.89590551949635</v>
      </c>
      <c r="O466" s="25">
        <f>(O465/30)/1.983</f>
        <v>160.31265758951082</v>
      </c>
      <c r="P466" s="25">
        <f>(P465/31)/1.983</f>
        <v>329.02249768190916</v>
      </c>
      <c r="Q466" s="81" t="s">
        <v>7</v>
      </c>
      <c r="R466" s="81" t="s">
        <v>7</v>
      </c>
    </row>
    <row r="467" spans="1:18" ht="15.75" customHeight="1" x14ac:dyDescent="0.3">
      <c r="A467" s="2"/>
      <c r="B467" s="1"/>
      <c r="C467" s="1"/>
      <c r="D467" s="1"/>
      <c r="E467" s="1"/>
      <c r="F467" s="1"/>
      <c r="G467" s="1"/>
      <c r="H467" s="1"/>
      <c r="I467" s="1"/>
      <c r="J467" s="1"/>
      <c r="K467" s="1"/>
      <c r="L467" s="1"/>
      <c r="M467" s="1"/>
      <c r="N467" s="1"/>
      <c r="O467" s="1"/>
      <c r="P467" s="1"/>
      <c r="Q467" s="1"/>
      <c r="R467" s="2"/>
    </row>
    <row r="468" spans="1:18" ht="15.75" customHeight="1" thickBot="1" x14ac:dyDescent="0.35">
      <c r="A468" s="2"/>
      <c r="B468" s="1"/>
      <c r="C468" s="1"/>
      <c r="D468" s="1"/>
      <c r="E468" s="1"/>
      <c r="F468" s="1"/>
      <c r="G468" s="1"/>
      <c r="H468" s="1"/>
      <c r="I468" s="1"/>
      <c r="J468" s="1"/>
      <c r="K468" s="1"/>
      <c r="L468" s="1"/>
      <c r="M468" s="1"/>
      <c r="N468" s="1"/>
      <c r="O468" s="1"/>
      <c r="P468" s="1"/>
      <c r="Q468" s="1"/>
      <c r="R468" s="2"/>
    </row>
    <row r="469" spans="1:18" ht="16.5" customHeight="1" thickBot="1" x14ac:dyDescent="0.35">
      <c r="A469" s="124" t="s">
        <v>317</v>
      </c>
      <c r="B469" s="30" t="s">
        <v>8</v>
      </c>
      <c r="C469" s="31" t="s">
        <v>9</v>
      </c>
      <c r="D469" s="31" t="s">
        <v>10</v>
      </c>
      <c r="E469" s="32" t="s">
        <v>11</v>
      </c>
      <c r="F469" s="31" t="s">
        <v>12</v>
      </c>
      <c r="G469" s="31" t="s">
        <v>13</v>
      </c>
      <c r="H469" s="31" t="s">
        <v>14</v>
      </c>
      <c r="I469" s="33" t="s">
        <v>15</v>
      </c>
      <c r="J469" s="31" t="s">
        <v>16</v>
      </c>
      <c r="K469" s="31" t="s">
        <v>17</v>
      </c>
      <c r="L469" s="31" t="s">
        <v>18</v>
      </c>
      <c r="M469" s="33" t="s">
        <v>19</v>
      </c>
      <c r="N469" s="31" t="s">
        <v>20</v>
      </c>
      <c r="O469" s="31" t="s">
        <v>21</v>
      </c>
      <c r="P469" s="31" t="s">
        <v>22</v>
      </c>
      <c r="Q469" s="33" t="s">
        <v>23</v>
      </c>
      <c r="R469" s="34" t="s">
        <v>24</v>
      </c>
    </row>
    <row r="470" spans="1:18" ht="16.5" customHeight="1" thickBot="1" x14ac:dyDescent="0.35">
      <c r="A470" s="59"/>
      <c r="B470" s="75"/>
      <c r="C470" s="75"/>
      <c r="D470" s="75"/>
      <c r="E470" s="69"/>
      <c r="F470" s="75"/>
      <c r="G470" s="75"/>
      <c r="H470" s="75"/>
      <c r="I470" s="82"/>
      <c r="J470" s="75"/>
      <c r="K470" s="75"/>
      <c r="L470" s="75"/>
      <c r="M470" s="82"/>
      <c r="N470" s="75"/>
      <c r="O470" s="75"/>
      <c r="P470" s="75"/>
      <c r="Q470" s="82"/>
      <c r="R470" s="100"/>
    </row>
    <row r="471" spans="1:18" ht="15.75" customHeight="1" x14ac:dyDescent="0.3">
      <c r="A471" s="15" t="s">
        <v>48</v>
      </c>
      <c r="B471" s="1" t="s">
        <v>7</v>
      </c>
      <c r="C471" s="1" t="s">
        <v>7</v>
      </c>
      <c r="D471" s="1" t="s">
        <v>7</v>
      </c>
      <c r="E471" s="55" t="s">
        <v>7</v>
      </c>
      <c r="F471" s="1" t="s">
        <v>7</v>
      </c>
      <c r="G471" s="1" t="s">
        <v>7</v>
      </c>
      <c r="H471" s="1" t="s">
        <v>7</v>
      </c>
      <c r="I471" s="55" t="s">
        <v>7</v>
      </c>
      <c r="J471" s="1" t="s">
        <v>7</v>
      </c>
      <c r="K471" s="1" t="s">
        <v>7</v>
      </c>
      <c r="L471" s="1" t="s">
        <v>7</v>
      </c>
      <c r="M471" s="55" t="s">
        <v>7</v>
      </c>
      <c r="N471" s="1" t="s">
        <v>7</v>
      </c>
      <c r="O471" s="1" t="s">
        <v>7</v>
      </c>
      <c r="P471" s="1" t="s">
        <v>7</v>
      </c>
      <c r="Q471" s="55" t="s">
        <v>7</v>
      </c>
      <c r="R471" s="55" t="s">
        <v>7</v>
      </c>
    </row>
    <row r="472" spans="1:18" ht="15.75" customHeight="1" x14ac:dyDescent="0.3">
      <c r="A472" s="15" t="s">
        <v>49</v>
      </c>
      <c r="B472" s="1"/>
      <c r="C472" s="1"/>
      <c r="D472" s="1"/>
      <c r="E472" s="55" t="s">
        <v>7</v>
      </c>
      <c r="F472" s="1"/>
      <c r="G472" s="1"/>
      <c r="H472" s="1"/>
      <c r="I472" s="55" t="s">
        <v>7</v>
      </c>
      <c r="J472" s="1"/>
      <c r="K472" s="1"/>
      <c r="L472" s="1"/>
      <c r="M472" s="55" t="s">
        <v>7</v>
      </c>
      <c r="N472" s="1"/>
      <c r="O472" s="1"/>
      <c r="P472" s="1"/>
      <c r="Q472" s="55" t="s">
        <v>7</v>
      </c>
      <c r="R472" s="55" t="s">
        <v>7</v>
      </c>
    </row>
    <row r="473" spans="1:18" ht="15.75" customHeight="1" x14ac:dyDescent="0.3">
      <c r="A473" s="71" t="s">
        <v>762</v>
      </c>
      <c r="B473" s="1">
        <v>617</v>
      </c>
      <c r="C473" s="1">
        <v>670</v>
      </c>
      <c r="D473" s="1">
        <v>719</v>
      </c>
      <c r="E473" s="55">
        <f t="shared" ref="E473:E479" si="89">SUM(B473:D473)</f>
        <v>2006</v>
      </c>
      <c r="F473" s="1">
        <v>753</v>
      </c>
      <c r="G473" s="1">
        <v>725</v>
      </c>
      <c r="H473" s="1">
        <v>694</v>
      </c>
      <c r="I473" s="55">
        <f t="shared" ref="I473:I479" si="90">SUM(F473:H473)</f>
        <v>2172</v>
      </c>
      <c r="J473" s="1">
        <v>418</v>
      </c>
      <c r="K473" s="1">
        <v>791</v>
      </c>
      <c r="L473" s="1">
        <v>713</v>
      </c>
      <c r="M473" s="55">
        <f t="shared" ref="M473:M479" si="91">SUM(J473:L473)</f>
        <v>1922</v>
      </c>
      <c r="N473" s="1">
        <v>336</v>
      </c>
      <c r="O473" s="1">
        <v>0</v>
      </c>
      <c r="P473" s="1">
        <v>0</v>
      </c>
      <c r="Q473" s="55">
        <f t="shared" ref="Q473:Q479" si="92">SUM(N473:P473)</f>
        <v>336</v>
      </c>
      <c r="R473" s="55">
        <f t="shared" ref="R473:R479" si="93">+E473+I473+M473+Q473</f>
        <v>6436</v>
      </c>
    </row>
    <row r="474" spans="1:18" ht="15.75" customHeight="1" x14ac:dyDescent="0.3">
      <c r="A474" s="71" t="s">
        <v>320</v>
      </c>
      <c r="B474" s="1"/>
      <c r="C474" s="1"/>
      <c r="D474" s="1">
        <v>100</v>
      </c>
      <c r="E474" s="55">
        <f>SUM(B474:D474)</f>
        <v>100</v>
      </c>
      <c r="F474" s="1"/>
      <c r="G474" s="1"/>
      <c r="H474" s="1"/>
      <c r="I474" s="55">
        <f>SUM(F474:H474)</f>
        <v>0</v>
      </c>
      <c r="J474" s="1"/>
      <c r="K474" s="1"/>
      <c r="L474" s="1"/>
      <c r="M474" s="55">
        <f>SUM(J474:L474)</f>
        <v>0</v>
      </c>
      <c r="N474" s="1"/>
      <c r="O474" s="1"/>
      <c r="P474" s="1"/>
      <c r="Q474" s="55">
        <f>SUM(N474:P474)</f>
        <v>0</v>
      </c>
      <c r="R474" s="55">
        <f>+E474+I474+M474+Q474</f>
        <v>100</v>
      </c>
    </row>
    <row r="475" spans="1:18" ht="15.75" customHeight="1" x14ac:dyDescent="0.3">
      <c r="A475" s="71" t="s">
        <v>318</v>
      </c>
      <c r="B475" s="1">
        <v>13</v>
      </c>
      <c r="C475" s="1">
        <v>130</v>
      </c>
      <c r="D475" s="1">
        <v>419</v>
      </c>
      <c r="E475" s="55">
        <f t="shared" si="89"/>
        <v>562</v>
      </c>
      <c r="F475" s="1">
        <v>2206</v>
      </c>
      <c r="G475" s="1">
        <v>932</v>
      </c>
      <c r="H475" s="1">
        <v>0</v>
      </c>
      <c r="I475" s="55">
        <f t="shared" si="90"/>
        <v>3138</v>
      </c>
      <c r="J475" s="1"/>
      <c r="K475" s="1"/>
      <c r="L475" s="1"/>
      <c r="M475" s="55">
        <f t="shared" si="91"/>
        <v>0</v>
      </c>
      <c r="N475" s="1"/>
      <c r="O475" s="1"/>
      <c r="P475" s="1"/>
      <c r="Q475" s="55">
        <f t="shared" si="92"/>
        <v>0</v>
      </c>
      <c r="R475" s="55">
        <f t="shared" si="93"/>
        <v>3700</v>
      </c>
    </row>
    <row r="476" spans="1:18" ht="15.75" customHeight="1" x14ac:dyDescent="0.3">
      <c r="A476" s="71" t="s">
        <v>763</v>
      </c>
      <c r="B476" s="1"/>
      <c r="C476" s="1"/>
      <c r="D476" s="1"/>
      <c r="E476" s="55">
        <f>SUM(B476:D476)</f>
        <v>0</v>
      </c>
      <c r="F476" s="1"/>
      <c r="G476" s="1"/>
      <c r="H476" s="1"/>
      <c r="I476" s="55">
        <f>SUM(F476:H476)</f>
        <v>0</v>
      </c>
      <c r="J476" s="1"/>
      <c r="K476" s="1"/>
      <c r="L476" s="1"/>
      <c r="M476" s="55">
        <f>SUM(J476:L476)</f>
        <v>0</v>
      </c>
      <c r="N476" s="1"/>
      <c r="O476" s="1"/>
      <c r="P476" s="1"/>
      <c r="Q476" s="55">
        <f>SUM(N476:P476)</f>
        <v>0</v>
      </c>
      <c r="R476" s="55">
        <f>+E476+I476+M476+Q476</f>
        <v>0</v>
      </c>
    </row>
    <row r="477" spans="1:18" ht="15.75" customHeight="1" x14ac:dyDescent="0.3">
      <c r="A477" s="71" t="s">
        <v>572</v>
      </c>
      <c r="B477" s="1"/>
      <c r="C477" s="1"/>
      <c r="D477" s="1"/>
      <c r="E477" s="55">
        <f t="shared" si="89"/>
        <v>0</v>
      </c>
      <c r="F477" s="1"/>
      <c r="G477" s="1"/>
      <c r="H477" s="1"/>
      <c r="I477" s="55">
        <f t="shared" si="90"/>
        <v>0</v>
      </c>
      <c r="J477" s="1"/>
      <c r="K477" s="1"/>
      <c r="L477" s="1"/>
      <c r="M477" s="55">
        <f t="shared" si="91"/>
        <v>0</v>
      </c>
      <c r="N477" s="1"/>
      <c r="O477" s="1"/>
      <c r="P477" s="1"/>
      <c r="Q477" s="55">
        <f t="shared" si="92"/>
        <v>0</v>
      </c>
      <c r="R477" s="55">
        <f t="shared" si="93"/>
        <v>0</v>
      </c>
    </row>
    <row r="478" spans="1:18" ht="15.75" customHeight="1" x14ac:dyDescent="0.3">
      <c r="A478" s="71" t="s">
        <v>319</v>
      </c>
      <c r="B478" s="1"/>
      <c r="C478" s="1"/>
      <c r="D478" s="1"/>
      <c r="E478" s="55">
        <f t="shared" si="89"/>
        <v>0</v>
      </c>
      <c r="F478" s="1"/>
      <c r="G478" s="1"/>
      <c r="H478" s="1"/>
      <c r="I478" s="55">
        <f t="shared" si="90"/>
        <v>0</v>
      </c>
      <c r="J478" s="1"/>
      <c r="K478" s="1">
        <v>1277</v>
      </c>
      <c r="L478" s="1">
        <v>1000</v>
      </c>
      <c r="M478" s="55">
        <f t="shared" si="91"/>
        <v>2277</v>
      </c>
      <c r="N478" s="1"/>
      <c r="O478" s="1">
        <v>123</v>
      </c>
      <c r="P478" s="1"/>
      <c r="Q478" s="55">
        <f t="shared" si="92"/>
        <v>123</v>
      </c>
      <c r="R478" s="55">
        <f t="shared" si="93"/>
        <v>2400</v>
      </c>
    </row>
    <row r="479" spans="1:18" ht="15.75" customHeight="1" x14ac:dyDescent="0.3">
      <c r="A479" s="71" t="s">
        <v>321</v>
      </c>
      <c r="B479" s="1">
        <v>509</v>
      </c>
      <c r="C479" s="1">
        <v>509</v>
      </c>
      <c r="D479" s="1">
        <v>510</v>
      </c>
      <c r="E479" s="55">
        <f t="shared" si="89"/>
        <v>1528</v>
      </c>
      <c r="F479" s="1"/>
      <c r="G479" s="1"/>
      <c r="H479" s="1"/>
      <c r="I479" s="55">
        <f t="shared" si="90"/>
        <v>0</v>
      </c>
      <c r="J479" s="1"/>
      <c r="K479" s="1"/>
      <c r="L479" s="1"/>
      <c r="M479" s="55">
        <f t="shared" si="91"/>
        <v>0</v>
      </c>
      <c r="N479" s="1"/>
      <c r="O479" s="1"/>
      <c r="P479" s="1"/>
      <c r="Q479" s="55">
        <f t="shared" si="92"/>
        <v>0</v>
      </c>
      <c r="R479" s="55">
        <f t="shared" si="93"/>
        <v>1528</v>
      </c>
    </row>
    <row r="480" spans="1:18" ht="15.75" customHeight="1" x14ac:dyDescent="0.3">
      <c r="A480" s="71" t="s">
        <v>764</v>
      </c>
      <c r="B480" s="1"/>
      <c r="C480" s="1"/>
      <c r="D480" s="1"/>
      <c r="E480" s="55">
        <f>SUM(B480:D480)</f>
        <v>0</v>
      </c>
      <c r="F480" s="1"/>
      <c r="G480" s="1"/>
      <c r="H480" s="1"/>
      <c r="I480" s="55">
        <f>SUM(F480:H480)</f>
        <v>0</v>
      </c>
      <c r="J480" s="1"/>
      <c r="K480" s="1"/>
      <c r="L480" s="1">
        <v>180</v>
      </c>
      <c r="M480" s="55">
        <f>SUM(J480:L480)</f>
        <v>180</v>
      </c>
      <c r="N480" s="1"/>
      <c r="O480" s="1"/>
      <c r="P480" s="1"/>
      <c r="Q480" s="55">
        <f>SUM(N480:P480)</f>
        <v>0</v>
      </c>
      <c r="R480" s="55">
        <f>+E480+I480+M480+Q480</f>
        <v>180</v>
      </c>
    </row>
    <row r="481" spans="1:18" ht="15.75" customHeight="1" x14ac:dyDescent="0.3">
      <c r="A481" s="15" t="s">
        <v>50</v>
      </c>
      <c r="B481" s="1"/>
      <c r="C481" s="1"/>
      <c r="D481" s="1"/>
      <c r="E481" s="55" t="s">
        <v>7</v>
      </c>
      <c r="F481" s="1"/>
      <c r="G481" s="1"/>
      <c r="H481" s="1"/>
      <c r="I481" s="55" t="s">
        <v>7</v>
      </c>
      <c r="J481" s="1"/>
      <c r="K481" s="1"/>
      <c r="L481" s="1"/>
      <c r="M481" s="55" t="s">
        <v>7</v>
      </c>
      <c r="N481" s="1"/>
      <c r="O481" s="1"/>
      <c r="P481" s="1"/>
      <c r="Q481" s="55" t="s">
        <v>7</v>
      </c>
      <c r="R481" s="55" t="s">
        <v>7</v>
      </c>
    </row>
    <row r="482" spans="1:18" ht="15.75" customHeight="1" x14ac:dyDescent="0.3">
      <c r="A482" s="71" t="s">
        <v>321</v>
      </c>
      <c r="B482" s="1"/>
      <c r="C482" s="1"/>
      <c r="D482" s="1"/>
      <c r="E482" s="55">
        <f>SUM(B482:D482)</f>
        <v>0</v>
      </c>
      <c r="F482" s="1"/>
      <c r="G482" s="1"/>
      <c r="H482" s="1"/>
      <c r="I482" s="55">
        <f>SUM(F482:H482)</f>
        <v>0</v>
      </c>
      <c r="J482" s="1"/>
      <c r="K482" s="1"/>
      <c r="L482" s="1"/>
      <c r="M482" s="55">
        <f>SUM(J482:L482)</f>
        <v>0</v>
      </c>
      <c r="N482" s="1"/>
      <c r="O482" s="1"/>
      <c r="P482" s="1"/>
      <c r="Q482" s="55">
        <f>SUM(N482:P482)</f>
        <v>0</v>
      </c>
      <c r="R482" s="55">
        <f>+E482+I482+M482+Q482</f>
        <v>0</v>
      </c>
    </row>
    <row r="483" spans="1:18" ht="15.75" customHeight="1" x14ac:dyDescent="0.3">
      <c r="A483" s="15" t="s">
        <v>51</v>
      </c>
      <c r="B483" s="1"/>
      <c r="C483" s="1"/>
      <c r="D483" s="1"/>
      <c r="E483" s="55" t="s">
        <v>7</v>
      </c>
      <c r="F483" s="1"/>
      <c r="G483" s="1"/>
      <c r="H483" s="1"/>
      <c r="I483" s="55" t="s">
        <v>7</v>
      </c>
      <c r="J483" s="1"/>
      <c r="K483" s="1"/>
      <c r="L483" s="1"/>
      <c r="M483" s="55" t="s">
        <v>7</v>
      </c>
      <c r="N483" s="1"/>
      <c r="O483" s="1"/>
      <c r="P483" s="1"/>
      <c r="Q483" s="55" t="s">
        <v>7</v>
      </c>
      <c r="R483" s="55" t="s">
        <v>7</v>
      </c>
    </row>
    <row r="484" spans="1:18" ht="15.75" customHeight="1" x14ac:dyDescent="0.3">
      <c r="A484" s="15" t="s">
        <v>765</v>
      </c>
      <c r="B484" s="1"/>
      <c r="C484" s="1"/>
      <c r="D484" s="1"/>
      <c r="E484" s="55">
        <f>SUM(B484:D484)</f>
        <v>0</v>
      </c>
      <c r="F484" s="1"/>
      <c r="G484" s="1"/>
      <c r="H484" s="1"/>
      <c r="I484" s="55">
        <f>SUM(F484:H484)</f>
        <v>0</v>
      </c>
      <c r="J484" s="1"/>
      <c r="K484" s="1"/>
      <c r="L484" s="1"/>
      <c r="M484" s="55">
        <f>SUM(J484:L484)</f>
        <v>0</v>
      </c>
      <c r="N484" s="1"/>
      <c r="O484" s="1"/>
      <c r="P484" s="1"/>
      <c r="Q484" s="55">
        <f>SUM(N484:P484)</f>
        <v>0</v>
      </c>
      <c r="R484" s="55">
        <f>+E484+I484+M484+Q484</f>
        <v>0</v>
      </c>
    </row>
    <row r="485" spans="1:18" ht="15.75" customHeight="1" thickBot="1" x14ac:dyDescent="0.35">
      <c r="A485" s="15" t="s">
        <v>53</v>
      </c>
      <c r="B485" s="1"/>
      <c r="C485" s="1"/>
      <c r="D485" s="1"/>
      <c r="E485" s="55" t="s">
        <v>7</v>
      </c>
      <c r="F485" s="1"/>
      <c r="G485" s="1"/>
      <c r="H485" s="1"/>
      <c r="I485" s="55" t="s">
        <v>7</v>
      </c>
      <c r="J485" s="1"/>
      <c r="K485" s="1"/>
      <c r="L485" s="1"/>
      <c r="M485" s="55" t="s">
        <v>7</v>
      </c>
      <c r="N485" s="1"/>
      <c r="O485" s="1"/>
      <c r="P485" s="1"/>
      <c r="Q485" s="55" t="s">
        <v>7</v>
      </c>
      <c r="R485" s="55" t="s">
        <v>7</v>
      </c>
    </row>
    <row r="486" spans="1:18" ht="16.5" customHeight="1" thickBot="1" x14ac:dyDescent="0.35">
      <c r="A486" s="109" t="s">
        <v>54</v>
      </c>
      <c r="B486" s="86">
        <f>SUM(B471:B485)</f>
        <v>1139</v>
      </c>
      <c r="C486" s="87">
        <f>SUM(C471:C485)</f>
        <v>1309</v>
      </c>
      <c r="D486" s="87">
        <f>SUM(D471:D485)</f>
        <v>1748</v>
      </c>
      <c r="E486" s="59">
        <f>SUM(B486:D486)</f>
        <v>4196</v>
      </c>
      <c r="F486" s="87">
        <f>SUM(F471:F485)</f>
        <v>2959</v>
      </c>
      <c r="G486" s="87">
        <f>SUM(G471:G485)</f>
        <v>1657</v>
      </c>
      <c r="H486" s="87">
        <f>SUM(H471:H485)</f>
        <v>694</v>
      </c>
      <c r="I486" s="59">
        <f>SUM(F486:H486)</f>
        <v>5310</v>
      </c>
      <c r="J486" s="87">
        <f>SUM(J471:J485)</f>
        <v>418</v>
      </c>
      <c r="K486" s="87">
        <f>SUM(K471:K485)</f>
        <v>2068</v>
      </c>
      <c r="L486" s="87">
        <f>SUM(L471:L485)</f>
        <v>1893</v>
      </c>
      <c r="M486" s="59">
        <f>SUM(J486:L486)</f>
        <v>4379</v>
      </c>
      <c r="N486" s="87">
        <f>SUM(N471:N485)</f>
        <v>336</v>
      </c>
      <c r="O486" s="87">
        <f>SUM(O471:O485)</f>
        <v>123</v>
      </c>
      <c r="P486" s="87">
        <f>SUM(P471:P485)</f>
        <v>0</v>
      </c>
      <c r="Q486" s="59">
        <f>SUM(N486:P486)</f>
        <v>459</v>
      </c>
      <c r="R486" s="59">
        <f>+E486+I486+M486+Q486</f>
        <v>14344</v>
      </c>
    </row>
    <row r="487" spans="1:18" ht="15.75" customHeight="1" x14ac:dyDescent="0.3">
      <c r="A487" s="15" t="s">
        <v>55</v>
      </c>
      <c r="B487" s="1"/>
      <c r="C487" s="1"/>
      <c r="D487" s="1"/>
      <c r="E487" s="55" t="s">
        <v>7</v>
      </c>
      <c r="F487" s="1"/>
      <c r="G487" s="1"/>
      <c r="H487" s="1"/>
      <c r="I487" s="55" t="s">
        <v>7</v>
      </c>
      <c r="J487" s="1"/>
      <c r="K487" s="1"/>
      <c r="L487" s="1"/>
      <c r="M487" s="55" t="s">
        <v>7</v>
      </c>
      <c r="N487" s="1"/>
      <c r="O487" s="1"/>
      <c r="P487" s="1"/>
      <c r="Q487" s="55" t="s">
        <v>7</v>
      </c>
      <c r="R487" s="55" t="s">
        <v>7</v>
      </c>
    </row>
    <row r="488" spans="1:18" ht="15.75" customHeight="1" x14ac:dyDescent="0.3">
      <c r="A488" s="15" t="s">
        <v>57</v>
      </c>
      <c r="B488" s="1"/>
      <c r="C488" s="1"/>
      <c r="D488" s="1"/>
      <c r="E488" s="55" t="s">
        <v>7</v>
      </c>
      <c r="F488" s="1"/>
      <c r="G488" s="1"/>
      <c r="H488" s="1"/>
      <c r="I488" s="55" t="s">
        <v>7</v>
      </c>
      <c r="J488" s="1"/>
      <c r="K488" s="1"/>
      <c r="L488" s="1"/>
      <c r="M488" s="55" t="s">
        <v>7</v>
      </c>
      <c r="N488" s="1"/>
      <c r="O488" s="1"/>
      <c r="P488" s="1"/>
      <c r="Q488" s="55" t="s">
        <v>7</v>
      </c>
      <c r="R488" s="55" t="s">
        <v>7</v>
      </c>
    </row>
    <row r="489" spans="1:18" ht="15.75" customHeight="1" x14ac:dyDescent="0.3">
      <c r="A489" s="71" t="s">
        <v>324</v>
      </c>
      <c r="B489" s="1">
        <v>507</v>
      </c>
      <c r="C489" s="1">
        <v>555</v>
      </c>
      <c r="D489" s="1">
        <v>138</v>
      </c>
      <c r="E489" s="55">
        <f>SUM(B489:D489)</f>
        <v>1200</v>
      </c>
      <c r="F489" s="1">
        <v>300</v>
      </c>
      <c r="G489" s="1">
        <v>135</v>
      </c>
      <c r="H489" s="1">
        <v>0</v>
      </c>
      <c r="I489" s="55">
        <f>SUM(F489:H489)</f>
        <v>435</v>
      </c>
      <c r="J489" s="1">
        <v>0</v>
      </c>
      <c r="K489" s="1">
        <v>0</v>
      </c>
      <c r="L489" s="1">
        <v>0</v>
      </c>
      <c r="M489" s="55">
        <f>SUM(J489:L489)</f>
        <v>0</v>
      </c>
      <c r="N489" s="1">
        <v>0</v>
      </c>
      <c r="O489" s="1">
        <v>0</v>
      </c>
      <c r="P489" s="1">
        <v>0</v>
      </c>
      <c r="Q489" s="55">
        <f>SUM(N489:P489)</f>
        <v>0</v>
      </c>
      <c r="R489" s="55">
        <f>+E489+I489+M489+Q489</f>
        <v>1635</v>
      </c>
    </row>
    <row r="490" spans="1:18" ht="15.75" customHeight="1" x14ac:dyDescent="0.3">
      <c r="A490" s="71" t="s">
        <v>659</v>
      </c>
      <c r="B490" s="1"/>
      <c r="C490" s="1"/>
      <c r="D490" s="1"/>
      <c r="E490" s="55">
        <f>SUM(B490:D490)</f>
        <v>0</v>
      </c>
      <c r="F490" s="1"/>
      <c r="G490" s="1"/>
      <c r="H490" s="1"/>
      <c r="I490" s="55">
        <f>SUM(F490:H490)</f>
        <v>0</v>
      </c>
      <c r="J490" s="1"/>
      <c r="K490" s="1"/>
      <c r="L490" s="1"/>
      <c r="M490" s="55">
        <f>SUM(J490:L490)</f>
        <v>0</v>
      </c>
      <c r="N490" s="1"/>
      <c r="O490" s="1"/>
      <c r="P490" s="1"/>
      <c r="Q490" s="55">
        <f>SUM(N490:P490)</f>
        <v>0</v>
      </c>
      <c r="R490" s="55">
        <f>+E490+I490+M490+Q490</f>
        <v>0</v>
      </c>
    </row>
    <row r="491" spans="1:18" ht="15.75" customHeight="1" thickBot="1" x14ac:dyDescent="0.35">
      <c r="A491" s="15" t="s">
        <v>58</v>
      </c>
      <c r="B491" s="1"/>
      <c r="C491" s="1"/>
      <c r="D491" s="1"/>
      <c r="E491" s="55" t="s">
        <v>7</v>
      </c>
      <c r="F491" s="1"/>
      <c r="G491" s="1"/>
      <c r="H491" s="1"/>
      <c r="I491" s="55" t="s">
        <v>7</v>
      </c>
      <c r="J491" s="1"/>
      <c r="K491" s="1"/>
      <c r="L491" s="1"/>
      <c r="M491" s="55" t="s">
        <v>7</v>
      </c>
      <c r="N491" s="1"/>
      <c r="O491" s="1"/>
      <c r="P491" s="1"/>
      <c r="Q491" s="55" t="s">
        <v>7</v>
      </c>
      <c r="R491" s="55" t="s">
        <v>7</v>
      </c>
    </row>
    <row r="492" spans="1:18" ht="16.5" customHeight="1" thickBot="1" x14ac:dyDescent="0.35">
      <c r="A492" s="57" t="s">
        <v>59</v>
      </c>
      <c r="B492" s="86">
        <f>SUM(B487:B491)</f>
        <v>507</v>
      </c>
      <c r="C492" s="87">
        <f>SUM(C487:C491)</f>
        <v>555</v>
      </c>
      <c r="D492" s="87">
        <f>SUM(D487:D491)</f>
        <v>138</v>
      </c>
      <c r="E492" s="59">
        <f>SUM(B492:D492)</f>
        <v>1200</v>
      </c>
      <c r="F492" s="87">
        <f>SUM(F487:F491)</f>
        <v>300</v>
      </c>
      <c r="G492" s="87">
        <f>SUM(G487:G491)</f>
        <v>135</v>
      </c>
      <c r="H492" s="87">
        <f>SUM(H487:H491)</f>
        <v>0</v>
      </c>
      <c r="I492" s="59">
        <f>SUM(F492:H492)</f>
        <v>435</v>
      </c>
      <c r="J492" s="87">
        <f>SUM(J487:J491)</f>
        <v>0</v>
      </c>
      <c r="K492" s="87">
        <f>SUM(K487:K491)</f>
        <v>0</v>
      </c>
      <c r="L492" s="87">
        <f>SUM(L487:L491)</f>
        <v>0</v>
      </c>
      <c r="M492" s="59">
        <f>SUM(J492:L492)</f>
        <v>0</v>
      </c>
      <c r="N492" s="87">
        <f>SUM(N487:N491)</f>
        <v>0</v>
      </c>
      <c r="O492" s="87">
        <f>SUM(O487:O491)</f>
        <v>0</v>
      </c>
      <c r="P492" s="87">
        <f>SUM(P487:P491)</f>
        <v>0</v>
      </c>
      <c r="Q492" s="59">
        <f>SUM(N492:P492)</f>
        <v>0</v>
      </c>
      <c r="R492" s="59">
        <f>+E492+I492+M492+Q492</f>
        <v>1635</v>
      </c>
    </row>
    <row r="493" spans="1:18" ht="15.75" customHeight="1" x14ac:dyDescent="0.3">
      <c r="A493" s="15" t="s">
        <v>60</v>
      </c>
      <c r="B493" s="1"/>
      <c r="C493" s="1"/>
      <c r="D493" s="1"/>
      <c r="E493" s="55" t="s">
        <v>7</v>
      </c>
      <c r="F493" s="1"/>
      <c r="G493" s="1"/>
      <c r="H493" s="1"/>
      <c r="I493" s="55" t="s">
        <v>7</v>
      </c>
      <c r="J493" s="1"/>
      <c r="K493" s="1"/>
      <c r="L493" s="1"/>
      <c r="M493" s="55" t="s">
        <v>7</v>
      </c>
      <c r="N493" s="1"/>
      <c r="O493" s="1"/>
      <c r="P493" s="1"/>
      <c r="Q493" s="55" t="s">
        <v>7</v>
      </c>
      <c r="R493" s="55" t="s">
        <v>7</v>
      </c>
    </row>
    <row r="494" spans="1:18" ht="15.75" customHeight="1" x14ac:dyDescent="0.3">
      <c r="A494" s="15" t="s">
        <v>61</v>
      </c>
      <c r="B494" s="1"/>
      <c r="C494" s="1"/>
      <c r="D494" s="1"/>
      <c r="E494" s="55" t="s">
        <v>7</v>
      </c>
      <c r="F494" s="1"/>
      <c r="G494" s="1"/>
      <c r="H494" s="1"/>
      <c r="I494" s="55" t="s">
        <v>7</v>
      </c>
      <c r="J494" s="1"/>
      <c r="K494" s="1"/>
      <c r="L494" s="1"/>
      <c r="M494" s="55" t="s">
        <v>7</v>
      </c>
      <c r="N494" s="1"/>
      <c r="O494" s="1"/>
      <c r="P494" s="1"/>
      <c r="Q494" s="55" t="s">
        <v>7</v>
      </c>
      <c r="R494" s="55" t="s">
        <v>7</v>
      </c>
    </row>
    <row r="495" spans="1:18" ht="15.75" customHeight="1" x14ac:dyDescent="0.3">
      <c r="A495" s="15" t="s">
        <v>62</v>
      </c>
      <c r="B495" s="1"/>
      <c r="C495" s="1"/>
      <c r="D495" s="1"/>
      <c r="E495" s="55" t="s">
        <v>7</v>
      </c>
      <c r="F495" s="1"/>
      <c r="G495" s="1"/>
      <c r="H495" s="1"/>
      <c r="I495" s="55" t="s">
        <v>7</v>
      </c>
      <c r="J495" s="1"/>
      <c r="K495" s="1"/>
      <c r="L495" s="1"/>
      <c r="M495" s="55" t="s">
        <v>7</v>
      </c>
      <c r="N495" s="1"/>
      <c r="O495" s="1"/>
      <c r="P495" s="1"/>
      <c r="Q495" s="55" t="s">
        <v>7</v>
      </c>
      <c r="R495" s="55" t="s">
        <v>7</v>
      </c>
    </row>
    <row r="496" spans="1:18" ht="15.75" customHeight="1" thickBot="1" x14ac:dyDescent="0.35">
      <c r="A496" s="71" t="s">
        <v>991</v>
      </c>
      <c r="B496" s="1"/>
      <c r="C496" s="1"/>
      <c r="D496" s="1"/>
      <c r="E496" s="55">
        <f>SUM(B496:D496)</f>
        <v>0</v>
      </c>
      <c r="F496" s="1"/>
      <c r="G496" s="1"/>
      <c r="H496" s="1"/>
      <c r="I496" s="55">
        <f>SUM(F496:H496)</f>
        <v>0</v>
      </c>
      <c r="J496" s="1"/>
      <c r="K496" s="1"/>
      <c r="L496" s="1">
        <v>2769</v>
      </c>
      <c r="M496" s="55">
        <f>SUM(J496:L496)</f>
        <v>2769</v>
      </c>
      <c r="N496" s="1">
        <v>2290</v>
      </c>
      <c r="O496" s="1">
        <v>1425</v>
      </c>
      <c r="P496" s="1">
        <v>2200</v>
      </c>
      <c r="Q496" s="55">
        <f>SUM(N496:P496)</f>
        <v>5915</v>
      </c>
      <c r="R496" s="55">
        <f>+E496+I496+M496+Q496</f>
        <v>8684</v>
      </c>
    </row>
    <row r="497" spans="1:18" ht="16.5" customHeight="1" thickBot="1" x14ac:dyDescent="0.35">
      <c r="A497" s="114" t="s">
        <v>63</v>
      </c>
      <c r="B497" s="86">
        <f>SUM(B493:B496)</f>
        <v>0</v>
      </c>
      <c r="C497" s="87">
        <f>SUM(C493:C496)</f>
        <v>0</v>
      </c>
      <c r="D497" s="87">
        <f>SUM(D493:D496)</f>
        <v>0</v>
      </c>
      <c r="E497" s="59">
        <f>SUM(B497:D497)</f>
        <v>0</v>
      </c>
      <c r="F497" s="87">
        <f>SUM(F493:F496)</f>
        <v>0</v>
      </c>
      <c r="G497" s="87">
        <f>SUM(G493:G496)</f>
        <v>0</v>
      </c>
      <c r="H497" s="87">
        <f>SUM(H493:H496)</f>
        <v>0</v>
      </c>
      <c r="I497" s="59">
        <f>SUM(F497:H497)</f>
        <v>0</v>
      </c>
      <c r="J497" s="87">
        <f>SUM(J493:J496)</f>
        <v>0</v>
      </c>
      <c r="K497" s="87">
        <f>SUM(K493:K496)</f>
        <v>0</v>
      </c>
      <c r="L497" s="87">
        <f>SUM(L493:L496)</f>
        <v>2769</v>
      </c>
      <c r="M497" s="59">
        <f>SUM(J497:L497)</f>
        <v>2769</v>
      </c>
      <c r="N497" s="87">
        <f>SUM(N493:N496)</f>
        <v>2290</v>
      </c>
      <c r="O497" s="87">
        <f>SUM(O493:O496)</f>
        <v>1425</v>
      </c>
      <c r="P497" s="87">
        <f>SUM(P493:P496)</f>
        <v>2200</v>
      </c>
      <c r="Q497" s="59">
        <f>SUM(N497:P497)</f>
        <v>5915</v>
      </c>
      <c r="R497" s="59">
        <f>+E497+I497+M497+Q497</f>
        <v>8684</v>
      </c>
    </row>
    <row r="498" spans="1:18" ht="15.75" customHeight="1" x14ac:dyDescent="0.3">
      <c r="A498" s="15" t="s">
        <v>64</v>
      </c>
      <c r="B498" s="1"/>
      <c r="C498" s="1"/>
      <c r="D498" s="1"/>
      <c r="E498" s="55" t="s">
        <v>7</v>
      </c>
      <c r="F498" s="1"/>
      <c r="G498" s="1"/>
      <c r="H498" s="1"/>
      <c r="I498" s="55" t="s">
        <v>7</v>
      </c>
      <c r="J498" s="1"/>
      <c r="K498" s="1"/>
      <c r="L498" s="1"/>
      <c r="M498" s="55" t="s">
        <v>7</v>
      </c>
      <c r="N498" s="1"/>
      <c r="O498" s="1"/>
      <c r="P498" s="1"/>
      <c r="Q498" s="55" t="s">
        <v>7</v>
      </c>
      <c r="R498" s="55" t="s">
        <v>7</v>
      </c>
    </row>
    <row r="499" spans="1:18" ht="15.75" customHeight="1" x14ac:dyDescent="0.3">
      <c r="A499" s="15" t="s">
        <v>594</v>
      </c>
      <c r="B499" s="1"/>
      <c r="C499" s="1"/>
      <c r="D499" s="1"/>
      <c r="E499" s="55" t="s">
        <v>7</v>
      </c>
      <c r="F499" s="1"/>
      <c r="G499" s="1"/>
      <c r="H499" s="1"/>
      <c r="I499" s="55" t="s">
        <v>7</v>
      </c>
      <c r="J499" s="1"/>
      <c r="K499" s="1"/>
      <c r="L499" s="1"/>
      <c r="M499" s="55" t="s">
        <v>7</v>
      </c>
      <c r="N499" s="1"/>
      <c r="O499" s="1"/>
      <c r="P499" s="1"/>
      <c r="Q499" s="55" t="s">
        <v>7</v>
      </c>
      <c r="R499" s="55" t="s">
        <v>7</v>
      </c>
    </row>
    <row r="500" spans="1:18" ht="15.75" customHeight="1" x14ac:dyDescent="0.3">
      <c r="A500" s="71" t="s">
        <v>326</v>
      </c>
      <c r="B500" s="1"/>
      <c r="C500" s="1"/>
      <c r="D500" s="1"/>
      <c r="E500" s="55">
        <f>SUM(B500:D500)</f>
        <v>0</v>
      </c>
      <c r="F500" s="1"/>
      <c r="G500" s="1"/>
      <c r="H500" s="1"/>
      <c r="I500" s="55">
        <f>SUM(F500:H500)</f>
        <v>0</v>
      </c>
      <c r="J500" s="1"/>
      <c r="K500" s="1"/>
      <c r="L500" s="1"/>
      <c r="M500" s="55">
        <f>SUM(J500:L500)</f>
        <v>0</v>
      </c>
      <c r="N500" s="1"/>
      <c r="O500" s="1"/>
      <c r="P500" s="1"/>
      <c r="Q500" s="55">
        <f>SUM(N500:P500)</f>
        <v>0</v>
      </c>
      <c r="R500" s="55">
        <f>+E500+I500+M500+Q500</f>
        <v>0</v>
      </c>
    </row>
    <row r="501" spans="1:18" ht="15.75" customHeight="1" x14ac:dyDescent="0.3">
      <c r="A501" s="71" t="s">
        <v>327</v>
      </c>
      <c r="B501" s="1"/>
      <c r="C501" s="1"/>
      <c r="D501" s="1"/>
      <c r="E501" s="55">
        <f>SUM(B501:D501)</f>
        <v>0</v>
      </c>
      <c r="F501" s="1"/>
      <c r="G501" s="1"/>
      <c r="H501" s="1"/>
      <c r="I501" s="55">
        <f>SUM(F501:H501)</f>
        <v>0</v>
      </c>
      <c r="J501" s="1"/>
      <c r="K501" s="1"/>
      <c r="L501" s="1"/>
      <c r="M501" s="55">
        <f>SUM(J501:L501)</f>
        <v>0</v>
      </c>
      <c r="N501" s="1"/>
      <c r="O501" s="1"/>
      <c r="P501" s="1"/>
      <c r="Q501" s="55">
        <f>SUM(N501:P501)</f>
        <v>0</v>
      </c>
      <c r="R501" s="55">
        <f>+E501+I501+M501+Q501</f>
        <v>0</v>
      </c>
    </row>
    <row r="502" spans="1:18" ht="15.75" customHeight="1" x14ac:dyDescent="0.3">
      <c r="A502" s="15" t="s">
        <v>67</v>
      </c>
      <c r="B502" s="1"/>
      <c r="C502" s="1"/>
      <c r="D502" s="1"/>
      <c r="E502" s="55" t="s">
        <v>7</v>
      </c>
      <c r="F502" s="1"/>
      <c r="G502" s="1"/>
      <c r="H502" s="1"/>
      <c r="I502" s="55" t="s">
        <v>7</v>
      </c>
      <c r="J502" s="1"/>
      <c r="K502" s="1"/>
      <c r="L502" s="1"/>
      <c r="M502" s="55" t="s">
        <v>7</v>
      </c>
      <c r="N502" s="1"/>
      <c r="O502" s="1"/>
      <c r="P502" s="1"/>
      <c r="Q502" s="55" t="s">
        <v>7</v>
      </c>
      <c r="R502" s="55" t="s">
        <v>7</v>
      </c>
    </row>
    <row r="503" spans="1:18" ht="15.75" customHeight="1" x14ac:dyDescent="0.3">
      <c r="A503" s="71" t="s">
        <v>767</v>
      </c>
      <c r="B503" s="1"/>
      <c r="C503" s="1"/>
      <c r="D503" s="1"/>
      <c r="E503" s="55">
        <f>SUM(B503:D503)</f>
        <v>0</v>
      </c>
      <c r="F503" s="1"/>
      <c r="G503" s="1"/>
      <c r="H503" s="1"/>
      <c r="I503" s="55">
        <f>SUM(F503:H503)</f>
        <v>0</v>
      </c>
      <c r="J503" s="1"/>
      <c r="K503" s="1"/>
      <c r="L503" s="1"/>
      <c r="M503" s="55">
        <f>SUM(J503:L503)</f>
        <v>0</v>
      </c>
      <c r="N503" s="1">
        <v>312</v>
      </c>
      <c r="O503" s="1">
        <v>51</v>
      </c>
      <c r="P503" s="1">
        <v>411</v>
      </c>
      <c r="Q503" s="55">
        <f>SUM(N503:P503)</f>
        <v>774</v>
      </c>
      <c r="R503" s="55">
        <f>+E503+I503+M503+Q503</f>
        <v>774</v>
      </c>
    </row>
    <row r="504" spans="1:18" ht="15.75" customHeight="1" x14ac:dyDescent="0.3">
      <c r="A504" s="71" t="s">
        <v>768</v>
      </c>
      <c r="B504" s="1"/>
      <c r="C504" s="1"/>
      <c r="D504" s="1"/>
      <c r="E504" s="55">
        <f>SUM(B504:D504)</f>
        <v>0</v>
      </c>
      <c r="F504" s="1"/>
      <c r="G504" s="1"/>
      <c r="H504" s="1"/>
      <c r="I504" s="55">
        <f>SUM(F504:H504)</f>
        <v>0</v>
      </c>
      <c r="J504" s="1"/>
      <c r="K504" s="1"/>
      <c r="L504" s="1"/>
      <c r="M504" s="55">
        <f>SUM(J504:L504)</f>
        <v>0</v>
      </c>
      <c r="N504" s="1"/>
      <c r="O504" s="1"/>
      <c r="P504" s="1"/>
      <c r="Q504" s="55">
        <f>SUM(N504:P504)</f>
        <v>0</v>
      </c>
      <c r="R504" s="55">
        <f>+E504+I504+M504+Q504</f>
        <v>0</v>
      </c>
    </row>
    <row r="505" spans="1:18" ht="15.75" customHeight="1" x14ac:dyDescent="0.3">
      <c r="A505" s="71" t="s">
        <v>769</v>
      </c>
      <c r="B505" s="1">
        <v>2731</v>
      </c>
      <c r="C505" s="1">
        <v>3194</v>
      </c>
      <c r="D505" s="1">
        <v>3405</v>
      </c>
      <c r="E505" s="55">
        <f>SUM(B505:D505)</f>
        <v>9330</v>
      </c>
      <c r="F505" s="1">
        <v>1531</v>
      </c>
      <c r="G505" s="1"/>
      <c r="H505" s="1"/>
      <c r="I505" s="55">
        <f>SUM(F505:H505)</f>
        <v>1531</v>
      </c>
      <c r="J505" s="1"/>
      <c r="K505" s="1"/>
      <c r="L505" s="1"/>
      <c r="M505" s="55">
        <f>SUM(J505:L505)</f>
        <v>0</v>
      </c>
      <c r="N505" s="1"/>
      <c r="O505" s="1"/>
      <c r="P505" s="1">
        <v>394</v>
      </c>
      <c r="Q505" s="55">
        <f>SUM(N505:P505)</f>
        <v>394</v>
      </c>
      <c r="R505" s="55">
        <f>+E505+I505+M505+Q505</f>
        <v>11255</v>
      </c>
    </row>
    <row r="506" spans="1:18" ht="15.75" customHeight="1" x14ac:dyDescent="0.3">
      <c r="A506" s="71" t="s">
        <v>770</v>
      </c>
      <c r="B506" s="1"/>
      <c r="C506" s="1"/>
      <c r="D506" s="1"/>
      <c r="E506" s="55">
        <f>SUM(B506:D506)</f>
        <v>0</v>
      </c>
      <c r="F506" s="1"/>
      <c r="G506" s="1"/>
      <c r="H506" s="1"/>
      <c r="I506" s="55">
        <f>SUM(F506:H506)</f>
        <v>0</v>
      </c>
      <c r="J506" s="1"/>
      <c r="K506" s="1"/>
      <c r="L506" s="1"/>
      <c r="M506" s="55">
        <f>SUM(J506:L506)</f>
        <v>0</v>
      </c>
      <c r="N506" s="1"/>
      <c r="O506" s="1"/>
      <c r="P506" s="1"/>
      <c r="Q506" s="55">
        <f>SUM(N506:P506)</f>
        <v>0</v>
      </c>
      <c r="R506" s="55">
        <f>+E506+I506+M506+Q506</f>
        <v>0</v>
      </c>
    </row>
    <row r="507" spans="1:18" ht="15.75" customHeight="1" x14ac:dyDescent="0.3">
      <c r="A507" s="15" t="s">
        <v>600</v>
      </c>
      <c r="B507" s="1"/>
      <c r="C507" s="1"/>
      <c r="D507" s="1"/>
      <c r="E507" s="55" t="s">
        <v>7</v>
      </c>
      <c r="F507" s="1"/>
      <c r="G507" s="1"/>
      <c r="H507" s="1"/>
      <c r="I507" s="55" t="s">
        <v>7</v>
      </c>
      <c r="J507" s="1"/>
      <c r="K507" s="1"/>
      <c r="L507" s="1"/>
      <c r="M507" s="55" t="s">
        <v>7</v>
      </c>
      <c r="N507" s="1"/>
      <c r="O507" s="1"/>
      <c r="P507" s="1"/>
      <c r="Q507" s="55" t="s">
        <v>7</v>
      </c>
      <c r="R507" s="55" t="s">
        <v>7</v>
      </c>
    </row>
    <row r="508" spans="1:18" ht="15.75" customHeight="1" x14ac:dyDescent="0.3">
      <c r="A508" s="15" t="s">
        <v>70</v>
      </c>
      <c r="B508" s="1"/>
      <c r="C508" s="1"/>
      <c r="D508" s="1"/>
      <c r="E508" s="55" t="s">
        <v>7</v>
      </c>
      <c r="F508" s="1"/>
      <c r="G508" s="1"/>
      <c r="H508" s="1"/>
      <c r="I508" s="55" t="s">
        <v>7</v>
      </c>
      <c r="J508" s="1"/>
      <c r="K508" s="1"/>
      <c r="L508" s="1"/>
      <c r="M508" s="55" t="s">
        <v>7</v>
      </c>
      <c r="N508" s="1"/>
      <c r="O508" s="1"/>
      <c r="P508" s="1"/>
      <c r="Q508" s="55" t="s">
        <v>7</v>
      </c>
      <c r="R508" s="55" t="s">
        <v>7</v>
      </c>
    </row>
    <row r="509" spans="1:18" ht="15.75" customHeight="1" x14ac:dyDescent="0.3">
      <c r="A509" s="71" t="s">
        <v>993</v>
      </c>
      <c r="B509" s="1"/>
      <c r="C509" s="1"/>
      <c r="D509" s="1">
        <v>200</v>
      </c>
      <c r="E509" s="55">
        <f t="shared" ref="E509:E514" si="94">SUM(B509:D509)</f>
        <v>200</v>
      </c>
      <c r="F509" s="1"/>
      <c r="G509" s="1"/>
      <c r="H509" s="1"/>
      <c r="I509" s="55">
        <f t="shared" ref="I509:I514" si="95">SUM(F509:H509)</f>
        <v>0</v>
      </c>
      <c r="J509" s="1"/>
      <c r="K509" s="1"/>
      <c r="L509" s="1"/>
      <c r="M509" s="55">
        <f t="shared" ref="M509:M514" si="96">SUM(J509:L509)</f>
        <v>0</v>
      </c>
      <c r="N509" s="1"/>
      <c r="O509" s="1"/>
      <c r="P509" s="1"/>
      <c r="Q509" s="55">
        <f t="shared" ref="Q509:Q514" si="97">SUM(N509:P509)</f>
        <v>0</v>
      </c>
      <c r="R509" s="55">
        <f t="shared" ref="R509:R514" si="98">+E509+I509+M509+Q509</f>
        <v>200</v>
      </c>
    </row>
    <row r="510" spans="1:18" ht="15.75" customHeight="1" thickBot="1" x14ac:dyDescent="0.35">
      <c r="A510" s="71" t="s">
        <v>771</v>
      </c>
      <c r="B510" s="1"/>
      <c r="C510" s="1"/>
      <c r="D510" s="1"/>
      <c r="E510" s="55">
        <f t="shared" si="94"/>
        <v>0</v>
      </c>
      <c r="F510" s="1"/>
      <c r="G510" s="1">
        <v>400</v>
      </c>
      <c r="H510" s="1">
        <v>1221</v>
      </c>
      <c r="I510" s="55">
        <f t="shared" si="95"/>
        <v>1621</v>
      </c>
      <c r="J510" s="1">
        <v>1128</v>
      </c>
      <c r="K510" s="1">
        <v>835</v>
      </c>
      <c r="L510" s="1">
        <v>513</v>
      </c>
      <c r="M510" s="55">
        <f t="shared" si="96"/>
        <v>2476</v>
      </c>
      <c r="N510" s="1"/>
      <c r="O510" s="1"/>
      <c r="P510" s="1"/>
      <c r="Q510" s="55">
        <f t="shared" si="97"/>
        <v>0</v>
      </c>
      <c r="R510" s="55">
        <f t="shared" si="98"/>
        <v>4097</v>
      </c>
    </row>
    <row r="511" spans="1:18" ht="16.5" customHeight="1" thickBot="1" x14ac:dyDescent="0.35">
      <c r="A511" s="57" t="s">
        <v>71</v>
      </c>
      <c r="B511" s="146">
        <f>SUM(B508:B510)</f>
        <v>0</v>
      </c>
      <c r="C511" s="146">
        <f>SUM(C508:C510)</f>
        <v>0</v>
      </c>
      <c r="D511" s="146">
        <f>SUM(D508:D510)</f>
        <v>200</v>
      </c>
      <c r="E511" s="60">
        <f t="shared" si="94"/>
        <v>200</v>
      </c>
      <c r="F511" s="146">
        <f>SUM(F508:F510)</f>
        <v>0</v>
      </c>
      <c r="G511" s="146">
        <f>SUM(G508:G510)</f>
        <v>400</v>
      </c>
      <c r="H511" s="146">
        <f>SUM(H508:H510)</f>
        <v>1221</v>
      </c>
      <c r="I511" s="60">
        <f t="shared" si="95"/>
        <v>1621</v>
      </c>
      <c r="J511" s="146">
        <f>SUM(J508:J510)</f>
        <v>1128</v>
      </c>
      <c r="K511" s="146">
        <f>SUM(K508:K510)</f>
        <v>835</v>
      </c>
      <c r="L511" s="146">
        <f>SUM(L508:L510)</f>
        <v>513</v>
      </c>
      <c r="M511" s="60">
        <f t="shared" si="96"/>
        <v>2476</v>
      </c>
      <c r="N511" s="146">
        <f>SUM(N508:N510)</f>
        <v>0</v>
      </c>
      <c r="O511" s="146">
        <f>SUM(O508:O510)</f>
        <v>0</v>
      </c>
      <c r="P511" s="146">
        <f>SUM(P508:P510)</f>
        <v>0</v>
      </c>
      <c r="Q511" s="60">
        <f t="shared" si="97"/>
        <v>0</v>
      </c>
      <c r="R511" s="59">
        <f t="shared" si="98"/>
        <v>4297</v>
      </c>
    </row>
    <row r="512" spans="1:18" ht="16.5" customHeight="1" thickBot="1" x14ac:dyDescent="0.35">
      <c r="A512" s="114" t="s">
        <v>72</v>
      </c>
      <c r="B512" s="86">
        <f>SUM(B498:B510)</f>
        <v>2731</v>
      </c>
      <c r="C512" s="87">
        <f>SUM(C498:C510)</f>
        <v>3194</v>
      </c>
      <c r="D512" s="118">
        <f>SUM(D498:D510)</f>
        <v>3605</v>
      </c>
      <c r="E512" s="60">
        <f t="shared" si="94"/>
        <v>9530</v>
      </c>
      <c r="F512" s="86">
        <f>SUM(F498:F510)</f>
        <v>1531</v>
      </c>
      <c r="G512" s="87">
        <f>SUM(G498:G510)</f>
        <v>400</v>
      </c>
      <c r="H512" s="118">
        <f>SUM(H498:H510)</f>
        <v>1221</v>
      </c>
      <c r="I512" s="60">
        <f t="shared" si="95"/>
        <v>3152</v>
      </c>
      <c r="J512" s="86">
        <f>SUM(J498:J510)</f>
        <v>1128</v>
      </c>
      <c r="K512" s="87">
        <f>SUM(K498:K510)</f>
        <v>835</v>
      </c>
      <c r="L512" s="118">
        <f>SUM(L498:L510)</f>
        <v>513</v>
      </c>
      <c r="M512" s="60">
        <f t="shared" si="96"/>
        <v>2476</v>
      </c>
      <c r="N512" s="86">
        <f>SUM(N498:N510)</f>
        <v>312</v>
      </c>
      <c r="O512" s="87">
        <f>SUM(O498:O510)</f>
        <v>51</v>
      </c>
      <c r="P512" s="118">
        <f>SUM(P498:P510)</f>
        <v>805</v>
      </c>
      <c r="Q512" s="60">
        <f t="shared" si="97"/>
        <v>1168</v>
      </c>
      <c r="R512" s="59">
        <f t="shared" si="98"/>
        <v>16326</v>
      </c>
    </row>
    <row r="513" spans="1:18" ht="16.5" customHeight="1" thickBot="1" x14ac:dyDescent="0.35">
      <c r="A513" s="57" t="s">
        <v>73</v>
      </c>
      <c r="B513" s="148">
        <f>+B486+B492+B497+B512</f>
        <v>4377</v>
      </c>
      <c r="C513" s="149">
        <f>+C486+C492+C497+C512</f>
        <v>5058</v>
      </c>
      <c r="D513" s="149">
        <f>+D486+D492+D497+D512</f>
        <v>5491</v>
      </c>
      <c r="E513" s="59">
        <f t="shared" si="94"/>
        <v>14926</v>
      </c>
      <c r="F513" s="58">
        <f>+F486+F492+F497+F512</f>
        <v>4790</v>
      </c>
      <c r="G513" s="58">
        <f>+G486+G492+G497+G512</f>
        <v>2192</v>
      </c>
      <c r="H513" s="58">
        <f>+H486+H492+H497+H512</f>
        <v>1915</v>
      </c>
      <c r="I513" s="59">
        <f t="shared" si="95"/>
        <v>8897</v>
      </c>
      <c r="J513" s="58">
        <f>+J486+J492+J497+J512</f>
        <v>1546</v>
      </c>
      <c r="K513" s="58">
        <f>+K486+K492+K497+K512</f>
        <v>2903</v>
      </c>
      <c r="L513" s="58">
        <f>+L486+L492+L497+L512</f>
        <v>5175</v>
      </c>
      <c r="M513" s="59">
        <f t="shared" si="96"/>
        <v>9624</v>
      </c>
      <c r="N513" s="58">
        <f>+N486+N492+N497+N512</f>
        <v>2938</v>
      </c>
      <c r="O513" s="58">
        <f>+O486+O492+O497+O512</f>
        <v>1599</v>
      </c>
      <c r="P513" s="58">
        <f>+P486+P492+P497+P512</f>
        <v>3005</v>
      </c>
      <c r="Q513" s="59">
        <f t="shared" si="97"/>
        <v>7542</v>
      </c>
      <c r="R513" s="81">
        <f t="shared" si="98"/>
        <v>40989</v>
      </c>
    </row>
    <row r="514" spans="1:18" ht="16.5" customHeight="1" thickBot="1" x14ac:dyDescent="0.35">
      <c r="A514" s="39" t="s">
        <v>40</v>
      </c>
      <c r="B514" s="21">
        <v>17</v>
      </c>
      <c r="C514" s="21">
        <v>47</v>
      </c>
      <c r="D514" s="21">
        <v>84</v>
      </c>
      <c r="E514" s="55">
        <f t="shared" si="94"/>
        <v>148</v>
      </c>
      <c r="F514" s="21">
        <v>116</v>
      </c>
      <c r="G514" s="21">
        <v>132</v>
      </c>
      <c r="H514" s="21">
        <v>138</v>
      </c>
      <c r="I514" s="55">
        <f t="shared" si="95"/>
        <v>386</v>
      </c>
      <c r="J514" s="21">
        <v>126</v>
      </c>
      <c r="K514" s="21">
        <v>95</v>
      </c>
      <c r="L514" s="21">
        <v>99</v>
      </c>
      <c r="M514" s="55">
        <f t="shared" si="96"/>
        <v>320</v>
      </c>
      <c r="N514" s="21">
        <v>91</v>
      </c>
      <c r="O514" s="21">
        <v>67</v>
      </c>
      <c r="P514" s="21">
        <v>38</v>
      </c>
      <c r="Q514" s="55">
        <f t="shared" si="97"/>
        <v>196</v>
      </c>
      <c r="R514" s="55">
        <f t="shared" si="98"/>
        <v>1050</v>
      </c>
    </row>
    <row r="515" spans="1:18" ht="16.5" customHeight="1" thickBot="1" x14ac:dyDescent="0.35">
      <c r="A515" s="41"/>
      <c r="B515" s="36"/>
      <c r="C515" s="36"/>
      <c r="D515" s="36"/>
      <c r="E515" s="42"/>
      <c r="F515" s="36"/>
      <c r="G515" s="36"/>
      <c r="H515" s="36"/>
      <c r="I515" s="42"/>
      <c r="J515" s="36"/>
      <c r="K515" s="36"/>
      <c r="L515" s="36"/>
      <c r="M515" s="42"/>
      <c r="N515" s="36"/>
      <c r="O515" s="36"/>
      <c r="P515" s="36"/>
      <c r="Q515" s="42"/>
      <c r="R515" s="42"/>
    </row>
    <row r="516" spans="1:18" ht="15.75" customHeight="1" x14ac:dyDescent="0.3">
      <c r="A516" s="76" t="s">
        <v>314</v>
      </c>
      <c r="B516" s="77">
        <f>SUM(B513:B514)</f>
        <v>4394</v>
      </c>
      <c r="C516" s="77">
        <f>SUM(C513:C514)</f>
        <v>5105</v>
      </c>
      <c r="D516" s="77">
        <f>SUM(D513:D514)</f>
        <v>5575</v>
      </c>
      <c r="E516" s="60">
        <f>SUM(B516:D516)</f>
        <v>15074</v>
      </c>
      <c r="F516" s="77">
        <f>SUM(F513:F514)</f>
        <v>4906</v>
      </c>
      <c r="G516" s="77">
        <f>SUM(G513:G514)</f>
        <v>2324</v>
      </c>
      <c r="H516" s="77">
        <f>SUM(H513:H514)</f>
        <v>2053</v>
      </c>
      <c r="I516" s="60">
        <f>SUM(F516:H516)</f>
        <v>9283</v>
      </c>
      <c r="J516" s="77">
        <f>SUM(J513:J514)</f>
        <v>1672</v>
      </c>
      <c r="K516" s="77">
        <f>SUM(K513:K514)</f>
        <v>2998</v>
      </c>
      <c r="L516" s="77">
        <f>SUM(L513:L514)</f>
        <v>5274</v>
      </c>
      <c r="M516" s="60">
        <f>SUM(J516:L516)</f>
        <v>9944</v>
      </c>
      <c r="N516" s="77">
        <f>SUM(N513:N514)</f>
        <v>3029</v>
      </c>
      <c r="O516" s="77">
        <f>SUM(O513:O514)</f>
        <v>1666</v>
      </c>
      <c r="P516" s="77">
        <f>SUM(P513:P514)</f>
        <v>3043</v>
      </c>
      <c r="Q516" s="60">
        <f>SUM(N516:P516)</f>
        <v>7738</v>
      </c>
      <c r="R516" s="60">
        <f>+E516+I516+M516+Q516</f>
        <v>42039</v>
      </c>
    </row>
    <row r="517" spans="1:18" ht="15.75" customHeight="1" x14ac:dyDescent="0.3">
      <c r="A517" s="79" t="s">
        <v>42</v>
      </c>
      <c r="B517" s="1">
        <f>(B516/31)/1.983</f>
        <v>71.478535291916771</v>
      </c>
      <c r="C517" s="1">
        <f>(C516/28)/1.983</f>
        <v>91.942223182767819</v>
      </c>
      <c r="D517" s="1">
        <f>(D516/31)/1.983</f>
        <v>90.690221723358221</v>
      </c>
      <c r="E517" s="55" t="s">
        <v>7</v>
      </c>
      <c r="F517" s="1">
        <f>(F516/30)/1.983</f>
        <v>82.467641620440403</v>
      </c>
      <c r="G517" s="1">
        <f>(G516/31)/1.983</f>
        <v>37.805215297773003</v>
      </c>
      <c r="H517" s="1">
        <f>(H516/30)/1.983</f>
        <v>34.51000168095478</v>
      </c>
      <c r="I517" s="55" t="s">
        <v>7</v>
      </c>
      <c r="J517" s="1">
        <f>(J516/31)/1.983</f>
        <v>27.198932864834969</v>
      </c>
      <c r="K517" s="1">
        <f>(K516/31)/1.983</f>
        <v>48.769378426300975</v>
      </c>
      <c r="L517" s="1">
        <f>(L516/30)/1.983</f>
        <v>88.653555219364605</v>
      </c>
      <c r="M517" s="55" t="s">
        <v>7</v>
      </c>
      <c r="N517" s="1">
        <f>(N516/31)/1.983</f>
        <v>49.273664860995879</v>
      </c>
      <c r="O517" s="1">
        <f>(O516/30)/1.983</f>
        <v>28.004706673390483</v>
      </c>
      <c r="P517" s="1">
        <f>(P516/31)/1.983</f>
        <v>49.501407121825835</v>
      </c>
      <c r="Q517" s="55" t="s">
        <v>7</v>
      </c>
      <c r="R517" s="55" t="s">
        <v>7</v>
      </c>
    </row>
    <row r="518" spans="1:18" ht="15.75" customHeight="1" x14ac:dyDescent="0.3">
      <c r="A518" s="79" t="s">
        <v>332</v>
      </c>
      <c r="B518" s="1">
        <f>B516+B528</f>
        <v>19828</v>
      </c>
      <c r="C518" s="1">
        <f>C516+C528</f>
        <v>23567</v>
      </c>
      <c r="D518" s="1">
        <f>D516+D528</f>
        <v>25634</v>
      </c>
      <c r="E518" s="55">
        <f>SUM(B518:D518)</f>
        <v>69029</v>
      </c>
      <c r="F518" s="1">
        <f>F516+F528</f>
        <v>25699</v>
      </c>
      <c r="G518" s="1">
        <f>G516+G528</f>
        <v>24557</v>
      </c>
      <c r="H518" s="1">
        <f>H516+H528</f>
        <v>20047</v>
      </c>
      <c r="I518" s="55">
        <f>SUM(F518:H518)</f>
        <v>70303</v>
      </c>
      <c r="J518" s="1">
        <f>J516+J528</f>
        <v>18759</v>
      </c>
      <c r="K518" s="1">
        <f>K516+K528</f>
        <v>19587</v>
      </c>
      <c r="L518" s="1">
        <f>L516+L528</f>
        <v>21436</v>
      </c>
      <c r="M518" s="55">
        <f>SUM(J518:L518)</f>
        <v>59782</v>
      </c>
      <c r="N518" s="1">
        <f>N516+N528</f>
        <v>14274</v>
      </c>
      <c r="O518" s="1">
        <f>O516+O528</f>
        <v>8934</v>
      </c>
      <c r="P518" s="1">
        <f>P516+P528</f>
        <v>17634</v>
      </c>
      <c r="Q518" s="55">
        <f>SUM(N518:P518)</f>
        <v>40842</v>
      </c>
      <c r="R518" s="55">
        <f>+E518+I518+M518+Q518</f>
        <v>239956</v>
      </c>
    </row>
    <row r="519" spans="1:18" ht="16.5" customHeight="1" thickBot="1" x14ac:dyDescent="0.35">
      <c r="A519" s="80" t="s">
        <v>333</v>
      </c>
      <c r="B519" s="25">
        <f>(B518/31)/1.983</f>
        <v>322.54811055260029</v>
      </c>
      <c r="C519" s="25">
        <f>(C518/28)/1.983</f>
        <v>424.44708594481665</v>
      </c>
      <c r="D519" s="25">
        <f>(D518/31)/1.983</f>
        <v>416.99607957965281</v>
      </c>
      <c r="E519" s="81" t="s">
        <v>7</v>
      </c>
      <c r="F519" s="25">
        <f>(F518/30)/1.983</f>
        <v>431.98856950748024</v>
      </c>
      <c r="G519" s="25">
        <f>(G518/31)/1.983</f>
        <v>399.47619280009104</v>
      </c>
      <c r="H519" s="25">
        <f>(H518/30)/1.983</f>
        <v>336.98100521095984</v>
      </c>
      <c r="I519" s="81" t="s">
        <v>7</v>
      </c>
      <c r="J519" s="25">
        <f>(J518/31)/1.983</f>
        <v>305.15836220779852</v>
      </c>
      <c r="K519" s="25">
        <f>(K518/31)/1.983</f>
        <v>318.62769020545608</v>
      </c>
      <c r="L519" s="25">
        <f>(L518/30)/1.983</f>
        <v>360.32946713733395</v>
      </c>
      <c r="M519" s="81" t="s">
        <v>7</v>
      </c>
      <c r="N519" s="25">
        <f>(N518/31)/1.983</f>
        <v>232.19950222048703</v>
      </c>
      <c r="O519" s="25">
        <f>(O518/30)/1.983</f>
        <v>150.17650025214323</v>
      </c>
      <c r="P519" s="25">
        <f>(P518/31)/1.983</f>
        <v>286.85764481967692</v>
      </c>
      <c r="Q519" s="81" t="s">
        <v>7</v>
      </c>
      <c r="R519" s="81" t="s">
        <v>7</v>
      </c>
    </row>
    <row r="520" spans="1:18" ht="15.75" customHeight="1" x14ac:dyDescent="0.3">
      <c r="A520" s="2"/>
      <c r="B520" s="1"/>
      <c r="C520" s="1"/>
      <c r="D520" s="1"/>
      <c r="E520" s="1"/>
      <c r="F520" s="1"/>
      <c r="G520" s="1"/>
      <c r="H520" s="1"/>
      <c r="I520" s="1"/>
      <c r="J520" s="1"/>
      <c r="K520" s="1"/>
      <c r="L520" s="1"/>
      <c r="M520" s="1"/>
      <c r="N520" s="1"/>
      <c r="O520" s="1"/>
      <c r="P520" s="1"/>
      <c r="Q520" s="1"/>
      <c r="R520" s="2"/>
    </row>
    <row r="521" spans="1:18" ht="16.5" customHeight="1" thickBot="1" x14ac:dyDescent="0.35">
      <c r="A521" s="106"/>
      <c r="B521" s="21"/>
      <c r="C521" s="21"/>
      <c r="D521" s="21"/>
      <c r="E521" s="21"/>
      <c r="F521" s="21"/>
      <c r="G521" s="21"/>
      <c r="H521" s="21"/>
      <c r="I521" s="21"/>
      <c r="J521" s="21"/>
      <c r="K521" s="21"/>
      <c r="L521" s="21"/>
      <c r="M521" s="21"/>
      <c r="N521" s="21"/>
      <c r="O521" s="21"/>
      <c r="P521" s="21"/>
      <c r="Q521" s="21"/>
      <c r="R521" s="106"/>
    </row>
    <row r="522" spans="1:18" ht="16.5" customHeight="1" thickBot="1" x14ac:dyDescent="0.35">
      <c r="A522" s="124" t="s">
        <v>334</v>
      </c>
      <c r="B522" s="30" t="s">
        <v>8</v>
      </c>
      <c r="C522" s="31" t="s">
        <v>9</v>
      </c>
      <c r="D522" s="31" t="s">
        <v>10</v>
      </c>
      <c r="E522" s="32" t="s">
        <v>11</v>
      </c>
      <c r="F522" s="31" t="s">
        <v>12</v>
      </c>
      <c r="G522" s="31" t="s">
        <v>13</v>
      </c>
      <c r="H522" s="31" t="s">
        <v>14</v>
      </c>
      <c r="I522" s="33" t="s">
        <v>15</v>
      </c>
      <c r="J522" s="31" t="s">
        <v>16</v>
      </c>
      <c r="K522" s="31" t="s">
        <v>17</v>
      </c>
      <c r="L522" s="31" t="s">
        <v>18</v>
      </c>
      <c r="M522" s="33" t="s">
        <v>19</v>
      </c>
      <c r="N522" s="31" t="s">
        <v>20</v>
      </c>
      <c r="O522" s="31" t="s">
        <v>21</v>
      </c>
      <c r="P522" s="31" t="s">
        <v>22</v>
      </c>
      <c r="Q522" s="32" t="s">
        <v>23</v>
      </c>
      <c r="R522" s="49" t="s">
        <v>24</v>
      </c>
    </row>
    <row r="523" spans="1:18" ht="16.5" customHeight="1" thickBot="1" x14ac:dyDescent="0.35">
      <c r="A523" s="41"/>
      <c r="B523" s="36"/>
      <c r="C523" s="36"/>
      <c r="D523" s="36"/>
      <c r="E523" s="37"/>
      <c r="F523" s="36"/>
      <c r="G523" s="36"/>
      <c r="H523" s="36"/>
      <c r="I523" s="37"/>
      <c r="J523" s="36"/>
      <c r="K523" s="36"/>
      <c r="L523" s="36"/>
      <c r="M523" s="37"/>
      <c r="N523" s="36"/>
      <c r="O523" s="36"/>
      <c r="P523" s="36"/>
      <c r="Q523" s="127"/>
      <c r="R523" s="128"/>
    </row>
    <row r="524" spans="1:18" ht="16.5" customHeight="1" thickBot="1" x14ac:dyDescent="0.35">
      <c r="A524" s="39" t="s">
        <v>40</v>
      </c>
      <c r="B524" s="21">
        <v>20</v>
      </c>
      <c r="C524" s="21">
        <v>22</v>
      </c>
      <c r="D524" s="21">
        <v>28</v>
      </c>
      <c r="E524" s="55">
        <f>SUM(B524:D524)</f>
        <v>70</v>
      </c>
      <c r="F524" s="21">
        <v>37</v>
      </c>
      <c r="G524" s="21">
        <v>42</v>
      </c>
      <c r="H524" s="21">
        <v>44</v>
      </c>
      <c r="I524" s="55">
        <f>SUM(F524:H524)</f>
        <v>123</v>
      </c>
      <c r="J524" s="21">
        <v>39</v>
      </c>
      <c r="K524" s="21">
        <v>36</v>
      </c>
      <c r="L524" s="21">
        <v>34</v>
      </c>
      <c r="M524" s="55">
        <f>SUM(J524:L524)</f>
        <v>109</v>
      </c>
      <c r="N524" s="21">
        <v>29</v>
      </c>
      <c r="O524" s="21">
        <v>23</v>
      </c>
      <c r="P524" s="21">
        <v>19</v>
      </c>
      <c r="Q524" s="55">
        <f>SUM(N524:P524)</f>
        <v>71</v>
      </c>
      <c r="R524" s="55">
        <f>+E524+I524+M524+Q524</f>
        <v>373</v>
      </c>
    </row>
    <row r="525" spans="1:18" ht="16.5" customHeight="1" thickBot="1" x14ac:dyDescent="0.35">
      <c r="A525" s="41"/>
      <c r="B525" s="36"/>
      <c r="C525" s="36"/>
      <c r="D525" s="36"/>
      <c r="E525" s="52"/>
      <c r="F525" s="36"/>
      <c r="G525" s="36"/>
      <c r="H525" s="36"/>
      <c r="I525" s="52"/>
      <c r="J525" s="36"/>
      <c r="K525" s="36"/>
      <c r="L525" s="36"/>
      <c r="M525" s="52"/>
      <c r="N525" s="36"/>
      <c r="O525" s="36"/>
      <c r="P525" s="36"/>
      <c r="Q525" s="52"/>
      <c r="R525" s="42"/>
    </row>
    <row r="526" spans="1:18" ht="15.75" customHeight="1" x14ac:dyDescent="0.3">
      <c r="A526" s="76" t="s">
        <v>314</v>
      </c>
      <c r="B526" s="77">
        <f>B524</f>
        <v>20</v>
      </c>
      <c r="C526" s="77">
        <f>C524</f>
        <v>22</v>
      </c>
      <c r="D526" s="77">
        <f>D524</f>
        <v>28</v>
      </c>
      <c r="E526" s="60">
        <f>SUM(B526:D526)</f>
        <v>70</v>
      </c>
      <c r="F526" s="77">
        <f>F524</f>
        <v>37</v>
      </c>
      <c r="G526" s="77">
        <f>G524</f>
        <v>42</v>
      </c>
      <c r="H526" s="77">
        <f>H524</f>
        <v>44</v>
      </c>
      <c r="I526" s="60">
        <f>SUM(F526:H526)</f>
        <v>123</v>
      </c>
      <c r="J526" s="77">
        <f>J524</f>
        <v>39</v>
      </c>
      <c r="K526" s="77">
        <f>K524</f>
        <v>36</v>
      </c>
      <c r="L526" s="77">
        <f>L524</f>
        <v>34</v>
      </c>
      <c r="M526" s="60">
        <f>SUM(J526:L526)</f>
        <v>109</v>
      </c>
      <c r="N526" s="77">
        <f>N524</f>
        <v>29</v>
      </c>
      <c r="O526" s="77">
        <f>O524</f>
        <v>23</v>
      </c>
      <c r="P526" s="77">
        <f>P524</f>
        <v>19</v>
      </c>
      <c r="Q526" s="60">
        <f>SUM(N526:P526)</f>
        <v>71</v>
      </c>
      <c r="R526" s="60">
        <f>+E526+I526+M526+Q526</f>
        <v>373</v>
      </c>
    </row>
    <row r="527" spans="1:18" ht="15.75" customHeight="1" x14ac:dyDescent="0.3">
      <c r="A527" s="79" t="s">
        <v>42</v>
      </c>
      <c r="B527" s="1">
        <f>(B526/31)/1.983</f>
        <v>0.32534608689993977</v>
      </c>
      <c r="C527" s="1">
        <f>(C526/28)/1.983</f>
        <v>0.39622505583171236</v>
      </c>
      <c r="D527" s="1">
        <f>(D526/31)/1.983</f>
        <v>0.45548452165991571</v>
      </c>
      <c r="E527" s="55" t="s">
        <v>7</v>
      </c>
      <c r="F527" s="1">
        <f>(F526/30)/1.983</f>
        <v>0.62195326945705165</v>
      </c>
      <c r="G527" s="1">
        <f>(G526/31)/1.983</f>
        <v>0.68322678248987356</v>
      </c>
      <c r="H527" s="1">
        <f>(H526/30)/1.983</f>
        <v>0.73962010421919644</v>
      </c>
      <c r="I527" s="55" t="s">
        <v>7</v>
      </c>
      <c r="J527" s="1">
        <f>(J526/31)/1.983</f>
        <v>0.63442486945488263</v>
      </c>
      <c r="K527" s="1">
        <f>(K526/31)/1.983</f>
        <v>0.5856229564198917</v>
      </c>
      <c r="L527" s="1">
        <f>(L526/30)/1.983</f>
        <v>0.57152462598756093</v>
      </c>
      <c r="M527" s="55" t="s">
        <v>7</v>
      </c>
      <c r="N527" s="1">
        <f>(N526/31)/1.983</f>
        <v>0.47175182600491267</v>
      </c>
      <c r="O527" s="1">
        <f>(O526/30)/1.983</f>
        <v>0.38661959993276179</v>
      </c>
      <c r="P527" s="1">
        <f>(P526/31)/1.983</f>
        <v>0.30907878255494281</v>
      </c>
      <c r="Q527" s="55" t="s">
        <v>7</v>
      </c>
      <c r="R527" s="55" t="s">
        <v>7</v>
      </c>
    </row>
    <row r="528" spans="1:18" ht="15.75" customHeight="1" x14ac:dyDescent="0.3">
      <c r="A528" s="79" t="s">
        <v>335</v>
      </c>
      <c r="B528" s="1">
        <f>B526+B563</f>
        <v>15434</v>
      </c>
      <c r="C528" s="1">
        <f>C526+C563</f>
        <v>18462</v>
      </c>
      <c r="D528" s="1">
        <f>D526+D563</f>
        <v>20059</v>
      </c>
      <c r="E528" s="55">
        <f>SUM(B528:D528)</f>
        <v>53955</v>
      </c>
      <c r="F528" s="1">
        <f>F526+F563</f>
        <v>20793</v>
      </c>
      <c r="G528" s="1">
        <f>G526+G563</f>
        <v>22233</v>
      </c>
      <c r="H528" s="1">
        <f>H526+H563</f>
        <v>17994</v>
      </c>
      <c r="I528" s="55">
        <f>SUM(F528:H528)</f>
        <v>61020</v>
      </c>
      <c r="J528" s="1">
        <f>J526+J563</f>
        <v>17087</v>
      </c>
      <c r="K528" s="1">
        <f>K526+K563</f>
        <v>16589</v>
      </c>
      <c r="L528" s="1">
        <f>L526+L563</f>
        <v>16162</v>
      </c>
      <c r="M528" s="55">
        <f>SUM(J528:L528)</f>
        <v>49838</v>
      </c>
      <c r="N528" s="1">
        <f>N526+N563</f>
        <v>11245</v>
      </c>
      <c r="O528" s="1">
        <f>O526+O563</f>
        <v>7268</v>
      </c>
      <c r="P528" s="1">
        <f>P526+P563</f>
        <v>14591</v>
      </c>
      <c r="Q528" s="55">
        <f>SUM(N528:P528)</f>
        <v>33104</v>
      </c>
      <c r="R528" s="55">
        <f>+E528+I528+M528+Q528</f>
        <v>197917</v>
      </c>
    </row>
    <row r="529" spans="1:18" ht="16.5" customHeight="1" thickBot="1" x14ac:dyDescent="0.35">
      <c r="A529" s="80" t="s">
        <v>336</v>
      </c>
      <c r="B529" s="25">
        <f>(B528/31)/1.983</f>
        <v>251.06957526068354</v>
      </c>
      <c r="C529" s="25">
        <f>(C528/28)/1.983</f>
        <v>332.50486276204884</v>
      </c>
      <c r="D529" s="25">
        <f>(D528/31)/1.983</f>
        <v>326.30585785629466</v>
      </c>
      <c r="E529" s="81" t="s">
        <v>7</v>
      </c>
      <c r="F529" s="25">
        <f>(F528/30)/1.983</f>
        <v>349.52092788703982</v>
      </c>
      <c r="G529" s="25">
        <f>(G528/31)/1.983</f>
        <v>361.67097750231812</v>
      </c>
      <c r="H529" s="25">
        <f>(H528/30)/1.983</f>
        <v>302.47100353000502</v>
      </c>
      <c r="I529" s="81" t="s">
        <v>7</v>
      </c>
      <c r="J529" s="25">
        <f>(J528/31)/1.983</f>
        <v>277.95942934296357</v>
      </c>
      <c r="K529" s="25">
        <f>(K528/31)/1.983</f>
        <v>269.85831177915509</v>
      </c>
      <c r="L529" s="25">
        <f>(L528/30)/1.983</f>
        <v>271.67591191796942</v>
      </c>
      <c r="M529" s="81" t="s">
        <v>7</v>
      </c>
      <c r="N529" s="25">
        <f>(N528/31)/1.983</f>
        <v>182.92583735949114</v>
      </c>
      <c r="O529" s="25">
        <f>(O528/30)/1.983</f>
        <v>122.17179357875273</v>
      </c>
      <c r="P529" s="25">
        <f>(P528/31)/1.983</f>
        <v>237.35623769785107</v>
      </c>
      <c r="Q529" s="81" t="s">
        <v>7</v>
      </c>
      <c r="R529" s="81" t="s">
        <v>7</v>
      </c>
    </row>
    <row r="530" spans="1:18" ht="15.75" customHeight="1" x14ac:dyDescent="0.3">
      <c r="A530" s="28"/>
      <c r="B530" s="1"/>
      <c r="C530" s="1"/>
      <c r="D530" s="1"/>
      <c r="E530" s="1"/>
      <c r="F530" s="1"/>
      <c r="G530" s="1"/>
      <c r="H530" s="1"/>
      <c r="I530" s="1"/>
      <c r="J530" s="1"/>
      <c r="K530" s="1"/>
      <c r="L530" s="1"/>
      <c r="M530" s="1"/>
      <c r="N530" s="1"/>
      <c r="O530" s="1"/>
      <c r="P530" s="1"/>
      <c r="Q530" s="1"/>
      <c r="R530" s="2"/>
    </row>
    <row r="531" spans="1:18" ht="15.75" customHeight="1" thickBot="1" x14ac:dyDescent="0.35">
      <c r="A531" s="28"/>
      <c r="B531" s="1"/>
      <c r="C531" s="1"/>
      <c r="D531" s="1"/>
      <c r="E531" s="1"/>
      <c r="F531" s="1"/>
      <c r="G531" s="1"/>
      <c r="H531" s="1"/>
      <c r="I531" s="1"/>
      <c r="J531" s="1"/>
      <c r="K531" s="1"/>
      <c r="L531" s="1"/>
      <c r="M531" s="1"/>
      <c r="N531" s="1"/>
      <c r="O531" s="1"/>
      <c r="P531" s="1"/>
      <c r="Q531" s="1"/>
      <c r="R531" s="2"/>
    </row>
    <row r="532" spans="1:18" ht="16.5" customHeight="1" thickBot="1" x14ac:dyDescent="0.35">
      <c r="A532" s="29" t="s">
        <v>337</v>
      </c>
      <c r="B532" s="30" t="s">
        <v>8</v>
      </c>
      <c r="C532" s="31" t="s">
        <v>9</v>
      </c>
      <c r="D532" s="31" t="s">
        <v>10</v>
      </c>
      <c r="E532" s="32" t="s">
        <v>11</v>
      </c>
      <c r="F532" s="31" t="s">
        <v>12</v>
      </c>
      <c r="G532" s="31" t="s">
        <v>13</v>
      </c>
      <c r="H532" s="31" t="s">
        <v>14</v>
      </c>
      <c r="I532" s="33" t="s">
        <v>15</v>
      </c>
      <c r="J532" s="31" t="s">
        <v>16</v>
      </c>
      <c r="K532" s="31" t="s">
        <v>17</v>
      </c>
      <c r="L532" s="31" t="s">
        <v>18</v>
      </c>
      <c r="M532" s="33" t="s">
        <v>19</v>
      </c>
      <c r="N532" s="31" t="s">
        <v>20</v>
      </c>
      <c r="O532" s="31" t="s">
        <v>21</v>
      </c>
      <c r="P532" s="31" t="s">
        <v>22</v>
      </c>
      <c r="Q532" s="33" t="s">
        <v>23</v>
      </c>
      <c r="R532" s="34" t="s">
        <v>24</v>
      </c>
    </row>
    <row r="533" spans="1:18" ht="16.5" customHeight="1" thickBot="1" x14ac:dyDescent="0.35">
      <c r="A533" s="41"/>
      <c r="B533" s="36"/>
      <c r="C533" s="36"/>
      <c r="D533" s="36"/>
      <c r="E533" s="52"/>
      <c r="F533" s="36"/>
      <c r="G533" s="36"/>
      <c r="H533" s="36"/>
      <c r="I533" s="52"/>
      <c r="J533" s="36"/>
      <c r="K533" s="36"/>
      <c r="L533" s="36"/>
      <c r="M533" s="52"/>
      <c r="N533" s="36"/>
      <c r="O533" s="36"/>
      <c r="P533" s="36"/>
      <c r="Q533" s="52"/>
      <c r="R533" s="38"/>
    </row>
    <row r="534" spans="1:18" ht="15.75" customHeight="1" x14ac:dyDescent="0.3">
      <c r="A534" s="15" t="s">
        <v>48</v>
      </c>
      <c r="B534" s="1" t="s">
        <v>7</v>
      </c>
      <c r="C534" s="1" t="s">
        <v>7</v>
      </c>
      <c r="D534" s="1" t="s">
        <v>7</v>
      </c>
      <c r="E534" s="55" t="s">
        <v>7</v>
      </c>
      <c r="F534" s="1" t="s">
        <v>7</v>
      </c>
      <c r="G534" s="1" t="s">
        <v>7</v>
      </c>
      <c r="H534" s="1" t="s">
        <v>7</v>
      </c>
      <c r="I534" s="55" t="s">
        <v>7</v>
      </c>
      <c r="J534" s="1" t="s">
        <v>7</v>
      </c>
      <c r="K534" s="1" t="s">
        <v>7</v>
      </c>
      <c r="L534" s="1" t="s">
        <v>7</v>
      </c>
      <c r="M534" s="55" t="s">
        <v>7</v>
      </c>
      <c r="N534" s="1" t="s">
        <v>7</v>
      </c>
      <c r="O534" s="1" t="s">
        <v>7</v>
      </c>
      <c r="P534" s="1" t="s">
        <v>7</v>
      </c>
      <c r="Q534" s="55" t="s">
        <v>7</v>
      </c>
      <c r="R534" s="55" t="s">
        <v>7</v>
      </c>
    </row>
    <row r="535" spans="1:18" ht="15.75" customHeight="1" x14ac:dyDescent="0.3">
      <c r="A535" s="15" t="s">
        <v>49</v>
      </c>
      <c r="B535" s="1"/>
      <c r="C535" s="1"/>
      <c r="D535" s="1"/>
      <c r="E535" s="55" t="s">
        <v>7</v>
      </c>
      <c r="F535" s="1"/>
      <c r="G535" s="1"/>
      <c r="H535" s="1"/>
      <c r="I535" s="55" t="s">
        <v>7</v>
      </c>
      <c r="J535" s="1"/>
      <c r="K535" s="1"/>
      <c r="L535" s="1"/>
      <c r="M535" s="55" t="s">
        <v>7</v>
      </c>
      <c r="N535" s="1"/>
      <c r="O535" s="1"/>
      <c r="P535" s="1"/>
      <c r="Q535" s="55" t="s">
        <v>7</v>
      </c>
      <c r="R535" s="55" t="s">
        <v>7</v>
      </c>
    </row>
    <row r="536" spans="1:18" ht="15.75" customHeight="1" x14ac:dyDescent="0.3">
      <c r="A536" s="71" t="s">
        <v>1180</v>
      </c>
      <c r="B536" s="1"/>
      <c r="C536" s="1"/>
      <c r="D536" s="1">
        <v>281</v>
      </c>
      <c r="E536" s="55">
        <f>SUM(B536:D536)</f>
        <v>281</v>
      </c>
      <c r="F536" s="1">
        <f>1710+244</f>
        <v>1954</v>
      </c>
      <c r="G536" s="1">
        <f>1531+612</f>
        <v>2143</v>
      </c>
      <c r="H536" s="1">
        <f>1684+594</f>
        <v>2278</v>
      </c>
      <c r="I536" s="55">
        <f>SUM(F536:H536)</f>
        <v>6375</v>
      </c>
      <c r="J536" s="1">
        <f>2095+795</f>
        <v>2890</v>
      </c>
      <c r="K536" s="1">
        <f>1498+461</f>
        <v>1959</v>
      </c>
      <c r="L536" s="1">
        <f>736+387</f>
        <v>1123</v>
      </c>
      <c r="M536" s="55">
        <f>SUM(J536:L536)</f>
        <v>5972</v>
      </c>
      <c r="N536" s="1">
        <f>219+155</f>
        <v>374</v>
      </c>
      <c r="O536" s="1">
        <v>174</v>
      </c>
      <c r="P536" s="1">
        <v>374</v>
      </c>
      <c r="Q536" s="55">
        <f>SUM(N536:P536)</f>
        <v>922</v>
      </c>
      <c r="R536" s="55">
        <f>+E536+I536+M536+Q536</f>
        <v>13550</v>
      </c>
    </row>
    <row r="537" spans="1:18" ht="15.75" customHeight="1" x14ac:dyDescent="0.3">
      <c r="A537" s="71" t="s">
        <v>339</v>
      </c>
      <c r="B537" s="1"/>
      <c r="C537" s="1"/>
      <c r="D537" s="1">
        <v>0</v>
      </c>
      <c r="E537" s="55">
        <f>SUM(B537:D537)</f>
        <v>0</v>
      </c>
      <c r="F537" s="1">
        <v>121</v>
      </c>
      <c r="G537" s="1">
        <v>0</v>
      </c>
      <c r="H537" s="1">
        <v>108</v>
      </c>
      <c r="I537" s="55">
        <f>SUM(F537:H537)</f>
        <v>229</v>
      </c>
      <c r="J537" s="1">
        <v>106</v>
      </c>
      <c r="K537" s="1">
        <v>144</v>
      </c>
      <c r="L537" s="1"/>
      <c r="M537" s="55">
        <f>SUM(J537:L537)</f>
        <v>250</v>
      </c>
      <c r="N537" s="1"/>
      <c r="O537" s="1"/>
      <c r="P537" s="1"/>
      <c r="Q537" s="55">
        <f>SUM(N537:P537)</f>
        <v>0</v>
      </c>
      <c r="R537" s="55">
        <f>+E537+I537+M537+Q537</f>
        <v>479</v>
      </c>
    </row>
    <row r="538" spans="1:18" ht="15.75" customHeight="1" x14ac:dyDescent="0.3">
      <c r="A538" s="15" t="s">
        <v>50</v>
      </c>
      <c r="B538" s="1"/>
      <c r="C538" s="1"/>
      <c r="D538" s="1"/>
      <c r="E538" s="55" t="s">
        <v>7</v>
      </c>
      <c r="F538" s="1"/>
      <c r="G538" s="1"/>
      <c r="H538" s="1"/>
      <c r="I538" s="55" t="s">
        <v>7</v>
      </c>
      <c r="J538" s="1"/>
      <c r="K538" s="1"/>
      <c r="L538" s="1"/>
      <c r="M538" s="55" t="s">
        <v>7</v>
      </c>
      <c r="N538" s="1"/>
      <c r="O538" s="1"/>
      <c r="P538" s="1"/>
      <c r="Q538" s="55" t="s">
        <v>7</v>
      </c>
      <c r="R538" s="55" t="s">
        <v>7</v>
      </c>
    </row>
    <row r="539" spans="1:18" ht="15.75" customHeight="1" x14ac:dyDescent="0.3">
      <c r="A539" s="15" t="s">
        <v>51</v>
      </c>
      <c r="B539" s="1"/>
      <c r="C539" s="1"/>
      <c r="D539" s="1"/>
      <c r="E539" s="55" t="s">
        <v>7</v>
      </c>
      <c r="F539" s="1"/>
      <c r="G539" s="1"/>
      <c r="H539" s="1"/>
      <c r="I539" s="55" t="s">
        <v>7</v>
      </c>
      <c r="J539" s="1"/>
      <c r="K539" s="1"/>
      <c r="L539" s="1"/>
      <c r="M539" s="55" t="s">
        <v>7</v>
      </c>
      <c r="N539" s="1"/>
      <c r="O539" s="1"/>
      <c r="P539" s="1"/>
      <c r="Q539" s="55" t="s">
        <v>7</v>
      </c>
      <c r="R539" s="55" t="s">
        <v>7</v>
      </c>
    </row>
    <row r="540" spans="1:18" ht="15.75" customHeight="1" thickBot="1" x14ac:dyDescent="0.35">
      <c r="A540" s="15" t="s">
        <v>53</v>
      </c>
      <c r="B540" s="1"/>
      <c r="C540" s="1"/>
      <c r="D540" s="1"/>
      <c r="E540" s="55" t="s">
        <v>7</v>
      </c>
      <c r="F540" s="1"/>
      <c r="G540" s="1"/>
      <c r="H540" s="1"/>
      <c r="I540" s="55" t="s">
        <v>7</v>
      </c>
      <c r="J540" s="1"/>
      <c r="K540" s="1"/>
      <c r="L540" s="1"/>
      <c r="M540" s="55" t="s">
        <v>7</v>
      </c>
      <c r="N540" s="1"/>
      <c r="O540" s="1"/>
      <c r="P540" s="1"/>
      <c r="Q540" s="55" t="s">
        <v>7</v>
      </c>
      <c r="R540" s="55" t="s">
        <v>7</v>
      </c>
    </row>
    <row r="541" spans="1:18" ht="16.5" customHeight="1" thickBot="1" x14ac:dyDescent="0.35">
      <c r="A541" s="109" t="s">
        <v>54</v>
      </c>
      <c r="B541" s="86">
        <f>SUM(B534:B540)</f>
        <v>0</v>
      </c>
      <c r="C541" s="87">
        <f>SUM(C534:C540)</f>
        <v>0</v>
      </c>
      <c r="D541" s="87">
        <f>SUM(D534:D540)</f>
        <v>281</v>
      </c>
      <c r="E541" s="59">
        <f>SUM(B541:D541)</f>
        <v>281</v>
      </c>
      <c r="F541" s="87">
        <f>SUM(F534:F540)</f>
        <v>2075</v>
      </c>
      <c r="G541" s="87">
        <f>SUM(G534:G540)</f>
        <v>2143</v>
      </c>
      <c r="H541" s="87">
        <f>SUM(H534:H540)</f>
        <v>2386</v>
      </c>
      <c r="I541" s="59">
        <f>SUM(F541:H541)</f>
        <v>6604</v>
      </c>
      <c r="J541" s="87">
        <f>SUM(J534:J540)</f>
        <v>2996</v>
      </c>
      <c r="K541" s="87">
        <f>SUM(K534:K540)</f>
        <v>2103</v>
      </c>
      <c r="L541" s="87">
        <f>SUM(L534:L540)</f>
        <v>1123</v>
      </c>
      <c r="M541" s="59">
        <f>SUM(J541:L541)</f>
        <v>6222</v>
      </c>
      <c r="N541" s="87">
        <f>SUM(N534:N540)</f>
        <v>374</v>
      </c>
      <c r="O541" s="87">
        <f>SUM(O534:O540)</f>
        <v>174</v>
      </c>
      <c r="P541" s="87">
        <f>SUM(P534:P540)</f>
        <v>374</v>
      </c>
      <c r="Q541" s="59">
        <f>SUM(N541:P541)</f>
        <v>922</v>
      </c>
      <c r="R541" s="59">
        <f>+E541+I541+M541+Q541</f>
        <v>14029</v>
      </c>
    </row>
    <row r="542" spans="1:18" ht="15.75" customHeight="1" x14ac:dyDescent="0.3">
      <c r="A542" s="15" t="s">
        <v>55</v>
      </c>
      <c r="B542" s="1"/>
      <c r="C542" s="1"/>
      <c r="D542" s="1"/>
      <c r="E542" s="55" t="s">
        <v>7</v>
      </c>
      <c r="F542" s="1"/>
      <c r="G542" s="1"/>
      <c r="H542" s="1"/>
      <c r="I542" s="55" t="s">
        <v>7</v>
      </c>
      <c r="J542" s="1"/>
      <c r="K542" s="1"/>
      <c r="L542" s="1"/>
      <c r="M542" s="55" t="s">
        <v>7</v>
      </c>
      <c r="N542" s="1"/>
      <c r="O542" s="1"/>
      <c r="P542" s="1"/>
      <c r="Q542" s="55" t="s">
        <v>7</v>
      </c>
      <c r="R542" s="55" t="s">
        <v>7</v>
      </c>
    </row>
    <row r="543" spans="1:18" ht="15.75" customHeight="1" x14ac:dyDescent="0.3">
      <c r="A543" s="15" t="s">
        <v>57</v>
      </c>
      <c r="B543" s="1"/>
      <c r="C543" s="1"/>
      <c r="D543" s="1"/>
      <c r="E543" s="55" t="s">
        <v>7</v>
      </c>
      <c r="F543" s="1"/>
      <c r="G543" s="1"/>
      <c r="H543" s="1"/>
      <c r="I543" s="55" t="s">
        <v>7</v>
      </c>
      <c r="J543" s="1"/>
      <c r="K543" s="1"/>
      <c r="L543" s="1"/>
      <c r="M543" s="55" t="s">
        <v>7</v>
      </c>
      <c r="N543" s="1"/>
      <c r="O543" s="1"/>
      <c r="P543" s="1"/>
      <c r="Q543" s="55" t="s">
        <v>7</v>
      </c>
      <c r="R543" s="55" t="s">
        <v>7</v>
      </c>
    </row>
    <row r="544" spans="1:18" ht="15.75" customHeight="1" thickBot="1" x14ac:dyDescent="0.35">
      <c r="A544" s="15" t="s">
        <v>58</v>
      </c>
      <c r="B544" s="1"/>
      <c r="C544" s="1"/>
      <c r="D544" s="1"/>
      <c r="E544" s="55" t="s">
        <v>7</v>
      </c>
      <c r="F544" s="1"/>
      <c r="G544" s="1"/>
      <c r="H544" s="1"/>
      <c r="I544" s="55" t="s">
        <v>7</v>
      </c>
      <c r="J544" s="1"/>
      <c r="K544" s="1"/>
      <c r="L544" s="1"/>
      <c r="M544" s="55" t="s">
        <v>7</v>
      </c>
      <c r="N544" s="1"/>
      <c r="O544" s="1"/>
      <c r="P544" s="1"/>
      <c r="Q544" s="55" t="s">
        <v>7</v>
      </c>
      <c r="R544" s="55" t="s">
        <v>7</v>
      </c>
    </row>
    <row r="545" spans="1:18" ht="16.5" customHeight="1" thickBot="1" x14ac:dyDescent="0.35">
      <c r="A545" s="57" t="s">
        <v>59</v>
      </c>
      <c r="B545" s="86">
        <f>SUM(B542:B544)</f>
        <v>0</v>
      </c>
      <c r="C545" s="87">
        <f>SUM(C542:C544)</f>
        <v>0</v>
      </c>
      <c r="D545" s="87">
        <f>SUM(D542:D544)</f>
        <v>0</v>
      </c>
      <c r="E545" s="59">
        <f>SUM(B545:D545)</f>
        <v>0</v>
      </c>
      <c r="F545" s="87">
        <f>SUM(F542:F544)</f>
        <v>0</v>
      </c>
      <c r="G545" s="87">
        <f>SUM(G542:G544)</f>
        <v>0</v>
      </c>
      <c r="H545" s="87">
        <f>SUM(H542:H544)</f>
        <v>0</v>
      </c>
      <c r="I545" s="59">
        <f>SUM(F545:H545)</f>
        <v>0</v>
      </c>
      <c r="J545" s="87">
        <f>SUM(J542:J544)</f>
        <v>0</v>
      </c>
      <c r="K545" s="87">
        <f>SUM(K542:K544)</f>
        <v>0</v>
      </c>
      <c r="L545" s="87">
        <f>SUM(L542:L544)</f>
        <v>0</v>
      </c>
      <c r="M545" s="59">
        <f>SUM(J545:L545)</f>
        <v>0</v>
      </c>
      <c r="N545" s="87">
        <f>SUM(N542:N544)</f>
        <v>0</v>
      </c>
      <c r="O545" s="87">
        <f>SUM(O542:O544)</f>
        <v>0</v>
      </c>
      <c r="P545" s="87">
        <f>SUM(P542:P544)</f>
        <v>0</v>
      </c>
      <c r="Q545" s="59">
        <f>SUM(N545:P545)</f>
        <v>0</v>
      </c>
      <c r="R545" s="59">
        <f>+E545+I545+M545+Q545</f>
        <v>0</v>
      </c>
    </row>
    <row r="546" spans="1:18" ht="15.75" customHeight="1" x14ac:dyDescent="0.3">
      <c r="A546" s="15" t="s">
        <v>60</v>
      </c>
      <c r="B546" s="1"/>
      <c r="C546" s="1"/>
      <c r="D546" s="1"/>
      <c r="E546" s="55" t="s">
        <v>7</v>
      </c>
      <c r="F546" s="1"/>
      <c r="G546" s="1"/>
      <c r="H546" s="1"/>
      <c r="I546" s="55" t="s">
        <v>7</v>
      </c>
      <c r="J546" s="1"/>
      <c r="K546" s="1"/>
      <c r="L546" s="1"/>
      <c r="M546" s="55" t="s">
        <v>7</v>
      </c>
      <c r="N546" s="1"/>
      <c r="O546" s="1"/>
      <c r="P546" s="1"/>
      <c r="Q546" s="55" t="s">
        <v>7</v>
      </c>
      <c r="R546" s="55" t="s">
        <v>7</v>
      </c>
    </row>
    <row r="547" spans="1:18" ht="15.75" customHeight="1" x14ac:dyDescent="0.3">
      <c r="A547" s="15" t="s">
        <v>61</v>
      </c>
      <c r="B547" s="1"/>
      <c r="C547" s="1"/>
      <c r="D547" s="1"/>
      <c r="E547" s="55" t="s">
        <v>7</v>
      </c>
      <c r="F547" s="1"/>
      <c r="G547" s="1"/>
      <c r="H547" s="1"/>
      <c r="I547" s="55" t="s">
        <v>7</v>
      </c>
      <c r="J547" s="1"/>
      <c r="K547" s="1"/>
      <c r="L547" s="1"/>
      <c r="M547" s="55" t="s">
        <v>7</v>
      </c>
      <c r="N547" s="1"/>
      <c r="O547" s="1"/>
      <c r="P547" s="1"/>
      <c r="Q547" s="55" t="s">
        <v>7</v>
      </c>
      <c r="R547" s="55" t="s">
        <v>7</v>
      </c>
    </row>
    <row r="548" spans="1:18" ht="15.75" customHeight="1" thickBot="1" x14ac:dyDescent="0.35">
      <c r="A548" s="15" t="s">
        <v>62</v>
      </c>
      <c r="B548" s="1"/>
      <c r="C548" s="1"/>
      <c r="D548" s="1"/>
      <c r="E548" s="55" t="s">
        <v>7</v>
      </c>
      <c r="F548" s="1"/>
      <c r="G548" s="1"/>
      <c r="H548" s="1"/>
      <c r="I548" s="55" t="s">
        <v>7</v>
      </c>
      <c r="J548" s="1"/>
      <c r="K548" s="1"/>
      <c r="L548" s="1"/>
      <c r="M548" s="55" t="s">
        <v>7</v>
      </c>
      <c r="N548" s="1"/>
      <c r="O548" s="1"/>
      <c r="P548" s="1"/>
      <c r="Q548" s="55" t="s">
        <v>7</v>
      </c>
      <c r="R548" s="55" t="s">
        <v>7</v>
      </c>
    </row>
    <row r="549" spans="1:18" ht="16.5" customHeight="1" thickBot="1" x14ac:dyDescent="0.35">
      <c r="A549" s="114" t="s">
        <v>63</v>
      </c>
      <c r="B549" s="86">
        <f>SUM(B546:B548)</f>
        <v>0</v>
      </c>
      <c r="C549" s="87">
        <f>SUM(C546:C548)</f>
        <v>0</v>
      </c>
      <c r="D549" s="87">
        <f>SUM(D546:D548)</f>
        <v>0</v>
      </c>
      <c r="E549" s="59">
        <f>SUM(B549:D549)</f>
        <v>0</v>
      </c>
      <c r="F549" s="87">
        <f>SUM(F546:F548)</f>
        <v>0</v>
      </c>
      <c r="G549" s="87">
        <f>SUM(G546:G548)</f>
        <v>0</v>
      </c>
      <c r="H549" s="87">
        <f>SUM(H546:H548)</f>
        <v>0</v>
      </c>
      <c r="I549" s="59">
        <f>SUM(F549:H549)</f>
        <v>0</v>
      </c>
      <c r="J549" s="87">
        <f>SUM(J546:J548)</f>
        <v>0</v>
      </c>
      <c r="K549" s="87">
        <f>SUM(K546:K548)</f>
        <v>0</v>
      </c>
      <c r="L549" s="87">
        <f>SUM(L546:L548)</f>
        <v>0</v>
      </c>
      <c r="M549" s="59">
        <f>SUM(J549:L549)</f>
        <v>0</v>
      </c>
      <c r="N549" s="87">
        <f>SUM(N546:N548)</f>
        <v>0</v>
      </c>
      <c r="O549" s="87">
        <f>SUM(O546:O548)</f>
        <v>0</v>
      </c>
      <c r="P549" s="87">
        <f>SUM(P546:P548)</f>
        <v>0</v>
      </c>
      <c r="Q549" s="59">
        <f>SUM(N549:P549)</f>
        <v>0</v>
      </c>
      <c r="R549" s="59">
        <f>+E549+I549+M549+Q549</f>
        <v>0</v>
      </c>
    </row>
    <row r="550" spans="1:18" ht="15.75" customHeight="1" x14ac:dyDescent="0.3">
      <c r="A550" s="15" t="s">
        <v>64</v>
      </c>
      <c r="B550" s="1"/>
      <c r="C550" s="1"/>
      <c r="D550" s="1"/>
      <c r="E550" s="55" t="s">
        <v>7</v>
      </c>
      <c r="F550" s="1"/>
      <c r="G550" s="1"/>
      <c r="H550" s="1"/>
      <c r="I550" s="55" t="s">
        <v>7</v>
      </c>
      <c r="J550" s="1"/>
      <c r="K550" s="1"/>
      <c r="L550" s="1"/>
      <c r="M550" s="55" t="s">
        <v>7</v>
      </c>
      <c r="N550" s="1"/>
      <c r="O550" s="1"/>
      <c r="P550" s="1"/>
      <c r="Q550" s="55" t="s">
        <v>7</v>
      </c>
      <c r="R550" s="55" t="s">
        <v>7</v>
      </c>
    </row>
    <row r="551" spans="1:18" ht="15.75" customHeight="1" x14ac:dyDescent="0.3">
      <c r="A551" s="15" t="s">
        <v>594</v>
      </c>
      <c r="B551" s="1"/>
      <c r="C551" s="1"/>
      <c r="D551" s="1"/>
      <c r="E551" s="55" t="s">
        <v>7</v>
      </c>
      <c r="F551" s="1"/>
      <c r="G551" s="1"/>
      <c r="H551" s="1"/>
      <c r="I551" s="55" t="s">
        <v>7</v>
      </c>
      <c r="J551" s="1"/>
      <c r="K551" s="1"/>
      <c r="L551" s="1"/>
      <c r="M551" s="55" t="s">
        <v>7</v>
      </c>
      <c r="N551" s="1"/>
      <c r="O551" s="1"/>
      <c r="P551" s="1"/>
      <c r="Q551" s="55" t="s">
        <v>7</v>
      </c>
      <c r="R551" s="55" t="s">
        <v>7</v>
      </c>
    </row>
    <row r="552" spans="1:18" ht="15.75" customHeight="1" x14ac:dyDescent="0.3">
      <c r="A552" s="15" t="s">
        <v>67</v>
      </c>
      <c r="B552" s="1"/>
      <c r="C552" s="1"/>
      <c r="D552" s="1"/>
      <c r="E552" s="55" t="s">
        <v>7</v>
      </c>
      <c r="F552" s="1"/>
      <c r="G552" s="1"/>
      <c r="H552" s="1"/>
      <c r="I552" s="55" t="s">
        <v>7</v>
      </c>
      <c r="J552" s="1"/>
      <c r="K552" s="1"/>
      <c r="L552" s="1"/>
      <c r="M552" s="55" t="s">
        <v>7</v>
      </c>
      <c r="N552" s="1"/>
      <c r="O552" s="1"/>
      <c r="P552" s="1"/>
      <c r="Q552" s="55" t="s">
        <v>7</v>
      </c>
      <c r="R552" s="55" t="s">
        <v>7</v>
      </c>
    </row>
    <row r="553" spans="1:18" ht="15.75" customHeight="1" x14ac:dyDescent="0.3">
      <c r="A553" s="71" t="s">
        <v>773</v>
      </c>
      <c r="B553" s="1"/>
      <c r="C553" s="1"/>
      <c r="D553" s="1"/>
      <c r="E553" s="55">
        <f>SUM(B553:D553)</f>
        <v>0</v>
      </c>
      <c r="F553" s="1"/>
      <c r="G553" s="1"/>
      <c r="H553" s="1"/>
      <c r="I553" s="55">
        <f>SUM(F553:H553)</f>
        <v>0</v>
      </c>
      <c r="J553" s="1"/>
      <c r="K553" s="1"/>
      <c r="L553" s="1"/>
      <c r="M553" s="55">
        <f>SUM(J553:L553)</f>
        <v>0</v>
      </c>
      <c r="N553" s="1"/>
      <c r="O553" s="1"/>
      <c r="P553" s="1"/>
      <c r="Q553" s="55">
        <f>SUM(N553:P553)</f>
        <v>0</v>
      </c>
      <c r="R553" s="55">
        <f>+E553+I553+M553+Q553</f>
        <v>0</v>
      </c>
    </row>
    <row r="554" spans="1:18" ht="15.75" customHeight="1" x14ac:dyDescent="0.3">
      <c r="A554" s="15" t="s">
        <v>600</v>
      </c>
      <c r="B554" s="1"/>
      <c r="C554" s="1"/>
      <c r="D554" s="1"/>
      <c r="E554" s="55" t="s">
        <v>7</v>
      </c>
      <c r="F554" s="1"/>
      <c r="G554" s="1"/>
      <c r="H554" s="1"/>
      <c r="I554" s="55" t="s">
        <v>7</v>
      </c>
      <c r="J554" s="1"/>
      <c r="K554" s="1"/>
      <c r="L554" s="1"/>
      <c r="M554" s="55" t="s">
        <v>7</v>
      </c>
      <c r="N554" s="1"/>
      <c r="O554" s="1"/>
      <c r="P554" s="1"/>
      <c r="Q554" s="55" t="s">
        <v>7</v>
      </c>
      <c r="R554" s="55" t="s">
        <v>7</v>
      </c>
    </row>
    <row r="555" spans="1:18" ht="15.75" customHeight="1" thickBot="1" x14ac:dyDescent="0.35">
      <c r="A555" s="15" t="s">
        <v>70</v>
      </c>
      <c r="B555" s="1"/>
      <c r="C555" s="1"/>
      <c r="D555" s="1"/>
      <c r="E555" s="55" t="s">
        <v>7</v>
      </c>
      <c r="F555" s="1"/>
      <c r="G555" s="1"/>
      <c r="H555" s="1"/>
      <c r="I555" s="55" t="s">
        <v>7</v>
      </c>
      <c r="J555" s="1"/>
      <c r="K555" s="1"/>
      <c r="L555" s="1"/>
      <c r="M555" s="55" t="s">
        <v>7</v>
      </c>
      <c r="N555" s="1"/>
      <c r="O555" s="1"/>
      <c r="P555" s="1"/>
      <c r="Q555" s="55" t="s">
        <v>7</v>
      </c>
      <c r="R555" s="55" t="s">
        <v>7</v>
      </c>
    </row>
    <row r="556" spans="1:18" ht="16.5" customHeight="1" thickBot="1" x14ac:dyDescent="0.35">
      <c r="A556" s="57" t="s">
        <v>71</v>
      </c>
      <c r="B556" s="58">
        <f>SUM(B554:B555)</f>
        <v>0</v>
      </c>
      <c r="C556" s="58">
        <f>SUM(C554:C555)</f>
        <v>0</v>
      </c>
      <c r="D556" s="58">
        <f>SUM(D554:D555)</f>
        <v>0</v>
      </c>
      <c r="E556" s="60">
        <f>SUM(B556:D556)</f>
        <v>0</v>
      </c>
      <c r="F556" s="58">
        <f>SUM(F554:F555)</f>
        <v>0</v>
      </c>
      <c r="G556" s="58">
        <f>SUM(G554:G555)</f>
        <v>0</v>
      </c>
      <c r="H556" s="58">
        <f>SUM(H554:H555)</f>
        <v>0</v>
      </c>
      <c r="I556" s="60">
        <f>SUM(F556:H556)</f>
        <v>0</v>
      </c>
      <c r="J556" s="58">
        <f>SUM(J554:J555)</f>
        <v>0</v>
      </c>
      <c r="K556" s="58">
        <f>SUM(K554:K555)</f>
        <v>0</v>
      </c>
      <c r="L556" s="58">
        <f>SUM(L554:L555)</f>
        <v>0</v>
      </c>
      <c r="M556" s="60">
        <f>SUM(J556:L556)</f>
        <v>0</v>
      </c>
      <c r="N556" s="58">
        <f>SUM(N554:N555)</f>
        <v>0</v>
      </c>
      <c r="O556" s="58">
        <f>SUM(O554:O555)</f>
        <v>0</v>
      </c>
      <c r="P556" s="58">
        <f>SUM(P554:P555)</f>
        <v>0</v>
      </c>
      <c r="Q556" s="60">
        <f>SUM(N556:P556)</f>
        <v>0</v>
      </c>
      <c r="R556" s="59">
        <f>+E556+I556+M556+Q556</f>
        <v>0</v>
      </c>
    </row>
    <row r="557" spans="1:18" ht="16.5" customHeight="1" thickBot="1" x14ac:dyDescent="0.35">
      <c r="A557" s="114" t="s">
        <v>72</v>
      </c>
      <c r="B557" s="86">
        <f>SUM(B550:B555)</f>
        <v>0</v>
      </c>
      <c r="C557" s="87">
        <f>SUM(C550:C555)</f>
        <v>0</v>
      </c>
      <c r="D557" s="118">
        <f>SUM(D550:D555)</f>
        <v>0</v>
      </c>
      <c r="E557" s="60">
        <f>SUM(B557:D557)</f>
        <v>0</v>
      </c>
      <c r="F557" s="87">
        <f>SUM(F550:F555)</f>
        <v>0</v>
      </c>
      <c r="G557" s="87">
        <f>SUM(G550:G555)</f>
        <v>0</v>
      </c>
      <c r="H557" s="87">
        <f>SUM(H550:H555)</f>
        <v>0</v>
      </c>
      <c r="I557" s="60">
        <f>SUM(F557:H557)</f>
        <v>0</v>
      </c>
      <c r="J557" s="87">
        <f>SUM(J550:J555)</f>
        <v>0</v>
      </c>
      <c r="K557" s="87">
        <f>SUM(K550:K555)</f>
        <v>0</v>
      </c>
      <c r="L557" s="87">
        <f>SUM(L550:L555)</f>
        <v>0</v>
      </c>
      <c r="M557" s="60">
        <f>SUM(J557:L557)</f>
        <v>0</v>
      </c>
      <c r="N557" s="87">
        <f>SUM(N550:N555)</f>
        <v>0</v>
      </c>
      <c r="O557" s="87">
        <f>SUM(O550:O555)</f>
        <v>0</v>
      </c>
      <c r="P557" s="87">
        <f>SUM(P550:P555)</f>
        <v>0</v>
      </c>
      <c r="Q557" s="60">
        <f>SUM(N557:P557)</f>
        <v>0</v>
      </c>
      <c r="R557" s="59">
        <f>+E557+I557+M557+Q557</f>
        <v>0</v>
      </c>
    </row>
    <row r="558" spans="1:18" ht="16.5" customHeight="1" thickBot="1" x14ac:dyDescent="0.35">
      <c r="A558" s="57" t="s">
        <v>73</v>
      </c>
      <c r="B558" s="90">
        <f>+B541+B545+B549+B557</f>
        <v>0</v>
      </c>
      <c r="C558" s="58">
        <f>+C541+C545+C549+C557</f>
        <v>0</v>
      </c>
      <c r="D558" s="58">
        <f>+D541+D545+D549+D557</f>
        <v>281</v>
      </c>
      <c r="E558" s="59">
        <f>SUM(B558:D558)</f>
        <v>281</v>
      </c>
      <c r="F558" s="58">
        <f>+F541+F545+F549+F557</f>
        <v>2075</v>
      </c>
      <c r="G558" s="58">
        <f>+G541+G545+G549+G557</f>
        <v>2143</v>
      </c>
      <c r="H558" s="58">
        <f>+H541+H545+H549+H557</f>
        <v>2386</v>
      </c>
      <c r="I558" s="59">
        <f>SUM(F558:H558)</f>
        <v>6604</v>
      </c>
      <c r="J558" s="58">
        <f>+J541+J545+J549+J557</f>
        <v>2996</v>
      </c>
      <c r="K558" s="58">
        <f>+K541+K545+K549+K557</f>
        <v>2103</v>
      </c>
      <c r="L558" s="58">
        <f>+L541+L545+L549+L557</f>
        <v>1123</v>
      </c>
      <c r="M558" s="59">
        <f>SUM(J558:L558)</f>
        <v>6222</v>
      </c>
      <c r="N558" s="58">
        <f>+N541+N545+N549+N557</f>
        <v>374</v>
      </c>
      <c r="O558" s="58">
        <f>+O541+O545+O549+O557</f>
        <v>174</v>
      </c>
      <c r="P558" s="58">
        <f>+P541+P545+P549+P557</f>
        <v>374</v>
      </c>
      <c r="Q558" s="59">
        <f>SUM(N558:P558)</f>
        <v>922</v>
      </c>
      <c r="R558" s="81">
        <f>+E558+I558+M558+Q558</f>
        <v>14029</v>
      </c>
    </row>
    <row r="559" spans="1:18" ht="16.5" customHeight="1" thickBot="1" x14ac:dyDescent="0.35">
      <c r="A559" s="39" t="s">
        <v>40</v>
      </c>
      <c r="B559" s="21">
        <v>10</v>
      </c>
      <c r="C559" s="21">
        <v>11</v>
      </c>
      <c r="D559" s="21">
        <v>14</v>
      </c>
      <c r="E559" s="55">
        <f>SUM(B559:D559)</f>
        <v>35</v>
      </c>
      <c r="F559" s="21">
        <v>18</v>
      </c>
      <c r="G559" s="21">
        <v>21</v>
      </c>
      <c r="H559" s="21">
        <v>22</v>
      </c>
      <c r="I559" s="55">
        <f>SUM(F559:H559)</f>
        <v>61</v>
      </c>
      <c r="J559" s="21">
        <v>19</v>
      </c>
      <c r="K559" s="21">
        <v>17</v>
      </c>
      <c r="L559" s="21">
        <v>17</v>
      </c>
      <c r="M559" s="55">
        <f>SUM(J559:L559)</f>
        <v>53</v>
      </c>
      <c r="N559" s="21">
        <v>14</v>
      </c>
      <c r="O559" s="21">
        <v>11</v>
      </c>
      <c r="P559" s="21">
        <v>9</v>
      </c>
      <c r="Q559" s="55">
        <f>SUM(N559:P559)</f>
        <v>34</v>
      </c>
      <c r="R559" s="55">
        <f>+E559+I559+M559+Q559</f>
        <v>183</v>
      </c>
    </row>
    <row r="560" spans="1:18" ht="16.5" customHeight="1" thickBot="1" x14ac:dyDescent="0.35">
      <c r="A560" s="41"/>
      <c r="B560" s="36"/>
      <c r="C560" s="36"/>
      <c r="D560" s="36"/>
      <c r="E560" s="52"/>
      <c r="F560" s="36"/>
      <c r="G560" s="36"/>
      <c r="H560" s="36"/>
      <c r="I560" s="52"/>
      <c r="J560" s="36"/>
      <c r="K560" s="36"/>
      <c r="L560" s="36"/>
      <c r="M560" s="129"/>
      <c r="N560" s="36"/>
      <c r="O560" s="36"/>
      <c r="P560" s="36"/>
      <c r="Q560" s="129"/>
      <c r="R560" s="40"/>
    </row>
    <row r="561" spans="1:18" ht="15.75" customHeight="1" x14ac:dyDescent="0.3">
      <c r="A561" s="15" t="s">
        <v>314</v>
      </c>
      <c r="B561" s="1">
        <f>SUM(B558:B559)</f>
        <v>10</v>
      </c>
      <c r="C561" s="1">
        <f>SUM(C558:C559)</f>
        <v>11</v>
      </c>
      <c r="D561" s="1">
        <f>SUM(D558:D559)</f>
        <v>295</v>
      </c>
      <c r="E561" s="55">
        <f>SUM(B561:D561)</f>
        <v>316</v>
      </c>
      <c r="F561" s="1">
        <f>SUM(F558:F559)</f>
        <v>2093</v>
      </c>
      <c r="G561" s="1">
        <f>SUM(G558:G559)</f>
        <v>2164</v>
      </c>
      <c r="H561" s="1">
        <f>SUM(H558:H559)</f>
        <v>2408</v>
      </c>
      <c r="I561" s="60">
        <f>SUM(F561:H561)</f>
        <v>6665</v>
      </c>
      <c r="J561" s="1">
        <f>SUM(J558:J559)</f>
        <v>3015</v>
      </c>
      <c r="K561" s="1">
        <f>SUM(K558:K559)</f>
        <v>2120</v>
      </c>
      <c r="L561" s="1">
        <f>SUM(L558:L559)</f>
        <v>1140</v>
      </c>
      <c r="M561" s="60">
        <f>SUM(J561:L561)</f>
        <v>6275</v>
      </c>
      <c r="N561" s="1">
        <f>SUM(N558:N559)</f>
        <v>388</v>
      </c>
      <c r="O561" s="1">
        <f>SUM(O558:O559)</f>
        <v>185</v>
      </c>
      <c r="P561" s="1">
        <f>SUM(P558:P559)</f>
        <v>383</v>
      </c>
      <c r="Q561" s="60">
        <f>SUM(N561:P561)</f>
        <v>956</v>
      </c>
      <c r="R561" s="60">
        <f>+E561+I561+M561+Q561</f>
        <v>14212</v>
      </c>
    </row>
    <row r="562" spans="1:18" ht="15.75" customHeight="1" x14ac:dyDescent="0.3">
      <c r="A562" s="15" t="s">
        <v>42</v>
      </c>
      <c r="B562" s="1">
        <f>(B561/31)/1.983</f>
        <v>0.16267304344996988</v>
      </c>
      <c r="C562" s="1">
        <f>(C561/28)/1.983</f>
        <v>0.19811252791585618</v>
      </c>
      <c r="D562" s="1">
        <f>(D561/31)/1.983</f>
        <v>4.7988547817741116</v>
      </c>
      <c r="E562" s="55" t="s">
        <v>7</v>
      </c>
      <c r="F562" s="1">
        <f>(F561/30)/1.983</f>
        <v>35.182383593881319</v>
      </c>
      <c r="G562" s="1">
        <f>(G561/31)/1.983</f>
        <v>35.202446602573488</v>
      </c>
      <c r="H562" s="1">
        <f>(H561/30)/1.983</f>
        <v>40.477391158177845</v>
      </c>
      <c r="I562" s="55" t="s">
        <v>7</v>
      </c>
      <c r="J562" s="1">
        <f>(J561/31)/1.983</f>
        <v>49.04592260016593</v>
      </c>
      <c r="K562" s="1">
        <f>(K561/31)/1.983</f>
        <v>34.48668521139362</v>
      </c>
      <c r="L562" s="1">
        <f>(L561/30)/1.983</f>
        <v>19.162884518406454</v>
      </c>
      <c r="M562" s="55" t="s">
        <v>7</v>
      </c>
      <c r="N562" s="1">
        <f>(N561/31)/1.983</f>
        <v>6.3117140858588314</v>
      </c>
      <c r="O562" s="1">
        <f>(O561/30)/1.983</f>
        <v>3.1097663472852579</v>
      </c>
      <c r="P562" s="1">
        <f>(P561/31)/1.983</f>
        <v>6.230377564133847</v>
      </c>
      <c r="Q562" s="55" t="s">
        <v>7</v>
      </c>
      <c r="R562" s="55" t="s">
        <v>7</v>
      </c>
    </row>
    <row r="563" spans="1:18" ht="15.75" customHeight="1" x14ac:dyDescent="0.3">
      <c r="A563" s="15" t="s">
        <v>341</v>
      </c>
      <c r="B563" s="1">
        <f>B561+B606</f>
        <v>15414</v>
      </c>
      <c r="C563" s="1">
        <f>C561+C606</f>
        <v>18440</v>
      </c>
      <c r="D563" s="1">
        <f>D561+D606</f>
        <v>20031</v>
      </c>
      <c r="E563" s="55">
        <f>SUM(B563:D563)</f>
        <v>53885</v>
      </c>
      <c r="F563" s="1">
        <f>F561+F606</f>
        <v>20756</v>
      </c>
      <c r="G563" s="1">
        <f>G561+G606</f>
        <v>22191</v>
      </c>
      <c r="H563" s="1">
        <f>H561+H606</f>
        <v>17950</v>
      </c>
      <c r="I563" s="55">
        <f>SUM(F563:H563)</f>
        <v>60897</v>
      </c>
      <c r="J563" s="1">
        <f>J561+J606</f>
        <v>17048</v>
      </c>
      <c r="K563" s="1">
        <f>K561+K606</f>
        <v>16553</v>
      </c>
      <c r="L563" s="1">
        <f>L561+L606</f>
        <v>16128</v>
      </c>
      <c r="M563" s="55">
        <f>SUM(J563:L563)</f>
        <v>49729</v>
      </c>
      <c r="N563" s="1">
        <f>N561+N606</f>
        <v>11216</v>
      </c>
      <c r="O563" s="1">
        <f>O561+O606</f>
        <v>7245</v>
      </c>
      <c r="P563" s="1">
        <f>P561+P606</f>
        <v>14572</v>
      </c>
      <c r="Q563" s="55">
        <f>SUM(N563:P563)</f>
        <v>33033</v>
      </c>
      <c r="R563" s="55">
        <f>+E563+I563+M563+Q563</f>
        <v>197544</v>
      </c>
    </row>
    <row r="564" spans="1:18" ht="16.5" customHeight="1" thickBot="1" x14ac:dyDescent="0.35">
      <c r="A564" s="20" t="s">
        <v>342</v>
      </c>
      <c r="B564" s="21">
        <f>(B563/31)/1.983</f>
        <v>250.74422917378362</v>
      </c>
      <c r="C564" s="21">
        <f>(C563/28)/1.983</f>
        <v>332.10863770621711</v>
      </c>
      <c r="D564" s="21">
        <f>(D563/31)/1.983</f>
        <v>325.8503733346347</v>
      </c>
      <c r="E564" s="81" t="s">
        <v>7</v>
      </c>
      <c r="F564" s="21">
        <f>(F563/30)/1.983</f>
        <v>348.89897461758278</v>
      </c>
      <c r="G564" s="21">
        <f>(G563/31)/1.983</f>
        <v>360.98775071982823</v>
      </c>
      <c r="H564" s="21">
        <f>(H563/30)/1.983</f>
        <v>301.73138342578585</v>
      </c>
      <c r="I564" s="81" t="s">
        <v>7</v>
      </c>
      <c r="J564" s="21">
        <f>(J563/31)/1.983</f>
        <v>277.32500447350867</v>
      </c>
      <c r="K564" s="21">
        <f>(K563/31)/1.983</f>
        <v>269.27268882273518</v>
      </c>
      <c r="L564" s="21">
        <f>(L563/30)/1.983</f>
        <v>271.10438729198182</v>
      </c>
      <c r="M564" s="81" t="s">
        <v>7</v>
      </c>
      <c r="N564" s="21">
        <f>(N563/31)/1.983</f>
        <v>182.45408553348625</v>
      </c>
      <c r="O564" s="21">
        <f>(O563/30)/1.983</f>
        <v>121.78517397881997</v>
      </c>
      <c r="P564" s="21">
        <f>(P563/31)/1.983</f>
        <v>237.04715891529614</v>
      </c>
      <c r="Q564" s="81" t="s">
        <v>7</v>
      </c>
      <c r="R564" s="81" t="s">
        <v>7</v>
      </c>
    </row>
    <row r="565" spans="1:18" ht="15.75" customHeight="1" x14ac:dyDescent="0.3">
      <c r="A565" s="2"/>
      <c r="B565" s="1"/>
      <c r="C565" s="1"/>
      <c r="D565" s="1"/>
      <c r="E565" s="1"/>
      <c r="F565" s="1"/>
      <c r="G565" s="1"/>
      <c r="H565" s="1"/>
      <c r="I565" s="1"/>
      <c r="J565" s="1"/>
      <c r="K565" s="1"/>
      <c r="L565" s="1"/>
      <c r="M565" s="1"/>
      <c r="N565" s="1"/>
      <c r="O565" s="1"/>
      <c r="P565" s="1"/>
      <c r="Q565" s="1"/>
      <c r="R565" s="2"/>
    </row>
    <row r="566" spans="1:18" ht="16.5" customHeight="1" thickBot="1" x14ac:dyDescent="0.35">
      <c r="A566" s="106"/>
      <c r="B566" s="21"/>
      <c r="C566" s="21"/>
      <c r="D566" s="21"/>
      <c r="E566" s="21"/>
      <c r="F566" s="21"/>
      <c r="G566" s="21"/>
      <c r="H566" s="21"/>
      <c r="I566" s="21"/>
      <c r="J566" s="21"/>
      <c r="K566" s="21"/>
      <c r="L566" s="21"/>
      <c r="M566" s="21"/>
      <c r="N566" s="21"/>
      <c r="O566" s="21"/>
      <c r="P566" s="21"/>
      <c r="Q566" s="21"/>
      <c r="R566" s="106"/>
    </row>
    <row r="567" spans="1:18" ht="15.75" customHeight="1" thickBot="1" x14ac:dyDescent="0.35">
      <c r="A567" s="107" t="s">
        <v>343</v>
      </c>
      <c r="B567" s="47" t="s">
        <v>8</v>
      </c>
      <c r="C567" s="48" t="s">
        <v>9</v>
      </c>
      <c r="D567" s="48" t="s">
        <v>10</v>
      </c>
      <c r="E567" s="32" t="s">
        <v>11</v>
      </c>
      <c r="F567" s="48" t="s">
        <v>12</v>
      </c>
      <c r="G567" s="48" t="s">
        <v>13</v>
      </c>
      <c r="H567" s="48" t="s">
        <v>14</v>
      </c>
      <c r="I567" s="32" t="s">
        <v>15</v>
      </c>
      <c r="J567" s="48" t="s">
        <v>16</v>
      </c>
      <c r="K567" s="48" t="s">
        <v>17</v>
      </c>
      <c r="L567" s="48" t="s">
        <v>18</v>
      </c>
      <c r="M567" s="32" t="s">
        <v>19</v>
      </c>
      <c r="N567" s="48" t="s">
        <v>20</v>
      </c>
      <c r="O567" s="48" t="s">
        <v>21</v>
      </c>
      <c r="P567" s="48" t="s">
        <v>22</v>
      </c>
      <c r="Q567" s="32" t="s">
        <v>23</v>
      </c>
      <c r="R567" s="49" t="s">
        <v>24</v>
      </c>
    </row>
    <row r="568" spans="1:18" ht="16.5" customHeight="1" thickBot="1" x14ac:dyDescent="0.35">
      <c r="A568" s="130"/>
      <c r="B568" s="51"/>
      <c r="C568" s="51"/>
      <c r="D568" s="51"/>
      <c r="E568" s="52"/>
      <c r="F568" s="51"/>
      <c r="G568" s="51"/>
      <c r="H568" s="51"/>
      <c r="I568" s="52"/>
      <c r="J568" s="51"/>
      <c r="K568" s="51"/>
      <c r="L568" s="51"/>
      <c r="M568" s="52"/>
      <c r="N568" s="51"/>
      <c r="O568" s="51"/>
      <c r="P568" s="51"/>
      <c r="Q568" s="52"/>
      <c r="R568" s="53"/>
    </row>
    <row r="569" spans="1:18" ht="15.75" customHeight="1" x14ac:dyDescent="0.3">
      <c r="A569" s="15" t="s">
        <v>48</v>
      </c>
      <c r="B569" s="1" t="s">
        <v>7</v>
      </c>
      <c r="C569" s="1" t="s">
        <v>7</v>
      </c>
      <c r="D569" s="1" t="s">
        <v>7</v>
      </c>
      <c r="E569" s="55" t="s">
        <v>7</v>
      </c>
      <c r="F569" s="1" t="s">
        <v>7</v>
      </c>
      <c r="G569" s="1" t="s">
        <v>7</v>
      </c>
      <c r="H569" s="1" t="s">
        <v>7</v>
      </c>
      <c r="I569" s="55" t="s">
        <v>7</v>
      </c>
      <c r="J569" s="1" t="s">
        <v>7</v>
      </c>
      <c r="K569" s="1" t="s">
        <v>7</v>
      </c>
      <c r="L569" s="1" t="s">
        <v>7</v>
      </c>
      <c r="M569" s="55" t="s">
        <v>7</v>
      </c>
      <c r="N569" s="1" t="s">
        <v>7</v>
      </c>
      <c r="O569" s="1" t="s">
        <v>7</v>
      </c>
      <c r="P569" s="1" t="s">
        <v>7</v>
      </c>
      <c r="Q569" s="55" t="s">
        <v>7</v>
      </c>
      <c r="R569" s="55" t="s">
        <v>7</v>
      </c>
    </row>
    <row r="570" spans="1:18" ht="15.75" customHeight="1" x14ac:dyDescent="0.3">
      <c r="A570" s="15" t="s">
        <v>49</v>
      </c>
      <c r="B570" s="1"/>
      <c r="C570" s="1"/>
      <c r="D570" s="1"/>
      <c r="E570" s="55" t="s">
        <v>7</v>
      </c>
      <c r="F570" s="1"/>
      <c r="G570" s="1"/>
      <c r="H570" s="1"/>
      <c r="I570" s="55" t="s">
        <v>7</v>
      </c>
      <c r="J570" s="1"/>
      <c r="K570" s="1"/>
      <c r="L570" s="1"/>
      <c r="M570" s="55" t="s">
        <v>7</v>
      </c>
      <c r="N570" s="1"/>
      <c r="O570" s="1"/>
      <c r="P570" s="1"/>
      <c r="Q570" s="55" t="s">
        <v>7</v>
      </c>
      <c r="R570" s="55" t="s">
        <v>7</v>
      </c>
    </row>
    <row r="571" spans="1:18" ht="15.75" customHeight="1" x14ac:dyDescent="0.3">
      <c r="A571" s="71" t="s">
        <v>344</v>
      </c>
      <c r="B571" s="1">
        <v>5668</v>
      </c>
      <c r="C571" s="1">
        <v>6767</v>
      </c>
      <c r="D571" s="1">
        <v>6737</v>
      </c>
      <c r="E571" s="55">
        <f>SUM(B571:D571)</f>
        <v>19172</v>
      </c>
      <c r="F571" s="1">
        <f>6219</f>
        <v>6219</v>
      </c>
      <c r="G571" s="1">
        <f>5821</f>
        <v>5821</v>
      </c>
      <c r="H571" s="1">
        <v>4906</v>
      </c>
      <c r="I571" s="55">
        <f>SUM(F571:H571)</f>
        <v>16946</v>
      </c>
      <c r="J571" s="1">
        <v>3597</v>
      </c>
      <c r="K571" s="1">
        <v>4321</v>
      </c>
      <c r="L571" s="1">
        <v>6108</v>
      </c>
      <c r="M571" s="55">
        <f>SUM(J571:L571)</f>
        <v>14026</v>
      </c>
      <c r="N571" s="1">
        <v>4609</v>
      </c>
      <c r="O571" s="1">
        <v>3096</v>
      </c>
      <c r="P571" s="1">
        <v>6203</v>
      </c>
      <c r="Q571" s="55">
        <f>SUM(N571:P571)</f>
        <v>13908</v>
      </c>
      <c r="R571" s="55">
        <f>+E571+I571+M571+Q571</f>
        <v>64052</v>
      </c>
    </row>
    <row r="572" spans="1:18" ht="15.75" customHeight="1" x14ac:dyDescent="0.3">
      <c r="A572" s="71" t="s">
        <v>345</v>
      </c>
      <c r="B572" s="1">
        <v>4570</v>
      </c>
      <c r="C572" s="1">
        <v>4338</v>
      </c>
      <c r="D572" s="1">
        <v>5209</v>
      </c>
      <c r="E572" s="55">
        <f>SUM(B572:D572)</f>
        <v>14117</v>
      </c>
      <c r="F572" s="1">
        <v>4961</v>
      </c>
      <c r="G572" s="1">
        <v>5284</v>
      </c>
      <c r="H572" s="1">
        <v>5289</v>
      </c>
      <c r="I572" s="55">
        <f>SUM(F572:H572)</f>
        <v>15534</v>
      </c>
      <c r="J572" s="1">
        <v>3626</v>
      </c>
      <c r="K572" s="1">
        <v>4307</v>
      </c>
      <c r="L572" s="1">
        <v>3675</v>
      </c>
      <c r="M572" s="55">
        <f>SUM(J572:L572)</f>
        <v>11608</v>
      </c>
      <c r="N572" s="1">
        <v>1574</v>
      </c>
      <c r="O572" s="1">
        <v>1009</v>
      </c>
      <c r="P572" s="1"/>
      <c r="Q572" s="55">
        <f>SUM(N572:P572)</f>
        <v>2583</v>
      </c>
      <c r="R572" s="55">
        <f>+E572+I572+M572+Q572</f>
        <v>43842</v>
      </c>
    </row>
    <row r="573" spans="1:18" ht="15.75" customHeight="1" x14ac:dyDescent="0.3">
      <c r="A573" s="71" t="s">
        <v>998</v>
      </c>
      <c r="B573" s="1">
        <v>200</v>
      </c>
      <c r="C573" s="1">
        <v>200</v>
      </c>
      <c r="D573" s="1">
        <v>160</v>
      </c>
      <c r="E573" s="55">
        <f>SUM(B573:D573)</f>
        <v>560</v>
      </c>
      <c r="F573" s="1">
        <v>160</v>
      </c>
      <c r="G573" s="1">
        <v>160</v>
      </c>
      <c r="H573" s="1">
        <v>160</v>
      </c>
      <c r="I573" s="55">
        <f>SUM(F573:H573)</f>
        <v>480</v>
      </c>
      <c r="J573" s="1">
        <v>160</v>
      </c>
      <c r="K573" s="1">
        <v>160</v>
      </c>
      <c r="L573" s="1">
        <v>160</v>
      </c>
      <c r="M573" s="55">
        <f>SUM(J573:L573)</f>
        <v>480</v>
      </c>
      <c r="N573" s="1">
        <v>160</v>
      </c>
      <c r="O573" s="1">
        <v>160</v>
      </c>
      <c r="P573" s="1">
        <v>160</v>
      </c>
      <c r="Q573" s="55">
        <f>SUM(N573:P573)</f>
        <v>480</v>
      </c>
      <c r="R573" s="55">
        <f>+E573+I573+M573+Q573</f>
        <v>2000</v>
      </c>
    </row>
    <row r="574" spans="1:18" ht="15.75" customHeight="1" x14ac:dyDescent="0.3">
      <c r="A574" s="15" t="s">
        <v>50</v>
      </c>
      <c r="B574" s="1"/>
      <c r="C574" s="1"/>
      <c r="D574" s="1"/>
      <c r="E574" s="55" t="s">
        <v>7</v>
      </c>
      <c r="F574" s="1"/>
      <c r="G574" s="1"/>
      <c r="H574" s="1"/>
      <c r="I574" s="55" t="s">
        <v>7</v>
      </c>
      <c r="J574" s="1"/>
      <c r="K574" s="1"/>
      <c r="L574" s="1"/>
      <c r="M574" s="55" t="s">
        <v>7</v>
      </c>
      <c r="N574" s="1"/>
      <c r="O574" s="1"/>
      <c r="P574" s="1"/>
      <c r="Q574" s="55" t="s">
        <v>7</v>
      </c>
      <c r="R574" s="55" t="s">
        <v>7</v>
      </c>
    </row>
    <row r="575" spans="1:18" ht="15.75" customHeight="1" x14ac:dyDescent="0.3">
      <c r="A575" s="15" t="s">
        <v>51</v>
      </c>
      <c r="B575" s="1"/>
      <c r="C575" s="1"/>
      <c r="D575" s="1"/>
      <c r="E575" s="55" t="s">
        <v>7</v>
      </c>
      <c r="F575" s="1"/>
      <c r="G575" s="1"/>
      <c r="H575" s="1"/>
      <c r="I575" s="55" t="s">
        <v>7</v>
      </c>
      <c r="J575" s="1"/>
      <c r="K575" s="1"/>
      <c r="L575" s="1"/>
      <c r="M575" s="55" t="s">
        <v>7</v>
      </c>
      <c r="N575" s="1"/>
      <c r="O575" s="1"/>
      <c r="P575" s="1"/>
      <c r="Q575" s="55" t="s">
        <v>7</v>
      </c>
      <c r="R575" s="55" t="s">
        <v>7</v>
      </c>
    </row>
    <row r="576" spans="1:18" ht="15.75" customHeight="1" thickBot="1" x14ac:dyDescent="0.35">
      <c r="A576" s="15" t="s">
        <v>53</v>
      </c>
      <c r="B576" s="1"/>
      <c r="C576" s="1"/>
      <c r="D576" s="1"/>
      <c r="E576" s="55" t="s">
        <v>7</v>
      </c>
      <c r="F576" s="1"/>
      <c r="G576" s="1"/>
      <c r="H576" s="1"/>
      <c r="I576" s="55" t="s">
        <v>7</v>
      </c>
      <c r="J576" s="1"/>
      <c r="K576" s="1"/>
      <c r="L576" s="1"/>
      <c r="M576" s="55" t="s">
        <v>7</v>
      </c>
      <c r="N576" s="1"/>
      <c r="O576" s="1"/>
      <c r="P576" s="1"/>
      <c r="Q576" s="55" t="s">
        <v>7</v>
      </c>
      <c r="R576" s="55" t="s">
        <v>7</v>
      </c>
    </row>
    <row r="577" spans="1:18" ht="16.5" customHeight="1" thickBot="1" x14ac:dyDescent="0.35">
      <c r="A577" s="109" t="s">
        <v>54</v>
      </c>
      <c r="B577" s="86">
        <f>SUM(B569:B576)</f>
        <v>10438</v>
      </c>
      <c r="C577" s="87">
        <f>SUM(C569:C576)</f>
        <v>11305</v>
      </c>
      <c r="D577" s="87">
        <f>SUM(D569:D576)</f>
        <v>12106</v>
      </c>
      <c r="E577" s="59">
        <f>SUM(B577:D577)</f>
        <v>33849</v>
      </c>
      <c r="F577" s="87">
        <f>SUM(F569:F576)</f>
        <v>11340</v>
      </c>
      <c r="G577" s="87">
        <f>SUM(G569:G576)</f>
        <v>11265</v>
      </c>
      <c r="H577" s="87">
        <f>SUM(H569:H576)</f>
        <v>10355</v>
      </c>
      <c r="I577" s="59">
        <f>SUM(F577:H577)</f>
        <v>32960</v>
      </c>
      <c r="J577" s="87">
        <f>SUM(J569:J576)</f>
        <v>7383</v>
      </c>
      <c r="K577" s="87">
        <f>SUM(K569:K576)</f>
        <v>8788</v>
      </c>
      <c r="L577" s="87">
        <f>SUM(L569:L576)</f>
        <v>9943</v>
      </c>
      <c r="M577" s="59">
        <f>SUM(J577:L577)</f>
        <v>26114</v>
      </c>
      <c r="N577" s="87">
        <f>SUM(N569:N576)</f>
        <v>6343</v>
      </c>
      <c r="O577" s="87">
        <f>SUM(O569:O576)</f>
        <v>4265</v>
      </c>
      <c r="P577" s="87">
        <f>SUM(P569:P576)</f>
        <v>6363</v>
      </c>
      <c r="Q577" s="59">
        <f>SUM(N577:P577)</f>
        <v>16971</v>
      </c>
      <c r="R577" s="59">
        <f>+E577+I577+M577+Q577</f>
        <v>109894</v>
      </c>
    </row>
    <row r="578" spans="1:18" ht="15.75" customHeight="1" x14ac:dyDescent="0.3">
      <c r="A578" s="15" t="s">
        <v>55</v>
      </c>
      <c r="B578" s="1"/>
      <c r="C578" s="1"/>
      <c r="D578" s="1"/>
      <c r="E578" s="55" t="s">
        <v>7</v>
      </c>
      <c r="F578" s="1"/>
      <c r="G578" s="1"/>
      <c r="H578" s="1"/>
      <c r="I578" s="55" t="s">
        <v>7</v>
      </c>
      <c r="J578" s="1"/>
      <c r="K578" s="1"/>
      <c r="L578" s="1"/>
      <c r="M578" s="55" t="s">
        <v>7</v>
      </c>
      <c r="N578" s="1"/>
      <c r="O578" s="1"/>
      <c r="P578" s="1"/>
      <c r="Q578" s="55" t="s">
        <v>7</v>
      </c>
      <c r="R578" s="55" t="s">
        <v>7</v>
      </c>
    </row>
    <row r="579" spans="1:18" ht="15.75" customHeight="1" x14ac:dyDescent="0.3">
      <c r="A579" s="15" t="s">
        <v>57</v>
      </c>
      <c r="B579" s="1"/>
      <c r="C579" s="1"/>
      <c r="D579" s="1"/>
      <c r="E579" s="55" t="s">
        <v>7</v>
      </c>
      <c r="F579" s="1"/>
      <c r="G579" s="1"/>
      <c r="H579" s="1"/>
      <c r="I579" s="55" t="s">
        <v>7</v>
      </c>
      <c r="J579" s="1"/>
      <c r="K579" s="1"/>
      <c r="L579" s="1"/>
      <c r="M579" s="55" t="s">
        <v>7</v>
      </c>
      <c r="N579" s="1"/>
      <c r="O579" s="1"/>
      <c r="P579" s="1"/>
      <c r="Q579" s="55" t="s">
        <v>7</v>
      </c>
      <c r="R579" s="55" t="s">
        <v>7</v>
      </c>
    </row>
    <row r="580" spans="1:18" ht="15.75" customHeight="1" thickBot="1" x14ac:dyDescent="0.35">
      <c r="A580" s="15" t="s">
        <v>58</v>
      </c>
      <c r="B580" s="1"/>
      <c r="C580" s="1"/>
      <c r="D580" s="1"/>
      <c r="E580" s="55" t="s">
        <v>7</v>
      </c>
      <c r="F580" s="1"/>
      <c r="G580" s="1"/>
      <c r="H580" s="1"/>
      <c r="I580" s="55" t="s">
        <v>7</v>
      </c>
      <c r="J580" s="1"/>
      <c r="K580" s="1"/>
      <c r="L580" s="1"/>
      <c r="M580" s="55" t="s">
        <v>7</v>
      </c>
      <c r="N580" s="1"/>
      <c r="O580" s="1"/>
      <c r="P580" s="1"/>
      <c r="Q580" s="55" t="s">
        <v>7</v>
      </c>
      <c r="R580" s="55" t="s">
        <v>7</v>
      </c>
    </row>
    <row r="581" spans="1:18" ht="16.5" customHeight="1" thickBot="1" x14ac:dyDescent="0.35">
      <c r="A581" s="57" t="s">
        <v>59</v>
      </c>
      <c r="B581" s="86">
        <f>SUM(B578:B580)</f>
        <v>0</v>
      </c>
      <c r="C581" s="87">
        <f>SUM(C578:C580)</f>
        <v>0</v>
      </c>
      <c r="D581" s="87">
        <f>SUM(D578:D580)</f>
        <v>0</v>
      </c>
      <c r="E581" s="59">
        <f>SUM(B581:D581)</f>
        <v>0</v>
      </c>
      <c r="F581" s="87">
        <f>SUM(F578:F580)</f>
        <v>0</v>
      </c>
      <c r="G581" s="87">
        <f>SUM(G578:G580)</f>
        <v>0</v>
      </c>
      <c r="H581" s="87">
        <f>SUM(H578:H580)</f>
        <v>0</v>
      </c>
      <c r="I581" s="59">
        <f>SUM(F581:H581)</f>
        <v>0</v>
      </c>
      <c r="J581" s="87">
        <f>SUM(J578:J580)</f>
        <v>0</v>
      </c>
      <c r="K581" s="87">
        <f>SUM(K578:K580)</f>
        <v>0</v>
      </c>
      <c r="L581" s="87">
        <f>SUM(L578:L580)</f>
        <v>0</v>
      </c>
      <c r="M581" s="59">
        <f>SUM(J581:L581)</f>
        <v>0</v>
      </c>
      <c r="N581" s="87">
        <f>SUM(N578:N580)</f>
        <v>0</v>
      </c>
      <c r="O581" s="87">
        <f>SUM(O578:O580)</f>
        <v>0</v>
      </c>
      <c r="P581" s="87">
        <f>SUM(P578:P580)</f>
        <v>0</v>
      </c>
      <c r="Q581" s="59">
        <f>SUM(N581:P581)</f>
        <v>0</v>
      </c>
      <c r="R581" s="59">
        <f>+E581+I581+M581+Q581</f>
        <v>0</v>
      </c>
    </row>
    <row r="582" spans="1:18" ht="15.75" customHeight="1" x14ac:dyDescent="0.3">
      <c r="A582" s="15" t="s">
        <v>60</v>
      </c>
      <c r="B582" s="1"/>
      <c r="C582" s="1"/>
      <c r="D582" s="1"/>
      <c r="E582" s="55" t="s">
        <v>7</v>
      </c>
      <c r="F582" s="1"/>
      <c r="G582" s="1"/>
      <c r="H582" s="1"/>
      <c r="I582" s="55" t="s">
        <v>7</v>
      </c>
      <c r="J582" s="1"/>
      <c r="K582" s="1"/>
      <c r="L582" s="1"/>
      <c r="M582" s="55" t="s">
        <v>7</v>
      </c>
      <c r="N582" s="1"/>
      <c r="O582" s="1"/>
      <c r="P582" s="1"/>
      <c r="Q582" s="55" t="s">
        <v>7</v>
      </c>
      <c r="R582" s="55" t="s">
        <v>7</v>
      </c>
    </row>
    <row r="583" spans="1:18" ht="15.75" customHeight="1" x14ac:dyDescent="0.3">
      <c r="A583" s="15" t="s">
        <v>61</v>
      </c>
      <c r="B583" s="1"/>
      <c r="C583" s="1"/>
      <c r="D583" s="1"/>
      <c r="E583" s="55" t="s">
        <v>7</v>
      </c>
      <c r="F583" s="1"/>
      <c r="G583" s="1"/>
      <c r="H583" s="1"/>
      <c r="I583" s="55" t="s">
        <v>7</v>
      </c>
      <c r="J583" s="1"/>
      <c r="K583" s="1"/>
      <c r="L583" s="1"/>
      <c r="M583" s="55" t="s">
        <v>7</v>
      </c>
      <c r="N583" s="1"/>
      <c r="O583" s="1"/>
      <c r="P583" s="1"/>
      <c r="Q583" s="55" t="s">
        <v>7</v>
      </c>
      <c r="R583" s="55" t="s">
        <v>7</v>
      </c>
    </row>
    <row r="584" spans="1:18" ht="15.75" customHeight="1" x14ac:dyDescent="0.3">
      <c r="A584" s="71" t="s">
        <v>346</v>
      </c>
      <c r="B584" s="1">
        <v>351</v>
      </c>
      <c r="C584" s="1">
        <v>626</v>
      </c>
      <c r="D584" s="1">
        <v>806</v>
      </c>
      <c r="E584" s="55">
        <f>SUM(B584:D584)</f>
        <v>1783</v>
      </c>
      <c r="F584" s="1">
        <v>2016</v>
      </c>
      <c r="G584" s="1">
        <v>1678</v>
      </c>
      <c r="H584" s="1">
        <v>2003</v>
      </c>
      <c r="I584" s="55">
        <f>SUM(F584:H584)</f>
        <v>5697</v>
      </c>
      <c r="J584" s="1">
        <v>2577</v>
      </c>
      <c r="K584" s="1">
        <v>2506</v>
      </c>
      <c r="L584" s="1">
        <v>587</v>
      </c>
      <c r="M584" s="55">
        <f>SUM(J584:L584)</f>
        <v>5670</v>
      </c>
      <c r="N584" s="1">
        <v>231</v>
      </c>
      <c r="O584" s="1">
        <v>0</v>
      </c>
      <c r="P584" s="1">
        <v>514</v>
      </c>
      <c r="Q584" s="55">
        <f>SUM(N584:P584)</f>
        <v>745</v>
      </c>
      <c r="R584" s="55">
        <f>+E584+I584+M584+Q584</f>
        <v>13895</v>
      </c>
    </row>
    <row r="585" spans="1:18" ht="15.75" customHeight="1" x14ac:dyDescent="0.3">
      <c r="A585" s="15" t="s">
        <v>62</v>
      </c>
      <c r="B585" s="1"/>
      <c r="C585" s="1"/>
      <c r="D585" s="1"/>
      <c r="E585" s="55" t="s">
        <v>7</v>
      </c>
      <c r="F585" s="1"/>
      <c r="G585" s="1"/>
      <c r="H585" s="1"/>
      <c r="I585" s="55" t="s">
        <v>7</v>
      </c>
      <c r="J585" s="1"/>
      <c r="K585" s="1"/>
      <c r="L585" s="1"/>
      <c r="M585" s="55" t="s">
        <v>7</v>
      </c>
      <c r="N585" s="1"/>
      <c r="O585" s="1"/>
      <c r="P585" s="1"/>
      <c r="Q585" s="55" t="s">
        <v>7</v>
      </c>
      <c r="R585" s="55" t="s">
        <v>7</v>
      </c>
    </row>
    <row r="586" spans="1:18" ht="15.75" customHeight="1" x14ac:dyDescent="0.3">
      <c r="A586" s="71" t="s">
        <v>1001</v>
      </c>
      <c r="B586" s="1"/>
      <c r="C586" s="1"/>
      <c r="D586" s="1"/>
      <c r="E586" s="55">
        <f>SUM(B586:D586)</f>
        <v>0</v>
      </c>
      <c r="F586" s="1"/>
      <c r="G586" s="1"/>
      <c r="H586" s="1"/>
      <c r="I586" s="55">
        <f>SUM(F586:H586)</f>
        <v>0</v>
      </c>
      <c r="J586" s="1"/>
      <c r="K586" s="1"/>
      <c r="L586" s="1">
        <v>351</v>
      </c>
      <c r="M586" s="55">
        <f>SUM(J586:L586)</f>
        <v>351</v>
      </c>
      <c r="N586" s="1"/>
      <c r="O586" s="1"/>
      <c r="P586" s="1"/>
      <c r="Q586" s="55">
        <f>SUM(N586:P586)</f>
        <v>0</v>
      </c>
      <c r="R586" s="55">
        <f>+E586+I586+M586+Q586</f>
        <v>351</v>
      </c>
    </row>
    <row r="587" spans="1:18" ht="15.75" customHeight="1" x14ac:dyDescent="0.3">
      <c r="A587" s="71" t="s">
        <v>1004</v>
      </c>
      <c r="B587" s="1"/>
      <c r="C587" s="1"/>
      <c r="D587" s="1"/>
      <c r="E587" s="55">
        <f>SUM(B587:D587)</f>
        <v>0</v>
      </c>
      <c r="F587" s="1"/>
      <c r="G587" s="1"/>
      <c r="H587" s="1">
        <v>307</v>
      </c>
      <c r="I587" s="55">
        <f>SUM(F587:H587)</f>
        <v>307</v>
      </c>
      <c r="J587" s="1">
        <v>500</v>
      </c>
      <c r="K587" s="1"/>
      <c r="L587" s="1"/>
      <c r="M587" s="55">
        <f>SUM(J587:L587)</f>
        <v>500</v>
      </c>
      <c r="N587" s="1"/>
      <c r="O587" s="1"/>
      <c r="P587" s="1"/>
      <c r="Q587" s="55">
        <f>SUM(N587:P587)</f>
        <v>0</v>
      </c>
      <c r="R587" s="55">
        <f>+E587+I587+M587+Q587</f>
        <v>807</v>
      </c>
    </row>
    <row r="588" spans="1:18" ht="15.75" customHeight="1" thickBot="1" x14ac:dyDescent="0.35">
      <c r="A588" s="71" t="s">
        <v>775</v>
      </c>
      <c r="B588" s="1"/>
      <c r="C588" s="1"/>
      <c r="D588" s="1"/>
      <c r="E588" s="55">
        <f>SUM(B588:D588)</f>
        <v>0</v>
      </c>
      <c r="F588" s="1"/>
      <c r="G588" s="1"/>
      <c r="H588" s="1"/>
      <c r="I588" s="55">
        <f>SUM(F588:H588)</f>
        <v>0</v>
      </c>
      <c r="J588" s="1"/>
      <c r="K588" s="1"/>
      <c r="L588" s="1"/>
      <c r="M588" s="55">
        <f>SUM(J588:L588)</f>
        <v>0</v>
      </c>
      <c r="N588" s="1"/>
      <c r="O588" s="1"/>
      <c r="P588" s="1"/>
      <c r="Q588" s="55">
        <f>SUM(N588:P588)</f>
        <v>0</v>
      </c>
      <c r="R588" s="55">
        <f>+E588+I588+M588+Q588</f>
        <v>0</v>
      </c>
    </row>
    <row r="589" spans="1:18" ht="16.5" customHeight="1" thickBot="1" x14ac:dyDescent="0.35">
      <c r="A589" s="57" t="s">
        <v>63</v>
      </c>
      <c r="B589" s="86">
        <f>SUM(B582:B588)</f>
        <v>351</v>
      </c>
      <c r="C589" s="87">
        <f>SUM(C582:C588)</f>
        <v>626</v>
      </c>
      <c r="D589" s="87">
        <f>SUM(D582:D588)</f>
        <v>806</v>
      </c>
      <c r="E589" s="59">
        <f>SUM(B589:D589)</f>
        <v>1783</v>
      </c>
      <c r="F589" s="87">
        <f>SUM(F582:F588)</f>
        <v>2016</v>
      </c>
      <c r="G589" s="87">
        <f>SUM(G582:G588)</f>
        <v>1678</v>
      </c>
      <c r="H589" s="87">
        <f>SUM(H582:H588)</f>
        <v>2310</v>
      </c>
      <c r="I589" s="59">
        <f>SUM(F589:H589)</f>
        <v>6004</v>
      </c>
      <c r="J589" s="87">
        <f>SUM(J582:J588)</f>
        <v>3077</v>
      </c>
      <c r="K589" s="87">
        <f>SUM(K582:K588)</f>
        <v>2506</v>
      </c>
      <c r="L589" s="87">
        <f>SUM(L582:L588)</f>
        <v>938</v>
      </c>
      <c r="M589" s="59">
        <f>SUM(J589:L589)</f>
        <v>6521</v>
      </c>
      <c r="N589" s="87">
        <f>SUM(N582:N588)</f>
        <v>231</v>
      </c>
      <c r="O589" s="87">
        <f>SUM(O582:O588)</f>
        <v>0</v>
      </c>
      <c r="P589" s="87">
        <f>SUM(P582:P588)</f>
        <v>514</v>
      </c>
      <c r="Q589" s="59">
        <f>SUM(N589:P589)</f>
        <v>745</v>
      </c>
      <c r="R589" s="118">
        <f>+E589+I589+M589+Q589</f>
        <v>15053</v>
      </c>
    </row>
    <row r="590" spans="1:18" ht="15.75" customHeight="1" x14ac:dyDescent="0.3">
      <c r="A590" s="15" t="s">
        <v>64</v>
      </c>
      <c r="B590" s="1"/>
      <c r="C590" s="1"/>
      <c r="D590" s="1"/>
      <c r="E590" s="55" t="s">
        <v>7</v>
      </c>
      <c r="F590" s="1"/>
      <c r="G590" s="1"/>
      <c r="H590" s="1"/>
      <c r="I590" s="55" t="s">
        <v>7</v>
      </c>
      <c r="J590" s="1"/>
      <c r="K590" s="1"/>
      <c r="L590" s="1"/>
      <c r="M590" s="55" t="s">
        <v>7</v>
      </c>
      <c r="N590" s="1"/>
      <c r="O590" s="1"/>
      <c r="P590" s="1"/>
      <c r="Q590" s="55" t="s">
        <v>7</v>
      </c>
      <c r="R590" s="55" t="s">
        <v>7</v>
      </c>
    </row>
    <row r="591" spans="1:18" ht="15.75" customHeight="1" x14ac:dyDescent="0.3">
      <c r="A591" s="15" t="s">
        <v>594</v>
      </c>
      <c r="B591" s="1"/>
      <c r="C591" s="1"/>
      <c r="D591" s="1"/>
      <c r="E591" s="55" t="s">
        <v>7</v>
      </c>
      <c r="F591" s="1"/>
      <c r="G591" s="1"/>
      <c r="H591" s="1"/>
      <c r="I591" s="55" t="s">
        <v>7</v>
      </c>
      <c r="J591" s="1"/>
      <c r="K591" s="1"/>
      <c r="L591" s="1"/>
      <c r="M591" s="55" t="s">
        <v>7</v>
      </c>
      <c r="N591" s="1"/>
      <c r="O591" s="1"/>
      <c r="P591" s="1"/>
      <c r="Q591" s="55" t="s">
        <v>7</v>
      </c>
      <c r="R591" s="55" t="s">
        <v>7</v>
      </c>
    </row>
    <row r="592" spans="1:18" ht="15.75" customHeight="1" x14ac:dyDescent="0.3">
      <c r="A592" s="15" t="s">
        <v>67</v>
      </c>
      <c r="B592" s="1"/>
      <c r="C592" s="1"/>
      <c r="D592" s="1"/>
      <c r="E592" s="55" t="s">
        <v>7</v>
      </c>
      <c r="F592" s="1"/>
      <c r="G592" s="1"/>
      <c r="H592" s="1"/>
      <c r="I592" s="55" t="s">
        <v>7</v>
      </c>
      <c r="J592" s="1"/>
      <c r="K592" s="1"/>
      <c r="L592" s="1"/>
      <c r="M592" s="55" t="s">
        <v>7</v>
      </c>
      <c r="N592" s="1"/>
      <c r="O592" s="1"/>
      <c r="P592" s="1"/>
      <c r="Q592" s="55" t="s">
        <v>7</v>
      </c>
      <c r="R592" s="55" t="s">
        <v>7</v>
      </c>
    </row>
    <row r="593" spans="1:18" ht="15.75" customHeight="1" x14ac:dyDescent="0.3">
      <c r="A593" s="71" t="s">
        <v>776</v>
      </c>
      <c r="B593" s="1"/>
      <c r="C593" s="1"/>
      <c r="D593" s="1"/>
      <c r="E593" s="55">
        <f>SUM(B593:D593)</f>
        <v>0</v>
      </c>
      <c r="F593" s="1"/>
      <c r="G593" s="1"/>
      <c r="H593" s="1"/>
      <c r="I593" s="55">
        <f>SUM(F593:H593)</f>
        <v>0</v>
      </c>
      <c r="J593" s="1"/>
      <c r="K593" s="1"/>
      <c r="L593" s="1"/>
      <c r="M593" s="55">
        <f>SUM(J593:L593)</f>
        <v>0</v>
      </c>
      <c r="N593" s="1"/>
      <c r="O593" s="1"/>
      <c r="P593" s="1">
        <v>51</v>
      </c>
      <c r="Q593" s="55">
        <f>SUM(N593:P593)</f>
        <v>51</v>
      </c>
      <c r="R593" s="55">
        <f>+E593+I593+M593+Q593</f>
        <v>51</v>
      </c>
    </row>
    <row r="594" spans="1:18" ht="15.75" customHeight="1" x14ac:dyDescent="0.3">
      <c r="A594" s="71" t="s">
        <v>777</v>
      </c>
      <c r="B594" s="1"/>
      <c r="C594" s="1"/>
      <c r="D594" s="1"/>
      <c r="E594" s="55">
        <f>SUM(B594:D594)</f>
        <v>0</v>
      </c>
      <c r="F594" s="1"/>
      <c r="G594" s="1"/>
      <c r="H594" s="1"/>
      <c r="I594" s="55">
        <f>SUM(F594:H594)</f>
        <v>0</v>
      </c>
      <c r="J594" s="1"/>
      <c r="K594" s="1"/>
      <c r="L594" s="1"/>
      <c r="M594" s="55">
        <f>SUM(J594:L594)</f>
        <v>0</v>
      </c>
      <c r="N594" s="1"/>
      <c r="O594" s="1"/>
      <c r="P594" s="1"/>
      <c r="Q594" s="55">
        <f>SUM(N594:P594)</f>
        <v>0</v>
      </c>
      <c r="R594" s="55">
        <f>+E594+I594+M594+Q594</f>
        <v>0</v>
      </c>
    </row>
    <row r="595" spans="1:18" ht="15.75" customHeight="1" x14ac:dyDescent="0.3">
      <c r="A595" s="71" t="s">
        <v>778</v>
      </c>
      <c r="B595" s="1">
        <v>2000</v>
      </c>
      <c r="C595" s="1">
        <v>2000</v>
      </c>
      <c r="D595" s="1">
        <v>2000</v>
      </c>
      <c r="E595" s="55">
        <f>SUM(B595:D595)</f>
        <v>6000</v>
      </c>
      <c r="F595" s="1">
        <v>2000</v>
      </c>
      <c r="G595" s="1">
        <v>2000</v>
      </c>
      <c r="H595" s="1"/>
      <c r="I595" s="55">
        <f>SUM(F595:H595)</f>
        <v>4000</v>
      </c>
      <c r="J595" s="1"/>
      <c r="K595" s="1"/>
      <c r="L595" s="1"/>
      <c r="M595" s="55">
        <f>SUM(J595:L595)</f>
        <v>0</v>
      </c>
      <c r="N595" s="1">
        <v>1000</v>
      </c>
      <c r="O595" s="1">
        <v>751</v>
      </c>
      <c r="P595" s="1">
        <v>3781</v>
      </c>
      <c r="Q595" s="55">
        <f>SUM(N595:P595)</f>
        <v>5532</v>
      </c>
      <c r="R595" s="55">
        <f>+E595+I595+M595+Q595</f>
        <v>15532</v>
      </c>
    </row>
    <row r="596" spans="1:18" ht="15.75" customHeight="1" x14ac:dyDescent="0.3">
      <c r="A596" s="71" t="s">
        <v>779</v>
      </c>
      <c r="B596" s="1"/>
      <c r="C596" s="1"/>
      <c r="D596" s="1"/>
      <c r="E596" s="55">
        <f>SUM(B596:D596)</f>
        <v>0</v>
      </c>
      <c r="F596" s="1"/>
      <c r="G596" s="1"/>
      <c r="H596" s="1"/>
      <c r="I596" s="55">
        <f>SUM(F596:H596)</f>
        <v>0</v>
      </c>
      <c r="J596" s="1"/>
      <c r="K596" s="1"/>
      <c r="L596" s="1"/>
      <c r="M596" s="55">
        <f>SUM(J596:L596)</f>
        <v>0</v>
      </c>
      <c r="N596" s="1"/>
      <c r="O596" s="1"/>
      <c r="P596" s="1"/>
      <c r="Q596" s="55">
        <f>SUM(N596:P596)</f>
        <v>0</v>
      </c>
      <c r="R596" s="55">
        <f>+E596+I596+M596+Q596</f>
        <v>0</v>
      </c>
    </row>
    <row r="597" spans="1:18" ht="15.75" customHeight="1" x14ac:dyDescent="0.3">
      <c r="A597" s="15" t="s">
        <v>600</v>
      </c>
      <c r="B597" s="1"/>
      <c r="C597" s="1"/>
      <c r="D597" s="1"/>
      <c r="E597" s="55" t="s">
        <v>7</v>
      </c>
      <c r="F597" s="1"/>
      <c r="G597" s="1"/>
      <c r="H597" s="1"/>
      <c r="I597" s="55" t="s">
        <v>7</v>
      </c>
      <c r="J597" s="1"/>
      <c r="K597" s="1"/>
      <c r="L597" s="1"/>
      <c r="M597" s="55" t="s">
        <v>7</v>
      </c>
      <c r="N597" s="1"/>
      <c r="O597" s="1"/>
      <c r="P597" s="1"/>
      <c r="Q597" s="55" t="s">
        <v>7</v>
      </c>
      <c r="R597" s="55" t="s">
        <v>7</v>
      </c>
    </row>
    <row r="598" spans="1:18" ht="15.75" customHeight="1" thickBot="1" x14ac:dyDescent="0.35">
      <c r="A598" s="15" t="s">
        <v>70</v>
      </c>
      <c r="B598" s="1"/>
      <c r="C598" s="1"/>
      <c r="D598" s="1"/>
      <c r="E598" s="55" t="s">
        <v>7</v>
      </c>
      <c r="F598" s="1"/>
      <c r="G598" s="1"/>
      <c r="H598" s="1"/>
      <c r="I598" s="55" t="s">
        <v>7</v>
      </c>
      <c r="J598" s="1"/>
      <c r="K598" s="1"/>
      <c r="L598" s="1"/>
      <c r="M598" s="55" t="s">
        <v>7</v>
      </c>
      <c r="N598" s="1"/>
      <c r="O598" s="1"/>
      <c r="P598" s="1"/>
      <c r="Q598" s="55" t="s">
        <v>7</v>
      </c>
      <c r="R598" s="55" t="s">
        <v>7</v>
      </c>
    </row>
    <row r="599" spans="1:18" ht="16.5" customHeight="1" thickBot="1" x14ac:dyDescent="0.35">
      <c r="A599" s="57" t="s">
        <v>71</v>
      </c>
      <c r="B599" s="58">
        <f>SUM(B597:B598)</f>
        <v>0</v>
      </c>
      <c r="C599" s="58">
        <f>SUM(C597:C598)</f>
        <v>0</v>
      </c>
      <c r="D599" s="58">
        <f>SUM(D597:D598)</f>
        <v>0</v>
      </c>
      <c r="E599" s="60">
        <f>SUM(B599:D599)</f>
        <v>0</v>
      </c>
      <c r="F599" s="58">
        <f>SUM(F597:F598)</f>
        <v>0</v>
      </c>
      <c r="G599" s="58">
        <f>SUM(G597:G598)</f>
        <v>0</v>
      </c>
      <c r="H599" s="58">
        <f>SUM(H597:H598)</f>
        <v>0</v>
      </c>
      <c r="I599" s="60">
        <f>SUM(F599:H599)</f>
        <v>0</v>
      </c>
      <c r="J599" s="58">
        <f>SUM(J597:J598)</f>
        <v>0</v>
      </c>
      <c r="K599" s="58">
        <f>SUM(K597:K598)</f>
        <v>0</v>
      </c>
      <c r="L599" s="58">
        <f>SUM(L597:L598)</f>
        <v>0</v>
      </c>
      <c r="M599" s="60">
        <f>SUM(J599:L599)</f>
        <v>0</v>
      </c>
      <c r="N599" s="58">
        <f>SUM(N597:N598)</f>
        <v>0</v>
      </c>
      <c r="O599" s="58">
        <f>SUM(O597:O598)</f>
        <v>0</v>
      </c>
      <c r="P599" s="58">
        <f>SUM(P597:P598)</f>
        <v>0</v>
      </c>
      <c r="Q599" s="60">
        <f>SUM(N599:P599)</f>
        <v>0</v>
      </c>
      <c r="R599" s="59">
        <f>+E599+I599+M599+Q599</f>
        <v>0</v>
      </c>
    </row>
    <row r="600" spans="1:18" ht="16.5" customHeight="1" thickBot="1" x14ac:dyDescent="0.35">
      <c r="A600" s="114" t="s">
        <v>72</v>
      </c>
      <c r="B600" s="86">
        <f>SUM(B590:B598)</f>
        <v>2000</v>
      </c>
      <c r="C600" s="87">
        <f>SUM(C590:C598)</f>
        <v>2000</v>
      </c>
      <c r="D600" s="118">
        <f>SUM(D590:D598)</f>
        <v>2000</v>
      </c>
      <c r="E600" s="60">
        <f>SUM(B600:D600)</f>
        <v>6000</v>
      </c>
      <c r="F600" s="87">
        <f>SUM(F590:F598)</f>
        <v>2000</v>
      </c>
      <c r="G600" s="87">
        <f>SUM(G590:G598)</f>
        <v>2000</v>
      </c>
      <c r="H600" s="87">
        <f>SUM(H590:H598)</f>
        <v>0</v>
      </c>
      <c r="I600" s="60">
        <f>SUM(F600:H600)</f>
        <v>4000</v>
      </c>
      <c r="J600" s="87">
        <f>SUM(J590:J598)</f>
        <v>0</v>
      </c>
      <c r="K600" s="87">
        <f>SUM(K590:K598)</f>
        <v>0</v>
      </c>
      <c r="L600" s="87">
        <f>SUM(L590:L598)</f>
        <v>0</v>
      </c>
      <c r="M600" s="60">
        <f>SUM(J600:L600)</f>
        <v>0</v>
      </c>
      <c r="N600" s="87">
        <f>SUM(N590:N598)</f>
        <v>1000</v>
      </c>
      <c r="O600" s="87">
        <f>SUM(O590:O598)</f>
        <v>751</v>
      </c>
      <c r="P600" s="87">
        <f>SUM(P590:P598)</f>
        <v>3832</v>
      </c>
      <c r="Q600" s="60">
        <f>SUM(N600:P600)</f>
        <v>5583</v>
      </c>
      <c r="R600" s="59">
        <f>+E600+I600+M600+Q600</f>
        <v>15583</v>
      </c>
    </row>
    <row r="601" spans="1:18" ht="16.5" customHeight="1" thickBot="1" x14ac:dyDescent="0.35">
      <c r="A601" s="57" t="s">
        <v>73</v>
      </c>
      <c r="B601" s="90">
        <f>+B577+B581+B589+B600</f>
        <v>12789</v>
      </c>
      <c r="C601" s="58">
        <f>+C577+C581+C589+C600</f>
        <v>13931</v>
      </c>
      <c r="D601" s="58">
        <f>+D577+D581+D589+D600</f>
        <v>14912</v>
      </c>
      <c r="E601" s="59">
        <f>SUM(B601:D601)</f>
        <v>41632</v>
      </c>
      <c r="F601" s="58">
        <f>+F577+F581+F589+F600</f>
        <v>15356</v>
      </c>
      <c r="G601" s="58">
        <f>+G577+G581+G589+G600</f>
        <v>14943</v>
      </c>
      <c r="H601" s="58">
        <f>+H577+H581+H589+H600</f>
        <v>12665</v>
      </c>
      <c r="I601" s="59">
        <f>SUM(F601:H601)</f>
        <v>42964</v>
      </c>
      <c r="J601" s="58">
        <f>+J577+J581+J589+J600</f>
        <v>10460</v>
      </c>
      <c r="K601" s="58">
        <f>+K577+K581+K589+K600</f>
        <v>11294</v>
      </c>
      <c r="L601" s="58">
        <f>+L577+L581+L589+L600</f>
        <v>10881</v>
      </c>
      <c r="M601" s="59">
        <f>SUM(J601:L601)</f>
        <v>32635</v>
      </c>
      <c r="N601" s="58">
        <f>+N577+N581+N589+N600</f>
        <v>7574</v>
      </c>
      <c r="O601" s="58">
        <f>+O577+O581+O589+O600</f>
        <v>5016</v>
      </c>
      <c r="P601" s="58">
        <f>+P577+P581+P589+P600</f>
        <v>10709</v>
      </c>
      <c r="Q601" s="59">
        <f>SUM(N601:P601)</f>
        <v>23299</v>
      </c>
      <c r="R601" s="81">
        <f>+E601+I601+M601+Q601</f>
        <v>140530</v>
      </c>
    </row>
    <row r="602" spans="1:18" ht="16.5" customHeight="1" thickBot="1" x14ac:dyDescent="0.35">
      <c r="A602" s="62" t="s">
        <v>40</v>
      </c>
      <c r="B602" s="21">
        <v>22</v>
      </c>
      <c r="C602" s="21">
        <v>24</v>
      </c>
      <c r="D602" s="21">
        <v>31</v>
      </c>
      <c r="E602" s="59">
        <f>SUM(B602:D602)</f>
        <v>77</v>
      </c>
      <c r="F602" s="21">
        <v>40</v>
      </c>
      <c r="G602" s="21">
        <v>45</v>
      </c>
      <c r="H602" s="21">
        <v>48</v>
      </c>
      <c r="I602" s="59">
        <f>SUM(F602:H602)</f>
        <v>133</v>
      </c>
      <c r="J602" s="21">
        <v>42</v>
      </c>
      <c r="K602" s="21">
        <v>39</v>
      </c>
      <c r="L602" s="21">
        <v>38</v>
      </c>
      <c r="M602" s="59">
        <f>SUM(J602:L602)</f>
        <v>119</v>
      </c>
      <c r="N602" s="21">
        <v>32</v>
      </c>
      <c r="O602" s="21">
        <v>25</v>
      </c>
      <c r="P602" s="21">
        <v>21</v>
      </c>
      <c r="Q602" s="59">
        <f>SUM(N602:P602)</f>
        <v>78</v>
      </c>
      <c r="R602" s="60">
        <f>+E602+I602+M602+Q602</f>
        <v>407</v>
      </c>
    </row>
    <row r="603" spans="1:18" ht="16.5" customHeight="1" thickBot="1" x14ac:dyDescent="0.35">
      <c r="A603" s="41"/>
      <c r="B603" s="36"/>
      <c r="C603" s="36"/>
      <c r="D603" s="36"/>
      <c r="E603" s="52"/>
      <c r="F603" s="36"/>
      <c r="G603" s="36"/>
      <c r="H603" s="36"/>
      <c r="I603" s="52"/>
      <c r="J603" s="36"/>
      <c r="K603" s="36"/>
      <c r="L603" s="36"/>
      <c r="M603" s="52"/>
      <c r="N603" s="36"/>
      <c r="O603" s="36"/>
      <c r="P603" s="36"/>
      <c r="Q603" s="52"/>
      <c r="R603" s="42"/>
    </row>
    <row r="604" spans="1:18" ht="15.75" customHeight="1" x14ac:dyDescent="0.3">
      <c r="A604" s="15" t="s">
        <v>314</v>
      </c>
      <c r="B604" s="1">
        <f>+SUM(B601:B602)</f>
        <v>12811</v>
      </c>
      <c r="C604" s="1">
        <f>+SUM(C601:C602)</f>
        <v>13955</v>
      </c>
      <c r="D604" s="1">
        <f>+SUM(D601:D602)</f>
        <v>14943</v>
      </c>
      <c r="E604" s="60">
        <f>SUM(B604:D604)</f>
        <v>41709</v>
      </c>
      <c r="F604" s="1">
        <f>+SUM(F601:F602)</f>
        <v>15396</v>
      </c>
      <c r="G604" s="1">
        <f>+SUM(G601:G602)</f>
        <v>14988</v>
      </c>
      <c r="H604" s="1">
        <f>+SUM(H601:H602)</f>
        <v>12713</v>
      </c>
      <c r="I604" s="60">
        <f>SUM(F604:H604)</f>
        <v>43097</v>
      </c>
      <c r="J604" s="1">
        <f>+SUM(J601:J602)</f>
        <v>10502</v>
      </c>
      <c r="K604" s="1">
        <f>+SUM(K601:K602)</f>
        <v>11333</v>
      </c>
      <c r="L604" s="1">
        <f>+SUM(L601:L602)</f>
        <v>10919</v>
      </c>
      <c r="M604" s="60">
        <f>SUM(J604:L604)</f>
        <v>32754</v>
      </c>
      <c r="N604" s="1">
        <f>+SUM(N601:N602)</f>
        <v>7606</v>
      </c>
      <c r="O604" s="1">
        <f>+SUM(O601:O602)</f>
        <v>5041</v>
      </c>
      <c r="P604" s="1">
        <f>+SUM(P601:P602)</f>
        <v>10730</v>
      </c>
      <c r="Q604" s="60">
        <f>SUM(N604:P604)</f>
        <v>23377</v>
      </c>
      <c r="R604" s="60">
        <f>+E604+I604+M604+Q604</f>
        <v>140937</v>
      </c>
    </row>
    <row r="605" spans="1:18" ht="15.75" customHeight="1" x14ac:dyDescent="0.3">
      <c r="A605" s="15" t="s">
        <v>42</v>
      </c>
      <c r="B605" s="1">
        <f>(B604/31)/1.983</f>
        <v>208.40043596375642</v>
      </c>
      <c r="C605" s="1">
        <f>(C604/28)/1.983</f>
        <v>251.3327570059794</v>
      </c>
      <c r="D605" s="1">
        <f>(D604/31)/1.983</f>
        <v>243.08232882729004</v>
      </c>
      <c r="E605" s="55" t="s">
        <v>7</v>
      </c>
      <c r="F605" s="1">
        <f>(F604/30)/1.983</f>
        <v>258.79979828542611</v>
      </c>
      <c r="G605" s="1">
        <f>(G604/31)/1.983</f>
        <v>243.8143575228149</v>
      </c>
      <c r="H605" s="1">
        <f>(H604/30)/1.983</f>
        <v>213.69978147587827</v>
      </c>
      <c r="I605" s="55" t="s">
        <v>7</v>
      </c>
      <c r="J605" s="1">
        <f>(J604/31)/1.983</f>
        <v>170.83923023115838</v>
      </c>
      <c r="K605" s="1">
        <f>(K604/31)/1.983</f>
        <v>184.35736014185088</v>
      </c>
      <c r="L605" s="1">
        <f>(L604/30)/1.983</f>
        <v>183.54345268112286</v>
      </c>
      <c r="M605" s="55" t="s">
        <v>7</v>
      </c>
      <c r="N605" s="1">
        <f>(N604/31)/1.983</f>
        <v>123.7291168480471</v>
      </c>
      <c r="O605" s="1">
        <f>(O604/30)/1.983</f>
        <v>84.736930576567488</v>
      </c>
      <c r="P605" s="1">
        <f>(P604/31)/1.983</f>
        <v>174.54817562181771</v>
      </c>
      <c r="Q605" s="55" t="s">
        <v>7</v>
      </c>
      <c r="R605" s="55" t="s">
        <v>7</v>
      </c>
    </row>
    <row r="606" spans="1:18" ht="15.75" customHeight="1" x14ac:dyDescent="0.3">
      <c r="A606" s="15" t="s">
        <v>351</v>
      </c>
      <c r="B606" s="1">
        <f>B604+B616</f>
        <v>15404</v>
      </c>
      <c r="C606" s="1">
        <f>C604+C616</f>
        <v>18429</v>
      </c>
      <c r="D606" s="1">
        <f>D604+D616</f>
        <v>19736</v>
      </c>
      <c r="E606" s="55">
        <f>SUM(B606:D606)</f>
        <v>53569</v>
      </c>
      <c r="F606" s="1">
        <f>F604+F616</f>
        <v>18663</v>
      </c>
      <c r="G606" s="1">
        <f>G604+G616</f>
        <v>20027</v>
      </c>
      <c r="H606" s="1">
        <f>H604+H616</f>
        <v>15542</v>
      </c>
      <c r="I606" s="55">
        <f>SUM(F606:H606)</f>
        <v>54232</v>
      </c>
      <c r="J606" s="1">
        <f>J604+J616</f>
        <v>14033</v>
      </c>
      <c r="K606" s="1">
        <f>K604+K616</f>
        <v>14433</v>
      </c>
      <c r="L606" s="1">
        <f>L604+L616</f>
        <v>14988</v>
      </c>
      <c r="M606" s="55">
        <f>SUM(J606:L606)</f>
        <v>43454</v>
      </c>
      <c r="N606" s="1">
        <f>N604+N616</f>
        <v>10828</v>
      </c>
      <c r="O606" s="1">
        <f>O604+O616</f>
        <v>7060</v>
      </c>
      <c r="P606" s="1">
        <f>P604+P616</f>
        <v>14189</v>
      </c>
      <c r="Q606" s="55">
        <f>SUM(N606:P606)</f>
        <v>32077</v>
      </c>
      <c r="R606" s="55">
        <f>+E606+I606+M606+Q606</f>
        <v>183332</v>
      </c>
    </row>
    <row r="607" spans="1:18" ht="16.5" customHeight="1" thickBot="1" x14ac:dyDescent="0.35">
      <c r="A607" s="20" t="s">
        <v>352</v>
      </c>
      <c r="B607" s="21">
        <f>(B606/31)/1.983</f>
        <v>250.58155613033361</v>
      </c>
      <c r="C607" s="21">
        <f>(C606/28)/1.983</f>
        <v>331.91052517830127</v>
      </c>
      <c r="D607" s="21">
        <f>(D606/31)/1.983</f>
        <v>321.05151855286056</v>
      </c>
      <c r="E607" s="81" t="s">
        <v>7</v>
      </c>
      <c r="F607" s="21">
        <f>(F606/30)/1.983</f>
        <v>313.71659102370148</v>
      </c>
      <c r="G607" s="21">
        <f>(G606/31)/1.983</f>
        <v>325.78530411725473</v>
      </c>
      <c r="H607" s="21">
        <f>(H606/30)/1.983</f>
        <v>261.253992267608</v>
      </c>
      <c r="I607" s="81" t="s">
        <v>7</v>
      </c>
      <c r="J607" s="21">
        <f>(J606/31)/1.983</f>
        <v>228.27908187334276</v>
      </c>
      <c r="K607" s="21">
        <f>(K606/31)/1.983</f>
        <v>234.78600361134156</v>
      </c>
      <c r="L607" s="21">
        <f>(L606/30)/1.983</f>
        <v>251.94150277357539</v>
      </c>
      <c r="M607" s="81" t="s">
        <v>7</v>
      </c>
      <c r="N607" s="21">
        <f>(N606/31)/1.983</f>
        <v>176.14237144762743</v>
      </c>
      <c r="O607" s="21">
        <f>(O606/30)/1.983</f>
        <v>118.67540763153471</v>
      </c>
      <c r="P607" s="21">
        <f>(P606/31)/1.983</f>
        <v>230.81678135116229</v>
      </c>
      <c r="Q607" s="81" t="s">
        <v>7</v>
      </c>
      <c r="R607" s="81" t="s">
        <v>7</v>
      </c>
    </row>
    <row r="608" spans="1:18" ht="15.75" customHeight="1" x14ac:dyDescent="0.3">
      <c r="A608" s="2"/>
      <c r="B608" s="1"/>
      <c r="C608" s="1"/>
      <c r="D608" s="1"/>
      <c r="E608" s="1"/>
      <c r="F608" s="1"/>
      <c r="G608" s="1"/>
      <c r="H608" s="1"/>
      <c r="I608" s="1"/>
      <c r="J608" s="1"/>
      <c r="K608" s="1"/>
      <c r="L608" s="1"/>
      <c r="M608" s="1"/>
      <c r="N608" s="1"/>
      <c r="O608" s="1"/>
      <c r="P608" s="1"/>
      <c r="Q608" s="1"/>
      <c r="R608" s="2"/>
    </row>
    <row r="609" spans="1:18" ht="15.75" customHeight="1" thickBot="1" x14ac:dyDescent="0.35">
      <c r="A609" s="2"/>
      <c r="B609" s="1"/>
      <c r="C609" s="1"/>
      <c r="D609" s="1"/>
      <c r="E609" s="1"/>
      <c r="F609" s="1"/>
      <c r="G609" s="1"/>
      <c r="H609" s="1"/>
      <c r="I609" s="1"/>
      <c r="J609" s="1"/>
      <c r="K609" s="1"/>
      <c r="L609" s="1"/>
      <c r="M609" s="1"/>
      <c r="N609" s="1"/>
      <c r="O609" s="1"/>
      <c r="P609" s="1"/>
      <c r="Q609" s="1"/>
      <c r="R609" s="2"/>
    </row>
    <row r="610" spans="1:18" ht="16.5" customHeight="1" thickBot="1" x14ac:dyDescent="0.35">
      <c r="A610" s="124" t="s">
        <v>353</v>
      </c>
      <c r="B610" s="30" t="s">
        <v>8</v>
      </c>
      <c r="C610" s="31" t="s">
        <v>9</v>
      </c>
      <c r="D610" s="31" t="s">
        <v>10</v>
      </c>
      <c r="E610" s="32" t="s">
        <v>11</v>
      </c>
      <c r="F610" s="31" t="s">
        <v>12</v>
      </c>
      <c r="G610" s="31" t="s">
        <v>13</v>
      </c>
      <c r="H610" s="31" t="s">
        <v>14</v>
      </c>
      <c r="I610" s="33" t="s">
        <v>15</v>
      </c>
      <c r="J610" s="31" t="s">
        <v>16</v>
      </c>
      <c r="K610" s="31" t="s">
        <v>17</v>
      </c>
      <c r="L610" s="31" t="s">
        <v>18</v>
      </c>
      <c r="M610" s="33" t="s">
        <v>19</v>
      </c>
      <c r="N610" s="31" t="s">
        <v>20</v>
      </c>
      <c r="O610" s="31" t="s">
        <v>21</v>
      </c>
      <c r="P610" s="31" t="s">
        <v>22</v>
      </c>
      <c r="Q610" s="33" t="s">
        <v>23</v>
      </c>
      <c r="R610" s="34" t="s">
        <v>24</v>
      </c>
    </row>
    <row r="611" spans="1:18" ht="16.5" customHeight="1" thickBot="1" x14ac:dyDescent="0.35">
      <c r="A611" s="41"/>
      <c r="B611" s="36"/>
      <c r="C611" s="36"/>
      <c r="D611" s="36"/>
      <c r="E611" s="37"/>
      <c r="F611" s="36"/>
      <c r="G611" s="36"/>
      <c r="H611" s="36"/>
      <c r="I611" s="37"/>
      <c r="J611" s="36"/>
      <c r="K611" s="36"/>
      <c r="L611" s="36"/>
      <c r="M611" s="37"/>
      <c r="N611" s="36"/>
      <c r="O611" s="36"/>
      <c r="P611" s="36"/>
      <c r="Q611" s="37"/>
      <c r="R611" s="41"/>
    </row>
    <row r="612" spans="1:18" ht="16.5" customHeight="1" thickBot="1" x14ac:dyDescent="0.35">
      <c r="A612" s="39" t="s">
        <v>40</v>
      </c>
      <c r="B612" s="21">
        <v>2</v>
      </c>
      <c r="C612" s="21">
        <v>3</v>
      </c>
      <c r="D612" s="21">
        <v>5</v>
      </c>
      <c r="E612" s="55">
        <f>SUM(B612:D612)</f>
        <v>10</v>
      </c>
      <c r="F612" s="21">
        <v>7</v>
      </c>
      <c r="G612" s="21">
        <v>8</v>
      </c>
      <c r="H612" s="21">
        <v>9</v>
      </c>
      <c r="I612" s="55">
        <f>SUM(F612:H612)</f>
        <v>24</v>
      </c>
      <c r="J612" s="21">
        <v>7</v>
      </c>
      <c r="K612" s="21">
        <v>6</v>
      </c>
      <c r="L612" s="21">
        <v>6</v>
      </c>
      <c r="M612" s="55">
        <f>SUM(J612:L612)</f>
        <v>19</v>
      </c>
      <c r="N612" s="21">
        <v>5</v>
      </c>
      <c r="O612" s="21">
        <v>3</v>
      </c>
      <c r="P612" s="21">
        <v>2</v>
      </c>
      <c r="Q612" s="55">
        <f>SUM(N612:P612)</f>
        <v>10</v>
      </c>
      <c r="R612" s="60">
        <f>+E612+I612+M612+Q612</f>
        <v>63</v>
      </c>
    </row>
    <row r="613" spans="1:18" ht="16.5" customHeight="1" thickBot="1" x14ac:dyDescent="0.35">
      <c r="A613" s="41"/>
      <c r="B613" s="36"/>
      <c r="C613" s="36"/>
      <c r="D613" s="36"/>
      <c r="E613" s="52"/>
      <c r="F613" s="36"/>
      <c r="G613" s="36"/>
      <c r="H613" s="36"/>
      <c r="I613" s="52"/>
      <c r="J613" s="36"/>
      <c r="K613" s="36"/>
      <c r="L613" s="36"/>
      <c r="M613" s="52"/>
      <c r="N613" s="36"/>
      <c r="O613" s="36"/>
      <c r="P613" s="36"/>
      <c r="Q613" s="52"/>
      <c r="R613" s="42"/>
    </row>
    <row r="614" spans="1:18" ht="15.75" customHeight="1" x14ac:dyDescent="0.3">
      <c r="A614" s="15" t="s">
        <v>314</v>
      </c>
      <c r="B614" s="1">
        <f>B612</f>
        <v>2</v>
      </c>
      <c r="C614" s="1">
        <f>C612</f>
        <v>3</v>
      </c>
      <c r="D614" s="1">
        <f>D612</f>
        <v>5</v>
      </c>
      <c r="E614" s="60">
        <f>SUM(B614:D614)</f>
        <v>10</v>
      </c>
      <c r="F614" s="1">
        <f>F612</f>
        <v>7</v>
      </c>
      <c r="G614" s="1">
        <f>G612</f>
        <v>8</v>
      </c>
      <c r="H614" s="1">
        <f>H612</f>
        <v>9</v>
      </c>
      <c r="I614" s="60">
        <f>SUM(F614:H614)</f>
        <v>24</v>
      </c>
      <c r="J614" s="1">
        <f>J612</f>
        <v>7</v>
      </c>
      <c r="K614" s="1">
        <f>K612</f>
        <v>6</v>
      </c>
      <c r="L614" s="1">
        <f>L612</f>
        <v>6</v>
      </c>
      <c r="M614" s="60">
        <f>SUM(J614:L614)</f>
        <v>19</v>
      </c>
      <c r="N614" s="1">
        <f>N612</f>
        <v>5</v>
      </c>
      <c r="O614" s="1">
        <f>O612</f>
        <v>3</v>
      </c>
      <c r="P614" s="1">
        <f>P612</f>
        <v>2</v>
      </c>
      <c r="Q614" s="60">
        <f>SUM(N614:P614)</f>
        <v>10</v>
      </c>
      <c r="R614" s="60">
        <f>+E614+I614+M614+Q614</f>
        <v>63</v>
      </c>
    </row>
    <row r="615" spans="1:18" ht="15.75" customHeight="1" x14ac:dyDescent="0.3">
      <c r="A615" s="15" t="s">
        <v>42</v>
      </c>
      <c r="B615" s="1">
        <f>(B614/31)/1.983</f>
        <v>3.2534608689993978E-2</v>
      </c>
      <c r="C615" s="1">
        <f>(C614/28)/1.983</f>
        <v>5.403068943159714E-2</v>
      </c>
      <c r="D615" s="1">
        <f>(D614/31)/1.983</f>
        <v>8.1336521724984942E-2</v>
      </c>
      <c r="E615" s="55" t="s">
        <v>7</v>
      </c>
      <c r="F615" s="1">
        <f>(F614/30)/1.983</f>
        <v>0.1176668347621449</v>
      </c>
      <c r="G615" s="1">
        <f>(G614/31)/1.983</f>
        <v>0.13013843475997591</v>
      </c>
      <c r="H615" s="1">
        <f>(H614/30)/1.983</f>
        <v>0.15128593040847199</v>
      </c>
      <c r="I615" s="55" t="s">
        <v>7</v>
      </c>
      <c r="J615" s="1">
        <f>(J614/31)/1.983</f>
        <v>0.11387113041497893</v>
      </c>
      <c r="K615" s="1">
        <f>(K614/31)/1.983</f>
        <v>9.7603826069981942E-2</v>
      </c>
      <c r="L615" s="1">
        <f>(L614/30)/1.983</f>
        <v>0.10085728693898134</v>
      </c>
      <c r="M615" s="55" t="s">
        <v>7</v>
      </c>
      <c r="N615" s="1">
        <f>(N614/31)/1.983</f>
        <v>8.1336521724984942E-2</v>
      </c>
      <c r="O615" s="1">
        <f>(O614/30)/1.983</f>
        <v>5.0428643469490671E-2</v>
      </c>
      <c r="P615" s="1">
        <f>(P614/31)/1.983</f>
        <v>3.2534608689993978E-2</v>
      </c>
      <c r="Q615" s="55" t="s">
        <v>7</v>
      </c>
      <c r="R615" s="55" t="s">
        <v>7</v>
      </c>
    </row>
    <row r="616" spans="1:18" ht="15.75" customHeight="1" x14ac:dyDescent="0.3">
      <c r="A616" s="15" t="s">
        <v>354</v>
      </c>
      <c r="B616" s="1">
        <f>B614+B650+B696-B645</f>
        <v>2593</v>
      </c>
      <c r="C616" s="1">
        <f>C614+C650+C696-C645</f>
        <v>4474</v>
      </c>
      <c r="D616" s="1">
        <f>D614+D650+D696-D645</f>
        <v>4793</v>
      </c>
      <c r="E616" s="55">
        <f>SUM(B616:D616)</f>
        <v>11860</v>
      </c>
      <c r="F616" s="1">
        <f>F614+F650+F696-F645</f>
        <v>3267</v>
      </c>
      <c r="G616" s="1">
        <f>G614+G650+G696-G645</f>
        <v>5039</v>
      </c>
      <c r="H616" s="1">
        <f>H614+H650+H696-H645</f>
        <v>2829</v>
      </c>
      <c r="I616" s="55">
        <f>SUM(F616:H616)</f>
        <v>11135</v>
      </c>
      <c r="J616" s="1">
        <f>J614+J650+J696-J645</f>
        <v>3531</v>
      </c>
      <c r="K616" s="1">
        <f>K614+K650+K696-K645</f>
        <v>3100</v>
      </c>
      <c r="L616" s="1">
        <f>L614+L650+L696-L645</f>
        <v>4069</v>
      </c>
      <c r="M616" s="55">
        <f>SUM(J616:L616)</f>
        <v>10700</v>
      </c>
      <c r="N616" s="1">
        <f>N614+N650+N696-N645</f>
        <v>3222</v>
      </c>
      <c r="O616" s="1">
        <f>O614+O650+O696-O645</f>
        <v>2019</v>
      </c>
      <c r="P616" s="1">
        <f>P614+P650+P696-P645</f>
        <v>3459</v>
      </c>
      <c r="Q616" s="55">
        <f>SUM(N616:P616)</f>
        <v>8700</v>
      </c>
      <c r="R616" s="55">
        <f>+E616+I616+M616+Q616</f>
        <v>42395</v>
      </c>
    </row>
    <row r="617" spans="1:18" ht="16.5" customHeight="1" thickBot="1" x14ac:dyDescent="0.35">
      <c r="A617" s="20" t="s">
        <v>355</v>
      </c>
      <c r="B617" s="21">
        <f>(B616/31)/1.983</f>
        <v>42.181120166577195</v>
      </c>
      <c r="C617" s="21">
        <f>(C616/28)/1.983</f>
        <v>80.577768172321868</v>
      </c>
      <c r="D617" s="21">
        <f>(D616/31)/1.983</f>
        <v>77.969189725570573</v>
      </c>
      <c r="E617" s="81" t="s">
        <v>7</v>
      </c>
      <c r="F617" s="21">
        <f>(F616/30)/1.983</f>
        <v>54.91679273827534</v>
      </c>
      <c r="G617" s="21">
        <f>(G616/31)/1.983</f>
        <v>81.970946594439837</v>
      </c>
      <c r="H617" s="21">
        <f>(H616/30)/1.983</f>
        <v>47.554210791729702</v>
      </c>
      <c r="I617" s="81" t="s">
        <v>7</v>
      </c>
      <c r="J617" s="21">
        <f>(J616/31)/1.983</f>
        <v>57.439851642184372</v>
      </c>
      <c r="K617" s="21">
        <f>(K616/31)/1.983</f>
        <v>50.428643469490666</v>
      </c>
      <c r="L617" s="21">
        <f>(L616/30)/1.983</f>
        <v>68.398050092452507</v>
      </c>
      <c r="M617" s="81" t="s">
        <v>7</v>
      </c>
      <c r="N617" s="21">
        <f>(N616/31)/1.983</f>
        <v>52.413254599580299</v>
      </c>
      <c r="O617" s="21">
        <f>(O616/30)/1.983</f>
        <v>33.938477054967215</v>
      </c>
      <c r="P617" s="21">
        <f>(P616/31)/1.983</f>
        <v>56.268605729344586</v>
      </c>
      <c r="Q617" s="81" t="s">
        <v>7</v>
      </c>
      <c r="R617" s="81" t="s">
        <v>7</v>
      </c>
    </row>
    <row r="618" spans="1:18" ht="15.75" customHeight="1" x14ac:dyDescent="0.3">
      <c r="A618" s="2"/>
      <c r="B618" s="1"/>
      <c r="C618" s="1"/>
      <c r="D618" s="1"/>
      <c r="E618" s="1"/>
      <c r="F618" s="1"/>
      <c r="G618" s="1"/>
      <c r="H618" s="1"/>
      <c r="I618" s="1"/>
      <c r="J618" s="1"/>
      <c r="K618" s="1"/>
      <c r="L618" s="1"/>
      <c r="M618" s="1"/>
      <c r="N618" s="1"/>
      <c r="O618" s="1"/>
      <c r="P618" s="1"/>
      <c r="Q618" s="1"/>
      <c r="R618" s="2"/>
    </row>
    <row r="619" spans="1:18" ht="15.75" customHeight="1" thickBot="1" x14ac:dyDescent="0.35">
      <c r="A619" s="2"/>
      <c r="B619" s="1"/>
      <c r="C619" s="1"/>
      <c r="D619" s="1"/>
      <c r="E619" s="1"/>
      <c r="F619" s="1"/>
      <c r="G619" s="1"/>
      <c r="H619" s="1"/>
      <c r="I619" s="1"/>
      <c r="J619" s="1"/>
      <c r="K619" s="1"/>
      <c r="L619" s="1"/>
      <c r="M619" s="1"/>
      <c r="N619" s="1"/>
      <c r="O619" s="1"/>
      <c r="P619" s="1"/>
      <c r="Q619" s="1"/>
      <c r="R619" s="2"/>
    </row>
    <row r="620" spans="1:18" ht="16.5" customHeight="1" thickBot="1" x14ac:dyDescent="0.35">
      <c r="A620" s="124" t="s">
        <v>356</v>
      </c>
      <c r="B620" s="30" t="s">
        <v>8</v>
      </c>
      <c r="C620" s="31" t="s">
        <v>9</v>
      </c>
      <c r="D620" s="31" t="s">
        <v>10</v>
      </c>
      <c r="E620" s="33" t="s">
        <v>11</v>
      </c>
      <c r="F620" s="31" t="s">
        <v>12</v>
      </c>
      <c r="G620" s="31" t="s">
        <v>13</v>
      </c>
      <c r="H620" s="31" t="s">
        <v>14</v>
      </c>
      <c r="I620" s="33" t="s">
        <v>15</v>
      </c>
      <c r="J620" s="31" t="s">
        <v>16</v>
      </c>
      <c r="K620" s="31" t="s">
        <v>17</v>
      </c>
      <c r="L620" s="31" t="s">
        <v>18</v>
      </c>
      <c r="M620" s="33" t="s">
        <v>19</v>
      </c>
      <c r="N620" s="31" t="s">
        <v>20</v>
      </c>
      <c r="O620" s="31" t="s">
        <v>21</v>
      </c>
      <c r="P620" s="31" t="s">
        <v>22</v>
      </c>
      <c r="Q620" s="33" t="s">
        <v>23</v>
      </c>
      <c r="R620" s="131" t="s">
        <v>24</v>
      </c>
    </row>
    <row r="621" spans="1:18" ht="16.5" customHeight="1" thickBot="1" x14ac:dyDescent="0.35">
      <c r="A621" s="41"/>
      <c r="B621" s="36"/>
      <c r="C621" s="36"/>
      <c r="D621" s="36"/>
      <c r="E621" s="132"/>
      <c r="F621" s="36"/>
      <c r="G621" s="36"/>
      <c r="H621" s="36"/>
      <c r="I621" s="132"/>
      <c r="J621" s="36"/>
      <c r="K621" s="36"/>
      <c r="L621" s="36"/>
      <c r="M621" s="132"/>
      <c r="N621" s="36"/>
      <c r="O621" s="36"/>
      <c r="P621" s="36"/>
      <c r="Q621" s="132"/>
      <c r="R621" s="38"/>
    </row>
    <row r="622" spans="1:18" ht="15.75" customHeight="1" x14ac:dyDescent="0.3">
      <c r="A622" s="15" t="s">
        <v>48</v>
      </c>
      <c r="B622" s="1" t="s">
        <v>7</v>
      </c>
      <c r="C622" s="1" t="s">
        <v>7</v>
      </c>
      <c r="D622" s="1" t="s">
        <v>7</v>
      </c>
      <c r="E622" s="55" t="s">
        <v>7</v>
      </c>
      <c r="F622" s="1" t="s">
        <v>7</v>
      </c>
      <c r="G622" s="1" t="s">
        <v>7</v>
      </c>
      <c r="H622" s="1" t="s">
        <v>7</v>
      </c>
      <c r="I622" s="55" t="s">
        <v>7</v>
      </c>
      <c r="J622" s="1" t="s">
        <v>7</v>
      </c>
      <c r="K622" s="1" t="s">
        <v>7</v>
      </c>
      <c r="L622" s="1" t="s">
        <v>7</v>
      </c>
      <c r="M622" s="55" t="s">
        <v>7</v>
      </c>
      <c r="N622" s="1" t="s">
        <v>7</v>
      </c>
      <c r="O622" s="1" t="s">
        <v>7</v>
      </c>
      <c r="P622" s="1" t="s">
        <v>7</v>
      </c>
      <c r="Q622" s="55" t="s">
        <v>7</v>
      </c>
      <c r="R622" s="55" t="s">
        <v>7</v>
      </c>
    </row>
    <row r="623" spans="1:18" ht="15.75" customHeight="1" x14ac:dyDescent="0.3">
      <c r="A623" s="15" t="s">
        <v>49</v>
      </c>
      <c r="B623" s="1"/>
      <c r="C623" s="1"/>
      <c r="D623" s="1"/>
      <c r="E623" s="55" t="s">
        <v>7</v>
      </c>
      <c r="F623" s="1"/>
      <c r="G623" s="1"/>
      <c r="H623" s="1"/>
      <c r="I623" s="55" t="s">
        <v>7</v>
      </c>
      <c r="J623" s="1"/>
      <c r="K623" s="1"/>
      <c r="L623" s="1"/>
      <c r="M623" s="55" t="s">
        <v>7</v>
      </c>
      <c r="N623" s="1"/>
      <c r="O623" s="1"/>
      <c r="P623" s="1"/>
      <c r="Q623" s="55" t="s">
        <v>7</v>
      </c>
      <c r="R623" s="55" t="s">
        <v>7</v>
      </c>
    </row>
    <row r="624" spans="1:18" ht="15.75" customHeight="1" x14ac:dyDescent="0.3">
      <c r="A624" s="71" t="s">
        <v>357</v>
      </c>
      <c r="B624" s="1">
        <v>0</v>
      </c>
      <c r="C624" s="1">
        <v>0</v>
      </c>
      <c r="D624" s="1">
        <v>0</v>
      </c>
      <c r="E624" s="55">
        <f>SUM(B624:D624)</f>
        <v>0</v>
      </c>
      <c r="F624" s="1">
        <v>36</v>
      </c>
      <c r="G624" s="1">
        <v>27</v>
      </c>
      <c r="H624" s="1">
        <v>22</v>
      </c>
      <c r="I624" s="55">
        <f>SUM(F624:H624)</f>
        <v>85</v>
      </c>
      <c r="J624" s="1">
        <v>70</v>
      </c>
      <c r="K624" s="1">
        <v>0</v>
      </c>
      <c r="L624" s="1">
        <v>23</v>
      </c>
      <c r="M624" s="55">
        <f>SUM(J624:L624)</f>
        <v>93</v>
      </c>
      <c r="N624" s="1">
        <v>18</v>
      </c>
      <c r="O624" s="1">
        <v>13</v>
      </c>
      <c r="P624" s="1">
        <v>40</v>
      </c>
      <c r="Q624" s="55">
        <f>SUM(N624:P624)</f>
        <v>71</v>
      </c>
      <c r="R624" s="55">
        <f>+E624+I624+M624+Q624</f>
        <v>249</v>
      </c>
    </row>
    <row r="625" spans="1:18" ht="15.75" customHeight="1" x14ac:dyDescent="0.3">
      <c r="A625" s="15" t="s">
        <v>50</v>
      </c>
      <c r="B625" s="1"/>
      <c r="C625" s="1"/>
      <c r="D625" s="1"/>
      <c r="E625" s="55" t="s">
        <v>7</v>
      </c>
      <c r="F625" s="1"/>
      <c r="G625" s="1"/>
      <c r="H625" s="1"/>
      <c r="I625" s="55" t="s">
        <v>7</v>
      </c>
      <c r="J625" s="1"/>
      <c r="K625" s="1"/>
      <c r="L625" s="1"/>
      <c r="M625" s="55" t="s">
        <v>7</v>
      </c>
      <c r="N625" s="1"/>
      <c r="O625" s="1"/>
      <c r="P625" s="1"/>
      <c r="Q625" s="55" t="s">
        <v>7</v>
      </c>
      <c r="R625" s="55" t="s">
        <v>7</v>
      </c>
    </row>
    <row r="626" spans="1:18" ht="15.75" customHeight="1" x14ac:dyDescent="0.3">
      <c r="A626" s="15" t="s">
        <v>51</v>
      </c>
      <c r="B626" s="1"/>
      <c r="C626" s="1"/>
      <c r="D626" s="1"/>
      <c r="E626" s="55" t="s">
        <v>7</v>
      </c>
      <c r="F626" s="1"/>
      <c r="G626" s="1"/>
      <c r="H626" s="1"/>
      <c r="I626" s="55" t="s">
        <v>7</v>
      </c>
      <c r="J626" s="1"/>
      <c r="K626" s="1"/>
      <c r="L626" s="1"/>
      <c r="M626" s="55" t="s">
        <v>7</v>
      </c>
      <c r="N626" s="1"/>
      <c r="O626" s="1"/>
      <c r="P626" s="1"/>
      <c r="Q626" s="55" t="s">
        <v>7</v>
      </c>
      <c r="R626" s="55" t="s">
        <v>7</v>
      </c>
    </row>
    <row r="627" spans="1:18" ht="15.75" customHeight="1" thickBot="1" x14ac:dyDescent="0.35">
      <c r="A627" s="15" t="s">
        <v>53</v>
      </c>
      <c r="B627" s="1"/>
      <c r="C627" s="1"/>
      <c r="D627" s="1"/>
      <c r="E627" s="55" t="s">
        <v>7</v>
      </c>
      <c r="F627" s="1"/>
      <c r="G627" s="1"/>
      <c r="H627" s="1"/>
      <c r="I627" s="55" t="s">
        <v>7</v>
      </c>
      <c r="J627" s="1"/>
      <c r="K627" s="1"/>
      <c r="L627" s="1"/>
      <c r="M627" s="55" t="s">
        <v>7</v>
      </c>
      <c r="N627" s="1"/>
      <c r="O627" s="1"/>
      <c r="P627" s="1"/>
      <c r="Q627" s="55" t="s">
        <v>7</v>
      </c>
      <c r="R627" s="55" t="s">
        <v>7</v>
      </c>
    </row>
    <row r="628" spans="1:18" ht="16.5" customHeight="1" thickBot="1" x14ac:dyDescent="0.35">
      <c r="A628" s="57" t="s">
        <v>54</v>
      </c>
      <c r="B628" s="86">
        <f>SUM(B622:B627)</f>
        <v>0</v>
      </c>
      <c r="C628" s="87">
        <f>SUM(C622:C627)</f>
        <v>0</v>
      </c>
      <c r="D628" s="87">
        <f>SUM(D622:D627)</f>
        <v>0</v>
      </c>
      <c r="E628" s="59">
        <f>SUM(B628:D628)</f>
        <v>0</v>
      </c>
      <c r="F628" s="87">
        <f>SUM(F622:F627)</f>
        <v>36</v>
      </c>
      <c r="G628" s="87">
        <f>SUM(G622:G627)</f>
        <v>27</v>
      </c>
      <c r="H628" s="87">
        <f>SUM(H622:H627)</f>
        <v>22</v>
      </c>
      <c r="I628" s="59">
        <f>SUM(F628:H628)</f>
        <v>85</v>
      </c>
      <c r="J628" s="87">
        <f>SUM(J622:J627)</f>
        <v>70</v>
      </c>
      <c r="K628" s="87">
        <f>SUM(K622:K627)</f>
        <v>0</v>
      </c>
      <c r="L628" s="87">
        <f>SUM(L622:L627)</f>
        <v>23</v>
      </c>
      <c r="M628" s="59">
        <f>SUM(J628:L628)</f>
        <v>93</v>
      </c>
      <c r="N628" s="87">
        <f>SUM(N622:N627)</f>
        <v>18</v>
      </c>
      <c r="O628" s="87">
        <f>SUM(O622:O627)</f>
        <v>13</v>
      </c>
      <c r="P628" s="87">
        <f>SUM(P622:P627)</f>
        <v>40</v>
      </c>
      <c r="Q628" s="59">
        <f>SUM(N628:P628)</f>
        <v>71</v>
      </c>
      <c r="R628" s="59">
        <f>+E628+I628+M628+Q628</f>
        <v>249</v>
      </c>
    </row>
    <row r="629" spans="1:18" ht="15.75" customHeight="1" x14ac:dyDescent="0.3">
      <c r="A629" s="15" t="s">
        <v>55</v>
      </c>
      <c r="B629" s="1"/>
      <c r="C629" s="1"/>
      <c r="D629" s="1"/>
      <c r="E629" s="55" t="s">
        <v>7</v>
      </c>
      <c r="F629" s="1"/>
      <c r="G629" s="1"/>
      <c r="H629" s="1"/>
      <c r="I629" s="55" t="s">
        <v>7</v>
      </c>
      <c r="J629" s="1"/>
      <c r="K629" s="1"/>
      <c r="L629" s="1"/>
      <c r="M629" s="55" t="s">
        <v>7</v>
      </c>
      <c r="N629" s="1"/>
      <c r="O629" s="1"/>
      <c r="P629" s="1"/>
      <c r="Q629" s="55" t="s">
        <v>7</v>
      </c>
      <c r="R629" s="55" t="s">
        <v>7</v>
      </c>
    </row>
    <row r="630" spans="1:18" ht="15.75" customHeight="1" x14ac:dyDescent="0.3">
      <c r="A630" s="15" t="s">
        <v>57</v>
      </c>
      <c r="B630" s="1"/>
      <c r="C630" s="1"/>
      <c r="D630" s="1"/>
      <c r="E630" s="55" t="s">
        <v>7</v>
      </c>
      <c r="F630" s="1"/>
      <c r="G630" s="1"/>
      <c r="H630" s="1"/>
      <c r="I630" s="55" t="s">
        <v>7</v>
      </c>
      <c r="J630" s="1"/>
      <c r="K630" s="1"/>
      <c r="L630" s="1"/>
      <c r="M630" s="55" t="s">
        <v>7</v>
      </c>
      <c r="N630" s="1"/>
      <c r="O630" s="1"/>
      <c r="P630" s="1"/>
      <c r="Q630" s="55" t="s">
        <v>7</v>
      </c>
      <c r="R630" s="55" t="s">
        <v>7</v>
      </c>
    </row>
    <row r="631" spans="1:18" ht="15.75" customHeight="1" thickBot="1" x14ac:dyDescent="0.35">
      <c r="A631" s="15" t="s">
        <v>58</v>
      </c>
      <c r="B631" s="1"/>
      <c r="C631" s="1"/>
      <c r="D631" s="1"/>
      <c r="E631" s="55" t="s">
        <v>7</v>
      </c>
      <c r="F631" s="1"/>
      <c r="G631" s="1"/>
      <c r="H631" s="1"/>
      <c r="I631" s="55" t="s">
        <v>7</v>
      </c>
      <c r="J631" s="1"/>
      <c r="K631" s="1"/>
      <c r="L631" s="1"/>
      <c r="M631" s="55" t="s">
        <v>7</v>
      </c>
      <c r="N631" s="1"/>
      <c r="O631" s="1"/>
      <c r="P631" s="1"/>
      <c r="Q631" s="55" t="s">
        <v>7</v>
      </c>
      <c r="R631" s="55" t="s">
        <v>7</v>
      </c>
    </row>
    <row r="632" spans="1:18" ht="16.5" customHeight="1" thickBot="1" x14ac:dyDescent="0.35">
      <c r="A632" s="57" t="s">
        <v>59</v>
      </c>
      <c r="B632" s="86">
        <f>SUM(B629:B631)</f>
        <v>0</v>
      </c>
      <c r="C632" s="87">
        <f>SUM(C629:C631)</f>
        <v>0</v>
      </c>
      <c r="D632" s="87">
        <f>SUM(D629:D631)</f>
        <v>0</v>
      </c>
      <c r="E632" s="59">
        <f>SUM(B632:D632)</f>
        <v>0</v>
      </c>
      <c r="F632" s="87">
        <f>SUM(F629:F631)</f>
        <v>0</v>
      </c>
      <c r="G632" s="87">
        <f>SUM(G629:G631)</f>
        <v>0</v>
      </c>
      <c r="H632" s="87">
        <f>SUM(H629:H631)</f>
        <v>0</v>
      </c>
      <c r="I632" s="59">
        <f>SUM(F632:H632)</f>
        <v>0</v>
      </c>
      <c r="J632" s="87">
        <f>SUM(J629:J631)</f>
        <v>0</v>
      </c>
      <c r="K632" s="87">
        <f>SUM(K629:K631)</f>
        <v>0</v>
      </c>
      <c r="L632" s="87">
        <f>SUM(L629:L631)</f>
        <v>0</v>
      </c>
      <c r="M632" s="59">
        <f>SUM(J632:L632)</f>
        <v>0</v>
      </c>
      <c r="N632" s="87">
        <f>SUM(N629:N631)</f>
        <v>0</v>
      </c>
      <c r="O632" s="87">
        <f>SUM(O629:O631)</f>
        <v>0</v>
      </c>
      <c r="P632" s="87">
        <f>SUM(P629:P631)</f>
        <v>0</v>
      </c>
      <c r="Q632" s="59">
        <f>SUM(N632:P632)</f>
        <v>0</v>
      </c>
      <c r="R632" s="59">
        <f>+E632+I632+M632+Q632</f>
        <v>0</v>
      </c>
    </row>
    <row r="633" spans="1:18" ht="15.75" customHeight="1" x14ac:dyDescent="0.3">
      <c r="A633" s="15" t="s">
        <v>60</v>
      </c>
      <c r="B633" s="1"/>
      <c r="C633" s="1"/>
      <c r="D633" s="1"/>
      <c r="E633" s="55" t="s">
        <v>7</v>
      </c>
      <c r="F633" s="1"/>
      <c r="G633" s="1"/>
      <c r="H633" s="1"/>
      <c r="I633" s="55" t="s">
        <v>7</v>
      </c>
      <c r="J633" s="1"/>
      <c r="K633" s="1"/>
      <c r="L633" s="1"/>
      <c r="M633" s="55" t="s">
        <v>7</v>
      </c>
      <c r="N633" s="1"/>
      <c r="O633" s="1"/>
      <c r="P633" s="1"/>
      <c r="Q633" s="55" t="s">
        <v>7</v>
      </c>
      <c r="R633" s="55" t="s">
        <v>7</v>
      </c>
    </row>
    <row r="634" spans="1:18" ht="15.75" customHeight="1" x14ac:dyDescent="0.3">
      <c r="A634" s="15" t="s">
        <v>61</v>
      </c>
      <c r="B634" s="1"/>
      <c r="C634" s="1"/>
      <c r="D634" s="1"/>
      <c r="E634" s="55" t="s">
        <v>7</v>
      </c>
      <c r="F634" s="1"/>
      <c r="G634" s="1"/>
      <c r="H634" s="1"/>
      <c r="I634" s="55" t="s">
        <v>7</v>
      </c>
      <c r="J634" s="1"/>
      <c r="K634" s="1"/>
      <c r="L634" s="1"/>
      <c r="M634" s="55" t="s">
        <v>7</v>
      </c>
      <c r="N634" s="1"/>
      <c r="O634" s="1"/>
      <c r="P634" s="1"/>
      <c r="Q634" s="55" t="s">
        <v>7</v>
      </c>
      <c r="R634" s="55" t="s">
        <v>7</v>
      </c>
    </row>
    <row r="635" spans="1:18" ht="15.75" customHeight="1" thickBot="1" x14ac:dyDescent="0.35">
      <c r="A635" s="15" t="s">
        <v>62</v>
      </c>
      <c r="B635" s="1"/>
      <c r="C635" s="1"/>
      <c r="D635" s="1"/>
      <c r="E635" s="55" t="s">
        <v>7</v>
      </c>
      <c r="F635" s="1"/>
      <c r="G635" s="1"/>
      <c r="H635" s="1"/>
      <c r="I635" s="55" t="s">
        <v>7</v>
      </c>
      <c r="J635" s="1"/>
      <c r="K635" s="1"/>
      <c r="L635" s="1"/>
      <c r="M635" s="55" t="s">
        <v>7</v>
      </c>
      <c r="N635" s="1"/>
      <c r="O635" s="1"/>
      <c r="P635" s="1"/>
      <c r="Q635" s="55" t="s">
        <v>7</v>
      </c>
      <c r="R635" s="55" t="s">
        <v>7</v>
      </c>
    </row>
    <row r="636" spans="1:18" ht="16.5" customHeight="1" thickBot="1" x14ac:dyDescent="0.35">
      <c r="A636" s="57" t="s">
        <v>63</v>
      </c>
      <c r="B636" s="86">
        <f>SUM(B633:B635)</f>
        <v>0</v>
      </c>
      <c r="C636" s="87">
        <f>SUM(C633:C635)</f>
        <v>0</v>
      </c>
      <c r="D636" s="87">
        <f>SUM(D633:D635)</f>
        <v>0</v>
      </c>
      <c r="E636" s="59">
        <f>SUM(B636:D636)</f>
        <v>0</v>
      </c>
      <c r="F636" s="87">
        <f>SUM(F633:F635)</f>
        <v>0</v>
      </c>
      <c r="G636" s="87">
        <f>SUM(G633:G635)</f>
        <v>0</v>
      </c>
      <c r="H636" s="87">
        <f>SUM(H633:H635)</f>
        <v>0</v>
      </c>
      <c r="I636" s="59">
        <f>SUM(F636:H636)</f>
        <v>0</v>
      </c>
      <c r="J636" s="87">
        <f>SUM(J633:J635)</f>
        <v>0</v>
      </c>
      <c r="K636" s="87">
        <f>SUM(K633:K635)</f>
        <v>0</v>
      </c>
      <c r="L636" s="87">
        <f>SUM(L633:L635)</f>
        <v>0</v>
      </c>
      <c r="M636" s="59">
        <f>SUM(J636:L636)</f>
        <v>0</v>
      </c>
      <c r="N636" s="87">
        <f>SUM(N633:N635)</f>
        <v>0</v>
      </c>
      <c r="O636" s="87">
        <f>SUM(O633:O635)</f>
        <v>0</v>
      </c>
      <c r="P636" s="87">
        <f>SUM(P633:P635)</f>
        <v>0</v>
      </c>
      <c r="Q636" s="59">
        <f>SUM(N636:P636)</f>
        <v>0</v>
      </c>
      <c r="R636" s="59">
        <f>+E636+I636+M636+Q636</f>
        <v>0</v>
      </c>
    </row>
    <row r="637" spans="1:18" ht="15.75" customHeight="1" x14ac:dyDescent="0.3">
      <c r="A637" s="15" t="s">
        <v>64</v>
      </c>
      <c r="B637" s="1"/>
      <c r="C637" s="1"/>
      <c r="D637" s="1"/>
      <c r="E637" s="55" t="s">
        <v>7</v>
      </c>
      <c r="F637" s="1"/>
      <c r="G637" s="1"/>
      <c r="H637" s="1"/>
      <c r="I637" s="55" t="s">
        <v>7</v>
      </c>
      <c r="J637" s="1"/>
      <c r="K637" s="1"/>
      <c r="L637" s="1"/>
      <c r="M637" s="55" t="s">
        <v>7</v>
      </c>
      <c r="N637" s="1"/>
      <c r="O637" s="1"/>
      <c r="P637" s="1"/>
      <c r="Q637" s="55" t="s">
        <v>7</v>
      </c>
      <c r="R637" s="55" t="s">
        <v>7</v>
      </c>
    </row>
    <row r="638" spans="1:18" ht="15.75" customHeight="1" x14ac:dyDescent="0.3">
      <c r="A638" s="15" t="s">
        <v>594</v>
      </c>
      <c r="B638" s="1"/>
      <c r="C638" s="1"/>
      <c r="D638" s="1"/>
      <c r="E638" s="55" t="s">
        <v>7</v>
      </c>
      <c r="F638" s="1"/>
      <c r="G638" s="1"/>
      <c r="H638" s="1"/>
      <c r="I638" s="55" t="s">
        <v>7</v>
      </c>
      <c r="J638" s="1"/>
      <c r="K638" s="1"/>
      <c r="L638" s="1"/>
      <c r="M638" s="55" t="s">
        <v>7</v>
      </c>
      <c r="N638" s="1"/>
      <c r="O638" s="1"/>
      <c r="P638" s="1"/>
      <c r="Q638" s="55" t="s">
        <v>7</v>
      </c>
      <c r="R638" s="55" t="s">
        <v>7</v>
      </c>
    </row>
    <row r="639" spans="1:18" ht="15.75" customHeight="1" x14ac:dyDescent="0.3">
      <c r="A639" s="15" t="s">
        <v>67</v>
      </c>
      <c r="B639" s="1"/>
      <c r="C639" s="1"/>
      <c r="D639" s="1"/>
      <c r="E639" s="55" t="s">
        <v>7</v>
      </c>
      <c r="F639" s="1"/>
      <c r="G639" s="1"/>
      <c r="H639" s="1"/>
      <c r="I639" s="55" t="s">
        <v>7</v>
      </c>
      <c r="J639" s="1"/>
      <c r="K639" s="1"/>
      <c r="L639" s="1"/>
      <c r="M639" s="55" t="s">
        <v>7</v>
      </c>
      <c r="N639" s="1"/>
      <c r="O639" s="1"/>
      <c r="P639" s="1"/>
      <c r="Q639" s="55" t="s">
        <v>7</v>
      </c>
      <c r="R639" s="55" t="s">
        <v>7</v>
      </c>
    </row>
    <row r="640" spans="1:18" ht="15.75" customHeight="1" x14ac:dyDescent="0.3">
      <c r="A640" s="15" t="s">
        <v>600</v>
      </c>
      <c r="B640" s="1"/>
      <c r="C640" s="1"/>
      <c r="D640" s="1"/>
      <c r="E640" s="55" t="s">
        <v>7</v>
      </c>
      <c r="F640" s="1"/>
      <c r="G640" s="1"/>
      <c r="H640" s="1"/>
      <c r="I640" s="55" t="s">
        <v>7</v>
      </c>
      <c r="J640" s="1"/>
      <c r="K640" s="1"/>
      <c r="L640" s="1"/>
      <c r="M640" s="55" t="s">
        <v>7</v>
      </c>
      <c r="N640" s="1"/>
      <c r="O640" s="1"/>
      <c r="P640" s="1"/>
      <c r="Q640" s="55" t="s">
        <v>7</v>
      </c>
      <c r="R640" s="55" t="s">
        <v>7</v>
      </c>
    </row>
    <row r="641" spans="1:18" ht="15.75" customHeight="1" thickBot="1" x14ac:dyDescent="0.35">
      <c r="A641" s="15" t="s">
        <v>70</v>
      </c>
      <c r="B641" s="1"/>
      <c r="C641" s="1"/>
      <c r="D641" s="1"/>
      <c r="E641" s="55" t="s">
        <v>7</v>
      </c>
      <c r="F641" s="1"/>
      <c r="G641" s="1"/>
      <c r="H641" s="1"/>
      <c r="I641" s="55" t="s">
        <v>7</v>
      </c>
      <c r="J641" s="1"/>
      <c r="K641" s="1"/>
      <c r="L641" s="1"/>
      <c r="M641" s="55" t="s">
        <v>7</v>
      </c>
      <c r="N641" s="1"/>
      <c r="O641" s="1"/>
      <c r="P641" s="1"/>
      <c r="Q641" s="55" t="s">
        <v>7</v>
      </c>
      <c r="R641" s="55" t="s">
        <v>7</v>
      </c>
    </row>
    <row r="642" spans="1:18" ht="16.5" customHeight="1" thickBot="1" x14ac:dyDescent="0.35">
      <c r="A642" s="57" t="s">
        <v>71</v>
      </c>
      <c r="B642" s="58">
        <f>SUM(B641:B641)</f>
        <v>0</v>
      </c>
      <c r="C642" s="58">
        <f>SUM(C641:C641)</f>
        <v>0</v>
      </c>
      <c r="D642" s="58">
        <f>SUM(D641:D641)</f>
        <v>0</v>
      </c>
      <c r="E642" s="60">
        <f>SUM(B642:D642)</f>
        <v>0</v>
      </c>
      <c r="F642" s="58">
        <f>SUM(F641:F641)</f>
        <v>0</v>
      </c>
      <c r="G642" s="58">
        <f>SUM(G641:G641)</f>
        <v>0</v>
      </c>
      <c r="H642" s="58">
        <f>SUM(H641:H641)</f>
        <v>0</v>
      </c>
      <c r="I642" s="60">
        <f>SUM(F642:H642)</f>
        <v>0</v>
      </c>
      <c r="J642" s="58">
        <f>SUM(J641:J641)</f>
        <v>0</v>
      </c>
      <c r="K642" s="58">
        <f>SUM(K641:K641)</f>
        <v>0</v>
      </c>
      <c r="L642" s="58">
        <f>SUM(L641:L641)</f>
        <v>0</v>
      </c>
      <c r="M642" s="60">
        <f>SUM(J642:L642)</f>
        <v>0</v>
      </c>
      <c r="N642" s="58">
        <f>SUM(N641:N641)</f>
        <v>0</v>
      </c>
      <c r="O642" s="58">
        <f>SUM(O641:O641)</f>
        <v>0</v>
      </c>
      <c r="P642" s="58">
        <f>SUM(P641:P641)</f>
        <v>0</v>
      </c>
      <c r="Q642" s="60">
        <f>SUM(N642:P642)</f>
        <v>0</v>
      </c>
      <c r="R642" s="59">
        <f>+E642+I642+M642+Q642</f>
        <v>0</v>
      </c>
    </row>
    <row r="643" spans="1:18" ht="16.5" customHeight="1" thickBot="1" x14ac:dyDescent="0.35">
      <c r="A643" s="57" t="s">
        <v>72</v>
      </c>
      <c r="B643" s="86">
        <f>SUM(B637:B641)</f>
        <v>0</v>
      </c>
      <c r="C643" s="87">
        <f>SUM(C637:C641)</f>
        <v>0</v>
      </c>
      <c r="D643" s="118">
        <f>SUM(D637:D641)</f>
        <v>0</v>
      </c>
      <c r="E643" s="60">
        <f>SUM(B643:D643)</f>
        <v>0</v>
      </c>
      <c r="F643" s="87">
        <f>SUM(F637:F641)</f>
        <v>0</v>
      </c>
      <c r="G643" s="87">
        <f>SUM(G637:G641)</f>
        <v>0</v>
      </c>
      <c r="H643" s="87">
        <f>SUM(H637:H641)</f>
        <v>0</v>
      </c>
      <c r="I643" s="60">
        <f>SUM(F643:H643)</f>
        <v>0</v>
      </c>
      <c r="J643" s="87">
        <f>SUM(J637:J641)</f>
        <v>0</v>
      </c>
      <c r="K643" s="87">
        <f>SUM(K637:K641)</f>
        <v>0</v>
      </c>
      <c r="L643" s="87">
        <f>SUM(L637:L641)</f>
        <v>0</v>
      </c>
      <c r="M643" s="60">
        <f>SUM(J643:L643)</f>
        <v>0</v>
      </c>
      <c r="N643" s="87">
        <f>SUM(N637:N641)</f>
        <v>0</v>
      </c>
      <c r="O643" s="87">
        <f>SUM(O637:O641)</f>
        <v>0</v>
      </c>
      <c r="P643" s="87">
        <f>SUM(P637:P641)</f>
        <v>0</v>
      </c>
      <c r="Q643" s="60">
        <f>SUM(N643:P643)</f>
        <v>0</v>
      </c>
      <c r="R643" s="59">
        <f>+E643+I643+M643+Q643</f>
        <v>0</v>
      </c>
    </row>
    <row r="644" spans="1:18" ht="16.5" customHeight="1" thickBot="1" x14ac:dyDescent="0.35">
      <c r="A644" s="57" t="s">
        <v>73</v>
      </c>
      <c r="B644" s="90">
        <f>+B628+B632+B636+B643</f>
        <v>0</v>
      </c>
      <c r="C644" s="58">
        <f>+C628+C632+C636+C643</f>
        <v>0</v>
      </c>
      <c r="D644" s="58">
        <f>+D628+D632+D636+D643</f>
        <v>0</v>
      </c>
      <c r="E644" s="59">
        <f>SUM(B644:D644)</f>
        <v>0</v>
      </c>
      <c r="F644" s="58">
        <f>+F628+F632+F636+F643</f>
        <v>36</v>
      </c>
      <c r="G644" s="58">
        <f>+G628+G632+G636+G643</f>
        <v>27</v>
      </c>
      <c r="H644" s="58">
        <f>+H628+H632+H636+H643</f>
        <v>22</v>
      </c>
      <c r="I644" s="59">
        <f>SUM(F644:H644)</f>
        <v>85</v>
      </c>
      <c r="J644" s="58">
        <f>+J628+J632+J636+J643</f>
        <v>70</v>
      </c>
      <c r="K644" s="58">
        <f>+K628+K632+K636+K643</f>
        <v>0</v>
      </c>
      <c r="L644" s="58">
        <f>+L628+L632+L636+L643</f>
        <v>23</v>
      </c>
      <c r="M644" s="59">
        <f>SUM(J644:L644)</f>
        <v>93</v>
      </c>
      <c r="N644" s="58">
        <f>+N628+N632+N636+N643</f>
        <v>18</v>
      </c>
      <c r="O644" s="58">
        <f>+O628+O632+O636+O643</f>
        <v>13</v>
      </c>
      <c r="P644" s="58">
        <f>+P628+P632+P636+P643</f>
        <v>40</v>
      </c>
      <c r="Q644" s="59">
        <f>SUM(N644:P644)</f>
        <v>71</v>
      </c>
      <c r="R644" s="81">
        <f>+E644+I644+M644+Q644</f>
        <v>249</v>
      </c>
    </row>
    <row r="645" spans="1:18" ht="15.75" customHeight="1" x14ac:dyDescent="0.3">
      <c r="A645" s="71" t="s">
        <v>358</v>
      </c>
      <c r="B645" s="1">
        <v>5175</v>
      </c>
      <c r="C645" s="1">
        <v>5419</v>
      </c>
      <c r="D645" s="1">
        <v>5780</v>
      </c>
      <c r="E645" s="55">
        <f>SUM(B645:D645)</f>
        <v>16374</v>
      </c>
      <c r="F645" s="1">
        <v>6045</v>
      </c>
      <c r="G645" s="1">
        <v>6546</v>
      </c>
      <c r="H645" s="1">
        <v>6292</v>
      </c>
      <c r="I645" s="55">
        <f>SUM(F645:H645)</f>
        <v>18883</v>
      </c>
      <c r="J645" s="1">
        <v>6365</v>
      </c>
      <c r="K645" s="1">
        <v>2363</v>
      </c>
      <c r="L645" s="1">
        <v>4519</v>
      </c>
      <c r="M645" s="55">
        <f>SUM(J645:L645)</f>
        <v>13247</v>
      </c>
      <c r="N645" s="1">
        <v>5799</v>
      </c>
      <c r="O645" s="1">
        <v>5436</v>
      </c>
      <c r="P645" s="1">
        <v>5565</v>
      </c>
      <c r="Q645" s="55">
        <f>SUM(N645:P645)</f>
        <v>16800</v>
      </c>
      <c r="R645" s="55">
        <f>+E645+I645+M645+Q645</f>
        <v>65304</v>
      </c>
    </row>
    <row r="646" spans="1:18" ht="15.75" customHeight="1" thickBot="1" x14ac:dyDescent="0.35">
      <c r="A646" s="71" t="s">
        <v>40</v>
      </c>
      <c r="B646" s="1">
        <v>0</v>
      </c>
      <c r="C646" s="1">
        <v>0</v>
      </c>
      <c r="D646" s="1">
        <v>0</v>
      </c>
      <c r="E646" s="55">
        <f>SUM(B646:D646)</f>
        <v>0</v>
      </c>
      <c r="F646" s="1">
        <v>0</v>
      </c>
      <c r="G646" s="1">
        <v>0</v>
      </c>
      <c r="H646" s="1">
        <v>0</v>
      </c>
      <c r="I646" s="55">
        <f>SUM(F646:H646)</f>
        <v>0</v>
      </c>
      <c r="J646" s="1">
        <v>0</v>
      </c>
      <c r="K646" s="1">
        <v>0</v>
      </c>
      <c r="L646" s="1">
        <v>0</v>
      </c>
      <c r="M646" s="55">
        <f>SUM(J646:L646)</f>
        <v>0</v>
      </c>
      <c r="N646" s="1">
        <v>0</v>
      </c>
      <c r="O646" s="1">
        <v>0</v>
      </c>
      <c r="P646" s="1">
        <v>0</v>
      </c>
      <c r="Q646" s="55">
        <f>SUM(N646:P646)</f>
        <v>0</v>
      </c>
      <c r="R646" s="55">
        <f>+E646+I646+M646+Q646</f>
        <v>0</v>
      </c>
    </row>
    <row r="647" spans="1:18" ht="16.5" customHeight="1" thickBot="1" x14ac:dyDescent="0.35">
      <c r="A647" s="130"/>
      <c r="B647" s="51"/>
      <c r="C647" s="51"/>
      <c r="D647" s="51"/>
      <c r="E647" s="59" t="s">
        <v>7</v>
      </c>
      <c r="F647" s="51"/>
      <c r="G647" s="51"/>
      <c r="H647" s="51"/>
      <c r="I647" s="59" t="s">
        <v>7</v>
      </c>
      <c r="J647" s="51"/>
      <c r="K647" s="51"/>
      <c r="L647" s="51"/>
      <c r="M647" s="59" t="s">
        <v>7</v>
      </c>
      <c r="N647" s="51"/>
      <c r="O647" s="51"/>
      <c r="P647" s="51"/>
      <c r="Q647" s="59"/>
      <c r="R647" s="59"/>
    </row>
    <row r="648" spans="1:18" ht="15.75" customHeight="1" x14ac:dyDescent="0.3">
      <c r="A648" s="15" t="s">
        <v>41</v>
      </c>
      <c r="B648" s="1">
        <f>SUM(B644:B646)</f>
        <v>5175</v>
      </c>
      <c r="C648" s="1">
        <f>SUM(C644:C646)</f>
        <v>5419</v>
      </c>
      <c r="D648" s="1">
        <f>SUM(D644:D646)</f>
        <v>5780</v>
      </c>
      <c r="E648" s="60">
        <f>SUM(B648:D648)</f>
        <v>16374</v>
      </c>
      <c r="F648" s="1">
        <f>SUM(F644:F646)</f>
        <v>6081</v>
      </c>
      <c r="G648" s="1">
        <f>SUM(G644:G646)</f>
        <v>6573</v>
      </c>
      <c r="H648" s="1">
        <f>SUM(H644:H646)</f>
        <v>6314</v>
      </c>
      <c r="I648" s="60">
        <f>SUM(F648:H648)</f>
        <v>18968</v>
      </c>
      <c r="J648" s="1">
        <f>SUM(J644:J646)</f>
        <v>6435</v>
      </c>
      <c r="K648" s="1">
        <f>SUM(K644:K646)</f>
        <v>2363</v>
      </c>
      <c r="L648" s="1">
        <f>SUM(L644:L646)</f>
        <v>4542</v>
      </c>
      <c r="M648" s="60">
        <f>SUM(J648:L648)</f>
        <v>13340</v>
      </c>
      <c r="N648" s="1">
        <f>SUM(N644:N646)</f>
        <v>5817</v>
      </c>
      <c r="O648" s="1">
        <f>SUM(O644:O646)</f>
        <v>5449</v>
      </c>
      <c r="P648" s="1">
        <f>SUM(P644:P646)</f>
        <v>5605</v>
      </c>
      <c r="Q648" s="60">
        <f>SUM(N648:P648)</f>
        <v>16871</v>
      </c>
      <c r="R648" s="60">
        <f>+E648+I648+M648+Q648</f>
        <v>65553</v>
      </c>
    </row>
    <row r="649" spans="1:18" ht="15.75" customHeight="1" x14ac:dyDescent="0.3">
      <c r="A649" s="15" t="s">
        <v>42</v>
      </c>
      <c r="B649" s="1">
        <f>(B648/31)/1.983</f>
        <v>84.183299985359426</v>
      </c>
      <c r="C649" s="1">
        <f>(C648/28)/1.983</f>
        <v>97.597435343274967</v>
      </c>
      <c r="D649" s="1">
        <f>(D648/31)/1.983</f>
        <v>94.025019114082596</v>
      </c>
      <c r="E649" s="55" t="s">
        <v>7</v>
      </c>
      <c r="F649" s="1">
        <f>(F648/30)/1.983</f>
        <v>102.21886031265758</v>
      </c>
      <c r="G649" s="1">
        <f>(G648/31)/1.983</f>
        <v>106.92499145966521</v>
      </c>
      <c r="H649" s="1">
        <f>(H648/30)/1.983</f>
        <v>106.1354849554547</v>
      </c>
      <c r="I649" s="55" t="s">
        <v>7</v>
      </c>
      <c r="J649" s="1">
        <f>(J648/31)/1.983</f>
        <v>104.68010346005563</v>
      </c>
      <c r="K649" s="1">
        <f>(K648/31)/1.983</f>
        <v>38.439640167227886</v>
      </c>
      <c r="L649" s="1">
        <f>(L648/30)/1.983</f>
        <v>76.348966212808875</v>
      </c>
      <c r="M649" s="55" t="s">
        <v>7</v>
      </c>
      <c r="N649" s="1">
        <f>(N648/31)/1.983</f>
        <v>94.6269093748475</v>
      </c>
      <c r="O649" s="1">
        <f>(O648/30)/1.983</f>
        <v>91.595226088418215</v>
      </c>
      <c r="P649" s="1">
        <f>(P648/31)/1.983</f>
        <v>91.178240853708132</v>
      </c>
      <c r="Q649" s="55" t="s">
        <v>7</v>
      </c>
      <c r="R649" s="55" t="s">
        <v>7</v>
      </c>
    </row>
    <row r="650" spans="1:18" ht="15.75" customHeight="1" x14ac:dyDescent="0.3">
      <c r="A650" s="15" t="s">
        <v>359</v>
      </c>
      <c r="B650" s="1">
        <f>B648</f>
        <v>5175</v>
      </c>
      <c r="C650" s="1">
        <f>C648</f>
        <v>5419</v>
      </c>
      <c r="D650" s="1">
        <f>D648</f>
        <v>5780</v>
      </c>
      <c r="E650" s="55">
        <f>SUM(B650:D650)</f>
        <v>16374</v>
      </c>
      <c r="F650" s="1">
        <f>F648</f>
        <v>6081</v>
      </c>
      <c r="G650" s="1">
        <f>G648</f>
        <v>6573</v>
      </c>
      <c r="H650" s="1">
        <f>H648</f>
        <v>6314</v>
      </c>
      <c r="I650" s="55">
        <f>SUM(F650:H650)</f>
        <v>18968</v>
      </c>
      <c r="J650" s="1">
        <f>J648</f>
        <v>6435</v>
      </c>
      <c r="K650" s="1">
        <f>K648</f>
        <v>2363</v>
      </c>
      <c r="L650" s="1">
        <f>L648</f>
        <v>4542</v>
      </c>
      <c r="M650" s="55">
        <f>SUM(J650:L650)</f>
        <v>13340</v>
      </c>
      <c r="N650" s="1">
        <f>N648</f>
        <v>5817</v>
      </c>
      <c r="O650" s="1">
        <f>O648</f>
        <v>5449</v>
      </c>
      <c r="P650" s="1">
        <f>P648</f>
        <v>5605</v>
      </c>
      <c r="Q650" s="55">
        <f>SUM(N650:P650)</f>
        <v>16871</v>
      </c>
      <c r="R650" s="55">
        <f>+E650+I650+M650+Q650</f>
        <v>65553</v>
      </c>
    </row>
    <row r="651" spans="1:18" ht="16.5" customHeight="1" thickBot="1" x14ac:dyDescent="0.35">
      <c r="A651" s="20" t="s">
        <v>360</v>
      </c>
      <c r="B651" s="21">
        <f>(B650/31)/1.983</f>
        <v>84.183299985359426</v>
      </c>
      <c r="C651" s="21">
        <f>(C650/28)/1.983</f>
        <v>97.597435343274967</v>
      </c>
      <c r="D651" s="21">
        <f>(D650/31)/1.983</f>
        <v>94.025019114082596</v>
      </c>
      <c r="E651" s="81" t="s">
        <v>7</v>
      </c>
      <c r="F651" s="21">
        <f>(F650/30)/1.983</f>
        <v>102.21886031265758</v>
      </c>
      <c r="G651" s="21">
        <f>(G650/31)/1.983</f>
        <v>106.92499145966521</v>
      </c>
      <c r="H651" s="21">
        <f>(H650/30)/1.983</f>
        <v>106.1354849554547</v>
      </c>
      <c r="I651" s="81" t="s">
        <v>7</v>
      </c>
      <c r="J651" s="21">
        <f>(J650/31)/1.983</f>
        <v>104.68010346005563</v>
      </c>
      <c r="K651" s="21">
        <f>(K650/31)/1.983</f>
        <v>38.439640167227886</v>
      </c>
      <c r="L651" s="21">
        <f>(L650/30)/1.983</f>
        <v>76.348966212808875</v>
      </c>
      <c r="M651" s="81" t="s">
        <v>7</v>
      </c>
      <c r="N651" s="21">
        <f>(N650/31)/1.983</f>
        <v>94.6269093748475</v>
      </c>
      <c r="O651" s="21">
        <f>(O650/30)/1.983</f>
        <v>91.595226088418215</v>
      </c>
      <c r="P651" s="21">
        <f>(P650/31)/1.983</f>
        <v>91.178240853708132</v>
      </c>
      <c r="Q651" s="81" t="s">
        <v>7</v>
      </c>
      <c r="R651" s="81" t="s">
        <v>7</v>
      </c>
    </row>
    <row r="652" spans="1:18" ht="15.75" customHeight="1" x14ac:dyDescent="0.3">
      <c r="A652" s="2"/>
      <c r="B652" s="1"/>
      <c r="C652" s="1"/>
      <c r="D652" s="1"/>
      <c r="E652" s="1"/>
      <c r="F652" s="1"/>
      <c r="G652" s="1"/>
      <c r="H652" s="1"/>
      <c r="I652" s="1"/>
      <c r="J652" s="1"/>
      <c r="K652" s="1"/>
      <c r="L652" s="1"/>
      <c r="M652" s="1"/>
      <c r="N652" s="1"/>
      <c r="O652" s="1"/>
      <c r="P652" s="1"/>
      <c r="Q652" s="1"/>
      <c r="R652" s="2"/>
    </row>
    <row r="653" spans="1:18" ht="15.75" customHeight="1" thickBot="1" x14ac:dyDescent="0.35">
      <c r="A653" s="2"/>
      <c r="B653" s="1"/>
      <c r="C653" s="1"/>
      <c r="D653" s="1"/>
      <c r="E653" s="1"/>
      <c r="F653" s="1"/>
      <c r="G653" s="1"/>
      <c r="H653" s="1"/>
      <c r="I653" s="1"/>
      <c r="J653" s="1"/>
      <c r="K653" s="1"/>
      <c r="L653" s="1"/>
      <c r="M653" s="1"/>
      <c r="N653" s="1"/>
      <c r="O653" s="1"/>
      <c r="P653" s="1"/>
      <c r="Q653" s="1"/>
      <c r="R653" s="2"/>
    </row>
    <row r="654" spans="1:18" ht="16.5" customHeight="1" thickBot="1" x14ac:dyDescent="0.35">
      <c r="A654" s="124" t="s">
        <v>361</v>
      </c>
      <c r="B654" s="30" t="s">
        <v>8</v>
      </c>
      <c r="C654" s="31" t="s">
        <v>9</v>
      </c>
      <c r="D654" s="31" t="s">
        <v>10</v>
      </c>
      <c r="E654" s="32" t="s">
        <v>11</v>
      </c>
      <c r="F654" s="31" t="s">
        <v>12</v>
      </c>
      <c r="G654" s="31" t="s">
        <v>13</v>
      </c>
      <c r="H654" s="31" t="s">
        <v>14</v>
      </c>
      <c r="I654" s="33" t="s">
        <v>15</v>
      </c>
      <c r="J654" s="31" t="s">
        <v>16</v>
      </c>
      <c r="K654" s="31" t="s">
        <v>17</v>
      </c>
      <c r="L654" s="31" t="s">
        <v>18</v>
      </c>
      <c r="M654" s="33" t="s">
        <v>19</v>
      </c>
      <c r="N654" s="31" t="s">
        <v>20</v>
      </c>
      <c r="O654" s="31" t="s">
        <v>21</v>
      </c>
      <c r="P654" s="31" t="s">
        <v>22</v>
      </c>
      <c r="Q654" s="33" t="s">
        <v>23</v>
      </c>
      <c r="R654" s="133" t="s">
        <v>24</v>
      </c>
    </row>
    <row r="655" spans="1:18" ht="16.5" customHeight="1" thickBot="1" x14ac:dyDescent="0.35">
      <c r="A655" s="41"/>
      <c r="B655" s="36"/>
      <c r="C655" s="36"/>
      <c r="D655" s="36"/>
      <c r="E655" s="52"/>
      <c r="F655" s="36"/>
      <c r="G655" s="36"/>
      <c r="H655" s="36"/>
      <c r="I655" s="132"/>
      <c r="J655" s="36"/>
      <c r="K655" s="36"/>
      <c r="L655" s="36"/>
      <c r="M655" s="132"/>
      <c r="N655" s="36"/>
      <c r="O655" s="36"/>
      <c r="P655" s="36"/>
      <c r="Q655" s="134"/>
      <c r="R655" s="135"/>
    </row>
    <row r="656" spans="1:18" ht="15.75" customHeight="1" x14ac:dyDescent="0.3">
      <c r="A656" s="15" t="s">
        <v>48</v>
      </c>
      <c r="B656" s="1" t="s">
        <v>7</v>
      </c>
      <c r="C656" s="1" t="s">
        <v>7</v>
      </c>
      <c r="D656" s="1" t="s">
        <v>7</v>
      </c>
      <c r="E656" s="136"/>
      <c r="F656" s="1" t="s">
        <v>7</v>
      </c>
      <c r="G656" s="1" t="s">
        <v>7</v>
      </c>
      <c r="H656" s="1" t="s">
        <v>7</v>
      </c>
      <c r="I656" s="136"/>
      <c r="J656" s="1" t="s">
        <v>7</v>
      </c>
      <c r="K656" s="1" t="s">
        <v>7</v>
      </c>
      <c r="L656" s="1" t="s">
        <v>7</v>
      </c>
      <c r="M656" s="136"/>
      <c r="N656" s="1" t="s">
        <v>7</v>
      </c>
      <c r="O656" s="1" t="s">
        <v>7</v>
      </c>
      <c r="P656" s="1" t="s">
        <v>7</v>
      </c>
      <c r="Q656" s="137"/>
      <c r="R656" s="138" t="s">
        <v>7</v>
      </c>
    </row>
    <row r="657" spans="1:18" ht="15.75" customHeight="1" x14ac:dyDescent="0.3">
      <c r="A657" s="15" t="s">
        <v>49</v>
      </c>
      <c r="B657" s="1"/>
      <c r="C657" s="1"/>
      <c r="D657" s="1"/>
      <c r="E657" s="55" t="s">
        <v>7</v>
      </c>
      <c r="F657" s="1"/>
      <c r="G657" s="1"/>
      <c r="H657" s="1"/>
      <c r="I657" s="55" t="s">
        <v>7</v>
      </c>
      <c r="J657" s="1"/>
      <c r="K657" s="1"/>
      <c r="L657" s="1"/>
      <c r="M657" s="55" t="s">
        <v>7</v>
      </c>
      <c r="N657" s="1"/>
      <c r="O657" s="1"/>
      <c r="P657" s="1"/>
      <c r="Q657" s="55" t="s">
        <v>7</v>
      </c>
      <c r="R657" s="55" t="s">
        <v>7</v>
      </c>
    </row>
    <row r="658" spans="1:18" ht="15.75" customHeight="1" x14ac:dyDescent="0.3">
      <c r="A658" s="71" t="s">
        <v>362</v>
      </c>
      <c r="B658" s="1"/>
      <c r="C658" s="1"/>
      <c r="D658" s="1"/>
      <c r="E658" s="55">
        <f>SUM(B658:D658)</f>
        <v>0</v>
      </c>
      <c r="F658" s="1"/>
      <c r="G658" s="1"/>
      <c r="H658" s="1"/>
      <c r="I658" s="55">
        <f>SUM(F658:H658)</f>
        <v>0</v>
      </c>
      <c r="J658" s="1"/>
      <c r="K658" s="1"/>
      <c r="L658" s="1"/>
      <c r="M658" s="55">
        <f>SUM(J658:L658)</f>
        <v>0</v>
      </c>
      <c r="N658" s="1">
        <v>375</v>
      </c>
      <c r="O658" s="1"/>
      <c r="P658" s="1">
        <v>0</v>
      </c>
      <c r="Q658" s="55">
        <f>SUM(N658:P658)</f>
        <v>375</v>
      </c>
      <c r="R658" s="55">
        <f>+E658+I658+M658+Q658</f>
        <v>375</v>
      </c>
    </row>
    <row r="659" spans="1:18" ht="15.75" customHeight="1" x14ac:dyDescent="0.3">
      <c r="A659" s="71" t="s">
        <v>368</v>
      </c>
      <c r="B659" s="1">
        <v>250</v>
      </c>
      <c r="C659" s="1">
        <v>250</v>
      </c>
      <c r="D659" s="1"/>
      <c r="E659" s="55">
        <f>SUM(B659:D659)</f>
        <v>500</v>
      </c>
      <c r="F659" s="1"/>
      <c r="G659" s="1"/>
      <c r="H659" s="1"/>
      <c r="I659" s="55">
        <f>SUM(F659:H659)</f>
        <v>0</v>
      </c>
      <c r="J659" s="1"/>
      <c r="K659" s="1"/>
      <c r="L659" s="1"/>
      <c r="M659" s="55">
        <f>SUM(J659:L659)</f>
        <v>0</v>
      </c>
      <c r="N659" s="1"/>
      <c r="O659" s="1"/>
      <c r="P659" s="1"/>
      <c r="Q659" s="55">
        <f>SUM(N659:P659)</f>
        <v>0</v>
      </c>
      <c r="R659" s="55">
        <f>+E659+I659+M659+Q659</f>
        <v>500</v>
      </c>
    </row>
    <row r="660" spans="1:18" ht="15.75" customHeight="1" x14ac:dyDescent="0.3">
      <c r="A660" s="71" t="s">
        <v>664</v>
      </c>
      <c r="B660" s="1">
        <v>858</v>
      </c>
      <c r="C660" s="1">
        <v>2642</v>
      </c>
      <c r="D660" s="1">
        <v>3341</v>
      </c>
      <c r="E660" s="55">
        <f>SUM(B660:D660)</f>
        <v>6841</v>
      </c>
      <c r="F660" s="1">
        <v>1835</v>
      </c>
      <c r="G660" s="1">
        <v>3517</v>
      </c>
      <c r="H660" s="1">
        <v>1306</v>
      </c>
      <c r="I660" s="55">
        <f>SUM(F660:H660)</f>
        <v>6658</v>
      </c>
      <c r="J660" s="1">
        <v>1000</v>
      </c>
      <c r="K660" s="1">
        <v>1569</v>
      </c>
      <c r="L660" s="1">
        <v>2757</v>
      </c>
      <c r="M660" s="55">
        <f>SUM(J660:L660)</f>
        <v>5326</v>
      </c>
      <c r="N660" s="1">
        <v>459</v>
      </c>
      <c r="O660" s="1">
        <v>547</v>
      </c>
      <c r="P660" s="1">
        <v>2169</v>
      </c>
      <c r="Q660" s="55">
        <f>SUM(N660:P660)</f>
        <v>3175</v>
      </c>
      <c r="R660" s="55">
        <f>+E660+I660+M660+Q660</f>
        <v>22000</v>
      </c>
    </row>
    <row r="661" spans="1:18" ht="15.75" customHeight="1" x14ac:dyDescent="0.3">
      <c r="A661" s="15" t="s">
        <v>50</v>
      </c>
      <c r="B661" s="1"/>
      <c r="C661" s="1"/>
      <c r="D661" s="1"/>
      <c r="E661" s="55" t="s">
        <v>7</v>
      </c>
      <c r="F661" s="1"/>
      <c r="G661" s="1"/>
      <c r="H661" s="1"/>
      <c r="I661" s="55" t="s">
        <v>7</v>
      </c>
      <c r="J661" s="1"/>
      <c r="K661" s="1"/>
      <c r="L661" s="1"/>
      <c r="M661" s="55" t="s">
        <v>7</v>
      </c>
      <c r="N661" s="1"/>
      <c r="O661" s="1"/>
      <c r="P661" s="1"/>
      <c r="Q661" s="55" t="s">
        <v>7</v>
      </c>
      <c r="R661" s="55" t="s">
        <v>7</v>
      </c>
    </row>
    <row r="662" spans="1:18" ht="15.75" customHeight="1" x14ac:dyDescent="0.3">
      <c r="A662" s="15" t="s">
        <v>51</v>
      </c>
      <c r="B662" s="1"/>
      <c r="C662" s="1"/>
      <c r="D662" s="1"/>
      <c r="E662" s="55" t="s">
        <v>7</v>
      </c>
      <c r="F662" s="1"/>
      <c r="G662" s="1"/>
      <c r="H662" s="1"/>
      <c r="I662" s="55" t="s">
        <v>7</v>
      </c>
      <c r="J662" s="1"/>
      <c r="K662" s="1"/>
      <c r="L662" s="1"/>
      <c r="M662" s="55" t="s">
        <v>7</v>
      </c>
      <c r="N662" s="1"/>
      <c r="O662" s="1"/>
      <c r="P662" s="1"/>
      <c r="Q662" s="55" t="s">
        <v>7</v>
      </c>
      <c r="R662" s="55" t="s">
        <v>7</v>
      </c>
    </row>
    <row r="663" spans="1:18" ht="15.75" customHeight="1" x14ac:dyDescent="0.3">
      <c r="A663" s="71" t="s">
        <v>780</v>
      </c>
      <c r="B663" s="1"/>
      <c r="C663" s="1"/>
      <c r="D663" s="1"/>
      <c r="E663" s="55">
        <f>SUM(B663:D663)</f>
        <v>0</v>
      </c>
      <c r="F663" s="1"/>
      <c r="G663" s="1"/>
      <c r="H663" s="1"/>
      <c r="I663" s="55">
        <f>SUM(F663:H663)</f>
        <v>0</v>
      </c>
      <c r="J663" s="1">
        <v>1000</v>
      </c>
      <c r="K663" s="1"/>
      <c r="L663" s="1"/>
      <c r="M663" s="55">
        <f>SUM(J663:L663)</f>
        <v>1000</v>
      </c>
      <c r="N663" s="1">
        <f>793</f>
        <v>793</v>
      </c>
      <c r="O663" s="1"/>
      <c r="P663" s="1"/>
      <c r="Q663" s="55">
        <f>SUM(N663:P663)</f>
        <v>793</v>
      </c>
      <c r="R663" s="55">
        <f>+E663+I663+M663+Q663</f>
        <v>1793</v>
      </c>
    </row>
    <row r="664" spans="1:18" ht="15.75" customHeight="1" thickBot="1" x14ac:dyDescent="0.35">
      <c r="A664" s="15" t="s">
        <v>53</v>
      </c>
      <c r="B664" s="1"/>
      <c r="C664" s="1"/>
      <c r="D664" s="1"/>
      <c r="E664" s="55" t="s">
        <v>7</v>
      </c>
      <c r="F664" s="1"/>
      <c r="G664" s="1"/>
      <c r="H664" s="1"/>
      <c r="I664" s="55" t="s">
        <v>7</v>
      </c>
      <c r="J664" s="1"/>
      <c r="K664" s="1"/>
      <c r="L664" s="1"/>
      <c r="M664" s="55" t="s">
        <v>7</v>
      </c>
      <c r="N664" s="1"/>
      <c r="O664" s="1"/>
      <c r="P664" s="1"/>
      <c r="Q664" s="55" t="s">
        <v>7</v>
      </c>
      <c r="R664" s="55" t="s">
        <v>7</v>
      </c>
    </row>
    <row r="665" spans="1:18" ht="16.5" customHeight="1" thickBot="1" x14ac:dyDescent="0.35">
      <c r="A665" s="57" t="s">
        <v>54</v>
      </c>
      <c r="B665" s="86">
        <f>SUM(B656:B664)</f>
        <v>1108</v>
      </c>
      <c r="C665" s="87">
        <f>SUM(C656:C664)</f>
        <v>2892</v>
      </c>
      <c r="D665" s="87">
        <f>SUM(D656:D664)</f>
        <v>3341</v>
      </c>
      <c r="E665" s="59">
        <f>SUM(B665:D665)</f>
        <v>7341</v>
      </c>
      <c r="F665" s="87">
        <f>SUM(F656:F664)</f>
        <v>1835</v>
      </c>
      <c r="G665" s="87">
        <f>SUM(G656:G664)</f>
        <v>3517</v>
      </c>
      <c r="H665" s="87">
        <f>SUM(H656:H664)</f>
        <v>1306</v>
      </c>
      <c r="I665" s="59">
        <f>SUM(F665:H665)</f>
        <v>6658</v>
      </c>
      <c r="J665" s="87">
        <f>SUM(J656:J664)</f>
        <v>2000</v>
      </c>
      <c r="K665" s="87">
        <f>SUM(K656:K664)</f>
        <v>1569</v>
      </c>
      <c r="L665" s="87">
        <f>SUM(L656:L664)</f>
        <v>2757</v>
      </c>
      <c r="M665" s="59">
        <f>SUM(J665:L665)</f>
        <v>6326</v>
      </c>
      <c r="N665" s="87">
        <f>SUM(N656:N664)</f>
        <v>1627</v>
      </c>
      <c r="O665" s="87">
        <f>SUM(O656:O664)</f>
        <v>547</v>
      </c>
      <c r="P665" s="87">
        <f>SUM(P656:P664)</f>
        <v>2169</v>
      </c>
      <c r="Q665" s="59">
        <f>SUM(N665:P665)</f>
        <v>4343</v>
      </c>
      <c r="R665" s="59">
        <f>+E665+I665+M665+Q665</f>
        <v>24668</v>
      </c>
    </row>
    <row r="666" spans="1:18" ht="15.75" customHeight="1" x14ac:dyDescent="0.3">
      <c r="A666" s="15" t="s">
        <v>55</v>
      </c>
      <c r="B666" s="1"/>
      <c r="C666" s="1"/>
      <c r="D666" s="1"/>
      <c r="E666" s="55" t="s">
        <v>7</v>
      </c>
      <c r="F666" s="1"/>
      <c r="G666" s="1"/>
      <c r="H666" s="1"/>
      <c r="I666" s="55" t="s">
        <v>7</v>
      </c>
      <c r="J666" s="1"/>
      <c r="K666" s="1"/>
      <c r="L666" s="1"/>
      <c r="M666" s="55" t="s">
        <v>7</v>
      </c>
      <c r="N666" s="1"/>
      <c r="O666" s="1"/>
      <c r="P666" s="1"/>
      <c r="Q666" s="55" t="s">
        <v>7</v>
      </c>
      <c r="R666" s="55" t="s">
        <v>7</v>
      </c>
    </row>
    <row r="667" spans="1:18" ht="15.75" customHeight="1" x14ac:dyDescent="0.3">
      <c r="A667" s="15" t="s">
        <v>57</v>
      </c>
      <c r="B667" s="1"/>
      <c r="C667" s="1"/>
      <c r="D667" s="1"/>
      <c r="E667" s="55" t="s">
        <v>7</v>
      </c>
      <c r="F667" s="1"/>
      <c r="G667" s="1"/>
      <c r="H667" s="1"/>
      <c r="I667" s="55" t="s">
        <v>7</v>
      </c>
      <c r="J667" s="1"/>
      <c r="K667" s="1"/>
      <c r="L667" s="1"/>
      <c r="M667" s="55" t="s">
        <v>7</v>
      </c>
      <c r="N667" s="1"/>
      <c r="O667" s="1"/>
      <c r="P667" s="1"/>
      <c r="Q667" s="55" t="s">
        <v>7</v>
      </c>
      <c r="R667" s="55" t="s">
        <v>7</v>
      </c>
    </row>
    <row r="668" spans="1:18" ht="15.75" customHeight="1" x14ac:dyDescent="0.3">
      <c r="A668" s="71" t="s">
        <v>781</v>
      </c>
      <c r="B668" s="1"/>
      <c r="C668" s="1"/>
      <c r="D668" s="1"/>
      <c r="E668" s="55">
        <f>SUM(B668:D668)</f>
        <v>0</v>
      </c>
      <c r="F668" s="1"/>
      <c r="G668" s="1"/>
      <c r="H668" s="1"/>
      <c r="I668" s="55">
        <f>SUM(F668:H668)</f>
        <v>0</v>
      </c>
      <c r="J668" s="1"/>
      <c r="K668" s="1"/>
      <c r="L668" s="1"/>
      <c r="M668" s="55">
        <f>SUM(J668:L668)</f>
        <v>0</v>
      </c>
      <c r="N668" s="1"/>
      <c r="O668" s="1"/>
      <c r="P668" s="1"/>
      <c r="Q668" s="55">
        <f>SUM(N668:P668)</f>
        <v>0</v>
      </c>
      <c r="R668" s="55">
        <f>+E668+I668+M668+Q668</f>
        <v>0</v>
      </c>
    </row>
    <row r="669" spans="1:18" ht="15.75" customHeight="1" thickBot="1" x14ac:dyDescent="0.35">
      <c r="A669" s="15" t="s">
        <v>58</v>
      </c>
      <c r="B669" s="1"/>
      <c r="C669" s="1"/>
      <c r="D669" s="1"/>
      <c r="E669" s="55" t="s">
        <v>7</v>
      </c>
      <c r="F669" s="1"/>
      <c r="G669" s="1"/>
      <c r="H669" s="1"/>
      <c r="I669" s="55" t="s">
        <v>7</v>
      </c>
      <c r="J669" s="1"/>
      <c r="K669" s="1"/>
      <c r="L669" s="1"/>
      <c r="M669" s="55" t="s">
        <v>7</v>
      </c>
      <c r="N669" s="1"/>
      <c r="O669" s="1"/>
      <c r="P669" s="1"/>
      <c r="Q669" s="55" t="s">
        <v>7</v>
      </c>
      <c r="R669" s="55" t="s">
        <v>7</v>
      </c>
    </row>
    <row r="670" spans="1:18" ht="16.5" customHeight="1" thickBot="1" x14ac:dyDescent="0.35">
      <c r="A670" s="57" t="s">
        <v>59</v>
      </c>
      <c r="B670" s="86">
        <f>SUM(B666:B669)</f>
        <v>0</v>
      </c>
      <c r="C670" s="87">
        <f>SUM(C666:C669)</f>
        <v>0</v>
      </c>
      <c r="D670" s="87">
        <f>SUM(D666:D669)</f>
        <v>0</v>
      </c>
      <c r="E670" s="59">
        <f>SUM(B670:D670)</f>
        <v>0</v>
      </c>
      <c r="F670" s="87">
        <f>SUM(F666:F669)</f>
        <v>0</v>
      </c>
      <c r="G670" s="87">
        <f>SUM(G666:G669)</f>
        <v>0</v>
      </c>
      <c r="H670" s="87">
        <f>SUM(H666:H669)</f>
        <v>0</v>
      </c>
      <c r="I670" s="59">
        <f>SUM(F670:H670)</f>
        <v>0</v>
      </c>
      <c r="J670" s="87">
        <f>SUM(J666:J669)</f>
        <v>0</v>
      </c>
      <c r="K670" s="87">
        <f>SUM(K666:K669)</f>
        <v>0</v>
      </c>
      <c r="L670" s="87">
        <f>SUM(L666:L669)</f>
        <v>0</v>
      </c>
      <c r="M670" s="59">
        <f>SUM(J670:L670)</f>
        <v>0</v>
      </c>
      <c r="N670" s="87">
        <f>SUM(N666:N669)</f>
        <v>0</v>
      </c>
      <c r="O670" s="87">
        <f>SUM(O666:O669)</f>
        <v>0</v>
      </c>
      <c r="P670" s="87">
        <f>SUM(P666:P669)</f>
        <v>0</v>
      </c>
      <c r="Q670" s="59">
        <f>SUM(N670:P670)</f>
        <v>0</v>
      </c>
      <c r="R670" s="59">
        <f>+E670+I670+M670+Q670</f>
        <v>0</v>
      </c>
    </row>
    <row r="671" spans="1:18" ht="15.75" customHeight="1" x14ac:dyDescent="0.3">
      <c r="A671" s="15" t="s">
        <v>60</v>
      </c>
      <c r="B671" s="1"/>
      <c r="C671" s="1"/>
      <c r="D671" s="1"/>
      <c r="E671" s="55" t="s">
        <v>7</v>
      </c>
      <c r="F671" s="1"/>
      <c r="G671" s="1"/>
      <c r="H671" s="1"/>
      <c r="I671" s="55" t="s">
        <v>7</v>
      </c>
      <c r="J671" s="1" t="s">
        <v>7</v>
      </c>
      <c r="K671" s="1"/>
      <c r="L671" s="1"/>
      <c r="M671" s="55" t="s">
        <v>7</v>
      </c>
      <c r="N671" s="1"/>
      <c r="O671" s="1"/>
      <c r="P671" s="1"/>
      <c r="Q671" s="55" t="s">
        <v>7</v>
      </c>
      <c r="R671" s="55" t="s">
        <v>7</v>
      </c>
    </row>
    <row r="672" spans="1:18" ht="18" customHeight="1" x14ac:dyDescent="0.3">
      <c r="A672" s="15" t="s">
        <v>61</v>
      </c>
      <c r="B672" s="1"/>
      <c r="C672" s="1"/>
      <c r="D672" s="1"/>
      <c r="E672" s="55" t="s">
        <v>7</v>
      </c>
      <c r="F672" s="1"/>
      <c r="G672" s="1"/>
      <c r="H672" s="1"/>
      <c r="I672" s="55" t="s">
        <v>7</v>
      </c>
      <c r="J672" s="1"/>
      <c r="K672" s="1"/>
      <c r="L672" s="1"/>
      <c r="M672" s="55" t="s">
        <v>7</v>
      </c>
      <c r="N672" s="1"/>
      <c r="O672" s="1"/>
      <c r="P672" s="1"/>
      <c r="Q672" s="55" t="s">
        <v>7</v>
      </c>
      <c r="R672" s="55" t="s">
        <v>7</v>
      </c>
    </row>
    <row r="673" spans="1:18" ht="15.75" customHeight="1" x14ac:dyDescent="0.3">
      <c r="A673" s="71" t="s">
        <v>665</v>
      </c>
      <c r="B673" s="1">
        <v>437</v>
      </c>
      <c r="C673" s="1">
        <v>472</v>
      </c>
      <c r="D673" s="1">
        <v>204</v>
      </c>
      <c r="E673" s="55">
        <f>SUM(B673:D673)</f>
        <v>1113</v>
      </c>
      <c r="F673" s="1">
        <v>673</v>
      </c>
      <c r="G673" s="1">
        <v>758</v>
      </c>
      <c r="H673" s="1">
        <v>773</v>
      </c>
      <c r="I673" s="55">
        <f>SUM(F673:H673)</f>
        <v>2204</v>
      </c>
      <c r="J673" s="1">
        <v>315</v>
      </c>
      <c r="K673" s="1">
        <v>743</v>
      </c>
      <c r="L673" s="1">
        <v>659</v>
      </c>
      <c r="M673" s="55">
        <f>SUM(J673:L673)</f>
        <v>1717</v>
      </c>
      <c r="N673" s="1">
        <v>586</v>
      </c>
      <c r="O673" s="1">
        <v>563</v>
      </c>
      <c r="P673" s="1">
        <v>245</v>
      </c>
      <c r="Q673" s="55">
        <f>SUM(N673:P673)</f>
        <v>1394</v>
      </c>
      <c r="R673" s="55">
        <f>+E673+I673+M673+Q673</f>
        <v>6428</v>
      </c>
    </row>
    <row r="674" spans="1:18" ht="15.75" customHeight="1" x14ac:dyDescent="0.3">
      <c r="A674" s="71" t="s">
        <v>1009</v>
      </c>
      <c r="B674" s="1"/>
      <c r="C674" s="1"/>
      <c r="D674" s="1"/>
      <c r="E674" s="55">
        <f>SUM(B674:D674)</f>
        <v>0</v>
      </c>
      <c r="F674" s="1"/>
      <c r="G674" s="1"/>
      <c r="H674" s="1">
        <v>6</v>
      </c>
      <c r="I674" s="55">
        <f>SUM(F674:H674)</f>
        <v>6</v>
      </c>
      <c r="J674" s="1">
        <v>38</v>
      </c>
      <c r="K674" s="1">
        <v>41</v>
      </c>
      <c r="L674" s="1">
        <v>39</v>
      </c>
      <c r="M674" s="55">
        <f>SUM(J674:L674)</f>
        <v>118</v>
      </c>
      <c r="N674" s="1">
        <v>25</v>
      </c>
      <c r="O674" s="1"/>
      <c r="P674" s="1"/>
      <c r="Q674" s="55">
        <f>SUM(N674:P674)</f>
        <v>25</v>
      </c>
      <c r="R674" s="55">
        <f>+E674+I674+M674+Q674</f>
        <v>149</v>
      </c>
    </row>
    <row r="675" spans="1:18" ht="15.75" customHeight="1" x14ac:dyDescent="0.3">
      <c r="A675" s="15" t="s">
        <v>62</v>
      </c>
      <c r="B675" s="1"/>
      <c r="C675" s="1"/>
      <c r="D675" s="1"/>
      <c r="E675" s="55" t="s">
        <v>7</v>
      </c>
      <c r="F675" s="1"/>
      <c r="G675" s="1"/>
      <c r="H675" s="1"/>
      <c r="I675" s="55" t="s">
        <v>7</v>
      </c>
      <c r="J675" s="1"/>
      <c r="K675" s="1"/>
      <c r="L675" s="1"/>
      <c r="M675" s="55" t="s">
        <v>7</v>
      </c>
      <c r="N675" s="1"/>
      <c r="O675" s="1"/>
      <c r="P675" s="1"/>
      <c r="Q675" s="55" t="s">
        <v>7</v>
      </c>
      <c r="R675" s="55" t="s">
        <v>7</v>
      </c>
    </row>
    <row r="676" spans="1:18" ht="15.75" customHeight="1" x14ac:dyDescent="0.3">
      <c r="A676" s="71" t="s">
        <v>1181</v>
      </c>
      <c r="B676" s="1"/>
      <c r="C676" s="1"/>
      <c r="D676" s="1"/>
      <c r="E676" s="55">
        <f>SUM(B676:D676)</f>
        <v>0</v>
      </c>
      <c r="F676" s="1"/>
      <c r="G676" s="1"/>
      <c r="H676" s="1"/>
      <c r="I676" s="55">
        <f>SUM(F676:H676)</f>
        <v>0</v>
      </c>
      <c r="J676" s="1"/>
      <c r="K676" s="1"/>
      <c r="L676" s="1"/>
      <c r="M676" s="55">
        <f>SUM(J676:L676)</f>
        <v>0</v>
      </c>
      <c r="N676" s="1">
        <v>54</v>
      </c>
      <c r="O676" s="1">
        <v>79</v>
      </c>
      <c r="P676" s="1">
        <v>25</v>
      </c>
      <c r="Q676" s="55">
        <f>SUM(N676:P676)</f>
        <v>158</v>
      </c>
      <c r="R676" s="55">
        <f>+E676+I676+M676+Q676</f>
        <v>158</v>
      </c>
    </row>
    <row r="677" spans="1:18" ht="15.75" customHeight="1" x14ac:dyDescent="0.3">
      <c r="A677" s="71" t="s">
        <v>666</v>
      </c>
      <c r="B677" s="1">
        <v>500</v>
      </c>
      <c r="C677" s="1">
        <v>500</v>
      </c>
      <c r="D677" s="1">
        <v>500</v>
      </c>
      <c r="E677" s="55">
        <f>SUM(B677:D677)</f>
        <v>1500</v>
      </c>
      <c r="F677" s="1"/>
      <c r="G677" s="1"/>
      <c r="H677" s="1"/>
      <c r="I677" s="55">
        <f>SUM(F677:H677)</f>
        <v>0</v>
      </c>
      <c r="J677" s="1">
        <v>445</v>
      </c>
      <c r="K677" s="1"/>
      <c r="L677" s="1"/>
      <c r="M677" s="55">
        <f>SUM(J677:L677)</f>
        <v>445</v>
      </c>
      <c r="N677" s="1">
        <v>500</v>
      </c>
      <c r="O677" s="1">
        <v>555</v>
      </c>
      <c r="P677" s="1"/>
      <c r="Q677" s="55">
        <f>SUM(N677:P677)</f>
        <v>1055</v>
      </c>
      <c r="R677" s="55">
        <f>+E677+I677+M677+Q677</f>
        <v>3000</v>
      </c>
    </row>
    <row r="678" spans="1:18" ht="15.75" customHeight="1" thickBot="1" x14ac:dyDescent="0.35">
      <c r="A678" s="71" t="s">
        <v>782</v>
      </c>
      <c r="B678" s="1">
        <v>535</v>
      </c>
      <c r="C678" s="1">
        <v>594</v>
      </c>
      <c r="D678" s="1">
        <v>726</v>
      </c>
      <c r="E678" s="55">
        <f>SUM(B678:D678)</f>
        <v>1855</v>
      </c>
      <c r="F678" s="1">
        <v>695</v>
      </c>
      <c r="G678" s="1">
        <v>706</v>
      </c>
      <c r="H678" s="1">
        <v>688</v>
      </c>
      <c r="I678" s="55">
        <f>SUM(F678:H678)</f>
        <v>2089</v>
      </c>
      <c r="J678" s="1">
        <v>631</v>
      </c>
      <c r="K678" s="1">
        <v>720</v>
      </c>
      <c r="L678" s="1">
        <v>566</v>
      </c>
      <c r="M678" s="55">
        <f>SUM(J678:L678)</f>
        <v>1917</v>
      </c>
      <c r="N678" s="1">
        <v>390</v>
      </c>
      <c r="O678" s="1">
        <v>246</v>
      </c>
      <c r="P678" s="1">
        <v>366</v>
      </c>
      <c r="Q678" s="55">
        <f>SUM(N678:P678)</f>
        <v>1002</v>
      </c>
      <c r="R678" s="55">
        <f>+E678+I678+M678+Q678</f>
        <v>6863</v>
      </c>
    </row>
    <row r="679" spans="1:18" ht="16.5" customHeight="1" thickBot="1" x14ac:dyDescent="0.35">
      <c r="A679" s="57" t="s">
        <v>63</v>
      </c>
      <c r="B679" s="86">
        <f>SUM(B671:B678)</f>
        <v>1472</v>
      </c>
      <c r="C679" s="87">
        <f>SUM(C671:C678)</f>
        <v>1566</v>
      </c>
      <c r="D679" s="87">
        <f>SUM(D671:D678)</f>
        <v>1430</v>
      </c>
      <c r="E679" s="59">
        <f>SUM(B679:D679)</f>
        <v>4468</v>
      </c>
      <c r="F679" s="87">
        <f>SUM(F671:F678)</f>
        <v>1368</v>
      </c>
      <c r="G679" s="87">
        <f>SUM(G671:G678)</f>
        <v>1464</v>
      </c>
      <c r="H679" s="87">
        <f>SUM(H671:H678)</f>
        <v>1467</v>
      </c>
      <c r="I679" s="59">
        <f>SUM(F679:H679)</f>
        <v>4299</v>
      </c>
      <c r="J679" s="87">
        <f>SUM(J671:J678)</f>
        <v>1429</v>
      </c>
      <c r="K679" s="87">
        <f>SUM(K671:K678)</f>
        <v>1504</v>
      </c>
      <c r="L679" s="87">
        <f>SUM(L671:L678)</f>
        <v>1264</v>
      </c>
      <c r="M679" s="59">
        <f>SUM(J679:L679)</f>
        <v>4197</v>
      </c>
      <c r="N679" s="87">
        <f>SUM(N671:N678)</f>
        <v>1555</v>
      </c>
      <c r="O679" s="87">
        <f>SUM(O671:O678)</f>
        <v>1443</v>
      </c>
      <c r="P679" s="87">
        <f>SUM(P671:P678)</f>
        <v>636</v>
      </c>
      <c r="Q679" s="59">
        <f>SUM(N679:P679)</f>
        <v>3634</v>
      </c>
      <c r="R679" s="59">
        <f>+E679+I679+M679+Q679</f>
        <v>16598</v>
      </c>
    </row>
    <row r="680" spans="1:18" ht="15.75" customHeight="1" x14ac:dyDescent="0.3">
      <c r="A680" s="15" t="s">
        <v>64</v>
      </c>
      <c r="B680" s="1"/>
      <c r="C680" s="1"/>
      <c r="D680" s="1"/>
      <c r="E680" s="55" t="s">
        <v>7</v>
      </c>
      <c r="F680" s="1"/>
      <c r="G680" s="1"/>
      <c r="H680" s="1"/>
      <c r="I680" s="55" t="s">
        <v>7</v>
      </c>
      <c r="J680" s="1"/>
      <c r="K680" s="1"/>
      <c r="L680" s="1"/>
      <c r="M680" s="55" t="s">
        <v>7</v>
      </c>
      <c r="N680" s="1"/>
      <c r="O680" s="1"/>
      <c r="P680" s="1"/>
      <c r="Q680" s="55" t="s">
        <v>7</v>
      </c>
      <c r="R680" s="55" t="s">
        <v>7</v>
      </c>
    </row>
    <row r="681" spans="1:18" ht="15.75" customHeight="1" x14ac:dyDescent="0.3">
      <c r="A681" s="15" t="s">
        <v>594</v>
      </c>
      <c r="B681" s="1"/>
      <c r="C681" s="1"/>
      <c r="D681" s="1"/>
      <c r="E681" s="55" t="s">
        <v>7</v>
      </c>
      <c r="F681" s="1"/>
      <c r="G681" s="1"/>
      <c r="H681" s="1"/>
      <c r="I681" s="55" t="s">
        <v>7</v>
      </c>
      <c r="J681" s="1"/>
      <c r="K681" s="1"/>
      <c r="L681" s="1"/>
      <c r="M681" s="55" t="s">
        <v>7</v>
      </c>
      <c r="N681" s="1"/>
      <c r="O681" s="1"/>
      <c r="P681" s="1"/>
      <c r="Q681" s="55" t="s">
        <v>7</v>
      </c>
      <c r="R681" s="55" t="s">
        <v>7</v>
      </c>
    </row>
    <row r="682" spans="1:18" ht="15.75" customHeight="1" x14ac:dyDescent="0.3">
      <c r="A682" s="71" t="s">
        <v>366</v>
      </c>
      <c r="B682" s="1"/>
      <c r="C682" s="1"/>
      <c r="D682" s="1"/>
      <c r="E682" s="55">
        <f>SUM(B682:D682)</f>
        <v>0</v>
      </c>
      <c r="F682" s="1"/>
      <c r="G682" s="1"/>
      <c r="H682" s="1"/>
      <c r="I682" s="55">
        <f>SUM(F682:H682)</f>
        <v>0</v>
      </c>
      <c r="J682" s="1"/>
      <c r="K682" s="1"/>
      <c r="L682" s="1"/>
      <c r="M682" s="55">
        <f>SUM(J682:L682)</f>
        <v>0</v>
      </c>
      <c r="N682" s="1"/>
      <c r="O682" s="1"/>
      <c r="P682" s="1"/>
      <c r="Q682" s="55">
        <f>SUM(N682:P682)</f>
        <v>0</v>
      </c>
      <c r="R682" s="55">
        <f>+E682+I682+M682+Q682</f>
        <v>0</v>
      </c>
    </row>
    <row r="683" spans="1:18" ht="15.75" customHeight="1" x14ac:dyDescent="0.3">
      <c r="A683" s="71" t="s">
        <v>367</v>
      </c>
      <c r="B683" s="1"/>
      <c r="C683" s="1"/>
      <c r="D683" s="1"/>
      <c r="E683" s="55">
        <f>SUM(B683:D683)</f>
        <v>0</v>
      </c>
      <c r="F683" s="1"/>
      <c r="G683" s="1"/>
      <c r="H683" s="1"/>
      <c r="I683" s="55">
        <f>SUM(F683:H683)</f>
        <v>0</v>
      </c>
      <c r="J683" s="1"/>
      <c r="K683" s="1"/>
      <c r="L683" s="1"/>
      <c r="M683" s="55">
        <f>SUM(J683:L683)</f>
        <v>0</v>
      </c>
      <c r="N683" s="1"/>
      <c r="O683" s="1"/>
      <c r="P683" s="1"/>
      <c r="Q683" s="55">
        <f>SUM(N683:P683)</f>
        <v>0</v>
      </c>
      <c r="R683" s="55">
        <f>+E683+I683+M683+Q683</f>
        <v>0</v>
      </c>
    </row>
    <row r="684" spans="1:18" ht="15.75" customHeight="1" x14ac:dyDescent="0.3">
      <c r="A684" s="15" t="s">
        <v>67</v>
      </c>
      <c r="B684" s="1"/>
      <c r="C684" s="1"/>
      <c r="D684" s="1"/>
      <c r="E684" s="55" t="s">
        <v>7</v>
      </c>
      <c r="F684" s="1"/>
      <c r="G684" s="1"/>
      <c r="H684" s="1"/>
      <c r="I684" s="55" t="s">
        <v>7</v>
      </c>
      <c r="J684" s="1"/>
      <c r="K684" s="1"/>
      <c r="L684" s="1"/>
      <c r="M684" s="55" t="s">
        <v>7</v>
      </c>
      <c r="N684" s="1"/>
      <c r="O684" s="1"/>
      <c r="P684" s="1"/>
      <c r="Q684" s="55" t="s">
        <v>7</v>
      </c>
      <c r="R684" s="55" t="s">
        <v>7</v>
      </c>
    </row>
    <row r="685" spans="1:18" ht="15.75" customHeight="1" x14ac:dyDescent="0.3">
      <c r="A685" s="71" t="s">
        <v>783</v>
      </c>
      <c r="B685" s="1"/>
      <c r="C685" s="1"/>
      <c r="D685" s="1"/>
      <c r="E685" s="55">
        <f>SUM(B685:D685)</f>
        <v>0</v>
      </c>
      <c r="F685" s="1"/>
      <c r="G685" s="1"/>
      <c r="H685" s="1"/>
      <c r="I685" s="55">
        <f>SUM(F685:H685)</f>
        <v>0</v>
      </c>
      <c r="J685" s="1"/>
      <c r="K685" s="1"/>
      <c r="L685" s="1"/>
      <c r="M685" s="55">
        <f>SUM(J685:L685)</f>
        <v>0</v>
      </c>
      <c r="N685" s="1"/>
      <c r="O685" s="1"/>
      <c r="P685" s="1">
        <v>601</v>
      </c>
      <c r="Q685" s="55">
        <f>SUM(N685:P685)</f>
        <v>601</v>
      </c>
      <c r="R685" s="55">
        <f>+E685+I685+M685+Q685</f>
        <v>601</v>
      </c>
    </row>
    <row r="686" spans="1:18" ht="15.75" customHeight="1" x14ac:dyDescent="0.3">
      <c r="A686" s="71" t="s">
        <v>784</v>
      </c>
      <c r="B686" s="1"/>
      <c r="C686" s="1"/>
      <c r="D686" s="1"/>
      <c r="E686" s="55">
        <f>SUM(B686:D686)</f>
        <v>0</v>
      </c>
      <c r="F686" s="1"/>
      <c r="G686" s="1"/>
      <c r="H686" s="1"/>
      <c r="I686" s="55">
        <f>SUM(F686:H686)</f>
        <v>0</v>
      </c>
      <c r="J686" s="1"/>
      <c r="K686" s="1"/>
      <c r="L686" s="1"/>
      <c r="M686" s="55">
        <f>SUM(J686:L686)</f>
        <v>0</v>
      </c>
      <c r="N686" s="1"/>
      <c r="O686" s="1"/>
      <c r="P686" s="1"/>
      <c r="Q686" s="55">
        <f>SUM(N686:P686)</f>
        <v>0</v>
      </c>
      <c r="R686" s="55">
        <f>+E686+I686+M686+Q686</f>
        <v>0</v>
      </c>
    </row>
    <row r="687" spans="1:18" ht="15.75" customHeight="1" x14ac:dyDescent="0.3">
      <c r="A687" s="15" t="s">
        <v>600</v>
      </c>
      <c r="B687" s="1"/>
      <c r="C687" s="1"/>
      <c r="D687" s="1"/>
      <c r="E687" s="55" t="s">
        <v>7</v>
      </c>
      <c r="F687" s="1"/>
      <c r="G687" s="1"/>
      <c r="H687" s="1"/>
      <c r="I687" s="55" t="s">
        <v>7</v>
      </c>
      <c r="J687" s="1"/>
      <c r="K687" s="1"/>
      <c r="L687" s="1"/>
      <c r="M687" s="55" t="s">
        <v>7</v>
      </c>
      <c r="N687" s="1"/>
      <c r="O687" s="1"/>
      <c r="P687" s="1"/>
      <c r="Q687" s="55" t="s">
        <v>7</v>
      </c>
      <c r="R687" s="55" t="s">
        <v>7</v>
      </c>
    </row>
    <row r="688" spans="1:18" ht="15.75" customHeight="1" thickBot="1" x14ac:dyDescent="0.35">
      <c r="A688" s="15" t="s">
        <v>70</v>
      </c>
      <c r="B688" s="1"/>
      <c r="C688" s="1"/>
      <c r="D688" s="1"/>
      <c r="E688" s="55" t="s">
        <v>7</v>
      </c>
      <c r="F688" s="1"/>
      <c r="G688" s="1"/>
      <c r="H688" s="1"/>
      <c r="I688" s="55" t="s">
        <v>7</v>
      </c>
      <c r="J688" s="1"/>
      <c r="K688" s="1"/>
      <c r="L688" s="1"/>
      <c r="M688" s="55" t="s">
        <v>7</v>
      </c>
      <c r="N688" s="1"/>
      <c r="O688" s="1"/>
      <c r="P688" s="1"/>
      <c r="Q688" s="55" t="s">
        <v>7</v>
      </c>
      <c r="R688" s="55" t="s">
        <v>7</v>
      </c>
    </row>
    <row r="689" spans="1:18" ht="16.5" customHeight="1" thickBot="1" x14ac:dyDescent="0.35">
      <c r="A689" s="57" t="s">
        <v>71</v>
      </c>
      <c r="B689" s="58">
        <f>SUM(B687:B688)</f>
        <v>0</v>
      </c>
      <c r="C689" s="58">
        <f>SUM(C687:C688)</f>
        <v>0</v>
      </c>
      <c r="D689" s="58">
        <f>SUM(D687:D688)</f>
        <v>0</v>
      </c>
      <c r="E689" s="60">
        <f>SUM(B689:D689)</f>
        <v>0</v>
      </c>
      <c r="F689" s="58">
        <f>SUM(F687:F688)</f>
        <v>0</v>
      </c>
      <c r="G689" s="58">
        <f>SUM(G687:G688)</f>
        <v>0</v>
      </c>
      <c r="H689" s="58">
        <f>SUM(H687:H688)</f>
        <v>0</v>
      </c>
      <c r="I689" s="60">
        <f>SUM(F689:H689)</f>
        <v>0</v>
      </c>
      <c r="J689" s="58">
        <f>SUM(J687:J688)</f>
        <v>0</v>
      </c>
      <c r="K689" s="58">
        <f>SUM(K687:K688)</f>
        <v>0</v>
      </c>
      <c r="L689" s="58">
        <f>SUM(L687:L688)</f>
        <v>0</v>
      </c>
      <c r="M689" s="60">
        <f>SUM(J689:L689)</f>
        <v>0</v>
      </c>
      <c r="N689" s="58">
        <f>SUM(N687:N688)</f>
        <v>0</v>
      </c>
      <c r="O689" s="58">
        <f>SUM(O687:O688)</f>
        <v>0</v>
      </c>
      <c r="P689" s="58">
        <f>SUM(P687:P688)</f>
        <v>0</v>
      </c>
      <c r="Q689" s="60">
        <f>SUM(N689:P689)</f>
        <v>0</v>
      </c>
      <c r="R689" s="59">
        <f>+E689+I689+M689+Q689</f>
        <v>0</v>
      </c>
    </row>
    <row r="690" spans="1:18" ht="16.5" customHeight="1" thickBot="1" x14ac:dyDescent="0.35">
      <c r="A690" s="57" t="s">
        <v>72</v>
      </c>
      <c r="B690" s="86">
        <f>SUM(B680:B688)</f>
        <v>0</v>
      </c>
      <c r="C690" s="87">
        <f>SUM(C680:C688)</f>
        <v>0</v>
      </c>
      <c r="D690" s="118">
        <f>SUM(D680:D688)</f>
        <v>0</v>
      </c>
      <c r="E690" s="60">
        <f>SUM(B690:D690)</f>
        <v>0</v>
      </c>
      <c r="F690" s="87">
        <f>SUM(F680:F688)</f>
        <v>0</v>
      </c>
      <c r="G690" s="87">
        <f>SUM(G680:G688)</f>
        <v>0</v>
      </c>
      <c r="H690" s="87">
        <f>SUM(H680:H688)</f>
        <v>0</v>
      </c>
      <c r="I690" s="60">
        <f>SUM(F690:H690)</f>
        <v>0</v>
      </c>
      <c r="J690" s="87">
        <f>SUM(J680:J688)</f>
        <v>0</v>
      </c>
      <c r="K690" s="87">
        <f>SUM(K680:K688)</f>
        <v>0</v>
      </c>
      <c r="L690" s="87">
        <f>SUM(L680:L688)</f>
        <v>0</v>
      </c>
      <c r="M690" s="60">
        <f>SUM(J690:L690)</f>
        <v>0</v>
      </c>
      <c r="N690" s="87">
        <f>SUM(N680:N688)</f>
        <v>0</v>
      </c>
      <c r="O690" s="87">
        <f>SUM(O680:O688)</f>
        <v>0</v>
      </c>
      <c r="P690" s="87">
        <f>SUM(P680:P688)</f>
        <v>601</v>
      </c>
      <c r="Q690" s="60">
        <f>SUM(N690:P690)</f>
        <v>601</v>
      </c>
      <c r="R690" s="59">
        <f>+E690+I690+M690+Q690</f>
        <v>601</v>
      </c>
    </row>
    <row r="691" spans="1:18" ht="16.5" customHeight="1" thickBot="1" x14ac:dyDescent="0.35">
      <c r="A691" s="57" t="s">
        <v>73</v>
      </c>
      <c r="B691" s="90">
        <f>+B665+B670+B679+B690</f>
        <v>2580</v>
      </c>
      <c r="C691" s="58">
        <f>+C665+C670+C679+C690</f>
        <v>4458</v>
      </c>
      <c r="D691" s="58">
        <f>+D665+D670+D679+D690</f>
        <v>4771</v>
      </c>
      <c r="E691" s="59">
        <f>SUM(B691:D691)</f>
        <v>11809</v>
      </c>
      <c r="F691" s="58">
        <f>+F665+F670+F679+F690</f>
        <v>3203</v>
      </c>
      <c r="G691" s="58">
        <f>+G665+G670+G679+G690</f>
        <v>4981</v>
      </c>
      <c r="H691" s="58">
        <f>+H665+H670+H679+H690</f>
        <v>2773</v>
      </c>
      <c r="I691" s="59">
        <f>SUM(F691:H691)</f>
        <v>10957</v>
      </c>
      <c r="J691" s="58">
        <f>+J665+J670+J679+J690</f>
        <v>3429</v>
      </c>
      <c r="K691" s="58">
        <f>+K665+K670+K679+K690</f>
        <v>3073</v>
      </c>
      <c r="L691" s="58">
        <f>+L665+L670+L679+L690</f>
        <v>4021</v>
      </c>
      <c r="M691" s="59">
        <f>SUM(J691:L691)</f>
        <v>10523</v>
      </c>
      <c r="N691" s="58">
        <f>+N665+N670+N679+N690</f>
        <v>3182</v>
      </c>
      <c r="O691" s="58">
        <f>+O665+O670+O679+O690</f>
        <v>1990</v>
      </c>
      <c r="P691" s="58">
        <f>+P665+P670+P679+P690</f>
        <v>3406</v>
      </c>
      <c r="Q691" s="59">
        <f>SUM(N691:P691)</f>
        <v>8578</v>
      </c>
      <c r="R691" s="81">
        <f>+E691+I691+M691+Q691</f>
        <v>41867</v>
      </c>
    </row>
    <row r="692" spans="1:18" ht="16.5" customHeight="1" thickBot="1" x14ac:dyDescent="0.35">
      <c r="A692" s="39" t="s">
        <v>40</v>
      </c>
      <c r="B692" s="21">
        <v>11</v>
      </c>
      <c r="C692" s="21">
        <v>13</v>
      </c>
      <c r="D692" s="21">
        <v>17</v>
      </c>
      <c r="E692" s="55">
        <f>SUM(B692:D692)</f>
        <v>41</v>
      </c>
      <c r="F692" s="21">
        <v>21</v>
      </c>
      <c r="G692" s="21">
        <v>23</v>
      </c>
      <c r="H692" s="21">
        <v>25</v>
      </c>
      <c r="I692" s="55">
        <f>SUM(F692:H692)</f>
        <v>69</v>
      </c>
      <c r="J692" s="21">
        <v>25</v>
      </c>
      <c r="K692" s="21">
        <v>21</v>
      </c>
      <c r="L692" s="21">
        <v>19</v>
      </c>
      <c r="M692" s="55">
        <f>SUM(J692:L692)</f>
        <v>65</v>
      </c>
      <c r="N692" s="21">
        <v>17</v>
      </c>
      <c r="O692" s="21">
        <v>13</v>
      </c>
      <c r="P692" s="21">
        <v>11</v>
      </c>
      <c r="Q692" s="55">
        <f>SUM(N692:P692)</f>
        <v>41</v>
      </c>
      <c r="R692" s="55">
        <f>+E692+I692+M692+Q692</f>
        <v>216</v>
      </c>
    </row>
    <row r="693" spans="1:18" ht="16.5" customHeight="1" thickBot="1" x14ac:dyDescent="0.35">
      <c r="A693" s="41"/>
      <c r="B693" s="36"/>
      <c r="C693" s="36"/>
      <c r="D693" s="36"/>
      <c r="E693" s="59" t="s">
        <v>7</v>
      </c>
      <c r="F693" s="36"/>
      <c r="G693" s="36"/>
      <c r="H693" s="36"/>
      <c r="I693" s="59" t="s">
        <v>7</v>
      </c>
      <c r="J693" s="36"/>
      <c r="K693" s="36"/>
      <c r="L693" s="36"/>
      <c r="M693" s="59" t="s">
        <v>7</v>
      </c>
      <c r="N693" s="36"/>
      <c r="O693" s="36"/>
      <c r="P693" s="36"/>
      <c r="Q693" s="59" t="s">
        <v>7</v>
      </c>
      <c r="R693" s="59" t="s">
        <v>7</v>
      </c>
    </row>
    <row r="694" spans="1:18" ht="15.75" customHeight="1" x14ac:dyDescent="0.3">
      <c r="A694" s="15" t="s">
        <v>41</v>
      </c>
      <c r="B694" s="1">
        <f>SUM(B691:B692)</f>
        <v>2591</v>
      </c>
      <c r="C694" s="1">
        <f>SUM(C691:C692)</f>
        <v>4471</v>
      </c>
      <c r="D694" s="1">
        <f>SUM(D691:D692)</f>
        <v>4788</v>
      </c>
      <c r="E694" s="60">
        <f>SUM(B694:D694)</f>
        <v>11850</v>
      </c>
      <c r="F694" s="1">
        <f>SUM(F691:F692)</f>
        <v>3224</v>
      </c>
      <c r="G694" s="1">
        <f>SUM(G691:G692)</f>
        <v>5004</v>
      </c>
      <c r="H694" s="1">
        <f>SUM(H691:H692)</f>
        <v>2798</v>
      </c>
      <c r="I694" s="60">
        <f>SUM(F694:H694)</f>
        <v>11026</v>
      </c>
      <c r="J694" s="1">
        <f>SUM(J691:J692)</f>
        <v>3454</v>
      </c>
      <c r="K694" s="1">
        <f>SUM(K691:K692)</f>
        <v>3094</v>
      </c>
      <c r="L694" s="1">
        <f>SUM(L691:L692)</f>
        <v>4040</v>
      </c>
      <c r="M694" s="60">
        <f>SUM(J694:L694)</f>
        <v>10588</v>
      </c>
      <c r="N694" s="1">
        <f>SUM(N691:N692)</f>
        <v>3199</v>
      </c>
      <c r="O694" s="1">
        <f>SUM(O691:O692)</f>
        <v>2003</v>
      </c>
      <c r="P694" s="1">
        <f>SUM(P691:P692)</f>
        <v>3417</v>
      </c>
      <c r="Q694" s="60">
        <f>SUM(N694:P694)</f>
        <v>8619</v>
      </c>
      <c r="R694" s="60">
        <f>+E694+I694+M694+Q694</f>
        <v>42083</v>
      </c>
    </row>
    <row r="695" spans="1:18" ht="15.75" customHeight="1" x14ac:dyDescent="0.3">
      <c r="A695" s="15" t="s">
        <v>42</v>
      </c>
      <c r="B695" s="1">
        <f>(B694/31)/1.983</f>
        <v>42.148585557887202</v>
      </c>
      <c r="C695" s="1">
        <f>(C694/28)/1.983</f>
        <v>80.523737482890269</v>
      </c>
      <c r="D695" s="1">
        <f>(D694/31)/1.983</f>
        <v>77.88785320384558</v>
      </c>
      <c r="E695" s="55" t="s">
        <v>7</v>
      </c>
      <c r="F695" s="1">
        <f>(F694/30)/1.983</f>
        <v>54.193982181879306</v>
      </c>
      <c r="G695" s="1">
        <f>(G694/31)/1.983</f>
        <v>81.401590942364933</v>
      </c>
      <c r="H695" s="1">
        <f>(H694/30)/1.983</f>
        <v>47.033114809211632</v>
      </c>
      <c r="I695" s="55" t="s">
        <v>7</v>
      </c>
      <c r="J695" s="1">
        <f>(J694/31)/1.983</f>
        <v>56.1872692076196</v>
      </c>
      <c r="K695" s="1">
        <f>(K694/31)/1.983</f>
        <v>50.331039643420688</v>
      </c>
      <c r="L695" s="1">
        <f>(L694/30)/1.983</f>
        <v>67.910573205580761</v>
      </c>
      <c r="M695" s="55" t="s">
        <v>7</v>
      </c>
      <c r="N695" s="1">
        <f>(N694/31)/1.983</f>
        <v>52.039106599645365</v>
      </c>
      <c r="O695" s="1">
        <f>(O694/30)/1.983</f>
        <v>33.669524289796605</v>
      </c>
      <c r="P695" s="1">
        <f>(P694/31)/1.983</f>
        <v>55.585378946854711</v>
      </c>
      <c r="Q695" s="55" t="s">
        <v>7</v>
      </c>
      <c r="R695" s="55" t="s">
        <v>7</v>
      </c>
    </row>
    <row r="696" spans="1:18" ht="15.75" customHeight="1" x14ac:dyDescent="0.3">
      <c r="A696" s="15" t="s">
        <v>372</v>
      </c>
      <c r="B696" s="1">
        <f>B694</f>
        <v>2591</v>
      </c>
      <c r="C696" s="1">
        <f>C694</f>
        <v>4471</v>
      </c>
      <c r="D696" s="1">
        <f>D694</f>
        <v>4788</v>
      </c>
      <c r="E696" s="55">
        <f>SUM(B696:D696)</f>
        <v>11850</v>
      </c>
      <c r="F696" s="1">
        <f>F694</f>
        <v>3224</v>
      </c>
      <c r="G696" s="1">
        <f>G694</f>
        <v>5004</v>
      </c>
      <c r="H696" s="1">
        <f>H694</f>
        <v>2798</v>
      </c>
      <c r="I696" s="55">
        <f>SUM(F696:H696)</f>
        <v>11026</v>
      </c>
      <c r="J696" s="1">
        <f>J694</f>
        <v>3454</v>
      </c>
      <c r="K696" s="1">
        <f>K694</f>
        <v>3094</v>
      </c>
      <c r="L696" s="1">
        <f>L694</f>
        <v>4040</v>
      </c>
      <c r="M696" s="55">
        <f>SUM(J696:L696)</f>
        <v>10588</v>
      </c>
      <c r="N696" s="1">
        <f>N694</f>
        <v>3199</v>
      </c>
      <c r="O696" s="1">
        <f>O694</f>
        <v>2003</v>
      </c>
      <c r="P696" s="1">
        <f>P694</f>
        <v>3417</v>
      </c>
      <c r="Q696" s="55">
        <f>SUM(N696:P696)</f>
        <v>8619</v>
      </c>
      <c r="R696" s="55">
        <f>+E696+I696+M696+Q696</f>
        <v>42083</v>
      </c>
    </row>
    <row r="697" spans="1:18" ht="16.5" customHeight="1" thickBot="1" x14ac:dyDescent="0.35">
      <c r="A697" s="20" t="s">
        <v>373</v>
      </c>
      <c r="B697" s="21">
        <f>(B696/31)/1.983</f>
        <v>42.148585557887202</v>
      </c>
      <c r="C697" s="21">
        <f>(C696/28)/1.983</f>
        <v>80.523737482890269</v>
      </c>
      <c r="D697" s="21">
        <f>(D696/31)/1.983</f>
        <v>77.88785320384558</v>
      </c>
      <c r="E697" s="81" t="s">
        <v>7</v>
      </c>
      <c r="F697" s="21">
        <f>(F696/30)/1.983</f>
        <v>54.193982181879306</v>
      </c>
      <c r="G697" s="21">
        <f>(G696/31)/1.983</f>
        <v>81.401590942364933</v>
      </c>
      <c r="H697" s="21">
        <f>(H696/30)/1.983</f>
        <v>47.033114809211632</v>
      </c>
      <c r="I697" s="81" t="s">
        <v>7</v>
      </c>
      <c r="J697" s="21">
        <f>(J696/31)/1.983</f>
        <v>56.1872692076196</v>
      </c>
      <c r="K697" s="21">
        <f>(K696/31)/1.983</f>
        <v>50.331039643420688</v>
      </c>
      <c r="L697" s="21">
        <f>(L696/30)/1.983</f>
        <v>67.910573205580761</v>
      </c>
      <c r="M697" s="81" t="s">
        <v>7</v>
      </c>
      <c r="N697" s="21">
        <f>(N696/31)/1.983</f>
        <v>52.039106599645365</v>
      </c>
      <c r="O697" s="21">
        <f>(O696/30)/1.983</f>
        <v>33.669524289796605</v>
      </c>
      <c r="P697" s="21">
        <f>(P696/31)/1.983</f>
        <v>55.585378946854711</v>
      </c>
      <c r="Q697" s="81" t="s">
        <v>7</v>
      </c>
      <c r="R697" s="81" t="s">
        <v>7</v>
      </c>
    </row>
    <row r="698" spans="1:18" ht="15.75" customHeight="1" x14ac:dyDescent="0.3">
      <c r="A698" s="28"/>
      <c r="B698" s="1"/>
      <c r="C698" s="1"/>
      <c r="D698" s="1"/>
      <c r="E698" s="2"/>
      <c r="F698" s="1"/>
      <c r="G698" s="1"/>
      <c r="H698" s="1"/>
      <c r="I698" s="2"/>
      <c r="J698" s="1"/>
      <c r="K698" s="1"/>
      <c r="L698" s="1"/>
      <c r="M698" s="2"/>
      <c r="N698" s="1"/>
      <c r="O698" s="1"/>
      <c r="P698" s="1"/>
      <c r="Q698" s="2"/>
      <c r="R698" s="2"/>
    </row>
    <row r="699" spans="1:18" ht="15.75" customHeight="1" x14ac:dyDescent="0.3">
      <c r="A699" s="28"/>
      <c r="B699" s="1"/>
      <c r="C699" s="1"/>
      <c r="D699" s="1"/>
      <c r="E699" s="1"/>
      <c r="F699" s="1"/>
      <c r="G699" s="1"/>
      <c r="H699" s="1"/>
      <c r="I699" s="1"/>
      <c r="J699" s="1"/>
      <c r="K699" s="1"/>
      <c r="L699" s="1"/>
      <c r="M699" s="1"/>
      <c r="N699" s="1"/>
      <c r="O699" s="1"/>
      <c r="P699" s="1"/>
      <c r="Q699" s="2" t="str">
        <f>+Q1</f>
        <v>PRINTED:</v>
      </c>
      <c r="R699" s="3">
        <f ca="1">+R1</f>
        <v>44909.46975358796</v>
      </c>
    </row>
    <row r="700" spans="1:18" ht="15.75" customHeight="1" x14ac:dyDescent="0.3">
      <c r="A700" s="499" t="s">
        <v>1</v>
      </c>
      <c r="B700" s="499"/>
      <c r="C700" s="499"/>
      <c r="D700" s="499"/>
      <c r="E700" s="499"/>
      <c r="F700" s="499"/>
      <c r="G700" s="499"/>
      <c r="H700" s="499"/>
      <c r="I700" s="499"/>
      <c r="J700" s="499"/>
      <c r="K700" s="499"/>
      <c r="L700" s="499"/>
      <c r="M700" s="499"/>
      <c r="N700" s="499"/>
      <c r="O700" s="499"/>
      <c r="P700" s="499"/>
      <c r="Q700" s="499"/>
      <c r="R700" s="499"/>
    </row>
    <row r="701" spans="1:18" ht="15.75" customHeight="1" x14ac:dyDescent="0.3">
      <c r="A701" s="499" t="s">
        <v>2</v>
      </c>
      <c r="B701" s="499"/>
      <c r="C701" s="499"/>
      <c r="D701" s="499"/>
      <c r="E701" s="499"/>
      <c r="F701" s="499"/>
      <c r="G701" s="499"/>
      <c r="H701" s="499"/>
      <c r="I701" s="499"/>
      <c r="J701" s="499"/>
      <c r="K701" s="499"/>
      <c r="L701" s="499"/>
      <c r="M701" s="499"/>
      <c r="N701" s="499"/>
      <c r="O701" s="499"/>
      <c r="P701" s="499"/>
      <c r="Q701" s="499"/>
      <c r="R701" s="499"/>
    </row>
    <row r="702" spans="1:18" ht="15.75" customHeight="1" x14ac:dyDescent="0.3">
      <c r="A702" s="499" t="s">
        <v>3</v>
      </c>
      <c r="B702" s="499"/>
      <c r="C702" s="499"/>
      <c r="D702" s="499"/>
      <c r="E702" s="499"/>
      <c r="F702" s="499"/>
      <c r="G702" s="499"/>
      <c r="H702" s="499"/>
      <c r="I702" s="499"/>
      <c r="J702" s="499"/>
      <c r="K702" s="499"/>
      <c r="L702" s="499"/>
      <c r="M702" s="499"/>
      <c r="N702" s="499"/>
      <c r="O702" s="499"/>
      <c r="P702" s="499"/>
      <c r="Q702" s="499"/>
      <c r="R702" s="499"/>
    </row>
    <row r="703" spans="1:18" ht="15.75" customHeight="1" x14ac:dyDescent="0.3">
      <c r="A703" s="499" t="str">
        <f>+A5</f>
        <v>Calendar Year 2012</v>
      </c>
      <c r="B703" s="499"/>
      <c r="C703" s="499"/>
      <c r="D703" s="499"/>
      <c r="E703" s="499"/>
      <c r="F703" s="499"/>
      <c r="G703" s="499"/>
      <c r="H703" s="499"/>
      <c r="I703" s="499"/>
      <c r="J703" s="499"/>
      <c r="K703" s="499"/>
      <c r="L703" s="499"/>
      <c r="M703" s="499"/>
      <c r="N703" s="499"/>
      <c r="O703" s="499"/>
      <c r="P703" s="499"/>
      <c r="Q703" s="499"/>
      <c r="R703" s="499"/>
    </row>
    <row r="704" spans="1:18" ht="15.75" customHeight="1" x14ac:dyDescent="0.3">
      <c r="A704" s="1"/>
      <c r="B704" s="1"/>
      <c r="C704" s="1"/>
      <c r="D704" s="5"/>
      <c r="E704" s="5"/>
      <c r="F704" s="5"/>
      <c r="G704" s="6"/>
      <c r="H704" s="5"/>
      <c r="I704" s="5"/>
      <c r="J704" s="6"/>
      <c r="K704" s="6"/>
      <c r="L704" s="6"/>
      <c r="M704" s="6"/>
      <c r="N704" s="1"/>
      <c r="O704" s="6"/>
      <c r="P704" s="6"/>
      <c r="Q704" s="6"/>
      <c r="R704" s="6"/>
    </row>
    <row r="705" spans="1:20" ht="15.75" customHeight="1" x14ac:dyDescent="0.3">
      <c r="A705" s="499" t="str">
        <f>+A9</f>
        <v>Revised:  1/22/2013</v>
      </c>
      <c r="B705" s="499"/>
      <c r="C705" s="499"/>
      <c r="D705" s="499"/>
      <c r="E705" s="499"/>
      <c r="F705" s="499"/>
      <c r="G705" s="499"/>
      <c r="H705" s="499"/>
      <c r="I705" s="499"/>
      <c r="J705" s="499"/>
      <c r="K705" s="499"/>
      <c r="L705" s="499"/>
      <c r="M705" s="499"/>
      <c r="N705" s="499"/>
      <c r="O705" s="499"/>
      <c r="P705" s="499"/>
      <c r="Q705" s="499"/>
      <c r="R705" s="499"/>
    </row>
    <row r="706" spans="1:20" ht="15.75" customHeight="1" x14ac:dyDescent="0.3">
      <c r="A706" s="314"/>
      <c r="B706" s="314"/>
      <c r="C706" s="314"/>
      <c r="D706" s="314"/>
      <c r="E706" s="314"/>
      <c r="F706" s="314"/>
      <c r="G706" s="314"/>
      <c r="H706" s="314"/>
      <c r="I706" s="314"/>
      <c r="J706" s="314"/>
      <c r="K706" s="314"/>
      <c r="L706" s="314"/>
      <c r="M706" s="314"/>
      <c r="N706" s="314"/>
      <c r="O706" s="314"/>
      <c r="P706" s="314"/>
      <c r="Q706" s="314"/>
      <c r="R706" s="314"/>
    </row>
    <row r="707" spans="1:20" ht="15.75" customHeight="1" x14ac:dyDescent="0.3">
      <c r="A707" s="314"/>
      <c r="B707" s="314"/>
      <c r="C707" s="314"/>
      <c r="D707" s="314"/>
      <c r="E707" s="314"/>
      <c r="F707" s="314"/>
      <c r="G707" s="314"/>
      <c r="H707" s="314"/>
      <c r="I707" s="314"/>
      <c r="J707" s="314"/>
      <c r="K707" s="314"/>
      <c r="L707" s="314"/>
      <c r="M707" s="314"/>
      <c r="N707" s="314"/>
      <c r="O707" s="314"/>
      <c r="P707" s="314"/>
      <c r="Q707" s="314"/>
      <c r="R707" s="314"/>
    </row>
    <row r="708" spans="1:20" ht="15.75" customHeight="1" thickBot="1" x14ac:dyDescent="0.35">
      <c r="A708" s="28"/>
      <c r="B708" s="1"/>
      <c r="C708" s="1"/>
      <c r="D708" s="1"/>
      <c r="E708" s="1"/>
      <c r="F708" s="1"/>
      <c r="G708" s="1"/>
      <c r="H708" s="1"/>
      <c r="I708" s="1"/>
      <c r="J708" s="1"/>
      <c r="K708" s="1"/>
      <c r="L708" s="1"/>
      <c r="M708" s="1"/>
      <c r="N708" s="1"/>
      <c r="O708" s="1"/>
      <c r="P708" s="1"/>
      <c r="Q708" s="1"/>
      <c r="R708" s="2"/>
    </row>
    <row r="709" spans="1:20" ht="16.5" customHeight="1" thickBot="1" x14ac:dyDescent="0.35">
      <c r="A709" s="124" t="s">
        <v>374</v>
      </c>
      <c r="B709" s="30" t="s">
        <v>8</v>
      </c>
      <c r="C709" s="31" t="s">
        <v>9</v>
      </c>
      <c r="D709" s="31" t="s">
        <v>10</v>
      </c>
      <c r="E709" s="32" t="s">
        <v>11</v>
      </c>
      <c r="F709" s="31" t="s">
        <v>12</v>
      </c>
      <c r="G709" s="31" t="s">
        <v>13</v>
      </c>
      <c r="H709" s="31" t="s">
        <v>14</v>
      </c>
      <c r="I709" s="33" t="s">
        <v>15</v>
      </c>
      <c r="J709" s="31" t="s">
        <v>16</v>
      </c>
      <c r="K709" s="31" t="s">
        <v>17</v>
      </c>
      <c r="L709" s="31" t="s">
        <v>18</v>
      </c>
      <c r="M709" s="33" t="s">
        <v>19</v>
      </c>
      <c r="N709" s="31" t="s">
        <v>20</v>
      </c>
      <c r="O709" s="31" t="s">
        <v>21</v>
      </c>
      <c r="P709" s="31" t="s">
        <v>22</v>
      </c>
      <c r="Q709" s="33" t="s">
        <v>23</v>
      </c>
      <c r="R709" s="133" t="s">
        <v>24</v>
      </c>
    </row>
    <row r="710" spans="1:20" ht="16.5" customHeight="1" thickBot="1" x14ac:dyDescent="0.35">
      <c r="A710" s="41"/>
      <c r="B710" s="36"/>
      <c r="C710" s="36"/>
      <c r="D710" s="36"/>
      <c r="E710" s="52"/>
      <c r="F710" s="36"/>
      <c r="G710" s="36"/>
      <c r="H710" s="36"/>
      <c r="I710" s="132"/>
      <c r="J710" s="36"/>
      <c r="K710" s="36"/>
      <c r="L710" s="36"/>
      <c r="M710" s="132"/>
      <c r="N710" s="36"/>
      <c r="O710" s="36"/>
      <c r="P710" s="36"/>
      <c r="Q710" s="134"/>
      <c r="R710" s="135"/>
    </row>
    <row r="711" spans="1:20" ht="15.75" customHeight="1" x14ac:dyDescent="0.3">
      <c r="A711" s="15" t="s">
        <v>48</v>
      </c>
      <c r="B711" s="1" t="s">
        <v>7</v>
      </c>
      <c r="C711" s="1" t="s">
        <v>7</v>
      </c>
      <c r="D711" s="1" t="s">
        <v>7</v>
      </c>
      <c r="E711" s="136"/>
      <c r="F711" s="1" t="s">
        <v>7</v>
      </c>
      <c r="G711" s="1" t="s">
        <v>7</v>
      </c>
      <c r="H711" s="1" t="s">
        <v>7</v>
      </c>
      <c r="I711" s="136"/>
      <c r="J711" s="1" t="s">
        <v>7</v>
      </c>
      <c r="K711" s="1" t="s">
        <v>7</v>
      </c>
      <c r="L711" s="1" t="s">
        <v>7</v>
      </c>
      <c r="M711" s="136"/>
      <c r="N711" s="1" t="s">
        <v>7</v>
      </c>
      <c r="O711" s="1" t="s">
        <v>7</v>
      </c>
      <c r="P711" s="1" t="s">
        <v>7</v>
      </c>
      <c r="Q711" s="137"/>
      <c r="R711" s="138" t="s">
        <v>7</v>
      </c>
    </row>
    <row r="712" spans="1:20" ht="15.75" customHeight="1" x14ac:dyDescent="0.3">
      <c r="A712" s="315" t="s">
        <v>49</v>
      </c>
      <c r="B712" s="1">
        <f>+SUM(B72:B79)+SUM(B135:B158)+SUM(B266:B278)+SUM(B391:B393)+SUM(B431:B434)+SUM(B472:B480)+SUM(B535:B537)+SUM(B570:B573)+SUM(B623:B624)+SUM(B657:B660)</f>
        <v>27212</v>
      </c>
      <c r="C712" s="1">
        <f>+SUM(C72:C79)+SUM(C135:C158)+SUM(C266:C278)+SUM(C391:C393)+SUM(C431:C434)+SUM(C472:C480)+SUM(C535:C537)+SUM(C570:C573)+SUM(C623:C624)+SUM(C657:C660)</f>
        <v>26081</v>
      </c>
      <c r="D712" s="1">
        <f>+SUM(D72:D79)+SUM(D135:D158)+SUM(D266:D278)+SUM(D391:D393)+SUM(D431:D434)+SUM(D472:D480)+SUM(D535:D537)+SUM(D570:D573)+SUM(D623:D624)+SUM(D657:D660)</f>
        <v>34694</v>
      </c>
      <c r="E712" s="55">
        <f t="shared" ref="E712:E718" si="99">SUM(B712:D712)</f>
        <v>87987</v>
      </c>
      <c r="F712" s="1">
        <f>+SUM(F72:F79)+SUM(F135:F158)+SUM(F266:F278)+SUM(F391:F393)+SUM(F431:F434)+SUM(F472:F480)+SUM(F535:F537)+SUM(F570:F573)+SUM(F623:F624)+SUM(F657:F660)</f>
        <v>48546</v>
      </c>
      <c r="G712" s="1">
        <f>+SUM(G72:G79)+SUM(G135:G158)+SUM(G266:G278)+SUM(G391:G393)+SUM(G431:G434)+SUM(G472:G480)+SUM(G535:G537)+SUM(G570:G573)+SUM(G623:G624)+SUM(G657:G660)</f>
        <v>52178</v>
      </c>
      <c r="H712" s="1">
        <f>+SUM(H72:H79)+SUM(H135:H158)+SUM(H266:H278)+SUM(H391:H393)+SUM(H431:H434)+SUM(H472:H480)+SUM(H535:H537)+SUM(H570:H573)+SUM(H623:H624)+SUM(H657:H660)</f>
        <v>42637</v>
      </c>
      <c r="I712" s="55">
        <f t="shared" ref="I712:I718" si="100">SUM(F712:H712)</f>
        <v>143361</v>
      </c>
      <c r="J712" s="1">
        <f>+SUM(J72:J79)+SUM(J135:J158)+SUM(J266:J278)+SUM(J391:J393)+SUM(J431:J434)+SUM(J472:J480)+SUM(J535:J537)+SUM(J570:J573)+SUM(J623:J624)+SUM(J657:J660)</f>
        <v>45292</v>
      </c>
      <c r="K712" s="1">
        <f>+SUM(K72:K79)+SUM(K135:K158)+SUM(K266:K278)+SUM(K391:K393)+SUM(K431:K434)+SUM(K472:K480)+SUM(K535:K537)+SUM(K570:K573)+SUM(K623:K624)+SUM(K657:K660)</f>
        <v>49615</v>
      </c>
      <c r="L712" s="1">
        <f>+SUM(L72:L79)+SUM(L135:L158)+SUM(L266:L278)+SUM(L391:L393)+SUM(L431:L434)+SUM(L472:L480)+SUM(L535:L537)+SUM(L570:L573)+SUM(L623:L624)+SUM(L657:L660)</f>
        <v>43526</v>
      </c>
      <c r="M712" s="55">
        <f t="shared" ref="M712:M718" si="101">SUM(J712:L712)</f>
        <v>138433</v>
      </c>
      <c r="N712" s="1">
        <f>+SUM(N72:N79)+SUM(N135:N158)+SUM(N266:N278)+SUM(N391:N393)+SUM(N431:N434)+SUM(N472:N480)+SUM(N535:N537)+SUM(N570:N573)+SUM(N623:N624)+SUM(N657:N660)</f>
        <v>36354</v>
      </c>
      <c r="O712" s="1">
        <f>+SUM(O72:O79)+SUM(O135:O158)+SUM(O266:O278)+SUM(O391:O393)+SUM(O431:O434)+SUM(O472:O480)+SUM(O535:O537)+SUM(O570:O573)+SUM(O623:O624)+SUM(O657:O660)</f>
        <v>29350</v>
      </c>
      <c r="P712" s="1">
        <f>+SUM(P72:P79)+SUM(P135:P158)+SUM(P266:P278)+SUM(P391:P393)+SUM(P431:P434)+SUM(P472:P480)+SUM(P535:P537)+SUM(P570:P573)+SUM(P623:P624)+SUM(P657:P660)</f>
        <v>26131.999999999996</v>
      </c>
      <c r="Q712" s="55">
        <f t="shared" ref="Q712:Q718" si="102">SUM(N712:P712)</f>
        <v>91836</v>
      </c>
      <c r="R712" s="55">
        <f t="shared" ref="R712:R718" si="103">+E712+I712+M712+Q712</f>
        <v>461617</v>
      </c>
    </row>
    <row r="713" spans="1:20" ht="15.75" customHeight="1" x14ac:dyDescent="0.3">
      <c r="A713" s="15" t="s">
        <v>1014</v>
      </c>
      <c r="B713" s="1">
        <f>+B39+SUM(B80:B82)+SUM(B160:B170)+SUM(B280:B293)+SUM(B395:B397)+B435+SUM(B481:B482)+B538+B574+B625+SUM(B661:B661)</f>
        <v>152</v>
      </c>
      <c r="C713" s="1">
        <f>+C39+SUM(C80:C82)+SUM(C160:C170)+SUM(C280:C293)+SUM(C395:C397)+C435+SUM(C481:C482)+C538+C574+C625+SUM(C661:C661)</f>
        <v>166</v>
      </c>
      <c r="D713" s="1">
        <f>+D39+SUM(D80:D82)+SUM(D160:D170)+SUM(D280:D293)+SUM(D395:D397)+D435+SUM(D481:D482)+D538+D574+D625+SUM(D661:D661)</f>
        <v>739</v>
      </c>
      <c r="E713" s="55">
        <f t="shared" si="99"/>
        <v>1057</v>
      </c>
      <c r="F713" s="1">
        <f>+F39+SUM(F80:F82)+SUM(F160:F170)+SUM(F280:F293)+SUM(F395:F397)+F435+SUM(F481:F482)+F538+F574+F625+SUM(F661:F661)</f>
        <v>415</v>
      </c>
      <c r="G713" s="1">
        <f>+G39+SUM(G80:G82)+SUM(G160:G170)+SUM(G280:G293)+SUM(G395:G397)+G435+SUM(G481:G482)+G538+G574+G625+SUM(G661:G661)</f>
        <v>928</v>
      </c>
      <c r="H713" s="1">
        <f>+H39+SUM(H80:H82)+SUM(H160:H170)+SUM(H280:H293)+SUM(H395:H397)+H435+SUM(H481:H482)+H538+H574+H625+SUM(H661:H661)</f>
        <v>1091</v>
      </c>
      <c r="I713" s="55">
        <f t="shared" si="100"/>
        <v>2434</v>
      </c>
      <c r="J713" s="1">
        <f>+J39+SUM(J80:J82)+SUM(J160:J170)+SUM(J280:J293)+SUM(J395:J397)+J435+SUM(J481:J482)+J538+J574+J625+SUM(J661:J661)</f>
        <v>1190</v>
      </c>
      <c r="K713" s="1">
        <f>+K39+SUM(K80:K82)+SUM(K160:K170)+SUM(K280:K293)+SUM(K395:K397)+K435+SUM(K481:K482)+K538+K574+K625+SUM(K661:K661)</f>
        <v>1036</v>
      </c>
      <c r="L713" s="1">
        <f>+L39+SUM(L80:L82)+SUM(L160:L170)+SUM(L280:L293)+SUM(L395:L397)+L435+SUM(L481:L482)+L538+L574+L625+SUM(L661:L661)</f>
        <v>772</v>
      </c>
      <c r="M713" s="55">
        <f t="shared" si="101"/>
        <v>2998</v>
      </c>
      <c r="N713" s="1">
        <f>+N39+SUM(N80:N82)+SUM(N160:N170)+SUM(N280:N293)+SUM(N395:N397)+N435+SUM(N481:N482)+N538+N574+N625+SUM(N661:N661)</f>
        <v>837</v>
      </c>
      <c r="O713" s="1">
        <f>+O39+SUM(O80:O82)+SUM(O160:O170)+SUM(O280:O293)+SUM(O395:O397)+O435+SUM(O481:O482)+O538+O574+O625+SUM(O661:O661)</f>
        <v>543</v>
      </c>
      <c r="P713" s="1">
        <f>+P39+SUM(P80:P82)+SUM(P160:P170)+SUM(P280:P293)+SUM(P395:P397)+P435+SUM(P481:P482)+P538+P574+P625+SUM(P661:P661)</f>
        <v>769</v>
      </c>
      <c r="Q713" s="55">
        <f t="shared" si="102"/>
        <v>2149</v>
      </c>
      <c r="R713" s="55">
        <f t="shared" si="103"/>
        <v>8638</v>
      </c>
    </row>
    <row r="714" spans="1:20" ht="15.75" customHeight="1" x14ac:dyDescent="0.3">
      <c r="A714" s="315" t="s">
        <v>1015</v>
      </c>
      <c r="B714" s="1">
        <f>+SUM(B83:B85)+SUM(B171:B174)+SUM(B294:B298)+B398+B436+SUM(B483:B484)+B539+B575+B626+SUM(B662:B663)</f>
        <v>320</v>
      </c>
      <c r="C714" s="1">
        <f>+SUM(C83:C85)+SUM(C171:C174)+SUM(C294:C298)+C398+C436+SUM(C483:C484)+C539+C575+C626+SUM(C662:C663)</f>
        <v>713</v>
      </c>
      <c r="D714" s="1">
        <f>+SUM(D83:D85)+SUM(D171:D174)+SUM(D294:D298)+D398+D436+SUM(D483:D484)+D539+D575+D626+SUM(D662:D663)</f>
        <v>1368</v>
      </c>
      <c r="E714" s="55">
        <f t="shared" si="99"/>
        <v>2401</v>
      </c>
      <c r="F714" s="1">
        <f>+SUM(F83:F85)+SUM(F171:F174)+SUM(F294:F298)+F398+F436+SUM(F483:F484)+F539+F575+F626+SUM(F662:F663)</f>
        <v>3144</v>
      </c>
      <c r="G714" s="1">
        <f>+SUM(G83:G85)+SUM(G171:G174)+SUM(G294:G298)+G398+G436+SUM(G483:G484)+G539+G575+G626+SUM(G662:G663)</f>
        <v>7432</v>
      </c>
      <c r="H714" s="1">
        <f>+SUM(H83:H85)+SUM(H171:H174)+SUM(H294:H298)+H398+H436+SUM(H483:H484)+H539+H575+H626+SUM(H662:H663)</f>
        <v>3810</v>
      </c>
      <c r="I714" s="55">
        <f t="shared" si="100"/>
        <v>14386</v>
      </c>
      <c r="J714" s="1">
        <f>+SUM(J83:J85)+SUM(J171:J174)+SUM(J294:J298)+J398+J436+SUM(J483:J484)+J539+J575+J626+SUM(J662:J663)</f>
        <v>1574</v>
      </c>
      <c r="K714" s="1">
        <f>+SUM(K83:K85)+SUM(K171:K174)+SUM(K294:K298)+K398+K436+SUM(K483:K484)+K539+K575+K626+SUM(K662:K663)</f>
        <v>67</v>
      </c>
      <c r="L714" s="1">
        <f>+SUM(L83:L85)+SUM(L171:L174)+SUM(L294:L298)+L398+L436+SUM(L483:L484)+L539+L575+L626+SUM(L662:L663)</f>
        <v>38</v>
      </c>
      <c r="M714" s="55">
        <f t="shared" si="101"/>
        <v>1679</v>
      </c>
      <c r="N714" s="1">
        <f>+SUM(N83:N85)+SUM(N171:N174)+SUM(N294:N298)+N398+N436+SUM(N483:N484)+N539+N575+N626+SUM(N662:N663)</f>
        <v>844</v>
      </c>
      <c r="O714" s="1">
        <f>+SUM(O83:O85)+SUM(O171:O174)+SUM(O294:O298)+O398+O436+SUM(O483:O484)+O539+O575+O626+SUM(O662:O663)</f>
        <v>25</v>
      </c>
      <c r="P714" s="1">
        <f>+SUM(P83:P85)+SUM(P171:P174)+SUM(P294:P298)+P398+P436+SUM(P483:P484)+P539+P575+P626+SUM(P662:P663)</f>
        <v>510</v>
      </c>
      <c r="Q714" s="55">
        <f t="shared" si="102"/>
        <v>1379</v>
      </c>
      <c r="R714" s="55">
        <f>+E714+I714+M714+Q714</f>
        <v>19845</v>
      </c>
    </row>
    <row r="715" spans="1:20" ht="15.75" customHeight="1" x14ac:dyDescent="0.3">
      <c r="A715" s="15" t="s">
        <v>785</v>
      </c>
      <c r="B715" s="1">
        <f>+B243+B373+B374</f>
        <v>0</v>
      </c>
      <c r="C715" s="1">
        <f>+C243+C373+C374</f>
        <v>0</v>
      </c>
      <c r="D715" s="1">
        <f>+D243+D373+D374</f>
        <v>0</v>
      </c>
      <c r="E715" s="55">
        <f t="shared" si="99"/>
        <v>0</v>
      </c>
      <c r="F715" s="1">
        <f>+F243+F373+F374</f>
        <v>0</v>
      </c>
      <c r="G715" s="1">
        <f>+G243+G373+G374</f>
        <v>0</v>
      </c>
      <c r="H715" s="1">
        <f>+H243+H373+H374</f>
        <v>0</v>
      </c>
      <c r="I715" s="55">
        <f t="shared" si="100"/>
        <v>0</v>
      </c>
      <c r="J715" s="1">
        <f>+J243+J373+J374</f>
        <v>0</v>
      </c>
      <c r="K715" s="1">
        <f>+K243+K373+K374</f>
        <v>0</v>
      </c>
      <c r="L715" s="1">
        <f>+L243+L373+L374</f>
        <v>0</v>
      </c>
      <c r="M715" s="55">
        <f t="shared" si="101"/>
        <v>0</v>
      </c>
      <c r="N715" s="1">
        <f>+N243+N373+N374</f>
        <v>0</v>
      </c>
      <c r="O715" s="1">
        <f>+O243+O373+O374</f>
        <v>0</v>
      </c>
      <c r="P715" s="1">
        <f>+P243+P373+P374</f>
        <v>0</v>
      </c>
      <c r="Q715" s="55">
        <f t="shared" si="102"/>
        <v>0</v>
      </c>
      <c r="R715" s="55">
        <f t="shared" si="103"/>
        <v>0</v>
      </c>
    </row>
    <row r="716" spans="1:20" ht="15.75" customHeight="1" x14ac:dyDescent="0.3">
      <c r="A716" s="315" t="s">
        <v>377</v>
      </c>
      <c r="B716" s="1">
        <f>+B244</f>
        <v>19</v>
      </c>
      <c r="C716" s="1">
        <f>+C244</f>
        <v>23</v>
      </c>
      <c r="D716" s="1">
        <f>+D244</f>
        <v>17</v>
      </c>
      <c r="E716" s="55">
        <f>SUM(B716:D716)</f>
        <v>59</v>
      </c>
      <c r="F716" s="1">
        <f>+F244</f>
        <v>17</v>
      </c>
      <c r="G716" s="1">
        <f>+G244</f>
        <v>26</v>
      </c>
      <c r="H716" s="1">
        <f>+H244</f>
        <v>18</v>
      </c>
      <c r="I716" s="55">
        <f>SUM(F716:H716)</f>
        <v>61</v>
      </c>
      <c r="J716" s="1">
        <f>+J244</f>
        <v>9</v>
      </c>
      <c r="K716" s="1">
        <f>+K244</f>
        <v>39</v>
      </c>
      <c r="L716" s="1">
        <f>+L244</f>
        <v>39</v>
      </c>
      <c r="M716" s="55">
        <f>SUM(J716:L716)</f>
        <v>87</v>
      </c>
      <c r="N716" s="1">
        <f>+N244</f>
        <v>35</v>
      </c>
      <c r="O716" s="1">
        <f>+O244</f>
        <v>34</v>
      </c>
      <c r="P716" s="1">
        <v>54</v>
      </c>
      <c r="Q716" s="55">
        <f t="shared" si="102"/>
        <v>123</v>
      </c>
      <c r="R716" s="55">
        <f>+E716+I716+M716+Q716</f>
        <v>330</v>
      </c>
    </row>
    <row r="717" spans="1:20" ht="15.75" customHeight="1" thickBot="1" x14ac:dyDescent="0.35">
      <c r="A717" s="15" t="s">
        <v>53</v>
      </c>
      <c r="B717" s="1">
        <f>+B86+B399+B437+B485+B540+B576+B627+B664</f>
        <v>0</v>
      </c>
      <c r="C717" s="1">
        <f>+C86+C399+C437+C485+C540+C576+C627+C664</f>
        <v>0</v>
      </c>
      <c r="D717" s="1">
        <f>+D86+D399+D437+D485+D540+D576+D627+D664</f>
        <v>0</v>
      </c>
      <c r="E717" s="55">
        <f t="shared" si="99"/>
        <v>0</v>
      </c>
      <c r="F717" s="1">
        <f>+F86+F399+F437+F485+F540+F576+F627+F664</f>
        <v>0</v>
      </c>
      <c r="G717" s="1">
        <f>+G86+G399+G437+G485+G540+G576+G627+G664</f>
        <v>0</v>
      </c>
      <c r="H717" s="1">
        <f>+H86+H399+H437+H485+H540+H576+H627+H664</f>
        <v>0</v>
      </c>
      <c r="I717" s="55">
        <f t="shared" si="100"/>
        <v>0</v>
      </c>
      <c r="J717" s="1">
        <f>+J86+J399+J437+J485+J540+J576+J627+J664</f>
        <v>0</v>
      </c>
      <c r="K717" s="1">
        <f>+K86+K399+K437+K485+K540+K576+K627+K664</f>
        <v>0</v>
      </c>
      <c r="L717" s="1">
        <f>+L86+L399+L437+L485+L540+L576+L627+L664</f>
        <v>0</v>
      </c>
      <c r="M717" s="55">
        <f t="shared" si="101"/>
        <v>0</v>
      </c>
      <c r="N717" s="1">
        <f>+N86+N399+N437+N485+N540+N576+N627+N664</f>
        <v>0</v>
      </c>
      <c r="O717" s="1">
        <f>+O86+O399+O437+O485+O540+O576+O627+O664</f>
        <v>0</v>
      </c>
      <c r="P717" s="1">
        <f>+P86+P399+P437+P485+P540+P576+P627+P664</f>
        <v>0</v>
      </c>
      <c r="Q717" s="55">
        <f t="shared" si="102"/>
        <v>0</v>
      </c>
      <c r="R717" s="55">
        <f t="shared" si="103"/>
        <v>0</v>
      </c>
    </row>
    <row r="718" spans="1:20" ht="16.5" customHeight="1" thickBot="1" x14ac:dyDescent="0.35">
      <c r="A718" s="57" t="s">
        <v>54</v>
      </c>
      <c r="B718" s="86">
        <f>SUM(B711:B717)</f>
        <v>27703</v>
      </c>
      <c r="C718" s="87">
        <f>SUM(C711:C717)</f>
        <v>26983</v>
      </c>
      <c r="D718" s="87">
        <f>SUM(D711:D717)</f>
        <v>36818</v>
      </c>
      <c r="E718" s="59">
        <f t="shared" si="99"/>
        <v>91504</v>
      </c>
      <c r="F718" s="87">
        <f>SUM(F711:F717)</f>
        <v>52122</v>
      </c>
      <c r="G718" s="87">
        <f>SUM(G711:G717)</f>
        <v>60564</v>
      </c>
      <c r="H718" s="87">
        <f>SUM(H711:H717)</f>
        <v>47556</v>
      </c>
      <c r="I718" s="59">
        <f t="shared" si="100"/>
        <v>160242</v>
      </c>
      <c r="J718" s="87">
        <f>SUM(J711:J717)</f>
        <v>48065</v>
      </c>
      <c r="K718" s="87">
        <f>SUM(K711:K717)</f>
        <v>50757</v>
      </c>
      <c r="L718" s="87">
        <f>SUM(L711:L717)</f>
        <v>44375</v>
      </c>
      <c r="M718" s="59">
        <f t="shared" si="101"/>
        <v>143197</v>
      </c>
      <c r="N718" s="87">
        <f>SUM(N711:N717)</f>
        <v>38070</v>
      </c>
      <c r="O718" s="87">
        <f>SUM(O711:O717)</f>
        <v>29952</v>
      </c>
      <c r="P718" s="87">
        <f>SUM(P711:P717)</f>
        <v>27464.999999999996</v>
      </c>
      <c r="Q718" s="59">
        <f t="shared" si="102"/>
        <v>95487</v>
      </c>
      <c r="R718" s="59">
        <f t="shared" si="103"/>
        <v>490430</v>
      </c>
      <c r="T718" s="4">
        <f>+R718-R715-R714</f>
        <v>470585</v>
      </c>
    </row>
    <row r="719" spans="1:20" ht="15.75" customHeight="1" x14ac:dyDescent="0.3">
      <c r="A719" s="15" t="s">
        <v>55</v>
      </c>
      <c r="B719" s="1"/>
      <c r="C719" s="1"/>
      <c r="D719" s="1"/>
      <c r="E719" s="55" t="s">
        <v>7</v>
      </c>
      <c r="F719" s="1"/>
      <c r="G719" s="1"/>
      <c r="H719" s="1"/>
      <c r="I719" s="55" t="s">
        <v>7</v>
      </c>
      <c r="J719" s="1"/>
      <c r="K719" s="1"/>
      <c r="L719" s="1"/>
      <c r="M719" s="55" t="s">
        <v>7</v>
      </c>
      <c r="N719" s="1"/>
      <c r="O719" s="1"/>
      <c r="P719" s="1"/>
      <c r="Q719" s="55" t="s">
        <v>7</v>
      </c>
      <c r="R719" s="55" t="s">
        <v>7</v>
      </c>
    </row>
    <row r="720" spans="1:20" ht="15.75" customHeight="1" x14ac:dyDescent="0.3">
      <c r="A720" s="15" t="s">
        <v>56</v>
      </c>
      <c r="B720" s="1">
        <f>SUM(B44:B44)+SUM(B178:B178)+SUM(B89:B89)+SUM(B302:B302)</f>
        <v>0</v>
      </c>
      <c r="C720" s="1">
        <f>SUM(C44:C44)+SUM(C178:C178)+SUM(C89:C89)+SUM(C302:C302)</f>
        <v>0</v>
      </c>
      <c r="D720" s="1">
        <f>SUM(D44:D44)+SUM(D178:D178)+SUM(D89:D89)+SUM(D302:D302)</f>
        <v>0</v>
      </c>
      <c r="E720" s="55">
        <f>SUM(B720:D720)</f>
        <v>0</v>
      </c>
      <c r="F720" s="1">
        <f>SUM(F44:F44)+SUM(F178:F178)+SUM(F89:F89)+SUM(F302:F302)</f>
        <v>0</v>
      </c>
      <c r="G720" s="1">
        <f>SUM(G44:G44)+SUM(G178:G178)+SUM(G89:G89)+SUM(G302:G302)</f>
        <v>0</v>
      </c>
      <c r="H720" s="1">
        <f>SUM(H44:H44)+SUM(H178:H178)+SUM(H89:H89)+SUM(H302:H302)</f>
        <v>0</v>
      </c>
      <c r="I720" s="55">
        <f>SUM(F720:H720)</f>
        <v>0</v>
      </c>
      <c r="J720" s="1">
        <f>SUM(J44:J44)+SUM(J178:J178)+SUM(J89:J89)+SUM(J302:J302)</f>
        <v>0</v>
      </c>
      <c r="K720" s="1">
        <f>SUM(K44:K44)+SUM(K178:K178)+SUM(K89:K89)+SUM(K302:K302)</f>
        <v>0</v>
      </c>
      <c r="L720" s="1">
        <f>SUM(L44:L44)+SUM(L178:L178)+SUM(L89:L89)+SUM(L302:L302)</f>
        <v>0</v>
      </c>
      <c r="M720" s="55">
        <f>SUM(J720:L720)</f>
        <v>0</v>
      </c>
      <c r="N720" s="1">
        <f>SUM(N44:N44)+SUM(N178:N178)+SUM(N89:N89)+SUM(N302:N302)</f>
        <v>0</v>
      </c>
      <c r="O720" s="1">
        <f>SUM(O44:O44)+SUM(O178:O178)+SUM(O89:O89)+SUM(O302:O302)</f>
        <v>0</v>
      </c>
      <c r="P720" s="1">
        <f>SUM(P44:P44)+SUM(P178:P178)+SUM(P89:P89)+SUM(P302:P302)</f>
        <v>0</v>
      </c>
      <c r="Q720" s="55">
        <f>SUM(N720:P720)</f>
        <v>0</v>
      </c>
      <c r="R720" s="55">
        <f>+E720+I720+M720+Q720</f>
        <v>0</v>
      </c>
    </row>
    <row r="721" spans="1:20" ht="15.75" customHeight="1" x14ac:dyDescent="0.3">
      <c r="A721" s="315" t="s">
        <v>57</v>
      </c>
      <c r="B721" s="1">
        <f>+SUM(B91:B92)+SUM(B179:B180)+SUM(B303:B311)+B403+SUM(B440:B442)+SUM(B488:B490)+SUM(B543:B543)+B579+B630+SUM(B667:B668)</f>
        <v>8014</v>
      </c>
      <c r="C721" s="1">
        <f>+SUM(C91:C92)+SUM(C179:C180)+SUM(C303:C311)+C403+SUM(C440:C442)+SUM(C488:C490)+SUM(C543:C543)+C579+C630+SUM(C667:C668)</f>
        <v>13765</v>
      </c>
      <c r="D721" s="1">
        <f>+SUM(D91:D92)+SUM(D179:D180)+SUM(D303:D311)+D403+SUM(D440:D442)+SUM(D488:D490)+SUM(D543:D543)+D579+D630+SUM(D667:D668)</f>
        <v>27663</v>
      </c>
      <c r="E721" s="55">
        <f>SUM(B721:D721)</f>
        <v>49442</v>
      </c>
      <c r="F721" s="1">
        <f>+SUM(F91:F92)+SUM(F179:F180)+SUM(F303:F311)+F403+SUM(F440:F442)+SUM(F488:F490)+SUM(F543:F543)+F579+F630+SUM(F667:F668)</f>
        <v>50055</v>
      </c>
      <c r="G721" s="1">
        <f>+SUM(G91:G92)+SUM(G179:G180)+SUM(G303:G311)+G403+SUM(G440:G442)+SUM(G488:G490)+SUM(G543:G543)+G579+G630+SUM(G667:G668)</f>
        <v>57758</v>
      </c>
      <c r="H721" s="1">
        <f>+SUM(H91:H92)+SUM(H179:H180)+SUM(H303:H311)+H403+SUM(H440:H442)+SUM(H488:H490)+SUM(H543:H543)+H579+H630+SUM(H667:H668)</f>
        <v>69565</v>
      </c>
      <c r="I721" s="55">
        <f>SUM(F721:H721)</f>
        <v>177378</v>
      </c>
      <c r="J721" s="1">
        <f>+SUM(J91:J92)+SUM(J179:J180)+SUM(J303:J311)+J403+SUM(J440:J442)+SUM(J488:J490)+SUM(J543:J543)+J579+J630+SUM(J667:J668)</f>
        <v>45844</v>
      </c>
      <c r="K721" s="1">
        <f>+SUM(K91:K92)+SUM(K179:K180)+SUM(K303:K311)+K403+SUM(K440:K442)+SUM(K488:K490)+SUM(K543:K543)+K579+K630+SUM(K667:K668)</f>
        <v>54580</v>
      </c>
      <c r="L721" s="1">
        <f>+SUM(L91:L92)+SUM(L179:L180)+SUM(L303:L311)+L403+SUM(L440:L442)+SUM(L488:L490)+SUM(L543:L543)+L579+L630+SUM(L667:L668)</f>
        <v>33233</v>
      </c>
      <c r="M721" s="55">
        <f>SUM(J721:L721)</f>
        <v>133657</v>
      </c>
      <c r="N721" s="1">
        <f>+SUM(N91:N92)+SUM(N179:N180)+SUM(N303:N311)+N403+SUM(N440:N442)+SUM(N488:N490)+SUM(N543:N543)+N579+N630+SUM(N667:N668)</f>
        <v>17216</v>
      </c>
      <c r="O721" s="1">
        <f>+SUM(O91:O92)+SUM(O179:O180)+SUM(O303:O311)+O403+SUM(O440:O442)+SUM(O488:O490)+SUM(O543:O543)+O579+O630+SUM(O667:O668)</f>
        <v>11827</v>
      </c>
      <c r="P721" s="1">
        <f>+SUM(P91:P92)+SUM(P179:P180)+SUM(P303:P311)+P403+SUM(P440:P442)+SUM(P488:P490)+SUM(P543:P543)+P579+P630+SUM(P667:P668)</f>
        <v>10480.000000000011</v>
      </c>
      <c r="Q721" s="55">
        <f>SUM(N721:P721)</f>
        <v>39523.000000000015</v>
      </c>
      <c r="R721" s="55">
        <f>+E721+I721+M721+Q721</f>
        <v>400000</v>
      </c>
    </row>
    <row r="722" spans="1:20" ht="15.75" customHeight="1" thickBot="1" x14ac:dyDescent="0.35">
      <c r="A722" s="15" t="s">
        <v>58</v>
      </c>
      <c r="B722" s="1">
        <f>+B93+B404+B443+B491+B544+B580+B631+B669</f>
        <v>0</v>
      </c>
      <c r="C722" s="1">
        <f>+C93+C404+C443+C491+C544+C580+C631+C669</f>
        <v>0</v>
      </c>
      <c r="D722" s="1">
        <f>+D93+D404+D443+D491+D544+D580+D631+D669</f>
        <v>0</v>
      </c>
      <c r="E722" s="55">
        <f>SUM(B722:D722)</f>
        <v>0</v>
      </c>
      <c r="F722" s="1">
        <f>+F93+F404+F443+F491+F544+F580+F631+F669</f>
        <v>0</v>
      </c>
      <c r="G722" s="1">
        <f>+G93+G404+G443+G491+G544+G580+G631+G669</f>
        <v>0</v>
      </c>
      <c r="H722" s="1">
        <f>+H93+H404+H443+H491+H544+H580+H631+H669</f>
        <v>0</v>
      </c>
      <c r="I722" s="55">
        <f>SUM(F722:H722)</f>
        <v>0</v>
      </c>
      <c r="J722" s="1">
        <f>+J93+J404+J443+J491+J544+J580+J631+J669</f>
        <v>0</v>
      </c>
      <c r="K722" s="1">
        <f>+K93+K404+K443+K491+K544+K580+K631+K669</f>
        <v>0</v>
      </c>
      <c r="L722" s="1">
        <f>+L93+L404+L443+L491+L544+L580+L631+L669</f>
        <v>0</v>
      </c>
      <c r="M722" s="55">
        <f>SUM(J722:L722)</f>
        <v>0</v>
      </c>
      <c r="N722" s="1">
        <f>+N93+N404+N443+N491+N544+N580+N631+N669</f>
        <v>0</v>
      </c>
      <c r="O722" s="1">
        <f>+O93+O404+O443+O491+O544+O580+O631+O669</f>
        <v>0</v>
      </c>
      <c r="P722" s="1">
        <f>+P93+P404+P443+P491+P544+P580+P631+P669</f>
        <v>0</v>
      </c>
      <c r="Q722" s="55">
        <f>SUM(N722:P722)</f>
        <v>0</v>
      </c>
      <c r="R722" s="55">
        <f>+E722+I722+M722+Q722</f>
        <v>0</v>
      </c>
    </row>
    <row r="723" spans="1:20" ht="16.5" customHeight="1" thickBot="1" x14ac:dyDescent="0.35">
      <c r="A723" s="57" t="s">
        <v>59</v>
      </c>
      <c r="B723" s="86">
        <f>SUM(B719:B722)</f>
        <v>8014</v>
      </c>
      <c r="C723" s="87">
        <f>SUM(C719:C722)</f>
        <v>13765</v>
      </c>
      <c r="D723" s="87">
        <f>SUM(D719:D722)</f>
        <v>27663</v>
      </c>
      <c r="E723" s="59">
        <f>SUM(B723:D723)</f>
        <v>49442</v>
      </c>
      <c r="F723" s="87">
        <f>SUM(F719:F722)</f>
        <v>50055</v>
      </c>
      <c r="G723" s="87">
        <f>SUM(G719:G722)</f>
        <v>57758</v>
      </c>
      <c r="H723" s="87">
        <f>SUM(H719:H722)</f>
        <v>69565</v>
      </c>
      <c r="I723" s="59">
        <f>SUM(F723:H723)</f>
        <v>177378</v>
      </c>
      <c r="J723" s="87">
        <f>SUM(J719:J722)</f>
        <v>45844</v>
      </c>
      <c r="K723" s="87">
        <f>SUM(K719:K722)</f>
        <v>54580</v>
      </c>
      <c r="L723" s="87">
        <f>SUM(L719:L722)</f>
        <v>33233</v>
      </c>
      <c r="M723" s="59">
        <f>SUM(J723:L723)</f>
        <v>133657</v>
      </c>
      <c r="N723" s="87">
        <f>SUM(N719:N722)</f>
        <v>17216</v>
      </c>
      <c r="O723" s="87">
        <f>SUM(O719:O722)</f>
        <v>11827</v>
      </c>
      <c r="P723" s="87">
        <f>SUM(P719:P722)</f>
        <v>10480.000000000011</v>
      </c>
      <c r="Q723" s="59">
        <f>SUM(N723:P723)</f>
        <v>39523.000000000015</v>
      </c>
      <c r="R723" s="59">
        <f>+E723+I723+M723+Q723</f>
        <v>400000</v>
      </c>
    </row>
    <row r="724" spans="1:20" ht="15.75" customHeight="1" x14ac:dyDescent="0.3">
      <c r="A724" s="15" t="s">
        <v>60</v>
      </c>
      <c r="B724" s="1"/>
      <c r="C724" s="1"/>
      <c r="D724" s="1"/>
      <c r="E724" s="55" t="s">
        <v>7</v>
      </c>
      <c r="F724" s="1"/>
      <c r="G724" s="1"/>
      <c r="H724" s="1"/>
      <c r="I724" s="55" t="s">
        <v>7</v>
      </c>
      <c r="J724" s="1"/>
      <c r="K724" s="1"/>
      <c r="L724" s="1"/>
      <c r="M724" s="55" t="s">
        <v>7</v>
      </c>
      <c r="N724" s="1"/>
      <c r="O724" s="1"/>
      <c r="P724" s="1"/>
      <c r="Q724" s="55" t="s">
        <v>7</v>
      </c>
      <c r="R724" s="55" t="s">
        <v>7</v>
      </c>
    </row>
    <row r="725" spans="1:20" ht="15.75" customHeight="1" x14ac:dyDescent="0.3">
      <c r="A725" s="315" t="s">
        <v>61</v>
      </c>
      <c r="B725" s="1">
        <f>+B49+B96+B184+SUM(B315:B317)+B407+B446+B494+B547+SUM(B583:B584)+B634+SUM(B672:B674)</f>
        <v>4103</v>
      </c>
      <c r="C725" s="1">
        <f>+C49+C96+C184+SUM(C315:C317)+C407+C446+C494+C547+SUM(C583:C584)+C634+SUM(C672:C674)</f>
        <v>8534</v>
      </c>
      <c r="D725" s="1">
        <f>+D49+D96+D184+SUM(D315:D317)+D407+D446+D494+D547+SUM(D583:D584)+D634+SUM(D672:D674)</f>
        <v>12623</v>
      </c>
      <c r="E725" s="55">
        <f>SUM(B725:D725)</f>
        <v>25260</v>
      </c>
      <c r="F725" s="1">
        <f>+F49+F96+F184+SUM(F315:F317)+F407+F446+F494+F547+SUM(F583:F584)+F634+SUM(F672:F674)</f>
        <v>22470</v>
      </c>
      <c r="G725" s="1">
        <f>+G49+G96+G184+SUM(G315:G317)+G407+G446+G494+G547+SUM(G583:G584)+G634+SUM(G672:G674)</f>
        <v>23148</v>
      </c>
      <c r="H725" s="1">
        <f>+H49+H96+H184+SUM(H315:H317)+H407+H446+H494+H547+SUM(H583:H584)+H634+SUM(H672:H674)</f>
        <v>26082</v>
      </c>
      <c r="I725" s="55">
        <f>SUM(F725:H725)</f>
        <v>71700</v>
      </c>
      <c r="J725" s="1">
        <f>+J49+J96+J184+SUM(J315:J317)+J407+J446+J494+J547+SUM(J583:J584)+J634+SUM(J672:J674)</f>
        <v>20501</v>
      </c>
      <c r="K725" s="1">
        <f>+K49+K96+K184+SUM(K315:K317)+K407+K446+K494+K547+SUM(K583:K584)+K634+SUM(K672:K674)</f>
        <v>18202</v>
      </c>
      <c r="L725" s="1">
        <f>+L49+L96+L184+SUM(L315:L317)+L407+L446+L494+L547+SUM(L583:L584)+L634+SUM(L672:L674)</f>
        <v>15464</v>
      </c>
      <c r="M725" s="55">
        <f>SUM(J725:L725)</f>
        <v>54167</v>
      </c>
      <c r="N725" s="1">
        <f>+N49+N96+N184+SUM(N315:N317)+N407+N446+N494+N547+SUM(N583:N584)+N634+SUM(N672:N674)</f>
        <v>12735</v>
      </c>
      <c r="O725" s="1">
        <f>+O49+O96+O184+SUM(O315:O317)+O407+O446+O494+O547+SUM(O583:O584)+O634+SUM(O672:O674)</f>
        <v>945</v>
      </c>
      <c r="P725" s="1">
        <f>+P49+P96+P184+SUM(P315:P317)+P407+P446+P494+P547+SUM(P583:P584)+P634+SUM(P672:P674)</f>
        <v>6362</v>
      </c>
      <c r="Q725" s="55">
        <f>SUM(N725:P725)</f>
        <v>20042</v>
      </c>
      <c r="R725" s="55">
        <f>+E725+I725+M725+Q725</f>
        <v>171169</v>
      </c>
    </row>
    <row r="726" spans="1:20" ht="15.75" customHeight="1" thickBot="1" x14ac:dyDescent="0.35">
      <c r="A726" s="315" t="s">
        <v>62</v>
      </c>
      <c r="B726" s="1">
        <f>+B50+SUM(B97:B104)+SUM(B185:B218)+SUM(B318:B345)+B408+B447+SUM(B495:B496)+B548+SUM(B585:B588)+B635+SUM(B675:B678)</f>
        <v>12374</v>
      </c>
      <c r="C726" s="1">
        <f>+C50+SUM(C97:C104)+SUM(C185:C218)+SUM(C318:C345)+C408+C447+SUM(C495:C496)+C548+SUM(C585:C588)+C635+SUM(C675:C678)</f>
        <v>24512</v>
      </c>
      <c r="D726" s="1">
        <f>+D50+SUM(D97:D104)+SUM(D185:D218)+SUM(D318:D345)+D408+D447+SUM(D495:D496)+D548+SUM(D585:D588)+D635+SUM(D675:D678)</f>
        <v>34294</v>
      </c>
      <c r="E726" s="55">
        <f>SUM(B726:D726)</f>
        <v>71180</v>
      </c>
      <c r="F726" s="1">
        <f>+F50+SUM(F97:F104)+SUM(F185:F218)+SUM(F318:F345)+F408+F447+SUM(F495:F496)+F548+SUM(F585:F588)+F635+SUM(F675:F678)</f>
        <v>40718</v>
      </c>
      <c r="G726" s="1">
        <f>+G50+SUM(G97:G104)+SUM(G185:G218)+SUM(G318:G345)+G408+G447+SUM(G495:G496)+G548+SUM(G585:G588)+G635+SUM(G675:G678)</f>
        <v>44347</v>
      </c>
      <c r="H726" s="1">
        <f>+H50+SUM(H97:H104)+SUM(H185:H218)+SUM(H318:H345)+H408+H447+SUM(H495:H496)+H548+SUM(H585:H588)+H635+SUM(H675:H678)</f>
        <v>50333</v>
      </c>
      <c r="I726" s="55">
        <f>SUM(F726:H726)</f>
        <v>135398</v>
      </c>
      <c r="J726" s="1">
        <f>+J50+SUM(J97:J104)+SUM(J185:J218)+SUM(J318:J345)+J408+J447+SUM(J495:J496)+J548+SUM(J585:J588)+J635+SUM(J675:J678)</f>
        <v>45556</v>
      </c>
      <c r="K726" s="1">
        <f>+K50+SUM(K97:K104)+SUM(K185:K218)+SUM(K318:K345)+K408+K447+SUM(K495:K496)+K548+SUM(K585:K588)+K635+SUM(K675:K678)</f>
        <v>47333</v>
      </c>
      <c r="L726" s="1">
        <f>+L50+SUM(L97:L104)+SUM(L185:L218)+SUM(L318:L345)+L408+L447+SUM(L495:L496)+L548+SUM(L585:L588)+L635+SUM(L675:L678)</f>
        <v>27422</v>
      </c>
      <c r="M726" s="55">
        <f>SUM(J726:L726)</f>
        <v>120311</v>
      </c>
      <c r="N726" s="1">
        <f>+N50+SUM(N97:N104)+SUM(N185:N218)+SUM(N318:N345)+N408+N447+SUM(N495:N496)+N548+SUM(N585:N588)+N635+SUM(N675:N678)</f>
        <v>20701</v>
      </c>
      <c r="O726" s="1">
        <f>+O50+SUM(O97:O104)+SUM(O185:O218)+SUM(O318:O345)+O408+O447+SUM(O495:O496)+O548+SUM(O585:O588)+O635+SUM(O675:O678)</f>
        <v>12503</v>
      </c>
      <c r="P726" s="1">
        <f>+P50+SUM(P97:P104)+SUM(P185:P218)+SUM(P318:P345)+P408+P447+SUM(P495:P496)+P548+SUM(P585:P588)+P635+SUM(P675:P678)</f>
        <v>16805.000000000004</v>
      </c>
      <c r="Q726" s="55">
        <f>SUM(N726:P726)</f>
        <v>50009</v>
      </c>
      <c r="R726" s="55">
        <f>+E726+I726+M726+Q726</f>
        <v>376898</v>
      </c>
    </row>
    <row r="727" spans="1:20" ht="16.5" customHeight="1" thickBot="1" x14ac:dyDescent="0.35">
      <c r="A727" s="57" t="s">
        <v>63</v>
      </c>
      <c r="B727" s="86">
        <f>SUM(B724:B726)</f>
        <v>16477</v>
      </c>
      <c r="C727" s="87">
        <f>SUM(C724:C726)</f>
        <v>33046</v>
      </c>
      <c r="D727" s="118">
        <f>SUM(D724:D726)</f>
        <v>46917</v>
      </c>
      <c r="E727" s="59">
        <f>SUM(B727:D727)</f>
        <v>96440</v>
      </c>
      <c r="F727" s="87">
        <f>SUM(F724:F726)</f>
        <v>63188</v>
      </c>
      <c r="G727" s="87">
        <f>SUM(G724:G726)</f>
        <v>67495</v>
      </c>
      <c r="H727" s="87">
        <f>SUM(H724:H726)</f>
        <v>76415</v>
      </c>
      <c r="I727" s="59">
        <f>SUM(F727:H727)</f>
        <v>207098</v>
      </c>
      <c r="J727" s="87">
        <f>SUM(J724:J726)</f>
        <v>66057</v>
      </c>
      <c r="K727" s="87">
        <f>SUM(K724:K726)</f>
        <v>65535</v>
      </c>
      <c r="L727" s="87">
        <f>SUM(L724:L726)</f>
        <v>42886</v>
      </c>
      <c r="M727" s="59">
        <f>SUM(J727:L727)</f>
        <v>174478</v>
      </c>
      <c r="N727" s="87">
        <f>SUM(N724:N726)</f>
        <v>33436</v>
      </c>
      <c r="O727" s="87">
        <f>SUM(O724:O726)</f>
        <v>13448</v>
      </c>
      <c r="P727" s="87">
        <f>SUM(P724:P726)</f>
        <v>23167.000000000004</v>
      </c>
      <c r="Q727" s="59">
        <f>SUM(N727:P727)</f>
        <v>70051</v>
      </c>
      <c r="R727" s="59">
        <f>+E727+I727+M727+Q727</f>
        <v>548067</v>
      </c>
      <c r="T727" s="4">
        <v>1600000</v>
      </c>
    </row>
    <row r="728" spans="1:20" ht="15.75" customHeight="1" x14ac:dyDescent="0.3">
      <c r="A728" s="15" t="s">
        <v>1018</v>
      </c>
      <c r="B728" s="1"/>
      <c r="C728" s="1"/>
      <c r="D728" s="1"/>
      <c r="E728" s="55" t="s">
        <v>7</v>
      </c>
      <c r="F728" s="1"/>
      <c r="G728" s="1"/>
      <c r="H728" s="1"/>
      <c r="I728" s="55" t="s">
        <v>7</v>
      </c>
      <c r="J728" s="1"/>
      <c r="K728" s="1"/>
      <c r="L728" s="1"/>
      <c r="M728" s="55" t="s">
        <v>7</v>
      </c>
      <c r="N728" s="1"/>
      <c r="O728" s="1"/>
      <c r="P728" s="1"/>
      <c r="Q728" s="55" t="s">
        <v>7</v>
      </c>
      <c r="R728" s="55" t="s">
        <v>7</v>
      </c>
      <c r="T728" s="4">
        <f>+T727-28000-R712-R713-400000-R725-R726+12000</f>
        <v>165678</v>
      </c>
    </row>
    <row r="729" spans="1:20" ht="15.75" customHeight="1" x14ac:dyDescent="0.3">
      <c r="A729" s="15" t="s">
        <v>1019</v>
      </c>
      <c r="B729" s="1">
        <f>SUM(B53:B53)+SUM(B107:B114)+SUM(B221:B226)+SUM(B348:B350)+SUM(B411:B411)+B450+SUM(B499:B501)+B551+B591+B638+SUM(B681:B683)</f>
        <v>0</v>
      </c>
      <c r="C729" s="1">
        <f>SUM(C53:C53)+SUM(C107:C114)+SUM(C221:C226)+SUM(C348:C350)+SUM(C411:C411)+C450+SUM(C499:C501)+C551+C591+C638+SUM(C681:C683)</f>
        <v>0</v>
      </c>
      <c r="D729" s="1">
        <f>SUM(D53:D53)+SUM(D107:D114)+SUM(D221:D226)+SUM(D348:D350)+SUM(D411:D411)+D450+SUM(D499:D501)+D551+D591+D638+SUM(D681:D683)</f>
        <v>0</v>
      </c>
      <c r="E729" s="55">
        <f t="shared" ref="E729:E737" si="104">SUM(B729:D729)</f>
        <v>0</v>
      </c>
      <c r="F729" s="1">
        <f>SUM(F53:F53)+SUM(F107:F114)+SUM(F221:F226)+SUM(F348:F350)+SUM(F411:F411)+F450+SUM(F499:F501)+F551+F591+F638+SUM(F681:F683)</f>
        <v>0</v>
      </c>
      <c r="G729" s="1">
        <f>SUM(G53:G53)+SUM(G107:G114)+SUM(G221:G226)+SUM(G348:G350)+SUM(G411:G411)+G450+SUM(G499:G501)+G551+G591+G638+SUM(G681:G683)</f>
        <v>0</v>
      </c>
      <c r="H729" s="1">
        <f>SUM(H53:H53)+SUM(H107:H114)+SUM(H221:H226)+SUM(H348:H350)+SUM(H411:H411)+H450+SUM(H499:H501)+H551+H591+H638+SUM(H681:H683)</f>
        <v>0</v>
      </c>
      <c r="I729" s="55">
        <f t="shared" ref="I729:I737" si="105">SUM(F729:H729)</f>
        <v>0</v>
      </c>
      <c r="J729" s="1">
        <f>SUM(J53:J53)+SUM(J107:J114)+SUM(J221:J226)+SUM(J348:J350)+SUM(J411:J411)+J450+SUM(J499:J501)+J551+J591+J638+SUM(J681:J683)</f>
        <v>484</v>
      </c>
      <c r="K729" s="1">
        <f>SUM(K53:K53)+SUM(K107:K114)+SUM(K221:K226)+SUM(K348:K350)+SUM(K411:K411)+K450+SUM(K499:K501)+K551+K591+K638+SUM(K681:K683)</f>
        <v>484</v>
      </c>
      <c r="L729" s="1">
        <f>SUM(L53:L53)+SUM(L107:L114)+SUM(L221:L226)+SUM(L348:L350)+SUM(L411:L411)+L450+SUM(L499:L501)+L551+L591+L638+SUM(L681:L683)</f>
        <v>684</v>
      </c>
      <c r="M729" s="55">
        <f t="shared" ref="M729:M737" si="106">SUM(J729:L729)</f>
        <v>1652</v>
      </c>
      <c r="N729" s="1">
        <f>SUM(N53:N53)+SUM(N107:N114)+SUM(N221:N226)+SUM(N348:N350)+SUM(N411:N411)+N450+SUM(N499:N501)+N551+N591+N638+SUM(N681:N683)</f>
        <v>534</v>
      </c>
      <c r="O729" s="1">
        <f>SUM(O53:O53)+SUM(O107:O114)+SUM(O221:O226)+SUM(O348:O350)+SUM(O411:O411)+O450+SUM(O499:O501)+O551+O591+O638+SUM(O681:O683)</f>
        <v>484</v>
      </c>
      <c r="P729" s="1">
        <f>SUM(P53:P53)+SUM(P107:P114)+SUM(P221:P226)+SUM(P348:P350)+SUM(P411:P411)+P450+SUM(P499:P501)+P551+P591+P638+SUM(P681:P683)</f>
        <v>604</v>
      </c>
      <c r="Q729" s="55">
        <f t="shared" ref="Q729:Q737" si="107">SUM(N729:P729)</f>
        <v>1622</v>
      </c>
      <c r="R729" s="55">
        <f t="shared" ref="R729:R737" si="108">+E729+I729+M729+Q729</f>
        <v>3274</v>
      </c>
    </row>
    <row r="730" spans="1:20" ht="15.75" customHeight="1" x14ac:dyDescent="0.3">
      <c r="A730" s="15" t="s">
        <v>67</v>
      </c>
      <c r="B730" s="1">
        <f>SUM(B54:B55)+SUM(B115:B116)+SUM(B227:B228)+B230+B232+B234+B235+SUM(B351:B353)+B412+B451+SUM(B502:B503)+B505+SUM(B552:B553)+B593+B595+B639+SUM(B684:B685)</f>
        <v>18145</v>
      </c>
      <c r="C730" s="1">
        <f>SUM(C54:C55)+SUM(C115:C116)+SUM(C227:C228)+C230+C232+C234+C235+SUM(C351:C353)+C412+C451+SUM(C502:C503)+C505+SUM(C552:C553)+C593+C595+C639+SUM(C684:C685)</f>
        <v>22199</v>
      </c>
      <c r="D730" s="1">
        <f>SUM(D54:D55)+SUM(D115:D116)+SUM(D227:D228)+D230+D232+D234+D235+SUM(D351:D353)+D412+D451+SUM(D502:D503)+D505+SUM(D552:D553)+D593+D595+D639+SUM(D684:D685)</f>
        <v>22338</v>
      </c>
      <c r="E730" s="55">
        <f t="shared" si="104"/>
        <v>62682</v>
      </c>
      <c r="F730" s="1">
        <f>SUM(F54:F55)+SUM(F115:F116)+SUM(F227:F228)+F230+F232+F234+F235+SUM(F351:F353)+F412+F451+SUM(F502:F503)+F505+SUM(F552:F553)+F593+F595+F639+SUM(F684:F685)</f>
        <v>3994</v>
      </c>
      <c r="G730" s="1">
        <f>SUM(G54:G55)+SUM(G115:G116)+SUM(G227:G228)+G230+G232+G234+G235+SUM(G351:G353)+G412+G451+SUM(G502:G503)+G505+SUM(G552:G553)+G593+G595+G639+SUM(G684:G685)</f>
        <v>2000</v>
      </c>
      <c r="H730" s="1">
        <f>SUM(H54:H55)+SUM(H115:H116)+SUM(H227:H228)+H230+H232+H234+H235+SUM(H351:H353)+H412+H451+SUM(H502:H503)+H505+SUM(H552:H553)+H593+H595+H639+SUM(H684:H685)</f>
        <v>0</v>
      </c>
      <c r="I730" s="55">
        <f t="shared" si="105"/>
        <v>5994</v>
      </c>
      <c r="J730" s="1">
        <f>SUM(J54:J55)+SUM(J115:J116)+SUM(J227:J228)+J230+J232+J234+J235+SUM(J351:J353)+J412+J451+SUM(J502:J503)+J505+SUM(J552:J553)+J593+J595+J639+SUM(J684:J685)</f>
        <v>0</v>
      </c>
      <c r="K730" s="1">
        <f>SUM(K54:K55)+SUM(K115:K116)+SUM(K227:K228)+K230+K232+K234+K235+SUM(K351:K353)+K412+K451+SUM(K502:K503)+K505+SUM(K552:K553)+K593+K595+K639+SUM(K684:K685)</f>
        <v>0</v>
      </c>
      <c r="L730" s="1">
        <f>SUM(L54:L55)+SUM(L115:L116)+SUM(L227:L228)+L230+L232+L234+L235+SUM(L351:L353)+L412+L451+SUM(L502:L503)+L505+SUM(L552:L553)+L593+L595+L639+SUM(L684:L685)</f>
        <v>0</v>
      </c>
      <c r="M730" s="55">
        <f t="shared" si="106"/>
        <v>0</v>
      </c>
      <c r="N730" s="1">
        <f>SUM(N54:N55)+SUM(N115:N116)+SUM(N227:N228)+N230+N232+N234+N235+SUM(N351:N353)+N412+N451+SUM(N502:N503)+N505+SUM(N552:N553)+N593+N595+N639+SUM(N684:N685)</f>
        <v>2698</v>
      </c>
      <c r="O730" s="1">
        <f>SUM(O54:O55)+SUM(O115:O116)+SUM(O227:O228)+O230+O232+O234+O235+SUM(O351:O353)+O412+O451+SUM(O502:O503)+O505+SUM(O552:O553)+O593+O595+O639+SUM(O684:O685)</f>
        <v>802</v>
      </c>
      <c r="P730" s="1">
        <f>SUM(P54:P55)+SUM(P115:P116)+SUM(P227:P228)+P230+P232+P234+P235+SUM(P351:P353)+P412+P451+SUM(P502:P503)+P505+SUM(P552:P553)+P593+P595+P639+SUM(P684:P685)</f>
        <v>5240</v>
      </c>
      <c r="Q730" s="55">
        <f t="shared" si="107"/>
        <v>8740</v>
      </c>
      <c r="R730" s="55">
        <f t="shared" si="108"/>
        <v>77416</v>
      </c>
    </row>
    <row r="731" spans="1:20" ht="15.75" customHeight="1" x14ac:dyDescent="0.3">
      <c r="A731" s="71" t="s">
        <v>378</v>
      </c>
      <c r="B731" s="1">
        <f>B117+B229+B231+B233+B504+B506+B594+B596+B686</f>
        <v>0</v>
      </c>
      <c r="C731" s="1">
        <f>C117+C229+C231+C233+C504+C506+C594+C596+C686</f>
        <v>0</v>
      </c>
      <c r="D731" s="1">
        <f>D117+D229+D231+D233+D504+D506+D594+D596+D686</f>
        <v>0</v>
      </c>
      <c r="E731" s="55">
        <f t="shared" si="104"/>
        <v>0</v>
      </c>
      <c r="F731" s="1">
        <f>F117+F229+F231+F233+F504+F506+F594+F596+F686</f>
        <v>0</v>
      </c>
      <c r="G731" s="1">
        <f>G117+G229+G231+G233+G504+G506+G594+G596+G686</f>
        <v>0</v>
      </c>
      <c r="H731" s="1">
        <f>H117+H229+H231+H233+H504+H506+H594+H596+H686</f>
        <v>0</v>
      </c>
      <c r="I731" s="55">
        <f t="shared" si="105"/>
        <v>0</v>
      </c>
      <c r="J731" s="1">
        <f>J117+J229+J231+J233+J504+J506+J594+J596+J686</f>
        <v>0</v>
      </c>
      <c r="K731" s="1">
        <f>K117+K229+K231+K233+K504+K506+K594+K596+K686</f>
        <v>0</v>
      </c>
      <c r="L731" s="1">
        <f>L117+L229+L231+L233+L504+L506+L594+L596+L686</f>
        <v>0</v>
      </c>
      <c r="M731" s="55">
        <f t="shared" si="106"/>
        <v>0</v>
      </c>
      <c r="N731" s="1">
        <f>N117+N229+N231+N233+N504+N506+N594+N596+N686</f>
        <v>0</v>
      </c>
      <c r="O731" s="1">
        <f>O117+O229+O231+O233+O504+O506+O594+O596+O686</f>
        <v>0</v>
      </c>
      <c r="P731" s="1">
        <f>P117+P229+P231+P233+P504+P506+P594+P596+P686</f>
        <v>0</v>
      </c>
      <c r="Q731" s="55">
        <f t="shared" si="107"/>
        <v>0</v>
      </c>
      <c r="R731" s="55">
        <f t="shared" si="108"/>
        <v>0</v>
      </c>
    </row>
    <row r="732" spans="1:20" ht="15.75" customHeight="1" x14ac:dyDescent="0.3">
      <c r="A732" s="15" t="s">
        <v>1020</v>
      </c>
      <c r="B732" s="1">
        <f>+B56+SUM(B118:B119)+SUM(B236:B236)+SUM(B354:B360)+SUM(B413:B413)+SUM(B452:B453)+B507+B554+B597+B687+B687</f>
        <v>0</v>
      </c>
      <c r="C732" s="1">
        <f>+C56+SUM(C118:C119)+SUM(C236:C236)+SUM(C354:C360)+SUM(C413:C413)+SUM(C452:C453)+C507+C554+C597+C687+C687</f>
        <v>0</v>
      </c>
      <c r="D732" s="1">
        <f>+D56+SUM(D118:D119)+SUM(D236:D236)+SUM(D354:D360)+SUM(D413:D413)+SUM(D452:D453)+D507+D554+D597+D687+D687</f>
        <v>0</v>
      </c>
      <c r="E732" s="55">
        <f t="shared" si="104"/>
        <v>0</v>
      </c>
      <c r="F732" s="1">
        <f>+F56+SUM(F118:F119)+SUM(F236:F236)+SUM(F354:F360)+SUM(F413:F413)+SUM(F452:F453)+F507+F554+F597+F687+F687</f>
        <v>1175</v>
      </c>
      <c r="G732" s="1">
        <f>+G56+SUM(G118:G119)+SUM(G236:G236)+SUM(G354:G360)+SUM(G413:G413)+SUM(G452:G453)+G507+G554+G597+G687+G687</f>
        <v>10</v>
      </c>
      <c r="H732" s="1">
        <f>+H56+SUM(H118:H119)+SUM(H236:H236)+SUM(H354:H360)+SUM(H413:H413)+SUM(H452:H453)+H507+H554+H597+H687+H687</f>
        <v>11208</v>
      </c>
      <c r="I732" s="55">
        <f t="shared" si="105"/>
        <v>12393</v>
      </c>
      <c r="J732" s="1">
        <f>+J56+SUM(J118:J119)+SUM(J236:J236)+SUM(J354:J360)+SUM(J413:J413)+SUM(J452:J453)+J507+J554+J597+J687+J687</f>
        <v>6899</v>
      </c>
      <c r="K732" s="1">
        <f>+K56+SUM(K118:K119)+SUM(K236:K236)+SUM(K354:K360)+SUM(K413:K413)+SUM(K452:K453)+K507+K554+K597+K687+K687</f>
        <v>1872</v>
      </c>
      <c r="L732" s="1">
        <f>+L56+SUM(L118:L119)+SUM(L236:L236)+SUM(L354:L360)+SUM(L413:L413)+SUM(L452:L453)+L507+L554+L597+L687+L687</f>
        <v>660</v>
      </c>
      <c r="M732" s="55">
        <f t="shared" si="106"/>
        <v>9431</v>
      </c>
      <c r="N732" s="1">
        <f>+N56+SUM(N118:N119)+SUM(N236:N236)+SUM(N354:N360)+SUM(N413:N413)+SUM(N452:N453)+N507+N554+N597+N687+N687</f>
        <v>995</v>
      </c>
      <c r="O732" s="1">
        <f>+O56+SUM(O118:O119)+SUM(O236:O236)+SUM(O354:O360)+SUM(O413:O413)+SUM(O452:O453)+O507+O554+O597+O687+O687</f>
        <v>625</v>
      </c>
      <c r="P732" s="1">
        <f>+P56+SUM(P118:P119)+SUM(P236:P236)+SUM(P354:P360)+SUM(P413:P413)+SUM(P452:P453)+P507+P554+P597+P687+P687</f>
        <v>311</v>
      </c>
      <c r="Q732" s="55">
        <f t="shared" si="107"/>
        <v>1931</v>
      </c>
      <c r="R732" s="55">
        <f>+E732+I732+M732+Q732</f>
        <v>23755</v>
      </c>
    </row>
    <row r="733" spans="1:20" ht="15.75" customHeight="1" x14ac:dyDescent="0.3">
      <c r="A733" s="15" t="s">
        <v>70</v>
      </c>
      <c r="B733" s="1">
        <f>SUM(B120:B120)+SUM(B237:B237)+B362+B364+B365+B367+B369+SUM(B414:B415)+B455+B457+B508+SUM(B509:B510)+B555+B598+B641+B688</f>
        <v>1523</v>
      </c>
      <c r="C733" s="1">
        <f>SUM(C120:C120)+SUM(C237:C237)+C362+C364+C365+C367+C369+SUM(C414:C415)+C455+C457+C508+SUM(C509:C510)+C555+C598+C641+C688</f>
        <v>1020</v>
      </c>
      <c r="D733" s="1">
        <f>SUM(D120:D120)+SUM(D237:D237)+D362+D364+D365+D367+D369+SUM(D414:D415)+D455+D457+D508+SUM(D509:D510)+D555+D598+D641+D688</f>
        <v>4658</v>
      </c>
      <c r="E733" s="55">
        <f t="shared" si="104"/>
        <v>7201</v>
      </c>
      <c r="F733" s="1">
        <f>SUM(F120:F120)+SUM(F237:F237)+F362+F364+F365+F367+F369+SUM(F414:F415)+F455+F457+F508+SUM(F509:F510)+F555+F598+F641+F688</f>
        <v>3439</v>
      </c>
      <c r="G733" s="1">
        <f>SUM(G120:G120)+SUM(G237:G237)+G362+G364+G365+G367+G369+SUM(G414:G415)+G455+G457+G508+SUM(G509:G510)+G555+G598+G641+G688</f>
        <v>3018</v>
      </c>
      <c r="H733" s="1">
        <f>SUM(H120:H120)+SUM(H237:H237)+H362+H364+H365+H367+H369+SUM(H414:H415)+H455+H457+H508+SUM(H509:H510)+H555+H598+H641+H688</f>
        <v>3032</v>
      </c>
      <c r="I733" s="55">
        <f t="shared" si="105"/>
        <v>9489</v>
      </c>
      <c r="J733" s="1">
        <f>SUM(J120:J120)+SUM(J237:J237)+J362+J364+J365+J367+J369+SUM(J414:J415)+J455+J457+J508+SUM(J509:J510)+J555+J598+J641+J688</f>
        <v>7208</v>
      </c>
      <c r="K733" s="1">
        <f>SUM(K120:K120)+SUM(K237:K237)+K362+K364+K365+K367+K369+SUM(K414:K415)+K455+K457+K508+SUM(K509:K510)+K555+K598+K641+K688</f>
        <v>2059</v>
      </c>
      <c r="L733" s="1">
        <f>SUM(L120:L120)+SUM(L237:L237)+L362+L364+L365+L367+L369+SUM(L414:L415)+L455+L457+L508+SUM(L509:L510)+L555+L598+L641+L688</f>
        <v>11595</v>
      </c>
      <c r="M733" s="55">
        <f t="shared" si="106"/>
        <v>20862</v>
      </c>
      <c r="N733" s="1">
        <f>SUM(N120:N120)+SUM(N237:N237)+N362+N364+N365+N367+N369+SUM(N414:N415)+N455+N457+N508+SUM(N509:N510)+N555+N598+N641+N688</f>
        <v>8954</v>
      </c>
      <c r="O733" s="1">
        <f>SUM(O120:O120)+SUM(O237:O237)+O362+O364+O365+O367+O369+SUM(O414:O415)+O455+O457+O508+SUM(O509:O510)+O555+O598+O641+O688</f>
        <v>1866</v>
      </c>
      <c r="P733" s="1">
        <f>SUM(P120:P120)+SUM(P237:P237)+P362+P364+P365+P367+P369+SUM(P414:P415)+P455+P457+P508+SUM(P509:P510)+P555+P598+P641+P688</f>
        <v>7185</v>
      </c>
      <c r="Q733" s="55">
        <f t="shared" si="107"/>
        <v>18005</v>
      </c>
      <c r="R733" s="55">
        <f t="shared" si="108"/>
        <v>55557</v>
      </c>
    </row>
    <row r="734" spans="1:20" ht="15.75" customHeight="1" thickBot="1" x14ac:dyDescent="0.35">
      <c r="A734" s="71" t="s">
        <v>379</v>
      </c>
      <c r="B734" s="1">
        <f>+B363+B366+B368+B416</f>
        <v>0</v>
      </c>
      <c r="C734" s="1">
        <f>+C363+C366+C368+C416</f>
        <v>0</v>
      </c>
      <c r="D734" s="1">
        <f>+D363+D366+D368+D416</f>
        <v>0</v>
      </c>
      <c r="E734" s="55">
        <f>SUM(B734:D734)</f>
        <v>0</v>
      </c>
      <c r="F734" s="1">
        <f>+F363+F366+F368+F416</f>
        <v>0</v>
      </c>
      <c r="G734" s="1">
        <f>+G363+G366+G368+G416</f>
        <v>0</v>
      </c>
      <c r="H734" s="1">
        <f>+H363+H366+H368+H416</f>
        <v>0</v>
      </c>
      <c r="I734" s="55">
        <f>SUM(F734:H734)</f>
        <v>0</v>
      </c>
      <c r="J734" s="1">
        <f>+J363+J366+J368+J416</f>
        <v>0</v>
      </c>
      <c r="K734" s="1">
        <f>+K363+K366+K368+K416</f>
        <v>0</v>
      </c>
      <c r="L734" s="1">
        <f>+L363+L366+L368+L416</f>
        <v>0</v>
      </c>
      <c r="M734" s="55">
        <f>SUM(J734:L734)</f>
        <v>0</v>
      </c>
      <c r="N734" s="1">
        <f>+N363+N366+N368+N416</f>
        <v>0</v>
      </c>
      <c r="O734" s="1">
        <f>+O363+O366+O368+O416</f>
        <v>0</v>
      </c>
      <c r="P734" s="1">
        <f>+P363+P366+P368+P416</f>
        <v>0</v>
      </c>
      <c r="Q734" s="55">
        <f>SUM(N734:P734)</f>
        <v>0</v>
      </c>
      <c r="R734" s="55">
        <f>+E734+I734+M734+Q734</f>
        <v>0</v>
      </c>
    </row>
    <row r="735" spans="1:20" ht="16.5" customHeight="1" thickBot="1" x14ac:dyDescent="0.35">
      <c r="A735" s="57" t="s">
        <v>71</v>
      </c>
      <c r="B735" s="146">
        <f>SUM(B732:B734)</f>
        <v>1523</v>
      </c>
      <c r="C735" s="146">
        <f>SUM(C732:C734)</f>
        <v>1020</v>
      </c>
      <c r="D735" s="146">
        <f>SUM(D732:D734)</f>
        <v>4658</v>
      </c>
      <c r="E735" s="60">
        <f t="shared" si="104"/>
        <v>7201</v>
      </c>
      <c r="F735" s="146">
        <f>SUM(F732:F734)</f>
        <v>4614</v>
      </c>
      <c r="G735" s="146">
        <f>SUM(G732:G734)</f>
        <v>3028</v>
      </c>
      <c r="H735" s="146">
        <f>SUM(H732:H734)</f>
        <v>14240</v>
      </c>
      <c r="I735" s="60">
        <f t="shared" si="105"/>
        <v>21882</v>
      </c>
      <c r="J735" s="146">
        <f>SUM(J732:J734)</f>
        <v>14107</v>
      </c>
      <c r="K735" s="146">
        <f>SUM(K732:K734)</f>
        <v>3931</v>
      </c>
      <c r="L735" s="146">
        <f>SUM(L732:L734)</f>
        <v>12255</v>
      </c>
      <c r="M735" s="60">
        <f t="shared" si="106"/>
        <v>30293</v>
      </c>
      <c r="N735" s="146">
        <f>SUM(N732:N734)</f>
        <v>9949</v>
      </c>
      <c r="O735" s="146">
        <f>SUM(O732:O734)</f>
        <v>2491</v>
      </c>
      <c r="P735" s="146">
        <f>SUM(P732:P734)</f>
        <v>7496</v>
      </c>
      <c r="Q735" s="60">
        <f t="shared" si="107"/>
        <v>19936</v>
      </c>
      <c r="R735" s="59">
        <f t="shared" si="108"/>
        <v>79312</v>
      </c>
    </row>
    <row r="736" spans="1:20" ht="16.5" customHeight="1" thickBot="1" x14ac:dyDescent="0.35">
      <c r="A736" s="114" t="s">
        <v>72</v>
      </c>
      <c r="B736" s="86">
        <f>SUM(B728:B734)</f>
        <v>19668</v>
      </c>
      <c r="C736" s="87">
        <f>SUM(C728:C734)</f>
        <v>23219</v>
      </c>
      <c r="D736" s="118">
        <f>SUM(D728:D734)</f>
        <v>26996</v>
      </c>
      <c r="E736" s="147">
        <f t="shared" si="104"/>
        <v>69883</v>
      </c>
      <c r="F736" s="86">
        <f>SUM(F728:F734)</f>
        <v>8608</v>
      </c>
      <c r="G736" s="87">
        <f>SUM(G728:G734)</f>
        <v>5028</v>
      </c>
      <c r="H736" s="118">
        <f>SUM(H728:H734)</f>
        <v>14240</v>
      </c>
      <c r="I736" s="60">
        <f t="shared" si="105"/>
        <v>27876</v>
      </c>
      <c r="J736" s="86">
        <f>SUM(J728:J734)</f>
        <v>14591</v>
      </c>
      <c r="K736" s="87">
        <f>SUM(K728:K734)</f>
        <v>4415</v>
      </c>
      <c r="L736" s="118">
        <f>SUM(L728:L734)</f>
        <v>12939</v>
      </c>
      <c r="M736" s="60">
        <f t="shared" si="106"/>
        <v>31945</v>
      </c>
      <c r="N736" s="86">
        <f>SUM(N728:N734)</f>
        <v>13181</v>
      </c>
      <c r="O736" s="87">
        <f>SUM(O728:O734)</f>
        <v>3777</v>
      </c>
      <c r="P736" s="118">
        <f>SUM(P728:P734)</f>
        <v>13340</v>
      </c>
      <c r="Q736" s="60">
        <f t="shared" si="107"/>
        <v>30298</v>
      </c>
      <c r="R736" s="59">
        <f t="shared" si="108"/>
        <v>160002</v>
      </c>
    </row>
    <row r="737" spans="1:18" ht="16.5" customHeight="1" thickBot="1" x14ac:dyDescent="0.35">
      <c r="A737" s="57" t="s">
        <v>73</v>
      </c>
      <c r="B737" s="148">
        <f>+B718+B723+B727+B736</f>
        <v>71862</v>
      </c>
      <c r="C737" s="149">
        <f>+C718+C723+C727+C736</f>
        <v>97013</v>
      </c>
      <c r="D737" s="149">
        <f>+D718+D723+D727+D736</f>
        <v>138394</v>
      </c>
      <c r="E737" s="59">
        <f t="shared" si="104"/>
        <v>307269</v>
      </c>
      <c r="F737" s="58">
        <f>+F718+F723+F727+F736</f>
        <v>173973</v>
      </c>
      <c r="G737" s="58">
        <f>+G718+G723+G727+G736</f>
        <v>190845</v>
      </c>
      <c r="H737" s="58">
        <f>+H718+H723+H727+H736</f>
        <v>207776</v>
      </c>
      <c r="I737" s="59">
        <f t="shared" si="105"/>
        <v>572594</v>
      </c>
      <c r="J737" s="58">
        <f>+J718+J723+J727+J736</f>
        <v>174557</v>
      </c>
      <c r="K737" s="58">
        <f>+K718+K723+K727+K736</f>
        <v>175287</v>
      </c>
      <c r="L737" s="58">
        <f>+L718+L723+L727+L736</f>
        <v>133433</v>
      </c>
      <c r="M737" s="59">
        <f t="shared" si="106"/>
        <v>483277</v>
      </c>
      <c r="N737" s="58">
        <f>+N718+N723+N727+N736</f>
        <v>101903</v>
      </c>
      <c r="O737" s="58">
        <f>+O718+O723+O727+O736</f>
        <v>59004</v>
      </c>
      <c r="P737" s="58">
        <f>+P718+P723+P727+P736</f>
        <v>74452.000000000015</v>
      </c>
      <c r="Q737" s="59">
        <f t="shared" si="107"/>
        <v>235359</v>
      </c>
      <c r="R737" s="81">
        <f t="shared" si="108"/>
        <v>1598499</v>
      </c>
    </row>
    <row r="738" spans="1:18" ht="15.75" customHeight="1" x14ac:dyDescent="0.3">
      <c r="A738" s="1" t="s">
        <v>1022</v>
      </c>
      <c r="B738" s="1"/>
      <c r="C738" s="1"/>
      <c r="D738" s="1"/>
      <c r="E738" s="1"/>
      <c r="F738" s="1"/>
      <c r="G738" s="1"/>
      <c r="H738" s="1"/>
      <c r="I738" s="1"/>
      <c r="J738" s="1"/>
      <c r="K738" s="1"/>
      <c r="L738" s="1"/>
      <c r="M738" s="1"/>
      <c r="N738" s="1"/>
      <c r="O738" s="316"/>
      <c r="P738" s="1"/>
      <c r="Q738" s="1"/>
      <c r="R738" s="2"/>
    </row>
    <row r="739" spans="1:18" ht="15.75" customHeight="1" x14ac:dyDescent="0.3">
      <c r="A739" s="1"/>
      <c r="B739" s="1"/>
      <c r="C739" s="1"/>
      <c r="D739" s="1"/>
      <c r="E739" s="1"/>
      <c r="F739" s="1"/>
      <c r="G739" s="1"/>
      <c r="H739" s="1"/>
      <c r="I739" s="1"/>
      <c r="J739" s="1"/>
      <c r="K739" s="1"/>
      <c r="L739" s="1"/>
      <c r="M739" s="1"/>
      <c r="N739" s="1"/>
      <c r="O739" s="316"/>
      <c r="P739" s="1"/>
      <c r="Q739" s="1"/>
      <c r="R739" s="2"/>
    </row>
    <row r="740" spans="1:18" ht="15.75" customHeight="1" x14ac:dyDescent="0.3">
      <c r="A740" s="1"/>
      <c r="B740" s="1"/>
      <c r="C740" s="1"/>
      <c r="D740" s="1"/>
      <c r="E740" s="1"/>
      <c r="F740" s="1"/>
      <c r="G740" s="1"/>
      <c r="H740" s="1"/>
      <c r="I740" s="1"/>
      <c r="J740" s="1"/>
      <c r="K740" s="1"/>
      <c r="L740" s="1"/>
      <c r="M740" s="1"/>
      <c r="N740" s="1"/>
      <c r="O740" s="316"/>
      <c r="P740" s="1"/>
      <c r="Q740" s="2" t="str">
        <f>+Q1</f>
        <v>PRINTED:</v>
      </c>
      <c r="R740" s="3">
        <f ca="1">+R1</f>
        <v>44909.46975358796</v>
      </c>
    </row>
    <row r="741" spans="1:18" ht="15.75" customHeight="1" x14ac:dyDescent="0.3">
      <c r="A741" s="499" t="s">
        <v>1</v>
      </c>
      <c r="B741" s="499"/>
      <c r="C741" s="499"/>
      <c r="D741" s="499"/>
      <c r="E741" s="499"/>
      <c r="F741" s="499"/>
      <c r="G741" s="499"/>
      <c r="H741" s="499"/>
      <c r="I741" s="499"/>
      <c r="J741" s="499"/>
      <c r="K741" s="499"/>
      <c r="L741" s="499"/>
      <c r="M741" s="499"/>
      <c r="N741" s="499"/>
      <c r="O741" s="499"/>
      <c r="P741" s="499"/>
      <c r="Q741" s="499"/>
      <c r="R741" s="499"/>
    </row>
    <row r="742" spans="1:18" ht="15.75" customHeight="1" x14ac:dyDescent="0.3">
      <c r="A742" s="499" t="s">
        <v>2</v>
      </c>
      <c r="B742" s="499"/>
      <c r="C742" s="499"/>
      <c r="D742" s="499"/>
      <c r="E742" s="499"/>
      <c r="F742" s="499"/>
      <c r="G742" s="499"/>
      <c r="H742" s="499"/>
      <c r="I742" s="499"/>
      <c r="J742" s="499"/>
      <c r="K742" s="499"/>
      <c r="L742" s="499"/>
      <c r="M742" s="499"/>
      <c r="N742" s="499"/>
      <c r="O742" s="499"/>
      <c r="P742" s="499"/>
      <c r="Q742" s="499"/>
      <c r="R742" s="499"/>
    </row>
    <row r="743" spans="1:18" ht="15.75" customHeight="1" x14ac:dyDescent="0.3">
      <c r="A743" s="499" t="s">
        <v>3</v>
      </c>
      <c r="B743" s="499"/>
      <c r="C743" s="499"/>
      <c r="D743" s="499"/>
      <c r="E743" s="499"/>
      <c r="F743" s="499"/>
      <c r="G743" s="499"/>
      <c r="H743" s="499"/>
      <c r="I743" s="499"/>
      <c r="J743" s="499"/>
      <c r="K743" s="499"/>
      <c r="L743" s="499"/>
      <c r="M743" s="499"/>
      <c r="N743" s="499"/>
      <c r="O743" s="499"/>
      <c r="P743" s="499"/>
      <c r="Q743" s="499"/>
      <c r="R743" s="499"/>
    </row>
    <row r="744" spans="1:18" ht="15.75" customHeight="1" x14ac:dyDescent="0.3">
      <c r="A744" s="499" t="str">
        <f>+A5</f>
        <v>Calendar Year 2012</v>
      </c>
      <c r="B744" s="499"/>
      <c r="C744" s="499"/>
      <c r="D744" s="499"/>
      <c r="E744" s="499"/>
      <c r="F744" s="499"/>
      <c r="G744" s="499"/>
      <c r="H744" s="499"/>
      <c r="I744" s="499"/>
      <c r="J744" s="499"/>
      <c r="K744" s="499"/>
      <c r="L744" s="499"/>
      <c r="M744" s="499"/>
      <c r="N744" s="499"/>
      <c r="O744" s="499"/>
      <c r="P744" s="499"/>
      <c r="Q744" s="499"/>
      <c r="R744" s="499"/>
    </row>
    <row r="745" spans="1:18" ht="15.75" customHeight="1" x14ac:dyDescent="0.3">
      <c r="A745" s="1"/>
      <c r="B745" s="1"/>
      <c r="C745" s="1"/>
      <c r="D745" s="5"/>
      <c r="E745" s="5"/>
      <c r="F745" s="5"/>
      <c r="G745" s="6"/>
      <c r="H745" s="5"/>
      <c r="I745" s="5"/>
      <c r="J745" s="6"/>
      <c r="K745" s="6"/>
      <c r="L745" s="6"/>
      <c r="M745" s="6"/>
      <c r="N745" s="1"/>
      <c r="O745" s="6"/>
      <c r="P745" s="6"/>
      <c r="Q745" s="6"/>
      <c r="R745" s="6"/>
    </row>
    <row r="746" spans="1:18" ht="15.75" customHeight="1" x14ac:dyDescent="0.3">
      <c r="A746" s="499" t="str">
        <f>+A9</f>
        <v>Revised:  1/22/2013</v>
      </c>
      <c r="B746" s="499"/>
      <c r="C746" s="499"/>
      <c r="D746" s="499"/>
      <c r="E746" s="499"/>
      <c r="F746" s="499"/>
      <c r="G746" s="499"/>
      <c r="H746" s="499"/>
      <c r="I746" s="499"/>
      <c r="J746" s="499"/>
      <c r="K746" s="499"/>
      <c r="L746" s="499"/>
      <c r="M746" s="499"/>
      <c r="N746" s="499"/>
      <c r="O746" s="499"/>
      <c r="P746" s="499"/>
      <c r="Q746" s="499"/>
      <c r="R746" s="499"/>
    </row>
    <row r="747" spans="1:18" ht="15.75" customHeight="1" x14ac:dyDescent="0.3">
      <c r="A747" s="314"/>
      <c r="B747" s="314"/>
      <c r="C747" s="314"/>
      <c r="D747" s="314"/>
      <c r="E747" s="314"/>
      <c r="F747" s="314"/>
      <c r="G747" s="314"/>
      <c r="H747" s="314"/>
      <c r="I747" s="314"/>
      <c r="J747" s="314"/>
      <c r="K747" s="314"/>
      <c r="L747" s="314"/>
      <c r="M747" s="314"/>
      <c r="N747" s="314"/>
      <c r="O747" s="314"/>
      <c r="P747" s="314"/>
      <c r="Q747" s="314"/>
      <c r="R747" s="314"/>
    </row>
    <row r="748" spans="1:18" ht="15.75" customHeight="1" x14ac:dyDescent="0.3">
      <c r="A748" s="28"/>
      <c r="B748" s="1"/>
      <c r="C748" s="1"/>
      <c r="D748" s="1"/>
      <c r="E748" s="1"/>
      <c r="F748" s="1"/>
      <c r="G748" s="1"/>
      <c r="H748" s="1"/>
      <c r="I748" s="1"/>
      <c r="J748" s="1"/>
      <c r="K748" s="1"/>
      <c r="L748" s="1"/>
      <c r="M748" s="1"/>
      <c r="N748" s="1"/>
      <c r="O748" s="1"/>
      <c r="P748" s="1"/>
      <c r="Q748" s="1"/>
      <c r="R748" s="2"/>
    </row>
    <row r="749" spans="1:18" ht="15.75" customHeight="1" thickBot="1" x14ac:dyDescent="0.35">
      <c r="A749" s="1"/>
      <c r="B749" s="1"/>
      <c r="C749" s="1"/>
      <c r="D749" s="1"/>
      <c r="E749" s="1"/>
      <c r="F749" s="1"/>
      <c r="G749" s="1"/>
      <c r="H749" s="1"/>
      <c r="I749" s="1"/>
      <c r="J749" s="1"/>
      <c r="K749" s="1"/>
      <c r="L749" s="1"/>
      <c r="M749" s="1"/>
      <c r="N749" s="1"/>
      <c r="O749" s="316"/>
      <c r="P749" s="1"/>
      <c r="Q749" s="1"/>
      <c r="R749" s="2"/>
    </row>
    <row r="750" spans="1:18" ht="15.75" customHeight="1" thickBot="1" x14ac:dyDescent="0.35">
      <c r="A750" s="107" t="s">
        <v>380</v>
      </c>
      <c r="B750" s="47" t="s">
        <v>8</v>
      </c>
      <c r="C750" s="48" t="s">
        <v>9</v>
      </c>
      <c r="D750" s="48" t="s">
        <v>10</v>
      </c>
      <c r="E750" s="32" t="s">
        <v>11</v>
      </c>
      <c r="F750" s="48" t="s">
        <v>12</v>
      </c>
      <c r="G750" s="48" t="s">
        <v>13</v>
      </c>
      <c r="H750" s="48" t="s">
        <v>14</v>
      </c>
      <c r="I750" s="32" t="s">
        <v>15</v>
      </c>
      <c r="J750" s="48" t="s">
        <v>16</v>
      </c>
      <c r="K750" s="48" t="s">
        <v>17</v>
      </c>
      <c r="L750" s="48" t="s">
        <v>18</v>
      </c>
      <c r="M750" s="32" t="s">
        <v>19</v>
      </c>
      <c r="N750" s="48" t="s">
        <v>20</v>
      </c>
      <c r="O750" s="48" t="s">
        <v>21</v>
      </c>
      <c r="P750" s="48" t="s">
        <v>22</v>
      </c>
      <c r="Q750" s="32" t="s">
        <v>23</v>
      </c>
      <c r="R750" s="151" t="s">
        <v>24</v>
      </c>
    </row>
    <row r="751" spans="1:18" ht="16.5" customHeight="1" thickBot="1" x14ac:dyDescent="0.35">
      <c r="A751" s="152"/>
      <c r="B751" s="153"/>
      <c r="C751" s="153"/>
      <c r="D751" s="153"/>
      <c r="E751" s="52"/>
      <c r="F751" s="153"/>
      <c r="G751" s="153"/>
      <c r="H751" s="153"/>
      <c r="I751" s="37"/>
      <c r="J751" s="153"/>
      <c r="K751" s="153"/>
      <c r="L751" s="153"/>
      <c r="M751" s="37"/>
      <c r="N751" s="153"/>
      <c r="O751" s="153"/>
      <c r="P751" s="153"/>
      <c r="Q751" s="127"/>
      <c r="R751" s="154"/>
    </row>
    <row r="752" spans="1:18" ht="16.5" customHeight="1" thickBot="1" x14ac:dyDescent="0.35">
      <c r="A752" s="155" t="s">
        <v>381</v>
      </c>
      <c r="B752" s="156">
        <f>+B718</f>
        <v>27703</v>
      </c>
      <c r="C752" s="156">
        <f>+C718</f>
        <v>26983</v>
      </c>
      <c r="D752" s="156">
        <f>+D718</f>
        <v>36818</v>
      </c>
      <c r="E752" s="86">
        <f>+SUM(B752:D752)</f>
        <v>91504</v>
      </c>
      <c r="F752" s="156">
        <f>+F718</f>
        <v>52122</v>
      </c>
      <c r="G752" s="156">
        <f>+G718</f>
        <v>60564</v>
      </c>
      <c r="H752" s="156">
        <f>+H718</f>
        <v>47556</v>
      </c>
      <c r="I752" s="86">
        <f>+SUM(F752:H752)</f>
        <v>160242</v>
      </c>
      <c r="J752" s="156">
        <f>+J718</f>
        <v>48065</v>
      </c>
      <c r="K752" s="156">
        <f>+K718</f>
        <v>50757</v>
      </c>
      <c r="L752" s="156">
        <f>+L718</f>
        <v>44375</v>
      </c>
      <c r="M752" s="86">
        <f>+SUM(J752:L752)</f>
        <v>143197</v>
      </c>
      <c r="N752" s="156">
        <f>+N718</f>
        <v>38070</v>
      </c>
      <c r="O752" s="156">
        <f>+O718</f>
        <v>29952</v>
      </c>
      <c r="P752" s="156">
        <f>+P718</f>
        <v>27464.999999999996</v>
      </c>
      <c r="Q752" s="86">
        <f>+SUM(N752:P752)</f>
        <v>95487</v>
      </c>
      <c r="R752" s="59">
        <f>+E752+I752+M752+Q752</f>
        <v>490430</v>
      </c>
    </row>
    <row r="753" spans="1:18" ht="16.5" customHeight="1" thickBot="1" x14ac:dyDescent="0.35">
      <c r="A753" s="33"/>
      <c r="B753" s="86"/>
      <c r="C753" s="86"/>
      <c r="D753" s="86"/>
      <c r="E753" s="86"/>
      <c r="F753" s="86"/>
      <c r="G753" s="86"/>
      <c r="H753" s="86"/>
      <c r="I753" s="86"/>
      <c r="J753" s="86"/>
      <c r="K753" s="86"/>
      <c r="L753" s="86"/>
      <c r="M753" s="86"/>
      <c r="N753" s="86"/>
      <c r="O753" s="86"/>
      <c r="P753" s="86"/>
      <c r="Q753" s="86"/>
      <c r="R753" s="59"/>
    </row>
    <row r="754" spans="1:18" ht="16.5" customHeight="1" thickBot="1" x14ac:dyDescent="0.35">
      <c r="A754" s="155" t="s">
        <v>382</v>
      </c>
      <c r="B754" s="156">
        <f>+B723</f>
        <v>8014</v>
      </c>
      <c r="C754" s="156">
        <f>+C723</f>
        <v>13765</v>
      </c>
      <c r="D754" s="156">
        <f>+D723</f>
        <v>27663</v>
      </c>
      <c r="E754" s="86">
        <f>+SUM(B754:D754)</f>
        <v>49442</v>
      </c>
      <c r="F754" s="156">
        <f>+F723</f>
        <v>50055</v>
      </c>
      <c r="G754" s="156">
        <f>+G723</f>
        <v>57758</v>
      </c>
      <c r="H754" s="156">
        <f>+H723</f>
        <v>69565</v>
      </c>
      <c r="I754" s="86">
        <f>+SUM(F754:H754)</f>
        <v>177378</v>
      </c>
      <c r="J754" s="156">
        <f>+J723</f>
        <v>45844</v>
      </c>
      <c r="K754" s="156">
        <f>+K723</f>
        <v>54580</v>
      </c>
      <c r="L754" s="156">
        <f>+L723</f>
        <v>33233</v>
      </c>
      <c r="M754" s="86">
        <f>+SUM(J754:L754)</f>
        <v>133657</v>
      </c>
      <c r="N754" s="156">
        <f>+N723</f>
        <v>17216</v>
      </c>
      <c r="O754" s="156">
        <f>+O723</f>
        <v>11827</v>
      </c>
      <c r="P754" s="156">
        <f>+P723</f>
        <v>10480.000000000011</v>
      </c>
      <c r="Q754" s="86">
        <f>+SUM(N754:P754)</f>
        <v>39523.000000000015</v>
      </c>
      <c r="R754" s="59">
        <f>+E754+I754+M754+Q754</f>
        <v>400000</v>
      </c>
    </row>
    <row r="755" spans="1:18" ht="16.5" customHeight="1" thickBot="1" x14ac:dyDescent="0.35">
      <c r="A755" s="33"/>
      <c r="B755" s="86"/>
      <c r="C755" s="86"/>
      <c r="D755" s="86"/>
      <c r="E755" s="86"/>
      <c r="F755" s="86"/>
      <c r="G755" s="86"/>
      <c r="H755" s="86"/>
      <c r="I755" s="86"/>
      <c r="J755" s="86"/>
      <c r="K755" s="86"/>
      <c r="L755" s="86"/>
      <c r="M755" s="86"/>
      <c r="N755" s="86"/>
      <c r="O755" s="86"/>
      <c r="P755" s="86"/>
      <c r="Q755" s="86"/>
      <c r="R755" s="59"/>
    </row>
    <row r="756" spans="1:18" ht="16.5" customHeight="1" thickBot="1" x14ac:dyDescent="0.35">
      <c r="A756" s="155" t="s">
        <v>383</v>
      </c>
      <c r="B756" s="156">
        <f>+B727</f>
        <v>16477</v>
      </c>
      <c r="C756" s="156">
        <f>+C727</f>
        <v>33046</v>
      </c>
      <c r="D756" s="156">
        <f>+D727</f>
        <v>46917</v>
      </c>
      <c r="E756" s="86">
        <f>+SUM(B756:D756)</f>
        <v>96440</v>
      </c>
      <c r="F756" s="156">
        <f>+F727</f>
        <v>63188</v>
      </c>
      <c r="G756" s="156">
        <f>+G727</f>
        <v>67495</v>
      </c>
      <c r="H756" s="156">
        <f>+H727</f>
        <v>76415</v>
      </c>
      <c r="I756" s="86">
        <f>+SUM(F756:H756)</f>
        <v>207098</v>
      </c>
      <c r="J756" s="156">
        <f>+J727</f>
        <v>66057</v>
      </c>
      <c r="K756" s="156">
        <f>+K727</f>
        <v>65535</v>
      </c>
      <c r="L756" s="156">
        <f>+L727</f>
        <v>42886</v>
      </c>
      <c r="M756" s="86">
        <f>+SUM(J756:L756)</f>
        <v>174478</v>
      </c>
      <c r="N756" s="156">
        <f>+N727</f>
        <v>33436</v>
      </c>
      <c r="O756" s="156">
        <f>+O727</f>
        <v>13448</v>
      </c>
      <c r="P756" s="156">
        <f>+P727</f>
        <v>23167.000000000004</v>
      </c>
      <c r="Q756" s="86">
        <f>+SUM(N756:P756)</f>
        <v>70051</v>
      </c>
      <c r="R756" s="59">
        <f>+E756+I756+M756+Q756</f>
        <v>548067</v>
      </c>
    </row>
    <row r="757" spans="1:18" ht="16.5" customHeight="1" thickBot="1" x14ac:dyDescent="0.35">
      <c r="A757" s="33"/>
      <c r="B757" s="86"/>
      <c r="C757" s="86"/>
      <c r="D757" s="86"/>
      <c r="E757" s="86"/>
      <c r="F757" s="86"/>
      <c r="G757" s="86"/>
      <c r="H757" s="86"/>
      <c r="I757" s="86"/>
      <c r="J757" s="86"/>
      <c r="K757" s="86"/>
      <c r="L757" s="86"/>
      <c r="M757" s="86"/>
      <c r="N757" s="86"/>
      <c r="O757" s="86"/>
      <c r="P757" s="86"/>
      <c r="Q757" s="86"/>
      <c r="R757" s="59"/>
    </row>
    <row r="758" spans="1:18" ht="16.5" customHeight="1" thickBot="1" x14ac:dyDescent="0.35">
      <c r="A758" s="155" t="s">
        <v>384</v>
      </c>
      <c r="B758" s="156">
        <f>+B736</f>
        <v>19668</v>
      </c>
      <c r="C758" s="156">
        <f>+C736</f>
        <v>23219</v>
      </c>
      <c r="D758" s="156">
        <f>+D736</f>
        <v>26996</v>
      </c>
      <c r="E758" s="86">
        <f>+SUM(B758:D758)</f>
        <v>69883</v>
      </c>
      <c r="F758" s="156">
        <f>+F736</f>
        <v>8608</v>
      </c>
      <c r="G758" s="156">
        <f>+G736</f>
        <v>5028</v>
      </c>
      <c r="H758" s="156">
        <f>+H736</f>
        <v>14240</v>
      </c>
      <c r="I758" s="86">
        <f>+SUM(F758:H758)</f>
        <v>27876</v>
      </c>
      <c r="J758" s="156">
        <f>+J736</f>
        <v>14591</v>
      </c>
      <c r="K758" s="156">
        <f>+K736</f>
        <v>4415</v>
      </c>
      <c r="L758" s="156">
        <f>+L736</f>
        <v>12939</v>
      </c>
      <c r="M758" s="86">
        <f>+SUM(J758:L758)</f>
        <v>31945</v>
      </c>
      <c r="N758" s="156">
        <f>+N736</f>
        <v>13181</v>
      </c>
      <c r="O758" s="156">
        <f>+O736</f>
        <v>3777</v>
      </c>
      <c r="P758" s="156">
        <f>+P736</f>
        <v>13340</v>
      </c>
      <c r="Q758" s="86">
        <f>+SUM(N758:P758)</f>
        <v>30298</v>
      </c>
      <c r="R758" s="59">
        <f>+E758+I758+M758+Q758</f>
        <v>160002</v>
      </c>
    </row>
    <row r="759" spans="1:18" ht="16.5" customHeight="1" thickBot="1" x14ac:dyDescent="0.35">
      <c r="A759" s="33"/>
      <c r="B759" s="86"/>
      <c r="C759" s="86"/>
      <c r="D759" s="86"/>
      <c r="E759" s="86"/>
      <c r="F759" s="86"/>
      <c r="G759" s="86"/>
      <c r="H759" s="86"/>
      <c r="I759" s="86"/>
      <c r="J759" s="86"/>
      <c r="K759" s="86"/>
      <c r="L759" s="86"/>
      <c r="M759" s="86"/>
      <c r="N759" s="86"/>
      <c r="O759" s="86"/>
      <c r="P759" s="86"/>
      <c r="Q759" s="86"/>
      <c r="R759" s="59"/>
    </row>
    <row r="760" spans="1:18" ht="16.5" customHeight="1" thickBot="1" x14ac:dyDescent="0.35">
      <c r="A760" s="33" t="s">
        <v>385</v>
      </c>
      <c r="B760" s="90">
        <f t="shared" ref="B760:R760" si="109">+SUM(B752:B758)</f>
        <v>71862</v>
      </c>
      <c r="C760" s="90">
        <f t="shared" si="109"/>
        <v>97013</v>
      </c>
      <c r="D760" s="90">
        <f t="shared" si="109"/>
        <v>138394</v>
      </c>
      <c r="E760" s="90">
        <f t="shared" si="109"/>
        <v>307269</v>
      </c>
      <c r="F760" s="90">
        <f t="shared" si="109"/>
        <v>173973</v>
      </c>
      <c r="G760" s="90">
        <f t="shared" si="109"/>
        <v>190845</v>
      </c>
      <c r="H760" s="90">
        <f t="shared" si="109"/>
        <v>207776</v>
      </c>
      <c r="I760" s="90">
        <f t="shared" si="109"/>
        <v>572594</v>
      </c>
      <c r="J760" s="90">
        <f t="shared" si="109"/>
        <v>174557</v>
      </c>
      <c r="K760" s="90">
        <f t="shared" si="109"/>
        <v>175287</v>
      </c>
      <c r="L760" s="90">
        <f t="shared" si="109"/>
        <v>133433</v>
      </c>
      <c r="M760" s="90">
        <f t="shared" si="109"/>
        <v>483277</v>
      </c>
      <c r="N760" s="90">
        <f t="shared" si="109"/>
        <v>101903</v>
      </c>
      <c r="O760" s="90">
        <f t="shared" si="109"/>
        <v>59004</v>
      </c>
      <c r="P760" s="90">
        <f t="shared" si="109"/>
        <v>74452.000000000015</v>
      </c>
      <c r="Q760" s="90">
        <f t="shared" si="109"/>
        <v>235359</v>
      </c>
      <c r="R760" s="157">
        <f t="shared" si="109"/>
        <v>1598499</v>
      </c>
    </row>
    <row r="761" spans="1:18" ht="16.5" customHeight="1" thickBot="1" x14ac:dyDescent="0.4">
      <c r="A761" s="145"/>
      <c r="B761" s="158"/>
      <c r="C761" s="158"/>
      <c r="D761" s="158"/>
      <c r="E761" s="158"/>
      <c r="F761" s="158"/>
      <c r="G761" s="158"/>
      <c r="H761" s="317" t="s">
        <v>786</v>
      </c>
      <c r="I761" s="158"/>
      <c r="J761" s="158"/>
      <c r="K761" s="158"/>
      <c r="L761" s="158"/>
      <c r="M761" s="158"/>
      <c r="N761" s="158"/>
      <c r="O761" s="158"/>
      <c r="P761" s="158"/>
      <c r="Q761" s="158"/>
      <c r="R761" s="158"/>
    </row>
    <row r="762" spans="1:18" ht="15.75" customHeight="1" x14ac:dyDescent="0.3">
      <c r="A762" s="318"/>
      <c r="B762" s="319"/>
      <c r="C762" s="320" t="s">
        <v>386</v>
      </c>
      <c r="D762" s="319"/>
      <c r="E762" s="319"/>
      <c r="F762" s="319"/>
      <c r="G762" s="319"/>
      <c r="H762" s="319"/>
      <c r="I762" s="319"/>
      <c r="J762" s="319"/>
      <c r="K762" s="319"/>
      <c r="L762" s="319"/>
      <c r="M762" s="319"/>
      <c r="N762" s="319"/>
      <c r="O762" s="319"/>
      <c r="P762" s="319"/>
      <c r="Q762" s="321" t="str">
        <f>+Q1</f>
        <v>PRINTED:</v>
      </c>
      <c r="R762" s="322">
        <f ca="1">+R1</f>
        <v>44909.46975358796</v>
      </c>
    </row>
    <row r="763" spans="1:18" ht="15.75" customHeight="1" x14ac:dyDescent="0.3">
      <c r="A763" s="323"/>
      <c r="B763" s="159"/>
      <c r="C763" s="159"/>
      <c r="D763" s="159"/>
      <c r="E763" s="159" t="s">
        <v>7</v>
      </c>
      <c r="F763" s="163" t="str">
        <f>+A9</f>
        <v>Revised:  1/22/2013</v>
      </c>
      <c r="G763" s="159"/>
      <c r="H763" s="159"/>
      <c r="I763" s="159"/>
      <c r="J763" s="159"/>
      <c r="K763" s="159"/>
      <c r="L763" s="159"/>
      <c r="M763" s="159"/>
      <c r="N763" s="159"/>
      <c r="O763" s="159"/>
      <c r="P763" s="159"/>
      <c r="Q763" s="159"/>
      <c r="R763" s="324"/>
    </row>
    <row r="764" spans="1:18" ht="15.75" customHeight="1" x14ac:dyDescent="0.3">
      <c r="A764" s="323"/>
      <c r="B764" s="159"/>
      <c r="C764" s="159"/>
      <c r="D764" s="159" t="s">
        <v>787</v>
      </c>
      <c r="E764" s="159"/>
      <c r="F764" s="159"/>
      <c r="G764" s="159"/>
      <c r="H764" s="159"/>
      <c r="I764" s="159"/>
      <c r="J764" s="159"/>
      <c r="K764" s="159"/>
      <c r="L764" s="159"/>
      <c r="M764" s="159"/>
      <c r="N764" s="159"/>
      <c r="O764" s="159"/>
      <c r="P764" s="159"/>
      <c r="Q764" s="159"/>
      <c r="R764" s="324"/>
    </row>
    <row r="765" spans="1:18" ht="15.75" customHeight="1" x14ac:dyDescent="0.3">
      <c r="A765" s="323"/>
      <c r="B765" s="159"/>
      <c r="C765" s="159"/>
      <c r="D765" s="159"/>
      <c r="E765" s="159"/>
      <c r="F765" s="159"/>
      <c r="G765" s="159"/>
      <c r="H765" s="159"/>
      <c r="I765" s="159"/>
      <c r="J765" s="159"/>
      <c r="K765" s="159"/>
      <c r="L765" s="159"/>
      <c r="M765" s="159"/>
      <c r="N765" s="159"/>
      <c r="O765" s="159"/>
      <c r="P765" s="159"/>
      <c r="Q765" s="159"/>
      <c r="R765" s="324"/>
    </row>
    <row r="766" spans="1:18" ht="15.75" customHeight="1" x14ac:dyDescent="0.3">
      <c r="A766" s="323"/>
      <c r="B766" s="159"/>
      <c r="C766" s="159"/>
      <c r="D766" s="159"/>
      <c r="E766" s="159" t="str">
        <f>+A5</f>
        <v>Calendar Year 2012</v>
      </c>
      <c r="F766" s="159"/>
      <c r="G766" s="159"/>
      <c r="H766" s="159"/>
      <c r="I766" s="159"/>
      <c r="J766" s="159"/>
      <c r="K766" s="159"/>
      <c r="L766" s="159"/>
      <c r="M766" s="159"/>
      <c r="N766" s="159"/>
      <c r="O766" s="159"/>
      <c r="P766" s="159"/>
      <c r="Q766" s="159"/>
      <c r="R766" s="324"/>
    </row>
    <row r="767" spans="1:18" ht="15.75" customHeight="1" x14ac:dyDescent="0.3">
      <c r="A767" s="323"/>
      <c r="B767" s="159"/>
      <c r="C767" s="159"/>
      <c r="D767" s="159"/>
      <c r="E767" s="159" t="s">
        <v>388</v>
      </c>
      <c r="F767" s="159"/>
      <c r="G767" s="159"/>
      <c r="H767" s="159"/>
      <c r="I767" s="159"/>
      <c r="J767" s="159"/>
      <c r="K767" s="159"/>
      <c r="L767" s="159"/>
      <c r="M767" s="159"/>
      <c r="N767" s="159"/>
      <c r="O767" s="159"/>
      <c r="P767" s="159"/>
      <c r="Q767" s="159"/>
      <c r="R767" s="324"/>
    </row>
    <row r="768" spans="1:18" ht="15.75" customHeight="1" x14ac:dyDescent="0.3">
      <c r="A768" s="323"/>
      <c r="B768" s="159"/>
      <c r="C768" s="159"/>
      <c r="D768" s="159"/>
      <c r="E768" s="159"/>
      <c r="F768" s="159"/>
      <c r="G768" s="159"/>
      <c r="H768" s="159"/>
      <c r="I768" s="159"/>
      <c r="J768" s="159"/>
      <c r="K768" s="159"/>
      <c r="L768" s="159"/>
      <c r="M768" s="159"/>
      <c r="N768" s="159"/>
      <c r="O768" s="159"/>
      <c r="P768" s="159"/>
      <c r="Q768" s="159"/>
      <c r="R768" s="324"/>
    </row>
    <row r="769" spans="1:20" ht="15.75" customHeight="1" x14ac:dyDescent="0.3">
      <c r="A769" s="323" t="s">
        <v>389</v>
      </c>
      <c r="B769" s="164" t="s">
        <v>390</v>
      </c>
      <c r="C769" s="164" t="s">
        <v>391</v>
      </c>
      <c r="D769" s="164" t="s">
        <v>392</v>
      </c>
      <c r="E769" s="164" t="s">
        <v>393</v>
      </c>
      <c r="F769" s="164" t="s">
        <v>394</v>
      </c>
      <c r="G769" s="164" t="s">
        <v>394</v>
      </c>
      <c r="H769" s="164" t="s">
        <v>395</v>
      </c>
      <c r="I769" s="164" t="s">
        <v>396</v>
      </c>
      <c r="J769" s="164" t="s">
        <v>397</v>
      </c>
      <c r="K769" s="164" t="s">
        <v>398</v>
      </c>
      <c r="L769" s="164" t="s">
        <v>399</v>
      </c>
      <c r="M769" s="164" t="s">
        <v>400</v>
      </c>
      <c r="N769" s="164" t="s">
        <v>401</v>
      </c>
      <c r="O769" s="164" t="s">
        <v>402</v>
      </c>
      <c r="P769" s="164" t="s">
        <v>403</v>
      </c>
      <c r="Q769" s="164" t="s">
        <v>404</v>
      </c>
      <c r="R769" s="324"/>
    </row>
    <row r="770" spans="1:20" ht="15.75" customHeight="1" x14ac:dyDescent="0.3">
      <c r="A770" s="323" t="s">
        <v>405</v>
      </c>
      <c r="B770" s="159"/>
      <c r="C770" s="159"/>
      <c r="D770" s="159"/>
      <c r="E770" s="159"/>
      <c r="F770" s="164" t="s">
        <v>406</v>
      </c>
      <c r="G770" s="164" t="s">
        <v>407</v>
      </c>
      <c r="H770" s="159"/>
      <c r="I770" s="159"/>
      <c r="J770" s="159"/>
      <c r="K770" s="159"/>
      <c r="L770" s="159"/>
      <c r="M770" s="159"/>
      <c r="N770" s="159"/>
      <c r="O770" s="159"/>
      <c r="P770" s="159"/>
      <c r="Q770" s="159"/>
      <c r="R770" s="324"/>
    </row>
    <row r="771" spans="1:20" ht="15.75" customHeight="1" x14ac:dyDescent="0.3">
      <c r="A771" s="323" t="s">
        <v>408</v>
      </c>
      <c r="B771" s="159">
        <v>957</v>
      </c>
      <c r="C771" s="159">
        <v>122</v>
      </c>
      <c r="D771" s="159">
        <v>128</v>
      </c>
      <c r="E771" s="159">
        <v>219</v>
      </c>
      <c r="F771" s="159"/>
      <c r="G771" s="159"/>
      <c r="H771" s="159">
        <v>97</v>
      </c>
      <c r="I771" s="159">
        <v>167</v>
      </c>
      <c r="J771" s="159">
        <v>247</v>
      </c>
      <c r="K771" s="159">
        <v>260</v>
      </c>
      <c r="L771" s="159">
        <v>122</v>
      </c>
      <c r="M771" s="159">
        <v>122</v>
      </c>
      <c r="N771" s="159">
        <v>275</v>
      </c>
      <c r="O771" s="159">
        <v>191</v>
      </c>
      <c r="P771" s="159">
        <v>325</v>
      </c>
      <c r="Q771" s="159">
        <v>503</v>
      </c>
      <c r="R771" s="324"/>
    </row>
    <row r="772" spans="1:20" ht="15.75" customHeight="1" x14ac:dyDescent="0.3">
      <c r="A772" s="323"/>
      <c r="B772" s="159" t="s">
        <v>409</v>
      </c>
      <c r="C772" s="159" t="s">
        <v>409</v>
      </c>
      <c r="D772" s="159" t="s">
        <v>409</v>
      </c>
      <c r="E772" s="159" t="s">
        <v>409</v>
      </c>
      <c r="F772" s="159" t="s">
        <v>409</v>
      </c>
      <c r="G772" s="159" t="s">
        <v>409</v>
      </c>
      <c r="H772" s="159" t="s">
        <v>409</v>
      </c>
      <c r="I772" s="159" t="s">
        <v>409</v>
      </c>
      <c r="J772" s="159" t="s">
        <v>409</v>
      </c>
      <c r="K772" s="159" t="s">
        <v>409</v>
      </c>
      <c r="L772" s="159" t="s">
        <v>409</v>
      </c>
      <c r="M772" s="159" t="s">
        <v>409</v>
      </c>
      <c r="N772" s="159" t="s">
        <v>409</v>
      </c>
      <c r="O772" s="159" t="s">
        <v>409</v>
      </c>
      <c r="P772" s="159" t="s">
        <v>409</v>
      </c>
      <c r="Q772" s="159" t="s">
        <v>409</v>
      </c>
      <c r="R772" s="324"/>
    </row>
    <row r="773" spans="1:20" ht="15.75" customHeight="1" x14ac:dyDescent="0.3">
      <c r="A773" s="325" t="s">
        <v>410</v>
      </c>
      <c r="B773" s="159">
        <f>+B30</f>
        <v>183553</v>
      </c>
      <c r="C773" s="159">
        <f>+B65</f>
        <v>183456</v>
      </c>
      <c r="D773" s="159">
        <f>+B128</f>
        <v>183360</v>
      </c>
      <c r="E773" s="159">
        <f>+B250</f>
        <v>168009</v>
      </c>
      <c r="F773" s="159">
        <f>+B245</f>
        <v>111219</v>
      </c>
      <c r="G773" s="159">
        <f>+B257</f>
        <v>0</v>
      </c>
      <c r="H773" s="159">
        <f>+B379</f>
        <v>39790</v>
      </c>
      <c r="I773" s="159">
        <f>+B424</f>
        <v>20523</v>
      </c>
      <c r="J773" s="159">
        <f>+B465</f>
        <v>20514</v>
      </c>
      <c r="K773" s="159">
        <f>+B518</f>
        <v>19828</v>
      </c>
      <c r="L773" s="159">
        <f>+B528</f>
        <v>15434</v>
      </c>
      <c r="M773" s="159">
        <f>+B563</f>
        <v>15414</v>
      </c>
      <c r="N773" s="159">
        <f>+B606</f>
        <v>15404</v>
      </c>
      <c r="O773" s="159">
        <f>+B616</f>
        <v>2593</v>
      </c>
      <c r="P773" s="159">
        <f>+B650</f>
        <v>5175</v>
      </c>
      <c r="Q773" s="159">
        <f>+B696</f>
        <v>2591</v>
      </c>
      <c r="R773" s="324"/>
      <c r="T773" s="4">
        <f>+SUM(B773:Q773)</f>
        <v>986863</v>
      </c>
    </row>
    <row r="774" spans="1:20" ht="15.75" customHeight="1" x14ac:dyDescent="0.3">
      <c r="A774" s="325" t="s">
        <v>411</v>
      </c>
      <c r="B774" s="159">
        <f>+C30</f>
        <v>168272</v>
      </c>
      <c r="C774" s="159">
        <f>+C65</f>
        <v>168124</v>
      </c>
      <c r="D774" s="159">
        <f>+C128</f>
        <v>167978</v>
      </c>
      <c r="E774" s="159">
        <f>+C250</f>
        <v>149229</v>
      </c>
      <c r="F774" s="159">
        <f>+C245</f>
        <v>67581</v>
      </c>
      <c r="G774" s="159">
        <f>+C257</f>
        <v>0</v>
      </c>
      <c r="H774" s="159">
        <f>+C379</f>
        <v>60121</v>
      </c>
      <c r="I774" s="159">
        <f>+C424</f>
        <v>24261</v>
      </c>
      <c r="J774" s="159">
        <f>+C465</f>
        <v>23960</v>
      </c>
      <c r="K774" s="159">
        <f>+C518</f>
        <v>23567</v>
      </c>
      <c r="L774" s="159">
        <f>+C528</f>
        <v>18462</v>
      </c>
      <c r="M774" s="159">
        <f>+C563</f>
        <v>18440</v>
      </c>
      <c r="N774" s="159">
        <f>+C606</f>
        <v>18429</v>
      </c>
      <c r="O774" s="159">
        <f>+C616</f>
        <v>4474</v>
      </c>
      <c r="P774" s="159">
        <f>+C650</f>
        <v>5419</v>
      </c>
      <c r="Q774" s="159">
        <f>+C696</f>
        <v>4471</v>
      </c>
      <c r="R774" s="324"/>
      <c r="T774" s="4">
        <f t="shared" ref="T774:T784" si="110">+SUM(B774:Q774)</f>
        <v>922788</v>
      </c>
    </row>
    <row r="775" spans="1:20" ht="15.75" customHeight="1" x14ac:dyDescent="0.3">
      <c r="A775" s="325" t="s">
        <v>412</v>
      </c>
      <c r="B775" s="159">
        <f>+D30</f>
        <v>187522</v>
      </c>
      <c r="C775" s="159">
        <f>+D65</f>
        <v>187248</v>
      </c>
      <c r="D775" s="159">
        <f>+D128</f>
        <v>186971</v>
      </c>
      <c r="E775" s="159">
        <f>+D250</f>
        <v>165864</v>
      </c>
      <c r="F775" s="159">
        <f>+D245</f>
        <v>44397</v>
      </c>
      <c r="G775" s="159">
        <f>+D257</f>
        <v>0</v>
      </c>
      <c r="H775" s="159">
        <f>+D379</f>
        <v>91932</v>
      </c>
      <c r="I775" s="159">
        <f>+D424</f>
        <v>26098</v>
      </c>
      <c r="J775" s="159">
        <f>+D465</f>
        <v>26071</v>
      </c>
      <c r="K775" s="159">
        <f>+D518</f>
        <v>25634</v>
      </c>
      <c r="L775" s="159">
        <f>+D528</f>
        <v>20059</v>
      </c>
      <c r="M775" s="159">
        <f>+D563</f>
        <v>20031</v>
      </c>
      <c r="N775" s="159">
        <f>+D606</f>
        <v>19736</v>
      </c>
      <c r="O775" s="159">
        <f>+D616</f>
        <v>4793</v>
      </c>
      <c r="P775" s="159">
        <f>+D650</f>
        <v>5780</v>
      </c>
      <c r="Q775" s="159">
        <f>+D696</f>
        <v>4788</v>
      </c>
      <c r="R775" s="324"/>
      <c r="T775" s="4">
        <f t="shared" si="110"/>
        <v>1016924</v>
      </c>
    </row>
    <row r="776" spans="1:20" ht="15.75" customHeight="1" x14ac:dyDescent="0.3">
      <c r="A776" s="325" t="s">
        <v>413</v>
      </c>
      <c r="B776" s="159">
        <f>+F30</f>
        <v>181404</v>
      </c>
      <c r="C776" s="159">
        <f>+F65</f>
        <v>181037</v>
      </c>
      <c r="D776" s="159">
        <f>+F128</f>
        <v>180628</v>
      </c>
      <c r="E776" s="159">
        <f>+F250</f>
        <v>172212</v>
      </c>
      <c r="F776" s="159">
        <f>+F245</f>
        <v>6884</v>
      </c>
      <c r="G776" s="159">
        <f>+F257</f>
        <v>-4241</v>
      </c>
      <c r="H776" s="159">
        <f>+F379</f>
        <v>135423</v>
      </c>
      <c r="I776" s="159">
        <f>+F424</f>
        <v>32094</v>
      </c>
      <c r="J776" s="159">
        <f>+F465</f>
        <v>31476</v>
      </c>
      <c r="K776" s="159">
        <f>+F518</f>
        <v>25699</v>
      </c>
      <c r="L776" s="159">
        <f>+F528</f>
        <v>20793</v>
      </c>
      <c r="M776" s="159">
        <f>+F563</f>
        <v>20756</v>
      </c>
      <c r="N776" s="159">
        <f>+F606</f>
        <v>18663</v>
      </c>
      <c r="O776" s="159">
        <f>+F616</f>
        <v>3267</v>
      </c>
      <c r="P776" s="159">
        <f>+F650</f>
        <v>6081</v>
      </c>
      <c r="Q776" s="159">
        <f>+F696</f>
        <v>3224</v>
      </c>
      <c r="R776" s="324"/>
      <c r="T776" s="4">
        <f t="shared" si="110"/>
        <v>1015400</v>
      </c>
    </row>
    <row r="777" spans="1:20" ht="15.75" customHeight="1" x14ac:dyDescent="0.3">
      <c r="A777" s="325" t="s">
        <v>414</v>
      </c>
      <c r="B777" s="159">
        <f>+G30</f>
        <v>180592</v>
      </c>
      <c r="C777" s="159">
        <f>+G65</f>
        <v>180167</v>
      </c>
      <c r="D777" s="159">
        <f>+G128</f>
        <v>179605</v>
      </c>
      <c r="E777" s="159">
        <f>+G250</f>
        <v>171205</v>
      </c>
      <c r="F777" s="159">
        <f>+G245</f>
        <v>1498</v>
      </c>
      <c r="G777" s="159">
        <f>+G257</f>
        <v>-19505</v>
      </c>
      <c r="H777" s="159">
        <f>+G379</f>
        <v>146338</v>
      </c>
      <c r="I777" s="159">
        <f>+G424</f>
        <v>34873</v>
      </c>
      <c r="J777" s="159">
        <f>+G465</f>
        <v>31368</v>
      </c>
      <c r="K777" s="159">
        <f>+G518</f>
        <v>24557</v>
      </c>
      <c r="L777" s="159">
        <f>+G528</f>
        <v>22233</v>
      </c>
      <c r="M777" s="159">
        <f>+G563</f>
        <v>22191</v>
      </c>
      <c r="N777" s="159">
        <f>+G606</f>
        <v>20027</v>
      </c>
      <c r="O777" s="159">
        <f>+G616</f>
        <v>5039</v>
      </c>
      <c r="P777" s="159">
        <f>+G650</f>
        <v>6573</v>
      </c>
      <c r="Q777" s="159">
        <f>+G696</f>
        <v>5004</v>
      </c>
      <c r="R777" s="324"/>
      <c r="T777" s="4">
        <f t="shared" si="110"/>
        <v>1011765</v>
      </c>
    </row>
    <row r="778" spans="1:20" ht="15.75" customHeight="1" x14ac:dyDescent="0.3">
      <c r="A778" s="325" t="s">
        <v>415</v>
      </c>
      <c r="B778" s="159">
        <f>+H30</f>
        <v>131197</v>
      </c>
      <c r="C778" s="159">
        <f>+H65</f>
        <v>130780</v>
      </c>
      <c r="D778" s="159">
        <f>+H128</f>
        <v>130295</v>
      </c>
      <c r="E778" s="159">
        <f>+H250</f>
        <v>122358</v>
      </c>
      <c r="F778" s="159">
        <f>+H245</f>
        <v>0</v>
      </c>
      <c r="G778" s="159">
        <f>+H257</f>
        <v>-79570</v>
      </c>
      <c r="H778" s="159">
        <f>+H379</f>
        <v>169717</v>
      </c>
      <c r="I778" s="159">
        <f>+H424</f>
        <v>40518</v>
      </c>
      <c r="J778" s="159">
        <f>+H465</f>
        <v>27588</v>
      </c>
      <c r="K778" s="159">
        <f>+H518</f>
        <v>20047</v>
      </c>
      <c r="L778" s="159">
        <f>+H528</f>
        <v>17994</v>
      </c>
      <c r="M778" s="159">
        <f>+H563</f>
        <v>17950</v>
      </c>
      <c r="N778" s="159">
        <f>+H606</f>
        <v>15542</v>
      </c>
      <c r="O778" s="159">
        <f>+H616</f>
        <v>2829</v>
      </c>
      <c r="P778" s="159">
        <f>+H650</f>
        <v>6314</v>
      </c>
      <c r="Q778" s="159">
        <f>+H696</f>
        <v>2798</v>
      </c>
      <c r="R778" s="324"/>
      <c r="T778" s="4">
        <f t="shared" si="110"/>
        <v>756357</v>
      </c>
    </row>
    <row r="779" spans="1:20" ht="15.75" customHeight="1" x14ac:dyDescent="0.3">
      <c r="A779" s="325" t="s">
        <v>416</v>
      </c>
      <c r="B779" s="159">
        <f>+J30</f>
        <v>39980</v>
      </c>
      <c r="C779" s="159">
        <f>+J65</f>
        <v>39564</v>
      </c>
      <c r="D779" s="159">
        <f>+J128</f>
        <v>39096</v>
      </c>
      <c r="E779" s="159">
        <f>+J250</f>
        <v>30164</v>
      </c>
      <c r="F779" s="159">
        <f>+J245</f>
        <v>0</v>
      </c>
      <c r="G779" s="159">
        <f>+J257</f>
        <v>-137316</v>
      </c>
      <c r="H779" s="159">
        <f>+J379</f>
        <v>134505</v>
      </c>
      <c r="I779" s="159">
        <f>+J424</f>
        <v>38830</v>
      </c>
      <c r="J779" s="159">
        <f>+J465</f>
        <v>27540</v>
      </c>
      <c r="K779" s="159">
        <f>+J518</f>
        <v>18759</v>
      </c>
      <c r="L779" s="159">
        <f>+J528</f>
        <v>17087</v>
      </c>
      <c r="M779" s="159">
        <f>+J563</f>
        <v>17048</v>
      </c>
      <c r="N779" s="159">
        <f>+J606</f>
        <v>14033</v>
      </c>
      <c r="O779" s="159">
        <f>+J616</f>
        <v>3531</v>
      </c>
      <c r="P779" s="159">
        <f>+J650</f>
        <v>6435</v>
      </c>
      <c r="Q779" s="159">
        <f>+J696</f>
        <v>3454</v>
      </c>
      <c r="R779" s="324"/>
      <c r="T779" s="4">
        <f t="shared" si="110"/>
        <v>292710</v>
      </c>
    </row>
    <row r="780" spans="1:20" ht="15.75" customHeight="1" x14ac:dyDescent="0.3">
      <c r="A780" s="325" t="s">
        <v>417</v>
      </c>
      <c r="B780" s="159">
        <f>+K30</f>
        <v>86596</v>
      </c>
      <c r="C780" s="159">
        <f>+K65</f>
        <v>86262</v>
      </c>
      <c r="D780" s="159">
        <f>+K128</f>
        <v>85890</v>
      </c>
      <c r="E780" s="159">
        <f>+K250</f>
        <v>76372</v>
      </c>
      <c r="F780" s="159">
        <f>+K245</f>
        <v>0</v>
      </c>
      <c r="G780" s="159">
        <f>+K257</f>
        <v>-94470</v>
      </c>
      <c r="H780" s="159">
        <f>+K379</f>
        <v>134861</v>
      </c>
      <c r="I780" s="159">
        <f>+K424</f>
        <v>46348</v>
      </c>
      <c r="J780" s="159">
        <f>+K465</f>
        <v>28614</v>
      </c>
      <c r="K780" s="159">
        <f>+K518</f>
        <v>19587</v>
      </c>
      <c r="L780" s="159">
        <f>+K528</f>
        <v>16589</v>
      </c>
      <c r="M780" s="159">
        <f>+K563</f>
        <v>16553</v>
      </c>
      <c r="N780" s="159">
        <f>+K606</f>
        <v>14433</v>
      </c>
      <c r="O780" s="159">
        <f>+K616</f>
        <v>3100</v>
      </c>
      <c r="P780" s="159">
        <f>+K650</f>
        <v>2363</v>
      </c>
      <c r="Q780" s="159">
        <f>+K696</f>
        <v>3094</v>
      </c>
      <c r="R780" s="324"/>
      <c r="T780" s="4">
        <f t="shared" si="110"/>
        <v>526192</v>
      </c>
    </row>
    <row r="781" spans="1:20" ht="15.75" customHeight="1" x14ac:dyDescent="0.3">
      <c r="A781" s="325" t="s">
        <v>418</v>
      </c>
      <c r="B781" s="159">
        <f>+L30</f>
        <v>137380</v>
      </c>
      <c r="C781" s="159">
        <f>+L65</f>
        <v>137064</v>
      </c>
      <c r="D781" s="159">
        <f>+L128</f>
        <v>136626</v>
      </c>
      <c r="E781" s="159">
        <f>+L250</f>
        <v>129283</v>
      </c>
      <c r="F781" s="159">
        <f>+L245</f>
        <v>4628</v>
      </c>
      <c r="G781" s="159">
        <f>+L257</f>
        <v>-6379</v>
      </c>
      <c r="H781" s="159">
        <f>+L379</f>
        <v>101871</v>
      </c>
      <c r="I781" s="159">
        <f>+L424</f>
        <v>35891</v>
      </c>
      <c r="J781" s="159">
        <f>+L465</f>
        <v>26734</v>
      </c>
      <c r="K781" s="159">
        <f>+L518</f>
        <v>21436</v>
      </c>
      <c r="L781" s="159">
        <f>+L528</f>
        <v>16162</v>
      </c>
      <c r="M781" s="159">
        <f>+L563</f>
        <v>16128</v>
      </c>
      <c r="N781" s="159">
        <f>+L606</f>
        <v>14988</v>
      </c>
      <c r="O781" s="159">
        <f>+L616</f>
        <v>4069</v>
      </c>
      <c r="P781" s="159">
        <f>+L650</f>
        <v>4542</v>
      </c>
      <c r="Q781" s="159">
        <f>+L696</f>
        <v>4040</v>
      </c>
      <c r="R781" s="324"/>
      <c r="T781" s="4">
        <f t="shared" si="110"/>
        <v>784463</v>
      </c>
    </row>
    <row r="782" spans="1:20" ht="15.75" customHeight="1" x14ac:dyDescent="0.3">
      <c r="A782" s="325" t="s">
        <v>419</v>
      </c>
      <c r="B782" s="159">
        <f>+N30</f>
        <v>31986</v>
      </c>
      <c r="C782" s="159">
        <f>+N65</f>
        <v>31701</v>
      </c>
      <c r="D782" s="159">
        <f>+N128</f>
        <v>31404</v>
      </c>
      <c r="E782" s="159">
        <f>+N250</f>
        <v>27161</v>
      </c>
      <c r="F782" s="159">
        <f>+N245</f>
        <v>9922</v>
      </c>
      <c r="G782" s="159">
        <f>+N257</f>
        <v>-85065</v>
      </c>
      <c r="H782" s="159">
        <f>+N379</f>
        <v>73498</v>
      </c>
      <c r="I782" s="159">
        <f>+N424</f>
        <v>19337</v>
      </c>
      <c r="J782" s="159">
        <f>+N465</f>
        <v>16161</v>
      </c>
      <c r="K782" s="159">
        <f>+N518</f>
        <v>14274</v>
      </c>
      <c r="L782" s="159">
        <f>+N528</f>
        <v>11245</v>
      </c>
      <c r="M782" s="159">
        <f>+N563</f>
        <v>11216</v>
      </c>
      <c r="N782" s="159">
        <f>+N606</f>
        <v>10828</v>
      </c>
      <c r="O782" s="159">
        <f>+N616</f>
        <v>3222</v>
      </c>
      <c r="P782" s="159">
        <f>+N650</f>
        <v>5817</v>
      </c>
      <c r="Q782" s="159">
        <f>+N696</f>
        <v>3199</v>
      </c>
      <c r="R782" s="324"/>
      <c r="T782" s="4">
        <f t="shared" si="110"/>
        <v>215906</v>
      </c>
    </row>
    <row r="783" spans="1:20" ht="15.75" customHeight="1" x14ac:dyDescent="0.3">
      <c r="A783" s="325" t="s">
        <v>420</v>
      </c>
      <c r="B783" s="159">
        <f>+O30</f>
        <v>173290</v>
      </c>
      <c r="C783" s="159">
        <f>+O65</f>
        <v>173055</v>
      </c>
      <c r="D783" s="159">
        <f>+O128</f>
        <v>172790</v>
      </c>
      <c r="E783" s="159">
        <f>+O250</f>
        <v>169754</v>
      </c>
      <c r="F783" s="159">
        <f>+O245</f>
        <v>109236</v>
      </c>
      <c r="G783" s="159">
        <f>+O257</f>
        <v>0</v>
      </c>
      <c r="H783" s="159">
        <f>+O379</f>
        <v>34561</v>
      </c>
      <c r="I783" s="159">
        <f>+O424</f>
        <v>10302</v>
      </c>
      <c r="J783" s="159">
        <f>+O465</f>
        <v>9537</v>
      </c>
      <c r="K783" s="159">
        <f>+O518</f>
        <v>8934</v>
      </c>
      <c r="L783" s="159">
        <f>+O528</f>
        <v>7268</v>
      </c>
      <c r="M783" s="159">
        <f>+O563</f>
        <v>7245</v>
      </c>
      <c r="N783" s="159">
        <f>+O606</f>
        <v>7060</v>
      </c>
      <c r="O783" s="159">
        <f>+O616</f>
        <v>2019</v>
      </c>
      <c r="P783" s="159">
        <f>+O650</f>
        <v>5449</v>
      </c>
      <c r="Q783" s="159">
        <f>+O696</f>
        <v>2003</v>
      </c>
      <c r="R783" s="324"/>
      <c r="T783" s="4">
        <f t="shared" si="110"/>
        <v>892503</v>
      </c>
    </row>
    <row r="784" spans="1:20" ht="15.75" customHeight="1" x14ac:dyDescent="0.3">
      <c r="A784" s="325" t="s">
        <v>421</v>
      </c>
      <c r="B784" s="159">
        <f>+P30</f>
        <v>133980</v>
      </c>
      <c r="C784" s="159">
        <f>+P65</f>
        <v>133794</v>
      </c>
      <c r="D784" s="159">
        <f>+P128</f>
        <v>133615</v>
      </c>
      <c r="E784" s="159">
        <f>+P250</f>
        <v>127689.00000000001</v>
      </c>
      <c r="F784" s="159">
        <f>+P245</f>
        <v>56385</v>
      </c>
      <c r="G784" s="159">
        <f>+P257</f>
        <v>0</v>
      </c>
      <c r="H784" s="159">
        <f>+P379</f>
        <v>50104.000000000015</v>
      </c>
      <c r="I784" s="159">
        <f>+P424</f>
        <v>20654</v>
      </c>
      <c r="J784" s="159">
        <f>+P465</f>
        <v>20226</v>
      </c>
      <c r="K784" s="159">
        <f>+P518</f>
        <v>17634</v>
      </c>
      <c r="L784" s="159">
        <f>+P528</f>
        <v>14591</v>
      </c>
      <c r="M784" s="159">
        <f>+P563</f>
        <v>14572</v>
      </c>
      <c r="N784" s="159">
        <f>+P606</f>
        <v>14189</v>
      </c>
      <c r="O784" s="159">
        <f>+P616</f>
        <v>3459</v>
      </c>
      <c r="P784" s="159">
        <f>+P650</f>
        <v>5605</v>
      </c>
      <c r="Q784" s="159">
        <f>+P696</f>
        <v>3417</v>
      </c>
      <c r="R784" s="324"/>
      <c r="T784" s="4">
        <f t="shared" si="110"/>
        <v>749914</v>
      </c>
    </row>
    <row r="785" spans="1:18" ht="15.75" customHeight="1" x14ac:dyDescent="0.3">
      <c r="A785" s="323"/>
      <c r="B785" s="159"/>
      <c r="C785" s="159"/>
      <c r="D785" s="159"/>
      <c r="E785" s="159"/>
      <c r="F785" s="159"/>
      <c r="G785" s="159"/>
      <c r="H785" s="159"/>
      <c r="I785" s="159"/>
      <c r="J785" s="159"/>
      <c r="K785" s="159"/>
      <c r="L785" s="159"/>
      <c r="M785" s="159"/>
      <c r="N785" s="159"/>
      <c r="O785" s="159"/>
      <c r="P785" s="159"/>
      <c r="Q785" s="159"/>
      <c r="R785" s="324"/>
    </row>
    <row r="786" spans="1:18" ht="15.75" customHeight="1" x14ac:dyDescent="0.3">
      <c r="A786" s="325" t="s">
        <v>422</v>
      </c>
      <c r="B786" s="159">
        <f t="shared" ref="B786:Q786" si="111">SUM(B773:B784)</f>
        <v>1635752</v>
      </c>
      <c r="C786" s="159">
        <f t="shared" si="111"/>
        <v>1632252</v>
      </c>
      <c r="D786" s="159">
        <f t="shared" si="111"/>
        <v>1628258</v>
      </c>
      <c r="E786" s="159">
        <f t="shared" si="111"/>
        <v>1509300</v>
      </c>
      <c r="F786" s="159">
        <f t="shared" si="111"/>
        <v>411750</v>
      </c>
      <c r="G786" s="159">
        <f t="shared" si="111"/>
        <v>-426546</v>
      </c>
      <c r="H786" s="159">
        <f t="shared" si="111"/>
        <v>1172721</v>
      </c>
      <c r="I786" s="159">
        <f t="shared" si="111"/>
        <v>349729</v>
      </c>
      <c r="J786" s="159">
        <f t="shared" si="111"/>
        <v>289789</v>
      </c>
      <c r="K786" s="159">
        <f t="shared" si="111"/>
        <v>239956</v>
      </c>
      <c r="L786" s="159">
        <f t="shared" si="111"/>
        <v>197917</v>
      </c>
      <c r="M786" s="159">
        <f t="shared" si="111"/>
        <v>197544</v>
      </c>
      <c r="N786" s="159">
        <f t="shared" si="111"/>
        <v>183332</v>
      </c>
      <c r="O786" s="159">
        <f t="shared" si="111"/>
        <v>42395</v>
      </c>
      <c r="P786" s="159">
        <f t="shared" si="111"/>
        <v>65553</v>
      </c>
      <c r="Q786" s="159">
        <f t="shared" si="111"/>
        <v>42083</v>
      </c>
      <c r="R786" s="324"/>
    </row>
    <row r="787" spans="1:18" ht="16.5" customHeight="1" thickBot="1" x14ac:dyDescent="0.35">
      <c r="A787" s="326" t="s">
        <v>7</v>
      </c>
      <c r="B787" s="327"/>
      <c r="C787" s="327"/>
      <c r="D787" s="327"/>
      <c r="E787" s="327"/>
      <c r="F787" s="327"/>
      <c r="G787" s="327"/>
      <c r="H787" s="327"/>
      <c r="I787" s="327"/>
      <c r="J787" s="327"/>
      <c r="K787" s="327"/>
      <c r="L787" s="327"/>
      <c r="M787" s="327"/>
      <c r="N787" s="327"/>
      <c r="O787" s="327"/>
      <c r="P787" s="327"/>
      <c r="Q787" s="327"/>
      <c r="R787" s="328"/>
    </row>
    <row r="788" spans="1:18" ht="16.5" customHeight="1" thickBot="1" x14ac:dyDescent="0.35">
      <c r="A788" s="159"/>
      <c r="B788" s="159"/>
      <c r="C788" s="159"/>
      <c r="D788" s="159"/>
      <c r="E788" s="159"/>
      <c r="F788" s="159"/>
      <c r="G788" s="159"/>
      <c r="H788" s="159"/>
      <c r="I788" s="159"/>
      <c r="J788" s="159"/>
      <c r="K788" s="159"/>
      <c r="L788" s="159"/>
      <c r="M788" s="159"/>
      <c r="N788" s="159"/>
      <c r="O788" s="159"/>
      <c r="P788" s="159"/>
      <c r="Q788" s="159"/>
      <c r="R788" s="159"/>
    </row>
    <row r="789" spans="1:18" ht="15.75" customHeight="1" x14ac:dyDescent="0.3">
      <c r="A789" s="318"/>
      <c r="B789" s="319"/>
      <c r="C789" s="321" t="s">
        <v>423</v>
      </c>
      <c r="D789" s="319"/>
      <c r="E789" s="319"/>
      <c r="F789" s="319"/>
      <c r="G789" s="319"/>
      <c r="H789" s="319"/>
      <c r="I789" s="319" t="s">
        <v>424</v>
      </c>
      <c r="J789" s="319"/>
      <c r="K789" s="319" t="s">
        <v>7</v>
      </c>
      <c r="L789" s="329" t="str">
        <f>+A9</f>
        <v>Revised:  1/22/2013</v>
      </c>
      <c r="M789" s="319"/>
      <c r="N789" s="319"/>
      <c r="O789" s="319"/>
      <c r="P789" s="319"/>
      <c r="Q789" s="321" t="str">
        <f>+Q1</f>
        <v>PRINTED:</v>
      </c>
      <c r="R789" s="322">
        <f ca="1">+R1</f>
        <v>44909.46975358796</v>
      </c>
    </row>
    <row r="790" spans="1:18" ht="15.75" customHeight="1" x14ac:dyDescent="0.3">
      <c r="A790" s="323"/>
      <c r="B790" s="159"/>
      <c r="C790" s="159"/>
      <c r="D790" s="159" t="str">
        <f>++A5</f>
        <v>Calendar Year 2012</v>
      </c>
      <c r="E790" s="159"/>
      <c r="F790" s="159"/>
      <c r="G790" s="159"/>
      <c r="H790" s="159"/>
      <c r="I790" s="159"/>
      <c r="J790" s="159"/>
      <c r="K790" s="159"/>
      <c r="L790" s="159"/>
      <c r="M790" s="159"/>
      <c r="N790" s="159"/>
      <c r="O790" s="159"/>
      <c r="P790" s="159"/>
      <c r="Q790" s="159"/>
      <c r="R790" s="324"/>
    </row>
    <row r="791" spans="1:18" ht="15.75" customHeight="1" x14ac:dyDescent="0.3">
      <c r="A791" s="323"/>
      <c r="B791" s="159"/>
      <c r="C791" s="159"/>
      <c r="D791" s="159"/>
      <c r="E791" s="159"/>
      <c r="F791" s="159"/>
      <c r="G791" s="159"/>
      <c r="H791" s="159"/>
      <c r="I791" s="159"/>
      <c r="J791" s="159"/>
      <c r="K791" s="159"/>
      <c r="L791" s="159"/>
      <c r="M791" s="159"/>
      <c r="N791" s="159"/>
      <c r="O791" s="159"/>
      <c r="P791" s="159"/>
      <c r="Q791" s="159"/>
      <c r="R791" s="324"/>
    </row>
    <row r="792" spans="1:18" ht="15.75" customHeight="1" x14ac:dyDescent="0.3">
      <c r="A792" s="323"/>
      <c r="B792" s="159"/>
      <c r="C792" s="159"/>
      <c r="D792" s="159"/>
      <c r="E792" s="159"/>
      <c r="F792" s="159"/>
      <c r="G792" s="164" t="s">
        <v>425</v>
      </c>
      <c r="H792" s="159"/>
      <c r="I792" s="159"/>
      <c r="J792" s="159"/>
      <c r="K792" s="159"/>
      <c r="L792" s="159"/>
      <c r="M792" s="159"/>
      <c r="N792" s="159"/>
      <c r="O792" s="159"/>
      <c r="P792" s="159"/>
      <c r="Q792" s="159"/>
      <c r="R792" s="324"/>
    </row>
    <row r="793" spans="1:18" ht="15.75" customHeight="1" x14ac:dyDescent="0.3">
      <c r="A793" s="323"/>
      <c r="B793" s="159" t="s">
        <v>424</v>
      </c>
      <c r="C793" s="159"/>
      <c r="D793" s="164" t="s">
        <v>426</v>
      </c>
      <c r="E793" s="164" t="s">
        <v>426</v>
      </c>
      <c r="F793" s="164" t="s">
        <v>427</v>
      </c>
      <c r="G793" s="164" t="s">
        <v>404</v>
      </c>
      <c r="H793" s="164" t="s">
        <v>428</v>
      </c>
      <c r="I793" s="164" t="s">
        <v>429</v>
      </c>
      <c r="J793" s="164" t="s">
        <v>422</v>
      </c>
      <c r="K793" s="159" t="s">
        <v>424</v>
      </c>
      <c r="L793" s="164" t="s">
        <v>430</v>
      </c>
      <c r="M793" s="164" t="s">
        <v>430</v>
      </c>
      <c r="N793" s="164" t="s">
        <v>430</v>
      </c>
      <c r="O793" s="159"/>
      <c r="P793" s="159"/>
      <c r="Q793" s="159"/>
      <c r="R793" s="324"/>
    </row>
    <row r="794" spans="1:18" ht="15.75" customHeight="1" x14ac:dyDescent="0.35">
      <c r="A794" s="323"/>
      <c r="B794" s="164" t="s">
        <v>394</v>
      </c>
      <c r="C794" s="164" t="s">
        <v>431</v>
      </c>
      <c r="D794" s="164" t="s">
        <v>432</v>
      </c>
      <c r="E794" s="164" t="s">
        <v>432</v>
      </c>
      <c r="F794" s="164" t="s">
        <v>433</v>
      </c>
      <c r="G794" s="165" t="s">
        <v>434</v>
      </c>
      <c r="H794" s="164" t="s">
        <v>435</v>
      </c>
      <c r="I794" s="164" t="s">
        <v>436</v>
      </c>
      <c r="J794" s="164" t="s">
        <v>437</v>
      </c>
      <c r="K794" s="159" t="s">
        <v>424</v>
      </c>
      <c r="L794" s="164" t="s">
        <v>438</v>
      </c>
      <c r="M794" s="164" t="s">
        <v>434</v>
      </c>
      <c r="N794" s="164" t="s">
        <v>407</v>
      </c>
      <c r="O794" s="159"/>
      <c r="P794" s="159"/>
      <c r="Q794" s="159"/>
      <c r="R794" s="324"/>
    </row>
    <row r="795" spans="1:18" ht="15.75" customHeight="1" x14ac:dyDescent="0.3">
      <c r="A795" s="323"/>
      <c r="B795" s="164" t="s">
        <v>406</v>
      </c>
      <c r="C795" s="164" t="s">
        <v>439</v>
      </c>
      <c r="D795" s="164" t="s">
        <v>440</v>
      </c>
      <c r="E795" s="164" t="s">
        <v>441</v>
      </c>
      <c r="F795" s="164" t="s">
        <v>442</v>
      </c>
      <c r="G795" s="164" t="s">
        <v>442</v>
      </c>
      <c r="H795" s="164" t="s">
        <v>442</v>
      </c>
      <c r="I795" s="164" t="s">
        <v>442</v>
      </c>
      <c r="J795" s="164" t="s">
        <v>443</v>
      </c>
      <c r="K795" s="159" t="s">
        <v>424</v>
      </c>
      <c r="L795" s="164" t="s">
        <v>444</v>
      </c>
      <c r="M795" s="164" t="s">
        <v>445</v>
      </c>
      <c r="N795" s="164" t="s">
        <v>445</v>
      </c>
      <c r="O795" s="159"/>
      <c r="P795" s="159"/>
      <c r="Q795" s="159"/>
      <c r="R795" s="324"/>
    </row>
    <row r="796" spans="1:18" ht="15.75" customHeight="1" x14ac:dyDescent="0.3">
      <c r="A796" s="323"/>
      <c r="B796" s="164" t="s">
        <v>446</v>
      </c>
      <c r="C796" s="164" t="s">
        <v>447</v>
      </c>
      <c r="D796" s="164" t="s">
        <v>448</v>
      </c>
      <c r="E796" s="164" t="s">
        <v>448</v>
      </c>
      <c r="F796" s="164" t="s">
        <v>448</v>
      </c>
      <c r="G796" s="164" t="s">
        <v>448</v>
      </c>
      <c r="H796" s="164" t="s">
        <v>448</v>
      </c>
      <c r="I796" s="164" t="s">
        <v>448</v>
      </c>
      <c r="J796" s="164" t="s">
        <v>448</v>
      </c>
      <c r="K796" s="159" t="s">
        <v>424</v>
      </c>
      <c r="L796" s="164" t="s">
        <v>449</v>
      </c>
      <c r="M796" s="164" t="s">
        <v>449</v>
      </c>
      <c r="N796" s="164" t="s">
        <v>449</v>
      </c>
      <c r="O796" s="159"/>
      <c r="P796" s="159"/>
      <c r="Q796" s="159"/>
      <c r="R796" s="324"/>
    </row>
    <row r="797" spans="1:18" ht="15.75" customHeight="1" x14ac:dyDescent="0.3">
      <c r="A797" s="323"/>
      <c r="B797" s="159" t="s">
        <v>409</v>
      </c>
      <c r="C797" s="159" t="s">
        <v>409</v>
      </c>
      <c r="D797" s="159" t="s">
        <v>409</v>
      </c>
      <c r="E797" s="159" t="s">
        <v>409</v>
      </c>
      <c r="F797" s="159" t="s">
        <v>409</v>
      </c>
      <c r="G797" s="159" t="s">
        <v>409</v>
      </c>
      <c r="H797" s="159" t="s">
        <v>409</v>
      </c>
      <c r="I797" s="159" t="s">
        <v>409</v>
      </c>
      <c r="J797" s="159" t="s">
        <v>409</v>
      </c>
      <c r="K797" s="159" t="s">
        <v>424</v>
      </c>
      <c r="L797" s="159" t="s">
        <v>409</v>
      </c>
      <c r="M797" s="159" t="s">
        <v>409</v>
      </c>
      <c r="N797" s="159" t="s">
        <v>409</v>
      </c>
      <c r="O797" s="159"/>
      <c r="P797" s="159"/>
      <c r="Q797" s="159"/>
      <c r="R797" s="324"/>
    </row>
    <row r="798" spans="1:18" ht="15.75" customHeight="1" x14ac:dyDescent="0.3">
      <c r="A798" s="325" t="s">
        <v>410</v>
      </c>
      <c r="B798" s="159">
        <f t="shared" ref="B798:B809" si="112">(F773)</f>
        <v>111219</v>
      </c>
      <c r="C798" s="159">
        <f>SUM($B$771:$E$771)+(('[1]Lake Pleasant Forecast'!B35-1526.8)/0.7702)</f>
        <v>1638.1524430019012</v>
      </c>
      <c r="D798" s="159">
        <f>(B798*C798/1000)</f>
        <v>182193.67655822847</v>
      </c>
      <c r="E798" s="159">
        <f>(((B773-F773)*B$771)+((C773-F773)*C$771)+((D773-F773)*D$771)+((E773-F773)*E$771))/1000</f>
        <v>99707.61</v>
      </c>
      <c r="F798" s="159">
        <f>(D798+E798)</f>
        <v>281901.28655822849</v>
      </c>
      <c r="G798" s="159">
        <f t="shared" ref="G798:G809" si="113">SUM(H855:Q855)</f>
        <v>28989.175999999999</v>
      </c>
      <c r="H798" s="159">
        <f>+F798+G798</f>
        <v>310890.46255822846</v>
      </c>
      <c r="I798" s="159">
        <f t="shared" ref="I798:I805" si="114">(G908)</f>
        <v>0</v>
      </c>
      <c r="J798" s="159">
        <f t="shared" ref="J798:J809" si="115">(H798-I798)</f>
        <v>310890.46255822846</v>
      </c>
      <c r="K798" s="159" t="s">
        <v>424</v>
      </c>
      <c r="L798" s="159">
        <f>+B773/31/1.98</f>
        <v>2990.436624307592</v>
      </c>
      <c r="M798" s="159">
        <f>(B798*43560/31/24/3600)</f>
        <v>1808.8036290322584</v>
      </c>
      <c r="N798" s="159">
        <f>+B260</f>
        <v>0</v>
      </c>
      <c r="O798" s="159"/>
      <c r="P798" s="159"/>
      <c r="Q798" s="159"/>
      <c r="R798" s="324"/>
    </row>
    <row r="799" spans="1:18" ht="15.75" customHeight="1" x14ac:dyDescent="0.3">
      <c r="A799" s="325" t="s">
        <v>411</v>
      </c>
      <c r="B799" s="159">
        <f t="shared" si="112"/>
        <v>67581</v>
      </c>
      <c r="C799" s="159">
        <f>SUM($B$771:$E$771)+(('[1]Lake Pleasant Forecast'!B37-1526.8)/0.7702)</f>
        <v>1642.6450272656455</v>
      </c>
      <c r="D799" s="159">
        <f>(B799*C799/1000)</f>
        <v>111011.59358763958</v>
      </c>
      <c r="E799" s="159">
        <f t="shared" ref="E799:E809" si="116">(((B774-F774)*B$771)+((C774-F774)*C$771)+((D774-F774)*D$771)+((E774-F774)*E$771))/1000</f>
        <v>139359.261</v>
      </c>
      <c r="F799" s="159">
        <f t="shared" ref="F799:F809" si="117">(D799+E799)</f>
        <v>250370.85458763957</v>
      </c>
      <c r="G799" s="159">
        <f t="shared" si="113"/>
        <v>36363.505000000005</v>
      </c>
      <c r="H799" s="159">
        <f t="shared" ref="H799:H809" si="118">+F799+G799</f>
        <v>286734.35958763957</v>
      </c>
      <c r="I799" s="159">
        <f t="shared" si="114"/>
        <v>0</v>
      </c>
      <c r="J799" s="159">
        <f t="shared" si="115"/>
        <v>286734.35958763957</v>
      </c>
      <c r="K799" s="159" t="s">
        <v>424</v>
      </c>
      <c r="L799" s="159">
        <f>+B774/28/1.98</f>
        <v>3035.209235209235</v>
      </c>
      <c r="M799" s="159">
        <f>(B799*43560/29/24/3600)</f>
        <v>1174.8995689655173</v>
      </c>
      <c r="N799" s="159">
        <f>+C260</f>
        <v>0</v>
      </c>
      <c r="O799" s="159"/>
      <c r="P799" s="159"/>
      <c r="Q799" s="159"/>
      <c r="R799" s="324"/>
    </row>
    <row r="800" spans="1:18" ht="15.75" customHeight="1" x14ac:dyDescent="0.3">
      <c r="A800" s="325" t="s">
        <v>412</v>
      </c>
      <c r="B800" s="159">
        <f t="shared" si="112"/>
        <v>44397</v>
      </c>
      <c r="C800" s="159">
        <f>SUM($B$771:$E$771)+(('[1]Lake Pleasant Forecast'!B39-1526.8)/0.7702)</f>
        <v>1646.592054011945</v>
      </c>
      <c r="D800" s="159">
        <f t="shared" ref="D800:D809" si="119">(B800*C800/1000)</f>
        <v>73103.747421968321</v>
      </c>
      <c r="E800" s="159">
        <f t="shared" si="116"/>
        <v>199249.19200000001</v>
      </c>
      <c r="F800" s="159">
        <f t="shared" si="117"/>
        <v>272352.9394219683</v>
      </c>
      <c r="G800" s="159">
        <f t="shared" si="113"/>
        <v>41900.854000000007</v>
      </c>
      <c r="H800" s="159">
        <f t="shared" si="118"/>
        <v>314253.79342196829</v>
      </c>
      <c r="I800" s="159">
        <f t="shared" si="114"/>
        <v>0</v>
      </c>
      <c r="J800" s="159">
        <f t="shared" si="115"/>
        <v>314253.79342196829</v>
      </c>
      <c r="K800" s="159" t="s">
        <v>424</v>
      </c>
      <c r="L800" s="159">
        <f>+B775/31/1.98</f>
        <v>3055.0993809058323</v>
      </c>
      <c r="M800" s="159">
        <f>(B800*43560/31/24/3600)</f>
        <v>722.04798387096764</v>
      </c>
      <c r="N800" s="159">
        <f>+D260</f>
        <v>0</v>
      </c>
      <c r="O800" s="159"/>
      <c r="P800" s="159"/>
      <c r="Q800" s="159"/>
      <c r="R800" s="324"/>
    </row>
    <row r="801" spans="1:18" ht="15.75" customHeight="1" x14ac:dyDescent="0.3">
      <c r="A801" s="325" t="s">
        <v>413</v>
      </c>
      <c r="B801" s="159">
        <f t="shared" si="112"/>
        <v>6884</v>
      </c>
      <c r="C801" s="159">
        <f>SUM($B$771:$E$771)+(('[1]Lake Pleasant Forecast'!B41-1526.8)/0.7702)</f>
        <v>1645.8271291131655</v>
      </c>
      <c r="D801" s="159">
        <f t="shared" si="119"/>
        <v>11329.87395681503</v>
      </c>
      <c r="E801" s="159">
        <f t="shared" si="116"/>
        <v>246708.37</v>
      </c>
      <c r="F801" s="159">
        <f t="shared" si="117"/>
        <v>258038.24395681501</v>
      </c>
      <c r="G801" s="159">
        <f t="shared" si="113"/>
        <v>47375.337999999996</v>
      </c>
      <c r="H801" s="159">
        <f t="shared" si="118"/>
        <v>305413.58195681503</v>
      </c>
      <c r="I801" s="159">
        <f t="shared" si="114"/>
        <v>669.29726509267925</v>
      </c>
      <c r="J801" s="159">
        <f t="shared" si="115"/>
        <v>304744.28469172237</v>
      </c>
      <c r="K801" s="159" t="s">
        <v>424</v>
      </c>
      <c r="L801" s="159">
        <f>+B776/30/1.98</f>
        <v>3053.939393939394</v>
      </c>
      <c r="M801" s="159">
        <f>(B801*43560/30/24/3600)</f>
        <v>115.68944444444445</v>
      </c>
      <c r="N801" s="159">
        <f>+F260</f>
        <v>-71.289292318036644</v>
      </c>
      <c r="O801" s="159"/>
      <c r="P801" s="159"/>
      <c r="Q801" s="159"/>
      <c r="R801" s="324"/>
    </row>
    <row r="802" spans="1:18" ht="15.75" customHeight="1" x14ac:dyDescent="0.3">
      <c r="A802" s="325" t="s">
        <v>414</v>
      </c>
      <c r="B802" s="159">
        <f t="shared" si="112"/>
        <v>1498</v>
      </c>
      <c r="C802" s="159">
        <f>SUM($B$771:$E$771)+(('[1]Lake Pleasant Forecast'!B43-1526.8)/0.7702)</f>
        <v>1642.8008309529996</v>
      </c>
      <c r="D802" s="159">
        <f t="shared" si="119"/>
        <v>2460.9156447675937</v>
      </c>
      <c r="E802" s="159">
        <f t="shared" si="116"/>
        <v>253154.10500000001</v>
      </c>
      <c r="F802" s="159">
        <f t="shared" si="117"/>
        <v>255615.02064476762</v>
      </c>
      <c r="G802" s="159">
        <f t="shared" si="113"/>
        <v>50694.132000000012</v>
      </c>
      <c r="H802" s="159">
        <f t="shared" si="118"/>
        <v>306309.15264476766</v>
      </c>
      <c r="I802" s="159">
        <f t="shared" si="114"/>
        <v>3009.6788244159793</v>
      </c>
      <c r="J802" s="159">
        <f t="shared" si="115"/>
        <v>303299.4738203517</v>
      </c>
      <c r="K802" s="159" t="s">
        <v>424</v>
      </c>
      <c r="L802" s="159">
        <f>+B777/31/1.98</f>
        <v>2942.196155099381</v>
      </c>
      <c r="M802" s="159">
        <f>(B802*43560/31/24/3600)</f>
        <v>24.362634408602151</v>
      </c>
      <c r="N802" s="159">
        <f>+G260</f>
        <v>-317.2937712491663</v>
      </c>
      <c r="O802" s="159"/>
      <c r="P802" s="159"/>
      <c r="Q802" s="159"/>
      <c r="R802" s="324"/>
    </row>
    <row r="803" spans="1:18" ht="15.75" customHeight="1" x14ac:dyDescent="0.3">
      <c r="A803" s="325" t="s">
        <v>415</v>
      </c>
      <c r="B803" s="159">
        <f t="shared" si="112"/>
        <v>0</v>
      </c>
      <c r="C803" s="159">
        <f>SUM($B$771:$E$771)+(('[1]Lake Pleasant Forecast'!B45-1526.8)/0.7702)</f>
        <v>1626.3375746559338</v>
      </c>
      <c r="D803" s="159">
        <f t="shared" si="119"/>
        <v>0</v>
      </c>
      <c r="E803" s="159">
        <f t="shared" si="116"/>
        <v>184984.851</v>
      </c>
      <c r="F803" s="159">
        <f t="shared" si="117"/>
        <v>184984.851</v>
      </c>
      <c r="G803" s="159">
        <f t="shared" si="113"/>
        <v>47914.512000000002</v>
      </c>
      <c r="H803" s="159">
        <f t="shared" si="118"/>
        <v>232899.36300000001</v>
      </c>
      <c r="I803" s="159">
        <f t="shared" si="114"/>
        <v>10757.240391861347</v>
      </c>
      <c r="J803" s="159">
        <f t="shared" si="115"/>
        <v>222142.12260813866</v>
      </c>
      <c r="K803" s="159" t="s">
        <v>424</v>
      </c>
      <c r="L803" s="159">
        <f>+B778/30/1.98</f>
        <v>2208.7037037037039</v>
      </c>
      <c r="M803" s="159">
        <f t="shared" ref="M803:M808" si="120">(B803*43560/30/24/3600)</f>
        <v>0</v>
      </c>
      <c r="N803" s="159">
        <f>+H260</f>
        <v>-1337.5357202891241</v>
      </c>
      <c r="O803" s="159"/>
      <c r="P803" s="159"/>
      <c r="Q803" s="159"/>
      <c r="R803" s="324"/>
    </row>
    <row r="804" spans="1:18" ht="15.75" customHeight="1" x14ac:dyDescent="0.3">
      <c r="A804" s="325" t="s">
        <v>416</v>
      </c>
      <c r="B804" s="159">
        <f t="shared" si="112"/>
        <v>0</v>
      </c>
      <c r="C804" s="159">
        <f>SUM($B$771:$E$771)+(('[1]Lake Pleasant Forecast'!B47-1526.8)/0.7702)</f>
        <v>1614.093965893418</v>
      </c>
      <c r="D804" s="159">
        <f t="shared" si="119"/>
        <v>0</v>
      </c>
      <c r="E804" s="159">
        <f t="shared" si="116"/>
        <v>54697.872000000003</v>
      </c>
      <c r="F804" s="159">
        <f t="shared" si="117"/>
        <v>54697.872000000003</v>
      </c>
      <c r="G804" s="159">
        <f t="shared" si="113"/>
        <v>43738.018000000004</v>
      </c>
      <c r="H804" s="159">
        <f t="shared" si="118"/>
        <v>98435.890000000014</v>
      </c>
      <c r="I804" s="159">
        <f t="shared" si="114"/>
        <v>16612.436394999178</v>
      </c>
      <c r="J804" s="159">
        <f t="shared" si="115"/>
        <v>81823.453605000832</v>
      </c>
      <c r="K804" s="159" t="s">
        <v>424</v>
      </c>
      <c r="L804" s="159">
        <f>+B779/31/1.98</f>
        <v>651.35223199739335</v>
      </c>
      <c r="M804" s="159">
        <f t="shared" si="120"/>
        <v>0</v>
      </c>
      <c r="N804" s="159">
        <f>+J260</f>
        <v>-2233.7611634376067</v>
      </c>
      <c r="O804" s="159"/>
      <c r="P804" s="159"/>
      <c r="Q804" s="159"/>
      <c r="R804" s="324"/>
    </row>
    <row r="805" spans="1:18" ht="15.75" customHeight="1" x14ac:dyDescent="0.3">
      <c r="A805" s="325" t="s">
        <v>417</v>
      </c>
      <c r="B805" s="159">
        <f t="shared" si="112"/>
        <v>0</v>
      </c>
      <c r="C805" s="159">
        <f>SUM($B$771:$E$771)+(('[1]Lake Pleasant Forecast'!B49-1526.8)/0.7702)</f>
        <v>1600.6037637565339</v>
      </c>
      <c r="D805" s="159">
        <f t="shared" si="119"/>
        <v>0</v>
      </c>
      <c r="E805" s="159">
        <f t="shared" si="116"/>
        <v>121115.724</v>
      </c>
      <c r="F805" s="159">
        <f t="shared" si="117"/>
        <v>121115.724</v>
      </c>
      <c r="G805" s="159">
        <f t="shared" si="113"/>
        <v>43910.666999999994</v>
      </c>
      <c r="H805" s="159">
        <f t="shared" si="118"/>
        <v>165026.391</v>
      </c>
      <c r="I805" s="159">
        <f t="shared" si="114"/>
        <v>9949.5802355897686</v>
      </c>
      <c r="J805" s="159">
        <f t="shared" si="115"/>
        <v>155076.81076441024</v>
      </c>
      <c r="K805" s="159" t="s">
        <v>424</v>
      </c>
      <c r="L805" s="159">
        <f>+B780/31/1.98</f>
        <v>1410.8178559791463</v>
      </c>
      <c r="M805" s="159">
        <f t="shared" si="120"/>
        <v>0</v>
      </c>
      <c r="N805" s="159">
        <f>+K260</f>
        <v>-1536.7722414718658</v>
      </c>
      <c r="O805" s="159"/>
      <c r="P805" s="159"/>
      <c r="Q805" s="159"/>
      <c r="R805" s="324"/>
    </row>
    <row r="806" spans="1:18" ht="15.75" customHeight="1" x14ac:dyDescent="0.3">
      <c r="A806" s="325" t="s">
        <v>418</v>
      </c>
      <c r="B806" s="159">
        <f t="shared" si="112"/>
        <v>4628</v>
      </c>
      <c r="C806" s="159">
        <f>SUM($B$771:$E$771)+(('[1]Lake Pleasant Forecast'!B51-1526.8)/0.7702)</f>
        <v>1598.5266164632565</v>
      </c>
      <c r="D806" s="159">
        <f t="shared" si="119"/>
        <v>7397.9811809919502</v>
      </c>
      <c r="E806" s="159">
        <f t="shared" si="116"/>
        <v>187396.04500000001</v>
      </c>
      <c r="F806" s="159">
        <f t="shared" si="117"/>
        <v>194794.02618099196</v>
      </c>
      <c r="G806" s="159">
        <f t="shared" si="113"/>
        <v>40398.470999999998</v>
      </c>
      <c r="H806" s="159">
        <f t="shared" si="118"/>
        <v>235192.49718099195</v>
      </c>
      <c r="I806" s="159">
        <v>0</v>
      </c>
      <c r="J806" s="159">
        <f t="shared" si="115"/>
        <v>235192.49718099195</v>
      </c>
      <c r="K806" s="159" t="s">
        <v>424</v>
      </c>
      <c r="L806" s="159">
        <f>+B781/30/1.98</f>
        <v>2312.7946127946125</v>
      </c>
      <c r="M806" s="159">
        <f t="shared" si="120"/>
        <v>77.776111111111106</v>
      </c>
      <c r="N806" s="159">
        <f>+L260</f>
        <v>-107.22810556396033</v>
      </c>
      <c r="O806" s="159"/>
      <c r="P806" s="159"/>
      <c r="Q806" s="159"/>
      <c r="R806" s="324"/>
    </row>
    <row r="807" spans="1:18" ht="15.75" customHeight="1" x14ac:dyDescent="0.3">
      <c r="A807" s="325" t="s">
        <v>419</v>
      </c>
      <c r="B807" s="159">
        <f t="shared" si="112"/>
        <v>9922</v>
      </c>
      <c r="C807" s="159">
        <f>SUM($B$771:$E$771)+(('[1]Lake Pleasant Forecast'!B53-1526.8)/0.7702)</f>
        <v>1607.0828356271095</v>
      </c>
      <c r="D807" s="159">
        <f t="shared" si="119"/>
        <v>15945.475895092181</v>
      </c>
      <c r="E807" s="159">
        <f t="shared" si="116"/>
        <v>30297.323</v>
      </c>
      <c r="F807" s="159">
        <f t="shared" si="117"/>
        <v>46242.798895092179</v>
      </c>
      <c r="G807" s="159">
        <f t="shared" si="113"/>
        <v>27894.557999999997</v>
      </c>
      <c r="H807" s="159">
        <f t="shared" si="118"/>
        <v>74137.356895092176</v>
      </c>
      <c r="I807" s="159">
        <v>0</v>
      </c>
      <c r="J807" s="159">
        <f t="shared" si="115"/>
        <v>74137.356895092176</v>
      </c>
      <c r="K807" s="159" t="s">
        <v>424</v>
      </c>
      <c r="L807" s="159">
        <f>+B782/31/1.98</f>
        <v>521.11436950146629</v>
      </c>
      <c r="M807" s="159">
        <f t="shared" si="120"/>
        <v>166.74472222222221</v>
      </c>
      <c r="N807" s="159">
        <f>+N260</f>
        <v>-1383.778244107169</v>
      </c>
      <c r="O807" s="159"/>
      <c r="P807" s="159"/>
      <c r="Q807" s="159"/>
      <c r="R807" s="324"/>
    </row>
    <row r="808" spans="1:18" ht="15.75" customHeight="1" x14ac:dyDescent="0.3">
      <c r="A808" s="325" t="s">
        <v>420</v>
      </c>
      <c r="B808" s="159">
        <f t="shared" si="112"/>
        <v>109236</v>
      </c>
      <c r="C808" s="159">
        <f>SUM($B$771:$E$771)+(('[1]Lake Pleasant Forecast'!B55-1526.8)/0.7702)</f>
        <v>1617.5216826798235</v>
      </c>
      <c r="D808" s="159">
        <f t="shared" si="119"/>
        <v>176691.5985292132</v>
      </c>
      <c r="E808" s="159">
        <f t="shared" si="116"/>
        <v>90473.95</v>
      </c>
      <c r="F808" s="159">
        <f t="shared" si="117"/>
        <v>267165.54852921318</v>
      </c>
      <c r="G808" s="159">
        <f t="shared" si="113"/>
        <v>16627.478999999999</v>
      </c>
      <c r="H808" s="159">
        <f t="shared" si="118"/>
        <v>283793.02752921317</v>
      </c>
      <c r="I808" s="159">
        <f>(G918)</f>
        <v>0</v>
      </c>
      <c r="J808" s="159">
        <f t="shared" si="115"/>
        <v>283793.02752921317</v>
      </c>
      <c r="K808" s="159" t="s">
        <v>424</v>
      </c>
      <c r="L808" s="159">
        <f>+B783/30/1.98</f>
        <v>2917.3400673400674</v>
      </c>
      <c r="M808" s="159">
        <f t="shared" si="120"/>
        <v>1835.7716666666668</v>
      </c>
      <c r="N808" s="159">
        <f>+O260</f>
        <v>0</v>
      </c>
      <c r="O808" s="159"/>
      <c r="P808" s="159"/>
      <c r="Q808" s="159"/>
      <c r="R808" s="324"/>
    </row>
    <row r="809" spans="1:18" ht="15.75" customHeight="1" x14ac:dyDescent="0.3">
      <c r="A809" s="325" t="s">
        <v>421</v>
      </c>
      <c r="B809" s="159">
        <f t="shared" si="112"/>
        <v>56385</v>
      </c>
      <c r="C809" s="159">
        <f>SUM($B$771:$E$771)+(('[1]Lake Pleasant Forecast'!B57-1526.8)/0.7702)</f>
        <v>1621.0530797648637</v>
      </c>
      <c r="D809" s="159">
        <f t="shared" si="119"/>
        <v>91403.077902541845</v>
      </c>
      <c r="E809" s="159">
        <f t="shared" si="116"/>
        <v>109203.329</v>
      </c>
      <c r="F809" s="159">
        <f t="shared" si="117"/>
        <v>200606.40690254184</v>
      </c>
      <c r="G809" s="159">
        <f t="shared" si="113"/>
        <v>29550.874</v>
      </c>
      <c r="H809" s="159">
        <f t="shared" si="118"/>
        <v>230157.28090254185</v>
      </c>
      <c r="I809" s="159">
        <f>(G919)</f>
        <v>0</v>
      </c>
      <c r="J809" s="159">
        <f t="shared" si="115"/>
        <v>230157.28090254185</v>
      </c>
      <c r="K809" s="159" t="s">
        <v>424</v>
      </c>
      <c r="L809" s="159">
        <f>+B784/31/1.98</f>
        <v>2182.7956989247314</v>
      </c>
      <c r="M809" s="159">
        <f>(B809*43560/31/24/3600)</f>
        <v>917.01411290322585</v>
      </c>
      <c r="N809" s="159">
        <f>+P260</f>
        <v>0</v>
      </c>
      <c r="O809" s="159"/>
      <c r="P809" s="159"/>
      <c r="Q809" s="159"/>
      <c r="R809" s="324"/>
    </row>
    <row r="810" spans="1:18" ht="15.75" customHeight="1" x14ac:dyDescent="0.3">
      <c r="A810" s="323"/>
      <c r="B810" s="159"/>
      <c r="C810" s="159"/>
      <c r="D810" s="159"/>
      <c r="E810" s="159"/>
      <c r="F810" s="159"/>
      <c r="G810" s="159"/>
      <c r="H810" s="159"/>
      <c r="I810" s="159"/>
      <c r="J810" s="159"/>
      <c r="K810" s="159" t="s">
        <v>424</v>
      </c>
      <c r="L810" s="159"/>
      <c r="M810" s="159"/>
      <c r="N810" s="159"/>
      <c r="O810" s="159"/>
      <c r="P810" s="159"/>
      <c r="Q810" s="159"/>
      <c r="R810" s="324"/>
    </row>
    <row r="811" spans="1:18" ht="15.75" customHeight="1" x14ac:dyDescent="0.3">
      <c r="A811" s="323" t="s">
        <v>422</v>
      </c>
      <c r="B811" s="159">
        <f>SUM(B798:B809)</f>
        <v>411750</v>
      </c>
      <c r="C811" s="159"/>
      <c r="D811" s="159">
        <f t="shared" ref="D811:J811" si="121">SUM(D798:D809)</f>
        <v>671537.94067725819</v>
      </c>
      <c r="E811" s="159">
        <f t="shared" si="121"/>
        <v>1716347.6319999998</v>
      </c>
      <c r="F811" s="159">
        <f t="shared" si="121"/>
        <v>2387885.5726772579</v>
      </c>
      <c r="G811" s="159">
        <f t="shared" si="121"/>
        <v>455357.58400000003</v>
      </c>
      <c r="H811" s="159">
        <f t="shared" si="121"/>
        <v>2843243.1566772582</v>
      </c>
      <c r="I811" s="159">
        <f t="shared" si="121"/>
        <v>40998.233111958951</v>
      </c>
      <c r="J811" s="159">
        <f t="shared" si="121"/>
        <v>2802244.9235652993</v>
      </c>
      <c r="K811" s="159"/>
      <c r="L811" s="159"/>
      <c r="M811" s="159"/>
      <c r="N811" s="159"/>
      <c r="O811" s="159"/>
      <c r="P811" s="159"/>
      <c r="Q811" s="159"/>
      <c r="R811" s="324"/>
    </row>
    <row r="812" spans="1:18" ht="15.75" customHeight="1" x14ac:dyDescent="0.3">
      <c r="A812" s="323"/>
      <c r="B812" s="159"/>
      <c r="C812" s="159"/>
      <c r="D812" s="159"/>
      <c r="E812" s="159"/>
      <c r="F812" s="159"/>
      <c r="G812" s="159"/>
      <c r="H812" s="159"/>
      <c r="I812" s="159"/>
      <c r="J812" s="159"/>
      <c r="K812" s="159"/>
      <c r="L812" s="159"/>
      <c r="M812" s="159"/>
      <c r="N812" s="159"/>
      <c r="O812" s="159"/>
      <c r="P812" s="159"/>
      <c r="Q812" s="159"/>
      <c r="R812" s="324"/>
    </row>
    <row r="813" spans="1:18" ht="15.75" customHeight="1" x14ac:dyDescent="0.3">
      <c r="A813" s="323" t="s">
        <v>450</v>
      </c>
      <c r="B813" s="159"/>
      <c r="C813" s="159"/>
      <c r="D813" s="159"/>
      <c r="E813" s="159"/>
      <c r="F813" s="159"/>
      <c r="G813" s="159"/>
      <c r="H813" s="159"/>
      <c r="I813" s="159"/>
      <c r="J813" s="159"/>
      <c r="K813" s="159"/>
      <c r="L813" s="159"/>
      <c r="M813" s="159"/>
      <c r="N813" s="159"/>
      <c r="O813" s="159"/>
      <c r="P813" s="159"/>
      <c r="Q813" s="159"/>
      <c r="R813" s="324"/>
    </row>
    <row r="814" spans="1:18" ht="15.75" customHeight="1" x14ac:dyDescent="0.3">
      <c r="A814" s="323" t="s">
        <v>451</v>
      </c>
      <c r="B814" s="159"/>
      <c r="C814" s="159"/>
      <c r="D814" s="159"/>
      <c r="E814" s="159"/>
      <c r="F814" s="159"/>
      <c r="G814" s="159"/>
      <c r="H814" s="159"/>
      <c r="I814" s="159"/>
      <c r="J814" s="159"/>
      <c r="K814" s="159"/>
      <c r="L814" s="159"/>
      <c r="M814" s="159"/>
      <c r="N814" s="159"/>
      <c r="O814" s="159"/>
      <c r="P814" s="159"/>
      <c r="Q814" s="159"/>
      <c r="R814" s="324"/>
    </row>
    <row r="815" spans="1:18" ht="15.75" customHeight="1" x14ac:dyDescent="0.3">
      <c r="A815" s="323"/>
      <c r="B815" s="159"/>
      <c r="C815" s="159"/>
      <c r="D815" s="159"/>
      <c r="E815" s="159"/>
      <c r="F815" s="159"/>
      <c r="G815" s="159"/>
      <c r="H815" s="159"/>
      <c r="I815" s="159"/>
      <c r="J815" s="159"/>
      <c r="K815" s="159"/>
      <c r="L815" s="159"/>
      <c r="M815" s="159"/>
      <c r="N815" s="159"/>
      <c r="O815" s="159"/>
      <c r="P815" s="159"/>
      <c r="Q815" s="159"/>
      <c r="R815" s="324"/>
    </row>
    <row r="816" spans="1:18" ht="15.75" customHeight="1" x14ac:dyDescent="0.3">
      <c r="A816" s="323" t="s">
        <v>452</v>
      </c>
      <c r="B816" s="159"/>
      <c r="C816" s="159"/>
      <c r="D816" s="159"/>
      <c r="E816" s="159"/>
      <c r="F816" s="159"/>
      <c r="G816" s="159"/>
      <c r="H816" s="159"/>
      <c r="I816" s="159"/>
      <c r="J816" s="159"/>
      <c r="K816" s="159"/>
      <c r="L816" s="159"/>
      <c r="M816" s="159"/>
      <c r="N816" s="159"/>
      <c r="O816" s="159"/>
      <c r="P816" s="159"/>
      <c r="Q816" s="159"/>
      <c r="R816" s="324"/>
    </row>
    <row r="817" spans="1:18" ht="15.75" customHeight="1" x14ac:dyDescent="0.3">
      <c r="A817" s="323"/>
      <c r="B817" s="159"/>
      <c r="C817" s="159"/>
      <c r="D817" s="159"/>
      <c r="E817" s="159"/>
      <c r="F817" s="159"/>
      <c r="G817" s="159"/>
      <c r="H817" s="159"/>
      <c r="I817" s="159"/>
      <c r="J817" s="159"/>
      <c r="K817" s="159"/>
      <c r="L817" s="159"/>
      <c r="M817" s="159"/>
      <c r="N817" s="159"/>
      <c r="O817" s="159"/>
      <c r="P817" s="159"/>
      <c r="Q817" s="159"/>
      <c r="R817" s="324"/>
    </row>
    <row r="818" spans="1:18" ht="16.5" customHeight="1" thickBot="1" x14ac:dyDescent="0.35">
      <c r="A818" s="326" t="s">
        <v>453</v>
      </c>
      <c r="B818" s="327"/>
      <c r="C818" s="327"/>
      <c r="D818" s="327"/>
      <c r="E818" s="327"/>
      <c r="F818" s="327"/>
      <c r="G818" s="327"/>
      <c r="H818" s="327"/>
      <c r="I818" s="327"/>
      <c r="J818" s="327"/>
      <c r="K818" s="327"/>
      <c r="L818" s="327"/>
      <c r="M818" s="327"/>
      <c r="N818" s="327"/>
      <c r="O818" s="327"/>
      <c r="P818" s="327"/>
      <c r="Q818" s="327"/>
      <c r="R818" s="328"/>
    </row>
    <row r="819" spans="1:18" ht="16.5" customHeight="1" thickBot="1" x14ac:dyDescent="0.35">
      <c r="A819" s="159"/>
      <c r="B819" s="159"/>
      <c r="C819" s="159"/>
      <c r="D819" s="159"/>
      <c r="E819" s="159"/>
      <c r="F819" s="159"/>
      <c r="G819" s="159"/>
      <c r="H819" s="159"/>
      <c r="I819" s="159"/>
      <c r="J819" s="159"/>
      <c r="K819" s="159"/>
      <c r="L819" s="159"/>
      <c r="M819" s="159"/>
      <c r="N819" s="159"/>
      <c r="O819" s="159"/>
      <c r="P819" s="159"/>
      <c r="Q819" s="159"/>
      <c r="R819" s="159"/>
    </row>
    <row r="820" spans="1:18" ht="15.75" customHeight="1" x14ac:dyDescent="0.3">
      <c r="A820" s="318"/>
      <c r="B820" s="319"/>
      <c r="C820" s="319"/>
      <c r="D820" s="321" t="s">
        <v>454</v>
      </c>
      <c r="E820" s="319"/>
      <c r="F820" s="319"/>
      <c r="G820" s="319"/>
      <c r="H820" s="319"/>
      <c r="I820" s="319"/>
      <c r="J820" s="319"/>
      <c r="K820" s="319"/>
      <c r="L820" s="319"/>
      <c r="M820" s="319"/>
      <c r="N820" s="319"/>
      <c r="O820" s="319"/>
      <c r="P820" s="319"/>
      <c r="Q820" s="321" t="str">
        <f>+Q1</f>
        <v>PRINTED:</v>
      </c>
      <c r="R820" s="322">
        <f ca="1">+R1</f>
        <v>44909.46975358796</v>
      </c>
    </row>
    <row r="821" spans="1:18" ht="15.75" customHeight="1" x14ac:dyDescent="0.3">
      <c r="A821" s="323"/>
      <c r="B821" s="159"/>
      <c r="C821" s="159"/>
      <c r="D821" s="159"/>
      <c r="E821" s="159" t="s">
        <v>7</v>
      </c>
      <c r="F821" s="163" t="str">
        <f>+A9</f>
        <v>Revised:  1/22/2013</v>
      </c>
      <c r="G821" s="159"/>
      <c r="H821" s="159"/>
      <c r="I821" s="159"/>
      <c r="J821" s="159"/>
      <c r="K821" s="159"/>
      <c r="L821" s="159"/>
      <c r="M821" s="159"/>
      <c r="N821" s="159"/>
      <c r="O821" s="159"/>
      <c r="P821" s="159"/>
      <c r="Q821" s="159"/>
      <c r="R821" s="324"/>
    </row>
    <row r="822" spans="1:18" ht="15.75" customHeight="1" x14ac:dyDescent="0.3">
      <c r="A822" s="323"/>
      <c r="B822" s="159"/>
      <c r="C822" s="159"/>
      <c r="D822" s="159" t="s">
        <v>787</v>
      </c>
      <c r="E822" s="159"/>
      <c r="F822" s="159"/>
      <c r="G822" s="159"/>
      <c r="H822" s="159"/>
      <c r="I822" s="159"/>
      <c r="J822" s="159"/>
      <c r="K822" s="159"/>
      <c r="L822" s="159"/>
      <c r="M822" s="159"/>
      <c r="N822" s="159"/>
      <c r="O822" s="159"/>
      <c r="P822" s="159"/>
      <c r="Q822" s="159"/>
      <c r="R822" s="324"/>
    </row>
    <row r="823" spans="1:18" ht="15.75" customHeight="1" x14ac:dyDescent="0.3">
      <c r="A823" s="323"/>
      <c r="B823" s="159"/>
      <c r="C823" s="159"/>
      <c r="D823" s="159"/>
      <c r="E823" s="159"/>
      <c r="F823" s="159"/>
      <c r="G823" s="159"/>
      <c r="H823" s="159"/>
      <c r="I823" s="159"/>
      <c r="J823" s="159"/>
      <c r="K823" s="159"/>
      <c r="L823" s="159"/>
      <c r="M823" s="159"/>
      <c r="N823" s="159"/>
      <c r="O823" s="159"/>
      <c r="P823" s="159"/>
      <c r="Q823" s="159"/>
      <c r="R823" s="324"/>
    </row>
    <row r="824" spans="1:18" ht="15.75" customHeight="1" x14ac:dyDescent="0.3">
      <c r="A824" s="323"/>
      <c r="B824" s="159"/>
      <c r="C824" s="159"/>
      <c r="D824" s="159"/>
      <c r="E824" s="159" t="str">
        <f>+A5</f>
        <v>Calendar Year 2012</v>
      </c>
      <c r="F824" s="159"/>
      <c r="G824" s="159"/>
      <c r="H824" s="159"/>
      <c r="I824" s="159"/>
      <c r="J824" s="159"/>
      <c r="K824" s="159"/>
      <c r="L824" s="159"/>
      <c r="M824" s="159"/>
      <c r="N824" s="159"/>
      <c r="O824" s="159"/>
      <c r="P824" s="159"/>
      <c r="Q824" s="159"/>
      <c r="R824" s="324"/>
    </row>
    <row r="825" spans="1:18" ht="15.75" customHeight="1" x14ac:dyDescent="0.3">
      <c r="A825" s="323"/>
      <c r="B825" s="159"/>
      <c r="C825" s="159"/>
      <c r="D825" s="159"/>
      <c r="E825" s="159" t="s">
        <v>455</v>
      </c>
      <c r="F825" s="159"/>
      <c r="G825" s="159"/>
      <c r="H825" s="159"/>
      <c r="I825" s="159"/>
      <c r="J825" s="159"/>
      <c r="K825" s="159"/>
      <c r="L825" s="159"/>
      <c r="M825" s="159"/>
      <c r="N825" s="159"/>
      <c r="O825" s="159"/>
      <c r="P825" s="159"/>
      <c r="Q825" s="159"/>
      <c r="R825" s="324"/>
    </row>
    <row r="826" spans="1:18" ht="15.75" customHeight="1" x14ac:dyDescent="0.3">
      <c r="A826" s="323"/>
      <c r="B826" s="159"/>
      <c r="C826" s="159"/>
      <c r="D826" s="159"/>
      <c r="E826" s="159"/>
      <c r="F826" s="159"/>
      <c r="G826" s="159"/>
      <c r="H826" s="159"/>
      <c r="I826" s="159"/>
      <c r="J826" s="159"/>
      <c r="K826" s="159"/>
      <c r="L826" s="159"/>
      <c r="M826" s="159"/>
      <c r="N826" s="159"/>
      <c r="O826" s="159"/>
      <c r="P826" s="159"/>
      <c r="Q826" s="159"/>
      <c r="R826" s="324"/>
    </row>
    <row r="827" spans="1:18" ht="15.75" customHeight="1" x14ac:dyDescent="0.3">
      <c r="A827" s="323" t="s">
        <v>389</v>
      </c>
      <c r="B827" s="164" t="s">
        <v>390</v>
      </c>
      <c r="C827" s="164" t="s">
        <v>391</v>
      </c>
      <c r="D827" s="164" t="s">
        <v>392</v>
      </c>
      <c r="E827" s="164" t="s">
        <v>393</v>
      </c>
      <c r="F827" s="164" t="s">
        <v>394</v>
      </c>
      <c r="G827" s="164" t="s">
        <v>394</v>
      </c>
      <c r="H827" s="164" t="s">
        <v>395</v>
      </c>
      <c r="I827" s="164" t="s">
        <v>396</v>
      </c>
      <c r="J827" s="164" t="s">
        <v>397</v>
      </c>
      <c r="K827" s="164" t="s">
        <v>398</v>
      </c>
      <c r="L827" s="164" t="s">
        <v>399</v>
      </c>
      <c r="M827" s="164" t="s">
        <v>400</v>
      </c>
      <c r="N827" s="164" t="s">
        <v>401</v>
      </c>
      <c r="O827" s="164" t="s">
        <v>402</v>
      </c>
      <c r="P827" s="164" t="s">
        <v>403</v>
      </c>
      <c r="Q827" s="164" t="s">
        <v>404</v>
      </c>
      <c r="R827" s="324"/>
    </row>
    <row r="828" spans="1:18" ht="15.75" customHeight="1" x14ac:dyDescent="0.3">
      <c r="A828" s="323" t="s">
        <v>405</v>
      </c>
      <c r="B828" s="159"/>
      <c r="C828" s="159"/>
      <c r="D828" s="159"/>
      <c r="E828" s="159"/>
      <c r="F828" s="164" t="s">
        <v>406</v>
      </c>
      <c r="G828" s="164" t="s">
        <v>407</v>
      </c>
      <c r="H828" s="159"/>
      <c r="I828" s="159"/>
      <c r="J828" s="159"/>
      <c r="K828" s="159"/>
      <c r="L828" s="159"/>
      <c r="M828" s="159"/>
      <c r="N828" s="159"/>
      <c r="O828" s="159"/>
      <c r="P828" s="159"/>
      <c r="Q828" s="159"/>
      <c r="R828" s="324"/>
    </row>
    <row r="829" spans="1:18" ht="15.75" customHeight="1" x14ac:dyDescent="0.3">
      <c r="A829" s="323" t="s">
        <v>408</v>
      </c>
      <c r="B829" s="159">
        <v>957</v>
      </c>
      <c r="C829" s="159">
        <v>122</v>
      </c>
      <c r="D829" s="159">
        <v>128</v>
      </c>
      <c r="E829" s="159">
        <v>219</v>
      </c>
      <c r="F829" s="159"/>
      <c r="G829" s="159"/>
      <c r="H829" s="159">
        <v>97</v>
      </c>
      <c r="I829" s="159">
        <v>167</v>
      </c>
      <c r="J829" s="159">
        <v>247</v>
      </c>
      <c r="K829" s="159">
        <v>260</v>
      </c>
      <c r="L829" s="159">
        <v>122</v>
      </c>
      <c r="M829" s="159">
        <v>122</v>
      </c>
      <c r="N829" s="159">
        <v>275</v>
      </c>
      <c r="O829" s="159">
        <v>191</v>
      </c>
      <c r="P829" s="159">
        <v>325</v>
      </c>
      <c r="Q829" s="159">
        <v>503</v>
      </c>
      <c r="R829" s="324"/>
    </row>
    <row r="830" spans="1:18" ht="15.75" customHeight="1" x14ac:dyDescent="0.3">
      <c r="A830" s="323"/>
      <c r="B830" s="166" t="s">
        <v>409</v>
      </c>
      <c r="C830" s="166" t="s">
        <v>409</v>
      </c>
      <c r="D830" s="166" t="s">
        <v>409</v>
      </c>
      <c r="E830" s="166" t="s">
        <v>409</v>
      </c>
      <c r="F830" s="166" t="s">
        <v>409</v>
      </c>
      <c r="G830" s="166" t="s">
        <v>409</v>
      </c>
      <c r="H830" s="166" t="s">
        <v>409</v>
      </c>
      <c r="I830" s="166" t="s">
        <v>409</v>
      </c>
      <c r="J830" s="166" t="s">
        <v>409</v>
      </c>
      <c r="K830" s="166" t="s">
        <v>409</v>
      </c>
      <c r="L830" s="166" t="s">
        <v>409</v>
      </c>
      <c r="M830" s="166" t="s">
        <v>409</v>
      </c>
      <c r="N830" s="166" t="s">
        <v>409</v>
      </c>
      <c r="O830" s="166" t="s">
        <v>409</v>
      </c>
      <c r="P830" s="166" t="s">
        <v>409</v>
      </c>
      <c r="Q830" s="166" t="s">
        <v>409</v>
      </c>
      <c r="R830" s="324"/>
    </row>
    <row r="831" spans="1:18" ht="15.75" customHeight="1" x14ac:dyDescent="0.3">
      <c r="A831" s="325" t="s">
        <v>410</v>
      </c>
      <c r="B831" s="159">
        <f>(B773/31/1.983)</f>
        <v>2985.9125144372324</v>
      </c>
      <c r="C831" s="159">
        <f>(C773/31/1.983)</f>
        <v>2984.334585915768</v>
      </c>
      <c r="D831" s="159">
        <f t="shared" ref="D831:O831" si="122">(D773/31/1.9833)</f>
        <v>2982.3217413792263</v>
      </c>
      <c r="E831" s="159">
        <f t="shared" si="122"/>
        <v>2732.6401256947124</v>
      </c>
      <c r="F831" s="159">
        <f>(F773/31/1.9833)</f>
        <v>1808.9596518022258</v>
      </c>
      <c r="G831" s="159">
        <f t="shared" si="122"/>
        <v>0</v>
      </c>
      <c r="H831" s="159">
        <f t="shared" si="122"/>
        <v>647.17813094175062</v>
      </c>
      <c r="I831" s="159">
        <f t="shared" si="122"/>
        <v>333.80338731634959</v>
      </c>
      <c r="J831" s="159">
        <f t="shared" si="122"/>
        <v>333.65700372302274</v>
      </c>
      <c r="K831" s="159">
        <f t="shared" si="122"/>
        <v>322.4993209427754</v>
      </c>
      <c r="L831" s="159">
        <f t="shared" si="122"/>
        <v>251.03159771186179</v>
      </c>
      <c r="M831" s="159">
        <f t="shared" si="122"/>
        <v>250.7063008378021</v>
      </c>
      <c r="N831" s="159">
        <f t="shared" si="122"/>
        <v>250.54365240077223</v>
      </c>
      <c r="O831" s="159">
        <f t="shared" si="122"/>
        <v>42.174739721838641</v>
      </c>
      <c r="P831" s="159">
        <f>(P773/31/1.983)</f>
        <v>84.183299985359426</v>
      </c>
      <c r="Q831" s="159">
        <f>(Q773/31/1.983)</f>
        <v>42.148585557887202</v>
      </c>
      <c r="R831" s="324"/>
    </row>
    <row r="832" spans="1:18" ht="15.75" customHeight="1" x14ac:dyDescent="0.3">
      <c r="A832" s="325" t="s">
        <v>411</v>
      </c>
      <c r="B832" s="159">
        <f>(B774/29/1.983)</f>
        <v>2926.113342723494</v>
      </c>
      <c r="C832" s="159">
        <f t="shared" ref="C832:Q832" si="123">(C774/29/1.983)</f>
        <v>2923.5397429878103</v>
      </c>
      <c r="D832" s="159">
        <f t="shared" si="123"/>
        <v>2921.0009216269323</v>
      </c>
      <c r="E832" s="159">
        <f t="shared" si="123"/>
        <v>2594.9710470029736</v>
      </c>
      <c r="F832" s="159">
        <f t="shared" si="123"/>
        <v>1175.1786739005686</v>
      </c>
      <c r="G832" s="159">
        <f t="shared" si="123"/>
        <v>0</v>
      </c>
      <c r="H832" s="159">
        <f t="shared" si="123"/>
        <v>1045.4553358721546</v>
      </c>
      <c r="I832" s="159">
        <f t="shared" si="123"/>
        <v>421.87907559079764</v>
      </c>
      <c r="J832" s="159">
        <f t="shared" si="123"/>
        <v>416.64493018241257</v>
      </c>
      <c r="K832" s="159">
        <f t="shared" si="123"/>
        <v>409.81097953292641</v>
      </c>
      <c r="L832" s="159">
        <f t="shared" si="123"/>
        <v>321.03917783921958</v>
      </c>
      <c r="M832" s="159">
        <f t="shared" si="123"/>
        <v>320.65661571634752</v>
      </c>
      <c r="N832" s="159">
        <f t="shared" si="123"/>
        <v>320.46533465491154</v>
      </c>
      <c r="O832" s="159">
        <f t="shared" si="123"/>
        <v>77.799224442241808</v>
      </c>
      <c r="P832" s="159">
        <f t="shared" si="123"/>
        <v>94.23200653833446</v>
      </c>
      <c r="Q832" s="159">
        <f t="shared" si="123"/>
        <v>77.747056880031991</v>
      </c>
      <c r="R832" s="324"/>
    </row>
    <row r="833" spans="1:19" ht="15.75" customHeight="1" x14ac:dyDescent="0.3">
      <c r="A833" s="325" t="s">
        <v>412</v>
      </c>
      <c r="B833" s="159">
        <f t="shared" ref="B833:Q833" si="124">(B775/31/1.983)</f>
        <v>3050.4774453825253</v>
      </c>
      <c r="C833" s="159">
        <f t="shared" si="124"/>
        <v>3046.0202039919964</v>
      </c>
      <c r="D833" s="159">
        <f t="shared" si="124"/>
        <v>3041.5141606884322</v>
      </c>
      <c r="E833" s="159">
        <f t="shared" si="124"/>
        <v>2698.1601678785805</v>
      </c>
      <c r="F833" s="159">
        <f t="shared" si="124"/>
        <v>722.21951100483136</v>
      </c>
      <c r="G833" s="159">
        <f t="shared" si="124"/>
        <v>0</v>
      </c>
      <c r="H833" s="159">
        <f t="shared" si="124"/>
        <v>1495.4858230442633</v>
      </c>
      <c r="I833" s="159">
        <f t="shared" si="124"/>
        <v>424.54410879573146</v>
      </c>
      <c r="J833" s="159">
        <f t="shared" si="124"/>
        <v>424.10489157841653</v>
      </c>
      <c r="K833" s="159">
        <f t="shared" si="124"/>
        <v>416.99607957965281</v>
      </c>
      <c r="L833" s="159">
        <f t="shared" si="124"/>
        <v>326.30585785629466</v>
      </c>
      <c r="M833" s="159">
        <f t="shared" si="124"/>
        <v>325.8503733346347</v>
      </c>
      <c r="N833" s="159">
        <f t="shared" si="124"/>
        <v>321.05151855286056</v>
      </c>
      <c r="O833" s="159">
        <f t="shared" si="124"/>
        <v>77.969189725570573</v>
      </c>
      <c r="P833" s="159">
        <f t="shared" si="124"/>
        <v>94.025019114082596</v>
      </c>
      <c r="Q833" s="159">
        <f t="shared" si="124"/>
        <v>77.88785320384558</v>
      </c>
      <c r="R833" s="324"/>
    </row>
    <row r="834" spans="1:19" ht="15.75" customHeight="1" x14ac:dyDescent="0.3">
      <c r="A834" s="325" t="s">
        <v>413</v>
      </c>
      <c r="B834" s="159">
        <f t="shared" ref="B834:Q834" si="125">(B776/30/1.983)</f>
        <v>3049.319213313162</v>
      </c>
      <c r="C834" s="159">
        <f t="shared" si="125"/>
        <v>3043.1501092620606</v>
      </c>
      <c r="D834" s="159">
        <f t="shared" si="125"/>
        <v>3036.2750042023868</v>
      </c>
      <c r="E834" s="159">
        <f t="shared" si="125"/>
        <v>2894.8058497226421</v>
      </c>
      <c r="F834" s="159">
        <f t="shared" si="125"/>
        <v>115.71692721465791</v>
      </c>
      <c r="G834" s="159">
        <f>(G776/30/1.983)</f>
        <v>-71.289292318036644</v>
      </c>
      <c r="H834" s="159">
        <f t="shared" si="125"/>
        <v>2276.3993948562784</v>
      </c>
      <c r="I834" s="159">
        <f t="shared" si="125"/>
        <v>539.48562783661112</v>
      </c>
      <c r="J834" s="159">
        <f t="shared" si="125"/>
        <v>529.09732728189613</v>
      </c>
      <c r="K834" s="159">
        <f t="shared" si="125"/>
        <v>431.98856950748024</v>
      </c>
      <c r="L834" s="159">
        <f t="shared" si="125"/>
        <v>349.52092788703982</v>
      </c>
      <c r="M834" s="159">
        <f t="shared" si="125"/>
        <v>348.89897461758278</v>
      </c>
      <c r="N834" s="159">
        <f t="shared" si="125"/>
        <v>313.71659102370148</v>
      </c>
      <c r="O834" s="159">
        <f t="shared" si="125"/>
        <v>54.91679273827534</v>
      </c>
      <c r="P834" s="159">
        <f t="shared" si="125"/>
        <v>102.21886031265758</v>
      </c>
      <c r="Q834" s="159">
        <f t="shared" si="125"/>
        <v>54.193982181879306</v>
      </c>
      <c r="R834" s="324"/>
    </row>
    <row r="835" spans="1:19" ht="15.75" customHeight="1" x14ac:dyDescent="0.3">
      <c r="A835" s="325" t="s">
        <v>414</v>
      </c>
      <c r="B835" s="159">
        <f t="shared" ref="B835:Q835" si="126">(B777/31/1.983)</f>
        <v>2937.7450262716966</v>
      </c>
      <c r="C835" s="159">
        <f t="shared" si="126"/>
        <v>2930.8314219250728</v>
      </c>
      <c r="D835" s="159">
        <f t="shared" si="126"/>
        <v>2921.6891968831846</v>
      </c>
      <c r="E835" s="159">
        <f t="shared" si="126"/>
        <v>2785.0438403852099</v>
      </c>
      <c r="F835" s="159">
        <f t="shared" si="126"/>
        <v>24.368421908805491</v>
      </c>
      <c r="G835" s="159">
        <f t="shared" si="126"/>
        <v>-317.2937712491663</v>
      </c>
      <c r="H835" s="159">
        <f t="shared" si="126"/>
        <v>2380.5247832381697</v>
      </c>
      <c r="I835" s="159">
        <f t="shared" si="126"/>
        <v>567.28970442308002</v>
      </c>
      <c r="J835" s="159">
        <f t="shared" si="126"/>
        <v>510.27280269386557</v>
      </c>
      <c r="K835" s="159">
        <f t="shared" si="126"/>
        <v>399.47619280009104</v>
      </c>
      <c r="L835" s="159">
        <f t="shared" si="126"/>
        <v>361.67097750231812</v>
      </c>
      <c r="M835" s="159">
        <f t="shared" si="126"/>
        <v>360.98775071982823</v>
      </c>
      <c r="N835" s="159">
        <f t="shared" si="126"/>
        <v>325.78530411725473</v>
      </c>
      <c r="O835" s="159">
        <f t="shared" si="126"/>
        <v>81.970946594439837</v>
      </c>
      <c r="P835" s="159">
        <f t="shared" si="126"/>
        <v>106.92499145966521</v>
      </c>
      <c r="Q835" s="159">
        <f t="shared" si="126"/>
        <v>81.401590942364933</v>
      </c>
      <c r="R835" s="324"/>
    </row>
    <row r="836" spans="1:19" ht="15.75" customHeight="1" x14ac:dyDescent="0.3">
      <c r="A836" s="325" t="s">
        <v>415</v>
      </c>
      <c r="B836" s="159">
        <f t="shared" ref="B836:Q836" si="127">(B778/30/1.983)</f>
        <v>2205.3622457555894</v>
      </c>
      <c r="C836" s="159">
        <f t="shared" si="127"/>
        <v>2198.3526643133296</v>
      </c>
      <c r="D836" s="159">
        <f t="shared" si="127"/>
        <v>2190.2000336190958</v>
      </c>
      <c r="E836" s="159">
        <f t="shared" si="127"/>
        <v>2056.7826525466462</v>
      </c>
      <c r="F836" s="159">
        <f t="shared" si="127"/>
        <v>0</v>
      </c>
      <c r="G836" s="159">
        <f t="shared" si="127"/>
        <v>-1337.5357202891241</v>
      </c>
      <c r="H836" s="159">
        <f t="shared" si="127"/>
        <v>2852.8660279038495</v>
      </c>
      <c r="I836" s="159">
        <f t="shared" si="127"/>
        <v>681.08925869894097</v>
      </c>
      <c r="J836" s="159">
        <f t="shared" si="127"/>
        <v>463.74180534543621</v>
      </c>
      <c r="K836" s="159">
        <f t="shared" si="127"/>
        <v>336.98100521095984</v>
      </c>
      <c r="L836" s="159">
        <f t="shared" si="127"/>
        <v>302.47100353000502</v>
      </c>
      <c r="M836" s="159">
        <f t="shared" si="127"/>
        <v>301.73138342578585</v>
      </c>
      <c r="N836" s="159">
        <f t="shared" si="127"/>
        <v>261.253992267608</v>
      </c>
      <c r="O836" s="159">
        <f t="shared" si="127"/>
        <v>47.554210791729702</v>
      </c>
      <c r="P836" s="159">
        <f t="shared" si="127"/>
        <v>106.1354849554547</v>
      </c>
      <c r="Q836" s="159">
        <f t="shared" si="127"/>
        <v>47.033114809211632</v>
      </c>
      <c r="R836" s="324"/>
    </row>
    <row r="837" spans="1:19" ht="15.75" customHeight="1" x14ac:dyDescent="0.3">
      <c r="A837" s="325" t="s">
        <v>416</v>
      </c>
      <c r="B837" s="159">
        <f t="shared" ref="B837:Q838" si="128">(B779/31/1.983)</f>
        <v>650.36682771297967</v>
      </c>
      <c r="C837" s="159">
        <f t="shared" si="128"/>
        <v>643.59962910546085</v>
      </c>
      <c r="D837" s="159">
        <f t="shared" si="128"/>
        <v>635.98653067200235</v>
      </c>
      <c r="E837" s="159">
        <f t="shared" si="128"/>
        <v>490.68696826248919</v>
      </c>
      <c r="F837" s="159">
        <f t="shared" si="128"/>
        <v>0</v>
      </c>
      <c r="G837" s="159">
        <f t="shared" si="128"/>
        <v>-2233.7611634376067</v>
      </c>
      <c r="H837" s="159">
        <f t="shared" si="128"/>
        <v>2188.0337709238202</v>
      </c>
      <c r="I837" s="159">
        <f t="shared" si="128"/>
        <v>631.65942771623304</v>
      </c>
      <c r="J837" s="159">
        <f t="shared" si="128"/>
        <v>448.00156166121707</v>
      </c>
      <c r="K837" s="159">
        <f t="shared" si="128"/>
        <v>305.15836220779852</v>
      </c>
      <c r="L837" s="159">
        <f t="shared" si="128"/>
        <v>277.95942934296357</v>
      </c>
      <c r="M837" s="159">
        <f t="shared" si="128"/>
        <v>277.32500447350867</v>
      </c>
      <c r="N837" s="159">
        <f t="shared" si="128"/>
        <v>228.27908187334276</v>
      </c>
      <c r="O837" s="159">
        <f t="shared" si="128"/>
        <v>57.439851642184372</v>
      </c>
      <c r="P837" s="159">
        <f t="shared" si="128"/>
        <v>104.68010346005563</v>
      </c>
      <c r="Q837" s="159">
        <f t="shared" si="128"/>
        <v>56.1872692076196</v>
      </c>
      <c r="R837" s="324"/>
    </row>
    <row r="838" spans="1:19" ht="15.75" customHeight="1" x14ac:dyDescent="0.3">
      <c r="A838" s="325" t="s">
        <v>417</v>
      </c>
      <c r="B838" s="159">
        <f t="shared" si="128"/>
        <v>1408.6834870593593</v>
      </c>
      <c r="C838" s="159">
        <f t="shared" si="128"/>
        <v>1403.2502074081303</v>
      </c>
      <c r="D838" s="159">
        <f t="shared" si="128"/>
        <v>1397.1987701917915</v>
      </c>
      <c r="E838" s="159">
        <f t="shared" si="128"/>
        <v>1242.36656743611</v>
      </c>
      <c r="F838" s="159">
        <f t="shared" si="128"/>
        <v>0</v>
      </c>
      <c r="G838" s="159">
        <f t="shared" si="128"/>
        <v>-1536.7722414718658</v>
      </c>
      <c r="H838" s="159">
        <f t="shared" si="128"/>
        <v>2193.8249312706389</v>
      </c>
      <c r="I838" s="159">
        <f t="shared" si="128"/>
        <v>753.95702178192039</v>
      </c>
      <c r="J838" s="159">
        <f t="shared" si="128"/>
        <v>465.47264652774385</v>
      </c>
      <c r="K838" s="159">
        <f t="shared" si="128"/>
        <v>318.62769020545608</v>
      </c>
      <c r="L838" s="159">
        <f t="shared" si="128"/>
        <v>269.85831177915509</v>
      </c>
      <c r="M838" s="159">
        <f t="shared" si="128"/>
        <v>269.27268882273518</v>
      </c>
      <c r="N838" s="159">
        <f t="shared" si="128"/>
        <v>234.78600361134156</v>
      </c>
      <c r="O838" s="159">
        <f t="shared" si="128"/>
        <v>50.428643469490666</v>
      </c>
      <c r="P838" s="159">
        <f t="shared" si="128"/>
        <v>38.439640167227886</v>
      </c>
      <c r="Q838" s="159">
        <f t="shared" si="128"/>
        <v>50.331039643420688</v>
      </c>
      <c r="R838" s="324"/>
    </row>
    <row r="839" spans="1:19" ht="15.75" customHeight="1" x14ac:dyDescent="0.3">
      <c r="A839" s="325" t="s">
        <v>418</v>
      </c>
      <c r="B839" s="159">
        <f>(B781/30/1.983)</f>
        <v>2309.295679946209</v>
      </c>
      <c r="C839" s="159">
        <f t="shared" ref="C839:Q839" si="129">(C781/30/1.983)</f>
        <v>2303.9838628340899</v>
      </c>
      <c r="D839" s="159">
        <f t="shared" si="129"/>
        <v>2296.6212808875439</v>
      </c>
      <c r="E839" s="159">
        <f t="shared" si="129"/>
        <v>2173.1887712220541</v>
      </c>
      <c r="F839" s="159">
        <f t="shared" si="129"/>
        <v>77.794587325600943</v>
      </c>
      <c r="G839" s="159">
        <f t="shared" si="129"/>
        <v>-107.22810556396033</v>
      </c>
      <c r="H839" s="159">
        <f t="shared" si="129"/>
        <v>1712.4054462934946</v>
      </c>
      <c r="I839" s="159">
        <f t="shared" si="129"/>
        <v>603.31148092116314</v>
      </c>
      <c r="J839" s="159">
        <f t="shared" si="129"/>
        <v>449.3864515044545</v>
      </c>
      <c r="K839" s="159">
        <f t="shared" si="129"/>
        <v>360.32946713733395</v>
      </c>
      <c r="L839" s="159">
        <f t="shared" si="129"/>
        <v>271.67591191796942</v>
      </c>
      <c r="M839" s="159">
        <f t="shared" si="129"/>
        <v>271.10438729198182</v>
      </c>
      <c r="N839" s="159">
        <f t="shared" si="129"/>
        <v>251.94150277357539</v>
      </c>
      <c r="O839" s="159">
        <f t="shared" si="129"/>
        <v>68.398050092452507</v>
      </c>
      <c r="P839" s="159">
        <f t="shared" si="129"/>
        <v>76.348966212808875</v>
      </c>
      <c r="Q839" s="159">
        <f t="shared" si="129"/>
        <v>67.910573205580761</v>
      </c>
      <c r="R839" s="324"/>
    </row>
    <row r="840" spans="1:19" ht="15.75" customHeight="1" x14ac:dyDescent="0.3">
      <c r="A840" s="325" t="s">
        <v>419</v>
      </c>
      <c r="B840" s="159">
        <f t="shared" ref="B840:Q840" si="130">(B782/31/1.983)</f>
        <v>520.32599677907365</v>
      </c>
      <c r="C840" s="159">
        <f t="shared" si="130"/>
        <v>515.68981504074952</v>
      </c>
      <c r="D840" s="159">
        <f t="shared" si="130"/>
        <v>510.85842565028543</v>
      </c>
      <c r="E840" s="159">
        <f t="shared" si="130"/>
        <v>441.83625331446325</v>
      </c>
      <c r="F840" s="159">
        <f t="shared" si="130"/>
        <v>161.40419371106015</v>
      </c>
      <c r="G840" s="159">
        <f t="shared" si="130"/>
        <v>-1383.778244107169</v>
      </c>
      <c r="H840" s="159">
        <f t="shared" si="130"/>
        <v>1195.6143347485888</v>
      </c>
      <c r="I840" s="159">
        <f t="shared" si="130"/>
        <v>314.56086411920677</v>
      </c>
      <c r="J840" s="159">
        <f t="shared" si="130"/>
        <v>262.89590551949635</v>
      </c>
      <c r="K840" s="159">
        <f t="shared" si="130"/>
        <v>232.19950222048703</v>
      </c>
      <c r="L840" s="159">
        <f t="shared" si="130"/>
        <v>182.92583735949114</v>
      </c>
      <c r="M840" s="159">
        <f t="shared" si="130"/>
        <v>182.45408553348625</v>
      </c>
      <c r="N840" s="159">
        <f t="shared" si="130"/>
        <v>176.14237144762743</v>
      </c>
      <c r="O840" s="159">
        <f t="shared" si="130"/>
        <v>52.413254599580299</v>
      </c>
      <c r="P840" s="159">
        <f t="shared" si="130"/>
        <v>94.6269093748475</v>
      </c>
      <c r="Q840" s="159">
        <f t="shared" si="130"/>
        <v>52.039106599645365</v>
      </c>
      <c r="R840" s="324"/>
    </row>
    <row r="841" spans="1:19" ht="15.75" customHeight="1" x14ac:dyDescent="0.3">
      <c r="A841" s="325" t="s">
        <v>420</v>
      </c>
      <c r="B841" s="159">
        <f t="shared" ref="B841:Q841" si="131">(B783/30/1.983)</f>
        <v>2912.9265422760127</v>
      </c>
      <c r="C841" s="159">
        <f t="shared" si="131"/>
        <v>2908.9762985375692</v>
      </c>
      <c r="D841" s="159">
        <f t="shared" si="131"/>
        <v>2904.521768364431</v>
      </c>
      <c r="E841" s="159">
        <f t="shared" si="131"/>
        <v>2853.4879811733063</v>
      </c>
      <c r="F841" s="159">
        <f t="shared" si="131"/>
        <v>1836.207766011094</v>
      </c>
      <c r="G841" s="159">
        <f t="shared" si="131"/>
        <v>0</v>
      </c>
      <c r="H841" s="159">
        <f t="shared" si="131"/>
        <v>580.95478231635559</v>
      </c>
      <c r="I841" s="159">
        <f t="shared" si="131"/>
        <v>173.17196167423094</v>
      </c>
      <c r="J841" s="159">
        <f t="shared" si="131"/>
        <v>160.31265758951082</v>
      </c>
      <c r="K841" s="159">
        <f t="shared" si="131"/>
        <v>150.17650025214323</v>
      </c>
      <c r="L841" s="159">
        <f t="shared" si="131"/>
        <v>122.17179357875273</v>
      </c>
      <c r="M841" s="159">
        <f t="shared" si="131"/>
        <v>121.78517397881997</v>
      </c>
      <c r="N841" s="159">
        <f t="shared" si="131"/>
        <v>118.67540763153471</v>
      </c>
      <c r="O841" s="159">
        <f t="shared" si="131"/>
        <v>33.938477054967215</v>
      </c>
      <c r="P841" s="159">
        <f t="shared" si="131"/>
        <v>91.595226088418215</v>
      </c>
      <c r="Q841" s="159">
        <f t="shared" si="131"/>
        <v>33.669524289796605</v>
      </c>
      <c r="R841" s="324"/>
    </row>
    <row r="842" spans="1:19" ht="16.5" customHeight="1" thickBot="1" x14ac:dyDescent="0.35">
      <c r="A842" s="330" t="s">
        <v>421</v>
      </c>
      <c r="B842" s="327">
        <f t="shared" ref="B842:Q842" si="132">(B784/31/1.983)</f>
        <v>2179.4934361426967</v>
      </c>
      <c r="C842" s="327">
        <f t="shared" si="132"/>
        <v>2176.4677175345273</v>
      </c>
      <c r="D842" s="327">
        <f t="shared" si="132"/>
        <v>2173.5558700567726</v>
      </c>
      <c r="E842" s="327">
        <f t="shared" si="132"/>
        <v>2077.1558245083211</v>
      </c>
      <c r="F842" s="327">
        <f t="shared" si="132"/>
        <v>917.23195549265517</v>
      </c>
      <c r="G842" s="327">
        <f t="shared" si="132"/>
        <v>0</v>
      </c>
      <c r="H842" s="327">
        <f t="shared" si="132"/>
        <v>815.05701690172941</v>
      </c>
      <c r="I842" s="327">
        <f t="shared" si="132"/>
        <v>335.98490394156784</v>
      </c>
      <c r="J842" s="327">
        <f t="shared" si="132"/>
        <v>329.02249768190916</v>
      </c>
      <c r="K842" s="327">
        <f t="shared" si="132"/>
        <v>286.85764481967692</v>
      </c>
      <c r="L842" s="327">
        <f t="shared" si="132"/>
        <v>237.35623769785107</v>
      </c>
      <c r="M842" s="327">
        <f t="shared" si="132"/>
        <v>237.04715891529614</v>
      </c>
      <c r="N842" s="327">
        <f t="shared" si="132"/>
        <v>230.81678135116229</v>
      </c>
      <c r="O842" s="327">
        <f t="shared" si="132"/>
        <v>56.268605729344586</v>
      </c>
      <c r="P842" s="327">
        <f t="shared" si="132"/>
        <v>91.178240853708132</v>
      </c>
      <c r="Q842" s="327">
        <f t="shared" si="132"/>
        <v>55.585378946854711</v>
      </c>
      <c r="R842" s="328"/>
    </row>
    <row r="843" spans="1:19" ht="16.5" customHeight="1" thickBot="1" x14ac:dyDescent="0.35">
      <c r="A843" s="159"/>
      <c r="B843" s="159"/>
      <c r="C843" s="159"/>
      <c r="D843" s="159"/>
      <c r="E843" s="159"/>
      <c r="F843" s="159"/>
      <c r="G843" s="159"/>
      <c r="H843" s="159"/>
      <c r="I843" s="159"/>
      <c r="J843" s="159"/>
      <c r="K843" s="159"/>
      <c r="L843" s="159"/>
      <c r="M843" s="159"/>
      <c r="N843" s="159"/>
      <c r="O843" s="159"/>
      <c r="P843" s="159"/>
      <c r="Q843" s="159"/>
      <c r="R843" s="159"/>
    </row>
    <row r="844" spans="1:19" ht="15.75" customHeight="1" x14ac:dyDescent="0.3">
      <c r="A844" s="318"/>
      <c r="B844" s="319"/>
      <c r="C844" s="319"/>
      <c r="D844" s="321" t="s">
        <v>456</v>
      </c>
      <c r="E844" s="319"/>
      <c r="F844" s="319"/>
      <c r="G844" s="319"/>
      <c r="H844" s="319"/>
      <c r="I844" s="319"/>
      <c r="J844" s="319"/>
      <c r="K844" s="319"/>
      <c r="L844" s="319"/>
      <c r="M844" s="319"/>
      <c r="N844" s="319"/>
      <c r="O844" s="319"/>
      <c r="P844" s="319"/>
      <c r="Q844" s="321" t="str">
        <f>+Q1</f>
        <v>PRINTED:</v>
      </c>
      <c r="R844" s="331">
        <f ca="1">+R1</f>
        <v>44909.46975358796</v>
      </c>
      <c r="S844" s="332"/>
    </row>
    <row r="845" spans="1:19" ht="15.75" customHeight="1" x14ac:dyDescent="0.3">
      <c r="A845" s="323"/>
      <c r="B845" s="159"/>
      <c r="C845" s="159"/>
      <c r="D845" s="159"/>
      <c r="E845" s="159" t="s">
        <v>7</v>
      </c>
      <c r="F845" s="163" t="str">
        <f>+A9</f>
        <v>Revised:  1/22/2013</v>
      </c>
      <c r="G845" s="159"/>
      <c r="H845" s="159"/>
      <c r="I845" s="159"/>
      <c r="J845" s="159"/>
      <c r="K845" s="159"/>
      <c r="L845" s="159"/>
      <c r="M845" s="159"/>
      <c r="N845" s="159"/>
      <c r="O845" s="159"/>
      <c r="P845" s="159"/>
      <c r="Q845" s="159"/>
      <c r="R845" s="159"/>
      <c r="S845" s="307"/>
    </row>
    <row r="846" spans="1:19" ht="15.75" customHeight="1" x14ac:dyDescent="0.3">
      <c r="A846" s="323"/>
      <c r="B846" s="159"/>
      <c r="C846" s="159"/>
      <c r="D846" s="159" t="s">
        <v>787</v>
      </c>
      <c r="E846" s="159"/>
      <c r="F846" s="159"/>
      <c r="G846" s="159"/>
      <c r="H846" s="159"/>
      <c r="I846" s="159"/>
      <c r="J846" s="159"/>
      <c r="K846" s="159"/>
      <c r="L846" s="159"/>
      <c r="M846" s="159"/>
      <c r="N846" s="159"/>
      <c r="O846" s="159"/>
      <c r="P846" s="159"/>
      <c r="Q846" s="159"/>
      <c r="R846" s="159"/>
      <c r="S846" s="307"/>
    </row>
    <row r="847" spans="1:19" ht="15.75" customHeight="1" x14ac:dyDescent="0.3">
      <c r="A847" s="323"/>
      <c r="B847" s="159"/>
      <c r="C847" s="159"/>
      <c r="D847" s="159"/>
      <c r="E847" s="159"/>
      <c r="F847" s="159"/>
      <c r="G847" s="159"/>
      <c r="H847" s="159"/>
      <c r="I847" s="159"/>
      <c r="J847" s="159"/>
      <c r="K847" s="159"/>
      <c r="L847" s="159"/>
      <c r="M847" s="159"/>
      <c r="N847" s="159"/>
      <c r="O847" s="159"/>
      <c r="P847" s="159"/>
      <c r="Q847" s="159"/>
      <c r="R847" s="159"/>
      <c r="S847" s="307"/>
    </row>
    <row r="848" spans="1:19" ht="15.75" customHeight="1" x14ac:dyDescent="0.3">
      <c r="A848" s="323"/>
      <c r="B848" s="159"/>
      <c r="C848" s="159"/>
      <c r="D848" s="159"/>
      <c r="E848" s="159" t="str">
        <f>A5</f>
        <v>Calendar Year 2012</v>
      </c>
      <c r="F848" s="159"/>
      <c r="G848" s="159"/>
      <c r="H848" s="159"/>
      <c r="I848" s="159"/>
      <c r="J848" s="159"/>
      <c r="K848" s="159"/>
      <c r="L848" s="159"/>
      <c r="M848" s="159"/>
      <c r="N848" s="159"/>
      <c r="O848" s="159"/>
      <c r="P848" s="159"/>
      <c r="Q848" s="159"/>
      <c r="R848" s="159"/>
      <c r="S848" s="324"/>
    </row>
    <row r="849" spans="1:19" ht="15.75" customHeight="1" x14ac:dyDescent="0.3">
      <c r="A849" s="323"/>
      <c r="B849" s="159"/>
      <c r="C849" s="159"/>
      <c r="D849" s="159"/>
      <c r="E849" s="159" t="s">
        <v>457</v>
      </c>
      <c r="F849" s="159"/>
      <c r="G849" s="159"/>
      <c r="H849" s="159"/>
      <c r="I849" s="159"/>
      <c r="J849" s="159"/>
      <c r="K849" s="159"/>
      <c r="L849" s="159"/>
      <c r="M849" s="159"/>
      <c r="N849" s="159"/>
      <c r="O849" s="159"/>
      <c r="P849" s="159"/>
      <c r="Q849" s="159"/>
      <c r="R849" s="159"/>
      <c r="S849" s="324"/>
    </row>
    <row r="850" spans="1:19" ht="15.75" customHeight="1" x14ac:dyDescent="0.3">
      <c r="A850" s="323"/>
      <c r="B850" s="159"/>
      <c r="C850" s="159"/>
      <c r="D850" s="159"/>
      <c r="E850" s="159"/>
      <c r="F850" s="159"/>
      <c r="G850" s="159"/>
      <c r="H850" s="159"/>
      <c r="I850" s="159"/>
      <c r="J850" s="159"/>
      <c r="K850" s="159"/>
      <c r="L850" s="159"/>
      <c r="M850" s="159"/>
      <c r="N850" s="159"/>
      <c r="O850" s="159"/>
      <c r="P850" s="159"/>
      <c r="Q850" s="159"/>
      <c r="R850" s="159"/>
      <c r="S850" s="324"/>
    </row>
    <row r="851" spans="1:19" ht="15.75" customHeight="1" x14ac:dyDescent="0.3">
      <c r="A851" s="323" t="s">
        <v>389</v>
      </c>
      <c r="B851" s="164" t="s">
        <v>390</v>
      </c>
      <c r="C851" s="164" t="s">
        <v>391</v>
      </c>
      <c r="D851" s="164" t="s">
        <v>392</v>
      </c>
      <c r="E851" s="164" t="s">
        <v>393</v>
      </c>
      <c r="F851" s="164" t="s">
        <v>394</v>
      </c>
      <c r="G851" s="164" t="s">
        <v>394</v>
      </c>
      <c r="H851" s="164" t="s">
        <v>395</v>
      </c>
      <c r="I851" s="164" t="s">
        <v>396</v>
      </c>
      <c r="J851" s="164" t="s">
        <v>397</v>
      </c>
      <c r="K851" s="164" t="s">
        <v>398</v>
      </c>
      <c r="L851" s="164" t="s">
        <v>399</v>
      </c>
      <c r="M851" s="164" t="s">
        <v>400</v>
      </c>
      <c r="N851" s="164" t="s">
        <v>401</v>
      </c>
      <c r="O851" s="164" t="s">
        <v>402</v>
      </c>
      <c r="P851" s="164" t="s">
        <v>403</v>
      </c>
      <c r="Q851" s="164" t="s">
        <v>404</v>
      </c>
      <c r="R851" s="164" t="s">
        <v>422</v>
      </c>
      <c r="S851" s="333" t="s">
        <v>462</v>
      </c>
    </row>
    <row r="852" spans="1:19" ht="15.75" customHeight="1" x14ac:dyDescent="0.3">
      <c r="A852" s="323" t="s">
        <v>405</v>
      </c>
      <c r="B852" s="159"/>
      <c r="C852" s="159"/>
      <c r="D852" s="159"/>
      <c r="E852" s="159"/>
      <c r="F852" s="164" t="s">
        <v>406</v>
      </c>
      <c r="G852" s="164" t="s">
        <v>407</v>
      </c>
      <c r="H852" s="159"/>
      <c r="I852" s="159"/>
      <c r="J852" s="159"/>
      <c r="K852" s="159"/>
      <c r="L852" s="159"/>
      <c r="M852" s="159"/>
      <c r="N852" s="159"/>
      <c r="O852" s="159"/>
      <c r="P852" s="159"/>
      <c r="Q852" s="159"/>
      <c r="R852" s="164" t="s">
        <v>458</v>
      </c>
      <c r="S852" s="333" t="s">
        <v>463</v>
      </c>
    </row>
    <row r="853" spans="1:19" ht="15.75" customHeight="1" x14ac:dyDescent="0.3">
      <c r="A853" s="323" t="s">
        <v>408</v>
      </c>
      <c r="B853" s="159">
        <v>957</v>
      </c>
      <c r="C853" s="159">
        <v>122</v>
      </c>
      <c r="D853" s="159">
        <v>128</v>
      </c>
      <c r="E853" s="159">
        <v>219</v>
      </c>
      <c r="F853" s="159"/>
      <c r="G853" s="159"/>
      <c r="H853" s="159">
        <v>97</v>
      </c>
      <c r="I853" s="159">
        <v>167</v>
      </c>
      <c r="J853" s="159">
        <v>247</v>
      </c>
      <c r="K853" s="159">
        <v>260</v>
      </c>
      <c r="L853" s="159">
        <v>122</v>
      </c>
      <c r="M853" s="159">
        <v>122</v>
      </c>
      <c r="N853" s="159">
        <v>275</v>
      </c>
      <c r="O853" s="159">
        <v>191</v>
      </c>
      <c r="P853" s="159">
        <v>325</v>
      </c>
      <c r="Q853" s="159">
        <v>503</v>
      </c>
      <c r="R853" s="164" t="s">
        <v>442</v>
      </c>
      <c r="S853" s="333" t="s">
        <v>464</v>
      </c>
    </row>
    <row r="854" spans="1:19" ht="15.75" customHeight="1" x14ac:dyDescent="0.3">
      <c r="A854" s="323"/>
      <c r="B854" s="159" t="s">
        <v>409</v>
      </c>
      <c r="C854" s="159" t="s">
        <v>409</v>
      </c>
      <c r="D854" s="159" t="s">
        <v>409</v>
      </c>
      <c r="E854" s="159" t="s">
        <v>409</v>
      </c>
      <c r="F854" s="159" t="s">
        <v>409</v>
      </c>
      <c r="G854" s="159" t="s">
        <v>409</v>
      </c>
      <c r="H854" s="159" t="s">
        <v>409</v>
      </c>
      <c r="I854" s="159" t="s">
        <v>409</v>
      </c>
      <c r="J854" s="159" t="s">
        <v>409</v>
      </c>
      <c r="K854" s="159" t="s">
        <v>409</v>
      </c>
      <c r="L854" s="159" t="s">
        <v>409</v>
      </c>
      <c r="M854" s="159" t="s">
        <v>409</v>
      </c>
      <c r="N854" s="159" t="s">
        <v>409</v>
      </c>
      <c r="O854" s="159" t="s">
        <v>409</v>
      </c>
      <c r="P854" s="159" t="s">
        <v>409</v>
      </c>
      <c r="Q854" s="159" t="s">
        <v>409</v>
      </c>
      <c r="R854" s="159" t="s">
        <v>459</v>
      </c>
      <c r="S854" s="333" t="s">
        <v>409</v>
      </c>
    </row>
    <row r="855" spans="1:19" ht="15.75" customHeight="1" x14ac:dyDescent="0.3">
      <c r="A855" s="325" t="s">
        <v>410</v>
      </c>
      <c r="B855" s="159">
        <f>(B773*B771)/1000</f>
        <v>175660.22099999999</v>
      </c>
      <c r="C855" s="159">
        <f t="shared" ref="C855:Q855" si="133">(C773*C771)/1000</f>
        <v>22381.632000000001</v>
      </c>
      <c r="D855" s="159">
        <f t="shared" si="133"/>
        <v>23470.080000000002</v>
      </c>
      <c r="E855" s="159">
        <f t="shared" si="133"/>
        <v>36793.970999999998</v>
      </c>
      <c r="F855" s="159">
        <f>(F773*(('[1]Lake Pleasant Forecast'!B35-1526.8)/0.7702))/1000</f>
        <v>23595.382558228459</v>
      </c>
      <c r="G855" s="159">
        <f>(G773*(('[1]Lake Pleasant Forecast'!B35-1591.4)/0.6635))/1000</f>
        <v>0</v>
      </c>
      <c r="H855" s="159">
        <f t="shared" si="133"/>
        <v>3859.63</v>
      </c>
      <c r="I855" s="159">
        <f t="shared" si="133"/>
        <v>3427.3409999999999</v>
      </c>
      <c r="J855" s="159">
        <f t="shared" si="133"/>
        <v>5066.9579999999996</v>
      </c>
      <c r="K855" s="159">
        <f t="shared" si="133"/>
        <v>5155.28</v>
      </c>
      <c r="L855" s="159">
        <f t="shared" si="133"/>
        <v>1882.9480000000001</v>
      </c>
      <c r="M855" s="159">
        <f t="shared" si="133"/>
        <v>1880.508</v>
      </c>
      <c r="N855" s="159">
        <f t="shared" si="133"/>
        <v>4236.1000000000004</v>
      </c>
      <c r="O855" s="159">
        <f t="shared" si="133"/>
        <v>495.26299999999998</v>
      </c>
      <c r="P855" s="159">
        <f t="shared" si="133"/>
        <v>1681.875</v>
      </c>
      <c r="Q855" s="159">
        <f t="shared" si="133"/>
        <v>1303.2729999999999</v>
      </c>
      <c r="R855" s="159">
        <f>(SUM(B855:Q855))</f>
        <v>310890.46255822841</v>
      </c>
      <c r="S855" s="334">
        <f t="shared" ref="S855:S866" si="134">(U885*V885)/1000</f>
        <v>28.355518490000001</v>
      </c>
    </row>
    <row r="856" spans="1:19" ht="15.75" customHeight="1" x14ac:dyDescent="0.3">
      <c r="A856" s="325" t="s">
        <v>411</v>
      </c>
      <c r="B856" s="159">
        <f t="shared" ref="B856:Q856" si="135">(B774*B771)/1000</f>
        <v>161036.304</v>
      </c>
      <c r="C856" s="159">
        <f t="shared" si="135"/>
        <v>20511.128000000001</v>
      </c>
      <c r="D856" s="159">
        <f t="shared" si="135"/>
        <v>21501.184000000001</v>
      </c>
      <c r="E856" s="159">
        <f t="shared" si="135"/>
        <v>32681.151000000002</v>
      </c>
      <c r="F856" s="159">
        <f>(F774*(('[1]Lake Pleasant Forecast'!B37-1526.8)/0.7702))/1000</f>
        <v>14641.087587639588</v>
      </c>
      <c r="G856" s="159">
        <f>(G774*(('[1]Lake Pleasant Forecast'!B37-1591.4)/0.6635))/1000</f>
        <v>0</v>
      </c>
      <c r="H856" s="159">
        <f t="shared" si="135"/>
        <v>5831.7370000000001</v>
      </c>
      <c r="I856" s="159">
        <f t="shared" si="135"/>
        <v>4051.587</v>
      </c>
      <c r="J856" s="159">
        <f t="shared" si="135"/>
        <v>5918.12</v>
      </c>
      <c r="K856" s="159">
        <f t="shared" si="135"/>
        <v>6127.42</v>
      </c>
      <c r="L856" s="159">
        <f t="shared" si="135"/>
        <v>2252.364</v>
      </c>
      <c r="M856" s="159">
        <f t="shared" si="135"/>
        <v>2249.6799999999998</v>
      </c>
      <c r="N856" s="159">
        <f t="shared" si="135"/>
        <v>5067.9750000000004</v>
      </c>
      <c r="O856" s="159">
        <f t="shared" si="135"/>
        <v>854.53399999999999</v>
      </c>
      <c r="P856" s="159">
        <f t="shared" si="135"/>
        <v>1761.175</v>
      </c>
      <c r="Q856" s="159">
        <f t="shared" si="135"/>
        <v>2248.913</v>
      </c>
      <c r="R856" s="159">
        <f t="shared" ref="R856:R866" si="136">(SUM(B856:Q856))</f>
        <v>286734.35958763957</v>
      </c>
      <c r="S856" s="334">
        <f t="shared" si="134"/>
        <v>35.653563269999999</v>
      </c>
    </row>
    <row r="857" spans="1:19" s="462" customFormat="1" ht="15.75" customHeight="1" x14ac:dyDescent="0.3">
      <c r="A857" s="397" t="s">
        <v>412</v>
      </c>
      <c r="B857" s="460">
        <f t="shared" ref="B857:Q857" si="137">(B775*B771)/1000</f>
        <v>179458.554</v>
      </c>
      <c r="C857" s="460">
        <f t="shared" si="137"/>
        <v>22844.256000000001</v>
      </c>
      <c r="D857" s="460">
        <f t="shared" si="137"/>
        <v>23932.288</v>
      </c>
      <c r="E857" s="460">
        <f t="shared" si="137"/>
        <v>36324.216</v>
      </c>
      <c r="F857" s="460">
        <f>(F775*(('[1]Lake Pleasant Forecast'!B39-1526.8)/0.7702))/1000</f>
        <v>9793.6254219683251</v>
      </c>
      <c r="G857" s="460">
        <f>(G775*(('[1]Lake Pleasant Forecast'!B39-1591.4)/0.6635))/1000</f>
        <v>0</v>
      </c>
      <c r="H857" s="460">
        <f t="shared" si="137"/>
        <v>8917.4040000000005</v>
      </c>
      <c r="I857" s="460">
        <f t="shared" si="137"/>
        <v>4358.366</v>
      </c>
      <c r="J857" s="460">
        <f t="shared" si="137"/>
        <v>6439.5370000000003</v>
      </c>
      <c r="K857" s="460">
        <f t="shared" si="137"/>
        <v>6664.84</v>
      </c>
      <c r="L857" s="460">
        <f t="shared" si="137"/>
        <v>2447.1979999999999</v>
      </c>
      <c r="M857" s="460">
        <f t="shared" si="137"/>
        <v>2443.7820000000002</v>
      </c>
      <c r="N857" s="460">
        <f t="shared" si="137"/>
        <v>5427.4</v>
      </c>
      <c r="O857" s="460">
        <f t="shared" si="137"/>
        <v>915.46299999999997</v>
      </c>
      <c r="P857" s="460">
        <f t="shared" si="137"/>
        <v>1878.5</v>
      </c>
      <c r="Q857" s="460">
        <f t="shared" si="137"/>
        <v>2408.364</v>
      </c>
      <c r="R857" s="460">
        <f t="shared" si="136"/>
        <v>314253.79342196835</v>
      </c>
      <c r="S857" s="461">
        <f t="shared" si="134"/>
        <v>38.336146289999995</v>
      </c>
    </row>
    <row r="858" spans="1:19" ht="15.75" customHeight="1" x14ac:dyDescent="0.3">
      <c r="A858" s="325" t="s">
        <v>413</v>
      </c>
      <c r="B858" s="159">
        <f t="shared" ref="B858:Q858" si="138">(B776*B771)/1000</f>
        <v>173603.628</v>
      </c>
      <c r="C858" s="159">
        <f t="shared" si="138"/>
        <v>22086.513999999999</v>
      </c>
      <c r="D858" s="159">
        <f t="shared" si="138"/>
        <v>23120.383999999998</v>
      </c>
      <c r="E858" s="159">
        <f t="shared" si="138"/>
        <v>37714.428</v>
      </c>
      <c r="F858" s="159">
        <f>(F776*(('[1]Lake Pleasant Forecast'!B41-1526.8)/0.7702))/1000</f>
        <v>1513.2899568150306</v>
      </c>
      <c r="G858" s="159">
        <f>(G776*(('[1]Lake Pleasant Forecast'!B41-1591.4)/0.6635))/1000</f>
        <v>-669.29726509267925</v>
      </c>
      <c r="H858" s="159">
        <f t="shared" si="138"/>
        <v>13136.031000000001</v>
      </c>
      <c r="I858" s="159">
        <f t="shared" si="138"/>
        <v>5359.6980000000003</v>
      </c>
      <c r="J858" s="159">
        <f t="shared" si="138"/>
        <v>7774.5720000000001</v>
      </c>
      <c r="K858" s="159">
        <f t="shared" si="138"/>
        <v>6681.74</v>
      </c>
      <c r="L858" s="159">
        <f t="shared" si="138"/>
        <v>2536.7460000000001</v>
      </c>
      <c r="M858" s="159">
        <f t="shared" si="138"/>
        <v>2532.232</v>
      </c>
      <c r="N858" s="159">
        <f t="shared" si="138"/>
        <v>5132.3249999999998</v>
      </c>
      <c r="O858" s="159">
        <f t="shared" si="138"/>
        <v>623.99699999999996</v>
      </c>
      <c r="P858" s="159">
        <f t="shared" si="138"/>
        <v>1976.325</v>
      </c>
      <c r="Q858" s="159">
        <f t="shared" si="138"/>
        <v>1621.672</v>
      </c>
      <c r="R858" s="159">
        <f t="shared" si="136"/>
        <v>304744.28469172231</v>
      </c>
      <c r="S858" s="334">
        <f t="shared" si="134"/>
        <v>35.625543589999999</v>
      </c>
    </row>
    <row r="859" spans="1:19" ht="15.75" customHeight="1" x14ac:dyDescent="0.3">
      <c r="A859" s="325" t="s">
        <v>414</v>
      </c>
      <c r="B859" s="159">
        <f t="shared" ref="B859:Q859" si="139">(B777*B771)/1000</f>
        <v>172826.54399999999</v>
      </c>
      <c r="C859" s="159">
        <f t="shared" si="139"/>
        <v>21980.374</v>
      </c>
      <c r="D859" s="159">
        <f t="shared" si="139"/>
        <v>22989.439999999999</v>
      </c>
      <c r="E859" s="159">
        <f t="shared" si="139"/>
        <v>37493.894999999997</v>
      </c>
      <c r="F859" s="159">
        <f>(F777*(('[1]Lake Pleasant Forecast'!B43-1526.8)/0.7702))/1000</f>
        <v>324.76764476759331</v>
      </c>
      <c r="G859" s="159">
        <f>(G777*(('[1]Lake Pleasant Forecast'!B43-1591.4)/0.6635))/1000</f>
        <v>-3009.6788244159793</v>
      </c>
      <c r="H859" s="159">
        <f t="shared" si="139"/>
        <v>14194.786</v>
      </c>
      <c r="I859" s="159">
        <f t="shared" si="139"/>
        <v>5823.7910000000002</v>
      </c>
      <c r="J859" s="159">
        <f t="shared" si="139"/>
        <v>7747.8959999999997</v>
      </c>
      <c r="K859" s="159">
        <f t="shared" si="139"/>
        <v>6384.82</v>
      </c>
      <c r="L859" s="159">
        <f t="shared" si="139"/>
        <v>2712.4259999999999</v>
      </c>
      <c r="M859" s="159">
        <f t="shared" si="139"/>
        <v>2707.3020000000001</v>
      </c>
      <c r="N859" s="159">
        <f t="shared" si="139"/>
        <v>5507.4250000000002</v>
      </c>
      <c r="O859" s="159">
        <f t="shared" si="139"/>
        <v>962.44899999999996</v>
      </c>
      <c r="P859" s="159">
        <f t="shared" si="139"/>
        <v>2136.2249999999999</v>
      </c>
      <c r="Q859" s="159">
        <f t="shared" si="139"/>
        <v>2517.0120000000002</v>
      </c>
      <c r="R859" s="159">
        <f t="shared" si="136"/>
        <v>303299.47382035165</v>
      </c>
      <c r="S859" s="334">
        <f t="shared" si="134"/>
        <v>40.860812330000002</v>
      </c>
    </row>
    <row r="860" spans="1:19" ht="15.75" customHeight="1" x14ac:dyDescent="0.3">
      <c r="A860" s="325" t="s">
        <v>415</v>
      </c>
      <c r="B860" s="159">
        <f t="shared" ref="B860:Q860" si="140">(B778*B771)/1000</f>
        <v>125555.52899999999</v>
      </c>
      <c r="C860" s="159">
        <f t="shared" si="140"/>
        <v>15955.16</v>
      </c>
      <c r="D860" s="159">
        <f t="shared" si="140"/>
        <v>16677.759999999998</v>
      </c>
      <c r="E860" s="159">
        <f t="shared" si="140"/>
        <v>26796.401999999998</v>
      </c>
      <c r="F860" s="159">
        <f>(F778*(('[1]Lake Pleasant Forecast'!B45-1526.8)/0.7702))/1000</f>
        <v>0</v>
      </c>
      <c r="G860" s="159">
        <f>(G778*(('[1]Lake Pleasant Forecast'!B45-1591.4)/0.6635))/1000</f>
        <v>-10757.240391861347</v>
      </c>
      <c r="H860" s="159">
        <f t="shared" si="140"/>
        <v>16462.548999999999</v>
      </c>
      <c r="I860" s="159">
        <f t="shared" si="140"/>
        <v>6766.5060000000003</v>
      </c>
      <c r="J860" s="159">
        <f t="shared" si="140"/>
        <v>6814.2359999999999</v>
      </c>
      <c r="K860" s="159">
        <f t="shared" si="140"/>
        <v>5212.22</v>
      </c>
      <c r="L860" s="159">
        <f t="shared" si="140"/>
        <v>2195.268</v>
      </c>
      <c r="M860" s="159">
        <f t="shared" si="140"/>
        <v>2189.9</v>
      </c>
      <c r="N860" s="159">
        <f t="shared" si="140"/>
        <v>4274.05</v>
      </c>
      <c r="O860" s="159">
        <f t="shared" si="140"/>
        <v>540.33900000000006</v>
      </c>
      <c r="P860" s="159">
        <f t="shared" si="140"/>
        <v>2052.0500000000002</v>
      </c>
      <c r="Q860" s="159">
        <f t="shared" si="140"/>
        <v>1407.394</v>
      </c>
      <c r="R860" s="159">
        <f t="shared" si="136"/>
        <v>222142.12260813863</v>
      </c>
      <c r="S860" s="334">
        <f t="shared" si="134"/>
        <v>31.267732470000002</v>
      </c>
    </row>
    <row r="861" spans="1:19" ht="15.75" customHeight="1" x14ac:dyDescent="0.3">
      <c r="A861" s="325" t="s">
        <v>416</v>
      </c>
      <c r="B861" s="159">
        <f t="shared" ref="B861:Q861" si="141">(B779*B771)/1000</f>
        <v>38260.86</v>
      </c>
      <c r="C861" s="159">
        <f t="shared" si="141"/>
        <v>4826.808</v>
      </c>
      <c r="D861" s="159">
        <f t="shared" si="141"/>
        <v>5004.2879999999996</v>
      </c>
      <c r="E861" s="159">
        <f t="shared" si="141"/>
        <v>6605.9160000000002</v>
      </c>
      <c r="F861" s="159">
        <f>(F779*(('[1]Lake Pleasant Forecast'!B47-1526.8)/0.7702))/1000</f>
        <v>0</v>
      </c>
      <c r="G861" s="159">
        <f>(G779*(('[1]Lake Pleasant Forecast'!B47-1591.4)/0.6635))/1000</f>
        <v>-16612.436394999178</v>
      </c>
      <c r="H861" s="159">
        <f t="shared" si="141"/>
        <v>13046.985000000001</v>
      </c>
      <c r="I861" s="159">
        <f t="shared" si="141"/>
        <v>6484.61</v>
      </c>
      <c r="J861" s="159">
        <f t="shared" si="141"/>
        <v>6802.38</v>
      </c>
      <c r="K861" s="159">
        <f t="shared" si="141"/>
        <v>4877.34</v>
      </c>
      <c r="L861" s="159">
        <f t="shared" si="141"/>
        <v>2084.614</v>
      </c>
      <c r="M861" s="159">
        <f t="shared" si="141"/>
        <v>2079.8560000000002</v>
      </c>
      <c r="N861" s="159">
        <f t="shared" si="141"/>
        <v>3859.0749999999998</v>
      </c>
      <c r="O861" s="159">
        <f t="shared" si="141"/>
        <v>674.42100000000005</v>
      </c>
      <c r="P861" s="159">
        <f t="shared" si="141"/>
        <v>2091.375</v>
      </c>
      <c r="Q861" s="159">
        <f t="shared" si="141"/>
        <v>1737.3620000000001</v>
      </c>
      <c r="R861" s="159">
        <f t="shared" si="136"/>
        <v>81823.453605000817</v>
      </c>
      <c r="S861" s="334">
        <f t="shared" si="134"/>
        <v>30.940956410000005</v>
      </c>
    </row>
    <row r="862" spans="1:19" ht="15.75" customHeight="1" x14ac:dyDescent="0.3">
      <c r="A862" s="325" t="s">
        <v>417</v>
      </c>
      <c r="B862" s="159">
        <f t="shared" ref="B862:Q862" si="142">(B780*B771)/1000</f>
        <v>82872.372000000003</v>
      </c>
      <c r="C862" s="159">
        <f t="shared" si="142"/>
        <v>10523.964</v>
      </c>
      <c r="D862" s="159">
        <f t="shared" si="142"/>
        <v>10993.92</v>
      </c>
      <c r="E862" s="159">
        <f t="shared" si="142"/>
        <v>16725.468000000001</v>
      </c>
      <c r="F862" s="159">
        <f>(F780*(('[1]Lake Pleasant Forecast'!B49-1526.8)/0.7702))/1000</f>
        <v>0</v>
      </c>
      <c r="G862" s="159">
        <f>(G780*(('[1]Lake Pleasant Forecast'!B49-1591.4)/0.6635))/1000</f>
        <v>-9949.5802355897686</v>
      </c>
      <c r="H862" s="159">
        <f t="shared" si="142"/>
        <v>13081.517</v>
      </c>
      <c r="I862" s="159">
        <f t="shared" si="142"/>
        <v>7740.116</v>
      </c>
      <c r="J862" s="159">
        <f t="shared" si="142"/>
        <v>7067.6580000000004</v>
      </c>
      <c r="K862" s="159">
        <f t="shared" si="142"/>
        <v>5092.62</v>
      </c>
      <c r="L862" s="159">
        <f t="shared" si="142"/>
        <v>2023.8579999999999</v>
      </c>
      <c r="M862" s="159">
        <f t="shared" si="142"/>
        <v>2019.4659999999999</v>
      </c>
      <c r="N862" s="159">
        <f t="shared" si="142"/>
        <v>3969.0749999999998</v>
      </c>
      <c r="O862" s="159">
        <f t="shared" si="142"/>
        <v>592.1</v>
      </c>
      <c r="P862" s="159">
        <f t="shared" si="142"/>
        <v>767.97500000000002</v>
      </c>
      <c r="Q862" s="159">
        <f t="shared" si="142"/>
        <v>1556.2819999999999</v>
      </c>
      <c r="R862" s="159">
        <f t="shared" si="136"/>
        <v>155076.81076441027</v>
      </c>
      <c r="S862" s="334">
        <f t="shared" si="134"/>
        <v>26.994027320000001</v>
      </c>
    </row>
    <row r="863" spans="1:19" ht="15.75" customHeight="1" x14ac:dyDescent="0.3">
      <c r="A863" s="325" t="s">
        <v>418</v>
      </c>
      <c r="B863" s="159">
        <f>(B781*B771)/1000</f>
        <v>131472.66</v>
      </c>
      <c r="C863" s="159">
        <f>(C781*C771)/1000</f>
        <v>16721.808000000001</v>
      </c>
      <c r="D863" s="159">
        <f>(D781*D771)/1000</f>
        <v>17488.128000000001</v>
      </c>
      <c r="E863" s="159">
        <f>(E781*E771)/1000</f>
        <v>28312.976999999999</v>
      </c>
      <c r="F863" s="159">
        <f>(F781*(('[1]Lake Pleasant Forecast'!B51-1526.8)/0.7702))/1000</f>
        <v>798.45318099195083</v>
      </c>
      <c r="G863" s="159">
        <f>(G781*(('[1]Lake Pleasant Forecast'!B51-1591.4)/0.6635))/1000</f>
        <v>-656.45534287867349</v>
      </c>
      <c r="H863" s="159">
        <f t="shared" ref="H863:Q863" si="143">(H781*H771)/1000</f>
        <v>9881.4869999999992</v>
      </c>
      <c r="I863" s="159">
        <f t="shared" si="143"/>
        <v>5993.7969999999996</v>
      </c>
      <c r="J863" s="159">
        <f t="shared" si="143"/>
        <v>6603.2979999999998</v>
      </c>
      <c r="K863" s="159">
        <f t="shared" si="143"/>
        <v>5573.36</v>
      </c>
      <c r="L863" s="159">
        <f t="shared" si="143"/>
        <v>1971.7639999999999</v>
      </c>
      <c r="M863" s="159">
        <f t="shared" si="143"/>
        <v>1967.616</v>
      </c>
      <c r="N863" s="159">
        <f t="shared" si="143"/>
        <v>4121.7</v>
      </c>
      <c r="O863" s="159">
        <f t="shared" si="143"/>
        <v>777.17899999999997</v>
      </c>
      <c r="P863" s="159">
        <f t="shared" si="143"/>
        <v>1476.15</v>
      </c>
      <c r="Q863" s="159">
        <f t="shared" si="143"/>
        <v>2032.12</v>
      </c>
      <c r="R863" s="159">
        <f t="shared" si="136"/>
        <v>234536.04183811325</v>
      </c>
      <c r="S863" s="334">
        <f t="shared" si="134"/>
        <v>30.49592663</v>
      </c>
    </row>
    <row r="864" spans="1:19" ht="15.75" customHeight="1" x14ac:dyDescent="0.3">
      <c r="A864" s="325" t="s">
        <v>419</v>
      </c>
      <c r="B864" s="159">
        <f>(B782*B771)/1000</f>
        <v>30610.601999999999</v>
      </c>
      <c r="C864" s="159">
        <f>(C782*C771)/1000</f>
        <v>3867.5219999999999</v>
      </c>
      <c r="D864" s="159">
        <f>(D782*D771)/1000</f>
        <v>4019.712</v>
      </c>
      <c r="E864" s="159">
        <f>(E782*E771)/1000</f>
        <v>5948.259</v>
      </c>
      <c r="F864" s="159">
        <f>(F782*(('[1]Lake Pleasant Forecast'!B53-1526.8)/0.7702))/1000</f>
        <v>1796.7038950921813</v>
      </c>
      <c r="G864" s="159">
        <f>(G782*(('[1]Lake Pleasant Forecast'!B53-1591.4)/0.6635))/1000</f>
        <v>-9598.8192162772739</v>
      </c>
      <c r="H864" s="159">
        <f t="shared" ref="H864:Q864" si="144">(H782*H771)/1000</f>
        <v>7129.3059999999996</v>
      </c>
      <c r="I864" s="159">
        <f t="shared" si="144"/>
        <v>3229.279</v>
      </c>
      <c r="J864" s="159">
        <f t="shared" si="144"/>
        <v>3991.7669999999998</v>
      </c>
      <c r="K864" s="159">
        <f t="shared" si="144"/>
        <v>3711.24</v>
      </c>
      <c r="L864" s="159">
        <f t="shared" si="144"/>
        <v>1371.89</v>
      </c>
      <c r="M864" s="159">
        <f t="shared" si="144"/>
        <v>1368.3520000000001</v>
      </c>
      <c r="N864" s="159">
        <f t="shared" si="144"/>
        <v>2977.7</v>
      </c>
      <c r="O864" s="159">
        <f t="shared" si="144"/>
        <v>615.40200000000004</v>
      </c>
      <c r="P864" s="159">
        <f t="shared" si="144"/>
        <v>1890.5250000000001</v>
      </c>
      <c r="Q864" s="159">
        <f t="shared" si="144"/>
        <v>1609.097</v>
      </c>
      <c r="R864" s="159">
        <f t="shared" si="136"/>
        <v>64538.537678814893</v>
      </c>
      <c r="S864" s="334">
        <f t="shared" si="134"/>
        <v>24.287426020000002</v>
      </c>
    </row>
    <row r="865" spans="1:22" ht="15.75" customHeight="1" x14ac:dyDescent="0.3">
      <c r="A865" s="325" t="s">
        <v>420</v>
      </c>
      <c r="B865" s="159">
        <f t="shared" ref="B865:Q865" si="145">(B783*B771)/1000</f>
        <v>165838.53</v>
      </c>
      <c r="C865" s="159">
        <f t="shared" si="145"/>
        <v>21112.71</v>
      </c>
      <c r="D865" s="159">
        <f t="shared" si="145"/>
        <v>22117.119999999999</v>
      </c>
      <c r="E865" s="159">
        <f t="shared" si="145"/>
        <v>37176.125999999997</v>
      </c>
      <c r="F865" s="159">
        <f>(F783*(('[1]Lake Pleasant Forecast'!B55-1526.8)/0.7702))/1000</f>
        <v>20921.062529213192</v>
      </c>
      <c r="G865" s="159">
        <f>(G783*(('[1]Lake Pleasant Forecast'!B55-1591.4)/0.6635))/1000</f>
        <v>0</v>
      </c>
      <c r="H865" s="159">
        <f t="shared" si="145"/>
        <v>3352.4169999999999</v>
      </c>
      <c r="I865" s="159">
        <f t="shared" si="145"/>
        <v>1720.434</v>
      </c>
      <c r="J865" s="159">
        <f t="shared" si="145"/>
        <v>2355.6390000000001</v>
      </c>
      <c r="K865" s="159">
        <f t="shared" si="145"/>
        <v>2322.84</v>
      </c>
      <c r="L865" s="159">
        <f t="shared" si="145"/>
        <v>886.69600000000003</v>
      </c>
      <c r="M865" s="159">
        <f t="shared" si="145"/>
        <v>883.89</v>
      </c>
      <c r="N865" s="159">
        <f t="shared" si="145"/>
        <v>1941.5</v>
      </c>
      <c r="O865" s="159">
        <f t="shared" si="145"/>
        <v>385.62900000000002</v>
      </c>
      <c r="P865" s="159">
        <f t="shared" si="145"/>
        <v>1770.925</v>
      </c>
      <c r="Q865" s="159">
        <f t="shared" si="145"/>
        <v>1007.509</v>
      </c>
      <c r="R865" s="159">
        <f t="shared" si="136"/>
        <v>283793.02752921329</v>
      </c>
      <c r="S865" s="334">
        <f t="shared" si="134"/>
        <v>16.984088030000002</v>
      </c>
    </row>
    <row r="866" spans="1:22" ht="15.75" customHeight="1" x14ac:dyDescent="0.3">
      <c r="A866" s="325" t="s">
        <v>421</v>
      </c>
      <c r="B866" s="159">
        <f t="shared" ref="B866:Q866" si="146">(B784*B771)/1000</f>
        <v>128218.86</v>
      </c>
      <c r="C866" s="159">
        <f t="shared" si="146"/>
        <v>16322.868</v>
      </c>
      <c r="D866" s="159">
        <f t="shared" si="146"/>
        <v>17102.72</v>
      </c>
      <c r="E866" s="159">
        <f t="shared" si="146"/>
        <v>27963.891000000003</v>
      </c>
      <c r="F866" s="159">
        <f>(F784*(('[1]Lake Pleasant Forecast'!B57-1526.8)/0.7702))/1000</f>
        <v>10998.067902541845</v>
      </c>
      <c r="G866" s="159">
        <f>(G784*(('[1]Lake Pleasant Forecast'!B57-1591.4)/0.6635))/1000</f>
        <v>0</v>
      </c>
      <c r="H866" s="159">
        <f t="shared" si="146"/>
        <v>4860.0880000000016</v>
      </c>
      <c r="I866" s="159">
        <f t="shared" si="146"/>
        <v>3449.2179999999998</v>
      </c>
      <c r="J866" s="159">
        <f t="shared" si="146"/>
        <v>4995.8220000000001</v>
      </c>
      <c r="K866" s="159">
        <f t="shared" si="146"/>
        <v>4584.84</v>
      </c>
      <c r="L866" s="159">
        <f t="shared" si="146"/>
        <v>1780.1020000000001</v>
      </c>
      <c r="M866" s="159">
        <f t="shared" si="146"/>
        <v>1777.7840000000001</v>
      </c>
      <c r="N866" s="159">
        <f t="shared" si="146"/>
        <v>3901.9749999999999</v>
      </c>
      <c r="O866" s="159">
        <f t="shared" si="146"/>
        <v>660.66899999999998</v>
      </c>
      <c r="P866" s="159">
        <f t="shared" si="146"/>
        <v>1821.625</v>
      </c>
      <c r="Q866" s="159">
        <f t="shared" si="146"/>
        <v>1718.751</v>
      </c>
      <c r="R866" s="159">
        <f t="shared" si="136"/>
        <v>230157.28090254185</v>
      </c>
      <c r="S866" s="334">
        <f t="shared" si="134"/>
        <v>28.802437820000002</v>
      </c>
    </row>
    <row r="867" spans="1:22" ht="15.75" customHeight="1" x14ac:dyDescent="0.3">
      <c r="A867" s="323"/>
      <c r="B867" s="159"/>
      <c r="C867" s="159"/>
      <c r="D867" s="159"/>
      <c r="E867" s="159"/>
      <c r="F867" s="159"/>
      <c r="G867" s="159"/>
      <c r="H867" s="159"/>
      <c r="I867" s="159"/>
      <c r="J867" s="159"/>
      <c r="K867" s="159"/>
      <c r="L867" s="159"/>
      <c r="M867" s="159"/>
      <c r="N867" s="159"/>
      <c r="O867" s="159"/>
      <c r="P867" s="159"/>
      <c r="Q867" s="159"/>
      <c r="R867" s="159"/>
      <c r="S867" s="334"/>
    </row>
    <row r="868" spans="1:22" ht="15.75" customHeight="1" x14ac:dyDescent="0.3">
      <c r="A868" s="325" t="s">
        <v>422</v>
      </c>
      <c r="B868" s="159">
        <f t="shared" ref="B868:R868" si="147">SUM(B855:B866)</f>
        <v>1565414.6640000001</v>
      </c>
      <c r="C868" s="159">
        <f t="shared" si="147"/>
        <v>199134.74399999998</v>
      </c>
      <c r="D868" s="159">
        <f t="shared" si="147"/>
        <v>208417.024</v>
      </c>
      <c r="E868" s="159">
        <f t="shared" si="147"/>
        <v>330536.7</v>
      </c>
      <c r="F868" s="159">
        <f t="shared" si="147"/>
        <v>84382.440677258171</v>
      </c>
      <c r="G868" s="159">
        <f t="shared" si="147"/>
        <v>-51253.507671114901</v>
      </c>
      <c r="H868" s="159">
        <f t="shared" si="147"/>
        <v>113753.93699999999</v>
      </c>
      <c r="I868" s="159">
        <f t="shared" si="147"/>
        <v>58404.743000000002</v>
      </c>
      <c r="J868" s="159">
        <f t="shared" si="147"/>
        <v>71577.883000000002</v>
      </c>
      <c r="K868" s="159">
        <f t="shared" si="147"/>
        <v>62388.56</v>
      </c>
      <c r="L868" s="159">
        <f t="shared" si="147"/>
        <v>24145.873999999996</v>
      </c>
      <c r="M868" s="159">
        <f t="shared" si="147"/>
        <v>24100.367999999995</v>
      </c>
      <c r="N868" s="159">
        <f t="shared" si="147"/>
        <v>50416.299999999988</v>
      </c>
      <c r="O868" s="159">
        <f t="shared" si="147"/>
        <v>8097.4450000000006</v>
      </c>
      <c r="P868" s="159">
        <f t="shared" si="147"/>
        <v>21304.725000000002</v>
      </c>
      <c r="Q868" s="159">
        <f t="shared" si="147"/>
        <v>21167.749</v>
      </c>
      <c r="R868" s="159">
        <f t="shared" si="147"/>
        <v>2791989.6490061432</v>
      </c>
      <c r="S868" s="334">
        <f>(SUM(S855:S866))</f>
        <v>368.60417867000001</v>
      </c>
    </row>
    <row r="869" spans="1:22" ht="16.5" customHeight="1" thickBot="1" x14ac:dyDescent="0.35">
      <c r="A869" s="326" t="s">
        <v>7</v>
      </c>
      <c r="B869" s="327"/>
      <c r="C869" s="327"/>
      <c r="D869" s="327"/>
      <c r="E869" s="327"/>
      <c r="F869" s="327"/>
      <c r="G869" s="327"/>
      <c r="H869" s="327"/>
      <c r="I869" s="327"/>
      <c r="J869" s="327"/>
      <c r="K869" s="327"/>
      <c r="L869" s="327"/>
      <c r="M869" s="327"/>
      <c r="N869" s="327"/>
      <c r="O869" s="327"/>
      <c r="P869" s="327"/>
      <c r="Q869" s="327"/>
      <c r="R869" s="327"/>
      <c r="S869" s="328"/>
    </row>
    <row r="870" spans="1:22" ht="16.5" customHeight="1" thickBot="1" x14ac:dyDescent="0.35">
      <c r="A870" s="159"/>
      <c r="B870" s="159"/>
      <c r="C870" s="159"/>
      <c r="D870" s="159"/>
      <c r="E870" s="159"/>
      <c r="F870" s="159"/>
      <c r="G870" s="159"/>
      <c r="H870" s="159"/>
      <c r="I870" s="159"/>
      <c r="J870" s="159"/>
      <c r="K870" s="159"/>
      <c r="L870" s="159"/>
      <c r="M870" s="159"/>
      <c r="N870" s="159"/>
      <c r="O870" s="159"/>
      <c r="P870" s="159"/>
      <c r="Q870" s="159"/>
      <c r="R870" s="159"/>
    </row>
    <row r="871" spans="1:22" ht="15.75" customHeight="1" x14ac:dyDescent="0.3">
      <c r="A871" s="318"/>
      <c r="B871" s="319"/>
      <c r="C871" s="319"/>
      <c r="D871" s="319"/>
      <c r="E871" s="319"/>
      <c r="F871" s="319"/>
      <c r="G871" s="319"/>
      <c r="H871" s="319"/>
      <c r="I871" s="319"/>
      <c r="J871" s="319"/>
      <c r="K871" s="319"/>
      <c r="L871" s="319"/>
      <c r="M871" s="319"/>
      <c r="N871" s="319"/>
      <c r="O871" s="319"/>
      <c r="P871" s="319"/>
      <c r="Q871" s="321" t="str">
        <f>+Q1</f>
        <v>PRINTED:</v>
      </c>
      <c r="R871" s="331">
        <f ca="1">+R1</f>
        <v>44909.46975358796</v>
      </c>
      <c r="S871" s="332"/>
    </row>
    <row r="872" spans="1:22" ht="15.75" customHeight="1" x14ac:dyDescent="0.35">
      <c r="A872" s="323"/>
      <c r="B872" s="159"/>
      <c r="C872" s="161" t="s">
        <v>460</v>
      </c>
      <c r="D872" s="159"/>
      <c r="E872" s="159"/>
      <c r="F872" s="159"/>
      <c r="G872" s="159"/>
      <c r="H872" s="159"/>
      <c r="I872" s="159"/>
      <c r="J872" s="159"/>
      <c r="K872" s="159"/>
      <c r="L872" s="167"/>
      <c r="M872" s="161" t="s">
        <v>461</v>
      </c>
      <c r="N872" s="159"/>
      <c r="O872" s="159"/>
      <c r="P872" s="159"/>
      <c r="Q872" s="159"/>
      <c r="R872" s="159"/>
      <c r="S872" s="307"/>
    </row>
    <row r="873" spans="1:22" ht="15.75" customHeight="1" x14ac:dyDescent="0.3">
      <c r="A873" s="323"/>
      <c r="B873" s="159"/>
      <c r="C873" s="159"/>
      <c r="D873" s="159"/>
      <c r="E873" s="159" t="s">
        <v>7</v>
      </c>
      <c r="F873" s="163" t="str">
        <f>+A9</f>
        <v>Revised:  1/22/2013</v>
      </c>
      <c r="G873" s="159"/>
      <c r="H873" s="159"/>
      <c r="I873" s="159"/>
      <c r="J873" s="159"/>
      <c r="K873" s="159"/>
      <c r="L873" s="159"/>
      <c r="M873" s="159"/>
      <c r="N873" s="159"/>
      <c r="O873" s="159"/>
      <c r="P873" s="159" t="s">
        <v>7</v>
      </c>
      <c r="Q873" s="163" t="str">
        <f>+A9</f>
        <v>Revised:  1/22/2013</v>
      </c>
      <c r="R873" s="159"/>
      <c r="S873" s="307"/>
    </row>
    <row r="874" spans="1:22" ht="15.75" customHeight="1" x14ac:dyDescent="0.3">
      <c r="A874" s="323"/>
      <c r="B874" s="159"/>
      <c r="C874" s="159"/>
      <c r="D874" s="159" t="s">
        <v>787</v>
      </c>
      <c r="E874" s="159"/>
      <c r="F874" s="159"/>
      <c r="G874" s="159"/>
      <c r="H874" s="159"/>
      <c r="I874" s="159"/>
      <c r="J874" s="159"/>
      <c r="K874" s="159"/>
      <c r="L874" s="159"/>
      <c r="M874" s="159"/>
      <c r="N874" s="159" t="s">
        <v>787</v>
      </c>
      <c r="O874" s="159"/>
      <c r="P874" s="159"/>
      <c r="Q874" s="159"/>
      <c r="R874" s="159"/>
      <c r="S874" s="307"/>
    </row>
    <row r="875" spans="1:22" ht="15.75" customHeight="1" x14ac:dyDescent="0.3">
      <c r="A875" s="323"/>
      <c r="B875" s="159"/>
      <c r="C875" s="159"/>
      <c r="D875" s="159"/>
      <c r="E875" s="159"/>
      <c r="F875" s="159"/>
      <c r="G875" s="159"/>
      <c r="H875" s="159"/>
      <c r="I875" s="159"/>
      <c r="J875" s="159"/>
      <c r="K875" s="159"/>
      <c r="L875" s="159"/>
      <c r="M875" s="159"/>
      <c r="N875" s="159"/>
      <c r="O875" s="159"/>
      <c r="P875" s="159"/>
      <c r="Q875" s="159"/>
      <c r="R875" s="159"/>
      <c r="S875" s="307"/>
    </row>
    <row r="876" spans="1:22" ht="15.75" customHeight="1" x14ac:dyDescent="0.3">
      <c r="A876" s="323"/>
      <c r="B876" s="159"/>
      <c r="C876" s="159"/>
      <c r="D876" s="159"/>
      <c r="E876" s="159" t="str">
        <f>+A5</f>
        <v>Calendar Year 2012</v>
      </c>
      <c r="F876" s="159"/>
      <c r="G876" s="159"/>
      <c r="H876" s="159"/>
      <c r="I876" s="159"/>
      <c r="J876" s="159"/>
      <c r="K876" s="159"/>
      <c r="L876" s="159"/>
      <c r="M876" s="159"/>
      <c r="N876" s="159"/>
      <c r="O876" s="159"/>
      <c r="P876" s="159" t="str">
        <f>+A5</f>
        <v>Calendar Year 2012</v>
      </c>
      <c r="Q876" s="159"/>
      <c r="R876" s="159"/>
      <c r="S876" s="307"/>
    </row>
    <row r="877" spans="1:22" ht="15.75" customHeight="1" x14ac:dyDescent="0.3">
      <c r="A877" s="323"/>
      <c r="B877" s="159"/>
      <c r="C877" s="159"/>
      <c r="D877" s="159"/>
      <c r="E877" s="159" t="s">
        <v>457</v>
      </c>
      <c r="F877" s="159"/>
      <c r="G877" s="159"/>
      <c r="H877" s="159"/>
      <c r="I877" s="159"/>
      <c r="J877" s="159"/>
      <c r="K877" s="159"/>
      <c r="L877" s="159"/>
      <c r="M877" s="159"/>
      <c r="N877" s="159"/>
      <c r="O877" s="159"/>
      <c r="P877" s="159" t="s">
        <v>457</v>
      </c>
      <c r="Q877" s="159"/>
      <c r="R877" s="159"/>
      <c r="S877" s="307"/>
    </row>
    <row r="878" spans="1:22" ht="15.75" customHeight="1" x14ac:dyDescent="0.3">
      <c r="A878" s="323"/>
      <c r="B878" s="159"/>
      <c r="C878" s="159"/>
      <c r="D878" s="159"/>
      <c r="E878" s="159"/>
      <c r="F878" s="159"/>
      <c r="G878" s="159"/>
      <c r="H878" s="159"/>
      <c r="I878" s="159"/>
      <c r="J878" s="159"/>
      <c r="K878" s="159"/>
      <c r="L878" s="159"/>
      <c r="M878" s="159"/>
      <c r="N878" s="159"/>
      <c r="O878" s="159"/>
      <c r="P878" s="159"/>
      <c r="Q878" s="159"/>
      <c r="R878" s="159"/>
      <c r="S878" s="307"/>
      <c r="U878" s="161" t="s">
        <v>467</v>
      </c>
      <c r="V878" s="159"/>
    </row>
    <row r="879" spans="1:22" ht="15.75" customHeight="1" x14ac:dyDescent="0.3">
      <c r="A879" s="323" t="s">
        <v>389</v>
      </c>
      <c r="B879" s="164" t="s">
        <v>390</v>
      </c>
      <c r="C879" s="164" t="s">
        <v>391</v>
      </c>
      <c r="D879" s="164" t="s">
        <v>392</v>
      </c>
      <c r="E879" s="164" t="s">
        <v>393</v>
      </c>
      <c r="F879" s="164" t="s">
        <v>394</v>
      </c>
      <c r="G879" s="159"/>
      <c r="H879" s="164" t="s">
        <v>422</v>
      </c>
      <c r="I879" s="159"/>
      <c r="J879" s="159"/>
      <c r="K879" s="159"/>
      <c r="L879" s="159" t="s">
        <v>389</v>
      </c>
      <c r="M879" s="164" t="s">
        <v>390</v>
      </c>
      <c r="N879" s="164" t="s">
        <v>391</v>
      </c>
      <c r="O879" s="164" t="s">
        <v>392</v>
      </c>
      <c r="P879" s="164" t="s">
        <v>393</v>
      </c>
      <c r="Q879" s="164" t="s">
        <v>394</v>
      </c>
      <c r="R879" s="164" t="s">
        <v>422</v>
      </c>
      <c r="S879" s="307"/>
      <c r="U879" s="159" t="s">
        <v>468</v>
      </c>
      <c r="V879" s="159"/>
    </row>
    <row r="880" spans="1:22" ht="15.75" customHeight="1" x14ac:dyDescent="0.3">
      <c r="A880" s="323" t="s">
        <v>405</v>
      </c>
      <c r="B880" s="159"/>
      <c r="C880" s="159"/>
      <c r="D880" s="159"/>
      <c r="E880" s="159"/>
      <c r="F880" s="164" t="s">
        <v>406</v>
      </c>
      <c r="G880" s="159"/>
      <c r="H880" s="164" t="s">
        <v>465</v>
      </c>
      <c r="I880" s="159"/>
      <c r="J880" s="159"/>
      <c r="K880" s="159"/>
      <c r="L880" s="159" t="s">
        <v>405</v>
      </c>
      <c r="M880" s="159"/>
      <c r="N880" s="159"/>
      <c r="O880" s="159"/>
      <c r="P880" s="159"/>
      <c r="Q880" s="164" t="s">
        <v>406</v>
      </c>
      <c r="R880" s="164" t="s">
        <v>465</v>
      </c>
      <c r="S880" s="307"/>
      <c r="U880" s="159"/>
      <c r="V880" s="159"/>
    </row>
    <row r="881" spans="1:22" ht="15.75" customHeight="1" x14ac:dyDescent="0.3">
      <c r="A881" s="323" t="s">
        <v>408</v>
      </c>
      <c r="B881" s="159">
        <v>957</v>
      </c>
      <c r="C881" s="159">
        <v>122</v>
      </c>
      <c r="D881" s="159">
        <v>128</v>
      </c>
      <c r="E881" s="159">
        <v>219</v>
      </c>
      <c r="F881" s="159"/>
      <c r="G881" s="159"/>
      <c r="H881" s="164" t="s">
        <v>442</v>
      </c>
      <c r="I881" s="159"/>
      <c r="J881" s="159"/>
      <c r="K881" s="159"/>
      <c r="L881" s="159" t="s">
        <v>408</v>
      </c>
      <c r="M881" s="159">
        <v>957</v>
      </c>
      <c r="N881" s="159">
        <v>122</v>
      </c>
      <c r="O881" s="159">
        <v>128</v>
      </c>
      <c r="P881" s="159">
        <v>219</v>
      </c>
      <c r="Q881" s="159"/>
      <c r="R881" s="164" t="s">
        <v>442</v>
      </c>
      <c r="S881" s="307"/>
      <c r="U881" s="159" t="s">
        <v>424</v>
      </c>
      <c r="V881" s="164" t="s">
        <v>442</v>
      </c>
    </row>
    <row r="882" spans="1:22" ht="15.75" customHeight="1" x14ac:dyDescent="0.3">
      <c r="A882" s="323"/>
      <c r="B882" s="159" t="s">
        <v>409</v>
      </c>
      <c r="C882" s="159" t="s">
        <v>409</v>
      </c>
      <c r="D882" s="159" t="s">
        <v>409</v>
      </c>
      <c r="E882" s="159" t="s">
        <v>409</v>
      </c>
      <c r="F882" s="159" t="s">
        <v>409</v>
      </c>
      <c r="G882" s="159"/>
      <c r="H882" s="159" t="s">
        <v>459</v>
      </c>
      <c r="I882" s="159"/>
      <c r="J882" s="159"/>
      <c r="K882" s="159"/>
      <c r="L882" s="159"/>
      <c r="M882" s="159" t="s">
        <v>409</v>
      </c>
      <c r="N882" s="159" t="s">
        <v>409</v>
      </c>
      <c r="O882" s="159" t="s">
        <v>409</v>
      </c>
      <c r="P882" s="159" t="s">
        <v>409</v>
      </c>
      <c r="Q882" s="159" t="s">
        <v>409</v>
      </c>
      <c r="R882" s="159" t="s">
        <v>459</v>
      </c>
      <c r="S882" s="307"/>
      <c r="U882" s="164" t="s">
        <v>442</v>
      </c>
      <c r="V882" s="164" t="s">
        <v>439</v>
      </c>
    </row>
    <row r="883" spans="1:22" ht="15.75" customHeight="1" x14ac:dyDescent="0.3">
      <c r="A883" s="325" t="s">
        <v>410</v>
      </c>
      <c r="B883" s="159">
        <f t="shared" ref="B883:E894" si="148">($F773)*B$771/1000</f>
        <v>106436.583</v>
      </c>
      <c r="C883" s="159">
        <f t="shared" si="148"/>
        <v>13568.718000000001</v>
      </c>
      <c r="D883" s="159">
        <f t="shared" si="148"/>
        <v>14236.031999999999</v>
      </c>
      <c r="E883" s="159">
        <f t="shared" si="148"/>
        <v>24356.960999999999</v>
      </c>
      <c r="F883" s="159">
        <f>(F773*(('[1]Lake Pleasant Forecast'!B35-1526.8)/0.7702))/1000</f>
        <v>23595.382558228459</v>
      </c>
      <c r="G883" s="159"/>
      <c r="H883" s="159">
        <f t="shared" ref="H883:H894" si="149">SUM(B883:F883)</f>
        <v>182193.67655822847</v>
      </c>
      <c r="I883" s="159"/>
      <c r="J883" s="159"/>
      <c r="K883" s="159"/>
      <c r="L883" s="164" t="s">
        <v>410</v>
      </c>
      <c r="M883" s="159">
        <f t="shared" ref="M883:P894" si="150">(B773-$F773)*B$771/1000</f>
        <v>69223.638000000006</v>
      </c>
      <c r="N883" s="159">
        <f t="shared" si="150"/>
        <v>8812.9140000000007</v>
      </c>
      <c r="O883" s="159">
        <f t="shared" si="150"/>
        <v>9234.0480000000007</v>
      </c>
      <c r="P883" s="159">
        <f t="shared" si="150"/>
        <v>12437.01</v>
      </c>
      <c r="Q883" s="159">
        <f>((F773-$F773)*(('[1]Lake Pleasant Forecast'!B35-1526.8)/0.7702))/1000</f>
        <v>0</v>
      </c>
      <c r="R883" s="159">
        <f t="shared" ref="R883:R894" si="151">SUM(L883:P883)</f>
        <v>99707.61</v>
      </c>
      <c r="S883" s="307"/>
      <c r="U883" s="164" t="s">
        <v>491</v>
      </c>
      <c r="V883" s="164" t="s">
        <v>492</v>
      </c>
    </row>
    <row r="884" spans="1:22" ht="15.75" customHeight="1" x14ac:dyDescent="0.3">
      <c r="A884" s="325" t="s">
        <v>411</v>
      </c>
      <c r="B884" s="159">
        <f t="shared" si="148"/>
        <v>64675.017</v>
      </c>
      <c r="C884" s="159">
        <f t="shared" si="148"/>
        <v>8244.8819999999996</v>
      </c>
      <c r="D884" s="159">
        <f t="shared" si="148"/>
        <v>8650.3680000000004</v>
      </c>
      <c r="E884" s="159">
        <f t="shared" si="148"/>
        <v>14800.239</v>
      </c>
      <c r="F884" s="159">
        <f>(F774*(('[1]Lake Pleasant Forecast'!B37-1526.8)/0.7702))/1000</f>
        <v>14641.087587639588</v>
      </c>
      <c r="G884" s="159"/>
      <c r="H884" s="159">
        <f t="shared" si="149"/>
        <v>111011.5935876396</v>
      </c>
      <c r="I884" s="159"/>
      <c r="J884" s="159"/>
      <c r="K884" s="159"/>
      <c r="L884" s="164" t="s">
        <v>411</v>
      </c>
      <c r="M884" s="159">
        <f t="shared" si="150"/>
        <v>96361.286999999997</v>
      </c>
      <c r="N884" s="159">
        <f t="shared" si="150"/>
        <v>12266.245999999999</v>
      </c>
      <c r="O884" s="159">
        <f t="shared" si="150"/>
        <v>12850.816000000001</v>
      </c>
      <c r="P884" s="159">
        <f t="shared" si="150"/>
        <v>17880.912</v>
      </c>
      <c r="Q884" s="159">
        <f>((F774-$F774)*(('[1]Lake Pleasant Forecast'!B37-1526.8)/0.7702))/1000</f>
        <v>0</v>
      </c>
      <c r="R884" s="159">
        <f t="shared" si="151"/>
        <v>139359.261</v>
      </c>
      <c r="S884" s="307"/>
      <c r="U884" s="164" t="s">
        <v>409</v>
      </c>
      <c r="V884" s="164" t="s">
        <v>409</v>
      </c>
    </row>
    <row r="885" spans="1:22" ht="15.75" customHeight="1" x14ac:dyDescent="0.3">
      <c r="A885" s="325" t="s">
        <v>412</v>
      </c>
      <c r="B885" s="159">
        <f t="shared" si="148"/>
        <v>42487.928999999996</v>
      </c>
      <c r="C885" s="159">
        <f t="shared" si="148"/>
        <v>5416.4340000000002</v>
      </c>
      <c r="D885" s="159">
        <f t="shared" si="148"/>
        <v>5682.8159999999998</v>
      </c>
      <c r="E885" s="159">
        <f t="shared" si="148"/>
        <v>9722.9429999999993</v>
      </c>
      <c r="F885" s="159">
        <f>(F775*(('[1]Lake Pleasant Forecast'!B39-1526.8)/0.7702))/1000</f>
        <v>9793.6254219683251</v>
      </c>
      <c r="G885" s="159"/>
      <c r="H885" s="159">
        <f t="shared" si="149"/>
        <v>73103.747421968321</v>
      </c>
      <c r="I885" s="159"/>
      <c r="J885" s="159"/>
      <c r="K885" s="159"/>
      <c r="L885" s="164" t="s">
        <v>412</v>
      </c>
      <c r="M885" s="159">
        <f t="shared" si="150"/>
        <v>136970.625</v>
      </c>
      <c r="N885" s="159">
        <f t="shared" si="150"/>
        <v>17427.822</v>
      </c>
      <c r="O885" s="159">
        <f t="shared" si="150"/>
        <v>18249.472000000002</v>
      </c>
      <c r="P885" s="159">
        <f t="shared" si="150"/>
        <v>26601.273000000001</v>
      </c>
      <c r="Q885" s="159">
        <f>((F775-$F775)*(('[1]Lake Pleasant Forecast'!B39-1526.8)/0.7702))/1000</f>
        <v>0</v>
      </c>
      <c r="R885" s="159">
        <f t="shared" si="151"/>
        <v>199249.19199999998</v>
      </c>
      <c r="S885" s="307"/>
      <c r="U885" s="159">
        <f t="shared" ref="U885:U896" si="152">SUM(L855:Q855)</f>
        <v>11479.967000000001</v>
      </c>
      <c r="V885" s="172">
        <v>2.4700000000000002</v>
      </c>
    </row>
    <row r="886" spans="1:22" ht="15.75" customHeight="1" x14ac:dyDescent="0.3">
      <c r="A886" s="325" t="s">
        <v>413</v>
      </c>
      <c r="B886" s="159">
        <f t="shared" si="148"/>
        <v>6587.9880000000003</v>
      </c>
      <c r="C886" s="159">
        <f t="shared" si="148"/>
        <v>839.84799999999996</v>
      </c>
      <c r="D886" s="159">
        <f t="shared" si="148"/>
        <v>881.15200000000004</v>
      </c>
      <c r="E886" s="159">
        <f t="shared" si="148"/>
        <v>1507.596</v>
      </c>
      <c r="F886" s="159">
        <f>(F776*(('[1]Lake Pleasant Forecast'!B41-1526.8)/0.7702))/1000</f>
        <v>1513.2899568150306</v>
      </c>
      <c r="G886" s="159"/>
      <c r="H886" s="159">
        <f t="shared" si="149"/>
        <v>11329.87395681503</v>
      </c>
      <c r="I886" s="159"/>
      <c r="J886" s="159"/>
      <c r="K886" s="159"/>
      <c r="L886" s="164" t="s">
        <v>413</v>
      </c>
      <c r="M886" s="159">
        <f t="shared" si="150"/>
        <v>167015.64000000001</v>
      </c>
      <c r="N886" s="159">
        <f t="shared" si="150"/>
        <v>21246.666000000001</v>
      </c>
      <c r="O886" s="159">
        <f t="shared" si="150"/>
        <v>22239.232</v>
      </c>
      <c r="P886" s="159">
        <f t="shared" si="150"/>
        <v>36206.832000000002</v>
      </c>
      <c r="Q886" s="159">
        <f>((F776-$F776)*(('[1]Lake Pleasant Forecast'!B41-1526.8)/0.7702))/1000</f>
        <v>0</v>
      </c>
      <c r="R886" s="159">
        <f t="shared" si="151"/>
        <v>246708.37</v>
      </c>
      <c r="S886" s="307"/>
      <c r="U886" s="159">
        <f t="shared" si="152"/>
        <v>14434.641</v>
      </c>
      <c r="V886" s="172">
        <v>2.4700000000000002</v>
      </c>
    </row>
    <row r="887" spans="1:22" ht="15.75" customHeight="1" x14ac:dyDescent="0.3">
      <c r="A887" s="325" t="s">
        <v>414</v>
      </c>
      <c r="B887" s="159">
        <f t="shared" si="148"/>
        <v>1433.586</v>
      </c>
      <c r="C887" s="159">
        <f t="shared" si="148"/>
        <v>182.756</v>
      </c>
      <c r="D887" s="159">
        <f t="shared" si="148"/>
        <v>191.744</v>
      </c>
      <c r="E887" s="159">
        <f t="shared" si="148"/>
        <v>328.06200000000001</v>
      </c>
      <c r="F887" s="159">
        <f>(F777*(('[1]Lake Pleasant Forecast'!B43-1526.8)/0.7702))/1000</f>
        <v>324.76764476759331</v>
      </c>
      <c r="G887" s="159"/>
      <c r="H887" s="159">
        <f t="shared" si="149"/>
        <v>2460.9156447675932</v>
      </c>
      <c r="I887" s="159"/>
      <c r="J887" s="159"/>
      <c r="K887" s="159"/>
      <c r="L887" s="164" t="s">
        <v>414</v>
      </c>
      <c r="M887" s="159">
        <f t="shared" si="150"/>
        <v>171392.95800000001</v>
      </c>
      <c r="N887" s="159">
        <f t="shared" si="150"/>
        <v>21797.617999999999</v>
      </c>
      <c r="O887" s="159">
        <f t="shared" si="150"/>
        <v>22797.696</v>
      </c>
      <c r="P887" s="159">
        <f t="shared" si="150"/>
        <v>37165.832999999999</v>
      </c>
      <c r="Q887" s="159">
        <f>((F777-$F777)*(('[1]Lake Pleasant Forecast'!B43-1526.8)/0.7702))/1000</f>
        <v>0</v>
      </c>
      <c r="R887" s="159">
        <f t="shared" si="151"/>
        <v>253154.10499999998</v>
      </c>
      <c r="S887" s="307"/>
      <c r="U887" s="159">
        <f t="shared" si="152"/>
        <v>15520.706999999999</v>
      </c>
      <c r="V887" s="172">
        <v>2.4700000000000002</v>
      </c>
    </row>
    <row r="888" spans="1:22" ht="15.75" customHeight="1" x14ac:dyDescent="0.3">
      <c r="A888" s="325" t="s">
        <v>415</v>
      </c>
      <c r="B888" s="159">
        <f t="shared" si="148"/>
        <v>0</v>
      </c>
      <c r="C888" s="159">
        <f t="shared" si="148"/>
        <v>0</v>
      </c>
      <c r="D888" s="159">
        <f t="shared" si="148"/>
        <v>0</v>
      </c>
      <c r="E888" s="159">
        <f t="shared" si="148"/>
        <v>0</v>
      </c>
      <c r="F888" s="159">
        <f>(F778*(('[1]Lake Pleasant Forecast'!B45-1526.8)/0.7702))/1000</f>
        <v>0</v>
      </c>
      <c r="G888" s="159"/>
      <c r="H888" s="159">
        <f t="shared" si="149"/>
        <v>0</v>
      </c>
      <c r="I888" s="159"/>
      <c r="J888" s="159"/>
      <c r="K888" s="159"/>
      <c r="L888" s="164" t="s">
        <v>415</v>
      </c>
      <c r="M888" s="159">
        <f t="shared" si="150"/>
        <v>125555.52899999999</v>
      </c>
      <c r="N888" s="159">
        <f t="shared" si="150"/>
        <v>15955.16</v>
      </c>
      <c r="O888" s="159">
        <f t="shared" si="150"/>
        <v>16677.759999999998</v>
      </c>
      <c r="P888" s="159">
        <f t="shared" si="150"/>
        <v>26796.401999999998</v>
      </c>
      <c r="Q888" s="159">
        <f>((F778-$F778)*(('[1]Lake Pleasant Forecast'!B45-1526.8)/0.7702))/1000</f>
        <v>0</v>
      </c>
      <c r="R888" s="159">
        <f t="shared" si="151"/>
        <v>184984.851</v>
      </c>
      <c r="S888" s="307"/>
      <c r="U888" s="159">
        <f t="shared" si="152"/>
        <v>14423.297</v>
      </c>
      <c r="V888" s="172">
        <v>2.4700000000000002</v>
      </c>
    </row>
    <row r="889" spans="1:22" ht="15.75" customHeight="1" x14ac:dyDescent="0.3">
      <c r="A889" s="325" t="s">
        <v>416</v>
      </c>
      <c r="B889" s="159">
        <f t="shared" si="148"/>
        <v>0</v>
      </c>
      <c r="C889" s="159">
        <f t="shared" si="148"/>
        <v>0</v>
      </c>
      <c r="D889" s="159">
        <f t="shared" si="148"/>
        <v>0</v>
      </c>
      <c r="E889" s="159">
        <f t="shared" si="148"/>
        <v>0</v>
      </c>
      <c r="F889" s="159">
        <f>(F779*(('[1]Lake Pleasant Forecast'!B47-1526.8)/0.7702))/1000</f>
        <v>0</v>
      </c>
      <c r="G889" s="159"/>
      <c r="H889" s="159">
        <f t="shared" si="149"/>
        <v>0</v>
      </c>
      <c r="I889" s="159"/>
      <c r="J889" s="159"/>
      <c r="K889" s="159"/>
      <c r="L889" s="164" t="s">
        <v>416</v>
      </c>
      <c r="M889" s="159">
        <f t="shared" si="150"/>
        <v>38260.86</v>
      </c>
      <c r="N889" s="159">
        <f t="shared" si="150"/>
        <v>4826.808</v>
      </c>
      <c r="O889" s="159">
        <f t="shared" si="150"/>
        <v>5004.2879999999996</v>
      </c>
      <c r="P889" s="159">
        <f t="shared" si="150"/>
        <v>6605.9160000000002</v>
      </c>
      <c r="Q889" s="159">
        <f>((F779-$F779)*(('[1]Lake Pleasant Forecast'!B47-1526.8)/0.7702))/1000</f>
        <v>0</v>
      </c>
      <c r="R889" s="159">
        <f t="shared" si="151"/>
        <v>54697.871999999996</v>
      </c>
      <c r="S889" s="307"/>
      <c r="U889" s="159">
        <f t="shared" si="152"/>
        <v>16542.839</v>
      </c>
      <c r="V889" s="172">
        <v>2.4700000000000002</v>
      </c>
    </row>
    <row r="890" spans="1:22" ht="15.75" customHeight="1" x14ac:dyDescent="0.3">
      <c r="A890" s="325" t="s">
        <v>417</v>
      </c>
      <c r="B890" s="159">
        <f t="shared" si="148"/>
        <v>0</v>
      </c>
      <c r="C890" s="159">
        <f t="shared" si="148"/>
        <v>0</v>
      </c>
      <c r="D890" s="159">
        <f t="shared" si="148"/>
        <v>0</v>
      </c>
      <c r="E890" s="159">
        <f t="shared" si="148"/>
        <v>0</v>
      </c>
      <c r="F890" s="159">
        <f>(F780*(('[1]Lake Pleasant Forecast'!B49-1526.8)/0.7702))/1000</f>
        <v>0</v>
      </c>
      <c r="G890" s="159"/>
      <c r="H890" s="159">
        <f t="shared" si="149"/>
        <v>0</v>
      </c>
      <c r="I890" s="159"/>
      <c r="J890" s="159"/>
      <c r="K890" s="159"/>
      <c r="L890" s="164" t="s">
        <v>417</v>
      </c>
      <c r="M890" s="159">
        <f t="shared" si="150"/>
        <v>82872.372000000003</v>
      </c>
      <c r="N890" s="159">
        <f t="shared" si="150"/>
        <v>10523.964</v>
      </c>
      <c r="O890" s="159">
        <f t="shared" si="150"/>
        <v>10993.92</v>
      </c>
      <c r="P890" s="159">
        <f t="shared" si="150"/>
        <v>16725.468000000001</v>
      </c>
      <c r="Q890" s="159">
        <f>((F780-$F780)*(('[1]Lake Pleasant Forecast'!B49-1526.8)/0.7702))/1000</f>
        <v>0</v>
      </c>
      <c r="R890" s="159">
        <f t="shared" si="151"/>
        <v>121115.72400000002</v>
      </c>
      <c r="S890" s="307"/>
      <c r="U890" s="159">
        <f t="shared" si="152"/>
        <v>12659.001</v>
      </c>
      <c r="V890" s="172">
        <v>2.4700000000000002</v>
      </c>
    </row>
    <row r="891" spans="1:22" ht="15.75" customHeight="1" x14ac:dyDescent="0.3">
      <c r="A891" s="325" t="s">
        <v>418</v>
      </c>
      <c r="B891" s="159">
        <f t="shared" si="148"/>
        <v>4428.9960000000001</v>
      </c>
      <c r="C891" s="159">
        <f t="shared" si="148"/>
        <v>564.61599999999999</v>
      </c>
      <c r="D891" s="159">
        <f t="shared" si="148"/>
        <v>592.38400000000001</v>
      </c>
      <c r="E891" s="159">
        <f t="shared" si="148"/>
        <v>1013.532</v>
      </c>
      <c r="F891" s="159">
        <f>(F781*(('[1]Lake Pleasant Forecast'!B51-1526.8)/0.7702))/1000</f>
        <v>798.45318099195083</v>
      </c>
      <c r="G891" s="159"/>
      <c r="H891" s="159">
        <f t="shared" si="149"/>
        <v>7397.9811809919511</v>
      </c>
      <c r="I891" s="159"/>
      <c r="J891" s="159"/>
      <c r="K891" s="159"/>
      <c r="L891" s="164" t="s">
        <v>418</v>
      </c>
      <c r="M891" s="159">
        <f t="shared" si="150"/>
        <v>127043.664</v>
      </c>
      <c r="N891" s="159">
        <f t="shared" si="150"/>
        <v>16157.191999999999</v>
      </c>
      <c r="O891" s="159">
        <f t="shared" si="150"/>
        <v>16895.743999999999</v>
      </c>
      <c r="P891" s="159">
        <f t="shared" si="150"/>
        <v>27299.445</v>
      </c>
      <c r="Q891" s="159">
        <f>((F781-$F781)*(('[1]Lake Pleasant Forecast'!B51-1526.8)/0.7702))/1000</f>
        <v>0</v>
      </c>
      <c r="R891" s="159">
        <f t="shared" si="151"/>
        <v>187396.04500000001</v>
      </c>
      <c r="S891" s="307"/>
      <c r="U891" s="159">
        <f t="shared" si="152"/>
        <v>12526.703000000001</v>
      </c>
      <c r="V891" s="172">
        <v>2.4700000000000002</v>
      </c>
    </row>
    <row r="892" spans="1:22" ht="15.75" customHeight="1" x14ac:dyDescent="0.3">
      <c r="A892" s="325" t="s">
        <v>419</v>
      </c>
      <c r="B892" s="159">
        <f t="shared" si="148"/>
        <v>9495.3539999999994</v>
      </c>
      <c r="C892" s="159">
        <f t="shared" si="148"/>
        <v>1210.4839999999999</v>
      </c>
      <c r="D892" s="159">
        <f t="shared" si="148"/>
        <v>1270.0160000000001</v>
      </c>
      <c r="E892" s="159">
        <f t="shared" si="148"/>
        <v>2172.9180000000001</v>
      </c>
      <c r="F892" s="159">
        <f>(F782*(('[1]Lake Pleasant Forecast'!B53-1526.8)/0.7702))/1000</f>
        <v>1796.7038950921813</v>
      </c>
      <c r="G892" s="159"/>
      <c r="H892" s="159">
        <f t="shared" si="149"/>
        <v>15945.475895092181</v>
      </c>
      <c r="I892" s="159"/>
      <c r="J892" s="159"/>
      <c r="K892" s="159"/>
      <c r="L892" s="164" t="s">
        <v>419</v>
      </c>
      <c r="M892" s="159">
        <f t="shared" si="150"/>
        <v>21115.248</v>
      </c>
      <c r="N892" s="159">
        <f t="shared" si="150"/>
        <v>2657.038</v>
      </c>
      <c r="O892" s="159">
        <f t="shared" si="150"/>
        <v>2749.6959999999999</v>
      </c>
      <c r="P892" s="159">
        <f t="shared" si="150"/>
        <v>3775.3409999999999</v>
      </c>
      <c r="Q892" s="159">
        <f>((F782-$F782)*(('[1]Lake Pleasant Forecast'!B53-1526.8)/0.7702))/1000</f>
        <v>0</v>
      </c>
      <c r="R892" s="159">
        <f t="shared" si="151"/>
        <v>30297.323</v>
      </c>
      <c r="S892" s="307"/>
      <c r="U892" s="159">
        <f t="shared" si="152"/>
        <v>10928.755999999999</v>
      </c>
      <c r="V892" s="172">
        <v>2.4700000000000002</v>
      </c>
    </row>
    <row r="893" spans="1:22" ht="15.75" customHeight="1" x14ac:dyDescent="0.3">
      <c r="A893" s="325" t="s">
        <v>420</v>
      </c>
      <c r="B893" s="159">
        <f t="shared" si="148"/>
        <v>104538.852</v>
      </c>
      <c r="C893" s="159">
        <f t="shared" si="148"/>
        <v>13326.791999999999</v>
      </c>
      <c r="D893" s="159">
        <f t="shared" si="148"/>
        <v>13982.208000000001</v>
      </c>
      <c r="E893" s="159">
        <f t="shared" si="148"/>
        <v>23922.684000000001</v>
      </c>
      <c r="F893" s="159">
        <f>(F783*(('[1]Lake Pleasant Forecast'!B55-1526.8)/0.7702))/1000</f>
        <v>20921.062529213192</v>
      </c>
      <c r="G893" s="159"/>
      <c r="H893" s="159">
        <f t="shared" si="149"/>
        <v>176691.59852921322</v>
      </c>
      <c r="I893" s="159"/>
      <c r="J893" s="159"/>
      <c r="K893" s="159"/>
      <c r="L893" s="164" t="s">
        <v>420</v>
      </c>
      <c r="M893" s="159">
        <f t="shared" si="150"/>
        <v>61299.678</v>
      </c>
      <c r="N893" s="159">
        <f t="shared" si="150"/>
        <v>7785.9179999999997</v>
      </c>
      <c r="O893" s="159">
        <f t="shared" si="150"/>
        <v>8134.9120000000003</v>
      </c>
      <c r="P893" s="159">
        <f t="shared" si="150"/>
        <v>13253.441999999999</v>
      </c>
      <c r="Q893" s="159">
        <f>((F783-$F783)*(('[1]Lake Pleasant Forecast'!B55-1526.8)/0.7702))/1000</f>
        <v>0</v>
      </c>
      <c r="R893" s="159">
        <f t="shared" si="151"/>
        <v>90473.95</v>
      </c>
      <c r="S893" s="307"/>
      <c r="U893" s="159">
        <f t="shared" si="152"/>
        <v>12346.528999999999</v>
      </c>
      <c r="V893" s="172">
        <v>2.4700000000000002</v>
      </c>
    </row>
    <row r="894" spans="1:22" ht="15.75" customHeight="1" x14ac:dyDescent="0.3">
      <c r="A894" s="325" t="s">
        <v>421</v>
      </c>
      <c r="B894" s="159">
        <f t="shared" si="148"/>
        <v>53960.445</v>
      </c>
      <c r="C894" s="159">
        <f t="shared" si="148"/>
        <v>6878.97</v>
      </c>
      <c r="D894" s="159">
        <f t="shared" si="148"/>
        <v>7217.28</v>
      </c>
      <c r="E894" s="159">
        <f t="shared" si="148"/>
        <v>12348.315000000001</v>
      </c>
      <c r="F894" s="159">
        <f>(F784*(('[1]Lake Pleasant Forecast'!B57-1526.8)/0.7702))/1000</f>
        <v>10998.067902541845</v>
      </c>
      <c r="G894" s="159"/>
      <c r="H894" s="159">
        <f t="shared" si="149"/>
        <v>91403.07790254186</v>
      </c>
      <c r="I894" s="159"/>
      <c r="J894" s="159"/>
      <c r="K894" s="159"/>
      <c r="L894" s="164" t="s">
        <v>421</v>
      </c>
      <c r="M894" s="159">
        <f t="shared" si="150"/>
        <v>74258.414999999994</v>
      </c>
      <c r="N894" s="159">
        <f t="shared" si="150"/>
        <v>9443.8979999999992</v>
      </c>
      <c r="O894" s="159">
        <f t="shared" si="150"/>
        <v>9885.44</v>
      </c>
      <c r="P894" s="159">
        <f t="shared" si="150"/>
        <v>15615.576000000005</v>
      </c>
      <c r="Q894" s="159">
        <f>((F784-$F784)*(('[1]Lake Pleasant Forecast'!B57-1526.8)/0.7702))/1000</f>
        <v>0</v>
      </c>
      <c r="R894" s="159">
        <f t="shared" si="151"/>
        <v>109203.329</v>
      </c>
      <c r="S894" s="307"/>
      <c r="U894" s="159">
        <f t="shared" si="152"/>
        <v>9832.9660000000003</v>
      </c>
      <c r="V894" s="172">
        <v>2.4700000000000002</v>
      </c>
    </row>
    <row r="895" spans="1:22" ht="15.75" customHeight="1" x14ac:dyDescent="0.3">
      <c r="A895" s="323"/>
      <c r="B895" s="159"/>
      <c r="C895" s="159"/>
      <c r="D895" s="159"/>
      <c r="E895" s="159"/>
      <c r="F895" s="159"/>
      <c r="G895" s="159"/>
      <c r="H895" s="159"/>
      <c r="I895" s="159"/>
      <c r="J895" s="159"/>
      <c r="K895" s="159"/>
      <c r="L895" s="159"/>
      <c r="M895" s="159"/>
      <c r="N895" s="159"/>
      <c r="O895" s="159"/>
      <c r="P895" s="159"/>
      <c r="Q895" s="159"/>
      <c r="R895" s="159"/>
      <c r="S895" s="307"/>
      <c r="U895" s="159">
        <f t="shared" si="152"/>
        <v>6876.1490000000003</v>
      </c>
      <c r="V895" s="172">
        <v>2.4700000000000002</v>
      </c>
    </row>
    <row r="896" spans="1:22" ht="16.5" customHeight="1" thickBot="1" x14ac:dyDescent="0.35">
      <c r="A896" s="330" t="s">
        <v>422</v>
      </c>
      <c r="B896" s="327">
        <f>SUM(B883:B894)</f>
        <v>394044.75000000006</v>
      </c>
      <c r="C896" s="327">
        <f>SUM(C883:C894)</f>
        <v>50233.5</v>
      </c>
      <c r="D896" s="327">
        <f>SUM(D883:D894)</f>
        <v>52704</v>
      </c>
      <c r="E896" s="327">
        <f>SUM(E883:E894)</f>
        <v>90173.25</v>
      </c>
      <c r="F896" s="327">
        <f>SUM(F883:F894)</f>
        <v>84382.440677258171</v>
      </c>
      <c r="G896" s="327"/>
      <c r="H896" s="327">
        <f>SUM(H883:H894)</f>
        <v>671537.9406772583</v>
      </c>
      <c r="I896" s="327"/>
      <c r="J896" s="327"/>
      <c r="K896" s="327"/>
      <c r="L896" s="335" t="s">
        <v>422</v>
      </c>
      <c r="M896" s="327">
        <f t="shared" ref="M896:R896" si="153">SUM(M883:M894)</f>
        <v>1171369.9140000001</v>
      </c>
      <c r="N896" s="327">
        <f t="shared" si="153"/>
        <v>148901.24399999998</v>
      </c>
      <c r="O896" s="327">
        <f t="shared" si="153"/>
        <v>155713.024</v>
      </c>
      <c r="P896" s="327">
        <f t="shared" si="153"/>
        <v>240363.44999999998</v>
      </c>
      <c r="Q896" s="327">
        <f t="shared" si="153"/>
        <v>0</v>
      </c>
      <c r="R896" s="327">
        <f t="shared" si="153"/>
        <v>1716347.6319999998</v>
      </c>
      <c r="S896" s="313"/>
      <c r="U896" s="159">
        <f t="shared" si="152"/>
        <v>11660.906000000001</v>
      </c>
      <c r="V896" s="172">
        <v>2.4700000000000002</v>
      </c>
    </row>
    <row r="897" spans="1:22" ht="16.5" customHeight="1" thickBot="1" x14ac:dyDescent="0.35">
      <c r="A897" s="159"/>
      <c r="B897" s="159"/>
      <c r="C897" s="159"/>
      <c r="D897" s="159"/>
      <c r="E897" s="159"/>
      <c r="F897" s="159"/>
      <c r="G897" s="159"/>
      <c r="H897" s="159"/>
      <c r="I897" s="159"/>
      <c r="J897" s="159"/>
      <c r="K897" s="159"/>
      <c r="L897" s="159"/>
      <c r="M897" s="159"/>
      <c r="N897" s="159"/>
      <c r="O897" s="159"/>
      <c r="P897" s="159"/>
      <c r="Q897" s="159"/>
      <c r="R897" s="159"/>
      <c r="U897" s="159"/>
      <c r="V897" s="172"/>
    </row>
    <row r="898" spans="1:22" ht="15.75" customHeight="1" x14ac:dyDescent="0.3">
      <c r="A898" s="519" t="s">
        <v>1156</v>
      </c>
      <c r="B898" s="506"/>
      <c r="C898" s="506"/>
      <c r="D898" s="506"/>
      <c r="E898" s="506"/>
      <c r="F898" s="506"/>
      <c r="G898" s="506"/>
      <c r="H898" s="506"/>
      <c r="I898" s="506"/>
      <c r="J898" s="506"/>
      <c r="K898" s="506"/>
      <c r="L898" s="506"/>
      <c r="M898" s="506"/>
      <c r="N898" s="506"/>
      <c r="O898" s="506"/>
      <c r="P898" s="506"/>
      <c r="Q898" s="321" t="str">
        <f>+Q1</f>
        <v>PRINTED:</v>
      </c>
      <c r="R898" s="331">
        <f ca="1">+R1</f>
        <v>44909.46975358796</v>
      </c>
      <c r="S898" s="450"/>
      <c r="U898" s="159">
        <f>(SUM(U885:U896))</f>
        <v>149232.46099999998</v>
      </c>
      <c r="V898" s="172"/>
    </row>
    <row r="899" spans="1:22" ht="15.75" customHeight="1" x14ac:dyDescent="0.3">
      <c r="A899" s="518" t="str">
        <f>+A9</f>
        <v>Revised:  1/22/2013</v>
      </c>
      <c r="B899" s="503"/>
      <c r="C899" s="503"/>
      <c r="D899" s="503"/>
      <c r="E899" s="503"/>
      <c r="F899" s="503"/>
      <c r="G899" s="503"/>
      <c r="H899" s="503"/>
      <c r="I899" s="503"/>
      <c r="J899" s="503"/>
      <c r="K899" s="503"/>
      <c r="L899" s="503"/>
      <c r="M899" s="503"/>
      <c r="N899" s="503"/>
      <c r="O899" s="503"/>
      <c r="P899" s="503"/>
      <c r="Q899" s="159"/>
      <c r="R899" s="159"/>
      <c r="S899" s="324"/>
    </row>
    <row r="900" spans="1:22" ht="15.75" customHeight="1" x14ac:dyDescent="0.3">
      <c r="A900" s="518" t="s">
        <v>1040</v>
      </c>
      <c r="B900" s="503"/>
      <c r="C900" s="503"/>
      <c r="D900" s="503"/>
      <c r="E900" s="503"/>
      <c r="F900" s="503"/>
      <c r="G900" s="503"/>
      <c r="H900" s="503"/>
      <c r="I900" s="503"/>
      <c r="J900" s="503"/>
      <c r="K900" s="503"/>
      <c r="L900" s="503"/>
      <c r="M900" s="503"/>
      <c r="N900" s="503"/>
      <c r="O900" s="503"/>
      <c r="P900" s="503"/>
      <c r="Q900" s="159"/>
      <c r="R900" s="159"/>
      <c r="S900" s="324"/>
    </row>
    <row r="901" spans="1:22" ht="16.5" customHeight="1" thickBot="1" x14ac:dyDescent="0.35">
      <c r="A901" s="518" t="str">
        <f>+A5</f>
        <v>Calendar Year 2012</v>
      </c>
      <c r="B901" s="503"/>
      <c r="C901" s="503"/>
      <c r="D901" s="503"/>
      <c r="E901" s="503"/>
      <c r="F901" s="503"/>
      <c r="G901" s="503"/>
      <c r="H901" s="503"/>
      <c r="I901" s="503"/>
      <c r="J901" s="503"/>
      <c r="K901" s="503"/>
      <c r="L901" s="503"/>
      <c r="M901" s="503"/>
      <c r="N901" s="503"/>
      <c r="O901" s="503"/>
      <c r="P901" s="503"/>
      <c r="Q901" s="159"/>
      <c r="R901" s="159"/>
      <c r="S901" s="324"/>
    </row>
    <row r="902" spans="1:22" ht="16.5" customHeight="1" thickBot="1" x14ac:dyDescent="0.35">
      <c r="A902" s="463"/>
      <c r="B902" s="523" t="s">
        <v>1041</v>
      </c>
      <c r="C902" s="524"/>
      <c r="D902" s="524"/>
      <c r="E902" s="524"/>
      <c r="F902" s="525"/>
      <c r="G902" s="523" t="s">
        <v>1042</v>
      </c>
      <c r="H902" s="524"/>
      <c r="I902" s="524"/>
      <c r="J902" s="524"/>
      <c r="K902" s="524"/>
      <c r="L902" s="524"/>
      <c r="M902" s="526" t="s">
        <v>1043</v>
      </c>
      <c r="N902" s="536"/>
      <c r="O902" s="536"/>
      <c r="P902" s="523" t="s">
        <v>1044</v>
      </c>
      <c r="Q902" s="524"/>
      <c r="R902" s="525"/>
      <c r="S902" s="324"/>
    </row>
    <row r="903" spans="1:22" ht="15.75" customHeight="1" x14ac:dyDescent="0.3">
      <c r="A903" s="377"/>
      <c r="B903" s="325" t="s">
        <v>428</v>
      </c>
      <c r="C903" s="164"/>
      <c r="D903" s="164" t="s">
        <v>469</v>
      </c>
      <c r="E903" s="164" t="s">
        <v>470</v>
      </c>
      <c r="F903" s="333" t="s">
        <v>1045</v>
      </c>
      <c r="G903" s="325" t="s">
        <v>471</v>
      </c>
      <c r="H903" s="164"/>
      <c r="I903" s="164"/>
      <c r="J903" s="164" t="s">
        <v>472</v>
      </c>
      <c r="K903" s="164" t="s">
        <v>1046</v>
      </c>
      <c r="L903" s="164" t="s">
        <v>1047</v>
      </c>
      <c r="M903" s="537" t="s">
        <v>1159</v>
      </c>
      <c r="N903" s="538"/>
      <c r="O903" s="538"/>
      <c r="P903" s="325" t="s">
        <v>1049</v>
      </c>
      <c r="Q903" s="388" t="s">
        <v>486</v>
      </c>
      <c r="R903" s="389" t="s">
        <v>1050</v>
      </c>
      <c r="S903" s="324"/>
    </row>
    <row r="904" spans="1:22" ht="29.25" customHeight="1" x14ac:dyDescent="0.3">
      <c r="A904" s="377"/>
      <c r="B904" s="390" t="s">
        <v>1051</v>
      </c>
      <c r="C904" s="391" t="s">
        <v>1052</v>
      </c>
      <c r="D904" s="391" t="s">
        <v>1053</v>
      </c>
      <c r="E904" s="164" t="s">
        <v>442</v>
      </c>
      <c r="F904" s="392" t="s">
        <v>1054</v>
      </c>
      <c r="G904" s="325" t="s">
        <v>429</v>
      </c>
      <c r="H904" s="164" t="s">
        <v>478</v>
      </c>
      <c r="I904" s="164" t="s">
        <v>479</v>
      </c>
      <c r="J904" s="391" t="s">
        <v>1055</v>
      </c>
      <c r="K904" s="164" t="s">
        <v>1034</v>
      </c>
      <c r="L904" s="391" t="s">
        <v>1056</v>
      </c>
      <c r="M904" s="393" t="s">
        <v>1057</v>
      </c>
      <c r="N904" s="385" t="s">
        <v>1058</v>
      </c>
      <c r="O904" s="386" t="s">
        <v>422</v>
      </c>
      <c r="P904" s="325" t="s">
        <v>1061</v>
      </c>
      <c r="Q904" s="164" t="s">
        <v>1062</v>
      </c>
      <c r="R904" s="333" t="s">
        <v>1063</v>
      </c>
      <c r="S904" s="324"/>
    </row>
    <row r="905" spans="1:22" ht="15.75" customHeight="1" x14ac:dyDescent="0.3">
      <c r="A905" s="377"/>
      <c r="B905" s="395" t="s">
        <v>1064</v>
      </c>
      <c r="C905" s="169">
        <v>5.0000000000000001E-3</v>
      </c>
      <c r="D905" s="169">
        <v>4.2999999999999997E-2</v>
      </c>
      <c r="E905" s="164" t="s">
        <v>485</v>
      </c>
      <c r="F905" s="396" t="s">
        <v>1065</v>
      </c>
      <c r="G905" s="325" t="s">
        <v>1066</v>
      </c>
      <c r="H905" s="164" t="s">
        <v>442</v>
      </c>
      <c r="I905" s="164" t="s">
        <v>442</v>
      </c>
      <c r="J905" s="164" t="s">
        <v>442</v>
      </c>
      <c r="K905" s="164" t="s">
        <v>486</v>
      </c>
      <c r="L905" s="164" t="s">
        <v>1067</v>
      </c>
      <c r="M905" s="397" t="s">
        <v>434</v>
      </c>
      <c r="N905" s="386" t="s">
        <v>1068</v>
      </c>
      <c r="O905" s="386" t="s">
        <v>1069</v>
      </c>
      <c r="P905" s="325" t="s">
        <v>442</v>
      </c>
      <c r="Q905" s="164" t="s">
        <v>442</v>
      </c>
      <c r="R905" s="333" t="s">
        <v>442</v>
      </c>
      <c r="S905" s="324"/>
    </row>
    <row r="906" spans="1:22" ht="15.75" customHeight="1" x14ac:dyDescent="0.3">
      <c r="A906" s="377" t="s">
        <v>1071</v>
      </c>
      <c r="B906" s="325" t="s">
        <v>448</v>
      </c>
      <c r="C906" s="164" t="s">
        <v>448</v>
      </c>
      <c r="D906" s="164" t="s">
        <v>448</v>
      </c>
      <c r="E906" s="164" t="s">
        <v>448</v>
      </c>
      <c r="F906" s="333" t="s">
        <v>448</v>
      </c>
      <c r="G906" s="325" t="s">
        <v>448</v>
      </c>
      <c r="H906" s="164" t="s">
        <v>448</v>
      </c>
      <c r="I906" s="164" t="s">
        <v>448</v>
      </c>
      <c r="J906" s="164" t="s">
        <v>448</v>
      </c>
      <c r="K906" s="164" t="s">
        <v>448</v>
      </c>
      <c r="L906" s="164" t="s">
        <v>448</v>
      </c>
      <c r="M906" s="397" t="s">
        <v>448</v>
      </c>
      <c r="N906" s="386" t="s">
        <v>448</v>
      </c>
      <c r="O906" s="386" t="s">
        <v>448</v>
      </c>
      <c r="P906" s="325" t="s">
        <v>448</v>
      </c>
      <c r="Q906" s="164" t="s">
        <v>448</v>
      </c>
      <c r="R906" s="333" t="s">
        <v>448</v>
      </c>
      <c r="S906" s="324"/>
    </row>
    <row r="907" spans="1:22" ht="15.75" customHeight="1" x14ac:dyDescent="0.3">
      <c r="A907" s="377" t="s">
        <v>409</v>
      </c>
      <c r="B907" s="325" t="s">
        <v>409</v>
      </c>
      <c r="C907" s="164" t="s">
        <v>409</v>
      </c>
      <c r="D907" s="164" t="s">
        <v>409</v>
      </c>
      <c r="E907" s="164" t="s">
        <v>493</v>
      </c>
      <c r="F907" s="333" t="s">
        <v>409</v>
      </c>
      <c r="G907" s="325" t="s">
        <v>409</v>
      </c>
      <c r="H907" s="164" t="s">
        <v>494</v>
      </c>
      <c r="I907" s="164" t="s">
        <v>494</v>
      </c>
      <c r="J907" s="164" t="s">
        <v>409</v>
      </c>
      <c r="K907" s="164" t="s">
        <v>409</v>
      </c>
      <c r="L907" s="164" t="s">
        <v>409</v>
      </c>
      <c r="M907" s="397" t="s">
        <v>409</v>
      </c>
      <c r="N907" s="386" t="s">
        <v>409</v>
      </c>
      <c r="O907" s="386" t="s">
        <v>409</v>
      </c>
      <c r="P907" s="325" t="s">
        <v>409</v>
      </c>
      <c r="Q907" s="164" t="s">
        <v>409</v>
      </c>
      <c r="R907" s="333" t="s">
        <v>409</v>
      </c>
      <c r="S907" s="324"/>
    </row>
    <row r="908" spans="1:22" ht="15.75" customHeight="1" x14ac:dyDescent="0.3">
      <c r="A908" s="377" t="s">
        <v>410</v>
      </c>
      <c r="B908" s="325">
        <f t="shared" ref="B908:B919" si="154">+H798</f>
        <v>310890.46255822846</v>
      </c>
      <c r="C908" s="164">
        <f t="shared" ref="C908:C919" si="155">+B908*$C$905</f>
        <v>1554.4523127911423</v>
      </c>
      <c r="D908" s="164">
        <f t="shared" ref="D908:D919" si="156">(B908*D$905)</f>
        <v>13368.289890003824</v>
      </c>
      <c r="E908" s="164">
        <f t="shared" ref="E908:E919" si="157">+B908+C908</f>
        <v>312444.9148710196</v>
      </c>
      <c r="F908" s="333">
        <f t="shared" ref="F908:F919" si="158">(D908+E908)</f>
        <v>325813.2047610234</v>
      </c>
      <c r="G908" s="325">
        <f>(G773*(('[1]Lake Pleasant Forecast'!B35-1591.4)/0.6635))/(-1000)</f>
        <v>0</v>
      </c>
      <c r="H908" s="164">
        <f>(K975)</f>
        <v>12856</v>
      </c>
      <c r="I908" s="164">
        <f t="shared" ref="I908:I919" si="159">(O975)</f>
        <v>0</v>
      </c>
      <c r="J908" s="164">
        <f>(H908+I908)</f>
        <v>12856</v>
      </c>
      <c r="K908" s="398">
        <v>0</v>
      </c>
      <c r="L908" s="398">
        <v>0</v>
      </c>
      <c r="M908" s="399">
        <v>310620</v>
      </c>
      <c r="N908" s="400">
        <v>9300</v>
      </c>
      <c r="O908" s="386">
        <f>+M908+N908</f>
        <v>319920</v>
      </c>
      <c r="P908" s="414">
        <f>(F908-G908-J908-K908-L908-O908)</f>
        <v>-6962.7952389765996</v>
      </c>
      <c r="Q908" s="164" t="str">
        <f>+IF(P908&gt;=0,ABS(P908),"")</f>
        <v/>
      </c>
      <c r="R908" s="333">
        <f>+IF(P908&lt;=0,ABS(P908),"")</f>
        <v>6962.7952389765996</v>
      </c>
      <c r="S908" s="324"/>
    </row>
    <row r="909" spans="1:22" ht="15.75" customHeight="1" x14ac:dyDescent="0.3">
      <c r="A909" s="377" t="s">
        <v>411</v>
      </c>
      <c r="B909" s="325">
        <f t="shared" si="154"/>
        <v>286734.35958763957</v>
      </c>
      <c r="C909" s="164">
        <f t="shared" si="155"/>
        <v>1433.6717979381979</v>
      </c>
      <c r="D909" s="164">
        <f t="shared" si="156"/>
        <v>12329.5774622685</v>
      </c>
      <c r="E909" s="164">
        <f t="shared" si="157"/>
        <v>288168.03138557775</v>
      </c>
      <c r="F909" s="333">
        <f t="shared" si="158"/>
        <v>300497.60884784628</v>
      </c>
      <c r="G909" s="325">
        <f>(G774*(('[1]Lake Pleasant Forecast'!B37-1591.4)/0.6635))/(-1000)</f>
        <v>0</v>
      </c>
      <c r="H909" s="164">
        <f t="shared" ref="H909:H919" si="160">(K976)</f>
        <v>14745</v>
      </c>
      <c r="I909" s="164">
        <f t="shared" si="159"/>
        <v>0</v>
      </c>
      <c r="J909" s="164">
        <f t="shared" ref="J909:J918" si="161">(H909+I909)</f>
        <v>14745</v>
      </c>
      <c r="K909" s="398">
        <v>0</v>
      </c>
      <c r="L909" s="398">
        <v>0</v>
      </c>
      <c r="M909" s="399">
        <v>253344</v>
      </c>
      <c r="N909" s="400">
        <v>0</v>
      </c>
      <c r="O909" s="386">
        <f t="shared" ref="O909:O921" si="162">+M909+N909</f>
        <v>253344</v>
      </c>
      <c r="P909" s="414">
        <f t="shared" ref="P909:P921" si="163">(F909-G909-J909-K909-L909-O909)</f>
        <v>32408.608847846277</v>
      </c>
      <c r="Q909" s="164">
        <f>+IF(P909&gt;=0,ABS(P909),"")</f>
        <v>32408.608847846277</v>
      </c>
      <c r="R909" s="333" t="str">
        <f t="shared" ref="R909:R919" si="164">+IF(P909&lt;=0,ABS(P909),"")</f>
        <v/>
      </c>
      <c r="S909" s="324"/>
    </row>
    <row r="910" spans="1:22" ht="15.75" customHeight="1" x14ac:dyDescent="0.3">
      <c r="A910" s="377" t="s">
        <v>412</v>
      </c>
      <c r="B910" s="325">
        <f t="shared" si="154"/>
        <v>314253.79342196829</v>
      </c>
      <c r="C910" s="164">
        <f t="shared" si="155"/>
        <v>1571.2689671098415</v>
      </c>
      <c r="D910" s="164">
        <f t="shared" si="156"/>
        <v>13512.913117144635</v>
      </c>
      <c r="E910" s="164">
        <f t="shared" si="157"/>
        <v>315825.06238907814</v>
      </c>
      <c r="F910" s="333">
        <f t="shared" si="158"/>
        <v>329337.97550622281</v>
      </c>
      <c r="G910" s="325">
        <f>(G775*(('[1]Lake Pleasant Forecast'!B39-1591.4)/0.6635))/(-1000)</f>
        <v>0</v>
      </c>
      <c r="H910" s="164">
        <f t="shared" si="160"/>
        <v>16776</v>
      </c>
      <c r="I910" s="164">
        <f t="shared" si="159"/>
        <v>0</v>
      </c>
      <c r="J910" s="164">
        <f t="shared" si="161"/>
        <v>16776</v>
      </c>
      <c r="K910" s="398">
        <v>0</v>
      </c>
      <c r="L910" s="398">
        <v>0</v>
      </c>
      <c r="M910" s="399">
        <v>303180</v>
      </c>
      <c r="N910" s="400">
        <v>9300</v>
      </c>
      <c r="O910" s="386">
        <f t="shared" si="162"/>
        <v>312480</v>
      </c>
      <c r="P910" s="414">
        <f t="shared" si="163"/>
        <v>81.975506222806871</v>
      </c>
      <c r="Q910" s="164">
        <f t="shared" ref="Q910:Q919" si="165">+IF(P910&gt;=0,ABS(P910),"")</f>
        <v>81.975506222806871</v>
      </c>
      <c r="R910" s="333" t="str">
        <f t="shared" si="164"/>
        <v/>
      </c>
      <c r="S910" s="324"/>
    </row>
    <row r="911" spans="1:22" ht="15.75" customHeight="1" x14ac:dyDescent="0.3">
      <c r="A911" s="377" t="s">
        <v>413</v>
      </c>
      <c r="B911" s="325">
        <f t="shared" si="154"/>
        <v>305413.58195681503</v>
      </c>
      <c r="C911" s="164">
        <f t="shared" si="155"/>
        <v>1527.0679097840753</v>
      </c>
      <c r="D911" s="164">
        <f t="shared" si="156"/>
        <v>13132.784024143046</v>
      </c>
      <c r="E911" s="164">
        <f t="shared" si="157"/>
        <v>306940.64986659912</v>
      </c>
      <c r="F911" s="333">
        <f t="shared" si="158"/>
        <v>320073.43389074219</v>
      </c>
      <c r="G911" s="325">
        <f>(G776*(('[1]Lake Pleasant Forecast'!B41-1591.4)/0.6635))/(-1000)</f>
        <v>669.29726509267925</v>
      </c>
      <c r="H911" s="164">
        <f t="shared" si="160"/>
        <v>20692</v>
      </c>
      <c r="I911" s="164">
        <f t="shared" si="159"/>
        <v>0</v>
      </c>
      <c r="J911" s="164">
        <f t="shared" si="161"/>
        <v>20692</v>
      </c>
      <c r="K911" s="398">
        <v>0</v>
      </c>
      <c r="L911" s="398">
        <v>0</v>
      </c>
      <c r="M911" s="399">
        <v>269280</v>
      </c>
      <c r="N911" s="400">
        <v>0</v>
      </c>
      <c r="O911" s="386">
        <f t="shared" si="162"/>
        <v>269280</v>
      </c>
      <c r="P911" s="414">
        <f t="shared" si="163"/>
        <v>29432.136625649524</v>
      </c>
      <c r="Q911" s="164">
        <f t="shared" si="165"/>
        <v>29432.136625649524</v>
      </c>
      <c r="R911" s="333" t="str">
        <f t="shared" si="164"/>
        <v/>
      </c>
      <c r="S911" s="324"/>
    </row>
    <row r="912" spans="1:22" ht="15.75" customHeight="1" x14ac:dyDescent="0.3">
      <c r="A912" s="377" t="s">
        <v>414</v>
      </c>
      <c r="B912" s="325">
        <f t="shared" si="154"/>
        <v>306309.15264476766</v>
      </c>
      <c r="C912" s="164">
        <f t="shared" si="155"/>
        <v>1531.5457632238383</v>
      </c>
      <c r="D912" s="164">
        <f t="shared" si="156"/>
        <v>13171.293563725008</v>
      </c>
      <c r="E912" s="164">
        <f t="shared" si="157"/>
        <v>307840.6984079915</v>
      </c>
      <c r="F912" s="333">
        <f t="shared" si="158"/>
        <v>321011.99197171652</v>
      </c>
      <c r="G912" s="325">
        <f>(G777*(('[1]Lake Pleasant Forecast'!B43-1591.4)/0.6635))/(-1000)</f>
        <v>3009.6788244159793</v>
      </c>
      <c r="H912" s="164">
        <f t="shared" si="160"/>
        <v>16816</v>
      </c>
      <c r="I912" s="164">
        <f t="shared" si="159"/>
        <v>0</v>
      </c>
      <c r="J912" s="164">
        <f t="shared" si="161"/>
        <v>16816</v>
      </c>
      <c r="K912" s="398">
        <v>0</v>
      </c>
      <c r="L912" s="398">
        <v>0</v>
      </c>
      <c r="M912" s="399">
        <v>293632</v>
      </c>
      <c r="N912" s="400">
        <v>0</v>
      </c>
      <c r="O912" s="386">
        <f t="shared" si="162"/>
        <v>293632</v>
      </c>
      <c r="P912" s="414">
        <f t="shared" si="163"/>
        <v>7554.3131473005633</v>
      </c>
      <c r="Q912" s="164">
        <f t="shared" si="165"/>
        <v>7554.3131473005633</v>
      </c>
      <c r="R912" s="333" t="str">
        <f t="shared" si="164"/>
        <v/>
      </c>
      <c r="S912" s="324"/>
    </row>
    <row r="913" spans="1:19" ht="15.75" customHeight="1" x14ac:dyDescent="0.3">
      <c r="A913" s="377" t="s">
        <v>415</v>
      </c>
      <c r="B913" s="325">
        <f t="shared" si="154"/>
        <v>232899.36300000001</v>
      </c>
      <c r="C913" s="164">
        <f t="shared" si="155"/>
        <v>1164.4968150000002</v>
      </c>
      <c r="D913" s="164">
        <f t="shared" si="156"/>
        <v>10014.672608999999</v>
      </c>
      <c r="E913" s="164">
        <f t="shared" si="157"/>
        <v>234063.859815</v>
      </c>
      <c r="F913" s="333">
        <f t="shared" si="158"/>
        <v>244078.532424</v>
      </c>
      <c r="G913" s="325">
        <f>(G778*(('[1]Lake Pleasant Forecast'!B45-1591.4)/0.6635))/(-1000)</f>
        <v>10757.240391861347</v>
      </c>
      <c r="H913" s="164">
        <f t="shared" si="160"/>
        <v>15424</v>
      </c>
      <c r="I913" s="164">
        <f t="shared" si="159"/>
        <v>0</v>
      </c>
      <c r="J913" s="164">
        <f t="shared" si="161"/>
        <v>15424</v>
      </c>
      <c r="K913" s="398">
        <v>0</v>
      </c>
      <c r="L913" s="398">
        <v>0</v>
      </c>
      <c r="M913" s="399">
        <v>233880</v>
      </c>
      <c r="N913" s="400">
        <v>4440</v>
      </c>
      <c r="O913" s="386">
        <f t="shared" si="162"/>
        <v>238320</v>
      </c>
      <c r="P913" s="414">
        <f t="shared" si="163"/>
        <v>-20422.707967861352</v>
      </c>
      <c r="Q913" s="164" t="str">
        <f t="shared" si="165"/>
        <v/>
      </c>
      <c r="R913" s="333">
        <f t="shared" si="164"/>
        <v>20422.707967861352</v>
      </c>
      <c r="S913" s="324"/>
    </row>
    <row r="914" spans="1:19" ht="15.75" customHeight="1" x14ac:dyDescent="0.3">
      <c r="A914" s="377" t="s">
        <v>416</v>
      </c>
      <c r="B914" s="325">
        <f t="shared" si="154"/>
        <v>98435.890000000014</v>
      </c>
      <c r="C914" s="164">
        <f t="shared" si="155"/>
        <v>492.17945000000009</v>
      </c>
      <c r="D914" s="164">
        <f t="shared" si="156"/>
        <v>4232.7432699999999</v>
      </c>
      <c r="E914" s="164">
        <f t="shared" si="157"/>
        <v>98928.06945000001</v>
      </c>
      <c r="F914" s="333">
        <f t="shared" si="158"/>
        <v>103160.81272000002</v>
      </c>
      <c r="G914" s="325">
        <f>(G779*(('[1]Lake Pleasant Forecast'!B47-1591.4)/0.6635))/(-1000)</f>
        <v>16612.436394999178</v>
      </c>
      <c r="H914" s="164">
        <f t="shared" si="160"/>
        <v>14843</v>
      </c>
      <c r="I914" s="164">
        <f t="shared" si="159"/>
        <v>0</v>
      </c>
      <c r="J914" s="164">
        <f t="shared" si="161"/>
        <v>14843</v>
      </c>
      <c r="K914" s="398">
        <v>0</v>
      </c>
      <c r="L914" s="398">
        <v>0</v>
      </c>
      <c r="M914" s="399">
        <v>36363</v>
      </c>
      <c r="N914" s="400">
        <v>2325</v>
      </c>
      <c r="O914" s="386">
        <f t="shared" si="162"/>
        <v>38688</v>
      </c>
      <c r="P914" s="414">
        <f t="shared" si="163"/>
        <v>33017.376325000834</v>
      </c>
      <c r="Q914" s="164">
        <f t="shared" si="165"/>
        <v>33017.376325000834</v>
      </c>
      <c r="R914" s="333" t="str">
        <f t="shared" si="164"/>
        <v/>
      </c>
      <c r="S914" s="324"/>
    </row>
    <row r="915" spans="1:19" ht="15.75" customHeight="1" x14ac:dyDescent="0.3">
      <c r="A915" s="377" t="s">
        <v>417</v>
      </c>
      <c r="B915" s="325">
        <f t="shared" si="154"/>
        <v>165026.391</v>
      </c>
      <c r="C915" s="164">
        <f t="shared" si="155"/>
        <v>825.13195500000006</v>
      </c>
      <c r="D915" s="164">
        <f t="shared" si="156"/>
        <v>7096.1348129999997</v>
      </c>
      <c r="E915" s="164">
        <f t="shared" si="157"/>
        <v>165851.52295499999</v>
      </c>
      <c r="F915" s="333">
        <f t="shared" si="158"/>
        <v>172947.657768</v>
      </c>
      <c r="G915" s="325">
        <f>(G780*(('[1]Lake Pleasant Forecast'!B49-1591.4)/0.6635))/(-1000)</f>
        <v>9949.5802355897686</v>
      </c>
      <c r="H915" s="164">
        <f t="shared" si="160"/>
        <v>12390</v>
      </c>
      <c r="I915" s="164">
        <f t="shared" si="159"/>
        <v>0</v>
      </c>
      <c r="J915" s="164">
        <f t="shared" si="161"/>
        <v>12390</v>
      </c>
      <c r="K915" s="398">
        <v>0</v>
      </c>
      <c r="L915" s="398">
        <v>0</v>
      </c>
      <c r="M915" s="399">
        <v>72602</v>
      </c>
      <c r="N915" s="400">
        <v>11470</v>
      </c>
      <c r="O915" s="386">
        <f t="shared" si="162"/>
        <v>84072</v>
      </c>
      <c r="P915" s="414">
        <f t="shared" si="163"/>
        <v>66536.077532410243</v>
      </c>
      <c r="Q915" s="164">
        <f t="shared" si="165"/>
        <v>66536.077532410243</v>
      </c>
      <c r="R915" s="333" t="str">
        <f t="shared" si="164"/>
        <v/>
      </c>
      <c r="S915" s="324"/>
    </row>
    <row r="916" spans="1:19" ht="15.75" customHeight="1" x14ac:dyDescent="0.3">
      <c r="A916" s="377" t="s">
        <v>418</v>
      </c>
      <c r="B916" s="325">
        <f t="shared" si="154"/>
        <v>235192.49718099195</v>
      </c>
      <c r="C916" s="164">
        <f t="shared" si="155"/>
        <v>1175.9624859049597</v>
      </c>
      <c r="D916" s="164">
        <f t="shared" si="156"/>
        <v>10113.277378782654</v>
      </c>
      <c r="E916" s="164">
        <f t="shared" si="157"/>
        <v>236368.4596668969</v>
      </c>
      <c r="F916" s="333">
        <f t="shared" si="158"/>
        <v>246481.73704567956</v>
      </c>
      <c r="G916" s="325">
        <f>(G781*(('[1]Lake Pleasant Forecast'!B51-1591.4)/0.6635))/(-1000)</f>
        <v>656.45534287867349</v>
      </c>
      <c r="H916" s="164">
        <f t="shared" si="160"/>
        <v>5923</v>
      </c>
      <c r="I916" s="164">
        <f t="shared" si="159"/>
        <v>0</v>
      </c>
      <c r="J916" s="164">
        <f t="shared" si="161"/>
        <v>5923</v>
      </c>
      <c r="K916" s="398">
        <v>0</v>
      </c>
      <c r="L916" s="398">
        <v>0</v>
      </c>
      <c r="M916" s="399">
        <v>263970</v>
      </c>
      <c r="N916" s="400">
        <v>6900</v>
      </c>
      <c r="O916" s="386">
        <f t="shared" si="162"/>
        <v>270870</v>
      </c>
      <c r="P916" s="414">
        <f t="shared" si="163"/>
        <v>-30967.718297199113</v>
      </c>
      <c r="Q916" s="164" t="str">
        <f t="shared" si="165"/>
        <v/>
      </c>
      <c r="R916" s="333">
        <f t="shared" si="164"/>
        <v>30967.718297199113</v>
      </c>
      <c r="S916" s="324"/>
    </row>
    <row r="917" spans="1:19" ht="15.75" customHeight="1" x14ac:dyDescent="0.3">
      <c r="A917" s="377" t="s">
        <v>419</v>
      </c>
      <c r="B917" s="325">
        <f t="shared" si="154"/>
        <v>74137.356895092176</v>
      </c>
      <c r="C917" s="164">
        <f t="shared" si="155"/>
        <v>370.68678447546091</v>
      </c>
      <c r="D917" s="164">
        <f t="shared" si="156"/>
        <v>3187.9063464889632</v>
      </c>
      <c r="E917" s="164">
        <f t="shared" si="157"/>
        <v>74508.043679567636</v>
      </c>
      <c r="F917" s="333">
        <f t="shared" si="158"/>
        <v>77695.950026056598</v>
      </c>
      <c r="G917" s="325">
        <f>(G782*(('[1]Lake Pleasant Forecast'!B53-1591.4)/0.6635))/(-1000)</f>
        <v>9598.8192162772739</v>
      </c>
      <c r="H917" s="164">
        <f t="shared" si="160"/>
        <v>6715</v>
      </c>
      <c r="I917" s="164">
        <f t="shared" si="159"/>
        <v>0</v>
      </c>
      <c r="J917" s="164">
        <f t="shared" si="161"/>
        <v>6715</v>
      </c>
      <c r="K917" s="398">
        <v>0</v>
      </c>
      <c r="L917" s="398">
        <v>0</v>
      </c>
      <c r="M917" s="399">
        <v>309132</v>
      </c>
      <c r="N917" s="400">
        <v>9300</v>
      </c>
      <c r="O917" s="386">
        <f t="shared" si="162"/>
        <v>318432</v>
      </c>
      <c r="P917" s="414">
        <f t="shared" si="163"/>
        <v>-257049.86919022066</v>
      </c>
      <c r="Q917" s="164" t="str">
        <f t="shared" si="165"/>
        <v/>
      </c>
      <c r="R917" s="333">
        <f t="shared" si="164"/>
        <v>257049.86919022066</v>
      </c>
      <c r="S917" s="324"/>
    </row>
    <row r="918" spans="1:19" ht="15.75" customHeight="1" x14ac:dyDescent="0.3">
      <c r="A918" s="377" t="s">
        <v>420</v>
      </c>
      <c r="B918" s="325">
        <f t="shared" si="154"/>
        <v>283793.02752921317</v>
      </c>
      <c r="C918" s="164">
        <f t="shared" si="155"/>
        <v>1418.9651376460658</v>
      </c>
      <c r="D918" s="164">
        <f t="shared" si="156"/>
        <v>12203.100183756165</v>
      </c>
      <c r="E918" s="164">
        <f t="shared" si="157"/>
        <v>285211.99266685924</v>
      </c>
      <c r="F918" s="333">
        <f t="shared" si="158"/>
        <v>297415.09285061539</v>
      </c>
      <c r="G918" s="325">
        <f>(G783*(('[1]Lake Pleasant Forecast'!B55-1591.4)/0.6635))/(-1000)</f>
        <v>0</v>
      </c>
      <c r="H918" s="164">
        <f t="shared" si="160"/>
        <v>8425</v>
      </c>
      <c r="I918" s="164">
        <f t="shared" si="159"/>
        <v>0</v>
      </c>
      <c r="J918" s="164">
        <f t="shared" si="161"/>
        <v>8425</v>
      </c>
      <c r="K918" s="398">
        <v>0</v>
      </c>
      <c r="L918" s="398">
        <v>0</v>
      </c>
      <c r="M918" s="399">
        <v>0</v>
      </c>
      <c r="N918" s="400">
        <v>0</v>
      </c>
      <c r="O918" s="386">
        <f t="shared" si="162"/>
        <v>0</v>
      </c>
      <c r="P918" s="414">
        <f t="shared" si="163"/>
        <v>288990.09285061539</v>
      </c>
      <c r="Q918" s="164">
        <f t="shared" si="165"/>
        <v>288990.09285061539</v>
      </c>
      <c r="R918" s="333" t="str">
        <f t="shared" si="164"/>
        <v/>
      </c>
      <c r="S918" s="324"/>
    </row>
    <row r="919" spans="1:19" ht="15.75" customHeight="1" x14ac:dyDescent="0.3">
      <c r="A919" s="377" t="s">
        <v>421</v>
      </c>
      <c r="B919" s="325">
        <f t="shared" si="154"/>
        <v>230157.28090254185</v>
      </c>
      <c r="C919" s="164">
        <f t="shared" si="155"/>
        <v>1150.7864045127094</v>
      </c>
      <c r="D919" s="164">
        <f t="shared" si="156"/>
        <v>9896.7630788092993</v>
      </c>
      <c r="E919" s="164">
        <f t="shared" si="157"/>
        <v>231308.06730705456</v>
      </c>
      <c r="F919" s="333">
        <f t="shared" si="158"/>
        <v>241204.83038586387</v>
      </c>
      <c r="G919" s="325">
        <f>(G784*(('[1]Lake Pleasant Forecast'!B57-1591.4)/0.6635))/(-1000)</f>
        <v>0</v>
      </c>
      <c r="H919" s="164">
        <f t="shared" si="160"/>
        <v>7570</v>
      </c>
      <c r="I919" s="164">
        <f t="shared" si="159"/>
        <v>0</v>
      </c>
      <c r="J919" s="164">
        <f>(H919+I919)</f>
        <v>7570</v>
      </c>
      <c r="K919" s="398">
        <v>0</v>
      </c>
      <c r="L919" s="398">
        <v>0</v>
      </c>
      <c r="M919" s="399">
        <v>226920</v>
      </c>
      <c r="N919" s="400">
        <v>65224</v>
      </c>
      <c r="O919" s="386">
        <f t="shared" si="162"/>
        <v>292144</v>
      </c>
      <c r="P919" s="414">
        <f t="shared" si="163"/>
        <v>-58509.169614136132</v>
      </c>
      <c r="Q919" s="164" t="str">
        <f t="shared" si="165"/>
        <v/>
      </c>
      <c r="R919" s="333">
        <f t="shared" si="164"/>
        <v>58509.169614136132</v>
      </c>
      <c r="S919" s="324"/>
    </row>
    <row r="920" spans="1:19" ht="15.75" customHeight="1" x14ac:dyDescent="0.3">
      <c r="A920" s="377" t="s">
        <v>424</v>
      </c>
      <c r="B920" s="325" t="s">
        <v>424</v>
      </c>
      <c r="C920" s="164"/>
      <c r="D920" s="164"/>
      <c r="E920" s="164" t="s">
        <v>7</v>
      </c>
      <c r="F920" s="333"/>
      <c r="G920" s="325"/>
      <c r="H920" s="164"/>
      <c r="I920" s="164" t="s">
        <v>7</v>
      </c>
      <c r="J920" s="164" t="s">
        <v>7</v>
      </c>
      <c r="K920" s="403"/>
      <c r="L920" s="164"/>
      <c r="M920" s="399"/>
      <c r="N920" s="400"/>
      <c r="O920" s="386">
        <f t="shared" si="162"/>
        <v>0</v>
      </c>
      <c r="P920" s="414"/>
      <c r="Q920" s="164"/>
      <c r="R920" s="333"/>
      <c r="S920" s="324"/>
    </row>
    <row r="921" spans="1:19" ht="16.5" customHeight="1" thickBot="1" x14ac:dyDescent="0.35">
      <c r="A921" s="404" t="s">
        <v>422</v>
      </c>
      <c r="B921" s="330">
        <f>SUM(B908:B919)</f>
        <v>2843243.1566772582</v>
      </c>
      <c r="C921" s="335">
        <f>+SUM(C908:C919)</f>
        <v>14216.215783386293</v>
      </c>
      <c r="D921" s="335">
        <f>SUM(D908:D919)</f>
        <v>122259.4557371221</v>
      </c>
      <c r="E921" s="335">
        <f>(B921*1.005)</f>
        <v>2857459.3724606442</v>
      </c>
      <c r="F921" s="405">
        <f>SUM(F908:F919)</f>
        <v>2979718.828197767</v>
      </c>
      <c r="G921" s="330">
        <f>SUM(G908:G919)</f>
        <v>51253.507671114901</v>
      </c>
      <c r="H921" s="335">
        <f>(K989)</f>
        <v>153175</v>
      </c>
      <c r="I921" s="335">
        <f>(O989)</f>
        <v>0</v>
      </c>
      <c r="J921" s="335">
        <f>(H921+I921)</f>
        <v>153175</v>
      </c>
      <c r="K921" s="335">
        <f>SUM(K908:K919)</f>
        <v>0</v>
      </c>
      <c r="L921" s="335">
        <f>SUM(L908:L919)</f>
        <v>0</v>
      </c>
      <c r="M921" s="406">
        <f>SUM(M908:M919)</f>
        <v>2572923</v>
      </c>
      <c r="N921" s="407">
        <f>SUM(N908:N919)</f>
        <v>118259</v>
      </c>
      <c r="O921" s="407">
        <f t="shared" si="162"/>
        <v>2691182</v>
      </c>
      <c r="P921" s="415">
        <f t="shared" si="163"/>
        <v>84108.320526652038</v>
      </c>
      <c r="Q921" s="335">
        <f>+SUM(Q908:Q919)</f>
        <v>458020.58083504566</v>
      </c>
      <c r="R921" s="405">
        <f>+SUM(R908:R919)</f>
        <v>373912.26030839386</v>
      </c>
      <c r="S921" s="324"/>
    </row>
    <row r="922" spans="1:19" ht="15.75" customHeight="1" x14ac:dyDescent="0.3">
      <c r="A922" s="306"/>
      <c r="B922" s="159"/>
      <c r="C922" s="159"/>
      <c r="D922" s="159"/>
      <c r="E922" s="159"/>
      <c r="F922" s="159" t="s">
        <v>424</v>
      </c>
      <c r="G922" s="159"/>
      <c r="H922" s="159"/>
      <c r="I922" s="159"/>
      <c r="K922" s="159"/>
      <c r="L922" s="159"/>
      <c r="M922" s="173"/>
      <c r="P922" s="159"/>
      <c r="S922" s="307"/>
    </row>
    <row r="923" spans="1:19" ht="15.75" customHeight="1" x14ac:dyDescent="0.3">
      <c r="A923" s="323" t="s">
        <v>1074</v>
      </c>
      <c r="P923" s="159"/>
      <c r="Q923" s="159"/>
      <c r="R923" s="159"/>
      <c r="S923" s="307"/>
    </row>
    <row r="924" spans="1:19" ht="15.75" customHeight="1" x14ac:dyDescent="0.3">
      <c r="A924" s="323" t="s">
        <v>498</v>
      </c>
      <c r="D924" s="159"/>
      <c r="E924" s="159"/>
      <c r="F924" s="159"/>
      <c r="G924" s="159"/>
      <c r="H924" s="159"/>
      <c r="I924" s="159"/>
      <c r="J924" s="159"/>
      <c r="K924" s="159"/>
      <c r="L924" s="159"/>
      <c r="M924" s="159"/>
      <c r="N924" s="159"/>
      <c r="O924" s="159"/>
      <c r="P924" s="159"/>
      <c r="Q924" s="159"/>
      <c r="R924" s="159"/>
      <c r="S924" s="307"/>
    </row>
    <row r="925" spans="1:19" ht="15.75" customHeight="1" x14ac:dyDescent="0.3">
      <c r="A925" s="323" t="s">
        <v>1182</v>
      </c>
      <c r="D925" s="159"/>
      <c r="E925" s="159"/>
      <c r="F925" s="159"/>
      <c r="G925" s="159"/>
      <c r="H925" s="159"/>
      <c r="I925" s="159"/>
      <c r="J925" s="159"/>
      <c r="K925" s="159"/>
      <c r="L925" s="159"/>
      <c r="M925" s="159"/>
      <c r="N925" s="159"/>
      <c r="O925" s="159"/>
      <c r="P925" s="159"/>
      <c r="Q925" s="159"/>
      <c r="R925" s="159"/>
      <c r="S925" s="307"/>
    </row>
    <row r="926" spans="1:19" ht="15.75" customHeight="1" x14ac:dyDescent="0.3">
      <c r="A926" s="323" t="s">
        <v>1076</v>
      </c>
      <c r="D926" s="159"/>
      <c r="E926" s="159"/>
      <c r="F926" s="159"/>
      <c r="G926" s="159"/>
      <c r="H926" s="159"/>
      <c r="I926" s="159"/>
      <c r="J926" s="159"/>
      <c r="K926" s="159"/>
      <c r="L926" s="159"/>
      <c r="M926" s="159"/>
      <c r="N926" s="159"/>
      <c r="O926" s="159"/>
      <c r="P926" s="159"/>
      <c r="Q926" s="159"/>
      <c r="R926" s="159"/>
      <c r="S926" s="307"/>
    </row>
    <row r="927" spans="1:19" ht="16.5" customHeight="1" thickBot="1" x14ac:dyDescent="0.35">
      <c r="A927" s="323"/>
      <c r="D927" s="159"/>
      <c r="E927" s="159"/>
      <c r="F927" s="159"/>
      <c r="G927" s="159"/>
      <c r="H927" s="159"/>
      <c r="I927" s="159"/>
      <c r="J927" s="159"/>
      <c r="K927" s="159"/>
      <c r="L927" s="159"/>
      <c r="M927" s="159"/>
      <c r="N927" s="159"/>
      <c r="O927" s="159"/>
      <c r="P927" s="159"/>
      <c r="Q927" s="159"/>
      <c r="R927" s="159"/>
      <c r="S927" s="307"/>
    </row>
    <row r="928" spans="1:19" ht="16.5" customHeight="1" thickBot="1" x14ac:dyDescent="0.35">
      <c r="A928" s="534" t="s">
        <v>1077</v>
      </c>
      <c r="B928" s="535"/>
      <c r="C928" s="535"/>
      <c r="D928" s="535"/>
      <c r="E928" s="535"/>
      <c r="F928" s="535"/>
      <c r="G928" s="535"/>
      <c r="H928" s="535"/>
      <c r="I928" s="535"/>
      <c r="J928" s="535"/>
      <c r="K928" s="535"/>
      <c r="L928" s="535"/>
      <c r="M928" s="535"/>
      <c r="N928" s="535"/>
      <c r="O928" s="535"/>
      <c r="P928" s="555"/>
      <c r="Q928" s="159"/>
      <c r="R928" s="159"/>
      <c r="S928" s="307"/>
    </row>
    <row r="929" spans="1:19" ht="16.5" customHeight="1" thickBot="1" x14ac:dyDescent="0.35">
      <c r="A929" s="463"/>
      <c r="B929" s="523" t="s">
        <v>1041</v>
      </c>
      <c r="C929" s="524"/>
      <c r="D929" s="524"/>
      <c r="E929" s="524"/>
      <c r="F929" s="525"/>
      <c r="G929" s="523" t="s">
        <v>1042</v>
      </c>
      <c r="H929" s="524"/>
      <c r="I929" s="524"/>
      <c r="J929" s="524"/>
      <c r="K929" s="524"/>
      <c r="L929" s="524"/>
      <c r="M929" s="526" t="s">
        <v>1043</v>
      </c>
      <c r="N929" s="536"/>
      <c r="O929" s="536"/>
      <c r="P929" s="523" t="s">
        <v>1044</v>
      </c>
      <c r="Q929" s="524"/>
      <c r="R929" s="525"/>
      <c r="S929" s="307"/>
    </row>
    <row r="930" spans="1:19" ht="15.75" customHeight="1" x14ac:dyDescent="0.3">
      <c r="A930" s="377"/>
      <c r="B930" s="325" t="s">
        <v>428</v>
      </c>
      <c r="C930" s="164"/>
      <c r="D930" s="164" t="s">
        <v>469</v>
      </c>
      <c r="E930" s="164" t="s">
        <v>470</v>
      </c>
      <c r="F930" s="333" t="s">
        <v>1045</v>
      </c>
      <c r="G930" s="325" t="s">
        <v>471</v>
      </c>
      <c r="H930" s="164"/>
      <c r="I930" s="164"/>
      <c r="J930" s="164" t="s">
        <v>472</v>
      </c>
      <c r="K930" s="164" t="s">
        <v>1046</v>
      </c>
      <c r="L930" s="164" t="s">
        <v>1047</v>
      </c>
      <c r="M930" s="537" t="s">
        <v>1159</v>
      </c>
      <c r="N930" s="538"/>
      <c r="O930" s="538"/>
      <c r="P930" s="325" t="s">
        <v>1049</v>
      </c>
      <c r="Q930" s="388" t="s">
        <v>486</v>
      </c>
      <c r="R930" s="389" t="s">
        <v>1050</v>
      </c>
      <c r="S930" s="307"/>
    </row>
    <row r="931" spans="1:19" ht="29.25" customHeight="1" x14ac:dyDescent="0.3">
      <c r="A931" s="377"/>
      <c r="B931" s="390" t="s">
        <v>1051</v>
      </c>
      <c r="C931" s="391" t="s">
        <v>1052</v>
      </c>
      <c r="D931" s="391" t="s">
        <v>1053</v>
      </c>
      <c r="E931" s="164" t="s">
        <v>442</v>
      </c>
      <c r="F931" s="392" t="s">
        <v>1054</v>
      </c>
      <c r="G931" s="325" t="s">
        <v>429</v>
      </c>
      <c r="H931" s="164" t="s">
        <v>478</v>
      </c>
      <c r="I931" s="164" t="s">
        <v>479</v>
      </c>
      <c r="J931" s="391" t="s">
        <v>1055</v>
      </c>
      <c r="K931" s="164" t="s">
        <v>1034</v>
      </c>
      <c r="L931" s="391" t="s">
        <v>1056</v>
      </c>
      <c r="M931" s="393" t="s">
        <v>1057</v>
      </c>
      <c r="N931" s="385" t="s">
        <v>1058</v>
      </c>
      <c r="O931" s="386" t="s">
        <v>422</v>
      </c>
      <c r="P931" s="325" t="s">
        <v>1061</v>
      </c>
      <c r="Q931" s="164" t="s">
        <v>1062</v>
      </c>
      <c r="R931" s="333" t="s">
        <v>1063</v>
      </c>
      <c r="S931" s="307"/>
    </row>
    <row r="932" spans="1:19" ht="15.75" customHeight="1" x14ac:dyDescent="0.3">
      <c r="A932" s="377"/>
      <c r="B932" s="395" t="s">
        <v>1064</v>
      </c>
      <c r="C932" s="169">
        <v>5.0000000000000001E-3</v>
      </c>
      <c r="D932" s="169">
        <v>4.2999999999999997E-2</v>
      </c>
      <c r="E932" s="164" t="s">
        <v>485</v>
      </c>
      <c r="F932" s="396" t="s">
        <v>1065</v>
      </c>
      <c r="G932" s="325" t="s">
        <v>1066</v>
      </c>
      <c r="H932" s="164" t="s">
        <v>442</v>
      </c>
      <c r="I932" s="164" t="s">
        <v>442</v>
      </c>
      <c r="J932" s="164" t="s">
        <v>442</v>
      </c>
      <c r="K932" s="164" t="s">
        <v>486</v>
      </c>
      <c r="L932" s="164" t="s">
        <v>1067</v>
      </c>
      <c r="M932" s="397" t="s">
        <v>434</v>
      </c>
      <c r="N932" s="386" t="s">
        <v>1068</v>
      </c>
      <c r="O932" s="386" t="s">
        <v>1069</v>
      </c>
      <c r="P932" s="325" t="s">
        <v>442</v>
      </c>
      <c r="Q932" s="164" t="s">
        <v>442</v>
      </c>
      <c r="R932" s="333" t="s">
        <v>442</v>
      </c>
      <c r="S932" s="307"/>
    </row>
    <row r="933" spans="1:19" ht="15.75" customHeight="1" x14ac:dyDescent="0.3">
      <c r="A933" s="377" t="s">
        <v>1071</v>
      </c>
      <c r="B933" s="325" t="s">
        <v>1078</v>
      </c>
      <c r="C933" s="164" t="s">
        <v>1078</v>
      </c>
      <c r="D933" s="164" t="s">
        <v>1078</v>
      </c>
      <c r="E933" s="164" t="s">
        <v>1078</v>
      </c>
      <c r="F933" s="164" t="s">
        <v>1078</v>
      </c>
      <c r="G933" s="325" t="s">
        <v>1078</v>
      </c>
      <c r="H933" s="164" t="s">
        <v>1078</v>
      </c>
      <c r="I933" s="164" t="s">
        <v>1078</v>
      </c>
      <c r="J933" s="164" t="s">
        <v>1078</v>
      </c>
      <c r="K933" s="164" t="s">
        <v>1078</v>
      </c>
      <c r="L933" s="164" t="s">
        <v>1078</v>
      </c>
      <c r="M933" s="397" t="s">
        <v>1078</v>
      </c>
      <c r="N933" s="386" t="s">
        <v>1079</v>
      </c>
      <c r="O933" s="386" t="s">
        <v>1078</v>
      </c>
      <c r="P933" s="325" t="s">
        <v>1078</v>
      </c>
      <c r="Q933" s="164" t="s">
        <v>1078</v>
      </c>
      <c r="R933" s="333" t="s">
        <v>1078</v>
      </c>
      <c r="S933" s="307"/>
    </row>
    <row r="934" spans="1:19" ht="15.75" customHeight="1" x14ac:dyDescent="0.3">
      <c r="A934" s="377" t="s">
        <v>409</v>
      </c>
      <c r="B934" s="325" t="s">
        <v>409</v>
      </c>
      <c r="C934" s="164" t="s">
        <v>409</v>
      </c>
      <c r="D934" s="164" t="s">
        <v>409</v>
      </c>
      <c r="E934" s="164" t="s">
        <v>493</v>
      </c>
      <c r="F934" s="333" t="s">
        <v>409</v>
      </c>
      <c r="G934" s="325" t="s">
        <v>409</v>
      </c>
      <c r="H934" s="164" t="s">
        <v>494</v>
      </c>
      <c r="I934" s="164" t="s">
        <v>494</v>
      </c>
      <c r="J934" s="164" t="s">
        <v>409</v>
      </c>
      <c r="K934" s="164" t="s">
        <v>409</v>
      </c>
      <c r="L934" s="164" t="s">
        <v>409</v>
      </c>
      <c r="M934" s="397" t="s">
        <v>409</v>
      </c>
      <c r="N934" s="386" t="s">
        <v>409</v>
      </c>
      <c r="O934" s="386" t="s">
        <v>409</v>
      </c>
      <c r="P934" s="325" t="s">
        <v>409</v>
      </c>
      <c r="Q934" s="164" t="s">
        <v>409</v>
      </c>
      <c r="R934" s="333" t="s">
        <v>409</v>
      </c>
      <c r="S934" s="307"/>
    </row>
    <row r="935" spans="1:19" ht="15.75" customHeight="1" x14ac:dyDescent="0.3">
      <c r="A935" s="377" t="s">
        <v>410</v>
      </c>
      <c r="B935" s="325">
        <f>+B908/(31*24)</f>
        <v>417.86352494385545</v>
      </c>
      <c r="C935" s="164">
        <f t="shared" ref="C935:O935" si="166">+C908/(31*24)</f>
        <v>2.0893176247192771</v>
      </c>
      <c r="D935" s="164">
        <f t="shared" si="166"/>
        <v>17.968131572585783</v>
      </c>
      <c r="E935" s="164">
        <f t="shared" si="166"/>
        <v>419.95284256857474</v>
      </c>
      <c r="F935" s="333">
        <f t="shared" si="166"/>
        <v>437.92097414116046</v>
      </c>
      <c r="G935" s="325">
        <f t="shared" si="166"/>
        <v>0</v>
      </c>
      <c r="H935" s="164">
        <f t="shared" si="166"/>
        <v>17.27956989247312</v>
      </c>
      <c r="I935" s="164">
        <f t="shared" si="166"/>
        <v>0</v>
      </c>
      <c r="J935" s="164">
        <f t="shared" si="166"/>
        <v>17.27956989247312</v>
      </c>
      <c r="K935" s="398">
        <f t="shared" si="166"/>
        <v>0</v>
      </c>
      <c r="L935" s="398">
        <f t="shared" si="166"/>
        <v>0</v>
      </c>
      <c r="M935" s="399">
        <f t="shared" si="166"/>
        <v>417.5</v>
      </c>
      <c r="N935" s="400">
        <f t="shared" si="166"/>
        <v>12.5</v>
      </c>
      <c r="O935" s="386">
        <f t="shared" si="166"/>
        <v>430</v>
      </c>
      <c r="P935" s="414">
        <f>+P908/(31*24)</f>
        <v>-9.3585957513126345</v>
      </c>
      <c r="Q935" s="164" t="str">
        <f>+IF(P935&gt;=0,ABS(P935),"")</f>
        <v/>
      </c>
      <c r="R935" s="333">
        <f>+IF(P935&lt;=0,ABS(P935),"")</f>
        <v>9.3585957513126345</v>
      </c>
      <c r="S935" s="307"/>
    </row>
    <row r="936" spans="1:19" ht="15.75" customHeight="1" x14ac:dyDescent="0.3">
      <c r="A936" s="377" t="s">
        <v>411</v>
      </c>
      <c r="B936" s="325">
        <f>+B909/(29*24)</f>
        <v>411.9746545799419</v>
      </c>
      <c r="C936" s="164">
        <f t="shared" ref="C936:O936" si="167">+C909/(29*24)</f>
        <v>2.0598732728997096</v>
      </c>
      <c r="D936" s="164">
        <f t="shared" si="167"/>
        <v>17.714910146937502</v>
      </c>
      <c r="E936" s="164">
        <f t="shared" si="167"/>
        <v>414.03452785284162</v>
      </c>
      <c r="F936" s="333">
        <f t="shared" si="167"/>
        <v>431.74943799977916</v>
      </c>
      <c r="G936" s="325">
        <f t="shared" si="167"/>
        <v>0</v>
      </c>
      <c r="H936" s="164">
        <f t="shared" si="167"/>
        <v>21.185344827586206</v>
      </c>
      <c r="I936" s="164">
        <f t="shared" si="167"/>
        <v>0</v>
      </c>
      <c r="J936" s="164">
        <f t="shared" si="167"/>
        <v>21.185344827586206</v>
      </c>
      <c r="K936" s="398">
        <f t="shared" si="167"/>
        <v>0</v>
      </c>
      <c r="L936" s="398">
        <f t="shared" si="167"/>
        <v>0</v>
      </c>
      <c r="M936" s="399">
        <f t="shared" si="167"/>
        <v>364</v>
      </c>
      <c r="N936" s="400">
        <f t="shared" si="167"/>
        <v>0</v>
      </c>
      <c r="O936" s="386">
        <f t="shared" si="167"/>
        <v>364</v>
      </c>
      <c r="P936" s="414">
        <f>+P909/(29*24)</f>
        <v>46.564093172192926</v>
      </c>
      <c r="Q936" s="164">
        <f t="shared" ref="Q936:Q946" si="168">+IF(P936&gt;=0,ABS(P936),"")</f>
        <v>46.564093172192926</v>
      </c>
      <c r="R936" s="333" t="str">
        <f t="shared" ref="R936:R946" si="169">+IF(P936&lt;=0,ABS(P936),"")</f>
        <v/>
      </c>
      <c r="S936" s="307"/>
    </row>
    <row r="937" spans="1:19" ht="15.75" customHeight="1" x14ac:dyDescent="0.3">
      <c r="A937" s="377" t="s">
        <v>412</v>
      </c>
      <c r="B937" s="325">
        <f t="shared" ref="B937:O946" si="170">+B910/(31*24)</f>
        <v>422.3841309435058</v>
      </c>
      <c r="C937" s="164">
        <f t="shared" si="170"/>
        <v>2.1119206547175287</v>
      </c>
      <c r="D937" s="164">
        <f t="shared" si="170"/>
        <v>18.162517630570747</v>
      </c>
      <c r="E937" s="164">
        <f t="shared" si="170"/>
        <v>424.49605159822329</v>
      </c>
      <c r="F937" s="333">
        <f t="shared" si="170"/>
        <v>442.65856922879408</v>
      </c>
      <c r="G937" s="325">
        <f t="shared" si="170"/>
        <v>0</v>
      </c>
      <c r="H937" s="164">
        <f t="shared" si="170"/>
        <v>22.548387096774192</v>
      </c>
      <c r="I937" s="164">
        <f t="shared" si="170"/>
        <v>0</v>
      </c>
      <c r="J937" s="164">
        <f t="shared" si="170"/>
        <v>22.548387096774192</v>
      </c>
      <c r="K937" s="398">
        <f t="shared" si="170"/>
        <v>0</v>
      </c>
      <c r="L937" s="398">
        <f t="shared" si="170"/>
        <v>0</v>
      </c>
      <c r="M937" s="399">
        <f t="shared" si="170"/>
        <v>407.5</v>
      </c>
      <c r="N937" s="400">
        <f t="shared" si="170"/>
        <v>12.5</v>
      </c>
      <c r="O937" s="386">
        <f t="shared" si="170"/>
        <v>420</v>
      </c>
      <c r="P937" s="414">
        <f>+P910/(31*24)</f>
        <v>0.11018213201990171</v>
      </c>
      <c r="Q937" s="164">
        <f t="shared" si="168"/>
        <v>0.11018213201990171</v>
      </c>
      <c r="R937" s="333" t="str">
        <f t="shared" si="169"/>
        <v/>
      </c>
      <c r="S937" s="307"/>
    </row>
    <row r="938" spans="1:19" ht="15.75" customHeight="1" x14ac:dyDescent="0.3">
      <c r="A938" s="377" t="s">
        <v>413</v>
      </c>
      <c r="B938" s="325">
        <f>+B911/(30*24)</f>
        <v>424.18553049557642</v>
      </c>
      <c r="C938" s="164">
        <f t="shared" ref="C938:O938" si="171">+C911/(30*24)</f>
        <v>2.1209276524778824</v>
      </c>
      <c r="D938" s="164">
        <f t="shared" si="171"/>
        <v>18.239977811309785</v>
      </c>
      <c r="E938" s="164">
        <f t="shared" si="171"/>
        <v>426.30645814805433</v>
      </c>
      <c r="F938" s="333">
        <f t="shared" si="171"/>
        <v>444.54643595936415</v>
      </c>
      <c r="G938" s="325">
        <f t="shared" si="171"/>
        <v>0.92957953485094336</v>
      </c>
      <c r="H938" s="164">
        <f t="shared" si="171"/>
        <v>28.738888888888887</v>
      </c>
      <c r="I938" s="164">
        <f t="shared" si="171"/>
        <v>0</v>
      </c>
      <c r="J938" s="164">
        <f t="shared" si="171"/>
        <v>28.738888888888887</v>
      </c>
      <c r="K938" s="398">
        <f t="shared" si="171"/>
        <v>0</v>
      </c>
      <c r="L938" s="398">
        <f t="shared" si="171"/>
        <v>0</v>
      </c>
      <c r="M938" s="399">
        <f t="shared" si="171"/>
        <v>374</v>
      </c>
      <c r="N938" s="400">
        <f t="shared" si="171"/>
        <v>0</v>
      </c>
      <c r="O938" s="386">
        <f t="shared" si="171"/>
        <v>374</v>
      </c>
      <c r="P938" s="414">
        <f>+P911/(30*24)</f>
        <v>40.877967535624336</v>
      </c>
      <c r="Q938" s="164">
        <f t="shared" si="168"/>
        <v>40.877967535624336</v>
      </c>
      <c r="R938" s="333" t="str">
        <f t="shared" si="169"/>
        <v/>
      </c>
      <c r="S938" s="307"/>
    </row>
    <row r="939" spans="1:19" ht="15.75" customHeight="1" x14ac:dyDescent="0.3">
      <c r="A939" s="377" t="s">
        <v>414</v>
      </c>
      <c r="B939" s="325">
        <f t="shared" si="170"/>
        <v>411.70585032898879</v>
      </c>
      <c r="C939" s="164">
        <f t="shared" si="170"/>
        <v>2.058529251644944</v>
      </c>
      <c r="D939" s="164">
        <f t="shared" si="170"/>
        <v>17.703351564146516</v>
      </c>
      <c r="E939" s="164">
        <f t="shared" si="170"/>
        <v>413.76437958063372</v>
      </c>
      <c r="F939" s="333">
        <f t="shared" si="170"/>
        <v>431.46773114478026</v>
      </c>
      <c r="G939" s="325">
        <f t="shared" si="170"/>
        <v>4.0452672371182521</v>
      </c>
      <c r="H939" s="164">
        <f t="shared" si="170"/>
        <v>22.602150537634408</v>
      </c>
      <c r="I939" s="164">
        <f t="shared" si="170"/>
        <v>0</v>
      </c>
      <c r="J939" s="164">
        <f t="shared" si="170"/>
        <v>22.602150537634408</v>
      </c>
      <c r="K939" s="398">
        <f t="shared" si="170"/>
        <v>0</v>
      </c>
      <c r="L939" s="398">
        <f t="shared" si="170"/>
        <v>0</v>
      </c>
      <c r="M939" s="399">
        <f t="shared" si="170"/>
        <v>394.66666666666669</v>
      </c>
      <c r="N939" s="400">
        <f t="shared" si="170"/>
        <v>0</v>
      </c>
      <c r="O939" s="386">
        <f t="shared" si="170"/>
        <v>394.66666666666669</v>
      </c>
      <c r="P939" s="414">
        <f>+P912/(31*24)</f>
        <v>10.153646703360971</v>
      </c>
      <c r="Q939" s="164">
        <f t="shared" si="168"/>
        <v>10.153646703360971</v>
      </c>
      <c r="R939" s="333" t="str">
        <f t="shared" si="169"/>
        <v/>
      </c>
      <c r="S939" s="307"/>
    </row>
    <row r="940" spans="1:19" ht="15.75" customHeight="1" x14ac:dyDescent="0.3">
      <c r="A940" s="377" t="s">
        <v>415</v>
      </c>
      <c r="B940" s="325">
        <f>+B913/(30*24)</f>
        <v>323.4713375</v>
      </c>
      <c r="C940" s="164">
        <f t="shared" ref="C940:O940" si="172">+C913/(30*24)</f>
        <v>1.6173566875000003</v>
      </c>
      <c r="D940" s="164">
        <f t="shared" si="172"/>
        <v>13.9092675125</v>
      </c>
      <c r="E940" s="164">
        <f t="shared" si="172"/>
        <v>325.08869418749998</v>
      </c>
      <c r="F940" s="333">
        <f t="shared" si="172"/>
        <v>338.99796170000002</v>
      </c>
      <c r="G940" s="325">
        <f t="shared" si="172"/>
        <v>14.940611655362982</v>
      </c>
      <c r="H940" s="164">
        <f t="shared" si="172"/>
        <v>21.422222222222221</v>
      </c>
      <c r="I940" s="164">
        <f t="shared" si="172"/>
        <v>0</v>
      </c>
      <c r="J940" s="164">
        <f t="shared" si="172"/>
        <v>21.422222222222221</v>
      </c>
      <c r="K940" s="398">
        <f t="shared" si="172"/>
        <v>0</v>
      </c>
      <c r="L940" s="398">
        <f t="shared" si="172"/>
        <v>0</v>
      </c>
      <c r="M940" s="399">
        <f t="shared" si="172"/>
        <v>324.83333333333331</v>
      </c>
      <c r="N940" s="400">
        <f t="shared" si="172"/>
        <v>6.166666666666667</v>
      </c>
      <c r="O940" s="386">
        <f t="shared" si="172"/>
        <v>331</v>
      </c>
      <c r="P940" s="414">
        <f>+P913/(30*24)</f>
        <v>-28.364872177585212</v>
      </c>
      <c r="Q940" s="164" t="str">
        <f t="shared" si="168"/>
        <v/>
      </c>
      <c r="R940" s="333">
        <f t="shared" si="169"/>
        <v>28.364872177585212</v>
      </c>
      <c r="S940" s="307"/>
    </row>
    <row r="941" spans="1:19" ht="15.75" customHeight="1" x14ac:dyDescent="0.3">
      <c r="A941" s="377" t="s">
        <v>416</v>
      </c>
      <c r="B941" s="325">
        <f t="shared" si="170"/>
        <v>132.30630376344087</v>
      </c>
      <c r="C941" s="164">
        <f t="shared" si="170"/>
        <v>0.6615315188172044</v>
      </c>
      <c r="D941" s="164">
        <f t="shared" si="170"/>
        <v>5.689171061827957</v>
      </c>
      <c r="E941" s="164">
        <f t="shared" si="170"/>
        <v>132.96783528225808</v>
      </c>
      <c r="F941" s="333">
        <f t="shared" si="170"/>
        <v>138.65700634408606</v>
      </c>
      <c r="G941" s="325">
        <f t="shared" si="170"/>
        <v>22.328543541665564</v>
      </c>
      <c r="H941" s="164">
        <f t="shared" si="170"/>
        <v>19.9502688172043</v>
      </c>
      <c r="I941" s="164">
        <f t="shared" si="170"/>
        <v>0</v>
      </c>
      <c r="J941" s="164">
        <f t="shared" si="170"/>
        <v>19.9502688172043</v>
      </c>
      <c r="K941" s="398">
        <f t="shared" si="170"/>
        <v>0</v>
      </c>
      <c r="L941" s="398">
        <f t="shared" si="170"/>
        <v>0</v>
      </c>
      <c r="M941" s="399">
        <f t="shared" si="170"/>
        <v>48.875</v>
      </c>
      <c r="N941" s="400">
        <f t="shared" si="170"/>
        <v>3.125</v>
      </c>
      <c r="O941" s="386">
        <f t="shared" si="170"/>
        <v>52</v>
      </c>
      <c r="P941" s="414">
        <f>+P914/(31*24)</f>
        <v>44.378193985216178</v>
      </c>
      <c r="Q941" s="164">
        <f t="shared" si="168"/>
        <v>44.378193985216178</v>
      </c>
      <c r="R941" s="333" t="str">
        <f t="shared" si="169"/>
        <v/>
      </c>
      <c r="S941" s="307"/>
    </row>
    <row r="942" spans="1:19" ht="15.75" customHeight="1" x14ac:dyDescent="0.3">
      <c r="A942" s="377" t="s">
        <v>417</v>
      </c>
      <c r="B942" s="325">
        <f t="shared" si="170"/>
        <v>221.80966532258066</v>
      </c>
      <c r="C942" s="164">
        <f t="shared" si="170"/>
        <v>1.1090483266129032</v>
      </c>
      <c r="D942" s="164">
        <f t="shared" si="170"/>
        <v>9.537815608870968</v>
      </c>
      <c r="E942" s="164">
        <f t="shared" si="170"/>
        <v>222.91871364919353</v>
      </c>
      <c r="F942" s="333">
        <f t="shared" si="170"/>
        <v>232.45652925806453</v>
      </c>
      <c r="G942" s="325">
        <f t="shared" si="170"/>
        <v>13.373091714502378</v>
      </c>
      <c r="H942" s="164">
        <f t="shared" si="170"/>
        <v>16.653225806451612</v>
      </c>
      <c r="I942" s="164">
        <f t="shared" si="170"/>
        <v>0</v>
      </c>
      <c r="J942" s="164">
        <f t="shared" si="170"/>
        <v>16.653225806451612</v>
      </c>
      <c r="K942" s="398">
        <f t="shared" si="170"/>
        <v>0</v>
      </c>
      <c r="L942" s="398">
        <f t="shared" si="170"/>
        <v>0</v>
      </c>
      <c r="M942" s="399">
        <f t="shared" si="170"/>
        <v>97.583333333333329</v>
      </c>
      <c r="N942" s="400">
        <f t="shared" si="170"/>
        <v>15.416666666666666</v>
      </c>
      <c r="O942" s="386">
        <f t="shared" si="170"/>
        <v>113</v>
      </c>
      <c r="P942" s="414">
        <f>+P915/(31*24)</f>
        <v>89.43021173711054</v>
      </c>
      <c r="Q942" s="164">
        <f t="shared" si="168"/>
        <v>89.43021173711054</v>
      </c>
      <c r="R942" s="333" t="str">
        <f t="shared" si="169"/>
        <v/>
      </c>
      <c r="S942" s="307"/>
    </row>
    <row r="943" spans="1:19" ht="15.75" customHeight="1" x14ac:dyDescent="0.3">
      <c r="A943" s="377" t="s">
        <v>418</v>
      </c>
      <c r="B943" s="325">
        <f>+B916/(30*24)</f>
        <v>326.65624608471103</v>
      </c>
      <c r="C943" s="164">
        <f t="shared" ref="C943:O943" si="173">+C916/(30*24)</f>
        <v>1.6332812304235551</v>
      </c>
      <c r="D943" s="164">
        <f t="shared" si="173"/>
        <v>14.046218581642574</v>
      </c>
      <c r="E943" s="164">
        <f t="shared" si="173"/>
        <v>328.28952731513459</v>
      </c>
      <c r="F943" s="333">
        <f t="shared" si="173"/>
        <v>342.33574589677715</v>
      </c>
      <c r="G943" s="325">
        <f t="shared" si="173"/>
        <v>0.91174353177593537</v>
      </c>
      <c r="H943" s="164">
        <f t="shared" si="173"/>
        <v>8.2263888888888896</v>
      </c>
      <c r="I943" s="164">
        <f t="shared" si="173"/>
        <v>0</v>
      </c>
      <c r="J943" s="164">
        <f t="shared" si="173"/>
        <v>8.2263888888888896</v>
      </c>
      <c r="K943" s="398">
        <f t="shared" si="173"/>
        <v>0</v>
      </c>
      <c r="L943" s="398">
        <f t="shared" si="173"/>
        <v>0</v>
      </c>
      <c r="M943" s="399">
        <f t="shared" si="173"/>
        <v>366.625</v>
      </c>
      <c r="N943" s="400">
        <f t="shared" si="173"/>
        <v>9.5833333333333339</v>
      </c>
      <c r="O943" s="386">
        <f t="shared" si="173"/>
        <v>376.20833333333331</v>
      </c>
      <c r="P943" s="414">
        <f>+P916/(30*24)</f>
        <v>-43.010719857220991</v>
      </c>
      <c r="Q943" s="164" t="str">
        <f t="shared" si="168"/>
        <v/>
      </c>
      <c r="R943" s="333">
        <f t="shared" si="169"/>
        <v>43.010719857220991</v>
      </c>
      <c r="S943" s="307"/>
    </row>
    <row r="944" spans="1:19" ht="15.75" customHeight="1" x14ac:dyDescent="0.3">
      <c r="A944" s="377" t="s">
        <v>419</v>
      </c>
      <c r="B944" s="325">
        <f t="shared" si="170"/>
        <v>99.646985074048629</v>
      </c>
      <c r="C944" s="164">
        <f t="shared" si="170"/>
        <v>0.49823492537024316</v>
      </c>
      <c r="D944" s="164">
        <f t="shared" si="170"/>
        <v>4.2848203581840902</v>
      </c>
      <c r="E944" s="164">
        <f t="shared" si="170"/>
        <v>100.14521999941887</v>
      </c>
      <c r="F944" s="333">
        <f t="shared" si="170"/>
        <v>104.43004035760295</v>
      </c>
      <c r="G944" s="325">
        <f t="shared" si="170"/>
        <v>12.901638731555476</v>
      </c>
      <c r="H944" s="164">
        <f t="shared" si="170"/>
        <v>9.025537634408602</v>
      </c>
      <c r="I944" s="164">
        <f t="shared" si="170"/>
        <v>0</v>
      </c>
      <c r="J944" s="164">
        <f t="shared" si="170"/>
        <v>9.025537634408602</v>
      </c>
      <c r="K944" s="398">
        <f t="shared" si="170"/>
        <v>0</v>
      </c>
      <c r="L944" s="398">
        <f t="shared" si="170"/>
        <v>0</v>
      </c>
      <c r="M944" s="399">
        <f t="shared" si="170"/>
        <v>415.5</v>
      </c>
      <c r="N944" s="400">
        <f t="shared" si="170"/>
        <v>12.5</v>
      </c>
      <c r="O944" s="386">
        <f t="shared" si="170"/>
        <v>428</v>
      </c>
      <c r="P944" s="414">
        <f>+P917/(31*24)</f>
        <v>-345.49713600836111</v>
      </c>
      <c r="Q944" s="164" t="str">
        <f t="shared" si="168"/>
        <v/>
      </c>
      <c r="R944" s="333">
        <f t="shared" si="169"/>
        <v>345.49713600836111</v>
      </c>
      <c r="S944" s="307"/>
    </row>
    <row r="945" spans="1:19" ht="15.75" customHeight="1" x14ac:dyDescent="0.3">
      <c r="A945" s="377" t="s">
        <v>420</v>
      </c>
      <c r="B945" s="325">
        <f>+B918/(30*24)</f>
        <v>394.15698267946271</v>
      </c>
      <c r="C945" s="164">
        <f t="shared" ref="C945:O945" si="174">+C918/(30*24)</f>
        <v>1.9707849133973137</v>
      </c>
      <c r="D945" s="164">
        <f t="shared" si="174"/>
        <v>16.948750255216897</v>
      </c>
      <c r="E945" s="164">
        <f t="shared" si="174"/>
        <v>396.12776759286004</v>
      </c>
      <c r="F945" s="333">
        <f t="shared" si="174"/>
        <v>413.07651784807695</v>
      </c>
      <c r="G945" s="325">
        <f t="shared" si="174"/>
        <v>0</v>
      </c>
      <c r="H945" s="164">
        <f t="shared" si="174"/>
        <v>11.701388888888889</v>
      </c>
      <c r="I945" s="164">
        <f t="shared" si="174"/>
        <v>0</v>
      </c>
      <c r="J945" s="164">
        <f t="shared" si="174"/>
        <v>11.701388888888889</v>
      </c>
      <c r="K945" s="398">
        <f t="shared" si="174"/>
        <v>0</v>
      </c>
      <c r="L945" s="398">
        <f t="shared" si="174"/>
        <v>0</v>
      </c>
      <c r="M945" s="399">
        <f t="shared" si="174"/>
        <v>0</v>
      </c>
      <c r="N945" s="400">
        <f t="shared" si="174"/>
        <v>0</v>
      </c>
      <c r="O945" s="386">
        <f t="shared" si="174"/>
        <v>0</v>
      </c>
      <c r="P945" s="414">
        <f>+P918/(30*24)</f>
        <v>401.37512895918803</v>
      </c>
      <c r="Q945" s="164">
        <f t="shared" si="168"/>
        <v>401.37512895918803</v>
      </c>
      <c r="R945" s="333" t="str">
        <f t="shared" si="169"/>
        <v/>
      </c>
      <c r="S945" s="307"/>
    </row>
    <row r="946" spans="1:19" ht="16.5" customHeight="1" thickBot="1" x14ac:dyDescent="0.35">
      <c r="A946" s="404" t="s">
        <v>421</v>
      </c>
      <c r="B946" s="330">
        <f t="shared" si="170"/>
        <v>309.35118400879281</v>
      </c>
      <c r="C946" s="335">
        <f t="shared" si="170"/>
        <v>1.5467559200439642</v>
      </c>
      <c r="D946" s="335">
        <f t="shared" si="170"/>
        <v>13.302100912378091</v>
      </c>
      <c r="E946" s="335">
        <f t="shared" si="170"/>
        <v>310.89793992883676</v>
      </c>
      <c r="F946" s="405">
        <f t="shared" si="170"/>
        <v>324.2000408412149</v>
      </c>
      <c r="G946" s="330">
        <f t="shared" si="170"/>
        <v>0</v>
      </c>
      <c r="H946" s="335">
        <f t="shared" si="170"/>
        <v>10.174731182795698</v>
      </c>
      <c r="I946" s="335">
        <f t="shared" si="170"/>
        <v>0</v>
      </c>
      <c r="J946" s="335">
        <f t="shared" si="170"/>
        <v>10.174731182795698</v>
      </c>
      <c r="K946" s="464">
        <f t="shared" si="170"/>
        <v>0</v>
      </c>
      <c r="L946" s="464">
        <f t="shared" si="170"/>
        <v>0</v>
      </c>
      <c r="M946" s="451">
        <f t="shared" si="170"/>
        <v>305</v>
      </c>
      <c r="N946" s="410">
        <f t="shared" si="170"/>
        <v>87.666666666666671</v>
      </c>
      <c r="O946" s="407">
        <f t="shared" si="170"/>
        <v>392.66666666666669</v>
      </c>
      <c r="P946" s="415">
        <f>+P919/(31*24)</f>
        <v>-78.641357008247482</v>
      </c>
      <c r="Q946" s="335" t="str">
        <f t="shared" si="168"/>
        <v/>
      </c>
      <c r="R946" s="405">
        <f t="shared" si="169"/>
        <v>78.641357008247482</v>
      </c>
      <c r="S946" s="307"/>
    </row>
    <row r="947" spans="1:19" ht="15.75" customHeight="1" x14ac:dyDescent="0.3">
      <c r="A947" s="306"/>
      <c r="S947" s="307"/>
    </row>
    <row r="948" spans="1:19" ht="16.5" customHeight="1" thickBot="1" x14ac:dyDescent="0.35">
      <c r="A948" s="311"/>
      <c r="B948" s="312"/>
      <c r="C948" s="312"/>
      <c r="D948" s="312"/>
      <c r="E948" s="312"/>
      <c r="F948" s="312"/>
      <c r="G948" s="312"/>
      <c r="H948" s="312"/>
      <c r="I948" s="312"/>
      <c r="J948" s="312"/>
      <c r="K948" s="312"/>
      <c r="L948" s="312"/>
      <c r="M948" s="312"/>
      <c r="N948" s="312"/>
      <c r="O948" s="312"/>
      <c r="P948" s="312"/>
      <c r="Q948" s="312"/>
      <c r="R948" s="312"/>
      <c r="S948" s="313"/>
    </row>
    <row r="949" spans="1:19" ht="15.75" customHeight="1" x14ac:dyDescent="0.3"/>
    <row r="950" spans="1:19" ht="15.75" customHeight="1" x14ac:dyDescent="0.3"/>
    <row r="951" spans="1:19" ht="15.75" customHeight="1" x14ac:dyDescent="0.3"/>
    <row r="952" spans="1:19" ht="15.75" customHeight="1" x14ac:dyDescent="0.3"/>
    <row r="953" spans="1:19" ht="15.75" customHeight="1" x14ac:dyDescent="0.3"/>
    <row r="954" spans="1:19" ht="15.75" customHeight="1" x14ac:dyDescent="0.3"/>
    <row r="955" spans="1:19" ht="15.75" customHeight="1" x14ac:dyDescent="0.3"/>
    <row r="956" spans="1:19" ht="15.75" customHeight="1" x14ac:dyDescent="0.3"/>
    <row r="957" spans="1:19" ht="15.75" customHeight="1" x14ac:dyDescent="0.3"/>
    <row r="958" spans="1:19" ht="15.75" customHeight="1" x14ac:dyDescent="0.3"/>
    <row r="959" spans="1:19" ht="15.75" customHeight="1" x14ac:dyDescent="0.3"/>
    <row r="960" spans="1:19" ht="16.5" customHeight="1" thickBot="1" x14ac:dyDescent="0.35"/>
    <row r="961" spans="1:19" ht="15.75" customHeight="1" x14ac:dyDescent="0.35">
      <c r="A961" s="318"/>
      <c r="B961" s="319"/>
      <c r="C961" s="336"/>
      <c r="D961" s="336"/>
      <c r="E961" s="336"/>
      <c r="F961" s="336"/>
      <c r="G961" s="336"/>
      <c r="H961" s="321" t="s">
        <v>506</v>
      </c>
      <c r="I961" s="319"/>
      <c r="J961" s="319"/>
      <c r="K961" s="319"/>
      <c r="L961" s="319"/>
      <c r="M961" s="319"/>
      <c r="N961" s="319"/>
      <c r="O961" s="319"/>
      <c r="P961" s="319"/>
      <c r="Q961" s="321" t="str">
        <f>+Q1</f>
        <v>PRINTED:</v>
      </c>
      <c r="R961" s="331">
        <f ca="1">+R1</f>
        <v>44909.46975358796</v>
      </c>
      <c r="S961" s="332"/>
    </row>
    <row r="962" spans="1:19" ht="15.75" customHeight="1" x14ac:dyDescent="0.35">
      <c r="A962" s="323"/>
      <c r="B962" s="159"/>
      <c r="C962" s="167"/>
      <c r="D962" s="167"/>
      <c r="E962" s="167"/>
      <c r="F962" s="167"/>
      <c r="G962" s="167"/>
      <c r="H962" s="159" t="s">
        <v>424</v>
      </c>
      <c r="I962" s="159" t="s">
        <v>7</v>
      </c>
      <c r="J962" s="163" t="str">
        <f>+A9</f>
        <v>Revised:  1/22/2013</v>
      </c>
      <c r="K962" s="159"/>
      <c r="L962" s="159"/>
      <c r="M962" s="159"/>
      <c r="N962" s="159"/>
      <c r="O962" s="159"/>
      <c r="P962" s="159"/>
      <c r="Q962" s="159"/>
      <c r="R962" s="159"/>
      <c r="S962" s="307"/>
    </row>
    <row r="963" spans="1:19" ht="15.75" customHeight="1" x14ac:dyDescent="0.35">
      <c r="A963" s="323"/>
      <c r="B963" s="159"/>
      <c r="C963" s="167"/>
      <c r="D963" s="167"/>
      <c r="E963" s="167"/>
      <c r="F963" s="167"/>
      <c r="G963" s="167"/>
      <c r="H963" s="159" t="s">
        <v>387</v>
      </c>
      <c r="I963" s="159"/>
      <c r="J963" s="159"/>
      <c r="K963" s="159"/>
      <c r="L963" s="159"/>
      <c r="M963" s="159"/>
      <c r="N963" s="159"/>
      <c r="O963" s="159"/>
      <c r="P963" s="159"/>
      <c r="Q963" s="159"/>
      <c r="R963" s="159"/>
      <c r="S963" s="307"/>
    </row>
    <row r="964" spans="1:19" ht="15.75" customHeight="1" x14ac:dyDescent="0.35">
      <c r="A964" s="323"/>
      <c r="B964" s="159"/>
      <c r="C964" s="167"/>
      <c r="D964" s="167"/>
      <c r="E964" s="167"/>
      <c r="F964" s="167"/>
      <c r="G964" s="167"/>
      <c r="H964" s="159"/>
      <c r="I964" s="159"/>
      <c r="J964" s="159"/>
      <c r="K964" s="159"/>
      <c r="L964" s="159"/>
      <c r="M964" s="159"/>
      <c r="N964" s="159"/>
      <c r="O964" s="159"/>
      <c r="P964" s="159"/>
      <c r="Q964" s="159"/>
      <c r="R964" s="159"/>
      <c r="S964" s="307"/>
    </row>
    <row r="965" spans="1:19" ht="15.75" customHeight="1" x14ac:dyDescent="0.35">
      <c r="A965" s="323"/>
      <c r="B965" s="159"/>
      <c r="C965" s="167"/>
      <c r="D965" s="167"/>
      <c r="E965" s="167"/>
      <c r="F965" s="167"/>
      <c r="G965" s="167"/>
      <c r="H965" s="159" t="s">
        <v>424</v>
      </c>
      <c r="I965" s="159" t="str">
        <f>+A5</f>
        <v>Calendar Year 2012</v>
      </c>
      <c r="J965" s="159"/>
      <c r="K965" s="159"/>
      <c r="L965" s="159"/>
      <c r="M965" s="159"/>
      <c r="N965" s="159"/>
      <c r="O965" s="159"/>
      <c r="P965" s="159"/>
      <c r="Q965" s="159"/>
      <c r="R965" s="159"/>
      <c r="S965" s="307"/>
    </row>
    <row r="966" spans="1:19" ht="15.75" customHeight="1" x14ac:dyDescent="0.3">
      <c r="A966" s="323"/>
      <c r="B966" s="159"/>
      <c r="C966" s="159"/>
      <c r="D966" s="159"/>
      <c r="E966" s="159"/>
      <c r="F966" s="159"/>
      <c r="G966" s="159"/>
      <c r="H966" s="159"/>
      <c r="I966" s="159"/>
      <c r="J966" s="159"/>
      <c r="K966" s="159"/>
      <c r="L966" s="159"/>
      <c r="M966" s="159"/>
      <c r="N966" s="159"/>
      <c r="O966" s="159"/>
      <c r="P966" s="159"/>
      <c r="Q966" s="159"/>
      <c r="R966" s="159"/>
      <c r="S966" s="307"/>
    </row>
    <row r="967" spans="1:19" ht="15.75" customHeight="1" x14ac:dyDescent="0.3">
      <c r="A967" s="323"/>
      <c r="B967" s="159"/>
      <c r="C967" s="161" t="s">
        <v>507</v>
      </c>
      <c r="D967" s="159"/>
      <c r="E967" s="159"/>
      <c r="F967" s="159"/>
      <c r="G967" s="161" t="s">
        <v>508</v>
      </c>
      <c r="H967" s="159"/>
      <c r="I967" s="159"/>
      <c r="J967" s="159"/>
      <c r="K967" s="160" t="s">
        <v>509</v>
      </c>
      <c r="L967" s="159"/>
      <c r="M967" s="159"/>
      <c r="N967" s="159"/>
      <c r="O967" s="160" t="s">
        <v>510</v>
      </c>
      <c r="P967" s="159"/>
      <c r="Q967" s="159"/>
      <c r="R967" s="159"/>
      <c r="S967" s="307"/>
    </row>
    <row r="968" spans="1:19" ht="15.75" customHeight="1" x14ac:dyDescent="0.3">
      <c r="A968" s="323"/>
      <c r="B968" s="159"/>
      <c r="C968" s="159" t="str">
        <f>+A5</f>
        <v>Calendar Year 2012</v>
      </c>
      <c r="D968" s="159"/>
      <c r="E968" s="159"/>
      <c r="F968" s="159" t="s">
        <v>511</v>
      </c>
      <c r="G968" s="159"/>
      <c r="H968" s="159"/>
      <c r="I968" s="159"/>
      <c r="J968" s="159"/>
      <c r="K968" s="159" t="str">
        <f>+A5</f>
        <v>Calendar Year 2012</v>
      </c>
      <c r="L968" s="159"/>
      <c r="M968" s="159"/>
      <c r="N968" s="159"/>
      <c r="O968" s="159" t="str">
        <f>+A5</f>
        <v>Calendar Year 2012</v>
      </c>
      <c r="P968" s="159"/>
      <c r="Q968" s="159"/>
      <c r="R968" s="159"/>
      <c r="S968" s="307"/>
    </row>
    <row r="969" spans="1:19" ht="15.75" customHeight="1" x14ac:dyDescent="0.3">
      <c r="A969" s="323"/>
      <c r="B969" s="159"/>
      <c r="C969" s="159"/>
      <c r="D969" s="159"/>
      <c r="E969" s="159"/>
      <c r="F969" s="159"/>
      <c r="G969" s="159" t="str">
        <f>+A5</f>
        <v>Calendar Year 2012</v>
      </c>
      <c r="H969" s="159"/>
      <c r="I969" s="159"/>
      <c r="J969" s="159"/>
      <c r="K969" s="159"/>
      <c r="L969" s="159"/>
      <c r="M969" s="159"/>
      <c r="N969" s="159"/>
      <c r="O969" s="159"/>
      <c r="P969" s="159"/>
      <c r="Q969" s="159"/>
      <c r="R969" s="159"/>
      <c r="S969" s="307"/>
    </row>
    <row r="970" spans="1:19" ht="15.75" customHeight="1" x14ac:dyDescent="0.3">
      <c r="A970" s="323"/>
      <c r="B970" s="159"/>
      <c r="C970" s="164" t="s">
        <v>475</v>
      </c>
      <c r="D970" s="164" t="s">
        <v>512</v>
      </c>
      <c r="E970" s="164" t="s">
        <v>513</v>
      </c>
      <c r="F970" s="159"/>
      <c r="G970" s="164" t="s">
        <v>473</v>
      </c>
      <c r="H970" s="164" t="s">
        <v>512</v>
      </c>
      <c r="I970" s="164" t="s">
        <v>514</v>
      </c>
      <c r="J970" s="159"/>
      <c r="K970" s="164" t="s">
        <v>472</v>
      </c>
      <c r="L970" s="164" t="s">
        <v>512</v>
      </c>
      <c r="M970" s="164" t="s">
        <v>515</v>
      </c>
      <c r="N970" s="159"/>
      <c r="O970" s="164" t="s">
        <v>472</v>
      </c>
      <c r="P970" s="164" t="s">
        <v>512</v>
      </c>
      <c r="Q970" s="164" t="s">
        <v>515</v>
      </c>
      <c r="R970" s="159"/>
      <c r="S970" s="307"/>
    </row>
    <row r="971" spans="1:19" ht="15.75" customHeight="1" x14ac:dyDescent="0.3">
      <c r="A971" s="323"/>
      <c r="B971" s="159"/>
      <c r="C971" s="164" t="s">
        <v>483</v>
      </c>
      <c r="D971" s="164" t="s">
        <v>442</v>
      </c>
      <c r="E971" s="164" t="s">
        <v>462</v>
      </c>
      <c r="F971" s="159"/>
      <c r="G971" s="164" t="s">
        <v>481</v>
      </c>
      <c r="H971" s="164" t="s">
        <v>442</v>
      </c>
      <c r="I971" s="164" t="s">
        <v>462</v>
      </c>
      <c r="J971" s="159"/>
      <c r="K971" s="164" t="s">
        <v>480</v>
      </c>
      <c r="L971" s="164" t="s">
        <v>442</v>
      </c>
      <c r="M971" s="164" t="s">
        <v>462</v>
      </c>
      <c r="N971" s="159"/>
      <c r="O971" s="164" t="s">
        <v>480</v>
      </c>
      <c r="P971" s="164" t="s">
        <v>442</v>
      </c>
      <c r="Q971" s="164" t="s">
        <v>462</v>
      </c>
      <c r="R971" s="159"/>
      <c r="S971" s="307"/>
    </row>
    <row r="972" spans="1:19" ht="15.75" customHeight="1" x14ac:dyDescent="0.3">
      <c r="A972" s="323"/>
      <c r="B972" s="159"/>
      <c r="C972" s="164" t="s">
        <v>442</v>
      </c>
      <c r="D972" s="164" t="s">
        <v>439</v>
      </c>
      <c r="E972" s="164" t="s">
        <v>463</v>
      </c>
      <c r="F972" s="159"/>
      <c r="G972" s="164" t="s">
        <v>486</v>
      </c>
      <c r="H972" s="164" t="s">
        <v>439</v>
      </c>
      <c r="I972" s="164" t="s">
        <v>463</v>
      </c>
      <c r="J972" s="159"/>
      <c r="K972" s="164" t="s">
        <v>442</v>
      </c>
      <c r="L972" s="164" t="s">
        <v>439</v>
      </c>
      <c r="M972" s="164" t="s">
        <v>463</v>
      </c>
      <c r="N972" s="159"/>
      <c r="O972" s="164" t="s">
        <v>442</v>
      </c>
      <c r="P972" s="164" t="s">
        <v>439</v>
      </c>
      <c r="Q972" s="164" t="s">
        <v>463</v>
      </c>
      <c r="R972" s="159"/>
      <c r="S972" s="307"/>
    </row>
    <row r="973" spans="1:19" ht="15.75" customHeight="1" x14ac:dyDescent="0.3">
      <c r="A973" s="323"/>
      <c r="B973" s="159"/>
      <c r="C973" s="164" t="s">
        <v>448</v>
      </c>
      <c r="D973" s="164" t="s">
        <v>516</v>
      </c>
      <c r="E973" s="164" t="s">
        <v>464</v>
      </c>
      <c r="F973" s="159"/>
      <c r="G973" s="164" t="s">
        <v>448</v>
      </c>
      <c r="H973" s="164" t="s">
        <v>516</v>
      </c>
      <c r="I973" s="164" t="s">
        <v>464</v>
      </c>
      <c r="J973" s="159"/>
      <c r="K973" s="164" t="s">
        <v>448</v>
      </c>
      <c r="L973" s="164" t="s">
        <v>516</v>
      </c>
      <c r="M973" s="164" t="s">
        <v>464</v>
      </c>
      <c r="N973" s="159"/>
      <c r="O973" s="164" t="s">
        <v>448</v>
      </c>
      <c r="P973" s="164" t="s">
        <v>516</v>
      </c>
      <c r="Q973" s="164" t="s">
        <v>464</v>
      </c>
      <c r="R973" s="159"/>
      <c r="S973" s="307"/>
    </row>
    <row r="974" spans="1:19" ht="15.75" customHeight="1" x14ac:dyDescent="0.3">
      <c r="A974" s="323"/>
      <c r="B974" s="159"/>
      <c r="C974" s="159" t="s">
        <v>409</v>
      </c>
      <c r="D974" s="159" t="s">
        <v>409</v>
      </c>
      <c r="E974" s="159" t="s">
        <v>409</v>
      </c>
      <c r="F974" s="159"/>
      <c r="G974" s="164" t="s">
        <v>409</v>
      </c>
      <c r="H974" s="164" t="s">
        <v>409</v>
      </c>
      <c r="I974" s="164" t="s">
        <v>409</v>
      </c>
      <c r="J974" s="159"/>
      <c r="K974" s="159" t="s">
        <v>409</v>
      </c>
      <c r="L974" s="159" t="s">
        <v>409</v>
      </c>
      <c r="M974" s="159" t="s">
        <v>409</v>
      </c>
      <c r="N974" s="159"/>
      <c r="O974" s="159" t="s">
        <v>409</v>
      </c>
      <c r="P974" s="159" t="s">
        <v>409</v>
      </c>
      <c r="Q974" s="159" t="s">
        <v>409</v>
      </c>
      <c r="R974" s="159"/>
      <c r="S974" s="307"/>
    </row>
    <row r="975" spans="1:19" ht="15.75" customHeight="1" x14ac:dyDescent="0.3">
      <c r="A975" s="325" t="s">
        <v>410</v>
      </c>
      <c r="B975" s="159"/>
      <c r="C975" s="159">
        <f t="shared" ref="C975:C986" si="175">(P908)</f>
        <v>-6962.7952389765996</v>
      </c>
      <c r="D975" s="172">
        <v>0</v>
      </c>
      <c r="E975" s="168">
        <f t="shared" ref="E975:E986" si="176">(P908*D975/1000)</f>
        <v>0</v>
      </c>
      <c r="F975" s="159"/>
      <c r="G975" s="159">
        <v>0</v>
      </c>
      <c r="H975" s="172">
        <v>0</v>
      </c>
      <c r="I975" s="168">
        <f t="shared" ref="I975:I986" si="177">(G975*H975/1000)</f>
        <v>0</v>
      </c>
      <c r="J975" s="159"/>
      <c r="K975" s="447">
        <v>12856</v>
      </c>
      <c r="L975" s="448">
        <v>0</v>
      </c>
      <c r="M975" s="168">
        <f t="shared" ref="M975:M986" si="178">(K975*L975/1000)</f>
        <v>0</v>
      </c>
      <c r="N975" s="159"/>
      <c r="O975" s="447">
        <v>0</v>
      </c>
      <c r="P975" s="172">
        <v>0</v>
      </c>
      <c r="Q975" s="168">
        <f t="shared" ref="Q975:Q986" si="179">(O975*P975/1000)</f>
        <v>0</v>
      </c>
      <c r="R975" s="159"/>
      <c r="S975" s="307"/>
    </row>
    <row r="976" spans="1:19" ht="15.75" customHeight="1" x14ac:dyDescent="0.3">
      <c r="A976" s="325" t="s">
        <v>411</v>
      </c>
      <c r="B976" s="159"/>
      <c r="C976" s="159">
        <f t="shared" si="175"/>
        <v>32408.608847846277</v>
      </c>
      <c r="D976" s="172">
        <v>0</v>
      </c>
      <c r="E976" s="168">
        <f t="shared" si="176"/>
        <v>0</v>
      </c>
      <c r="F976" s="159"/>
      <c r="G976" s="159" t="e">
        <f>#REF!</f>
        <v>#REF!</v>
      </c>
      <c r="H976" s="172">
        <v>0</v>
      </c>
      <c r="I976" s="168" t="e">
        <f t="shared" si="177"/>
        <v>#REF!</v>
      </c>
      <c r="J976" s="159"/>
      <c r="K976" s="447">
        <v>14745</v>
      </c>
      <c r="L976" s="448">
        <v>0</v>
      </c>
      <c r="M976" s="168">
        <f t="shared" si="178"/>
        <v>0</v>
      </c>
      <c r="N976" s="159"/>
      <c r="O976" s="447">
        <v>0</v>
      </c>
      <c r="P976" s="172">
        <v>0</v>
      </c>
      <c r="Q976" s="168">
        <f t="shared" si="179"/>
        <v>0</v>
      </c>
      <c r="R976" s="159"/>
      <c r="S976" s="307"/>
    </row>
    <row r="977" spans="1:19" ht="15.75" customHeight="1" x14ac:dyDescent="0.3">
      <c r="A977" s="325" t="s">
        <v>412</v>
      </c>
      <c r="B977" s="159"/>
      <c r="C977" s="159">
        <f t="shared" si="175"/>
        <v>81.975506222806871</v>
      </c>
      <c r="D977" s="172">
        <v>0</v>
      </c>
      <c r="E977" s="168">
        <f t="shared" si="176"/>
        <v>0</v>
      </c>
      <c r="F977" s="159">
        <f>SUM(E975:E977)</f>
        <v>0</v>
      </c>
      <c r="G977" s="159" t="e">
        <f>#REF!</f>
        <v>#REF!</v>
      </c>
      <c r="H977" s="172">
        <v>0</v>
      </c>
      <c r="I977" s="168" t="e">
        <f t="shared" si="177"/>
        <v>#REF!</v>
      </c>
      <c r="J977" s="159" t="e">
        <f>SUM(I975:I977)</f>
        <v>#REF!</v>
      </c>
      <c r="K977" s="447">
        <v>16776</v>
      </c>
      <c r="L977" s="448">
        <v>0</v>
      </c>
      <c r="M977" s="168">
        <f t="shared" si="178"/>
        <v>0</v>
      </c>
      <c r="N977" s="159">
        <f>SUM(M975:M977)</f>
        <v>0</v>
      </c>
      <c r="O977" s="447">
        <v>0</v>
      </c>
      <c r="P977" s="172">
        <v>0</v>
      </c>
      <c r="Q977" s="168">
        <f t="shared" si="179"/>
        <v>0</v>
      </c>
      <c r="R977" s="159">
        <f>SUM(Q975:Q977)</f>
        <v>0</v>
      </c>
      <c r="S977" s="307"/>
    </row>
    <row r="978" spans="1:19" ht="15.75" customHeight="1" x14ac:dyDescent="0.3">
      <c r="A978" s="325" t="s">
        <v>413</v>
      </c>
      <c r="B978" s="159"/>
      <c r="C978" s="159">
        <f t="shared" si="175"/>
        <v>29432.136625649524</v>
      </c>
      <c r="D978" s="172">
        <v>0</v>
      </c>
      <c r="E978" s="168">
        <f t="shared" si="176"/>
        <v>0</v>
      </c>
      <c r="F978" s="159"/>
      <c r="G978" s="159" t="e">
        <f>#REF!</f>
        <v>#REF!</v>
      </c>
      <c r="H978" s="172">
        <v>0</v>
      </c>
      <c r="I978" s="168" t="e">
        <f t="shared" si="177"/>
        <v>#REF!</v>
      </c>
      <c r="J978" s="159"/>
      <c r="K978" s="447">
        <v>20692</v>
      </c>
      <c r="L978" s="448">
        <v>0</v>
      </c>
      <c r="M978" s="168">
        <f t="shared" si="178"/>
        <v>0</v>
      </c>
      <c r="N978" s="159"/>
      <c r="O978" s="447">
        <v>0</v>
      </c>
      <c r="P978" s="172">
        <v>0</v>
      </c>
      <c r="Q978" s="168">
        <f t="shared" si="179"/>
        <v>0</v>
      </c>
      <c r="R978" s="159"/>
      <c r="S978" s="307"/>
    </row>
    <row r="979" spans="1:19" ht="15.75" customHeight="1" x14ac:dyDescent="0.3">
      <c r="A979" s="325" t="s">
        <v>414</v>
      </c>
      <c r="B979" s="159"/>
      <c r="C979" s="159">
        <f t="shared" si="175"/>
        <v>7554.3131473005633</v>
      </c>
      <c r="D979" s="172">
        <v>0</v>
      </c>
      <c r="E979" s="168">
        <f t="shared" si="176"/>
        <v>0</v>
      </c>
      <c r="F979" s="159"/>
      <c r="G979" s="159" t="e">
        <f>#REF!</f>
        <v>#REF!</v>
      </c>
      <c r="H979" s="172">
        <v>0</v>
      </c>
      <c r="I979" s="168" t="e">
        <f t="shared" si="177"/>
        <v>#REF!</v>
      </c>
      <c r="J979" s="159"/>
      <c r="K979" s="447">
        <v>16816</v>
      </c>
      <c r="L979" s="448">
        <v>0</v>
      </c>
      <c r="M979" s="168">
        <f t="shared" si="178"/>
        <v>0</v>
      </c>
      <c r="N979" s="159"/>
      <c r="O979" s="447">
        <v>0</v>
      </c>
      <c r="P979" s="172">
        <v>0</v>
      </c>
      <c r="Q979" s="168">
        <f t="shared" si="179"/>
        <v>0</v>
      </c>
      <c r="R979" s="159"/>
      <c r="S979" s="307"/>
    </row>
    <row r="980" spans="1:19" ht="15.75" customHeight="1" x14ac:dyDescent="0.3">
      <c r="A980" s="325" t="s">
        <v>415</v>
      </c>
      <c r="B980" s="159"/>
      <c r="C980" s="159">
        <f t="shared" si="175"/>
        <v>-20422.707967861352</v>
      </c>
      <c r="D980" s="172">
        <v>0</v>
      </c>
      <c r="E980" s="168">
        <f t="shared" si="176"/>
        <v>0</v>
      </c>
      <c r="F980" s="159">
        <f>SUM(E978:E980)</f>
        <v>0</v>
      </c>
      <c r="G980" s="159" t="e">
        <f>#REF!</f>
        <v>#REF!</v>
      </c>
      <c r="H980" s="172">
        <v>0</v>
      </c>
      <c r="I980" s="168" t="e">
        <f t="shared" si="177"/>
        <v>#REF!</v>
      </c>
      <c r="J980" s="159" t="e">
        <f>SUM(I978:I980)</f>
        <v>#REF!</v>
      </c>
      <c r="K980" s="447">
        <v>15424</v>
      </c>
      <c r="L980" s="448">
        <v>0</v>
      </c>
      <c r="M980" s="168">
        <f t="shared" si="178"/>
        <v>0</v>
      </c>
      <c r="N980" s="159">
        <f>SUM(M978:M980)</f>
        <v>0</v>
      </c>
      <c r="O980" s="447">
        <v>0</v>
      </c>
      <c r="P980" s="172">
        <v>0</v>
      </c>
      <c r="Q980" s="168">
        <f t="shared" si="179"/>
        <v>0</v>
      </c>
      <c r="R980" s="159">
        <f>SUM(Q978:Q980)</f>
        <v>0</v>
      </c>
      <c r="S980" s="307"/>
    </row>
    <row r="981" spans="1:19" ht="15.75" customHeight="1" x14ac:dyDescent="0.3">
      <c r="A981" s="325" t="s">
        <v>416</v>
      </c>
      <c r="B981" s="159"/>
      <c r="C981" s="159">
        <f t="shared" si="175"/>
        <v>33017.376325000834</v>
      </c>
      <c r="D981" s="172">
        <v>0</v>
      </c>
      <c r="E981" s="168">
        <f t="shared" si="176"/>
        <v>0</v>
      </c>
      <c r="F981" s="159"/>
      <c r="G981" s="159" t="e">
        <f>#REF!</f>
        <v>#REF!</v>
      </c>
      <c r="H981" s="172">
        <v>0</v>
      </c>
      <c r="I981" s="168" t="e">
        <f t="shared" si="177"/>
        <v>#REF!</v>
      </c>
      <c r="J981" s="159"/>
      <c r="K981" s="447">
        <v>14843</v>
      </c>
      <c r="L981" s="448">
        <v>0</v>
      </c>
      <c r="M981" s="168">
        <f t="shared" si="178"/>
        <v>0</v>
      </c>
      <c r="N981" s="159"/>
      <c r="O981" s="447">
        <v>0</v>
      </c>
      <c r="P981" s="172">
        <v>0</v>
      </c>
      <c r="Q981" s="168">
        <f t="shared" si="179"/>
        <v>0</v>
      </c>
      <c r="R981" s="159"/>
      <c r="S981" s="307"/>
    </row>
    <row r="982" spans="1:19" ht="15.75" customHeight="1" x14ac:dyDescent="0.3">
      <c r="A982" s="325" t="s">
        <v>417</v>
      </c>
      <c r="B982" s="159"/>
      <c r="C982" s="159">
        <f t="shared" si="175"/>
        <v>66536.077532410243</v>
      </c>
      <c r="D982" s="172">
        <v>0</v>
      </c>
      <c r="E982" s="168">
        <f t="shared" si="176"/>
        <v>0</v>
      </c>
      <c r="F982" s="159"/>
      <c r="G982" s="159" t="e">
        <f>#REF!</f>
        <v>#REF!</v>
      </c>
      <c r="H982" s="172">
        <v>0</v>
      </c>
      <c r="I982" s="168" t="e">
        <f t="shared" si="177"/>
        <v>#REF!</v>
      </c>
      <c r="J982" s="159"/>
      <c r="K982" s="447">
        <v>12390</v>
      </c>
      <c r="L982" s="448">
        <v>0</v>
      </c>
      <c r="M982" s="168">
        <f t="shared" si="178"/>
        <v>0</v>
      </c>
      <c r="N982" s="159"/>
      <c r="O982" s="447">
        <v>0</v>
      </c>
      <c r="P982" s="172">
        <v>0</v>
      </c>
      <c r="Q982" s="168">
        <f t="shared" si="179"/>
        <v>0</v>
      </c>
      <c r="R982" s="159"/>
      <c r="S982" s="307"/>
    </row>
    <row r="983" spans="1:19" ht="15.75" customHeight="1" x14ac:dyDescent="0.3">
      <c r="A983" s="325" t="s">
        <v>418</v>
      </c>
      <c r="B983" s="159"/>
      <c r="C983" s="159">
        <f t="shared" si="175"/>
        <v>-30967.718297199113</v>
      </c>
      <c r="D983" s="172">
        <v>0</v>
      </c>
      <c r="E983" s="168">
        <f t="shared" si="176"/>
        <v>0</v>
      </c>
      <c r="F983" s="159">
        <f>SUM(E981:E983)</f>
        <v>0</v>
      </c>
      <c r="G983" s="159" t="e">
        <f>#REF!</f>
        <v>#REF!</v>
      </c>
      <c r="H983" s="172">
        <v>0</v>
      </c>
      <c r="I983" s="168" t="e">
        <f t="shared" si="177"/>
        <v>#REF!</v>
      </c>
      <c r="J983" s="159" t="e">
        <f>SUM(I981:I983)</f>
        <v>#REF!</v>
      </c>
      <c r="K983" s="447">
        <v>5923</v>
      </c>
      <c r="L983" s="448">
        <v>0</v>
      </c>
      <c r="M983" s="168">
        <f t="shared" si="178"/>
        <v>0</v>
      </c>
      <c r="N983" s="159">
        <f>SUM(M981:M983)</f>
        <v>0</v>
      </c>
      <c r="O983" s="447">
        <v>0</v>
      </c>
      <c r="P983" s="172">
        <v>0</v>
      </c>
      <c r="Q983" s="168">
        <f t="shared" si="179"/>
        <v>0</v>
      </c>
      <c r="R983" s="159">
        <f>SUM(Q981:Q983)</f>
        <v>0</v>
      </c>
      <c r="S983" s="307"/>
    </row>
    <row r="984" spans="1:19" ht="15.75" customHeight="1" x14ac:dyDescent="0.3">
      <c r="A984" s="325" t="s">
        <v>419</v>
      </c>
      <c r="B984" s="159"/>
      <c r="C984" s="159">
        <f t="shared" si="175"/>
        <v>-257049.86919022066</v>
      </c>
      <c r="D984" s="172">
        <v>0</v>
      </c>
      <c r="E984" s="168">
        <f t="shared" si="176"/>
        <v>0</v>
      </c>
      <c r="F984" s="159"/>
      <c r="G984" s="159" t="e">
        <f>#REF!</f>
        <v>#REF!</v>
      </c>
      <c r="H984" s="172">
        <v>0</v>
      </c>
      <c r="I984" s="168" t="e">
        <f t="shared" si="177"/>
        <v>#REF!</v>
      </c>
      <c r="J984" s="159"/>
      <c r="K984" s="447">
        <v>6715</v>
      </c>
      <c r="L984" s="448">
        <v>0</v>
      </c>
      <c r="M984" s="168">
        <f t="shared" si="178"/>
        <v>0</v>
      </c>
      <c r="N984" s="159"/>
      <c r="O984" s="447">
        <v>0</v>
      </c>
      <c r="P984" s="172">
        <v>0</v>
      </c>
      <c r="Q984" s="168">
        <f t="shared" si="179"/>
        <v>0</v>
      </c>
      <c r="R984" s="159"/>
      <c r="S984" s="307"/>
    </row>
    <row r="985" spans="1:19" ht="15.75" customHeight="1" x14ac:dyDescent="0.3">
      <c r="A985" s="325" t="s">
        <v>420</v>
      </c>
      <c r="B985" s="159"/>
      <c r="C985" s="159">
        <f t="shared" si="175"/>
        <v>288990.09285061539</v>
      </c>
      <c r="D985" s="172">
        <v>0</v>
      </c>
      <c r="E985" s="168">
        <f t="shared" si="176"/>
        <v>0</v>
      </c>
      <c r="F985" s="159"/>
      <c r="G985" s="159" t="e">
        <f>#REF!</f>
        <v>#REF!</v>
      </c>
      <c r="H985" s="172">
        <v>0</v>
      </c>
      <c r="I985" s="168" t="e">
        <f t="shared" si="177"/>
        <v>#REF!</v>
      </c>
      <c r="J985" s="159"/>
      <c r="K985" s="447">
        <v>8425</v>
      </c>
      <c r="L985" s="448">
        <v>0</v>
      </c>
      <c r="M985" s="168">
        <f t="shared" si="178"/>
        <v>0</v>
      </c>
      <c r="N985" s="159"/>
      <c r="O985" s="447">
        <v>0</v>
      </c>
      <c r="P985" s="172">
        <v>0</v>
      </c>
      <c r="Q985" s="168">
        <f t="shared" si="179"/>
        <v>0</v>
      </c>
      <c r="R985" s="159"/>
      <c r="S985" s="307"/>
    </row>
    <row r="986" spans="1:19" ht="15.75" customHeight="1" x14ac:dyDescent="0.3">
      <c r="A986" s="325" t="s">
        <v>421</v>
      </c>
      <c r="B986" s="159"/>
      <c r="C986" s="159">
        <f t="shared" si="175"/>
        <v>-58509.169614136132</v>
      </c>
      <c r="D986" s="172">
        <v>0</v>
      </c>
      <c r="E986" s="168">
        <f t="shared" si="176"/>
        <v>0</v>
      </c>
      <c r="F986" s="159">
        <f>SUM(E984:E986)</f>
        <v>0</v>
      </c>
      <c r="G986" s="159" t="e">
        <f>#REF!</f>
        <v>#REF!</v>
      </c>
      <c r="H986" s="172">
        <v>0</v>
      </c>
      <c r="I986" s="168" t="e">
        <f t="shared" si="177"/>
        <v>#REF!</v>
      </c>
      <c r="J986" s="159" t="e">
        <f>SUM(I984:I986)</f>
        <v>#REF!</v>
      </c>
      <c r="K986" s="447">
        <v>7570</v>
      </c>
      <c r="L986" s="448">
        <v>0</v>
      </c>
      <c r="M986" s="168">
        <f t="shared" si="178"/>
        <v>0</v>
      </c>
      <c r="N986" s="159">
        <f>SUM(M984:M986)</f>
        <v>0</v>
      </c>
      <c r="O986" s="447">
        <v>0</v>
      </c>
      <c r="P986" s="172">
        <v>0</v>
      </c>
      <c r="Q986" s="168">
        <f t="shared" si="179"/>
        <v>0</v>
      </c>
      <c r="R986" s="159">
        <f>SUM(Q984:Q986)</f>
        <v>0</v>
      </c>
      <c r="S986" s="307"/>
    </row>
    <row r="987" spans="1:19" ht="15.75" customHeight="1" x14ac:dyDescent="0.3">
      <c r="A987" s="323"/>
      <c r="B987" s="159"/>
      <c r="C987" s="159"/>
      <c r="D987" s="159"/>
      <c r="E987" s="159"/>
      <c r="F987" s="159"/>
      <c r="G987" s="159"/>
      <c r="H987" s="159"/>
      <c r="I987" s="159"/>
      <c r="J987" s="159"/>
      <c r="K987" s="159"/>
      <c r="L987" s="159"/>
      <c r="M987" s="159"/>
      <c r="N987" s="159"/>
      <c r="O987" s="159"/>
      <c r="P987" s="159"/>
      <c r="Q987" s="159"/>
      <c r="R987" s="159"/>
      <c r="S987" s="307"/>
    </row>
    <row r="988" spans="1:19" ht="15.75" customHeight="1" x14ac:dyDescent="0.3">
      <c r="A988" s="323"/>
      <c r="B988" s="159"/>
      <c r="C988" s="159"/>
      <c r="D988" s="159"/>
      <c r="E988" s="159"/>
      <c r="F988" s="159"/>
      <c r="G988" s="159"/>
      <c r="H988" s="159"/>
      <c r="I988" s="159"/>
      <c r="J988" s="159"/>
      <c r="K988" s="159"/>
      <c r="L988" s="159"/>
      <c r="M988" s="159"/>
      <c r="N988" s="159"/>
      <c r="O988" s="159"/>
      <c r="P988" s="159"/>
      <c r="Q988" s="159"/>
      <c r="R988" s="159"/>
      <c r="S988" s="307"/>
    </row>
    <row r="989" spans="1:19" ht="16.5" customHeight="1" thickBot="1" x14ac:dyDescent="0.35">
      <c r="A989" s="326" t="s">
        <v>422</v>
      </c>
      <c r="B989" s="327"/>
      <c r="C989" s="327">
        <f>SUM(C975:C986)</f>
        <v>84108.320526651776</v>
      </c>
      <c r="D989" s="327"/>
      <c r="E989" s="337">
        <f>SUM(E975:E986)</f>
        <v>0</v>
      </c>
      <c r="F989" s="327"/>
      <c r="G989" s="327" t="e">
        <f>SUM(G975:G986)</f>
        <v>#REF!</v>
      </c>
      <c r="H989" s="327" t="s">
        <v>424</v>
      </c>
      <c r="I989" s="337" t="e">
        <f>SUM(I975:I986)</f>
        <v>#REF!</v>
      </c>
      <c r="J989" s="327"/>
      <c r="K989" s="327">
        <f>SUM(K975:K986)</f>
        <v>153175</v>
      </c>
      <c r="L989" s="327" t="s">
        <v>424</v>
      </c>
      <c r="M989" s="337">
        <f>SUM(M975:M986)</f>
        <v>0</v>
      </c>
      <c r="N989" s="327"/>
      <c r="O989" s="327">
        <f>(SUM(O975:O986))</f>
        <v>0</v>
      </c>
      <c r="P989" s="327" t="s">
        <v>424</v>
      </c>
      <c r="Q989" s="337">
        <f>SUM(Q975:Q986)</f>
        <v>0</v>
      </c>
      <c r="R989" s="327"/>
      <c r="S989" s="313"/>
    </row>
    <row r="990" spans="1:19" x14ac:dyDescent="0.3">
      <c r="P990" s="4" t="s">
        <v>1183</v>
      </c>
    </row>
  </sheetData>
  <mergeCells count="31">
    <mergeCell ref="M930:O930"/>
    <mergeCell ref="M903:O903"/>
    <mergeCell ref="A928:P928"/>
    <mergeCell ref="B929:F929"/>
    <mergeCell ref="G929:L929"/>
    <mergeCell ref="M929:O929"/>
    <mergeCell ref="P929:R929"/>
    <mergeCell ref="A900:P900"/>
    <mergeCell ref="A901:P901"/>
    <mergeCell ref="B902:F902"/>
    <mergeCell ref="G902:L902"/>
    <mergeCell ref="M902:O902"/>
    <mergeCell ref="P902:R902"/>
    <mergeCell ref="A899:P899"/>
    <mergeCell ref="A700:R700"/>
    <mergeCell ref="A701:R701"/>
    <mergeCell ref="A702:R702"/>
    <mergeCell ref="A703:R703"/>
    <mergeCell ref="A705:R705"/>
    <mergeCell ref="A741:R741"/>
    <mergeCell ref="A742:R742"/>
    <mergeCell ref="A743:R743"/>
    <mergeCell ref="A744:R744"/>
    <mergeCell ref="A746:R746"/>
    <mergeCell ref="A898:P898"/>
    <mergeCell ref="A9:R9"/>
    <mergeCell ref="A2:R2"/>
    <mergeCell ref="A3:R3"/>
    <mergeCell ref="A4:R4"/>
    <mergeCell ref="A5:R5"/>
    <mergeCell ref="A7:R7"/>
  </mergeCells>
  <conditionalFormatting sqref="P908:P921">
    <cfRule type="cellIs" dxfId="3" priority="3" operator="lessThan">
      <formula>0</formula>
    </cfRule>
    <cfRule type="cellIs" dxfId="2" priority="4" operator="greaterThan">
      <formula>0</formula>
    </cfRule>
  </conditionalFormatting>
  <conditionalFormatting sqref="P935:P946">
    <cfRule type="cellIs" dxfId="1" priority="1" operator="lessThan">
      <formula>0</formula>
    </cfRule>
    <cfRule type="cellIs" dxfId="0" priority="2" operator="greaterThan">
      <formula>0</formula>
    </cfRule>
  </conditionalFormatting>
  <printOptions horizontalCentered="1"/>
  <pageMargins left="0.25" right="0.25" top="0.25" bottom="0.25" header="0" footer="0"/>
  <pageSetup paperSize="17" scale="10" orientation="landscape" r:id="rId1"/>
  <headerFooter alignWithMargins="0"/>
  <rowBreaks count="6" manualBreakCount="6">
    <brk id="697" max="17" man="1"/>
    <brk id="737" max="17" man="1"/>
    <brk id="788" max="18" man="1"/>
    <brk id="819" max="18" man="1"/>
    <brk id="843" max="18" man="1"/>
    <brk id="870" max="18"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83AEF-93CF-4E8C-BBA9-8B1FA560BB56}">
  <sheetPr codeName="Sheet1"/>
  <dimension ref="A1:AD948"/>
  <sheetViews>
    <sheetView topLeftCell="A735" zoomScale="65" zoomScaleNormal="65" workbookViewId="0">
      <selection activeCell="C750" sqref="C750"/>
    </sheetView>
  </sheetViews>
  <sheetFormatPr defaultColWidth="8.77734375" defaultRowHeight="15.6" x14ac:dyDescent="0.3"/>
  <cols>
    <col min="1" max="1" width="44.77734375" style="4" customWidth="1"/>
    <col min="2" max="3" width="13" style="4" bestFit="1" customWidth="1"/>
    <col min="4" max="4" width="15" style="4" bestFit="1" customWidth="1"/>
    <col min="5" max="5" width="13.5546875" style="4" customWidth="1"/>
    <col min="6" max="8" width="11.21875" style="4" bestFit="1" customWidth="1"/>
    <col min="9" max="9" width="11.6640625" style="4" bestFit="1" customWidth="1"/>
    <col min="10" max="12" width="11.21875" style="4" bestFit="1" customWidth="1"/>
    <col min="13" max="13" width="11.6640625" style="4" bestFit="1" customWidth="1"/>
    <col min="14" max="16" width="11.21875" style="4" bestFit="1" customWidth="1"/>
    <col min="17" max="18" width="13.109375" style="4" customWidth="1"/>
    <col min="19" max="16384" width="8.77734375" style="4"/>
  </cols>
  <sheetData>
    <row r="1" spans="1:18" x14ac:dyDescent="0.3">
      <c r="A1" s="1"/>
      <c r="B1" s="1"/>
      <c r="C1" s="1"/>
      <c r="D1" s="1"/>
      <c r="E1" s="1"/>
      <c r="F1" s="1"/>
      <c r="G1" s="1"/>
      <c r="H1" s="1"/>
      <c r="I1" s="1"/>
      <c r="J1" s="1"/>
      <c r="K1" s="1"/>
      <c r="L1" s="1"/>
      <c r="M1" s="1"/>
      <c r="N1" s="1"/>
      <c r="O1" s="1"/>
      <c r="P1" s="1"/>
      <c r="Q1" s="2" t="s">
        <v>0</v>
      </c>
      <c r="R1" s="3">
        <f ca="1">NOW()</f>
        <v>44909.46975358796</v>
      </c>
    </row>
    <row r="2" spans="1:18" ht="19.8" x14ac:dyDescent="0.35">
      <c r="A2" s="500" t="s">
        <v>1</v>
      </c>
      <c r="B2" s="500"/>
      <c r="C2" s="500"/>
      <c r="D2" s="500"/>
      <c r="E2" s="500"/>
      <c r="F2" s="500"/>
      <c r="G2" s="500"/>
      <c r="H2" s="500"/>
      <c r="I2" s="500"/>
      <c r="J2" s="500"/>
      <c r="K2" s="500"/>
      <c r="L2" s="500"/>
      <c r="M2" s="500"/>
      <c r="N2" s="500"/>
      <c r="O2" s="500"/>
      <c r="P2" s="500"/>
      <c r="Q2" s="500"/>
      <c r="R2" s="500"/>
    </row>
    <row r="3" spans="1:18" ht="19.8" x14ac:dyDescent="0.35">
      <c r="A3" s="500" t="s">
        <v>2</v>
      </c>
      <c r="B3" s="500"/>
      <c r="C3" s="500"/>
      <c r="D3" s="500"/>
      <c r="E3" s="500"/>
      <c r="F3" s="500"/>
      <c r="G3" s="500"/>
      <c r="H3" s="500"/>
      <c r="I3" s="500"/>
      <c r="J3" s="500"/>
      <c r="K3" s="500"/>
      <c r="L3" s="500"/>
      <c r="M3" s="500"/>
      <c r="N3" s="500"/>
      <c r="O3" s="500"/>
      <c r="P3" s="500"/>
      <c r="Q3" s="500"/>
      <c r="R3" s="500"/>
    </row>
    <row r="4" spans="1:18" ht="18" x14ac:dyDescent="0.35">
      <c r="A4" s="501" t="s">
        <v>3</v>
      </c>
      <c r="B4" s="501"/>
      <c r="C4" s="501"/>
      <c r="D4" s="501"/>
      <c r="E4" s="501"/>
      <c r="F4" s="501"/>
      <c r="G4" s="501"/>
      <c r="H4" s="501"/>
      <c r="I4" s="501"/>
      <c r="J4" s="501"/>
      <c r="K4" s="501"/>
      <c r="L4" s="501"/>
      <c r="M4" s="501"/>
      <c r="N4" s="501"/>
      <c r="O4" s="501"/>
      <c r="P4" s="501"/>
      <c r="Q4" s="501"/>
      <c r="R4" s="501"/>
    </row>
    <row r="5" spans="1:18" ht="18" x14ac:dyDescent="0.35">
      <c r="A5" s="501" t="s">
        <v>678</v>
      </c>
      <c r="B5" s="501"/>
      <c r="C5" s="501"/>
      <c r="D5" s="501"/>
      <c r="E5" s="501"/>
      <c r="F5" s="501"/>
      <c r="G5" s="501"/>
      <c r="H5" s="501"/>
      <c r="I5" s="501"/>
      <c r="J5" s="501"/>
      <c r="K5" s="501"/>
      <c r="L5" s="501"/>
      <c r="M5" s="501"/>
      <c r="N5" s="501"/>
      <c r="O5" s="501"/>
      <c r="P5" s="501"/>
      <c r="Q5" s="501"/>
      <c r="R5" s="501"/>
    </row>
    <row r="6" spans="1:18" x14ac:dyDescent="0.3">
      <c r="A6" s="1"/>
      <c r="B6" s="1"/>
      <c r="C6" s="1"/>
      <c r="D6" s="5"/>
      <c r="E6" s="5"/>
      <c r="F6" s="5"/>
      <c r="G6" s="6"/>
      <c r="H6" s="5"/>
      <c r="I6" s="5"/>
      <c r="J6" s="6"/>
      <c r="K6" s="6"/>
      <c r="L6" s="6"/>
      <c r="M6" s="6"/>
      <c r="N6" s="1"/>
      <c r="O6" s="6"/>
      <c r="P6" s="6"/>
      <c r="Q6" s="6"/>
      <c r="R6" s="6"/>
    </row>
    <row r="7" spans="1:18" ht="18" x14ac:dyDescent="0.35">
      <c r="A7" s="501" t="s">
        <v>679</v>
      </c>
      <c r="B7" s="501"/>
      <c r="C7" s="501"/>
      <c r="D7" s="501"/>
      <c r="E7" s="501"/>
      <c r="F7" s="501"/>
      <c r="G7" s="501"/>
      <c r="H7" s="501"/>
      <c r="I7" s="501"/>
      <c r="J7" s="501"/>
      <c r="K7" s="501"/>
      <c r="L7" s="501"/>
      <c r="M7" s="501"/>
      <c r="N7" s="501"/>
      <c r="O7" s="501"/>
      <c r="P7" s="501"/>
      <c r="Q7" s="501"/>
      <c r="R7" s="501"/>
    </row>
    <row r="8" spans="1:18" ht="18" x14ac:dyDescent="0.35">
      <c r="A8" s="296"/>
      <c r="B8" s="296"/>
      <c r="C8" s="296"/>
      <c r="D8" s="296"/>
      <c r="E8" s="296"/>
      <c r="F8" s="296"/>
      <c r="G8" s="296"/>
      <c r="H8" s="296"/>
      <c r="I8" s="296"/>
      <c r="J8" s="296"/>
      <c r="K8" s="296"/>
      <c r="L8" s="296"/>
      <c r="M8" s="296"/>
      <c r="N8" s="296"/>
      <c r="O8" s="296"/>
      <c r="P8" s="296"/>
      <c r="Q8" s="296"/>
      <c r="R8" s="296"/>
    </row>
    <row r="9" spans="1:18" x14ac:dyDescent="0.3">
      <c r="A9" s="499" t="s">
        <v>680</v>
      </c>
      <c r="B9" s="499"/>
      <c r="C9" s="499"/>
      <c r="D9" s="499"/>
      <c r="E9" s="499"/>
      <c r="F9" s="499"/>
      <c r="G9" s="499"/>
      <c r="H9" s="499"/>
      <c r="I9" s="499"/>
      <c r="J9" s="499"/>
      <c r="K9" s="499"/>
      <c r="L9" s="499"/>
      <c r="M9" s="499"/>
      <c r="N9" s="499"/>
      <c r="O9" s="499"/>
      <c r="P9" s="499"/>
      <c r="Q9" s="499"/>
      <c r="R9" s="499"/>
    </row>
    <row r="10" spans="1:18" x14ac:dyDescent="0.3">
      <c r="A10" s="5"/>
      <c r="B10" s="6"/>
      <c r="C10" s="6"/>
      <c r="D10" s="6"/>
      <c r="E10" s="6"/>
      <c r="F10" s="6"/>
      <c r="G10" s="6"/>
      <c r="H10" s="6"/>
      <c r="I10" s="6"/>
      <c r="J10" s="6"/>
      <c r="K10" s="6"/>
      <c r="L10" s="6"/>
      <c r="M10" s="6"/>
      <c r="N10" s="6"/>
      <c r="O10" s="6"/>
      <c r="P10" s="6"/>
      <c r="Q10" s="6"/>
      <c r="R10" s="6"/>
    </row>
    <row r="11" spans="1:18" ht="16.2" thickBot="1" x14ac:dyDescent="0.35">
      <c r="A11" s="1"/>
      <c r="B11" s="1"/>
      <c r="C11" s="1"/>
      <c r="D11" s="1"/>
      <c r="E11" s="1"/>
      <c r="F11" s="1"/>
      <c r="G11" s="1"/>
      <c r="H11" s="1"/>
      <c r="I11" s="1"/>
      <c r="J11" s="1"/>
      <c r="K11" s="1"/>
      <c r="L11" s="1"/>
      <c r="M11" s="1"/>
      <c r="N11" s="1"/>
      <c r="O11" s="1"/>
      <c r="P11" s="1"/>
      <c r="Q11" s="1"/>
      <c r="R11" s="1"/>
    </row>
    <row r="12" spans="1:18" ht="16.2" thickBot="1" x14ac:dyDescent="0.35">
      <c r="A12" s="297" t="s">
        <v>7</v>
      </c>
      <c r="B12" s="298" t="s">
        <v>8</v>
      </c>
      <c r="C12" s="48" t="s">
        <v>9</v>
      </c>
      <c r="D12" s="48" t="s">
        <v>10</v>
      </c>
      <c r="E12" s="32" t="s">
        <v>11</v>
      </c>
      <c r="F12" s="48" t="s">
        <v>12</v>
      </c>
      <c r="G12" s="48" t="s">
        <v>13</v>
      </c>
      <c r="H12" s="48" t="s">
        <v>14</v>
      </c>
      <c r="I12" s="32" t="s">
        <v>15</v>
      </c>
      <c r="J12" s="48" t="s">
        <v>16</v>
      </c>
      <c r="K12" s="48" t="s">
        <v>17</v>
      </c>
      <c r="L12" s="48" t="s">
        <v>18</v>
      </c>
      <c r="M12" s="32" t="s">
        <v>19</v>
      </c>
      <c r="N12" s="48" t="s">
        <v>20</v>
      </c>
      <c r="O12" s="48" t="s">
        <v>21</v>
      </c>
      <c r="P12" s="48" t="s">
        <v>22</v>
      </c>
      <c r="Q12" s="32" t="s">
        <v>23</v>
      </c>
      <c r="R12" s="49" t="s">
        <v>24</v>
      </c>
    </row>
    <row r="13" spans="1:18" ht="16.5" customHeight="1" thickBot="1" x14ac:dyDescent="0.35">
      <c r="A13" s="67"/>
      <c r="B13" s="51"/>
      <c r="C13" s="51"/>
      <c r="D13" s="51"/>
      <c r="E13" s="52"/>
      <c r="F13" s="51"/>
      <c r="G13" s="51"/>
      <c r="H13" s="51"/>
      <c r="I13" s="52"/>
      <c r="J13" s="51"/>
      <c r="K13" s="51"/>
      <c r="L13" s="51"/>
      <c r="M13" s="52"/>
      <c r="N13" s="51"/>
      <c r="O13" s="51"/>
      <c r="P13" s="51"/>
      <c r="Q13" s="52"/>
      <c r="R13" s="52"/>
    </row>
    <row r="14" spans="1:18" ht="15.75" customHeight="1" x14ac:dyDescent="0.3">
      <c r="A14" s="15" t="s">
        <v>25</v>
      </c>
      <c r="B14" s="1">
        <f>+B748</f>
        <v>66498</v>
      </c>
      <c r="C14" s="1">
        <f>+C748</f>
        <v>78366</v>
      </c>
      <c r="D14" s="1">
        <f>+D748</f>
        <v>135796</v>
      </c>
      <c r="E14" s="16">
        <f t="shared" ref="E14:E20" si="0">SUM(B14:D14)</f>
        <v>280660</v>
      </c>
      <c r="F14" s="1">
        <f>+F748</f>
        <v>151715</v>
      </c>
      <c r="G14" s="1">
        <f>+G748</f>
        <v>177404</v>
      </c>
      <c r="H14" s="1">
        <f>+H748</f>
        <v>223913</v>
      </c>
      <c r="I14" s="16">
        <f t="shared" ref="I14:I20" si="1">SUM(F14:H14)</f>
        <v>553032</v>
      </c>
      <c r="J14" s="1">
        <f>+J748</f>
        <v>229857</v>
      </c>
      <c r="K14" s="1">
        <f>+K748</f>
        <v>215585</v>
      </c>
      <c r="L14" s="1">
        <f>+L748</f>
        <v>138247</v>
      </c>
      <c r="M14" s="16">
        <f t="shared" ref="M14:M20" si="2">SUM(J14:L14)</f>
        <v>583689</v>
      </c>
      <c r="N14" s="1">
        <f>+N748</f>
        <v>90308</v>
      </c>
      <c r="O14" s="1">
        <f>+O748</f>
        <v>48560</v>
      </c>
      <c r="P14" s="1">
        <f>+P748</f>
        <v>60098</v>
      </c>
      <c r="Q14" s="17">
        <f t="shared" ref="Q14:Q20" si="3">SUM(N14:P14)</f>
        <v>198966</v>
      </c>
      <c r="R14" s="16">
        <f>+E14+I14+M14+Q14</f>
        <v>1616347</v>
      </c>
    </row>
    <row r="15" spans="1:18" ht="15.75" customHeight="1" x14ac:dyDescent="0.3">
      <c r="A15" s="15" t="s">
        <v>27</v>
      </c>
      <c r="B15" s="1">
        <f>B26+B61+B125+B246+B370+B415+B456+B508+B518+B553+B594+B604+B638+B681</f>
        <v>739</v>
      </c>
      <c r="C15" s="1">
        <f>C26+C61+C125+C246+C370+C415+C456+C508+C518+C553+C594+C604+C638+C681</f>
        <v>1283</v>
      </c>
      <c r="D15" s="1">
        <f>D26+D61+D125+D246+D370+D415+D456+D508+D518+D553+D594+D604+D638+D681</f>
        <v>2185</v>
      </c>
      <c r="E15" s="16">
        <f t="shared" si="0"/>
        <v>4207</v>
      </c>
      <c r="F15" s="1">
        <f>F26+F61+F125+F246+F370+F415+F456+F508+F518+F553+F594+F604+F638+F681</f>
        <v>2959</v>
      </c>
      <c r="G15" s="1">
        <f>G26+G61+G125+G246+G370+G415+G456+G508+G518+G553+G594+G604+G638+G681</f>
        <v>3425</v>
      </c>
      <c r="H15" s="1">
        <f>H26+H61+H125+H246+H370+H415+H456+H508+H518+H553+H594+H604+H638+H681</f>
        <v>3464</v>
      </c>
      <c r="I15" s="16">
        <f t="shared" si="1"/>
        <v>9848</v>
      </c>
      <c r="J15" s="1">
        <f>J26+J61+J125+J246+J370+J415+J456+J508+J518+J553+J594+J604+J638+J681</f>
        <v>3382</v>
      </c>
      <c r="K15" s="1">
        <f>K26+K61+K125+K246+K370+K415+K456+K508+K518+K553+K594+K604+K638+K681</f>
        <v>2663</v>
      </c>
      <c r="L15" s="1">
        <f>L26+L61+L125+L246+L370+L415+L456+L508+L518+L553+L594+L604+L638+L681</f>
        <v>2559</v>
      </c>
      <c r="M15" s="16">
        <f t="shared" si="2"/>
        <v>8604</v>
      </c>
      <c r="N15" s="1">
        <f>N26+N61+N125+N246+N370+N415+N456+N508+N518+N553+N594+N604+N638+N681</f>
        <v>2343</v>
      </c>
      <c r="O15" s="1">
        <f>O26+O61+O125+O246+O370+O415+O456+O508+O518+O553+O594+O604+O638+O681</f>
        <v>1892</v>
      </c>
      <c r="P15" s="1">
        <f>P26+P61+P125+P246+P370+P415+P456+P508+P518+P553+P594+P604+P638+P681</f>
        <v>1423</v>
      </c>
      <c r="Q15" s="17">
        <f t="shared" si="3"/>
        <v>5658</v>
      </c>
      <c r="R15" s="16">
        <f t="shared" ref="R15:R20" si="4">+E15+I15+M15+Q15</f>
        <v>28317</v>
      </c>
    </row>
    <row r="16" spans="1:18" ht="15.75" customHeight="1" x14ac:dyDescent="0.3">
      <c r="A16" s="15" t="s">
        <v>28</v>
      </c>
      <c r="B16" s="1">
        <f>B241</f>
        <v>0</v>
      </c>
      <c r="C16" s="1">
        <f>C241</f>
        <v>1539</v>
      </c>
      <c r="D16" s="1">
        <f>D241</f>
        <v>3357</v>
      </c>
      <c r="E16" s="16">
        <f t="shared" si="0"/>
        <v>4896</v>
      </c>
      <c r="F16" s="1">
        <f>F241</f>
        <v>4557</v>
      </c>
      <c r="G16" s="1">
        <f>G241</f>
        <v>5249</v>
      </c>
      <c r="H16" s="1">
        <f>H241</f>
        <v>4832</v>
      </c>
      <c r="I16" s="16">
        <f t="shared" si="1"/>
        <v>14638</v>
      </c>
      <c r="J16" s="1">
        <f>J241</f>
        <v>5186</v>
      </c>
      <c r="K16" s="1">
        <f>K241</f>
        <v>4567</v>
      </c>
      <c r="L16" s="1">
        <f>L241</f>
        <v>3615</v>
      </c>
      <c r="M16" s="16">
        <f t="shared" si="2"/>
        <v>13368</v>
      </c>
      <c r="N16" s="1">
        <f>N241</f>
        <v>3951</v>
      </c>
      <c r="O16" s="1">
        <f>O241</f>
        <v>3560</v>
      </c>
      <c r="P16" s="1">
        <f>P241</f>
        <v>916</v>
      </c>
      <c r="Q16" s="17">
        <f t="shared" si="3"/>
        <v>8427</v>
      </c>
      <c r="R16" s="16">
        <f t="shared" si="4"/>
        <v>41329</v>
      </c>
    </row>
    <row r="17" spans="1:20" ht="15.75" customHeight="1" x14ac:dyDescent="0.3">
      <c r="A17" s="18" t="s">
        <v>29</v>
      </c>
      <c r="B17" s="1">
        <f>+B242</f>
        <v>0</v>
      </c>
      <c r="C17" s="1">
        <f>+C242</f>
        <v>0</v>
      </c>
      <c r="D17" s="1">
        <f>+D242</f>
        <v>0</v>
      </c>
      <c r="E17" s="16">
        <f t="shared" si="0"/>
        <v>0</v>
      </c>
      <c r="F17" s="1">
        <f>+F242</f>
        <v>0</v>
      </c>
      <c r="G17" s="1">
        <f>+G242</f>
        <v>0</v>
      </c>
      <c r="H17" s="1">
        <f>+H242</f>
        <v>0</v>
      </c>
      <c r="I17" s="16">
        <f t="shared" si="1"/>
        <v>0</v>
      </c>
      <c r="J17" s="1">
        <f>+J242</f>
        <v>0</v>
      </c>
      <c r="K17" s="1">
        <f>+K242</f>
        <v>0</v>
      </c>
      <c r="L17" s="1">
        <f>+L242</f>
        <v>0</v>
      </c>
      <c r="M17" s="16">
        <f t="shared" si="2"/>
        <v>0</v>
      </c>
      <c r="N17" s="1">
        <f>+N242</f>
        <v>0</v>
      </c>
      <c r="O17" s="1">
        <f>+O242</f>
        <v>0</v>
      </c>
      <c r="P17" s="1">
        <f>+P242</f>
        <v>70</v>
      </c>
      <c r="Q17" s="17">
        <f t="shared" si="3"/>
        <v>70</v>
      </c>
      <c r="R17" s="16">
        <f t="shared" si="4"/>
        <v>70</v>
      </c>
    </row>
    <row r="18" spans="1:20" ht="15.75" customHeight="1" x14ac:dyDescent="0.3">
      <c r="A18" s="19" t="s">
        <v>31</v>
      </c>
      <c r="B18" s="1">
        <f>B245</f>
        <v>22743</v>
      </c>
      <c r="C18" s="1">
        <f>C245</f>
        <v>52608</v>
      </c>
      <c r="D18" s="1">
        <f>D245</f>
        <v>44419</v>
      </c>
      <c r="E18" s="16">
        <f t="shared" si="0"/>
        <v>119770</v>
      </c>
      <c r="F18" s="1">
        <f>F245</f>
        <v>21347</v>
      </c>
      <c r="G18" s="1">
        <f>G245</f>
        <v>7072</v>
      </c>
      <c r="H18" s="1">
        <f>H245</f>
        <v>1045</v>
      </c>
      <c r="I18" s="16">
        <f t="shared" si="1"/>
        <v>29464</v>
      </c>
      <c r="J18" s="1">
        <f>J245</f>
        <v>316</v>
      </c>
      <c r="K18" s="1">
        <f>K245</f>
        <v>0</v>
      </c>
      <c r="L18" s="1">
        <f>L245</f>
        <v>4936</v>
      </c>
      <c r="M18" s="16">
        <f t="shared" si="2"/>
        <v>5252</v>
      </c>
      <c r="N18" s="1">
        <f>N245</f>
        <v>51830</v>
      </c>
      <c r="O18" s="1">
        <f>O245</f>
        <v>121619</v>
      </c>
      <c r="P18" s="1">
        <f>P245</f>
        <v>87741</v>
      </c>
      <c r="Q18" s="17">
        <f t="shared" si="3"/>
        <v>261190</v>
      </c>
      <c r="R18" s="16">
        <f t="shared" si="4"/>
        <v>415676</v>
      </c>
    </row>
    <row r="19" spans="1:20" ht="15.75" customHeight="1" x14ac:dyDescent="0.3">
      <c r="A19" s="19" t="s">
        <v>32</v>
      </c>
      <c r="B19" s="1">
        <f>B257</f>
        <v>0</v>
      </c>
      <c r="C19" s="1">
        <f>C257</f>
        <v>0</v>
      </c>
      <c r="D19" s="1">
        <f>D257</f>
        <v>0</v>
      </c>
      <c r="E19" s="16">
        <f t="shared" si="0"/>
        <v>0</v>
      </c>
      <c r="F19" s="1">
        <f>F257</f>
        <v>0</v>
      </c>
      <c r="G19" s="1">
        <f>G257</f>
        <v>-25965</v>
      </c>
      <c r="H19" s="1">
        <f>H257</f>
        <v>-77908</v>
      </c>
      <c r="I19" s="16">
        <f t="shared" si="1"/>
        <v>-103873</v>
      </c>
      <c r="J19" s="1">
        <f>J257</f>
        <v>-159336</v>
      </c>
      <c r="K19" s="1">
        <f>K257</f>
        <v>-161275</v>
      </c>
      <c r="L19" s="1">
        <f>L257</f>
        <v>-46169</v>
      </c>
      <c r="M19" s="16">
        <f t="shared" si="2"/>
        <v>-366780</v>
      </c>
      <c r="N19" s="1">
        <f>N257</f>
        <v>0</v>
      </c>
      <c r="O19" s="1">
        <f>O257</f>
        <v>0</v>
      </c>
      <c r="P19" s="1">
        <f>P257</f>
        <v>0</v>
      </c>
      <c r="Q19" s="17">
        <f t="shared" si="3"/>
        <v>0</v>
      </c>
      <c r="R19" s="16">
        <f t="shared" si="4"/>
        <v>-470653</v>
      </c>
    </row>
    <row r="20" spans="1:20" ht="16.5" customHeight="1" thickBot="1" x14ac:dyDescent="0.35">
      <c r="A20" s="20" t="s">
        <v>33</v>
      </c>
      <c r="B20" s="21">
        <f>(B30)</f>
        <v>89980</v>
      </c>
      <c r="C20" s="21">
        <f>(C30)</f>
        <v>133796</v>
      </c>
      <c r="D20" s="21">
        <f>(D30)</f>
        <v>185757</v>
      </c>
      <c r="E20" s="22">
        <f t="shared" si="0"/>
        <v>409533</v>
      </c>
      <c r="F20" s="21">
        <f>(F30)</f>
        <v>180578</v>
      </c>
      <c r="G20" s="21">
        <f>(G30)</f>
        <v>167185</v>
      </c>
      <c r="H20" s="21">
        <f>(H30)</f>
        <v>155346</v>
      </c>
      <c r="I20" s="22">
        <f t="shared" si="1"/>
        <v>503109</v>
      </c>
      <c r="J20" s="21">
        <f>(J30)</f>
        <v>79405</v>
      </c>
      <c r="K20" s="21">
        <f>(K30)</f>
        <v>61540</v>
      </c>
      <c r="L20" s="21">
        <f>(L30)</f>
        <v>103188</v>
      </c>
      <c r="M20" s="22">
        <f t="shared" si="2"/>
        <v>244133</v>
      </c>
      <c r="N20" s="21">
        <f>(N30)</f>
        <v>148432</v>
      </c>
      <c r="O20" s="21">
        <f>(O30)</f>
        <v>175631</v>
      </c>
      <c r="P20" s="21">
        <f>(P30)</f>
        <v>150248</v>
      </c>
      <c r="Q20" s="23">
        <f t="shared" si="3"/>
        <v>474311</v>
      </c>
      <c r="R20" s="22">
        <f t="shared" si="4"/>
        <v>1631086</v>
      </c>
      <c r="S20" s="4" t="s">
        <v>34</v>
      </c>
      <c r="T20" s="4" t="s">
        <v>681</v>
      </c>
    </row>
    <row r="21" spans="1:20" ht="16.5" customHeight="1" thickBot="1" x14ac:dyDescent="0.35">
      <c r="A21" s="20" t="s">
        <v>36</v>
      </c>
      <c r="B21" s="21">
        <v>89029</v>
      </c>
      <c r="C21" s="21">
        <v>134563</v>
      </c>
      <c r="D21" s="21">
        <v>186159</v>
      </c>
      <c r="E21" s="22">
        <f>SUM(B21:D21)</f>
        <v>409751</v>
      </c>
      <c r="F21" s="21">
        <v>180434</v>
      </c>
      <c r="G21" s="21">
        <v>166473</v>
      </c>
      <c r="H21" s="21">
        <v>154609</v>
      </c>
      <c r="I21" s="22">
        <f>SUM(F21:H21)</f>
        <v>501516</v>
      </c>
      <c r="J21" s="21">
        <v>76895</v>
      </c>
      <c r="K21" s="21">
        <v>60168</v>
      </c>
      <c r="L21" s="21">
        <v>101762</v>
      </c>
      <c r="M21" s="22">
        <f>SUM(J21:L21)</f>
        <v>238825</v>
      </c>
      <c r="N21" s="21">
        <v>149410</v>
      </c>
      <c r="O21" s="21">
        <v>174986</v>
      </c>
      <c r="P21" s="21">
        <v>150555</v>
      </c>
      <c r="Q21" s="23">
        <f>SUM(N21:P21)</f>
        <v>474951</v>
      </c>
      <c r="R21" s="22">
        <f>+E21+I21+M21+Q21</f>
        <v>1625043</v>
      </c>
    </row>
    <row r="22" spans="1:20" ht="15.75" customHeight="1" x14ac:dyDescent="0.3">
      <c r="A22" s="1"/>
      <c r="B22" s="1"/>
      <c r="C22" s="1"/>
      <c r="D22" s="1"/>
      <c r="E22" s="1"/>
      <c r="F22" s="1"/>
      <c r="G22" s="1"/>
      <c r="H22" s="1"/>
      <c r="I22" s="1"/>
      <c r="J22" s="1"/>
      <c r="K22" s="1"/>
      <c r="L22" s="1"/>
      <c r="M22" s="1"/>
      <c r="N22" s="1"/>
      <c r="O22" s="1"/>
      <c r="P22" s="1"/>
      <c r="Q22" s="1"/>
      <c r="R22" s="2"/>
      <c r="T22" s="4" t="s">
        <v>682</v>
      </c>
    </row>
    <row r="23" spans="1:20" ht="15.75" customHeight="1" thickBot="1" x14ac:dyDescent="0.35">
      <c r="A23" s="1"/>
      <c r="B23" s="1"/>
      <c r="C23" s="1"/>
      <c r="D23" s="1"/>
      <c r="E23" s="1"/>
      <c r="F23" s="27" t="s">
        <v>7</v>
      </c>
      <c r="G23" s="27" t="s">
        <v>7</v>
      </c>
      <c r="H23" s="1"/>
      <c r="I23" s="1"/>
      <c r="J23" s="1"/>
      <c r="K23" s="1"/>
      <c r="L23" s="1"/>
      <c r="M23" s="1"/>
      <c r="N23" s="27" t="s">
        <v>7</v>
      </c>
      <c r="O23" s="27" t="s">
        <v>7</v>
      </c>
      <c r="P23" s="27" t="s">
        <v>7</v>
      </c>
      <c r="Q23" s="27"/>
      <c r="R23" s="28" t="s">
        <v>7</v>
      </c>
      <c r="T23" s="4" t="s">
        <v>683</v>
      </c>
    </row>
    <row r="24" spans="1:20" ht="16.5" customHeight="1" thickBot="1" x14ac:dyDescent="0.35">
      <c r="A24" s="29" t="s">
        <v>39</v>
      </c>
      <c r="B24" s="30" t="s">
        <v>8</v>
      </c>
      <c r="C24" s="31" t="s">
        <v>9</v>
      </c>
      <c r="D24" s="31" t="s">
        <v>10</v>
      </c>
      <c r="E24" s="32" t="s">
        <v>11</v>
      </c>
      <c r="F24" s="31" t="s">
        <v>12</v>
      </c>
      <c r="G24" s="31" t="s">
        <v>13</v>
      </c>
      <c r="H24" s="31" t="s">
        <v>14</v>
      </c>
      <c r="I24" s="33" t="s">
        <v>15</v>
      </c>
      <c r="J24" s="31" t="s">
        <v>16</v>
      </c>
      <c r="K24" s="31" t="s">
        <v>17</v>
      </c>
      <c r="L24" s="31" t="s">
        <v>18</v>
      </c>
      <c r="M24" s="33" t="s">
        <v>19</v>
      </c>
      <c r="N24" s="31" t="s">
        <v>20</v>
      </c>
      <c r="O24" s="31" t="s">
        <v>21</v>
      </c>
      <c r="P24" s="31" t="s">
        <v>22</v>
      </c>
      <c r="Q24" s="33" t="s">
        <v>23</v>
      </c>
      <c r="R24" s="34" t="s">
        <v>24</v>
      </c>
    </row>
    <row r="25" spans="1:20" ht="16.5" customHeight="1" thickBot="1" x14ac:dyDescent="0.35">
      <c r="A25" s="35"/>
      <c r="B25" s="36"/>
      <c r="C25" s="36"/>
      <c r="D25" s="36"/>
      <c r="E25" s="37"/>
      <c r="F25" s="36"/>
      <c r="G25" s="36"/>
      <c r="H25" s="36"/>
      <c r="I25" s="37"/>
      <c r="J25" s="36"/>
      <c r="K25" s="36"/>
      <c r="L25" s="36"/>
      <c r="M25" s="37"/>
      <c r="N25" s="36"/>
      <c r="O25" s="36"/>
      <c r="P25" s="36"/>
      <c r="Q25" s="37"/>
      <c r="R25" s="38"/>
    </row>
    <row r="26" spans="1:20" ht="16.5" customHeight="1" thickBot="1" x14ac:dyDescent="0.35">
      <c r="A26" s="39" t="s">
        <v>40</v>
      </c>
      <c r="B26" s="21">
        <v>97</v>
      </c>
      <c r="C26" s="21">
        <v>148</v>
      </c>
      <c r="D26" s="21">
        <v>274</v>
      </c>
      <c r="E26" s="40">
        <f>SUM(B26:D26)</f>
        <v>519</v>
      </c>
      <c r="F26" s="21">
        <v>367</v>
      </c>
      <c r="G26" s="21">
        <v>425</v>
      </c>
      <c r="H26" s="21">
        <v>417</v>
      </c>
      <c r="I26" s="40">
        <f>SUM(F26:H26)</f>
        <v>1209</v>
      </c>
      <c r="J26" s="21">
        <v>416</v>
      </c>
      <c r="K26" s="21">
        <v>334</v>
      </c>
      <c r="L26" s="21">
        <v>316</v>
      </c>
      <c r="M26" s="40">
        <f>SUM(J26:L26)</f>
        <v>1066</v>
      </c>
      <c r="N26" s="21">
        <v>285</v>
      </c>
      <c r="O26" s="21">
        <v>235</v>
      </c>
      <c r="P26" s="21">
        <v>186</v>
      </c>
      <c r="Q26" s="40">
        <f>SUM(N26:P26)</f>
        <v>706</v>
      </c>
      <c r="R26" s="22">
        <f>+E26+I26+M26+Q26</f>
        <v>3500</v>
      </c>
    </row>
    <row r="27" spans="1:20" ht="16.5" customHeight="1" thickBot="1" x14ac:dyDescent="0.35">
      <c r="A27" s="41"/>
      <c r="B27" s="36"/>
      <c r="C27" s="36"/>
      <c r="D27" s="36"/>
      <c r="E27" s="42"/>
      <c r="F27" s="36"/>
      <c r="G27" s="36"/>
      <c r="H27" s="36"/>
      <c r="I27" s="42"/>
      <c r="J27" s="36"/>
      <c r="K27" s="36"/>
      <c r="L27" s="36"/>
      <c r="M27" s="42"/>
      <c r="N27" s="36"/>
      <c r="O27" s="36"/>
      <c r="P27" s="36"/>
      <c r="Q27" s="42"/>
      <c r="R27" s="43"/>
    </row>
    <row r="28" spans="1:20" ht="15.75" customHeight="1" x14ac:dyDescent="0.3">
      <c r="A28" s="15" t="s">
        <v>41</v>
      </c>
      <c r="B28" s="1">
        <f>B26</f>
        <v>97</v>
      </c>
      <c r="C28" s="1">
        <f>C26</f>
        <v>148</v>
      </c>
      <c r="D28" s="1">
        <f>D26</f>
        <v>274</v>
      </c>
      <c r="E28" s="40">
        <f>SUM(B28:D28)</f>
        <v>519</v>
      </c>
      <c r="F28" s="1">
        <f>F26</f>
        <v>367</v>
      </c>
      <c r="G28" s="1">
        <f>G26</f>
        <v>425</v>
      </c>
      <c r="H28" s="1">
        <f>H26</f>
        <v>417</v>
      </c>
      <c r="I28" s="40">
        <f>SUM(F28:H28)</f>
        <v>1209</v>
      </c>
      <c r="J28" s="1">
        <f>J26</f>
        <v>416</v>
      </c>
      <c r="K28" s="1">
        <f>K26</f>
        <v>334</v>
      </c>
      <c r="L28" s="1">
        <f>L26</f>
        <v>316</v>
      </c>
      <c r="M28" s="40">
        <f>SUM(J28:L28)</f>
        <v>1066</v>
      </c>
      <c r="N28" s="1">
        <f>N26</f>
        <v>285</v>
      </c>
      <c r="O28" s="1">
        <f>O26</f>
        <v>235</v>
      </c>
      <c r="P28" s="1">
        <f>P26</f>
        <v>186</v>
      </c>
      <c r="Q28" s="44">
        <f>SUM(N28:P28)</f>
        <v>706</v>
      </c>
      <c r="R28" s="40">
        <f>+E28+I28+M28+Q28</f>
        <v>3500</v>
      </c>
    </row>
    <row r="29" spans="1:20" ht="15.75" customHeight="1" x14ac:dyDescent="0.3">
      <c r="A29" s="15" t="s">
        <v>42</v>
      </c>
      <c r="B29" s="1">
        <f>(B28/31)/1.983</f>
        <v>1.5779285214647079</v>
      </c>
      <c r="C29" s="1">
        <f>(C28/28)/1.983</f>
        <v>2.6655140119587926</v>
      </c>
      <c r="D29" s="1">
        <f>(D28/31)/1.983</f>
        <v>4.457241390529175</v>
      </c>
      <c r="E29" s="16"/>
      <c r="F29" s="1">
        <f>(F28/30)/1.983</f>
        <v>6.1691040511010247</v>
      </c>
      <c r="G29" s="1">
        <f>(G28/31)/1.983</f>
        <v>6.9136043466237203</v>
      </c>
      <c r="H29" s="1">
        <f>(H28/30)/1.983</f>
        <v>7.0095814422592033</v>
      </c>
      <c r="I29" s="16"/>
      <c r="J29" s="1">
        <f>(J28/31)/1.983</f>
        <v>6.7671986075187478</v>
      </c>
      <c r="K29" s="1">
        <f>(K28/31)/1.983</f>
        <v>5.433279651228994</v>
      </c>
      <c r="L29" s="1">
        <f>(L28/30)/1.983</f>
        <v>5.3118171121196838</v>
      </c>
      <c r="M29" s="16"/>
      <c r="N29" s="1">
        <f>(N28/31)/1.983</f>
        <v>4.6361817383241419</v>
      </c>
      <c r="O29" s="1">
        <f>(O28/30)/1.983</f>
        <v>3.9502437384434357</v>
      </c>
      <c r="P29" s="1">
        <f>(P28/31)/1.983</f>
        <v>3.02571860816944</v>
      </c>
      <c r="Q29" s="17"/>
      <c r="R29" s="16"/>
    </row>
    <row r="30" spans="1:20" ht="15.75" customHeight="1" x14ac:dyDescent="0.3">
      <c r="A30" s="15" t="s">
        <v>43</v>
      </c>
      <c r="B30" s="1">
        <f>B28+B65</f>
        <v>89980</v>
      </c>
      <c r="C30" s="1">
        <f>C28+C65</f>
        <v>133796</v>
      </c>
      <c r="D30" s="1">
        <f>D28+D65</f>
        <v>185757</v>
      </c>
      <c r="E30" s="16">
        <f>SUM(B30:D30)</f>
        <v>409533</v>
      </c>
      <c r="F30" s="1">
        <f>F28+F65</f>
        <v>180578</v>
      </c>
      <c r="G30" s="1">
        <f>G28+G65</f>
        <v>167185</v>
      </c>
      <c r="H30" s="1">
        <f>H28+H65</f>
        <v>155346</v>
      </c>
      <c r="I30" s="16">
        <f>SUM(F30:H30)</f>
        <v>503109</v>
      </c>
      <c r="J30" s="1">
        <f>J28+J65</f>
        <v>79405</v>
      </c>
      <c r="K30" s="1">
        <f>K28+K65</f>
        <v>61540</v>
      </c>
      <c r="L30" s="1">
        <f>L28+L65</f>
        <v>103188</v>
      </c>
      <c r="M30" s="16">
        <f>SUM(J30:L30)</f>
        <v>244133</v>
      </c>
      <c r="N30" s="1">
        <f>N28+N65</f>
        <v>148432</v>
      </c>
      <c r="O30" s="1">
        <f>O28+O65</f>
        <v>175631</v>
      </c>
      <c r="P30" s="1">
        <f>P28+P65</f>
        <v>150248</v>
      </c>
      <c r="Q30" s="17">
        <f>SUM(N30:P30)</f>
        <v>474311</v>
      </c>
      <c r="R30" s="16">
        <f>+E30+I30+M30+Q30</f>
        <v>1631086</v>
      </c>
    </row>
    <row r="31" spans="1:20" ht="16.5" customHeight="1" thickBot="1" x14ac:dyDescent="0.35">
      <c r="A31" s="20" t="s">
        <v>44</v>
      </c>
      <c r="B31" s="21">
        <f>(B30/31)/1.983</f>
        <v>1463.7320449628291</v>
      </c>
      <c r="C31" s="21">
        <f>(C30/28)/1.983</f>
        <v>2409.6967077299905</v>
      </c>
      <c r="D31" s="21">
        <f>(D30/31)/1.983</f>
        <v>3021.7656532136057</v>
      </c>
      <c r="E31" s="22"/>
      <c r="F31" s="21">
        <f>(F30/30)/1.983</f>
        <v>3035.4345268112284</v>
      </c>
      <c r="G31" s="21">
        <f>(G30/31)/1.983</f>
        <v>2719.6492769183219</v>
      </c>
      <c r="H31" s="21">
        <f>(H30/30)/1.983</f>
        <v>2611.2960161371657</v>
      </c>
      <c r="I31" s="22"/>
      <c r="J31" s="21">
        <f>(J30/31)/1.983</f>
        <v>1291.7053015144859</v>
      </c>
      <c r="K31" s="21">
        <f>(K30/31)/1.983</f>
        <v>1001.0899093911148</v>
      </c>
      <c r="L31" s="21">
        <f>(L30/30)/1.983</f>
        <v>1734.5436207766011</v>
      </c>
      <c r="M31" s="22"/>
      <c r="N31" s="21">
        <f>(N30/31)/1.983</f>
        <v>2414.5885185365933</v>
      </c>
      <c r="O31" s="21">
        <f>(O30/30)/1.983</f>
        <v>2952.2776937300387</v>
      </c>
      <c r="P31" s="21">
        <f>(P30/31)/1.983</f>
        <v>2444.129943227108</v>
      </c>
      <c r="Q31" s="23"/>
      <c r="R31" s="22"/>
      <c r="T31" s="45" t="s">
        <v>45</v>
      </c>
    </row>
    <row r="32" spans="1:20" ht="15.75" customHeight="1" x14ac:dyDescent="0.3">
      <c r="A32" s="2"/>
      <c r="B32" s="1"/>
      <c r="C32" s="1"/>
      <c r="D32" s="1"/>
      <c r="E32" s="1"/>
      <c r="F32" s="1"/>
      <c r="G32" s="1"/>
      <c r="H32" s="1"/>
      <c r="I32" s="1"/>
      <c r="J32" s="1"/>
      <c r="K32" s="1"/>
      <c r="L32" s="1"/>
      <c r="M32" s="1"/>
      <c r="N32" s="1"/>
      <c r="O32" s="1"/>
      <c r="P32" s="1"/>
      <c r="Q32" s="1"/>
      <c r="R32" s="2"/>
      <c r="T32" s="45" t="s">
        <v>46</v>
      </c>
    </row>
    <row r="33" spans="1:18" ht="15.75" customHeight="1" thickBot="1" x14ac:dyDescent="0.35">
      <c r="A33" s="2"/>
      <c r="B33" s="1"/>
      <c r="C33" s="1"/>
      <c r="D33" s="1"/>
      <c r="E33" s="1"/>
      <c r="F33" s="1"/>
      <c r="G33" s="1"/>
      <c r="H33" s="1"/>
      <c r="I33" s="1"/>
      <c r="J33" s="1"/>
      <c r="K33" s="1"/>
      <c r="L33" s="1"/>
      <c r="M33" s="1"/>
      <c r="N33" s="1"/>
      <c r="O33" s="1"/>
      <c r="P33" s="1"/>
      <c r="Q33" s="1"/>
      <c r="R33" s="2"/>
    </row>
    <row r="34" spans="1:18" ht="15.75" customHeight="1" thickBot="1" x14ac:dyDescent="0.35">
      <c r="A34" s="46" t="s">
        <v>47</v>
      </c>
      <c r="B34" s="47" t="s">
        <v>8</v>
      </c>
      <c r="C34" s="48" t="s">
        <v>9</v>
      </c>
      <c r="D34" s="48" t="s">
        <v>10</v>
      </c>
      <c r="E34" s="32" t="s">
        <v>11</v>
      </c>
      <c r="F34" s="48" t="s">
        <v>12</v>
      </c>
      <c r="G34" s="48" t="s">
        <v>13</v>
      </c>
      <c r="H34" s="48" t="s">
        <v>14</v>
      </c>
      <c r="I34" s="32" t="s">
        <v>15</v>
      </c>
      <c r="J34" s="48" t="s">
        <v>16</v>
      </c>
      <c r="K34" s="48" t="s">
        <v>17</v>
      </c>
      <c r="L34" s="48" t="s">
        <v>18</v>
      </c>
      <c r="M34" s="32" t="s">
        <v>19</v>
      </c>
      <c r="N34" s="48" t="s">
        <v>20</v>
      </c>
      <c r="O34" s="48" t="s">
        <v>21</v>
      </c>
      <c r="P34" s="48" t="s">
        <v>22</v>
      </c>
      <c r="Q34" s="32" t="s">
        <v>23</v>
      </c>
      <c r="R34" s="49" t="s">
        <v>24</v>
      </c>
    </row>
    <row r="35" spans="1:18" ht="16.5" customHeight="1" thickBot="1" x14ac:dyDescent="0.35">
      <c r="A35" s="42"/>
      <c r="B35" s="50"/>
      <c r="C35" s="51"/>
      <c r="D35" s="51"/>
      <c r="E35" s="52"/>
      <c r="F35" s="51"/>
      <c r="G35" s="51"/>
      <c r="H35" s="51"/>
      <c r="I35" s="52"/>
      <c r="J35" s="51"/>
      <c r="K35" s="51"/>
      <c r="L35" s="51"/>
      <c r="M35" s="52"/>
      <c r="N35" s="51"/>
      <c r="O35" s="51"/>
      <c r="P35" s="51"/>
      <c r="Q35" s="52"/>
      <c r="R35" s="53"/>
    </row>
    <row r="36" spans="1:18" ht="15.75" customHeight="1" x14ac:dyDescent="0.3">
      <c r="A36" s="54" t="s">
        <v>48</v>
      </c>
      <c r="B36" s="28"/>
      <c r="C36" s="28"/>
      <c r="D36" s="28"/>
      <c r="E36" s="55" t="s">
        <v>7</v>
      </c>
      <c r="F36" s="28"/>
      <c r="G36" s="28"/>
      <c r="H36" s="28"/>
      <c r="I36" s="55" t="s">
        <v>7</v>
      </c>
      <c r="J36" s="28"/>
      <c r="K36" s="28"/>
      <c r="L36" s="28"/>
      <c r="M36" s="55" t="s">
        <v>7</v>
      </c>
      <c r="N36" s="28"/>
      <c r="O36" s="28"/>
      <c r="P36" s="28"/>
      <c r="Q36" s="55" t="s">
        <v>7</v>
      </c>
      <c r="R36" s="55" t="s">
        <v>7</v>
      </c>
    </row>
    <row r="37" spans="1:18" ht="15.75" customHeight="1" x14ac:dyDescent="0.3">
      <c r="A37" s="18" t="s">
        <v>49</v>
      </c>
      <c r="B37" s="28" t="s">
        <v>7</v>
      </c>
      <c r="C37" s="56"/>
      <c r="D37" s="56"/>
      <c r="E37" s="55" t="s">
        <v>7</v>
      </c>
      <c r="F37" s="56"/>
      <c r="G37" s="56"/>
      <c r="H37" s="56"/>
      <c r="I37" s="55" t="s">
        <v>7</v>
      </c>
      <c r="J37" s="56"/>
      <c r="K37" s="56"/>
      <c r="L37" s="56"/>
      <c r="M37" s="55" t="s">
        <v>7</v>
      </c>
      <c r="N37" s="56"/>
      <c r="O37" s="56"/>
      <c r="P37" s="56"/>
      <c r="Q37" s="55" t="s">
        <v>7</v>
      </c>
      <c r="R37" s="55" t="s">
        <v>7</v>
      </c>
    </row>
    <row r="38" spans="1:18" ht="15.75" customHeight="1" x14ac:dyDescent="0.3">
      <c r="A38" s="18" t="s">
        <v>50</v>
      </c>
      <c r="B38" s="28"/>
      <c r="C38" s="28"/>
      <c r="D38" s="28"/>
      <c r="E38" s="55" t="s">
        <v>7</v>
      </c>
      <c r="F38" s="28"/>
      <c r="G38" s="28"/>
      <c r="H38" s="28"/>
      <c r="I38" s="55" t="s">
        <v>7</v>
      </c>
      <c r="J38" s="28"/>
      <c r="K38" s="28"/>
      <c r="L38" s="28"/>
      <c r="M38" s="55" t="s">
        <v>7</v>
      </c>
      <c r="N38" s="28"/>
      <c r="O38" s="28"/>
      <c r="P38" s="28"/>
      <c r="Q38" s="55" t="s">
        <v>7</v>
      </c>
      <c r="R38" s="55" t="s">
        <v>7</v>
      </c>
    </row>
    <row r="39" spans="1:18" ht="15.75" customHeight="1" x14ac:dyDescent="0.3">
      <c r="A39" s="18" t="s">
        <v>51</v>
      </c>
      <c r="B39" s="28"/>
      <c r="C39" s="28"/>
      <c r="D39" s="28"/>
      <c r="E39" s="55" t="s">
        <v>52</v>
      </c>
      <c r="F39" s="28"/>
      <c r="G39" s="28"/>
      <c r="H39" s="28"/>
      <c r="I39" s="55" t="s">
        <v>52</v>
      </c>
      <c r="J39" s="28"/>
      <c r="K39" s="28"/>
      <c r="L39" s="28"/>
      <c r="M39" s="55" t="s">
        <v>52</v>
      </c>
      <c r="N39" s="28"/>
      <c r="O39" s="28"/>
      <c r="P39" s="28"/>
      <c r="Q39" s="55" t="s">
        <v>52</v>
      </c>
      <c r="R39" s="55" t="s">
        <v>52</v>
      </c>
    </row>
    <row r="40" spans="1:18" ht="15.75" customHeight="1" thickBot="1" x14ac:dyDescent="0.35">
      <c r="A40" s="18" t="s">
        <v>53</v>
      </c>
      <c r="B40" s="56"/>
      <c r="C40" s="56"/>
      <c r="D40" s="56"/>
      <c r="E40" s="55" t="s">
        <v>7</v>
      </c>
      <c r="F40" s="56"/>
      <c r="G40" s="56"/>
      <c r="H40" s="56"/>
      <c r="I40" s="55" t="s">
        <v>7</v>
      </c>
      <c r="J40" s="56"/>
      <c r="K40" s="56"/>
      <c r="L40" s="56"/>
      <c r="M40" s="55" t="s">
        <v>7</v>
      </c>
      <c r="N40" s="56"/>
      <c r="O40" s="56"/>
      <c r="P40" s="56"/>
      <c r="Q40" s="55" t="s">
        <v>7</v>
      </c>
      <c r="R40" s="55" t="s">
        <v>7</v>
      </c>
    </row>
    <row r="41" spans="1:18" ht="16.5" customHeight="1" thickBot="1" x14ac:dyDescent="0.35">
      <c r="A41" s="57" t="s">
        <v>54</v>
      </c>
      <c r="B41" s="58">
        <f>SUM(B36:B40)</f>
        <v>0</v>
      </c>
      <c r="C41" s="58">
        <f>SUM(C36:C40)</f>
        <v>0</v>
      </c>
      <c r="D41" s="58">
        <f>SUM(D36:D40)</f>
        <v>0</v>
      </c>
      <c r="E41" s="59">
        <f>SUM(B41:D41)</f>
        <v>0</v>
      </c>
      <c r="F41" s="58">
        <f>SUM(F36:F40)</f>
        <v>0</v>
      </c>
      <c r="G41" s="58">
        <f>SUM(G36:G40)</f>
        <v>0</v>
      </c>
      <c r="H41" s="58">
        <f>SUM(H36:H40)</f>
        <v>0</v>
      </c>
      <c r="I41" s="59">
        <f>SUM(F41:H41)</f>
        <v>0</v>
      </c>
      <c r="J41" s="58">
        <f>SUM(J36:J40)</f>
        <v>0</v>
      </c>
      <c r="K41" s="58">
        <f>SUM(K36:K40)</f>
        <v>0</v>
      </c>
      <c r="L41" s="58">
        <f>SUM(L36:L40)</f>
        <v>0</v>
      </c>
      <c r="M41" s="59">
        <f>SUM(J41:L41)</f>
        <v>0</v>
      </c>
      <c r="N41" s="58">
        <f>SUM(N36:N40)</f>
        <v>0</v>
      </c>
      <c r="O41" s="58">
        <f>SUM(O36:O40)</f>
        <v>0</v>
      </c>
      <c r="P41" s="58">
        <f>SUM(P36:P40)</f>
        <v>0</v>
      </c>
      <c r="Q41" s="59">
        <f>SUM(N41:P41)</f>
        <v>0</v>
      </c>
      <c r="R41" s="59">
        <f>+E41+I41+M41+Q41</f>
        <v>0</v>
      </c>
    </row>
    <row r="42" spans="1:18" ht="15.75" customHeight="1" x14ac:dyDescent="0.3">
      <c r="A42" s="18" t="s">
        <v>55</v>
      </c>
      <c r="B42" s="56"/>
      <c r="C42" s="56"/>
      <c r="D42" s="56"/>
      <c r="E42" s="55" t="s">
        <v>7</v>
      </c>
      <c r="F42" s="56"/>
      <c r="G42" s="56"/>
      <c r="H42" s="56"/>
      <c r="I42" s="55" t="s">
        <v>7</v>
      </c>
      <c r="J42" s="56"/>
      <c r="K42" s="56"/>
      <c r="L42" s="56"/>
      <c r="M42" s="55" t="s">
        <v>7</v>
      </c>
      <c r="N42" s="56"/>
      <c r="O42" s="56"/>
      <c r="P42" s="56"/>
      <c r="Q42" s="55" t="s">
        <v>7</v>
      </c>
      <c r="R42" s="60" t="s">
        <v>7</v>
      </c>
    </row>
    <row r="43" spans="1:18" ht="15.75" customHeight="1" x14ac:dyDescent="0.3">
      <c r="A43" s="18" t="s">
        <v>684</v>
      </c>
      <c r="B43" s="56"/>
      <c r="C43" s="56"/>
      <c r="D43" s="56"/>
      <c r="E43" s="55"/>
      <c r="F43" s="56"/>
      <c r="G43" s="56"/>
      <c r="H43" s="56"/>
      <c r="I43" s="55"/>
      <c r="J43" s="56"/>
      <c r="K43" s="56"/>
      <c r="L43" s="56"/>
      <c r="M43" s="55"/>
      <c r="N43" s="56"/>
      <c r="O43" s="56"/>
      <c r="P43" s="56"/>
      <c r="Q43" s="55"/>
      <c r="R43" s="55"/>
    </row>
    <row r="44" spans="1:18" ht="15.75" customHeight="1" x14ac:dyDescent="0.3">
      <c r="A44" s="61" t="s">
        <v>527</v>
      </c>
      <c r="B44" s="1">
        <v>0</v>
      </c>
      <c r="C44" s="1">
        <v>0</v>
      </c>
      <c r="D44" s="1">
        <v>0</v>
      </c>
      <c r="E44" s="55">
        <f>SUM(B44:D44)</f>
        <v>0</v>
      </c>
      <c r="F44" s="1">
        <v>33</v>
      </c>
      <c r="G44" s="1">
        <v>102</v>
      </c>
      <c r="H44" s="1">
        <v>69</v>
      </c>
      <c r="I44" s="55">
        <f>SUM(F44:H44)</f>
        <v>204</v>
      </c>
      <c r="J44" s="1">
        <v>84</v>
      </c>
      <c r="K44" s="1">
        <v>198</v>
      </c>
      <c r="L44" s="1">
        <v>252</v>
      </c>
      <c r="M44" s="55">
        <f>SUM(J44:L44)</f>
        <v>534</v>
      </c>
      <c r="N44" s="1">
        <v>0</v>
      </c>
      <c r="O44" s="1">
        <v>0</v>
      </c>
      <c r="P44" s="1">
        <v>0</v>
      </c>
      <c r="Q44" s="55">
        <f>SUM(N44:P44)</f>
        <v>0</v>
      </c>
      <c r="R44" s="55">
        <f>+E44+I44+M44+Q44</f>
        <v>738</v>
      </c>
    </row>
    <row r="45" spans="1:18" ht="15.75" customHeight="1" x14ac:dyDescent="0.3">
      <c r="A45" s="18" t="s">
        <v>57</v>
      </c>
      <c r="B45" s="56"/>
      <c r="C45" s="56"/>
      <c r="D45" s="56"/>
      <c r="E45" s="55" t="s">
        <v>7</v>
      </c>
      <c r="F45" s="56"/>
      <c r="G45" s="56"/>
      <c r="H45" s="56"/>
      <c r="I45" s="55" t="s">
        <v>7</v>
      </c>
      <c r="J45" s="56"/>
      <c r="K45" s="56"/>
      <c r="L45" s="56"/>
      <c r="M45" s="55" t="s">
        <v>7</v>
      </c>
      <c r="N45" s="56"/>
      <c r="O45" s="56"/>
      <c r="P45" s="56"/>
      <c r="Q45" s="55" t="s">
        <v>7</v>
      </c>
      <c r="R45" s="55" t="s">
        <v>7</v>
      </c>
    </row>
    <row r="46" spans="1:18" ht="15.75" customHeight="1" thickBot="1" x14ac:dyDescent="0.35">
      <c r="A46" s="18" t="s">
        <v>58</v>
      </c>
      <c r="B46" s="56"/>
      <c r="C46" s="56"/>
      <c r="D46" s="56"/>
      <c r="E46" s="55" t="s">
        <v>7</v>
      </c>
      <c r="F46" s="56"/>
      <c r="G46" s="56"/>
      <c r="H46" s="56"/>
      <c r="I46" s="55" t="s">
        <v>7</v>
      </c>
      <c r="J46" s="56"/>
      <c r="K46" s="56"/>
      <c r="L46" s="56"/>
      <c r="M46" s="55" t="s">
        <v>7</v>
      </c>
      <c r="N46" s="56"/>
      <c r="O46" s="56"/>
      <c r="P46" s="56"/>
      <c r="Q46" s="55" t="s">
        <v>7</v>
      </c>
      <c r="R46" s="55" t="s">
        <v>7</v>
      </c>
    </row>
    <row r="47" spans="1:18" ht="16.5" customHeight="1" thickBot="1" x14ac:dyDescent="0.35">
      <c r="A47" s="57" t="s">
        <v>59</v>
      </c>
      <c r="B47" s="58">
        <f>SUM(B42:B46)</f>
        <v>0</v>
      </c>
      <c r="C47" s="58">
        <f>SUM(C42:C46)</f>
        <v>0</v>
      </c>
      <c r="D47" s="58">
        <f>SUM(D42:D46)</f>
        <v>0</v>
      </c>
      <c r="E47" s="59">
        <f>SUM(B47:D47)</f>
        <v>0</v>
      </c>
      <c r="F47" s="58">
        <f>SUM(F42:F46)</f>
        <v>33</v>
      </c>
      <c r="G47" s="58">
        <f>SUM(G42:G46)</f>
        <v>102</v>
      </c>
      <c r="H47" s="58">
        <f>SUM(H42:H46)</f>
        <v>69</v>
      </c>
      <c r="I47" s="59">
        <f>SUM(F47:H47)</f>
        <v>204</v>
      </c>
      <c r="J47" s="58">
        <f>SUM(J42:J46)</f>
        <v>84</v>
      </c>
      <c r="K47" s="58">
        <f>SUM(K42:K46)</f>
        <v>198</v>
      </c>
      <c r="L47" s="58">
        <f>SUM(L42:L46)</f>
        <v>252</v>
      </c>
      <c r="M47" s="59">
        <f>SUM(J47:L47)</f>
        <v>534</v>
      </c>
      <c r="N47" s="58">
        <f>SUM(N42:N46)</f>
        <v>0</v>
      </c>
      <c r="O47" s="58">
        <f>SUM(O42:O46)</f>
        <v>0</v>
      </c>
      <c r="P47" s="58">
        <f>SUM(P42:P46)</f>
        <v>0</v>
      </c>
      <c r="Q47" s="59">
        <f>SUM(N47:P47)</f>
        <v>0</v>
      </c>
      <c r="R47" s="59">
        <f>+E47+I47+M47+Q47</f>
        <v>738</v>
      </c>
    </row>
    <row r="48" spans="1:18" ht="15.75" customHeight="1" x14ac:dyDescent="0.3">
      <c r="A48" s="18" t="s">
        <v>60</v>
      </c>
      <c r="B48" s="56"/>
      <c r="C48" s="56"/>
      <c r="D48" s="56"/>
      <c r="E48" s="55" t="s">
        <v>7</v>
      </c>
      <c r="F48" s="56"/>
      <c r="G48" s="56"/>
      <c r="H48" s="56"/>
      <c r="I48" s="55" t="s">
        <v>7</v>
      </c>
      <c r="J48" s="56"/>
      <c r="K48" s="56"/>
      <c r="L48" s="56"/>
      <c r="M48" s="55" t="s">
        <v>7</v>
      </c>
      <c r="N48" s="56"/>
      <c r="O48" s="56"/>
      <c r="P48" s="56"/>
      <c r="Q48" s="55" t="s">
        <v>7</v>
      </c>
      <c r="R48" s="55" t="s">
        <v>7</v>
      </c>
    </row>
    <row r="49" spans="1:18" ht="15.75" customHeight="1" x14ac:dyDescent="0.3">
      <c r="A49" s="18" t="s">
        <v>61</v>
      </c>
      <c r="B49" s="56"/>
      <c r="C49" s="56"/>
      <c r="D49" s="56"/>
      <c r="E49" s="55" t="s">
        <v>7</v>
      </c>
      <c r="F49" s="56"/>
      <c r="G49" s="56"/>
      <c r="H49" s="56"/>
      <c r="I49" s="55" t="s">
        <v>7</v>
      </c>
      <c r="J49" s="56"/>
      <c r="K49" s="56"/>
      <c r="L49" s="56"/>
      <c r="M49" s="55" t="s">
        <v>7</v>
      </c>
      <c r="N49" s="56"/>
      <c r="O49" s="56"/>
      <c r="P49" s="56"/>
      <c r="Q49" s="55" t="s">
        <v>7</v>
      </c>
      <c r="R49" s="55" t="s">
        <v>7</v>
      </c>
    </row>
    <row r="50" spans="1:18" ht="15.75" customHeight="1" thickBot="1" x14ac:dyDescent="0.35">
      <c r="A50" s="18" t="s">
        <v>62</v>
      </c>
      <c r="B50" s="56"/>
      <c r="C50" s="56"/>
      <c r="D50" s="56"/>
      <c r="E50" s="55"/>
      <c r="F50" s="56"/>
      <c r="G50" s="56"/>
      <c r="H50" s="56"/>
      <c r="I50" s="55"/>
      <c r="J50" s="56"/>
      <c r="K50" s="56"/>
      <c r="L50" s="56"/>
      <c r="M50" s="55"/>
      <c r="N50" s="56"/>
      <c r="O50" s="56"/>
      <c r="P50" s="56"/>
      <c r="Q50" s="55"/>
      <c r="R50" s="55"/>
    </row>
    <row r="51" spans="1:18" ht="16.5" customHeight="1" thickBot="1" x14ac:dyDescent="0.35">
      <c r="A51" s="57" t="s">
        <v>63</v>
      </c>
      <c r="B51" s="58">
        <f>SUM(B48:B50)</f>
        <v>0</v>
      </c>
      <c r="C51" s="58">
        <f>SUM(C48:C50)</f>
        <v>0</v>
      </c>
      <c r="D51" s="58">
        <f>SUM(D48:D50)</f>
        <v>0</v>
      </c>
      <c r="E51" s="59">
        <f>SUM(B51:D51)</f>
        <v>0</v>
      </c>
      <c r="F51" s="58">
        <f>SUM(F48:F50)</f>
        <v>0</v>
      </c>
      <c r="G51" s="58">
        <f>SUM(G48:G50)</f>
        <v>0</v>
      </c>
      <c r="H51" s="58">
        <f>SUM(H48:H50)</f>
        <v>0</v>
      </c>
      <c r="I51" s="59">
        <f>SUM(F51:H51)</f>
        <v>0</v>
      </c>
      <c r="J51" s="58">
        <f>SUM(J48:J50)</f>
        <v>0</v>
      </c>
      <c r="K51" s="58">
        <f>SUM(K48:K50)</f>
        <v>0</v>
      </c>
      <c r="L51" s="58">
        <f>SUM(L48:L50)</f>
        <v>0</v>
      </c>
      <c r="M51" s="59">
        <f>SUM(J51:L51)</f>
        <v>0</v>
      </c>
      <c r="N51" s="58">
        <f>SUM(N48:N50)</f>
        <v>0</v>
      </c>
      <c r="O51" s="58">
        <f>SUM(O48:O50)</f>
        <v>0</v>
      </c>
      <c r="P51" s="58">
        <f>SUM(P48:P50)</f>
        <v>0</v>
      </c>
      <c r="Q51" s="59">
        <f>SUM(N51:P51)</f>
        <v>0</v>
      </c>
      <c r="R51" s="59">
        <f>+E51+I51+M51+Q51</f>
        <v>0</v>
      </c>
    </row>
    <row r="52" spans="1:18" ht="15.75" customHeight="1" x14ac:dyDescent="0.3">
      <c r="A52" s="18" t="s">
        <v>64</v>
      </c>
      <c r="B52" s="56"/>
      <c r="C52" s="56"/>
      <c r="D52" s="56"/>
      <c r="E52" s="55" t="s">
        <v>7</v>
      </c>
      <c r="F52" s="56"/>
      <c r="G52" s="56"/>
      <c r="H52" s="56"/>
      <c r="I52" s="55" t="s">
        <v>7</v>
      </c>
      <c r="J52" s="56"/>
      <c r="K52" s="56"/>
      <c r="L52" s="56"/>
      <c r="M52" s="55" t="s">
        <v>7</v>
      </c>
      <c r="N52" s="56"/>
      <c r="O52" s="56"/>
      <c r="P52" s="56"/>
      <c r="Q52" s="55" t="s">
        <v>7</v>
      </c>
      <c r="R52" s="55" t="s">
        <v>7</v>
      </c>
    </row>
    <row r="53" spans="1:18" ht="15.75" customHeight="1" x14ac:dyDescent="0.3">
      <c r="A53" s="18" t="s">
        <v>594</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18" t="s">
        <v>67</v>
      </c>
      <c r="B54" s="56"/>
      <c r="C54" s="56"/>
      <c r="D54" s="56"/>
      <c r="E54" s="55" t="s">
        <v>7</v>
      </c>
      <c r="F54" s="56"/>
      <c r="G54" s="56"/>
      <c r="H54" s="56"/>
      <c r="I54" s="55" t="s">
        <v>7</v>
      </c>
      <c r="J54" s="56"/>
      <c r="K54" s="56"/>
      <c r="L54" s="56"/>
      <c r="M54" s="55" t="s">
        <v>7</v>
      </c>
      <c r="N54" s="56"/>
      <c r="O54" s="56"/>
      <c r="P54" s="56"/>
      <c r="Q54" s="55" t="s">
        <v>7</v>
      </c>
      <c r="R54" s="55" t="s">
        <v>7</v>
      </c>
    </row>
    <row r="55" spans="1:18" ht="15.75" customHeight="1" x14ac:dyDescent="0.3">
      <c r="A55" s="61" t="s">
        <v>685</v>
      </c>
      <c r="B55" s="1">
        <v>0</v>
      </c>
      <c r="C55" s="1">
        <v>0</v>
      </c>
      <c r="D55" s="1">
        <v>0</v>
      </c>
      <c r="E55" s="55">
        <f>SUM(B55:D55)</f>
        <v>0</v>
      </c>
      <c r="F55" s="1">
        <v>0</v>
      </c>
      <c r="G55" s="1">
        <v>0</v>
      </c>
      <c r="H55" s="1">
        <v>0</v>
      </c>
      <c r="I55" s="55">
        <f>SUM(F55:H55)</f>
        <v>0</v>
      </c>
      <c r="J55" s="1">
        <v>0</v>
      </c>
      <c r="K55" s="1">
        <v>0</v>
      </c>
      <c r="L55" s="1">
        <v>0</v>
      </c>
      <c r="M55" s="55">
        <f>SUM(J55:L55)</f>
        <v>0</v>
      </c>
      <c r="N55" s="1">
        <v>0</v>
      </c>
      <c r="O55" s="1">
        <v>0</v>
      </c>
      <c r="P55" s="1">
        <v>0</v>
      </c>
      <c r="Q55" s="55">
        <f>SUM(N55:P55)</f>
        <v>0</v>
      </c>
      <c r="R55" s="55">
        <f>+E55+I55+M55+Q55</f>
        <v>0</v>
      </c>
    </row>
    <row r="56" spans="1:18" ht="15.75" customHeight="1" x14ac:dyDescent="0.3">
      <c r="A56" s="18" t="s">
        <v>600</v>
      </c>
      <c r="B56" s="56"/>
      <c r="C56" s="56"/>
      <c r="D56" s="56"/>
      <c r="E56" s="55" t="s">
        <v>7</v>
      </c>
      <c r="F56" s="56"/>
      <c r="G56" s="56"/>
      <c r="H56" s="56"/>
      <c r="I56" s="55" t="s">
        <v>7</v>
      </c>
      <c r="J56" s="56"/>
      <c r="K56" s="56"/>
      <c r="L56" s="56"/>
      <c r="M56" s="55" t="s">
        <v>7</v>
      </c>
      <c r="N56" s="56"/>
      <c r="O56" s="56"/>
      <c r="P56" s="56"/>
      <c r="Q56" s="55" t="s">
        <v>7</v>
      </c>
      <c r="R56" s="55" t="s">
        <v>7</v>
      </c>
    </row>
    <row r="57" spans="1:18" ht="15.75" customHeight="1" thickBot="1" x14ac:dyDescent="0.35">
      <c r="A57" s="18" t="s">
        <v>70</v>
      </c>
      <c r="B57" s="56"/>
      <c r="C57" s="56"/>
      <c r="D57" s="56"/>
      <c r="E57" s="55" t="s">
        <v>7</v>
      </c>
      <c r="F57" s="56"/>
      <c r="G57" s="56"/>
      <c r="H57" s="56"/>
      <c r="I57" s="55" t="s">
        <v>7</v>
      </c>
      <c r="J57" s="56"/>
      <c r="K57" s="56"/>
      <c r="L57" s="56"/>
      <c r="M57" s="55" t="s">
        <v>7</v>
      </c>
      <c r="N57" s="56"/>
      <c r="O57" s="56"/>
      <c r="P57" s="56"/>
      <c r="Q57" s="55" t="s">
        <v>7</v>
      </c>
      <c r="R57" s="55" t="s">
        <v>7</v>
      </c>
    </row>
    <row r="58" spans="1:18" ht="16.5" customHeight="1" thickBot="1" x14ac:dyDescent="0.35">
      <c r="A58" s="57" t="s">
        <v>71</v>
      </c>
      <c r="B58" s="58">
        <f>SUM(B56:B57)</f>
        <v>0</v>
      </c>
      <c r="C58" s="58">
        <f>SUM(C56:C57)</f>
        <v>0</v>
      </c>
      <c r="D58" s="58">
        <f>SUM(D56:D57)</f>
        <v>0</v>
      </c>
      <c r="E58" s="60">
        <f>SUM(B58:D58)</f>
        <v>0</v>
      </c>
      <c r="F58" s="58">
        <f>SUM(F56:F57)</f>
        <v>0</v>
      </c>
      <c r="G58" s="58">
        <f>SUM(G56:G57)</f>
        <v>0</v>
      </c>
      <c r="H58" s="58">
        <f>SUM(H56:H57)</f>
        <v>0</v>
      </c>
      <c r="I58" s="60">
        <f>SUM(F58:H58)</f>
        <v>0</v>
      </c>
      <c r="J58" s="58">
        <f>SUM(J56:J57)</f>
        <v>0</v>
      </c>
      <c r="K58" s="58">
        <f>SUM(K56:K57)</f>
        <v>0</v>
      </c>
      <c r="L58" s="58">
        <f>SUM(L56:L57)</f>
        <v>0</v>
      </c>
      <c r="M58" s="60">
        <f>SUM(J58:L58)</f>
        <v>0</v>
      </c>
      <c r="N58" s="58">
        <f>SUM(N56:N57)</f>
        <v>0</v>
      </c>
      <c r="O58" s="58">
        <f>SUM(O56:O57)</f>
        <v>0</v>
      </c>
      <c r="P58" s="58">
        <f>SUM(P56:P57)</f>
        <v>0</v>
      </c>
      <c r="Q58" s="60">
        <f>SUM(N58:P58)</f>
        <v>0</v>
      </c>
      <c r="R58" s="59">
        <f>+E58+I58+M58+Q58</f>
        <v>0</v>
      </c>
    </row>
    <row r="59" spans="1:18" ht="16.5" customHeight="1" thickBot="1" x14ac:dyDescent="0.35">
      <c r="A59" s="57" t="s">
        <v>72</v>
      </c>
      <c r="B59" s="58">
        <f>SUM(B52:B57)</f>
        <v>0</v>
      </c>
      <c r="C59" s="58">
        <f>SUM(C52:C57)</f>
        <v>0</v>
      </c>
      <c r="D59" s="58">
        <f>SUM(D52:D57)</f>
        <v>0</v>
      </c>
      <c r="E59" s="60">
        <f>SUM(B59:D59)</f>
        <v>0</v>
      </c>
      <c r="F59" s="58">
        <f>SUM(F52:F57)</f>
        <v>0</v>
      </c>
      <c r="G59" s="58">
        <f>SUM(G52:G57)</f>
        <v>0</v>
      </c>
      <c r="H59" s="58">
        <f>SUM(H52:H57)</f>
        <v>0</v>
      </c>
      <c r="I59" s="60">
        <f>SUM(F59:H59)</f>
        <v>0</v>
      </c>
      <c r="J59" s="58">
        <f>SUM(J52:J57)</f>
        <v>0</v>
      </c>
      <c r="K59" s="58">
        <f>SUM(K52:K57)</f>
        <v>0</v>
      </c>
      <c r="L59" s="58">
        <f>SUM(L52:L57)</f>
        <v>0</v>
      </c>
      <c r="M59" s="60">
        <f>SUM(J59:L59)</f>
        <v>0</v>
      </c>
      <c r="N59" s="58">
        <f>SUM(N52:N57)</f>
        <v>0</v>
      </c>
      <c r="O59" s="58">
        <f>SUM(O52:O57)</f>
        <v>0</v>
      </c>
      <c r="P59" s="58">
        <f>SUM(P52:P57)</f>
        <v>0</v>
      </c>
      <c r="Q59" s="60">
        <f>SUM(N59:P59)</f>
        <v>0</v>
      </c>
      <c r="R59" s="59">
        <f>+E59+I59+M59+Q59</f>
        <v>0</v>
      </c>
    </row>
    <row r="60" spans="1:18" ht="16.5" customHeight="1" thickBot="1" x14ac:dyDescent="0.35">
      <c r="A60" s="57" t="s">
        <v>73</v>
      </c>
      <c r="B60" s="58">
        <f>+B41+B47+B51+B59</f>
        <v>0</v>
      </c>
      <c r="C60" s="58">
        <f>+C41+C47+C51+C59</f>
        <v>0</v>
      </c>
      <c r="D60" s="58">
        <f>+D41+D47+D51+D59</f>
        <v>0</v>
      </c>
      <c r="E60" s="59">
        <f>SUM(B60:D60)</f>
        <v>0</v>
      </c>
      <c r="F60" s="58">
        <f>+F41+F47+F51+F59</f>
        <v>33</v>
      </c>
      <c r="G60" s="58">
        <f>+G41+G47+G51+G59</f>
        <v>102</v>
      </c>
      <c r="H60" s="58">
        <f>+H41+H47+H51+H59</f>
        <v>69</v>
      </c>
      <c r="I60" s="59">
        <f>SUM(F60:H60)</f>
        <v>204</v>
      </c>
      <c r="J60" s="58">
        <f>+J41+J47+J51+J59</f>
        <v>84</v>
      </c>
      <c r="K60" s="58">
        <f>+K41+K47+K51+K59</f>
        <v>198</v>
      </c>
      <c r="L60" s="58">
        <f>+L41+L47+L51+L59</f>
        <v>252</v>
      </c>
      <c r="M60" s="59">
        <f>SUM(J60:L60)</f>
        <v>534</v>
      </c>
      <c r="N60" s="58">
        <f>+N41+N47+N51+N59</f>
        <v>0</v>
      </c>
      <c r="O60" s="58">
        <f>+O41+O47+O51+O59</f>
        <v>0</v>
      </c>
      <c r="P60" s="58">
        <f>+P41+P47+P51+P59</f>
        <v>0</v>
      </c>
      <c r="Q60" s="59">
        <f>SUM(N60:P60)</f>
        <v>0</v>
      </c>
      <c r="R60" s="59">
        <f>+E60+I60+M60+Q60</f>
        <v>738</v>
      </c>
    </row>
    <row r="61" spans="1:18" ht="16.5" customHeight="1" thickBot="1" x14ac:dyDescent="0.35">
      <c r="A61" s="62" t="s">
        <v>40</v>
      </c>
      <c r="B61" s="63">
        <v>96</v>
      </c>
      <c r="C61" s="63">
        <v>145</v>
      </c>
      <c r="D61" s="63">
        <v>261</v>
      </c>
      <c r="E61" s="42">
        <f>SUM(B61:D61)</f>
        <v>502</v>
      </c>
      <c r="F61" s="63">
        <v>350</v>
      </c>
      <c r="G61" s="63">
        <v>402</v>
      </c>
      <c r="H61" s="63">
        <v>396</v>
      </c>
      <c r="I61" s="42">
        <f>SUM(F61:H61)</f>
        <v>1148</v>
      </c>
      <c r="J61" s="63">
        <v>394</v>
      </c>
      <c r="K61" s="63">
        <v>318</v>
      </c>
      <c r="L61" s="63">
        <v>301</v>
      </c>
      <c r="M61" s="42">
        <f>SUM(J61:L61)</f>
        <v>1013</v>
      </c>
      <c r="N61" s="63">
        <v>272</v>
      </c>
      <c r="O61" s="63">
        <v>226</v>
      </c>
      <c r="P61" s="63">
        <v>179</v>
      </c>
      <c r="Q61" s="42">
        <f>SUM(N61:P61)</f>
        <v>677</v>
      </c>
      <c r="R61" s="42">
        <f>+E61+I61+M61+Q61</f>
        <v>3340</v>
      </c>
    </row>
    <row r="62" spans="1:18" ht="16.5" customHeight="1" thickBot="1" x14ac:dyDescent="0.35">
      <c r="A62" s="41"/>
      <c r="B62" s="36"/>
      <c r="C62" s="36"/>
      <c r="D62" s="36"/>
      <c r="E62" s="22"/>
      <c r="F62" s="36"/>
      <c r="G62" s="36"/>
      <c r="H62" s="36"/>
      <c r="I62" s="22"/>
      <c r="J62" s="36"/>
      <c r="K62" s="36"/>
      <c r="L62" s="36"/>
      <c r="M62" s="22"/>
      <c r="N62" s="36"/>
      <c r="O62" s="36"/>
      <c r="P62" s="36"/>
      <c r="Q62" s="22"/>
      <c r="R62" s="41"/>
    </row>
    <row r="63" spans="1:18" ht="15.75" customHeight="1" x14ac:dyDescent="0.3">
      <c r="A63" s="15" t="s">
        <v>41</v>
      </c>
      <c r="B63" s="1">
        <f>+B60+B61</f>
        <v>96</v>
      </c>
      <c r="C63" s="1">
        <f>+C60+C61</f>
        <v>145</v>
      </c>
      <c r="D63" s="1">
        <f>+D60+D61</f>
        <v>261</v>
      </c>
      <c r="E63" s="40">
        <f>SUM(B63:D63)</f>
        <v>502</v>
      </c>
      <c r="F63" s="1">
        <f>+F60+F61</f>
        <v>383</v>
      </c>
      <c r="G63" s="1">
        <f>+G60+G61</f>
        <v>504</v>
      </c>
      <c r="H63" s="1">
        <f>+H60+H61</f>
        <v>465</v>
      </c>
      <c r="I63" s="40">
        <f>SUM(F63:H63)</f>
        <v>1352</v>
      </c>
      <c r="J63" s="1">
        <f>+J60+J61</f>
        <v>478</v>
      </c>
      <c r="K63" s="1">
        <f>+K60+K61</f>
        <v>516</v>
      </c>
      <c r="L63" s="1">
        <f>+L60+L61</f>
        <v>553</v>
      </c>
      <c r="M63" s="40">
        <f>SUM(J63:L63)</f>
        <v>1547</v>
      </c>
      <c r="N63" s="1">
        <f>+N60+N61</f>
        <v>272</v>
      </c>
      <c r="O63" s="1">
        <f>+O60+O61</f>
        <v>226</v>
      </c>
      <c r="P63" s="1">
        <f>+P60+P61</f>
        <v>179</v>
      </c>
      <c r="Q63" s="44">
        <f>SUM(N63:P63)</f>
        <v>677</v>
      </c>
      <c r="R63" s="16">
        <f>+E63+I63+M63+Q63</f>
        <v>4078</v>
      </c>
    </row>
    <row r="64" spans="1:18" ht="15.75" customHeight="1" x14ac:dyDescent="0.3">
      <c r="A64" s="15" t="s">
        <v>42</v>
      </c>
      <c r="B64" s="1">
        <f>(B63/31)/1.983</f>
        <v>1.5616612171197111</v>
      </c>
      <c r="C64" s="1">
        <f>(C63/28)/1.983</f>
        <v>2.6114833225271954</v>
      </c>
      <c r="D64" s="1">
        <f>(D63/31)/1.983</f>
        <v>4.2457664340442145</v>
      </c>
      <c r="E64" s="16"/>
      <c r="F64" s="1">
        <f>(F63/30)/1.983</f>
        <v>6.4380568162716427</v>
      </c>
      <c r="G64" s="1">
        <f>(G63/31)/1.983</f>
        <v>8.1987213898784823</v>
      </c>
      <c r="H64" s="1">
        <f>(H63/30)/1.983</f>
        <v>7.8164397377710539</v>
      </c>
      <c r="I64" s="16"/>
      <c r="J64" s="1">
        <f>(J63/31)/1.983</f>
        <v>7.7757714769085613</v>
      </c>
      <c r="K64" s="1">
        <f>(K63/31)/1.983</f>
        <v>8.3939290420184456</v>
      </c>
      <c r="L64" s="1">
        <f>(L63/30)/1.983</f>
        <v>9.2956799462094466</v>
      </c>
      <c r="M64" s="16"/>
      <c r="N64" s="1">
        <f>(N63/31)/1.983</f>
        <v>4.4247067818391805</v>
      </c>
      <c r="O64" s="1">
        <f>(O63/30)/1.983</f>
        <v>3.7989578080349635</v>
      </c>
      <c r="P64" s="1">
        <f>(P63/31)/1.983</f>
        <v>2.9118474777544612</v>
      </c>
      <c r="Q64" s="17"/>
      <c r="R64" s="64"/>
    </row>
    <row r="65" spans="1:19" ht="15.75" customHeight="1" x14ac:dyDescent="0.3">
      <c r="A65" s="15" t="s">
        <v>74</v>
      </c>
      <c r="B65" s="1">
        <f>B63+B129</f>
        <v>89883</v>
      </c>
      <c r="C65" s="1">
        <f>C63+C129</f>
        <v>133648</v>
      </c>
      <c r="D65" s="1">
        <f>D63+D129</f>
        <v>185483</v>
      </c>
      <c r="E65" s="16">
        <f>SUM(B65:D65)</f>
        <v>409014</v>
      </c>
      <c r="F65" s="1">
        <f>F63+F129</f>
        <v>180211</v>
      </c>
      <c r="G65" s="1">
        <f>G63+G129</f>
        <v>166760</v>
      </c>
      <c r="H65" s="1">
        <f>H63+H129</f>
        <v>154929</v>
      </c>
      <c r="I65" s="16">
        <f>SUM(F65:H65)</f>
        <v>501900</v>
      </c>
      <c r="J65" s="1">
        <f>J63+J129</f>
        <v>78989</v>
      </c>
      <c r="K65" s="1">
        <f>K63+K129</f>
        <v>61206</v>
      </c>
      <c r="L65" s="1">
        <f>L63+L129</f>
        <v>102872</v>
      </c>
      <c r="M65" s="16">
        <f>SUM(J65:L65)</f>
        <v>243067</v>
      </c>
      <c r="N65" s="1">
        <f>N63+N129</f>
        <v>148147</v>
      </c>
      <c r="O65" s="1">
        <f>O63+O129</f>
        <v>175396</v>
      </c>
      <c r="P65" s="1">
        <f>P63+P129</f>
        <v>150062</v>
      </c>
      <c r="Q65" s="17">
        <f>SUM(N65:P65)</f>
        <v>473605</v>
      </c>
      <c r="R65" s="16">
        <f>+E65+I65+M65+Q65</f>
        <v>1627586</v>
      </c>
    </row>
    <row r="66" spans="1:19" ht="16.5" customHeight="1" thickBot="1" x14ac:dyDescent="0.35">
      <c r="A66" s="20" t="s">
        <v>75</v>
      </c>
      <c r="B66" s="21">
        <f>(B65/31)/1.983</f>
        <v>1462.1541164413645</v>
      </c>
      <c r="C66" s="21">
        <f>(C65/28)/1.983</f>
        <v>2407.0311937180318</v>
      </c>
      <c r="D66" s="21">
        <f>(D65/31)/1.983</f>
        <v>3017.3084118230763</v>
      </c>
      <c r="E66" s="22"/>
      <c r="F66" s="21">
        <f>(F65/30)/1.983</f>
        <v>3029.2654227601279</v>
      </c>
      <c r="G66" s="21">
        <f>(G65/31)/1.983</f>
        <v>2712.7356725716977</v>
      </c>
      <c r="H66" s="21">
        <f>(H65/30)/1.983</f>
        <v>2604.2864346949068</v>
      </c>
      <c r="I66" s="22"/>
      <c r="J66" s="21">
        <f>(J65/31)/1.983</f>
        <v>1284.9381029069673</v>
      </c>
      <c r="K66" s="21">
        <f>(K65/31)/1.983</f>
        <v>995.65662973988583</v>
      </c>
      <c r="L66" s="21">
        <f>(L65/30)/1.983</f>
        <v>1729.2318036644813</v>
      </c>
      <c r="M66" s="22"/>
      <c r="N66" s="21">
        <f>(N65/31)/1.983</f>
        <v>2409.9523367982692</v>
      </c>
      <c r="O66" s="21">
        <f>(O65/30)/1.983</f>
        <v>2948.3274499915951</v>
      </c>
      <c r="P66" s="21">
        <f>(P65/31)/1.983</f>
        <v>2441.1042246189386</v>
      </c>
      <c r="Q66" s="23"/>
      <c r="R66" s="65" t="s">
        <v>7</v>
      </c>
    </row>
    <row r="67" spans="1:19" ht="15.75" customHeight="1" x14ac:dyDescent="0.3">
      <c r="A67" s="2"/>
      <c r="B67" s="1"/>
      <c r="C67" s="1"/>
      <c r="D67" s="1"/>
      <c r="E67" s="1"/>
      <c r="F67" s="1"/>
      <c r="G67" s="1"/>
      <c r="H67" s="1"/>
      <c r="I67" s="1"/>
      <c r="J67" s="1"/>
      <c r="K67" s="1"/>
      <c r="L67" s="1"/>
      <c r="M67" s="1"/>
      <c r="N67" s="1"/>
      <c r="O67" s="1"/>
      <c r="P67" s="1"/>
      <c r="Q67" s="1"/>
      <c r="R67" s="2"/>
    </row>
    <row r="68" spans="1:19" ht="15.75" customHeight="1" thickBot="1" x14ac:dyDescent="0.35">
      <c r="A68" s="2"/>
      <c r="B68" s="1"/>
      <c r="C68" s="1"/>
      <c r="D68" s="1"/>
      <c r="E68" s="1"/>
      <c r="F68" s="1"/>
      <c r="G68" s="1"/>
      <c r="H68" s="1"/>
      <c r="I68" s="1"/>
      <c r="J68" s="1"/>
      <c r="K68" s="1"/>
      <c r="L68" s="1"/>
      <c r="M68" s="1"/>
      <c r="N68" s="1"/>
      <c r="O68" s="1"/>
      <c r="P68" s="1"/>
      <c r="Q68" s="1"/>
      <c r="R68" s="2"/>
    </row>
    <row r="69" spans="1:19" ht="16.5" customHeight="1" thickBot="1" x14ac:dyDescent="0.35">
      <c r="A69" s="29" t="s">
        <v>76</v>
      </c>
      <c r="B69" s="30" t="s">
        <v>8</v>
      </c>
      <c r="C69" s="31" t="s">
        <v>9</v>
      </c>
      <c r="D69" s="31" t="s">
        <v>10</v>
      </c>
      <c r="E69" s="32" t="s">
        <v>11</v>
      </c>
      <c r="F69" s="31" t="s">
        <v>12</v>
      </c>
      <c r="G69" s="31" t="s">
        <v>13</v>
      </c>
      <c r="H69" s="31" t="s">
        <v>14</v>
      </c>
      <c r="I69" s="33" t="s">
        <v>15</v>
      </c>
      <c r="J69" s="31" t="s">
        <v>16</v>
      </c>
      <c r="K69" s="31" t="s">
        <v>17</v>
      </c>
      <c r="L69" s="31" t="s">
        <v>18</v>
      </c>
      <c r="M69" s="33" t="s">
        <v>19</v>
      </c>
      <c r="N69" s="31" t="s">
        <v>20</v>
      </c>
      <c r="O69" s="31" t="s">
        <v>21</v>
      </c>
      <c r="P69" s="31" t="s">
        <v>22</v>
      </c>
      <c r="Q69" s="33" t="s">
        <v>23</v>
      </c>
      <c r="R69" s="34" t="s">
        <v>24</v>
      </c>
    </row>
    <row r="70" spans="1:19" ht="16.5" customHeight="1" thickBot="1" x14ac:dyDescent="0.35">
      <c r="A70" s="66"/>
      <c r="B70" s="67"/>
      <c r="C70" s="68"/>
      <c r="D70" s="68"/>
      <c r="E70" s="69"/>
      <c r="F70" s="68"/>
      <c r="G70" s="68"/>
      <c r="H70" s="68"/>
      <c r="I70" s="69"/>
      <c r="J70" s="68"/>
      <c r="K70" s="68"/>
      <c r="L70" s="68"/>
      <c r="M70" s="69"/>
      <c r="N70" s="68"/>
      <c r="O70" s="68"/>
      <c r="P70" s="70"/>
      <c r="Q70" s="69"/>
      <c r="R70" s="59"/>
    </row>
    <row r="71" spans="1:19" ht="15.75" customHeight="1" x14ac:dyDescent="0.3">
      <c r="A71" s="54" t="s">
        <v>48</v>
      </c>
      <c r="B71" s="28"/>
      <c r="C71" s="28"/>
      <c r="D71" s="28"/>
      <c r="E71" s="55" t="s">
        <v>7</v>
      </c>
      <c r="F71" s="28"/>
      <c r="G71" s="28"/>
      <c r="H71" s="28"/>
      <c r="I71" s="55" t="s">
        <v>7</v>
      </c>
      <c r="J71" s="28"/>
      <c r="K71" s="28"/>
      <c r="L71" s="28"/>
      <c r="M71" s="55" t="s">
        <v>7</v>
      </c>
      <c r="N71" s="28"/>
      <c r="O71" s="28"/>
      <c r="P71" s="28"/>
      <c r="Q71" s="55" t="s">
        <v>7</v>
      </c>
      <c r="R71" s="55" t="s">
        <v>7</v>
      </c>
    </row>
    <row r="72" spans="1:19" ht="15.75" customHeight="1" x14ac:dyDescent="0.3">
      <c r="A72" s="18" t="s">
        <v>49</v>
      </c>
      <c r="B72" s="28"/>
      <c r="C72" s="56"/>
      <c r="D72" s="56"/>
      <c r="E72" s="55" t="s">
        <v>7</v>
      </c>
      <c r="F72" s="56"/>
      <c r="G72" s="56"/>
      <c r="H72" s="56"/>
      <c r="I72" s="55" t="s">
        <v>7</v>
      </c>
      <c r="J72" s="56"/>
      <c r="K72" s="56"/>
      <c r="L72" s="56"/>
      <c r="M72" s="55" t="s">
        <v>7</v>
      </c>
      <c r="N72" s="56"/>
      <c r="O72" s="56"/>
      <c r="P72" s="56"/>
      <c r="Q72" s="55" t="s">
        <v>7</v>
      </c>
      <c r="R72" s="55" t="s">
        <v>7</v>
      </c>
    </row>
    <row r="73" spans="1:19" ht="15.75" customHeight="1" x14ac:dyDescent="0.3">
      <c r="A73" s="71" t="s">
        <v>686</v>
      </c>
      <c r="B73" s="1">
        <v>0</v>
      </c>
      <c r="C73" s="1">
        <v>239</v>
      </c>
      <c r="D73" s="1">
        <v>0</v>
      </c>
      <c r="E73" s="55">
        <f t="shared" ref="E73:E79" si="5">SUM(B73:D73)</f>
        <v>239</v>
      </c>
      <c r="F73" s="1">
        <v>0</v>
      </c>
      <c r="G73" s="1">
        <v>0</v>
      </c>
      <c r="H73" s="1">
        <v>0</v>
      </c>
      <c r="I73" s="55">
        <f t="shared" ref="I73:I79" si="6">SUM(F73:H73)</f>
        <v>0</v>
      </c>
      <c r="J73" s="1">
        <v>0</v>
      </c>
      <c r="K73" s="1">
        <v>0</v>
      </c>
      <c r="L73" s="1">
        <v>0</v>
      </c>
      <c r="M73" s="55">
        <f t="shared" ref="M73:M79" si="7">SUM(J73:L73)</f>
        <v>0</v>
      </c>
      <c r="N73" s="1">
        <v>0</v>
      </c>
      <c r="O73" s="1">
        <v>0</v>
      </c>
      <c r="P73" s="1">
        <v>0</v>
      </c>
      <c r="Q73" s="55">
        <f t="shared" ref="Q73:Q79" si="8">SUM(N73:P73)</f>
        <v>0</v>
      </c>
      <c r="R73" s="55">
        <f t="shared" ref="R73:R79" si="9">+E73+I73+M73+Q73</f>
        <v>239</v>
      </c>
    </row>
    <row r="74" spans="1:19" ht="15.75" customHeight="1" x14ac:dyDescent="0.3">
      <c r="A74" s="71" t="s">
        <v>687</v>
      </c>
      <c r="B74" s="1">
        <v>0</v>
      </c>
      <c r="C74" s="1">
        <v>231</v>
      </c>
      <c r="D74" s="1">
        <v>0</v>
      </c>
      <c r="E74" s="55">
        <f>SUM(B74:D74)</f>
        <v>231</v>
      </c>
      <c r="F74" s="1">
        <v>0</v>
      </c>
      <c r="G74" s="1">
        <v>0</v>
      </c>
      <c r="H74" s="1">
        <v>0</v>
      </c>
      <c r="I74" s="55">
        <f>SUM(F74:H74)</f>
        <v>0</v>
      </c>
      <c r="J74" s="1">
        <v>0</v>
      </c>
      <c r="K74" s="1">
        <v>0</v>
      </c>
      <c r="L74" s="1">
        <v>0</v>
      </c>
      <c r="M74" s="55">
        <f>SUM(J74:L74)</f>
        <v>0</v>
      </c>
      <c r="N74" s="1">
        <v>0</v>
      </c>
      <c r="O74" s="1">
        <v>0</v>
      </c>
      <c r="P74" s="1">
        <v>0</v>
      </c>
      <c r="Q74" s="55">
        <f>SUM(N74:P74)</f>
        <v>0</v>
      </c>
      <c r="R74" s="55">
        <f>+E74+I74+M74+Q74</f>
        <v>231</v>
      </c>
    </row>
    <row r="75" spans="1:19" ht="15.75" customHeight="1" x14ac:dyDescent="0.3">
      <c r="A75" s="71" t="s">
        <v>524</v>
      </c>
      <c r="B75" s="1">
        <v>0</v>
      </c>
      <c r="C75" s="1">
        <v>0</v>
      </c>
      <c r="D75" s="1">
        <v>0</v>
      </c>
      <c r="E75" s="55">
        <f t="shared" si="5"/>
        <v>0</v>
      </c>
      <c r="F75" s="1">
        <v>0</v>
      </c>
      <c r="G75" s="1">
        <v>0</v>
      </c>
      <c r="H75" s="1">
        <v>0</v>
      </c>
      <c r="I75" s="55">
        <f t="shared" si="6"/>
        <v>0</v>
      </c>
      <c r="J75" s="1">
        <v>0</v>
      </c>
      <c r="K75" s="1">
        <v>0</v>
      </c>
      <c r="L75" s="1">
        <v>0</v>
      </c>
      <c r="M75" s="55">
        <f t="shared" si="7"/>
        <v>0</v>
      </c>
      <c r="N75" s="1">
        <v>0</v>
      </c>
      <c r="O75" s="1">
        <v>0</v>
      </c>
      <c r="P75" s="1">
        <v>0</v>
      </c>
      <c r="Q75" s="55">
        <f t="shared" si="8"/>
        <v>0</v>
      </c>
      <c r="R75" s="55">
        <f t="shared" si="9"/>
        <v>0</v>
      </c>
    </row>
    <row r="76" spans="1:19" ht="15.75" customHeight="1" x14ac:dyDescent="0.3">
      <c r="A76" s="71" t="s">
        <v>78</v>
      </c>
      <c r="B76" s="1">
        <v>0</v>
      </c>
      <c r="C76" s="1">
        <v>0</v>
      </c>
      <c r="D76" s="1">
        <v>0</v>
      </c>
      <c r="E76" s="55">
        <f t="shared" si="5"/>
        <v>0</v>
      </c>
      <c r="F76" s="1">
        <v>0</v>
      </c>
      <c r="G76" s="1">
        <v>0</v>
      </c>
      <c r="H76" s="1">
        <v>0</v>
      </c>
      <c r="I76" s="55">
        <f t="shared" si="6"/>
        <v>0</v>
      </c>
      <c r="J76" s="1">
        <v>0</v>
      </c>
      <c r="K76" s="1">
        <v>0</v>
      </c>
      <c r="L76" s="1">
        <v>0</v>
      </c>
      <c r="M76" s="55">
        <f t="shared" si="7"/>
        <v>0</v>
      </c>
      <c r="N76" s="1">
        <v>0</v>
      </c>
      <c r="O76" s="1">
        <v>0</v>
      </c>
      <c r="P76" s="1">
        <v>0</v>
      </c>
      <c r="Q76" s="55">
        <f t="shared" si="8"/>
        <v>0</v>
      </c>
      <c r="R76" s="55">
        <f t="shared" si="9"/>
        <v>0</v>
      </c>
    </row>
    <row r="77" spans="1:19" ht="15.75" customHeight="1" x14ac:dyDescent="0.3">
      <c r="A77" s="71" t="s">
        <v>525</v>
      </c>
      <c r="B77" s="1">
        <v>0</v>
      </c>
      <c r="C77" s="1">
        <v>0</v>
      </c>
      <c r="D77" s="1">
        <v>0</v>
      </c>
      <c r="E77" s="55">
        <f t="shared" si="5"/>
        <v>0</v>
      </c>
      <c r="F77" s="1">
        <v>0</v>
      </c>
      <c r="G77" s="1">
        <v>0</v>
      </c>
      <c r="H77" s="1">
        <v>0</v>
      </c>
      <c r="I77" s="55">
        <f t="shared" si="6"/>
        <v>0</v>
      </c>
      <c r="J77" s="1">
        <v>508</v>
      </c>
      <c r="K77" s="1">
        <v>0</v>
      </c>
      <c r="L77" s="1">
        <v>0</v>
      </c>
      <c r="M77" s="55">
        <f t="shared" si="7"/>
        <v>508</v>
      </c>
      <c r="N77" s="1">
        <v>0</v>
      </c>
      <c r="O77" s="1">
        <v>0</v>
      </c>
      <c r="P77" s="1">
        <v>0</v>
      </c>
      <c r="Q77" s="55">
        <f t="shared" si="8"/>
        <v>0</v>
      </c>
      <c r="R77" s="55">
        <f t="shared" si="9"/>
        <v>508</v>
      </c>
    </row>
    <row r="78" spans="1:19" ht="15.75" customHeight="1" x14ac:dyDescent="0.3">
      <c r="A78" s="72" t="s">
        <v>79</v>
      </c>
      <c r="B78" s="1">
        <v>0</v>
      </c>
      <c r="C78" s="1">
        <v>0</v>
      </c>
      <c r="D78" s="1">
        <v>0</v>
      </c>
      <c r="E78" s="55">
        <f t="shared" si="5"/>
        <v>0</v>
      </c>
      <c r="F78" s="1">
        <v>0</v>
      </c>
      <c r="G78" s="1">
        <v>0</v>
      </c>
      <c r="H78" s="1">
        <v>0</v>
      </c>
      <c r="I78" s="55">
        <f t="shared" si="6"/>
        <v>0</v>
      </c>
      <c r="J78" s="1">
        <v>0</v>
      </c>
      <c r="K78" s="1">
        <v>0</v>
      </c>
      <c r="L78" s="1">
        <v>0</v>
      </c>
      <c r="M78" s="55">
        <f t="shared" si="7"/>
        <v>0</v>
      </c>
      <c r="N78" s="1">
        <v>0</v>
      </c>
      <c r="O78" s="1">
        <v>0</v>
      </c>
      <c r="P78" s="1">
        <v>0</v>
      </c>
      <c r="Q78" s="55">
        <f t="shared" si="8"/>
        <v>0</v>
      </c>
      <c r="R78" s="55">
        <f t="shared" si="9"/>
        <v>0</v>
      </c>
    </row>
    <row r="79" spans="1:19" ht="15.75" customHeight="1" x14ac:dyDescent="0.3">
      <c r="A79" s="72" t="s">
        <v>80</v>
      </c>
      <c r="B79" s="1">
        <v>0</v>
      </c>
      <c r="C79" s="1">
        <v>0</v>
      </c>
      <c r="D79" s="1">
        <v>0</v>
      </c>
      <c r="E79" s="55">
        <f t="shared" si="5"/>
        <v>0</v>
      </c>
      <c r="F79" s="1">
        <v>0</v>
      </c>
      <c r="G79" s="1">
        <v>0</v>
      </c>
      <c r="H79" s="1">
        <v>0</v>
      </c>
      <c r="I79" s="55">
        <f t="shared" si="6"/>
        <v>0</v>
      </c>
      <c r="J79" s="1">
        <v>0</v>
      </c>
      <c r="K79" s="1">
        <v>0</v>
      </c>
      <c r="L79" s="1">
        <v>0</v>
      </c>
      <c r="M79" s="55">
        <f t="shared" si="7"/>
        <v>0</v>
      </c>
      <c r="N79" s="1">
        <v>0</v>
      </c>
      <c r="O79" s="1">
        <v>0</v>
      </c>
      <c r="P79" s="1">
        <v>0</v>
      </c>
      <c r="Q79" s="55">
        <f t="shared" si="8"/>
        <v>0</v>
      </c>
      <c r="R79" s="55">
        <f t="shared" si="9"/>
        <v>0</v>
      </c>
      <c r="S79" s="4">
        <f>SUM(R73:R79)</f>
        <v>978</v>
      </c>
    </row>
    <row r="80" spans="1:19" ht="15.75" customHeight="1" x14ac:dyDescent="0.3">
      <c r="A80" s="72" t="s">
        <v>688</v>
      </c>
      <c r="B80" s="1">
        <v>0</v>
      </c>
      <c r="C80" s="1">
        <v>0</v>
      </c>
      <c r="D80" s="1">
        <v>0</v>
      </c>
      <c r="E80" s="55">
        <f>SUM(B80:D80)</f>
        <v>0</v>
      </c>
      <c r="F80" s="1">
        <v>0</v>
      </c>
      <c r="G80" s="1">
        <v>0</v>
      </c>
      <c r="H80" s="1">
        <v>0</v>
      </c>
      <c r="I80" s="55">
        <f>SUM(F80:H80)</f>
        <v>0</v>
      </c>
      <c r="J80" s="1">
        <v>0</v>
      </c>
      <c r="K80" s="1">
        <v>0</v>
      </c>
      <c r="L80" s="1">
        <v>88</v>
      </c>
      <c r="M80" s="55">
        <f>SUM(J80:L80)</f>
        <v>88</v>
      </c>
      <c r="N80" s="1">
        <v>0</v>
      </c>
      <c r="O80" s="1">
        <v>0</v>
      </c>
      <c r="P80" s="1">
        <v>0</v>
      </c>
      <c r="Q80" s="55">
        <f>SUM(N80:P80)</f>
        <v>0</v>
      </c>
      <c r="R80" s="55">
        <f>+E80+I80+M80+Q80</f>
        <v>88</v>
      </c>
    </row>
    <row r="81" spans="1:18" ht="15.75" customHeight="1" x14ac:dyDescent="0.3">
      <c r="A81" s="18" t="s">
        <v>50</v>
      </c>
      <c r="B81" s="28"/>
      <c r="C81" s="28"/>
      <c r="D81" s="28"/>
      <c r="E81" s="55" t="s">
        <v>7</v>
      </c>
      <c r="F81" s="28"/>
      <c r="G81" s="28"/>
      <c r="H81" s="28"/>
      <c r="I81" s="55" t="s">
        <v>7</v>
      </c>
      <c r="J81" s="28"/>
      <c r="K81" s="28"/>
      <c r="L81" s="28"/>
      <c r="M81" s="55" t="s">
        <v>7</v>
      </c>
      <c r="N81" s="28"/>
      <c r="O81" s="28"/>
      <c r="P81" s="28"/>
      <c r="Q81" s="55" t="s">
        <v>7</v>
      </c>
      <c r="R81" s="55" t="s">
        <v>7</v>
      </c>
    </row>
    <row r="82" spans="1:18" ht="15.75" customHeight="1" x14ac:dyDescent="0.3">
      <c r="A82" s="72" t="s">
        <v>81</v>
      </c>
      <c r="B82" s="1">
        <v>0</v>
      </c>
      <c r="C82" s="1">
        <v>0</v>
      </c>
      <c r="D82" s="1">
        <v>0</v>
      </c>
      <c r="E82" s="55">
        <f>SUM(B82:D82)</f>
        <v>0</v>
      </c>
      <c r="F82" s="1">
        <v>0</v>
      </c>
      <c r="G82" s="1">
        <v>0</v>
      </c>
      <c r="H82" s="1">
        <v>0</v>
      </c>
      <c r="I82" s="55">
        <f>SUM(F82:H82)</f>
        <v>0</v>
      </c>
      <c r="J82" s="1">
        <v>0</v>
      </c>
      <c r="K82" s="1">
        <v>0</v>
      </c>
      <c r="L82" s="1">
        <v>0</v>
      </c>
      <c r="M82" s="55">
        <f>SUM(J82:L82)</f>
        <v>0</v>
      </c>
      <c r="N82" s="1">
        <v>0</v>
      </c>
      <c r="O82" s="1">
        <v>0</v>
      </c>
      <c r="P82" s="1">
        <v>500</v>
      </c>
      <c r="Q82" s="55">
        <f>SUM(N82:P82)</f>
        <v>500</v>
      </c>
      <c r="R82" s="55">
        <f>+E82+I82+M82+Q82</f>
        <v>500</v>
      </c>
    </row>
    <row r="83" spans="1:18" ht="15.75" customHeight="1" x14ac:dyDescent="0.3">
      <c r="A83" s="72" t="s">
        <v>83</v>
      </c>
      <c r="B83" s="1">
        <v>0</v>
      </c>
      <c r="C83" s="1">
        <v>0</v>
      </c>
      <c r="D83" s="1">
        <v>0</v>
      </c>
      <c r="E83" s="55">
        <f>SUM(B83:D83)</f>
        <v>0</v>
      </c>
      <c r="F83" s="1">
        <v>0</v>
      </c>
      <c r="G83" s="1">
        <v>0</v>
      </c>
      <c r="H83" s="1">
        <v>0</v>
      </c>
      <c r="I83" s="55">
        <f>SUM(F83:H83)</f>
        <v>0</v>
      </c>
      <c r="J83" s="1">
        <v>51</v>
      </c>
      <c r="K83" s="1">
        <v>136</v>
      </c>
      <c r="L83" s="1">
        <v>27</v>
      </c>
      <c r="M83" s="55">
        <f>SUM(J83:L83)</f>
        <v>214</v>
      </c>
      <c r="N83" s="1">
        <v>0</v>
      </c>
      <c r="O83" s="1">
        <v>0</v>
      </c>
      <c r="P83" s="1">
        <v>0</v>
      </c>
      <c r="Q83" s="55">
        <f>SUM(N83:P83)</f>
        <v>0</v>
      </c>
      <c r="R83" s="55">
        <f>+E83+I83+M83+Q83</f>
        <v>214</v>
      </c>
    </row>
    <row r="84" spans="1:18" ht="15.75" customHeight="1" x14ac:dyDescent="0.3">
      <c r="A84" s="18" t="s">
        <v>51</v>
      </c>
      <c r="B84" s="28"/>
      <c r="C84" s="28"/>
      <c r="D84" s="28"/>
      <c r="E84" s="55" t="s">
        <v>52</v>
      </c>
      <c r="F84" s="28"/>
      <c r="G84" s="28"/>
      <c r="H84" s="28"/>
      <c r="I84" s="55" t="s">
        <v>52</v>
      </c>
      <c r="J84" s="28"/>
      <c r="K84" s="28"/>
      <c r="L84" s="28"/>
      <c r="M84" s="55" t="s">
        <v>52</v>
      </c>
      <c r="N84" s="28"/>
      <c r="O84" s="28"/>
      <c r="P84" s="28"/>
      <c r="Q84" s="55" t="s">
        <v>52</v>
      </c>
      <c r="R84" s="55" t="s">
        <v>52</v>
      </c>
    </row>
    <row r="85" spans="1:18" ht="15.75" customHeight="1" x14ac:dyDescent="0.3">
      <c r="A85" s="61" t="s">
        <v>689</v>
      </c>
      <c r="B85" s="1">
        <v>0</v>
      </c>
      <c r="C85" s="1">
        <v>0</v>
      </c>
      <c r="D85" s="1">
        <v>0</v>
      </c>
      <c r="E85" s="55">
        <f>SUM(B85:D85)</f>
        <v>0</v>
      </c>
      <c r="F85" s="1">
        <v>0</v>
      </c>
      <c r="G85" s="1">
        <v>0</v>
      </c>
      <c r="H85" s="1">
        <v>0</v>
      </c>
      <c r="I85" s="55">
        <f>SUM(F85:H85)</f>
        <v>0</v>
      </c>
      <c r="J85" s="1">
        <v>0</v>
      </c>
      <c r="K85" s="1">
        <v>0</v>
      </c>
      <c r="L85" s="1">
        <v>0</v>
      </c>
      <c r="M85" s="55">
        <f>SUM(J85:L85)</f>
        <v>0</v>
      </c>
      <c r="N85" s="1">
        <v>0</v>
      </c>
      <c r="O85" s="1">
        <v>0</v>
      </c>
      <c r="P85" s="1">
        <v>0</v>
      </c>
      <c r="Q85" s="55">
        <f>SUM(N85:P85)</f>
        <v>0</v>
      </c>
      <c r="R85" s="55">
        <f>+E85+I85+M85+Q85</f>
        <v>0</v>
      </c>
    </row>
    <row r="86" spans="1:18" ht="15.75" customHeight="1" x14ac:dyDescent="0.3">
      <c r="A86" s="61" t="s">
        <v>688</v>
      </c>
      <c r="B86" s="1">
        <v>482</v>
      </c>
      <c r="C86" s="1">
        <v>308</v>
      </c>
      <c r="D86" s="1">
        <v>1523</v>
      </c>
      <c r="E86" s="55">
        <f>SUM(B86:D86)</f>
        <v>2313</v>
      </c>
      <c r="F86" s="1">
        <v>670</v>
      </c>
      <c r="G86" s="1">
        <v>786</v>
      </c>
      <c r="H86" s="1">
        <v>1450</v>
      </c>
      <c r="I86" s="55">
        <f>SUM(F86:H86)</f>
        <v>2906</v>
      </c>
      <c r="J86" s="1">
        <v>381</v>
      </c>
      <c r="K86" s="1">
        <v>0</v>
      </c>
      <c r="L86" s="1">
        <v>0</v>
      </c>
      <c r="M86" s="55">
        <f>SUM(J86:L86)</f>
        <v>381</v>
      </c>
      <c r="N86" s="1">
        <v>0</v>
      </c>
      <c r="O86" s="1">
        <v>0</v>
      </c>
      <c r="P86" s="1">
        <v>0</v>
      </c>
      <c r="Q86" s="55">
        <f>SUM(N86:P86)</f>
        <v>0</v>
      </c>
      <c r="R86" s="55">
        <f>+E86+I86+M86+Q86</f>
        <v>5600</v>
      </c>
    </row>
    <row r="87" spans="1:18" ht="15.75" customHeight="1" thickBot="1" x14ac:dyDescent="0.35">
      <c r="A87" s="18" t="s">
        <v>53</v>
      </c>
      <c r="B87" s="56"/>
      <c r="C87" s="56"/>
      <c r="D87" s="56"/>
      <c r="E87" s="55" t="s">
        <v>7</v>
      </c>
      <c r="F87" s="56"/>
      <c r="G87" s="56"/>
      <c r="H87" s="56"/>
      <c r="I87" s="55" t="s">
        <v>7</v>
      </c>
      <c r="J87" s="56"/>
      <c r="K87" s="56"/>
      <c r="L87" s="56"/>
      <c r="M87" s="55" t="s">
        <v>7</v>
      </c>
      <c r="N87" s="56"/>
      <c r="O87" s="56"/>
      <c r="P87" s="56"/>
      <c r="Q87" s="55" t="s">
        <v>7</v>
      </c>
      <c r="R87" s="55" t="s">
        <v>7</v>
      </c>
    </row>
    <row r="88" spans="1:18" ht="16.5" customHeight="1" thickBot="1" x14ac:dyDescent="0.35">
      <c r="A88" s="57" t="s">
        <v>54</v>
      </c>
      <c r="B88" s="58">
        <f>SUM(B71:B87)</f>
        <v>482</v>
      </c>
      <c r="C88" s="58">
        <f>SUM(C71:C87)</f>
        <v>778</v>
      </c>
      <c r="D88" s="58">
        <f>SUM(D71:D87)</f>
        <v>1523</v>
      </c>
      <c r="E88" s="59">
        <f>SUM(B88:D88)</f>
        <v>2783</v>
      </c>
      <c r="F88" s="58">
        <f>SUM(F71:F87)</f>
        <v>670</v>
      </c>
      <c r="G88" s="58">
        <f>SUM(G71:G87)</f>
        <v>786</v>
      </c>
      <c r="H88" s="58">
        <f>SUM(H71:H87)</f>
        <v>1450</v>
      </c>
      <c r="I88" s="59">
        <f>SUM(F88:H88)</f>
        <v>2906</v>
      </c>
      <c r="J88" s="58">
        <f>SUM(J71:J87)</f>
        <v>940</v>
      </c>
      <c r="K88" s="58">
        <f>SUM(K71:K87)</f>
        <v>136</v>
      </c>
      <c r="L88" s="58">
        <f>SUM(L71:L87)</f>
        <v>115</v>
      </c>
      <c r="M88" s="59">
        <f>SUM(J88:L88)</f>
        <v>1191</v>
      </c>
      <c r="N88" s="58">
        <f>SUM(N71:N87)</f>
        <v>0</v>
      </c>
      <c r="O88" s="58">
        <f>SUM(O71:O87)</f>
        <v>0</v>
      </c>
      <c r="P88" s="58">
        <f>SUM(P71:P87)</f>
        <v>500</v>
      </c>
      <c r="Q88" s="59">
        <f>SUM(N88:P88)</f>
        <v>500</v>
      </c>
      <c r="R88" s="59">
        <f>+E88+I88+M88+Q88</f>
        <v>7380</v>
      </c>
    </row>
    <row r="89" spans="1:18" ht="15.75" customHeight="1" x14ac:dyDescent="0.3">
      <c r="A89" s="18" t="s">
        <v>55</v>
      </c>
      <c r="B89" s="56"/>
      <c r="C89" s="56"/>
      <c r="D89" s="56"/>
      <c r="E89" s="55" t="s">
        <v>7</v>
      </c>
      <c r="F89" s="56"/>
      <c r="G89" s="56"/>
      <c r="H89" s="56"/>
      <c r="I89" s="55" t="s">
        <v>7</v>
      </c>
      <c r="J89" s="56"/>
      <c r="K89" s="56"/>
      <c r="L89" s="56"/>
      <c r="M89" s="55" t="s">
        <v>7</v>
      </c>
      <c r="N89" s="56"/>
      <c r="O89" s="56"/>
      <c r="P89" s="56"/>
      <c r="Q89" s="55" t="s">
        <v>7</v>
      </c>
      <c r="R89" s="60" t="s">
        <v>7</v>
      </c>
    </row>
    <row r="90" spans="1:18" ht="15.75" customHeight="1" x14ac:dyDescent="0.3">
      <c r="A90" s="18" t="s">
        <v>684</v>
      </c>
      <c r="B90" s="56"/>
      <c r="C90" s="56"/>
      <c r="D90" s="56"/>
      <c r="E90" s="55" t="s">
        <v>7</v>
      </c>
      <c r="F90" s="56"/>
      <c r="G90" s="56"/>
      <c r="H90" s="56"/>
      <c r="I90" s="55" t="s">
        <v>7</v>
      </c>
      <c r="J90" s="56"/>
      <c r="K90" s="56"/>
      <c r="L90" s="56"/>
      <c r="M90" s="55" t="s">
        <v>7</v>
      </c>
      <c r="N90" s="56"/>
      <c r="O90" s="56"/>
      <c r="P90" s="56"/>
      <c r="Q90" s="55" t="s">
        <v>7</v>
      </c>
      <c r="R90" s="55" t="s">
        <v>7</v>
      </c>
    </row>
    <row r="91" spans="1:18" ht="15.75" customHeight="1" x14ac:dyDescent="0.3">
      <c r="A91" s="18" t="s">
        <v>57</v>
      </c>
      <c r="B91" s="56"/>
      <c r="C91" s="56"/>
      <c r="D91" s="56"/>
      <c r="E91" s="55" t="s">
        <v>7</v>
      </c>
      <c r="F91" s="56"/>
      <c r="G91" s="56"/>
      <c r="H91" s="56"/>
      <c r="I91" s="55" t="s">
        <v>7</v>
      </c>
      <c r="J91" s="56"/>
      <c r="K91" s="56"/>
      <c r="L91" s="56"/>
      <c r="M91" s="55" t="s">
        <v>7</v>
      </c>
      <c r="N91" s="56"/>
      <c r="O91" s="56"/>
      <c r="P91" s="56"/>
      <c r="Q91" s="55" t="s">
        <v>7</v>
      </c>
      <c r="R91" s="55" t="s">
        <v>7</v>
      </c>
    </row>
    <row r="92" spans="1:18" ht="15.75" customHeight="1" x14ac:dyDescent="0.3">
      <c r="A92" s="72" t="s">
        <v>81</v>
      </c>
      <c r="B92" s="1">
        <v>530</v>
      </c>
      <c r="C92" s="1">
        <v>881</v>
      </c>
      <c r="D92" s="1">
        <v>2862</v>
      </c>
      <c r="E92" s="55">
        <f>SUM(B92:D92)</f>
        <v>4273</v>
      </c>
      <c r="F92" s="1">
        <v>5425</v>
      </c>
      <c r="G92" s="1">
        <v>6634</v>
      </c>
      <c r="H92" s="1">
        <v>7362</v>
      </c>
      <c r="I92" s="55">
        <f>SUM(F92:H92)</f>
        <v>19421</v>
      </c>
      <c r="J92" s="1">
        <v>7092</v>
      </c>
      <c r="K92" s="1">
        <v>7555</v>
      </c>
      <c r="L92" s="1">
        <v>3458</v>
      </c>
      <c r="M92" s="55">
        <f>SUM(J92:L92)</f>
        <v>18105</v>
      </c>
      <c r="N92" s="1">
        <v>663</v>
      </c>
      <c r="O92" s="1">
        <v>302</v>
      </c>
      <c r="P92" s="1">
        <v>1469</v>
      </c>
      <c r="Q92" s="55">
        <f>SUM(N92:P92)</f>
        <v>2434</v>
      </c>
      <c r="R92" s="55">
        <f>+E92+I92+M92+Q92</f>
        <v>44233</v>
      </c>
    </row>
    <row r="93" spans="1:18" ht="15.75" customHeight="1" x14ac:dyDescent="0.3">
      <c r="A93" s="72" t="s">
        <v>87</v>
      </c>
      <c r="B93" s="1">
        <v>0</v>
      </c>
      <c r="C93" s="1">
        <v>0</v>
      </c>
      <c r="D93" s="1">
        <v>0</v>
      </c>
      <c r="E93" s="55">
        <f>SUM(B93:D93)</f>
        <v>0</v>
      </c>
      <c r="F93" s="1">
        <v>1000</v>
      </c>
      <c r="G93" s="1">
        <v>1000</v>
      </c>
      <c r="H93" s="1">
        <v>1000</v>
      </c>
      <c r="I93" s="55">
        <f>SUM(F93:H93)</f>
        <v>3000</v>
      </c>
      <c r="J93" s="1">
        <v>460</v>
      </c>
      <c r="K93" s="1">
        <v>0</v>
      </c>
      <c r="L93" s="1">
        <v>0</v>
      </c>
      <c r="M93" s="55">
        <f>SUM(J93:L93)</f>
        <v>460</v>
      </c>
      <c r="N93" s="1">
        <v>0</v>
      </c>
      <c r="O93" s="1">
        <v>0</v>
      </c>
      <c r="P93" s="1">
        <v>0</v>
      </c>
      <c r="Q93" s="55">
        <f>SUM(N93:P93)</f>
        <v>0</v>
      </c>
      <c r="R93" s="55">
        <f>+E93+I93+M93+Q93</f>
        <v>3460</v>
      </c>
    </row>
    <row r="94" spans="1:18" ht="15.75" customHeight="1" thickBot="1" x14ac:dyDescent="0.35">
      <c r="A94" s="18" t="s">
        <v>58</v>
      </c>
      <c r="B94" s="56"/>
      <c r="C94" s="56"/>
      <c r="D94" s="56"/>
      <c r="E94" s="55" t="s">
        <v>7</v>
      </c>
      <c r="F94" s="56"/>
      <c r="G94" s="56"/>
      <c r="H94" s="56"/>
      <c r="I94" s="55" t="s">
        <v>7</v>
      </c>
      <c r="J94" s="56"/>
      <c r="K94" s="56"/>
      <c r="L94" s="56"/>
      <c r="M94" s="55" t="s">
        <v>7</v>
      </c>
      <c r="N94" s="56"/>
      <c r="O94" s="56"/>
      <c r="P94" s="56"/>
      <c r="Q94" s="55" t="s">
        <v>7</v>
      </c>
      <c r="R94" s="55" t="s">
        <v>7</v>
      </c>
    </row>
    <row r="95" spans="1:18" ht="16.5" customHeight="1" thickBot="1" x14ac:dyDescent="0.35">
      <c r="A95" s="57" t="s">
        <v>59</v>
      </c>
      <c r="B95" s="58">
        <f>SUM(B89:B94)</f>
        <v>530</v>
      </c>
      <c r="C95" s="58">
        <f>SUM(C89:C94)</f>
        <v>881</v>
      </c>
      <c r="D95" s="58">
        <f>SUM(D89:D94)</f>
        <v>2862</v>
      </c>
      <c r="E95" s="59">
        <f>SUM(B95:D95)</f>
        <v>4273</v>
      </c>
      <c r="F95" s="58">
        <f>SUM(F89:F94)</f>
        <v>6425</v>
      </c>
      <c r="G95" s="58">
        <f>SUM(G89:G94)</f>
        <v>7634</v>
      </c>
      <c r="H95" s="58">
        <f>SUM(H89:H94)</f>
        <v>8362</v>
      </c>
      <c r="I95" s="59">
        <f>SUM(F95:H95)</f>
        <v>22421</v>
      </c>
      <c r="J95" s="58">
        <f>SUM(J89:J94)</f>
        <v>7552</v>
      </c>
      <c r="K95" s="58">
        <f>SUM(K89:K94)</f>
        <v>7555</v>
      </c>
      <c r="L95" s="58">
        <f>SUM(L89:L94)</f>
        <v>3458</v>
      </c>
      <c r="M95" s="59">
        <f>SUM(J95:L95)</f>
        <v>18565</v>
      </c>
      <c r="N95" s="58">
        <f>SUM(N89:N94)</f>
        <v>663</v>
      </c>
      <c r="O95" s="58">
        <f>SUM(O89:O94)</f>
        <v>302</v>
      </c>
      <c r="P95" s="58">
        <f>SUM(P89:P94)</f>
        <v>1469</v>
      </c>
      <c r="Q95" s="59">
        <f>SUM(N95:P95)</f>
        <v>2434</v>
      </c>
      <c r="R95" s="59">
        <f>+E95+I95+M95+Q95</f>
        <v>47693</v>
      </c>
    </row>
    <row r="96" spans="1:18" ht="15.75" customHeight="1" x14ac:dyDescent="0.3">
      <c r="A96" s="18" t="s">
        <v>60</v>
      </c>
      <c r="B96" s="56"/>
      <c r="C96" s="56"/>
      <c r="D96" s="56"/>
      <c r="E96" s="55" t="s">
        <v>7</v>
      </c>
      <c r="F96" s="56"/>
      <c r="G96" s="56"/>
      <c r="H96" s="56"/>
      <c r="I96" s="55" t="s">
        <v>7</v>
      </c>
      <c r="J96" s="56"/>
      <c r="K96" s="56"/>
      <c r="L96" s="56"/>
      <c r="M96" s="55" t="s">
        <v>7</v>
      </c>
      <c r="N96" s="56"/>
      <c r="O96" s="56"/>
      <c r="P96" s="56"/>
      <c r="Q96" s="55" t="s">
        <v>7</v>
      </c>
      <c r="R96" s="55" t="s">
        <v>7</v>
      </c>
    </row>
    <row r="97" spans="1:18" ht="15.75" customHeight="1" x14ac:dyDescent="0.3">
      <c r="A97" s="18" t="s">
        <v>61</v>
      </c>
      <c r="B97" s="56"/>
      <c r="C97" s="56"/>
      <c r="D97" s="56"/>
      <c r="E97" s="55" t="s">
        <v>7</v>
      </c>
      <c r="F97" s="56"/>
      <c r="G97" s="56"/>
      <c r="H97" s="56"/>
      <c r="I97" s="55" t="s">
        <v>7</v>
      </c>
      <c r="J97" s="56"/>
      <c r="K97" s="56"/>
      <c r="L97" s="56"/>
      <c r="M97" s="55" t="s">
        <v>7</v>
      </c>
      <c r="N97" s="56"/>
      <c r="O97" s="56"/>
      <c r="P97" s="56"/>
      <c r="Q97" s="55" t="s">
        <v>7</v>
      </c>
      <c r="R97" s="55" t="s">
        <v>7</v>
      </c>
    </row>
    <row r="98" spans="1:18" ht="15.75" customHeight="1" x14ac:dyDescent="0.3">
      <c r="A98" s="18" t="s">
        <v>62</v>
      </c>
      <c r="B98" s="56"/>
      <c r="C98" s="56"/>
      <c r="D98" s="56"/>
      <c r="E98" s="55"/>
      <c r="F98" s="56"/>
      <c r="G98" s="56"/>
      <c r="H98" s="56"/>
      <c r="I98" s="55"/>
      <c r="J98" s="56"/>
      <c r="K98" s="56"/>
      <c r="L98" s="56"/>
      <c r="M98" s="55"/>
      <c r="N98" s="56"/>
      <c r="O98" s="56"/>
      <c r="P98" s="56"/>
      <c r="Q98" s="55"/>
      <c r="R98" s="55"/>
    </row>
    <row r="99" spans="1:18" ht="15.75" customHeight="1" x14ac:dyDescent="0.3">
      <c r="A99" s="72" t="s">
        <v>88</v>
      </c>
      <c r="B99" s="1">
        <v>0</v>
      </c>
      <c r="C99" s="1">
        <v>0</v>
      </c>
      <c r="D99" s="1">
        <v>0</v>
      </c>
      <c r="E99" s="55">
        <f t="shared" ref="E99:E106" si="10">SUM(B99:D99)</f>
        <v>0</v>
      </c>
      <c r="F99" s="1">
        <v>0</v>
      </c>
      <c r="G99" s="1">
        <v>0</v>
      </c>
      <c r="H99" s="1">
        <v>0</v>
      </c>
      <c r="I99" s="55">
        <f t="shared" ref="I99:I106" si="11">SUM(F99:H99)</f>
        <v>0</v>
      </c>
      <c r="J99" s="1">
        <v>0</v>
      </c>
      <c r="K99" s="1">
        <v>0</v>
      </c>
      <c r="L99" s="1">
        <v>0</v>
      </c>
      <c r="M99" s="55">
        <f t="shared" ref="M99:M106" si="12">SUM(J99:L99)</f>
        <v>0</v>
      </c>
      <c r="N99" s="1">
        <v>0</v>
      </c>
      <c r="O99" s="1">
        <v>0</v>
      </c>
      <c r="P99" s="1">
        <v>0</v>
      </c>
      <c r="Q99" s="55">
        <f t="shared" ref="Q99:Q106" si="13">SUM(N99:P99)</f>
        <v>0</v>
      </c>
      <c r="R99" s="55">
        <f t="shared" ref="R99:R106" si="14">+E99+I99+M99+Q99</f>
        <v>0</v>
      </c>
    </row>
    <row r="100" spans="1:18" ht="15.75" customHeight="1" x14ac:dyDescent="0.3">
      <c r="A100" s="72" t="s">
        <v>89</v>
      </c>
      <c r="B100" s="1">
        <v>0</v>
      </c>
      <c r="C100" s="1">
        <v>0</v>
      </c>
      <c r="D100" s="1">
        <v>0</v>
      </c>
      <c r="E100" s="55">
        <f t="shared" si="10"/>
        <v>0</v>
      </c>
      <c r="F100" s="1">
        <v>0</v>
      </c>
      <c r="G100" s="1">
        <v>0</v>
      </c>
      <c r="H100" s="1">
        <v>0</v>
      </c>
      <c r="I100" s="55">
        <f t="shared" si="11"/>
        <v>0</v>
      </c>
      <c r="J100" s="1">
        <v>0</v>
      </c>
      <c r="K100" s="1">
        <v>0</v>
      </c>
      <c r="L100" s="1">
        <v>0</v>
      </c>
      <c r="M100" s="55">
        <f t="shared" si="12"/>
        <v>0</v>
      </c>
      <c r="N100" s="1">
        <v>0</v>
      </c>
      <c r="O100" s="1">
        <v>0</v>
      </c>
      <c r="P100" s="1">
        <v>0</v>
      </c>
      <c r="Q100" s="55">
        <f t="shared" si="13"/>
        <v>0</v>
      </c>
      <c r="R100" s="55">
        <f t="shared" si="14"/>
        <v>0</v>
      </c>
    </row>
    <row r="101" spans="1:18" ht="15.75" customHeight="1" x14ac:dyDescent="0.3">
      <c r="A101" s="72" t="s">
        <v>90</v>
      </c>
      <c r="B101" s="1">
        <v>0</v>
      </c>
      <c r="C101" s="1">
        <v>0</v>
      </c>
      <c r="D101" s="1">
        <v>0</v>
      </c>
      <c r="E101" s="55">
        <f>SUM(B101:D101)</f>
        <v>0</v>
      </c>
      <c r="F101" s="1">
        <v>0</v>
      </c>
      <c r="G101" s="1">
        <v>0</v>
      </c>
      <c r="H101" s="1">
        <v>0</v>
      </c>
      <c r="I101" s="55">
        <f>SUM(F101:H101)</f>
        <v>0</v>
      </c>
      <c r="J101" s="1">
        <v>0</v>
      </c>
      <c r="K101" s="1">
        <v>0</v>
      </c>
      <c r="L101" s="1">
        <v>0</v>
      </c>
      <c r="M101" s="55">
        <f>SUM(J101:L101)</f>
        <v>0</v>
      </c>
      <c r="N101" s="1">
        <v>0</v>
      </c>
      <c r="O101" s="1">
        <v>0</v>
      </c>
      <c r="P101" s="1">
        <v>0</v>
      </c>
      <c r="Q101" s="55">
        <f>SUM(N101:P101)</f>
        <v>0</v>
      </c>
      <c r="R101" s="55">
        <f>+E101+I101+M101+Q101</f>
        <v>0</v>
      </c>
    </row>
    <row r="102" spans="1:18" ht="15.75" customHeight="1" x14ac:dyDescent="0.3">
      <c r="A102" s="72" t="s">
        <v>690</v>
      </c>
      <c r="B102" s="1">
        <v>0</v>
      </c>
      <c r="C102" s="1">
        <v>0</v>
      </c>
      <c r="D102" s="1">
        <v>3933</v>
      </c>
      <c r="E102" s="55">
        <f>SUM(B102:D102)</f>
        <v>3933</v>
      </c>
      <c r="F102" s="1">
        <v>0</v>
      </c>
      <c r="G102" s="1">
        <v>0</v>
      </c>
      <c r="H102" s="1">
        <v>0</v>
      </c>
      <c r="I102" s="55">
        <f>SUM(F102:H102)</f>
        <v>0</v>
      </c>
      <c r="J102" s="1">
        <v>0</v>
      </c>
      <c r="K102" s="1">
        <v>0</v>
      </c>
      <c r="L102" s="1">
        <v>0</v>
      </c>
      <c r="M102" s="55">
        <f>SUM(J102:L102)</f>
        <v>0</v>
      </c>
      <c r="N102" s="1">
        <v>0</v>
      </c>
      <c r="O102" s="1">
        <v>0</v>
      </c>
      <c r="P102" s="1">
        <v>0</v>
      </c>
      <c r="Q102" s="55">
        <f>SUM(N102:P102)</f>
        <v>0</v>
      </c>
      <c r="R102" s="55">
        <f>+E102+I102+M102+Q102</f>
        <v>3933</v>
      </c>
    </row>
    <row r="103" spans="1:18" ht="15.75" customHeight="1" x14ac:dyDescent="0.3">
      <c r="A103" s="72" t="s">
        <v>528</v>
      </c>
      <c r="B103" s="1">
        <v>0</v>
      </c>
      <c r="C103" s="1">
        <v>0</v>
      </c>
      <c r="D103" s="1">
        <v>0</v>
      </c>
      <c r="E103" s="55">
        <f>SUM(B103:D103)</f>
        <v>0</v>
      </c>
      <c r="F103" s="1">
        <v>0</v>
      </c>
      <c r="G103" s="1">
        <v>0</v>
      </c>
      <c r="H103" s="1">
        <v>0</v>
      </c>
      <c r="I103" s="55">
        <f>SUM(F103:H103)</f>
        <v>0</v>
      </c>
      <c r="J103" s="1">
        <v>0</v>
      </c>
      <c r="K103" s="1">
        <v>0</v>
      </c>
      <c r="L103" s="1">
        <v>0</v>
      </c>
      <c r="M103" s="55">
        <f>SUM(J103:L103)</f>
        <v>0</v>
      </c>
      <c r="N103" s="1">
        <v>0</v>
      </c>
      <c r="O103" s="1">
        <v>0</v>
      </c>
      <c r="P103" s="1">
        <v>0</v>
      </c>
      <c r="Q103" s="55">
        <f>SUM(N103:P103)</f>
        <v>0</v>
      </c>
      <c r="R103" s="55">
        <f>+E103+I103+M103+Q103</f>
        <v>0</v>
      </c>
    </row>
    <row r="104" spans="1:18" ht="15.75" customHeight="1" x14ac:dyDescent="0.3">
      <c r="A104" s="72" t="s">
        <v>94</v>
      </c>
      <c r="B104" s="1">
        <v>0</v>
      </c>
      <c r="C104" s="1">
        <v>0</v>
      </c>
      <c r="D104" s="1">
        <v>0</v>
      </c>
      <c r="E104" s="55">
        <f t="shared" si="10"/>
        <v>0</v>
      </c>
      <c r="F104" s="1">
        <v>0</v>
      </c>
      <c r="G104" s="1">
        <v>0</v>
      </c>
      <c r="H104" s="1">
        <v>0</v>
      </c>
      <c r="I104" s="55">
        <f t="shared" si="11"/>
        <v>0</v>
      </c>
      <c r="J104" s="1">
        <v>0</v>
      </c>
      <c r="K104" s="1">
        <v>0</v>
      </c>
      <c r="L104" s="1">
        <v>0</v>
      </c>
      <c r="M104" s="55">
        <f t="shared" si="12"/>
        <v>0</v>
      </c>
      <c r="N104" s="1">
        <v>0</v>
      </c>
      <c r="O104" s="1">
        <v>0</v>
      </c>
      <c r="P104" s="1">
        <v>0</v>
      </c>
      <c r="Q104" s="55">
        <f t="shared" si="13"/>
        <v>0</v>
      </c>
      <c r="R104" s="55">
        <f t="shared" si="14"/>
        <v>0</v>
      </c>
    </row>
    <row r="105" spans="1:18" ht="15.75" customHeight="1" thickBot="1" x14ac:dyDescent="0.35">
      <c r="A105" s="72" t="s">
        <v>95</v>
      </c>
      <c r="B105" s="1">
        <v>0</v>
      </c>
      <c r="C105" s="1">
        <v>0</v>
      </c>
      <c r="D105" s="1">
        <v>0</v>
      </c>
      <c r="E105" s="55">
        <f t="shared" si="10"/>
        <v>0</v>
      </c>
      <c r="F105" s="1">
        <v>0</v>
      </c>
      <c r="G105" s="1">
        <v>0</v>
      </c>
      <c r="H105" s="1">
        <v>0</v>
      </c>
      <c r="I105" s="55">
        <f t="shared" si="11"/>
        <v>0</v>
      </c>
      <c r="J105" s="1">
        <v>0</v>
      </c>
      <c r="K105" s="1">
        <v>0</v>
      </c>
      <c r="L105" s="1">
        <v>0</v>
      </c>
      <c r="M105" s="55">
        <f t="shared" si="12"/>
        <v>0</v>
      </c>
      <c r="N105" s="1">
        <v>0</v>
      </c>
      <c r="O105" s="1">
        <v>0</v>
      </c>
      <c r="P105" s="1">
        <v>0</v>
      </c>
      <c r="Q105" s="55">
        <f t="shared" si="13"/>
        <v>0</v>
      </c>
      <c r="R105" s="55">
        <f t="shared" si="14"/>
        <v>0</v>
      </c>
    </row>
    <row r="106" spans="1:18" ht="16.5" customHeight="1" thickBot="1" x14ac:dyDescent="0.35">
      <c r="A106" s="57" t="s">
        <v>63</v>
      </c>
      <c r="B106" s="58">
        <f>SUM(B96:B105)</f>
        <v>0</v>
      </c>
      <c r="C106" s="58">
        <f>SUM(C96:C105)</f>
        <v>0</v>
      </c>
      <c r="D106" s="58">
        <f>SUM(D96:D105)</f>
        <v>3933</v>
      </c>
      <c r="E106" s="59">
        <f t="shared" si="10"/>
        <v>3933</v>
      </c>
      <c r="F106" s="58">
        <f>SUM(F96:F105)</f>
        <v>0</v>
      </c>
      <c r="G106" s="58">
        <f>SUM(G96:G105)</f>
        <v>0</v>
      </c>
      <c r="H106" s="58">
        <f>SUM(H96:H105)</f>
        <v>0</v>
      </c>
      <c r="I106" s="59">
        <f t="shared" si="11"/>
        <v>0</v>
      </c>
      <c r="J106" s="58">
        <f>SUM(J96:J105)</f>
        <v>0</v>
      </c>
      <c r="K106" s="58">
        <f>SUM(K96:K105)</f>
        <v>0</v>
      </c>
      <c r="L106" s="58">
        <f>SUM(L96:L105)</f>
        <v>0</v>
      </c>
      <c r="M106" s="59">
        <f t="shared" si="12"/>
        <v>0</v>
      </c>
      <c r="N106" s="58">
        <f>SUM(N96:N105)</f>
        <v>0</v>
      </c>
      <c r="O106" s="58">
        <f>SUM(O96:O105)</f>
        <v>0</v>
      </c>
      <c r="P106" s="58">
        <f>SUM(P96:P105)</f>
        <v>0</v>
      </c>
      <c r="Q106" s="59">
        <f t="shared" si="13"/>
        <v>0</v>
      </c>
      <c r="R106" s="59">
        <f t="shared" si="14"/>
        <v>3933</v>
      </c>
    </row>
    <row r="107" spans="1:18" ht="15.75" customHeight="1" x14ac:dyDescent="0.3">
      <c r="A107" s="18" t="s">
        <v>64</v>
      </c>
      <c r="B107" s="56"/>
      <c r="C107" s="56"/>
      <c r="D107" s="56"/>
      <c r="E107" s="55" t="s">
        <v>7</v>
      </c>
      <c r="F107" s="56"/>
      <c r="G107" s="56"/>
      <c r="H107" s="56"/>
      <c r="I107" s="55" t="s">
        <v>7</v>
      </c>
      <c r="J107" s="56"/>
      <c r="K107" s="56"/>
      <c r="L107" s="56"/>
      <c r="M107" s="55" t="s">
        <v>7</v>
      </c>
      <c r="N107" s="56"/>
      <c r="O107" s="56"/>
      <c r="P107" s="56"/>
      <c r="Q107" s="55" t="s">
        <v>7</v>
      </c>
      <c r="R107" s="55" t="s">
        <v>7</v>
      </c>
    </row>
    <row r="108" spans="1:18" ht="15.75" customHeight="1" x14ac:dyDescent="0.3">
      <c r="A108" s="18" t="s">
        <v>594</v>
      </c>
      <c r="B108" s="56"/>
      <c r="C108" s="56"/>
      <c r="D108" s="56"/>
      <c r="E108" s="55" t="s">
        <v>7</v>
      </c>
      <c r="F108" s="56"/>
      <c r="G108" s="56"/>
      <c r="H108" s="56"/>
      <c r="I108" s="55" t="s">
        <v>7</v>
      </c>
      <c r="J108" s="56"/>
      <c r="K108" s="56"/>
      <c r="L108" s="56"/>
      <c r="M108" s="55" t="s">
        <v>7</v>
      </c>
      <c r="N108" s="56"/>
      <c r="O108" s="56"/>
      <c r="P108" s="56"/>
      <c r="Q108" s="55" t="s">
        <v>7</v>
      </c>
      <c r="R108" s="55" t="s">
        <v>7</v>
      </c>
    </row>
    <row r="109" spans="1:18" ht="15.75" customHeight="1" x14ac:dyDescent="0.3">
      <c r="A109" s="61" t="s">
        <v>691</v>
      </c>
      <c r="B109" s="1">
        <v>4</v>
      </c>
      <c r="C109" s="1">
        <v>0</v>
      </c>
      <c r="D109" s="1">
        <v>0</v>
      </c>
      <c r="E109" s="55">
        <f t="shared" ref="E109:E114" si="15">SUM(B109:D109)</f>
        <v>4</v>
      </c>
      <c r="F109" s="1">
        <v>0</v>
      </c>
      <c r="G109" s="1">
        <v>0</v>
      </c>
      <c r="H109" s="1">
        <v>0</v>
      </c>
      <c r="I109" s="55">
        <f t="shared" ref="I109:I114" si="16">SUM(F109:H109)</f>
        <v>0</v>
      </c>
      <c r="J109" s="1">
        <v>0</v>
      </c>
      <c r="K109" s="1">
        <v>0</v>
      </c>
      <c r="L109" s="1">
        <v>0</v>
      </c>
      <c r="M109" s="55">
        <f t="shared" ref="M109:M114" si="17">SUM(J109:L109)</f>
        <v>0</v>
      </c>
      <c r="N109" s="1">
        <v>0</v>
      </c>
      <c r="O109" s="1">
        <v>0</v>
      </c>
      <c r="P109" s="1">
        <v>0</v>
      </c>
      <c r="Q109" s="55">
        <f t="shared" ref="Q109:Q114" si="18">SUM(N109:P109)</f>
        <v>0</v>
      </c>
      <c r="R109" s="55">
        <f t="shared" ref="R109:R114" si="19">+E109+I109+M109+Q109</f>
        <v>4</v>
      </c>
    </row>
    <row r="110" spans="1:18" ht="15.75" customHeight="1" x14ac:dyDescent="0.3">
      <c r="A110" s="61" t="s">
        <v>97</v>
      </c>
      <c r="B110" s="1">
        <v>0</v>
      </c>
      <c r="C110" s="1">
        <v>0</v>
      </c>
      <c r="D110" s="1">
        <v>0</v>
      </c>
      <c r="E110" s="55">
        <f t="shared" si="15"/>
        <v>0</v>
      </c>
      <c r="F110" s="1">
        <v>0</v>
      </c>
      <c r="G110" s="1">
        <v>0</v>
      </c>
      <c r="H110" s="1">
        <v>0</v>
      </c>
      <c r="I110" s="55">
        <f t="shared" si="16"/>
        <v>0</v>
      </c>
      <c r="J110" s="1">
        <v>0</v>
      </c>
      <c r="K110" s="1">
        <v>0</v>
      </c>
      <c r="L110" s="1">
        <v>0</v>
      </c>
      <c r="M110" s="55">
        <f t="shared" si="17"/>
        <v>0</v>
      </c>
      <c r="N110" s="1">
        <v>0</v>
      </c>
      <c r="O110" s="1">
        <v>0</v>
      </c>
      <c r="P110" s="1">
        <v>0</v>
      </c>
      <c r="Q110" s="55">
        <f t="shared" si="18"/>
        <v>0</v>
      </c>
      <c r="R110" s="55">
        <f t="shared" si="19"/>
        <v>0</v>
      </c>
    </row>
    <row r="111" spans="1:18" ht="15.75" customHeight="1" x14ac:dyDescent="0.3">
      <c r="A111" s="61" t="s">
        <v>692</v>
      </c>
      <c r="B111" s="1">
        <v>0</v>
      </c>
      <c r="C111" s="1">
        <v>0</v>
      </c>
      <c r="D111" s="1">
        <v>0</v>
      </c>
      <c r="E111" s="55">
        <f t="shared" si="15"/>
        <v>0</v>
      </c>
      <c r="F111" s="1">
        <v>0</v>
      </c>
      <c r="G111" s="1">
        <v>0</v>
      </c>
      <c r="H111" s="1">
        <v>0</v>
      </c>
      <c r="I111" s="55">
        <f t="shared" si="16"/>
        <v>0</v>
      </c>
      <c r="J111" s="1">
        <v>5000</v>
      </c>
      <c r="K111" s="1">
        <v>0</v>
      </c>
      <c r="L111" s="1">
        <v>0</v>
      </c>
      <c r="M111" s="55">
        <f t="shared" si="17"/>
        <v>5000</v>
      </c>
      <c r="N111" s="1">
        <v>0</v>
      </c>
      <c r="O111" s="1">
        <v>0</v>
      </c>
      <c r="P111" s="1">
        <v>6154</v>
      </c>
      <c r="Q111" s="55">
        <f t="shared" si="18"/>
        <v>6154</v>
      </c>
      <c r="R111" s="55">
        <f t="shared" si="19"/>
        <v>11154</v>
      </c>
    </row>
    <row r="112" spans="1:18" ht="15.75" customHeight="1" x14ac:dyDescent="0.3">
      <c r="A112" s="61" t="s">
        <v>530</v>
      </c>
      <c r="B112" s="1">
        <v>0</v>
      </c>
      <c r="C112" s="1">
        <v>0</v>
      </c>
      <c r="D112" s="1">
        <v>0</v>
      </c>
      <c r="E112" s="55">
        <f t="shared" si="15"/>
        <v>0</v>
      </c>
      <c r="F112" s="1">
        <v>0</v>
      </c>
      <c r="G112" s="1">
        <v>0</v>
      </c>
      <c r="H112" s="1">
        <v>0</v>
      </c>
      <c r="I112" s="55">
        <f t="shared" si="16"/>
        <v>0</v>
      </c>
      <c r="J112" s="1">
        <v>0</v>
      </c>
      <c r="K112" s="1">
        <v>0</v>
      </c>
      <c r="L112" s="1">
        <v>0</v>
      </c>
      <c r="M112" s="55">
        <f t="shared" si="17"/>
        <v>0</v>
      </c>
      <c r="N112" s="1">
        <v>1994</v>
      </c>
      <c r="O112" s="1">
        <v>0</v>
      </c>
      <c r="P112" s="1">
        <v>6</v>
      </c>
      <c r="Q112" s="55">
        <f t="shared" si="18"/>
        <v>2000</v>
      </c>
      <c r="R112" s="55">
        <f t="shared" si="19"/>
        <v>2000</v>
      </c>
    </row>
    <row r="113" spans="1:18" ht="15.75" customHeight="1" x14ac:dyDescent="0.3">
      <c r="A113" s="61" t="s">
        <v>597</v>
      </c>
      <c r="B113" s="1">
        <v>0</v>
      </c>
      <c r="C113" s="1">
        <v>0</v>
      </c>
      <c r="D113" s="1">
        <v>0</v>
      </c>
      <c r="E113" s="55">
        <f t="shared" si="15"/>
        <v>0</v>
      </c>
      <c r="F113" s="1">
        <v>0</v>
      </c>
      <c r="G113" s="1">
        <v>0</v>
      </c>
      <c r="H113" s="1">
        <v>0</v>
      </c>
      <c r="I113" s="55">
        <f t="shared" si="16"/>
        <v>0</v>
      </c>
      <c r="J113" s="1">
        <v>0</v>
      </c>
      <c r="K113" s="1">
        <v>0</v>
      </c>
      <c r="L113" s="1">
        <v>0</v>
      </c>
      <c r="M113" s="55">
        <f t="shared" si="17"/>
        <v>0</v>
      </c>
      <c r="N113" s="1">
        <v>0</v>
      </c>
      <c r="O113" s="1">
        <v>0</v>
      </c>
      <c r="P113" s="1">
        <v>0</v>
      </c>
      <c r="Q113" s="55">
        <f t="shared" si="18"/>
        <v>0</v>
      </c>
      <c r="R113" s="55">
        <f t="shared" si="19"/>
        <v>0</v>
      </c>
    </row>
    <row r="114" spans="1:18" ht="15.75" customHeight="1" x14ac:dyDescent="0.3">
      <c r="A114" s="61" t="s">
        <v>85</v>
      </c>
      <c r="B114" s="1">
        <v>0</v>
      </c>
      <c r="C114" s="1">
        <v>0</v>
      </c>
      <c r="D114" s="1">
        <v>0</v>
      </c>
      <c r="E114" s="55">
        <f t="shared" si="15"/>
        <v>0</v>
      </c>
      <c r="F114" s="1">
        <v>0</v>
      </c>
      <c r="G114" s="1">
        <v>0</v>
      </c>
      <c r="H114" s="1">
        <v>0</v>
      </c>
      <c r="I114" s="55">
        <f t="shared" si="16"/>
        <v>0</v>
      </c>
      <c r="J114" s="1">
        <v>0</v>
      </c>
      <c r="K114" s="1">
        <v>0</v>
      </c>
      <c r="L114" s="1">
        <v>0</v>
      </c>
      <c r="M114" s="55">
        <f t="shared" si="17"/>
        <v>0</v>
      </c>
      <c r="N114" s="1">
        <v>0</v>
      </c>
      <c r="O114" s="1">
        <v>0</v>
      </c>
      <c r="P114" s="1">
        <v>0</v>
      </c>
      <c r="Q114" s="55">
        <f t="shared" si="18"/>
        <v>0</v>
      </c>
      <c r="R114" s="55">
        <f t="shared" si="19"/>
        <v>0</v>
      </c>
    </row>
    <row r="115" spans="1:18" ht="15.75" customHeight="1" x14ac:dyDescent="0.3">
      <c r="A115" s="61" t="s">
        <v>693</v>
      </c>
      <c r="B115" s="1">
        <v>1731</v>
      </c>
      <c r="C115" s="1">
        <v>1797</v>
      </c>
      <c r="D115" s="1">
        <v>2046</v>
      </c>
      <c r="E115" s="55">
        <f>SUM(B115:D115)</f>
        <v>5574</v>
      </c>
      <c r="F115" s="1">
        <v>1990</v>
      </c>
      <c r="G115" s="1">
        <v>2020</v>
      </c>
      <c r="H115" s="1">
        <v>2640</v>
      </c>
      <c r="I115" s="55">
        <f>SUM(F115:H115)</f>
        <v>6650</v>
      </c>
      <c r="J115" s="1">
        <v>2780</v>
      </c>
      <c r="K115" s="1">
        <v>2600</v>
      </c>
      <c r="L115" s="1">
        <v>2536</v>
      </c>
      <c r="M115" s="55">
        <f>SUM(J115:L115)</f>
        <v>7916</v>
      </c>
      <c r="N115" s="1">
        <v>2538</v>
      </c>
      <c r="O115" s="1">
        <v>2322</v>
      </c>
      <c r="P115" s="1">
        <v>0</v>
      </c>
      <c r="Q115" s="55">
        <f>SUM(N115:P115)</f>
        <v>4860</v>
      </c>
      <c r="R115" s="55">
        <f>+E115+I115+M115+Q115</f>
        <v>25000</v>
      </c>
    </row>
    <row r="116" spans="1:18" ht="15.75" customHeight="1" x14ac:dyDescent="0.3">
      <c r="A116" s="18" t="s">
        <v>67</v>
      </c>
      <c r="B116" s="56"/>
      <c r="C116" s="56"/>
      <c r="D116" s="56"/>
      <c r="E116" s="55" t="s">
        <v>7</v>
      </c>
      <c r="F116" s="56"/>
      <c r="G116" s="56"/>
      <c r="H116" s="56"/>
      <c r="I116" s="55" t="s">
        <v>7</v>
      </c>
      <c r="J116" s="56"/>
      <c r="K116" s="56"/>
      <c r="L116" s="56"/>
      <c r="M116" s="55" t="s">
        <v>7</v>
      </c>
      <c r="N116" s="56"/>
      <c r="O116" s="56"/>
      <c r="P116" s="56"/>
      <c r="Q116" s="55" t="s">
        <v>7</v>
      </c>
      <c r="R116" s="55" t="s">
        <v>7</v>
      </c>
    </row>
    <row r="117" spans="1:18" ht="15.75" customHeight="1" x14ac:dyDescent="0.3">
      <c r="A117" s="61" t="s">
        <v>694</v>
      </c>
      <c r="B117" s="1">
        <v>171</v>
      </c>
      <c r="C117" s="1">
        <v>6262</v>
      </c>
      <c r="D117" s="1">
        <v>12622</v>
      </c>
      <c r="E117" s="55">
        <f>SUM(B117:D117)</f>
        <v>19055</v>
      </c>
      <c r="F117" s="1">
        <v>3753</v>
      </c>
      <c r="G117" s="1">
        <v>1706</v>
      </c>
      <c r="H117" s="1">
        <v>14354</v>
      </c>
      <c r="I117" s="55">
        <f>SUM(F117:H117)</f>
        <v>19813</v>
      </c>
      <c r="J117" s="1">
        <v>12465</v>
      </c>
      <c r="K117" s="1">
        <v>2497</v>
      </c>
      <c r="L117" s="1">
        <v>0</v>
      </c>
      <c r="M117" s="55">
        <f>SUM(J117:L117)</f>
        <v>14962</v>
      </c>
      <c r="N117" s="1">
        <v>0</v>
      </c>
      <c r="O117" s="1">
        <v>0</v>
      </c>
      <c r="P117" s="1">
        <v>0</v>
      </c>
      <c r="Q117" s="55">
        <f>SUM(N117:P117)</f>
        <v>0</v>
      </c>
      <c r="R117" s="55">
        <f>+E117+I117+M117+Q117</f>
        <v>53830</v>
      </c>
    </row>
    <row r="118" spans="1:18" ht="15.75" customHeight="1" x14ac:dyDescent="0.3">
      <c r="A118" s="61" t="s">
        <v>695</v>
      </c>
      <c r="B118" s="1">
        <v>0</v>
      </c>
      <c r="C118" s="1">
        <v>0</v>
      </c>
      <c r="D118" s="1">
        <v>0</v>
      </c>
      <c r="E118" s="55">
        <f>SUM(B118:D118)</f>
        <v>0</v>
      </c>
      <c r="F118" s="1">
        <v>0</v>
      </c>
      <c r="G118" s="1">
        <v>0</v>
      </c>
      <c r="H118" s="1">
        <v>0</v>
      </c>
      <c r="I118" s="55">
        <f>SUM(F118:H118)</f>
        <v>0</v>
      </c>
      <c r="J118" s="1">
        <v>0</v>
      </c>
      <c r="K118" s="1">
        <v>0</v>
      </c>
      <c r="L118" s="1">
        <v>0</v>
      </c>
      <c r="M118" s="55">
        <f>SUM(J118:L118)</f>
        <v>0</v>
      </c>
      <c r="N118" s="1">
        <v>0</v>
      </c>
      <c r="O118" s="1">
        <v>0</v>
      </c>
      <c r="P118" s="1">
        <v>0</v>
      </c>
      <c r="Q118" s="55">
        <f>SUM(N118:P118)</f>
        <v>0</v>
      </c>
      <c r="R118" s="55">
        <f>+E118+I118+M118+Q118</f>
        <v>0</v>
      </c>
    </row>
    <row r="119" spans="1:18" ht="15.75" customHeight="1" x14ac:dyDescent="0.3">
      <c r="A119" s="18" t="s">
        <v>600</v>
      </c>
      <c r="B119" s="56"/>
      <c r="C119" s="56"/>
      <c r="D119" s="56"/>
      <c r="E119" s="55" t="s">
        <v>7</v>
      </c>
      <c r="F119" s="56"/>
      <c r="G119" s="56"/>
      <c r="H119" s="56"/>
      <c r="I119" s="55" t="s">
        <v>7</v>
      </c>
      <c r="J119" s="56"/>
      <c r="K119" s="56"/>
      <c r="L119" s="56"/>
      <c r="M119" s="55" t="s">
        <v>7</v>
      </c>
      <c r="N119" s="56"/>
      <c r="O119" s="56"/>
      <c r="P119" s="56"/>
      <c r="Q119" s="55" t="s">
        <v>7</v>
      </c>
      <c r="R119" s="55" t="s">
        <v>7</v>
      </c>
    </row>
    <row r="120" spans="1:18" ht="15.75" customHeight="1" x14ac:dyDescent="0.3">
      <c r="A120" s="61" t="s">
        <v>105</v>
      </c>
      <c r="B120" s="1">
        <v>0</v>
      </c>
      <c r="C120" s="1">
        <v>0</v>
      </c>
      <c r="D120" s="1">
        <v>0</v>
      </c>
      <c r="E120" s="55">
        <f>SUM(B120:D120)</f>
        <v>0</v>
      </c>
      <c r="F120" s="1">
        <v>0</v>
      </c>
      <c r="G120" s="1">
        <v>0</v>
      </c>
      <c r="H120" s="1">
        <v>0</v>
      </c>
      <c r="I120" s="55">
        <f>SUM(F120:H120)</f>
        <v>0</v>
      </c>
      <c r="J120" s="1">
        <v>1154</v>
      </c>
      <c r="K120" s="1">
        <v>2443</v>
      </c>
      <c r="L120" s="1">
        <v>1803</v>
      </c>
      <c r="M120" s="55">
        <f>SUM(J120:L120)</f>
        <v>5400</v>
      </c>
      <c r="N120" s="1">
        <v>1029</v>
      </c>
      <c r="O120" s="1">
        <v>333</v>
      </c>
      <c r="P120" s="1">
        <v>591</v>
      </c>
      <c r="Q120" s="55">
        <f>SUM(N120:P120)</f>
        <v>1953</v>
      </c>
      <c r="R120" s="55">
        <f>+E120+I120+M120+Q120</f>
        <v>7353</v>
      </c>
    </row>
    <row r="121" spans="1:18" ht="15.75" customHeight="1" thickBot="1" x14ac:dyDescent="0.35">
      <c r="A121" s="18" t="s">
        <v>70</v>
      </c>
      <c r="B121" s="56"/>
      <c r="C121" s="56"/>
      <c r="D121" s="56"/>
      <c r="E121" s="55" t="s">
        <v>7</v>
      </c>
      <c r="F121" s="56"/>
      <c r="G121" s="56"/>
      <c r="H121" s="56"/>
      <c r="I121" s="55" t="s">
        <v>7</v>
      </c>
      <c r="J121" s="56"/>
      <c r="K121" s="56"/>
      <c r="L121" s="56"/>
      <c r="M121" s="55" t="s">
        <v>7</v>
      </c>
      <c r="N121" s="56"/>
      <c r="O121" s="56"/>
      <c r="P121" s="56"/>
      <c r="Q121" s="55" t="s">
        <v>7</v>
      </c>
      <c r="R121" s="55" t="s">
        <v>7</v>
      </c>
    </row>
    <row r="122" spans="1:18" ht="16.5" customHeight="1" thickBot="1" x14ac:dyDescent="0.35">
      <c r="A122" s="57" t="s">
        <v>71</v>
      </c>
      <c r="B122" s="58">
        <f>SUM(B121:B121)</f>
        <v>0</v>
      </c>
      <c r="C122" s="58">
        <f>SUM(C121:C121)</f>
        <v>0</v>
      </c>
      <c r="D122" s="58">
        <f>SUM(D121:D121)</f>
        <v>0</v>
      </c>
      <c r="E122" s="60">
        <f>SUM(B122:D122)</f>
        <v>0</v>
      </c>
      <c r="F122" s="58">
        <f>SUM(F121:F121)</f>
        <v>0</v>
      </c>
      <c r="G122" s="58">
        <f>SUM(G121:G121)</f>
        <v>0</v>
      </c>
      <c r="H122" s="58">
        <f>SUM(H121:H121)</f>
        <v>0</v>
      </c>
      <c r="I122" s="60">
        <f>SUM(F122:H122)</f>
        <v>0</v>
      </c>
      <c r="J122" s="58">
        <f>SUM(J121:J121)</f>
        <v>0</v>
      </c>
      <c r="K122" s="58">
        <f>SUM(K121:K121)</f>
        <v>0</v>
      </c>
      <c r="L122" s="58">
        <f>SUM(L121:L121)</f>
        <v>0</v>
      </c>
      <c r="M122" s="60">
        <f>SUM(J122:L122)</f>
        <v>0</v>
      </c>
      <c r="N122" s="58">
        <f>SUM(N121:N121)</f>
        <v>0</v>
      </c>
      <c r="O122" s="58">
        <f>SUM(O121:O121)</f>
        <v>0</v>
      </c>
      <c r="P122" s="58">
        <f>SUM(P121:P121)</f>
        <v>0</v>
      </c>
      <c r="Q122" s="60">
        <f>SUM(N122:P122)</f>
        <v>0</v>
      </c>
      <c r="R122" s="59">
        <f>+E122+I122+M122+Q122</f>
        <v>0</v>
      </c>
    </row>
    <row r="123" spans="1:18" ht="16.5" customHeight="1" thickBot="1" x14ac:dyDescent="0.35">
      <c r="A123" s="57" t="s">
        <v>72</v>
      </c>
      <c r="B123" s="58">
        <f>SUM(B107:B121)</f>
        <v>1906</v>
      </c>
      <c r="C123" s="58">
        <f>SUM(C107:C121)</f>
        <v>8059</v>
      </c>
      <c r="D123" s="58">
        <f>SUM(D107:D121)</f>
        <v>14668</v>
      </c>
      <c r="E123" s="60">
        <f>SUM(B123:D123)</f>
        <v>24633</v>
      </c>
      <c r="F123" s="58">
        <f>SUM(F107:F121)</f>
        <v>5743</v>
      </c>
      <c r="G123" s="58">
        <f>SUM(G107:G121)</f>
        <v>3726</v>
      </c>
      <c r="H123" s="58">
        <f>SUM(H107:H121)</f>
        <v>16994</v>
      </c>
      <c r="I123" s="60">
        <f>SUM(F123:H123)</f>
        <v>26463</v>
      </c>
      <c r="J123" s="58">
        <f>SUM(J107:J121)</f>
        <v>21399</v>
      </c>
      <c r="K123" s="58">
        <f>SUM(K107:K121)</f>
        <v>7540</v>
      </c>
      <c r="L123" s="58">
        <f>SUM(L107:L121)</f>
        <v>4339</v>
      </c>
      <c r="M123" s="60">
        <f>SUM(J123:L123)</f>
        <v>33278</v>
      </c>
      <c r="N123" s="58">
        <f>SUM(N107:N121)</f>
        <v>5561</v>
      </c>
      <c r="O123" s="58">
        <f>SUM(O107:O121)</f>
        <v>2655</v>
      </c>
      <c r="P123" s="58">
        <f>SUM(P107:P121)</f>
        <v>6751</v>
      </c>
      <c r="Q123" s="60">
        <f>SUM(N123:P123)</f>
        <v>14967</v>
      </c>
      <c r="R123" s="59">
        <f>+E123+I123+M123+Q123</f>
        <v>99341</v>
      </c>
    </row>
    <row r="124" spans="1:18" ht="16.5" customHeight="1" thickBot="1" x14ac:dyDescent="0.35">
      <c r="A124" s="57" t="s">
        <v>73</v>
      </c>
      <c r="B124" s="58">
        <f>+B88+B95+B106+B123</f>
        <v>2918</v>
      </c>
      <c r="C124" s="58">
        <f>+C88+C95+C106+C123</f>
        <v>9718</v>
      </c>
      <c r="D124" s="58">
        <f>+D88+D95+D106+D123</f>
        <v>22986</v>
      </c>
      <c r="E124" s="59">
        <f>SUM(B124:D124)</f>
        <v>35622</v>
      </c>
      <c r="F124" s="58">
        <f>+F88+F95+F106+F123</f>
        <v>12838</v>
      </c>
      <c r="G124" s="58">
        <f>+G88+G95+G106+G123</f>
        <v>12146</v>
      </c>
      <c r="H124" s="58">
        <f>+H88+H95+H106+H123</f>
        <v>26806</v>
      </c>
      <c r="I124" s="59">
        <f>SUM(F124:H124)</f>
        <v>51790</v>
      </c>
      <c r="J124" s="58">
        <f>+J88+J95+J106+J123</f>
        <v>29891</v>
      </c>
      <c r="K124" s="58">
        <f>+K88+K95+K106+K123</f>
        <v>15231</v>
      </c>
      <c r="L124" s="58">
        <f>+L88+L95+L106+L123</f>
        <v>7912</v>
      </c>
      <c r="M124" s="59">
        <f>SUM(J124:L124)</f>
        <v>53034</v>
      </c>
      <c r="N124" s="58">
        <f>+N88+N95+N106+N123</f>
        <v>6224</v>
      </c>
      <c r="O124" s="58">
        <f>+O88+O95+O106+O123</f>
        <v>2957</v>
      </c>
      <c r="P124" s="58">
        <f>+P88+P95+P106+P123</f>
        <v>8720</v>
      </c>
      <c r="Q124" s="59">
        <f>SUM(N124:P124)</f>
        <v>17901</v>
      </c>
      <c r="R124" s="59">
        <f>+E124+I124+M124+Q124</f>
        <v>158347</v>
      </c>
    </row>
    <row r="125" spans="1:18" ht="16.5" customHeight="1" thickBot="1" x14ac:dyDescent="0.35">
      <c r="A125" s="73" t="s">
        <v>40</v>
      </c>
      <c r="B125" s="21">
        <v>173</v>
      </c>
      <c r="C125" s="21">
        <v>260</v>
      </c>
      <c r="D125" s="21">
        <v>471</v>
      </c>
      <c r="E125" s="55">
        <f>SUM(B125:D125)</f>
        <v>904</v>
      </c>
      <c r="F125" s="21">
        <v>629</v>
      </c>
      <c r="G125" s="21">
        <v>725</v>
      </c>
      <c r="H125" s="21">
        <v>712</v>
      </c>
      <c r="I125" s="55">
        <f>SUM(F125:H125)</f>
        <v>2066</v>
      </c>
      <c r="J125" s="21">
        <v>711</v>
      </c>
      <c r="K125" s="21">
        <v>573</v>
      </c>
      <c r="L125" s="21">
        <v>542</v>
      </c>
      <c r="M125" s="55">
        <f>SUM(J125:L125)</f>
        <v>1826</v>
      </c>
      <c r="N125" s="21">
        <v>490</v>
      </c>
      <c r="O125" s="21">
        <v>407</v>
      </c>
      <c r="P125" s="21">
        <v>323</v>
      </c>
      <c r="Q125" s="55">
        <f>SUM(N125:P125)</f>
        <v>1220</v>
      </c>
      <c r="R125" s="55">
        <f>+E125+I125+M125+Q125</f>
        <v>6016</v>
      </c>
    </row>
    <row r="126" spans="1:18" ht="16.5" customHeight="1" thickBot="1" x14ac:dyDescent="0.35">
      <c r="A126" s="74"/>
      <c r="B126" s="75"/>
      <c r="C126" s="75"/>
      <c r="D126" s="75"/>
      <c r="E126" s="59" t="s">
        <v>7</v>
      </c>
      <c r="F126" s="75"/>
      <c r="G126" s="75"/>
      <c r="H126" s="75"/>
      <c r="I126" s="59" t="s">
        <v>7</v>
      </c>
      <c r="J126" s="75"/>
      <c r="K126" s="75"/>
      <c r="L126" s="75"/>
      <c r="M126" s="59" t="s">
        <v>7</v>
      </c>
      <c r="N126" s="75"/>
      <c r="O126" s="75"/>
      <c r="P126" s="75"/>
      <c r="Q126" s="59" t="s">
        <v>7</v>
      </c>
      <c r="R126" s="59" t="s">
        <v>7</v>
      </c>
    </row>
    <row r="127" spans="1:18" ht="15.75" customHeight="1" x14ac:dyDescent="0.3">
      <c r="A127" s="76" t="s">
        <v>41</v>
      </c>
      <c r="B127" s="77">
        <f>+B124+B125</f>
        <v>3091</v>
      </c>
      <c r="C127" s="77">
        <f>+C124+C125</f>
        <v>9978</v>
      </c>
      <c r="D127" s="77">
        <f>+D124+D125</f>
        <v>23457</v>
      </c>
      <c r="E127" s="55">
        <f>SUM(B127:D127)</f>
        <v>36526</v>
      </c>
      <c r="F127" s="77">
        <f>+F124+F125</f>
        <v>13467</v>
      </c>
      <c r="G127" s="77">
        <f>+G124+G125</f>
        <v>12871</v>
      </c>
      <c r="H127" s="77">
        <f>+H124+H125</f>
        <v>27518</v>
      </c>
      <c r="I127" s="55">
        <f>SUM(F127:H127)</f>
        <v>53856</v>
      </c>
      <c r="J127" s="77">
        <f>+J124+J125</f>
        <v>30602</v>
      </c>
      <c r="K127" s="77">
        <f>+K124+K125</f>
        <v>15804</v>
      </c>
      <c r="L127" s="77">
        <f>+L124+L125</f>
        <v>8454</v>
      </c>
      <c r="M127" s="55">
        <f>SUM(J127:L127)</f>
        <v>54860</v>
      </c>
      <c r="N127" s="77">
        <f>+N124+N125</f>
        <v>6714</v>
      </c>
      <c r="O127" s="77">
        <f>+O124+O125</f>
        <v>3364</v>
      </c>
      <c r="P127" s="77">
        <f>+P124+P125</f>
        <v>9043</v>
      </c>
      <c r="Q127" s="55">
        <f>SUM(N127:P127)</f>
        <v>19121</v>
      </c>
      <c r="R127" s="55">
        <f>+E127+I127+M127+Q127</f>
        <v>164363</v>
      </c>
    </row>
    <row r="128" spans="1:18" ht="15.75" customHeight="1" x14ac:dyDescent="0.3">
      <c r="A128" s="78" t="s">
        <v>42</v>
      </c>
      <c r="B128" s="1">
        <f>(B127/31)/1.983</f>
        <v>50.282237730385695</v>
      </c>
      <c r="C128" s="1">
        <f>(C127/28)/1.983</f>
        <v>179.70607304949209</v>
      </c>
      <c r="D128" s="1">
        <f>(D127/31)/1.983</f>
        <v>381.58215802059436</v>
      </c>
      <c r="E128" s="55" t="s">
        <v>7</v>
      </c>
      <c r="F128" s="1">
        <f>(F127/30)/1.983</f>
        <v>226.3741805345436</v>
      </c>
      <c r="G128" s="1">
        <f>(G127/31)/1.983</f>
        <v>209.37647422445625</v>
      </c>
      <c r="H128" s="1">
        <f>(H127/30)/1.983</f>
        <v>462.5651369978147</v>
      </c>
      <c r="I128" s="55" t="s">
        <v>7</v>
      </c>
      <c r="J128" s="1">
        <f>(J127/31)/1.983</f>
        <v>497.81204756559788</v>
      </c>
      <c r="K128" s="1">
        <f>(K127/31)/1.983</f>
        <v>257.0884778683324</v>
      </c>
      <c r="L128" s="1">
        <f>(L127/30)/1.983</f>
        <v>142.1079172970247</v>
      </c>
      <c r="M128" s="55" t="s">
        <v>7</v>
      </c>
      <c r="N128" s="1">
        <f>(N127/31)/1.983</f>
        <v>109.21868137230979</v>
      </c>
      <c r="O128" s="1">
        <f>(O127/30)/1.983</f>
        <v>56.547318877122208</v>
      </c>
      <c r="P128" s="1">
        <f>(P127/31)/1.983</f>
        <v>147.10523319180777</v>
      </c>
      <c r="Q128" s="55" t="s">
        <v>7</v>
      </c>
      <c r="R128" s="55" t="s">
        <v>7</v>
      </c>
    </row>
    <row r="129" spans="1:18" ht="15.75" customHeight="1" x14ac:dyDescent="0.3">
      <c r="A129" s="79" t="s">
        <v>106</v>
      </c>
      <c r="B129" s="1">
        <f>B127+B250</f>
        <v>89787</v>
      </c>
      <c r="C129" s="1">
        <f>C127+C250</f>
        <v>133503</v>
      </c>
      <c r="D129" s="1">
        <f>D127+D250</f>
        <v>185222</v>
      </c>
      <c r="E129" s="55">
        <f>SUM(B129:D129)</f>
        <v>408512</v>
      </c>
      <c r="F129" s="1">
        <f>F127+F250</f>
        <v>179828</v>
      </c>
      <c r="G129" s="1">
        <f>G127+G250</f>
        <v>166256</v>
      </c>
      <c r="H129" s="1">
        <f>H127+H250</f>
        <v>154464</v>
      </c>
      <c r="I129" s="55">
        <f>SUM(F129:H129)</f>
        <v>500548</v>
      </c>
      <c r="J129" s="1">
        <f>J127+J250</f>
        <v>78511</v>
      </c>
      <c r="K129" s="1">
        <f>K127+K250</f>
        <v>60690</v>
      </c>
      <c r="L129" s="1">
        <f>L127+L250</f>
        <v>102319</v>
      </c>
      <c r="M129" s="55">
        <f>SUM(J129:L129)</f>
        <v>241520</v>
      </c>
      <c r="N129" s="1">
        <f>N127+N250</f>
        <v>147875</v>
      </c>
      <c r="O129" s="1">
        <f>O127+O250</f>
        <v>175170</v>
      </c>
      <c r="P129" s="1">
        <f>P127+P250</f>
        <v>149883</v>
      </c>
      <c r="Q129" s="55">
        <f>SUM(N129:P129)</f>
        <v>472928</v>
      </c>
      <c r="R129" s="55">
        <f>+E129+I129+M129+Q129</f>
        <v>1623508</v>
      </c>
    </row>
    <row r="130" spans="1:18" ht="16.5" customHeight="1" thickBot="1" x14ac:dyDescent="0.35">
      <c r="A130" s="80" t="s">
        <v>107</v>
      </c>
      <c r="B130" s="25">
        <f>(B129/31)/1.983</f>
        <v>1460.5924552242448</v>
      </c>
      <c r="C130" s="25">
        <f>(C129/28)/1.983</f>
        <v>2404.4197103955044</v>
      </c>
      <c r="D130" s="25">
        <f>(D129/31)/1.983</f>
        <v>3013.0626453890327</v>
      </c>
      <c r="E130" s="81" t="s">
        <v>7</v>
      </c>
      <c r="F130" s="25">
        <f>(F129/30)/1.983</f>
        <v>3022.827365943856</v>
      </c>
      <c r="G130" s="25">
        <f>(G129/31)/1.983</f>
        <v>2704.5369511818194</v>
      </c>
      <c r="H130" s="25">
        <f>(H129/30)/1.983</f>
        <v>2596.4699949571354</v>
      </c>
      <c r="I130" s="81" t="s">
        <v>7</v>
      </c>
      <c r="J130" s="25">
        <f>(J129/31)/1.983</f>
        <v>1277.1623314300587</v>
      </c>
      <c r="K130" s="25">
        <f>(K129/31)/1.983</f>
        <v>987.26270069786733</v>
      </c>
      <c r="L130" s="25">
        <f>(L129/30)/1.983</f>
        <v>1719.9361237182718</v>
      </c>
      <c r="M130" s="81" t="s">
        <v>7</v>
      </c>
      <c r="N130" s="25">
        <f>(N129/31)/1.983</f>
        <v>2405.5276300164296</v>
      </c>
      <c r="O130" s="25">
        <f>(O129/30)/1.983</f>
        <v>2944.52849218356</v>
      </c>
      <c r="P130" s="25">
        <f>(P129/31)/1.983</f>
        <v>2438.1923771411839</v>
      </c>
      <c r="Q130" s="81" t="s">
        <v>7</v>
      </c>
      <c r="R130" s="81" t="s">
        <v>7</v>
      </c>
    </row>
    <row r="131" spans="1:18" ht="15.75" customHeight="1" x14ac:dyDescent="0.3">
      <c r="A131" s="28"/>
      <c r="B131" s="1"/>
      <c r="C131" s="1"/>
      <c r="D131" s="1"/>
      <c r="E131" s="1"/>
      <c r="F131" s="1"/>
      <c r="G131" s="1"/>
      <c r="H131" s="1"/>
      <c r="I131" s="1"/>
      <c r="J131" s="1"/>
      <c r="K131" s="1"/>
      <c r="L131" s="1"/>
      <c r="M131" s="1"/>
      <c r="N131" s="1"/>
      <c r="O131" s="1"/>
      <c r="P131" s="1"/>
      <c r="Q131" s="1"/>
      <c r="R131" s="2"/>
    </row>
    <row r="132" spans="1:18" ht="15.75" customHeight="1" thickBot="1" x14ac:dyDescent="0.35">
      <c r="A132" s="28" t="s">
        <v>7</v>
      </c>
      <c r="B132" s="1"/>
      <c r="C132" s="1"/>
      <c r="D132" s="1"/>
      <c r="E132" s="1"/>
      <c r="F132" s="1"/>
      <c r="G132" s="1"/>
      <c r="H132" s="1"/>
      <c r="I132" s="1"/>
      <c r="J132" s="1"/>
      <c r="K132" s="1"/>
      <c r="L132" s="1"/>
      <c r="M132" s="1"/>
      <c r="N132" s="1"/>
      <c r="O132" s="1"/>
      <c r="P132" s="1"/>
      <c r="Q132" s="1"/>
      <c r="R132" s="2"/>
    </row>
    <row r="133" spans="1:18" ht="16.5" customHeight="1" thickBot="1" x14ac:dyDescent="0.35">
      <c r="A133" s="29" t="s">
        <v>108</v>
      </c>
      <c r="B133" s="30" t="s">
        <v>8</v>
      </c>
      <c r="C133" s="31" t="s">
        <v>9</v>
      </c>
      <c r="D133" s="31" t="s">
        <v>10</v>
      </c>
      <c r="E133" s="32" t="s">
        <v>11</v>
      </c>
      <c r="F133" s="31" t="s">
        <v>12</v>
      </c>
      <c r="G133" s="31" t="s">
        <v>13</v>
      </c>
      <c r="H133" s="31" t="s">
        <v>14</v>
      </c>
      <c r="I133" s="33" t="s">
        <v>15</v>
      </c>
      <c r="J133" s="31" t="s">
        <v>16</v>
      </c>
      <c r="K133" s="31" t="s">
        <v>17</v>
      </c>
      <c r="L133" s="31" t="s">
        <v>18</v>
      </c>
      <c r="M133" s="33" t="s">
        <v>19</v>
      </c>
      <c r="N133" s="31" t="s">
        <v>20</v>
      </c>
      <c r="O133" s="31" t="s">
        <v>21</v>
      </c>
      <c r="P133" s="31" t="s">
        <v>22</v>
      </c>
      <c r="Q133" s="33" t="s">
        <v>23</v>
      </c>
      <c r="R133" s="34" t="s">
        <v>24</v>
      </c>
    </row>
    <row r="134" spans="1:18" ht="16.5" customHeight="1" thickBot="1" x14ac:dyDescent="0.35">
      <c r="A134" s="74"/>
      <c r="B134" s="75"/>
      <c r="C134" s="75"/>
      <c r="D134" s="75"/>
      <c r="E134" s="82"/>
      <c r="F134" s="75"/>
      <c r="G134" s="75"/>
      <c r="H134" s="75"/>
      <c r="I134" s="82"/>
      <c r="J134" s="75"/>
      <c r="K134" s="75"/>
      <c r="L134" s="75"/>
      <c r="M134" s="82"/>
      <c r="N134" s="75"/>
      <c r="O134" s="75"/>
      <c r="P134" s="75"/>
      <c r="Q134" s="82"/>
      <c r="R134" s="74"/>
    </row>
    <row r="135" spans="1:18" ht="15.75" customHeight="1" x14ac:dyDescent="0.3">
      <c r="A135" s="15" t="s">
        <v>48</v>
      </c>
      <c r="B135" s="1" t="s">
        <v>7</v>
      </c>
      <c r="C135" s="1" t="s">
        <v>7</v>
      </c>
      <c r="D135" s="1" t="s">
        <v>7</v>
      </c>
      <c r="E135" s="55" t="s">
        <v>7</v>
      </c>
      <c r="F135" s="1" t="s">
        <v>7</v>
      </c>
      <c r="G135" s="1" t="s">
        <v>7</v>
      </c>
      <c r="H135" s="1" t="s">
        <v>7</v>
      </c>
      <c r="I135" s="55" t="s">
        <v>7</v>
      </c>
      <c r="J135" s="1" t="s">
        <v>7</v>
      </c>
      <c r="K135" s="1" t="s">
        <v>7</v>
      </c>
      <c r="L135" s="1" t="s">
        <v>7</v>
      </c>
      <c r="M135" s="55" t="s">
        <v>7</v>
      </c>
      <c r="N135" s="1" t="s">
        <v>7</v>
      </c>
      <c r="O135" s="1" t="s">
        <v>7</v>
      </c>
      <c r="P135" s="1" t="s">
        <v>7</v>
      </c>
      <c r="Q135" s="55" t="s">
        <v>7</v>
      </c>
      <c r="R135" s="83" t="s">
        <v>7</v>
      </c>
    </row>
    <row r="136" spans="1:18" ht="15.75" customHeight="1" x14ac:dyDescent="0.3">
      <c r="A136" s="15" t="s">
        <v>49</v>
      </c>
      <c r="B136" s="1"/>
      <c r="C136" s="1"/>
      <c r="D136" s="1"/>
      <c r="E136" s="55" t="s">
        <v>7</v>
      </c>
      <c r="F136" s="1"/>
      <c r="G136" s="1"/>
      <c r="H136" s="1"/>
      <c r="I136" s="55" t="s">
        <v>7</v>
      </c>
      <c r="J136" s="1"/>
      <c r="K136" s="1"/>
      <c r="L136" s="1"/>
      <c r="M136" s="55" t="s">
        <v>7</v>
      </c>
      <c r="N136" s="1"/>
      <c r="O136" s="1"/>
      <c r="P136" s="1"/>
      <c r="Q136" s="55" t="s">
        <v>7</v>
      </c>
      <c r="R136" s="83"/>
    </row>
    <row r="137" spans="1:18" ht="15.75" customHeight="1" x14ac:dyDescent="0.3">
      <c r="A137" s="84" t="s">
        <v>602</v>
      </c>
      <c r="B137" s="1">
        <v>0</v>
      </c>
      <c r="C137" s="1">
        <v>0</v>
      </c>
      <c r="D137" s="1">
        <v>175</v>
      </c>
      <c r="E137" s="55">
        <f>SUM(B137:D137)</f>
        <v>175</v>
      </c>
      <c r="F137" s="1">
        <v>669</v>
      </c>
      <c r="G137" s="1">
        <v>669</v>
      </c>
      <c r="H137" s="1">
        <v>669</v>
      </c>
      <c r="I137" s="55">
        <f>SUM(F137:H137)</f>
        <v>2007</v>
      </c>
      <c r="J137" s="1">
        <v>669</v>
      </c>
      <c r="K137" s="1">
        <v>669</v>
      </c>
      <c r="L137" s="1">
        <v>669</v>
      </c>
      <c r="M137" s="55">
        <f>SUM(J137:L137)</f>
        <v>2007</v>
      </c>
      <c r="N137" s="1">
        <v>0</v>
      </c>
      <c r="O137" s="1">
        <v>0</v>
      </c>
      <c r="P137" s="1">
        <v>0</v>
      </c>
      <c r="Q137" s="55">
        <f>SUM(N137:P137)</f>
        <v>0</v>
      </c>
      <c r="R137" s="55">
        <f>+E137+I137+M137+Q137</f>
        <v>4189</v>
      </c>
    </row>
    <row r="138" spans="1:18" ht="15.75" customHeight="1" x14ac:dyDescent="0.3">
      <c r="A138" s="84" t="s">
        <v>603</v>
      </c>
      <c r="B138" s="1">
        <v>0</v>
      </c>
      <c r="C138" s="1">
        <v>0</v>
      </c>
      <c r="D138" s="1">
        <v>668</v>
      </c>
      <c r="E138" s="55">
        <f>SUM(B138:D138)</f>
        <v>668</v>
      </c>
      <c r="F138" s="1">
        <v>977</v>
      </c>
      <c r="G138" s="1">
        <v>1057</v>
      </c>
      <c r="H138" s="1">
        <v>1471</v>
      </c>
      <c r="I138" s="55">
        <f>SUM(F138:H138)</f>
        <v>3505</v>
      </c>
      <c r="J138" s="1">
        <v>1091</v>
      </c>
      <c r="K138" s="1">
        <v>906</v>
      </c>
      <c r="L138" s="1">
        <v>668</v>
      </c>
      <c r="M138" s="55">
        <f>SUM(J138:L138)</f>
        <v>2665</v>
      </c>
      <c r="N138" s="1">
        <v>980</v>
      </c>
      <c r="O138" s="1">
        <v>835</v>
      </c>
      <c r="P138" s="1">
        <v>282</v>
      </c>
      <c r="Q138" s="55">
        <f>SUM(N138:P138)</f>
        <v>2097</v>
      </c>
      <c r="R138" s="55">
        <f>+E138+I138+M138+Q138</f>
        <v>8935</v>
      </c>
    </row>
    <row r="139" spans="1:18" ht="15.75" customHeight="1" x14ac:dyDescent="0.3">
      <c r="A139" s="84" t="s">
        <v>604</v>
      </c>
      <c r="B139" s="1">
        <v>0</v>
      </c>
      <c r="C139" s="1">
        <v>0</v>
      </c>
      <c r="D139" s="1">
        <v>174</v>
      </c>
      <c r="E139" s="55">
        <f>SUM(B139:D139)</f>
        <v>174</v>
      </c>
      <c r="F139" s="1">
        <v>366</v>
      </c>
      <c r="G139" s="1">
        <v>366</v>
      </c>
      <c r="H139" s="1">
        <v>367</v>
      </c>
      <c r="I139" s="55">
        <f>SUM(F139:H139)</f>
        <v>1099</v>
      </c>
      <c r="J139" s="1">
        <v>367</v>
      </c>
      <c r="K139" s="1">
        <v>366</v>
      </c>
      <c r="L139" s="1">
        <v>366</v>
      </c>
      <c r="M139" s="55">
        <f>SUM(J139:L139)</f>
        <v>1099</v>
      </c>
      <c r="N139" s="1">
        <v>0</v>
      </c>
      <c r="O139" s="1">
        <v>0</v>
      </c>
      <c r="P139" s="1">
        <v>0</v>
      </c>
      <c r="Q139" s="55">
        <f>SUM(N139:P139)</f>
        <v>0</v>
      </c>
      <c r="R139" s="55">
        <f>+E139+I139+M139+Q139</f>
        <v>2372</v>
      </c>
    </row>
    <row r="140" spans="1:18" ht="15.75" customHeight="1" x14ac:dyDescent="0.3">
      <c r="A140" s="84" t="s">
        <v>605</v>
      </c>
      <c r="B140" s="1">
        <v>0</v>
      </c>
      <c r="C140" s="1">
        <v>0</v>
      </c>
      <c r="D140" s="1">
        <v>294</v>
      </c>
      <c r="E140" s="55">
        <f>SUM(B140:D140)</f>
        <v>294</v>
      </c>
      <c r="F140" s="1">
        <v>309</v>
      </c>
      <c r="G140" s="1">
        <v>309</v>
      </c>
      <c r="H140" s="1">
        <v>309</v>
      </c>
      <c r="I140" s="55">
        <f>SUM(F140:H140)</f>
        <v>927</v>
      </c>
      <c r="J140" s="1">
        <v>310</v>
      </c>
      <c r="K140" s="1">
        <v>309</v>
      </c>
      <c r="L140" s="1">
        <v>309</v>
      </c>
      <c r="M140" s="55">
        <f>SUM(J140:L140)</f>
        <v>928</v>
      </c>
      <c r="N140" s="1">
        <v>851</v>
      </c>
      <c r="O140" s="1">
        <v>0</v>
      </c>
      <c r="P140" s="1">
        <v>0</v>
      </c>
      <c r="Q140" s="55">
        <f>SUM(N140:P140)</f>
        <v>851</v>
      </c>
      <c r="R140" s="55">
        <f>+E140+I140+M140+Q140</f>
        <v>3000</v>
      </c>
    </row>
    <row r="141" spans="1:18" ht="15.75" customHeight="1" x14ac:dyDescent="0.3">
      <c r="A141" s="71" t="s">
        <v>111</v>
      </c>
      <c r="B141" s="1">
        <v>0</v>
      </c>
      <c r="C141" s="1">
        <v>0</v>
      </c>
      <c r="D141" s="1">
        <v>0</v>
      </c>
      <c r="E141" s="55">
        <f>SUM(B141:D141)</f>
        <v>0</v>
      </c>
      <c r="F141" s="1">
        <v>0</v>
      </c>
      <c r="G141" s="1">
        <v>0</v>
      </c>
      <c r="H141" s="1">
        <v>0</v>
      </c>
      <c r="I141" s="55">
        <f>SUM(F141:H141)</f>
        <v>0</v>
      </c>
      <c r="J141" s="1">
        <v>0</v>
      </c>
      <c r="K141" s="1">
        <v>0</v>
      </c>
      <c r="L141" s="1">
        <v>0</v>
      </c>
      <c r="M141" s="55">
        <f>SUM(J141:L141)</f>
        <v>0</v>
      </c>
      <c r="N141" s="1">
        <v>0</v>
      </c>
      <c r="O141" s="1">
        <v>0</v>
      </c>
      <c r="P141" s="1">
        <v>0</v>
      </c>
      <c r="Q141" s="55">
        <f>SUM(N141:P141)</f>
        <v>0</v>
      </c>
      <c r="R141" s="55">
        <f>+E141+I141+M141+Q141</f>
        <v>0</v>
      </c>
    </row>
    <row r="142" spans="1:18" ht="15.75" customHeight="1" x14ac:dyDescent="0.3">
      <c r="A142" s="84" t="s">
        <v>606</v>
      </c>
      <c r="B142" s="1">
        <v>693</v>
      </c>
      <c r="C142" s="1">
        <v>900</v>
      </c>
      <c r="D142" s="1">
        <v>900</v>
      </c>
      <c r="E142" s="55">
        <f t="shared" ref="E142:E157" si="20">SUM(B142:D142)</f>
        <v>2493</v>
      </c>
      <c r="F142" s="1">
        <v>500</v>
      </c>
      <c r="G142" s="1">
        <v>500</v>
      </c>
      <c r="H142" s="1">
        <v>1891</v>
      </c>
      <c r="I142" s="55">
        <f t="shared" ref="I142:I157" si="21">SUM(F142:H142)</f>
        <v>2891</v>
      </c>
      <c r="J142" s="1">
        <v>32</v>
      </c>
      <c r="K142" s="1">
        <v>0</v>
      </c>
      <c r="L142" s="1">
        <v>0</v>
      </c>
      <c r="M142" s="55">
        <f t="shared" ref="M142:M157" si="22">SUM(J142:L142)</f>
        <v>32</v>
      </c>
      <c r="N142" s="1">
        <v>0</v>
      </c>
      <c r="O142" s="1">
        <v>0</v>
      </c>
      <c r="P142" s="1">
        <v>0</v>
      </c>
      <c r="Q142" s="55">
        <f t="shared" ref="Q142:Q157" si="23">SUM(N142:P142)</f>
        <v>0</v>
      </c>
      <c r="R142" s="55">
        <f t="shared" ref="R142:R157" si="24">+E142+I142+M142+Q142</f>
        <v>5416</v>
      </c>
    </row>
    <row r="143" spans="1:18" ht="15.75" customHeight="1" x14ac:dyDescent="0.3">
      <c r="A143" s="84" t="s">
        <v>696</v>
      </c>
      <c r="B143" s="1">
        <v>0</v>
      </c>
      <c r="C143" s="1">
        <v>0</v>
      </c>
      <c r="D143" s="1">
        <v>0</v>
      </c>
      <c r="E143" s="55">
        <f t="shared" si="20"/>
        <v>0</v>
      </c>
      <c r="F143" s="1">
        <v>0</v>
      </c>
      <c r="G143" s="1">
        <v>1000</v>
      </c>
      <c r="H143" s="1">
        <v>930</v>
      </c>
      <c r="I143" s="55">
        <f t="shared" si="21"/>
        <v>1930</v>
      </c>
      <c r="J143" s="1">
        <v>0</v>
      </c>
      <c r="K143" s="1">
        <v>800</v>
      </c>
      <c r="L143" s="1">
        <v>461</v>
      </c>
      <c r="M143" s="55">
        <f t="shared" si="22"/>
        <v>1261</v>
      </c>
      <c r="N143" s="1">
        <v>305</v>
      </c>
      <c r="O143" s="1">
        <v>650</v>
      </c>
      <c r="P143" s="1">
        <f>850+412</f>
        <v>1262</v>
      </c>
      <c r="Q143" s="55">
        <f t="shared" si="23"/>
        <v>2217</v>
      </c>
      <c r="R143" s="55">
        <f t="shared" si="24"/>
        <v>5408</v>
      </c>
    </row>
    <row r="144" spans="1:18" ht="15.75" customHeight="1" x14ac:dyDescent="0.3">
      <c r="A144" s="71" t="s">
        <v>114</v>
      </c>
      <c r="B144" s="1">
        <v>15</v>
      </c>
      <c r="C144" s="1">
        <v>28</v>
      </c>
      <c r="D144" s="1">
        <v>35</v>
      </c>
      <c r="E144" s="55">
        <f t="shared" si="20"/>
        <v>78</v>
      </c>
      <c r="F144" s="1">
        <v>38</v>
      </c>
      <c r="G144" s="1">
        <v>48</v>
      </c>
      <c r="H144" s="1">
        <v>44</v>
      </c>
      <c r="I144" s="55">
        <f t="shared" si="21"/>
        <v>130</v>
      </c>
      <c r="J144" s="1">
        <v>67</v>
      </c>
      <c r="K144" s="1">
        <v>74</v>
      </c>
      <c r="L144" s="1">
        <v>37</v>
      </c>
      <c r="M144" s="55">
        <f t="shared" si="22"/>
        <v>178</v>
      </c>
      <c r="N144" s="1">
        <v>40</v>
      </c>
      <c r="O144" s="1">
        <v>31</v>
      </c>
      <c r="P144" s="1">
        <v>22</v>
      </c>
      <c r="Q144" s="55">
        <f t="shared" si="23"/>
        <v>93</v>
      </c>
      <c r="R144" s="55">
        <f t="shared" si="24"/>
        <v>479</v>
      </c>
    </row>
    <row r="145" spans="1:19" ht="15.75" customHeight="1" x14ac:dyDescent="0.3">
      <c r="A145" s="71" t="s">
        <v>115</v>
      </c>
      <c r="B145" s="1">
        <v>149</v>
      </c>
      <c r="C145" s="1">
        <v>131</v>
      </c>
      <c r="D145" s="1">
        <v>144</v>
      </c>
      <c r="E145" s="55">
        <f t="shared" si="20"/>
        <v>424</v>
      </c>
      <c r="F145" s="1">
        <v>155</v>
      </c>
      <c r="G145" s="1">
        <v>182</v>
      </c>
      <c r="H145" s="1">
        <v>193</v>
      </c>
      <c r="I145" s="55">
        <f t="shared" si="21"/>
        <v>530</v>
      </c>
      <c r="J145" s="1">
        <v>205</v>
      </c>
      <c r="K145" s="1">
        <v>194</v>
      </c>
      <c r="L145" s="1">
        <v>195</v>
      </c>
      <c r="M145" s="55">
        <f t="shared" si="22"/>
        <v>594</v>
      </c>
      <c r="N145" s="1">
        <v>190</v>
      </c>
      <c r="O145" s="1">
        <v>150</v>
      </c>
      <c r="P145" s="1">
        <v>134</v>
      </c>
      <c r="Q145" s="55">
        <f t="shared" si="23"/>
        <v>474</v>
      </c>
      <c r="R145" s="55">
        <f t="shared" si="24"/>
        <v>2022</v>
      </c>
    </row>
    <row r="146" spans="1:19" ht="15.75" customHeight="1" x14ac:dyDescent="0.3">
      <c r="A146" s="71" t="s">
        <v>116</v>
      </c>
      <c r="B146" s="1">
        <v>0</v>
      </c>
      <c r="C146" s="1">
        <v>0</v>
      </c>
      <c r="D146" s="1">
        <v>0</v>
      </c>
      <c r="E146" s="55">
        <f t="shared" si="20"/>
        <v>0</v>
      </c>
      <c r="F146" s="1">
        <v>0</v>
      </c>
      <c r="G146" s="1">
        <v>0</v>
      </c>
      <c r="H146" s="1">
        <v>0</v>
      </c>
      <c r="I146" s="55">
        <f t="shared" si="21"/>
        <v>0</v>
      </c>
      <c r="J146" s="1">
        <v>0</v>
      </c>
      <c r="K146" s="1">
        <v>0</v>
      </c>
      <c r="L146" s="1">
        <v>0</v>
      </c>
      <c r="M146" s="55">
        <f t="shared" si="22"/>
        <v>0</v>
      </c>
      <c r="N146" s="1">
        <v>0</v>
      </c>
      <c r="O146" s="1">
        <v>0</v>
      </c>
      <c r="P146" s="1">
        <v>0</v>
      </c>
      <c r="Q146" s="55">
        <f t="shared" si="23"/>
        <v>0</v>
      </c>
      <c r="R146" s="55">
        <f t="shared" si="24"/>
        <v>0</v>
      </c>
    </row>
    <row r="147" spans="1:19" ht="15.75" customHeight="1" x14ac:dyDescent="0.3">
      <c r="A147" s="71" t="s">
        <v>117</v>
      </c>
      <c r="B147" s="1">
        <v>412</v>
      </c>
      <c r="C147" s="1">
        <v>384</v>
      </c>
      <c r="D147" s="1">
        <v>454</v>
      </c>
      <c r="E147" s="55">
        <f>SUM(B147:D147)</f>
        <v>1250</v>
      </c>
      <c r="F147" s="1">
        <v>481</v>
      </c>
      <c r="G147" s="1">
        <v>549</v>
      </c>
      <c r="H147" s="1">
        <v>593</v>
      </c>
      <c r="I147" s="55">
        <f>SUM(F147:H147)</f>
        <v>1623</v>
      </c>
      <c r="J147" s="1">
        <v>655</v>
      </c>
      <c r="K147" s="1">
        <v>667</v>
      </c>
      <c r="L147" s="1">
        <v>618</v>
      </c>
      <c r="M147" s="55">
        <f>SUM(J147:L147)</f>
        <v>1940</v>
      </c>
      <c r="N147" s="1">
        <v>663</v>
      </c>
      <c r="O147" s="1">
        <v>524</v>
      </c>
      <c r="P147" s="1">
        <v>430</v>
      </c>
      <c r="Q147" s="55">
        <f>SUM(N147:P147)</f>
        <v>1617</v>
      </c>
      <c r="R147" s="55">
        <f>+E147+I147+M147+Q147</f>
        <v>6430</v>
      </c>
    </row>
    <row r="148" spans="1:19" ht="15.75" customHeight="1" x14ac:dyDescent="0.3">
      <c r="A148" s="71" t="s">
        <v>118</v>
      </c>
      <c r="B148" s="1">
        <v>0</v>
      </c>
      <c r="C148" s="1">
        <v>0</v>
      </c>
      <c r="D148" s="1">
        <v>0</v>
      </c>
      <c r="E148" s="55">
        <f t="shared" ref="E148:E154" si="25">SUM(B148:D148)</f>
        <v>0</v>
      </c>
      <c r="F148" s="1">
        <v>0</v>
      </c>
      <c r="G148" s="1">
        <v>0</v>
      </c>
      <c r="H148" s="1">
        <v>0</v>
      </c>
      <c r="I148" s="55">
        <f t="shared" ref="I148:I154" si="26">SUM(F148:H148)</f>
        <v>0</v>
      </c>
      <c r="J148" s="1">
        <v>0</v>
      </c>
      <c r="K148" s="1">
        <v>0</v>
      </c>
      <c r="L148" s="1">
        <v>0</v>
      </c>
      <c r="M148" s="55">
        <f t="shared" ref="M148:M154" si="27">SUM(J148:L148)</f>
        <v>0</v>
      </c>
      <c r="N148" s="1">
        <v>0</v>
      </c>
      <c r="O148" s="1">
        <v>0</v>
      </c>
      <c r="P148" s="1">
        <v>0</v>
      </c>
      <c r="Q148" s="55">
        <f t="shared" ref="Q148:Q154" si="28">SUM(N148:P148)</f>
        <v>0</v>
      </c>
      <c r="R148" s="55">
        <f t="shared" ref="R148:R154" si="29">+E148+I148+M148+Q148</f>
        <v>0</v>
      </c>
    </row>
    <row r="149" spans="1:19" s="123" customFormat="1" ht="15.75" customHeight="1" x14ac:dyDescent="0.3">
      <c r="A149" s="289" t="s">
        <v>697</v>
      </c>
      <c r="B149" s="121">
        <v>0</v>
      </c>
      <c r="C149" s="121">
        <v>0</v>
      </c>
      <c r="D149" s="121">
        <v>0</v>
      </c>
      <c r="E149" s="113">
        <f t="shared" si="25"/>
        <v>0</v>
      </c>
      <c r="F149" s="121">
        <v>0</v>
      </c>
      <c r="G149" s="121">
        <v>0</v>
      </c>
      <c r="H149" s="121">
        <v>0</v>
      </c>
      <c r="I149" s="113">
        <f t="shared" si="26"/>
        <v>0</v>
      </c>
      <c r="J149" s="121">
        <v>0</v>
      </c>
      <c r="K149" s="121">
        <v>0</v>
      </c>
      <c r="L149" s="121">
        <v>0</v>
      </c>
      <c r="M149" s="113">
        <f t="shared" si="27"/>
        <v>0</v>
      </c>
      <c r="N149" s="121">
        <v>0</v>
      </c>
      <c r="O149" s="121">
        <v>0</v>
      </c>
      <c r="P149" s="121">
        <v>0</v>
      </c>
      <c r="Q149" s="113">
        <f t="shared" si="28"/>
        <v>0</v>
      </c>
      <c r="R149" s="113">
        <f t="shared" si="29"/>
        <v>0</v>
      </c>
    </row>
    <row r="150" spans="1:19" ht="15.75" customHeight="1" x14ac:dyDescent="0.3">
      <c r="A150" s="71" t="s">
        <v>698</v>
      </c>
      <c r="B150" s="1">
        <v>0</v>
      </c>
      <c r="C150" s="1">
        <v>0</v>
      </c>
      <c r="D150" s="1">
        <v>0</v>
      </c>
      <c r="E150" s="55">
        <f>SUM(B150:D150)</f>
        <v>0</v>
      </c>
      <c r="F150" s="1">
        <v>0</v>
      </c>
      <c r="G150" s="1">
        <v>733</v>
      </c>
      <c r="H150" s="1">
        <v>1457</v>
      </c>
      <c r="I150" s="55">
        <f>SUM(F150:H150)</f>
        <v>2190</v>
      </c>
      <c r="J150" s="1">
        <v>2044</v>
      </c>
      <c r="K150" s="1">
        <v>1886</v>
      </c>
      <c r="L150" s="1">
        <v>578</v>
      </c>
      <c r="M150" s="55">
        <f>SUM(J150:L150)</f>
        <v>4508</v>
      </c>
      <c r="N150" s="1">
        <v>1800</v>
      </c>
      <c r="O150" s="1">
        <v>1299</v>
      </c>
      <c r="P150" s="1">
        <v>938</v>
      </c>
      <c r="Q150" s="55">
        <f>SUM(N150:P150)</f>
        <v>4037</v>
      </c>
      <c r="R150" s="55">
        <f>+E150+I150+M150+Q150</f>
        <v>10735</v>
      </c>
    </row>
    <row r="151" spans="1:19" ht="15.75" customHeight="1" x14ac:dyDescent="0.3">
      <c r="A151" s="71" t="s">
        <v>120</v>
      </c>
      <c r="B151" s="1">
        <v>20</v>
      </c>
      <c r="C151" s="1">
        <v>17</v>
      </c>
      <c r="D151" s="1">
        <v>38</v>
      </c>
      <c r="E151" s="55">
        <f t="shared" si="25"/>
        <v>75</v>
      </c>
      <c r="F151" s="1">
        <v>49</v>
      </c>
      <c r="G151" s="1">
        <v>85</v>
      </c>
      <c r="H151" s="1">
        <v>84</v>
      </c>
      <c r="I151" s="55">
        <f t="shared" si="26"/>
        <v>218</v>
      </c>
      <c r="J151" s="1">
        <v>85</v>
      </c>
      <c r="K151" s="1">
        <v>76</v>
      </c>
      <c r="L151" s="1">
        <v>64</v>
      </c>
      <c r="M151" s="55">
        <f t="shared" si="27"/>
        <v>225</v>
      </c>
      <c r="N151" s="1">
        <v>71</v>
      </c>
      <c r="O151" s="1">
        <v>29</v>
      </c>
      <c r="P151" s="1">
        <v>26</v>
      </c>
      <c r="Q151" s="55">
        <f t="shared" si="28"/>
        <v>126</v>
      </c>
      <c r="R151" s="55">
        <f t="shared" si="29"/>
        <v>644</v>
      </c>
    </row>
    <row r="152" spans="1:19" ht="15.75" customHeight="1" x14ac:dyDescent="0.3">
      <c r="A152" s="84" t="s">
        <v>610</v>
      </c>
      <c r="B152" s="1">
        <v>17</v>
      </c>
      <c r="C152" s="1">
        <v>323</v>
      </c>
      <c r="D152" s="1">
        <v>1454</v>
      </c>
      <c r="E152" s="55">
        <f>SUM(B152:D152)</f>
        <v>1794</v>
      </c>
      <c r="F152" s="1">
        <v>500</v>
      </c>
      <c r="G152" s="1">
        <v>800</v>
      </c>
      <c r="H152" s="1">
        <v>1341</v>
      </c>
      <c r="I152" s="55">
        <f>SUM(F152:H152)</f>
        <v>2641</v>
      </c>
      <c r="J152" s="1">
        <v>1300</v>
      </c>
      <c r="K152" s="1">
        <v>530</v>
      </c>
      <c r="L152" s="1">
        <v>1942</v>
      </c>
      <c r="M152" s="55">
        <f>SUM(J152:L152)</f>
        <v>3772</v>
      </c>
      <c r="N152" s="1">
        <v>860</v>
      </c>
      <c r="O152" s="1">
        <v>725</v>
      </c>
      <c r="P152" s="1">
        <v>564</v>
      </c>
      <c r="Q152" s="55">
        <f>SUM(N152:P152)</f>
        <v>2149</v>
      </c>
      <c r="R152" s="55">
        <f>+E152+I152+M152+Q152</f>
        <v>10356</v>
      </c>
    </row>
    <row r="153" spans="1:19" ht="15.75" customHeight="1" x14ac:dyDescent="0.3">
      <c r="A153" s="84" t="s">
        <v>611</v>
      </c>
      <c r="B153" s="1">
        <v>0</v>
      </c>
      <c r="C153" s="1">
        <v>0</v>
      </c>
      <c r="D153" s="1">
        <v>0</v>
      </c>
      <c r="E153" s="55">
        <f t="shared" si="25"/>
        <v>0</v>
      </c>
      <c r="F153" s="1">
        <v>0</v>
      </c>
      <c r="G153" s="1">
        <v>0</v>
      </c>
      <c r="H153" s="1">
        <v>0</v>
      </c>
      <c r="I153" s="55">
        <f t="shared" si="26"/>
        <v>0</v>
      </c>
      <c r="J153" s="1">
        <v>0</v>
      </c>
      <c r="K153" s="1">
        <v>0</v>
      </c>
      <c r="L153" s="1">
        <v>0</v>
      </c>
      <c r="M153" s="55">
        <f t="shared" si="27"/>
        <v>0</v>
      </c>
      <c r="N153" s="1">
        <v>0</v>
      </c>
      <c r="O153" s="1">
        <v>0</v>
      </c>
      <c r="P153" s="1">
        <v>0</v>
      </c>
      <c r="Q153" s="55">
        <f t="shared" si="28"/>
        <v>0</v>
      </c>
      <c r="R153" s="55">
        <f t="shared" si="29"/>
        <v>0</v>
      </c>
    </row>
    <row r="154" spans="1:19" ht="15.75" customHeight="1" x14ac:dyDescent="0.3">
      <c r="A154" s="71" t="s">
        <v>122</v>
      </c>
      <c r="B154" s="1">
        <v>8491</v>
      </c>
      <c r="C154" s="1">
        <v>8160</v>
      </c>
      <c r="D154" s="1">
        <v>9232</v>
      </c>
      <c r="E154" s="55">
        <f t="shared" si="25"/>
        <v>25883</v>
      </c>
      <c r="F154" s="1">
        <v>9866</v>
      </c>
      <c r="G154" s="1">
        <v>395</v>
      </c>
      <c r="H154" s="1">
        <v>0</v>
      </c>
      <c r="I154" s="55">
        <f t="shared" si="26"/>
        <v>10261</v>
      </c>
      <c r="J154" s="1">
        <v>10819</v>
      </c>
      <c r="K154" s="1">
        <v>11662</v>
      </c>
      <c r="L154" s="1">
        <v>11658</v>
      </c>
      <c r="M154" s="55">
        <f t="shared" si="27"/>
        <v>34139</v>
      </c>
      <c r="N154" s="1">
        <v>10152</v>
      </c>
      <c r="O154" s="1">
        <v>6659</v>
      </c>
      <c r="P154" s="1">
        <v>6891</v>
      </c>
      <c r="Q154" s="55">
        <f t="shared" si="28"/>
        <v>23702</v>
      </c>
      <c r="R154" s="55">
        <f t="shared" si="29"/>
        <v>93985</v>
      </c>
    </row>
    <row r="155" spans="1:19" ht="15.75" customHeight="1" x14ac:dyDescent="0.3">
      <c r="A155" s="71" t="s">
        <v>123</v>
      </c>
      <c r="B155" s="1">
        <v>14</v>
      </c>
      <c r="C155" s="1">
        <v>14</v>
      </c>
      <c r="D155" s="1">
        <v>18</v>
      </c>
      <c r="E155" s="55">
        <f t="shared" si="20"/>
        <v>46</v>
      </c>
      <c r="F155" s="1">
        <v>17</v>
      </c>
      <c r="G155" s="1">
        <v>16</v>
      </c>
      <c r="H155" s="1">
        <v>17</v>
      </c>
      <c r="I155" s="55">
        <f t="shared" si="21"/>
        <v>50</v>
      </c>
      <c r="J155" s="1">
        <v>19</v>
      </c>
      <c r="K155" s="1">
        <v>20</v>
      </c>
      <c r="L155" s="1">
        <v>19</v>
      </c>
      <c r="M155" s="55">
        <f t="shared" si="22"/>
        <v>58</v>
      </c>
      <c r="N155" s="1">
        <v>21</v>
      </c>
      <c r="O155" s="1">
        <v>18</v>
      </c>
      <c r="P155" s="1">
        <v>11</v>
      </c>
      <c r="Q155" s="55">
        <f t="shared" si="23"/>
        <v>50</v>
      </c>
      <c r="R155" s="55">
        <f t="shared" si="24"/>
        <v>204</v>
      </c>
    </row>
    <row r="156" spans="1:19" ht="15.75" customHeight="1" x14ac:dyDescent="0.3">
      <c r="A156" s="71" t="s">
        <v>124</v>
      </c>
      <c r="B156" s="1">
        <v>3283</v>
      </c>
      <c r="C156" s="1">
        <v>0</v>
      </c>
      <c r="D156" s="1">
        <v>0</v>
      </c>
      <c r="E156" s="55">
        <f t="shared" si="20"/>
        <v>3283</v>
      </c>
      <c r="F156" s="1">
        <v>1898</v>
      </c>
      <c r="G156" s="1">
        <v>6789</v>
      </c>
      <c r="H156" s="1">
        <v>6941</v>
      </c>
      <c r="I156" s="55">
        <f t="shared" si="21"/>
        <v>15628</v>
      </c>
      <c r="J156" s="1">
        <v>7286</v>
      </c>
      <c r="K156" s="1">
        <v>7275</v>
      </c>
      <c r="L156" s="1">
        <v>5643</v>
      </c>
      <c r="M156" s="55">
        <f t="shared" si="22"/>
        <v>20204</v>
      </c>
      <c r="N156" s="1">
        <v>4774</v>
      </c>
      <c r="O156" s="1">
        <v>3647</v>
      </c>
      <c r="P156" s="1">
        <v>4267</v>
      </c>
      <c r="Q156" s="55">
        <f t="shared" si="23"/>
        <v>12688</v>
      </c>
      <c r="R156" s="55">
        <f t="shared" si="24"/>
        <v>51803</v>
      </c>
    </row>
    <row r="157" spans="1:19" ht="15.75" customHeight="1" x14ac:dyDescent="0.3">
      <c r="A157" s="84" t="s">
        <v>699</v>
      </c>
      <c r="B157" s="1">
        <v>0</v>
      </c>
      <c r="C157" s="1">
        <v>0</v>
      </c>
      <c r="D157" s="1">
        <v>0</v>
      </c>
      <c r="E157" s="55">
        <f t="shared" si="20"/>
        <v>0</v>
      </c>
      <c r="F157" s="1">
        <v>0</v>
      </c>
      <c r="G157" s="1">
        <v>0</v>
      </c>
      <c r="H157" s="1"/>
      <c r="I157" s="55">
        <f t="shared" si="21"/>
        <v>0</v>
      </c>
      <c r="J157" s="1">
        <v>1000</v>
      </c>
      <c r="K157" s="1">
        <v>300</v>
      </c>
      <c r="L157" s="1">
        <v>1500</v>
      </c>
      <c r="M157" s="55">
        <f t="shared" si="22"/>
        <v>2800</v>
      </c>
      <c r="N157" s="1">
        <v>2430</v>
      </c>
      <c r="O157" s="1">
        <v>0</v>
      </c>
      <c r="P157" s="1">
        <v>0</v>
      </c>
      <c r="Q157" s="55">
        <f t="shared" si="23"/>
        <v>2430</v>
      </c>
      <c r="R157" s="55">
        <f t="shared" si="24"/>
        <v>5230</v>
      </c>
    </row>
    <row r="158" spans="1:19" ht="15.75" customHeight="1" x14ac:dyDescent="0.3">
      <c r="A158" s="71" t="s">
        <v>125</v>
      </c>
      <c r="B158" s="1">
        <v>122</v>
      </c>
      <c r="C158" s="1">
        <v>300</v>
      </c>
      <c r="D158" s="1">
        <v>350</v>
      </c>
      <c r="E158" s="55">
        <f>SUM(B158:D158)</f>
        <v>772</v>
      </c>
      <c r="F158" s="1">
        <v>350</v>
      </c>
      <c r="G158" s="1">
        <v>300</v>
      </c>
      <c r="H158" s="1">
        <v>250</v>
      </c>
      <c r="I158" s="55">
        <f>SUM(F158:H158)</f>
        <v>900</v>
      </c>
      <c r="J158" s="1">
        <v>493</v>
      </c>
      <c r="K158" s="1">
        <v>500</v>
      </c>
      <c r="L158" s="1">
        <v>430</v>
      </c>
      <c r="M158" s="55">
        <f>SUM(J158:L158)</f>
        <v>1423</v>
      </c>
      <c r="N158" s="1">
        <v>400</v>
      </c>
      <c r="O158" s="1">
        <v>100</v>
      </c>
      <c r="P158" s="1">
        <v>250</v>
      </c>
      <c r="Q158" s="55">
        <f>SUM(N158:P158)</f>
        <v>750</v>
      </c>
      <c r="R158" s="55">
        <f>+E158+I158+M158+Q158</f>
        <v>3845</v>
      </c>
    </row>
    <row r="159" spans="1:19" ht="15.75" customHeight="1" x14ac:dyDescent="0.3">
      <c r="A159" s="71" t="s">
        <v>700</v>
      </c>
      <c r="B159" s="1">
        <v>4</v>
      </c>
      <c r="C159" s="1">
        <v>2</v>
      </c>
      <c r="D159" s="1">
        <v>2</v>
      </c>
      <c r="E159" s="55">
        <f>SUM(B159:D159)</f>
        <v>8</v>
      </c>
      <c r="F159" s="1">
        <v>4</v>
      </c>
      <c r="G159" s="1">
        <v>3</v>
      </c>
      <c r="H159" s="1">
        <v>4</v>
      </c>
      <c r="I159" s="55">
        <f>SUM(F159:H159)</f>
        <v>11</v>
      </c>
      <c r="J159" s="1">
        <v>3</v>
      </c>
      <c r="K159" s="1">
        <v>4</v>
      </c>
      <c r="L159" s="1">
        <v>3</v>
      </c>
      <c r="M159" s="55">
        <f>SUM(J159:L159)</f>
        <v>10</v>
      </c>
      <c r="N159" s="1">
        <v>3</v>
      </c>
      <c r="O159" s="1">
        <v>0</v>
      </c>
      <c r="P159" s="1">
        <v>2</v>
      </c>
      <c r="Q159" s="55">
        <f>SUM(N159:P159)</f>
        <v>5</v>
      </c>
      <c r="R159" s="55">
        <f>+E159+I159+M159+Q159</f>
        <v>34</v>
      </c>
      <c r="S159" s="4">
        <f>SUM(R137:R159)</f>
        <v>215087</v>
      </c>
    </row>
    <row r="160" spans="1:19" ht="15.75" customHeight="1" x14ac:dyDescent="0.3">
      <c r="A160" s="15" t="s">
        <v>50</v>
      </c>
      <c r="B160" s="1"/>
      <c r="C160" s="1"/>
      <c r="D160" s="1"/>
      <c r="E160" s="55" t="s">
        <v>7</v>
      </c>
      <c r="F160" s="1"/>
      <c r="G160" s="1"/>
      <c r="H160" s="1"/>
      <c r="I160" s="55" t="s">
        <v>7</v>
      </c>
      <c r="J160" s="1"/>
      <c r="K160" s="1"/>
      <c r="L160" s="1"/>
      <c r="M160" s="55" t="s">
        <v>7</v>
      </c>
      <c r="N160" s="1"/>
      <c r="O160" s="1"/>
      <c r="P160" s="1"/>
      <c r="Q160" s="55" t="s">
        <v>7</v>
      </c>
      <c r="R160" s="55" t="s">
        <v>7</v>
      </c>
    </row>
    <row r="161" spans="1:18" ht="15.75" customHeight="1" x14ac:dyDescent="0.3">
      <c r="A161" s="71" t="s">
        <v>701</v>
      </c>
      <c r="B161" s="1">
        <v>0</v>
      </c>
      <c r="C161" s="1">
        <v>0</v>
      </c>
      <c r="D161" s="1">
        <v>0</v>
      </c>
      <c r="E161" s="55">
        <f t="shared" ref="E161:E171" si="30">SUM(B161:D161)</f>
        <v>0</v>
      </c>
      <c r="F161" s="1">
        <v>0</v>
      </c>
      <c r="G161" s="1">
        <v>0</v>
      </c>
      <c r="H161" s="1">
        <v>0</v>
      </c>
      <c r="I161" s="55">
        <f t="shared" ref="I161:I171" si="31">SUM(F161:H161)</f>
        <v>0</v>
      </c>
      <c r="J161" s="1">
        <v>0</v>
      </c>
      <c r="K161" s="1">
        <v>0</v>
      </c>
      <c r="L161" s="1">
        <v>0</v>
      </c>
      <c r="M161" s="55">
        <f t="shared" ref="M161:M171" si="32">SUM(J161:L161)</f>
        <v>0</v>
      </c>
      <c r="N161" s="1">
        <v>0</v>
      </c>
      <c r="O161" s="1">
        <v>0</v>
      </c>
      <c r="P161" s="1">
        <v>0</v>
      </c>
      <c r="Q161" s="55">
        <f t="shared" ref="Q161:Q171" si="33">SUM(N161:P161)</f>
        <v>0</v>
      </c>
      <c r="R161" s="55">
        <f t="shared" ref="R161:R171" si="34">+E161+I161+M161+Q161</f>
        <v>0</v>
      </c>
    </row>
    <row r="162" spans="1:18" ht="15.75" customHeight="1" x14ac:dyDescent="0.3">
      <c r="A162" s="71" t="s">
        <v>127</v>
      </c>
      <c r="B162" s="1">
        <v>17</v>
      </c>
      <c r="C162" s="1">
        <v>18</v>
      </c>
      <c r="D162" s="1">
        <v>29</v>
      </c>
      <c r="E162" s="55">
        <f>SUM(B162:D162)</f>
        <v>64</v>
      </c>
      <c r="F162" s="1">
        <v>41</v>
      </c>
      <c r="G162" s="1">
        <v>47</v>
      </c>
      <c r="H162" s="1">
        <v>57</v>
      </c>
      <c r="I162" s="55">
        <f>SUM(F162:H162)</f>
        <v>145</v>
      </c>
      <c r="J162" s="1">
        <v>56</v>
      </c>
      <c r="K162" s="1">
        <v>52</v>
      </c>
      <c r="L162" s="1">
        <v>34</v>
      </c>
      <c r="M162" s="55">
        <f>SUM(J162:L162)</f>
        <v>142</v>
      </c>
      <c r="N162" s="1">
        <v>63</v>
      </c>
      <c r="O162" s="1">
        <v>24</v>
      </c>
      <c r="P162" s="1">
        <v>12</v>
      </c>
      <c r="Q162" s="55">
        <f>SUM(N162:P162)</f>
        <v>99</v>
      </c>
      <c r="R162" s="55">
        <f>+E162+I162+M162+Q162</f>
        <v>450</v>
      </c>
    </row>
    <row r="163" spans="1:18" ht="15.75" customHeight="1" x14ac:dyDescent="0.3">
      <c r="A163" s="71" t="s">
        <v>128</v>
      </c>
      <c r="B163" s="1">
        <v>0</v>
      </c>
      <c r="C163" s="1">
        <v>0</v>
      </c>
      <c r="D163" s="1">
        <v>1</v>
      </c>
      <c r="E163" s="55">
        <f t="shared" si="30"/>
        <v>1</v>
      </c>
      <c r="F163" s="1">
        <v>12</v>
      </c>
      <c r="G163" s="1">
        <v>22</v>
      </c>
      <c r="H163" s="1">
        <v>0</v>
      </c>
      <c r="I163" s="55">
        <f t="shared" si="31"/>
        <v>34</v>
      </c>
      <c r="J163" s="1">
        <v>0</v>
      </c>
      <c r="K163" s="1">
        <v>0</v>
      </c>
      <c r="L163" s="1">
        <v>0</v>
      </c>
      <c r="M163" s="55">
        <f t="shared" si="32"/>
        <v>0</v>
      </c>
      <c r="N163" s="1">
        <v>75</v>
      </c>
      <c r="O163" s="1">
        <v>24</v>
      </c>
      <c r="P163" s="1">
        <v>1</v>
      </c>
      <c r="Q163" s="55">
        <f>SUM(N163:P163)</f>
        <v>100</v>
      </c>
      <c r="R163" s="55">
        <f t="shared" si="34"/>
        <v>135</v>
      </c>
    </row>
    <row r="164" spans="1:18" ht="15.75" customHeight="1" x14ac:dyDescent="0.3">
      <c r="A164" s="71" t="s">
        <v>129</v>
      </c>
      <c r="B164" s="1">
        <v>35</v>
      </c>
      <c r="C164" s="1">
        <v>35</v>
      </c>
      <c r="D164" s="1">
        <v>35</v>
      </c>
      <c r="E164" s="55">
        <f t="shared" si="30"/>
        <v>105</v>
      </c>
      <c r="F164" s="1">
        <v>35</v>
      </c>
      <c r="G164" s="1">
        <v>35</v>
      </c>
      <c r="H164" s="1">
        <v>35</v>
      </c>
      <c r="I164" s="55">
        <f t="shared" si="31"/>
        <v>105</v>
      </c>
      <c r="J164" s="1">
        <v>35</v>
      </c>
      <c r="K164" s="1">
        <v>35</v>
      </c>
      <c r="L164" s="1">
        <v>35</v>
      </c>
      <c r="M164" s="55">
        <f t="shared" si="32"/>
        <v>105</v>
      </c>
      <c r="N164" s="1">
        <v>35</v>
      </c>
      <c r="O164" s="1">
        <v>35</v>
      </c>
      <c r="P164" s="1">
        <v>35</v>
      </c>
      <c r="Q164" s="55">
        <f t="shared" si="33"/>
        <v>105</v>
      </c>
      <c r="R164" s="55">
        <f t="shared" si="34"/>
        <v>420</v>
      </c>
    </row>
    <row r="165" spans="1:18" ht="15.75" customHeight="1" x14ac:dyDescent="0.3">
      <c r="A165" s="71" t="s">
        <v>702</v>
      </c>
      <c r="B165" s="1">
        <v>346</v>
      </c>
      <c r="C165" s="1">
        <v>360</v>
      </c>
      <c r="D165" s="1">
        <v>410</v>
      </c>
      <c r="E165" s="55">
        <f t="shared" si="30"/>
        <v>1116</v>
      </c>
      <c r="F165" s="1">
        <v>397</v>
      </c>
      <c r="G165" s="1">
        <v>403</v>
      </c>
      <c r="H165" s="1">
        <v>528</v>
      </c>
      <c r="I165" s="55">
        <f t="shared" si="31"/>
        <v>1328</v>
      </c>
      <c r="J165" s="1">
        <v>557</v>
      </c>
      <c r="K165" s="1">
        <v>521</v>
      </c>
      <c r="L165" s="1">
        <v>508</v>
      </c>
      <c r="M165" s="55">
        <f t="shared" si="32"/>
        <v>1586</v>
      </c>
      <c r="N165" s="1">
        <v>508</v>
      </c>
      <c r="O165" s="1">
        <v>463</v>
      </c>
      <c r="P165" s="1">
        <v>0</v>
      </c>
      <c r="Q165" s="55">
        <f t="shared" si="33"/>
        <v>971</v>
      </c>
      <c r="R165" s="55">
        <f t="shared" si="34"/>
        <v>5001</v>
      </c>
    </row>
    <row r="166" spans="1:18" ht="15.75" customHeight="1" x14ac:dyDescent="0.3">
      <c r="A166" s="71" t="s">
        <v>540</v>
      </c>
      <c r="B166" s="1">
        <v>1</v>
      </c>
      <c r="C166" s="1">
        <v>2</v>
      </c>
      <c r="D166" s="1">
        <v>2</v>
      </c>
      <c r="E166" s="55">
        <f t="shared" si="30"/>
        <v>5</v>
      </c>
      <c r="F166" s="1">
        <v>5</v>
      </c>
      <c r="G166" s="1">
        <v>8</v>
      </c>
      <c r="H166" s="1">
        <v>8</v>
      </c>
      <c r="I166" s="55">
        <f t="shared" si="31"/>
        <v>21</v>
      </c>
      <c r="J166" s="1">
        <v>5</v>
      </c>
      <c r="K166" s="1">
        <v>7</v>
      </c>
      <c r="L166" s="1">
        <v>3</v>
      </c>
      <c r="M166" s="55">
        <f t="shared" si="32"/>
        <v>15</v>
      </c>
      <c r="N166" s="1">
        <v>2</v>
      </c>
      <c r="O166" s="1">
        <v>1</v>
      </c>
      <c r="P166" s="1">
        <v>0</v>
      </c>
      <c r="Q166" s="55">
        <f t="shared" si="33"/>
        <v>3</v>
      </c>
      <c r="R166" s="55">
        <f t="shared" si="34"/>
        <v>44</v>
      </c>
    </row>
    <row r="167" spans="1:18" ht="15.75" customHeight="1" x14ac:dyDescent="0.3">
      <c r="A167" s="71" t="s">
        <v>120</v>
      </c>
      <c r="B167" s="1">
        <v>0</v>
      </c>
      <c r="C167" s="1">
        <v>0</v>
      </c>
      <c r="D167" s="1">
        <v>0</v>
      </c>
      <c r="E167" s="55">
        <f t="shared" si="30"/>
        <v>0</v>
      </c>
      <c r="F167" s="1">
        <v>0</v>
      </c>
      <c r="G167" s="1">
        <v>0</v>
      </c>
      <c r="H167" s="1">
        <v>0</v>
      </c>
      <c r="I167" s="55">
        <f t="shared" si="31"/>
        <v>0</v>
      </c>
      <c r="J167" s="1">
        <v>0</v>
      </c>
      <c r="K167" s="1">
        <v>0</v>
      </c>
      <c r="L167" s="1">
        <v>0</v>
      </c>
      <c r="M167" s="55">
        <f t="shared" si="32"/>
        <v>0</v>
      </c>
      <c r="N167" s="1">
        <v>0</v>
      </c>
      <c r="O167" s="1">
        <v>0</v>
      </c>
      <c r="P167" s="1">
        <v>0</v>
      </c>
      <c r="Q167" s="55">
        <f t="shared" si="33"/>
        <v>0</v>
      </c>
      <c r="R167" s="55">
        <f t="shared" si="34"/>
        <v>0</v>
      </c>
    </row>
    <row r="168" spans="1:18" ht="15.75" customHeight="1" x14ac:dyDescent="0.3">
      <c r="A168" s="71" t="s">
        <v>132</v>
      </c>
      <c r="B168" s="1">
        <v>1</v>
      </c>
      <c r="C168" s="1">
        <v>0</v>
      </c>
      <c r="D168" s="1">
        <v>1</v>
      </c>
      <c r="E168" s="55">
        <f t="shared" si="30"/>
        <v>2</v>
      </c>
      <c r="F168" s="1">
        <v>1</v>
      </c>
      <c r="G168" s="1">
        <v>1</v>
      </c>
      <c r="H168" s="1">
        <v>1</v>
      </c>
      <c r="I168" s="55">
        <f t="shared" si="31"/>
        <v>3</v>
      </c>
      <c r="J168" s="1">
        <v>1</v>
      </c>
      <c r="K168" s="1">
        <v>1</v>
      </c>
      <c r="L168" s="1">
        <v>1</v>
      </c>
      <c r="M168" s="55">
        <f t="shared" si="32"/>
        <v>3</v>
      </c>
      <c r="N168" s="1">
        <v>1</v>
      </c>
      <c r="O168" s="1">
        <v>1</v>
      </c>
      <c r="P168" s="1">
        <v>0</v>
      </c>
      <c r="Q168" s="55">
        <f t="shared" si="33"/>
        <v>2</v>
      </c>
      <c r="R168" s="55">
        <f t="shared" si="34"/>
        <v>10</v>
      </c>
    </row>
    <row r="169" spans="1:18" ht="15.75" customHeight="1" x14ac:dyDescent="0.3">
      <c r="A169" s="84" t="s">
        <v>614</v>
      </c>
      <c r="B169" s="1">
        <v>14</v>
      </c>
      <c r="C169" s="1">
        <v>21</v>
      </c>
      <c r="D169" s="1">
        <v>64</v>
      </c>
      <c r="E169" s="55">
        <f t="shared" si="30"/>
        <v>99</v>
      </c>
      <c r="F169" s="1">
        <v>126</v>
      </c>
      <c r="G169" s="1">
        <v>225</v>
      </c>
      <c r="H169" s="1">
        <v>218</v>
      </c>
      <c r="I169" s="55">
        <f t="shared" si="31"/>
        <v>569</v>
      </c>
      <c r="J169" s="1">
        <v>228</v>
      </c>
      <c r="K169" s="1">
        <v>233</v>
      </c>
      <c r="L169" s="1">
        <v>171</v>
      </c>
      <c r="M169" s="55">
        <f t="shared" si="32"/>
        <v>632</v>
      </c>
      <c r="N169" s="1">
        <v>284</v>
      </c>
      <c r="O169" s="1">
        <v>81</v>
      </c>
      <c r="P169" s="1">
        <v>49</v>
      </c>
      <c r="Q169" s="55">
        <f t="shared" si="33"/>
        <v>414</v>
      </c>
      <c r="R169" s="55">
        <f t="shared" si="34"/>
        <v>1714</v>
      </c>
    </row>
    <row r="170" spans="1:18" ht="15.75" customHeight="1" x14ac:dyDescent="0.3">
      <c r="A170" s="71" t="s">
        <v>134</v>
      </c>
      <c r="B170" s="1">
        <v>17</v>
      </c>
      <c r="C170" s="1">
        <v>17</v>
      </c>
      <c r="D170" s="1">
        <v>17</v>
      </c>
      <c r="E170" s="55">
        <f t="shared" si="30"/>
        <v>51</v>
      </c>
      <c r="F170" s="1">
        <v>17</v>
      </c>
      <c r="G170" s="1">
        <v>17</v>
      </c>
      <c r="H170" s="1">
        <v>17</v>
      </c>
      <c r="I170" s="55">
        <f t="shared" si="31"/>
        <v>51</v>
      </c>
      <c r="J170" s="1">
        <v>17</v>
      </c>
      <c r="K170" s="1">
        <v>17</v>
      </c>
      <c r="L170" s="1">
        <v>17</v>
      </c>
      <c r="M170" s="55">
        <f t="shared" si="32"/>
        <v>51</v>
      </c>
      <c r="N170" s="1">
        <v>17</v>
      </c>
      <c r="O170" s="1">
        <v>17</v>
      </c>
      <c r="P170" s="1">
        <v>17</v>
      </c>
      <c r="Q170" s="55">
        <f t="shared" si="33"/>
        <v>51</v>
      </c>
      <c r="R170" s="55">
        <f t="shared" si="34"/>
        <v>204</v>
      </c>
    </row>
    <row r="171" spans="1:18" ht="15.75" customHeight="1" x14ac:dyDescent="0.3">
      <c r="A171" s="84" t="s">
        <v>135</v>
      </c>
      <c r="B171" s="1">
        <v>0</v>
      </c>
      <c r="C171" s="1">
        <v>0</v>
      </c>
      <c r="D171" s="1">
        <v>0</v>
      </c>
      <c r="E171" s="55">
        <f t="shared" si="30"/>
        <v>0</v>
      </c>
      <c r="F171" s="1">
        <v>0</v>
      </c>
      <c r="G171" s="1">
        <v>0</v>
      </c>
      <c r="H171" s="1">
        <v>0</v>
      </c>
      <c r="I171" s="55">
        <f t="shared" si="31"/>
        <v>0</v>
      </c>
      <c r="J171" s="1">
        <v>26</v>
      </c>
      <c r="K171" s="1">
        <v>17</v>
      </c>
      <c r="L171" s="1">
        <v>27</v>
      </c>
      <c r="M171" s="55">
        <f t="shared" si="32"/>
        <v>70</v>
      </c>
      <c r="N171" s="1">
        <v>8</v>
      </c>
      <c r="O171" s="1">
        <v>1</v>
      </c>
      <c r="P171" s="1">
        <v>0</v>
      </c>
      <c r="Q171" s="55">
        <f t="shared" si="33"/>
        <v>9</v>
      </c>
      <c r="R171" s="55">
        <f t="shared" si="34"/>
        <v>79</v>
      </c>
    </row>
    <row r="172" spans="1:18" ht="15.75" customHeight="1" x14ac:dyDescent="0.3">
      <c r="A172" s="15" t="s">
        <v>51</v>
      </c>
      <c r="B172" s="1"/>
      <c r="C172" s="1"/>
      <c r="D172" s="1"/>
      <c r="E172" s="55" t="s">
        <v>7</v>
      </c>
      <c r="F172" s="1"/>
      <c r="G172" s="1"/>
      <c r="H172" s="1"/>
      <c r="I172" s="55" t="s">
        <v>7</v>
      </c>
      <c r="J172" s="1"/>
      <c r="K172" s="1"/>
      <c r="L172" s="1"/>
      <c r="M172" s="55" t="s">
        <v>7</v>
      </c>
      <c r="N172" s="1"/>
      <c r="O172" s="1"/>
      <c r="P172" s="1"/>
      <c r="Q172" s="55" t="s">
        <v>7</v>
      </c>
      <c r="R172" s="55" t="s">
        <v>7</v>
      </c>
    </row>
    <row r="173" spans="1:18" ht="15.75" customHeight="1" x14ac:dyDescent="0.3">
      <c r="A173" s="85" t="s">
        <v>703</v>
      </c>
      <c r="B173" s="1">
        <v>0</v>
      </c>
      <c r="C173" s="1">
        <v>0</v>
      </c>
      <c r="D173" s="1">
        <v>0</v>
      </c>
      <c r="E173" s="55">
        <f>SUM(B173:D173)</f>
        <v>0</v>
      </c>
      <c r="F173" s="1">
        <v>0</v>
      </c>
      <c r="G173" s="1">
        <v>0</v>
      </c>
      <c r="H173" s="1">
        <v>0</v>
      </c>
      <c r="I173" s="55">
        <f>SUM(F173:H173)</f>
        <v>0</v>
      </c>
      <c r="J173" s="1">
        <v>0</v>
      </c>
      <c r="K173" s="1">
        <v>0</v>
      </c>
      <c r="L173" s="1">
        <v>0</v>
      </c>
      <c r="M173" s="55">
        <f>SUM(J173:L173)</f>
        <v>0</v>
      </c>
      <c r="N173" s="1">
        <v>0</v>
      </c>
      <c r="O173" s="1">
        <v>0</v>
      </c>
      <c r="P173" s="1">
        <v>0</v>
      </c>
      <c r="Q173" s="55">
        <f>SUM(N173:P173)</f>
        <v>0</v>
      </c>
      <c r="R173" s="55">
        <f>+E173+I173+M173+Q173</f>
        <v>0</v>
      </c>
    </row>
    <row r="174" spans="1:18" ht="15.75" customHeight="1" x14ac:dyDescent="0.3">
      <c r="A174" s="85" t="s">
        <v>704</v>
      </c>
      <c r="B174" s="1">
        <v>0</v>
      </c>
      <c r="C174" s="1">
        <v>0</v>
      </c>
      <c r="D174" s="1">
        <v>0</v>
      </c>
      <c r="E174" s="55">
        <f>SUM(B174:D174)</f>
        <v>0</v>
      </c>
      <c r="F174" s="1">
        <v>0</v>
      </c>
      <c r="G174" s="1">
        <v>0</v>
      </c>
      <c r="H174" s="1">
        <v>0</v>
      </c>
      <c r="I174" s="55">
        <f>SUM(F174:H174)</f>
        <v>0</v>
      </c>
      <c r="J174" s="1">
        <v>0</v>
      </c>
      <c r="K174" s="1">
        <v>0</v>
      </c>
      <c r="L174" s="1">
        <v>0</v>
      </c>
      <c r="M174" s="55">
        <f>SUM(J174:L174)</f>
        <v>0</v>
      </c>
      <c r="N174" s="1">
        <v>0</v>
      </c>
      <c r="O174" s="1">
        <v>0</v>
      </c>
      <c r="P174" s="1">
        <v>0</v>
      </c>
      <c r="Q174" s="55">
        <f>SUM(N174:P174)</f>
        <v>0</v>
      </c>
      <c r="R174" s="55">
        <f>+E174+I174+M174+Q174</f>
        <v>0</v>
      </c>
    </row>
    <row r="175" spans="1:18" ht="15.75" customHeight="1" x14ac:dyDescent="0.3">
      <c r="A175" s="61" t="s">
        <v>705</v>
      </c>
      <c r="B175" s="1">
        <v>13</v>
      </c>
      <c r="C175" s="1">
        <v>12</v>
      </c>
      <c r="D175" s="1">
        <v>23</v>
      </c>
      <c r="E175" s="55">
        <f>SUM(B175:D175)</f>
        <v>48</v>
      </c>
      <c r="F175" s="1">
        <v>53</v>
      </c>
      <c r="G175" s="1">
        <v>85</v>
      </c>
      <c r="H175" s="1">
        <v>68</v>
      </c>
      <c r="I175" s="55">
        <f>SUM(F175:H175)</f>
        <v>206</v>
      </c>
      <c r="J175" s="1">
        <v>63</v>
      </c>
      <c r="K175" s="1">
        <v>52</v>
      </c>
      <c r="L175" s="1">
        <v>59</v>
      </c>
      <c r="M175" s="55">
        <f>SUM(J175:L175)</f>
        <v>174</v>
      </c>
      <c r="N175" s="1">
        <v>61</v>
      </c>
      <c r="O175" s="1">
        <v>13</v>
      </c>
      <c r="P175" s="1">
        <v>7</v>
      </c>
      <c r="Q175" s="55">
        <f>SUM(N175:P175)</f>
        <v>81</v>
      </c>
      <c r="R175" s="55">
        <f>+E175+I175+M175+Q175</f>
        <v>509</v>
      </c>
    </row>
    <row r="176" spans="1:18" ht="15.75" customHeight="1" thickBot="1" x14ac:dyDescent="0.35">
      <c r="A176" s="15" t="s">
        <v>53</v>
      </c>
      <c r="B176" s="1"/>
      <c r="C176" s="1"/>
      <c r="D176" s="1"/>
      <c r="E176" s="55" t="s">
        <v>7</v>
      </c>
      <c r="F176" s="1"/>
      <c r="G176" s="1"/>
      <c r="H176" s="1"/>
      <c r="I176" s="55" t="s">
        <v>7</v>
      </c>
      <c r="J176" s="1"/>
      <c r="K176" s="1"/>
      <c r="L176" s="1"/>
      <c r="M176" s="55" t="s">
        <v>7</v>
      </c>
      <c r="N176" s="1"/>
      <c r="O176" s="1"/>
      <c r="P176" s="1"/>
      <c r="Q176" s="55" t="s">
        <v>7</v>
      </c>
      <c r="R176" s="55" t="s">
        <v>7</v>
      </c>
    </row>
    <row r="177" spans="1:18" ht="16.5" customHeight="1" thickBot="1" x14ac:dyDescent="0.35">
      <c r="A177" s="57" t="s">
        <v>54</v>
      </c>
      <c r="B177" s="86">
        <f>SUM(B135:B176)</f>
        <v>13664</v>
      </c>
      <c r="C177" s="87">
        <f>SUM(C135:C176)</f>
        <v>10724</v>
      </c>
      <c r="D177" s="87">
        <f>SUM(D135:D176)</f>
        <v>14520</v>
      </c>
      <c r="E177" s="59">
        <f>SUM(B177:D177)</f>
        <v>38908</v>
      </c>
      <c r="F177" s="87">
        <f>SUM(F135:F176)</f>
        <v>16866</v>
      </c>
      <c r="G177" s="87">
        <f>SUM(G135:G176)</f>
        <v>14644</v>
      </c>
      <c r="H177" s="87">
        <f>SUM(H135:H176)</f>
        <v>17493</v>
      </c>
      <c r="I177" s="59">
        <f>SUM(F177:H177)</f>
        <v>49003</v>
      </c>
      <c r="J177" s="87">
        <f>SUM(J135:J176)</f>
        <v>27433</v>
      </c>
      <c r="K177" s="87">
        <f>SUM(K135:K176)</f>
        <v>27173</v>
      </c>
      <c r="L177" s="87">
        <f>SUM(L135:L176)</f>
        <v>26015</v>
      </c>
      <c r="M177" s="59">
        <f>SUM(J177:L177)</f>
        <v>80621</v>
      </c>
      <c r="N177" s="87">
        <f>SUM(N135:N176)</f>
        <v>24594</v>
      </c>
      <c r="O177" s="87">
        <f>SUM(O135:O176)</f>
        <v>15327</v>
      </c>
      <c r="P177" s="87">
        <f>SUM(P135:P176)</f>
        <v>15200</v>
      </c>
      <c r="Q177" s="59">
        <f>SUM(N177:P177)</f>
        <v>55121</v>
      </c>
      <c r="R177" s="59">
        <f>+E177+I177+M177+Q177</f>
        <v>223653</v>
      </c>
    </row>
    <row r="178" spans="1:18" ht="15.75" customHeight="1" x14ac:dyDescent="0.3">
      <c r="A178" s="15" t="s">
        <v>55</v>
      </c>
      <c r="B178" s="1"/>
      <c r="C178" s="1"/>
      <c r="D178" s="1"/>
      <c r="E178" s="55" t="s">
        <v>7</v>
      </c>
      <c r="F178" s="1"/>
      <c r="G178" s="1"/>
      <c r="H178" s="1"/>
      <c r="I178" s="55" t="s">
        <v>7</v>
      </c>
      <c r="J178" s="1"/>
      <c r="K178" s="1"/>
      <c r="L178" s="1"/>
      <c r="M178" s="55" t="s">
        <v>7</v>
      </c>
      <c r="N178" s="1"/>
      <c r="O178" s="1"/>
      <c r="P178" s="1"/>
      <c r="Q178" s="55" t="s">
        <v>7</v>
      </c>
      <c r="R178" s="55" t="s">
        <v>7</v>
      </c>
    </row>
    <row r="179" spans="1:18" ht="15.75" customHeight="1" x14ac:dyDescent="0.3">
      <c r="A179" s="18" t="s">
        <v>684</v>
      </c>
      <c r="B179" s="1"/>
      <c r="C179" s="1"/>
      <c r="D179" s="1"/>
      <c r="E179" s="55" t="s">
        <v>7</v>
      </c>
      <c r="F179" s="1"/>
      <c r="G179" s="1"/>
      <c r="H179" s="1"/>
      <c r="I179" s="55" t="s">
        <v>7</v>
      </c>
      <c r="J179" s="1"/>
      <c r="K179" s="1"/>
      <c r="L179" s="1"/>
      <c r="M179" s="55" t="s">
        <v>7</v>
      </c>
      <c r="N179" s="1"/>
      <c r="O179" s="1"/>
      <c r="P179" s="1"/>
      <c r="Q179" s="55" t="s">
        <v>7</v>
      </c>
      <c r="R179" s="55" t="s">
        <v>7</v>
      </c>
    </row>
    <row r="180" spans="1:18" ht="15.75" customHeight="1" x14ac:dyDescent="0.3">
      <c r="A180" s="15" t="s">
        <v>57</v>
      </c>
      <c r="B180" s="1"/>
      <c r="C180" s="1"/>
      <c r="D180" s="1"/>
      <c r="E180" s="55" t="s">
        <v>7</v>
      </c>
      <c r="F180" s="1"/>
      <c r="G180" s="1"/>
      <c r="H180" s="1"/>
      <c r="I180" s="55" t="s">
        <v>7</v>
      </c>
      <c r="J180" s="1"/>
      <c r="K180" s="1"/>
      <c r="L180" s="1"/>
      <c r="M180" s="55" t="s">
        <v>7</v>
      </c>
      <c r="N180" s="1"/>
      <c r="O180" s="1"/>
      <c r="P180" s="1"/>
      <c r="Q180" s="55" t="s">
        <v>7</v>
      </c>
      <c r="R180" s="55" t="s">
        <v>7</v>
      </c>
    </row>
    <row r="181" spans="1:18" ht="15.75" customHeight="1" x14ac:dyDescent="0.3">
      <c r="A181" s="61" t="s">
        <v>616</v>
      </c>
      <c r="B181" s="1">
        <v>0</v>
      </c>
      <c r="C181" s="1">
        <v>0</v>
      </c>
      <c r="D181" s="1">
        <v>500</v>
      </c>
      <c r="E181" s="55">
        <f>SUM(B181:D181)</f>
        <v>500</v>
      </c>
      <c r="F181" s="1">
        <v>500</v>
      </c>
      <c r="G181" s="1">
        <v>500</v>
      </c>
      <c r="H181" s="1">
        <v>500</v>
      </c>
      <c r="I181" s="55">
        <f>SUM(F181:H181)</f>
        <v>1500</v>
      </c>
      <c r="J181" s="1">
        <v>500</v>
      </c>
      <c r="K181" s="1">
        <v>500</v>
      </c>
      <c r="L181" s="1">
        <v>500</v>
      </c>
      <c r="M181" s="55">
        <f>SUM(J181:L181)</f>
        <v>1500</v>
      </c>
      <c r="N181" s="1">
        <v>500</v>
      </c>
      <c r="O181" s="1">
        <v>0</v>
      </c>
      <c r="P181" s="1">
        <v>0</v>
      </c>
      <c r="Q181" s="55">
        <f>SUM(N181:P181)</f>
        <v>500</v>
      </c>
      <c r="R181" s="55">
        <f>+E181+I181+M181+Q181</f>
        <v>4000</v>
      </c>
    </row>
    <row r="182" spans="1:18" ht="15.75" customHeight="1" thickBot="1" x14ac:dyDescent="0.35">
      <c r="A182" s="15" t="s">
        <v>58</v>
      </c>
      <c r="B182" s="1"/>
      <c r="C182" s="1"/>
      <c r="D182" s="1"/>
      <c r="E182" s="55" t="s">
        <v>7</v>
      </c>
      <c r="F182" s="1"/>
      <c r="G182" s="1"/>
      <c r="H182" s="1"/>
      <c r="I182" s="55" t="s">
        <v>7</v>
      </c>
      <c r="J182" s="1"/>
      <c r="K182" s="1"/>
      <c r="L182" s="1"/>
      <c r="M182" s="55" t="s">
        <v>7</v>
      </c>
      <c r="N182" s="1"/>
      <c r="O182" s="1"/>
      <c r="P182" s="1"/>
      <c r="Q182" s="55" t="s">
        <v>7</v>
      </c>
      <c r="R182" s="55" t="s">
        <v>7</v>
      </c>
    </row>
    <row r="183" spans="1:18" ht="16.5" customHeight="1" thickBot="1" x14ac:dyDescent="0.35">
      <c r="A183" s="57" t="s">
        <v>59</v>
      </c>
      <c r="B183" s="86">
        <f>SUM(B178:B182)</f>
        <v>0</v>
      </c>
      <c r="C183" s="87">
        <f>SUM(C178:C182)</f>
        <v>0</v>
      </c>
      <c r="D183" s="87">
        <f>SUM(D178:D182)</f>
        <v>500</v>
      </c>
      <c r="E183" s="59">
        <f>SUM(B183:D183)</f>
        <v>500</v>
      </c>
      <c r="F183" s="87">
        <f>SUM(F178:F182)</f>
        <v>500</v>
      </c>
      <c r="G183" s="87">
        <f>SUM(G178:G182)</f>
        <v>500</v>
      </c>
      <c r="H183" s="87">
        <f>SUM(H178:H182)</f>
        <v>500</v>
      </c>
      <c r="I183" s="59">
        <f>SUM(F183:H183)</f>
        <v>1500</v>
      </c>
      <c r="J183" s="87">
        <f>SUM(J178:J182)</f>
        <v>500</v>
      </c>
      <c r="K183" s="87">
        <f>SUM(K178:K182)</f>
        <v>500</v>
      </c>
      <c r="L183" s="87">
        <f>SUM(L178:L182)</f>
        <v>500</v>
      </c>
      <c r="M183" s="59">
        <f>SUM(J183:L183)</f>
        <v>1500</v>
      </c>
      <c r="N183" s="87">
        <f>SUM(N178:N182)</f>
        <v>500</v>
      </c>
      <c r="O183" s="87">
        <f>SUM(O178:O182)</f>
        <v>0</v>
      </c>
      <c r="P183" s="87">
        <f>SUM(P178:P182)</f>
        <v>0</v>
      </c>
      <c r="Q183" s="59">
        <f>SUM(N183:P183)</f>
        <v>500</v>
      </c>
      <c r="R183" s="59">
        <f>+E183+I183+M183+Q183</f>
        <v>4000</v>
      </c>
    </row>
    <row r="184" spans="1:18" ht="15.75" customHeight="1" x14ac:dyDescent="0.3">
      <c r="A184" s="15" t="s">
        <v>60</v>
      </c>
      <c r="B184" s="1"/>
      <c r="C184" s="1"/>
      <c r="D184" s="1"/>
      <c r="E184" s="55" t="s">
        <v>7</v>
      </c>
      <c r="F184" s="1"/>
      <c r="G184" s="1"/>
      <c r="H184" s="1"/>
      <c r="I184" s="55" t="s">
        <v>7</v>
      </c>
      <c r="J184" s="1"/>
      <c r="K184" s="1"/>
      <c r="L184" s="1"/>
      <c r="M184" s="55" t="s">
        <v>7</v>
      </c>
      <c r="N184" s="1"/>
      <c r="O184" s="1"/>
      <c r="P184" s="1"/>
      <c r="Q184" s="55" t="s">
        <v>7</v>
      </c>
      <c r="R184" s="55" t="s">
        <v>7</v>
      </c>
    </row>
    <row r="185" spans="1:18" ht="15.75" customHeight="1" x14ac:dyDescent="0.3">
      <c r="A185" s="15" t="s">
        <v>61</v>
      </c>
      <c r="B185" s="1"/>
      <c r="C185" s="1"/>
      <c r="D185" s="1"/>
      <c r="E185" s="55" t="s">
        <v>7</v>
      </c>
      <c r="F185" s="1"/>
      <c r="G185" s="1"/>
      <c r="H185" s="1"/>
      <c r="I185" s="55" t="s">
        <v>7</v>
      </c>
      <c r="J185" s="1"/>
      <c r="K185" s="1"/>
      <c r="L185" s="1"/>
      <c r="M185" s="55" t="s">
        <v>7</v>
      </c>
      <c r="N185" s="1"/>
      <c r="O185" s="1"/>
      <c r="P185" s="1"/>
      <c r="Q185" s="55" t="s">
        <v>7</v>
      </c>
      <c r="R185" s="55" t="s">
        <v>7</v>
      </c>
    </row>
    <row r="186" spans="1:18" ht="15.75" customHeight="1" x14ac:dyDescent="0.3">
      <c r="A186" s="15" t="s">
        <v>62</v>
      </c>
      <c r="B186" s="1"/>
      <c r="C186" s="1"/>
      <c r="D186" s="1"/>
      <c r="E186" s="55" t="s">
        <v>7</v>
      </c>
      <c r="F186" s="1"/>
      <c r="G186" s="1"/>
      <c r="H186" s="1"/>
      <c r="I186" s="55" t="s">
        <v>7</v>
      </c>
      <c r="J186" s="1"/>
      <c r="K186" s="1"/>
      <c r="L186" s="1"/>
      <c r="M186" s="55" t="s">
        <v>7</v>
      </c>
      <c r="N186" s="1"/>
      <c r="O186" s="1"/>
      <c r="P186" s="1"/>
      <c r="Q186" s="55" t="s">
        <v>7</v>
      </c>
      <c r="R186" s="55" t="s">
        <v>7</v>
      </c>
    </row>
    <row r="187" spans="1:18" ht="15.75" customHeight="1" x14ac:dyDescent="0.3">
      <c r="A187" s="88" t="s">
        <v>142</v>
      </c>
      <c r="B187" s="1">
        <v>290</v>
      </c>
      <c r="C187" s="1">
        <v>247</v>
      </c>
      <c r="D187" s="1">
        <v>288</v>
      </c>
      <c r="E187" s="55">
        <f>SUM(B187:D187)</f>
        <v>825</v>
      </c>
      <c r="F187" s="1">
        <v>348</v>
      </c>
      <c r="G187" s="1">
        <v>406</v>
      </c>
      <c r="H187" s="1">
        <v>453</v>
      </c>
      <c r="I187" s="55">
        <f>SUM(F187:H187)</f>
        <v>1207</v>
      </c>
      <c r="J187" s="1">
        <v>432</v>
      </c>
      <c r="K187" s="1">
        <v>418</v>
      </c>
      <c r="L187" s="1">
        <v>413</v>
      </c>
      <c r="M187" s="55">
        <f>SUM(J187:L187)</f>
        <v>1263</v>
      </c>
      <c r="N187" s="1">
        <v>417</v>
      </c>
      <c r="O187" s="1">
        <v>338</v>
      </c>
      <c r="P187" s="1">
        <v>283</v>
      </c>
      <c r="Q187" s="55">
        <f>SUM(N187:P187)</f>
        <v>1038</v>
      </c>
      <c r="R187" s="55">
        <f>+E187+I187+M187+Q187</f>
        <v>4333</v>
      </c>
    </row>
    <row r="188" spans="1:18" ht="15.75" customHeight="1" x14ac:dyDescent="0.3">
      <c r="A188" s="88" t="s">
        <v>143</v>
      </c>
      <c r="B188" s="1">
        <v>0</v>
      </c>
      <c r="C188" s="1">
        <v>0</v>
      </c>
      <c r="D188" s="1">
        <v>357</v>
      </c>
      <c r="E188" s="55">
        <f>SUM(B188:D188)</f>
        <v>357</v>
      </c>
      <c r="F188" s="1">
        <v>0</v>
      </c>
      <c r="G188" s="1">
        <v>0</v>
      </c>
      <c r="H188" s="1">
        <v>0</v>
      </c>
      <c r="I188" s="55">
        <f>SUM(F188:H188)</f>
        <v>0</v>
      </c>
      <c r="J188" s="1">
        <v>0</v>
      </c>
      <c r="K188" s="1">
        <v>0</v>
      </c>
      <c r="L188" s="1">
        <v>0</v>
      </c>
      <c r="M188" s="55">
        <f>SUM(J188:L188)</f>
        <v>0</v>
      </c>
      <c r="N188" s="1">
        <v>0</v>
      </c>
      <c r="O188" s="1">
        <v>0</v>
      </c>
      <c r="P188" s="1">
        <v>0</v>
      </c>
      <c r="Q188" s="55">
        <f>SUM(N188:P188)</f>
        <v>0</v>
      </c>
      <c r="R188" s="55">
        <f>+E188+I188+M188+Q188</f>
        <v>357</v>
      </c>
    </row>
    <row r="189" spans="1:18" ht="15.75" customHeight="1" x14ac:dyDescent="0.3">
      <c r="A189" s="88" t="s">
        <v>145</v>
      </c>
      <c r="B189" s="1">
        <v>18</v>
      </c>
      <c r="C189" s="1">
        <v>31</v>
      </c>
      <c r="D189" s="1">
        <v>38</v>
      </c>
      <c r="E189" s="55">
        <f>SUM(B189:D189)</f>
        <v>87</v>
      </c>
      <c r="F189" s="1">
        <v>92</v>
      </c>
      <c r="G189" s="1">
        <v>61</v>
      </c>
      <c r="H189" s="1">
        <v>87</v>
      </c>
      <c r="I189" s="55">
        <f>SUM(F189:H189)</f>
        <v>240</v>
      </c>
      <c r="J189" s="1">
        <v>73</v>
      </c>
      <c r="K189" s="1">
        <v>107</v>
      </c>
      <c r="L189" s="1">
        <v>73</v>
      </c>
      <c r="M189" s="55">
        <f>SUM(J189:L189)</f>
        <v>253</v>
      </c>
      <c r="N189" s="1">
        <v>73</v>
      </c>
      <c r="O189" s="1">
        <v>36</v>
      </c>
      <c r="P189" s="1">
        <v>10</v>
      </c>
      <c r="Q189" s="55">
        <f>SUM(N189:P189)</f>
        <v>119</v>
      </c>
      <c r="R189" s="55">
        <f>+E189+I189+M189+Q189</f>
        <v>699</v>
      </c>
    </row>
    <row r="190" spans="1:18" ht="15.75" customHeight="1" x14ac:dyDescent="0.3">
      <c r="A190" s="72" t="s">
        <v>146</v>
      </c>
      <c r="B190" s="1">
        <v>0</v>
      </c>
      <c r="C190" s="1">
        <v>0</v>
      </c>
      <c r="D190" s="1">
        <v>0</v>
      </c>
      <c r="E190" s="55">
        <f t="shared" ref="E190:E220" si="35">SUM(B190:D190)</f>
        <v>0</v>
      </c>
      <c r="F190" s="1">
        <v>0</v>
      </c>
      <c r="G190" s="1">
        <v>0</v>
      </c>
      <c r="H190" s="1">
        <v>0</v>
      </c>
      <c r="I190" s="55">
        <f t="shared" ref="I190:I220" si="36">SUM(F190:H190)</f>
        <v>0</v>
      </c>
      <c r="J190" s="1">
        <v>0</v>
      </c>
      <c r="K190" s="1">
        <v>0</v>
      </c>
      <c r="L190" s="1">
        <v>0</v>
      </c>
      <c r="M190" s="55">
        <f t="shared" ref="M190:M220" si="37">SUM(J190:L190)</f>
        <v>0</v>
      </c>
      <c r="N190" s="1">
        <v>0</v>
      </c>
      <c r="O190" s="1">
        <v>0</v>
      </c>
      <c r="P190" s="1">
        <v>0</v>
      </c>
      <c r="Q190" s="55">
        <f t="shared" ref="Q190:Q220" si="38">SUM(N190:P190)</f>
        <v>0</v>
      </c>
      <c r="R190" s="55">
        <f t="shared" ref="R190:R220" si="39">+E190+I190+M190+Q190</f>
        <v>0</v>
      </c>
    </row>
    <row r="191" spans="1:18" ht="15.75" customHeight="1" x14ac:dyDescent="0.3">
      <c r="A191" s="72" t="s">
        <v>147</v>
      </c>
      <c r="B191" s="1">
        <v>0</v>
      </c>
      <c r="C191" s="1">
        <v>0</v>
      </c>
      <c r="D191" s="1">
        <v>0</v>
      </c>
      <c r="E191" s="55">
        <f>SUM(B191:D191)</f>
        <v>0</v>
      </c>
      <c r="F191" s="1">
        <v>0</v>
      </c>
      <c r="G191" s="1">
        <v>0</v>
      </c>
      <c r="H191" s="1">
        <v>0</v>
      </c>
      <c r="I191" s="55">
        <f>SUM(F191:H191)</f>
        <v>0</v>
      </c>
      <c r="J191" s="1">
        <v>0</v>
      </c>
      <c r="K191" s="1">
        <v>0</v>
      </c>
      <c r="L191" s="1">
        <v>0</v>
      </c>
      <c r="M191" s="55">
        <f>SUM(J191:L191)</f>
        <v>0</v>
      </c>
      <c r="N191" s="1">
        <v>0</v>
      </c>
      <c r="O191" s="1">
        <v>0</v>
      </c>
      <c r="P191" s="1">
        <v>0</v>
      </c>
      <c r="Q191" s="55">
        <f>SUM(N191:P191)</f>
        <v>0</v>
      </c>
      <c r="R191" s="55">
        <f>+E191+I191+M191+Q191</f>
        <v>0</v>
      </c>
    </row>
    <row r="192" spans="1:18" ht="15.75" customHeight="1" x14ac:dyDescent="0.3">
      <c r="A192" s="72" t="s">
        <v>148</v>
      </c>
      <c r="B192" s="1">
        <v>682</v>
      </c>
      <c r="C192" s="1">
        <v>0</v>
      </c>
      <c r="D192" s="1">
        <v>0</v>
      </c>
      <c r="E192" s="55">
        <f>SUM(B192:D192)</f>
        <v>682</v>
      </c>
      <c r="F192" s="1">
        <v>0</v>
      </c>
      <c r="G192" s="1">
        <v>0</v>
      </c>
      <c r="H192" s="1">
        <v>0</v>
      </c>
      <c r="I192" s="55">
        <f>SUM(F192:H192)</f>
        <v>0</v>
      </c>
      <c r="J192" s="1">
        <v>0</v>
      </c>
      <c r="K192" s="1">
        <v>0</v>
      </c>
      <c r="L192" s="1">
        <v>0</v>
      </c>
      <c r="M192" s="55">
        <f>SUM(J192:L192)</f>
        <v>0</v>
      </c>
      <c r="N192" s="1">
        <v>0</v>
      </c>
      <c r="O192" s="1">
        <v>0</v>
      </c>
      <c r="P192" s="1">
        <v>0</v>
      </c>
      <c r="Q192" s="55">
        <f>SUM(N192:P192)</f>
        <v>0</v>
      </c>
      <c r="R192" s="55">
        <f>+E192+I192+M192+Q192</f>
        <v>682</v>
      </c>
    </row>
    <row r="193" spans="1:21" ht="15.75" customHeight="1" x14ac:dyDescent="0.3">
      <c r="A193" s="72" t="s">
        <v>149</v>
      </c>
      <c r="B193" s="1">
        <v>0</v>
      </c>
      <c r="C193" s="1">
        <v>0</v>
      </c>
      <c r="D193" s="1">
        <v>0</v>
      </c>
      <c r="E193" s="55">
        <f t="shared" si="35"/>
        <v>0</v>
      </c>
      <c r="F193" s="1">
        <v>0</v>
      </c>
      <c r="G193" s="1">
        <v>0</v>
      </c>
      <c r="H193" s="1">
        <v>0</v>
      </c>
      <c r="I193" s="55">
        <f t="shared" si="36"/>
        <v>0</v>
      </c>
      <c r="J193" s="1">
        <v>0</v>
      </c>
      <c r="K193" s="1">
        <v>0</v>
      </c>
      <c r="L193" s="1">
        <v>0</v>
      </c>
      <c r="M193" s="55">
        <f t="shared" si="37"/>
        <v>0</v>
      </c>
      <c r="N193" s="1">
        <v>0</v>
      </c>
      <c r="O193" s="1">
        <v>0</v>
      </c>
      <c r="P193" s="1">
        <v>0</v>
      </c>
      <c r="Q193" s="55">
        <f t="shared" si="38"/>
        <v>0</v>
      </c>
      <c r="R193" s="55">
        <f t="shared" si="39"/>
        <v>0</v>
      </c>
    </row>
    <row r="194" spans="1:21" ht="15.75" customHeight="1" x14ac:dyDescent="0.3">
      <c r="A194" s="72" t="s">
        <v>150</v>
      </c>
      <c r="B194" s="1">
        <v>1136</v>
      </c>
      <c r="C194" s="1">
        <v>0</v>
      </c>
      <c r="D194" s="1">
        <v>0</v>
      </c>
      <c r="E194" s="55">
        <f t="shared" si="35"/>
        <v>1136</v>
      </c>
      <c r="F194" s="1">
        <v>0</v>
      </c>
      <c r="G194" s="1">
        <v>0</v>
      </c>
      <c r="H194" s="1">
        <v>0</v>
      </c>
      <c r="I194" s="55">
        <f t="shared" si="36"/>
        <v>0</v>
      </c>
      <c r="J194" s="1">
        <v>0</v>
      </c>
      <c r="K194" s="1">
        <v>0</v>
      </c>
      <c r="L194" s="1">
        <v>0</v>
      </c>
      <c r="M194" s="55">
        <f t="shared" si="37"/>
        <v>0</v>
      </c>
      <c r="N194" s="1">
        <v>0</v>
      </c>
      <c r="O194" s="1">
        <v>0</v>
      </c>
      <c r="P194" s="1">
        <v>0</v>
      </c>
      <c r="Q194" s="55">
        <f t="shared" si="38"/>
        <v>0</v>
      </c>
      <c r="R194" s="55">
        <f t="shared" si="39"/>
        <v>1136</v>
      </c>
    </row>
    <row r="195" spans="1:21" ht="15.75" customHeight="1" x14ac:dyDescent="0.3">
      <c r="A195" s="72" t="s">
        <v>151</v>
      </c>
      <c r="B195" s="1">
        <v>23</v>
      </c>
      <c r="C195" s="1">
        <v>0</v>
      </c>
      <c r="D195" s="1">
        <v>0</v>
      </c>
      <c r="E195" s="55">
        <f t="shared" si="35"/>
        <v>23</v>
      </c>
      <c r="F195" s="1">
        <v>0</v>
      </c>
      <c r="G195" s="1">
        <v>0</v>
      </c>
      <c r="H195" s="1">
        <v>0</v>
      </c>
      <c r="I195" s="55">
        <f t="shared" si="36"/>
        <v>0</v>
      </c>
      <c r="J195" s="1">
        <v>0</v>
      </c>
      <c r="K195" s="1">
        <v>0</v>
      </c>
      <c r="L195" s="1">
        <v>0</v>
      </c>
      <c r="M195" s="55">
        <f t="shared" si="37"/>
        <v>0</v>
      </c>
      <c r="N195" s="1">
        <v>0</v>
      </c>
      <c r="O195" s="1">
        <v>0</v>
      </c>
      <c r="P195" s="1">
        <v>0</v>
      </c>
      <c r="Q195" s="55">
        <f t="shared" si="38"/>
        <v>0</v>
      </c>
      <c r="R195" s="55">
        <f t="shared" si="39"/>
        <v>23</v>
      </c>
    </row>
    <row r="196" spans="1:21" ht="15.75" customHeight="1" x14ac:dyDescent="0.3">
      <c r="A196" s="72" t="s">
        <v>152</v>
      </c>
      <c r="B196" s="1">
        <v>23</v>
      </c>
      <c r="C196" s="1">
        <v>0</v>
      </c>
      <c r="D196" s="1">
        <v>0</v>
      </c>
      <c r="E196" s="55">
        <f t="shared" si="35"/>
        <v>23</v>
      </c>
      <c r="F196" s="1">
        <v>0</v>
      </c>
      <c r="G196" s="1">
        <v>0</v>
      </c>
      <c r="H196" s="1">
        <v>0</v>
      </c>
      <c r="I196" s="55">
        <f t="shared" si="36"/>
        <v>0</v>
      </c>
      <c r="J196" s="1">
        <v>0</v>
      </c>
      <c r="K196" s="1">
        <v>0</v>
      </c>
      <c r="L196" s="1">
        <v>0</v>
      </c>
      <c r="M196" s="55">
        <f t="shared" si="37"/>
        <v>0</v>
      </c>
      <c r="N196" s="1">
        <v>0</v>
      </c>
      <c r="O196" s="1">
        <v>0</v>
      </c>
      <c r="P196" s="1">
        <v>0</v>
      </c>
      <c r="Q196" s="55">
        <f t="shared" si="38"/>
        <v>0</v>
      </c>
      <c r="R196" s="55">
        <f t="shared" si="39"/>
        <v>23</v>
      </c>
    </row>
    <row r="197" spans="1:21" ht="15.75" customHeight="1" x14ac:dyDescent="0.3">
      <c r="A197" s="72" t="s">
        <v>153</v>
      </c>
      <c r="B197" s="1">
        <v>0</v>
      </c>
      <c r="C197" s="1">
        <v>0</v>
      </c>
      <c r="D197" s="1">
        <v>0</v>
      </c>
      <c r="E197" s="55">
        <f t="shared" si="35"/>
        <v>0</v>
      </c>
      <c r="F197" s="1">
        <v>0</v>
      </c>
      <c r="G197" s="1">
        <v>4300</v>
      </c>
      <c r="H197" s="1">
        <v>0</v>
      </c>
      <c r="I197" s="55">
        <f t="shared" si="36"/>
        <v>4300</v>
      </c>
      <c r="J197" s="1">
        <v>0</v>
      </c>
      <c r="K197" s="1">
        <v>0</v>
      </c>
      <c r="L197" s="1">
        <v>0</v>
      </c>
      <c r="M197" s="55">
        <f t="shared" si="37"/>
        <v>0</v>
      </c>
      <c r="N197" s="1">
        <v>0</v>
      </c>
      <c r="O197" s="1">
        <v>0</v>
      </c>
      <c r="P197" s="1">
        <v>0</v>
      </c>
      <c r="Q197" s="55">
        <f t="shared" si="38"/>
        <v>0</v>
      </c>
      <c r="R197" s="55">
        <f t="shared" si="39"/>
        <v>4300</v>
      </c>
    </row>
    <row r="198" spans="1:21" ht="15.75" customHeight="1" x14ac:dyDescent="0.3">
      <c r="A198" s="72" t="s">
        <v>620</v>
      </c>
      <c r="B198" s="1">
        <v>1520</v>
      </c>
      <c r="C198" s="1">
        <v>1979</v>
      </c>
      <c r="D198" s="1">
        <v>771</v>
      </c>
      <c r="E198" s="55">
        <f t="shared" si="35"/>
        <v>4270</v>
      </c>
      <c r="F198" s="1">
        <v>805</v>
      </c>
      <c r="G198" s="1">
        <v>1023</v>
      </c>
      <c r="H198" s="1">
        <v>602</v>
      </c>
      <c r="I198" s="55">
        <f t="shared" si="36"/>
        <v>2430</v>
      </c>
      <c r="J198" s="1">
        <v>0</v>
      </c>
      <c r="K198" s="1">
        <v>0</v>
      </c>
      <c r="L198" s="1">
        <v>0</v>
      </c>
      <c r="M198" s="55">
        <f t="shared" si="37"/>
        <v>0</v>
      </c>
      <c r="N198" s="1">
        <v>300</v>
      </c>
      <c r="O198" s="1">
        <v>0</v>
      </c>
      <c r="P198" s="1">
        <v>0</v>
      </c>
      <c r="Q198" s="55">
        <f t="shared" si="38"/>
        <v>300</v>
      </c>
      <c r="R198" s="55">
        <f t="shared" si="39"/>
        <v>7000</v>
      </c>
    </row>
    <row r="199" spans="1:21" ht="15.75" customHeight="1" x14ac:dyDescent="0.3">
      <c r="A199" s="72" t="s">
        <v>621</v>
      </c>
      <c r="B199" s="1">
        <v>0</v>
      </c>
      <c r="C199" s="1">
        <v>0</v>
      </c>
      <c r="D199" s="1">
        <v>0</v>
      </c>
      <c r="E199" s="55">
        <f t="shared" si="35"/>
        <v>0</v>
      </c>
      <c r="F199" s="1">
        <v>0</v>
      </c>
      <c r="G199" s="1">
        <v>212</v>
      </c>
      <c r="H199" s="1">
        <v>14157</v>
      </c>
      <c r="I199" s="55">
        <f t="shared" si="36"/>
        <v>14369</v>
      </c>
      <c r="J199" s="1">
        <v>631</v>
      </c>
      <c r="K199" s="1">
        <v>0</v>
      </c>
      <c r="L199" s="1">
        <v>0</v>
      </c>
      <c r="M199" s="55">
        <f t="shared" si="37"/>
        <v>631</v>
      </c>
      <c r="N199" s="1">
        <v>0</v>
      </c>
      <c r="O199" s="1">
        <v>0</v>
      </c>
      <c r="P199" s="1">
        <v>0</v>
      </c>
      <c r="Q199" s="55">
        <f t="shared" si="38"/>
        <v>0</v>
      </c>
      <c r="R199" s="55">
        <f t="shared" si="39"/>
        <v>15000</v>
      </c>
    </row>
    <row r="200" spans="1:21" ht="15.75" customHeight="1" x14ac:dyDescent="0.3">
      <c r="A200" s="72" t="s">
        <v>622</v>
      </c>
      <c r="B200" s="1">
        <v>0</v>
      </c>
      <c r="C200" s="1">
        <v>0</v>
      </c>
      <c r="D200" s="1">
        <v>0</v>
      </c>
      <c r="E200" s="55">
        <f t="shared" si="35"/>
        <v>0</v>
      </c>
      <c r="F200" s="1">
        <v>0</v>
      </c>
      <c r="G200" s="1">
        <v>0</v>
      </c>
      <c r="H200" s="1">
        <v>0</v>
      </c>
      <c r="I200" s="55">
        <f t="shared" si="36"/>
        <v>0</v>
      </c>
      <c r="J200" s="1">
        <v>0</v>
      </c>
      <c r="K200" s="1">
        <v>0</v>
      </c>
      <c r="L200" s="1">
        <v>0</v>
      </c>
      <c r="M200" s="55">
        <f t="shared" si="37"/>
        <v>0</v>
      </c>
      <c r="N200" s="1">
        <v>0</v>
      </c>
      <c r="O200" s="1">
        <v>0</v>
      </c>
      <c r="P200" s="1">
        <v>0</v>
      </c>
      <c r="Q200" s="55">
        <f t="shared" si="38"/>
        <v>0</v>
      </c>
      <c r="R200" s="55">
        <f t="shared" si="39"/>
        <v>0</v>
      </c>
    </row>
    <row r="201" spans="1:21" ht="15.75" customHeight="1" x14ac:dyDescent="0.3">
      <c r="A201" s="72" t="s">
        <v>159</v>
      </c>
      <c r="B201" s="1">
        <v>0</v>
      </c>
      <c r="C201" s="1">
        <v>0</v>
      </c>
      <c r="D201" s="1">
        <v>0</v>
      </c>
      <c r="E201" s="55">
        <f t="shared" si="35"/>
        <v>0</v>
      </c>
      <c r="F201" s="1">
        <v>0</v>
      </c>
      <c r="G201" s="1">
        <v>0</v>
      </c>
      <c r="H201" s="1">
        <v>0</v>
      </c>
      <c r="I201" s="55">
        <f t="shared" si="36"/>
        <v>0</v>
      </c>
      <c r="J201" s="1">
        <v>0</v>
      </c>
      <c r="K201" s="1">
        <v>0</v>
      </c>
      <c r="L201" s="1">
        <v>0</v>
      </c>
      <c r="M201" s="55">
        <f t="shared" si="37"/>
        <v>0</v>
      </c>
      <c r="N201" s="1">
        <v>0</v>
      </c>
      <c r="O201" s="1">
        <v>0</v>
      </c>
      <c r="P201" s="1">
        <v>0</v>
      </c>
      <c r="Q201" s="55">
        <f t="shared" si="38"/>
        <v>0</v>
      </c>
      <c r="R201" s="55">
        <f t="shared" si="39"/>
        <v>0</v>
      </c>
    </row>
    <row r="202" spans="1:21" ht="15.75" customHeight="1" x14ac:dyDescent="0.3">
      <c r="A202" s="72" t="s">
        <v>160</v>
      </c>
      <c r="B202" s="1">
        <v>0</v>
      </c>
      <c r="C202" s="1">
        <v>0</v>
      </c>
      <c r="D202" s="1">
        <v>0</v>
      </c>
      <c r="E202" s="55">
        <f t="shared" si="35"/>
        <v>0</v>
      </c>
      <c r="F202" s="1">
        <v>0</v>
      </c>
      <c r="G202" s="1">
        <v>0</v>
      </c>
      <c r="H202" s="1">
        <v>0</v>
      </c>
      <c r="I202" s="55">
        <f t="shared" si="36"/>
        <v>0</v>
      </c>
      <c r="J202" s="1">
        <v>0</v>
      </c>
      <c r="K202" s="1">
        <v>0</v>
      </c>
      <c r="L202" s="1">
        <v>0</v>
      </c>
      <c r="M202" s="55">
        <f t="shared" si="37"/>
        <v>0</v>
      </c>
      <c r="N202" s="1">
        <v>0</v>
      </c>
      <c r="O202" s="1">
        <v>0</v>
      </c>
      <c r="P202" s="1">
        <v>0</v>
      </c>
      <c r="Q202" s="55">
        <f t="shared" si="38"/>
        <v>0</v>
      </c>
      <c r="R202" s="55">
        <f t="shared" si="39"/>
        <v>0</v>
      </c>
      <c r="S202" s="89"/>
      <c r="T202" s="89"/>
      <c r="U202" s="89"/>
    </row>
    <row r="203" spans="1:21" ht="15.75" customHeight="1" x14ac:dyDescent="0.3">
      <c r="A203" s="72" t="s">
        <v>161</v>
      </c>
      <c r="B203" s="1">
        <v>0</v>
      </c>
      <c r="C203" s="1">
        <v>0</v>
      </c>
      <c r="D203" s="1">
        <v>0</v>
      </c>
      <c r="E203" s="55">
        <f t="shared" si="35"/>
        <v>0</v>
      </c>
      <c r="F203" s="1">
        <v>1169</v>
      </c>
      <c r="G203" s="1">
        <v>645</v>
      </c>
      <c r="H203" s="1">
        <v>0</v>
      </c>
      <c r="I203" s="55">
        <f t="shared" si="36"/>
        <v>1814</v>
      </c>
      <c r="J203" s="1">
        <v>0</v>
      </c>
      <c r="K203" s="1">
        <v>0</v>
      </c>
      <c r="L203" s="1">
        <v>0</v>
      </c>
      <c r="M203" s="55">
        <f t="shared" si="37"/>
        <v>0</v>
      </c>
      <c r="N203" s="1">
        <v>0</v>
      </c>
      <c r="O203" s="1">
        <v>0</v>
      </c>
      <c r="P203" s="1">
        <v>0</v>
      </c>
      <c r="Q203" s="55">
        <f t="shared" si="38"/>
        <v>0</v>
      </c>
      <c r="R203" s="55">
        <f t="shared" si="39"/>
        <v>1814</v>
      </c>
    </row>
    <row r="204" spans="1:21" ht="15.75" customHeight="1" x14ac:dyDescent="0.3">
      <c r="A204" s="72" t="s">
        <v>162</v>
      </c>
      <c r="B204" s="1">
        <v>0</v>
      </c>
      <c r="C204" s="1">
        <v>0</v>
      </c>
      <c r="D204" s="1">
        <v>0</v>
      </c>
      <c r="E204" s="55">
        <f t="shared" si="35"/>
        <v>0</v>
      </c>
      <c r="F204" s="1">
        <v>0</v>
      </c>
      <c r="G204" s="1">
        <v>0</v>
      </c>
      <c r="H204" s="1">
        <v>0</v>
      </c>
      <c r="I204" s="55">
        <f t="shared" si="36"/>
        <v>0</v>
      </c>
      <c r="J204" s="1">
        <v>0</v>
      </c>
      <c r="K204" s="1">
        <v>0</v>
      </c>
      <c r="L204" s="1">
        <v>0</v>
      </c>
      <c r="M204" s="55">
        <f t="shared" si="37"/>
        <v>0</v>
      </c>
      <c r="N204" s="1">
        <v>0</v>
      </c>
      <c r="O204" s="1">
        <v>0</v>
      </c>
      <c r="P204" s="1">
        <v>0</v>
      </c>
      <c r="Q204" s="55">
        <f t="shared" si="38"/>
        <v>0</v>
      </c>
      <c r="R204" s="55">
        <f t="shared" si="39"/>
        <v>0</v>
      </c>
    </row>
    <row r="205" spans="1:21" ht="15.75" customHeight="1" x14ac:dyDescent="0.3">
      <c r="A205" s="72" t="s">
        <v>163</v>
      </c>
      <c r="B205" s="1">
        <v>0</v>
      </c>
      <c r="C205" s="1">
        <v>0</v>
      </c>
      <c r="D205" s="1">
        <v>0</v>
      </c>
      <c r="E205" s="55">
        <f t="shared" si="35"/>
        <v>0</v>
      </c>
      <c r="F205" s="1">
        <v>0</v>
      </c>
      <c r="G205" s="1">
        <v>3023</v>
      </c>
      <c r="H205" s="1">
        <v>0</v>
      </c>
      <c r="I205" s="55">
        <f t="shared" si="36"/>
        <v>3023</v>
      </c>
      <c r="J205" s="1">
        <v>0</v>
      </c>
      <c r="K205" s="1">
        <v>0</v>
      </c>
      <c r="L205" s="1">
        <v>0</v>
      </c>
      <c r="M205" s="55">
        <f t="shared" si="37"/>
        <v>0</v>
      </c>
      <c r="N205" s="1">
        <v>0</v>
      </c>
      <c r="O205" s="1">
        <v>0</v>
      </c>
      <c r="P205" s="1">
        <v>0</v>
      </c>
      <c r="Q205" s="55">
        <f t="shared" si="38"/>
        <v>0</v>
      </c>
      <c r="R205" s="55">
        <f t="shared" si="39"/>
        <v>3023</v>
      </c>
    </row>
    <row r="206" spans="1:21" ht="15.75" customHeight="1" x14ac:dyDescent="0.3">
      <c r="A206" s="72" t="s">
        <v>164</v>
      </c>
      <c r="B206" s="1">
        <v>60</v>
      </c>
      <c r="C206" s="1">
        <v>0</v>
      </c>
      <c r="D206" s="1">
        <v>0</v>
      </c>
      <c r="E206" s="55">
        <f t="shared" si="35"/>
        <v>60</v>
      </c>
      <c r="F206" s="1">
        <v>0</v>
      </c>
      <c r="G206" s="1">
        <v>0</v>
      </c>
      <c r="H206" s="1">
        <v>0</v>
      </c>
      <c r="I206" s="55">
        <f t="shared" si="36"/>
        <v>0</v>
      </c>
      <c r="J206" s="1">
        <v>0</v>
      </c>
      <c r="K206" s="1">
        <v>0</v>
      </c>
      <c r="L206" s="1">
        <v>0</v>
      </c>
      <c r="M206" s="55">
        <f t="shared" si="37"/>
        <v>0</v>
      </c>
      <c r="N206" s="1">
        <v>0</v>
      </c>
      <c r="O206" s="1">
        <v>0</v>
      </c>
      <c r="P206" s="1">
        <v>0</v>
      </c>
      <c r="Q206" s="55">
        <f t="shared" si="38"/>
        <v>0</v>
      </c>
      <c r="R206" s="55">
        <f t="shared" si="39"/>
        <v>60</v>
      </c>
    </row>
    <row r="207" spans="1:21" ht="15.75" customHeight="1" x14ac:dyDescent="0.3">
      <c r="A207" s="72" t="s">
        <v>165</v>
      </c>
      <c r="B207" s="1">
        <v>60</v>
      </c>
      <c r="C207" s="1">
        <v>0</v>
      </c>
      <c r="D207" s="1">
        <v>0</v>
      </c>
      <c r="E207" s="55">
        <f t="shared" si="35"/>
        <v>60</v>
      </c>
      <c r="F207" s="1">
        <v>0</v>
      </c>
      <c r="G207" s="1">
        <v>0</v>
      </c>
      <c r="H207" s="1">
        <v>0</v>
      </c>
      <c r="I207" s="55">
        <f t="shared" si="36"/>
        <v>0</v>
      </c>
      <c r="J207" s="1">
        <v>0</v>
      </c>
      <c r="K207" s="1">
        <v>0</v>
      </c>
      <c r="L207" s="1">
        <v>0</v>
      </c>
      <c r="M207" s="55">
        <f t="shared" si="37"/>
        <v>0</v>
      </c>
      <c r="N207" s="1">
        <v>0</v>
      </c>
      <c r="O207" s="1">
        <v>0</v>
      </c>
      <c r="P207" s="1">
        <v>0</v>
      </c>
      <c r="Q207" s="55">
        <f t="shared" si="38"/>
        <v>0</v>
      </c>
      <c r="R207" s="55">
        <f t="shared" si="39"/>
        <v>60</v>
      </c>
    </row>
    <row r="208" spans="1:21" ht="15.75" customHeight="1" x14ac:dyDescent="0.3">
      <c r="A208" s="72" t="s">
        <v>706</v>
      </c>
      <c r="B208" s="1">
        <v>0</v>
      </c>
      <c r="C208" s="1">
        <v>0</v>
      </c>
      <c r="D208" s="1">
        <v>0</v>
      </c>
      <c r="E208" s="55">
        <f t="shared" si="35"/>
        <v>0</v>
      </c>
      <c r="F208" s="1">
        <v>0</v>
      </c>
      <c r="G208" s="1">
        <v>0</v>
      </c>
      <c r="H208" s="1">
        <v>0</v>
      </c>
      <c r="I208" s="55">
        <f t="shared" si="36"/>
        <v>0</v>
      </c>
      <c r="J208" s="1">
        <v>0</v>
      </c>
      <c r="K208" s="1">
        <v>0</v>
      </c>
      <c r="L208" s="1">
        <v>250</v>
      </c>
      <c r="M208" s="55">
        <f t="shared" si="37"/>
        <v>250</v>
      </c>
      <c r="N208" s="1">
        <v>0</v>
      </c>
      <c r="O208" s="1">
        <v>0</v>
      </c>
      <c r="P208" s="1">
        <v>0</v>
      </c>
      <c r="Q208" s="55">
        <f t="shared" si="38"/>
        <v>0</v>
      </c>
      <c r="R208" s="55">
        <f t="shared" si="39"/>
        <v>250</v>
      </c>
    </row>
    <row r="209" spans="1:18" ht="15.75" customHeight="1" x14ac:dyDescent="0.3">
      <c r="A209" s="72" t="s">
        <v>707</v>
      </c>
      <c r="B209" s="1">
        <v>406</v>
      </c>
      <c r="C209" s="1">
        <v>330</v>
      </c>
      <c r="D209" s="1">
        <v>590</v>
      </c>
      <c r="E209" s="55">
        <f>SUM(B209:D209)</f>
        <v>1326</v>
      </c>
      <c r="F209" s="1">
        <v>791</v>
      </c>
      <c r="G209" s="1">
        <v>759</v>
      </c>
      <c r="H209" s="1">
        <v>494</v>
      </c>
      <c r="I209" s="55">
        <f>SUM(F209:H209)</f>
        <v>2044</v>
      </c>
      <c r="J209" s="1">
        <v>515</v>
      </c>
      <c r="K209" s="1">
        <v>761</v>
      </c>
      <c r="L209" s="1">
        <v>744</v>
      </c>
      <c r="M209" s="55">
        <f>SUM(J209:L209)</f>
        <v>2020</v>
      </c>
      <c r="N209" s="1">
        <v>590</v>
      </c>
      <c r="O209" s="1">
        <v>386</v>
      </c>
      <c r="P209" s="1">
        <v>401</v>
      </c>
      <c r="Q209" s="55">
        <f>SUM(N209:P209)</f>
        <v>1377</v>
      </c>
      <c r="R209" s="55">
        <f>+E209+I209+M209+Q209</f>
        <v>6767</v>
      </c>
    </row>
    <row r="210" spans="1:18" ht="15.75" customHeight="1" x14ac:dyDescent="0.3">
      <c r="A210" s="88" t="s">
        <v>708</v>
      </c>
      <c r="B210" s="1">
        <v>1966</v>
      </c>
      <c r="C210" s="1">
        <v>2409</v>
      </c>
      <c r="D210" s="1">
        <v>2732</v>
      </c>
      <c r="E210" s="55">
        <f>SUM(B210:D210)</f>
        <v>7107</v>
      </c>
      <c r="F210" s="1">
        <v>588</v>
      </c>
      <c r="G210" s="1">
        <f>1812+647</f>
        <v>2459</v>
      </c>
      <c r="H210" s="1">
        <f>3320+0</f>
        <v>3320</v>
      </c>
      <c r="I210" s="55">
        <f>SUM(F210:H210)</f>
        <v>6367</v>
      </c>
      <c r="J210" s="1">
        <f>679+1000</f>
        <v>1679</v>
      </c>
      <c r="K210" s="1">
        <f>1200+406</f>
        <v>1606</v>
      </c>
      <c r="L210" s="1">
        <f>1500+1837</f>
        <v>3337</v>
      </c>
      <c r="M210" s="55">
        <f>SUM(J210:L210)</f>
        <v>6622</v>
      </c>
      <c r="N210" s="1">
        <v>2909</v>
      </c>
      <c r="O210" s="1">
        <v>3464</v>
      </c>
      <c r="P210" s="1">
        <v>661</v>
      </c>
      <c r="Q210" s="55">
        <f>SUM(N210:P210)</f>
        <v>7034</v>
      </c>
      <c r="R210" s="55">
        <f>+E210+I210+M210+Q210</f>
        <v>27130</v>
      </c>
    </row>
    <row r="211" spans="1:18" ht="15.75" customHeight="1" x14ac:dyDescent="0.3">
      <c r="A211" s="72" t="s">
        <v>168</v>
      </c>
      <c r="B211" s="1">
        <v>0</v>
      </c>
      <c r="C211" s="1">
        <v>0</v>
      </c>
      <c r="D211" s="1">
        <v>0</v>
      </c>
      <c r="E211" s="55">
        <f>SUM(B211:D211)</f>
        <v>0</v>
      </c>
      <c r="F211" s="1">
        <v>0</v>
      </c>
      <c r="G211" s="1">
        <v>0</v>
      </c>
      <c r="H211" s="1">
        <v>0</v>
      </c>
      <c r="I211" s="55">
        <f>SUM(F211:H211)</f>
        <v>0</v>
      </c>
      <c r="J211" s="1">
        <v>0</v>
      </c>
      <c r="K211" s="1">
        <v>0</v>
      </c>
      <c r="L211" s="1">
        <v>0</v>
      </c>
      <c r="M211" s="55">
        <f>SUM(J211:L211)</f>
        <v>0</v>
      </c>
      <c r="N211" s="1">
        <v>0</v>
      </c>
      <c r="O211" s="1">
        <v>0</v>
      </c>
      <c r="P211" s="1">
        <v>0</v>
      </c>
      <c r="Q211" s="55">
        <f>SUM(N211:P211)</f>
        <v>0</v>
      </c>
      <c r="R211" s="55">
        <f>+E211+I211+M211+Q211</f>
        <v>0</v>
      </c>
    </row>
    <row r="212" spans="1:18" ht="15.75" customHeight="1" x14ac:dyDescent="0.3">
      <c r="A212" s="72" t="s">
        <v>169</v>
      </c>
      <c r="B212" s="1">
        <v>0</v>
      </c>
      <c r="C212" s="1">
        <v>0</v>
      </c>
      <c r="D212" s="1">
        <v>0</v>
      </c>
      <c r="E212" s="55">
        <f>SUM(B212:D212)</f>
        <v>0</v>
      </c>
      <c r="F212" s="1">
        <v>0</v>
      </c>
      <c r="G212" s="1">
        <v>0</v>
      </c>
      <c r="H212" s="1">
        <v>0</v>
      </c>
      <c r="I212" s="55">
        <f>SUM(F212:H212)</f>
        <v>0</v>
      </c>
      <c r="J212" s="1">
        <v>0</v>
      </c>
      <c r="K212" s="1">
        <v>0</v>
      </c>
      <c r="L212" s="1">
        <v>0</v>
      </c>
      <c r="M212" s="55">
        <f>SUM(J212:L212)</f>
        <v>0</v>
      </c>
      <c r="N212" s="1">
        <v>0</v>
      </c>
      <c r="O212" s="1">
        <v>0</v>
      </c>
      <c r="P212" s="1">
        <v>0</v>
      </c>
      <c r="Q212" s="55">
        <f>SUM(N212:P212)</f>
        <v>0</v>
      </c>
      <c r="R212" s="55">
        <f>+E212+I212+M212+Q212</f>
        <v>0</v>
      </c>
    </row>
    <row r="213" spans="1:18" ht="15.75" customHeight="1" x14ac:dyDescent="0.3">
      <c r="A213" s="72" t="s">
        <v>170</v>
      </c>
      <c r="B213" s="1">
        <v>421</v>
      </c>
      <c r="C213" s="1">
        <v>1004</v>
      </c>
      <c r="D213" s="1">
        <v>1320</v>
      </c>
      <c r="E213" s="55">
        <f t="shared" si="35"/>
        <v>2745</v>
      </c>
      <c r="F213" s="1">
        <v>105</v>
      </c>
      <c r="G213" s="1">
        <v>0</v>
      </c>
      <c r="H213" s="1">
        <v>0</v>
      </c>
      <c r="I213" s="55">
        <f t="shared" si="36"/>
        <v>105</v>
      </c>
      <c r="J213" s="1">
        <v>0</v>
      </c>
      <c r="K213" s="1">
        <v>0</v>
      </c>
      <c r="L213" s="1">
        <v>0</v>
      </c>
      <c r="M213" s="55">
        <f t="shared" si="37"/>
        <v>0</v>
      </c>
      <c r="N213" s="1">
        <v>0</v>
      </c>
      <c r="O213" s="1">
        <v>0</v>
      </c>
      <c r="P213" s="1">
        <v>0</v>
      </c>
      <c r="Q213" s="55">
        <f t="shared" si="38"/>
        <v>0</v>
      </c>
      <c r="R213" s="55">
        <f t="shared" si="39"/>
        <v>2850</v>
      </c>
    </row>
    <row r="214" spans="1:18" ht="15.75" customHeight="1" x14ac:dyDescent="0.3">
      <c r="A214" s="72" t="s">
        <v>171</v>
      </c>
      <c r="B214" s="1">
        <v>0</v>
      </c>
      <c r="C214" s="1">
        <v>0</v>
      </c>
      <c r="D214" s="1">
        <v>0</v>
      </c>
      <c r="E214" s="55">
        <f t="shared" si="35"/>
        <v>0</v>
      </c>
      <c r="F214" s="1">
        <v>0</v>
      </c>
      <c r="G214" s="1">
        <v>0</v>
      </c>
      <c r="H214" s="1">
        <v>0</v>
      </c>
      <c r="I214" s="55">
        <f t="shared" si="36"/>
        <v>0</v>
      </c>
      <c r="J214" s="1">
        <v>0</v>
      </c>
      <c r="K214" s="1">
        <v>0</v>
      </c>
      <c r="L214" s="1">
        <v>0</v>
      </c>
      <c r="M214" s="55">
        <f t="shared" si="37"/>
        <v>0</v>
      </c>
      <c r="N214" s="1">
        <v>0</v>
      </c>
      <c r="O214" s="1">
        <v>0</v>
      </c>
      <c r="P214" s="1">
        <v>0</v>
      </c>
      <c r="Q214" s="55">
        <f t="shared" si="38"/>
        <v>0</v>
      </c>
      <c r="R214" s="55">
        <f t="shared" si="39"/>
        <v>0</v>
      </c>
    </row>
    <row r="215" spans="1:18" ht="15.75" customHeight="1" x14ac:dyDescent="0.3">
      <c r="A215" s="72" t="s">
        <v>172</v>
      </c>
      <c r="B215" s="1">
        <v>0</v>
      </c>
      <c r="C215" s="1">
        <v>0</v>
      </c>
      <c r="D215" s="1">
        <v>0</v>
      </c>
      <c r="E215" s="55">
        <f t="shared" si="35"/>
        <v>0</v>
      </c>
      <c r="F215" s="1">
        <v>0</v>
      </c>
      <c r="G215" s="1">
        <v>4750</v>
      </c>
      <c r="H215" s="1">
        <v>0</v>
      </c>
      <c r="I215" s="55">
        <f t="shared" si="36"/>
        <v>4750</v>
      </c>
      <c r="J215" s="1">
        <v>0</v>
      </c>
      <c r="K215" s="1">
        <v>0</v>
      </c>
      <c r="L215" s="1">
        <v>0</v>
      </c>
      <c r="M215" s="55">
        <f t="shared" si="37"/>
        <v>0</v>
      </c>
      <c r="N215" s="1">
        <v>0</v>
      </c>
      <c r="O215" s="1">
        <v>0</v>
      </c>
      <c r="P215" s="1">
        <v>0</v>
      </c>
      <c r="Q215" s="55">
        <f t="shared" si="38"/>
        <v>0</v>
      </c>
      <c r="R215" s="55">
        <f t="shared" si="39"/>
        <v>4750</v>
      </c>
    </row>
    <row r="216" spans="1:18" ht="15.75" customHeight="1" x14ac:dyDescent="0.3">
      <c r="A216" s="72" t="s">
        <v>173</v>
      </c>
      <c r="B216" s="1">
        <v>95</v>
      </c>
      <c r="C216" s="1">
        <v>0</v>
      </c>
      <c r="D216" s="1">
        <v>0</v>
      </c>
      <c r="E216" s="55">
        <f t="shared" si="35"/>
        <v>95</v>
      </c>
      <c r="F216" s="1">
        <v>0</v>
      </c>
      <c r="G216" s="1">
        <v>0</v>
      </c>
      <c r="H216" s="1">
        <v>0</v>
      </c>
      <c r="I216" s="55">
        <f t="shared" si="36"/>
        <v>0</v>
      </c>
      <c r="J216" s="1">
        <v>0</v>
      </c>
      <c r="K216" s="1">
        <v>0</v>
      </c>
      <c r="L216" s="1">
        <v>0</v>
      </c>
      <c r="M216" s="55">
        <f t="shared" si="37"/>
        <v>0</v>
      </c>
      <c r="N216" s="1">
        <v>0</v>
      </c>
      <c r="O216" s="1">
        <v>0</v>
      </c>
      <c r="P216" s="1">
        <v>0</v>
      </c>
      <c r="Q216" s="55">
        <f t="shared" si="38"/>
        <v>0</v>
      </c>
      <c r="R216" s="55">
        <f t="shared" si="39"/>
        <v>95</v>
      </c>
    </row>
    <row r="217" spans="1:18" ht="15.75" customHeight="1" x14ac:dyDescent="0.3">
      <c r="A217" s="72" t="s">
        <v>174</v>
      </c>
      <c r="B217" s="1">
        <v>95</v>
      </c>
      <c r="C217" s="1">
        <v>0</v>
      </c>
      <c r="D217" s="1">
        <v>0</v>
      </c>
      <c r="E217" s="55">
        <f t="shared" si="35"/>
        <v>95</v>
      </c>
      <c r="F217" s="1">
        <v>0</v>
      </c>
      <c r="G217" s="1">
        <v>0</v>
      </c>
      <c r="H217" s="1">
        <v>0</v>
      </c>
      <c r="I217" s="55">
        <f t="shared" si="36"/>
        <v>0</v>
      </c>
      <c r="J217" s="1">
        <v>0</v>
      </c>
      <c r="K217" s="1">
        <v>0</v>
      </c>
      <c r="L217" s="1">
        <v>0</v>
      </c>
      <c r="M217" s="55">
        <f t="shared" si="37"/>
        <v>0</v>
      </c>
      <c r="N217" s="1">
        <v>0</v>
      </c>
      <c r="O217" s="1">
        <v>0</v>
      </c>
      <c r="P217" s="1">
        <v>0</v>
      </c>
      <c r="Q217" s="55">
        <f t="shared" si="38"/>
        <v>0</v>
      </c>
      <c r="R217" s="55">
        <f t="shared" si="39"/>
        <v>95</v>
      </c>
    </row>
    <row r="218" spans="1:18" ht="15.75" customHeight="1" x14ac:dyDescent="0.3">
      <c r="A218" s="72" t="s">
        <v>709</v>
      </c>
      <c r="B218" s="1">
        <v>177</v>
      </c>
      <c r="C218" s="1">
        <v>3890</v>
      </c>
      <c r="D218" s="1">
        <v>4536</v>
      </c>
      <c r="E218" s="55">
        <f>SUM(B218:D218)</f>
        <v>8603</v>
      </c>
      <c r="F218" s="1">
        <v>3897</v>
      </c>
      <c r="G218" s="1">
        <v>0</v>
      </c>
      <c r="H218" s="1">
        <v>0</v>
      </c>
      <c r="I218" s="55">
        <f>SUM(F218:H218)</f>
        <v>3897</v>
      </c>
      <c r="J218" s="1">
        <v>0</v>
      </c>
      <c r="K218" s="1">
        <v>0</v>
      </c>
      <c r="L218" s="1">
        <v>0</v>
      </c>
      <c r="M218" s="55">
        <f>SUM(J218:L218)</f>
        <v>0</v>
      </c>
      <c r="N218" s="1">
        <v>0</v>
      </c>
      <c r="O218" s="1">
        <v>0</v>
      </c>
      <c r="P218" s="1">
        <v>0</v>
      </c>
      <c r="Q218" s="55">
        <f>SUM(N218:P218)</f>
        <v>0</v>
      </c>
      <c r="R218" s="55">
        <f>+E218+I218+M218+Q218</f>
        <v>12500</v>
      </c>
    </row>
    <row r="219" spans="1:18" ht="15.75" customHeight="1" thickBot="1" x14ac:dyDescent="0.35">
      <c r="A219" s="72" t="s">
        <v>175</v>
      </c>
      <c r="B219" s="1">
        <v>500</v>
      </c>
      <c r="C219" s="1">
        <v>0</v>
      </c>
      <c r="D219" s="1">
        <v>0</v>
      </c>
      <c r="E219" s="55">
        <f t="shared" si="35"/>
        <v>500</v>
      </c>
      <c r="F219" s="1">
        <v>0</v>
      </c>
      <c r="G219" s="1">
        <v>0</v>
      </c>
      <c r="H219" s="1">
        <v>0</v>
      </c>
      <c r="I219" s="55">
        <f t="shared" si="36"/>
        <v>0</v>
      </c>
      <c r="J219" s="1">
        <v>0</v>
      </c>
      <c r="K219" s="1">
        <v>0</v>
      </c>
      <c r="L219" s="1">
        <v>0</v>
      </c>
      <c r="M219" s="55">
        <f t="shared" si="37"/>
        <v>0</v>
      </c>
      <c r="N219" s="1">
        <v>0</v>
      </c>
      <c r="O219" s="1">
        <v>0</v>
      </c>
      <c r="P219" s="1">
        <v>0</v>
      </c>
      <c r="Q219" s="55">
        <f t="shared" si="38"/>
        <v>0</v>
      </c>
      <c r="R219" s="55">
        <f t="shared" si="39"/>
        <v>500</v>
      </c>
    </row>
    <row r="220" spans="1:18" ht="16.5" customHeight="1" thickBot="1" x14ac:dyDescent="0.35">
      <c r="A220" s="57" t="s">
        <v>63</v>
      </c>
      <c r="B220" s="86">
        <f>SUM(B184:B219)</f>
        <v>7472</v>
      </c>
      <c r="C220" s="87">
        <f>SUM(C184:C219)</f>
        <v>9890</v>
      </c>
      <c r="D220" s="87">
        <f>SUM(D184:D219)</f>
        <v>10632</v>
      </c>
      <c r="E220" s="59">
        <f t="shared" si="35"/>
        <v>27994</v>
      </c>
      <c r="F220" s="87">
        <f>SUM(F184:F219)</f>
        <v>7795</v>
      </c>
      <c r="G220" s="87">
        <f>SUM(G184:G219)</f>
        <v>17638</v>
      </c>
      <c r="H220" s="87">
        <f>SUM(H184:H219)</f>
        <v>19113</v>
      </c>
      <c r="I220" s="59">
        <f t="shared" si="36"/>
        <v>44546</v>
      </c>
      <c r="J220" s="87">
        <f>SUM(J184:J219)</f>
        <v>3330</v>
      </c>
      <c r="K220" s="87">
        <f>SUM(K184:K219)</f>
        <v>2892</v>
      </c>
      <c r="L220" s="87">
        <f>SUM(L184:L219)</f>
        <v>4817</v>
      </c>
      <c r="M220" s="59">
        <f t="shared" si="37"/>
        <v>11039</v>
      </c>
      <c r="N220" s="87">
        <f>SUM(N184:N219)</f>
        <v>4289</v>
      </c>
      <c r="O220" s="87">
        <f>SUM(O184:O219)</f>
        <v>4224</v>
      </c>
      <c r="P220" s="87">
        <f>SUM(P184:P219)</f>
        <v>1355</v>
      </c>
      <c r="Q220" s="59">
        <f t="shared" si="38"/>
        <v>9868</v>
      </c>
      <c r="R220" s="59">
        <f t="shared" si="39"/>
        <v>93447</v>
      </c>
    </row>
    <row r="221" spans="1:18" ht="15.75" customHeight="1" x14ac:dyDescent="0.3">
      <c r="A221" s="15" t="s">
        <v>64</v>
      </c>
      <c r="B221" s="1"/>
      <c r="C221" s="1"/>
      <c r="D221" s="1"/>
      <c r="E221" s="55" t="s">
        <v>7</v>
      </c>
      <c r="F221" s="1"/>
      <c r="G221" s="1"/>
      <c r="H221" s="1"/>
      <c r="I221" s="55" t="s">
        <v>7</v>
      </c>
      <c r="J221" s="1"/>
      <c r="K221" s="1"/>
      <c r="L221" s="1"/>
      <c r="M221" s="55" t="s">
        <v>7</v>
      </c>
      <c r="N221" s="1"/>
      <c r="O221" s="1"/>
      <c r="P221" s="1"/>
      <c r="Q221" s="55" t="s">
        <v>7</v>
      </c>
      <c r="R221" s="55" t="s">
        <v>7</v>
      </c>
    </row>
    <row r="222" spans="1:18" ht="15.75" customHeight="1" x14ac:dyDescent="0.3">
      <c r="A222" s="15" t="s">
        <v>594</v>
      </c>
      <c r="B222" s="1"/>
      <c r="C222" s="1"/>
      <c r="D222" s="1"/>
      <c r="E222" s="55" t="s">
        <v>7</v>
      </c>
      <c r="F222" s="1"/>
      <c r="G222" s="1"/>
      <c r="H222" s="1"/>
      <c r="I222" s="55" t="s">
        <v>7</v>
      </c>
      <c r="J222" s="1"/>
      <c r="K222" s="1"/>
      <c r="L222" s="1"/>
      <c r="M222" s="55" t="s">
        <v>7</v>
      </c>
      <c r="N222" s="1"/>
      <c r="O222" s="1"/>
      <c r="P222" s="1"/>
      <c r="Q222" s="55" t="s">
        <v>7</v>
      </c>
      <c r="R222" s="55" t="s">
        <v>7</v>
      </c>
    </row>
    <row r="223" spans="1:18" ht="15.75" customHeight="1" x14ac:dyDescent="0.3">
      <c r="A223" s="85" t="s">
        <v>626</v>
      </c>
      <c r="B223" s="1">
        <v>0</v>
      </c>
      <c r="C223" s="1">
        <v>0</v>
      </c>
      <c r="D223" s="1">
        <v>0</v>
      </c>
      <c r="E223" s="55">
        <f>SUM(B223:D223)</f>
        <v>0</v>
      </c>
      <c r="F223" s="1">
        <v>0</v>
      </c>
      <c r="G223" s="1">
        <v>0</v>
      </c>
      <c r="H223" s="1">
        <v>0</v>
      </c>
      <c r="I223" s="55">
        <f>SUM(F223:H223)</f>
        <v>0</v>
      </c>
      <c r="J223" s="1">
        <v>1576</v>
      </c>
      <c r="K223" s="1">
        <v>483</v>
      </c>
      <c r="L223" s="1">
        <v>400</v>
      </c>
      <c r="M223" s="55">
        <f>SUM(J223:L223)</f>
        <v>2459</v>
      </c>
      <c r="N223" s="1">
        <v>197</v>
      </c>
      <c r="O223" s="1">
        <v>0</v>
      </c>
      <c r="P223" s="1">
        <v>0</v>
      </c>
      <c r="Q223" s="55">
        <f>SUM(N223:P223)</f>
        <v>197</v>
      </c>
      <c r="R223" s="55">
        <f>+E223+I223+M223+Q223</f>
        <v>2656</v>
      </c>
    </row>
    <row r="224" spans="1:18" ht="15.75" customHeight="1" x14ac:dyDescent="0.3">
      <c r="A224" s="85" t="s">
        <v>177</v>
      </c>
      <c r="B224" s="1">
        <v>0</v>
      </c>
      <c r="C224" s="1">
        <v>0</v>
      </c>
      <c r="D224" s="1">
        <v>0</v>
      </c>
      <c r="E224" s="55">
        <f>SUM(B224:D224)</f>
        <v>0</v>
      </c>
      <c r="F224" s="1">
        <v>0</v>
      </c>
      <c r="G224" s="1">
        <v>0</v>
      </c>
      <c r="H224" s="1">
        <v>0</v>
      </c>
      <c r="I224" s="55">
        <f>SUM(F224:H224)</f>
        <v>0</v>
      </c>
      <c r="J224" s="1">
        <v>0</v>
      </c>
      <c r="K224" s="1">
        <v>0</v>
      </c>
      <c r="L224" s="1">
        <v>0</v>
      </c>
      <c r="M224" s="55">
        <f>SUM(J224:L224)</f>
        <v>0</v>
      </c>
      <c r="N224" s="1">
        <v>0</v>
      </c>
      <c r="O224" s="1">
        <v>0</v>
      </c>
      <c r="P224" s="1">
        <v>547</v>
      </c>
      <c r="Q224" s="55">
        <f>SUM(N224:P224)</f>
        <v>547</v>
      </c>
      <c r="R224" s="55">
        <f>+E224+I224+M224+Q224</f>
        <v>547</v>
      </c>
    </row>
    <row r="225" spans="1:18" ht="15.75" customHeight="1" x14ac:dyDescent="0.3">
      <c r="A225" s="85" t="s">
        <v>178</v>
      </c>
      <c r="B225" s="1">
        <v>0</v>
      </c>
      <c r="C225" s="1">
        <v>0</v>
      </c>
      <c r="D225" s="1">
        <v>0</v>
      </c>
      <c r="E225" s="55">
        <f>SUM(B225:D225)</f>
        <v>0</v>
      </c>
      <c r="F225" s="1">
        <v>0</v>
      </c>
      <c r="G225" s="1">
        <v>0</v>
      </c>
      <c r="H225" s="1">
        <v>0</v>
      </c>
      <c r="I225" s="55">
        <f>SUM(F225:H225)</f>
        <v>0</v>
      </c>
      <c r="J225" s="1">
        <v>0</v>
      </c>
      <c r="K225" s="1">
        <v>0</v>
      </c>
      <c r="L225" s="1">
        <v>0</v>
      </c>
      <c r="M225" s="55">
        <f>SUM(J225:L225)</f>
        <v>0</v>
      </c>
      <c r="N225" s="1">
        <v>0</v>
      </c>
      <c r="O225" s="1">
        <v>0</v>
      </c>
      <c r="P225" s="1">
        <v>0</v>
      </c>
      <c r="Q225" s="55">
        <f>SUM(N225:P225)</f>
        <v>0</v>
      </c>
      <c r="R225" s="55">
        <f>+E225+I225+M225+Q225</f>
        <v>0</v>
      </c>
    </row>
    <row r="226" spans="1:18" ht="15.75" customHeight="1" x14ac:dyDescent="0.3">
      <c r="A226" s="15" t="s">
        <v>67</v>
      </c>
      <c r="B226" s="1"/>
      <c r="C226" s="1"/>
      <c r="D226" s="1"/>
      <c r="E226" s="55" t="s">
        <v>7</v>
      </c>
      <c r="F226" s="1"/>
      <c r="G226" s="1"/>
      <c r="H226" s="1"/>
      <c r="I226" s="55" t="s">
        <v>7</v>
      </c>
      <c r="J226" s="1"/>
      <c r="K226" s="1"/>
      <c r="L226" s="1"/>
      <c r="M226" s="55" t="s">
        <v>7</v>
      </c>
      <c r="N226" s="1"/>
      <c r="O226" s="1"/>
      <c r="P226" s="1"/>
      <c r="Q226" s="55" t="s">
        <v>7</v>
      </c>
      <c r="R226" s="55" t="s">
        <v>7</v>
      </c>
    </row>
    <row r="227" spans="1:18" ht="15.75" customHeight="1" x14ac:dyDescent="0.3">
      <c r="A227" s="85" t="s">
        <v>710</v>
      </c>
      <c r="B227" s="1">
        <v>0</v>
      </c>
      <c r="C227" s="1">
        <v>0</v>
      </c>
      <c r="D227" s="1">
        <v>0</v>
      </c>
      <c r="E227" s="55">
        <f>SUM(B227:D227)</f>
        <v>0</v>
      </c>
      <c r="F227" s="1">
        <v>0</v>
      </c>
      <c r="G227" s="1">
        <v>0</v>
      </c>
      <c r="H227" s="1">
        <v>0</v>
      </c>
      <c r="I227" s="55">
        <f>SUM(F227:H227)</f>
        <v>0</v>
      </c>
      <c r="J227" s="1">
        <v>0</v>
      </c>
      <c r="K227" s="1">
        <v>0</v>
      </c>
      <c r="L227" s="1">
        <v>0</v>
      </c>
      <c r="M227" s="55">
        <f>SUM(J227:L227)</f>
        <v>0</v>
      </c>
      <c r="N227" s="1">
        <v>0</v>
      </c>
      <c r="O227" s="1">
        <v>0</v>
      </c>
      <c r="P227" s="1">
        <v>0</v>
      </c>
      <c r="Q227" s="55">
        <f>SUM(N227:P227)</f>
        <v>0</v>
      </c>
      <c r="R227" s="55">
        <f>+E227+I227+M227+Q227</f>
        <v>0</v>
      </c>
    </row>
    <row r="228" spans="1:18" ht="15.75" customHeight="1" x14ac:dyDescent="0.3">
      <c r="A228" s="85" t="s">
        <v>711</v>
      </c>
      <c r="B228" s="1">
        <v>0</v>
      </c>
      <c r="C228" s="1">
        <v>0</v>
      </c>
      <c r="D228" s="1">
        <v>0</v>
      </c>
      <c r="E228" s="55">
        <f>SUM(B228:D228)</f>
        <v>0</v>
      </c>
      <c r="F228" s="1">
        <v>0</v>
      </c>
      <c r="G228" s="1">
        <v>0</v>
      </c>
      <c r="H228" s="1">
        <v>0</v>
      </c>
      <c r="I228" s="55">
        <f>SUM(F228:H228)</f>
        <v>0</v>
      </c>
      <c r="J228" s="1">
        <v>0</v>
      </c>
      <c r="K228" s="1">
        <v>0</v>
      </c>
      <c r="L228" s="1">
        <v>0</v>
      </c>
      <c r="M228" s="55">
        <f>SUM(J228:L228)</f>
        <v>0</v>
      </c>
      <c r="N228" s="1">
        <v>0</v>
      </c>
      <c r="O228" s="1">
        <v>0</v>
      </c>
      <c r="P228" s="1">
        <v>0</v>
      </c>
      <c r="Q228" s="55">
        <f>SUM(N228:P228)</f>
        <v>0</v>
      </c>
      <c r="R228" s="55">
        <f>+E228+I228+M228+Q228</f>
        <v>0</v>
      </c>
    </row>
    <row r="229" spans="1:18" ht="15.75" customHeight="1" x14ac:dyDescent="0.3">
      <c r="A229" s="71" t="s">
        <v>712</v>
      </c>
      <c r="B229" s="1">
        <v>0</v>
      </c>
      <c r="C229" s="1">
        <v>0</v>
      </c>
      <c r="D229" s="1">
        <v>0</v>
      </c>
      <c r="E229" s="55">
        <f t="shared" ref="E229:E234" si="40">SUM(B229:D229)</f>
        <v>0</v>
      </c>
      <c r="F229" s="1">
        <v>0</v>
      </c>
      <c r="G229" s="1">
        <v>0</v>
      </c>
      <c r="H229" s="1">
        <v>0</v>
      </c>
      <c r="I229" s="55">
        <f t="shared" ref="I229:I234" si="41">SUM(F229:H229)</f>
        <v>0</v>
      </c>
      <c r="J229" s="1">
        <v>0</v>
      </c>
      <c r="K229" s="1">
        <v>0</v>
      </c>
      <c r="L229" s="1">
        <v>0</v>
      </c>
      <c r="M229" s="55">
        <f t="shared" ref="M229:M234" si="42">SUM(J229:L229)</f>
        <v>0</v>
      </c>
      <c r="N229" s="1">
        <v>0</v>
      </c>
      <c r="O229" s="1">
        <v>0</v>
      </c>
      <c r="P229" s="1">
        <v>0</v>
      </c>
      <c r="Q229" s="55">
        <f t="shared" ref="Q229:Q234" si="43">SUM(N229:P229)</f>
        <v>0</v>
      </c>
      <c r="R229" s="55">
        <f t="shared" ref="R229:R234" si="44">+E229+I229+M229+Q229</f>
        <v>0</v>
      </c>
    </row>
    <row r="230" spans="1:18" ht="15.75" customHeight="1" x14ac:dyDescent="0.3">
      <c r="A230" s="71" t="s">
        <v>713</v>
      </c>
      <c r="B230" s="1">
        <v>0</v>
      </c>
      <c r="C230" s="1">
        <v>0</v>
      </c>
      <c r="D230" s="1">
        <v>0</v>
      </c>
      <c r="E230" s="55">
        <f t="shared" si="40"/>
        <v>0</v>
      </c>
      <c r="F230" s="1">
        <v>0</v>
      </c>
      <c r="G230" s="1">
        <v>0</v>
      </c>
      <c r="H230" s="1">
        <v>0</v>
      </c>
      <c r="I230" s="55">
        <f t="shared" si="41"/>
        <v>0</v>
      </c>
      <c r="J230" s="1">
        <v>0</v>
      </c>
      <c r="K230" s="1">
        <v>0</v>
      </c>
      <c r="L230" s="1">
        <v>0</v>
      </c>
      <c r="M230" s="55">
        <f t="shared" si="42"/>
        <v>0</v>
      </c>
      <c r="N230" s="1">
        <v>0</v>
      </c>
      <c r="O230" s="1">
        <v>0</v>
      </c>
      <c r="P230" s="1">
        <v>0</v>
      </c>
      <c r="Q230" s="55">
        <f t="shared" si="43"/>
        <v>0</v>
      </c>
      <c r="R230" s="55">
        <f t="shared" si="44"/>
        <v>0</v>
      </c>
    </row>
    <row r="231" spans="1:18" ht="15.75" customHeight="1" x14ac:dyDescent="0.3">
      <c r="A231" s="84" t="s">
        <v>714</v>
      </c>
      <c r="B231" s="1">
        <v>0</v>
      </c>
      <c r="C231" s="1">
        <v>0</v>
      </c>
      <c r="D231" s="1">
        <v>0</v>
      </c>
      <c r="E231" s="55">
        <f t="shared" si="40"/>
        <v>0</v>
      </c>
      <c r="F231" s="1">
        <v>0</v>
      </c>
      <c r="G231" s="1">
        <v>0</v>
      </c>
      <c r="H231" s="1">
        <v>0</v>
      </c>
      <c r="I231" s="55">
        <f t="shared" si="41"/>
        <v>0</v>
      </c>
      <c r="J231" s="1">
        <v>0</v>
      </c>
      <c r="K231" s="1">
        <v>0</v>
      </c>
      <c r="L231" s="1">
        <v>0</v>
      </c>
      <c r="M231" s="55">
        <f t="shared" si="42"/>
        <v>0</v>
      </c>
      <c r="N231" s="1">
        <v>0</v>
      </c>
      <c r="O231" s="1">
        <v>0</v>
      </c>
      <c r="P231" s="1">
        <v>0</v>
      </c>
      <c r="Q231" s="55">
        <f t="shared" si="43"/>
        <v>0</v>
      </c>
      <c r="R231" s="55">
        <f t="shared" si="44"/>
        <v>0</v>
      </c>
    </row>
    <row r="232" spans="1:18" ht="15.75" customHeight="1" x14ac:dyDescent="0.3">
      <c r="A232" s="84" t="s">
        <v>715</v>
      </c>
      <c r="B232" s="1">
        <v>0</v>
      </c>
      <c r="C232" s="1">
        <v>0</v>
      </c>
      <c r="D232" s="1">
        <v>0</v>
      </c>
      <c r="E232" s="55">
        <f t="shared" si="40"/>
        <v>0</v>
      </c>
      <c r="F232" s="1">
        <v>0</v>
      </c>
      <c r="G232" s="1">
        <v>0</v>
      </c>
      <c r="H232" s="1">
        <v>0</v>
      </c>
      <c r="I232" s="55">
        <f t="shared" si="41"/>
        <v>0</v>
      </c>
      <c r="J232" s="1">
        <v>0</v>
      </c>
      <c r="K232" s="1">
        <v>0</v>
      </c>
      <c r="L232" s="1">
        <v>0</v>
      </c>
      <c r="M232" s="55">
        <f t="shared" si="42"/>
        <v>0</v>
      </c>
      <c r="N232" s="1">
        <v>0</v>
      </c>
      <c r="O232" s="1">
        <v>0</v>
      </c>
      <c r="P232" s="1">
        <v>0</v>
      </c>
      <c r="Q232" s="55">
        <f t="shared" si="43"/>
        <v>0</v>
      </c>
      <c r="R232" s="55">
        <f t="shared" si="44"/>
        <v>0</v>
      </c>
    </row>
    <row r="233" spans="1:18" ht="15.75" customHeight="1" x14ac:dyDescent="0.3">
      <c r="A233" s="61" t="s">
        <v>716</v>
      </c>
      <c r="B233" s="1">
        <v>0</v>
      </c>
      <c r="C233" s="1">
        <v>0</v>
      </c>
      <c r="D233" s="1">
        <v>0</v>
      </c>
      <c r="E233" s="55">
        <f t="shared" si="40"/>
        <v>0</v>
      </c>
      <c r="F233" s="1">
        <v>0</v>
      </c>
      <c r="G233" s="1">
        <v>0</v>
      </c>
      <c r="H233" s="1">
        <v>0</v>
      </c>
      <c r="I233" s="55">
        <f t="shared" si="41"/>
        <v>0</v>
      </c>
      <c r="J233" s="1">
        <v>0</v>
      </c>
      <c r="K233" s="1">
        <v>0</v>
      </c>
      <c r="L233" s="1">
        <v>0</v>
      </c>
      <c r="M233" s="55">
        <f t="shared" si="42"/>
        <v>0</v>
      </c>
      <c r="N233" s="1">
        <v>0</v>
      </c>
      <c r="O233" s="1">
        <v>0</v>
      </c>
      <c r="P233" s="1">
        <v>0</v>
      </c>
      <c r="Q233" s="55">
        <f t="shared" si="43"/>
        <v>0</v>
      </c>
      <c r="R233" s="55">
        <f t="shared" si="44"/>
        <v>0</v>
      </c>
    </row>
    <row r="234" spans="1:18" ht="15.75" customHeight="1" x14ac:dyDescent="0.3">
      <c r="A234" s="61" t="s">
        <v>717</v>
      </c>
      <c r="B234" s="1">
        <v>0</v>
      </c>
      <c r="C234" s="1">
        <v>0</v>
      </c>
      <c r="D234" s="1">
        <v>0</v>
      </c>
      <c r="E234" s="55">
        <f t="shared" si="40"/>
        <v>0</v>
      </c>
      <c r="F234" s="1">
        <v>0</v>
      </c>
      <c r="G234" s="1">
        <v>0</v>
      </c>
      <c r="H234" s="1">
        <v>0</v>
      </c>
      <c r="I234" s="55">
        <f t="shared" si="41"/>
        <v>0</v>
      </c>
      <c r="J234" s="1">
        <v>0</v>
      </c>
      <c r="K234" s="1">
        <v>0</v>
      </c>
      <c r="L234" s="1">
        <v>0</v>
      </c>
      <c r="M234" s="55">
        <f t="shared" si="42"/>
        <v>0</v>
      </c>
      <c r="N234" s="1">
        <v>0</v>
      </c>
      <c r="O234" s="1">
        <v>0</v>
      </c>
      <c r="P234" s="1">
        <v>0</v>
      </c>
      <c r="Q234" s="55">
        <f t="shared" si="43"/>
        <v>0</v>
      </c>
      <c r="R234" s="55">
        <f t="shared" si="44"/>
        <v>0</v>
      </c>
    </row>
    <row r="235" spans="1:18" ht="15.75" customHeight="1" x14ac:dyDescent="0.3">
      <c r="A235" s="15" t="s">
        <v>600</v>
      </c>
      <c r="B235" s="1"/>
      <c r="C235" s="1"/>
      <c r="D235" s="1"/>
      <c r="E235" s="55" t="s">
        <v>7</v>
      </c>
      <c r="F235" s="1"/>
      <c r="G235" s="1"/>
      <c r="H235" s="1"/>
      <c r="I235" s="55" t="s">
        <v>7</v>
      </c>
      <c r="J235" s="1"/>
      <c r="K235" s="1"/>
      <c r="L235" s="1"/>
      <c r="M235" s="55" t="s">
        <v>7</v>
      </c>
      <c r="N235" s="1"/>
      <c r="O235" s="1"/>
      <c r="P235" s="1"/>
      <c r="Q235" s="55" t="s">
        <v>7</v>
      </c>
      <c r="R235" s="55" t="s">
        <v>7</v>
      </c>
    </row>
    <row r="236" spans="1:18" ht="15.75" customHeight="1" x14ac:dyDescent="0.3">
      <c r="A236" s="71" t="s">
        <v>191</v>
      </c>
      <c r="B236" s="1">
        <v>0</v>
      </c>
      <c r="C236" s="1">
        <v>0</v>
      </c>
      <c r="D236" s="1">
        <v>0</v>
      </c>
      <c r="E236" s="55">
        <f>SUM(B236:D236)</f>
        <v>0</v>
      </c>
      <c r="F236" s="1">
        <v>0</v>
      </c>
      <c r="G236" s="1">
        <v>0</v>
      </c>
      <c r="H236" s="1">
        <v>0</v>
      </c>
      <c r="I236" s="55">
        <f>SUM(F236:H236)</f>
        <v>0</v>
      </c>
      <c r="J236" s="1">
        <v>0</v>
      </c>
      <c r="K236" s="1">
        <v>0</v>
      </c>
      <c r="L236" s="1">
        <v>0</v>
      </c>
      <c r="M236" s="55">
        <f>SUM(J236:L236)</f>
        <v>0</v>
      </c>
      <c r="N236" s="1">
        <v>0</v>
      </c>
      <c r="O236" s="1">
        <v>0</v>
      </c>
      <c r="P236" s="1">
        <v>0</v>
      </c>
      <c r="Q236" s="55">
        <f>SUM(N236:P236)</f>
        <v>0</v>
      </c>
      <c r="R236" s="55">
        <f>+E236+I236+M236+Q236</f>
        <v>0</v>
      </c>
    </row>
    <row r="237" spans="1:18" ht="15.75" customHeight="1" thickBot="1" x14ac:dyDescent="0.35">
      <c r="A237" s="15" t="s">
        <v>70</v>
      </c>
      <c r="B237" s="1"/>
      <c r="C237" s="1"/>
      <c r="D237" s="1"/>
      <c r="E237" s="55" t="s">
        <v>7</v>
      </c>
      <c r="F237" s="1"/>
      <c r="G237" s="1"/>
      <c r="H237" s="1"/>
      <c r="I237" s="55" t="s">
        <v>7</v>
      </c>
      <c r="J237" s="1"/>
      <c r="K237" s="1"/>
      <c r="L237" s="1"/>
      <c r="M237" s="55" t="s">
        <v>7</v>
      </c>
      <c r="N237" s="1"/>
      <c r="O237" s="1"/>
      <c r="P237" s="1"/>
      <c r="Q237" s="55" t="s">
        <v>7</v>
      </c>
      <c r="R237" s="55" t="s">
        <v>7</v>
      </c>
    </row>
    <row r="238" spans="1:18" ht="16.5" customHeight="1" thickBot="1" x14ac:dyDescent="0.35">
      <c r="A238" s="57" t="s">
        <v>71</v>
      </c>
      <c r="B238" s="58">
        <f>SUM(B235:B237)</f>
        <v>0</v>
      </c>
      <c r="C238" s="58">
        <f>SUM(C235:C237)</f>
        <v>0</v>
      </c>
      <c r="D238" s="58">
        <f>SUM(D235:D237)</f>
        <v>0</v>
      </c>
      <c r="E238" s="60">
        <f t="shared" ref="E238:E246" si="45">SUM(B238:D238)</f>
        <v>0</v>
      </c>
      <c r="F238" s="58">
        <f>SUM(F235:F237)</f>
        <v>0</v>
      </c>
      <c r="G238" s="58">
        <f>SUM(G235:G237)</f>
        <v>0</v>
      </c>
      <c r="H238" s="58">
        <f>SUM(H235:H237)</f>
        <v>0</v>
      </c>
      <c r="I238" s="60">
        <f t="shared" ref="I238:I246" si="46">SUM(F238:H238)</f>
        <v>0</v>
      </c>
      <c r="J238" s="58">
        <f>SUM(J235:J237)</f>
        <v>0</v>
      </c>
      <c r="K238" s="58">
        <f>SUM(K235:K237)</f>
        <v>0</v>
      </c>
      <c r="L238" s="58">
        <f>SUM(L235:L237)</f>
        <v>0</v>
      </c>
      <c r="M238" s="60">
        <f t="shared" ref="M238:M246" si="47">SUM(J238:L238)</f>
        <v>0</v>
      </c>
      <c r="N238" s="58">
        <f>SUM(N235:N237)</f>
        <v>0</v>
      </c>
      <c r="O238" s="58">
        <f>SUM(O235:O237)</f>
        <v>0</v>
      </c>
      <c r="P238" s="58">
        <f>SUM(P235:P237)</f>
        <v>0</v>
      </c>
      <c r="Q238" s="60">
        <f t="shared" ref="Q238:Q246" si="48">SUM(N238:P238)</f>
        <v>0</v>
      </c>
      <c r="R238" s="59">
        <f t="shared" ref="R238:R246" si="49">+E238+I238+M238+Q238</f>
        <v>0</v>
      </c>
    </row>
    <row r="239" spans="1:18" ht="16.5" customHeight="1" thickBot="1" x14ac:dyDescent="0.35">
      <c r="A239" s="57" t="s">
        <v>72</v>
      </c>
      <c r="B239" s="86">
        <f>SUM(B221:B237)</f>
        <v>0</v>
      </c>
      <c r="C239" s="87">
        <f>SUM(C221:C237)</f>
        <v>0</v>
      </c>
      <c r="D239" s="87">
        <f>SUM(D221:D237)</f>
        <v>0</v>
      </c>
      <c r="E239" s="59">
        <f t="shared" si="45"/>
        <v>0</v>
      </c>
      <c r="F239" s="87">
        <f>SUM(F221:F237)</f>
        <v>0</v>
      </c>
      <c r="G239" s="87">
        <f>SUM(G221:G237)</f>
        <v>0</v>
      </c>
      <c r="H239" s="87">
        <f>SUM(H221:H237)</f>
        <v>0</v>
      </c>
      <c r="I239" s="59">
        <f t="shared" si="46"/>
        <v>0</v>
      </c>
      <c r="J239" s="87">
        <f>SUM(J221:J237)</f>
        <v>1576</v>
      </c>
      <c r="K239" s="87">
        <f>SUM(K221:K237)</f>
        <v>483</v>
      </c>
      <c r="L239" s="87">
        <f>SUM(L221:L237)</f>
        <v>400</v>
      </c>
      <c r="M239" s="59">
        <f t="shared" si="47"/>
        <v>2459</v>
      </c>
      <c r="N239" s="87">
        <f>SUM(N221:N237)</f>
        <v>197</v>
      </c>
      <c r="O239" s="87">
        <f>SUM(O221:O237)</f>
        <v>0</v>
      </c>
      <c r="P239" s="87">
        <f>SUM(P221:P237)</f>
        <v>547</v>
      </c>
      <c r="Q239" s="59">
        <f t="shared" si="48"/>
        <v>744</v>
      </c>
      <c r="R239" s="59">
        <f t="shared" si="49"/>
        <v>3203</v>
      </c>
    </row>
    <row r="240" spans="1:18" ht="16.5" customHeight="1" thickBot="1" x14ac:dyDescent="0.35">
      <c r="A240" s="57" t="s">
        <v>73</v>
      </c>
      <c r="B240" s="90">
        <f>+B177+B183+B220+B239</f>
        <v>21136</v>
      </c>
      <c r="C240" s="58">
        <f>+C177+C183+C220+C239</f>
        <v>20614</v>
      </c>
      <c r="D240" s="58">
        <f>+D177+D183+D220+D239</f>
        <v>25652</v>
      </c>
      <c r="E240" s="81">
        <f t="shared" si="45"/>
        <v>67402</v>
      </c>
      <c r="F240" s="58">
        <f>+F177+F183+F220+F239</f>
        <v>25161</v>
      </c>
      <c r="G240" s="58">
        <f>+G177+G183+G220+G239</f>
        <v>32782</v>
      </c>
      <c r="H240" s="58">
        <f>+H177+H183+H220+H239</f>
        <v>37106</v>
      </c>
      <c r="I240" s="81">
        <f t="shared" si="46"/>
        <v>95049</v>
      </c>
      <c r="J240" s="58">
        <f>+J177+J183+J220+J239</f>
        <v>32839</v>
      </c>
      <c r="K240" s="58">
        <f>+K177+K183+K220+K239</f>
        <v>31048</v>
      </c>
      <c r="L240" s="58">
        <f>+L177+L183+L220+L239</f>
        <v>31732</v>
      </c>
      <c r="M240" s="81">
        <f t="shared" si="47"/>
        <v>95619</v>
      </c>
      <c r="N240" s="58">
        <f>+N177+N183+N220+N239</f>
        <v>29580</v>
      </c>
      <c r="O240" s="58">
        <f>+O177+O183+O220+O239</f>
        <v>19551</v>
      </c>
      <c r="P240" s="58">
        <f>+P177+P183+P220+P239</f>
        <v>17102</v>
      </c>
      <c r="Q240" s="81">
        <f t="shared" si="48"/>
        <v>66233</v>
      </c>
      <c r="R240" s="81">
        <f t="shared" si="49"/>
        <v>324303</v>
      </c>
    </row>
    <row r="241" spans="1:18" ht="15.75" customHeight="1" x14ac:dyDescent="0.3">
      <c r="A241" s="88" t="s">
        <v>192</v>
      </c>
      <c r="B241" s="1">
        <v>0</v>
      </c>
      <c r="C241" s="1">
        <v>1539</v>
      </c>
      <c r="D241" s="1">
        <v>3357</v>
      </c>
      <c r="E241" s="55">
        <f t="shared" si="45"/>
        <v>4896</v>
      </c>
      <c r="F241" s="1">
        <v>4557</v>
      </c>
      <c r="G241" s="1">
        <v>5249</v>
      </c>
      <c r="H241" s="1">
        <v>4832</v>
      </c>
      <c r="I241" s="55">
        <f t="shared" si="46"/>
        <v>14638</v>
      </c>
      <c r="J241" s="1">
        <v>5186</v>
      </c>
      <c r="K241" s="1">
        <v>4567</v>
      </c>
      <c r="L241" s="1">
        <f>6195-500-68-2012</f>
        <v>3615</v>
      </c>
      <c r="M241" s="55">
        <f t="shared" si="47"/>
        <v>13368</v>
      </c>
      <c r="N241" s="1">
        <f>6311-500-29-1831</f>
        <v>3951</v>
      </c>
      <c r="O241" s="1">
        <v>3560</v>
      </c>
      <c r="P241" s="1">
        <v>916</v>
      </c>
      <c r="Q241" s="55">
        <f t="shared" si="48"/>
        <v>8427</v>
      </c>
      <c r="R241" s="55">
        <f t="shared" si="49"/>
        <v>41329</v>
      </c>
    </row>
    <row r="242" spans="1:18" ht="15.75" customHeight="1" x14ac:dyDescent="0.3">
      <c r="A242" s="91" t="s">
        <v>193</v>
      </c>
      <c r="B242" s="1">
        <v>0</v>
      </c>
      <c r="C242" s="1">
        <v>0</v>
      </c>
      <c r="D242" s="1">
        <v>0</v>
      </c>
      <c r="E242" s="55">
        <f t="shared" si="45"/>
        <v>0</v>
      </c>
      <c r="F242" s="1">
        <v>0</v>
      </c>
      <c r="G242" s="1">
        <v>0</v>
      </c>
      <c r="H242" s="1">
        <v>0</v>
      </c>
      <c r="I242" s="55">
        <f t="shared" si="46"/>
        <v>0</v>
      </c>
      <c r="J242" s="1">
        <v>0</v>
      </c>
      <c r="K242" s="1">
        <v>0</v>
      </c>
      <c r="L242" s="1">
        <v>0</v>
      </c>
      <c r="M242" s="55">
        <f t="shared" si="47"/>
        <v>0</v>
      </c>
      <c r="N242" s="1">
        <v>0</v>
      </c>
      <c r="O242" s="1">
        <v>0</v>
      </c>
      <c r="P242" s="1">
        <v>70</v>
      </c>
      <c r="Q242" s="55">
        <f t="shared" si="48"/>
        <v>70</v>
      </c>
      <c r="R242" s="55">
        <f t="shared" si="49"/>
        <v>70</v>
      </c>
    </row>
    <row r="243" spans="1:18" ht="15.75" customHeight="1" x14ac:dyDescent="0.3">
      <c r="A243" s="71" t="s">
        <v>718</v>
      </c>
      <c r="B243" s="1">
        <v>246</v>
      </c>
      <c r="C243" s="1">
        <v>25</v>
      </c>
      <c r="D243" s="1">
        <v>552</v>
      </c>
      <c r="E243" s="55">
        <f t="shared" si="45"/>
        <v>823</v>
      </c>
      <c r="F243" s="1">
        <v>0</v>
      </c>
      <c r="G243" s="1">
        <v>1130</v>
      </c>
      <c r="H243" s="1">
        <v>1049</v>
      </c>
      <c r="I243" s="55">
        <f t="shared" si="46"/>
        <v>2179</v>
      </c>
      <c r="J243" s="1">
        <v>20</v>
      </c>
      <c r="K243" s="1">
        <v>0</v>
      </c>
      <c r="L243" s="1">
        <v>216</v>
      </c>
      <c r="M243" s="55">
        <f t="shared" si="47"/>
        <v>236</v>
      </c>
      <c r="N243" s="1">
        <v>142</v>
      </c>
      <c r="O243" s="1">
        <v>126</v>
      </c>
      <c r="P243" s="1">
        <v>0</v>
      </c>
      <c r="Q243" s="55">
        <f t="shared" si="48"/>
        <v>268</v>
      </c>
      <c r="R243" s="55">
        <f t="shared" si="49"/>
        <v>3506</v>
      </c>
    </row>
    <row r="244" spans="1:18" ht="15.75" customHeight="1" x14ac:dyDescent="0.3">
      <c r="A244" s="91" t="s">
        <v>195</v>
      </c>
      <c r="B244" s="1">
        <v>36</v>
      </c>
      <c r="C244" s="1">
        <v>34</v>
      </c>
      <c r="D244" s="1">
        <v>93</v>
      </c>
      <c r="E244" s="55">
        <f t="shared" si="45"/>
        <v>163</v>
      </c>
      <c r="F244" s="1">
        <v>55</v>
      </c>
      <c r="G244" s="1">
        <v>99</v>
      </c>
      <c r="H244" s="1">
        <v>102</v>
      </c>
      <c r="I244" s="55">
        <f t="shared" si="46"/>
        <v>256</v>
      </c>
      <c r="J244" s="1">
        <v>100</v>
      </c>
      <c r="K244" s="1">
        <v>84</v>
      </c>
      <c r="L244" s="1">
        <v>53</v>
      </c>
      <c r="M244" s="55">
        <f t="shared" si="47"/>
        <v>237</v>
      </c>
      <c r="N244" s="1">
        <v>29</v>
      </c>
      <c r="O244" s="1">
        <v>10</v>
      </c>
      <c r="P244" s="1">
        <v>22</v>
      </c>
      <c r="Q244" s="55">
        <f t="shared" si="48"/>
        <v>61</v>
      </c>
      <c r="R244" s="55">
        <f t="shared" si="49"/>
        <v>717</v>
      </c>
    </row>
    <row r="245" spans="1:18" ht="15.75" customHeight="1" x14ac:dyDescent="0.3">
      <c r="A245" s="84" t="s">
        <v>196</v>
      </c>
      <c r="B245" s="1">
        <v>22743</v>
      </c>
      <c r="C245" s="1">
        <v>52608</v>
      </c>
      <c r="D245" s="1">
        <v>44419</v>
      </c>
      <c r="E245" s="55">
        <f t="shared" si="45"/>
        <v>119770</v>
      </c>
      <c r="F245" s="1">
        <v>21347</v>
      </c>
      <c r="G245" s="1">
        <v>7072</v>
      </c>
      <c r="H245" s="1">
        <v>1045</v>
      </c>
      <c r="I245" s="55">
        <f t="shared" si="46"/>
        <v>29464</v>
      </c>
      <c r="J245" s="1">
        <v>316</v>
      </c>
      <c r="K245" s="1">
        <v>0</v>
      </c>
      <c r="L245" s="1">
        <v>4936</v>
      </c>
      <c r="M245" s="55">
        <f t="shared" si="47"/>
        <v>5252</v>
      </c>
      <c r="N245" s="1">
        <v>51830</v>
      </c>
      <c r="O245" s="1">
        <v>121619</v>
      </c>
      <c r="P245" s="1">
        <v>87741</v>
      </c>
      <c r="Q245" s="55">
        <f t="shared" si="48"/>
        <v>261190</v>
      </c>
      <c r="R245" s="55">
        <f t="shared" si="49"/>
        <v>415676</v>
      </c>
    </row>
    <row r="246" spans="1:18" ht="16.5" customHeight="1" thickBot="1" x14ac:dyDescent="0.35">
      <c r="A246" s="39" t="s">
        <v>40</v>
      </c>
      <c r="B246" s="21">
        <v>104</v>
      </c>
      <c r="C246" s="21">
        <v>268</v>
      </c>
      <c r="D246" s="21">
        <v>474</v>
      </c>
      <c r="E246" s="55">
        <f t="shared" si="45"/>
        <v>846</v>
      </c>
      <c r="F246" s="21">
        <v>647</v>
      </c>
      <c r="G246" s="21">
        <v>742</v>
      </c>
      <c r="H246" s="21">
        <v>781</v>
      </c>
      <c r="I246" s="55">
        <f t="shared" si="46"/>
        <v>2170</v>
      </c>
      <c r="J246" s="21">
        <v>774</v>
      </c>
      <c r="K246" s="21">
        <v>596</v>
      </c>
      <c r="L246" s="21">
        <v>546</v>
      </c>
      <c r="M246" s="55">
        <f t="shared" si="47"/>
        <v>1916</v>
      </c>
      <c r="N246" s="21">
        <v>517</v>
      </c>
      <c r="O246" s="21">
        <v>413</v>
      </c>
      <c r="P246" s="21">
        <v>302</v>
      </c>
      <c r="Q246" s="55">
        <f t="shared" si="48"/>
        <v>1232</v>
      </c>
      <c r="R246" s="55">
        <f t="shared" si="49"/>
        <v>6164</v>
      </c>
    </row>
    <row r="247" spans="1:18" ht="16.5" customHeight="1" thickBot="1" x14ac:dyDescent="0.35">
      <c r="A247" s="74"/>
      <c r="B247" s="75"/>
      <c r="C247" s="75"/>
      <c r="D247" s="75"/>
      <c r="E247" s="60"/>
      <c r="F247" s="75"/>
      <c r="G247" s="75"/>
      <c r="H247" s="75"/>
      <c r="I247" s="59"/>
      <c r="J247" s="75"/>
      <c r="K247" s="75"/>
      <c r="L247" s="75"/>
      <c r="M247" s="59"/>
      <c r="N247" s="75"/>
      <c r="O247" s="75"/>
      <c r="P247" s="75"/>
      <c r="Q247" s="59"/>
      <c r="R247" s="59" t="s">
        <v>7</v>
      </c>
    </row>
    <row r="248" spans="1:18" ht="15.75" customHeight="1" x14ac:dyDescent="0.3">
      <c r="A248" s="76" t="s">
        <v>41</v>
      </c>
      <c r="B248" s="77">
        <f>SUM(B240:B246)</f>
        <v>44265</v>
      </c>
      <c r="C248" s="77">
        <f>SUM(C240:C246)</f>
        <v>75088</v>
      </c>
      <c r="D248" s="77">
        <f>SUM(D240:D246)</f>
        <v>74547</v>
      </c>
      <c r="E248" s="60">
        <f>SUM(B248:D248)</f>
        <v>193900</v>
      </c>
      <c r="F248" s="77">
        <f>SUM(F240:F246)</f>
        <v>51767</v>
      </c>
      <c r="G248" s="77">
        <f>SUM(G240:G246)</f>
        <v>47074</v>
      </c>
      <c r="H248" s="77">
        <f>SUM(H240:H246)</f>
        <v>44915</v>
      </c>
      <c r="I248" s="60">
        <f>SUM(F248:H248)</f>
        <v>143756</v>
      </c>
      <c r="J248" s="77">
        <f>SUM(J240:J246)</f>
        <v>39235</v>
      </c>
      <c r="K248" s="77">
        <f>SUM(K240:K246)</f>
        <v>36295</v>
      </c>
      <c r="L248" s="77">
        <f>SUM(L240:L246)</f>
        <v>41098</v>
      </c>
      <c r="M248" s="60">
        <f>SUM(J248:L248)</f>
        <v>116628</v>
      </c>
      <c r="N248" s="77">
        <f>SUM(N240:N246)</f>
        <v>86049</v>
      </c>
      <c r="O248" s="77">
        <f>SUM(O240:O246)</f>
        <v>145279</v>
      </c>
      <c r="P248" s="77">
        <f>SUM(P240:P246)</f>
        <v>106153</v>
      </c>
      <c r="Q248" s="92">
        <f>SUM(N248:P248)</f>
        <v>337481</v>
      </c>
      <c r="R248" s="60">
        <f>+E248+I248+M248+Q248</f>
        <v>791765</v>
      </c>
    </row>
    <row r="249" spans="1:18" ht="15.75" customHeight="1" x14ac:dyDescent="0.3">
      <c r="A249" s="79" t="s">
        <v>42</v>
      </c>
      <c r="B249" s="1">
        <f>(B248/31)/1.983</f>
        <v>720.0722268312918</v>
      </c>
      <c r="C249" s="1">
        <f>(C248/28)/1.983</f>
        <v>1352.3521360132554</v>
      </c>
      <c r="D249" s="1">
        <f>(D248/31)/1.983</f>
        <v>1212.6787370064906</v>
      </c>
      <c r="E249" s="55" t="s">
        <v>7</v>
      </c>
      <c r="F249" s="1">
        <f>(F248/30)/1.983</f>
        <v>870.17986216170777</v>
      </c>
      <c r="G249" s="1">
        <f>(G248/31)/1.983</f>
        <v>765.76708473638826</v>
      </c>
      <c r="H249" s="1">
        <f>(H248/30)/1.983</f>
        <v>755.00084047739119</v>
      </c>
      <c r="I249" s="55" t="s">
        <v>7</v>
      </c>
      <c r="J249" s="1">
        <f>(J248/31)/1.983</f>
        <v>638.24768597595698</v>
      </c>
      <c r="K249" s="1">
        <f>(K248/31)/1.983</f>
        <v>590.42181120166572</v>
      </c>
      <c r="L249" s="1">
        <f>(L248/30)/1.983</f>
        <v>690.8387964363759</v>
      </c>
      <c r="M249" s="55" t="s">
        <v>7</v>
      </c>
      <c r="N249" s="1">
        <f>(N248/31)/1.983</f>
        <v>1399.7852715826461</v>
      </c>
      <c r="O249" s="1">
        <f>(O248/30)/1.983</f>
        <v>2442.074298201378</v>
      </c>
      <c r="P249" s="1">
        <f>(P248/31)/1.983</f>
        <v>1726.8231581344655</v>
      </c>
      <c r="Q249" s="93" t="s">
        <v>7</v>
      </c>
      <c r="R249" s="55" t="s">
        <v>7</v>
      </c>
    </row>
    <row r="250" spans="1:18" ht="15.75" customHeight="1" x14ac:dyDescent="0.3">
      <c r="A250" s="79" t="s">
        <v>197</v>
      </c>
      <c r="B250" s="1">
        <f>(+B248+B374)+B257</f>
        <v>86696</v>
      </c>
      <c r="C250" s="1">
        <f>(+C248+C374)+C257</f>
        <v>123525</v>
      </c>
      <c r="D250" s="1">
        <f>(+D248+D374)+D257</f>
        <v>161765</v>
      </c>
      <c r="E250" s="55">
        <f>SUM(B250:D250)</f>
        <v>371986</v>
      </c>
      <c r="F250" s="1">
        <f>(+F248+F374)+F257</f>
        <v>166361</v>
      </c>
      <c r="G250" s="1">
        <f>(+G248+G374)+G257</f>
        <v>153385</v>
      </c>
      <c r="H250" s="1">
        <f>(+H248+H374)+H257</f>
        <v>126946</v>
      </c>
      <c r="I250" s="55">
        <f>SUM(F250:H250)</f>
        <v>446692</v>
      </c>
      <c r="J250" s="1">
        <f>(+J248+J374)+J257</f>
        <v>47909</v>
      </c>
      <c r="K250" s="1">
        <f>(+K248+K374)+K257</f>
        <v>44886</v>
      </c>
      <c r="L250" s="1">
        <f>(+L248+L374)+L257</f>
        <v>93865</v>
      </c>
      <c r="M250" s="55">
        <f>SUM(J250:L250)</f>
        <v>186660</v>
      </c>
      <c r="N250" s="1">
        <f>(+N248+N374)+N257</f>
        <v>141161</v>
      </c>
      <c r="O250" s="1">
        <f>(+O248+O374)+O257</f>
        <v>171806</v>
      </c>
      <c r="P250" s="1">
        <f>(+P248+P374)+P257</f>
        <v>140840</v>
      </c>
      <c r="Q250" s="93">
        <f>SUM(N250:P250)</f>
        <v>453807</v>
      </c>
      <c r="R250" s="55">
        <f>+E250+I250+M250+Q250</f>
        <v>1459145</v>
      </c>
    </row>
    <row r="251" spans="1:18" ht="16.5" customHeight="1" thickBot="1" x14ac:dyDescent="0.35">
      <c r="A251" s="80" t="s">
        <v>198</v>
      </c>
      <c r="B251" s="25">
        <f>(B250/31)/1.983</f>
        <v>1410.310217493859</v>
      </c>
      <c r="C251" s="25">
        <f>(C250/28)/1.983</f>
        <v>2224.7136373460125</v>
      </c>
      <c r="D251" s="25">
        <f>(D250/31)/1.983</f>
        <v>2631.4804873684379</v>
      </c>
      <c r="E251" s="81" t="s">
        <v>7</v>
      </c>
      <c r="F251" s="25">
        <f>(F250/30)/1.983</f>
        <v>2796.4531854093125</v>
      </c>
      <c r="G251" s="25">
        <f>(G250/31)/1.983</f>
        <v>2495.1604769573632</v>
      </c>
      <c r="H251" s="25">
        <f>(H250/30)/1.983</f>
        <v>2133.9048579593209</v>
      </c>
      <c r="I251" s="81" t="s">
        <v>7</v>
      </c>
      <c r="J251" s="25">
        <f>(J250/31)/1.983</f>
        <v>779.35028386446083</v>
      </c>
      <c r="K251" s="25">
        <f>(K250/31)/1.983</f>
        <v>730.17422282953487</v>
      </c>
      <c r="L251" s="25">
        <f>(L250/30)/1.983</f>
        <v>1577.8282064212472</v>
      </c>
      <c r="M251" s="81" t="s">
        <v>7</v>
      </c>
      <c r="N251" s="25">
        <f>(N250/30)/1.983</f>
        <v>2372.8525802655909</v>
      </c>
      <c r="O251" s="25">
        <f>(O250/30)/1.983</f>
        <v>2887.981173306438</v>
      </c>
      <c r="P251" s="25">
        <f>(P250/31)/1.983</f>
        <v>2291.0871439493758</v>
      </c>
      <c r="Q251" s="94" t="s">
        <v>7</v>
      </c>
      <c r="R251" s="81" t="s">
        <v>7</v>
      </c>
    </row>
    <row r="252" spans="1:18" ht="16.5" customHeight="1" thickBot="1" x14ac:dyDescent="0.35">
      <c r="A252" s="95" t="s">
        <v>199</v>
      </c>
      <c r="B252" s="96">
        <f>+(B250-(B137+B138+B139+B140+B142+B143+B152+B157+B169+B171+B173+B174+B187+B188+B189+B210+B223+B224+B225+B227+B228+B231+B232+B241+B245+B253)-B257)/(31*1.983)</f>
        <v>938.67226261936128</v>
      </c>
      <c r="C252" s="96">
        <f>+(C250-(C137+C138+C139+C140+C142+C143+C152+C157+C169+C171+C173+C174+C187+C188+C189+C210+C223+C224+C225+C227+C228+C231+C232+C241+C245+C253)-C257)/(31*1.983)</f>
        <v>1009.9881248678281</v>
      </c>
      <c r="D252" s="96">
        <f>+(D250-(D137+D138+D139+D140+D142+D143+D152+D157+D169+D171+D173+D174+D187+D188+D189+D210+D223+D224+D225+D227+D228+D231+D232+D241+D245+D253)-D257)/(31*1.983)</f>
        <v>1677.5657605778144</v>
      </c>
      <c r="E252" s="97"/>
      <c r="F252" s="96">
        <f>+(F250-(F137+F138+F139+F140+F142+F143+F152+F157+F169+F171+F173+F174+F187+F188+F189+F210+F223+F224+F225+F227+F228+F231+F232+F241+F245+F253)-F257)/(31*1.983)</f>
        <v>2153.4982837993912</v>
      </c>
      <c r="G252" s="96">
        <f>+(G250-(G137+G138+G139+G140+G142+G143+G152+G157+G169+G171+G173+G174+G187+G188+G189+G210+G223+G224+G225+G227+G228+G231+G232+G241+G245+G253)-G257)/(31*1.983)</f>
        <v>2528.8663315601971</v>
      </c>
      <c r="H252" s="96">
        <f>+(H250-(H137+H138+H139+H140+H142+H143+H152+H157+H169+H171+H173+H174+H187+H188+H189+H210+H223+H224+H225+H227+H228+H231+H232+H241+H245+H253)-H257)/(31*1.983)</f>
        <v>2998.4058041741901</v>
      </c>
      <c r="I252" s="97"/>
      <c r="J252" s="96">
        <f>+(J250-(J137+J138+J139+J140+J142+J143+J152+J157+J169+J171+J173+J174+J187+J188+J189+J210+J223+J224+J225+J227+J228+J231+J232+J241+J245+J253)-J257)/(31*1.983)</f>
        <v>3078.4246742472301</v>
      </c>
      <c r="K252" s="96">
        <f>+(K250-(K137+K138+K139+K140+K142+K143+K152+K157+K169+K171+K173+K174+K187+K188+K189+K210+K223+K224+K225+K227+K228+K231+K232+K241+K245+K253)-K257)/(31*1.983)</f>
        <v>3107.7871585899497</v>
      </c>
      <c r="L252" s="96">
        <f>+(L250-(L137+L138+L139+L140+L142+L143+L152+L157+L169+L171+L173+L174+L187+L188+L189+L210+L223+L224+L225+L227+L228+L231+L232+L241+L245+L253)-L257)/(31*1.983)</f>
        <v>1910.8226375807262</v>
      </c>
      <c r="M252" s="97"/>
      <c r="N252" s="96">
        <f>+(N250-(N137+N138+N139+N140+N142+N143+N152+N157+N169+N171+N173+N174+N187+N188+N189+N210+N223+N224+N225+N227+N228+N231+N232+N241+N245+N253)-N257)/(31*1.983)</f>
        <v>1175.4916792738275</v>
      </c>
      <c r="O252" s="96">
        <f>+(O250-(O137+O138+O139+O140+O142+O143+O152+O157+O169+O171+O173+O174+O187+O188+O189+O210+O223+O224+O225+O227+O228+O231+O232+O241+O245+O253)-O257)/(31*1.983)</f>
        <v>598.86454215671915</v>
      </c>
      <c r="P252" s="96">
        <f>+(P250-(P137+P138+P139+P140+P142+P143+P152+P157+P169+P171+P173+P174+P187+P188+P189+P210+P223+P224+P225+P227+P228+P231+P232+P241+P245+P253)-P257)/(31*1.983)</f>
        <v>727.47385030826536</v>
      </c>
      <c r="Q252" s="98"/>
      <c r="R252" s="97"/>
    </row>
    <row r="253" spans="1:18" ht="15.75" customHeight="1" x14ac:dyDescent="0.3">
      <c r="A253" s="299" t="s">
        <v>719</v>
      </c>
      <c r="B253" s="1">
        <v>3252</v>
      </c>
      <c r="C253" s="1">
        <v>3360</v>
      </c>
      <c r="D253" s="1">
        <v>3720</v>
      </c>
      <c r="E253" s="1"/>
      <c r="F253" s="1">
        <v>3600</v>
      </c>
      <c r="G253" s="1">
        <v>3720</v>
      </c>
      <c r="H253" s="1">
        <v>3600</v>
      </c>
      <c r="I253" s="1"/>
      <c r="J253" s="1">
        <v>3720</v>
      </c>
      <c r="K253" s="1">
        <v>3805</v>
      </c>
      <c r="L253" s="1">
        <v>3683</v>
      </c>
      <c r="M253" s="1"/>
      <c r="N253" s="1">
        <v>3805</v>
      </c>
      <c r="O253" s="1">
        <v>3683</v>
      </c>
      <c r="P253" s="1">
        <v>3805</v>
      </c>
      <c r="Q253" s="1"/>
      <c r="R253" s="2"/>
    </row>
    <row r="254" spans="1:18" ht="15.75" customHeight="1" thickBot="1" x14ac:dyDescent="0.35">
      <c r="A254" s="28"/>
      <c r="B254" s="1"/>
      <c r="C254" s="1"/>
      <c r="D254" s="1"/>
      <c r="E254" s="1"/>
      <c r="F254" s="1"/>
      <c r="G254" s="1"/>
      <c r="H254" s="1"/>
      <c r="I254" s="1"/>
      <c r="J254" s="1"/>
      <c r="K254" s="1"/>
      <c r="L254" s="1"/>
      <c r="M254" s="1"/>
      <c r="N254" s="1"/>
      <c r="O254" s="1"/>
      <c r="P254" s="1"/>
      <c r="Q254" s="1"/>
      <c r="R254" s="2"/>
    </row>
    <row r="255" spans="1:18" ht="16.5" customHeight="1" thickBot="1" x14ac:dyDescent="0.35">
      <c r="A255" s="29" t="s">
        <v>201</v>
      </c>
      <c r="B255" s="30" t="s">
        <v>8</v>
      </c>
      <c r="C255" s="31" t="s">
        <v>9</v>
      </c>
      <c r="D255" s="31" t="s">
        <v>10</v>
      </c>
      <c r="E255" s="32" t="s">
        <v>11</v>
      </c>
      <c r="F255" s="31" t="s">
        <v>12</v>
      </c>
      <c r="G255" s="31" t="s">
        <v>13</v>
      </c>
      <c r="H255" s="31" t="s">
        <v>14</v>
      </c>
      <c r="I255" s="33" t="s">
        <v>15</v>
      </c>
      <c r="J255" s="31" t="s">
        <v>16</v>
      </c>
      <c r="K255" s="31" t="s">
        <v>17</v>
      </c>
      <c r="L255" s="31" t="s">
        <v>18</v>
      </c>
      <c r="M255" s="33" t="s">
        <v>19</v>
      </c>
      <c r="N255" s="31" t="s">
        <v>20</v>
      </c>
      <c r="O255" s="31" t="s">
        <v>21</v>
      </c>
      <c r="P255" s="31" t="s">
        <v>22</v>
      </c>
      <c r="Q255" s="33" t="s">
        <v>23</v>
      </c>
      <c r="R255" s="34" t="s">
        <v>24</v>
      </c>
    </row>
    <row r="256" spans="1:18" ht="16.5" customHeight="1" thickBot="1" x14ac:dyDescent="0.35">
      <c r="A256" s="74"/>
      <c r="B256" s="75"/>
      <c r="C256" s="75"/>
      <c r="D256" s="75"/>
      <c r="E256" s="82"/>
      <c r="F256" s="75"/>
      <c r="G256" s="75"/>
      <c r="H256" s="75"/>
      <c r="I256" s="82"/>
      <c r="J256" s="75"/>
      <c r="K256" s="75"/>
      <c r="L256" s="75"/>
      <c r="M256" s="82"/>
      <c r="N256" s="75"/>
      <c r="O256" s="75"/>
      <c r="P256" s="75"/>
      <c r="Q256" s="82"/>
      <c r="R256" s="100"/>
    </row>
    <row r="257" spans="1:20" ht="15.75" customHeight="1" thickBot="1" x14ac:dyDescent="0.35">
      <c r="A257" s="71" t="s">
        <v>202</v>
      </c>
      <c r="B257" s="1">
        <v>0</v>
      </c>
      <c r="C257" s="1">
        <v>0</v>
      </c>
      <c r="D257" s="1">
        <v>0</v>
      </c>
      <c r="E257" s="55">
        <f>SUM(B257:D257)</f>
        <v>0</v>
      </c>
      <c r="F257" s="1">
        <v>0</v>
      </c>
      <c r="G257" s="1">
        <v>-25965</v>
      </c>
      <c r="H257" s="1">
        <v>-77908</v>
      </c>
      <c r="I257" s="55">
        <f>SUM(F257:H257)</f>
        <v>-103873</v>
      </c>
      <c r="J257" s="1">
        <v>-159336</v>
      </c>
      <c r="K257" s="1">
        <v>-161275</v>
      </c>
      <c r="L257" s="1">
        <v>-46169</v>
      </c>
      <c r="M257" s="55">
        <f>SUM(J257:L257)</f>
        <v>-366780</v>
      </c>
      <c r="N257" s="1">
        <v>0</v>
      </c>
      <c r="O257" s="1">
        <v>0</v>
      </c>
      <c r="P257" s="1">
        <v>0</v>
      </c>
      <c r="Q257" s="55">
        <f>SUM(N257:P257)</f>
        <v>0</v>
      </c>
      <c r="R257" s="55">
        <f>+E257+I257+M257+Q257</f>
        <v>-470653</v>
      </c>
    </row>
    <row r="258" spans="1:20" ht="16.5" customHeight="1" thickBot="1" x14ac:dyDescent="0.35">
      <c r="A258" s="101"/>
      <c r="B258" s="102"/>
      <c r="C258" s="102"/>
      <c r="D258" s="102"/>
      <c r="E258" s="103"/>
      <c r="F258" s="102"/>
      <c r="G258" s="102"/>
      <c r="H258" s="102"/>
      <c r="I258" s="103"/>
      <c r="J258" s="102"/>
      <c r="K258" s="102"/>
      <c r="L258" s="102"/>
      <c r="M258" s="103"/>
      <c r="N258" s="102"/>
      <c r="O258" s="102"/>
      <c r="P258" s="102"/>
      <c r="Q258" s="103"/>
      <c r="R258" s="104"/>
    </row>
    <row r="259" spans="1:20" ht="15.75" customHeight="1" x14ac:dyDescent="0.3">
      <c r="A259" s="15" t="s">
        <v>32</v>
      </c>
      <c r="B259" s="1">
        <f>B257</f>
        <v>0</v>
      </c>
      <c r="C259" s="1">
        <f>C257</f>
        <v>0</v>
      </c>
      <c r="D259" s="1">
        <f>D257</f>
        <v>0</v>
      </c>
      <c r="E259" s="55">
        <f>SUM(B259:D259)</f>
        <v>0</v>
      </c>
      <c r="F259" s="1">
        <f>F257</f>
        <v>0</v>
      </c>
      <c r="G259" s="1">
        <f>G257</f>
        <v>-25965</v>
      </c>
      <c r="H259" s="1">
        <f>H257</f>
        <v>-77908</v>
      </c>
      <c r="I259" s="55">
        <f>SUM(F259:H259)</f>
        <v>-103873</v>
      </c>
      <c r="J259" s="1">
        <f>J257</f>
        <v>-159336</v>
      </c>
      <c r="K259" s="1">
        <f>K257</f>
        <v>-161275</v>
      </c>
      <c r="L259" s="1">
        <f>L257</f>
        <v>-46169</v>
      </c>
      <c r="M259" s="55">
        <f>SUM(J259:L259)</f>
        <v>-366780</v>
      </c>
      <c r="N259" s="1">
        <f>N257</f>
        <v>0</v>
      </c>
      <c r="O259" s="1">
        <f>O257</f>
        <v>0</v>
      </c>
      <c r="P259" s="1">
        <f>P257</f>
        <v>0</v>
      </c>
      <c r="Q259" s="55">
        <f>SUM(N259:P259)</f>
        <v>0</v>
      </c>
      <c r="R259" s="105">
        <f>R257</f>
        <v>-470653</v>
      </c>
    </row>
    <row r="260" spans="1:20" ht="16.5" customHeight="1" thickBot="1" x14ac:dyDescent="0.35">
      <c r="A260" s="20" t="s">
        <v>42</v>
      </c>
      <c r="B260" s="21">
        <f>(B259/31)/1.983</f>
        <v>0</v>
      </c>
      <c r="C260" s="21">
        <f>(C259/28)/1.983</f>
        <v>0</v>
      </c>
      <c r="D260" s="21">
        <f>(D259/31)/1.983</f>
        <v>0</v>
      </c>
      <c r="E260" s="81"/>
      <c r="F260" s="21">
        <f>(F259/30)/1.983</f>
        <v>0</v>
      </c>
      <c r="G260" s="21">
        <f>(G259/31)/1.983</f>
        <v>-422.38055731784686</v>
      </c>
      <c r="H260" s="21">
        <f>(H259/30)/1.983</f>
        <v>-1309.5982518070264</v>
      </c>
      <c r="I260" s="81"/>
      <c r="J260" s="21">
        <f>(J259/31)/1.983</f>
        <v>-2591.9672051144403</v>
      </c>
      <c r="K260" s="21">
        <f>(K259/31)/1.983</f>
        <v>-2623.5095082393891</v>
      </c>
      <c r="L260" s="21">
        <f>(L259/30)/1.983</f>
        <v>-776.08001344763818</v>
      </c>
      <c r="M260" s="81"/>
      <c r="N260" s="21">
        <f>(N259/31)/1.983</f>
        <v>0</v>
      </c>
      <c r="O260" s="21">
        <f>(O259/30)/1.983</f>
        <v>0</v>
      </c>
      <c r="P260" s="21">
        <f>(P259/31)/1.983</f>
        <v>0</v>
      </c>
      <c r="Q260" s="81"/>
      <c r="R260" s="100" t="s">
        <v>7</v>
      </c>
      <c r="T260" s="4" t="s">
        <v>205</v>
      </c>
    </row>
    <row r="261" spans="1:20" ht="15.75" customHeight="1" x14ac:dyDescent="0.3">
      <c r="A261" s="2"/>
      <c r="B261" s="1"/>
      <c r="C261" s="1"/>
      <c r="D261" s="1"/>
      <c r="E261" s="1"/>
      <c r="F261" s="1"/>
      <c r="G261" s="1"/>
      <c r="H261" s="1"/>
      <c r="I261" s="1"/>
      <c r="J261" s="1"/>
      <c r="K261" s="1"/>
      <c r="L261" s="1"/>
      <c r="M261" s="1"/>
      <c r="N261" s="1"/>
      <c r="O261" s="1"/>
      <c r="P261" s="1"/>
      <c r="Q261" s="1"/>
      <c r="R261" s="2"/>
      <c r="T261" s="4" t="s">
        <v>206</v>
      </c>
    </row>
    <row r="262" spans="1:20" ht="16.5" customHeight="1" thickBot="1" x14ac:dyDescent="0.35">
      <c r="A262" s="106"/>
      <c r="B262" s="21"/>
      <c r="C262" s="21"/>
      <c r="D262" s="21"/>
      <c r="E262" s="21"/>
      <c r="F262" s="21"/>
      <c r="G262" s="21"/>
      <c r="H262" s="21"/>
      <c r="I262" s="21"/>
      <c r="J262" s="21"/>
      <c r="K262" s="21"/>
      <c r="L262" s="21"/>
      <c r="M262" s="21"/>
      <c r="N262" s="21"/>
      <c r="O262" s="21"/>
      <c r="P262" s="21"/>
      <c r="Q262" s="21"/>
      <c r="R262" s="106"/>
      <c r="T262" s="4" t="s">
        <v>205</v>
      </c>
    </row>
    <row r="263" spans="1:20" ht="16.5" customHeight="1" thickBot="1" x14ac:dyDescent="0.35">
      <c r="A263" s="107" t="s">
        <v>203</v>
      </c>
      <c r="B263" s="30" t="s">
        <v>8</v>
      </c>
      <c r="C263" s="31" t="s">
        <v>9</v>
      </c>
      <c r="D263" s="31" t="s">
        <v>10</v>
      </c>
      <c r="E263" s="32" t="s">
        <v>11</v>
      </c>
      <c r="F263" s="31" t="s">
        <v>12</v>
      </c>
      <c r="G263" s="31" t="s">
        <v>13</v>
      </c>
      <c r="H263" s="31" t="s">
        <v>14</v>
      </c>
      <c r="I263" s="33" t="s">
        <v>15</v>
      </c>
      <c r="J263" s="31" t="s">
        <v>16</v>
      </c>
      <c r="K263" s="31" t="s">
        <v>17</v>
      </c>
      <c r="L263" s="31" t="s">
        <v>18</v>
      </c>
      <c r="M263" s="33" t="s">
        <v>19</v>
      </c>
      <c r="N263" s="31" t="s">
        <v>20</v>
      </c>
      <c r="O263" s="31" t="s">
        <v>21</v>
      </c>
      <c r="P263" s="31" t="s">
        <v>22</v>
      </c>
      <c r="Q263" s="33" t="s">
        <v>23</v>
      </c>
      <c r="R263" s="34" t="s">
        <v>24</v>
      </c>
      <c r="T263" s="4" t="s">
        <v>209</v>
      </c>
    </row>
    <row r="264" spans="1:20" ht="16.5" customHeight="1" thickBot="1" x14ac:dyDescent="0.35">
      <c r="A264" s="59"/>
      <c r="B264" s="75"/>
      <c r="C264" s="75"/>
      <c r="D264" s="75"/>
      <c r="E264" s="69"/>
      <c r="F264" s="75"/>
      <c r="G264" s="75"/>
      <c r="H264" s="75"/>
      <c r="I264" s="82"/>
      <c r="J264" s="75"/>
      <c r="K264" s="75"/>
      <c r="L264" s="75"/>
      <c r="M264" s="82"/>
      <c r="N264" s="75"/>
      <c r="O264" s="75"/>
      <c r="P264" s="75"/>
      <c r="Q264" s="82"/>
      <c r="R264" s="105"/>
      <c r="T264" s="4" t="s">
        <v>210</v>
      </c>
    </row>
    <row r="265" spans="1:20" ht="15.75" customHeight="1" x14ac:dyDescent="0.3">
      <c r="A265" s="15" t="s">
        <v>48</v>
      </c>
      <c r="B265" s="1" t="s">
        <v>7</v>
      </c>
      <c r="C265" s="1" t="s">
        <v>7</v>
      </c>
      <c r="D265" s="1" t="s">
        <v>7</v>
      </c>
      <c r="E265" s="55" t="s">
        <v>7</v>
      </c>
      <c r="F265" s="1" t="s">
        <v>7</v>
      </c>
      <c r="G265" s="1" t="s">
        <v>7</v>
      </c>
      <c r="H265" s="1" t="s">
        <v>7</v>
      </c>
      <c r="I265" s="55" t="s">
        <v>7</v>
      </c>
      <c r="J265" s="1" t="s">
        <v>7</v>
      </c>
      <c r="K265" s="1" t="s">
        <v>7</v>
      </c>
      <c r="L265" s="1" t="s">
        <v>7</v>
      </c>
      <c r="M265" s="55" t="s">
        <v>7</v>
      </c>
      <c r="N265" s="1" t="s">
        <v>7</v>
      </c>
      <c r="O265" s="1" t="s">
        <v>7</v>
      </c>
      <c r="P265" s="1" t="s">
        <v>7</v>
      </c>
      <c r="Q265" s="55" t="s">
        <v>7</v>
      </c>
      <c r="R265" s="60" t="s">
        <v>7</v>
      </c>
      <c r="T265" s="4" t="s">
        <v>209</v>
      </c>
    </row>
    <row r="266" spans="1:20" ht="15.75" customHeight="1" x14ac:dyDescent="0.3">
      <c r="A266" s="15" t="s">
        <v>49</v>
      </c>
      <c r="B266" s="1"/>
      <c r="C266" s="1"/>
      <c r="D266" s="1"/>
      <c r="E266" s="55" t="s">
        <v>7</v>
      </c>
      <c r="F266" s="1"/>
      <c r="G266" s="1"/>
      <c r="H266" s="1"/>
      <c r="I266" s="55" t="s">
        <v>7</v>
      </c>
      <c r="J266" s="1"/>
      <c r="K266" s="1"/>
      <c r="L266" s="1"/>
      <c r="M266" s="55" t="s">
        <v>7</v>
      </c>
      <c r="N266" s="1"/>
      <c r="O266" s="1"/>
      <c r="P266" s="1"/>
      <c r="Q266" s="55" t="s">
        <v>7</v>
      </c>
      <c r="R266" s="55" t="s">
        <v>7</v>
      </c>
      <c r="T266" s="4" t="s">
        <v>209</v>
      </c>
    </row>
    <row r="267" spans="1:20" ht="15.75" customHeight="1" x14ac:dyDescent="0.3">
      <c r="A267" s="72" t="s">
        <v>204</v>
      </c>
      <c r="B267" s="1">
        <v>93</v>
      </c>
      <c r="C267" s="108">
        <v>97</v>
      </c>
      <c r="D267" s="1">
        <v>113</v>
      </c>
      <c r="E267" s="55">
        <f t="shared" ref="E267:E277" si="50">SUM(B267:D267)</f>
        <v>303</v>
      </c>
      <c r="F267" s="1">
        <v>101</v>
      </c>
      <c r="G267" s="1">
        <v>103</v>
      </c>
      <c r="H267" s="1">
        <v>117</v>
      </c>
      <c r="I267" s="55">
        <f t="shared" ref="I267:I277" si="51">SUM(F267:H267)</f>
        <v>321</v>
      </c>
      <c r="J267" s="1">
        <v>128</v>
      </c>
      <c r="K267" s="1">
        <v>119</v>
      </c>
      <c r="L267" s="1">
        <v>105</v>
      </c>
      <c r="M267" s="55">
        <f t="shared" ref="M267:M277" si="52">SUM(J267:L267)</f>
        <v>352</v>
      </c>
      <c r="N267" s="1">
        <v>79</v>
      </c>
      <c r="O267" s="1">
        <v>70</v>
      </c>
      <c r="P267" s="1">
        <v>112</v>
      </c>
      <c r="Q267" s="55">
        <f t="shared" ref="Q267:Q277" si="53">SUM(N267:P267)</f>
        <v>261</v>
      </c>
      <c r="R267" s="55">
        <f t="shared" ref="R267:R277" si="54">+E267+I267+M267+Q267</f>
        <v>1237</v>
      </c>
      <c r="T267" s="4" t="s">
        <v>210</v>
      </c>
    </row>
    <row r="268" spans="1:20" ht="15.75" customHeight="1" x14ac:dyDescent="0.3">
      <c r="A268" s="72" t="s">
        <v>632</v>
      </c>
      <c r="B268" s="1">
        <v>124</v>
      </c>
      <c r="C268" s="1">
        <v>97</v>
      </c>
      <c r="D268" s="1">
        <v>178</v>
      </c>
      <c r="E268" s="55">
        <f t="shared" si="50"/>
        <v>399</v>
      </c>
      <c r="F268" s="1">
        <v>263</v>
      </c>
      <c r="G268" s="1">
        <v>396</v>
      </c>
      <c r="H268" s="1">
        <v>410</v>
      </c>
      <c r="I268" s="55">
        <f t="shared" si="51"/>
        <v>1069</v>
      </c>
      <c r="J268" s="1">
        <v>432</v>
      </c>
      <c r="K268" s="1">
        <v>364</v>
      </c>
      <c r="L268" s="1">
        <v>332</v>
      </c>
      <c r="M268" s="55">
        <f t="shared" si="52"/>
        <v>1128</v>
      </c>
      <c r="N268" s="1">
        <v>474</v>
      </c>
      <c r="O268" s="1">
        <v>145</v>
      </c>
      <c r="P268" s="1">
        <v>87</v>
      </c>
      <c r="Q268" s="55">
        <f t="shared" si="53"/>
        <v>706</v>
      </c>
      <c r="R268" s="55">
        <f t="shared" si="54"/>
        <v>3302</v>
      </c>
      <c r="T268" s="4" t="s">
        <v>210</v>
      </c>
    </row>
    <row r="269" spans="1:20" ht="15.75" customHeight="1" x14ac:dyDescent="0.3">
      <c r="A269" s="72" t="s">
        <v>208</v>
      </c>
      <c r="B269" s="1">
        <v>39</v>
      </c>
      <c r="C269" s="1">
        <v>41</v>
      </c>
      <c r="D269" s="1">
        <v>94</v>
      </c>
      <c r="E269" s="55">
        <f t="shared" si="50"/>
        <v>174</v>
      </c>
      <c r="F269" s="1">
        <v>81</v>
      </c>
      <c r="G269" s="1">
        <v>144</v>
      </c>
      <c r="H269" s="1">
        <v>161</v>
      </c>
      <c r="I269" s="55">
        <f t="shared" si="51"/>
        <v>386</v>
      </c>
      <c r="J269" s="1">
        <v>272</v>
      </c>
      <c r="K269" s="1">
        <v>284</v>
      </c>
      <c r="L269" s="1">
        <v>137</v>
      </c>
      <c r="M269" s="55">
        <f t="shared" si="52"/>
        <v>693</v>
      </c>
      <c r="N269" s="1">
        <v>155</v>
      </c>
      <c r="O269" s="1">
        <v>54</v>
      </c>
      <c r="P269" s="1">
        <v>41</v>
      </c>
      <c r="Q269" s="55">
        <f t="shared" si="53"/>
        <v>250</v>
      </c>
      <c r="R269" s="55">
        <f t="shared" si="54"/>
        <v>1503</v>
      </c>
      <c r="T269" s="4" t="s">
        <v>214</v>
      </c>
    </row>
    <row r="270" spans="1:20" ht="15.75" customHeight="1" x14ac:dyDescent="0.3">
      <c r="A270" s="72" t="s">
        <v>116</v>
      </c>
      <c r="B270" s="1">
        <v>207</v>
      </c>
      <c r="C270" s="1">
        <v>2</v>
      </c>
      <c r="D270" s="1">
        <v>0</v>
      </c>
      <c r="E270" s="55">
        <f t="shared" si="50"/>
        <v>209</v>
      </c>
      <c r="F270" s="1">
        <v>0</v>
      </c>
      <c r="G270" s="1">
        <v>0</v>
      </c>
      <c r="H270" s="1">
        <v>486</v>
      </c>
      <c r="I270" s="55">
        <f t="shared" si="51"/>
        <v>486</v>
      </c>
      <c r="J270" s="1">
        <v>709</v>
      </c>
      <c r="K270" s="1">
        <v>691</v>
      </c>
      <c r="L270" s="1">
        <v>857</v>
      </c>
      <c r="M270" s="55">
        <f t="shared" si="52"/>
        <v>2257</v>
      </c>
      <c r="N270" s="1">
        <v>0</v>
      </c>
      <c r="O270" s="1">
        <v>0</v>
      </c>
      <c r="P270" s="1">
        <v>0</v>
      </c>
      <c r="Q270" s="55">
        <f t="shared" si="53"/>
        <v>0</v>
      </c>
      <c r="R270" s="55">
        <f t="shared" si="54"/>
        <v>2952</v>
      </c>
    </row>
    <row r="271" spans="1:20" ht="15.75" customHeight="1" x14ac:dyDescent="0.3">
      <c r="A271" s="72" t="s">
        <v>211</v>
      </c>
      <c r="B271" s="1">
        <v>19</v>
      </c>
      <c r="C271" s="1">
        <v>21</v>
      </c>
      <c r="D271" s="1">
        <v>58</v>
      </c>
      <c r="E271" s="55">
        <f t="shared" si="50"/>
        <v>98</v>
      </c>
      <c r="F271" s="1">
        <v>11</v>
      </c>
      <c r="G271" s="1">
        <v>25</v>
      </c>
      <c r="H271" s="1">
        <v>25</v>
      </c>
      <c r="I271" s="55">
        <f t="shared" si="51"/>
        <v>61</v>
      </c>
      <c r="J271" s="1">
        <v>23</v>
      </c>
      <c r="K271" s="1">
        <v>40</v>
      </c>
      <c r="L271" s="1">
        <v>78</v>
      </c>
      <c r="M271" s="55">
        <f t="shared" si="52"/>
        <v>141</v>
      </c>
      <c r="N271" s="1">
        <v>62</v>
      </c>
      <c r="O271" s="1">
        <v>27</v>
      </c>
      <c r="P271" s="1">
        <v>12</v>
      </c>
      <c r="Q271" s="55">
        <f t="shared" si="53"/>
        <v>101</v>
      </c>
      <c r="R271" s="55">
        <f t="shared" si="54"/>
        <v>401</v>
      </c>
      <c r="T271" s="4" t="s">
        <v>218</v>
      </c>
    </row>
    <row r="272" spans="1:20" ht="15.75" customHeight="1" x14ac:dyDescent="0.3">
      <c r="A272" s="72" t="s">
        <v>212</v>
      </c>
      <c r="B272" s="1">
        <v>0</v>
      </c>
      <c r="C272" s="1">
        <v>0</v>
      </c>
      <c r="D272" s="1">
        <v>0</v>
      </c>
      <c r="E272" s="55">
        <f t="shared" si="50"/>
        <v>0</v>
      </c>
      <c r="F272" s="1">
        <v>0</v>
      </c>
      <c r="G272" s="1">
        <v>0</v>
      </c>
      <c r="H272" s="1">
        <v>0</v>
      </c>
      <c r="I272" s="55">
        <f t="shared" si="51"/>
        <v>0</v>
      </c>
      <c r="J272" s="1">
        <v>0</v>
      </c>
      <c r="K272" s="1">
        <v>0</v>
      </c>
      <c r="L272" s="1">
        <v>0</v>
      </c>
      <c r="M272" s="55">
        <f t="shared" si="52"/>
        <v>0</v>
      </c>
      <c r="N272" s="1">
        <v>0</v>
      </c>
      <c r="O272" s="1">
        <v>0</v>
      </c>
      <c r="P272" s="1">
        <v>0</v>
      </c>
      <c r="Q272" s="55">
        <f t="shared" si="53"/>
        <v>0</v>
      </c>
      <c r="R272" s="55">
        <f t="shared" si="54"/>
        <v>0</v>
      </c>
      <c r="T272" s="4" t="s">
        <v>220</v>
      </c>
    </row>
    <row r="273" spans="1:20" ht="15.75" customHeight="1" x14ac:dyDescent="0.3">
      <c r="A273" s="72" t="s">
        <v>118</v>
      </c>
      <c r="B273" s="1">
        <v>0</v>
      </c>
      <c r="C273" s="1">
        <v>0</v>
      </c>
      <c r="D273" s="1">
        <v>0</v>
      </c>
      <c r="E273" s="55">
        <f t="shared" si="50"/>
        <v>0</v>
      </c>
      <c r="F273" s="1">
        <v>0</v>
      </c>
      <c r="G273" s="1">
        <v>0</v>
      </c>
      <c r="H273" s="1">
        <v>0</v>
      </c>
      <c r="I273" s="55">
        <f t="shared" si="51"/>
        <v>0</v>
      </c>
      <c r="J273" s="1">
        <v>0</v>
      </c>
      <c r="K273" s="1">
        <v>3542</v>
      </c>
      <c r="L273" s="1">
        <v>3693</v>
      </c>
      <c r="M273" s="55">
        <f t="shared" si="52"/>
        <v>7235</v>
      </c>
      <c r="N273" s="1">
        <v>0</v>
      </c>
      <c r="O273" s="1">
        <v>0</v>
      </c>
      <c r="P273" s="1">
        <v>0</v>
      </c>
      <c r="Q273" s="55">
        <f t="shared" si="53"/>
        <v>0</v>
      </c>
      <c r="R273" s="55">
        <f t="shared" si="54"/>
        <v>7235</v>
      </c>
      <c r="T273" s="4" t="s">
        <v>214</v>
      </c>
    </row>
    <row r="274" spans="1:20" ht="15.75" customHeight="1" x14ac:dyDescent="0.3">
      <c r="A274" s="72" t="s">
        <v>213</v>
      </c>
      <c r="B274" s="1">
        <v>26</v>
      </c>
      <c r="C274" s="1">
        <v>26</v>
      </c>
      <c r="D274" s="1">
        <v>44</v>
      </c>
      <c r="E274" s="55">
        <f t="shared" si="50"/>
        <v>96</v>
      </c>
      <c r="F274" s="1">
        <v>33</v>
      </c>
      <c r="G274" s="1">
        <v>18</v>
      </c>
      <c r="H274" s="1">
        <v>0</v>
      </c>
      <c r="I274" s="55">
        <f t="shared" si="51"/>
        <v>51</v>
      </c>
      <c r="J274" s="1">
        <v>0</v>
      </c>
      <c r="K274" s="1">
        <v>0</v>
      </c>
      <c r="L274" s="1">
        <v>0</v>
      </c>
      <c r="M274" s="55">
        <f t="shared" si="52"/>
        <v>0</v>
      </c>
      <c r="N274" s="1">
        <v>0</v>
      </c>
      <c r="O274" s="1">
        <v>0</v>
      </c>
      <c r="P274" s="1">
        <v>0</v>
      </c>
      <c r="Q274" s="55">
        <f t="shared" si="53"/>
        <v>0</v>
      </c>
      <c r="R274" s="55">
        <f t="shared" si="54"/>
        <v>147</v>
      </c>
      <c r="S274" s="300"/>
      <c r="T274" s="4" t="s">
        <v>209</v>
      </c>
    </row>
    <row r="275" spans="1:20" ht="15.75" customHeight="1" x14ac:dyDescent="0.3">
      <c r="A275" s="72" t="s">
        <v>215</v>
      </c>
      <c r="B275" s="1">
        <v>2905</v>
      </c>
      <c r="C275" s="1">
        <v>1288</v>
      </c>
      <c r="D275" s="1">
        <v>516</v>
      </c>
      <c r="E275" s="55">
        <f t="shared" si="50"/>
        <v>4709</v>
      </c>
      <c r="F275" s="1">
        <v>215</v>
      </c>
      <c r="G275" s="1">
        <v>1387</v>
      </c>
      <c r="H275" s="1">
        <v>3726</v>
      </c>
      <c r="I275" s="55">
        <f t="shared" si="51"/>
        <v>5328</v>
      </c>
      <c r="J275" s="1">
        <v>3725</v>
      </c>
      <c r="K275" s="1">
        <v>3824</v>
      </c>
      <c r="L275" s="1">
        <v>3901</v>
      </c>
      <c r="M275" s="55">
        <f t="shared" si="52"/>
        <v>11450</v>
      </c>
      <c r="N275" s="1">
        <v>4771</v>
      </c>
      <c r="O275" s="1">
        <v>4774</v>
      </c>
      <c r="P275" s="1">
        <v>4258</v>
      </c>
      <c r="Q275" s="55">
        <f t="shared" si="53"/>
        <v>13803</v>
      </c>
      <c r="R275" s="55">
        <f t="shared" si="54"/>
        <v>35290</v>
      </c>
      <c r="T275" s="4" t="s">
        <v>224</v>
      </c>
    </row>
    <row r="276" spans="1:20" ht="15.75" customHeight="1" x14ac:dyDescent="0.3">
      <c r="A276" s="72" t="s">
        <v>720</v>
      </c>
      <c r="B276" s="1">
        <v>0</v>
      </c>
      <c r="C276" s="1">
        <v>0</v>
      </c>
      <c r="D276" s="1">
        <v>0</v>
      </c>
      <c r="E276" s="55">
        <f t="shared" si="50"/>
        <v>0</v>
      </c>
      <c r="F276" s="1">
        <v>0</v>
      </c>
      <c r="G276" s="1">
        <v>0</v>
      </c>
      <c r="H276" s="1">
        <v>0</v>
      </c>
      <c r="I276" s="55">
        <f t="shared" si="51"/>
        <v>0</v>
      </c>
      <c r="J276" s="1">
        <v>0</v>
      </c>
      <c r="K276" s="1">
        <v>0</v>
      </c>
      <c r="L276" s="1">
        <v>0</v>
      </c>
      <c r="M276" s="55">
        <f t="shared" si="52"/>
        <v>0</v>
      </c>
      <c r="N276" s="1">
        <v>314</v>
      </c>
      <c r="O276" s="1">
        <v>2186</v>
      </c>
      <c r="P276" s="1">
        <v>0</v>
      </c>
      <c r="Q276" s="55">
        <f t="shared" si="53"/>
        <v>2500</v>
      </c>
      <c r="R276" s="55">
        <f t="shared" si="54"/>
        <v>2500</v>
      </c>
    </row>
    <row r="277" spans="1:20" ht="15.75" customHeight="1" x14ac:dyDescent="0.3">
      <c r="A277" s="72" t="s">
        <v>216</v>
      </c>
      <c r="B277" s="1">
        <v>0</v>
      </c>
      <c r="C277" s="1">
        <v>0</v>
      </c>
      <c r="D277" s="1">
        <v>24</v>
      </c>
      <c r="E277" s="55">
        <f t="shared" si="50"/>
        <v>24</v>
      </c>
      <c r="F277" s="1">
        <v>0</v>
      </c>
      <c r="G277" s="1">
        <v>0</v>
      </c>
      <c r="H277" s="1">
        <v>27</v>
      </c>
      <c r="I277" s="55">
        <f t="shared" si="51"/>
        <v>27</v>
      </c>
      <c r="J277" s="1">
        <v>110</v>
      </c>
      <c r="K277" s="1">
        <v>92</v>
      </c>
      <c r="L277" s="1">
        <v>95</v>
      </c>
      <c r="M277" s="55">
        <f t="shared" si="52"/>
        <v>297</v>
      </c>
      <c r="N277" s="1">
        <v>0</v>
      </c>
      <c r="O277" s="1">
        <v>0</v>
      </c>
      <c r="P277" s="1">
        <v>0</v>
      </c>
      <c r="Q277" s="55">
        <f t="shared" si="53"/>
        <v>0</v>
      </c>
      <c r="R277" s="55">
        <f t="shared" si="54"/>
        <v>348</v>
      </c>
      <c r="S277" s="4">
        <f>SUM(R267:R277)</f>
        <v>54915</v>
      </c>
      <c r="T277" s="4" t="s">
        <v>226</v>
      </c>
    </row>
    <row r="278" spans="1:20" ht="15.75" customHeight="1" x14ac:dyDescent="0.3">
      <c r="A278" s="15" t="s">
        <v>50</v>
      </c>
      <c r="B278" s="1"/>
      <c r="C278" s="1"/>
      <c r="D278" s="1"/>
      <c r="E278" s="55" t="s">
        <v>7</v>
      </c>
      <c r="F278" s="1"/>
      <c r="G278" s="1"/>
      <c r="H278" s="1"/>
      <c r="I278" s="55" t="s">
        <v>7</v>
      </c>
      <c r="J278" s="1"/>
      <c r="K278" s="1">
        <v>0</v>
      </c>
      <c r="L278" s="1"/>
      <c r="M278" s="55" t="s">
        <v>7</v>
      </c>
      <c r="N278" s="1"/>
      <c r="O278" s="1"/>
      <c r="P278" s="1"/>
      <c r="Q278" s="55" t="s">
        <v>7</v>
      </c>
      <c r="R278" s="55" t="s">
        <v>7</v>
      </c>
      <c r="T278" s="4" t="s">
        <v>214</v>
      </c>
    </row>
    <row r="279" spans="1:20" ht="15.75" customHeight="1" x14ac:dyDescent="0.3">
      <c r="A279" s="72" t="s">
        <v>217</v>
      </c>
      <c r="B279" s="1">
        <v>0</v>
      </c>
      <c r="C279" s="1">
        <v>0</v>
      </c>
      <c r="D279" s="1">
        <v>0</v>
      </c>
      <c r="E279" s="55">
        <f t="shared" ref="E279:E291" si="55">SUM(B279:D279)</f>
        <v>0</v>
      </c>
      <c r="F279" s="1">
        <v>0</v>
      </c>
      <c r="G279" s="1">
        <v>0</v>
      </c>
      <c r="H279" s="1">
        <v>0</v>
      </c>
      <c r="I279" s="55">
        <f t="shared" ref="I279:I291" si="56">SUM(F279:H279)</f>
        <v>0</v>
      </c>
      <c r="J279" s="1">
        <v>0</v>
      </c>
      <c r="K279" s="1">
        <v>0</v>
      </c>
      <c r="L279" s="1">
        <v>0</v>
      </c>
      <c r="M279" s="55">
        <f t="shared" ref="M279:M291" si="57">SUM(J279:L279)</f>
        <v>0</v>
      </c>
      <c r="N279" s="1">
        <v>0</v>
      </c>
      <c r="O279" s="1">
        <v>0</v>
      </c>
      <c r="P279" s="1">
        <v>0</v>
      </c>
      <c r="Q279" s="55">
        <f t="shared" ref="Q279:Q291" si="58">SUM(N279:P279)</f>
        <v>0</v>
      </c>
      <c r="R279" s="55">
        <f t="shared" ref="R279:R291" si="59">+E279+I279+M279+Q279</f>
        <v>0</v>
      </c>
      <c r="T279" s="4" t="s">
        <v>206</v>
      </c>
    </row>
    <row r="280" spans="1:20" ht="15.75" customHeight="1" x14ac:dyDescent="0.3">
      <c r="A280" s="72" t="s">
        <v>219</v>
      </c>
      <c r="B280" s="1">
        <v>0</v>
      </c>
      <c r="C280" s="1">
        <v>0</v>
      </c>
      <c r="D280" s="1">
        <v>4</v>
      </c>
      <c r="E280" s="55">
        <f>SUM(B280:D280)</f>
        <v>4</v>
      </c>
      <c r="F280" s="1">
        <v>7</v>
      </c>
      <c r="G280" s="1">
        <v>18</v>
      </c>
      <c r="H280" s="1">
        <v>15</v>
      </c>
      <c r="I280" s="55">
        <f>SUM(F280:H280)</f>
        <v>40</v>
      </c>
      <c r="J280" s="1">
        <v>18</v>
      </c>
      <c r="K280" s="1">
        <v>12</v>
      </c>
      <c r="L280" s="1">
        <v>15</v>
      </c>
      <c r="M280" s="55">
        <f>SUM(J280:L280)</f>
        <v>45</v>
      </c>
      <c r="N280" s="1">
        <v>24</v>
      </c>
      <c r="O280" s="1">
        <v>9</v>
      </c>
      <c r="P280" s="1">
        <v>9</v>
      </c>
      <c r="Q280" s="55">
        <f>SUM(N280:P280)</f>
        <v>42</v>
      </c>
      <c r="R280" s="55">
        <f>+E280+I280+M280+Q280</f>
        <v>131</v>
      </c>
      <c r="T280" s="4" t="s">
        <v>206</v>
      </c>
    </row>
    <row r="281" spans="1:20" ht="15.75" customHeight="1" x14ac:dyDescent="0.3">
      <c r="A281" s="72" t="s">
        <v>221</v>
      </c>
      <c r="B281" s="1">
        <v>0</v>
      </c>
      <c r="C281" s="1">
        <v>0</v>
      </c>
      <c r="D281" s="1">
        <v>0</v>
      </c>
      <c r="E281" s="55">
        <f t="shared" si="55"/>
        <v>0</v>
      </c>
      <c r="F281" s="1">
        <v>0</v>
      </c>
      <c r="G281" s="1">
        <v>8</v>
      </c>
      <c r="H281" s="1">
        <v>47</v>
      </c>
      <c r="I281" s="55">
        <f t="shared" si="56"/>
        <v>55</v>
      </c>
      <c r="J281" s="1">
        <v>52</v>
      </c>
      <c r="K281" s="1">
        <v>46</v>
      </c>
      <c r="L281" s="1">
        <v>62</v>
      </c>
      <c r="M281" s="55">
        <f t="shared" si="57"/>
        <v>160</v>
      </c>
      <c r="N281" s="1">
        <v>79</v>
      </c>
      <c r="O281" s="1">
        <v>28</v>
      </c>
      <c r="P281" s="1">
        <v>26</v>
      </c>
      <c r="Q281" s="55">
        <f t="shared" si="58"/>
        <v>133</v>
      </c>
      <c r="R281" s="55">
        <f>+E281+I281+M281+Q281</f>
        <v>348</v>
      </c>
      <c r="T281" s="4" t="s">
        <v>209</v>
      </c>
    </row>
    <row r="282" spans="1:20" ht="15.75" customHeight="1" x14ac:dyDescent="0.3">
      <c r="A282" s="72" t="s">
        <v>721</v>
      </c>
      <c r="B282" s="1">
        <v>0</v>
      </c>
      <c r="C282" s="1">
        <v>0</v>
      </c>
      <c r="D282" s="1">
        <v>0</v>
      </c>
      <c r="E282" s="55">
        <f>SUM(B282:D282)</f>
        <v>0</v>
      </c>
      <c r="F282" s="1">
        <v>0</v>
      </c>
      <c r="G282" s="1">
        <v>0</v>
      </c>
      <c r="H282" s="1">
        <v>0</v>
      </c>
      <c r="I282" s="55">
        <f>SUM(F282:H282)</f>
        <v>0</v>
      </c>
      <c r="J282" s="1">
        <v>0</v>
      </c>
      <c r="K282" s="1">
        <v>0</v>
      </c>
      <c r="L282" s="1">
        <v>3</v>
      </c>
      <c r="M282" s="55">
        <f>SUM(J282:L282)</f>
        <v>3</v>
      </c>
      <c r="N282" s="1">
        <v>3</v>
      </c>
      <c r="O282" s="1">
        <v>2</v>
      </c>
      <c r="P282" s="1">
        <v>2</v>
      </c>
      <c r="Q282" s="55">
        <f>SUM(N282:P282)</f>
        <v>7</v>
      </c>
      <c r="R282" s="55">
        <f>+E282+I282+M282+Q282</f>
        <v>10</v>
      </c>
      <c r="T282" s="4" t="s">
        <v>209</v>
      </c>
    </row>
    <row r="283" spans="1:20" ht="15.75" customHeight="1" x14ac:dyDescent="0.3">
      <c r="A283" s="72" t="s">
        <v>633</v>
      </c>
      <c r="B283" s="1">
        <v>23</v>
      </c>
      <c r="C283" s="1">
        <v>20</v>
      </c>
      <c r="D283" s="1">
        <v>41</v>
      </c>
      <c r="E283" s="55">
        <f t="shared" si="55"/>
        <v>84</v>
      </c>
      <c r="F283" s="1">
        <v>51</v>
      </c>
      <c r="G283" s="1">
        <v>67</v>
      </c>
      <c r="H283" s="1">
        <v>69</v>
      </c>
      <c r="I283" s="55">
        <f t="shared" si="56"/>
        <v>187</v>
      </c>
      <c r="J283" s="1">
        <v>73</v>
      </c>
      <c r="K283" s="1">
        <v>61</v>
      </c>
      <c r="L283" s="1">
        <v>43</v>
      </c>
      <c r="M283" s="55">
        <f t="shared" si="57"/>
        <v>177</v>
      </c>
      <c r="N283" s="1">
        <v>60</v>
      </c>
      <c r="O283" s="1">
        <v>25</v>
      </c>
      <c r="P283" s="1">
        <v>14</v>
      </c>
      <c r="Q283" s="55">
        <f t="shared" si="58"/>
        <v>99</v>
      </c>
      <c r="R283" s="55">
        <f t="shared" si="59"/>
        <v>547</v>
      </c>
    </row>
    <row r="284" spans="1:20" ht="15.75" customHeight="1" x14ac:dyDescent="0.3">
      <c r="A284" s="72" t="s">
        <v>222</v>
      </c>
      <c r="B284" s="1">
        <v>0</v>
      </c>
      <c r="C284" s="1">
        <v>0</v>
      </c>
      <c r="D284" s="1">
        <v>0</v>
      </c>
      <c r="E284" s="55">
        <f t="shared" si="55"/>
        <v>0</v>
      </c>
      <c r="F284" s="1">
        <v>0</v>
      </c>
      <c r="G284" s="1">
        <v>0</v>
      </c>
      <c r="H284" s="1">
        <v>0</v>
      </c>
      <c r="I284" s="55">
        <f t="shared" si="56"/>
        <v>0</v>
      </c>
      <c r="J284" s="1">
        <v>0</v>
      </c>
      <c r="K284" s="1">
        <v>0</v>
      </c>
      <c r="L284" s="1">
        <v>0</v>
      </c>
      <c r="M284" s="55">
        <f t="shared" si="57"/>
        <v>0</v>
      </c>
      <c r="N284" s="1">
        <v>0</v>
      </c>
      <c r="O284" s="1">
        <v>0</v>
      </c>
      <c r="P284" s="1">
        <v>2</v>
      </c>
      <c r="Q284" s="55">
        <f t="shared" si="58"/>
        <v>2</v>
      </c>
      <c r="R284" s="55">
        <f t="shared" si="59"/>
        <v>2</v>
      </c>
      <c r="T284" s="4" t="s">
        <v>209</v>
      </c>
    </row>
    <row r="285" spans="1:20" ht="15.75" customHeight="1" x14ac:dyDescent="0.3">
      <c r="A285" s="72" t="s">
        <v>225</v>
      </c>
      <c r="B285" s="1">
        <v>1</v>
      </c>
      <c r="C285" s="1">
        <v>3</v>
      </c>
      <c r="D285" s="1">
        <v>5</v>
      </c>
      <c r="E285" s="55">
        <f t="shared" si="55"/>
        <v>9</v>
      </c>
      <c r="F285" s="1">
        <v>26</v>
      </c>
      <c r="G285" s="1">
        <v>48</v>
      </c>
      <c r="H285" s="1">
        <v>59</v>
      </c>
      <c r="I285" s="55">
        <f t="shared" si="56"/>
        <v>133</v>
      </c>
      <c r="J285" s="1">
        <v>81</v>
      </c>
      <c r="K285" s="1">
        <v>103</v>
      </c>
      <c r="L285" s="1">
        <v>101</v>
      </c>
      <c r="M285" s="55">
        <f t="shared" si="57"/>
        <v>285</v>
      </c>
      <c r="N285" s="1">
        <v>74</v>
      </c>
      <c r="O285" s="1">
        <v>23</v>
      </c>
      <c r="P285" s="1">
        <v>0</v>
      </c>
      <c r="Q285" s="55">
        <f t="shared" si="58"/>
        <v>97</v>
      </c>
      <c r="R285" s="55">
        <f t="shared" si="59"/>
        <v>524</v>
      </c>
      <c r="T285" s="4" t="s">
        <v>235</v>
      </c>
    </row>
    <row r="286" spans="1:20" ht="15.75" customHeight="1" x14ac:dyDescent="0.3">
      <c r="A286" s="72" t="s">
        <v>227</v>
      </c>
      <c r="B286" s="1">
        <v>1</v>
      </c>
      <c r="C286" s="1">
        <v>1</v>
      </c>
      <c r="D286" s="1">
        <v>1</v>
      </c>
      <c r="E286" s="55">
        <f t="shared" si="55"/>
        <v>3</v>
      </c>
      <c r="F286" s="1">
        <v>1</v>
      </c>
      <c r="G286" s="1">
        <v>1</v>
      </c>
      <c r="H286" s="1">
        <v>1</v>
      </c>
      <c r="I286" s="55">
        <f t="shared" si="56"/>
        <v>3</v>
      </c>
      <c r="J286" s="1">
        <v>2</v>
      </c>
      <c r="K286" s="1">
        <v>2</v>
      </c>
      <c r="L286" s="1">
        <v>2</v>
      </c>
      <c r="M286" s="55">
        <f t="shared" si="57"/>
        <v>6</v>
      </c>
      <c r="N286" s="1">
        <v>2</v>
      </c>
      <c r="O286" s="1">
        <v>1</v>
      </c>
      <c r="P286" s="1">
        <v>0</v>
      </c>
      <c r="Q286" s="55">
        <f t="shared" si="58"/>
        <v>3</v>
      </c>
      <c r="R286" s="55">
        <f t="shared" si="59"/>
        <v>15</v>
      </c>
      <c r="T286" s="4" t="s">
        <v>209</v>
      </c>
    </row>
    <row r="287" spans="1:20" ht="15.75" customHeight="1" x14ac:dyDescent="0.3">
      <c r="A287" s="72" t="s">
        <v>216</v>
      </c>
      <c r="B287" s="1">
        <v>0</v>
      </c>
      <c r="C287" s="1">
        <v>0</v>
      </c>
      <c r="D287" s="1">
        <v>0</v>
      </c>
      <c r="E287" s="55">
        <f t="shared" si="55"/>
        <v>0</v>
      </c>
      <c r="F287" s="1">
        <v>0</v>
      </c>
      <c r="G287" s="1">
        <v>0</v>
      </c>
      <c r="H287" s="1">
        <v>0</v>
      </c>
      <c r="I287" s="55">
        <f t="shared" si="56"/>
        <v>0</v>
      </c>
      <c r="J287" s="1">
        <v>0</v>
      </c>
      <c r="K287" s="1">
        <v>0</v>
      </c>
      <c r="L287" s="1">
        <v>0</v>
      </c>
      <c r="M287" s="55">
        <f t="shared" si="57"/>
        <v>0</v>
      </c>
      <c r="N287" s="1">
        <v>52</v>
      </c>
      <c r="O287" s="1">
        <v>0</v>
      </c>
      <c r="P287" s="1">
        <v>0</v>
      </c>
      <c r="Q287" s="55">
        <f t="shared" si="58"/>
        <v>52</v>
      </c>
      <c r="R287" s="55">
        <f t="shared" si="59"/>
        <v>52</v>
      </c>
      <c r="T287" s="4" t="s">
        <v>209</v>
      </c>
    </row>
    <row r="288" spans="1:20" ht="15.75" customHeight="1" x14ac:dyDescent="0.3">
      <c r="A288" s="72" t="s">
        <v>228</v>
      </c>
      <c r="B288" s="1">
        <v>33</v>
      </c>
      <c r="C288" s="1">
        <v>53</v>
      </c>
      <c r="D288" s="1">
        <v>10</v>
      </c>
      <c r="E288" s="55">
        <f t="shared" si="55"/>
        <v>96</v>
      </c>
      <c r="F288" s="1">
        <v>26</v>
      </c>
      <c r="G288" s="1">
        <v>0</v>
      </c>
      <c r="H288" s="1">
        <v>0</v>
      </c>
      <c r="I288" s="55">
        <f t="shared" si="56"/>
        <v>26</v>
      </c>
      <c r="J288" s="1">
        <v>9</v>
      </c>
      <c r="K288" s="1">
        <v>10</v>
      </c>
      <c r="L288" s="1">
        <v>261</v>
      </c>
      <c r="M288" s="55">
        <f t="shared" si="57"/>
        <v>280</v>
      </c>
      <c r="N288" s="1">
        <v>70</v>
      </c>
      <c r="O288" s="1">
        <v>25</v>
      </c>
      <c r="P288" s="1">
        <v>16</v>
      </c>
      <c r="Q288" s="55">
        <f t="shared" si="58"/>
        <v>111</v>
      </c>
      <c r="R288" s="55">
        <f t="shared" si="59"/>
        <v>513</v>
      </c>
      <c r="T288" s="4" t="s">
        <v>214</v>
      </c>
    </row>
    <row r="289" spans="1:20" ht="15.75" customHeight="1" x14ac:dyDescent="0.3">
      <c r="A289" s="72" t="s">
        <v>229</v>
      </c>
      <c r="B289" s="1">
        <v>2</v>
      </c>
      <c r="C289" s="1">
        <v>1</v>
      </c>
      <c r="D289" s="1">
        <v>2</v>
      </c>
      <c r="E289" s="55">
        <f t="shared" si="55"/>
        <v>5</v>
      </c>
      <c r="F289" s="1">
        <v>2</v>
      </c>
      <c r="G289" s="1">
        <v>2</v>
      </c>
      <c r="H289" s="1">
        <v>2</v>
      </c>
      <c r="I289" s="55">
        <f t="shared" si="56"/>
        <v>6</v>
      </c>
      <c r="J289" s="1">
        <v>1</v>
      </c>
      <c r="K289" s="1">
        <v>3</v>
      </c>
      <c r="L289" s="1">
        <v>2</v>
      </c>
      <c r="M289" s="55">
        <f t="shared" si="57"/>
        <v>6</v>
      </c>
      <c r="N289" s="1">
        <v>3</v>
      </c>
      <c r="O289" s="1">
        <v>2</v>
      </c>
      <c r="P289" s="1">
        <v>0</v>
      </c>
      <c r="Q289" s="55">
        <f t="shared" si="58"/>
        <v>5</v>
      </c>
      <c r="R289" s="55">
        <f t="shared" si="59"/>
        <v>22</v>
      </c>
      <c r="T289" s="4" t="s">
        <v>241</v>
      </c>
    </row>
    <row r="290" spans="1:20" ht="15.75" customHeight="1" x14ac:dyDescent="0.3">
      <c r="A290" s="72" t="s">
        <v>635</v>
      </c>
      <c r="B290" s="1">
        <v>0</v>
      </c>
      <c r="C290" s="1">
        <v>0</v>
      </c>
      <c r="D290" s="1">
        <v>0</v>
      </c>
      <c r="E290" s="55">
        <f t="shared" si="55"/>
        <v>0</v>
      </c>
      <c r="F290" s="1">
        <v>0</v>
      </c>
      <c r="G290" s="1">
        <v>0</v>
      </c>
      <c r="H290" s="1">
        <v>28</v>
      </c>
      <c r="I290" s="55">
        <f t="shared" si="56"/>
        <v>28</v>
      </c>
      <c r="J290" s="1">
        <v>52</v>
      </c>
      <c r="K290" s="1">
        <v>22</v>
      </c>
      <c r="L290" s="1">
        <v>4</v>
      </c>
      <c r="M290" s="55">
        <f t="shared" si="57"/>
        <v>78</v>
      </c>
      <c r="N290" s="1">
        <v>20</v>
      </c>
      <c r="O290" s="1">
        <v>0</v>
      </c>
      <c r="P290" s="1">
        <v>0</v>
      </c>
      <c r="Q290" s="55">
        <f t="shared" si="58"/>
        <v>20</v>
      </c>
      <c r="R290" s="55">
        <f t="shared" si="59"/>
        <v>126</v>
      </c>
    </row>
    <row r="291" spans="1:20" ht="15.75" customHeight="1" x14ac:dyDescent="0.3">
      <c r="A291" s="72" t="s">
        <v>237</v>
      </c>
      <c r="B291" s="1">
        <v>8</v>
      </c>
      <c r="C291" s="1">
        <v>8</v>
      </c>
      <c r="D291" s="1">
        <v>15</v>
      </c>
      <c r="E291" s="55">
        <f t="shared" si="55"/>
        <v>31</v>
      </c>
      <c r="F291" s="1">
        <v>24</v>
      </c>
      <c r="G291" s="1">
        <v>32</v>
      </c>
      <c r="H291" s="1">
        <v>33</v>
      </c>
      <c r="I291" s="55">
        <f t="shared" si="56"/>
        <v>89</v>
      </c>
      <c r="J291" s="1">
        <v>36</v>
      </c>
      <c r="K291" s="1">
        <v>35</v>
      </c>
      <c r="L291" s="1">
        <v>21</v>
      </c>
      <c r="M291" s="55">
        <f t="shared" si="57"/>
        <v>92</v>
      </c>
      <c r="N291" s="1">
        <v>46</v>
      </c>
      <c r="O291" s="1">
        <v>70</v>
      </c>
      <c r="P291" s="1">
        <v>7</v>
      </c>
      <c r="Q291" s="55">
        <f t="shared" si="58"/>
        <v>123</v>
      </c>
      <c r="R291" s="55">
        <f t="shared" si="59"/>
        <v>335</v>
      </c>
    </row>
    <row r="292" spans="1:20" ht="15.75" customHeight="1" x14ac:dyDescent="0.3">
      <c r="A292" s="15" t="s">
        <v>51</v>
      </c>
      <c r="B292" s="1"/>
      <c r="C292" s="1"/>
      <c r="D292" s="1"/>
      <c r="E292" s="55" t="s">
        <v>7</v>
      </c>
      <c r="F292" s="1"/>
      <c r="G292" s="1"/>
      <c r="H292" s="1"/>
      <c r="I292" s="55" t="s">
        <v>7</v>
      </c>
      <c r="J292" s="1"/>
      <c r="K292" s="1">
        <v>0</v>
      </c>
      <c r="L292" s="1"/>
      <c r="M292" s="55" t="s">
        <v>7</v>
      </c>
      <c r="N292" s="1"/>
      <c r="O292" s="1"/>
      <c r="P292" s="1"/>
      <c r="Q292" s="55" t="s">
        <v>7</v>
      </c>
      <c r="R292" s="55" t="s">
        <v>7</v>
      </c>
      <c r="T292" s="4" t="s">
        <v>214</v>
      </c>
    </row>
    <row r="293" spans="1:20" ht="15.75" customHeight="1" x14ac:dyDescent="0.3">
      <c r="A293" s="72" t="s">
        <v>722</v>
      </c>
      <c r="B293" s="1">
        <v>0</v>
      </c>
      <c r="C293" s="1">
        <v>0</v>
      </c>
      <c r="D293" s="1">
        <v>290</v>
      </c>
      <c r="E293" s="55">
        <f>SUM(B293:D293)</f>
        <v>290</v>
      </c>
      <c r="F293" s="1">
        <v>0</v>
      </c>
      <c r="G293" s="1">
        <v>0</v>
      </c>
      <c r="H293" s="1">
        <v>0</v>
      </c>
      <c r="I293" s="55">
        <f>SUM(F293:H293)</f>
        <v>0</v>
      </c>
      <c r="J293" s="1">
        <v>0</v>
      </c>
      <c r="K293" s="1">
        <v>0</v>
      </c>
      <c r="L293" s="1">
        <v>0</v>
      </c>
      <c r="M293" s="55">
        <f>SUM(J293:L293)</f>
        <v>0</v>
      </c>
      <c r="N293" s="1">
        <v>0</v>
      </c>
      <c r="O293" s="1">
        <v>0</v>
      </c>
      <c r="P293" s="1">
        <v>0</v>
      </c>
      <c r="Q293" s="55">
        <f>SUM(N293:P293)</f>
        <v>0</v>
      </c>
      <c r="R293" s="55">
        <f>+E293+I293+M293+Q293</f>
        <v>290</v>
      </c>
      <c r="T293" s="4" t="s">
        <v>246</v>
      </c>
    </row>
    <row r="294" spans="1:20" ht="15.75" customHeight="1" x14ac:dyDescent="0.3">
      <c r="A294" s="72" t="s">
        <v>723</v>
      </c>
      <c r="B294" s="1">
        <v>0</v>
      </c>
      <c r="C294" s="1">
        <v>0</v>
      </c>
      <c r="D294" s="1">
        <v>0</v>
      </c>
      <c r="E294" s="55">
        <f>SUM(B294:D294)</f>
        <v>0</v>
      </c>
      <c r="F294" s="1">
        <v>0</v>
      </c>
      <c r="G294" s="1">
        <v>0</v>
      </c>
      <c r="H294" s="1">
        <v>0</v>
      </c>
      <c r="I294" s="55">
        <f>SUM(F294:H294)</f>
        <v>0</v>
      </c>
      <c r="J294" s="1">
        <v>0</v>
      </c>
      <c r="K294" s="1">
        <v>3979</v>
      </c>
      <c r="L294" s="1">
        <v>4561</v>
      </c>
      <c r="M294" s="55">
        <f>SUM(J294:L294)</f>
        <v>8540</v>
      </c>
      <c r="N294" s="1">
        <v>460</v>
      </c>
      <c r="O294" s="1">
        <v>0</v>
      </c>
      <c r="P294" s="1">
        <v>0</v>
      </c>
      <c r="Q294" s="55">
        <f>SUM(N294:P294)</f>
        <v>460</v>
      </c>
      <c r="R294" s="55">
        <f>+E294+I294+M294+Q294</f>
        <v>9000</v>
      </c>
      <c r="T294" s="4" t="s">
        <v>209</v>
      </c>
    </row>
    <row r="295" spans="1:20" ht="15.75" customHeight="1" x14ac:dyDescent="0.3">
      <c r="A295" s="72" t="s">
        <v>724</v>
      </c>
      <c r="B295" s="1">
        <v>0</v>
      </c>
      <c r="C295" s="1">
        <v>0</v>
      </c>
      <c r="D295" s="1">
        <v>0</v>
      </c>
      <c r="E295" s="55">
        <f>SUM(B295:D295)</f>
        <v>0</v>
      </c>
      <c r="F295" s="1">
        <v>0</v>
      </c>
      <c r="G295" s="1">
        <v>2209</v>
      </c>
      <c r="H295" s="1">
        <v>791</v>
      </c>
      <c r="I295" s="55">
        <f>SUM(F295:H295)</f>
        <v>3000</v>
      </c>
      <c r="J295" s="1">
        <v>0</v>
      </c>
      <c r="K295" s="1">
        <v>0</v>
      </c>
      <c r="L295" s="1">
        <v>0</v>
      </c>
      <c r="M295" s="55">
        <f>SUM(J295:L295)</f>
        <v>0</v>
      </c>
      <c r="N295" s="1">
        <v>0</v>
      </c>
      <c r="O295" s="1">
        <v>0</v>
      </c>
      <c r="P295" s="1">
        <v>0</v>
      </c>
      <c r="Q295" s="55">
        <f>SUM(N295:P295)</f>
        <v>0</v>
      </c>
      <c r="R295" s="55">
        <f>+E295+I295+M295+Q295</f>
        <v>3000</v>
      </c>
      <c r="T295" s="4" t="s">
        <v>249</v>
      </c>
    </row>
    <row r="296" spans="1:20" ht="15.75" customHeight="1" x14ac:dyDescent="0.3">
      <c r="A296" s="72" t="s">
        <v>725</v>
      </c>
      <c r="B296" s="1">
        <v>0</v>
      </c>
      <c r="C296" s="1">
        <v>0</v>
      </c>
      <c r="D296" s="1">
        <v>0</v>
      </c>
      <c r="E296" s="55">
        <f>SUM(B296:D296)</f>
        <v>0</v>
      </c>
      <c r="F296" s="1">
        <v>0</v>
      </c>
      <c r="G296" s="1">
        <v>0</v>
      </c>
      <c r="H296" s="1">
        <v>0</v>
      </c>
      <c r="I296" s="55">
        <f>SUM(F296:H296)</f>
        <v>0</v>
      </c>
      <c r="J296" s="1">
        <v>0</v>
      </c>
      <c r="K296" s="1">
        <v>0</v>
      </c>
      <c r="L296" s="1">
        <v>0</v>
      </c>
      <c r="M296" s="55">
        <f>SUM(J296:L296)</f>
        <v>0</v>
      </c>
      <c r="N296" s="1">
        <v>0</v>
      </c>
      <c r="O296" s="1">
        <v>0</v>
      </c>
      <c r="P296" s="1">
        <v>0</v>
      </c>
      <c r="Q296" s="55">
        <f>SUM(N296:P296)</f>
        <v>0</v>
      </c>
      <c r="R296" s="55">
        <f>+E296+I296+M296+Q296</f>
        <v>0</v>
      </c>
      <c r="T296" s="4" t="s">
        <v>214</v>
      </c>
    </row>
    <row r="297" spans="1:20" ht="16.5" customHeight="1" thickBot="1" x14ac:dyDescent="0.35">
      <c r="A297" s="15" t="s">
        <v>53</v>
      </c>
      <c r="B297" s="1"/>
      <c r="C297" s="1"/>
      <c r="D297" s="1"/>
      <c r="E297" s="55" t="s">
        <v>7</v>
      </c>
      <c r="F297" s="1"/>
      <c r="G297" s="1"/>
      <c r="H297" s="1"/>
      <c r="I297" s="55" t="s">
        <v>7</v>
      </c>
      <c r="J297" s="1"/>
      <c r="K297" s="1"/>
      <c r="L297" s="1"/>
      <c r="M297" s="55" t="s">
        <v>7</v>
      </c>
      <c r="N297" s="1"/>
      <c r="O297" s="1"/>
      <c r="P297" s="1"/>
      <c r="Q297" s="55" t="s">
        <v>7</v>
      </c>
      <c r="R297" s="81" t="s">
        <v>7</v>
      </c>
      <c r="T297" s="4" t="s">
        <v>224</v>
      </c>
    </row>
    <row r="298" spans="1:20" ht="16.5" customHeight="1" thickBot="1" x14ac:dyDescent="0.35">
      <c r="A298" s="109" t="s">
        <v>54</v>
      </c>
      <c r="B298" s="86">
        <f>SUM(B265:B297)</f>
        <v>3481</v>
      </c>
      <c r="C298" s="87">
        <f>SUM(C265:C297)</f>
        <v>1658</v>
      </c>
      <c r="D298" s="87">
        <f>SUM(D265:D297)</f>
        <v>1395</v>
      </c>
      <c r="E298" s="59">
        <f>SUM(B298:D298)</f>
        <v>6534</v>
      </c>
      <c r="F298" s="87">
        <f>SUM(F265:F297)</f>
        <v>841</v>
      </c>
      <c r="G298" s="87">
        <f>SUM(G265:G297)</f>
        <v>4458</v>
      </c>
      <c r="H298" s="87">
        <f>SUM(H265:H297)</f>
        <v>5997</v>
      </c>
      <c r="I298" s="59">
        <f>SUM(F298:H298)</f>
        <v>11296</v>
      </c>
      <c r="J298" s="87">
        <f>SUM(J265:J297)</f>
        <v>5723</v>
      </c>
      <c r="K298" s="87">
        <f>SUM(K265:K297)</f>
        <v>13229</v>
      </c>
      <c r="L298" s="87">
        <f>SUM(L265:L297)</f>
        <v>14273</v>
      </c>
      <c r="M298" s="59">
        <f>SUM(J298:L298)</f>
        <v>33225</v>
      </c>
      <c r="N298" s="87">
        <f>SUM(N265:N297)</f>
        <v>6748</v>
      </c>
      <c r="O298" s="87">
        <f>SUM(O265:O297)</f>
        <v>7441</v>
      </c>
      <c r="P298" s="87">
        <f>SUM(P265:P297)</f>
        <v>4586</v>
      </c>
      <c r="Q298" s="59">
        <f>SUM(N298:P298)</f>
        <v>18775</v>
      </c>
      <c r="R298" s="59">
        <f>+E298+I298+M298+Q298</f>
        <v>69830</v>
      </c>
      <c r="T298" s="89" t="s">
        <v>253</v>
      </c>
    </row>
    <row r="299" spans="1:20" ht="15.75" customHeight="1" x14ac:dyDescent="0.3">
      <c r="A299" s="15" t="s">
        <v>55</v>
      </c>
      <c r="B299" s="1"/>
      <c r="C299" s="1"/>
      <c r="D299" s="1"/>
      <c r="E299" s="55" t="s">
        <v>7</v>
      </c>
      <c r="F299" s="1"/>
      <c r="G299" s="1"/>
      <c r="H299" s="1"/>
      <c r="I299" s="55" t="s">
        <v>7</v>
      </c>
      <c r="J299" s="1"/>
      <c r="K299" s="1"/>
      <c r="L299" s="1"/>
      <c r="M299" s="55" t="s">
        <v>7</v>
      </c>
      <c r="N299" s="1"/>
      <c r="O299" s="1"/>
      <c r="P299" s="1"/>
      <c r="Q299" s="55" t="s">
        <v>7</v>
      </c>
      <c r="R299" s="55" t="s">
        <v>7</v>
      </c>
    </row>
    <row r="300" spans="1:20" ht="15.75" customHeight="1" x14ac:dyDescent="0.3">
      <c r="A300" s="15" t="s">
        <v>726</v>
      </c>
      <c r="B300" s="1"/>
      <c r="C300" s="1"/>
      <c r="D300" s="1"/>
      <c r="E300" s="55"/>
      <c r="F300" s="1"/>
      <c r="G300" s="1"/>
      <c r="H300" s="1"/>
      <c r="I300" s="55"/>
      <c r="J300" s="1"/>
      <c r="K300" s="1"/>
      <c r="L300" s="1"/>
      <c r="M300" s="55"/>
      <c r="N300" s="1"/>
      <c r="O300" s="1"/>
      <c r="P300" s="1"/>
      <c r="Q300" s="55"/>
      <c r="R300" s="55"/>
    </row>
    <row r="301" spans="1:20" ht="15.75" customHeight="1" x14ac:dyDescent="0.3">
      <c r="A301" s="72" t="s">
        <v>727</v>
      </c>
      <c r="B301" s="1"/>
      <c r="C301" s="1"/>
      <c r="D301" s="1"/>
      <c r="E301" s="55">
        <f>SUM(B301:D301)</f>
        <v>0</v>
      </c>
      <c r="F301" s="1"/>
      <c r="G301" s="1"/>
      <c r="H301" s="1"/>
      <c r="I301" s="55">
        <f>SUM(F301:H301)</f>
        <v>0</v>
      </c>
      <c r="J301" s="1"/>
      <c r="K301" s="1"/>
      <c r="L301" s="1"/>
      <c r="M301" s="55">
        <f>SUM(J301:L301)</f>
        <v>0</v>
      </c>
      <c r="N301" s="1"/>
      <c r="O301" s="1"/>
      <c r="P301" s="1"/>
      <c r="Q301" s="55">
        <f>SUM(N301:P301)</f>
        <v>0</v>
      </c>
      <c r="R301" s="55">
        <f>+E301+I301+M301+Q301</f>
        <v>0</v>
      </c>
    </row>
    <row r="302" spans="1:20" ht="15.75" customHeight="1" x14ac:dyDescent="0.3">
      <c r="A302" s="72" t="s">
        <v>553</v>
      </c>
      <c r="B302" s="1"/>
      <c r="C302" s="1"/>
      <c r="D302" s="1"/>
      <c r="E302" s="55">
        <f>SUM(B302:D302)</f>
        <v>0</v>
      </c>
      <c r="F302" s="1"/>
      <c r="G302" s="1"/>
      <c r="H302" s="1"/>
      <c r="I302" s="55">
        <f>SUM(F302:H302)</f>
        <v>0</v>
      </c>
      <c r="J302" s="1"/>
      <c r="K302" s="1"/>
      <c r="L302" s="1"/>
      <c r="M302" s="55">
        <f>SUM(J302:L302)</f>
        <v>0</v>
      </c>
      <c r="N302" s="1">
        <v>153</v>
      </c>
      <c r="O302" s="1"/>
      <c r="P302" s="1">
        <v>253</v>
      </c>
      <c r="Q302" s="55">
        <f>SUM(N302:P302)</f>
        <v>406</v>
      </c>
      <c r="R302" s="55">
        <f>+E302+I302+M302+Q302</f>
        <v>406</v>
      </c>
    </row>
    <row r="303" spans="1:20" ht="15.75" customHeight="1" x14ac:dyDescent="0.3">
      <c r="A303" s="72" t="s">
        <v>634</v>
      </c>
      <c r="B303" s="1">
        <v>0</v>
      </c>
      <c r="C303" s="1">
        <v>0</v>
      </c>
      <c r="D303" s="1">
        <v>0</v>
      </c>
      <c r="E303" s="55">
        <f>SUM(B303:D303)</f>
        <v>0</v>
      </c>
      <c r="F303" s="1">
        <v>0</v>
      </c>
      <c r="G303" s="1">
        <v>18</v>
      </c>
      <c r="H303" s="1">
        <v>0</v>
      </c>
      <c r="I303" s="55">
        <f>SUM(F303:H303)</f>
        <v>18</v>
      </c>
      <c r="J303" s="1">
        <v>18</v>
      </c>
      <c r="K303" s="1">
        <v>7</v>
      </c>
      <c r="L303" s="1">
        <v>11</v>
      </c>
      <c r="M303" s="55">
        <f>SUM(J303:L303)</f>
        <v>36</v>
      </c>
      <c r="N303" s="1">
        <v>7</v>
      </c>
      <c r="O303" s="1">
        <v>5</v>
      </c>
      <c r="P303" s="1">
        <v>0</v>
      </c>
      <c r="Q303" s="55">
        <f>SUM(N303:P303)</f>
        <v>12</v>
      </c>
      <c r="R303" s="55">
        <f>+E303+I303+M303+Q303</f>
        <v>66</v>
      </c>
    </row>
    <row r="304" spans="1:20" ht="15.75" customHeight="1" x14ac:dyDescent="0.3">
      <c r="A304" s="15" t="s">
        <v>57</v>
      </c>
      <c r="B304" s="1"/>
      <c r="C304" s="1"/>
      <c r="D304" s="1"/>
      <c r="E304" s="55" t="s">
        <v>7</v>
      </c>
      <c r="F304" s="1"/>
      <c r="G304" s="1"/>
      <c r="H304" s="1"/>
      <c r="I304" s="55" t="s">
        <v>7</v>
      </c>
      <c r="J304" s="1"/>
      <c r="K304" s="1"/>
      <c r="L304" s="1"/>
      <c r="M304" s="55" t="s">
        <v>7</v>
      </c>
      <c r="N304" s="1"/>
      <c r="O304" s="1"/>
      <c r="P304" s="1"/>
      <c r="Q304" s="55" t="s">
        <v>7</v>
      </c>
      <c r="R304" s="55" t="s">
        <v>7</v>
      </c>
      <c r="T304" s="4" t="s">
        <v>209</v>
      </c>
    </row>
    <row r="305" spans="1:30" ht="15.75" customHeight="1" x14ac:dyDescent="0.3">
      <c r="A305" s="72" t="s">
        <v>553</v>
      </c>
      <c r="B305" s="1">
        <v>5</v>
      </c>
      <c r="C305" s="1">
        <v>43</v>
      </c>
      <c r="D305" s="1">
        <v>1002</v>
      </c>
      <c r="E305" s="55">
        <f>SUM(B305:D305)</f>
        <v>1050</v>
      </c>
      <c r="F305" s="1">
        <v>3331</v>
      </c>
      <c r="G305" s="1">
        <v>2342</v>
      </c>
      <c r="H305" s="1">
        <v>6574</v>
      </c>
      <c r="I305" s="55">
        <f>SUM(F305:H305)</f>
        <v>12247</v>
      </c>
      <c r="J305" s="1">
        <v>7784</v>
      </c>
      <c r="K305" s="1">
        <v>6831</v>
      </c>
      <c r="L305" s="1">
        <v>0</v>
      </c>
      <c r="M305" s="55">
        <f>SUM(J305:L305)</f>
        <v>14615</v>
      </c>
      <c r="N305" s="1">
        <v>0</v>
      </c>
      <c r="O305" s="1">
        <v>0</v>
      </c>
      <c r="P305" s="1">
        <v>0</v>
      </c>
      <c r="Q305" s="55">
        <f>SUM(N305:P305)</f>
        <v>0</v>
      </c>
      <c r="R305" s="55">
        <f>+E305+I305+M305+Q305</f>
        <v>27912</v>
      </c>
    </row>
    <row r="306" spans="1:30" ht="15.75" customHeight="1" x14ac:dyDescent="0.3">
      <c r="A306" s="72" t="s">
        <v>244</v>
      </c>
      <c r="B306" s="1">
        <v>0</v>
      </c>
      <c r="C306" s="1">
        <v>0</v>
      </c>
      <c r="D306" s="1">
        <v>0</v>
      </c>
      <c r="E306" s="55">
        <f>SUM(B306:D306)</f>
        <v>0</v>
      </c>
      <c r="F306" s="1">
        <v>50</v>
      </c>
      <c r="G306" s="1">
        <v>61</v>
      </c>
      <c r="H306" s="1">
        <v>81</v>
      </c>
      <c r="I306" s="55">
        <f>SUM(F306:H306)</f>
        <v>192</v>
      </c>
      <c r="J306" s="1">
        <v>102</v>
      </c>
      <c r="K306" s="1">
        <v>73</v>
      </c>
      <c r="L306" s="1">
        <v>35</v>
      </c>
      <c r="M306" s="55">
        <f>SUM(J306:L306)</f>
        <v>210</v>
      </c>
      <c r="N306" s="1">
        <v>32</v>
      </c>
      <c r="O306" s="1">
        <v>59</v>
      </c>
      <c r="P306" s="1">
        <v>0</v>
      </c>
      <c r="Q306" s="55">
        <f>SUM(N306:P306)</f>
        <v>91</v>
      </c>
      <c r="R306" s="55">
        <f>+E306+I306+M306+Q306</f>
        <v>493</v>
      </c>
    </row>
    <row r="307" spans="1:30" ht="15.75" customHeight="1" x14ac:dyDescent="0.3">
      <c r="A307" s="72" t="s">
        <v>245</v>
      </c>
      <c r="B307" s="1">
        <v>82</v>
      </c>
      <c r="C307" s="1">
        <v>2000</v>
      </c>
      <c r="D307" s="1">
        <f>4602-79</f>
        <v>4523</v>
      </c>
      <c r="E307" s="55">
        <f t="shared" ref="E307:E313" si="60">SUM(B307:D307)</f>
        <v>6605</v>
      </c>
      <c r="F307" s="1">
        <f>5560-29</f>
        <v>5531</v>
      </c>
      <c r="G307" s="1">
        <f>3915-114</f>
        <v>3801</v>
      </c>
      <c r="H307" s="1">
        <f>6351-103</f>
        <v>6248</v>
      </c>
      <c r="I307" s="55">
        <f t="shared" ref="I307:I313" si="61">SUM(F307:H307)</f>
        <v>15580</v>
      </c>
      <c r="J307" s="1">
        <f>6928-328</f>
        <v>6600</v>
      </c>
      <c r="K307" s="1">
        <f>6342-329</f>
        <v>6013</v>
      </c>
      <c r="L307" s="1">
        <v>0</v>
      </c>
      <c r="M307" s="55">
        <f t="shared" ref="M307:M313" si="62">SUM(J307:L307)</f>
        <v>12613</v>
      </c>
      <c r="N307" s="1">
        <v>0</v>
      </c>
      <c r="O307" s="1">
        <v>0</v>
      </c>
      <c r="P307" s="1">
        <f>28-28</f>
        <v>0</v>
      </c>
      <c r="Q307" s="55">
        <f t="shared" ref="Q307:Q313" si="63">SUM(N307:P307)</f>
        <v>0</v>
      </c>
      <c r="R307" s="55">
        <f t="shared" ref="R307:R313" si="64">+E307+I307+M307+Q307</f>
        <v>34798</v>
      </c>
    </row>
    <row r="308" spans="1:30" ht="15.75" customHeight="1" x14ac:dyDescent="0.3">
      <c r="A308" s="289" t="s">
        <v>728</v>
      </c>
      <c r="B308" s="301">
        <v>0</v>
      </c>
      <c r="C308" s="301">
        <v>0</v>
      </c>
      <c r="D308" s="301">
        <v>0</v>
      </c>
      <c r="E308" s="302">
        <f t="shared" si="60"/>
        <v>0</v>
      </c>
      <c r="F308" s="301">
        <v>0</v>
      </c>
      <c r="G308" s="301">
        <v>0</v>
      </c>
      <c r="H308" s="301">
        <v>0</v>
      </c>
      <c r="I308" s="302">
        <f t="shared" si="61"/>
        <v>0</v>
      </c>
      <c r="J308" s="301">
        <v>0</v>
      </c>
      <c r="K308" s="301">
        <v>0</v>
      </c>
      <c r="L308" s="301">
        <v>0</v>
      </c>
      <c r="M308" s="302">
        <f t="shared" si="62"/>
        <v>0</v>
      </c>
      <c r="N308" s="301">
        <v>0</v>
      </c>
      <c r="O308" s="301">
        <v>0</v>
      </c>
      <c r="P308" s="301">
        <v>0</v>
      </c>
      <c r="Q308" s="302">
        <f t="shared" si="63"/>
        <v>0</v>
      </c>
      <c r="R308" s="302">
        <f t="shared" si="64"/>
        <v>0</v>
      </c>
    </row>
    <row r="309" spans="1:30" ht="15.75" customHeight="1" thickBot="1" x14ac:dyDescent="0.35">
      <c r="A309" s="72" t="s">
        <v>727</v>
      </c>
      <c r="B309" s="1">
        <v>4011</v>
      </c>
      <c r="C309" s="1">
        <v>3883</v>
      </c>
      <c r="D309" s="1">
        <v>10693</v>
      </c>
      <c r="E309" s="55">
        <f t="shared" si="60"/>
        <v>18587</v>
      </c>
      <c r="F309" s="1">
        <v>13466</v>
      </c>
      <c r="G309" s="1">
        <f>21590-200</f>
        <v>21390</v>
      </c>
      <c r="H309" s="1">
        <f>27938-0</f>
        <v>27938</v>
      </c>
      <c r="I309" s="55">
        <f t="shared" si="61"/>
        <v>62794</v>
      </c>
      <c r="J309" s="1">
        <f>23286-0</f>
        <v>23286</v>
      </c>
      <c r="K309" s="1">
        <v>13598</v>
      </c>
      <c r="L309" s="1">
        <v>2675</v>
      </c>
      <c r="M309" s="55">
        <f t="shared" si="62"/>
        <v>39559</v>
      </c>
      <c r="N309" s="1">
        <v>2977</v>
      </c>
      <c r="O309" s="1">
        <v>983</v>
      </c>
      <c r="P309" s="1">
        <v>0</v>
      </c>
      <c r="Q309" s="55">
        <f t="shared" si="63"/>
        <v>3960</v>
      </c>
      <c r="R309" s="55">
        <f t="shared" si="64"/>
        <v>124900</v>
      </c>
      <c r="T309" s="4" t="s">
        <v>256</v>
      </c>
    </row>
    <row r="310" spans="1:30" ht="15.75" customHeight="1" thickBot="1" x14ac:dyDescent="0.35">
      <c r="A310" s="72" t="s">
        <v>248</v>
      </c>
      <c r="B310" s="1">
        <v>2567</v>
      </c>
      <c r="C310" s="1">
        <v>2154</v>
      </c>
      <c r="D310" s="1">
        <v>3624</v>
      </c>
      <c r="E310" s="55">
        <f t="shared" si="60"/>
        <v>8345</v>
      </c>
      <c r="F310" s="1">
        <v>4150</v>
      </c>
      <c r="G310" s="1">
        <v>3250</v>
      </c>
      <c r="H310" s="1">
        <v>2200</v>
      </c>
      <c r="I310" s="55">
        <f t="shared" si="61"/>
        <v>9600</v>
      </c>
      <c r="J310" s="1">
        <v>3265</v>
      </c>
      <c r="K310" s="1">
        <v>3233</v>
      </c>
      <c r="L310" s="1">
        <v>3382</v>
      </c>
      <c r="M310" s="55">
        <f t="shared" si="62"/>
        <v>9880</v>
      </c>
      <c r="N310" s="1">
        <v>2500</v>
      </c>
      <c r="O310" s="1">
        <v>0</v>
      </c>
      <c r="P310" s="1">
        <v>0</v>
      </c>
      <c r="Q310" s="55">
        <f t="shared" si="63"/>
        <v>2500</v>
      </c>
      <c r="R310" s="55">
        <f t="shared" si="64"/>
        <v>30325</v>
      </c>
      <c r="AA310" s="303"/>
      <c r="AB310" s="304">
        <v>2011</v>
      </c>
      <c r="AC310" s="304">
        <v>2012</v>
      </c>
      <c r="AD310" s="305"/>
    </row>
    <row r="311" spans="1:30" ht="15.75" customHeight="1" thickTop="1" x14ac:dyDescent="0.3">
      <c r="A311" s="72" t="s">
        <v>250</v>
      </c>
      <c r="B311" s="1">
        <v>800</v>
      </c>
      <c r="C311" s="1">
        <v>1870</v>
      </c>
      <c r="D311" s="1">
        <v>3147</v>
      </c>
      <c r="E311" s="55">
        <f t="shared" si="60"/>
        <v>5817</v>
      </c>
      <c r="F311" s="1">
        <v>3768</v>
      </c>
      <c r="G311" s="1">
        <v>2415</v>
      </c>
      <c r="H311" s="1">
        <v>0</v>
      </c>
      <c r="I311" s="55">
        <f t="shared" si="61"/>
        <v>6183</v>
      </c>
      <c r="J311" s="1">
        <v>0</v>
      </c>
      <c r="K311" s="1">
        <v>0</v>
      </c>
      <c r="L311" s="1">
        <v>0</v>
      </c>
      <c r="M311" s="55">
        <f t="shared" si="62"/>
        <v>0</v>
      </c>
      <c r="N311" s="1">
        <v>0</v>
      </c>
      <c r="O311" s="1">
        <v>0</v>
      </c>
      <c r="P311" s="1">
        <v>0</v>
      </c>
      <c r="Q311" s="55">
        <f t="shared" si="63"/>
        <v>0</v>
      </c>
      <c r="R311" s="55">
        <f t="shared" si="64"/>
        <v>12000</v>
      </c>
      <c r="T311" s="4" t="s">
        <v>210</v>
      </c>
      <c r="AA311" s="306" t="s">
        <v>729</v>
      </c>
      <c r="AB311" s="4">
        <v>47000</v>
      </c>
      <c r="AC311" s="4">
        <v>62530</v>
      </c>
      <c r="AD311" s="307"/>
    </row>
    <row r="312" spans="1:30" ht="15.75" customHeight="1" x14ac:dyDescent="0.3">
      <c r="A312" s="72" t="s">
        <v>251</v>
      </c>
      <c r="B312" s="1">
        <v>1154</v>
      </c>
      <c r="C312" s="1">
        <v>2373</v>
      </c>
      <c r="D312" s="1">
        <v>1473</v>
      </c>
      <c r="E312" s="55">
        <f t="shared" si="60"/>
        <v>5000</v>
      </c>
      <c r="F312" s="1">
        <v>0</v>
      </c>
      <c r="G312" s="1">
        <v>0</v>
      </c>
      <c r="H312" s="1">
        <v>0</v>
      </c>
      <c r="I312" s="55">
        <f t="shared" si="61"/>
        <v>0</v>
      </c>
      <c r="J312" s="1">
        <v>0</v>
      </c>
      <c r="K312" s="1">
        <v>0</v>
      </c>
      <c r="L312" s="1">
        <v>0</v>
      </c>
      <c r="M312" s="55">
        <f t="shared" si="62"/>
        <v>0</v>
      </c>
      <c r="N312" s="1">
        <v>0</v>
      </c>
      <c r="O312" s="1">
        <v>0</v>
      </c>
      <c r="P312" s="1">
        <v>3</v>
      </c>
      <c r="Q312" s="55">
        <f t="shared" si="63"/>
        <v>3</v>
      </c>
      <c r="R312" s="55">
        <f t="shared" si="64"/>
        <v>5003</v>
      </c>
      <c r="T312" s="4" t="s">
        <v>210</v>
      </c>
      <c r="AA312" s="306" t="s">
        <v>730</v>
      </c>
      <c r="AB312" s="4">
        <v>79573</v>
      </c>
      <c r="AC312" s="4">
        <v>80000</v>
      </c>
      <c r="AD312" s="307"/>
    </row>
    <row r="313" spans="1:30" ht="15.75" customHeight="1" x14ac:dyDescent="0.3">
      <c r="A313" s="72" t="s">
        <v>252</v>
      </c>
      <c r="B313" s="1">
        <v>0</v>
      </c>
      <c r="C313" s="1">
        <v>0</v>
      </c>
      <c r="D313" s="1">
        <v>0</v>
      </c>
      <c r="E313" s="55">
        <f t="shared" si="60"/>
        <v>0</v>
      </c>
      <c r="F313" s="1">
        <v>1679</v>
      </c>
      <c r="G313" s="1">
        <v>2860</v>
      </c>
      <c r="H313" s="1">
        <v>4234</v>
      </c>
      <c r="I313" s="55">
        <f t="shared" si="61"/>
        <v>8773</v>
      </c>
      <c r="J313" s="1">
        <v>5961</v>
      </c>
      <c r="K313" s="1">
        <v>6791</v>
      </c>
      <c r="L313" s="1">
        <v>1978</v>
      </c>
      <c r="M313" s="55">
        <f t="shared" si="62"/>
        <v>14730</v>
      </c>
      <c r="N313" s="1">
        <v>233</v>
      </c>
      <c r="O313" s="1">
        <v>46</v>
      </c>
      <c r="P313" s="1">
        <v>301</v>
      </c>
      <c r="Q313" s="55">
        <f t="shared" si="63"/>
        <v>580</v>
      </c>
      <c r="R313" s="55">
        <f t="shared" si="64"/>
        <v>24083</v>
      </c>
      <c r="T313" s="4" t="s">
        <v>210</v>
      </c>
      <c r="AA313" s="306" t="s">
        <v>731</v>
      </c>
      <c r="AB313" s="4">
        <v>56427</v>
      </c>
      <c r="AC313" s="4">
        <v>52435</v>
      </c>
      <c r="AD313" s="307"/>
    </row>
    <row r="314" spans="1:30" ht="15.75" customHeight="1" thickBot="1" x14ac:dyDescent="0.35">
      <c r="A314" s="15" t="s">
        <v>58</v>
      </c>
      <c r="B314" s="1"/>
      <c r="C314" s="1"/>
      <c r="D314" s="1"/>
      <c r="E314" s="55" t="s">
        <v>7</v>
      </c>
      <c r="F314" s="1"/>
      <c r="G314" s="1"/>
      <c r="H314" s="1"/>
      <c r="I314" s="55" t="s">
        <v>7</v>
      </c>
      <c r="J314" s="1"/>
      <c r="K314" s="1"/>
      <c r="L314" s="1"/>
      <c r="M314" s="55" t="s">
        <v>7</v>
      </c>
      <c r="N314" s="1"/>
      <c r="O314" s="1"/>
      <c r="P314" s="1"/>
      <c r="Q314" s="55" t="s">
        <v>7</v>
      </c>
      <c r="R314" s="55" t="s">
        <v>7</v>
      </c>
      <c r="T314" s="4" t="s">
        <v>259</v>
      </c>
      <c r="AA314" s="306" t="s">
        <v>732</v>
      </c>
      <c r="AB314" s="4">
        <v>0</v>
      </c>
      <c r="AC314" s="4">
        <v>2000</v>
      </c>
      <c r="AD314" s="307"/>
    </row>
    <row r="315" spans="1:30" ht="16.5" customHeight="1" thickBot="1" x14ac:dyDescent="0.35">
      <c r="A315" s="57" t="s">
        <v>59</v>
      </c>
      <c r="B315" s="86">
        <f>SUM(B299:B314)</f>
        <v>8619</v>
      </c>
      <c r="C315" s="87">
        <f>SUM(C299:C314)</f>
        <v>12323</v>
      </c>
      <c r="D315" s="87">
        <f>SUM(D299:D314)</f>
        <v>24462</v>
      </c>
      <c r="E315" s="59">
        <f>SUM(B315:D315)</f>
        <v>45404</v>
      </c>
      <c r="F315" s="87">
        <f>SUM(F299:F314)</f>
        <v>31975</v>
      </c>
      <c r="G315" s="87">
        <f>SUM(G299:G314)</f>
        <v>36137</v>
      </c>
      <c r="H315" s="87">
        <f>SUM(H299:H314)</f>
        <v>47275</v>
      </c>
      <c r="I315" s="59">
        <f>SUM(F315:H315)</f>
        <v>115387</v>
      </c>
      <c r="J315" s="87">
        <f>SUM(J299:J314)</f>
        <v>47016</v>
      </c>
      <c r="K315" s="87">
        <f>SUM(K299:K314)</f>
        <v>36546</v>
      </c>
      <c r="L315" s="87">
        <f>SUM(L299:L314)</f>
        <v>8081</v>
      </c>
      <c r="M315" s="59">
        <f>SUM(J315:L315)</f>
        <v>91643</v>
      </c>
      <c r="N315" s="87">
        <f>SUM(N299:N314)</f>
        <v>5902</v>
      </c>
      <c r="O315" s="87">
        <f>SUM(O299:O314)</f>
        <v>1093</v>
      </c>
      <c r="P315" s="87">
        <f>SUM(P299:P314)</f>
        <v>557</v>
      </c>
      <c r="Q315" s="59">
        <f>SUM(N315:P315)</f>
        <v>7552</v>
      </c>
      <c r="R315" s="59">
        <f>+E315+I315+M315+Q315</f>
        <v>259986</v>
      </c>
      <c r="T315" s="4" t="s">
        <v>209</v>
      </c>
      <c r="AA315" s="306" t="s">
        <v>733</v>
      </c>
      <c r="AB315" s="4">
        <v>0</v>
      </c>
      <c r="AC315" s="4">
        <v>5000</v>
      </c>
      <c r="AD315" s="307" t="s">
        <v>734</v>
      </c>
    </row>
    <row r="316" spans="1:30" ht="15.75" customHeight="1" thickBot="1" x14ac:dyDescent="0.35">
      <c r="A316" s="15" t="s">
        <v>60</v>
      </c>
      <c r="B316" s="1"/>
      <c r="C316" s="1"/>
      <c r="D316" s="1"/>
      <c r="E316" s="55" t="s">
        <v>7</v>
      </c>
      <c r="F316" s="1"/>
      <c r="G316" s="1"/>
      <c r="H316" s="1"/>
      <c r="I316" s="55" t="s">
        <v>7</v>
      </c>
      <c r="J316" s="1"/>
      <c r="K316" s="1"/>
      <c r="L316" s="1"/>
      <c r="M316" s="55" t="s">
        <v>7</v>
      </c>
      <c r="N316" s="1"/>
      <c r="O316" s="1"/>
      <c r="P316" s="1"/>
      <c r="Q316" s="55" t="s">
        <v>7</v>
      </c>
      <c r="R316" s="55" t="s">
        <v>7</v>
      </c>
      <c r="T316" s="4" t="s">
        <v>210</v>
      </c>
      <c r="AA316" s="308"/>
      <c r="AB316" s="309">
        <f>+SUM(AB311:AB315)</f>
        <v>183000</v>
      </c>
      <c r="AC316" s="309">
        <f>+SUM(AC311:AC315)</f>
        <v>201965</v>
      </c>
      <c r="AD316" s="310">
        <f>+AC316-AB316</f>
        <v>18965</v>
      </c>
    </row>
    <row r="317" spans="1:30" ht="15.75" customHeight="1" thickTop="1" x14ac:dyDescent="0.3">
      <c r="A317" s="15" t="s">
        <v>61</v>
      </c>
      <c r="B317" s="1"/>
      <c r="C317" s="1"/>
      <c r="D317" s="1"/>
      <c r="E317" s="55" t="s">
        <v>7</v>
      </c>
      <c r="F317" s="1"/>
      <c r="G317" s="1"/>
      <c r="H317" s="1"/>
      <c r="I317" s="55" t="s">
        <v>7</v>
      </c>
      <c r="J317" s="1"/>
      <c r="K317" s="1"/>
      <c r="L317" s="1"/>
      <c r="M317" s="55" t="s">
        <v>7</v>
      </c>
      <c r="N317" s="1"/>
      <c r="O317" s="1"/>
      <c r="P317" s="1"/>
      <c r="Q317" s="55" t="s">
        <v>7</v>
      </c>
      <c r="R317" s="55" t="s">
        <v>7</v>
      </c>
      <c r="T317" s="4" t="s">
        <v>210</v>
      </c>
      <c r="AA317" s="306"/>
      <c r="AD317" s="307"/>
    </row>
    <row r="318" spans="1:30" ht="15.75" customHeight="1" x14ac:dyDescent="0.3">
      <c r="A318" s="72" t="s">
        <v>254</v>
      </c>
      <c r="B318" s="1">
        <v>3418</v>
      </c>
      <c r="C318" s="1">
        <v>4159</v>
      </c>
      <c r="D318" s="1">
        <v>9414</v>
      </c>
      <c r="E318" s="55">
        <f>SUM(B318:D318)</f>
        <v>16991</v>
      </c>
      <c r="F318" s="1">
        <v>9031</v>
      </c>
      <c r="G318" s="1">
        <v>11106</v>
      </c>
      <c r="H318" s="1">
        <v>11578</v>
      </c>
      <c r="I318" s="55">
        <f>SUM(F318:H318)</f>
        <v>31715</v>
      </c>
      <c r="J318" s="1">
        <v>8194</v>
      </c>
      <c r="K318" s="1">
        <v>10175</v>
      </c>
      <c r="L318" s="1">
        <v>6280</v>
      </c>
      <c r="M318" s="55">
        <f>SUM(J318:L318)</f>
        <v>24649</v>
      </c>
      <c r="N318" s="1">
        <v>3257</v>
      </c>
      <c r="O318" s="1">
        <v>68</v>
      </c>
      <c r="P318" s="1">
        <v>2143</v>
      </c>
      <c r="Q318" s="55">
        <f>SUM(N318:P318)</f>
        <v>5468</v>
      </c>
      <c r="R318" s="55">
        <f>+E318+I318+M318+Q318</f>
        <v>78823</v>
      </c>
      <c r="T318" s="4" t="s">
        <v>210</v>
      </c>
      <c r="AA318" s="306"/>
      <c r="AD318" s="307"/>
    </row>
    <row r="319" spans="1:30" ht="15.75" customHeight="1" thickBot="1" x14ac:dyDescent="0.35">
      <c r="A319" s="72" t="s">
        <v>255</v>
      </c>
      <c r="B319" s="1">
        <v>0</v>
      </c>
      <c r="C319" s="1">
        <v>0</v>
      </c>
      <c r="D319" s="1">
        <v>0</v>
      </c>
      <c r="E319" s="55">
        <f>SUM(B319:D319)</f>
        <v>0</v>
      </c>
      <c r="F319" s="1">
        <v>0</v>
      </c>
      <c r="G319" s="1">
        <v>2893</v>
      </c>
      <c r="H319" s="1">
        <v>7441</v>
      </c>
      <c r="I319" s="55">
        <f>SUM(F319:H319)</f>
        <v>10334</v>
      </c>
      <c r="J319" s="1">
        <v>7868</v>
      </c>
      <c r="K319" s="1">
        <v>11872</v>
      </c>
      <c r="L319" s="1">
        <v>6007</v>
      </c>
      <c r="M319" s="55">
        <f>SUM(J319:L319)</f>
        <v>25747</v>
      </c>
      <c r="N319" s="1">
        <v>0</v>
      </c>
      <c r="O319" s="1">
        <v>0</v>
      </c>
      <c r="P319" s="1">
        <v>1197</v>
      </c>
      <c r="Q319" s="55">
        <f>SUM(N319:P319)</f>
        <v>1197</v>
      </c>
      <c r="R319" s="55">
        <f>+E319+I319+M319+Q319</f>
        <v>37278</v>
      </c>
      <c r="T319" s="4" t="s">
        <v>210</v>
      </c>
      <c r="AA319" s="308" t="s">
        <v>735</v>
      </c>
      <c r="AB319" s="309">
        <v>36700</v>
      </c>
      <c r="AC319" s="309">
        <v>75710</v>
      </c>
      <c r="AD319" s="310">
        <f>+AC319-AB319</f>
        <v>39010</v>
      </c>
    </row>
    <row r="320" spans="1:30" ht="15.75" customHeight="1" thickTop="1" thickBot="1" x14ac:dyDescent="0.35">
      <c r="A320" s="15" t="s">
        <v>62</v>
      </c>
      <c r="B320" s="1"/>
      <c r="C320" s="1"/>
      <c r="D320" s="1"/>
      <c r="E320" s="55" t="s">
        <v>7</v>
      </c>
      <c r="F320" s="1"/>
      <c r="G320" s="1"/>
      <c r="H320" s="1"/>
      <c r="I320" s="55" t="s">
        <v>7</v>
      </c>
      <c r="J320" s="1"/>
      <c r="K320" s="1">
        <v>0</v>
      </c>
      <c r="L320" s="1"/>
      <c r="M320" s="55" t="s">
        <v>7</v>
      </c>
      <c r="N320" s="1"/>
      <c r="O320" s="1"/>
      <c r="P320" s="1"/>
      <c r="Q320" s="55" t="s">
        <v>7</v>
      </c>
      <c r="R320" s="55" t="s">
        <v>7</v>
      </c>
      <c r="T320" s="4" t="s">
        <v>210</v>
      </c>
      <c r="AA320" s="311"/>
      <c r="AB320" s="312"/>
      <c r="AC320" s="312"/>
      <c r="AD320" s="313"/>
    </row>
    <row r="321" spans="1:20" ht="15.75" customHeight="1" x14ac:dyDescent="0.3">
      <c r="A321" s="72" t="s">
        <v>146</v>
      </c>
      <c r="B321" s="1">
        <v>0</v>
      </c>
      <c r="C321" s="1">
        <v>0</v>
      </c>
      <c r="D321" s="1">
        <v>0</v>
      </c>
      <c r="E321" s="55">
        <f>SUM(B321:D321)</f>
        <v>0</v>
      </c>
      <c r="F321" s="1">
        <v>0</v>
      </c>
      <c r="G321" s="1">
        <v>722</v>
      </c>
      <c r="H321" s="1">
        <v>250</v>
      </c>
      <c r="I321" s="55">
        <f>SUM(F321:H321)</f>
        <v>972</v>
      </c>
      <c r="J321" s="1">
        <v>0</v>
      </c>
      <c r="K321" s="1">
        <v>0</v>
      </c>
      <c r="L321" s="1">
        <v>0</v>
      </c>
      <c r="M321" s="55">
        <f>SUM(J321:L321)</f>
        <v>0</v>
      </c>
      <c r="N321" s="1">
        <v>0</v>
      </c>
      <c r="O321" s="1">
        <v>0</v>
      </c>
      <c r="P321" s="1">
        <v>0</v>
      </c>
      <c r="Q321" s="55">
        <f>SUM(N321:P321)</f>
        <v>0</v>
      </c>
      <c r="R321" s="55">
        <f>+E321+I321+M321+Q321</f>
        <v>972</v>
      </c>
      <c r="T321" s="4" t="s">
        <v>210</v>
      </c>
    </row>
    <row r="322" spans="1:20" ht="15.75" customHeight="1" x14ac:dyDescent="0.3">
      <c r="A322" s="72" t="s">
        <v>147</v>
      </c>
      <c r="B322" s="1">
        <v>1051</v>
      </c>
      <c r="C322" s="1">
        <v>486</v>
      </c>
      <c r="D322" s="1">
        <v>0</v>
      </c>
      <c r="E322" s="55">
        <f t="shared" ref="E322:E341" si="65">SUM(B322:D322)</f>
        <v>1537</v>
      </c>
      <c r="F322" s="1">
        <v>0</v>
      </c>
      <c r="G322" s="1">
        <v>0</v>
      </c>
      <c r="H322" s="1">
        <v>0</v>
      </c>
      <c r="I322" s="55">
        <f t="shared" ref="I322:I341" si="66">SUM(F322:H322)</f>
        <v>0</v>
      </c>
      <c r="J322" s="1">
        <v>0</v>
      </c>
      <c r="K322" s="1">
        <v>0</v>
      </c>
      <c r="L322" s="1">
        <v>0</v>
      </c>
      <c r="M322" s="55">
        <f t="shared" ref="M322:M341" si="67">SUM(J322:L322)</f>
        <v>0</v>
      </c>
      <c r="N322" s="1">
        <v>0</v>
      </c>
      <c r="O322" s="1">
        <v>0</v>
      </c>
      <c r="P322" s="1">
        <v>0</v>
      </c>
      <c r="Q322" s="55">
        <f t="shared" ref="Q322:Q341" si="68">SUM(N322:P322)</f>
        <v>0</v>
      </c>
      <c r="R322" s="55">
        <f t="shared" ref="R322:R341" si="69">+E322+I322+M322+Q322</f>
        <v>1537</v>
      </c>
      <c r="T322" s="4" t="s">
        <v>210</v>
      </c>
    </row>
    <row r="323" spans="1:20" ht="15.75" customHeight="1" x14ac:dyDescent="0.3">
      <c r="A323" s="72" t="s">
        <v>149</v>
      </c>
      <c r="B323" s="1">
        <v>0</v>
      </c>
      <c r="C323" s="1">
        <v>0</v>
      </c>
      <c r="D323" s="1">
        <v>0</v>
      </c>
      <c r="E323" s="55">
        <f t="shared" si="65"/>
        <v>0</v>
      </c>
      <c r="F323" s="1">
        <v>627</v>
      </c>
      <c r="G323" s="1">
        <v>0</v>
      </c>
      <c r="H323" s="1">
        <v>0</v>
      </c>
      <c r="I323" s="55">
        <f t="shared" si="66"/>
        <v>627</v>
      </c>
      <c r="J323" s="1">
        <v>0</v>
      </c>
      <c r="K323" s="1">
        <v>0</v>
      </c>
      <c r="L323" s="1">
        <v>0</v>
      </c>
      <c r="M323" s="55">
        <f t="shared" si="67"/>
        <v>0</v>
      </c>
      <c r="N323" s="1">
        <v>0</v>
      </c>
      <c r="O323" s="1">
        <v>0</v>
      </c>
      <c r="P323" s="1">
        <v>0</v>
      </c>
      <c r="Q323" s="55">
        <f t="shared" si="68"/>
        <v>0</v>
      </c>
      <c r="R323" s="55">
        <f t="shared" si="69"/>
        <v>627</v>
      </c>
    </row>
    <row r="324" spans="1:20" ht="15.75" customHeight="1" x14ac:dyDescent="0.3">
      <c r="A324" s="72" t="s">
        <v>639</v>
      </c>
      <c r="B324" s="1">
        <v>0</v>
      </c>
      <c r="C324" s="1">
        <v>0</v>
      </c>
      <c r="D324" s="1">
        <v>3000</v>
      </c>
      <c r="E324" s="55">
        <f t="shared" si="65"/>
        <v>3000</v>
      </c>
      <c r="F324" s="1">
        <v>6000</v>
      </c>
      <c r="G324" s="1">
        <v>7500</v>
      </c>
      <c r="H324" s="1">
        <v>7500</v>
      </c>
      <c r="I324" s="55">
        <f t="shared" si="66"/>
        <v>21000</v>
      </c>
      <c r="J324" s="1">
        <v>10000</v>
      </c>
      <c r="K324" s="1">
        <v>10000</v>
      </c>
      <c r="L324" s="1">
        <v>5750</v>
      </c>
      <c r="M324" s="55">
        <f t="shared" si="67"/>
        <v>25750</v>
      </c>
      <c r="N324" s="1">
        <v>0</v>
      </c>
      <c r="O324" s="1">
        <v>0</v>
      </c>
      <c r="P324" s="1">
        <v>0</v>
      </c>
      <c r="Q324" s="55">
        <f t="shared" si="68"/>
        <v>0</v>
      </c>
      <c r="R324" s="55">
        <f t="shared" si="69"/>
        <v>49750</v>
      </c>
    </row>
    <row r="325" spans="1:20" ht="15.75" customHeight="1" x14ac:dyDescent="0.3">
      <c r="A325" s="72" t="s">
        <v>640</v>
      </c>
      <c r="B325" s="1">
        <v>959</v>
      </c>
      <c r="C325" s="1">
        <v>927</v>
      </c>
      <c r="D325" s="1">
        <v>2000</v>
      </c>
      <c r="E325" s="55">
        <f t="shared" si="65"/>
        <v>3886</v>
      </c>
      <c r="F325" s="1">
        <v>4719</v>
      </c>
      <c r="G325" s="1">
        <v>6943</v>
      </c>
      <c r="H325" s="1">
        <v>8482</v>
      </c>
      <c r="I325" s="55">
        <f t="shared" si="66"/>
        <v>20144</v>
      </c>
      <c r="J325" s="1">
        <v>10176</v>
      </c>
      <c r="K325" s="1">
        <v>10673</v>
      </c>
      <c r="L325" s="1">
        <v>6221</v>
      </c>
      <c r="M325" s="55">
        <f t="shared" si="67"/>
        <v>27070</v>
      </c>
      <c r="N325" s="1">
        <v>2644</v>
      </c>
      <c r="O325" s="1">
        <v>520</v>
      </c>
      <c r="P325" s="1">
        <v>335</v>
      </c>
      <c r="Q325" s="55">
        <f t="shared" si="68"/>
        <v>3499</v>
      </c>
      <c r="R325" s="55">
        <f t="shared" si="69"/>
        <v>54599</v>
      </c>
    </row>
    <row r="326" spans="1:20" ht="15.75" customHeight="1" x14ac:dyDescent="0.3">
      <c r="A326" s="72" t="s">
        <v>641</v>
      </c>
      <c r="B326" s="1">
        <v>2140</v>
      </c>
      <c r="C326" s="1">
        <v>3260</v>
      </c>
      <c r="D326" s="1">
        <v>7890</v>
      </c>
      <c r="E326" s="55">
        <f t="shared" si="65"/>
        <v>13290</v>
      </c>
      <c r="F326" s="1">
        <v>8830</v>
      </c>
      <c r="G326" s="1">
        <v>8730</v>
      </c>
      <c r="H326" s="1">
        <v>9770</v>
      </c>
      <c r="I326" s="55">
        <f t="shared" si="66"/>
        <v>27330</v>
      </c>
      <c r="J326" s="1">
        <v>7770</v>
      </c>
      <c r="K326" s="1">
        <v>16260</v>
      </c>
      <c r="L326" s="1">
        <v>10381</v>
      </c>
      <c r="M326" s="55">
        <f t="shared" si="67"/>
        <v>34411</v>
      </c>
      <c r="N326" s="1">
        <v>1700</v>
      </c>
      <c r="O326" s="1">
        <v>378</v>
      </c>
      <c r="P326" s="1">
        <v>1891</v>
      </c>
      <c r="Q326" s="55">
        <f t="shared" si="68"/>
        <v>3969</v>
      </c>
      <c r="R326" s="55">
        <f t="shared" si="69"/>
        <v>79000</v>
      </c>
    </row>
    <row r="327" spans="1:20" ht="15.75" customHeight="1" x14ac:dyDescent="0.3">
      <c r="A327" s="72" t="s">
        <v>736</v>
      </c>
      <c r="B327" s="1">
        <v>0</v>
      </c>
      <c r="C327" s="1">
        <v>0</v>
      </c>
      <c r="D327" s="1">
        <v>0</v>
      </c>
      <c r="E327" s="55">
        <f t="shared" si="65"/>
        <v>0</v>
      </c>
      <c r="F327" s="1">
        <v>0</v>
      </c>
      <c r="G327" s="1">
        <v>0</v>
      </c>
      <c r="H327" s="1">
        <v>0</v>
      </c>
      <c r="I327" s="55">
        <f t="shared" si="66"/>
        <v>0</v>
      </c>
      <c r="J327" s="1">
        <v>0</v>
      </c>
      <c r="K327" s="1">
        <v>0</v>
      </c>
      <c r="L327" s="1">
        <v>0</v>
      </c>
      <c r="M327" s="55">
        <f t="shared" si="67"/>
        <v>0</v>
      </c>
      <c r="N327" s="1">
        <v>0</v>
      </c>
      <c r="O327" s="1">
        <v>2442</v>
      </c>
      <c r="P327" s="1">
        <v>0</v>
      </c>
      <c r="Q327" s="55">
        <f t="shared" si="68"/>
        <v>2442</v>
      </c>
      <c r="R327" s="55">
        <f t="shared" si="69"/>
        <v>2442</v>
      </c>
      <c r="T327" s="4" t="s">
        <v>265</v>
      </c>
    </row>
    <row r="328" spans="1:20" ht="15.75" customHeight="1" x14ac:dyDescent="0.3">
      <c r="A328" s="72" t="s">
        <v>642</v>
      </c>
      <c r="B328" s="1">
        <v>1314</v>
      </c>
      <c r="C328" s="1">
        <v>1314</v>
      </c>
      <c r="D328" s="1">
        <v>1314</v>
      </c>
      <c r="E328" s="55">
        <f>SUM(B328:D328)</f>
        <v>3942</v>
      </c>
      <c r="F328" s="1">
        <v>1313</v>
      </c>
      <c r="G328" s="1">
        <v>0</v>
      </c>
      <c r="H328" s="1">
        <v>0</v>
      </c>
      <c r="I328" s="55">
        <f>SUM(F328:H328)</f>
        <v>1313</v>
      </c>
      <c r="J328" s="1">
        <v>0</v>
      </c>
      <c r="K328" s="1">
        <v>0</v>
      </c>
      <c r="L328" s="1">
        <v>0</v>
      </c>
      <c r="M328" s="55">
        <f>SUM(J328:L328)</f>
        <v>0</v>
      </c>
      <c r="N328" s="1">
        <v>0</v>
      </c>
      <c r="O328" s="1">
        <v>0</v>
      </c>
      <c r="P328" s="1">
        <v>0</v>
      </c>
      <c r="Q328" s="55">
        <f>SUM(N328:P328)</f>
        <v>0</v>
      </c>
      <c r="R328" s="55">
        <f>+E328+I328+M328+Q328</f>
        <v>5255</v>
      </c>
      <c r="T328" s="4" t="s">
        <v>210</v>
      </c>
    </row>
    <row r="329" spans="1:20" ht="15.75" customHeight="1" x14ac:dyDescent="0.3">
      <c r="A329" s="72" t="s">
        <v>737</v>
      </c>
      <c r="B329" s="1">
        <v>0</v>
      </c>
      <c r="C329" s="1">
        <v>0</v>
      </c>
      <c r="D329" s="1">
        <v>0</v>
      </c>
      <c r="E329" s="55">
        <f>SUM(B329:D329)</f>
        <v>0</v>
      </c>
      <c r="F329" s="1">
        <v>0</v>
      </c>
      <c r="G329" s="1">
        <v>0</v>
      </c>
      <c r="H329" s="1">
        <v>0</v>
      </c>
      <c r="I329" s="55">
        <f>SUM(F329:H329)</f>
        <v>0</v>
      </c>
      <c r="J329" s="1">
        <v>0</v>
      </c>
      <c r="K329" s="1">
        <v>0</v>
      </c>
      <c r="L329" s="1">
        <v>0</v>
      </c>
      <c r="M329" s="55">
        <f>SUM(J329:L329)</f>
        <v>0</v>
      </c>
      <c r="N329" s="1">
        <v>0</v>
      </c>
      <c r="O329" s="1">
        <v>0</v>
      </c>
      <c r="P329" s="1">
        <v>0</v>
      </c>
      <c r="Q329" s="55">
        <f>SUM(N329:P329)</f>
        <v>0</v>
      </c>
      <c r="R329" s="55">
        <f>+E329+I329+M329+Q329</f>
        <v>0</v>
      </c>
    </row>
    <row r="330" spans="1:20" ht="15.75" customHeight="1" x14ac:dyDescent="0.3">
      <c r="A330" s="72" t="s">
        <v>643</v>
      </c>
      <c r="B330" s="1">
        <v>0</v>
      </c>
      <c r="C330" s="1">
        <v>0</v>
      </c>
      <c r="D330" s="1">
        <v>0</v>
      </c>
      <c r="E330" s="55">
        <f>SUM(B330:D330)</f>
        <v>0</v>
      </c>
      <c r="F330" s="1">
        <v>0</v>
      </c>
      <c r="G330" s="1">
        <v>1000</v>
      </c>
      <c r="H330" s="1">
        <v>0</v>
      </c>
      <c r="I330" s="55">
        <f>SUM(F330:H330)</f>
        <v>1000</v>
      </c>
      <c r="J330" s="1">
        <v>0</v>
      </c>
      <c r="K330" s="1">
        <v>0</v>
      </c>
      <c r="L330" s="1">
        <v>0</v>
      </c>
      <c r="M330" s="55">
        <f>SUM(J330:L330)</f>
        <v>0</v>
      </c>
      <c r="N330" s="1">
        <v>0</v>
      </c>
      <c r="O330" s="1">
        <v>0</v>
      </c>
      <c r="P330" s="1">
        <v>0</v>
      </c>
      <c r="Q330" s="55">
        <f>SUM(N330:P330)</f>
        <v>0</v>
      </c>
      <c r="R330" s="55">
        <f>+E330+I330+M330+Q330</f>
        <v>1000</v>
      </c>
      <c r="T330" s="4" t="s">
        <v>268</v>
      </c>
    </row>
    <row r="331" spans="1:20" ht="15.75" customHeight="1" x14ac:dyDescent="0.3">
      <c r="A331" s="72" t="s">
        <v>159</v>
      </c>
      <c r="B331" s="1">
        <v>0</v>
      </c>
      <c r="C331" s="1">
        <v>0</v>
      </c>
      <c r="D331" s="1">
        <v>0</v>
      </c>
      <c r="E331" s="55">
        <f t="shared" si="65"/>
        <v>0</v>
      </c>
      <c r="F331" s="1">
        <v>0</v>
      </c>
      <c r="G331" s="1">
        <v>0</v>
      </c>
      <c r="H331" s="1">
        <v>0</v>
      </c>
      <c r="I331" s="55">
        <f t="shared" si="66"/>
        <v>0</v>
      </c>
      <c r="J331" s="1">
        <v>0</v>
      </c>
      <c r="K331" s="1">
        <v>0</v>
      </c>
      <c r="L331" s="1">
        <v>237</v>
      </c>
      <c r="M331" s="55">
        <f t="shared" si="67"/>
        <v>237</v>
      </c>
      <c r="N331" s="1">
        <v>1141</v>
      </c>
      <c r="O331" s="1">
        <v>1175</v>
      </c>
      <c r="P331" s="1">
        <v>33</v>
      </c>
      <c r="Q331" s="55">
        <f t="shared" si="68"/>
        <v>2349</v>
      </c>
      <c r="R331" s="55">
        <f t="shared" si="69"/>
        <v>2586</v>
      </c>
      <c r="T331" s="4" t="s">
        <v>214</v>
      </c>
    </row>
    <row r="332" spans="1:20" ht="15.75" customHeight="1" x14ac:dyDescent="0.3">
      <c r="A332" s="72" t="s">
        <v>738</v>
      </c>
      <c r="B332" s="1">
        <v>0</v>
      </c>
      <c r="C332" s="1">
        <v>0</v>
      </c>
      <c r="D332" s="1">
        <v>0</v>
      </c>
      <c r="E332" s="55">
        <f t="shared" si="65"/>
        <v>0</v>
      </c>
      <c r="F332" s="1">
        <v>0</v>
      </c>
      <c r="G332" s="1">
        <v>0</v>
      </c>
      <c r="H332" s="1">
        <v>0</v>
      </c>
      <c r="I332" s="55">
        <f t="shared" si="66"/>
        <v>0</v>
      </c>
      <c r="J332" s="1">
        <v>0</v>
      </c>
      <c r="K332" s="1">
        <v>0</v>
      </c>
      <c r="L332" s="1">
        <v>4120</v>
      </c>
      <c r="M332" s="55">
        <f t="shared" si="67"/>
        <v>4120</v>
      </c>
      <c r="N332" s="1">
        <v>5000</v>
      </c>
      <c r="O332" s="1">
        <v>630</v>
      </c>
      <c r="P332" s="1">
        <v>0</v>
      </c>
      <c r="Q332" s="55">
        <f t="shared" si="68"/>
        <v>5630</v>
      </c>
      <c r="R332" s="55">
        <f t="shared" si="69"/>
        <v>9750</v>
      </c>
    </row>
    <row r="333" spans="1:20" ht="15.75" customHeight="1" x14ac:dyDescent="0.3">
      <c r="A333" s="72" t="s">
        <v>160</v>
      </c>
      <c r="B333" s="1">
        <v>0</v>
      </c>
      <c r="C333" s="1">
        <v>465</v>
      </c>
      <c r="D333" s="1">
        <v>1124</v>
      </c>
      <c r="E333" s="55">
        <f t="shared" si="65"/>
        <v>1589</v>
      </c>
      <c r="F333" s="1">
        <v>1136</v>
      </c>
      <c r="G333" s="1">
        <v>1197</v>
      </c>
      <c r="H333" s="1">
        <v>166</v>
      </c>
      <c r="I333" s="55">
        <f t="shared" si="66"/>
        <v>2499</v>
      </c>
      <c r="J333" s="1">
        <v>0</v>
      </c>
      <c r="K333" s="1">
        <v>0</v>
      </c>
      <c r="L333" s="1">
        <v>0</v>
      </c>
      <c r="M333" s="55">
        <f t="shared" si="67"/>
        <v>0</v>
      </c>
      <c r="N333" s="1">
        <v>0</v>
      </c>
      <c r="O333" s="1">
        <v>0</v>
      </c>
      <c r="P333" s="1">
        <v>0</v>
      </c>
      <c r="Q333" s="55">
        <f t="shared" si="68"/>
        <v>0</v>
      </c>
      <c r="R333" s="55">
        <f t="shared" si="69"/>
        <v>4088</v>
      </c>
    </row>
    <row r="334" spans="1:20" ht="15.75" customHeight="1" x14ac:dyDescent="0.3">
      <c r="A334" s="72" t="s">
        <v>162</v>
      </c>
      <c r="B334" s="1">
        <v>0</v>
      </c>
      <c r="C334" s="1">
        <v>0</v>
      </c>
      <c r="D334" s="1">
        <v>0</v>
      </c>
      <c r="E334" s="55">
        <f t="shared" si="65"/>
        <v>0</v>
      </c>
      <c r="F334" s="1">
        <v>1524</v>
      </c>
      <c r="G334" s="1">
        <v>145</v>
      </c>
      <c r="H334" s="1">
        <v>0</v>
      </c>
      <c r="I334" s="55">
        <f t="shared" si="66"/>
        <v>1669</v>
      </c>
      <c r="J334" s="1">
        <v>0</v>
      </c>
      <c r="K334" s="1">
        <v>0</v>
      </c>
      <c r="L334" s="1">
        <v>0</v>
      </c>
      <c r="M334" s="55">
        <f t="shared" si="67"/>
        <v>0</v>
      </c>
      <c r="N334" s="1">
        <v>0</v>
      </c>
      <c r="O334" s="1">
        <v>0</v>
      </c>
      <c r="P334" s="1">
        <v>0</v>
      </c>
      <c r="Q334" s="55">
        <f t="shared" si="68"/>
        <v>0</v>
      </c>
      <c r="R334" s="55">
        <f t="shared" si="69"/>
        <v>1669</v>
      </c>
      <c r="T334" s="4" t="s">
        <v>224</v>
      </c>
    </row>
    <row r="335" spans="1:20" ht="15.75" customHeight="1" x14ac:dyDescent="0.3">
      <c r="A335" s="72" t="s">
        <v>739</v>
      </c>
      <c r="B335" s="1">
        <v>0</v>
      </c>
      <c r="C335" s="1">
        <v>0</v>
      </c>
      <c r="D335" s="1">
        <v>0</v>
      </c>
      <c r="E335" s="55">
        <f>SUM(B335:D335)</f>
        <v>0</v>
      </c>
      <c r="F335" s="1">
        <v>0</v>
      </c>
      <c r="G335" s="1">
        <v>0</v>
      </c>
      <c r="H335" s="1">
        <v>0</v>
      </c>
      <c r="I335" s="55">
        <f>SUM(F335:H335)</f>
        <v>0</v>
      </c>
      <c r="J335" s="1">
        <v>0</v>
      </c>
      <c r="K335" s="1">
        <v>0</v>
      </c>
      <c r="L335" s="1">
        <v>0</v>
      </c>
      <c r="M335" s="55">
        <f>SUM(J335:L335)</f>
        <v>0</v>
      </c>
      <c r="N335" s="1">
        <v>0</v>
      </c>
      <c r="O335" s="1">
        <v>0</v>
      </c>
      <c r="P335" s="1">
        <v>0</v>
      </c>
      <c r="Q335" s="55">
        <f>SUM(N335:P335)</f>
        <v>0</v>
      </c>
      <c r="R335" s="55">
        <f>+E335+I335+M335+Q335</f>
        <v>0</v>
      </c>
    </row>
    <row r="336" spans="1:20" ht="15.75" customHeight="1" x14ac:dyDescent="0.3">
      <c r="A336" s="72" t="s">
        <v>740</v>
      </c>
      <c r="B336" s="1">
        <v>0</v>
      </c>
      <c r="C336" s="1">
        <v>0</v>
      </c>
      <c r="D336" s="1">
        <v>0</v>
      </c>
      <c r="E336" s="55">
        <f>SUM(B336:D336)</f>
        <v>0</v>
      </c>
      <c r="F336" s="1">
        <v>0</v>
      </c>
      <c r="G336" s="1">
        <v>0</v>
      </c>
      <c r="H336" s="1">
        <v>4300</v>
      </c>
      <c r="I336" s="55">
        <f>SUM(F336:H336)</f>
        <v>4300</v>
      </c>
      <c r="J336" s="1">
        <v>3536</v>
      </c>
      <c r="K336" s="1">
        <v>2644</v>
      </c>
      <c r="L336" s="1">
        <v>4550</v>
      </c>
      <c r="M336" s="55">
        <f>SUM(J336:L336)</f>
        <v>10730</v>
      </c>
      <c r="N336" s="1">
        <v>7444</v>
      </c>
      <c r="O336" s="1">
        <v>1790</v>
      </c>
      <c r="P336" s="1">
        <v>1724</v>
      </c>
      <c r="Q336" s="55">
        <f>SUM(N336:P336)</f>
        <v>10958</v>
      </c>
      <c r="R336" s="55">
        <f>+E336+I336+M336+Q336</f>
        <v>25988</v>
      </c>
    </row>
    <row r="337" spans="1:20" ht="15.75" customHeight="1" x14ac:dyDescent="0.3">
      <c r="A337" s="72" t="s">
        <v>741</v>
      </c>
      <c r="B337" s="1">
        <v>0</v>
      </c>
      <c r="C337" s="1">
        <v>0</v>
      </c>
      <c r="D337" s="1">
        <v>0</v>
      </c>
      <c r="E337" s="55">
        <f t="shared" si="65"/>
        <v>0</v>
      </c>
      <c r="F337" s="1">
        <v>0</v>
      </c>
      <c r="G337" s="1">
        <v>0</v>
      </c>
      <c r="H337" s="1">
        <v>0</v>
      </c>
      <c r="I337" s="55">
        <f t="shared" si="66"/>
        <v>0</v>
      </c>
      <c r="J337" s="1">
        <v>0</v>
      </c>
      <c r="K337" s="1">
        <v>0</v>
      </c>
      <c r="L337" s="1">
        <v>0</v>
      </c>
      <c r="M337" s="55">
        <f t="shared" si="67"/>
        <v>0</v>
      </c>
      <c r="N337" s="1">
        <v>0</v>
      </c>
      <c r="O337" s="1">
        <v>0</v>
      </c>
      <c r="P337" s="1">
        <v>1124</v>
      </c>
      <c r="Q337" s="55">
        <f t="shared" si="68"/>
        <v>1124</v>
      </c>
      <c r="R337" s="55">
        <f t="shared" si="69"/>
        <v>1124</v>
      </c>
      <c r="T337" s="4" t="s">
        <v>214</v>
      </c>
    </row>
    <row r="338" spans="1:20" ht="15.75" customHeight="1" x14ac:dyDescent="0.3">
      <c r="A338" s="72" t="s">
        <v>742</v>
      </c>
      <c r="B338" s="1">
        <v>0</v>
      </c>
      <c r="C338" s="1">
        <v>0</v>
      </c>
      <c r="D338" s="1">
        <v>0</v>
      </c>
      <c r="E338" s="55">
        <f>SUM(B338:D338)</f>
        <v>0</v>
      </c>
      <c r="F338" s="1">
        <v>0</v>
      </c>
      <c r="G338" s="1">
        <v>0</v>
      </c>
      <c r="H338" s="1">
        <v>0</v>
      </c>
      <c r="I338" s="55">
        <f>SUM(F338:H338)</f>
        <v>0</v>
      </c>
      <c r="J338" s="1">
        <v>0</v>
      </c>
      <c r="K338" s="1">
        <v>0</v>
      </c>
      <c r="L338" s="1">
        <v>0</v>
      </c>
      <c r="M338" s="55">
        <f>SUM(J338:L338)</f>
        <v>0</v>
      </c>
      <c r="N338" s="1">
        <v>0</v>
      </c>
      <c r="O338" s="1">
        <v>0</v>
      </c>
      <c r="P338" s="1">
        <v>1225</v>
      </c>
      <c r="Q338" s="55">
        <f>SUM(N338:P338)</f>
        <v>1225</v>
      </c>
      <c r="R338" s="55">
        <f>+E338+I338+M338+Q338</f>
        <v>1225</v>
      </c>
    </row>
    <row r="339" spans="1:20" ht="15.75" customHeight="1" x14ac:dyDescent="0.3">
      <c r="A339" s="72" t="s">
        <v>169</v>
      </c>
      <c r="B339" s="1">
        <v>0</v>
      </c>
      <c r="C339" s="1">
        <v>0</v>
      </c>
      <c r="D339" s="1">
        <v>0</v>
      </c>
      <c r="E339" s="55">
        <f t="shared" si="65"/>
        <v>0</v>
      </c>
      <c r="F339" s="1">
        <v>0</v>
      </c>
      <c r="G339" s="1">
        <v>0</v>
      </c>
      <c r="H339" s="1">
        <v>1069</v>
      </c>
      <c r="I339" s="55">
        <f t="shared" si="66"/>
        <v>1069</v>
      </c>
      <c r="J339" s="1">
        <v>3039</v>
      </c>
      <c r="K339" s="1">
        <v>2316</v>
      </c>
      <c r="L339" s="1">
        <v>0</v>
      </c>
      <c r="M339" s="55">
        <f t="shared" si="67"/>
        <v>5355</v>
      </c>
      <c r="N339" s="1">
        <v>0</v>
      </c>
      <c r="O339" s="1">
        <v>0</v>
      </c>
      <c r="P339" s="1">
        <v>0</v>
      </c>
      <c r="Q339" s="55">
        <f t="shared" si="68"/>
        <v>0</v>
      </c>
      <c r="R339" s="55">
        <f t="shared" si="69"/>
        <v>6424</v>
      </c>
      <c r="T339" s="4" t="s">
        <v>209</v>
      </c>
    </row>
    <row r="340" spans="1:20" ht="15.75" customHeight="1" thickBot="1" x14ac:dyDescent="0.35">
      <c r="A340" s="72" t="s">
        <v>171</v>
      </c>
      <c r="B340" s="1">
        <v>0</v>
      </c>
      <c r="C340" s="1">
        <v>0</v>
      </c>
      <c r="D340" s="1">
        <v>0</v>
      </c>
      <c r="E340" s="55">
        <f t="shared" si="65"/>
        <v>0</v>
      </c>
      <c r="F340" s="1">
        <v>0</v>
      </c>
      <c r="G340" s="1">
        <v>2622</v>
      </c>
      <c r="H340" s="1">
        <v>0</v>
      </c>
      <c r="I340" s="55">
        <f t="shared" si="66"/>
        <v>2622</v>
      </c>
      <c r="J340" s="1">
        <v>0</v>
      </c>
      <c r="K340" s="1">
        <v>0</v>
      </c>
      <c r="L340" s="1">
        <v>0</v>
      </c>
      <c r="M340" s="55">
        <f t="shared" si="67"/>
        <v>0</v>
      </c>
      <c r="N340" s="1">
        <v>0</v>
      </c>
      <c r="O340" s="1">
        <v>0</v>
      </c>
      <c r="P340" s="1">
        <v>0</v>
      </c>
      <c r="Q340" s="55">
        <f t="shared" si="68"/>
        <v>0</v>
      </c>
      <c r="R340" s="55">
        <f t="shared" si="69"/>
        <v>2622</v>
      </c>
      <c r="T340" s="4" t="s">
        <v>214</v>
      </c>
    </row>
    <row r="341" spans="1:20" ht="16.5" customHeight="1" thickBot="1" x14ac:dyDescent="0.35">
      <c r="A341" s="114" t="s">
        <v>63</v>
      </c>
      <c r="B341" s="86">
        <f>SUM(B316:B340)</f>
        <v>8882</v>
      </c>
      <c r="C341" s="87">
        <f>SUM(C316:C340)</f>
        <v>10611</v>
      </c>
      <c r="D341" s="87">
        <f>SUM(D316:D340)</f>
        <v>24742</v>
      </c>
      <c r="E341" s="59">
        <f t="shared" si="65"/>
        <v>44235</v>
      </c>
      <c r="F341" s="87">
        <f>SUM(F316:F340)</f>
        <v>33180</v>
      </c>
      <c r="G341" s="87">
        <f>SUM(G316:G340)</f>
        <v>42858</v>
      </c>
      <c r="H341" s="87">
        <f>SUM(H316:H340)</f>
        <v>50556</v>
      </c>
      <c r="I341" s="59">
        <f t="shared" si="66"/>
        <v>126594</v>
      </c>
      <c r="J341" s="87">
        <f>SUM(J316:J340)</f>
        <v>50583</v>
      </c>
      <c r="K341" s="87">
        <f>SUM(K316:K340)</f>
        <v>63940</v>
      </c>
      <c r="L341" s="87">
        <f>SUM(L316:L340)</f>
        <v>43546</v>
      </c>
      <c r="M341" s="59">
        <f t="shared" si="67"/>
        <v>158069</v>
      </c>
      <c r="N341" s="87">
        <f>SUM(N316:N340)</f>
        <v>21186</v>
      </c>
      <c r="O341" s="87">
        <f>SUM(O316:O340)</f>
        <v>7003</v>
      </c>
      <c r="P341" s="87">
        <f>SUM(P316:P340)</f>
        <v>9672</v>
      </c>
      <c r="Q341" s="59">
        <f t="shared" si="68"/>
        <v>37861</v>
      </c>
      <c r="R341" s="59">
        <f t="shared" si="69"/>
        <v>366759</v>
      </c>
      <c r="T341" s="89" t="s">
        <v>277</v>
      </c>
    </row>
    <row r="342" spans="1:20" ht="15.75" customHeight="1" x14ac:dyDescent="0.3">
      <c r="A342" s="15" t="s">
        <v>64</v>
      </c>
      <c r="B342" s="1"/>
      <c r="C342" s="1"/>
      <c r="D342" s="1"/>
      <c r="E342" s="55" t="s">
        <v>7</v>
      </c>
      <c r="F342" s="1"/>
      <c r="G342" s="1"/>
      <c r="H342" s="1"/>
      <c r="I342" s="55" t="s">
        <v>7</v>
      </c>
      <c r="J342" s="1"/>
      <c r="K342" s="1"/>
      <c r="L342" s="1"/>
      <c r="M342" s="55" t="s">
        <v>7</v>
      </c>
      <c r="N342" s="1"/>
      <c r="O342" s="1"/>
      <c r="P342" s="1"/>
      <c r="Q342" s="55" t="s">
        <v>7</v>
      </c>
      <c r="R342" s="55" t="s">
        <v>7</v>
      </c>
    </row>
    <row r="343" spans="1:20" ht="15.75" customHeight="1" x14ac:dyDescent="0.3">
      <c r="A343" s="15" t="s">
        <v>594</v>
      </c>
      <c r="B343" s="1"/>
      <c r="C343" s="1"/>
      <c r="D343" s="1"/>
      <c r="E343" s="55" t="s">
        <v>7</v>
      </c>
      <c r="F343" s="1"/>
      <c r="G343" s="1"/>
      <c r="H343" s="1"/>
      <c r="I343" s="55" t="s">
        <v>7</v>
      </c>
      <c r="J343" s="1"/>
      <c r="K343" s="1"/>
      <c r="L343" s="1"/>
      <c r="M343" s="55" t="s">
        <v>7</v>
      </c>
      <c r="N343" s="1"/>
      <c r="O343" s="1"/>
      <c r="P343" s="1"/>
      <c r="Q343" s="55" t="s">
        <v>7</v>
      </c>
      <c r="R343" s="55" t="s">
        <v>7</v>
      </c>
      <c r="T343" s="4" t="s">
        <v>209</v>
      </c>
    </row>
    <row r="344" spans="1:20" ht="15.75" customHeight="1" x14ac:dyDescent="0.3">
      <c r="A344" s="72" t="s">
        <v>743</v>
      </c>
      <c r="B344" s="1">
        <v>0</v>
      </c>
      <c r="C344" s="1">
        <v>0</v>
      </c>
      <c r="D344" s="1">
        <v>0</v>
      </c>
      <c r="E344" s="55">
        <f>SUM(B344:D344)</f>
        <v>0</v>
      </c>
      <c r="F344" s="1">
        <v>0</v>
      </c>
      <c r="G344" s="1">
        <v>0</v>
      </c>
      <c r="H344" s="1">
        <v>0</v>
      </c>
      <c r="I344" s="55">
        <f>SUM(F344:H344)</f>
        <v>0</v>
      </c>
      <c r="J344" s="1">
        <v>14</v>
      </c>
      <c r="K344" s="1">
        <v>234</v>
      </c>
      <c r="L344" s="1">
        <v>1000</v>
      </c>
      <c r="M344" s="55">
        <f>SUM(J344:L344)</f>
        <v>1248</v>
      </c>
      <c r="N344" s="1">
        <v>1427</v>
      </c>
      <c r="O344" s="1">
        <v>1002</v>
      </c>
      <c r="P344" s="1">
        <v>189</v>
      </c>
      <c r="Q344" s="55">
        <f>SUM(N344:P344)</f>
        <v>2618</v>
      </c>
      <c r="R344" s="55">
        <f>+E344+I344+M344+Q344</f>
        <v>3866</v>
      </c>
    </row>
    <row r="345" spans="1:20" ht="15.75" customHeight="1" x14ac:dyDescent="0.3">
      <c r="A345" s="15" t="s">
        <v>67</v>
      </c>
      <c r="B345" s="1"/>
      <c r="C345" s="1"/>
      <c r="D345" s="1"/>
      <c r="E345" s="55" t="s">
        <v>7</v>
      </c>
      <c r="F345" s="1"/>
      <c r="G345" s="1"/>
      <c r="H345" s="1"/>
      <c r="I345" s="55" t="s">
        <v>7</v>
      </c>
      <c r="J345" s="1"/>
      <c r="K345" s="1"/>
      <c r="L345" s="1"/>
      <c r="M345" s="55" t="s">
        <v>7</v>
      </c>
      <c r="N345" s="1"/>
      <c r="O345" s="1"/>
      <c r="P345" s="1"/>
      <c r="Q345" s="55" t="s">
        <v>7</v>
      </c>
      <c r="R345" s="55" t="s">
        <v>7</v>
      </c>
    </row>
    <row r="346" spans="1:20" ht="15.75" customHeight="1" x14ac:dyDescent="0.3">
      <c r="A346" s="72" t="s">
        <v>744</v>
      </c>
      <c r="B346" s="1">
        <v>0</v>
      </c>
      <c r="C346" s="1">
        <v>0</v>
      </c>
      <c r="D346" s="1">
        <v>0</v>
      </c>
      <c r="E346" s="55">
        <f>SUM(B346:D346)</f>
        <v>0</v>
      </c>
      <c r="F346" s="1">
        <v>0</v>
      </c>
      <c r="G346" s="1">
        <v>0</v>
      </c>
      <c r="H346" s="1">
        <v>0</v>
      </c>
      <c r="I346" s="55">
        <f>SUM(F346:H346)</f>
        <v>0</v>
      </c>
      <c r="J346" s="1">
        <v>0</v>
      </c>
      <c r="K346" s="1">
        <v>0</v>
      </c>
      <c r="L346" s="1">
        <v>0</v>
      </c>
      <c r="M346" s="55">
        <f>SUM(J346:L346)</f>
        <v>0</v>
      </c>
      <c r="N346" s="1">
        <v>0</v>
      </c>
      <c r="O346" s="1">
        <v>0</v>
      </c>
      <c r="P346" s="1">
        <v>0</v>
      </c>
      <c r="Q346" s="55">
        <f>SUM(N346:P346)</f>
        <v>0</v>
      </c>
      <c r="R346" s="55">
        <f>+E346+I346+M346+Q346</f>
        <v>0</v>
      </c>
      <c r="T346" s="4" t="s">
        <v>209</v>
      </c>
    </row>
    <row r="347" spans="1:20" ht="15.75" customHeight="1" x14ac:dyDescent="0.3">
      <c r="A347" s="72" t="s">
        <v>745</v>
      </c>
      <c r="B347" s="1">
        <v>0</v>
      </c>
      <c r="C347" s="1">
        <v>0</v>
      </c>
      <c r="D347" s="1">
        <v>0</v>
      </c>
      <c r="E347" s="55">
        <f>SUM(B347:D347)</f>
        <v>0</v>
      </c>
      <c r="F347" s="1">
        <v>0</v>
      </c>
      <c r="G347" s="1">
        <v>0</v>
      </c>
      <c r="H347" s="1">
        <v>0</v>
      </c>
      <c r="I347" s="55">
        <f>SUM(F347:H347)</f>
        <v>0</v>
      </c>
      <c r="J347" s="1">
        <v>0</v>
      </c>
      <c r="K347" s="1">
        <v>0</v>
      </c>
      <c r="L347" s="1">
        <v>0</v>
      </c>
      <c r="M347" s="55">
        <f>SUM(J347:L347)</f>
        <v>0</v>
      </c>
      <c r="N347" s="1">
        <v>0</v>
      </c>
      <c r="O347" s="1">
        <v>0</v>
      </c>
      <c r="P347" s="1">
        <v>2444</v>
      </c>
      <c r="Q347" s="55">
        <f>SUM(N347:P347)</f>
        <v>2444</v>
      </c>
      <c r="R347" s="55">
        <f>+E347+I347+M347+Q347</f>
        <v>2444</v>
      </c>
      <c r="T347" s="4" t="s">
        <v>214</v>
      </c>
    </row>
    <row r="348" spans="1:20" ht="15.75" customHeight="1" x14ac:dyDescent="0.3">
      <c r="A348" s="15" t="s">
        <v>600</v>
      </c>
      <c r="B348" s="1"/>
      <c r="C348" s="1"/>
      <c r="D348" s="1"/>
      <c r="E348" s="55" t="s">
        <v>7</v>
      </c>
      <c r="F348" s="1"/>
      <c r="G348" s="1"/>
      <c r="H348" s="1"/>
      <c r="I348" s="55" t="s">
        <v>7</v>
      </c>
      <c r="J348" s="1"/>
      <c r="K348" s="1"/>
      <c r="L348" s="1"/>
      <c r="M348" s="55" t="s">
        <v>7</v>
      </c>
      <c r="N348" s="1"/>
      <c r="O348" s="1"/>
      <c r="P348" s="1"/>
      <c r="Q348" s="55" t="s">
        <v>7</v>
      </c>
      <c r="R348" s="55" t="s">
        <v>7</v>
      </c>
      <c r="T348" s="4" t="s">
        <v>256</v>
      </c>
    </row>
    <row r="349" spans="1:20" ht="15.75" customHeight="1" x14ac:dyDescent="0.3">
      <c r="A349" s="72" t="s">
        <v>270</v>
      </c>
      <c r="B349" s="1">
        <v>0</v>
      </c>
      <c r="C349" s="1">
        <v>0</v>
      </c>
      <c r="D349" s="1">
        <v>3440</v>
      </c>
      <c r="E349" s="55">
        <f t="shared" ref="E349:E355" si="70">SUM(B349:D349)</f>
        <v>3440</v>
      </c>
      <c r="F349" s="1">
        <v>2556</v>
      </c>
      <c r="G349" s="1">
        <v>0</v>
      </c>
      <c r="H349" s="1">
        <v>0</v>
      </c>
      <c r="I349" s="55">
        <f t="shared" ref="I349:I355" si="71">SUM(F349:H349)</f>
        <v>2556</v>
      </c>
      <c r="J349" s="1">
        <v>0</v>
      </c>
      <c r="K349" s="1">
        <v>0</v>
      </c>
      <c r="L349" s="1">
        <v>0</v>
      </c>
      <c r="M349" s="55">
        <f t="shared" ref="M349:M355" si="72">SUM(J349:L349)</f>
        <v>0</v>
      </c>
      <c r="N349" s="1">
        <v>0</v>
      </c>
      <c r="O349" s="1">
        <v>0</v>
      </c>
      <c r="P349" s="1">
        <v>0</v>
      </c>
      <c r="Q349" s="55">
        <f t="shared" ref="Q349:Q355" si="73">SUM(N349:P349)</f>
        <v>0</v>
      </c>
      <c r="R349" s="55">
        <f t="shared" ref="R349:R355" si="74">+E349+I349+M349+Q349</f>
        <v>5996</v>
      </c>
      <c r="T349" s="4" t="s">
        <v>246</v>
      </c>
    </row>
    <row r="350" spans="1:20" ht="15.75" customHeight="1" x14ac:dyDescent="0.3">
      <c r="A350" s="72" t="s">
        <v>646</v>
      </c>
      <c r="B350" s="1">
        <v>0</v>
      </c>
      <c r="C350" s="1">
        <v>0</v>
      </c>
      <c r="D350" s="1">
        <v>0</v>
      </c>
      <c r="E350" s="55">
        <f t="shared" si="70"/>
        <v>0</v>
      </c>
      <c r="F350" s="1">
        <v>3609</v>
      </c>
      <c r="G350" s="1">
        <v>7882</v>
      </c>
      <c r="H350" s="1">
        <v>3509</v>
      </c>
      <c r="I350" s="55">
        <f t="shared" si="71"/>
        <v>15000</v>
      </c>
      <c r="J350" s="1">
        <v>0</v>
      </c>
      <c r="K350" s="1">
        <v>0</v>
      </c>
      <c r="L350" s="1">
        <v>0</v>
      </c>
      <c r="M350" s="55">
        <f t="shared" si="72"/>
        <v>0</v>
      </c>
      <c r="N350" s="1">
        <v>0</v>
      </c>
      <c r="O350" s="1">
        <v>0</v>
      </c>
      <c r="P350" s="1">
        <v>0</v>
      </c>
      <c r="Q350" s="55">
        <f t="shared" si="73"/>
        <v>0</v>
      </c>
      <c r="R350" s="55">
        <f t="shared" si="74"/>
        <v>15000</v>
      </c>
      <c r="T350" s="4" t="s">
        <v>209</v>
      </c>
    </row>
    <row r="351" spans="1:20" ht="15.75" customHeight="1" x14ac:dyDescent="0.3">
      <c r="A351" s="72" t="s">
        <v>271</v>
      </c>
      <c r="B351" s="1">
        <v>0</v>
      </c>
      <c r="C351" s="1">
        <v>0</v>
      </c>
      <c r="D351" s="1">
        <v>0</v>
      </c>
      <c r="E351" s="55">
        <f t="shared" si="70"/>
        <v>0</v>
      </c>
      <c r="F351" s="1">
        <v>0</v>
      </c>
      <c r="G351" s="1">
        <v>0</v>
      </c>
      <c r="H351" s="1">
        <v>1000</v>
      </c>
      <c r="I351" s="55">
        <f t="shared" si="71"/>
        <v>1000</v>
      </c>
      <c r="J351" s="1">
        <v>0</v>
      </c>
      <c r="K351" s="1">
        <v>0</v>
      </c>
      <c r="L351" s="1">
        <v>0</v>
      </c>
      <c r="M351" s="55">
        <f t="shared" si="72"/>
        <v>0</v>
      </c>
      <c r="N351" s="1">
        <v>0</v>
      </c>
      <c r="O351" s="1">
        <v>0</v>
      </c>
      <c r="P351" s="1">
        <v>0</v>
      </c>
      <c r="Q351" s="55">
        <f t="shared" si="73"/>
        <v>0</v>
      </c>
      <c r="R351" s="55">
        <f t="shared" si="74"/>
        <v>1000</v>
      </c>
      <c r="T351" s="4" t="s">
        <v>209</v>
      </c>
    </row>
    <row r="352" spans="1:20" ht="15.75" customHeight="1" x14ac:dyDescent="0.3">
      <c r="A352" s="72" t="s">
        <v>647</v>
      </c>
      <c r="B352" s="1">
        <v>0</v>
      </c>
      <c r="C352" s="1">
        <v>0</v>
      </c>
      <c r="D352" s="1">
        <v>0</v>
      </c>
      <c r="E352" s="55">
        <f t="shared" si="70"/>
        <v>0</v>
      </c>
      <c r="F352" s="1">
        <v>0</v>
      </c>
      <c r="G352" s="1">
        <v>0</v>
      </c>
      <c r="H352" s="1">
        <v>0</v>
      </c>
      <c r="I352" s="55">
        <f t="shared" si="71"/>
        <v>0</v>
      </c>
      <c r="J352" s="1">
        <v>0</v>
      </c>
      <c r="K352" s="1">
        <v>0</v>
      </c>
      <c r="L352" s="1">
        <v>0</v>
      </c>
      <c r="M352" s="55">
        <f t="shared" si="72"/>
        <v>0</v>
      </c>
      <c r="N352" s="1">
        <v>0</v>
      </c>
      <c r="O352" s="1">
        <v>0</v>
      </c>
      <c r="P352" s="1">
        <v>0</v>
      </c>
      <c r="Q352" s="55">
        <f t="shared" si="73"/>
        <v>0</v>
      </c>
      <c r="R352" s="55">
        <f t="shared" si="74"/>
        <v>0</v>
      </c>
      <c r="T352" s="4" t="s">
        <v>214</v>
      </c>
    </row>
    <row r="353" spans="1:18" ht="15.75" customHeight="1" x14ac:dyDescent="0.3">
      <c r="A353" s="72" t="s">
        <v>652</v>
      </c>
      <c r="B353" s="1">
        <v>0</v>
      </c>
      <c r="C353" s="1">
        <v>247</v>
      </c>
      <c r="D353" s="1">
        <v>3981</v>
      </c>
      <c r="E353" s="55">
        <f t="shared" si="70"/>
        <v>4228</v>
      </c>
      <c r="F353" s="1">
        <v>5911</v>
      </c>
      <c r="G353" s="1">
        <v>7390</v>
      </c>
      <c r="H353" s="1">
        <v>6186</v>
      </c>
      <c r="I353" s="55">
        <f t="shared" si="71"/>
        <v>19487</v>
      </c>
      <c r="J353" s="1">
        <v>9214</v>
      </c>
      <c r="K353" s="1">
        <v>3071</v>
      </c>
      <c r="L353" s="1">
        <v>0</v>
      </c>
      <c r="M353" s="55">
        <f t="shared" si="72"/>
        <v>12285</v>
      </c>
      <c r="N353" s="1">
        <v>0</v>
      </c>
      <c r="O353" s="1">
        <v>0</v>
      </c>
      <c r="P353" s="1">
        <v>0</v>
      </c>
      <c r="Q353" s="55">
        <f t="shared" si="73"/>
        <v>0</v>
      </c>
      <c r="R353" s="55">
        <f t="shared" si="74"/>
        <v>36000</v>
      </c>
    </row>
    <row r="354" spans="1:18" ht="15.75" customHeight="1" x14ac:dyDescent="0.3">
      <c r="A354" s="72" t="s">
        <v>746</v>
      </c>
      <c r="B354" s="1">
        <v>0</v>
      </c>
      <c r="C354" s="1">
        <v>0</v>
      </c>
      <c r="D354" s="1">
        <v>0</v>
      </c>
      <c r="E354" s="55">
        <f>SUM(B354:D354)</f>
        <v>0</v>
      </c>
      <c r="F354" s="1">
        <v>0</v>
      </c>
      <c r="G354" s="1">
        <v>0</v>
      </c>
      <c r="H354" s="1">
        <v>4182</v>
      </c>
      <c r="I354" s="55">
        <f>SUM(F354:H354)</f>
        <v>4182</v>
      </c>
      <c r="J354" s="1">
        <v>6921</v>
      </c>
      <c r="K354" s="1">
        <v>2897</v>
      </c>
      <c r="L354" s="1">
        <v>0</v>
      </c>
      <c r="M354" s="55">
        <f>SUM(J354:L354)</f>
        <v>9818</v>
      </c>
      <c r="N354" s="1">
        <v>0</v>
      </c>
      <c r="O354" s="1">
        <v>0</v>
      </c>
      <c r="P354" s="1">
        <v>0</v>
      </c>
      <c r="Q354" s="55">
        <f>SUM(N354:P354)</f>
        <v>0</v>
      </c>
      <c r="R354" s="55">
        <f>+E354+I354+M354+Q354</f>
        <v>14000</v>
      </c>
    </row>
    <row r="355" spans="1:18" ht="15.75" customHeight="1" x14ac:dyDescent="0.3">
      <c r="A355" s="72" t="s">
        <v>747</v>
      </c>
      <c r="B355" s="1">
        <v>0</v>
      </c>
      <c r="C355" s="1">
        <v>0</v>
      </c>
      <c r="D355" s="1">
        <v>0</v>
      </c>
      <c r="E355" s="55">
        <f t="shared" si="70"/>
        <v>0</v>
      </c>
      <c r="F355" s="1">
        <v>0</v>
      </c>
      <c r="G355" s="1">
        <v>0</v>
      </c>
      <c r="H355" s="1">
        <v>0</v>
      </c>
      <c r="I355" s="55">
        <f t="shared" si="71"/>
        <v>0</v>
      </c>
      <c r="J355" s="1">
        <v>0</v>
      </c>
      <c r="K355" s="1">
        <v>0</v>
      </c>
      <c r="L355" s="1">
        <v>0</v>
      </c>
      <c r="M355" s="55">
        <f t="shared" si="72"/>
        <v>0</v>
      </c>
      <c r="N355" s="1">
        <v>0</v>
      </c>
      <c r="O355" s="1">
        <v>0</v>
      </c>
      <c r="P355" s="1">
        <v>0</v>
      </c>
      <c r="Q355" s="55">
        <f t="shared" si="73"/>
        <v>0</v>
      </c>
      <c r="R355" s="55">
        <f t="shared" si="74"/>
        <v>0</v>
      </c>
    </row>
    <row r="356" spans="1:18" ht="15.75" customHeight="1" x14ac:dyDescent="0.3">
      <c r="A356" s="15" t="s">
        <v>70</v>
      </c>
      <c r="B356" s="1"/>
      <c r="C356" s="1"/>
      <c r="D356" s="1"/>
      <c r="E356" s="55" t="s">
        <v>7</v>
      </c>
      <c r="F356" s="1"/>
      <c r="G356" s="1"/>
      <c r="H356" s="1"/>
      <c r="I356" s="55" t="s">
        <v>7</v>
      </c>
      <c r="J356" s="1"/>
      <c r="K356" s="1"/>
      <c r="L356" s="1"/>
      <c r="M356" s="55" t="s">
        <v>7</v>
      </c>
      <c r="N356" s="1"/>
      <c r="O356" s="1"/>
      <c r="P356" s="1"/>
      <c r="Q356" s="55" t="s">
        <v>7</v>
      </c>
      <c r="R356" s="55" t="s">
        <v>7</v>
      </c>
    </row>
    <row r="357" spans="1:18" ht="15.75" customHeight="1" x14ac:dyDescent="0.3">
      <c r="A357" s="72" t="s">
        <v>748</v>
      </c>
      <c r="B357" s="1">
        <v>0</v>
      </c>
      <c r="C357" s="1">
        <v>0</v>
      </c>
      <c r="D357" s="1">
        <v>0</v>
      </c>
      <c r="E357" s="55">
        <f>SUM(B357:D357)</f>
        <v>0</v>
      </c>
      <c r="F357" s="1">
        <v>0</v>
      </c>
      <c r="G357" s="1">
        <v>0</v>
      </c>
      <c r="H357" s="1">
        <v>0</v>
      </c>
      <c r="I357" s="55">
        <f>SUM(F357:H357)</f>
        <v>0</v>
      </c>
      <c r="J357" s="1">
        <v>0</v>
      </c>
      <c r="K357" s="1"/>
      <c r="L357" s="1">
        <v>0</v>
      </c>
      <c r="M357" s="55">
        <f>SUM(J357:L357)</f>
        <v>0</v>
      </c>
      <c r="N357" s="1">
        <v>0</v>
      </c>
      <c r="O357" s="1">
        <v>0</v>
      </c>
      <c r="P357" s="1">
        <v>0</v>
      </c>
      <c r="Q357" s="55">
        <f>SUM(N357:P357)</f>
        <v>0</v>
      </c>
      <c r="R357" s="55">
        <f>+E357+I357+M357+Q357</f>
        <v>0</v>
      </c>
    </row>
    <row r="358" spans="1:18" ht="15.75" customHeight="1" x14ac:dyDescent="0.3">
      <c r="A358" s="72" t="s">
        <v>749</v>
      </c>
      <c r="B358" s="1">
        <v>0</v>
      </c>
      <c r="C358" s="1">
        <v>0</v>
      </c>
      <c r="D358" s="1">
        <v>0</v>
      </c>
      <c r="E358" s="55">
        <f>SUM(B358:D358)</f>
        <v>0</v>
      </c>
      <c r="F358" s="1">
        <v>0</v>
      </c>
      <c r="G358" s="1">
        <v>0</v>
      </c>
      <c r="H358" s="1">
        <v>0</v>
      </c>
      <c r="I358" s="55">
        <f>SUM(F358:H358)</f>
        <v>0</v>
      </c>
      <c r="J358" s="1">
        <v>0</v>
      </c>
      <c r="K358" s="1">
        <v>0</v>
      </c>
      <c r="L358" s="1">
        <v>0</v>
      </c>
      <c r="M358" s="55">
        <f>SUM(J358:L358)</f>
        <v>0</v>
      </c>
      <c r="N358" s="1">
        <v>0</v>
      </c>
      <c r="O358" s="1">
        <v>0</v>
      </c>
      <c r="P358" s="1">
        <v>0</v>
      </c>
      <c r="Q358" s="55">
        <f>SUM(N358:P358)</f>
        <v>0</v>
      </c>
      <c r="R358" s="55">
        <f>+E358+I358+M358+Q358</f>
        <v>0</v>
      </c>
    </row>
    <row r="359" spans="1:18" ht="15.75" customHeight="1" x14ac:dyDescent="0.3">
      <c r="A359" s="72" t="s">
        <v>750</v>
      </c>
      <c r="B359" s="1">
        <v>0</v>
      </c>
      <c r="C359" s="1">
        <v>0</v>
      </c>
      <c r="D359" s="1">
        <v>0</v>
      </c>
      <c r="E359" s="55">
        <f>SUM(B359:D359)</f>
        <v>0</v>
      </c>
      <c r="F359" s="1">
        <v>0</v>
      </c>
      <c r="G359" s="1">
        <v>0</v>
      </c>
      <c r="H359" s="1">
        <v>0</v>
      </c>
      <c r="I359" s="55">
        <f>SUM(F359:H359)</f>
        <v>0</v>
      </c>
      <c r="J359" s="1">
        <v>0</v>
      </c>
      <c r="K359" s="1">
        <v>0</v>
      </c>
      <c r="L359" s="1">
        <v>0</v>
      </c>
      <c r="M359" s="55">
        <f>SUM(J359:L359)</f>
        <v>0</v>
      </c>
      <c r="N359" s="1">
        <v>0</v>
      </c>
      <c r="O359" s="1">
        <v>1047</v>
      </c>
      <c r="P359" s="1">
        <v>1579</v>
      </c>
      <c r="Q359" s="55">
        <f>SUM(N359:P359)</f>
        <v>2626</v>
      </c>
      <c r="R359" s="55">
        <f>+E359+I359+M359+Q359</f>
        <v>2626</v>
      </c>
    </row>
    <row r="360" spans="1:18" ht="15.75" customHeight="1" x14ac:dyDescent="0.3">
      <c r="A360" s="72" t="s">
        <v>751</v>
      </c>
      <c r="B360" s="1">
        <v>0</v>
      </c>
      <c r="C360" s="1">
        <v>0</v>
      </c>
      <c r="D360" s="1">
        <v>0</v>
      </c>
      <c r="E360" s="55">
        <f t="shared" ref="E360:E370" si="75">SUM(B360:D360)</f>
        <v>0</v>
      </c>
      <c r="F360" s="1">
        <v>0</v>
      </c>
      <c r="G360" s="1">
        <v>0</v>
      </c>
      <c r="H360" s="1">
        <v>0</v>
      </c>
      <c r="I360" s="55">
        <f t="shared" ref="I360:I370" si="76">SUM(F360:H360)</f>
        <v>0</v>
      </c>
      <c r="J360" s="1">
        <v>0</v>
      </c>
      <c r="K360" s="1">
        <v>0</v>
      </c>
      <c r="L360" s="1">
        <v>1751</v>
      </c>
      <c r="M360" s="55">
        <f t="shared" ref="M360:M370" si="77">SUM(J360:L360)</f>
        <v>1751</v>
      </c>
      <c r="N360" s="1"/>
      <c r="O360" s="1">
        <v>300</v>
      </c>
      <c r="P360" s="1">
        <v>1891</v>
      </c>
      <c r="Q360" s="55">
        <f t="shared" ref="Q360:Q370" si="78">SUM(N360:P360)</f>
        <v>2191</v>
      </c>
      <c r="R360" s="55">
        <f t="shared" ref="R360:R370" si="79">+E360+I360+M360+Q360</f>
        <v>3942</v>
      </c>
    </row>
    <row r="361" spans="1:18" ht="15.75" customHeight="1" x14ac:dyDescent="0.3">
      <c r="A361" s="72" t="s">
        <v>752</v>
      </c>
      <c r="B361" s="1">
        <v>0</v>
      </c>
      <c r="C361" s="1">
        <v>0</v>
      </c>
      <c r="D361" s="1">
        <v>0</v>
      </c>
      <c r="E361" s="55">
        <f>SUM(B361:D361)</f>
        <v>0</v>
      </c>
      <c r="F361" s="1">
        <v>0</v>
      </c>
      <c r="G361" s="1">
        <v>0</v>
      </c>
      <c r="H361" s="1">
        <v>0</v>
      </c>
      <c r="I361" s="55">
        <f>SUM(F361:H361)</f>
        <v>0</v>
      </c>
      <c r="J361" s="1">
        <v>0</v>
      </c>
      <c r="K361" s="1">
        <v>0</v>
      </c>
      <c r="L361" s="1">
        <v>0</v>
      </c>
      <c r="M361" s="55">
        <f>SUM(J361:L361)</f>
        <v>0</v>
      </c>
      <c r="N361" s="1">
        <v>0</v>
      </c>
      <c r="O361" s="1">
        <v>0</v>
      </c>
      <c r="P361" s="1">
        <v>0</v>
      </c>
      <c r="Q361" s="55">
        <f>SUM(N361:P361)</f>
        <v>0</v>
      </c>
      <c r="R361" s="55">
        <f>+E361+I361+M361+Q361</f>
        <v>0</v>
      </c>
    </row>
    <row r="362" spans="1:18" ht="15.75" customHeight="1" x14ac:dyDescent="0.3">
      <c r="A362" s="72" t="s">
        <v>753</v>
      </c>
      <c r="B362" s="1">
        <v>380</v>
      </c>
      <c r="C362" s="1">
        <v>720</v>
      </c>
      <c r="D362" s="1">
        <v>1550</v>
      </c>
      <c r="E362" s="55">
        <f>SUM(B362:D362)</f>
        <v>2650</v>
      </c>
      <c r="F362" s="1">
        <v>1650</v>
      </c>
      <c r="G362" s="1">
        <v>1450</v>
      </c>
      <c r="H362" s="1">
        <v>930</v>
      </c>
      <c r="I362" s="55">
        <f>SUM(F362:H362)</f>
        <v>4030</v>
      </c>
      <c r="J362" s="1">
        <v>310</v>
      </c>
      <c r="K362" s="1">
        <v>310</v>
      </c>
      <c r="L362" s="1">
        <v>200</v>
      </c>
      <c r="M362" s="55">
        <f>SUM(J362:L362)</f>
        <v>820</v>
      </c>
      <c r="N362" s="1">
        <v>0</v>
      </c>
      <c r="O362" s="1">
        <v>0</v>
      </c>
      <c r="P362" s="1">
        <v>0</v>
      </c>
      <c r="Q362" s="55">
        <f>SUM(N362:P362)</f>
        <v>0</v>
      </c>
      <c r="R362" s="55">
        <f>+E362+I362+M362+Q362</f>
        <v>7500</v>
      </c>
    </row>
    <row r="363" spans="1:18" ht="15.75" customHeight="1" x14ac:dyDescent="0.3">
      <c r="A363" s="72" t="s">
        <v>754</v>
      </c>
      <c r="B363" s="1">
        <v>0</v>
      </c>
      <c r="C363" s="1">
        <v>0</v>
      </c>
      <c r="D363" s="1">
        <v>0</v>
      </c>
      <c r="E363" s="55">
        <f>SUM(B363:D363)</f>
        <v>0</v>
      </c>
      <c r="F363" s="1">
        <v>0</v>
      </c>
      <c r="G363" s="1">
        <v>0</v>
      </c>
      <c r="H363" s="1">
        <v>0</v>
      </c>
      <c r="I363" s="55">
        <f>SUM(F363:H363)</f>
        <v>0</v>
      </c>
      <c r="J363" s="1">
        <v>0</v>
      </c>
      <c r="K363" s="1">
        <v>0</v>
      </c>
      <c r="L363" s="1">
        <v>0</v>
      </c>
      <c r="M363" s="55">
        <f>SUM(J363:L363)</f>
        <v>0</v>
      </c>
      <c r="N363" s="1">
        <v>0</v>
      </c>
      <c r="O363" s="1">
        <v>0</v>
      </c>
      <c r="P363" s="1">
        <v>0</v>
      </c>
      <c r="Q363" s="55">
        <f>SUM(N363:P363)</f>
        <v>0</v>
      </c>
      <c r="R363" s="55">
        <f>+E363+I363+M363+Q363</f>
        <v>0</v>
      </c>
    </row>
    <row r="364" spans="1:18" ht="15.75" customHeight="1" thickBot="1" x14ac:dyDescent="0.35">
      <c r="A364" s="72" t="s">
        <v>755</v>
      </c>
      <c r="B364" s="1">
        <v>0</v>
      </c>
      <c r="C364" s="1">
        <v>0</v>
      </c>
      <c r="D364" s="1">
        <v>0</v>
      </c>
      <c r="E364" s="55">
        <f>SUM(B364:D364)</f>
        <v>0</v>
      </c>
      <c r="F364" s="1">
        <v>0</v>
      </c>
      <c r="G364" s="1">
        <v>0</v>
      </c>
      <c r="H364" s="1">
        <v>2945</v>
      </c>
      <c r="I364" s="55">
        <f>SUM(F364:H364)</f>
        <v>2945</v>
      </c>
      <c r="J364" s="1">
        <v>0</v>
      </c>
      <c r="K364" s="1">
        <v>0</v>
      </c>
      <c r="L364" s="1">
        <v>527</v>
      </c>
      <c r="M364" s="55">
        <f>SUM(J364:L364)</f>
        <v>527</v>
      </c>
      <c r="N364" s="1">
        <v>2249</v>
      </c>
      <c r="O364" s="1">
        <v>640</v>
      </c>
      <c r="P364" s="1">
        <v>390</v>
      </c>
      <c r="Q364" s="55">
        <f>SUM(N364:P364)</f>
        <v>3279</v>
      </c>
      <c r="R364" s="55">
        <f>+E364+I364+M364+Q364</f>
        <v>6751</v>
      </c>
    </row>
    <row r="365" spans="1:18" ht="16.5" customHeight="1" thickBot="1" x14ac:dyDescent="0.35">
      <c r="A365" s="57" t="s">
        <v>71</v>
      </c>
      <c r="B365" s="58">
        <f>SUM(B349:B364)</f>
        <v>380</v>
      </c>
      <c r="C365" s="58">
        <f>SUM(C349:C364)</f>
        <v>967</v>
      </c>
      <c r="D365" s="58">
        <f>SUM(D349:D364)</f>
        <v>8971</v>
      </c>
      <c r="E365" s="60">
        <f t="shared" si="75"/>
        <v>10318</v>
      </c>
      <c r="F365" s="58">
        <f>SUM(F349:F364)</f>
        <v>13726</v>
      </c>
      <c r="G365" s="58">
        <f>SUM(G349:G364)</f>
        <v>16722</v>
      </c>
      <c r="H365" s="58">
        <f>SUM(H349:H364)</f>
        <v>18752</v>
      </c>
      <c r="I365" s="60">
        <f t="shared" si="76"/>
        <v>49200</v>
      </c>
      <c r="J365" s="58">
        <f>SUM(J349:J364)</f>
        <v>16445</v>
      </c>
      <c r="K365" s="58">
        <f>SUM(K349:K364)</f>
        <v>6278</v>
      </c>
      <c r="L365" s="58">
        <f>SUM(L349:L364)</f>
        <v>2478</v>
      </c>
      <c r="M365" s="60">
        <f t="shared" si="77"/>
        <v>25201</v>
      </c>
      <c r="N365" s="58">
        <f>SUM(N349:N364)</f>
        <v>2249</v>
      </c>
      <c r="O365" s="58">
        <f>SUM(O349:O364)</f>
        <v>1987</v>
      </c>
      <c r="P365" s="58">
        <f>SUM(P349:P364)</f>
        <v>3860</v>
      </c>
      <c r="Q365" s="60">
        <f t="shared" si="78"/>
        <v>8096</v>
      </c>
      <c r="R365" s="59">
        <f t="shared" si="79"/>
        <v>92815</v>
      </c>
    </row>
    <row r="366" spans="1:18" ht="16.5" customHeight="1" thickBot="1" x14ac:dyDescent="0.35">
      <c r="A366" s="114" t="s">
        <v>72</v>
      </c>
      <c r="B366" s="86">
        <f>SUM(B342:B364)</f>
        <v>380</v>
      </c>
      <c r="C366" s="87">
        <f>SUM(C342:C364)</f>
        <v>967</v>
      </c>
      <c r="D366" s="118">
        <f>SUM(D342:D364)</f>
        <v>8971</v>
      </c>
      <c r="E366" s="60">
        <f t="shared" si="75"/>
        <v>10318</v>
      </c>
      <c r="F366" s="87">
        <f>SUM(F342:F364)</f>
        <v>13726</v>
      </c>
      <c r="G366" s="87">
        <f>SUM(G342:G364)</f>
        <v>16722</v>
      </c>
      <c r="H366" s="87">
        <f>SUM(H342:H364)</f>
        <v>18752</v>
      </c>
      <c r="I366" s="60">
        <f t="shared" si="76"/>
        <v>49200</v>
      </c>
      <c r="J366" s="87">
        <f>SUM(J342:J364)</f>
        <v>16459</v>
      </c>
      <c r="K366" s="87">
        <f>SUM(K342:K364)</f>
        <v>6512</v>
      </c>
      <c r="L366" s="87">
        <f>SUM(L342:L364)</f>
        <v>3478</v>
      </c>
      <c r="M366" s="60">
        <f t="shared" si="77"/>
        <v>26449</v>
      </c>
      <c r="N366" s="87">
        <f>SUM(N342:N364)</f>
        <v>3676</v>
      </c>
      <c r="O366" s="87">
        <f>SUM(O342:O364)</f>
        <v>2989</v>
      </c>
      <c r="P366" s="87">
        <f>SUM(P342:P364)</f>
        <v>6493</v>
      </c>
      <c r="Q366" s="60">
        <f t="shared" si="78"/>
        <v>13158</v>
      </c>
      <c r="R366" s="59">
        <f t="shared" si="79"/>
        <v>99125</v>
      </c>
    </row>
    <row r="367" spans="1:18" ht="16.5" customHeight="1" thickBot="1" x14ac:dyDescent="0.35">
      <c r="A367" s="57" t="s">
        <v>73</v>
      </c>
      <c r="B367" s="90">
        <f>+B298+B315+B341+B366</f>
        <v>21362</v>
      </c>
      <c r="C367" s="58">
        <f>+C298+C315+C341+C366</f>
        <v>25559</v>
      </c>
      <c r="D367" s="58">
        <f>+D298+D315+D341+D366</f>
        <v>59570</v>
      </c>
      <c r="E367" s="59">
        <f t="shared" si="75"/>
        <v>106491</v>
      </c>
      <c r="F367" s="58">
        <f>+F298+F315+F341+F366</f>
        <v>79722</v>
      </c>
      <c r="G367" s="58">
        <f>+G298+G315+G341+G366</f>
        <v>100175</v>
      </c>
      <c r="H367" s="58">
        <f>+H298+H315+H341+H366</f>
        <v>122580</v>
      </c>
      <c r="I367" s="59">
        <f t="shared" si="76"/>
        <v>302477</v>
      </c>
      <c r="J367" s="58">
        <f>+J298+J315+J341+J366</f>
        <v>119781</v>
      </c>
      <c r="K367" s="58">
        <f>+K298+K315+K341+K366</f>
        <v>120227</v>
      </c>
      <c r="L367" s="58">
        <f>+L298+L315+L341+L366</f>
        <v>69378</v>
      </c>
      <c r="M367" s="59">
        <f t="shared" si="77"/>
        <v>309386</v>
      </c>
      <c r="N367" s="58">
        <f>+N298+N315+N341+N366</f>
        <v>37512</v>
      </c>
      <c r="O367" s="58">
        <f>+O298+O315+O341+O366</f>
        <v>18526</v>
      </c>
      <c r="P367" s="58">
        <f>+P298+P315+P341+P366</f>
        <v>21308</v>
      </c>
      <c r="Q367" s="59">
        <f t="shared" si="78"/>
        <v>77346</v>
      </c>
      <c r="R367" s="81">
        <f t="shared" si="79"/>
        <v>795700</v>
      </c>
    </row>
    <row r="368" spans="1:18" ht="15.75" customHeight="1" x14ac:dyDescent="0.3">
      <c r="A368" s="71" t="s">
        <v>756</v>
      </c>
      <c r="B368" s="1">
        <v>0</v>
      </c>
      <c r="C368" s="1">
        <v>0</v>
      </c>
      <c r="D368" s="1">
        <v>0</v>
      </c>
      <c r="E368" s="55">
        <f t="shared" si="75"/>
        <v>0</v>
      </c>
      <c r="F368" s="1">
        <v>0</v>
      </c>
      <c r="G368" s="1">
        <v>0</v>
      </c>
      <c r="H368" s="1">
        <v>0</v>
      </c>
      <c r="I368" s="55">
        <f t="shared" si="76"/>
        <v>0</v>
      </c>
      <c r="J368" s="1">
        <v>0</v>
      </c>
      <c r="K368" s="1">
        <v>0</v>
      </c>
      <c r="L368" s="1">
        <v>0</v>
      </c>
      <c r="M368" s="55">
        <f t="shared" si="77"/>
        <v>0</v>
      </c>
      <c r="N368" s="1">
        <v>0</v>
      </c>
      <c r="O368" s="1">
        <v>0</v>
      </c>
      <c r="P368" s="1">
        <v>0</v>
      </c>
      <c r="Q368" s="55">
        <f t="shared" si="78"/>
        <v>0</v>
      </c>
      <c r="R368" s="55">
        <f t="shared" si="79"/>
        <v>0</v>
      </c>
    </row>
    <row r="369" spans="1:18" ht="15.75" customHeight="1" x14ac:dyDescent="0.3">
      <c r="A369" s="71" t="s">
        <v>757</v>
      </c>
      <c r="B369" s="1">
        <v>0</v>
      </c>
      <c r="C369" s="1">
        <v>0</v>
      </c>
      <c r="D369" s="1">
        <v>0</v>
      </c>
      <c r="E369" s="55">
        <f t="shared" si="75"/>
        <v>0</v>
      </c>
      <c r="F369" s="1">
        <v>0</v>
      </c>
      <c r="G369" s="1">
        <v>0</v>
      </c>
      <c r="H369" s="1">
        <v>0</v>
      </c>
      <c r="I369" s="55">
        <f t="shared" si="76"/>
        <v>0</v>
      </c>
      <c r="J369" s="1">
        <v>0</v>
      </c>
      <c r="K369" s="1">
        <v>0</v>
      </c>
      <c r="L369" s="1">
        <v>0</v>
      </c>
      <c r="M369" s="55">
        <f t="shared" si="77"/>
        <v>0</v>
      </c>
      <c r="N369" s="1">
        <v>0</v>
      </c>
      <c r="O369" s="1">
        <v>0</v>
      </c>
      <c r="P369" s="1">
        <v>0</v>
      </c>
      <c r="Q369" s="55">
        <f t="shared" si="78"/>
        <v>0</v>
      </c>
      <c r="R369" s="55">
        <f t="shared" si="79"/>
        <v>0</v>
      </c>
    </row>
    <row r="370" spans="1:18" ht="16.5" customHeight="1" thickBot="1" x14ac:dyDescent="0.35">
      <c r="A370" s="73" t="s">
        <v>40</v>
      </c>
      <c r="B370" s="21">
        <v>155</v>
      </c>
      <c r="C370" s="21">
        <v>283</v>
      </c>
      <c r="D370" s="21">
        <v>435</v>
      </c>
      <c r="E370" s="81">
        <f t="shared" si="75"/>
        <v>873</v>
      </c>
      <c r="F370" s="21">
        <v>602</v>
      </c>
      <c r="G370" s="21">
        <v>711</v>
      </c>
      <c r="H370" s="21">
        <v>722</v>
      </c>
      <c r="I370" s="81">
        <f t="shared" si="76"/>
        <v>2035</v>
      </c>
      <c r="J370" s="21">
        <v>686</v>
      </c>
      <c r="K370" s="21">
        <v>519</v>
      </c>
      <c r="L370" s="21">
        <v>531</v>
      </c>
      <c r="M370" s="81">
        <f t="shared" si="77"/>
        <v>1736</v>
      </c>
      <c r="N370" s="21">
        <v>489</v>
      </c>
      <c r="O370" s="21">
        <v>389</v>
      </c>
      <c r="P370" s="21">
        <v>275</v>
      </c>
      <c r="Q370" s="81">
        <f t="shared" si="78"/>
        <v>1153</v>
      </c>
      <c r="R370" s="55">
        <f t="shared" si="79"/>
        <v>5797</v>
      </c>
    </row>
    <row r="371" spans="1:18" ht="16.5" customHeight="1" thickBot="1" x14ac:dyDescent="0.35">
      <c r="A371" s="74"/>
      <c r="B371" s="75"/>
      <c r="C371" s="75"/>
      <c r="D371" s="75"/>
      <c r="E371" s="59"/>
      <c r="F371" s="75"/>
      <c r="G371" s="75"/>
      <c r="H371" s="75"/>
      <c r="I371" s="59"/>
      <c r="J371" s="75"/>
      <c r="K371" s="75"/>
      <c r="L371" s="75"/>
      <c r="M371" s="59"/>
      <c r="N371" s="75"/>
      <c r="O371" s="75"/>
      <c r="P371" s="75"/>
      <c r="Q371" s="59"/>
      <c r="R371" s="59" t="s">
        <v>7</v>
      </c>
    </row>
    <row r="372" spans="1:18" ht="15.75" customHeight="1" x14ac:dyDescent="0.3">
      <c r="A372" s="76" t="s">
        <v>41</v>
      </c>
      <c r="B372" s="77">
        <f>SUM(B367:B370)</f>
        <v>21517</v>
      </c>
      <c r="C372" s="77">
        <f>SUM(C367:C370)</f>
        <v>25842</v>
      </c>
      <c r="D372" s="77">
        <f>SUM(D367:D370)</f>
        <v>60005</v>
      </c>
      <c r="E372" s="60">
        <f>SUM(B372:D372)</f>
        <v>107364</v>
      </c>
      <c r="F372" s="77">
        <f>SUM(F367:F370)</f>
        <v>80324</v>
      </c>
      <c r="G372" s="77">
        <f>SUM(G367:G370)</f>
        <v>100886</v>
      </c>
      <c r="H372" s="77">
        <f>SUM(H367:H370)</f>
        <v>123302</v>
      </c>
      <c r="I372" s="60">
        <f>SUM(F372:H372)</f>
        <v>304512</v>
      </c>
      <c r="J372" s="77">
        <f>SUM(J367:J370)</f>
        <v>120467</v>
      </c>
      <c r="K372" s="77">
        <f>SUM(K367:K370)</f>
        <v>120746</v>
      </c>
      <c r="L372" s="77">
        <f>SUM(L367:L370)</f>
        <v>69909</v>
      </c>
      <c r="M372" s="60">
        <f>SUM(J372:L372)</f>
        <v>311122</v>
      </c>
      <c r="N372" s="77">
        <f>SUM(N367:N370)</f>
        <v>38001</v>
      </c>
      <c r="O372" s="77">
        <f>SUM(O367:O370)</f>
        <v>18915</v>
      </c>
      <c r="P372" s="77">
        <f>SUM(P367:P370)</f>
        <v>21583</v>
      </c>
      <c r="Q372" s="60">
        <f>SUM(N372:P372)</f>
        <v>78499</v>
      </c>
      <c r="R372" s="60">
        <f>+E372+I372+M372+Q372</f>
        <v>801497</v>
      </c>
    </row>
    <row r="373" spans="1:18" ht="15.75" customHeight="1" x14ac:dyDescent="0.3">
      <c r="A373" s="79" t="s">
        <v>42</v>
      </c>
      <c r="B373" s="1">
        <f>(B372/31)/1.983</f>
        <v>350.02358759130021</v>
      </c>
      <c r="C373" s="1">
        <f>(C372/28)/1.983</f>
        <v>465.42035876377781</v>
      </c>
      <c r="D373" s="1">
        <f>(D372/31)/1.983</f>
        <v>976.11959722154438</v>
      </c>
      <c r="E373" s="55" t="s">
        <v>7</v>
      </c>
      <c r="F373" s="1">
        <f>(F372/30)/1.983</f>
        <v>1350.2101193477895</v>
      </c>
      <c r="G373" s="1">
        <f>(G372/31)/1.983</f>
        <v>1641.1432661493664</v>
      </c>
      <c r="H373" s="1">
        <f>(H372/30)/1.983</f>
        <v>2072.6508656917126</v>
      </c>
      <c r="I373" s="55" t="s">
        <v>7</v>
      </c>
      <c r="J373" s="1">
        <f>(J372/31)/1.983</f>
        <v>1959.6733525287523</v>
      </c>
      <c r="K373" s="1">
        <f>(K372/31)/1.983</f>
        <v>1964.2119304410064</v>
      </c>
      <c r="L373" s="1">
        <f>(L372/30)/1.983</f>
        <v>1175.1386787695412</v>
      </c>
      <c r="M373" s="55" t="s">
        <v>7</v>
      </c>
      <c r="N373" s="1">
        <f>(N372/31)/1.983</f>
        <v>618.17383241423056</v>
      </c>
      <c r="O373" s="1">
        <f>(O372/30)/1.983</f>
        <v>317.95259707513867</v>
      </c>
      <c r="P373" s="1">
        <f>(P372/31)/1.983</f>
        <v>351.09722967807005</v>
      </c>
      <c r="Q373" s="55" t="s">
        <v>7</v>
      </c>
      <c r="R373" s="55" t="s">
        <v>7</v>
      </c>
    </row>
    <row r="374" spans="1:18" ht="15.75" customHeight="1" x14ac:dyDescent="0.3">
      <c r="A374" s="79" t="s">
        <v>289</v>
      </c>
      <c r="B374" s="1">
        <f>B372+B419</f>
        <v>42431</v>
      </c>
      <c r="C374" s="1">
        <f>C372+C419</f>
        <v>48437</v>
      </c>
      <c r="D374" s="1">
        <f>D372+D419</f>
        <v>87218</v>
      </c>
      <c r="E374" s="55">
        <f>SUM(B374:D374)</f>
        <v>178086</v>
      </c>
      <c r="F374" s="1">
        <f>F372+F419</f>
        <v>114594</v>
      </c>
      <c r="G374" s="1">
        <f>G372+G419</f>
        <v>132276</v>
      </c>
      <c r="H374" s="1">
        <f>H372+H419</f>
        <v>159939</v>
      </c>
      <c r="I374" s="55">
        <f>SUM(F374:H374)</f>
        <v>406809</v>
      </c>
      <c r="J374" s="1">
        <f>J372+J419</f>
        <v>168010</v>
      </c>
      <c r="K374" s="1">
        <f>K372+K419</f>
        <v>169866</v>
      </c>
      <c r="L374" s="1">
        <f>L372+L419</f>
        <v>98936</v>
      </c>
      <c r="M374" s="55">
        <f>SUM(J374:L374)</f>
        <v>436812</v>
      </c>
      <c r="N374" s="1">
        <f>N372+N419</f>
        <v>55112</v>
      </c>
      <c r="O374" s="1">
        <f>O372+O419</f>
        <v>26527</v>
      </c>
      <c r="P374" s="1">
        <f>P372+P419</f>
        <v>34687</v>
      </c>
      <c r="Q374" s="55">
        <f>SUM(N374:P374)</f>
        <v>116326</v>
      </c>
      <c r="R374" s="55">
        <f>+E374+I374+M374+Q374</f>
        <v>1138033</v>
      </c>
    </row>
    <row r="375" spans="1:18" ht="16.5" customHeight="1" thickBot="1" x14ac:dyDescent="0.35">
      <c r="A375" s="80" t="s">
        <v>290</v>
      </c>
      <c r="B375" s="25">
        <f>(B374/31)/1.983</f>
        <v>690.23799066256731</v>
      </c>
      <c r="C375" s="25">
        <f>(C374/28)/1.983</f>
        <v>872.36150133275692</v>
      </c>
      <c r="D375" s="25">
        <f>(D374/31)/1.983</f>
        <v>1418.8017503619474</v>
      </c>
      <c r="E375" s="81" t="s">
        <v>7</v>
      </c>
      <c r="F375" s="25">
        <f>(F374/30)/1.983</f>
        <v>1926.2733232476046</v>
      </c>
      <c r="G375" s="25">
        <f>(G374/31)/1.983</f>
        <v>2151.7739495388219</v>
      </c>
      <c r="H375" s="25">
        <f>(H374/30)/1.983</f>
        <v>2688.5022692889561</v>
      </c>
      <c r="I375" s="81" t="s">
        <v>7</v>
      </c>
      <c r="J375" s="25">
        <f>(J374/31)/1.983</f>
        <v>2733.0698030029444</v>
      </c>
      <c r="K375" s="25">
        <f>(K374/31)/1.983</f>
        <v>2763.2619198672587</v>
      </c>
      <c r="L375" s="25">
        <f>(L374/30)/1.983</f>
        <v>1663.0694234325097</v>
      </c>
      <c r="M375" s="81" t="s">
        <v>7</v>
      </c>
      <c r="N375" s="25">
        <f>(N374/31)/1.983</f>
        <v>896.52367706147402</v>
      </c>
      <c r="O375" s="25">
        <f>(O374/30)/1.983</f>
        <v>445.90687510505967</v>
      </c>
      <c r="P375" s="25">
        <f>(P374/31)/1.983</f>
        <v>564.2639858149106</v>
      </c>
      <c r="Q375" s="81" t="s">
        <v>7</v>
      </c>
      <c r="R375" s="81" t="s">
        <v>7</v>
      </c>
    </row>
    <row r="376" spans="1:18" ht="15.75" customHeight="1" x14ac:dyDescent="0.3">
      <c r="A376" s="120" t="s">
        <v>291</v>
      </c>
      <c r="B376" s="121">
        <f>B$377+(SUMIF($T$258:$T$352,"FLG",B$265:B$369)/31/1.98)+(SUMIF($T$258:$T$352,"FCA",B$265:B$369)/31/1.98)+(SUMIF($T$258:$T$352,"NSC",B$265:B$369)/31/1.98)</f>
        <v>374.9592701205604</v>
      </c>
      <c r="C376" s="121">
        <f>C$377+(SUMIF($T$258:$T$352,"FLG",C$265:C$369)/28/1.98)+(SUMIF($T$258:$T$352,"FCA",C$265:C$369)/28/1.98)+(SUMIF($T$258:$T$352,"NSC",C$265:C$369)/28/1.98)</f>
        <v>455.66378066378064</v>
      </c>
      <c r="D376" s="121">
        <f>D$377+(SUMIF($T$258:$T$352,"FLG",D$265:D$369)/31/1.98)+(SUMIF($T$258:$T$352,"FCA",D$265:D$369)/31/1.98)+(SUMIF($T$258:$T$352,"NSC",D$265:D$369)/31/1.98)</f>
        <v>564.64646464646466</v>
      </c>
      <c r="E376" s="122"/>
      <c r="F376" s="121">
        <f>F$377+(SUMIF($T$258:$T$352,"FLG",F$265:F$369)/30/1.98)+(SUMIF($T$258:$T$352,"FCA",F$265:F$369)/30/1.98)+(SUMIF($T$258:$T$352,"NSC",F$265:F$369)/30/1.98)</f>
        <v>801.5151515151515</v>
      </c>
      <c r="G376" s="121">
        <f>G$377+(SUMIF($T$258:$T$352,"FLG",G$265:G$369)/31/1.98)+(SUMIF($T$258:$T$352,"FCA",G$265:G$369)/31/1.98)+(SUMIF($T$258:$T$352,"NSC",G$265:G$369)/31/1.98)</f>
        <v>800.24437927663735</v>
      </c>
      <c r="H376" s="121">
        <f>H$377+(SUMIF($T$258:$T$352,"FLG",H$265:H$369)/30/1.98)+(SUMIF($T$258:$T$352,"FCA",H$265:H$369)/30/1.98)+(SUMIF($T$258:$T$352,"NSC",H$265:H$369)/30/1.98)</f>
        <v>789.56228956228961</v>
      </c>
      <c r="I376" s="45"/>
      <c r="J376" s="121">
        <f>J$377+(SUMIF($T$258:$T$352,"FLG",J$265:J$369)/31/1.98)+(SUMIF($T$258:$T$352,"FCA",J$265:J$369)/31/1.98)+(SUMIF($T$258:$T$352,"NSC",J$265:J$369)/31/1.98)</f>
        <v>937.82991202346057</v>
      </c>
      <c r="K376" s="121">
        <f>K$377+(SUMIF($T$258:$T$352,"FLG",K$265:K$369)/31/1.98)+(SUMIF($T$258:$T$352,"FCA",K$265:K$369)/31/1.98)+(SUMIF($T$258:$T$352,"NSC",K$265:K$369)/31/1.98)</f>
        <v>985.61420658194845</v>
      </c>
      <c r="L376" s="121">
        <f>L$377+(SUMIF($T$258:$T$352,"FLG",L$265:L$369)/30/1.98)+(SUMIF($T$258:$T$352,"FCA",L$265:L$369)/30/1.98)+(SUMIF($T$258:$T$352,"NSC",L$265:L$369)/30/1.98)</f>
        <v>647.87878787878799</v>
      </c>
      <c r="M376" s="45"/>
      <c r="N376" s="121">
        <f>N$377+(SUMIF($T$258:$T$352,"FLG",N$265:N$369)/31/1.98)+(SUMIF($T$258:$T$352,"FCA",N$265:N$369)/31/1.98)+(SUMIF($T$258:$T$352,"NSC",N$265:N$369)/31/1.98)</f>
        <v>289.49169110459434</v>
      </c>
      <c r="O376" s="121">
        <f>O$377+(SUMIF($T$258:$T$352,"FLG",O$265:O$369)/30/1.98)+(SUMIF($T$258:$T$352,"FCA",O$265:O$369)/30/1.98)+(SUMIF($T$258:$T$352,"NSC",O$265:O$369)/30/1.98)</f>
        <v>130.25252525252526</v>
      </c>
      <c r="P376" s="121">
        <f>P$377+(SUMIF($T$258:$T$352,"FLG",P$265:P$369)/31/1.98)+(SUMIF($T$258:$T$352,"FCA",P$265:P$369)/31/1.98)+(SUMIF($T$258:$T$352,"NSC",P$265:P$369)/31/1.98)</f>
        <v>214.28804170739653</v>
      </c>
      <c r="Q376" s="45"/>
      <c r="R376" s="45"/>
    </row>
    <row r="377" spans="1:18" ht="15.75" customHeight="1" x14ac:dyDescent="0.3">
      <c r="A377" s="120" t="s">
        <v>292</v>
      </c>
      <c r="B377" s="121">
        <f>B$378+(SUMIF($T$258:$T$352,"FCI",B$265:B$369)/31/1.98)+(SUMIF($T$258:$T$352,"FCC",B$265:B$369)/31/1.98)</f>
        <v>374.9592701205604</v>
      </c>
      <c r="C377" s="121">
        <f>C$378+(SUMIF($T$258:$T$352,"FCI",C$265:C$369)/28/1.98)+(SUMIF($T$258:$T$352,"FCC",C$265:C$369)/28/1.98)</f>
        <v>455.66378066378064</v>
      </c>
      <c r="D377" s="121">
        <f>D$378+(SUMIF($T$258:$T$352,"FCI",D$265:D$369)/31/1.98)+(SUMIF($T$258:$T$352,"FCC",D$265:D$369)/31/1.98)</f>
        <v>564.64646464646466</v>
      </c>
      <c r="E377" s="122"/>
      <c r="F377" s="121">
        <f>F$378+(SUMIF($T$258:$T$352,"FCI",F$265:F$369)/30/1.98)+(SUMIF($T$258:$T$352,"FCC",F$265:F$369)/30/1.98)</f>
        <v>801.5151515151515</v>
      </c>
      <c r="G377" s="121">
        <f>G$378+(SUMIF($T$258:$T$352,"FCI",G$265:G$369)/31/1.98)+(SUMIF($T$258:$T$352,"FCC",G$265:G$369)/31/1.98)</f>
        <v>800.24437927663735</v>
      </c>
      <c r="H377" s="121">
        <f>H$378+(SUMIF($T$258:$T$352,"FCI",H$265:H$369)/30/1.98)+(SUMIF($T$258:$T$352,"FCC",H$265:H$369)/30/1.98)</f>
        <v>789.56228956228961</v>
      </c>
      <c r="I377" s="45"/>
      <c r="J377" s="121">
        <f>J$378+(SUMIF($T$258:$T$352,"FCI",J$265:J$369)/31/1.98)+(SUMIF($T$258:$T$352,"FCC",J$265:J$369)/31/1.98)</f>
        <v>937.82991202346057</v>
      </c>
      <c r="K377" s="121">
        <f>K$378+(SUMIF($T$258:$T$352,"FCI",K$265:K$369)/31/1.98)+(SUMIF($T$258:$T$352,"FCC",K$265:K$369)/31/1.98)</f>
        <v>985.61420658194845</v>
      </c>
      <c r="L377" s="121">
        <f>L$378+(SUMIF($T$258:$T$352,"FCI",L$265:L$369)/30/1.98)+(SUMIF($T$258:$T$352,"FCC",L$265:L$369)/30/1.98)</f>
        <v>647.87878787878799</v>
      </c>
      <c r="M377" s="45"/>
      <c r="N377" s="121">
        <f>N$378+(SUMIF($T$258:$T$352,"FCI",N$265:N$369)/31/1.98)+(SUMIF($T$258:$T$352,"FCC",N$265:N$369)/31/1.98)</f>
        <v>289.49169110459434</v>
      </c>
      <c r="O377" s="121">
        <f>O$378+(SUMIF($T$258:$T$352,"FCI",O$265:O$369)/30/1.98)+(SUMIF($T$258:$T$352,"FCC",O$265:O$369)/30/1.98)</f>
        <v>130.25252525252526</v>
      </c>
      <c r="P377" s="121">
        <f>P$378+(SUMIF($T$258:$T$352,"FCI",P$265:P$369)/31/1.98)+(SUMIF($T$258:$T$352,"FCC",P$265:P$369)/31/1.98)</f>
        <v>214.28804170739653</v>
      </c>
      <c r="Q377" s="45"/>
      <c r="R377" s="45"/>
    </row>
    <row r="378" spans="1:18" ht="15.75" customHeight="1" x14ac:dyDescent="0.3">
      <c r="A378" s="120" t="s">
        <v>293</v>
      </c>
      <c r="B378" s="121">
        <f>B$379+(SUMIF($T$258:$T$352,"PIL",B$265:B$369)/31/1.98)+(SUMIF($T$258:$T$352,"KLK",B$265:B$369)/31/1.98)</f>
        <v>374.9592701205604</v>
      </c>
      <c r="C378" s="121">
        <f>C$379+(SUMIF($T$258:$T$352,"PIL",C$265:C$369)/28/1.98)+(SUMIF($T$258:$T$352,"KLK",C$265:C$369)/28/1.98)</f>
        <v>455.66378066378064</v>
      </c>
      <c r="D378" s="121">
        <f>D$379+(SUMIF($T$258:$T$352,"PIL",D$265:D$369)/31/1.98)+(SUMIF($T$258:$T$352,"KLK",D$265:D$369)/31/1.98)</f>
        <v>564.64646464646466</v>
      </c>
      <c r="E378" s="122"/>
      <c r="F378" s="121">
        <f>F$379+(SUMIF($T$258:$T$352,"PIL",F$265:F$369)/30/1.98)+(SUMIF($T$258:$T$352,"KLK",F$265:F$369)/30/1.98)</f>
        <v>801.5151515151515</v>
      </c>
      <c r="G378" s="121">
        <f>G$379+(SUMIF($T$258:$T$352,"PIL",G$265:G$369)/31/1.98)+(SUMIF($T$258:$T$352,"KLK",G$265:G$369)/31/1.98)</f>
        <v>800.24437927663735</v>
      </c>
      <c r="H378" s="121">
        <f>H$379+(SUMIF($T$258:$T$352,"PIL",H$265:H$369)/30/1.98)+(SUMIF($T$258:$T$352,"KLK",H$265:H$369)/30/1.98)</f>
        <v>789.56228956228961</v>
      </c>
      <c r="I378" s="45"/>
      <c r="J378" s="121">
        <f>J$379+(SUMIF($T$258:$T$352,"PIL",J$265:J$369)/31/1.98)+(SUMIF($T$258:$T$352,"KLK",J$265:J$369)/31/1.98)</f>
        <v>937.82991202346057</v>
      </c>
      <c r="K378" s="121">
        <f>K$379+(SUMIF($T$258:$T$352,"PIL",K$265:K$369)/31/1.98)+(SUMIF($T$258:$T$352,"KLK",K$265:K$369)/31/1.98)</f>
        <v>985.61420658194845</v>
      </c>
      <c r="L378" s="121">
        <f>L$379+(SUMIF($T$258:$T$352,"PIL",L$265:L$369)/30/1.98)+(SUMIF($T$258:$T$352,"KLK",L$265:L$369)/30/1.98)</f>
        <v>647.87878787878799</v>
      </c>
      <c r="M378" s="45"/>
      <c r="N378" s="121">
        <f>N$379+(SUMIF($T$258:$T$352,"PIL",N$265:N$369)/31/1.98)+(SUMIF($T$258:$T$352,"KLK",N$265:N$369)/31/1.98)</f>
        <v>289.49169110459434</v>
      </c>
      <c r="O378" s="121">
        <f>O$379+(SUMIF($T$258:$T$352,"PIL",O$265:O$369)/30/1.98)+(SUMIF($T$258:$T$352,"KLK",O$265:O$369)/30/1.98)</f>
        <v>130.25252525252526</v>
      </c>
      <c r="P378" s="121">
        <f>P$379+(SUMIF($T$258:$T$352,"PIL",P$265:P$369)/31/1.98)+(SUMIF($T$258:$T$352,"KLK",P$265:P$369)/31/1.98)</f>
        <v>214.28804170739653</v>
      </c>
      <c r="Q378" s="45"/>
      <c r="R378" s="45"/>
    </row>
    <row r="379" spans="1:18" ht="15.75" customHeight="1" x14ac:dyDescent="0.3">
      <c r="A379" s="120" t="s">
        <v>294</v>
      </c>
      <c r="B379" s="121">
        <f>B$380+(SUMIF($T$258:$T$352,"CGE",B$265:B$369)/31/1.98)</f>
        <v>374.9592701205604</v>
      </c>
      <c r="C379" s="121">
        <f>C$380+(SUMIF($T$258:$T$352,"CGE",C$265:C$369)/28/1.98)</f>
        <v>455.66378066378064</v>
      </c>
      <c r="D379" s="121">
        <f>D$380+(SUMIF($T$258:$T$352,"CGE",D$265:D$369)/31/1.98)</f>
        <v>564.64646464646466</v>
      </c>
      <c r="E379" s="122"/>
      <c r="F379" s="121">
        <f>F$380+(SUMIF($T$258:$T$352,"CGE",F$265:F$369)/30/1.98)</f>
        <v>801.5151515151515</v>
      </c>
      <c r="G379" s="121">
        <f>G$380+(SUMIF($T$258:$T$352,"CGE",G$265:G$369)/31/1.98)</f>
        <v>800.24437927663735</v>
      </c>
      <c r="H379" s="121">
        <f>H$380+(SUMIF($T$258:$T$352,"CGE",H$265:H$369)/30/1.98)</f>
        <v>789.56228956228961</v>
      </c>
      <c r="I379" s="45"/>
      <c r="J379" s="121">
        <f>J$380+(SUMIF($T$258:$T$352,"CGE",J$265:J$369)/31/1.98)</f>
        <v>937.82991202346057</v>
      </c>
      <c r="K379" s="121">
        <f>K$380+(SUMIF($T$258:$T$352,"CGE",K$265:K$369)/31/1.98)</f>
        <v>985.61420658194845</v>
      </c>
      <c r="L379" s="121">
        <f>L$380+(SUMIF($T$258:$T$352,"CGE",L$265:L$369)/30/1.98)</f>
        <v>647.87878787878799</v>
      </c>
      <c r="M379" s="45"/>
      <c r="N379" s="121">
        <f>N$380+(SUMIF($T$258:$T$352,"CGE",N$265:N$369)/31/1.98)</f>
        <v>289.49169110459434</v>
      </c>
      <c r="O379" s="121">
        <f>O$380+(SUMIF($T$258:$T$352,"CGE",O$265:O$369)/30/1.98)</f>
        <v>130.25252525252526</v>
      </c>
      <c r="P379" s="121">
        <f>P$380+(SUMIF($T$258:$T$352,"CGE",P$265:P$369)/31/1.98)</f>
        <v>214.28804170739653</v>
      </c>
      <c r="Q379" s="45"/>
      <c r="R379" s="45"/>
    </row>
    <row r="380" spans="1:18" ht="15.75" customHeight="1" x14ac:dyDescent="0.3">
      <c r="A380" s="120" t="s">
        <v>295</v>
      </c>
      <c r="B380" s="121">
        <f>B$381+(SUMIF($T$258:$T$352,"SRO",B$265:B$369)/31/1.98)</f>
        <v>374.9592701205604</v>
      </c>
      <c r="C380" s="121">
        <f>C$381+(SUMIF($T$258:$T$352,"SRO",C$265:C$369)/28/1.98)</f>
        <v>455.66378066378064</v>
      </c>
      <c r="D380" s="121">
        <f>D$381+(SUMIF($T$258:$T$352,"SRO",D$265:D$369)/31/1.98)</f>
        <v>564.64646464646466</v>
      </c>
      <c r="E380" s="122"/>
      <c r="F380" s="121">
        <f>F$381+(SUMIF($T$258:$T$352,"SRO",F$265:F$369)/30/1.98)</f>
        <v>801.5151515151515</v>
      </c>
      <c r="G380" s="121">
        <f>G$381+(SUMIF($T$258:$T$352,"SRO",G$265:G$369)/31/1.98)</f>
        <v>800.24437927663735</v>
      </c>
      <c r="H380" s="121">
        <f>H$381+(SUMIF($T$258:$T$352,"SRO",H$265:H$369)/30/1.98)</f>
        <v>789.56228956228961</v>
      </c>
      <c r="I380" s="45"/>
      <c r="J380" s="121">
        <f>J$381+(SUMIF($T$258:$T$352,"SRO",J$265:J$369)/31/1.98)</f>
        <v>937.82991202346057</v>
      </c>
      <c r="K380" s="121">
        <f>K$381+(SUMIF($T$258:$T$352,"SRO",K$265:K$369)/31/1.98)</f>
        <v>985.61420658194845</v>
      </c>
      <c r="L380" s="121">
        <f>L$381+(SUMIF($T$258:$T$352,"SRO",L$265:L$369)/30/1.98)</f>
        <v>647.87878787878799</v>
      </c>
      <c r="M380" s="45"/>
      <c r="N380" s="121">
        <f>N$381+(SUMIF($T$258:$T$352,"SRO",N$265:N$369)/31/1.98)</f>
        <v>289.49169110459434</v>
      </c>
      <c r="O380" s="121">
        <f>O$381+(SUMIF($T$258:$T$352,"SRO",O$265:O$369)/30/1.98)</f>
        <v>130.25252525252526</v>
      </c>
      <c r="P380" s="121">
        <f>P$381+(SUMIF($T$258:$T$352,"SRO",P$265:P$369)/31/1.98)</f>
        <v>214.28804170739653</v>
      </c>
      <c r="Q380" s="45"/>
      <c r="R380" s="45"/>
    </row>
    <row r="381" spans="1:18" ht="15.75" customHeight="1" x14ac:dyDescent="0.3">
      <c r="A381" s="120" t="s">
        <v>296</v>
      </c>
      <c r="B381" s="121">
        <f>B$419/31/1.98</f>
        <v>340.72987943955684</v>
      </c>
      <c r="C381" s="121">
        <f>C$419/28/1.98</f>
        <v>407.55772005772002</v>
      </c>
      <c r="D381" s="121">
        <f>D$419/31/1.98</f>
        <v>443.35288367546434</v>
      </c>
      <c r="E381" s="123"/>
      <c r="F381" s="121">
        <f>F$419/30/1.98</f>
        <v>576.93602693602691</v>
      </c>
      <c r="G381" s="121">
        <f>G$419/31/1.98</f>
        <v>511.40436624307597</v>
      </c>
      <c r="H381" s="121">
        <f>H$419/30/1.98</f>
        <v>616.78451178451178</v>
      </c>
      <c r="I381" s="1"/>
      <c r="J381" s="121">
        <f>J$419/31/1.98</f>
        <v>774.56826327794079</v>
      </c>
      <c r="K381" s="121">
        <f>K$419/31/1.98</f>
        <v>800.26067122841312</v>
      </c>
      <c r="L381" s="121">
        <f>L$419/30/1.98</f>
        <v>488.67003367003372</v>
      </c>
      <c r="N381" s="121">
        <f>N$419/31/1.98</f>
        <v>278.77158683610298</v>
      </c>
      <c r="O381" s="121">
        <f>O$419/30/1.98</f>
        <v>128.14814814814815</v>
      </c>
      <c r="P381" s="121">
        <f>P$419/31/1.98</f>
        <v>213.48973607038121</v>
      </c>
      <c r="R381" s="45"/>
    </row>
    <row r="382" spans="1:18" ht="15.75" customHeight="1" thickBot="1" x14ac:dyDescent="0.35">
      <c r="A382" s="28"/>
      <c r="B382" s="1"/>
      <c r="C382" s="1"/>
      <c r="D382" s="1"/>
      <c r="E382" s="1"/>
      <c r="F382" s="1"/>
      <c r="G382" s="1"/>
      <c r="H382" s="1"/>
      <c r="I382" s="1"/>
      <c r="J382" s="1"/>
      <c r="K382" s="1"/>
      <c r="L382" s="1"/>
      <c r="M382" s="1"/>
      <c r="N382" s="1"/>
      <c r="O382" s="1"/>
      <c r="P382" s="1"/>
      <c r="Q382" s="1"/>
      <c r="R382" s="2"/>
    </row>
    <row r="383" spans="1:18" ht="16.5" customHeight="1" thickBot="1" x14ac:dyDescent="0.35">
      <c r="A383" s="29" t="s">
        <v>297</v>
      </c>
      <c r="B383" s="30" t="s">
        <v>8</v>
      </c>
      <c r="C383" s="31" t="s">
        <v>9</v>
      </c>
      <c r="D383" s="31" t="s">
        <v>10</v>
      </c>
      <c r="E383" s="32" t="s">
        <v>11</v>
      </c>
      <c r="F383" s="31" t="s">
        <v>12</v>
      </c>
      <c r="G383" s="31" t="s">
        <v>13</v>
      </c>
      <c r="H383" s="31" t="s">
        <v>14</v>
      </c>
      <c r="I383" s="33" t="s">
        <v>15</v>
      </c>
      <c r="J383" s="31" t="s">
        <v>16</v>
      </c>
      <c r="K383" s="31" t="s">
        <v>17</v>
      </c>
      <c r="L383" s="31" t="s">
        <v>18</v>
      </c>
      <c r="M383" s="33" t="s">
        <v>19</v>
      </c>
      <c r="N383" s="31" t="s">
        <v>20</v>
      </c>
      <c r="O383" s="31" t="s">
        <v>21</v>
      </c>
      <c r="P383" s="31" t="s">
        <v>22</v>
      </c>
      <c r="Q383" s="33" t="s">
        <v>23</v>
      </c>
      <c r="R383" s="34" t="s">
        <v>24</v>
      </c>
    </row>
    <row r="384" spans="1:18" ht="16.5" customHeight="1" thickBot="1" x14ac:dyDescent="0.35">
      <c r="A384" s="59"/>
      <c r="B384" s="75"/>
      <c r="C384" s="75"/>
      <c r="D384" s="75"/>
      <c r="E384" s="69"/>
      <c r="F384" s="75"/>
      <c r="G384" s="75"/>
      <c r="H384" s="75"/>
      <c r="I384" s="82"/>
      <c r="J384" s="75"/>
      <c r="K384" s="75"/>
      <c r="L384" s="75"/>
      <c r="M384" s="82"/>
      <c r="N384" s="75"/>
      <c r="O384" s="75"/>
      <c r="P384" s="75"/>
      <c r="Q384" s="82"/>
      <c r="R384" s="100"/>
    </row>
    <row r="385" spans="1:18" ht="15.75" customHeight="1" x14ac:dyDescent="0.3">
      <c r="A385" s="15" t="s">
        <v>48</v>
      </c>
      <c r="B385" s="1" t="s">
        <v>7</v>
      </c>
      <c r="C385" s="1" t="s">
        <v>7</v>
      </c>
      <c r="D385" s="1" t="s">
        <v>7</v>
      </c>
      <c r="E385" s="55" t="s">
        <v>7</v>
      </c>
      <c r="F385" s="1" t="s">
        <v>7</v>
      </c>
      <c r="G385" s="1" t="s">
        <v>7</v>
      </c>
      <c r="H385" s="1" t="s">
        <v>7</v>
      </c>
      <c r="I385" s="55" t="s">
        <v>7</v>
      </c>
      <c r="J385" s="1" t="s">
        <v>7</v>
      </c>
      <c r="K385" s="1" t="s">
        <v>7</v>
      </c>
      <c r="L385" s="1" t="s">
        <v>7</v>
      </c>
      <c r="M385" s="55" t="s">
        <v>7</v>
      </c>
      <c r="N385" s="1" t="s">
        <v>7</v>
      </c>
      <c r="O385" s="1" t="s">
        <v>7</v>
      </c>
      <c r="P385" s="1" t="s">
        <v>7</v>
      </c>
      <c r="Q385" s="55" t="s">
        <v>7</v>
      </c>
      <c r="R385" s="55" t="s">
        <v>7</v>
      </c>
    </row>
    <row r="386" spans="1:18" ht="15.75" customHeight="1" x14ac:dyDescent="0.3">
      <c r="A386" s="15" t="s">
        <v>49</v>
      </c>
      <c r="B386" s="1"/>
      <c r="C386" s="1"/>
      <c r="D386" s="1"/>
      <c r="E386" s="55" t="s">
        <v>7</v>
      </c>
      <c r="F386" s="1"/>
      <c r="G386" s="1"/>
      <c r="H386" s="1"/>
      <c r="I386" s="55" t="s">
        <v>7</v>
      </c>
      <c r="J386" s="1"/>
      <c r="K386" s="1"/>
      <c r="L386" s="1"/>
      <c r="M386" s="55" t="s">
        <v>7</v>
      </c>
      <c r="N386" s="1"/>
      <c r="O386" s="1"/>
      <c r="P386" s="1"/>
      <c r="Q386" s="55" t="s">
        <v>7</v>
      </c>
      <c r="R386" s="55" t="s">
        <v>7</v>
      </c>
    </row>
    <row r="387" spans="1:18" ht="15.75" customHeight="1" x14ac:dyDescent="0.3">
      <c r="A387" s="71" t="s">
        <v>211</v>
      </c>
      <c r="B387" s="1">
        <v>0</v>
      </c>
      <c r="C387" s="1">
        <v>0</v>
      </c>
      <c r="D387" s="1">
        <v>0</v>
      </c>
      <c r="E387" s="55">
        <f>SUM(B387:D387)</f>
        <v>0</v>
      </c>
      <c r="F387" s="1">
        <v>1583</v>
      </c>
      <c r="G387" s="1">
        <v>5</v>
      </c>
      <c r="H387" s="1">
        <v>11</v>
      </c>
      <c r="I387" s="55">
        <f>SUM(F387:H387)</f>
        <v>1599</v>
      </c>
      <c r="J387" s="1">
        <v>7</v>
      </c>
      <c r="K387" s="1">
        <v>12</v>
      </c>
      <c r="L387" s="1">
        <v>3</v>
      </c>
      <c r="M387" s="55">
        <f>SUM(J387:L387)</f>
        <v>22</v>
      </c>
      <c r="N387" s="1">
        <v>3</v>
      </c>
      <c r="O387" s="1">
        <v>1</v>
      </c>
      <c r="P387" s="1">
        <v>0</v>
      </c>
      <c r="Q387" s="55">
        <f>SUM(N387:P387)</f>
        <v>4</v>
      </c>
      <c r="R387" s="55">
        <f>+E387+I387+M387+Q387</f>
        <v>1625</v>
      </c>
    </row>
    <row r="388" spans="1:18" ht="15.75" customHeight="1" x14ac:dyDescent="0.3">
      <c r="A388" s="72" t="s">
        <v>212</v>
      </c>
      <c r="B388" s="1">
        <v>0</v>
      </c>
      <c r="C388" s="1">
        <v>0</v>
      </c>
      <c r="D388" s="1">
        <v>0</v>
      </c>
      <c r="E388" s="55">
        <f>SUM(B388:D388)</f>
        <v>0</v>
      </c>
      <c r="F388" s="1">
        <v>2048</v>
      </c>
      <c r="G388" s="1">
        <v>0</v>
      </c>
      <c r="H388" s="1">
        <v>0</v>
      </c>
      <c r="I388" s="55">
        <f>SUM(F388:H388)</f>
        <v>2048</v>
      </c>
      <c r="J388" s="1">
        <v>0</v>
      </c>
      <c r="K388" s="1">
        <v>0</v>
      </c>
      <c r="L388" s="1">
        <v>0</v>
      </c>
      <c r="M388" s="55">
        <f>SUM(J388:L388)</f>
        <v>0</v>
      </c>
      <c r="N388" s="1">
        <v>0</v>
      </c>
      <c r="O388" s="1">
        <v>0</v>
      </c>
      <c r="P388" s="1">
        <v>0</v>
      </c>
      <c r="Q388" s="55">
        <f>SUM(N388:P388)</f>
        <v>0</v>
      </c>
      <c r="R388" s="55">
        <f>+E388+I388+M388+Q388</f>
        <v>2048</v>
      </c>
    </row>
    <row r="389" spans="1:18" ht="15.75" customHeight="1" x14ac:dyDescent="0.3">
      <c r="A389" s="15" t="s">
        <v>50</v>
      </c>
      <c r="B389" s="1"/>
      <c r="C389" s="1"/>
      <c r="D389" s="1"/>
      <c r="E389" s="55" t="s">
        <v>7</v>
      </c>
      <c r="F389" s="1"/>
      <c r="G389" s="1"/>
      <c r="H389" s="1"/>
      <c r="I389" s="55" t="s">
        <v>7</v>
      </c>
      <c r="J389" s="1"/>
      <c r="K389" s="1"/>
      <c r="L389" s="1"/>
      <c r="M389" s="55" t="s">
        <v>7</v>
      </c>
      <c r="N389" s="1"/>
      <c r="O389" s="1"/>
      <c r="P389" s="1"/>
      <c r="Q389" s="55" t="s">
        <v>7</v>
      </c>
      <c r="R389" s="55" t="s">
        <v>7</v>
      </c>
    </row>
    <row r="390" spans="1:18" ht="15.75" customHeight="1" x14ac:dyDescent="0.3">
      <c r="A390" s="71" t="s">
        <v>211</v>
      </c>
      <c r="B390" s="1">
        <v>0</v>
      </c>
      <c r="C390" s="1">
        <v>0</v>
      </c>
      <c r="D390" s="1">
        <v>0</v>
      </c>
      <c r="E390" s="55">
        <f>SUM(B390:D390)</f>
        <v>0</v>
      </c>
      <c r="F390" s="1">
        <v>0</v>
      </c>
      <c r="G390" s="1">
        <v>0</v>
      </c>
      <c r="H390" s="1">
        <v>0</v>
      </c>
      <c r="I390" s="55">
        <f>SUM(F390:H390)</f>
        <v>0</v>
      </c>
      <c r="J390" s="1">
        <v>0</v>
      </c>
      <c r="K390" s="1">
        <v>0</v>
      </c>
      <c r="L390" s="1">
        <v>0</v>
      </c>
      <c r="M390" s="55">
        <f>SUM(J390:L390)</f>
        <v>0</v>
      </c>
      <c r="N390" s="1">
        <v>0</v>
      </c>
      <c r="O390" s="1">
        <v>0</v>
      </c>
      <c r="P390" s="1">
        <v>0</v>
      </c>
      <c r="Q390" s="55">
        <f>SUM(N390:P390)</f>
        <v>0</v>
      </c>
      <c r="R390" s="55">
        <f>+E390+I390+M390+Q390</f>
        <v>0</v>
      </c>
    </row>
    <row r="391" spans="1:18" ht="15.75" customHeight="1" x14ac:dyDescent="0.3">
      <c r="A391" s="71" t="s">
        <v>758</v>
      </c>
      <c r="B391" s="1">
        <v>0</v>
      </c>
      <c r="C391" s="1">
        <v>0</v>
      </c>
      <c r="D391" s="1">
        <v>0</v>
      </c>
      <c r="E391" s="55">
        <f>SUM(B391:D391)</f>
        <v>0</v>
      </c>
      <c r="F391" s="1">
        <v>0</v>
      </c>
      <c r="G391" s="1">
        <v>0</v>
      </c>
      <c r="H391" s="1">
        <v>0</v>
      </c>
      <c r="I391" s="55">
        <f>SUM(F391:H391)</f>
        <v>0</v>
      </c>
      <c r="J391" s="1">
        <v>0</v>
      </c>
      <c r="K391" s="1"/>
      <c r="L391" s="1">
        <v>0</v>
      </c>
      <c r="M391" s="55">
        <f>SUM(J391:L391)</f>
        <v>0</v>
      </c>
      <c r="N391" s="1">
        <v>0</v>
      </c>
      <c r="O391" s="1">
        <v>0</v>
      </c>
      <c r="P391" s="1">
        <v>1</v>
      </c>
      <c r="Q391" s="55">
        <f>SUM(N391:P391)</f>
        <v>1</v>
      </c>
      <c r="R391" s="55">
        <f>+E391+I391+M391+Q391</f>
        <v>1</v>
      </c>
    </row>
    <row r="392" spans="1:18" ht="15.75" customHeight="1" x14ac:dyDescent="0.3">
      <c r="A392" s="71" t="s">
        <v>298</v>
      </c>
      <c r="B392" s="1">
        <v>0</v>
      </c>
      <c r="C392" s="1">
        <v>0</v>
      </c>
      <c r="D392" s="1">
        <v>0</v>
      </c>
      <c r="E392" s="55">
        <f>SUM(B392:D392)</f>
        <v>0</v>
      </c>
      <c r="F392" s="1">
        <v>0</v>
      </c>
      <c r="G392" s="1">
        <v>0</v>
      </c>
      <c r="H392" s="1">
        <v>1</v>
      </c>
      <c r="I392" s="55">
        <f>SUM(F392:H392)</f>
        <v>1</v>
      </c>
      <c r="J392" s="1">
        <v>0</v>
      </c>
      <c r="K392" s="1">
        <v>4</v>
      </c>
      <c r="L392" s="1">
        <v>3</v>
      </c>
      <c r="M392" s="55">
        <f>SUM(J392:L392)</f>
        <v>7</v>
      </c>
      <c r="N392" s="1">
        <v>0</v>
      </c>
      <c r="O392" s="1">
        <v>0</v>
      </c>
      <c r="P392" s="1">
        <v>0</v>
      </c>
      <c r="Q392" s="55">
        <f>SUM(N392:P392)</f>
        <v>0</v>
      </c>
      <c r="R392" s="55">
        <f>+E392+I392+M392+Q392</f>
        <v>8</v>
      </c>
    </row>
    <row r="393" spans="1:18" ht="15.75" customHeight="1" x14ac:dyDescent="0.3">
      <c r="A393" s="15" t="s">
        <v>51</v>
      </c>
      <c r="B393" s="1"/>
      <c r="C393" s="1"/>
      <c r="D393" s="1"/>
      <c r="E393" s="55" t="s">
        <v>7</v>
      </c>
      <c r="F393" s="1"/>
      <c r="G393" s="1"/>
      <c r="H393" s="1"/>
      <c r="I393" s="55" t="s">
        <v>7</v>
      </c>
      <c r="J393" s="1"/>
      <c r="K393" s="1"/>
      <c r="L393" s="1"/>
      <c r="M393" s="55" t="s">
        <v>7</v>
      </c>
      <c r="N393" s="1"/>
      <c r="O393" s="1"/>
      <c r="P393" s="1"/>
      <c r="Q393" s="55" t="s">
        <v>7</v>
      </c>
      <c r="R393" s="55" t="s">
        <v>7</v>
      </c>
    </row>
    <row r="394" spans="1:18" ht="15.75" customHeight="1" thickBot="1" x14ac:dyDescent="0.35">
      <c r="A394" s="15" t="s">
        <v>53</v>
      </c>
      <c r="B394" s="1"/>
      <c r="C394" s="1"/>
      <c r="D394" s="1"/>
      <c r="E394" s="55" t="s">
        <v>7</v>
      </c>
      <c r="F394" s="1"/>
      <c r="G394" s="1"/>
      <c r="H394" s="1"/>
      <c r="I394" s="55" t="s">
        <v>7</v>
      </c>
      <c r="J394" s="1"/>
      <c r="K394" s="1"/>
      <c r="L394" s="1"/>
      <c r="M394" s="55" t="s">
        <v>7</v>
      </c>
      <c r="N394" s="1"/>
      <c r="O394" s="1"/>
      <c r="P394" s="1"/>
      <c r="Q394" s="55" t="s">
        <v>7</v>
      </c>
      <c r="R394" s="55" t="s">
        <v>7</v>
      </c>
    </row>
    <row r="395" spans="1:18" ht="16.5" customHeight="1" thickBot="1" x14ac:dyDescent="0.35">
      <c r="A395" s="109" t="s">
        <v>54</v>
      </c>
      <c r="B395" s="86">
        <f>SUM(B385:B394)</f>
        <v>0</v>
      </c>
      <c r="C395" s="87">
        <f>SUM(C385:C394)</f>
        <v>0</v>
      </c>
      <c r="D395" s="87">
        <f>SUM(D385:D394)</f>
        <v>0</v>
      </c>
      <c r="E395" s="59">
        <f>SUM(B395:D395)</f>
        <v>0</v>
      </c>
      <c r="F395" s="87">
        <f>SUM(F385:F394)</f>
        <v>3631</v>
      </c>
      <c r="G395" s="87">
        <f>SUM(G385:G394)</f>
        <v>5</v>
      </c>
      <c r="H395" s="87">
        <f>SUM(H385:H394)</f>
        <v>12</v>
      </c>
      <c r="I395" s="59">
        <f>SUM(F395:H395)</f>
        <v>3648</v>
      </c>
      <c r="J395" s="87">
        <f>SUM(J385:J394)</f>
        <v>7</v>
      </c>
      <c r="K395" s="87">
        <f>SUM(K385:K394)</f>
        <v>16</v>
      </c>
      <c r="L395" s="87">
        <f>SUM(L385:L394)</f>
        <v>6</v>
      </c>
      <c r="M395" s="59">
        <f>SUM(J395:L395)</f>
        <v>29</v>
      </c>
      <c r="N395" s="87">
        <f>SUM(N385:N394)</f>
        <v>3</v>
      </c>
      <c r="O395" s="87">
        <f>SUM(O385:O394)</f>
        <v>1</v>
      </c>
      <c r="P395" s="87">
        <f>SUM(P385:P394)</f>
        <v>1</v>
      </c>
      <c r="Q395" s="59">
        <f>SUM(N395:P395)</f>
        <v>5</v>
      </c>
      <c r="R395" s="59">
        <f>+E395+I395+M395+Q395</f>
        <v>3682</v>
      </c>
    </row>
    <row r="396" spans="1:18" ht="15.75" customHeight="1" x14ac:dyDescent="0.3">
      <c r="A396" s="15" t="s">
        <v>55</v>
      </c>
      <c r="B396" s="1"/>
      <c r="C396" s="1"/>
      <c r="D396" s="1"/>
      <c r="E396" s="55" t="s">
        <v>7</v>
      </c>
      <c r="F396" s="1"/>
      <c r="G396" s="1"/>
      <c r="H396" s="1"/>
      <c r="I396" s="55" t="s">
        <v>7</v>
      </c>
      <c r="J396" s="1"/>
      <c r="K396" s="1"/>
      <c r="L396" s="1"/>
      <c r="M396" s="55" t="s">
        <v>7</v>
      </c>
      <c r="N396" s="1" t="s">
        <v>7</v>
      </c>
      <c r="O396" s="1"/>
      <c r="P396" s="1"/>
      <c r="Q396" s="55" t="s">
        <v>7</v>
      </c>
      <c r="R396" s="55" t="s">
        <v>7</v>
      </c>
    </row>
    <row r="397" spans="1:18" ht="15.75" customHeight="1" x14ac:dyDescent="0.3">
      <c r="A397" s="15" t="s">
        <v>57</v>
      </c>
      <c r="B397" s="1"/>
      <c r="C397" s="1"/>
      <c r="D397" s="1"/>
      <c r="E397" s="55" t="s">
        <v>7</v>
      </c>
      <c r="F397" s="1"/>
      <c r="G397" s="1"/>
      <c r="H397" s="1"/>
      <c r="I397" s="55" t="s">
        <v>7</v>
      </c>
      <c r="J397" s="1"/>
      <c r="K397" s="1"/>
      <c r="L397" s="1"/>
      <c r="M397" s="55" t="s">
        <v>7</v>
      </c>
      <c r="N397" s="1"/>
      <c r="O397" s="1"/>
      <c r="P397" s="1"/>
      <c r="Q397" s="55" t="s">
        <v>7</v>
      </c>
      <c r="R397" s="55" t="s">
        <v>7</v>
      </c>
    </row>
    <row r="398" spans="1:18" ht="15.75" customHeight="1" x14ac:dyDescent="0.3">
      <c r="A398" s="71" t="s">
        <v>565</v>
      </c>
      <c r="B398" s="1">
        <v>4</v>
      </c>
      <c r="C398" s="1">
        <v>110</v>
      </c>
      <c r="D398" s="1">
        <v>2668</v>
      </c>
      <c r="E398" s="55">
        <f>SUM(B398:D398)</f>
        <v>2782</v>
      </c>
      <c r="F398" s="1">
        <v>1713</v>
      </c>
      <c r="G398" s="1">
        <v>4237</v>
      </c>
      <c r="H398" s="1">
        <f>14790-535</f>
        <v>14255</v>
      </c>
      <c r="I398" s="55">
        <f>SUM(F398:H398)</f>
        <v>20205</v>
      </c>
      <c r="J398" s="1">
        <f>19590-603</f>
        <v>18987</v>
      </c>
      <c r="K398" s="1">
        <v>8720</v>
      </c>
      <c r="L398" s="1">
        <v>0</v>
      </c>
      <c r="M398" s="55">
        <f>SUM(J398:L398)</f>
        <v>27707</v>
      </c>
      <c r="N398" s="1">
        <v>0</v>
      </c>
      <c r="O398" s="1">
        <v>0</v>
      </c>
      <c r="P398" s="1">
        <v>0</v>
      </c>
      <c r="Q398" s="55">
        <f>SUM(N398:P398)</f>
        <v>0</v>
      </c>
      <c r="R398" s="55">
        <f>+E398+I398+M398+Q398</f>
        <v>50694</v>
      </c>
    </row>
    <row r="399" spans="1:18" ht="15.75" customHeight="1" thickBot="1" x14ac:dyDescent="0.35">
      <c r="A399" s="15" t="s">
        <v>58</v>
      </c>
      <c r="B399" s="1"/>
      <c r="C399" s="1"/>
      <c r="D399" s="1"/>
      <c r="E399" s="55" t="s">
        <v>7</v>
      </c>
      <c r="F399" s="1"/>
      <c r="G399" s="1"/>
      <c r="H399" s="1"/>
      <c r="I399" s="55" t="s">
        <v>7</v>
      </c>
      <c r="J399" s="1"/>
      <c r="K399" s="1"/>
      <c r="L399" s="1"/>
      <c r="M399" s="55" t="s">
        <v>7</v>
      </c>
      <c r="N399" s="1"/>
      <c r="O399" s="1"/>
      <c r="P399" s="1"/>
      <c r="Q399" s="55" t="s">
        <v>7</v>
      </c>
      <c r="R399" s="55" t="s">
        <v>7</v>
      </c>
    </row>
    <row r="400" spans="1:18" ht="16.5" customHeight="1" thickBot="1" x14ac:dyDescent="0.35">
      <c r="A400" s="57" t="s">
        <v>59</v>
      </c>
      <c r="B400" s="86">
        <f>SUM(B396:B399)</f>
        <v>4</v>
      </c>
      <c r="C400" s="87">
        <f>SUM(C396:C399)</f>
        <v>110</v>
      </c>
      <c r="D400" s="87">
        <f>SUM(D396:D399)</f>
        <v>2668</v>
      </c>
      <c r="E400" s="59">
        <f>SUM(B400:D400)</f>
        <v>2782</v>
      </c>
      <c r="F400" s="87">
        <f>SUM(F396:F399)</f>
        <v>1713</v>
      </c>
      <c r="G400" s="87">
        <f>SUM(G396:G399)</f>
        <v>4237</v>
      </c>
      <c r="H400" s="87">
        <f>SUM(H396:H399)</f>
        <v>14255</v>
      </c>
      <c r="I400" s="59">
        <f>SUM(F400:H400)</f>
        <v>20205</v>
      </c>
      <c r="J400" s="87">
        <f>SUM(J396:J399)</f>
        <v>18987</v>
      </c>
      <c r="K400" s="87">
        <f>SUM(K396:K399)</f>
        <v>8720</v>
      </c>
      <c r="L400" s="87">
        <f>SUM(L396:L399)</f>
        <v>0</v>
      </c>
      <c r="M400" s="59">
        <f>SUM(J400:L400)</f>
        <v>27707</v>
      </c>
      <c r="N400" s="87">
        <f>SUM(N396:N399)</f>
        <v>0</v>
      </c>
      <c r="O400" s="87">
        <f>SUM(O396:O399)</f>
        <v>0</v>
      </c>
      <c r="P400" s="87">
        <f>SUM(P396:P399)</f>
        <v>0</v>
      </c>
      <c r="Q400" s="59">
        <f>SUM(N400:P400)</f>
        <v>0</v>
      </c>
      <c r="R400" s="59">
        <f>+E400+I400+M400+Q400</f>
        <v>50694</v>
      </c>
    </row>
    <row r="401" spans="1:18" ht="15.75" customHeight="1" x14ac:dyDescent="0.3">
      <c r="A401" s="15" t="s">
        <v>60</v>
      </c>
      <c r="B401" s="1"/>
      <c r="C401" s="1"/>
      <c r="D401" s="1"/>
      <c r="E401" s="55" t="s">
        <v>7</v>
      </c>
      <c r="F401" s="1"/>
      <c r="G401" s="1"/>
      <c r="H401" s="1"/>
      <c r="I401" s="55" t="s">
        <v>7</v>
      </c>
      <c r="J401" s="1"/>
      <c r="K401" s="1"/>
      <c r="L401" s="1"/>
      <c r="M401" s="55" t="s">
        <v>7</v>
      </c>
      <c r="N401" s="1"/>
      <c r="O401" s="1"/>
      <c r="P401" s="1"/>
      <c r="Q401" s="55" t="s">
        <v>7</v>
      </c>
      <c r="R401" s="55" t="s">
        <v>7</v>
      </c>
    </row>
    <row r="402" spans="1:18" ht="15.75" customHeight="1" x14ac:dyDescent="0.3">
      <c r="A402" s="15" t="s">
        <v>61</v>
      </c>
      <c r="B402" s="1"/>
      <c r="C402" s="1"/>
      <c r="D402" s="1"/>
      <c r="E402" s="55" t="s">
        <v>7</v>
      </c>
      <c r="F402" s="1"/>
      <c r="G402" s="1"/>
      <c r="H402" s="1"/>
      <c r="I402" s="55" t="s">
        <v>7</v>
      </c>
      <c r="J402" s="1"/>
      <c r="K402" s="1"/>
      <c r="L402" s="1"/>
      <c r="M402" s="55" t="s">
        <v>7</v>
      </c>
      <c r="N402" s="1"/>
      <c r="O402" s="1"/>
      <c r="P402" s="1"/>
      <c r="Q402" s="55" t="s">
        <v>7</v>
      </c>
      <c r="R402" s="55" t="s">
        <v>7</v>
      </c>
    </row>
    <row r="403" spans="1:18" ht="15.75" customHeight="1" thickBot="1" x14ac:dyDescent="0.35">
      <c r="A403" s="15" t="s">
        <v>62</v>
      </c>
      <c r="B403" s="1"/>
      <c r="C403" s="1"/>
      <c r="D403" s="1"/>
      <c r="E403" s="55" t="s">
        <v>7</v>
      </c>
      <c r="F403" s="1"/>
      <c r="G403" s="1"/>
      <c r="H403" s="1"/>
      <c r="I403" s="55" t="s">
        <v>7</v>
      </c>
      <c r="J403" s="1"/>
      <c r="K403" s="1"/>
      <c r="L403" s="1"/>
      <c r="M403" s="55" t="s">
        <v>7</v>
      </c>
      <c r="N403" s="1"/>
      <c r="O403" s="1"/>
      <c r="P403" s="1"/>
      <c r="Q403" s="55" t="s">
        <v>7</v>
      </c>
      <c r="R403" s="55" t="s">
        <v>7</v>
      </c>
    </row>
    <row r="404" spans="1:18" ht="16.5" customHeight="1" thickBot="1" x14ac:dyDescent="0.35">
      <c r="A404" s="114" t="s">
        <v>63</v>
      </c>
      <c r="B404" s="86">
        <f>SUM(B401:B403)</f>
        <v>0</v>
      </c>
      <c r="C404" s="87">
        <f>SUM(C401:C403)</f>
        <v>0</v>
      </c>
      <c r="D404" s="87">
        <f>SUM(D401:D403)</f>
        <v>0</v>
      </c>
      <c r="E404" s="59">
        <f>SUM(B404:D404)</f>
        <v>0</v>
      </c>
      <c r="F404" s="87">
        <f>SUM(F401:F403)</f>
        <v>0</v>
      </c>
      <c r="G404" s="87">
        <f>SUM(G401:G403)</f>
        <v>0</v>
      </c>
      <c r="H404" s="87">
        <f>SUM(H401:H403)</f>
        <v>0</v>
      </c>
      <c r="I404" s="59">
        <f>SUM(F404:H404)</f>
        <v>0</v>
      </c>
      <c r="J404" s="87">
        <f>SUM(J401:J403)</f>
        <v>0</v>
      </c>
      <c r="K404" s="87">
        <f>SUM(K401:K403)</f>
        <v>0</v>
      </c>
      <c r="L404" s="87">
        <f>SUM(L401:L403)</f>
        <v>0</v>
      </c>
      <c r="M404" s="59">
        <f>SUM(J404:L404)</f>
        <v>0</v>
      </c>
      <c r="N404" s="87">
        <f>SUM(N401:N403)</f>
        <v>0</v>
      </c>
      <c r="O404" s="87">
        <f>SUM(O401:O403)</f>
        <v>0</v>
      </c>
      <c r="P404" s="87">
        <f>SUM(P401:P403)</f>
        <v>0</v>
      </c>
      <c r="Q404" s="59">
        <f>SUM(N404:P404)</f>
        <v>0</v>
      </c>
      <c r="R404" s="59">
        <f>+E404+I404+M404+Q404</f>
        <v>0</v>
      </c>
    </row>
    <row r="405" spans="1:18" ht="15.75" customHeight="1" x14ac:dyDescent="0.3">
      <c r="A405" s="15" t="s">
        <v>64</v>
      </c>
      <c r="B405" s="1"/>
      <c r="C405" s="1"/>
      <c r="D405" s="1"/>
      <c r="E405" s="55" t="s">
        <v>7</v>
      </c>
      <c r="F405" s="1"/>
      <c r="G405" s="1"/>
      <c r="H405" s="1"/>
      <c r="I405" s="55" t="s">
        <v>7</v>
      </c>
      <c r="J405" s="1"/>
      <c r="K405" s="1"/>
      <c r="L405" s="1"/>
      <c r="M405" s="55" t="s">
        <v>7</v>
      </c>
      <c r="N405" s="1"/>
      <c r="O405" s="1"/>
      <c r="P405" s="1"/>
      <c r="Q405" s="55" t="s">
        <v>7</v>
      </c>
      <c r="R405" s="55" t="s">
        <v>7</v>
      </c>
    </row>
    <row r="406" spans="1:18" ht="15.75" customHeight="1" x14ac:dyDescent="0.3">
      <c r="A406" s="15" t="s">
        <v>594</v>
      </c>
      <c r="B406" s="1"/>
      <c r="C406" s="1"/>
      <c r="D406" s="1"/>
      <c r="E406" s="55" t="s">
        <v>7</v>
      </c>
      <c r="F406" s="1"/>
      <c r="G406" s="1"/>
      <c r="H406" s="1"/>
      <c r="I406" s="55" t="s">
        <v>7</v>
      </c>
      <c r="J406" s="1"/>
      <c r="K406" s="1"/>
      <c r="L406" s="1"/>
      <c r="M406" s="55" t="s">
        <v>7</v>
      </c>
      <c r="N406" s="1"/>
      <c r="O406" s="1"/>
      <c r="P406" s="1"/>
      <c r="Q406" s="55" t="s">
        <v>7</v>
      </c>
      <c r="R406" s="55" t="s">
        <v>7</v>
      </c>
    </row>
    <row r="407" spans="1:18" ht="15.75" customHeight="1" x14ac:dyDescent="0.3">
      <c r="A407" s="15" t="s">
        <v>67</v>
      </c>
      <c r="B407" s="1"/>
      <c r="C407" s="1"/>
      <c r="D407" s="1"/>
      <c r="E407" s="55" t="s">
        <v>7</v>
      </c>
      <c r="F407" s="1"/>
      <c r="G407" s="1"/>
      <c r="H407" s="1"/>
      <c r="I407" s="55" t="s">
        <v>7</v>
      </c>
      <c r="J407" s="1"/>
      <c r="K407" s="1"/>
      <c r="L407" s="1"/>
      <c r="M407" s="55" t="s">
        <v>7</v>
      </c>
      <c r="N407" s="1"/>
      <c r="O407" s="1"/>
      <c r="P407" s="1"/>
      <c r="Q407" s="55" t="s">
        <v>7</v>
      </c>
      <c r="R407" s="55" t="s">
        <v>7</v>
      </c>
    </row>
    <row r="408" spans="1:18" ht="15.75" customHeight="1" x14ac:dyDescent="0.3">
      <c r="A408" s="15" t="s">
        <v>600</v>
      </c>
      <c r="B408" s="1"/>
      <c r="C408" s="1"/>
      <c r="D408" s="1"/>
      <c r="E408" s="55" t="s">
        <v>7</v>
      </c>
      <c r="F408" s="1"/>
      <c r="G408" s="1"/>
      <c r="H408" s="1"/>
      <c r="I408" s="55" t="s">
        <v>7</v>
      </c>
      <c r="J408" s="1"/>
      <c r="K408" s="1"/>
      <c r="L408" s="1"/>
      <c r="M408" s="55" t="s">
        <v>7</v>
      </c>
      <c r="N408" s="1"/>
      <c r="O408" s="1"/>
      <c r="P408" s="1"/>
      <c r="Q408" s="55" t="s">
        <v>7</v>
      </c>
      <c r="R408" s="55" t="s">
        <v>7</v>
      </c>
    </row>
    <row r="409" spans="1:18" ht="15.75" customHeight="1" x14ac:dyDescent="0.3">
      <c r="A409" s="15" t="s">
        <v>70</v>
      </c>
      <c r="B409" s="1"/>
      <c r="C409" s="1"/>
      <c r="D409" s="1"/>
      <c r="E409" s="55" t="s">
        <v>7</v>
      </c>
      <c r="F409" s="1"/>
      <c r="G409" s="1"/>
      <c r="H409" s="1"/>
      <c r="I409" s="55" t="s">
        <v>7</v>
      </c>
      <c r="J409" s="1"/>
      <c r="K409" s="1"/>
      <c r="L409" s="1"/>
      <c r="M409" s="55" t="s">
        <v>7</v>
      </c>
      <c r="N409" s="1"/>
      <c r="O409" s="1"/>
      <c r="P409" s="1"/>
      <c r="Q409" s="55" t="s">
        <v>7</v>
      </c>
      <c r="R409" s="55" t="s">
        <v>7</v>
      </c>
    </row>
    <row r="410" spans="1:18" ht="15.75" customHeight="1" x14ac:dyDescent="0.3">
      <c r="A410" s="71" t="s">
        <v>759</v>
      </c>
      <c r="B410" s="1">
        <v>0</v>
      </c>
      <c r="C410" s="1">
        <v>0</v>
      </c>
      <c r="D410" s="1">
        <v>0</v>
      </c>
      <c r="E410" s="55">
        <f t="shared" ref="E410:E415" si="80">SUM(B410:D410)</f>
        <v>0</v>
      </c>
      <c r="F410" s="1">
        <v>0</v>
      </c>
      <c r="G410" s="1">
        <v>0</v>
      </c>
      <c r="H410" s="1">
        <v>0</v>
      </c>
      <c r="I410" s="55">
        <f t="shared" ref="I410:I415" si="81">SUM(F410:H410)</f>
        <v>0</v>
      </c>
      <c r="J410" s="1">
        <v>0</v>
      </c>
      <c r="K410" s="1">
        <v>10952</v>
      </c>
      <c r="L410" s="1">
        <v>4564</v>
      </c>
      <c r="M410" s="55">
        <f t="shared" ref="M410:M415" si="82">SUM(J410:L410)</f>
        <v>15516</v>
      </c>
      <c r="N410" s="1">
        <v>220</v>
      </c>
      <c r="O410" s="1">
        <v>47</v>
      </c>
      <c r="P410" s="1">
        <v>0</v>
      </c>
      <c r="Q410" s="55">
        <f t="shared" ref="Q410:Q415" si="83">SUM(N410:P410)</f>
        <v>267</v>
      </c>
      <c r="R410" s="55">
        <f t="shared" ref="R410:R415" si="84">+E410+I410+M410+Q410</f>
        <v>15783</v>
      </c>
    </row>
    <row r="411" spans="1:18" ht="15.75" customHeight="1" thickBot="1" x14ac:dyDescent="0.35">
      <c r="A411" s="71" t="s">
        <v>760</v>
      </c>
      <c r="B411" s="1">
        <v>0</v>
      </c>
      <c r="C411" s="1">
        <v>0</v>
      </c>
      <c r="D411" s="1">
        <v>0</v>
      </c>
      <c r="E411" s="55">
        <f t="shared" si="80"/>
        <v>0</v>
      </c>
      <c r="F411" s="1">
        <v>0</v>
      </c>
      <c r="G411" s="1">
        <v>0</v>
      </c>
      <c r="H411" s="1">
        <v>0</v>
      </c>
      <c r="I411" s="55">
        <f t="shared" si="81"/>
        <v>0</v>
      </c>
      <c r="J411" s="1">
        <v>0</v>
      </c>
      <c r="K411" s="1">
        <v>0</v>
      </c>
      <c r="L411" s="1">
        <v>0</v>
      </c>
      <c r="M411" s="55">
        <f t="shared" si="82"/>
        <v>0</v>
      </c>
      <c r="N411" s="1">
        <v>0</v>
      </c>
      <c r="O411" s="1">
        <v>0</v>
      </c>
      <c r="P411" s="1">
        <v>0</v>
      </c>
      <c r="Q411" s="55">
        <f t="shared" si="83"/>
        <v>0</v>
      </c>
      <c r="R411" s="55">
        <f t="shared" si="84"/>
        <v>0</v>
      </c>
    </row>
    <row r="412" spans="1:18" ht="16.5" customHeight="1" thickBot="1" x14ac:dyDescent="0.35">
      <c r="A412" s="57" t="s">
        <v>71</v>
      </c>
      <c r="B412" s="58">
        <f>SUM(B408:B411)</f>
        <v>0</v>
      </c>
      <c r="C412" s="58">
        <f>SUM(C408:C411)</f>
        <v>0</v>
      </c>
      <c r="D412" s="58">
        <f>SUM(D408:D411)</f>
        <v>0</v>
      </c>
      <c r="E412" s="60">
        <f t="shared" si="80"/>
        <v>0</v>
      </c>
      <c r="F412" s="58">
        <f>SUM(F408:F411)</f>
        <v>0</v>
      </c>
      <c r="G412" s="58">
        <f>SUM(G408:G411)</f>
        <v>0</v>
      </c>
      <c r="H412" s="58">
        <f>SUM(H408:H411)</f>
        <v>0</v>
      </c>
      <c r="I412" s="60">
        <f t="shared" si="81"/>
        <v>0</v>
      </c>
      <c r="J412" s="58">
        <f>SUM(J408:J411)</f>
        <v>0</v>
      </c>
      <c r="K412" s="58">
        <f>SUM(K408:K411)</f>
        <v>10952</v>
      </c>
      <c r="L412" s="58">
        <f>SUM(L408:L411)</f>
        <v>4564</v>
      </c>
      <c r="M412" s="60">
        <f t="shared" si="82"/>
        <v>15516</v>
      </c>
      <c r="N412" s="58">
        <f>SUM(N408:N411)</f>
        <v>220</v>
      </c>
      <c r="O412" s="58">
        <f>SUM(O408:O411)</f>
        <v>47</v>
      </c>
      <c r="P412" s="58">
        <f>SUM(P408:P411)</f>
        <v>0</v>
      </c>
      <c r="Q412" s="60">
        <f t="shared" si="83"/>
        <v>267</v>
      </c>
      <c r="R412" s="59">
        <f t="shared" si="84"/>
        <v>15783</v>
      </c>
    </row>
    <row r="413" spans="1:18" ht="16.5" customHeight="1" thickBot="1" x14ac:dyDescent="0.35">
      <c r="A413" s="114" t="s">
        <v>72</v>
      </c>
      <c r="B413" s="86">
        <f>SUM(B405:B411)</f>
        <v>0</v>
      </c>
      <c r="C413" s="87">
        <f>SUM(C405:C411)</f>
        <v>0</v>
      </c>
      <c r="D413" s="118">
        <f>SUM(D405:D411)</f>
        <v>0</v>
      </c>
      <c r="E413" s="60">
        <f t="shared" si="80"/>
        <v>0</v>
      </c>
      <c r="F413" s="87">
        <f>SUM(F405:F411)</f>
        <v>0</v>
      </c>
      <c r="G413" s="87">
        <f>SUM(G405:G411)</f>
        <v>0</v>
      </c>
      <c r="H413" s="87">
        <f>SUM(H405:H411)</f>
        <v>0</v>
      </c>
      <c r="I413" s="60">
        <f t="shared" si="81"/>
        <v>0</v>
      </c>
      <c r="J413" s="87">
        <f>SUM(J405:J411)</f>
        <v>0</v>
      </c>
      <c r="K413" s="87">
        <f>SUM(K405:K411)</f>
        <v>10952</v>
      </c>
      <c r="L413" s="87">
        <f>SUM(L405:L411)</f>
        <v>4564</v>
      </c>
      <c r="M413" s="60">
        <f t="shared" si="82"/>
        <v>15516</v>
      </c>
      <c r="N413" s="87">
        <f>SUM(N405:N411)</f>
        <v>220</v>
      </c>
      <c r="O413" s="87">
        <f>SUM(O405:O411)</f>
        <v>47</v>
      </c>
      <c r="P413" s="87">
        <f>SUM(P405:P411)</f>
        <v>0</v>
      </c>
      <c r="Q413" s="60">
        <f t="shared" si="83"/>
        <v>267</v>
      </c>
      <c r="R413" s="59">
        <f t="shared" si="84"/>
        <v>15783</v>
      </c>
    </row>
    <row r="414" spans="1:18" ht="16.5" customHeight="1" thickBot="1" x14ac:dyDescent="0.35">
      <c r="A414" s="57" t="s">
        <v>73</v>
      </c>
      <c r="B414" s="90">
        <f>+B395+B400+B404+B413</f>
        <v>4</v>
      </c>
      <c r="C414" s="58">
        <f>+C395+C400+C404+C413</f>
        <v>110</v>
      </c>
      <c r="D414" s="58">
        <f>+D395+D400+D404+D413</f>
        <v>2668</v>
      </c>
      <c r="E414" s="59">
        <f t="shared" si="80"/>
        <v>2782</v>
      </c>
      <c r="F414" s="58">
        <f>+F395+F400+F404+F413</f>
        <v>5344</v>
      </c>
      <c r="G414" s="58">
        <f>+G395+G400+G404+G413</f>
        <v>4242</v>
      </c>
      <c r="H414" s="58">
        <f>+H395+H400+H404+H413</f>
        <v>14267</v>
      </c>
      <c r="I414" s="59">
        <f t="shared" si="81"/>
        <v>23853</v>
      </c>
      <c r="J414" s="58">
        <f>+J395+J400+J404+J413</f>
        <v>18994</v>
      </c>
      <c r="K414" s="58">
        <f>+K395+K400+K404+K413</f>
        <v>19688</v>
      </c>
      <c r="L414" s="58">
        <f>+L395+L400+L404+L413</f>
        <v>4570</v>
      </c>
      <c r="M414" s="59">
        <f t="shared" si="82"/>
        <v>43252</v>
      </c>
      <c r="N414" s="58">
        <f>+N395+N400+N404+N413</f>
        <v>223</v>
      </c>
      <c r="O414" s="58">
        <f>+O395+O400+O404+O413</f>
        <v>48</v>
      </c>
      <c r="P414" s="58">
        <f>+P395+P400+P404+P413</f>
        <v>1</v>
      </c>
      <c r="Q414" s="59">
        <f t="shared" si="83"/>
        <v>272</v>
      </c>
      <c r="R414" s="81">
        <f t="shared" si="84"/>
        <v>70159</v>
      </c>
    </row>
    <row r="415" spans="1:18" ht="16.5" customHeight="1" thickBot="1" x14ac:dyDescent="0.35">
      <c r="A415" s="39" t="s">
        <v>40</v>
      </c>
      <c r="B415" s="21">
        <v>9</v>
      </c>
      <c r="C415" s="21">
        <v>16</v>
      </c>
      <c r="D415" s="21">
        <v>25</v>
      </c>
      <c r="E415" s="55">
        <f t="shared" si="80"/>
        <v>50</v>
      </c>
      <c r="F415" s="21">
        <v>34</v>
      </c>
      <c r="G415" s="21">
        <v>41</v>
      </c>
      <c r="H415" s="21">
        <v>41</v>
      </c>
      <c r="I415" s="55">
        <f t="shared" si="81"/>
        <v>116</v>
      </c>
      <c r="J415" s="21">
        <v>39</v>
      </c>
      <c r="K415" s="21">
        <v>30</v>
      </c>
      <c r="L415" s="21">
        <v>30</v>
      </c>
      <c r="M415" s="55">
        <f t="shared" si="82"/>
        <v>99</v>
      </c>
      <c r="N415" s="21">
        <v>28</v>
      </c>
      <c r="O415" s="21">
        <v>22</v>
      </c>
      <c r="P415" s="21">
        <v>16</v>
      </c>
      <c r="Q415" s="55">
        <f t="shared" si="83"/>
        <v>66</v>
      </c>
      <c r="R415" s="55">
        <f t="shared" si="84"/>
        <v>331</v>
      </c>
    </row>
    <row r="416" spans="1:18" ht="16.5" customHeight="1" thickBot="1" x14ac:dyDescent="0.35">
      <c r="A416" s="74"/>
      <c r="B416" s="75"/>
      <c r="C416" s="75"/>
      <c r="D416" s="75"/>
      <c r="E416" s="59"/>
      <c r="F416" s="75"/>
      <c r="G416" s="75"/>
      <c r="H416" s="75"/>
      <c r="I416" s="59"/>
      <c r="J416" s="75"/>
      <c r="K416" s="75"/>
      <c r="L416" s="75"/>
      <c r="M416" s="59"/>
      <c r="N416" s="75"/>
      <c r="O416" s="75"/>
      <c r="P416" s="75"/>
      <c r="Q416" s="59"/>
      <c r="R416" s="59" t="s">
        <v>7</v>
      </c>
    </row>
    <row r="417" spans="1:18" ht="15.75" customHeight="1" x14ac:dyDescent="0.3">
      <c r="A417" s="76" t="s">
        <v>41</v>
      </c>
      <c r="B417" s="77">
        <f>SUM(B414:B415)</f>
        <v>13</v>
      </c>
      <c r="C417" s="77">
        <f>SUM(C414:C415)</f>
        <v>126</v>
      </c>
      <c r="D417" s="77">
        <f>SUM(D414:D415)</f>
        <v>2693</v>
      </c>
      <c r="E417" s="60">
        <f>SUM(B417:D417)</f>
        <v>2832</v>
      </c>
      <c r="F417" s="77">
        <f>SUM(F414:F415)</f>
        <v>5378</v>
      </c>
      <c r="G417" s="77">
        <f>SUM(G414:G415)</f>
        <v>4283</v>
      </c>
      <c r="H417" s="77">
        <f>SUM(H414:H415)</f>
        <v>14308</v>
      </c>
      <c r="I417" s="60">
        <f>SUM(F417:H417)</f>
        <v>23969</v>
      </c>
      <c r="J417" s="77">
        <f>SUM(J414:J415)</f>
        <v>19033</v>
      </c>
      <c r="K417" s="77">
        <f>SUM(K414:K415)</f>
        <v>19718</v>
      </c>
      <c r="L417" s="77">
        <f>SUM(L414:L415)</f>
        <v>4600</v>
      </c>
      <c r="M417" s="60">
        <f>SUM(J417:L417)</f>
        <v>43351</v>
      </c>
      <c r="N417" s="77">
        <f>SUM(N414:N415)</f>
        <v>251</v>
      </c>
      <c r="O417" s="77">
        <f>SUM(O414:O415)</f>
        <v>70</v>
      </c>
      <c r="P417" s="77">
        <f>SUM(P414:P415)</f>
        <v>17</v>
      </c>
      <c r="Q417" s="60">
        <f>SUM(N417:P417)</f>
        <v>338</v>
      </c>
      <c r="R417" s="60">
        <f>+E417+I417+M417+Q417</f>
        <v>70490</v>
      </c>
    </row>
    <row r="418" spans="1:18" ht="15.75" customHeight="1" x14ac:dyDescent="0.3">
      <c r="A418" s="79" t="s">
        <v>42</v>
      </c>
      <c r="B418" s="1">
        <f>(B417/31)/1.983</f>
        <v>0.21147495648496087</v>
      </c>
      <c r="C418" s="1">
        <f>(C417/28)/1.983</f>
        <v>2.2692889561270801</v>
      </c>
      <c r="D418" s="1">
        <f>(D417/31)/1.983</f>
        <v>43.807850601076893</v>
      </c>
      <c r="E418" s="55" t="s">
        <v>7</v>
      </c>
      <c r="F418" s="1">
        <f>(F417/30)/1.983</f>
        <v>90.401748192973614</v>
      </c>
      <c r="G418" s="1">
        <f>(G417/31)/1.983</f>
        <v>69.672864509622102</v>
      </c>
      <c r="H418" s="1">
        <f>(H417/30)/1.983</f>
        <v>240.51101025382417</v>
      </c>
      <c r="I418" s="55" t="s">
        <v>7</v>
      </c>
      <c r="J418" s="1">
        <f>(J417/31)/1.983</f>
        <v>309.61560359832771</v>
      </c>
      <c r="K418" s="1">
        <f>(K417/31)/1.983</f>
        <v>320.75870707465066</v>
      </c>
      <c r="L418" s="1">
        <f>(L417/30)/1.983</f>
        <v>77.323919986552369</v>
      </c>
      <c r="M418" s="55" t="s">
        <v>7</v>
      </c>
      <c r="N418" s="1">
        <f>(N417/31)/1.983</f>
        <v>4.0830933905942448</v>
      </c>
      <c r="O418" s="1">
        <f>(O417/30)/1.983</f>
        <v>1.176668347621449</v>
      </c>
      <c r="P418" s="1">
        <f>(P417/31)/1.983</f>
        <v>0.27654417386494878</v>
      </c>
      <c r="Q418" s="55" t="s">
        <v>7</v>
      </c>
      <c r="R418" s="55" t="s">
        <v>7</v>
      </c>
    </row>
    <row r="419" spans="1:18" ht="15.75" customHeight="1" x14ac:dyDescent="0.3">
      <c r="A419" s="79" t="s">
        <v>303</v>
      </c>
      <c r="B419" s="1">
        <f>B417+B460</f>
        <v>20914</v>
      </c>
      <c r="C419" s="1">
        <f>C417+C460</f>
        <v>22595</v>
      </c>
      <c r="D419" s="1">
        <f>D417+D460</f>
        <v>27213</v>
      </c>
      <c r="E419" s="55">
        <f>SUM(B419:D419)</f>
        <v>70722</v>
      </c>
      <c r="F419" s="1">
        <f>F417+F460</f>
        <v>34270</v>
      </c>
      <c r="G419" s="1">
        <f>G417+G460</f>
        <v>31390</v>
      </c>
      <c r="H419" s="1">
        <f>H417+H460</f>
        <v>36637</v>
      </c>
      <c r="I419" s="55">
        <f>SUM(F419:H419)</f>
        <v>102297</v>
      </c>
      <c r="J419" s="1">
        <f>J417+J460</f>
        <v>47543</v>
      </c>
      <c r="K419" s="1">
        <f>K417+K460</f>
        <v>49120</v>
      </c>
      <c r="L419" s="1">
        <f>L417+L460</f>
        <v>29027</v>
      </c>
      <c r="M419" s="55">
        <f>SUM(J419:L419)</f>
        <v>125690</v>
      </c>
      <c r="N419" s="1">
        <f>N417+N460</f>
        <v>17111</v>
      </c>
      <c r="O419" s="1">
        <f>O417+O460</f>
        <v>7612</v>
      </c>
      <c r="P419" s="1">
        <f>P417+P460</f>
        <v>13104</v>
      </c>
      <c r="Q419" s="55">
        <f>SUM(N419:P419)</f>
        <v>37827</v>
      </c>
      <c r="R419" s="55">
        <f>+E419+I419+M419+Q419</f>
        <v>336536</v>
      </c>
    </row>
    <row r="420" spans="1:18" ht="16.5" customHeight="1" thickBot="1" x14ac:dyDescent="0.35">
      <c r="A420" s="80" t="s">
        <v>304</v>
      </c>
      <c r="B420" s="25">
        <f>(B419/31)/1.983</f>
        <v>340.21440307126704</v>
      </c>
      <c r="C420" s="25">
        <f>(C419/28)/1.983</f>
        <v>406.94114256897916</v>
      </c>
      <c r="D420" s="25">
        <f>(D419/31)/1.983</f>
        <v>442.6821531404031</v>
      </c>
      <c r="E420" s="81" t="s">
        <v>7</v>
      </c>
      <c r="F420" s="25">
        <f>(F419/30)/1.983</f>
        <v>576.06320389981499</v>
      </c>
      <c r="G420" s="25">
        <f>(G419/31)/1.983</f>
        <v>510.63068338945556</v>
      </c>
      <c r="H420" s="25">
        <f>(H419/30)/1.983</f>
        <v>615.85140359724323</v>
      </c>
      <c r="I420" s="81" t="s">
        <v>7</v>
      </c>
      <c r="J420" s="25">
        <f>(J419/31)/1.983</f>
        <v>773.39645047419197</v>
      </c>
      <c r="K420" s="25">
        <f>(K419/31)/1.983</f>
        <v>799.04998942625218</v>
      </c>
      <c r="L420" s="25">
        <f>(L419/30)/1.983</f>
        <v>487.93074466296855</v>
      </c>
      <c r="M420" s="81" t="s">
        <v>7</v>
      </c>
      <c r="N420" s="25">
        <f>(N419/31)/1.983</f>
        <v>278.34984464724351</v>
      </c>
      <c r="O420" s="25">
        <f>(O419/30)/1.983</f>
        <v>127.95427802992099</v>
      </c>
      <c r="P420" s="25">
        <f>(P419/31)/1.983</f>
        <v>213.16675613684055</v>
      </c>
      <c r="Q420" s="81" t="s">
        <v>7</v>
      </c>
      <c r="R420" s="81" t="s">
        <v>7</v>
      </c>
    </row>
    <row r="421" spans="1:18" ht="15.75" customHeight="1" x14ac:dyDescent="0.3">
      <c r="A421" s="2"/>
      <c r="B421" s="1"/>
      <c r="C421" s="1"/>
      <c r="D421" s="1"/>
      <c r="E421" s="1"/>
      <c r="F421" s="1"/>
      <c r="G421" s="1"/>
      <c r="H421" s="1"/>
      <c r="I421" s="1"/>
      <c r="J421" s="1"/>
      <c r="K421" s="1"/>
      <c r="L421" s="1"/>
      <c r="M421" s="1"/>
      <c r="N421" s="1"/>
      <c r="O421" s="1"/>
      <c r="P421" s="1"/>
      <c r="Q421" s="1"/>
      <c r="R421" s="2"/>
    </row>
    <row r="422" spans="1:18" ht="15.75" customHeight="1" thickBot="1" x14ac:dyDescent="0.35">
      <c r="A422" s="2"/>
      <c r="B422" s="1"/>
      <c r="C422" s="1"/>
      <c r="D422" s="1"/>
      <c r="E422" s="1"/>
      <c r="F422" s="1"/>
      <c r="G422" s="1"/>
      <c r="H422" s="1"/>
      <c r="I422" s="1"/>
      <c r="J422" s="1"/>
      <c r="K422" s="1"/>
      <c r="L422" s="1"/>
      <c r="M422" s="1"/>
      <c r="N422" s="1"/>
      <c r="O422" s="1"/>
      <c r="P422" s="1"/>
      <c r="Q422" s="1"/>
      <c r="R422" s="2"/>
    </row>
    <row r="423" spans="1:18" ht="16.5" customHeight="1" thickBot="1" x14ac:dyDescent="0.35">
      <c r="A423" s="124" t="s">
        <v>305</v>
      </c>
      <c r="B423" s="30" t="s">
        <v>8</v>
      </c>
      <c r="C423" s="31" t="s">
        <v>9</v>
      </c>
      <c r="D423" s="31" t="s">
        <v>10</v>
      </c>
      <c r="E423" s="32" t="s">
        <v>11</v>
      </c>
      <c r="F423" s="31" t="s">
        <v>12</v>
      </c>
      <c r="G423" s="31" t="s">
        <v>13</v>
      </c>
      <c r="H423" s="31" t="s">
        <v>14</v>
      </c>
      <c r="I423" s="33" t="s">
        <v>15</v>
      </c>
      <c r="J423" s="31" t="s">
        <v>16</v>
      </c>
      <c r="K423" s="31" t="s">
        <v>17</v>
      </c>
      <c r="L423" s="31" t="s">
        <v>18</v>
      </c>
      <c r="M423" s="33" t="s">
        <v>19</v>
      </c>
      <c r="N423" s="31" t="s">
        <v>20</v>
      </c>
      <c r="O423" s="31" t="s">
        <v>21</v>
      </c>
      <c r="P423" s="31" t="s">
        <v>22</v>
      </c>
      <c r="Q423" s="33" t="s">
        <v>23</v>
      </c>
      <c r="R423" s="34" t="s">
        <v>24</v>
      </c>
    </row>
    <row r="424" spans="1:18" ht="16.5" customHeight="1" thickBot="1" x14ac:dyDescent="0.35">
      <c r="A424" s="59"/>
      <c r="B424" s="75"/>
      <c r="C424" s="75"/>
      <c r="D424" s="75"/>
      <c r="E424" s="69"/>
      <c r="F424" s="75"/>
      <c r="G424" s="75"/>
      <c r="H424" s="75"/>
      <c r="I424" s="82"/>
      <c r="J424" s="75"/>
      <c r="K424" s="75"/>
      <c r="L424" s="75"/>
      <c r="M424" s="82"/>
      <c r="N424" s="75"/>
      <c r="O424" s="75"/>
      <c r="P424" s="75"/>
      <c r="Q424" s="82"/>
      <c r="R424" s="100"/>
    </row>
    <row r="425" spans="1:18" ht="15.75" customHeight="1" x14ac:dyDescent="0.3">
      <c r="A425" s="15" t="s">
        <v>48</v>
      </c>
      <c r="B425" s="1" t="s">
        <v>7</v>
      </c>
      <c r="C425" s="1" t="s">
        <v>7</v>
      </c>
      <c r="D425" s="1" t="s">
        <v>7</v>
      </c>
      <c r="E425" s="55" t="s">
        <v>7</v>
      </c>
      <c r="F425" s="1" t="s">
        <v>7</v>
      </c>
      <c r="G425" s="1" t="s">
        <v>7</v>
      </c>
      <c r="H425" s="1" t="s">
        <v>7</v>
      </c>
      <c r="I425" s="55" t="s">
        <v>7</v>
      </c>
      <c r="J425" s="1" t="s">
        <v>7</v>
      </c>
      <c r="K425" s="1" t="s">
        <v>7</v>
      </c>
      <c r="L425" s="1" t="s">
        <v>7</v>
      </c>
      <c r="M425" s="55" t="s">
        <v>7</v>
      </c>
      <c r="N425" s="1" t="s">
        <v>7</v>
      </c>
      <c r="O425" s="1" t="s">
        <v>7</v>
      </c>
      <c r="P425" s="1" t="s">
        <v>7</v>
      </c>
      <c r="Q425" s="55" t="s">
        <v>7</v>
      </c>
      <c r="R425" s="55" t="s">
        <v>7</v>
      </c>
    </row>
    <row r="426" spans="1:18" ht="15.75" customHeight="1" x14ac:dyDescent="0.3">
      <c r="A426" s="15" t="s">
        <v>49</v>
      </c>
      <c r="B426" s="1"/>
      <c r="C426" s="1"/>
      <c r="D426" s="1"/>
      <c r="E426" s="55" t="s">
        <v>7</v>
      </c>
      <c r="F426" s="1"/>
      <c r="G426" s="1"/>
      <c r="H426" s="1"/>
      <c r="I426" s="55" t="s">
        <v>7</v>
      </c>
      <c r="J426" s="1"/>
      <c r="K426" s="1"/>
      <c r="L426" s="1"/>
      <c r="M426" s="55" t="s">
        <v>7</v>
      </c>
      <c r="N426" s="1"/>
      <c r="O426" s="1"/>
      <c r="P426" s="1"/>
      <c r="Q426" s="55" t="s">
        <v>7</v>
      </c>
      <c r="R426" s="55" t="s">
        <v>7</v>
      </c>
    </row>
    <row r="427" spans="1:18" ht="15.75" customHeight="1" x14ac:dyDescent="0.3">
      <c r="A427" s="71" t="s">
        <v>306</v>
      </c>
      <c r="B427" s="1">
        <v>0</v>
      </c>
      <c r="C427" s="1">
        <v>0</v>
      </c>
      <c r="D427" s="1">
        <v>0</v>
      </c>
      <c r="E427" s="55">
        <f>SUM(B427:D427)</f>
        <v>0</v>
      </c>
      <c r="F427" s="1">
        <v>0</v>
      </c>
      <c r="G427" s="1">
        <v>690</v>
      </c>
      <c r="H427" s="1">
        <v>310</v>
      </c>
      <c r="I427" s="55">
        <f>SUM(F427:H427)</f>
        <v>1000</v>
      </c>
      <c r="J427" s="1">
        <v>0</v>
      </c>
      <c r="K427" s="1">
        <v>0</v>
      </c>
      <c r="L427" s="1">
        <v>0</v>
      </c>
      <c r="M427" s="55">
        <f>SUM(J427:L427)</f>
        <v>0</v>
      </c>
      <c r="N427" s="1">
        <v>0</v>
      </c>
      <c r="O427" s="1">
        <v>0</v>
      </c>
      <c r="P427" s="1">
        <v>0</v>
      </c>
      <c r="Q427" s="55">
        <f>SUM(N427:P427)</f>
        <v>0</v>
      </c>
      <c r="R427" s="55">
        <f>+E427+I427+M427+Q427</f>
        <v>1000</v>
      </c>
    </row>
    <row r="428" spans="1:18" ht="15.75" customHeight="1" x14ac:dyDescent="0.3">
      <c r="A428" s="71" t="s">
        <v>656</v>
      </c>
      <c r="B428" s="1">
        <v>0</v>
      </c>
      <c r="C428" s="1">
        <v>0</v>
      </c>
      <c r="D428" s="1">
        <v>0</v>
      </c>
      <c r="E428" s="55">
        <f>SUM(B428:D428)</f>
        <v>0</v>
      </c>
      <c r="F428" s="1">
        <v>0</v>
      </c>
      <c r="G428" s="1">
        <v>0</v>
      </c>
      <c r="H428" s="1">
        <v>43</v>
      </c>
      <c r="I428" s="55">
        <f>SUM(F428:H428)</f>
        <v>43</v>
      </c>
      <c r="J428" s="1">
        <v>1693</v>
      </c>
      <c r="K428" s="1">
        <v>764</v>
      </c>
      <c r="L428" s="1">
        <v>0</v>
      </c>
      <c r="M428" s="55">
        <f>SUM(J428:L428)</f>
        <v>2457</v>
      </c>
      <c r="N428" s="1">
        <v>0</v>
      </c>
      <c r="O428" s="1">
        <v>0</v>
      </c>
      <c r="P428" s="1">
        <v>0</v>
      </c>
      <c r="Q428" s="55">
        <f>SUM(N428:P428)</f>
        <v>0</v>
      </c>
      <c r="R428" s="55">
        <f>+E428+I428+M428+Q428</f>
        <v>2500</v>
      </c>
    </row>
    <row r="429" spans="1:18" ht="15.75" customHeight="1" x14ac:dyDescent="0.3">
      <c r="A429" s="71" t="s">
        <v>657</v>
      </c>
      <c r="B429" s="1">
        <v>0</v>
      </c>
      <c r="C429" s="1">
        <v>0</v>
      </c>
      <c r="D429" s="1">
        <v>0</v>
      </c>
      <c r="E429" s="55">
        <f>SUM(B429:D429)</f>
        <v>0</v>
      </c>
      <c r="F429" s="1">
        <v>0</v>
      </c>
      <c r="G429" s="1">
        <v>0</v>
      </c>
      <c r="H429" s="1">
        <v>0</v>
      </c>
      <c r="I429" s="55">
        <f>SUM(F429:H429)</f>
        <v>0</v>
      </c>
      <c r="J429" s="1">
        <v>0</v>
      </c>
      <c r="K429" s="1">
        <v>674</v>
      </c>
      <c r="L429" s="1">
        <v>1183</v>
      </c>
      <c r="M429" s="55">
        <f>SUM(J429:L429)</f>
        <v>1857</v>
      </c>
      <c r="N429" s="1">
        <v>0</v>
      </c>
      <c r="O429" s="1">
        <v>0</v>
      </c>
      <c r="P429" s="1">
        <v>0</v>
      </c>
      <c r="Q429" s="55">
        <f>SUM(N429:P429)</f>
        <v>0</v>
      </c>
      <c r="R429" s="55">
        <f>+E429+I429+M429+Q429</f>
        <v>1857</v>
      </c>
    </row>
    <row r="430" spans="1:18" ht="15.75" customHeight="1" x14ac:dyDescent="0.3">
      <c r="A430" s="15" t="s">
        <v>50</v>
      </c>
      <c r="B430" s="1"/>
      <c r="C430" s="1"/>
      <c r="D430" s="1"/>
      <c r="E430" s="55" t="s">
        <v>7</v>
      </c>
      <c r="F430" s="1"/>
      <c r="G430" s="1"/>
      <c r="H430" s="1"/>
      <c r="I430" s="55" t="s">
        <v>7</v>
      </c>
      <c r="J430" s="1"/>
      <c r="K430" s="1"/>
      <c r="L430" s="1"/>
      <c r="M430" s="55" t="s">
        <v>7</v>
      </c>
      <c r="N430" s="1"/>
      <c r="O430" s="1"/>
      <c r="P430" s="1"/>
      <c r="Q430" s="55" t="s">
        <v>7</v>
      </c>
      <c r="R430" s="55" t="s">
        <v>7</v>
      </c>
    </row>
    <row r="431" spans="1:18" ht="15.75" customHeight="1" x14ac:dyDescent="0.3">
      <c r="A431" s="15" t="s">
        <v>51</v>
      </c>
      <c r="B431" s="1"/>
      <c r="C431" s="1"/>
      <c r="D431" s="1"/>
      <c r="E431" s="55" t="s">
        <v>7</v>
      </c>
      <c r="F431" s="1"/>
      <c r="G431" s="1"/>
      <c r="H431" s="1"/>
      <c r="I431" s="55" t="s">
        <v>7</v>
      </c>
      <c r="J431" s="1"/>
      <c r="K431" s="1"/>
      <c r="L431" s="1"/>
      <c r="M431" s="55" t="s">
        <v>7</v>
      </c>
      <c r="N431" s="1"/>
      <c r="O431" s="1"/>
      <c r="P431" s="1"/>
      <c r="Q431" s="55" t="s">
        <v>7</v>
      </c>
      <c r="R431" s="55" t="s">
        <v>7</v>
      </c>
    </row>
    <row r="432" spans="1:18" ht="15.75" customHeight="1" thickBot="1" x14ac:dyDescent="0.35">
      <c r="A432" s="15" t="s">
        <v>53</v>
      </c>
      <c r="B432" s="1"/>
      <c r="C432" s="1"/>
      <c r="D432" s="1"/>
      <c r="E432" s="55" t="s">
        <v>7</v>
      </c>
      <c r="F432" s="1"/>
      <c r="G432" s="1"/>
      <c r="H432" s="1"/>
      <c r="I432" s="55" t="s">
        <v>7</v>
      </c>
      <c r="J432" s="1"/>
      <c r="K432" s="1"/>
      <c r="L432" s="1"/>
      <c r="M432" s="55" t="s">
        <v>7</v>
      </c>
      <c r="N432" s="1"/>
      <c r="O432" s="1"/>
      <c r="P432" s="1"/>
      <c r="Q432" s="55" t="s">
        <v>7</v>
      </c>
      <c r="R432" s="55" t="s">
        <v>7</v>
      </c>
    </row>
    <row r="433" spans="1:18" ht="16.5" customHeight="1" thickBot="1" x14ac:dyDescent="0.35">
      <c r="A433" s="109" t="s">
        <v>54</v>
      </c>
      <c r="B433" s="86">
        <f>SUM(B425:B432)</f>
        <v>0</v>
      </c>
      <c r="C433" s="87">
        <f>SUM(C425:C432)</f>
        <v>0</v>
      </c>
      <c r="D433" s="87">
        <f>SUM(D425:D432)</f>
        <v>0</v>
      </c>
      <c r="E433" s="59">
        <f>SUM(B433:D433)</f>
        <v>0</v>
      </c>
      <c r="F433" s="87">
        <f>SUM(F425:F432)</f>
        <v>0</v>
      </c>
      <c r="G433" s="87">
        <f>SUM(G425:G432)</f>
        <v>690</v>
      </c>
      <c r="H433" s="87">
        <f>SUM(H425:H432)</f>
        <v>353</v>
      </c>
      <c r="I433" s="59">
        <f>SUM(F433:H433)</f>
        <v>1043</v>
      </c>
      <c r="J433" s="87">
        <f>SUM(J425:J432)</f>
        <v>1693</v>
      </c>
      <c r="K433" s="87">
        <f>SUM(K425:K432)</f>
        <v>1438</v>
      </c>
      <c r="L433" s="87">
        <f>SUM(L425:L432)</f>
        <v>1183</v>
      </c>
      <c r="M433" s="59">
        <f>SUM(J433:L433)</f>
        <v>4314</v>
      </c>
      <c r="N433" s="87">
        <f>SUM(N425:N432)</f>
        <v>0</v>
      </c>
      <c r="O433" s="87">
        <f>SUM(O425:O432)</f>
        <v>0</v>
      </c>
      <c r="P433" s="87">
        <f>SUM(P425:P432)</f>
        <v>0</v>
      </c>
      <c r="Q433" s="59">
        <f>SUM(N433:P433)</f>
        <v>0</v>
      </c>
      <c r="R433" s="59">
        <f>+E433+I433+M433+Q433</f>
        <v>5357</v>
      </c>
    </row>
    <row r="434" spans="1:18" ht="15.75" customHeight="1" x14ac:dyDescent="0.3">
      <c r="A434" s="15" t="s">
        <v>55</v>
      </c>
      <c r="B434" s="1"/>
      <c r="C434" s="1"/>
      <c r="D434" s="1"/>
      <c r="E434" s="60" t="s">
        <v>7</v>
      </c>
      <c r="F434" s="1"/>
      <c r="G434" s="1"/>
      <c r="H434" s="1"/>
      <c r="I434" s="60" t="s">
        <v>7</v>
      </c>
      <c r="J434" s="1"/>
      <c r="K434" s="1"/>
      <c r="L434" s="1"/>
      <c r="M434" s="60" t="s">
        <v>7</v>
      </c>
      <c r="N434" s="1"/>
      <c r="O434" s="1"/>
      <c r="P434" s="1"/>
      <c r="Q434" s="60" t="s">
        <v>7</v>
      </c>
      <c r="R434" s="125" t="s">
        <v>7</v>
      </c>
    </row>
    <row r="435" spans="1:18" ht="15.75" customHeight="1" x14ac:dyDescent="0.3">
      <c r="A435" s="15" t="s">
        <v>57</v>
      </c>
      <c r="B435" s="1"/>
      <c r="C435" s="1"/>
      <c r="D435" s="1"/>
      <c r="E435" s="55" t="s">
        <v>7</v>
      </c>
      <c r="F435" s="1"/>
      <c r="G435" s="1"/>
      <c r="H435" s="1"/>
      <c r="I435" s="55" t="s">
        <v>7</v>
      </c>
      <c r="J435" s="1"/>
      <c r="K435" s="1"/>
      <c r="L435" s="1"/>
      <c r="M435" s="55" t="s">
        <v>7</v>
      </c>
      <c r="N435" s="1"/>
      <c r="O435" s="1"/>
      <c r="P435" s="1"/>
      <c r="Q435" s="55" t="s">
        <v>7</v>
      </c>
      <c r="R435" s="125" t="s">
        <v>7</v>
      </c>
    </row>
    <row r="436" spans="1:18" ht="15.75" customHeight="1" x14ac:dyDescent="0.3">
      <c r="A436" s="71" t="s">
        <v>569</v>
      </c>
      <c r="B436" s="1">
        <v>381</v>
      </c>
      <c r="C436" s="1">
        <v>479</v>
      </c>
      <c r="D436" s="1">
        <v>4037</v>
      </c>
      <c r="E436" s="55">
        <f>SUM(B436:D436)</f>
        <v>4897</v>
      </c>
      <c r="F436" s="1">
        <v>4501</v>
      </c>
      <c r="G436" s="1">
        <v>4905</v>
      </c>
      <c r="H436" s="1">
        <v>7886</v>
      </c>
      <c r="I436" s="55">
        <f>SUM(F436:H436)</f>
        <v>17292</v>
      </c>
      <c r="J436" s="1">
        <v>9137</v>
      </c>
      <c r="K436" s="1">
        <v>0</v>
      </c>
      <c r="L436" s="1">
        <v>0</v>
      </c>
      <c r="M436" s="55">
        <f>SUM(J436:L436)</f>
        <v>9137</v>
      </c>
      <c r="N436" s="1">
        <v>0</v>
      </c>
      <c r="O436" s="1">
        <v>0</v>
      </c>
      <c r="P436" s="1">
        <v>0</v>
      </c>
      <c r="Q436" s="55">
        <f>SUM(N436:P436)</f>
        <v>0</v>
      </c>
      <c r="R436" s="55">
        <f>+E436+I436+M436+Q436</f>
        <v>31326</v>
      </c>
    </row>
    <row r="437" spans="1:18" ht="15.75" customHeight="1" x14ac:dyDescent="0.3">
      <c r="A437" s="71" t="s">
        <v>309</v>
      </c>
      <c r="B437" s="1">
        <v>0</v>
      </c>
      <c r="C437" s="1">
        <v>191</v>
      </c>
      <c r="D437" s="1">
        <v>238</v>
      </c>
      <c r="E437" s="55">
        <f>SUM(B437:D437)</f>
        <v>429</v>
      </c>
      <c r="F437" s="1">
        <v>416</v>
      </c>
      <c r="G437" s="1">
        <v>155</v>
      </c>
      <c r="H437" s="1">
        <v>0</v>
      </c>
      <c r="I437" s="55">
        <f>SUM(F437:H437)</f>
        <v>571</v>
      </c>
      <c r="J437" s="1">
        <v>0</v>
      </c>
      <c r="K437" s="1">
        <v>0</v>
      </c>
      <c r="L437" s="1">
        <v>0</v>
      </c>
      <c r="M437" s="55">
        <f>SUM(J437:L437)</f>
        <v>0</v>
      </c>
      <c r="N437" s="1">
        <v>0</v>
      </c>
      <c r="O437" s="1">
        <v>0</v>
      </c>
      <c r="P437" s="1">
        <v>0</v>
      </c>
      <c r="Q437" s="55">
        <f>SUM(N437:P437)</f>
        <v>0</v>
      </c>
      <c r="R437" s="55">
        <f>+E437+I437+M437+Q437</f>
        <v>1000</v>
      </c>
    </row>
    <row r="438" spans="1:18" ht="15.75" customHeight="1" thickBot="1" x14ac:dyDescent="0.35">
      <c r="A438" s="15" t="s">
        <v>58</v>
      </c>
      <c r="B438" s="1"/>
      <c r="C438" s="1"/>
      <c r="D438" s="1"/>
      <c r="E438" s="55" t="s">
        <v>7</v>
      </c>
      <c r="F438" s="1"/>
      <c r="G438" s="1"/>
      <c r="H438" s="1"/>
      <c r="I438" s="55" t="s">
        <v>7</v>
      </c>
      <c r="J438" s="1"/>
      <c r="K438" s="1"/>
      <c r="L438" s="1"/>
      <c r="M438" s="55" t="s">
        <v>7</v>
      </c>
      <c r="N438" s="1"/>
      <c r="O438" s="1"/>
      <c r="P438" s="1"/>
      <c r="Q438" s="55" t="s">
        <v>7</v>
      </c>
      <c r="R438" s="125" t="s">
        <v>7</v>
      </c>
    </row>
    <row r="439" spans="1:18" ht="16.5" customHeight="1" thickBot="1" x14ac:dyDescent="0.35">
      <c r="A439" s="57" t="s">
        <v>59</v>
      </c>
      <c r="B439" s="86">
        <f>SUM(B434:B438)</f>
        <v>381</v>
      </c>
      <c r="C439" s="87">
        <f>SUM(C434:C438)</f>
        <v>670</v>
      </c>
      <c r="D439" s="87">
        <f>SUM(D434:D438)</f>
        <v>4275</v>
      </c>
      <c r="E439" s="59">
        <f>SUM(B439:D439)</f>
        <v>5326</v>
      </c>
      <c r="F439" s="87">
        <f>SUM(F434:F438)</f>
        <v>4917</v>
      </c>
      <c r="G439" s="87">
        <f>SUM(G434:G438)</f>
        <v>5060</v>
      </c>
      <c r="H439" s="87">
        <f>SUM(H434:H438)</f>
        <v>7886</v>
      </c>
      <c r="I439" s="59">
        <f>SUM(F439:H439)</f>
        <v>17863</v>
      </c>
      <c r="J439" s="87">
        <f>SUM(J434:J438)</f>
        <v>9137</v>
      </c>
      <c r="K439" s="87">
        <f>SUM(K434:K438)</f>
        <v>0</v>
      </c>
      <c r="L439" s="87">
        <f>SUM(L434:L438)</f>
        <v>0</v>
      </c>
      <c r="M439" s="59">
        <f>SUM(J439:L439)</f>
        <v>9137</v>
      </c>
      <c r="N439" s="87">
        <f>SUM(N434:N438)</f>
        <v>0</v>
      </c>
      <c r="O439" s="87">
        <f>SUM(O434:O438)</f>
        <v>0</v>
      </c>
      <c r="P439" s="87">
        <f>SUM(P434:P438)</f>
        <v>0</v>
      </c>
      <c r="Q439" s="59">
        <f>SUM(N439:P439)</f>
        <v>0</v>
      </c>
      <c r="R439" s="59">
        <f>+E439+I439+M439+Q439</f>
        <v>32326</v>
      </c>
    </row>
    <row r="440" spans="1:18" ht="15.75" customHeight="1" x14ac:dyDescent="0.3">
      <c r="A440" s="15" t="s">
        <v>60</v>
      </c>
      <c r="B440" s="1"/>
      <c r="C440" s="1"/>
      <c r="D440" s="1"/>
      <c r="E440" s="55" t="s">
        <v>7</v>
      </c>
      <c r="F440" s="1"/>
      <c r="G440" s="1"/>
      <c r="H440" s="1"/>
      <c r="I440" s="55" t="s">
        <v>7</v>
      </c>
      <c r="J440" s="1"/>
      <c r="K440" s="1"/>
      <c r="L440" s="1"/>
      <c r="M440" s="55" t="s">
        <v>7</v>
      </c>
      <c r="N440" s="1"/>
      <c r="O440" s="1"/>
      <c r="P440" s="1"/>
      <c r="Q440" s="55" t="s">
        <v>7</v>
      </c>
      <c r="R440" s="55" t="s">
        <v>7</v>
      </c>
    </row>
    <row r="441" spans="1:18" ht="15.75" customHeight="1" x14ac:dyDescent="0.3">
      <c r="A441" s="15" t="s">
        <v>61</v>
      </c>
      <c r="B441" s="1"/>
      <c r="C441" s="1"/>
      <c r="D441" s="1"/>
      <c r="E441" s="55" t="s">
        <v>7</v>
      </c>
      <c r="F441" s="1"/>
      <c r="G441" s="1"/>
      <c r="H441" s="1"/>
      <c r="I441" s="55" t="s">
        <v>7</v>
      </c>
      <c r="J441" s="1"/>
      <c r="K441" s="1"/>
      <c r="L441" s="1"/>
      <c r="M441" s="55" t="s">
        <v>7</v>
      </c>
      <c r="N441" s="1"/>
      <c r="O441" s="1"/>
      <c r="P441" s="1"/>
      <c r="Q441" s="55" t="s">
        <v>7</v>
      </c>
      <c r="R441" s="55" t="s">
        <v>7</v>
      </c>
    </row>
    <row r="442" spans="1:18" ht="15.75" customHeight="1" thickBot="1" x14ac:dyDescent="0.35">
      <c r="A442" s="15" t="s">
        <v>62</v>
      </c>
      <c r="B442" s="1"/>
      <c r="C442" s="1"/>
      <c r="D442" s="1"/>
      <c r="E442" s="55" t="s">
        <v>7</v>
      </c>
      <c r="F442" s="1"/>
      <c r="G442" s="1"/>
      <c r="H442" s="1"/>
      <c r="I442" s="55" t="s">
        <v>7</v>
      </c>
      <c r="J442" s="1"/>
      <c r="K442" s="1"/>
      <c r="L442" s="1"/>
      <c r="M442" s="55" t="s">
        <v>7</v>
      </c>
      <c r="N442" s="1"/>
      <c r="O442" s="1"/>
      <c r="P442" s="1"/>
      <c r="Q442" s="55" t="s">
        <v>7</v>
      </c>
      <c r="R442" s="55" t="s">
        <v>7</v>
      </c>
    </row>
    <row r="443" spans="1:18" ht="16.5" customHeight="1" thickBot="1" x14ac:dyDescent="0.35">
      <c r="A443" s="114" t="s">
        <v>63</v>
      </c>
      <c r="B443" s="86">
        <f>SUM(B440:B442)</f>
        <v>0</v>
      </c>
      <c r="C443" s="87">
        <f>SUM(C440:C442)</f>
        <v>0</v>
      </c>
      <c r="D443" s="87">
        <f>SUM(D440:D442)</f>
        <v>0</v>
      </c>
      <c r="E443" s="59">
        <f>SUM(B443:D443)</f>
        <v>0</v>
      </c>
      <c r="F443" s="87">
        <f>SUM(F440:F442)</f>
        <v>0</v>
      </c>
      <c r="G443" s="87">
        <f>SUM(G440:G442)</f>
        <v>0</v>
      </c>
      <c r="H443" s="87">
        <f>SUM(H440:H442)</f>
        <v>0</v>
      </c>
      <c r="I443" s="59">
        <f>SUM(F443:H443)</f>
        <v>0</v>
      </c>
      <c r="J443" s="87">
        <f>SUM(J440:J442)</f>
        <v>0</v>
      </c>
      <c r="K443" s="87">
        <f>SUM(K440:K442)</f>
        <v>0</v>
      </c>
      <c r="L443" s="87">
        <f>SUM(L440:L442)</f>
        <v>0</v>
      </c>
      <c r="M443" s="59">
        <f>SUM(J443:L443)</f>
        <v>0</v>
      </c>
      <c r="N443" s="87">
        <f>SUM(N440:N442)</f>
        <v>0</v>
      </c>
      <c r="O443" s="87">
        <f>SUM(O440:O442)</f>
        <v>0</v>
      </c>
      <c r="P443" s="87">
        <f>SUM(P440:P442)</f>
        <v>0</v>
      </c>
      <c r="Q443" s="59">
        <f>SUM(N443:P443)</f>
        <v>0</v>
      </c>
      <c r="R443" s="59">
        <f>+E443+I443+M443+Q443</f>
        <v>0</v>
      </c>
    </row>
    <row r="444" spans="1:18" ht="15.75" customHeight="1" x14ac:dyDescent="0.3">
      <c r="A444" s="15" t="s">
        <v>64</v>
      </c>
      <c r="B444" s="1"/>
      <c r="C444" s="1"/>
      <c r="D444" s="1"/>
      <c r="E444" s="55" t="s">
        <v>7</v>
      </c>
      <c r="F444" s="1"/>
      <c r="G444" s="1"/>
      <c r="H444" s="1"/>
      <c r="I444" s="55" t="s">
        <v>7</v>
      </c>
      <c r="J444" s="1"/>
      <c r="K444" s="1"/>
      <c r="L444" s="1"/>
      <c r="M444" s="55" t="s">
        <v>7</v>
      </c>
      <c r="N444" s="1"/>
      <c r="O444" s="1"/>
      <c r="P444" s="1"/>
      <c r="Q444" s="55" t="s">
        <v>7</v>
      </c>
      <c r="R444" s="55" t="s">
        <v>7</v>
      </c>
    </row>
    <row r="445" spans="1:18" ht="15.75" customHeight="1" x14ac:dyDescent="0.3">
      <c r="A445" s="15" t="s">
        <v>594</v>
      </c>
      <c r="B445" s="1"/>
      <c r="C445" s="1"/>
      <c r="D445" s="1"/>
      <c r="E445" s="55" t="s">
        <v>7</v>
      </c>
      <c r="F445" s="1"/>
      <c r="G445" s="1"/>
      <c r="H445" s="1"/>
      <c r="I445" s="55" t="s">
        <v>7</v>
      </c>
      <c r="J445" s="1"/>
      <c r="K445" s="1"/>
      <c r="L445" s="1"/>
      <c r="M445" s="55" t="s">
        <v>7</v>
      </c>
      <c r="N445" s="1"/>
      <c r="O445" s="1"/>
      <c r="P445" s="1"/>
      <c r="Q445" s="55" t="s">
        <v>7</v>
      </c>
      <c r="R445" s="55" t="s">
        <v>7</v>
      </c>
    </row>
    <row r="446" spans="1:18" ht="15.75" customHeight="1" x14ac:dyDescent="0.3">
      <c r="A446" s="15" t="s">
        <v>67</v>
      </c>
      <c r="B446" s="1"/>
      <c r="C446" s="1"/>
      <c r="D446" s="1"/>
      <c r="E446" s="55" t="s">
        <v>7</v>
      </c>
      <c r="F446" s="1"/>
      <c r="G446" s="1"/>
      <c r="H446" s="1"/>
      <c r="I446" s="55" t="s">
        <v>7</v>
      </c>
      <c r="J446" s="1"/>
      <c r="K446" s="1"/>
      <c r="L446" s="1"/>
      <c r="M446" s="55" t="s">
        <v>7</v>
      </c>
      <c r="N446" s="1"/>
      <c r="O446" s="1"/>
      <c r="P446" s="1"/>
      <c r="Q446" s="55" t="s">
        <v>7</v>
      </c>
      <c r="R446" s="55" t="s">
        <v>7</v>
      </c>
    </row>
    <row r="447" spans="1:18" ht="15.75" customHeight="1" x14ac:dyDescent="0.3">
      <c r="A447" s="15" t="s">
        <v>600</v>
      </c>
      <c r="B447" s="1"/>
      <c r="C447" s="1"/>
      <c r="D447" s="1"/>
      <c r="E447" s="55" t="s">
        <v>7</v>
      </c>
      <c r="F447" s="1"/>
      <c r="G447" s="1"/>
      <c r="H447" s="1"/>
      <c r="I447" s="55" t="s">
        <v>7</v>
      </c>
      <c r="J447" s="1"/>
      <c r="K447" s="1"/>
      <c r="L447" s="1"/>
      <c r="M447" s="55" t="s">
        <v>7</v>
      </c>
      <c r="N447" s="1"/>
      <c r="O447" s="1"/>
      <c r="P447" s="1"/>
      <c r="Q447" s="55" t="s">
        <v>7</v>
      </c>
      <c r="R447" s="55" t="s">
        <v>7</v>
      </c>
    </row>
    <row r="448" spans="1:18" ht="15.75" customHeight="1" x14ac:dyDescent="0.3">
      <c r="A448" s="71" t="s">
        <v>570</v>
      </c>
      <c r="B448" s="1">
        <v>0</v>
      </c>
      <c r="C448" s="1">
        <v>0</v>
      </c>
      <c r="D448" s="1">
        <v>0</v>
      </c>
      <c r="E448" s="55">
        <f>SUM(B448:D448)</f>
        <v>0</v>
      </c>
      <c r="F448" s="1">
        <v>0</v>
      </c>
      <c r="G448" s="1">
        <v>0</v>
      </c>
      <c r="H448" s="1">
        <v>0</v>
      </c>
      <c r="I448" s="55">
        <f>SUM(F448:H448)</f>
        <v>0</v>
      </c>
      <c r="J448" s="1">
        <v>0</v>
      </c>
      <c r="K448" s="1">
        <v>0</v>
      </c>
      <c r="L448" s="1">
        <v>202</v>
      </c>
      <c r="M448" s="55">
        <f>SUM(J448:L448)</f>
        <v>202</v>
      </c>
      <c r="N448" s="1">
        <v>298</v>
      </c>
      <c r="O448" s="1">
        <v>0</v>
      </c>
      <c r="P448" s="1">
        <v>0</v>
      </c>
      <c r="Q448" s="55">
        <f>SUM(N448:P448)</f>
        <v>298</v>
      </c>
      <c r="R448" s="55">
        <f>+E448+I448+M448+Q448</f>
        <v>500</v>
      </c>
    </row>
    <row r="449" spans="1:18" ht="15.75" customHeight="1" x14ac:dyDescent="0.3">
      <c r="A449" s="15" t="s">
        <v>70</v>
      </c>
      <c r="B449" s="1"/>
      <c r="C449" s="1"/>
      <c r="D449" s="1"/>
      <c r="E449" s="55"/>
      <c r="F449" s="1"/>
      <c r="G449" s="1"/>
      <c r="H449" s="1"/>
      <c r="I449" s="55"/>
      <c r="J449" s="1"/>
      <c r="K449" s="1"/>
      <c r="L449" s="1"/>
      <c r="M449" s="55"/>
      <c r="N449" s="1"/>
      <c r="O449" s="1"/>
      <c r="P449" s="1"/>
      <c r="Q449" s="55"/>
      <c r="R449" s="55" t="s">
        <v>7</v>
      </c>
    </row>
    <row r="450" spans="1:18" ht="15.75" customHeight="1" x14ac:dyDescent="0.3">
      <c r="A450" s="71" t="s">
        <v>748</v>
      </c>
      <c r="B450" s="1">
        <v>0</v>
      </c>
      <c r="C450" s="1">
        <v>0</v>
      </c>
      <c r="D450" s="1">
        <v>0</v>
      </c>
      <c r="E450" s="55">
        <f t="shared" ref="E450:E456" si="85">SUM(B450:D450)</f>
        <v>0</v>
      </c>
      <c r="F450" s="1">
        <v>0</v>
      </c>
      <c r="G450" s="1">
        <v>0</v>
      </c>
      <c r="H450" s="1">
        <v>0</v>
      </c>
      <c r="I450" s="55">
        <f t="shared" ref="I450:I456" si="86">SUM(F450:H450)</f>
        <v>0</v>
      </c>
      <c r="J450" s="1">
        <v>0</v>
      </c>
      <c r="K450" s="1">
        <v>3761</v>
      </c>
      <c r="L450" s="1">
        <v>1956</v>
      </c>
      <c r="M450" s="55">
        <f t="shared" ref="M450:M456" si="87">SUM(J450:L450)</f>
        <v>5717</v>
      </c>
      <c r="N450" s="1">
        <v>90</v>
      </c>
      <c r="O450" s="1">
        <v>20</v>
      </c>
      <c r="P450" s="1">
        <v>0</v>
      </c>
      <c r="Q450" s="55">
        <f t="shared" ref="Q450:Q456" si="88">SUM(N450:P450)</f>
        <v>110</v>
      </c>
      <c r="R450" s="55">
        <f t="shared" ref="R450:R456" si="89">+E450+I450+M450+Q450</f>
        <v>5827</v>
      </c>
    </row>
    <row r="451" spans="1:18" ht="15.75" customHeight="1" x14ac:dyDescent="0.3">
      <c r="A451" s="71" t="s">
        <v>749</v>
      </c>
      <c r="B451" s="1">
        <v>0</v>
      </c>
      <c r="C451" s="1">
        <v>0</v>
      </c>
      <c r="D451" s="1">
        <v>0</v>
      </c>
      <c r="E451" s="55">
        <f>SUM(B451:D451)</f>
        <v>0</v>
      </c>
      <c r="F451" s="1">
        <v>0</v>
      </c>
      <c r="G451" s="1">
        <v>0</v>
      </c>
      <c r="H451" s="1">
        <v>0</v>
      </c>
      <c r="I451" s="55">
        <f>SUM(F451:H451)</f>
        <v>0</v>
      </c>
      <c r="J451" s="1">
        <v>0</v>
      </c>
      <c r="K451" s="1">
        <v>0</v>
      </c>
      <c r="L451" s="1">
        <v>0</v>
      </c>
      <c r="M451" s="55">
        <f>SUM(J451:L451)</f>
        <v>0</v>
      </c>
      <c r="N451" s="1">
        <v>0</v>
      </c>
      <c r="O451" s="1">
        <v>0</v>
      </c>
      <c r="P451" s="1">
        <v>0</v>
      </c>
      <c r="Q451" s="55">
        <f>SUM(N451:P451)</f>
        <v>0</v>
      </c>
      <c r="R451" s="55">
        <f>+E451+I451+M451+Q451</f>
        <v>0</v>
      </c>
    </row>
    <row r="452" spans="1:18" ht="15.75" customHeight="1" thickBot="1" x14ac:dyDescent="0.35">
      <c r="A452" s="71" t="s">
        <v>761</v>
      </c>
      <c r="B452" s="1">
        <v>0</v>
      </c>
      <c r="C452" s="1">
        <v>0</v>
      </c>
      <c r="D452" s="1">
        <v>0</v>
      </c>
      <c r="E452" s="55">
        <f t="shared" si="85"/>
        <v>0</v>
      </c>
      <c r="F452" s="1">
        <v>0</v>
      </c>
      <c r="G452" s="1">
        <v>500</v>
      </c>
      <c r="H452" s="1">
        <v>500</v>
      </c>
      <c r="I452" s="55">
        <f t="shared" si="86"/>
        <v>1000</v>
      </c>
      <c r="J452" s="1">
        <v>0</v>
      </c>
      <c r="K452" s="1">
        <v>0</v>
      </c>
      <c r="L452" s="1">
        <v>0</v>
      </c>
      <c r="M452" s="55">
        <f t="shared" si="87"/>
        <v>0</v>
      </c>
      <c r="N452" s="1">
        <v>77</v>
      </c>
      <c r="O452" s="1">
        <v>0</v>
      </c>
      <c r="P452" s="1">
        <v>0</v>
      </c>
      <c r="Q452" s="55">
        <f t="shared" si="88"/>
        <v>77</v>
      </c>
      <c r="R452" s="55">
        <f t="shared" si="89"/>
        <v>1077</v>
      </c>
    </row>
    <row r="453" spans="1:18" ht="16.5" customHeight="1" thickBot="1" x14ac:dyDescent="0.35">
      <c r="A453" s="57" t="s">
        <v>71</v>
      </c>
      <c r="B453" s="58">
        <f>SUM(B447:B452)</f>
        <v>0</v>
      </c>
      <c r="C453" s="58">
        <f>SUM(C447:C452)</f>
        <v>0</v>
      </c>
      <c r="D453" s="58">
        <f>SUM(D447:D452)</f>
        <v>0</v>
      </c>
      <c r="E453" s="60">
        <f t="shared" si="85"/>
        <v>0</v>
      </c>
      <c r="F453" s="58">
        <f>SUM(F447:F452)</f>
        <v>0</v>
      </c>
      <c r="G453" s="58">
        <f>SUM(G447:G452)</f>
        <v>500</v>
      </c>
      <c r="H453" s="58">
        <f>SUM(H447:H452)</f>
        <v>500</v>
      </c>
      <c r="I453" s="60">
        <f t="shared" si="86"/>
        <v>1000</v>
      </c>
      <c r="J453" s="58">
        <f>SUM(J447:J452)</f>
        <v>0</v>
      </c>
      <c r="K453" s="58">
        <f>SUM(K447:K452)</f>
        <v>3761</v>
      </c>
      <c r="L453" s="58">
        <f>SUM(L447:L452)</f>
        <v>2158</v>
      </c>
      <c r="M453" s="60">
        <f t="shared" si="87"/>
        <v>5919</v>
      </c>
      <c r="N453" s="58">
        <f>SUM(N447:N452)</f>
        <v>465</v>
      </c>
      <c r="O453" s="58">
        <f>SUM(O447:O452)</f>
        <v>20</v>
      </c>
      <c r="P453" s="58">
        <f>SUM(P447:P452)</f>
        <v>0</v>
      </c>
      <c r="Q453" s="60">
        <f t="shared" si="88"/>
        <v>485</v>
      </c>
      <c r="R453" s="59">
        <f t="shared" si="89"/>
        <v>7404</v>
      </c>
    </row>
    <row r="454" spans="1:18" ht="16.5" customHeight="1" thickBot="1" x14ac:dyDescent="0.35">
      <c r="A454" s="114" t="s">
        <v>72</v>
      </c>
      <c r="B454" s="86">
        <f>SUM(B444:B452)</f>
        <v>0</v>
      </c>
      <c r="C454" s="87">
        <f>SUM(C444:C452)</f>
        <v>0</v>
      </c>
      <c r="D454" s="118">
        <f>SUM(D444:D452)</f>
        <v>0</v>
      </c>
      <c r="E454" s="60">
        <f t="shared" si="85"/>
        <v>0</v>
      </c>
      <c r="F454" s="87">
        <f>SUM(F444:F452)</f>
        <v>0</v>
      </c>
      <c r="G454" s="87">
        <f>SUM(G444:G452)</f>
        <v>500</v>
      </c>
      <c r="H454" s="87">
        <f>SUM(H444:H452)</f>
        <v>500</v>
      </c>
      <c r="I454" s="60">
        <f t="shared" si="86"/>
        <v>1000</v>
      </c>
      <c r="J454" s="87">
        <f>SUM(J444:J452)</f>
        <v>0</v>
      </c>
      <c r="K454" s="87">
        <f>SUM(K444:K452)</f>
        <v>3761</v>
      </c>
      <c r="L454" s="87">
        <f>SUM(L444:L452)</f>
        <v>2158</v>
      </c>
      <c r="M454" s="60">
        <f t="shared" si="87"/>
        <v>5919</v>
      </c>
      <c r="N454" s="87">
        <f>SUM(N444:N452)</f>
        <v>465</v>
      </c>
      <c r="O454" s="87">
        <f>SUM(O444:O452)</f>
        <v>20</v>
      </c>
      <c r="P454" s="87">
        <f>SUM(P444:P452)</f>
        <v>0</v>
      </c>
      <c r="Q454" s="60">
        <f t="shared" si="88"/>
        <v>485</v>
      </c>
      <c r="R454" s="59">
        <f t="shared" si="89"/>
        <v>7404</v>
      </c>
    </row>
    <row r="455" spans="1:18" ht="16.5" customHeight="1" thickBot="1" x14ac:dyDescent="0.35">
      <c r="A455" s="57" t="s">
        <v>73</v>
      </c>
      <c r="B455" s="90">
        <f>+B433+B439+B443+B454</f>
        <v>381</v>
      </c>
      <c r="C455" s="58">
        <f>+C433+C439+C443+C454</f>
        <v>670</v>
      </c>
      <c r="D455" s="58">
        <f>+D433+D439+D443+D454</f>
        <v>4275</v>
      </c>
      <c r="E455" s="59">
        <f t="shared" si="85"/>
        <v>5326</v>
      </c>
      <c r="F455" s="58">
        <f>+F433+F439+F443+F454</f>
        <v>4917</v>
      </c>
      <c r="G455" s="58">
        <f>+G433+G439+G443+G454</f>
        <v>6250</v>
      </c>
      <c r="H455" s="58">
        <f>+H433+H439+H443+H454</f>
        <v>8739</v>
      </c>
      <c r="I455" s="59">
        <f t="shared" si="86"/>
        <v>19906</v>
      </c>
      <c r="J455" s="58">
        <f>+J433+J439+J443+J454</f>
        <v>10830</v>
      </c>
      <c r="K455" s="58">
        <f>+K433+K439+K443+K454</f>
        <v>5199</v>
      </c>
      <c r="L455" s="58">
        <f>+L433+L439+L443+L454</f>
        <v>3341</v>
      </c>
      <c r="M455" s="59">
        <f t="shared" si="87"/>
        <v>19370</v>
      </c>
      <c r="N455" s="58">
        <f>+N433+N439+N443+N454</f>
        <v>465</v>
      </c>
      <c r="O455" s="58">
        <f>+O433+O439+O443+O454</f>
        <v>20</v>
      </c>
      <c r="P455" s="58">
        <f>+P433+P439+P443+P454</f>
        <v>0</v>
      </c>
      <c r="Q455" s="59">
        <f t="shared" si="88"/>
        <v>485</v>
      </c>
      <c r="R455" s="81">
        <f t="shared" si="89"/>
        <v>45087</v>
      </c>
    </row>
    <row r="456" spans="1:18" ht="16.5" customHeight="1" thickBot="1" x14ac:dyDescent="0.35">
      <c r="A456" s="39" t="s">
        <v>40</v>
      </c>
      <c r="B456" s="21">
        <v>23</v>
      </c>
      <c r="C456" s="21">
        <v>43</v>
      </c>
      <c r="D456" s="21">
        <v>66</v>
      </c>
      <c r="E456" s="81">
        <f t="shared" si="85"/>
        <v>132</v>
      </c>
      <c r="F456" s="21">
        <v>91</v>
      </c>
      <c r="G456" s="21">
        <v>108</v>
      </c>
      <c r="H456" s="21">
        <v>109</v>
      </c>
      <c r="I456" s="81">
        <f t="shared" si="86"/>
        <v>308</v>
      </c>
      <c r="J456" s="21">
        <v>104</v>
      </c>
      <c r="K456" s="21">
        <v>79</v>
      </c>
      <c r="L456" s="21">
        <v>80</v>
      </c>
      <c r="M456" s="81">
        <f t="shared" si="87"/>
        <v>263</v>
      </c>
      <c r="N456" s="21">
        <v>74</v>
      </c>
      <c r="O456" s="21">
        <v>58</v>
      </c>
      <c r="P456" s="21">
        <v>42</v>
      </c>
      <c r="Q456" s="81">
        <f t="shared" si="88"/>
        <v>174</v>
      </c>
      <c r="R456" s="55">
        <f t="shared" si="89"/>
        <v>877</v>
      </c>
    </row>
    <row r="457" spans="1:18" ht="16.5" customHeight="1" thickBot="1" x14ac:dyDescent="0.35">
      <c r="A457" s="41"/>
      <c r="B457" s="36"/>
      <c r="C457" s="36"/>
      <c r="D457" s="36"/>
      <c r="E457" s="42"/>
      <c r="F457" s="36"/>
      <c r="G457" s="36"/>
      <c r="H457" s="36"/>
      <c r="I457" s="126"/>
      <c r="J457" s="36"/>
      <c r="K457" s="36"/>
      <c r="L457" s="36"/>
      <c r="M457" s="126"/>
      <c r="N457" s="36"/>
      <c r="O457" s="36"/>
      <c r="P457" s="36"/>
      <c r="Q457" s="126"/>
      <c r="R457" s="42"/>
    </row>
    <row r="458" spans="1:18" ht="15.75" customHeight="1" x14ac:dyDescent="0.3">
      <c r="A458" s="15" t="s">
        <v>314</v>
      </c>
      <c r="B458" s="77">
        <f>SUM(B455:B456)</f>
        <v>404</v>
      </c>
      <c r="C458" s="77">
        <f>SUM(C455:C456)</f>
        <v>713</v>
      </c>
      <c r="D458" s="77">
        <f>SUM(D455:D456)</f>
        <v>4341</v>
      </c>
      <c r="E458" s="60">
        <f>SUM(B458:D458)</f>
        <v>5458</v>
      </c>
      <c r="F458" s="77">
        <f>SUM(F455:F456)</f>
        <v>5008</v>
      </c>
      <c r="G458" s="77">
        <f>SUM(G455:G456)</f>
        <v>6358</v>
      </c>
      <c r="H458" s="77">
        <f>SUM(H455:H456)</f>
        <v>8848</v>
      </c>
      <c r="I458" s="60">
        <f>SUM(F458:H458)</f>
        <v>20214</v>
      </c>
      <c r="J458" s="77">
        <f>SUM(J455:J456)</f>
        <v>10934</v>
      </c>
      <c r="K458" s="77">
        <f>SUM(K455:K456)</f>
        <v>5278</v>
      </c>
      <c r="L458" s="77">
        <f>SUM(L455:L456)</f>
        <v>3421</v>
      </c>
      <c r="M458" s="60">
        <f>SUM(J458:L458)</f>
        <v>19633</v>
      </c>
      <c r="N458" s="77">
        <f>SUM(N455:N456)</f>
        <v>539</v>
      </c>
      <c r="O458" s="77">
        <f>SUM(O455:O456)</f>
        <v>78</v>
      </c>
      <c r="P458" s="77">
        <f>SUM(P455:P456)</f>
        <v>42</v>
      </c>
      <c r="Q458" s="60">
        <f>SUM(N458:P458)</f>
        <v>659</v>
      </c>
      <c r="R458" s="60">
        <f>+E458+I458+M458+Q458</f>
        <v>45964</v>
      </c>
    </row>
    <row r="459" spans="1:18" ht="15.75" customHeight="1" x14ac:dyDescent="0.3">
      <c r="A459" s="15" t="s">
        <v>42</v>
      </c>
      <c r="B459" s="1">
        <f>(B458/31)/1.983</f>
        <v>6.5719909553787845</v>
      </c>
      <c r="C459" s="1">
        <f>(C458/28)/1.983</f>
        <v>12.841293854909589</v>
      </c>
      <c r="D459" s="1">
        <f>(D458/31)/1.983</f>
        <v>70.616368161631925</v>
      </c>
      <c r="E459" s="55" t="s">
        <v>7</v>
      </c>
      <c r="F459" s="1">
        <f>(F458/30)/1.983</f>
        <v>84.182215498403096</v>
      </c>
      <c r="G459" s="1">
        <f>(G458/31)/1.983</f>
        <v>103.42752102549086</v>
      </c>
      <c r="H459" s="1">
        <f>(H458/30)/1.983</f>
        <v>148.73087913935115</v>
      </c>
      <c r="I459" s="55" t="s">
        <v>7</v>
      </c>
      <c r="J459" s="1">
        <f>(J458/31)/1.983</f>
        <v>177.86670570819709</v>
      </c>
      <c r="K459" s="1">
        <f>(K458/31)/1.983</f>
        <v>85.85883233289411</v>
      </c>
      <c r="L459" s="1">
        <f>(L458/30)/1.983</f>
        <v>57.505463103042523</v>
      </c>
      <c r="M459" s="55" t="s">
        <v>7</v>
      </c>
      <c r="N459" s="1">
        <f>(N458/31)/1.983</f>
        <v>8.7680770419533776</v>
      </c>
      <c r="O459" s="1">
        <f>(O458/30)/1.983</f>
        <v>1.3111447302067574</v>
      </c>
      <c r="P459" s="1">
        <f>(P458/31)/1.983</f>
        <v>0.68322678248987356</v>
      </c>
      <c r="Q459" s="55" t="s">
        <v>7</v>
      </c>
      <c r="R459" s="55" t="s">
        <v>7</v>
      </c>
    </row>
    <row r="460" spans="1:18" ht="15.75" customHeight="1" x14ac:dyDescent="0.3">
      <c r="A460" s="15" t="s">
        <v>315</v>
      </c>
      <c r="B460" s="1">
        <f>B458+B512</f>
        <v>20901</v>
      </c>
      <c r="C460" s="1">
        <f>C458+C512</f>
        <v>22469</v>
      </c>
      <c r="D460" s="1">
        <f>D458+D512</f>
        <v>24520</v>
      </c>
      <c r="E460" s="55">
        <f>SUM(B460:D460)</f>
        <v>67890</v>
      </c>
      <c r="F460" s="1">
        <f>F458+F512</f>
        <v>28892</v>
      </c>
      <c r="G460" s="1">
        <f>G458+G512</f>
        <v>27107</v>
      </c>
      <c r="H460" s="1">
        <f>H458+H512</f>
        <v>22329</v>
      </c>
      <c r="I460" s="55">
        <f>SUM(F460:H460)</f>
        <v>78328</v>
      </c>
      <c r="J460" s="1">
        <f>J458+J512</f>
        <v>28510</v>
      </c>
      <c r="K460" s="1">
        <f>K458+K512</f>
        <v>29402</v>
      </c>
      <c r="L460" s="1">
        <f>L458+L512</f>
        <v>24427</v>
      </c>
      <c r="M460" s="55">
        <f>SUM(J460:L460)</f>
        <v>82339</v>
      </c>
      <c r="N460" s="1">
        <f>N458+N512</f>
        <v>16860</v>
      </c>
      <c r="O460" s="1">
        <f>O458+O512</f>
        <v>7542</v>
      </c>
      <c r="P460" s="1">
        <f>P458+P512</f>
        <v>13087</v>
      </c>
      <c r="Q460" s="55">
        <f>SUM(N460:P460)</f>
        <v>37489</v>
      </c>
      <c r="R460" s="55">
        <f>+E460+I460+M460+Q460</f>
        <v>266046</v>
      </c>
    </row>
    <row r="461" spans="1:18" ht="16.5" customHeight="1" thickBot="1" x14ac:dyDescent="0.35">
      <c r="A461" s="20" t="s">
        <v>316</v>
      </c>
      <c r="B461" s="25">
        <f>(B460/31)/1.983</f>
        <v>340.00292811478209</v>
      </c>
      <c r="C461" s="25">
        <f>(C460/28)/1.983</f>
        <v>404.67185361285203</v>
      </c>
      <c r="D461" s="25">
        <f>(D460/31)/1.983</f>
        <v>398.87430253932621</v>
      </c>
      <c r="E461" s="81" t="s">
        <v>7</v>
      </c>
      <c r="F461" s="25">
        <f>(F460/30)/1.983</f>
        <v>485.66145570684148</v>
      </c>
      <c r="G461" s="25">
        <f>(G460/31)/1.983</f>
        <v>440.95781887983338</v>
      </c>
      <c r="H461" s="25">
        <f>(H460/30)/1.983</f>
        <v>375.34039334341901</v>
      </c>
      <c r="I461" s="81" t="s">
        <v>7</v>
      </c>
      <c r="J461" s="25">
        <f>(J460/31)/1.983</f>
        <v>463.78084687586414</v>
      </c>
      <c r="K461" s="25">
        <f>(K460/31)/1.983</f>
        <v>478.29128235160152</v>
      </c>
      <c r="L461" s="25">
        <f>(L460/30)/1.983</f>
        <v>410.60682467641618</v>
      </c>
      <c r="M461" s="81" t="s">
        <v>7</v>
      </c>
      <c r="N461" s="25">
        <f>(N460/31)/1.983</f>
        <v>274.26675125664923</v>
      </c>
      <c r="O461" s="25">
        <f>(O460/30)/1.983</f>
        <v>126.77760968229954</v>
      </c>
      <c r="P461" s="25">
        <f>(P460/31)/1.983</f>
        <v>212.89021196297563</v>
      </c>
      <c r="Q461" s="81" t="s">
        <v>7</v>
      </c>
      <c r="R461" s="81" t="s">
        <v>7</v>
      </c>
    </row>
    <row r="462" spans="1:18" ht="15.75" customHeight="1" x14ac:dyDescent="0.3">
      <c r="A462" s="2"/>
      <c r="B462" s="1"/>
      <c r="C462" s="1"/>
      <c r="D462" s="1"/>
      <c r="E462" s="1"/>
      <c r="F462" s="1"/>
      <c r="G462" s="1"/>
      <c r="H462" s="1"/>
      <c r="I462" s="1"/>
      <c r="J462" s="1"/>
      <c r="K462" s="1"/>
      <c r="L462" s="1"/>
      <c r="M462" s="1"/>
      <c r="N462" s="1"/>
      <c r="O462" s="1"/>
      <c r="P462" s="1"/>
      <c r="Q462" s="1"/>
      <c r="R462" s="2"/>
    </row>
    <row r="463" spans="1:18" ht="15.75" customHeight="1" thickBot="1" x14ac:dyDescent="0.35">
      <c r="A463" s="2"/>
      <c r="B463" s="1"/>
      <c r="C463" s="1"/>
      <c r="D463" s="1"/>
      <c r="E463" s="1"/>
      <c r="F463" s="1"/>
      <c r="G463" s="1"/>
      <c r="H463" s="1"/>
      <c r="I463" s="1"/>
      <c r="J463" s="1"/>
      <c r="K463" s="1"/>
      <c r="L463" s="1"/>
      <c r="M463" s="1"/>
      <c r="N463" s="1"/>
      <c r="O463" s="1"/>
      <c r="P463" s="1"/>
      <c r="Q463" s="1"/>
      <c r="R463" s="2"/>
    </row>
    <row r="464" spans="1:18" ht="16.5" customHeight="1" thickBot="1" x14ac:dyDescent="0.35">
      <c r="A464" s="124" t="s">
        <v>317</v>
      </c>
      <c r="B464" s="30" t="s">
        <v>8</v>
      </c>
      <c r="C464" s="31" t="s">
        <v>9</v>
      </c>
      <c r="D464" s="31" t="s">
        <v>10</v>
      </c>
      <c r="E464" s="32" t="s">
        <v>11</v>
      </c>
      <c r="F464" s="31" t="s">
        <v>12</v>
      </c>
      <c r="G464" s="31" t="s">
        <v>13</v>
      </c>
      <c r="H464" s="31" t="s">
        <v>14</v>
      </c>
      <c r="I464" s="33" t="s">
        <v>15</v>
      </c>
      <c r="J464" s="31" t="s">
        <v>16</v>
      </c>
      <c r="K464" s="31" t="s">
        <v>17</v>
      </c>
      <c r="L464" s="31" t="s">
        <v>18</v>
      </c>
      <c r="M464" s="33" t="s">
        <v>19</v>
      </c>
      <c r="N464" s="31" t="s">
        <v>20</v>
      </c>
      <c r="O464" s="31" t="s">
        <v>21</v>
      </c>
      <c r="P464" s="31" t="s">
        <v>22</v>
      </c>
      <c r="Q464" s="33" t="s">
        <v>23</v>
      </c>
      <c r="R464" s="34" t="s">
        <v>24</v>
      </c>
    </row>
    <row r="465" spans="1:18" ht="16.5" customHeight="1" thickBot="1" x14ac:dyDescent="0.35">
      <c r="A465" s="59"/>
      <c r="B465" s="75"/>
      <c r="C465" s="75"/>
      <c r="D465" s="75"/>
      <c r="E465" s="69"/>
      <c r="F465" s="75"/>
      <c r="G465" s="75"/>
      <c r="H465" s="75"/>
      <c r="I465" s="82"/>
      <c r="J465" s="75"/>
      <c r="K465" s="75"/>
      <c r="L465" s="75"/>
      <c r="M465" s="82"/>
      <c r="N465" s="75"/>
      <c r="O465" s="75"/>
      <c r="P465" s="75"/>
      <c r="Q465" s="82"/>
      <c r="R465" s="100"/>
    </row>
    <row r="466" spans="1:18" ht="15.75" customHeight="1" x14ac:dyDescent="0.3">
      <c r="A466" s="15" t="s">
        <v>48</v>
      </c>
      <c r="B466" s="1" t="s">
        <v>7</v>
      </c>
      <c r="C466" s="1" t="s">
        <v>7</v>
      </c>
      <c r="D466" s="1" t="s">
        <v>7</v>
      </c>
      <c r="E466" s="55" t="s">
        <v>7</v>
      </c>
      <c r="F466" s="1" t="s">
        <v>7</v>
      </c>
      <c r="G466" s="1" t="s">
        <v>7</v>
      </c>
      <c r="H466" s="1" t="s">
        <v>7</v>
      </c>
      <c r="I466" s="55" t="s">
        <v>7</v>
      </c>
      <c r="J466" s="1" t="s">
        <v>7</v>
      </c>
      <c r="K466" s="1" t="s">
        <v>7</v>
      </c>
      <c r="L466" s="1" t="s">
        <v>7</v>
      </c>
      <c r="M466" s="55" t="s">
        <v>7</v>
      </c>
      <c r="N466" s="1" t="s">
        <v>7</v>
      </c>
      <c r="O466" s="1" t="s">
        <v>7</v>
      </c>
      <c r="P466" s="1" t="s">
        <v>7</v>
      </c>
      <c r="Q466" s="55" t="s">
        <v>7</v>
      </c>
      <c r="R466" s="55" t="s">
        <v>7</v>
      </c>
    </row>
    <row r="467" spans="1:18" ht="15.75" customHeight="1" x14ac:dyDescent="0.3">
      <c r="A467" s="15" t="s">
        <v>49</v>
      </c>
      <c r="B467" s="1"/>
      <c r="C467" s="1"/>
      <c r="D467" s="1"/>
      <c r="E467" s="55" t="s">
        <v>7</v>
      </c>
      <c r="F467" s="1"/>
      <c r="G467" s="1"/>
      <c r="H467" s="1"/>
      <c r="I467" s="55" t="s">
        <v>7</v>
      </c>
      <c r="J467" s="1"/>
      <c r="K467" s="1"/>
      <c r="L467" s="1"/>
      <c r="M467" s="55" t="s">
        <v>7</v>
      </c>
      <c r="N467" s="1"/>
      <c r="O467" s="1"/>
      <c r="P467" s="1"/>
      <c r="Q467" s="55" t="s">
        <v>7</v>
      </c>
      <c r="R467" s="55" t="s">
        <v>7</v>
      </c>
    </row>
    <row r="468" spans="1:18" ht="15.75" customHeight="1" x14ac:dyDescent="0.3">
      <c r="A468" s="71" t="s">
        <v>762</v>
      </c>
      <c r="B468" s="1">
        <v>694</v>
      </c>
      <c r="C468" s="1">
        <v>724</v>
      </c>
      <c r="D468" s="1">
        <v>837</v>
      </c>
      <c r="E468" s="55">
        <f t="shared" ref="E468:E474" si="90">SUM(B468:D468)</f>
        <v>2255</v>
      </c>
      <c r="F468" s="1">
        <v>679</v>
      </c>
      <c r="G468" s="1">
        <v>341</v>
      </c>
      <c r="H468" s="1">
        <v>656</v>
      </c>
      <c r="I468" s="55">
        <f t="shared" ref="I468:I474" si="91">SUM(F468:H468)</f>
        <v>1676</v>
      </c>
      <c r="J468" s="1">
        <v>639</v>
      </c>
      <c r="K468" s="1">
        <v>593</v>
      </c>
      <c r="L468" s="1">
        <v>699</v>
      </c>
      <c r="M468" s="55">
        <f t="shared" ref="M468:M474" si="92">SUM(J468:L468)</f>
        <v>1931</v>
      </c>
      <c r="N468" s="1">
        <v>203</v>
      </c>
      <c r="O468" s="1">
        <v>0</v>
      </c>
      <c r="P468" s="1">
        <v>0</v>
      </c>
      <c r="Q468" s="55">
        <f t="shared" ref="Q468:Q474" si="93">SUM(N468:P468)</f>
        <v>203</v>
      </c>
      <c r="R468" s="55">
        <f t="shared" ref="R468:R474" si="94">+E468+I468+M468+Q468</f>
        <v>6065</v>
      </c>
    </row>
    <row r="469" spans="1:18" ht="15.75" customHeight="1" x14ac:dyDescent="0.3">
      <c r="A469" s="71" t="s">
        <v>320</v>
      </c>
      <c r="B469" s="1">
        <v>0</v>
      </c>
      <c r="C469" s="1">
        <v>0</v>
      </c>
      <c r="D469" s="1">
        <v>100</v>
      </c>
      <c r="E469" s="55">
        <f>SUM(B469:D469)</f>
        <v>100</v>
      </c>
      <c r="F469" s="1">
        <v>0</v>
      </c>
      <c r="G469" s="1">
        <v>0</v>
      </c>
      <c r="H469" s="1">
        <v>0</v>
      </c>
      <c r="I469" s="55">
        <f>SUM(F469:H469)</f>
        <v>0</v>
      </c>
      <c r="J469" s="1">
        <v>0</v>
      </c>
      <c r="K469" s="1">
        <v>0</v>
      </c>
      <c r="L469" s="1">
        <v>0</v>
      </c>
      <c r="M469" s="55">
        <f>SUM(J469:L469)</f>
        <v>0</v>
      </c>
      <c r="N469" s="1">
        <v>0</v>
      </c>
      <c r="O469" s="1">
        <v>0</v>
      </c>
      <c r="P469" s="1">
        <v>0</v>
      </c>
      <c r="Q469" s="55">
        <f>SUM(N469:P469)</f>
        <v>0</v>
      </c>
      <c r="R469" s="55">
        <f>+E469+I469+M469+Q469</f>
        <v>100</v>
      </c>
    </row>
    <row r="470" spans="1:18" ht="15.75" customHeight="1" x14ac:dyDescent="0.3">
      <c r="A470" s="71" t="s">
        <v>318</v>
      </c>
      <c r="B470" s="1">
        <v>0</v>
      </c>
      <c r="C470" s="1">
        <v>0</v>
      </c>
      <c r="D470" s="1">
        <v>32</v>
      </c>
      <c r="E470" s="55">
        <f t="shared" si="90"/>
        <v>32</v>
      </c>
      <c r="F470" s="1">
        <v>1619</v>
      </c>
      <c r="G470" s="1">
        <v>401</v>
      </c>
      <c r="H470" s="1">
        <v>370</v>
      </c>
      <c r="I470" s="55">
        <f t="shared" si="91"/>
        <v>2390</v>
      </c>
      <c r="J470" s="1">
        <v>668</v>
      </c>
      <c r="K470" s="1">
        <v>239</v>
      </c>
      <c r="L470" s="1">
        <v>0</v>
      </c>
      <c r="M470" s="55">
        <f t="shared" si="92"/>
        <v>907</v>
      </c>
      <c r="N470" s="1">
        <v>0</v>
      </c>
      <c r="O470" s="1">
        <v>0</v>
      </c>
      <c r="P470" s="1">
        <v>0</v>
      </c>
      <c r="Q470" s="55">
        <f t="shared" si="93"/>
        <v>0</v>
      </c>
      <c r="R470" s="55">
        <f t="shared" si="94"/>
        <v>3329</v>
      </c>
    </row>
    <row r="471" spans="1:18" ht="15.75" customHeight="1" x14ac:dyDescent="0.3">
      <c r="A471" s="71" t="s">
        <v>763</v>
      </c>
      <c r="B471" s="1">
        <v>0</v>
      </c>
      <c r="C471" s="1">
        <v>0</v>
      </c>
      <c r="D471" s="1">
        <v>0</v>
      </c>
      <c r="E471" s="55">
        <f>SUM(B471:D471)</f>
        <v>0</v>
      </c>
      <c r="F471" s="1">
        <v>0</v>
      </c>
      <c r="G471" s="1">
        <v>0</v>
      </c>
      <c r="H471" s="1">
        <v>0</v>
      </c>
      <c r="I471" s="55">
        <f>SUM(F471:H471)</f>
        <v>0</v>
      </c>
      <c r="J471" s="1">
        <v>0</v>
      </c>
      <c r="K471" s="1">
        <v>0</v>
      </c>
      <c r="L471" s="1">
        <v>0</v>
      </c>
      <c r="M471" s="55">
        <f>SUM(J471:L471)</f>
        <v>0</v>
      </c>
      <c r="N471" s="1">
        <v>0</v>
      </c>
      <c r="O471" s="1">
        <v>0</v>
      </c>
      <c r="P471" s="1">
        <v>0</v>
      </c>
      <c r="Q471" s="55">
        <f>SUM(N471:P471)</f>
        <v>0</v>
      </c>
      <c r="R471" s="55">
        <f>+E471+I471+M471+Q471</f>
        <v>0</v>
      </c>
    </row>
    <row r="472" spans="1:18" ht="15.75" customHeight="1" x14ac:dyDescent="0.3">
      <c r="A472" s="71" t="s">
        <v>572</v>
      </c>
      <c r="B472" s="1">
        <v>1000</v>
      </c>
      <c r="C472" s="1">
        <v>500</v>
      </c>
      <c r="D472" s="1">
        <v>1000</v>
      </c>
      <c r="E472" s="55">
        <f t="shared" si="90"/>
        <v>2500</v>
      </c>
      <c r="F472" s="1">
        <v>0</v>
      </c>
      <c r="G472" s="1">
        <v>0</v>
      </c>
      <c r="H472" s="1">
        <v>0</v>
      </c>
      <c r="I472" s="55">
        <f t="shared" si="91"/>
        <v>0</v>
      </c>
      <c r="J472" s="1">
        <v>0</v>
      </c>
      <c r="K472" s="1">
        <v>0</v>
      </c>
      <c r="L472" s="1">
        <v>0</v>
      </c>
      <c r="M472" s="55">
        <f t="shared" si="92"/>
        <v>0</v>
      </c>
      <c r="N472" s="1">
        <v>0</v>
      </c>
      <c r="O472" s="1">
        <v>0</v>
      </c>
      <c r="P472" s="1">
        <v>0</v>
      </c>
      <c r="Q472" s="55">
        <f t="shared" si="93"/>
        <v>0</v>
      </c>
      <c r="R472" s="55">
        <f t="shared" si="94"/>
        <v>2500</v>
      </c>
    </row>
    <row r="473" spans="1:18" x14ac:dyDescent="0.3">
      <c r="A473" s="71" t="s">
        <v>319</v>
      </c>
      <c r="B473" s="1">
        <v>0</v>
      </c>
      <c r="C473" s="1">
        <v>0</v>
      </c>
      <c r="D473" s="1">
        <v>0</v>
      </c>
      <c r="E473" s="55">
        <f t="shared" si="90"/>
        <v>0</v>
      </c>
      <c r="F473" s="1">
        <v>0</v>
      </c>
      <c r="G473" s="1">
        <v>0</v>
      </c>
      <c r="H473" s="1">
        <v>0</v>
      </c>
      <c r="I473" s="55">
        <f t="shared" si="91"/>
        <v>0</v>
      </c>
      <c r="J473" s="1">
        <v>1214</v>
      </c>
      <c r="K473" s="1">
        <v>586</v>
      </c>
      <c r="L473" s="1">
        <v>0</v>
      </c>
      <c r="M473" s="55">
        <f t="shared" si="92"/>
        <v>1800</v>
      </c>
      <c r="N473" s="1">
        <v>0</v>
      </c>
      <c r="O473" s="1">
        <v>0</v>
      </c>
      <c r="P473" s="1">
        <v>0</v>
      </c>
      <c r="Q473" s="55">
        <f t="shared" si="93"/>
        <v>0</v>
      </c>
      <c r="R473" s="55">
        <f t="shared" si="94"/>
        <v>1800</v>
      </c>
    </row>
    <row r="474" spans="1:18" ht="15.75" customHeight="1" x14ac:dyDescent="0.3">
      <c r="A474" s="71" t="s">
        <v>321</v>
      </c>
      <c r="B474" s="1">
        <v>1000</v>
      </c>
      <c r="C474" s="1">
        <v>528</v>
      </c>
      <c r="D474" s="1">
        <v>0</v>
      </c>
      <c r="E474" s="55">
        <f t="shared" si="90"/>
        <v>1528</v>
      </c>
      <c r="F474" s="1">
        <v>0</v>
      </c>
      <c r="G474" s="1">
        <v>0</v>
      </c>
      <c r="H474" s="1">
        <v>0</v>
      </c>
      <c r="I474" s="55">
        <f t="shared" si="91"/>
        <v>0</v>
      </c>
      <c r="J474" s="1">
        <v>0</v>
      </c>
      <c r="K474" s="1">
        <v>0</v>
      </c>
      <c r="L474" s="1">
        <v>0</v>
      </c>
      <c r="M474" s="55">
        <f t="shared" si="92"/>
        <v>0</v>
      </c>
      <c r="N474" s="1">
        <v>0</v>
      </c>
      <c r="O474" s="1">
        <v>0</v>
      </c>
      <c r="P474" s="1">
        <v>0</v>
      </c>
      <c r="Q474" s="55">
        <f t="shared" si="93"/>
        <v>0</v>
      </c>
      <c r="R474" s="55">
        <f t="shared" si="94"/>
        <v>1528</v>
      </c>
    </row>
    <row r="475" spans="1:18" ht="15.75" customHeight="1" x14ac:dyDescent="0.3">
      <c r="A475" s="71" t="s">
        <v>764</v>
      </c>
      <c r="B475" s="1">
        <v>0</v>
      </c>
      <c r="C475" s="1">
        <v>0</v>
      </c>
      <c r="D475" s="1">
        <v>0</v>
      </c>
      <c r="E475" s="55">
        <f>SUM(B475:D475)</f>
        <v>0</v>
      </c>
      <c r="F475" s="1">
        <v>0</v>
      </c>
      <c r="G475" s="1">
        <v>0</v>
      </c>
      <c r="H475" s="1">
        <v>0</v>
      </c>
      <c r="I475" s="55">
        <f>SUM(F475:H475)</f>
        <v>0</v>
      </c>
      <c r="J475" s="1">
        <v>0</v>
      </c>
      <c r="K475" s="1">
        <v>180</v>
      </c>
      <c r="L475" s="1">
        <v>0</v>
      </c>
      <c r="M475" s="55">
        <f>SUM(J475:L475)</f>
        <v>180</v>
      </c>
      <c r="N475" s="1">
        <v>0</v>
      </c>
      <c r="O475" s="1">
        <v>0</v>
      </c>
      <c r="P475" s="1">
        <v>0</v>
      </c>
      <c r="Q475" s="55">
        <f>SUM(N475:P475)</f>
        <v>0</v>
      </c>
      <c r="R475" s="55">
        <f>+E475+I475+M475+Q475</f>
        <v>180</v>
      </c>
    </row>
    <row r="476" spans="1:18" ht="15.75" customHeight="1" x14ac:dyDescent="0.3">
      <c r="A476" s="15" t="s">
        <v>50</v>
      </c>
      <c r="B476" s="1"/>
      <c r="C476" s="1"/>
      <c r="D476" s="1"/>
      <c r="E476" s="55" t="s">
        <v>7</v>
      </c>
      <c r="F476" s="1"/>
      <c r="G476" s="1"/>
      <c r="H476" s="1"/>
      <c r="I476" s="55" t="s">
        <v>7</v>
      </c>
      <c r="J476" s="1"/>
      <c r="K476" s="1"/>
      <c r="L476" s="1"/>
      <c r="M476" s="55" t="s">
        <v>7</v>
      </c>
      <c r="N476" s="1"/>
      <c r="O476" s="1"/>
      <c r="P476" s="1"/>
      <c r="Q476" s="55" t="s">
        <v>7</v>
      </c>
      <c r="R476" s="55" t="s">
        <v>7</v>
      </c>
    </row>
    <row r="477" spans="1:18" ht="15.75" customHeight="1" x14ac:dyDescent="0.3">
      <c r="A477" s="71" t="s">
        <v>321</v>
      </c>
      <c r="B477" s="1">
        <v>0</v>
      </c>
      <c r="C477" s="1">
        <v>0</v>
      </c>
      <c r="D477" s="1">
        <v>0</v>
      </c>
      <c r="E477" s="55">
        <f>SUM(B477:D477)</f>
        <v>0</v>
      </c>
      <c r="F477" s="1">
        <v>0</v>
      </c>
      <c r="G477" s="1">
        <v>0</v>
      </c>
      <c r="H477" s="1">
        <v>0</v>
      </c>
      <c r="I477" s="55">
        <f>SUM(F477:H477)</f>
        <v>0</v>
      </c>
      <c r="J477" s="1">
        <v>0</v>
      </c>
      <c r="K477" s="1">
        <v>0</v>
      </c>
      <c r="L477" s="1">
        <v>0</v>
      </c>
      <c r="M477" s="55">
        <f>SUM(J477:L477)</f>
        <v>0</v>
      </c>
      <c r="N477" s="1">
        <v>0</v>
      </c>
      <c r="O477" s="1">
        <v>0</v>
      </c>
      <c r="P477" s="1">
        <v>0</v>
      </c>
      <c r="Q477" s="55">
        <f>SUM(N477:P477)</f>
        <v>0</v>
      </c>
      <c r="R477" s="55">
        <f>+E477+I477+M477+Q477</f>
        <v>0</v>
      </c>
    </row>
    <row r="478" spans="1:18" ht="15.75" customHeight="1" x14ac:dyDescent="0.3">
      <c r="A478" s="15" t="s">
        <v>51</v>
      </c>
      <c r="B478" s="1"/>
      <c r="C478" s="1"/>
      <c r="D478" s="1"/>
      <c r="E478" s="55" t="s">
        <v>7</v>
      </c>
      <c r="F478" s="1"/>
      <c r="G478" s="1"/>
      <c r="H478" s="1"/>
      <c r="I478" s="55" t="s">
        <v>7</v>
      </c>
      <c r="J478" s="1"/>
      <c r="K478" s="1"/>
      <c r="L478" s="1"/>
      <c r="M478" s="55" t="s">
        <v>7</v>
      </c>
      <c r="N478" s="1"/>
      <c r="O478" s="1"/>
      <c r="P478" s="1"/>
      <c r="Q478" s="55" t="s">
        <v>7</v>
      </c>
      <c r="R478" s="55" t="s">
        <v>7</v>
      </c>
    </row>
    <row r="479" spans="1:18" ht="15.75" customHeight="1" x14ac:dyDescent="0.3">
      <c r="A479" s="15" t="s">
        <v>765</v>
      </c>
      <c r="B479" s="1">
        <v>0</v>
      </c>
      <c r="C479" s="1">
        <v>0</v>
      </c>
      <c r="D479" s="1">
        <v>0</v>
      </c>
      <c r="E479" s="55">
        <f>SUM(B479:D479)</f>
        <v>0</v>
      </c>
      <c r="F479" s="1">
        <v>0</v>
      </c>
      <c r="G479" s="1">
        <v>0</v>
      </c>
      <c r="H479" s="1">
        <v>0</v>
      </c>
      <c r="I479" s="55">
        <f>SUM(F479:H479)</f>
        <v>0</v>
      </c>
      <c r="J479" s="1">
        <v>0</v>
      </c>
      <c r="K479" s="1">
        <v>0</v>
      </c>
      <c r="L479" s="1">
        <v>0</v>
      </c>
      <c r="M479" s="55">
        <f>SUM(J479:L479)</f>
        <v>0</v>
      </c>
      <c r="N479" s="1">
        <v>0</v>
      </c>
      <c r="O479" s="1">
        <v>0</v>
      </c>
      <c r="P479" s="1">
        <v>0</v>
      </c>
      <c r="Q479" s="55">
        <f>SUM(N479:P479)</f>
        <v>0</v>
      </c>
      <c r="R479" s="55">
        <f>+E479+I479+M479+Q479</f>
        <v>0</v>
      </c>
    </row>
    <row r="480" spans="1:18" ht="15.75" customHeight="1" thickBot="1" x14ac:dyDescent="0.35">
      <c r="A480" s="15" t="s">
        <v>53</v>
      </c>
      <c r="B480" s="1"/>
      <c r="C480" s="1"/>
      <c r="D480" s="1"/>
      <c r="E480" s="55" t="s">
        <v>7</v>
      </c>
      <c r="F480" s="1"/>
      <c r="G480" s="1"/>
      <c r="H480" s="1"/>
      <c r="I480" s="55" t="s">
        <v>7</v>
      </c>
      <c r="J480" s="1"/>
      <c r="K480" s="1"/>
      <c r="L480" s="1"/>
      <c r="M480" s="55" t="s">
        <v>7</v>
      </c>
      <c r="N480" s="1"/>
      <c r="O480" s="1"/>
      <c r="P480" s="1"/>
      <c r="Q480" s="55" t="s">
        <v>7</v>
      </c>
      <c r="R480" s="55" t="s">
        <v>7</v>
      </c>
    </row>
    <row r="481" spans="1:18" ht="16.5" customHeight="1" thickBot="1" x14ac:dyDescent="0.35">
      <c r="A481" s="109" t="s">
        <v>54</v>
      </c>
      <c r="B481" s="86">
        <f>SUM(B466:B480)</f>
        <v>2694</v>
      </c>
      <c r="C481" s="87">
        <f>SUM(C466:C480)</f>
        <v>1752</v>
      </c>
      <c r="D481" s="87">
        <f>SUM(D466:D480)</f>
        <v>1969</v>
      </c>
      <c r="E481" s="59">
        <f>SUM(B481:D481)</f>
        <v>6415</v>
      </c>
      <c r="F481" s="87">
        <f>SUM(F466:F480)</f>
        <v>2298</v>
      </c>
      <c r="G481" s="87">
        <f>SUM(G466:G480)</f>
        <v>742</v>
      </c>
      <c r="H481" s="87">
        <f>SUM(H466:H480)</f>
        <v>1026</v>
      </c>
      <c r="I481" s="59">
        <f>SUM(F481:H481)</f>
        <v>4066</v>
      </c>
      <c r="J481" s="87">
        <f>SUM(J466:J480)</f>
        <v>2521</v>
      </c>
      <c r="K481" s="87">
        <f>SUM(K466:K480)</f>
        <v>1598</v>
      </c>
      <c r="L481" s="87">
        <f>SUM(L466:L480)</f>
        <v>699</v>
      </c>
      <c r="M481" s="59">
        <f>SUM(J481:L481)</f>
        <v>4818</v>
      </c>
      <c r="N481" s="87">
        <f>SUM(N466:N480)</f>
        <v>203</v>
      </c>
      <c r="O481" s="87">
        <f>SUM(O466:O480)</f>
        <v>0</v>
      </c>
      <c r="P481" s="87">
        <f>SUM(P466:P480)</f>
        <v>0</v>
      </c>
      <c r="Q481" s="59">
        <f>SUM(N481:P481)</f>
        <v>203</v>
      </c>
      <c r="R481" s="59">
        <f>+E481+I481+M481+Q481</f>
        <v>15502</v>
      </c>
    </row>
    <row r="482" spans="1:18" ht="15.75" customHeight="1" x14ac:dyDescent="0.3">
      <c r="A482" s="15" t="s">
        <v>55</v>
      </c>
      <c r="B482" s="1"/>
      <c r="C482" s="1"/>
      <c r="D482" s="1"/>
      <c r="E482" s="55" t="s">
        <v>7</v>
      </c>
      <c r="F482" s="1"/>
      <c r="G482" s="1"/>
      <c r="H482" s="1"/>
      <c r="I482" s="55" t="s">
        <v>7</v>
      </c>
      <c r="J482" s="1"/>
      <c r="K482" s="1"/>
      <c r="L482" s="1"/>
      <c r="M482" s="55" t="s">
        <v>7</v>
      </c>
      <c r="N482" s="1"/>
      <c r="O482" s="1"/>
      <c r="P482" s="1"/>
      <c r="Q482" s="55" t="s">
        <v>7</v>
      </c>
      <c r="R482" s="55" t="s">
        <v>7</v>
      </c>
    </row>
    <row r="483" spans="1:18" ht="15.75" customHeight="1" x14ac:dyDescent="0.3">
      <c r="A483" s="15" t="s">
        <v>57</v>
      </c>
      <c r="B483" s="1"/>
      <c r="C483" s="1"/>
      <c r="D483" s="1"/>
      <c r="E483" s="55" t="s">
        <v>7</v>
      </c>
      <c r="F483" s="1"/>
      <c r="G483" s="1"/>
      <c r="H483" s="1"/>
      <c r="I483" s="55" t="s">
        <v>7</v>
      </c>
      <c r="J483" s="1"/>
      <c r="K483" s="1"/>
      <c r="L483" s="1"/>
      <c r="M483" s="55" t="s">
        <v>7</v>
      </c>
      <c r="N483" s="1"/>
      <c r="O483" s="1"/>
      <c r="P483" s="1"/>
      <c r="Q483" s="55" t="s">
        <v>7</v>
      </c>
      <c r="R483" s="55" t="s">
        <v>7</v>
      </c>
    </row>
    <row r="484" spans="1:18" ht="15.75" customHeight="1" x14ac:dyDescent="0.3">
      <c r="A484" s="71" t="s">
        <v>324</v>
      </c>
      <c r="B484" s="1">
        <v>391</v>
      </c>
      <c r="C484" s="1">
        <v>484</v>
      </c>
      <c r="D484" s="1">
        <v>525</v>
      </c>
      <c r="E484" s="55">
        <f>SUM(B484:D484)</f>
        <v>1400</v>
      </c>
      <c r="F484" s="1">
        <v>235</v>
      </c>
      <c r="G484" s="1">
        <v>0</v>
      </c>
      <c r="H484" s="1">
        <v>0</v>
      </c>
      <c r="I484" s="55">
        <f>SUM(F484:H484)</f>
        <v>235</v>
      </c>
      <c r="J484" s="1">
        <v>0</v>
      </c>
      <c r="K484" s="1">
        <v>0</v>
      </c>
      <c r="L484" s="1">
        <v>0</v>
      </c>
      <c r="M484" s="55">
        <f>SUM(J484:L484)</f>
        <v>0</v>
      </c>
      <c r="N484" s="1">
        <v>0</v>
      </c>
      <c r="O484" s="1">
        <v>0</v>
      </c>
      <c r="P484" s="1">
        <v>0</v>
      </c>
      <c r="Q484" s="55">
        <f>SUM(N484:P484)</f>
        <v>0</v>
      </c>
      <c r="R484" s="55">
        <f>+E484+I484+M484+Q484</f>
        <v>1635</v>
      </c>
    </row>
    <row r="485" spans="1:18" ht="15.75" customHeight="1" x14ac:dyDescent="0.3">
      <c r="A485" s="71" t="s">
        <v>659</v>
      </c>
      <c r="B485" s="1">
        <v>0</v>
      </c>
      <c r="C485" s="1">
        <v>0</v>
      </c>
      <c r="D485" s="1">
        <v>0</v>
      </c>
      <c r="E485" s="55">
        <f>SUM(B485:D485)</f>
        <v>0</v>
      </c>
      <c r="F485" s="1">
        <v>0</v>
      </c>
      <c r="G485" s="1">
        <v>0</v>
      </c>
      <c r="H485" s="1">
        <v>0</v>
      </c>
      <c r="I485" s="55">
        <f>SUM(F485:H485)</f>
        <v>0</v>
      </c>
      <c r="J485" s="1">
        <v>0</v>
      </c>
      <c r="K485" s="1">
        <v>0</v>
      </c>
      <c r="L485" s="1">
        <v>0</v>
      </c>
      <c r="M485" s="55">
        <f>SUM(J485:L485)</f>
        <v>0</v>
      </c>
      <c r="N485" s="1">
        <v>0</v>
      </c>
      <c r="O485" s="1">
        <v>0</v>
      </c>
      <c r="P485" s="1">
        <v>0</v>
      </c>
      <c r="Q485" s="55">
        <f>SUM(N485:P485)</f>
        <v>0</v>
      </c>
      <c r="R485" s="55">
        <f>+E485+I485+M485+Q485</f>
        <v>0</v>
      </c>
    </row>
    <row r="486" spans="1:18" ht="15.75" customHeight="1" thickBot="1" x14ac:dyDescent="0.35">
      <c r="A486" s="15" t="s">
        <v>58</v>
      </c>
      <c r="B486" s="1"/>
      <c r="C486" s="1"/>
      <c r="D486" s="1"/>
      <c r="E486" s="55" t="s">
        <v>7</v>
      </c>
      <c r="F486" s="1"/>
      <c r="G486" s="1"/>
      <c r="H486" s="1"/>
      <c r="I486" s="55" t="s">
        <v>7</v>
      </c>
      <c r="J486" s="1"/>
      <c r="K486" s="1"/>
      <c r="L486" s="1"/>
      <c r="M486" s="55" t="s">
        <v>7</v>
      </c>
      <c r="N486" s="1"/>
      <c r="O486" s="1"/>
      <c r="P486" s="1"/>
      <c r="Q486" s="55" t="s">
        <v>7</v>
      </c>
      <c r="R486" s="55" t="s">
        <v>7</v>
      </c>
    </row>
    <row r="487" spans="1:18" ht="16.5" customHeight="1" thickBot="1" x14ac:dyDescent="0.35">
      <c r="A487" s="57" t="s">
        <v>59</v>
      </c>
      <c r="B487" s="86">
        <f>SUM(B482:B486)</f>
        <v>391</v>
      </c>
      <c r="C487" s="87">
        <f>SUM(C482:C486)</f>
        <v>484</v>
      </c>
      <c r="D487" s="87">
        <f>SUM(D482:D486)</f>
        <v>525</v>
      </c>
      <c r="E487" s="59">
        <f>SUM(B487:D487)</f>
        <v>1400</v>
      </c>
      <c r="F487" s="87">
        <f>SUM(F482:F486)</f>
        <v>235</v>
      </c>
      <c r="G487" s="87">
        <f>SUM(G482:G486)</f>
        <v>0</v>
      </c>
      <c r="H487" s="87">
        <f>SUM(H482:H486)</f>
        <v>0</v>
      </c>
      <c r="I487" s="59">
        <f>SUM(F487:H487)</f>
        <v>235</v>
      </c>
      <c r="J487" s="87">
        <f>SUM(J482:J486)</f>
        <v>0</v>
      </c>
      <c r="K487" s="87">
        <f>SUM(K482:K486)</f>
        <v>0</v>
      </c>
      <c r="L487" s="87">
        <f>SUM(L482:L486)</f>
        <v>0</v>
      </c>
      <c r="M487" s="59">
        <f>SUM(J487:L487)</f>
        <v>0</v>
      </c>
      <c r="N487" s="87">
        <f>SUM(N482:N486)</f>
        <v>0</v>
      </c>
      <c r="O487" s="87">
        <f>SUM(O482:O486)</f>
        <v>0</v>
      </c>
      <c r="P487" s="87">
        <f>SUM(P482:P486)</f>
        <v>0</v>
      </c>
      <c r="Q487" s="59">
        <f>SUM(N487:P487)</f>
        <v>0</v>
      </c>
      <c r="R487" s="59">
        <f>+E487+I487+M487+Q487</f>
        <v>1635</v>
      </c>
    </row>
    <row r="488" spans="1:18" ht="15.75" customHeight="1" x14ac:dyDescent="0.3">
      <c r="A488" s="15" t="s">
        <v>60</v>
      </c>
      <c r="B488" s="1"/>
      <c r="C488" s="1"/>
      <c r="D488" s="1"/>
      <c r="E488" s="55" t="s">
        <v>7</v>
      </c>
      <c r="F488" s="1"/>
      <c r="G488" s="1"/>
      <c r="H488" s="1"/>
      <c r="I488" s="55" t="s">
        <v>7</v>
      </c>
      <c r="J488" s="1"/>
      <c r="K488" s="1"/>
      <c r="L488" s="1"/>
      <c r="M488" s="55" t="s">
        <v>7</v>
      </c>
      <c r="N488" s="1"/>
      <c r="O488" s="1"/>
      <c r="P488" s="1"/>
      <c r="Q488" s="55" t="s">
        <v>7</v>
      </c>
      <c r="R488" s="55" t="s">
        <v>7</v>
      </c>
    </row>
    <row r="489" spans="1:18" ht="15.75" customHeight="1" x14ac:dyDescent="0.3">
      <c r="A489" s="15" t="s">
        <v>61</v>
      </c>
      <c r="B489" s="1"/>
      <c r="C489" s="1"/>
      <c r="D489" s="1"/>
      <c r="E489" s="55" t="s">
        <v>7</v>
      </c>
      <c r="F489" s="1"/>
      <c r="G489" s="1"/>
      <c r="H489" s="1"/>
      <c r="I489" s="55" t="s">
        <v>7</v>
      </c>
      <c r="J489" s="1"/>
      <c r="K489" s="1"/>
      <c r="L489" s="1"/>
      <c r="M489" s="55" t="s">
        <v>7</v>
      </c>
      <c r="N489" s="1"/>
      <c r="O489" s="1"/>
      <c r="P489" s="1"/>
      <c r="Q489" s="55" t="s">
        <v>7</v>
      </c>
      <c r="R489" s="55" t="s">
        <v>7</v>
      </c>
    </row>
    <row r="490" spans="1:18" ht="15.75" customHeight="1" x14ac:dyDescent="0.3">
      <c r="A490" s="15" t="s">
        <v>62</v>
      </c>
      <c r="B490" s="1"/>
      <c r="C490" s="1"/>
      <c r="D490" s="1"/>
      <c r="E490" s="55" t="s">
        <v>7</v>
      </c>
      <c r="F490" s="1"/>
      <c r="G490" s="1"/>
      <c r="H490" s="1"/>
      <c r="I490" s="55" t="s">
        <v>7</v>
      </c>
      <c r="J490" s="1"/>
      <c r="K490" s="1"/>
      <c r="L490" s="1"/>
      <c r="M490" s="55" t="s">
        <v>7</v>
      </c>
      <c r="N490" s="1"/>
      <c r="O490" s="1"/>
      <c r="P490" s="1"/>
      <c r="Q490" s="55" t="s">
        <v>7</v>
      </c>
      <c r="R490" s="55" t="s">
        <v>7</v>
      </c>
    </row>
    <row r="491" spans="1:18" ht="15.75" customHeight="1" thickBot="1" x14ac:dyDescent="0.35">
      <c r="A491" s="71" t="s">
        <v>766</v>
      </c>
      <c r="B491" s="1">
        <v>0</v>
      </c>
      <c r="C491" s="1">
        <v>0</v>
      </c>
      <c r="D491" s="1">
        <v>0</v>
      </c>
      <c r="E491" s="55">
        <f>SUM(B491:D491)</f>
        <v>0</v>
      </c>
      <c r="F491" s="1">
        <v>0</v>
      </c>
      <c r="G491" s="1">
        <v>0</v>
      </c>
      <c r="H491" s="1">
        <v>0</v>
      </c>
      <c r="I491" s="55">
        <f>SUM(F491:H491)</f>
        <v>0</v>
      </c>
      <c r="J491" s="1">
        <v>0</v>
      </c>
      <c r="K491" s="1">
        <v>0</v>
      </c>
      <c r="L491" s="1">
        <v>202</v>
      </c>
      <c r="M491" s="55">
        <f>SUM(J491:L491)</f>
        <v>202</v>
      </c>
      <c r="N491" s="1">
        <v>2335</v>
      </c>
      <c r="O491" s="1">
        <v>1421</v>
      </c>
      <c r="P491" s="1">
        <v>1243</v>
      </c>
      <c r="Q491" s="55">
        <f>SUM(N491:P491)</f>
        <v>4999</v>
      </c>
      <c r="R491" s="55">
        <f>+E491+I491+M491+Q491</f>
        <v>5201</v>
      </c>
    </row>
    <row r="492" spans="1:18" ht="16.5" customHeight="1" thickBot="1" x14ac:dyDescent="0.35">
      <c r="A492" s="57" t="s">
        <v>63</v>
      </c>
      <c r="B492" s="86">
        <f>SUM(B488:B491)</f>
        <v>0</v>
      </c>
      <c r="C492" s="87">
        <f>SUM(C488:C491)</f>
        <v>0</v>
      </c>
      <c r="D492" s="87">
        <f>SUM(D488:D491)</f>
        <v>0</v>
      </c>
      <c r="E492" s="59">
        <f>SUM(B492:D492)</f>
        <v>0</v>
      </c>
      <c r="F492" s="87">
        <f>SUM(F488:F491)</f>
        <v>0</v>
      </c>
      <c r="G492" s="87">
        <f>SUM(G488:G491)</f>
        <v>0</v>
      </c>
      <c r="H492" s="87">
        <f>SUM(H488:H491)</f>
        <v>0</v>
      </c>
      <c r="I492" s="59">
        <f>SUM(F492:H492)</f>
        <v>0</v>
      </c>
      <c r="J492" s="87">
        <f>SUM(J488:J491)</f>
        <v>0</v>
      </c>
      <c r="K492" s="87">
        <f>SUM(K488:K491)</f>
        <v>0</v>
      </c>
      <c r="L492" s="87">
        <f>SUM(L488:L491)</f>
        <v>202</v>
      </c>
      <c r="M492" s="59">
        <f>SUM(J492:L492)</f>
        <v>202</v>
      </c>
      <c r="N492" s="87">
        <f>SUM(N488:N491)</f>
        <v>2335</v>
      </c>
      <c r="O492" s="87">
        <f>SUM(O488:O491)</f>
        <v>1421</v>
      </c>
      <c r="P492" s="87">
        <f>SUM(P488:P491)</f>
        <v>1243</v>
      </c>
      <c r="Q492" s="59">
        <f>SUM(N492:P492)</f>
        <v>4999</v>
      </c>
      <c r="R492" s="59">
        <f>+E492+I492+M492+Q492</f>
        <v>5201</v>
      </c>
    </row>
    <row r="493" spans="1:18" ht="15.75" customHeight="1" x14ac:dyDescent="0.3">
      <c r="A493" s="15" t="s">
        <v>64</v>
      </c>
      <c r="B493" s="1"/>
      <c r="C493" s="1"/>
      <c r="D493" s="1"/>
      <c r="E493" s="55" t="s">
        <v>7</v>
      </c>
      <c r="F493" s="1"/>
      <c r="G493" s="1"/>
      <c r="H493" s="1"/>
      <c r="I493" s="55" t="s">
        <v>7</v>
      </c>
      <c r="J493" s="1"/>
      <c r="K493" s="1"/>
      <c r="L493" s="1"/>
      <c r="M493" s="55" t="s">
        <v>7</v>
      </c>
      <c r="N493" s="1"/>
      <c r="O493" s="1"/>
      <c r="P493" s="1"/>
      <c r="Q493" s="55" t="s">
        <v>7</v>
      </c>
      <c r="R493" s="55" t="s">
        <v>7</v>
      </c>
    </row>
    <row r="494" spans="1:18" ht="15.75" customHeight="1" x14ac:dyDescent="0.3">
      <c r="A494" s="15" t="s">
        <v>594</v>
      </c>
      <c r="B494" s="1"/>
      <c r="C494" s="1"/>
      <c r="D494" s="1"/>
      <c r="E494" s="55" t="s">
        <v>7</v>
      </c>
      <c r="F494" s="1"/>
      <c r="G494" s="1"/>
      <c r="H494" s="1"/>
      <c r="I494" s="55" t="s">
        <v>7</v>
      </c>
      <c r="J494" s="1"/>
      <c r="K494" s="1"/>
      <c r="L494" s="1"/>
      <c r="M494" s="55" t="s">
        <v>7</v>
      </c>
      <c r="N494" s="1"/>
      <c r="O494" s="1"/>
      <c r="P494" s="1"/>
      <c r="Q494" s="55" t="s">
        <v>7</v>
      </c>
      <c r="R494" s="55" t="s">
        <v>7</v>
      </c>
    </row>
    <row r="495" spans="1:18" ht="15.75" customHeight="1" x14ac:dyDescent="0.3">
      <c r="A495" s="71" t="s">
        <v>326</v>
      </c>
      <c r="B495" s="1">
        <v>0</v>
      </c>
      <c r="C495" s="1">
        <v>0</v>
      </c>
      <c r="D495" s="1">
        <v>0</v>
      </c>
      <c r="E495" s="55">
        <f>SUM(B495:D495)</f>
        <v>0</v>
      </c>
      <c r="F495" s="1">
        <v>0</v>
      </c>
      <c r="G495" s="1">
        <v>0</v>
      </c>
      <c r="H495" s="1">
        <v>0</v>
      </c>
      <c r="I495" s="55">
        <f>SUM(F495:H495)</f>
        <v>0</v>
      </c>
      <c r="J495" s="1">
        <v>0</v>
      </c>
      <c r="K495" s="1">
        <v>0</v>
      </c>
      <c r="L495" s="1">
        <v>0</v>
      </c>
      <c r="M495" s="55">
        <f>SUM(J495:L495)</f>
        <v>0</v>
      </c>
      <c r="N495" s="1">
        <v>0</v>
      </c>
      <c r="O495" s="1">
        <v>0</v>
      </c>
      <c r="P495" s="1">
        <v>0</v>
      </c>
      <c r="Q495" s="55">
        <f>SUM(N495:P495)</f>
        <v>0</v>
      </c>
      <c r="R495" s="55">
        <f>+E495+I495+M495+Q495</f>
        <v>0</v>
      </c>
    </row>
    <row r="496" spans="1:18" ht="15.75" customHeight="1" x14ac:dyDescent="0.3">
      <c r="A496" s="71" t="s">
        <v>327</v>
      </c>
      <c r="B496" s="1">
        <v>0</v>
      </c>
      <c r="C496" s="1">
        <v>0</v>
      </c>
      <c r="D496" s="1">
        <v>0</v>
      </c>
      <c r="E496" s="55">
        <f>SUM(B496:D496)</f>
        <v>0</v>
      </c>
      <c r="F496" s="1">
        <v>0</v>
      </c>
      <c r="G496" s="1">
        <v>0</v>
      </c>
      <c r="H496" s="1">
        <v>0</v>
      </c>
      <c r="I496" s="55">
        <f>SUM(F496:H496)</f>
        <v>0</v>
      </c>
      <c r="J496" s="1">
        <v>0</v>
      </c>
      <c r="K496" s="1">
        <v>0</v>
      </c>
      <c r="L496" s="1">
        <v>0</v>
      </c>
      <c r="M496" s="55">
        <f>SUM(J496:L496)</f>
        <v>0</v>
      </c>
      <c r="N496" s="1">
        <v>0</v>
      </c>
      <c r="O496" s="1">
        <v>0</v>
      </c>
      <c r="P496" s="1">
        <v>0</v>
      </c>
      <c r="Q496" s="55">
        <f>SUM(N496:P496)</f>
        <v>0</v>
      </c>
      <c r="R496" s="55">
        <f>+E496+I496+M496+Q496</f>
        <v>0</v>
      </c>
    </row>
    <row r="497" spans="1:18" ht="15.75" customHeight="1" x14ac:dyDescent="0.3">
      <c r="A497" s="15" t="s">
        <v>67</v>
      </c>
      <c r="B497" s="1"/>
      <c r="C497" s="1"/>
      <c r="D497" s="1"/>
      <c r="E497" s="55" t="s">
        <v>7</v>
      </c>
      <c r="F497" s="1"/>
      <c r="G497" s="1"/>
      <c r="H497" s="1"/>
      <c r="I497" s="55" t="s">
        <v>7</v>
      </c>
      <c r="J497" s="1"/>
      <c r="K497" s="1"/>
      <c r="L497" s="1"/>
      <c r="M497" s="55" t="s">
        <v>7</v>
      </c>
      <c r="N497" s="1"/>
      <c r="O497" s="1"/>
      <c r="P497" s="1"/>
      <c r="Q497" s="55" t="s">
        <v>7</v>
      </c>
      <c r="R497" s="55" t="s">
        <v>7</v>
      </c>
    </row>
    <row r="498" spans="1:18" ht="15.75" customHeight="1" x14ac:dyDescent="0.3">
      <c r="A498" s="71" t="s">
        <v>767</v>
      </c>
      <c r="B498" s="1">
        <v>0</v>
      </c>
      <c r="C498" s="1">
        <v>0</v>
      </c>
      <c r="D498" s="1">
        <v>0</v>
      </c>
      <c r="E498" s="55">
        <f>SUM(B498:D498)</f>
        <v>0</v>
      </c>
      <c r="F498" s="1">
        <v>0</v>
      </c>
      <c r="G498" s="1">
        <v>0</v>
      </c>
      <c r="H498" s="1">
        <v>0</v>
      </c>
      <c r="I498" s="55">
        <f>SUM(F498:H498)</f>
        <v>0</v>
      </c>
      <c r="J498" s="1">
        <v>0</v>
      </c>
      <c r="K498" s="1">
        <v>268</v>
      </c>
      <c r="L498" s="1">
        <v>0</v>
      </c>
      <c r="M498" s="55">
        <f>SUM(J498:L498)</f>
        <v>268</v>
      </c>
      <c r="N498" s="1">
        <v>397</v>
      </c>
      <c r="O498" s="1">
        <v>321</v>
      </c>
      <c r="P498" s="1">
        <v>586</v>
      </c>
      <c r="Q498" s="55">
        <f>SUM(N498:P498)</f>
        <v>1304</v>
      </c>
      <c r="R498" s="55">
        <f>+E498+I498+M498+Q498</f>
        <v>1572</v>
      </c>
    </row>
    <row r="499" spans="1:18" ht="15.75" customHeight="1" x14ac:dyDescent="0.3">
      <c r="A499" s="71" t="s">
        <v>768</v>
      </c>
      <c r="B499" s="1">
        <v>0</v>
      </c>
      <c r="C499" s="1">
        <v>0</v>
      </c>
      <c r="D499" s="1">
        <v>0</v>
      </c>
      <c r="E499" s="55">
        <f>SUM(B499:D499)</f>
        <v>0</v>
      </c>
      <c r="F499" s="1">
        <v>0</v>
      </c>
      <c r="G499" s="1">
        <v>0</v>
      </c>
      <c r="H499" s="1">
        <v>0</v>
      </c>
      <c r="I499" s="55">
        <f>SUM(F499:H499)</f>
        <v>0</v>
      </c>
      <c r="J499" s="1">
        <v>0</v>
      </c>
      <c r="K499" s="1">
        <v>0</v>
      </c>
      <c r="L499" s="1">
        <v>0</v>
      </c>
      <c r="M499" s="55">
        <f>SUM(J499:L499)</f>
        <v>0</v>
      </c>
      <c r="N499" s="1">
        <v>0</v>
      </c>
      <c r="O499" s="1">
        <v>0</v>
      </c>
      <c r="P499" s="1">
        <v>0</v>
      </c>
      <c r="Q499" s="55">
        <f>SUM(N499:P499)</f>
        <v>0</v>
      </c>
      <c r="R499" s="55">
        <f>+E499+I499+M499+Q499</f>
        <v>0</v>
      </c>
    </row>
    <row r="500" spans="1:18" ht="15.75" customHeight="1" x14ac:dyDescent="0.3">
      <c r="A500" s="71" t="s">
        <v>769</v>
      </c>
      <c r="B500" s="1">
        <v>1146</v>
      </c>
      <c r="C500" s="1">
        <v>2526</v>
      </c>
      <c r="D500" s="1">
        <v>2893</v>
      </c>
      <c r="E500" s="55">
        <f>SUM(B500:D500)</f>
        <v>6565</v>
      </c>
      <c r="F500" s="1">
        <v>2811</v>
      </c>
      <c r="G500" s="1">
        <v>0</v>
      </c>
      <c r="H500" s="1">
        <v>0</v>
      </c>
      <c r="I500" s="55">
        <f>SUM(F500:H500)</f>
        <v>2811</v>
      </c>
      <c r="J500" s="1">
        <v>0</v>
      </c>
      <c r="K500" s="1">
        <v>2116</v>
      </c>
      <c r="L500" s="1">
        <v>309</v>
      </c>
      <c r="M500" s="55">
        <f>SUM(J500:L500)</f>
        <v>2425</v>
      </c>
      <c r="N500" s="1">
        <v>0</v>
      </c>
      <c r="O500" s="1">
        <v>0</v>
      </c>
      <c r="P500" s="1">
        <v>0</v>
      </c>
      <c r="Q500" s="55">
        <f>SUM(N500:P500)</f>
        <v>0</v>
      </c>
      <c r="R500" s="55">
        <f>+E500+I500+M500+Q500</f>
        <v>11801</v>
      </c>
    </row>
    <row r="501" spans="1:18" ht="15.75" customHeight="1" x14ac:dyDescent="0.3">
      <c r="A501" s="71" t="s">
        <v>770</v>
      </c>
      <c r="B501" s="1">
        <v>0</v>
      </c>
      <c r="C501" s="1">
        <v>0</v>
      </c>
      <c r="D501" s="1">
        <v>0</v>
      </c>
      <c r="E501" s="55">
        <f>SUM(B501:D501)</f>
        <v>0</v>
      </c>
      <c r="F501" s="1">
        <v>0</v>
      </c>
      <c r="G501" s="1">
        <v>0</v>
      </c>
      <c r="H501" s="1">
        <v>0</v>
      </c>
      <c r="I501" s="55">
        <f>SUM(F501:H501)</f>
        <v>0</v>
      </c>
      <c r="J501" s="1">
        <v>0</v>
      </c>
      <c r="K501" s="1">
        <v>0</v>
      </c>
      <c r="L501" s="1">
        <v>0</v>
      </c>
      <c r="M501" s="55">
        <f>SUM(J501:L501)</f>
        <v>0</v>
      </c>
      <c r="N501" s="1">
        <v>0</v>
      </c>
      <c r="O501" s="1">
        <v>0</v>
      </c>
      <c r="P501" s="1">
        <v>0</v>
      </c>
      <c r="Q501" s="55">
        <f>SUM(N501:P501)</f>
        <v>0</v>
      </c>
      <c r="R501" s="55">
        <f>+E501+I501+M501+Q501</f>
        <v>0</v>
      </c>
    </row>
    <row r="502" spans="1:18" ht="15.75" customHeight="1" x14ac:dyDescent="0.3">
      <c r="A502" s="15" t="s">
        <v>600</v>
      </c>
      <c r="B502" s="1"/>
      <c r="C502" s="1"/>
      <c r="D502" s="1"/>
      <c r="E502" s="55" t="s">
        <v>7</v>
      </c>
      <c r="F502" s="1"/>
      <c r="G502" s="1"/>
      <c r="H502" s="1"/>
      <c r="I502" s="55" t="s">
        <v>7</v>
      </c>
      <c r="J502" s="1"/>
      <c r="K502" s="1"/>
      <c r="L502" s="1"/>
      <c r="M502" s="55" t="s">
        <v>7</v>
      </c>
      <c r="N502" s="1"/>
      <c r="O502" s="1"/>
      <c r="P502" s="1"/>
      <c r="Q502" s="55" t="s">
        <v>7</v>
      </c>
      <c r="R502" s="55" t="s">
        <v>7</v>
      </c>
    </row>
    <row r="503" spans="1:18" ht="15.75" customHeight="1" x14ac:dyDescent="0.3">
      <c r="A503" s="15" t="s">
        <v>70</v>
      </c>
      <c r="B503" s="1"/>
      <c r="C503" s="1"/>
      <c r="D503" s="1"/>
      <c r="E503" s="55" t="s">
        <v>7</v>
      </c>
      <c r="F503" s="1"/>
      <c r="G503" s="1"/>
      <c r="H503" s="1"/>
      <c r="I503" s="55" t="s">
        <v>7</v>
      </c>
      <c r="J503" s="1"/>
      <c r="K503" s="1"/>
      <c r="L503" s="1"/>
      <c r="M503" s="55" t="s">
        <v>7</v>
      </c>
      <c r="N503" s="1"/>
      <c r="O503" s="1"/>
      <c r="P503" s="1"/>
      <c r="Q503" s="55" t="s">
        <v>7</v>
      </c>
      <c r="R503" s="55" t="s">
        <v>7</v>
      </c>
    </row>
    <row r="504" spans="1:18" ht="15.75" customHeight="1" thickBot="1" x14ac:dyDescent="0.35">
      <c r="A504" s="71" t="s">
        <v>771</v>
      </c>
      <c r="B504" s="1">
        <v>0</v>
      </c>
      <c r="C504" s="1">
        <v>0</v>
      </c>
      <c r="D504" s="1">
        <v>0</v>
      </c>
      <c r="E504" s="55">
        <f>SUM(B504:D504)</f>
        <v>0</v>
      </c>
      <c r="F504" s="1">
        <v>0</v>
      </c>
      <c r="G504" s="1">
        <v>0</v>
      </c>
      <c r="H504" s="1">
        <v>0</v>
      </c>
      <c r="I504" s="55">
        <f>SUM(F504:H504)</f>
        <v>0</v>
      </c>
      <c r="J504" s="1">
        <v>0</v>
      </c>
      <c r="K504" s="1">
        <v>841</v>
      </c>
      <c r="L504" s="1">
        <v>159</v>
      </c>
      <c r="M504" s="55">
        <f>SUM(J504:L504)</f>
        <v>1000</v>
      </c>
      <c r="N504" s="1">
        <v>0</v>
      </c>
      <c r="O504" s="1">
        <v>0</v>
      </c>
      <c r="P504" s="1">
        <v>0</v>
      </c>
      <c r="Q504" s="55">
        <f>SUM(N504:P504)</f>
        <v>0</v>
      </c>
      <c r="R504" s="55">
        <f>+E504+I504+M504+Q504</f>
        <v>1000</v>
      </c>
    </row>
    <row r="505" spans="1:18" ht="16.5" customHeight="1" thickBot="1" x14ac:dyDescent="0.35">
      <c r="A505" s="57" t="s">
        <v>71</v>
      </c>
      <c r="B505" s="146">
        <f>SUM(B503:B504)</f>
        <v>0</v>
      </c>
      <c r="C505" s="146">
        <f>SUM(C503:C504)</f>
        <v>0</v>
      </c>
      <c r="D505" s="146">
        <f>SUM(D503:D504)</f>
        <v>0</v>
      </c>
      <c r="E505" s="60">
        <f>SUM(B505:D505)</f>
        <v>0</v>
      </c>
      <c r="F505" s="146">
        <f>SUM(F503:F504)</f>
        <v>0</v>
      </c>
      <c r="G505" s="146">
        <f>SUM(G503:G504)</f>
        <v>0</v>
      </c>
      <c r="H505" s="146">
        <f>SUM(H503:H504)</f>
        <v>0</v>
      </c>
      <c r="I505" s="60">
        <f>SUM(F505:H505)</f>
        <v>0</v>
      </c>
      <c r="J505" s="146">
        <f>SUM(J503:J504)</f>
        <v>0</v>
      </c>
      <c r="K505" s="146">
        <f>SUM(K503:K504)</f>
        <v>841</v>
      </c>
      <c r="L505" s="146">
        <f>SUM(L503:L504)</f>
        <v>159</v>
      </c>
      <c r="M505" s="60">
        <f>SUM(J505:L505)</f>
        <v>1000</v>
      </c>
      <c r="N505" s="146">
        <f>SUM(N503:N504)</f>
        <v>0</v>
      </c>
      <c r="O505" s="146">
        <f>SUM(O503:O504)</f>
        <v>0</v>
      </c>
      <c r="P505" s="146">
        <f>SUM(P503:P504)</f>
        <v>0</v>
      </c>
      <c r="Q505" s="60">
        <f>SUM(N505:P505)</f>
        <v>0</v>
      </c>
      <c r="R505" s="59">
        <f>+E505+I505+M505+Q505</f>
        <v>1000</v>
      </c>
    </row>
    <row r="506" spans="1:18" ht="16.5" customHeight="1" thickBot="1" x14ac:dyDescent="0.35">
      <c r="A506" s="114" t="s">
        <v>72</v>
      </c>
      <c r="B506" s="86">
        <f>SUM(B493:B504)</f>
        <v>1146</v>
      </c>
      <c r="C506" s="87">
        <f>SUM(C493:C504)</f>
        <v>2526</v>
      </c>
      <c r="D506" s="118">
        <f>SUM(D493:D504)</f>
        <v>2893</v>
      </c>
      <c r="E506" s="60">
        <f>SUM(B506:D506)</f>
        <v>6565</v>
      </c>
      <c r="F506" s="86">
        <f>SUM(F493:F504)</f>
        <v>2811</v>
      </c>
      <c r="G506" s="87">
        <f>SUM(G493:G504)</f>
        <v>0</v>
      </c>
      <c r="H506" s="118">
        <f>SUM(H493:H504)</f>
        <v>0</v>
      </c>
      <c r="I506" s="60">
        <f>SUM(F506:H506)</f>
        <v>2811</v>
      </c>
      <c r="J506" s="86">
        <f>SUM(J493:J504)</f>
        <v>0</v>
      </c>
      <c r="K506" s="87">
        <f>SUM(K493:K504)</f>
        <v>3225</v>
      </c>
      <c r="L506" s="118">
        <f>SUM(L493:L504)</f>
        <v>468</v>
      </c>
      <c r="M506" s="60">
        <f>SUM(J506:L506)</f>
        <v>3693</v>
      </c>
      <c r="N506" s="86">
        <f>SUM(N493:N504)</f>
        <v>397</v>
      </c>
      <c r="O506" s="87">
        <f>SUM(O493:O504)</f>
        <v>321</v>
      </c>
      <c r="P506" s="118">
        <f>SUM(P493:P504)</f>
        <v>586</v>
      </c>
      <c r="Q506" s="60">
        <f>SUM(N506:P506)</f>
        <v>1304</v>
      </c>
      <c r="R506" s="59">
        <f>+E506+I506+M506+Q506</f>
        <v>14373</v>
      </c>
    </row>
    <row r="507" spans="1:18" ht="16.5" customHeight="1" thickBot="1" x14ac:dyDescent="0.35">
      <c r="A507" s="57" t="s">
        <v>73</v>
      </c>
      <c r="B507" s="148">
        <f>+B481+B487+B492+B506</f>
        <v>4231</v>
      </c>
      <c r="C507" s="149">
        <f>+C481+C487+C492+C506</f>
        <v>4762</v>
      </c>
      <c r="D507" s="149">
        <f>+D481+D487+D492+D506</f>
        <v>5387</v>
      </c>
      <c r="E507" s="59">
        <f>SUM(B507:D507)</f>
        <v>14380</v>
      </c>
      <c r="F507" s="58">
        <f>+F481+F487+F492+F506</f>
        <v>5344</v>
      </c>
      <c r="G507" s="58">
        <f>+G481+G487+G492+G506</f>
        <v>742</v>
      </c>
      <c r="H507" s="58">
        <f>+H481+H487+H492+H506</f>
        <v>1026</v>
      </c>
      <c r="I507" s="59">
        <f>SUM(F507:H507)</f>
        <v>7112</v>
      </c>
      <c r="J507" s="58">
        <f>+J481+J487+J492+J506</f>
        <v>2521</v>
      </c>
      <c r="K507" s="58">
        <f>+K481+K487+K492+K506</f>
        <v>4823</v>
      </c>
      <c r="L507" s="58">
        <f>+L481+L487+L492+L506</f>
        <v>1369</v>
      </c>
      <c r="M507" s="59">
        <f>SUM(J507:L507)</f>
        <v>8713</v>
      </c>
      <c r="N507" s="58">
        <f>+N481+N487+N492+N506</f>
        <v>2935</v>
      </c>
      <c r="O507" s="58">
        <f>+O481+O487+O492+O506</f>
        <v>1742</v>
      </c>
      <c r="P507" s="58">
        <f>+P481+P487+P492+P506</f>
        <v>1829</v>
      </c>
      <c r="Q507" s="59">
        <f>SUM(N507:P507)</f>
        <v>6506</v>
      </c>
      <c r="R507" s="81">
        <f>+E507+I507+M507+Q507</f>
        <v>36711</v>
      </c>
    </row>
    <row r="508" spans="1:18" ht="16.5" customHeight="1" thickBot="1" x14ac:dyDescent="0.35">
      <c r="A508" s="39" t="s">
        <v>40</v>
      </c>
      <c r="B508" s="21">
        <v>17</v>
      </c>
      <c r="C508" s="21">
        <v>47</v>
      </c>
      <c r="D508" s="21">
        <v>84</v>
      </c>
      <c r="E508" s="55">
        <f>SUM(B508:D508)</f>
        <v>148</v>
      </c>
      <c r="F508" s="21">
        <v>116</v>
      </c>
      <c r="G508" s="21">
        <v>132</v>
      </c>
      <c r="H508" s="21">
        <v>138</v>
      </c>
      <c r="I508" s="55">
        <f>SUM(F508:H508)</f>
        <v>386</v>
      </c>
      <c r="J508" s="21">
        <v>126</v>
      </c>
      <c r="K508" s="21">
        <v>95</v>
      </c>
      <c r="L508" s="21">
        <v>99</v>
      </c>
      <c r="M508" s="55">
        <f>SUM(J508:L508)</f>
        <v>320</v>
      </c>
      <c r="N508" s="21">
        <v>91</v>
      </c>
      <c r="O508" s="21">
        <v>67</v>
      </c>
      <c r="P508" s="21">
        <v>38</v>
      </c>
      <c r="Q508" s="55">
        <f>SUM(N508:P508)</f>
        <v>196</v>
      </c>
      <c r="R508" s="55">
        <f>+E508+I508+M508+Q508</f>
        <v>1050</v>
      </c>
    </row>
    <row r="509" spans="1:18" ht="16.5" customHeight="1" thickBot="1" x14ac:dyDescent="0.35">
      <c r="A509" s="41"/>
      <c r="B509" s="36"/>
      <c r="C509" s="36"/>
      <c r="D509" s="36"/>
      <c r="E509" s="42"/>
      <c r="F509" s="36"/>
      <c r="G509" s="36"/>
      <c r="H509" s="36"/>
      <c r="I509" s="42"/>
      <c r="J509" s="36"/>
      <c r="K509" s="36"/>
      <c r="L509" s="36"/>
      <c r="M509" s="42"/>
      <c r="N509" s="36"/>
      <c r="O509" s="36"/>
      <c r="P509" s="36"/>
      <c r="Q509" s="42"/>
      <c r="R509" s="42"/>
    </row>
    <row r="510" spans="1:18" ht="15.75" customHeight="1" x14ac:dyDescent="0.3">
      <c r="A510" s="76" t="s">
        <v>314</v>
      </c>
      <c r="B510" s="77">
        <f>SUM(B507:B508)</f>
        <v>4248</v>
      </c>
      <c r="C510" s="77">
        <f>SUM(C507:C508)</f>
        <v>4809</v>
      </c>
      <c r="D510" s="77">
        <f>SUM(D507:D508)</f>
        <v>5471</v>
      </c>
      <c r="E510" s="60">
        <f>SUM(B510:D510)</f>
        <v>14528</v>
      </c>
      <c r="F510" s="77">
        <f>SUM(F507:F508)</f>
        <v>5460</v>
      </c>
      <c r="G510" s="77">
        <f>SUM(G507:G508)</f>
        <v>874</v>
      </c>
      <c r="H510" s="77">
        <f>SUM(H507:H508)</f>
        <v>1164</v>
      </c>
      <c r="I510" s="60">
        <f>SUM(F510:H510)</f>
        <v>7498</v>
      </c>
      <c r="J510" s="77">
        <f>SUM(J507:J508)</f>
        <v>2647</v>
      </c>
      <c r="K510" s="77">
        <f>SUM(K507:K508)</f>
        <v>4918</v>
      </c>
      <c r="L510" s="77">
        <f>SUM(L507:L508)</f>
        <v>1468</v>
      </c>
      <c r="M510" s="60">
        <f>SUM(J510:L510)</f>
        <v>9033</v>
      </c>
      <c r="N510" s="77">
        <f>SUM(N507:N508)</f>
        <v>3026</v>
      </c>
      <c r="O510" s="77">
        <f>SUM(O507:O508)</f>
        <v>1809</v>
      </c>
      <c r="P510" s="77">
        <f>SUM(P507:P508)</f>
        <v>1867</v>
      </c>
      <c r="Q510" s="60">
        <f>SUM(N510:P510)</f>
        <v>6702</v>
      </c>
      <c r="R510" s="60">
        <f>+E510+I510+M510+Q510</f>
        <v>37761</v>
      </c>
    </row>
    <row r="511" spans="1:18" ht="15.75" customHeight="1" x14ac:dyDescent="0.3">
      <c r="A511" s="79" t="s">
        <v>42</v>
      </c>
      <c r="B511" s="1">
        <f>(B510/31)/1.983</f>
        <v>69.103508857547212</v>
      </c>
      <c r="C511" s="1">
        <f>(C510/28)/1.983</f>
        <v>86.611195158850222</v>
      </c>
      <c r="D511" s="1">
        <f>(D510/31)/1.983</f>
        <v>88.998422071478529</v>
      </c>
      <c r="E511" s="55" t="s">
        <v>7</v>
      </c>
      <c r="F511" s="1">
        <f>(F510/30)/1.983</f>
        <v>91.780131114473022</v>
      </c>
      <c r="G511" s="1">
        <f>(G510/31)/1.983</f>
        <v>14.217623997527371</v>
      </c>
      <c r="H511" s="1">
        <f>(H510/30)/1.983</f>
        <v>19.56631366616238</v>
      </c>
      <c r="I511" s="55" t="s">
        <v>7</v>
      </c>
      <c r="J511" s="1">
        <f>(J510/31)/1.983</f>
        <v>43.059554601207033</v>
      </c>
      <c r="K511" s="1">
        <f>(K510/31)/1.983</f>
        <v>80.002602768695198</v>
      </c>
      <c r="L511" s="1">
        <f>(L510/30)/1.983</f>
        <v>24.676416204404099</v>
      </c>
      <c r="M511" s="55" t="s">
        <v>7</v>
      </c>
      <c r="N511" s="1">
        <f>(N510/31)/1.983</f>
        <v>49.224862947960887</v>
      </c>
      <c r="O511" s="1">
        <f>(O510/30)/1.983</f>
        <v>30.408472012102873</v>
      </c>
      <c r="P511" s="1">
        <f>(P510/31)/1.983</f>
        <v>30.371057212109381</v>
      </c>
      <c r="Q511" s="55" t="s">
        <v>7</v>
      </c>
      <c r="R511" s="55" t="s">
        <v>7</v>
      </c>
    </row>
    <row r="512" spans="1:18" ht="15.75" customHeight="1" x14ac:dyDescent="0.3">
      <c r="A512" s="79" t="s">
        <v>332</v>
      </c>
      <c r="B512" s="1">
        <f>B510+B522</f>
        <v>20497</v>
      </c>
      <c r="C512" s="1">
        <f>C510+C522</f>
        <v>21756</v>
      </c>
      <c r="D512" s="1">
        <f>D510+D522</f>
        <v>20179</v>
      </c>
      <c r="E512" s="55">
        <f>SUM(B512:D512)</f>
        <v>62432</v>
      </c>
      <c r="F512" s="1">
        <f>F510+F522</f>
        <v>23884</v>
      </c>
      <c r="G512" s="1">
        <f>G510+G522</f>
        <v>20749</v>
      </c>
      <c r="H512" s="1">
        <f>H510+H522</f>
        <v>13481</v>
      </c>
      <c r="I512" s="55">
        <f>SUM(F512:H512)</f>
        <v>58114</v>
      </c>
      <c r="J512" s="1">
        <f>J510+J522</f>
        <v>17576</v>
      </c>
      <c r="K512" s="1">
        <f>K510+K522</f>
        <v>24124</v>
      </c>
      <c r="L512" s="1">
        <f>L510+L522</f>
        <v>21006</v>
      </c>
      <c r="M512" s="55">
        <f>SUM(J512:L512)</f>
        <v>62706</v>
      </c>
      <c r="N512" s="1">
        <f>N510+N522</f>
        <v>16321</v>
      </c>
      <c r="O512" s="1">
        <f>O510+O522</f>
        <v>7464</v>
      </c>
      <c r="P512" s="1">
        <f>P510+P522</f>
        <v>13045</v>
      </c>
      <c r="Q512" s="55">
        <f>SUM(N512:P512)</f>
        <v>36830</v>
      </c>
      <c r="R512" s="55">
        <f>+E512+I512+M512+Q512</f>
        <v>220082</v>
      </c>
    </row>
    <row r="513" spans="1:18" ht="16.5" customHeight="1" thickBot="1" x14ac:dyDescent="0.35">
      <c r="A513" s="80" t="s">
        <v>333</v>
      </c>
      <c r="B513" s="25">
        <f>(B512/31)/1.983</f>
        <v>333.4309371594033</v>
      </c>
      <c r="C513" s="25">
        <f>(C512/28)/1.983</f>
        <v>391.83055975794247</v>
      </c>
      <c r="D513" s="25">
        <f>(D512/31)/1.983</f>
        <v>328.25793437769426</v>
      </c>
      <c r="E513" s="81" t="s">
        <v>7</v>
      </c>
      <c r="F513" s="25">
        <f>(F512/30)/1.983</f>
        <v>401.4792402084384</v>
      </c>
      <c r="G513" s="25">
        <f>(G512/31)/1.983</f>
        <v>337.53029785434256</v>
      </c>
      <c r="H513" s="25">
        <f>(H512/30)/1.983</f>
        <v>226.60951420406789</v>
      </c>
      <c r="I513" s="81" t="s">
        <v>7</v>
      </c>
      <c r="J513" s="25">
        <f>(J512/31)/1.983</f>
        <v>285.91414116766708</v>
      </c>
      <c r="K513" s="25">
        <f>(K512/31)/1.983</f>
        <v>392.43245001870741</v>
      </c>
      <c r="L513" s="25">
        <f>(L512/30)/1.983</f>
        <v>353.10136157337371</v>
      </c>
      <c r="M513" s="81" t="s">
        <v>7</v>
      </c>
      <c r="N513" s="25">
        <f>(N512/31)/1.983</f>
        <v>265.49867421469588</v>
      </c>
      <c r="O513" s="25">
        <f>(O512/30)/1.983</f>
        <v>125.46646495209279</v>
      </c>
      <c r="P513" s="25">
        <f>(P512/31)/1.983</f>
        <v>212.20698518048573</v>
      </c>
      <c r="Q513" s="81" t="s">
        <v>7</v>
      </c>
      <c r="R513" s="81" t="s">
        <v>7</v>
      </c>
    </row>
    <row r="514" spans="1:18" ht="15.75" customHeight="1" x14ac:dyDescent="0.3">
      <c r="A514" s="2"/>
      <c r="B514" s="1"/>
      <c r="C514" s="1"/>
      <c r="D514" s="1"/>
      <c r="E514" s="1"/>
      <c r="F514" s="1"/>
      <c r="G514" s="1"/>
      <c r="H514" s="1"/>
      <c r="I514" s="1"/>
      <c r="J514" s="1"/>
      <c r="K514" s="1"/>
      <c r="L514" s="1"/>
      <c r="M514" s="1"/>
      <c r="N514" s="1"/>
      <c r="O514" s="1"/>
      <c r="P514" s="1"/>
      <c r="Q514" s="1"/>
      <c r="R514" s="2"/>
    </row>
    <row r="515" spans="1:18" ht="16.5" customHeight="1" thickBot="1" x14ac:dyDescent="0.35">
      <c r="A515" s="106"/>
      <c r="B515" s="21"/>
      <c r="C515" s="21"/>
      <c r="D515" s="21"/>
      <c r="E515" s="21"/>
      <c r="F515" s="21"/>
      <c r="G515" s="21"/>
      <c r="H515" s="21"/>
      <c r="I515" s="21"/>
      <c r="J515" s="21"/>
      <c r="K515" s="21"/>
      <c r="L515" s="21"/>
      <c r="M515" s="21"/>
      <c r="N515" s="21"/>
      <c r="O515" s="21"/>
      <c r="P515" s="21"/>
      <c r="Q515" s="21"/>
      <c r="R515" s="106"/>
    </row>
    <row r="516" spans="1:18" ht="16.5" customHeight="1" thickBot="1" x14ac:dyDescent="0.35">
      <c r="A516" s="124" t="s">
        <v>334</v>
      </c>
      <c r="B516" s="30" t="s">
        <v>8</v>
      </c>
      <c r="C516" s="31" t="s">
        <v>9</v>
      </c>
      <c r="D516" s="31" t="s">
        <v>10</v>
      </c>
      <c r="E516" s="32" t="s">
        <v>11</v>
      </c>
      <c r="F516" s="31" t="s">
        <v>12</v>
      </c>
      <c r="G516" s="31" t="s">
        <v>13</v>
      </c>
      <c r="H516" s="31" t="s">
        <v>14</v>
      </c>
      <c r="I516" s="33" t="s">
        <v>15</v>
      </c>
      <c r="J516" s="31" t="s">
        <v>16</v>
      </c>
      <c r="K516" s="31" t="s">
        <v>17</v>
      </c>
      <c r="L516" s="31" t="s">
        <v>18</v>
      </c>
      <c r="M516" s="33" t="s">
        <v>19</v>
      </c>
      <c r="N516" s="31" t="s">
        <v>20</v>
      </c>
      <c r="O516" s="31" t="s">
        <v>21</v>
      </c>
      <c r="P516" s="31" t="s">
        <v>22</v>
      </c>
      <c r="Q516" s="32" t="s">
        <v>23</v>
      </c>
      <c r="R516" s="49" t="s">
        <v>24</v>
      </c>
    </row>
    <row r="517" spans="1:18" ht="16.5" customHeight="1" thickBot="1" x14ac:dyDescent="0.35">
      <c r="A517" s="41"/>
      <c r="B517" s="36"/>
      <c r="C517" s="36"/>
      <c r="D517" s="36"/>
      <c r="E517" s="37"/>
      <c r="F517" s="36"/>
      <c r="G517" s="36"/>
      <c r="H517" s="36"/>
      <c r="I517" s="37"/>
      <c r="J517" s="36"/>
      <c r="K517" s="36"/>
      <c r="L517" s="36"/>
      <c r="M517" s="37"/>
      <c r="N517" s="36"/>
      <c r="O517" s="36"/>
      <c r="P517" s="36"/>
      <c r="Q517" s="127"/>
      <c r="R517" s="128"/>
    </row>
    <row r="518" spans="1:18" ht="16.5" customHeight="1" thickBot="1" x14ac:dyDescent="0.35">
      <c r="A518" s="39" t="s">
        <v>40</v>
      </c>
      <c r="B518" s="21">
        <v>20</v>
      </c>
      <c r="C518" s="21">
        <v>22</v>
      </c>
      <c r="D518" s="21">
        <v>28</v>
      </c>
      <c r="E518" s="55">
        <f>SUM(B518:D518)</f>
        <v>70</v>
      </c>
      <c r="F518" s="21">
        <v>37</v>
      </c>
      <c r="G518" s="21">
        <v>42</v>
      </c>
      <c r="H518" s="21">
        <v>44</v>
      </c>
      <c r="I518" s="55">
        <f>SUM(F518:H518)</f>
        <v>123</v>
      </c>
      <c r="J518" s="21">
        <v>39</v>
      </c>
      <c r="K518" s="21">
        <v>36</v>
      </c>
      <c r="L518" s="21">
        <v>34</v>
      </c>
      <c r="M518" s="55">
        <f>SUM(J518:L518)</f>
        <v>109</v>
      </c>
      <c r="N518" s="21">
        <v>29</v>
      </c>
      <c r="O518" s="21">
        <v>23</v>
      </c>
      <c r="P518" s="21">
        <v>19</v>
      </c>
      <c r="Q518" s="55">
        <f>SUM(N518:P518)</f>
        <v>71</v>
      </c>
      <c r="R518" s="55">
        <f>+E518+I518+M518+Q518</f>
        <v>373</v>
      </c>
    </row>
    <row r="519" spans="1:18" ht="16.5" customHeight="1" thickBot="1" x14ac:dyDescent="0.35">
      <c r="A519" s="41"/>
      <c r="B519" s="36"/>
      <c r="C519" s="36"/>
      <c r="D519" s="36"/>
      <c r="E519" s="52"/>
      <c r="F519" s="36"/>
      <c r="G519" s="36"/>
      <c r="H519" s="36"/>
      <c r="I519" s="52"/>
      <c r="J519" s="36"/>
      <c r="K519" s="36"/>
      <c r="L519" s="36"/>
      <c r="M519" s="52"/>
      <c r="N519" s="36"/>
      <c r="O519" s="36"/>
      <c r="P519" s="36"/>
      <c r="Q519" s="52"/>
      <c r="R519" s="42"/>
    </row>
    <row r="520" spans="1:18" ht="15.75" customHeight="1" x14ac:dyDescent="0.3">
      <c r="A520" s="76" t="s">
        <v>314</v>
      </c>
      <c r="B520" s="77">
        <f>B518</f>
        <v>20</v>
      </c>
      <c r="C520" s="77">
        <f>C518</f>
        <v>22</v>
      </c>
      <c r="D520" s="77">
        <f>D518</f>
        <v>28</v>
      </c>
      <c r="E520" s="60">
        <f>SUM(B520:D520)</f>
        <v>70</v>
      </c>
      <c r="F520" s="77">
        <f>F518</f>
        <v>37</v>
      </c>
      <c r="G520" s="77">
        <f>G518</f>
        <v>42</v>
      </c>
      <c r="H520" s="77">
        <f>H518</f>
        <v>44</v>
      </c>
      <c r="I520" s="60">
        <f>SUM(F520:H520)</f>
        <v>123</v>
      </c>
      <c r="J520" s="77">
        <f>J518</f>
        <v>39</v>
      </c>
      <c r="K520" s="77">
        <f>K518</f>
        <v>36</v>
      </c>
      <c r="L520" s="77">
        <f>L518</f>
        <v>34</v>
      </c>
      <c r="M520" s="60">
        <f>SUM(J520:L520)</f>
        <v>109</v>
      </c>
      <c r="N520" s="77">
        <f>N518</f>
        <v>29</v>
      </c>
      <c r="O520" s="77">
        <f>O518</f>
        <v>23</v>
      </c>
      <c r="P520" s="77">
        <f>P518</f>
        <v>19</v>
      </c>
      <c r="Q520" s="60">
        <f>SUM(N520:P520)</f>
        <v>71</v>
      </c>
      <c r="R520" s="60">
        <f>+E520+I520+M520+Q520</f>
        <v>373</v>
      </c>
    </row>
    <row r="521" spans="1:18" ht="15.75" customHeight="1" x14ac:dyDescent="0.3">
      <c r="A521" s="79" t="s">
        <v>42</v>
      </c>
      <c r="B521" s="1">
        <f>(B520/31)/1.983</f>
        <v>0.32534608689993977</v>
      </c>
      <c r="C521" s="1">
        <f>(C520/28)/1.983</f>
        <v>0.39622505583171236</v>
      </c>
      <c r="D521" s="1">
        <f>(D520/31)/1.983</f>
        <v>0.45548452165991571</v>
      </c>
      <c r="E521" s="55" t="s">
        <v>7</v>
      </c>
      <c r="F521" s="1">
        <f>(F520/30)/1.983</f>
        <v>0.62195326945705165</v>
      </c>
      <c r="G521" s="1">
        <f>(G520/31)/1.983</f>
        <v>0.68322678248987356</v>
      </c>
      <c r="H521" s="1">
        <f>(H520/30)/1.983</f>
        <v>0.73962010421919644</v>
      </c>
      <c r="I521" s="55" t="s">
        <v>7</v>
      </c>
      <c r="J521" s="1">
        <f>(J520/31)/1.983</f>
        <v>0.63442486945488263</v>
      </c>
      <c r="K521" s="1">
        <f>(K520/31)/1.983</f>
        <v>0.5856229564198917</v>
      </c>
      <c r="L521" s="1">
        <f>(L520/30)/1.983</f>
        <v>0.57152462598756093</v>
      </c>
      <c r="M521" s="55" t="s">
        <v>7</v>
      </c>
      <c r="N521" s="1">
        <f>(N520/31)/1.983</f>
        <v>0.47175182600491267</v>
      </c>
      <c r="O521" s="1">
        <f>(O520/30)/1.983</f>
        <v>0.38661959993276179</v>
      </c>
      <c r="P521" s="1">
        <f>(P520/31)/1.983</f>
        <v>0.30907878255494281</v>
      </c>
      <c r="Q521" s="55" t="s">
        <v>7</v>
      </c>
      <c r="R521" s="55" t="s">
        <v>7</v>
      </c>
    </row>
    <row r="522" spans="1:18" ht="15.75" customHeight="1" x14ac:dyDescent="0.3">
      <c r="A522" s="79" t="s">
        <v>335</v>
      </c>
      <c r="B522" s="1">
        <f>B520+B557</f>
        <v>16249</v>
      </c>
      <c r="C522" s="1">
        <f>C520+C557</f>
        <v>16947</v>
      </c>
      <c r="D522" s="1">
        <f>D520+D557</f>
        <v>14708</v>
      </c>
      <c r="E522" s="55">
        <f>SUM(B522:D522)</f>
        <v>47904</v>
      </c>
      <c r="F522" s="1">
        <f>F520+F557</f>
        <v>18424</v>
      </c>
      <c r="G522" s="1">
        <f>G520+G557</f>
        <v>19875</v>
      </c>
      <c r="H522" s="1">
        <f>H520+H557</f>
        <v>12317</v>
      </c>
      <c r="I522" s="55">
        <f>SUM(F522:H522)</f>
        <v>50616</v>
      </c>
      <c r="J522" s="1">
        <f>J520+J557</f>
        <v>14929</v>
      </c>
      <c r="K522" s="1">
        <f>K520+K557</f>
        <v>19206</v>
      </c>
      <c r="L522" s="1">
        <f>L520+L557</f>
        <v>19538</v>
      </c>
      <c r="M522" s="55">
        <f>SUM(J522:L522)</f>
        <v>53673</v>
      </c>
      <c r="N522" s="1">
        <f>N520+N557</f>
        <v>13295</v>
      </c>
      <c r="O522" s="1">
        <f>O520+O557</f>
        <v>5655</v>
      </c>
      <c r="P522" s="1">
        <f>P520+P557</f>
        <v>11178</v>
      </c>
      <c r="Q522" s="55">
        <f>SUM(N522:P522)</f>
        <v>30128</v>
      </c>
      <c r="R522" s="55">
        <f>+E522+I522+M522+Q522</f>
        <v>182321</v>
      </c>
    </row>
    <row r="523" spans="1:18" ht="16.5" customHeight="1" thickBot="1" x14ac:dyDescent="0.35">
      <c r="A523" s="80" t="s">
        <v>336</v>
      </c>
      <c r="B523" s="25">
        <f>(B522/31)/1.983</f>
        <v>264.32742830185606</v>
      </c>
      <c r="C523" s="25">
        <f>(C522/28)/1.983</f>
        <v>305.21936459909227</v>
      </c>
      <c r="D523" s="25">
        <f>(D522/31)/1.983</f>
        <v>239.25951230621573</v>
      </c>
      <c r="E523" s="81" t="s">
        <v>7</v>
      </c>
      <c r="F523" s="25">
        <f>(F522/30)/1.983</f>
        <v>309.69910909396538</v>
      </c>
      <c r="G523" s="25">
        <f>(G522/31)/1.983</f>
        <v>323.31267385681519</v>
      </c>
      <c r="H523" s="25">
        <f>(H522/30)/1.983</f>
        <v>207.04320053790551</v>
      </c>
      <c r="I523" s="81" t="s">
        <v>7</v>
      </c>
      <c r="J523" s="25">
        <f>(J522/31)/1.983</f>
        <v>242.85458656646006</v>
      </c>
      <c r="K523" s="25">
        <f>(K522/31)/1.983</f>
        <v>312.42984725001219</v>
      </c>
      <c r="L523" s="25">
        <f>(L522/30)/1.983</f>
        <v>328.42494536896953</v>
      </c>
      <c r="M523" s="81" t="s">
        <v>7</v>
      </c>
      <c r="N523" s="25">
        <f>(N522/31)/1.983</f>
        <v>216.27381126673498</v>
      </c>
      <c r="O523" s="25">
        <f>(O522/30)/1.983</f>
        <v>95.057992939989916</v>
      </c>
      <c r="P523" s="25">
        <f>(P522/31)/1.983</f>
        <v>181.83592796837635</v>
      </c>
      <c r="Q523" s="81" t="s">
        <v>7</v>
      </c>
      <c r="R523" s="81" t="s">
        <v>7</v>
      </c>
    </row>
    <row r="524" spans="1:18" ht="15.75" customHeight="1" x14ac:dyDescent="0.3">
      <c r="A524" s="28"/>
      <c r="B524" s="1"/>
      <c r="C524" s="1"/>
      <c r="D524" s="1"/>
      <c r="E524" s="1"/>
      <c r="F524" s="1"/>
      <c r="G524" s="1"/>
      <c r="H524" s="1"/>
      <c r="I524" s="1"/>
      <c r="J524" s="1"/>
      <c r="K524" s="1"/>
      <c r="L524" s="1"/>
      <c r="M524" s="1"/>
      <c r="N524" s="1"/>
      <c r="O524" s="1"/>
      <c r="P524" s="1"/>
      <c r="Q524" s="1"/>
      <c r="R524" s="2"/>
    </row>
    <row r="525" spans="1:18" ht="15.75" customHeight="1" thickBot="1" x14ac:dyDescent="0.35">
      <c r="A525" s="28"/>
      <c r="B525" s="1"/>
      <c r="C525" s="1"/>
      <c r="D525" s="1"/>
      <c r="E525" s="1"/>
      <c r="F525" s="1"/>
      <c r="G525" s="1"/>
      <c r="H525" s="1"/>
      <c r="I525" s="1"/>
      <c r="J525" s="1"/>
      <c r="K525" s="1"/>
      <c r="L525" s="1"/>
      <c r="M525" s="1"/>
      <c r="N525" s="1"/>
      <c r="O525" s="1"/>
      <c r="P525" s="1"/>
      <c r="Q525" s="1"/>
      <c r="R525" s="2"/>
    </row>
    <row r="526" spans="1:18" ht="16.5" customHeight="1" thickBot="1" x14ac:dyDescent="0.35">
      <c r="A526" s="29" t="s">
        <v>337</v>
      </c>
      <c r="B526" s="30" t="s">
        <v>8</v>
      </c>
      <c r="C526" s="31" t="s">
        <v>9</v>
      </c>
      <c r="D526" s="31" t="s">
        <v>10</v>
      </c>
      <c r="E526" s="32" t="s">
        <v>11</v>
      </c>
      <c r="F526" s="31" t="s">
        <v>12</v>
      </c>
      <c r="G526" s="31" t="s">
        <v>13</v>
      </c>
      <c r="H526" s="31" t="s">
        <v>14</v>
      </c>
      <c r="I526" s="33" t="s">
        <v>15</v>
      </c>
      <c r="J526" s="31" t="s">
        <v>16</v>
      </c>
      <c r="K526" s="31" t="s">
        <v>17</v>
      </c>
      <c r="L526" s="31" t="s">
        <v>18</v>
      </c>
      <c r="M526" s="33" t="s">
        <v>19</v>
      </c>
      <c r="N526" s="31" t="s">
        <v>20</v>
      </c>
      <c r="O526" s="31" t="s">
        <v>21</v>
      </c>
      <c r="P526" s="31" t="s">
        <v>22</v>
      </c>
      <c r="Q526" s="33" t="s">
        <v>23</v>
      </c>
      <c r="R526" s="34" t="s">
        <v>24</v>
      </c>
    </row>
    <row r="527" spans="1:18" ht="16.5" customHeight="1" thickBot="1" x14ac:dyDescent="0.35">
      <c r="A527" s="41"/>
      <c r="B527" s="36"/>
      <c r="C527" s="36"/>
      <c r="D527" s="36"/>
      <c r="E527" s="52"/>
      <c r="F527" s="36"/>
      <c r="G527" s="36"/>
      <c r="H527" s="36"/>
      <c r="I527" s="52"/>
      <c r="J527" s="36"/>
      <c r="K527" s="36"/>
      <c r="L527" s="36"/>
      <c r="M527" s="52"/>
      <c r="N527" s="36"/>
      <c r="O527" s="36"/>
      <c r="P527" s="36"/>
      <c r="Q527" s="52"/>
      <c r="R527" s="38"/>
    </row>
    <row r="528" spans="1:18" ht="15.75" customHeight="1" x14ac:dyDescent="0.3">
      <c r="A528" s="15" t="s">
        <v>48</v>
      </c>
      <c r="B528" s="1" t="s">
        <v>7</v>
      </c>
      <c r="C528" s="1" t="s">
        <v>7</v>
      </c>
      <c r="D528" s="1" t="s">
        <v>7</v>
      </c>
      <c r="E528" s="55" t="s">
        <v>7</v>
      </c>
      <c r="F528" s="1" t="s">
        <v>7</v>
      </c>
      <c r="G528" s="1" t="s">
        <v>7</v>
      </c>
      <c r="H528" s="1" t="s">
        <v>7</v>
      </c>
      <c r="I528" s="55" t="s">
        <v>7</v>
      </c>
      <c r="J528" s="1" t="s">
        <v>7</v>
      </c>
      <c r="K528" s="1" t="s">
        <v>7</v>
      </c>
      <c r="L528" s="1" t="s">
        <v>7</v>
      </c>
      <c r="M528" s="55" t="s">
        <v>7</v>
      </c>
      <c r="N528" s="1" t="s">
        <v>7</v>
      </c>
      <c r="O528" s="1" t="s">
        <v>7</v>
      </c>
      <c r="P528" s="1" t="s">
        <v>7</v>
      </c>
      <c r="Q528" s="55" t="s">
        <v>7</v>
      </c>
      <c r="R528" s="55" t="s">
        <v>7</v>
      </c>
    </row>
    <row r="529" spans="1:18" ht="15.75" customHeight="1" x14ac:dyDescent="0.3">
      <c r="A529" s="15" t="s">
        <v>49</v>
      </c>
      <c r="B529" s="1"/>
      <c r="C529" s="1"/>
      <c r="D529" s="1"/>
      <c r="E529" s="55" t="s">
        <v>7</v>
      </c>
      <c r="F529" s="1"/>
      <c r="G529" s="1"/>
      <c r="H529" s="1"/>
      <c r="I529" s="55" t="s">
        <v>7</v>
      </c>
      <c r="J529" s="1"/>
      <c r="K529" s="1"/>
      <c r="L529" s="1"/>
      <c r="M529" s="55" t="s">
        <v>7</v>
      </c>
      <c r="N529" s="1"/>
      <c r="O529" s="1"/>
      <c r="P529" s="1"/>
      <c r="Q529" s="55" t="s">
        <v>7</v>
      </c>
      <c r="R529" s="55" t="s">
        <v>7</v>
      </c>
    </row>
    <row r="530" spans="1:18" ht="15.75" customHeight="1" x14ac:dyDescent="0.3">
      <c r="A530" s="71" t="s">
        <v>772</v>
      </c>
      <c r="B530" s="1">
        <v>0</v>
      </c>
      <c r="C530" s="1">
        <v>0</v>
      </c>
      <c r="D530" s="1">
        <v>88</v>
      </c>
      <c r="E530" s="55">
        <f>SUM(B530:D530)</f>
        <v>88</v>
      </c>
      <c r="F530" s="1">
        <f>1176+51</f>
        <v>1227</v>
      </c>
      <c r="G530" s="1">
        <f>2092+585</f>
        <v>2677</v>
      </c>
      <c r="H530" s="1">
        <f>1356+679</f>
        <v>2035</v>
      </c>
      <c r="I530" s="55">
        <f>SUM(F530:H530)</f>
        <v>5939</v>
      </c>
      <c r="J530" s="1">
        <f>1908+763</f>
        <v>2671</v>
      </c>
      <c r="K530" s="1">
        <f>2318+684</f>
        <v>3002</v>
      </c>
      <c r="L530" s="1">
        <f>608+14</f>
        <v>622</v>
      </c>
      <c r="M530" s="55">
        <f>SUM(J530:L530)</f>
        <v>6295</v>
      </c>
      <c r="N530" s="1">
        <v>161</v>
      </c>
      <c r="O530" s="1">
        <v>107</v>
      </c>
      <c r="P530" s="1">
        <v>77</v>
      </c>
      <c r="Q530" s="55">
        <f>SUM(N530:P530)</f>
        <v>345</v>
      </c>
      <c r="R530" s="55">
        <f>+E530+I530+M530+Q530</f>
        <v>12667</v>
      </c>
    </row>
    <row r="531" spans="1:18" ht="15.75" customHeight="1" x14ac:dyDescent="0.3">
      <c r="A531" s="71" t="s">
        <v>339</v>
      </c>
      <c r="B531" s="1">
        <v>0</v>
      </c>
      <c r="C531" s="1">
        <v>0</v>
      </c>
      <c r="D531" s="1">
        <v>0</v>
      </c>
      <c r="E531" s="55">
        <f>SUM(B531:D531)</f>
        <v>0</v>
      </c>
      <c r="F531" s="1">
        <v>3</v>
      </c>
      <c r="G531" s="1">
        <v>88</v>
      </c>
      <c r="H531" s="1">
        <v>75</v>
      </c>
      <c r="I531" s="55">
        <f>SUM(F531:H531)</f>
        <v>166</v>
      </c>
      <c r="J531" s="1">
        <v>72</v>
      </c>
      <c r="K531" s="1">
        <v>94</v>
      </c>
      <c r="L531" s="1">
        <v>24</v>
      </c>
      <c r="M531" s="55">
        <f>SUM(J531:L531)</f>
        <v>190</v>
      </c>
      <c r="N531" s="1">
        <v>0</v>
      </c>
      <c r="O531" s="1">
        <v>0</v>
      </c>
      <c r="P531" s="1">
        <v>0</v>
      </c>
      <c r="Q531" s="55">
        <f>SUM(N531:P531)</f>
        <v>0</v>
      </c>
      <c r="R531" s="55">
        <f>+E531+I531+M531+Q531</f>
        <v>356</v>
      </c>
    </row>
    <row r="532" spans="1:18" ht="15.75" customHeight="1" x14ac:dyDescent="0.3">
      <c r="A532" s="15" t="s">
        <v>50</v>
      </c>
      <c r="B532" s="1"/>
      <c r="C532" s="1"/>
      <c r="D532" s="1"/>
      <c r="E532" s="55" t="s">
        <v>7</v>
      </c>
      <c r="F532" s="1"/>
      <c r="G532" s="1"/>
      <c r="H532" s="1"/>
      <c r="I532" s="55" t="s">
        <v>7</v>
      </c>
      <c r="J532" s="1"/>
      <c r="K532" s="1"/>
      <c r="L532" s="1"/>
      <c r="M532" s="55" t="s">
        <v>7</v>
      </c>
      <c r="N532" s="1"/>
      <c r="O532" s="1"/>
      <c r="P532" s="1"/>
      <c r="Q532" s="55" t="s">
        <v>7</v>
      </c>
      <c r="R532" s="55" t="s">
        <v>7</v>
      </c>
    </row>
    <row r="533" spans="1:18" ht="15.75" customHeight="1" x14ac:dyDescent="0.3">
      <c r="A533" s="15" t="s">
        <v>51</v>
      </c>
      <c r="B533" s="1"/>
      <c r="C533" s="1"/>
      <c r="D533" s="1"/>
      <c r="E533" s="55" t="s">
        <v>7</v>
      </c>
      <c r="F533" s="1"/>
      <c r="G533" s="1"/>
      <c r="H533" s="1"/>
      <c r="I533" s="55" t="s">
        <v>7</v>
      </c>
      <c r="J533" s="1"/>
      <c r="K533" s="1"/>
      <c r="L533" s="1"/>
      <c r="M533" s="55" t="s">
        <v>7</v>
      </c>
      <c r="N533" s="1"/>
      <c r="O533" s="1"/>
      <c r="P533" s="1"/>
      <c r="Q533" s="55" t="s">
        <v>7</v>
      </c>
      <c r="R533" s="55" t="s">
        <v>7</v>
      </c>
    </row>
    <row r="534" spans="1:18" ht="15.75" customHeight="1" thickBot="1" x14ac:dyDescent="0.35">
      <c r="A534" s="15" t="s">
        <v>53</v>
      </c>
      <c r="B534" s="1"/>
      <c r="C534" s="1"/>
      <c r="D534" s="1"/>
      <c r="E534" s="55" t="s">
        <v>7</v>
      </c>
      <c r="F534" s="1"/>
      <c r="G534" s="1"/>
      <c r="H534" s="1"/>
      <c r="I534" s="55" t="s">
        <v>7</v>
      </c>
      <c r="J534" s="1"/>
      <c r="K534" s="1"/>
      <c r="L534" s="1"/>
      <c r="M534" s="55" t="s">
        <v>7</v>
      </c>
      <c r="N534" s="1"/>
      <c r="O534" s="1"/>
      <c r="P534" s="1"/>
      <c r="Q534" s="55" t="s">
        <v>7</v>
      </c>
      <c r="R534" s="55" t="s">
        <v>7</v>
      </c>
    </row>
    <row r="535" spans="1:18" ht="16.5" customHeight="1" thickBot="1" x14ac:dyDescent="0.35">
      <c r="A535" s="109" t="s">
        <v>54</v>
      </c>
      <c r="B535" s="86">
        <f>SUM(B528:B534)</f>
        <v>0</v>
      </c>
      <c r="C535" s="87">
        <f>SUM(C528:C534)</f>
        <v>0</v>
      </c>
      <c r="D535" s="87">
        <f>SUM(D528:D534)</f>
        <v>88</v>
      </c>
      <c r="E535" s="59">
        <f>SUM(B535:D535)</f>
        <v>88</v>
      </c>
      <c r="F535" s="87">
        <f>SUM(F528:F534)</f>
        <v>1230</v>
      </c>
      <c r="G535" s="87">
        <f>SUM(G528:G534)</f>
        <v>2765</v>
      </c>
      <c r="H535" s="87">
        <f>SUM(H528:H534)</f>
        <v>2110</v>
      </c>
      <c r="I535" s="59">
        <f>SUM(F535:H535)</f>
        <v>6105</v>
      </c>
      <c r="J535" s="87">
        <f>SUM(J528:J534)</f>
        <v>2743</v>
      </c>
      <c r="K535" s="87">
        <f>SUM(K528:K534)</f>
        <v>3096</v>
      </c>
      <c r="L535" s="87">
        <f>SUM(L528:L534)</f>
        <v>646</v>
      </c>
      <c r="M535" s="59">
        <f>SUM(J535:L535)</f>
        <v>6485</v>
      </c>
      <c r="N535" s="87">
        <f>SUM(N528:N534)</f>
        <v>161</v>
      </c>
      <c r="O535" s="87">
        <f>SUM(O528:O534)</f>
        <v>107</v>
      </c>
      <c r="P535" s="87">
        <f>SUM(P528:P534)</f>
        <v>77</v>
      </c>
      <c r="Q535" s="59">
        <f>SUM(N535:P535)</f>
        <v>345</v>
      </c>
      <c r="R535" s="59">
        <f>+E535+I535+M535+Q535</f>
        <v>13023</v>
      </c>
    </row>
    <row r="536" spans="1:18" ht="15.75" customHeight="1" x14ac:dyDescent="0.3">
      <c r="A536" s="15" t="s">
        <v>55</v>
      </c>
      <c r="B536" s="1"/>
      <c r="C536" s="1"/>
      <c r="D536" s="1"/>
      <c r="E536" s="55" t="s">
        <v>7</v>
      </c>
      <c r="F536" s="1"/>
      <c r="G536" s="1"/>
      <c r="H536" s="1"/>
      <c r="I536" s="55" t="s">
        <v>7</v>
      </c>
      <c r="J536" s="1"/>
      <c r="K536" s="1"/>
      <c r="L536" s="1"/>
      <c r="M536" s="55" t="s">
        <v>7</v>
      </c>
      <c r="N536" s="1"/>
      <c r="O536" s="1"/>
      <c r="P536" s="1"/>
      <c r="Q536" s="55" t="s">
        <v>7</v>
      </c>
      <c r="R536" s="55" t="s">
        <v>7</v>
      </c>
    </row>
    <row r="537" spans="1:18" ht="15.75" customHeight="1" x14ac:dyDescent="0.3">
      <c r="A537" s="15" t="s">
        <v>57</v>
      </c>
      <c r="B537" s="1"/>
      <c r="C537" s="1"/>
      <c r="D537" s="1"/>
      <c r="E537" s="55" t="s">
        <v>7</v>
      </c>
      <c r="F537" s="1"/>
      <c r="G537" s="1"/>
      <c r="H537" s="1"/>
      <c r="I537" s="55" t="s">
        <v>7</v>
      </c>
      <c r="J537" s="1"/>
      <c r="K537" s="1"/>
      <c r="L537" s="1"/>
      <c r="M537" s="55" t="s">
        <v>7</v>
      </c>
      <c r="N537" s="1"/>
      <c r="O537" s="1"/>
      <c r="P537" s="1"/>
      <c r="Q537" s="55" t="s">
        <v>7</v>
      </c>
      <c r="R537" s="55" t="s">
        <v>7</v>
      </c>
    </row>
    <row r="538" spans="1:18" ht="15.75" customHeight="1" thickBot="1" x14ac:dyDescent="0.35">
      <c r="A538" s="15" t="s">
        <v>58</v>
      </c>
      <c r="B538" s="1"/>
      <c r="C538" s="1"/>
      <c r="D538" s="1"/>
      <c r="E538" s="55" t="s">
        <v>7</v>
      </c>
      <c r="F538" s="1"/>
      <c r="G538" s="1"/>
      <c r="H538" s="1"/>
      <c r="I538" s="55" t="s">
        <v>7</v>
      </c>
      <c r="J538" s="1"/>
      <c r="K538" s="1"/>
      <c r="L538" s="1"/>
      <c r="M538" s="55" t="s">
        <v>7</v>
      </c>
      <c r="N538" s="1"/>
      <c r="O538" s="1"/>
      <c r="P538" s="1"/>
      <c r="Q538" s="55" t="s">
        <v>7</v>
      </c>
      <c r="R538" s="55" t="s">
        <v>7</v>
      </c>
    </row>
    <row r="539" spans="1:18" ht="16.5" customHeight="1" thickBot="1" x14ac:dyDescent="0.35">
      <c r="A539" s="57" t="s">
        <v>59</v>
      </c>
      <c r="B539" s="86">
        <f>SUM(B536:B538)</f>
        <v>0</v>
      </c>
      <c r="C539" s="87">
        <f>SUM(C536:C538)</f>
        <v>0</v>
      </c>
      <c r="D539" s="87">
        <f>SUM(D536:D538)</f>
        <v>0</v>
      </c>
      <c r="E539" s="59">
        <f>SUM(B539:D539)</f>
        <v>0</v>
      </c>
      <c r="F539" s="87">
        <f>SUM(F536:F538)</f>
        <v>0</v>
      </c>
      <c r="G539" s="87">
        <f>SUM(G536:G538)</f>
        <v>0</v>
      </c>
      <c r="H539" s="87">
        <f>SUM(H536:H538)</f>
        <v>0</v>
      </c>
      <c r="I539" s="59">
        <f>SUM(F539:H539)</f>
        <v>0</v>
      </c>
      <c r="J539" s="87">
        <f>SUM(J536:J538)</f>
        <v>0</v>
      </c>
      <c r="K539" s="87">
        <f>SUM(K536:K538)</f>
        <v>0</v>
      </c>
      <c r="L539" s="87">
        <f>SUM(L536:L538)</f>
        <v>0</v>
      </c>
      <c r="M539" s="59">
        <f>SUM(J539:L539)</f>
        <v>0</v>
      </c>
      <c r="N539" s="87">
        <f>SUM(N536:N538)</f>
        <v>0</v>
      </c>
      <c r="O539" s="87">
        <f>SUM(O536:O538)</f>
        <v>0</v>
      </c>
      <c r="P539" s="87">
        <f>SUM(P536:P538)</f>
        <v>0</v>
      </c>
      <c r="Q539" s="59">
        <f>SUM(N539:P539)</f>
        <v>0</v>
      </c>
      <c r="R539" s="59">
        <f>+E539+I539+M539+Q539</f>
        <v>0</v>
      </c>
    </row>
    <row r="540" spans="1:18" ht="15.75" customHeight="1" x14ac:dyDescent="0.3">
      <c r="A540" s="15" t="s">
        <v>60</v>
      </c>
      <c r="B540" s="1"/>
      <c r="C540" s="1"/>
      <c r="D540" s="1"/>
      <c r="E540" s="55" t="s">
        <v>7</v>
      </c>
      <c r="F540" s="1"/>
      <c r="G540" s="1"/>
      <c r="H540" s="1"/>
      <c r="I540" s="55" t="s">
        <v>7</v>
      </c>
      <c r="J540" s="1"/>
      <c r="K540" s="1"/>
      <c r="L540" s="1"/>
      <c r="M540" s="55" t="s">
        <v>7</v>
      </c>
      <c r="N540" s="1"/>
      <c r="O540" s="1"/>
      <c r="P540" s="1"/>
      <c r="Q540" s="55" t="s">
        <v>7</v>
      </c>
      <c r="R540" s="55" t="s">
        <v>7</v>
      </c>
    </row>
    <row r="541" spans="1:18" ht="15.75" customHeight="1" x14ac:dyDescent="0.3">
      <c r="A541" s="15" t="s">
        <v>61</v>
      </c>
      <c r="B541" s="1"/>
      <c r="C541" s="1"/>
      <c r="D541" s="1"/>
      <c r="E541" s="55" t="s">
        <v>7</v>
      </c>
      <c r="F541" s="1"/>
      <c r="G541" s="1"/>
      <c r="H541" s="1"/>
      <c r="I541" s="55" t="s">
        <v>7</v>
      </c>
      <c r="J541" s="1"/>
      <c r="K541" s="1"/>
      <c r="L541" s="1"/>
      <c r="M541" s="55" t="s">
        <v>7</v>
      </c>
      <c r="N541" s="1"/>
      <c r="O541" s="1"/>
      <c r="P541" s="1"/>
      <c r="Q541" s="55" t="s">
        <v>7</v>
      </c>
      <c r="R541" s="55" t="s">
        <v>7</v>
      </c>
    </row>
    <row r="542" spans="1:18" ht="15.75" customHeight="1" thickBot="1" x14ac:dyDescent="0.35">
      <c r="A542" s="15" t="s">
        <v>62</v>
      </c>
      <c r="B542" s="1"/>
      <c r="C542" s="1"/>
      <c r="D542" s="1"/>
      <c r="E542" s="55" t="s">
        <v>7</v>
      </c>
      <c r="F542" s="1"/>
      <c r="G542" s="1"/>
      <c r="H542" s="1"/>
      <c r="I542" s="55" t="s">
        <v>7</v>
      </c>
      <c r="J542" s="1"/>
      <c r="K542" s="1"/>
      <c r="L542" s="1"/>
      <c r="M542" s="55" t="s">
        <v>7</v>
      </c>
      <c r="N542" s="1"/>
      <c r="O542" s="1"/>
      <c r="P542" s="1"/>
      <c r="Q542" s="55" t="s">
        <v>7</v>
      </c>
      <c r="R542" s="55" t="s">
        <v>7</v>
      </c>
    </row>
    <row r="543" spans="1:18" ht="16.5" customHeight="1" thickBot="1" x14ac:dyDescent="0.35">
      <c r="A543" s="114" t="s">
        <v>63</v>
      </c>
      <c r="B543" s="86">
        <f>SUM(B540:B542)</f>
        <v>0</v>
      </c>
      <c r="C543" s="87">
        <f>SUM(C540:C542)</f>
        <v>0</v>
      </c>
      <c r="D543" s="87">
        <f>SUM(D540:D542)</f>
        <v>0</v>
      </c>
      <c r="E543" s="59">
        <f>SUM(B543:D543)</f>
        <v>0</v>
      </c>
      <c r="F543" s="87">
        <f>SUM(F540:F542)</f>
        <v>0</v>
      </c>
      <c r="G543" s="87">
        <f>SUM(G540:G542)</f>
        <v>0</v>
      </c>
      <c r="H543" s="87">
        <f>SUM(H540:H542)</f>
        <v>0</v>
      </c>
      <c r="I543" s="59">
        <f>SUM(F543:H543)</f>
        <v>0</v>
      </c>
      <c r="J543" s="87">
        <f>SUM(J540:J542)</f>
        <v>0</v>
      </c>
      <c r="K543" s="87">
        <f>SUM(K540:K542)</f>
        <v>0</v>
      </c>
      <c r="L543" s="87">
        <f>SUM(L540:L542)</f>
        <v>0</v>
      </c>
      <c r="M543" s="59">
        <f>SUM(J543:L543)</f>
        <v>0</v>
      </c>
      <c r="N543" s="87">
        <f>SUM(N540:N542)</f>
        <v>0</v>
      </c>
      <c r="O543" s="87">
        <f>SUM(O540:O542)</f>
        <v>0</v>
      </c>
      <c r="P543" s="87">
        <f>SUM(P540:P542)</f>
        <v>0</v>
      </c>
      <c r="Q543" s="59">
        <f>SUM(N543:P543)</f>
        <v>0</v>
      </c>
      <c r="R543" s="59">
        <f>+E543+I543+M543+Q543</f>
        <v>0</v>
      </c>
    </row>
    <row r="544" spans="1:18" ht="15.75" customHeight="1" x14ac:dyDescent="0.3">
      <c r="A544" s="15" t="s">
        <v>64</v>
      </c>
      <c r="B544" s="1"/>
      <c r="C544" s="1"/>
      <c r="D544" s="1"/>
      <c r="E544" s="55" t="s">
        <v>7</v>
      </c>
      <c r="F544" s="1"/>
      <c r="G544" s="1"/>
      <c r="H544" s="1"/>
      <c r="I544" s="55" t="s">
        <v>7</v>
      </c>
      <c r="J544" s="1"/>
      <c r="K544" s="1"/>
      <c r="L544" s="1"/>
      <c r="M544" s="55" t="s">
        <v>7</v>
      </c>
      <c r="N544" s="1"/>
      <c r="O544" s="1"/>
      <c r="P544" s="1"/>
      <c r="Q544" s="55" t="s">
        <v>7</v>
      </c>
      <c r="R544" s="55" t="s">
        <v>7</v>
      </c>
    </row>
    <row r="545" spans="1:18" ht="15.75" customHeight="1" x14ac:dyDescent="0.3">
      <c r="A545" s="15" t="s">
        <v>594</v>
      </c>
      <c r="B545" s="1"/>
      <c r="C545" s="1"/>
      <c r="D545" s="1"/>
      <c r="E545" s="55" t="s">
        <v>7</v>
      </c>
      <c r="F545" s="1"/>
      <c r="G545" s="1"/>
      <c r="H545" s="1"/>
      <c r="I545" s="55" t="s">
        <v>7</v>
      </c>
      <c r="J545" s="1"/>
      <c r="K545" s="1"/>
      <c r="L545" s="1"/>
      <c r="M545" s="55" t="s">
        <v>7</v>
      </c>
      <c r="N545" s="1"/>
      <c r="O545" s="1"/>
      <c r="P545" s="1"/>
      <c r="Q545" s="55" t="s">
        <v>7</v>
      </c>
      <c r="R545" s="55" t="s">
        <v>7</v>
      </c>
    </row>
    <row r="546" spans="1:18" ht="15.75" customHeight="1" x14ac:dyDescent="0.3">
      <c r="A546" s="15" t="s">
        <v>67</v>
      </c>
      <c r="B546" s="1"/>
      <c r="C546" s="1"/>
      <c r="D546" s="1"/>
      <c r="E546" s="55" t="s">
        <v>7</v>
      </c>
      <c r="F546" s="1"/>
      <c r="G546" s="1"/>
      <c r="H546" s="1"/>
      <c r="I546" s="55" t="s">
        <v>7</v>
      </c>
      <c r="J546" s="1"/>
      <c r="K546" s="1"/>
      <c r="L546" s="1"/>
      <c r="M546" s="55" t="s">
        <v>7</v>
      </c>
      <c r="N546" s="1"/>
      <c r="O546" s="1"/>
      <c r="P546" s="1"/>
      <c r="Q546" s="55" t="s">
        <v>7</v>
      </c>
      <c r="R546" s="55" t="s">
        <v>7</v>
      </c>
    </row>
    <row r="547" spans="1:18" ht="15.75" customHeight="1" x14ac:dyDescent="0.3">
      <c r="A547" s="71" t="s">
        <v>773</v>
      </c>
      <c r="B547" s="1">
        <v>0</v>
      </c>
      <c r="C547" s="1">
        <v>0</v>
      </c>
      <c r="D547" s="1">
        <v>0</v>
      </c>
      <c r="E547" s="55">
        <f>SUM(B547:D547)</f>
        <v>0</v>
      </c>
      <c r="F547" s="1">
        <v>0</v>
      </c>
      <c r="G547" s="1">
        <v>0</v>
      </c>
      <c r="H547" s="1">
        <v>0</v>
      </c>
      <c r="I547" s="55">
        <f>SUM(F547:H547)</f>
        <v>0</v>
      </c>
      <c r="J547" s="1">
        <v>0</v>
      </c>
      <c r="K547" s="1">
        <v>0</v>
      </c>
      <c r="L547" s="1">
        <v>0</v>
      </c>
      <c r="M547" s="55">
        <f>SUM(J547:L547)</f>
        <v>0</v>
      </c>
      <c r="N547" s="1">
        <v>0</v>
      </c>
      <c r="O547" s="1">
        <v>0</v>
      </c>
      <c r="P547" s="1">
        <v>0</v>
      </c>
      <c r="Q547" s="55">
        <f>SUM(N547:P547)</f>
        <v>0</v>
      </c>
      <c r="R547" s="55">
        <f>+E547+I547+M547+Q547</f>
        <v>0</v>
      </c>
    </row>
    <row r="548" spans="1:18" ht="15.75" customHeight="1" x14ac:dyDescent="0.3">
      <c r="A548" s="15" t="s">
        <v>600</v>
      </c>
      <c r="B548" s="1"/>
      <c r="C548" s="1"/>
      <c r="D548" s="1"/>
      <c r="E548" s="55" t="s">
        <v>7</v>
      </c>
      <c r="F548" s="1"/>
      <c r="G548" s="1"/>
      <c r="H548" s="1"/>
      <c r="I548" s="55" t="s">
        <v>7</v>
      </c>
      <c r="J548" s="1"/>
      <c r="K548" s="1"/>
      <c r="L548" s="1"/>
      <c r="M548" s="55" t="s">
        <v>7</v>
      </c>
      <c r="N548" s="1"/>
      <c r="O548" s="1"/>
      <c r="P548" s="1"/>
      <c r="Q548" s="55" t="s">
        <v>7</v>
      </c>
      <c r="R548" s="55" t="s">
        <v>7</v>
      </c>
    </row>
    <row r="549" spans="1:18" ht="15.75" customHeight="1" thickBot="1" x14ac:dyDescent="0.35">
      <c r="A549" s="15" t="s">
        <v>70</v>
      </c>
      <c r="B549" s="1"/>
      <c r="C549" s="1"/>
      <c r="D549" s="1"/>
      <c r="E549" s="55" t="s">
        <v>7</v>
      </c>
      <c r="F549" s="1"/>
      <c r="G549" s="1"/>
      <c r="H549" s="1"/>
      <c r="I549" s="55" t="s">
        <v>7</v>
      </c>
      <c r="J549" s="1"/>
      <c r="K549" s="1"/>
      <c r="L549" s="1"/>
      <c r="M549" s="55" t="s">
        <v>7</v>
      </c>
      <c r="N549" s="1"/>
      <c r="O549" s="1"/>
      <c r="P549" s="1"/>
      <c r="Q549" s="55" t="s">
        <v>7</v>
      </c>
      <c r="R549" s="55" t="s">
        <v>7</v>
      </c>
    </row>
    <row r="550" spans="1:18" ht="16.5" customHeight="1" thickBot="1" x14ac:dyDescent="0.35">
      <c r="A550" s="57" t="s">
        <v>71</v>
      </c>
      <c r="B550" s="58">
        <f>SUM(B548:B549)</f>
        <v>0</v>
      </c>
      <c r="C550" s="58">
        <f>SUM(C548:C549)</f>
        <v>0</v>
      </c>
      <c r="D550" s="58">
        <f>SUM(D548:D549)</f>
        <v>0</v>
      </c>
      <c r="E550" s="60">
        <f>SUM(B550:D550)</f>
        <v>0</v>
      </c>
      <c r="F550" s="58">
        <f>SUM(F548:F549)</f>
        <v>0</v>
      </c>
      <c r="G550" s="58">
        <f>SUM(G548:G549)</f>
        <v>0</v>
      </c>
      <c r="H550" s="58">
        <f>SUM(H548:H549)</f>
        <v>0</v>
      </c>
      <c r="I550" s="60">
        <f>SUM(F550:H550)</f>
        <v>0</v>
      </c>
      <c r="J550" s="58">
        <f>SUM(J548:J549)</f>
        <v>0</v>
      </c>
      <c r="K550" s="58">
        <f>SUM(K548:K549)</f>
        <v>0</v>
      </c>
      <c r="L550" s="58">
        <f>SUM(L548:L549)</f>
        <v>0</v>
      </c>
      <c r="M550" s="60">
        <f>SUM(J550:L550)</f>
        <v>0</v>
      </c>
      <c r="N550" s="58">
        <f>SUM(N548:N549)</f>
        <v>0</v>
      </c>
      <c r="O550" s="58">
        <f>SUM(O548:O549)</f>
        <v>0</v>
      </c>
      <c r="P550" s="58">
        <f>SUM(P548:P549)</f>
        <v>0</v>
      </c>
      <c r="Q550" s="60">
        <f>SUM(N550:P550)</f>
        <v>0</v>
      </c>
      <c r="R550" s="59">
        <f>+E550+I550+M550+Q550</f>
        <v>0</v>
      </c>
    </row>
    <row r="551" spans="1:18" ht="16.5" customHeight="1" thickBot="1" x14ac:dyDescent="0.35">
      <c r="A551" s="114" t="s">
        <v>72</v>
      </c>
      <c r="B551" s="86">
        <f>SUM(B544:B549)</f>
        <v>0</v>
      </c>
      <c r="C551" s="87">
        <f>SUM(C544:C549)</f>
        <v>0</v>
      </c>
      <c r="D551" s="118">
        <f>SUM(D544:D549)</f>
        <v>0</v>
      </c>
      <c r="E551" s="60">
        <f>SUM(B551:D551)</f>
        <v>0</v>
      </c>
      <c r="F551" s="87">
        <f>SUM(F544:F549)</f>
        <v>0</v>
      </c>
      <c r="G551" s="87">
        <f>SUM(G544:G549)</f>
        <v>0</v>
      </c>
      <c r="H551" s="87">
        <f>SUM(H544:H549)</f>
        <v>0</v>
      </c>
      <c r="I551" s="60">
        <f>SUM(F551:H551)</f>
        <v>0</v>
      </c>
      <c r="J551" s="87">
        <f>SUM(J544:J549)</f>
        <v>0</v>
      </c>
      <c r="K551" s="87">
        <f>SUM(K544:K549)</f>
        <v>0</v>
      </c>
      <c r="L551" s="87">
        <f>SUM(L544:L549)</f>
        <v>0</v>
      </c>
      <c r="M551" s="60">
        <f>SUM(J551:L551)</f>
        <v>0</v>
      </c>
      <c r="N551" s="87">
        <f>SUM(N544:N549)</f>
        <v>0</v>
      </c>
      <c r="O551" s="87">
        <f>SUM(O544:O549)</f>
        <v>0</v>
      </c>
      <c r="P551" s="87">
        <f>SUM(P544:P549)</f>
        <v>0</v>
      </c>
      <c r="Q551" s="60">
        <f>SUM(N551:P551)</f>
        <v>0</v>
      </c>
      <c r="R551" s="59">
        <f>+E551+I551+M551+Q551</f>
        <v>0</v>
      </c>
    </row>
    <row r="552" spans="1:18" ht="16.5" customHeight="1" thickBot="1" x14ac:dyDescent="0.35">
      <c r="A552" s="57" t="s">
        <v>73</v>
      </c>
      <c r="B552" s="90">
        <f>+B535+B539+B543+B551</f>
        <v>0</v>
      </c>
      <c r="C552" s="58">
        <f>+C535+C539+C543+C551</f>
        <v>0</v>
      </c>
      <c r="D552" s="58">
        <f>+D535+D539+D543+D551</f>
        <v>88</v>
      </c>
      <c r="E552" s="59">
        <f>SUM(B552:D552)</f>
        <v>88</v>
      </c>
      <c r="F552" s="58">
        <f>+F535+F539+F543+F551</f>
        <v>1230</v>
      </c>
      <c r="G552" s="58">
        <f>+G535+G539+G543+G551</f>
        <v>2765</v>
      </c>
      <c r="H552" s="58">
        <f>+H535+H539+H543+H551</f>
        <v>2110</v>
      </c>
      <c r="I552" s="59">
        <f>SUM(F552:H552)</f>
        <v>6105</v>
      </c>
      <c r="J552" s="58">
        <f>+J535+J539+J543+J551</f>
        <v>2743</v>
      </c>
      <c r="K552" s="58">
        <f>+K535+K539+K543+K551</f>
        <v>3096</v>
      </c>
      <c r="L552" s="58">
        <f>+L535+L539+L543+L551</f>
        <v>646</v>
      </c>
      <c r="M552" s="59">
        <f>SUM(J552:L552)</f>
        <v>6485</v>
      </c>
      <c r="N552" s="58">
        <f>+N535+N539+N543+N551</f>
        <v>161</v>
      </c>
      <c r="O552" s="58">
        <f>+O535+O539+O543+O551</f>
        <v>107</v>
      </c>
      <c r="P552" s="58">
        <f>+P535+P539+P543+P551</f>
        <v>77</v>
      </c>
      <c r="Q552" s="59">
        <f>SUM(N552:P552)</f>
        <v>345</v>
      </c>
      <c r="R552" s="81">
        <f>+E552+I552+M552+Q552</f>
        <v>13023</v>
      </c>
    </row>
    <row r="553" spans="1:18" ht="16.5" customHeight="1" thickBot="1" x14ac:dyDescent="0.35">
      <c r="A553" s="39" t="s">
        <v>40</v>
      </c>
      <c r="B553" s="21">
        <v>10</v>
      </c>
      <c r="C553" s="21">
        <v>11</v>
      </c>
      <c r="D553" s="21">
        <v>14</v>
      </c>
      <c r="E553" s="55">
        <f>SUM(B553:D553)</f>
        <v>35</v>
      </c>
      <c r="F553" s="21">
        <v>18</v>
      </c>
      <c r="G553" s="21">
        <v>21</v>
      </c>
      <c r="H553" s="21">
        <v>22</v>
      </c>
      <c r="I553" s="55">
        <f>SUM(F553:H553)</f>
        <v>61</v>
      </c>
      <c r="J553" s="21">
        <v>19</v>
      </c>
      <c r="K553" s="21">
        <v>17</v>
      </c>
      <c r="L553" s="21">
        <v>17</v>
      </c>
      <c r="M553" s="55">
        <f>SUM(J553:L553)</f>
        <v>53</v>
      </c>
      <c r="N553" s="21">
        <v>14</v>
      </c>
      <c r="O553" s="21">
        <v>11</v>
      </c>
      <c r="P553" s="21">
        <v>9</v>
      </c>
      <c r="Q553" s="55">
        <f>SUM(N553:P553)</f>
        <v>34</v>
      </c>
      <c r="R553" s="55">
        <f>+E553+I553+M553+Q553</f>
        <v>183</v>
      </c>
    </row>
    <row r="554" spans="1:18" ht="16.5" customHeight="1" thickBot="1" x14ac:dyDescent="0.35">
      <c r="A554" s="41"/>
      <c r="B554" s="36"/>
      <c r="C554" s="36"/>
      <c r="D554" s="36"/>
      <c r="E554" s="52"/>
      <c r="F554" s="36"/>
      <c r="G554" s="36"/>
      <c r="H554" s="36"/>
      <c r="I554" s="52"/>
      <c r="J554" s="36"/>
      <c r="K554" s="36"/>
      <c r="L554" s="36"/>
      <c r="M554" s="129"/>
      <c r="N554" s="36"/>
      <c r="O554" s="36"/>
      <c r="P554" s="36"/>
      <c r="Q554" s="129"/>
      <c r="R554" s="40"/>
    </row>
    <row r="555" spans="1:18" ht="15.75" customHeight="1" x14ac:dyDescent="0.3">
      <c r="A555" s="15" t="s">
        <v>314</v>
      </c>
      <c r="B555" s="1">
        <f>SUM(B552:B553)</f>
        <v>10</v>
      </c>
      <c r="C555" s="1">
        <f>SUM(C552:C553)</f>
        <v>11</v>
      </c>
      <c r="D555" s="1">
        <f>SUM(D552:D553)</f>
        <v>102</v>
      </c>
      <c r="E555" s="55">
        <f>SUM(B555:D555)</f>
        <v>123</v>
      </c>
      <c r="F555" s="1">
        <f>SUM(F552:F553)</f>
        <v>1248</v>
      </c>
      <c r="G555" s="1">
        <f>SUM(G552:G553)</f>
        <v>2786</v>
      </c>
      <c r="H555" s="1">
        <f>SUM(H552:H553)</f>
        <v>2132</v>
      </c>
      <c r="I555" s="60">
        <f>SUM(F555:H555)</f>
        <v>6166</v>
      </c>
      <c r="J555" s="1">
        <f>SUM(J552:J553)</f>
        <v>2762</v>
      </c>
      <c r="K555" s="1">
        <f>SUM(K552:K553)</f>
        <v>3113</v>
      </c>
      <c r="L555" s="1">
        <f>SUM(L552:L553)</f>
        <v>663</v>
      </c>
      <c r="M555" s="60">
        <f>SUM(J555:L555)</f>
        <v>6538</v>
      </c>
      <c r="N555" s="1">
        <f>SUM(N552:N553)</f>
        <v>175</v>
      </c>
      <c r="O555" s="1">
        <f>SUM(O552:O553)</f>
        <v>118</v>
      </c>
      <c r="P555" s="1">
        <f>SUM(P552:P553)</f>
        <v>86</v>
      </c>
      <c r="Q555" s="60">
        <f>SUM(N555:P555)</f>
        <v>379</v>
      </c>
      <c r="R555" s="60">
        <f>+E555+I555+M555+Q555</f>
        <v>13206</v>
      </c>
    </row>
    <row r="556" spans="1:18" ht="15.75" customHeight="1" x14ac:dyDescent="0.3">
      <c r="A556" s="15" t="s">
        <v>42</v>
      </c>
      <c r="B556" s="1">
        <f>(B555/31)/1.983</f>
        <v>0.16267304344996988</v>
      </c>
      <c r="C556" s="1">
        <f>(C555/28)/1.983</f>
        <v>0.19811252791585618</v>
      </c>
      <c r="D556" s="1">
        <f>(D555/31)/1.983</f>
        <v>1.6592650431896931</v>
      </c>
      <c r="E556" s="55" t="s">
        <v>7</v>
      </c>
      <c r="F556" s="1">
        <f>(F555/30)/1.983</f>
        <v>20.978315683308118</v>
      </c>
      <c r="G556" s="1">
        <f>(G555/31)/1.983</f>
        <v>45.320709905161614</v>
      </c>
      <c r="H556" s="1">
        <f>(H555/30)/1.983</f>
        <v>35.837955958984701</v>
      </c>
      <c r="I556" s="55" t="s">
        <v>7</v>
      </c>
      <c r="J556" s="1">
        <f>(J555/31)/1.983</f>
        <v>44.930294600881687</v>
      </c>
      <c r="K556" s="1">
        <f>(K555/31)/1.983</f>
        <v>50.640118425975629</v>
      </c>
      <c r="L556" s="1">
        <f>(L555/30)/1.983</f>
        <v>11.144730206757439</v>
      </c>
      <c r="M556" s="55" t="s">
        <v>7</v>
      </c>
      <c r="N556" s="1">
        <f>(N555/31)/1.983</f>
        <v>2.8467782603744736</v>
      </c>
      <c r="O556" s="1">
        <f>(O555/30)/1.983</f>
        <v>1.9835266431332994</v>
      </c>
      <c r="P556" s="1">
        <f>(P555/31)/1.983</f>
        <v>1.3989881736697412</v>
      </c>
      <c r="Q556" s="55" t="s">
        <v>7</v>
      </c>
      <c r="R556" s="55" t="s">
        <v>7</v>
      </c>
    </row>
    <row r="557" spans="1:18" ht="15.75" customHeight="1" x14ac:dyDescent="0.3">
      <c r="A557" s="15" t="s">
        <v>341</v>
      </c>
      <c r="B557" s="1">
        <f>B555+B598</f>
        <v>16229</v>
      </c>
      <c r="C557" s="1">
        <f>C555+C598</f>
        <v>16925</v>
      </c>
      <c r="D557" s="1">
        <f>D555+D598</f>
        <v>14680</v>
      </c>
      <c r="E557" s="55">
        <f>SUM(B557:D557)</f>
        <v>47834</v>
      </c>
      <c r="F557" s="1">
        <f>F555+F598</f>
        <v>18387</v>
      </c>
      <c r="G557" s="1">
        <f>G555+G598</f>
        <v>19833</v>
      </c>
      <c r="H557" s="1">
        <f>H555+H598</f>
        <v>12273</v>
      </c>
      <c r="I557" s="55">
        <f>SUM(F557:H557)</f>
        <v>50493</v>
      </c>
      <c r="J557" s="1">
        <f>J555+J598</f>
        <v>14890</v>
      </c>
      <c r="K557" s="1">
        <f>K555+K598</f>
        <v>19170</v>
      </c>
      <c r="L557" s="1">
        <f>L555+L598</f>
        <v>19504</v>
      </c>
      <c r="M557" s="55">
        <f>SUM(J557:L557)</f>
        <v>53564</v>
      </c>
      <c r="N557" s="1">
        <f>N555+N598</f>
        <v>13266</v>
      </c>
      <c r="O557" s="1">
        <f>O555+O598</f>
        <v>5632</v>
      </c>
      <c r="P557" s="1">
        <f>P555+P598</f>
        <v>11159</v>
      </c>
      <c r="Q557" s="55">
        <f>SUM(N557:P557)</f>
        <v>30057</v>
      </c>
      <c r="R557" s="55">
        <f>+E557+I557+M557+Q557</f>
        <v>181948</v>
      </c>
    </row>
    <row r="558" spans="1:18" ht="16.5" customHeight="1" thickBot="1" x14ac:dyDescent="0.35">
      <c r="A558" s="20" t="s">
        <v>342</v>
      </c>
      <c r="B558" s="21">
        <f>(B557/31)/1.983</f>
        <v>264.00208221495615</v>
      </c>
      <c r="C558" s="21">
        <f>(C557/28)/1.983</f>
        <v>304.82313954326054</v>
      </c>
      <c r="D558" s="21">
        <f>(D557/31)/1.983</f>
        <v>238.80402778455581</v>
      </c>
      <c r="E558" s="81" t="s">
        <v>7</v>
      </c>
      <c r="F558" s="21">
        <f>(F557/30)/1.983</f>
        <v>309.07715582450828</v>
      </c>
      <c r="G558" s="21">
        <f>(G557/31)/1.983</f>
        <v>322.6294470743253</v>
      </c>
      <c r="H558" s="21">
        <f>(H557/30)/1.983</f>
        <v>206.30358043368634</v>
      </c>
      <c r="I558" s="81" t="s">
        <v>7</v>
      </c>
      <c r="J558" s="21">
        <f>(J557/31)/1.983</f>
        <v>242.22016169700518</v>
      </c>
      <c r="K558" s="21">
        <f>(K557/31)/1.983</f>
        <v>311.84422429359228</v>
      </c>
      <c r="L558" s="21">
        <f>(L557/30)/1.983</f>
        <v>327.853420742982</v>
      </c>
      <c r="M558" s="81" t="s">
        <v>7</v>
      </c>
      <c r="N558" s="21">
        <f>(N557/31)/1.983</f>
        <v>215.80205944073006</v>
      </c>
      <c r="O558" s="21">
        <f>(O557/30)/1.983</f>
        <v>94.671373340057144</v>
      </c>
      <c r="P558" s="21">
        <f>(P557/31)/1.983</f>
        <v>181.52684918582139</v>
      </c>
      <c r="Q558" s="81" t="s">
        <v>7</v>
      </c>
      <c r="R558" s="81" t="s">
        <v>7</v>
      </c>
    </row>
    <row r="559" spans="1:18" ht="15.75" customHeight="1" x14ac:dyDescent="0.3">
      <c r="A559" s="2"/>
      <c r="B559" s="1"/>
      <c r="C559" s="1"/>
      <c r="D559" s="1"/>
      <c r="E559" s="1"/>
      <c r="F559" s="1"/>
      <c r="G559" s="1"/>
      <c r="H559" s="1"/>
      <c r="I559" s="1"/>
      <c r="J559" s="1"/>
      <c r="K559" s="1"/>
      <c r="L559" s="1"/>
      <c r="M559" s="1"/>
      <c r="N559" s="1"/>
      <c r="O559" s="1"/>
      <c r="P559" s="1"/>
      <c r="Q559" s="1"/>
      <c r="R559" s="2"/>
    </row>
    <row r="560" spans="1:18" ht="16.5" customHeight="1" thickBot="1" x14ac:dyDescent="0.35">
      <c r="A560" s="106"/>
      <c r="B560" s="21"/>
      <c r="C560" s="21"/>
      <c r="D560" s="21"/>
      <c r="E560" s="21"/>
      <c r="F560" s="21"/>
      <c r="G560" s="21"/>
      <c r="H560" s="21"/>
      <c r="I560" s="21"/>
      <c r="J560" s="21"/>
      <c r="K560" s="21"/>
      <c r="L560" s="21"/>
      <c r="M560" s="21"/>
      <c r="N560" s="21"/>
      <c r="O560" s="21"/>
      <c r="P560" s="21"/>
      <c r="Q560" s="21"/>
      <c r="R560" s="106"/>
    </row>
    <row r="561" spans="1:18" ht="15.75" customHeight="1" thickBot="1" x14ac:dyDescent="0.35">
      <c r="A561" s="107" t="s">
        <v>343</v>
      </c>
      <c r="B561" s="47" t="s">
        <v>8</v>
      </c>
      <c r="C561" s="48" t="s">
        <v>9</v>
      </c>
      <c r="D561" s="48" t="s">
        <v>10</v>
      </c>
      <c r="E561" s="32" t="s">
        <v>11</v>
      </c>
      <c r="F561" s="48" t="s">
        <v>12</v>
      </c>
      <c r="G561" s="48" t="s">
        <v>13</v>
      </c>
      <c r="H561" s="48" t="s">
        <v>14</v>
      </c>
      <c r="I561" s="32" t="s">
        <v>15</v>
      </c>
      <c r="J561" s="48" t="s">
        <v>16</v>
      </c>
      <c r="K561" s="48" t="s">
        <v>17</v>
      </c>
      <c r="L561" s="48" t="s">
        <v>18</v>
      </c>
      <c r="M561" s="32" t="s">
        <v>19</v>
      </c>
      <c r="N561" s="48" t="s">
        <v>20</v>
      </c>
      <c r="O561" s="48" t="s">
        <v>21</v>
      </c>
      <c r="P561" s="48" t="s">
        <v>22</v>
      </c>
      <c r="Q561" s="32" t="s">
        <v>23</v>
      </c>
      <c r="R561" s="49" t="s">
        <v>24</v>
      </c>
    </row>
    <row r="562" spans="1:18" ht="16.5" customHeight="1" thickBot="1" x14ac:dyDescent="0.35">
      <c r="A562" s="130"/>
      <c r="B562" s="51"/>
      <c r="C562" s="51"/>
      <c r="D562" s="51"/>
      <c r="E562" s="52"/>
      <c r="F562" s="51"/>
      <c r="G562" s="51"/>
      <c r="H562" s="51"/>
      <c r="I562" s="52"/>
      <c r="J562" s="51"/>
      <c r="K562" s="51"/>
      <c r="L562" s="51"/>
      <c r="M562" s="52"/>
      <c r="N562" s="51"/>
      <c r="O562" s="51"/>
      <c r="P562" s="51"/>
      <c r="Q562" s="52"/>
      <c r="R562" s="53"/>
    </row>
    <row r="563" spans="1:18" ht="15.75" customHeight="1" x14ac:dyDescent="0.3">
      <c r="A563" s="15" t="s">
        <v>48</v>
      </c>
      <c r="B563" s="1" t="s">
        <v>7</v>
      </c>
      <c r="C563" s="1" t="s">
        <v>7</v>
      </c>
      <c r="D563" s="1" t="s">
        <v>7</v>
      </c>
      <c r="E563" s="55" t="s">
        <v>7</v>
      </c>
      <c r="F563" s="1" t="s">
        <v>7</v>
      </c>
      <c r="G563" s="1" t="s">
        <v>7</v>
      </c>
      <c r="H563" s="1" t="s">
        <v>7</v>
      </c>
      <c r="I563" s="55" t="s">
        <v>7</v>
      </c>
      <c r="J563" s="1" t="s">
        <v>7</v>
      </c>
      <c r="K563" s="1" t="s">
        <v>7</v>
      </c>
      <c r="L563" s="1" t="s">
        <v>7</v>
      </c>
      <c r="M563" s="55" t="s">
        <v>7</v>
      </c>
      <c r="N563" s="1" t="s">
        <v>7</v>
      </c>
      <c r="O563" s="1" t="s">
        <v>7</v>
      </c>
      <c r="P563" s="1" t="s">
        <v>7</v>
      </c>
      <c r="Q563" s="55" t="s">
        <v>7</v>
      </c>
      <c r="R563" s="55" t="s">
        <v>7</v>
      </c>
    </row>
    <row r="564" spans="1:18" ht="15.75" customHeight="1" x14ac:dyDescent="0.3">
      <c r="A564" s="15" t="s">
        <v>49</v>
      </c>
      <c r="B564" s="1"/>
      <c r="C564" s="1"/>
      <c r="D564" s="1"/>
      <c r="E564" s="55" t="s">
        <v>7</v>
      </c>
      <c r="F564" s="1"/>
      <c r="G564" s="1"/>
      <c r="H564" s="1"/>
      <c r="I564" s="55" t="s">
        <v>7</v>
      </c>
      <c r="J564" s="1"/>
      <c r="K564" s="1"/>
      <c r="L564" s="1"/>
      <c r="M564" s="55" t="s">
        <v>7</v>
      </c>
      <c r="N564" s="1"/>
      <c r="O564" s="1"/>
      <c r="P564" s="1"/>
      <c r="Q564" s="55" t="s">
        <v>7</v>
      </c>
      <c r="R564" s="55" t="s">
        <v>7</v>
      </c>
    </row>
    <row r="565" spans="1:18" ht="15.75" customHeight="1" x14ac:dyDescent="0.3">
      <c r="A565" s="71" t="s">
        <v>344</v>
      </c>
      <c r="B565" s="1">
        <v>7397</v>
      </c>
      <c r="C565" s="1">
        <v>7124</v>
      </c>
      <c r="D565" s="1">
        <v>7112</v>
      </c>
      <c r="E565" s="55">
        <f>SUM(B565:D565)</f>
        <v>21633</v>
      </c>
      <c r="F565" s="1">
        <v>7618</v>
      </c>
      <c r="G565" s="1">
        <v>7790</v>
      </c>
      <c r="H565" s="1">
        <v>996</v>
      </c>
      <c r="I565" s="55">
        <f>SUM(F565:H565)</f>
        <v>16404</v>
      </c>
      <c r="J565" s="1">
        <v>3556</v>
      </c>
      <c r="K565" s="1">
        <v>6524</v>
      </c>
      <c r="L565" s="1">
        <f>7496</f>
        <v>7496</v>
      </c>
      <c r="M565" s="55">
        <f>SUM(J565:L565)</f>
        <v>17576</v>
      </c>
      <c r="N565" s="1">
        <v>4504</v>
      </c>
      <c r="O565" s="1">
        <v>1886</v>
      </c>
      <c r="P565" s="1">
        <v>4779</v>
      </c>
      <c r="Q565" s="55">
        <f>SUM(N565:P565)</f>
        <v>11169</v>
      </c>
      <c r="R565" s="55">
        <f>+E565+I565+M565+Q565</f>
        <v>66782</v>
      </c>
    </row>
    <row r="566" spans="1:18" ht="15.75" customHeight="1" x14ac:dyDescent="0.3">
      <c r="A566" s="71" t="s">
        <v>345</v>
      </c>
      <c r="B566" s="1">
        <v>5463</v>
      </c>
      <c r="C566" s="1">
        <v>5460</v>
      </c>
      <c r="D566" s="1">
        <v>5507</v>
      </c>
      <c r="E566" s="55">
        <f>SUM(B566:D566)</f>
        <v>16430</v>
      </c>
      <c r="F566" s="1">
        <v>5810</v>
      </c>
      <c r="G566" s="1">
        <v>6032</v>
      </c>
      <c r="H566" s="1">
        <v>4636</v>
      </c>
      <c r="I566" s="55">
        <f>SUM(F566:H566)</f>
        <v>16478</v>
      </c>
      <c r="J566" s="1">
        <v>2353</v>
      </c>
      <c r="K566" s="1">
        <v>2042</v>
      </c>
      <c r="L566" s="1">
        <v>0</v>
      </c>
      <c r="M566" s="55">
        <f>SUM(J566:L566)</f>
        <v>4395</v>
      </c>
      <c r="N566" s="1">
        <v>1197</v>
      </c>
      <c r="O566" s="1">
        <v>0</v>
      </c>
      <c r="P566" s="1">
        <v>503</v>
      </c>
      <c r="Q566" s="55">
        <f>SUM(N566:P566)</f>
        <v>1700</v>
      </c>
      <c r="R566" s="55">
        <f>+E566+I566+M566+Q566</f>
        <v>39003</v>
      </c>
    </row>
    <row r="567" spans="1:18" ht="15.75" customHeight="1" x14ac:dyDescent="0.3">
      <c r="A567" s="15" t="s">
        <v>50</v>
      </c>
      <c r="B567" s="1"/>
      <c r="C567" s="1"/>
      <c r="D567" s="1"/>
      <c r="E567" s="55" t="s">
        <v>7</v>
      </c>
      <c r="F567" s="1"/>
      <c r="G567" s="1"/>
      <c r="H567" s="1"/>
      <c r="I567" s="55" t="s">
        <v>7</v>
      </c>
      <c r="J567" s="1"/>
      <c r="K567" s="1"/>
      <c r="L567" s="1"/>
      <c r="M567" s="55" t="s">
        <v>7</v>
      </c>
      <c r="N567" s="1"/>
      <c r="O567" s="1"/>
      <c r="P567" s="1"/>
      <c r="Q567" s="55" t="s">
        <v>7</v>
      </c>
      <c r="R567" s="55" t="s">
        <v>7</v>
      </c>
    </row>
    <row r="568" spans="1:18" ht="15.75" customHeight="1" x14ac:dyDescent="0.3">
      <c r="A568" s="15" t="s">
        <v>51</v>
      </c>
      <c r="B568" s="1"/>
      <c r="C568" s="1"/>
      <c r="D568" s="1"/>
      <c r="E568" s="55" t="s">
        <v>7</v>
      </c>
      <c r="F568" s="1"/>
      <c r="G568" s="1"/>
      <c r="H568" s="1"/>
      <c r="I568" s="55" t="s">
        <v>7</v>
      </c>
      <c r="J568" s="1"/>
      <c r="K568" s="1"/>
      <c r="L568" s="1"/>
      <c r="M568" s="55" t="s">
        <v>7</v>
      </c>
      <c r="N568" s="1"/>
      <c r="O568" s="1"/>
      <c r="P568" s="1"/>
      <c r="Q568" s="55" t="s">
        <v>7</v>
      </c>
      <c r="R568" s="55" t="s">
        <v>7</v>
      </c>
    </row>
    <row r="569" spans="1:18" ht="15.75" customHeight="1" thickBot="1" x14ac:dyDescent="0.35">
      <c r="A569" s="15" t="s">
        <v>53</v>
      </c>
      <c r="B569" s="1"/>
      <c r="C569" s="1"/>
      <c r="D569" s="1"/>
      <c r="E569" s="55" t="s">
        <v>7</v>
      </c>
      <c r="F569" s="1"/>
      <c r="G569" s="1"/>
      <c r="H569" s="1"/>
      <c r="I569" s="55" t="s">
        <v>7</v>
      </c>
      <c r="J569" s="1"/>
      <c r="K569" s="1"/>
      <c r="L569" s="1"/>
      <c r="M569" s="55" t="s">
        <v>7</v>
      </c>
      <c r="N569" s="1"/>
      <c r="O569" s="1"/>
      <c r="P569" s="1"/>
      <c r="Q569" s="55" t="s">
        <v>7</v>
      </c>
      <c r="R569" s="55" t="s">
        <v>7</v>
      </c>
    </row>
    <row r="570" spans="1:18" ht="16.5" customHeight="1" thickBot="1" x14ac:dyDescent="0.35">
      <c r="A570" s="109" t="s">
        <v>54</v>
      </c>
      <c r="B570" s="86">
        <f>SUM(B563:B569)</f>
        <v>12860</v>
      </c>
      <c r="C570" s="87">
        <f>SUM(C563:C569)</f>
        <v>12584</v>
      </c>
      <c r="D570" s="87">
        <f>SUM(D563:D569)</f>
        <v>12619</v>
      </c>
      <c r="E570" s="59">
        <f>SUM(B570:D570)</f>
        <v>38063</v>
      </c>
      <c r="F570" s="87">
        <f>SUM(F563:F569)</f>
        <v>13428</v>
      </c>
      <c r="G570" s="87">
        <f>SUM(G563:G569)</f>
        <v>13822</v>
      </c>
      <c r="H570" s="87">
        <f>SUM(H563:H569)</f>
        <v>5632</v>
      </c>
      <c r="I570" s="59">
        <f>SUM(F570:H570)</f>
        <v>32882</v>
      </c>
      <c r="J570" s="87">
        <f>SUM(J563:J569)</f>
        <v>5909</v>
      </c>
      <c r="K570" s="87">
        <f>SUM(K563:K569)</f>
        <v>8566</v>
      </c>
      <c r="L570" s="87">
        <f>SUM(L563:L569)</f>
        <v>7496</v>
      </c>
      <c r="M570" s="59">
        <f>SUM(J570:L570)</f>
        <v>21971</v>
      </c>
      <c r="N570" s="87">
        <f>SUM(N563:N569)</f>
        <v>5701</v>
      </c>
      <c r="O570" s="87">
        <f>SUM(O563:O569)</f>
        <v>1886</v>
      </c>
      <c r="P570" s="87">
        <f>SUM(P563:P569)</f>
        <v>5282</v>
      </c>
      <c r="Q570" s="59">
        <f>SUM(N570:P570)</f>
        <v>12869</v>
      </c>
      <c r="R570" s="59">
        <f>+E570+I570+M570+Q570</f>
        <v>105785</v>
      </c>
    </row>
    <row r="571" spans="1:18" ht="15.75" customHeight="1" x14ac:dyDescent="0.3">
      <c r="A571" s="15" t="s">
        <v>55</v>
      </c>
      <c r="B571" s="1"/>
      <c r="C571" s="1"/>
      <c r="D571" s="1"/>
      <c r="E571" s="55" t="s">
        <v>7</v>
      </c>
      <c r="F571" s="1"/>
      <c r="G571" s="1"/>
      <c r="H571" s="1"/>
      <c r="I571" s="55" t="s">
        <v>7</v>
      </c>
      <c r="J571" s="1"/>
      <c r="K571" s="1"/>
      <c r="L571" s="1"/>
      <c r="M571" s="55" t="s">
        <v>7</v>
      </c>
      <c r="N571" s="1"/>
      <c r="O571" s="1"/>
      <c r="P571" s="1"/>
      <c r="Q571" s="55" t="s">
        <v>7</v>
      </c>
      <c r="R571" s="55" t="s">
        <v>7</v>
      </c>
    </row>
    <row r="572" spans="1:18" ht="15.75" customHeight="1" x14ac:dyDescent="0.3">
      <c r="A572" s="15" t="s">
        <v>57</v>
      </c>
      <c r="B572" s="1"/>
      <c r="C572" s="1"/>
      <c r="D572" s="1"/>
      <c r="E572" s="55" t="s">
        <v>7</v>
      </c>
      <c r="F572" s="1"/>
      <c r="G572" s="1"/>
      <c r="H572" s="1"/>
      <c r="I572" s="55" t="s">
        <v>7</v>
      </c>
      <c r="J572" s="1"/>
      <c r="K572" s="1"/>
      <c r="L572" s="1"/>
      <c r="M572" s="55" t="s">
        <v>7</v>
      </c>
      <c r="N572" s="1"/>
      <c r="O572" s="1"/>
      <c r="P572" s="1"/>
      <c r="Q572" s="55" t="s">
        <v>7</v>
      </c>
      <c r="R572" s="55" t="s">
        <v>7</v>
      </c>
    </row>
    <row r="573" spans="1:18" ht="15.75" customHeight="1" thickBot="1" x14ac:dyDescent="0.35">
      <c r="A573" s="15" t="s">
        <v>58</v>
      </c>
      <c r="B573" s="1"/>
      <c r="C573" s="1"/>
      <c r="D573" s="1"/>
      <c r="E573" s="55" t="s">
        <v>7</v>
      </c>
      <c r="F573" s="1"/>
      <c r="G573" s="1"/>
      <c r="H573" s="1"/>
      <c r="I573" s="55" t="s">
        <v>7</v>
      </c>
      <c r="J573" s="1"/>
      <c r="K573" s="1"/>
      <c r="L573" s="1"/>
      <c r="M573" s="55" t="s">
        <v>7</v>
      </c>
      <c r="N573" s="1"/>
      <c r="O573" s="1"/>
      <c r="P573" s="1"/>
      <c r="Q573" s="55" t="s">
        <v>7</v>
      </c>
      <c r="R573" s="55" t="s">
        <v>7</v>
      </c>
    </row>
    <row r="574" spans="1:18" ht="16.5" customHeight="1" thickBot="1" x14ac:dyDescent="0.35">
      <c r="A574" s="57" t="s">
        <v>59</v>
      </c>
      <c r="B574" s="86">
        <f>SUM(B571:B573)</f>
        <v>0</v>
      </c>
      <c r="C574" s="87">
        <f>SUM(C571:C573)</f>
        <v>0</v>
      </c>
      <c r="D574" s="87">
        <f>SUM(D571:D573)</f>
        <v>0</v>
      </c>
      <c r="E574" s="59">
        <f>SUM(B574:D574)</f>
        <v>0</v>
      </c>
      <c r="F574" s="87">
        <f>SUM(F571:F573)</f>
        <v>0</v>
      </c>
      <c r="G574" s="87">
        <f>SUM(G571:G573)</f>
        <v>0</v>
      </c>
      <c r="H574" s="87">
        <f>SUM(H571:H573)</f>
        <v>0</v>
      </c>
      <c r="I574" s="59">
        <f>SUM(F574:H574)</f>
        <v>0</v>
      </c>
      <c r="J574" s="87">
        <f>SUM(J571:J573)</f>
        <v>0</v>
      </c>
      <c r="K574" s="87">
        <f>SUM(K571:K573)</f>
        <v>0</v>
      </c>
      <c r="L574" s="87">
        <f>SUM(L571:L573)</f>
        <v>0</v>
      </c>
      <c r="M574" s="59">
        <f>SUM(J574:L574)</f>
        <v>0</v>
      </c>
      <c r="N574" s="87">
        <f>SUM(N571:N573)</f>
        <v>0</v>
      </c>
      <c r="O574" s="87">
        <f>SUM(O571:O573)</f>
        <v>0</v>
      </c>
      <c r="P574" s="87">
        <f>SUM(P571:P573)</f>
        <v>0</v>
      </c>
      <c r="Q574" s="59">
        <f>SUM(N574:P574)</f>
        <v>0</v>
      </c>
      <c r="R574" s="59">
        <f>+E574+I574+M574+Q574</f>
        <v>0</v>
      </c>
    </row>
    <row r="575" spans="1:18" ht="15.75" customHeight="1" x14ac:dyDescent="0.3">
      <c r="A575" s="15" t="s">
        <v>60</v>
      </c>
      <c r="B575" s="1"/>
      <c r="C575" s="1"/>
      <c r="D575" s="1"/>
      <c r="E575" s="55" t="s">
        <v>7</v>
      </c>
      <c r="F575" s="1"/>
      <c r="G575" s="1"/>
      <c r="H575" s="1"/>
      <c r="I575" s="55" t="s">
        <v>7</v>
      </c>
      <c r="J575" s="1"/>
      <c r="K575" s="1"/>
      <c r="L575" s="1"/>
      <c r="M575" s="55" t="s">
        <v>7</v>
      </c>
      <c r="N575" s="1"/>
      <c r="O575" s="1"/>
      <c r="P575" s="1"/>
      <c r="Q575" s="55" t="s">
        <v>7</v>
      </c>
      <c r="R575" s="55" t="s">
        <v>7</v>
      </c>
    </row>
    <row r="576" spans="1:18" ht="15.75" customHeight="1" x14ac:dyDescent="0.3">
      <c r="A576" s="15" t="s">
        <v>61</v>
      </c>
      <c r="B576" s="1"/>
      <c r="C576" s="1"/>
      <c r="D576" s="1"/>
      <c r="E576" s="55" t="s">
        <v>7</v>
      </c>
      <c r="F576" s="1"/>
      <c r="G576" s="1"/>
      <c r="H576" s="1"/>
      <c r="I576" s="55" t="s">
        <v>7</v>
      </c>
      <c r="J576" s="1"/>
      <c r="K576" s="1"/>
      <c r="L576" s="1"/>
      <c r="M576" s="55" t="s">
        <v>7</v>
      </c>
      <c r="N576" s="1"/>
      <c r="O576" s="1"/>
      <c r="P576" s="1"/>
      <c r="Q576" s="55" t="s">
        <v>7</v>
      </c>
      <c r="R576" s="55" t="s">
        <v>7</v>
      </c>
    </row>
    <row r="577" spans="1:18" ht="15.75" customHeight="1" x14ac:dyDescent="0.3">
      <c r="A577" s="71" t="s">
        <v>346</v>
      </c>
      <c r="B577" s="1">
        <v>558</v>
      </c>
      <c r="C577" s="1">
        <v>1028</v>
      </c>
      <c r="D577" s="1">
        <v>796</v>
      </c>
      <c r="E577" s="55">
        <f>SUM(B577:D577)</f>
        <v>2382</v>
      </c>
      <c r="F577" s="1">
        <v>2082</v>
      </c>
      <c r="G577" s="1">
        <v>1411</v>
      </c>
      <c r="H577" s="1">
        <v>2275</v>
      </c>
      <c r="I577" s="55">
        <f>SUM(F577:H577)</f>
        <v>5768</v>
      </c>
      <c r="J577" s="1">
        <v>1816</v>
      </c>
      <c r="K577" s="1">
        <v>1761</v>
      </c>
      <c r="L577" s="1">
        <v>600</v>
      </c>
      <c r="M577" s="55">
        <f>SUM(J577:L577)</f>
        <v>4177</v>
      </c>
      <c r="N577" s="1">
        <v>215</v>
      </c>
      <c r="O577" s="1">
        <v>138</v>
      </c>
      <c r="P577" s="1">
        <v>175</v>
      </c>
      <c r="Q577" s="55">
        <f>SUM(N577:P577)</f>
        <v>528</v>
      </c>
      <c r="R577" s="55">
        <f>+E577+I577+M577+Q577</f>
        <v>12855</v>
      </c>
    </row>
    <row r="578" spans="1:18" ht="15.75" customHeight="1" x14ac:dyDescent="0.3">
      <c r="A578" s="15" t="s">
        <v>62</v>
      </c>
      <c r="B578" s="1"/>
      <c r="C578" s="1"/>
      <c r="D578" s="1"/>
      <c r="E578" s="55" t="s">
        <v>7</v>
      </c>
      <c r="F578" s="1"/>
      <c r="G578" s="1"/>
      <c r="H578" s="1"/>
      <c r="I578" s="55" t="s">
        <v>7</v>
      </c>
      <c r="J578" s="1"/>
      <c r="K578" s="1"/>
      <c r="L578" s="1"/>
      <c r="M578" s="55" t="s">
        <v>7</v>
      </c>
      <c r="N578" s="1"/>
      <c r="O578" s="1"/>
      <c r="P578" s="1"/>
      <c r="Q578" s="55" t="s">
        <v>7</v>
      </c>
      <c r="R578" s="55" t="s">
        <v>7</v>
      </c>
    </row>
    <row r="579" spans="1:18" ht="15.75" customHeight="1" x14ac:dyDescent="0.3">
      <c r="A579" s="71" t="s">
        <v>774</v>
      </c>
      <c r="B579" s="1">
        <v>0</v>
      </c>
      <c r="C579" s="1">
        <v>0</v>
      </c>
      <c r="D579" s="1">
        <v>0</v>
      </c>
      <c r="E579" s="55">
        <f>SUM(B579:D579)</f>
        <v>0</v>
      </c>
      <c r="F579" s="1">
        <v>0</v>
      </c>
      <c r="G579" s="1">
        <v>0</v>
      </c>
      <c r="H579" s="1">
        <v>500</v>
      </c>
      <c r="I579" s="55">
        <f>SUM(F579:H579)</f>
        <v>500</v>
      </c>
      <c r="J579" s="1">
        <v>0</v>
      </c>
      <c r="K579" s="1">
        <v>0</v>
      </c>
      <c r="L579" s="1">
        <v>0</v>
      </c>
      <c r="M579" s="55">
        <f>SUM(J579:L579)</f>
        <v>0</v>
      </c>
      <c r="N579" s="1">
        <v>0</v>
      </c>
      <c r="O579" s="1">
        <v>0</v>
      </c>
      <c r="P579" s="1">
        <v>0</v>
      </c>
      <c r="Q579" s="55">
        <f>SUM(N579:P579)</f>
        <v>0</v>
      </c>
      <c r="R579" s="55">
        <f>+E579+I579+M579+Q579</f>
        <v>500</v>
      </c>
    </row>
    <row r="580" spans="1:18" ht="15.75" customHeight="1" thickBot="1" x14ac:dyDescent="0.35">
      <c r="A580" s="71" t="s">
        <v>775</v>
      </c>
      <c r="B580" s="1">
        <v>0</v>
      </c>
      <c r="C580" s="1">
        <v>0</v>
      </c>
      <c r="D580" s="1">
        <v>0</v>
      </c>
      <c r="E580" s="55">
        <f>SUM(B580:D580)</f>
        <v>0</v>
      </c>
      <c r="F580" s="1">
        <v>0</v>
      </c>
      <c r="G580" s="1">
        <v>0</v>
      </c>
      <c r="H580" s="1">
        <v>0</v>
      </c>
      <c r="I580" s="55">
        <f>SUM(F580:H580)</f>
        <v>0</v>
      </c>
      <c r="J580" s="1">
        <v>0</v>
      </c>
      <c r="K580" s="1">
        <v>0</v>
      </c>
      <c r="L580" s="1">
        <v>0</v>
      </c>
      <c r="M580" s="55">
        <f>SUM(J580:L580)</f>
        <v>0</v>
      </c>
      <c r="N580" s="1">
        <v>0</v>
      </c>
      <c r="O580" s="1">
        <v>0</v>
      </c>
      <c r="P580" s="1">
        <v>0</v>
      </c>
      <c r="Q580" s="55">
        <f>SUM(N580:P580)</f>
        <v>0</v>
      </c>
      <c r="R580" s="55">
        <f>+E580+I580+M580+Q580</f>
        <v>0</v>
      </c>
    </row>
    <row r="581" spans="1:18" ht="16.5" customHeight="1" thickBot="1" x14ac:dyDescent="0.35">
      <c r="A581" s="57" t="s">
        <v>63</v>
      </c>
      <c r="B581" s="86">
        <f>SUM(B575:B580)</f>
        <v>558</v>
      </c>
      <c r="C581" s="87">
        <f>SUM(C575:C580)</f>
        <v>1028</v>
      </c>
      <c r="D581" s="87">
        <f>SUM(D575:D580)</f>
        <v>796</v>
      </c>
      <c r="E581" s="59">
        <f>SUM(B581:D581)</f>
        <v>2382</v>
      </c>
      <c r="F581" s="87">
        <f>SUM(F575:F580)</f>
        <v>2082</v>
      </c>
      <c r="G581" s="87">
        <f>SUM(G575:G580)</f>
        <v>1411</v>
      </c>
      <c r="H581" s="87">
        <f>SUM(H575:H580)</f>
        <v>2775</v>
      </c>
      <c r="I581" s="59">
        <f>SUM(F581:H581)</f>
        <v>6268</v>
      </c>
      <c r="J581" s="87">
        <f>SUM(J575:J580)</f>
        <v>1816</v>
      </c>
      <c r="K581" s="87">
        <f>SUM(K575:K580)</f>
        <v>1761</v>
      </c>
      <c r="L581" s="87">
        <f>SUM(L575:L580)</f>
        <v>600</v>
      </c>
      <c r="M581" s="59">
        <f>SUM(J581:L581)</f>
        <v>4177</v>
      </c>
      <c r="N581" s="87">
        <f>SUM(N575:N580)</f>
        <v>215</v>
      </c>
      <c r="O581" s="87">
        <f>SUM(O575:O580)</f>
        <v>138</v>
      </c>
      <c r="P581" s="87">
        <f>SUM(P575:P580)</f>
        <v>175</v>
      </c>
      <c r="Q581" s="59">
        <f>SUM(N581:P581)</f>
        <v>528</v>
      </c>
      <c r="R581" s="118">
        <f>+E581+I581+M581+Q581</f>
        <v>13355</v>
      </c>
    </row>
    <row r="582" spans="1:18" ht="15.75" customHeight="1" x14ac:dyDescent="0.3">
      <c r="A582" s="15" t="s">
        <v>64</v>
      </c>
      <c r="B582" s="1"/>
      <c r="C582" s="1"/>
      <c r="D582" s="1"/>
      <c r="E582" s="55" t="s">
        <v>7</v>
      </c>
      <c r="F582" s="1"/>
      <c r="G582" s="1"/>
      <c r="H582" s="1"/>
      <c r="I582" s="55" t="s">
        <v>7</v>
      </c>
      <c r="J582" s="1"/>
      <c r="K582" s="1"/>
      <c r="L582" s="1"/>
      <c r="M582" s="55" t="s">
        <v>7</v>
      </c>
      <c r="N582" s="1"/>
      <c r="O582" s="1"/>
      <c r="P582" s="1"/>
      <c r="Q582" s="55" t="s">
        <v>7</v>
      </c>
      <c r="R582" s="55" t="s">
        <v>7</v>
      </c>
    </row>
    <row r="583" spans="1:18" ht="15.75" customHeight="1" x14ac:dyDescent="0.3">
      <c r="A583" s="15" t="s">
        <v>594</v>
      </c>
      <c r="B583" s="1"/>
      <c r="C583" s="1"/>
      <c r="D583" s="1"/>
      <c r="E583" s="55" t="s">
        <v>7</v>
      </c>
      <c r="F583" s="1"/>
      <c r="G583" s="1"/>
      <c r="H583" s="1"/>
      <c r="I583" s="55" t="s">
        <v>7</v>
      </c>
      <c r="J583" s="1"/>
      <c r="K583" s="1"/>
      <c r="L583" s="1"/>
      <c r="M583" s="55" t="s">
        <v>7</v>
      </c>
      <c r="N583" s="1"/>
      <c r="O583" s="1"/>
      <c r="P583" s="1"/>
      <c r="Q583" s="55" t="s">
        <v>7</v>
      </c>
      <c r="R583" s="55" t="s">
        <v>7</v>
      </c>
    </row>
    <row r="584" spans="1:18" ht="15.75" customHeight="1" x14ac:dyDescent="0.3">
      <c r="A584" s="15" t="s">
        <v>67</v>
      </c>
      <c r="B584" s="1"/>
      <c r="C584" s="1"/>
      <c r="D584" s="1"/>
      <c r="E584" s="55" t="s">
        <v>7</v>
      </c>
      <c r="F584" s="1"/>
      <c r="G584" s="1"/>
      <c r="H584" s="1"/>
      <c r="I584" s="55" t="s">
        <v>7</v>
      </c>
      <c r="J584" s="1"/>
      <c r="K584" s="1"/>
      <c r="L584" s="1"/>
      <c r="M584" s="55" t="s">
        <v>7</v>
      </c>
      <c r="N584" s="1"/>
      <c r="O584" s="1"/>
      <c r="P584" s="1"/>
      <c r="Q584" s="55" t="s">
        <v>7</v>
      </c>
      <c r="R584" s="55" t="s">
        <v>7</v>
      </c>
    </row>
    <row r="585" spans="1:18" ht="15.75" customHeight="1" x14ac:dyDescent="0.3">
      <c r="A585" s="71" t="s">
        <v>776</v>
      </c>
      <c r="B585" s="1">
        <v>0</v>
      </c>
      <c r="C585" s="1">
        <v>0</v>
      </c>
      <c r="D585" s="1">
        <v>0</v>
      </c>
      <c r="E585" s="55">
        <f>SUM(B585:D585)</f>
        <v>0</v>
      </c>
      <c r="F585" s="1">
        <v>0</v>
      </c>
      <c r="G585" s="1">
        <v>0</v>
      </c>
      <c r="H585" s="1">
        <v>0</v>
      </c>
      <c r="I585" s="55">
        <f>SUM(F585:H585)</f>
        <v>0</v>
      </c>
      <c r="J585" s="1">
        <v>0</v>
      </c>
      <c r="K585" s="1">
        <v>0</v>
      </c>
      <c r="L585" s="1">
        <v>0</v>
      </c>
      <c r="M585" s="55">
        <f>SUM(J585:L585)</f>
        <v>0</v>
      </c>
      <c r="N585" s="1">
        <v>0</v>
      </c>
      <c r="O585" s="1">
        <v>0</v>
      </c>
      <c r="P585" s="1">
        <v>500</v>
      </c>
      <c r="Q585" s="55">
        <f>SUM(N585:P585)</f>
        <v>500</v>
      </c>
      <c r="R585" s="55">
        <f>+E585+I585+M585+Q585</f>
        <v>500</v>
      </c>
    </row>
    <row r="586" spans="1:18" ht="15.75" customHeight="1" x14ac:dyDescent="0.3">
      <c r="A586" s="71" t="s">
        <v>777</v>
      </c>
      <c r="B586" s="1">
        <v>0</v>
      </c>
      <c r="C586" s="1">
        <v>0</v>
      </c>
      <c r="D586" s="1">
        <v>0</v>
      </c>
      <c r="E586" s="55">
        <f>SUM(B586:D586)</f>
        <v>0</v>
      </c>
      <c r="F586" s="1">
        <v>0</v>
      </c>
      <c r="G586" s="1">
        <v>0</v>
      </c>
      <c r="H586" s="1">
        <v>0</v>
      </c>
      <c r="I586" s="55">
        <f>SUM(F586:H586)</f>
        <v>0</v>
      </c>
      <c r="J586" s="1">
        <v>0</v>
      </c>
      <c r="K586" s="1">
        <v>0</v>
      </c>
      <c r="L586" s="1">
        <v>0</v>
      </c>
      <c r="M586" s="55">
        <f>SUM(J586:L586)</f>
        <v>0</v>
      </c>
      <c r="N586" s="1">
        <v>0</v>
      </c>
      <c r="O586" s="1">
        <v>0</v>
      </c>
      <c r="P586" s="1">
        <v>0</v>
      </c>
      <c r="Q586" s="55">
        <f>SUM(N586:P586)</f>
        <v>0</v>
      </c>
      <c r="R586" s="55">
        <f>+E586+I586+M586+Q586</f>
        <v>0</v>
      </c>
    </row>
    <row r="587" spans="1:18" ht="15.75" customHeight="1" x14ac:dyDescent="0.3">
      <c r="A587" s="71" t="s">
        <v>778</v>
      </c>
      <c r="B587" s="1">
        <v>0</v>
      </c>
      <c r="C587" s="1">
        <v>0</v>
      </c>
      <c r="D587" s="1">
        <v>0</v>
      </c>
      <c r="E587" s="55">
        <f>SUM(B587:D587)</f>
        <v>0</v>
      </c>
      <c r="F587" s="1">
        <v>0</v>
      </c>
      <c r="G587" s="1">
        <v>0</v>
      </c>
      <c r="H587" s="1">
        <v>0</v>
      </c>
      <c r="I587" s="55">
        <f>SUM(F587:H587)</f>
        <v>0</v>
      </c>
      <c r="J587" s="1">
        <v>3000</v>
      </c>
      <c r="K587" s="1">
        <v>4000</v>
      </c>
      <c r="L587" s="1">
        <v>6687</v>
      </c>
      <c r="M587" s="55">
        <f>SUM(J587:L587)</f>
        <v>13687</v>
      </c>
      <c r="N587" s="1">
        <v>3805</v>
      </c>
      <c r="O587" s="1">
        <v>2605</v>
      </c>
      <c r="P587" s="1">
        <v>826</v>
      </c>
      <c r="Q587" s="55">
        <f>SUM(N587:P587)</f>
        <v>7236</v>
      </c>
      <c r="R587" s="55">
        <f>+E587+I587+M587+Q587</f>
        <v>20923</v>
      </c>
    </row>
    <row r="588" spans="1:18" ht="15.75" customHeight="1" x14ac:dyDescent="0.3">
      <c r="A588" s="71" t="s">
        <v>779</v>
      </c>
      <c r="B588" s="1">
        <v>0</v>
      </c>
      <c r="C588" s="1">
        <v>0</v>
      </c>
      <c r="D588" s="1">
        <v>0</v>
      </c>
      <c r="E588" s="55">
        <f>SUM(B588:D588)</f>
        <v>0</v>
      </c>
      <c r="F588" s="1">
        <v>0</v>
      </c>
      <c r="G588" s="1">
        <v>0</v>
      </c>
      <c r="H588" s="1">
        <v>0</v>
      </c>
      <c r="I588" s="55">
        <f>SUM(F588:H588)</f>
        <v>0</v>
      </c>
      <c r="J588" s="1">
        <v>0</v>
      </c>
      <c r="K588" s="1">
        <v>0</v>
      </c>
      <c r="L588" s="1">
        <v>0</v>
      </c>
      <c r="M588" s="55">
        <f>SUM(J588:L588)</f>
        <v>0</v>
      </c>
      <c r="N588" s="1">
        <v>0</v>
      </c>
      <c r="O588" s="1">
        <v>0</v>
      </c>
      <c r="P588" s="1">
        <v>0</v>
      </c>
      <c r="Q588" s="55">
        <f>SUM(N588:P588)</f>
        <v>0</v>
      </c>
      <c r="R588" s="55">
        <f>+E588+I588+M588+Q588</f>
        <v>0</v>
      </c>
    </row>
    <row r="589" spans="1:18" ht="15.75" customHeight="1" x14ac:dyDescent="0.3">
      <c r="A589" s="15" t="s">
        <v>600</v>
      </c>
      <c r="B589" s="1"/>
      <c r="C589" s="1"/>
      <c r="D589" s="1"/>
      <c r="E589" s="55" t="s">
        <v>7</v>
      </c>
      <c r="F589" s="1"/>
      <c r="G589" s="1"/>
      <c r="H589" s="1"/>
      <c r="I589" s="55" t="s">
        <v>7</v>
      </c>
      <c r="J589" s="1"/>
      <c r="K589" s="1"/>
      <c r="L589" s="1"/>
      <c r="M589" s="55" t="s">
        <v>7</v>
      </c>
      <c r="N589" s="1"/>
      <c r="O589" s="1"/>
      <c r="P589" s="1"/>
      <c r="Q589" s="55" t="s">
        <v>7</v>
      </c>
      <c r="R589" s="55" t="s">
        <v>7</v>
      </c>
    </row>
    <row r="590" spans="1:18" ht="15.75" customHeight="1" thickBot="1" x14ac:dyDescent="0.35">
      <c r="A590" s="15" t="s">
        <v>70</v>
      </c>
      <c r="B590" s="1"/>
      <c r="C590" s="1"/>
      <c r="D590" s="1"/>
      <c r="E590" s="55" t="s">
        <v>7</v>
      </c>
      <c r="F590" s="1"/>
      <c r="G590" s="1"/>
      <c r="H590" s="1"/>
      <c r="I590" s="55" t="s">
        <v>7</v>
      </c>
      <c r="J590" s="1"/>
      <c r="K590" s="1"/>
      <c r="L590" s="1"/>
      <c r="M590" s="55" t="s">
        <v>7</v>
      </c>
      <c r="N590" s="1"/>
      <c r="O590" s="1"/>
      <c r="P590" s="1"/>
      <c r="Q590" s="55" t="s">
        <v>7</v>
      </c>
      <c r="R590" s="55" t="s">
        <v>7</v>
      </c>
    </row>
    <row r="591" spans="1:18" ht="16.5" customHeight="1" thickBot="1" x14ac:dyDescent="0.35">
      <c r="A591" s="57" t="s">
        <v>71</v>
      </c>
      <c r="B591" s="58">
        <f>SUM(B589:B590)</f>
        <v>0</v>
      </c>
      <c r="C591" s="58">
        <f>SUM(C589:C590)</f>
        <v>0</v>
      </c>
      <c r="D591" s="58">
        <f>SUM(D589:D590)</f>
        <v>0</v>
      </c>
      <c r="E591" s="60">
        <f>SUM(B591:D591)</f>
        <v>0</v>
      </c>
      <c r="F591" s="58">
        <f>SUM(F589:F590)</f>
        <v>0</v>
      </c>
      <c r="G591" s="58">
        <f>SUM(G589:G590)</f>
        <v>0</v>
      </c>
      <c r="H591" s="58">
        <f>SUM(H589:H590)</f>
        <v>0</v>
      </c>
      <c r="I591" s="60">
        <f>SUM(F591:H591)</f>
        <v>0</v>
      </c>
      <c r="J591" s="58">
        <f>SUM(J589:J590)</f>
        <v>0</v>
      </c>
      <c r="K591" s="58">
        <f>SUM(K589:K590)</f>
        <v>0</v>
      </c>
      <c r="L591" s="58">
        <f>SUM(L589:L590)</f>
        <v>0</v>
      </c>
      <c r="M591" s="60">
        <f>SUM(J591:L591)</f>
        <v>0</v>
      </c>
      <c r="N591" s="58">
        <f>SUM(N589:N590)</f>
        <v>0</v>
      </c>
      <c r="O591" s="58">
        <f>SUM(O589:O590)</f>
        <v>0</v>
      </c>
      <c r="P591" s="58">
        <f>SUM(P589:P590)</f>
        <v>0</v>
      </c>
      <c r="Q591" s="60">
        <f>SUM(N591:P591)</f>
        <v>0</v>
      </c>
      <c r="R591" s="59">
        <f>+E591+I591+M591+Q591</f>
        <v>0</v>
      </c>
    </row>
    <row r="592" spans="1:18" ht="16.5" customHeight="1" thickBot="1" x14ac:dyDescent="0.35">
      <c r="A592" s="114" t="s">
        <v>72</v>
      </c>
      <c r="B592" s="86">
        <f>SUM(B582:B590)</f>
        <v>0</v>
      </c>
      <c r="C592" s="87">
        <f>SUM(C582:C590)</f>
        <v>0</v>
      </c>
      <c r="D592" s="118">
        <f>SUM(D582:D590)</f>
        <v>0</v>
      </c>
      <c r="E592" s="60">
        <f>SUM(B592:D592)</f>
        <v>0</v>
      </c>
      <c r="F592" s="87">
        <f>SUM(F582:F590)</f>
        <v>0</v>
      </c>
      <c r="G592" s="87">
        <f>SUM(G582:G590)</f>
        <v>0</v>
      </c>
      <c r="H592" s="87">
        <f>SUM(H582:H590)</f>
        <v>0</v>
      </c>
      <c r="I592" s="60">
        <f>SUM(F592:H592)</f>
        <v>0</v>
      </c>
      <c r="J592" s="87">
        <f>SUM(J582:J590)</f>
        <v>3000</v>
      </c>
      <c r="K592" s="87">
        <f>SUM(K582:K590)</f>
        <v>4000</v>
      </c>
      <c r="L592" s="87">
        <f>SUM(L582:L590)</f>
        <v>6687</v>
      </c>
      <c r="M592" s="60">
        <f>SUM(J592:L592)</f>
        <v>13687</v>
      </c>
      <c r="N592" s="87">
        <f>SUM(N582:N590)</f>
        <v>3805</v>
      </c>
      <c r="O592" s="87">
        <f>SUM(O582:O590)</f>
        <v>2605</v>
      </c>
      <c r="P592" s="87">
        <f>SUM(P582:P590)</f>
        <v>1326</v>
      </c>
      <c r="Q592" s="60">
        <f>SUM(N592:P592)</f>
        <v>7736</v>
      </c>
      <c r="R592" s="59">
        <f>+E592+I592+M592+Q592</f>
        <v>21423</v>
      </c>
    </row>
    <row r="593" spans="1:18" ht="16.5" customHeight="1" thickBot="1" x14ac:dyDescent="0.35">
      <c r="A593" s="57" t="s">
        <v>73</v>
      </c>
      <c r="B593" s="90">
        <f>+B570+B574+B581+B592</f>
        <v>13418</v>
      </c>
      <c r="C593" s="58">
        <f>+C570+C574+C581+C592</f>
        <v>13612</v>
      </c>
      <c r="D593" s="58">
        <f>+D570+D574+D581+D592</f>
        <v>13415</v>
      </c>
      <c r="E593" s="59">
        <f>SUM(B593:D593)</f>
        <v>40445</v>
      </c>
      <c r="F593" s="58">
        <f>+F570+F574+F581+F592</f>
        <v>15510</v>
      </c>
      <c r="G593" s="58">
        <f>+G570+G574+G581+G592</f>
        <v>15233</v>
      </c>
      <c r="H593" s="58">
        <f>+H570+H574+H581+H592</f>
        <v>8407</v>
      </c>
      <c r="I593" s="59">
        <f>SUM(F593:H593)</f>
        <v>39150</v>
      </c>
      <c r="J593" s="58">
        <f>+J570+J574+J581+J592</f>
        <v>10725</v>
      </c>
      <c r="K593" s="58">
        <f>+K570+K574+K581+K592</f>
        <v>14327</v>
      </c>
      <c r="L593" s="58">
        <f>+L570+L574+L581+L592</f>
        <v>14783</v>
      </c>
      <c r="M593" s="59">
        <f>SUM(J593:L593)</f>
        <v>39835</v>
      </c>
      <c r="N593" s="58">
        <f>+N570+N574+N581+N592</f>
        <v>9721</v>
      </c>
      <c r="O593" s="58">
        <f>+O570+O574+O581+O592</f>
        <v>4629</v>
      </c>
      <c r="P593" s="58">
        <f>+P570+P574+P581+P592</f>
        <v>6783</v>
      </c>
      <c r="Q593" s="59">
        <f>SUM(N593:P593)</f>
        <v>21133</v>
      </c>
      <c r="R593" s="81">
        <f>+E593+I593+M593+Q593</f>
        <v>140563</v>
      </c>
    </row>
    <row r="594" spans="1:18" ht="16.5" customHeight="1" thickBot="1" x14ac:dyDescent="0.35">
      <c r="A594" s="62" t="s">
        <v>40</v>
      </c>
      <c r="B594" s="21">
        <v>22</v>
      </c>
      <c r="C594" s="21">
        <v>24</v>
      </c>
      <c r="D594" s="21">
        <v>31</v>
      </c>
      <c r="E594" s="59">
        <f>SUM(B594:D594)</f>
        <v>77</v>
      </c>
      <c r="F594" s="21">
        <v>40</v>
      </c>
      <c r="G594" s="21">
        <v>45</v>
      </c>
      <c r="H594" s="21">
        <v>48</v>
      </c>
      <c r="I594" s="59">
        <f>SUM(F594:H594)</f>
        <v>133</v>
      </c>
      <c r="J594" s="21">
        <v>42</v>
      </c>
      <c r="K594" s="21">
        <v>39</v>
      </c>
      <c r="L594" s="21">
        <v>38</v>
      </c>
      <c r="M594" s="59">
        <f>SUM(J594:L594)</f>
        <v>119</v>
      </c>
      <c r="N594" s="21">
        <v>32</v>
      </c>
      <c r="O594" s="21">
        <v>25</v>
      </c>
      <c r="P594" s="21">
        <v>21</v>
      </c>
      <c r="Q594" s="59">
        <f>SUM(N594:P594)</f>
        <v>78</v>
      </c>
      <c r="R594" s="60">
        <f>+E594+I594+M594+Q594</f>
        <v>407</v>
      </c>
    </row>
    <row r="595" spans="1:18" ht="16.5" customHeight="1" thickBot="1" x14ac:dyDescent="0.35">
      <c r="A595" s="41"/>
      <c r="B595" s="36"/>
      <c r="C595" s="36"/>
      <c r="D595" s="36"/>
      <c r="E595" s="52"/>
      <c r="F595" s="36"/>
      <c r="G595" s="36"/>
      <c r="H595" s="36"/>
      <c r="I595" s="52"/>
      <c r="J595" s="36"/>
      <c r="K595" s="36"/>
      <c r="L595" s="36"/>
      <c r="M595" s="52"/>
      <c r="N595" s="36"/>
      <c r="O595" s="36"/>
      <c r="P595" s="36"/>
      <c r="Q595" s="52"/>
      <c r="R595" s="42"/>
    </row>
    <row r="596" spans="1:18" ht="15.75" customHeight="1" x14ac:dyDescent="0.3">
      <c r="A596" s="15" t="s">
        <v>314</v>
      </c>
      <c r="B596" s="1">
        <f>+SUM(B593:B594)</f>
        <v>13440</v>
      </c>
      <c r="C596" s="1">
        <f>+SUM(C593:C594)</f>
        <v>13636</v>
      </c>
      <c r="D596" s="1">
        <f>+SUM(D593:D594)</f>
        <v>13446</v>
      </c>
      <c r="E596" s="60">
        <f>SUM(B596:D596)</f>
        <v>40522</v>
      </c>
      <c r="F596" s="1">
        <f>+SUM(F593:F594)</f>
        <v>15550</v>
      </c>
      <c r="G596" s="1">
        <f>+SUM(G593:G594)</f>
        <v>15278</v>
      </c>
      <c r="H596" s="1">
        <f>+SUM(H593:H594)</f>
        <v>8455</v>
      </c>
      <c r="I596" s="60">
        <f>SUM(F596:H596)</f>
        <v>39283</v>
      </c>
      <c r="J596" s="1">
        <f>+SUM(J593:J594)</f>
        <v>10767</v>
      </c>
      <c r="K596" s="1">
        <f>+SUM(K593:K594)</f>
        <v>14366</v>
      </c>
      <c r="L596" s="1">
        <f>+SUM(L593:L594)</f>
        <v>14821</v>
      </c>
      <c r="M596" s="60">
        <f>SUM(J596:L596)</f>
        <v>39954</v>
      </c>
      <c r="N596" s="1">
        <f>+SUM(N593:N594)</f>
        <v>9753</v>
      </c>
      <c r="O596" s="1">
        <f>+SUM(O593:O594)</f>
        <v>4654</v>
      </c>
      <c r="P596" s="1">
        <f>+SUM(P593:P594)</f>
        <v>6804</v>
      </c>
      <c r="Q596" s="60">
        <f>SUM(N596:P596)</f>
        <v>21211</v>
      </c>
      <c r="R596" s="60">
        <f>+E596+I596+M596+Q596</f>
        <v>140970</v>
      </c>
    </row>
    <row r="597" spans="1:18" ht="15.75" customHeight="1" x14ac:dyDescent="0.3">
      <c r="A597" s="15" t="s">
        <v>42</v>
      </c>
      <c r="B597" s="1">
        <f>(B596/31)/1.983</f>
        <v>218.63257039675955</v>
      </c>
      <c r="C597" s="1">
        <f>(C596/28)/1.983</f>
        <v>245.58749369641956</v>
      </c>
      <c r="D597" s="1">
        <f>(D596/31)/1.983</f>
        <v>218.73017422282953</v>
      </c>
      <c r="E597" s="55" t="s">
        <v>7</v>
      </c>
      <c r="F597" s="1">
        <f>(F596/30)/1.983</f>
        <v>261.38846865019332</v>
      </c>
      <c r="G597" s="1">
        <f>(G596/31)/1.983</f>
        <v>248.53187578286401</v>
      </c>
      <c r="H597" s="1">
        <f>(H596/30)/1.983</f>
        <v>142.12472684484786</v>
      </c>
      <c r="I597" s="55" t="s">
        <v>7</v>
      </c>
      <c r="J597" s="1">
        <f>(J596/31)/1.983</f>
        <v>175.1500658825826</v>
      </c>
      <c r="K597" s="1">
        <f>(K596/31)/1.983</f>
        <v>233.69609422022677</v>
      </c>
      <c r="L597" s="1">
        <f>(L596/30)/1.983</f>
        <v>249.13430828710707</v>
      </c>
      <c r="M597" s="55" t="s">
        <v>7</v>
      </c>
      <c r="N597" s="1">
        <f>(N596/31)/1.983</f>
        <v>158.65501927675564</v>
      </c>
      <c r="O597" s="1">
        <f>(O596/30)/1.983</f>
        <v>78.231635569003188</v>
      </c>
      <c r="P597" s="1">
        <f>(P596/31)/1.983</f>
        <v>110.68273876335951</v>
      </c>
      <c r="Q597" s="55" t="s">
        <v>7</v>
      </c>
      <c r="R597" s="55" t="s">
        <v>7</v>
      </c>
    </row>
    <row r="598" spans="1:18" ht="15.75" customHeight="1" x14ac:dyDescent="0.3">
      <c r="A598" s="15" t="s">
        <v>351</v>
      </c>
      <c r="B598" s="1">
        <f>B596+B608</f>
        <v>16219</v>
      </c>
      <c r="C598" s="1">
        <f>C596+C608</f>
        <v>16914</v>
      </c>
      <c r="D598" s="1">
        <f>D596+D608</f>
        <v>14578</v>
      </c>
      <c r="E598" s="55">
        <f>SUM(B598:D598)</f>
        <v>47711</v>
      </c>
      <c r="F598" s="1">
        <f>F596+F608</f>
        <v>17139</v>
      </c>
      <c r="G598" s="1">
        <f>G596+G608</f>
        <v>17047</v>
      </c>
      <c r="H598" s="1">
        <f>H596+H608</f>
        <v>10141</v>
      </c>
      <c r="I598" s="55">
        <f>SUM(F598:H598)</f>
        <v>44327</v>
      </c>
      <c r="J598" s="1">
        <f>J596+J608</f>
        <v>12128</v>
      </c>
      <c r="K598" s="1">
        <f>K596+K608</f>
        <v>16057</v>
      </c>
      <c r="L598" s="1">
        <f>L596+L608</f>
        <v>18841</v>
      </c>
      <c r="M598" s="55">
        <f>SUM(J598:L598)</f>
        <v>47026</v>
      </c>
      <c r="N598" s="1">
        <f>N596+N608</f>
        <v>13091</v>
      </c>
      <c r="O598" s="1">
        <f>O596+O608</f>
        <v>5514</v>
      </c>
      <c r="P598" s="1">
        <f>P596+P608</f>
        <v>11073</v>
      </c>
      <c r="Q598" s="55">
        <f>SUM(N598:P598)</f>
        <v>29678</v>
      </c>
      <c r="R598" s="55">
        <f>+E598+I598+M598+Q598</f>
        <v>168742</v>
      </c>
    </row>
    <row r="599" spans="1:18" ht="16.5" customHeight="1" thickBot="1" x14ac:dyDescent="0.35">
      <c r="A599" s="20" t="s">
        <v>352</v>
      </c>
      <c r="B599" s="21">
        <f>(B598/31)/1.983</f>
        <v>263.83940917150619</v>
      </c>
      <c r="C599" s="21">
        <f>(C598/28)/1.983</f>
        <v>304.6250270153447</v>
      </c>
      <c r="D599" s="21">
        <f>(D598/31)/1.983</f>
        <v>237.14476274136612</v>
      </c>
      <c r="E599" s="81" t="s">
        <v>7</v>
      </c>
      <c r="F599" s="21">
        <f>(F598/30)/1.983</f>
        <v>288.09884014120018</v>
      </c>
      <c r="G599" s="21">
        <f>(G598/31)/1.983</f>
        <v>277.30873716916369</v>
      </c>
      <c r="H599" s="21">
        <f>(H598/30)/1.983</f>
        <v>170.46562447470163</v>
      </c>
      <c r="I599" s="81" t="s">
        <v>7</v>
      </c>
      <c r="J599" s="21">
        <f>(J598/31)/1.983</f>
        <v>197.28986709612352</v>
      </c>
      <c r="K599" s="21">
        <f>(K598/31)/1.983</f>
        <v>261.2041058676167</v>
      </c>
      <c r="L599" s="21">
        <f>(L598/30)/1.983</f>
        <v>316.70869053622454</v>
      </c>
      <c r="M599" s="81" t="s">
        <v>7</v>
      </c>
      <c r="N599" s="21">
        <f>(N598/31)/1.983</f>
        <v>212.9552811803556</v>
      </c>
      <c r="O599" s="21">
        <f>(O598/30)/1.983</f>
        <v>92.687846696923856</v>
      </c>
      <c r="P599" s="21">
        <f>(P598/31)/1.983</f>
        <v>180.12786101215167</v>
      </c>
      <c r="Q599" s="81" t="s">
        <v>7</v>
      </c>
      <c r="R599" s="81" t="s">
        <v>7</v>
      </c>
    </row>
    <row r="600" spans="1:18" ht="15.75" customHeight="1" x14ac:dyDescent="0.3">
      <c r="A600" s="2"/>
      <c r="B600" s="1"/>
      <c r="C600" s="1"/>
      <c r="D600" s="1"/>
      <c r="E600" s="1"/>
      <c r="F600" s="1"/>
      <c r="G600" s="1"/>
      <c r="H600" s="1"/>
      <c r="I600" s="1"/>
      <c r="J600" s="1"/>
      <c r="K600" s="1"/>
      <c r="L600" s="1"/>
      <c r="M600" s="1"/>
      <c r="N600" s="1"/>
      <c r="O600" s="1"/>
      <c r="P600" s="1"/>
      <c r="Q600" s="1"/>
      <c r="R600" s="2"/>
    </row>
    <row r="601" spans="1:18" ht="15.75" customHeight="1" thickBot="1" x14ac:dyDescent="0.35">
      <c r="A601" s="2"/>
      <c r="B601" s="1"/>
      <c r="C601" s="1"/>
      <c r="D601" s="1"/>
      <c r="E601" s="1"/>
      <c r="F601" s="1"/>
      <c r="G601" s="1"/>
      <c r="H601" s="1"/>
      <c r="I601" s="1"/>
      <c r="J601" s="1"/>
      <c r="K601" s="1"/>
      <c r="L601" s="1"/>
      <c r="M601" s="1"/>
      <c r="N601" s="1"/>
      <c r="O601" s="1"/>
      <c r="P601" s="1"/>
      <c r="Q601" s="1"/>
      <c r="R601" s="2"/>
    </row>
    <row r="602" spans="1:18" ht="16.5" customHeight="1" thickBot="1" x14ac:dyDescent="0.35">
      <c r="A602" s="124" t="s">
        <v>353</v>
      </c>
      <c r="B602" s="30" t="s">
        <v>8</v>
      </c>
      <c r="C602" s="31" t="s">
        <v>9</v>
      </c>
      <c r="D602" s="31" t="s">
        <v>10</v>
      </c>
      <c r="E602" s="32" t="s">
        <v>11</v>
      </c>
      <c r="F602" s="31" t="s">
        <v>12</v>
      </c>
      <c r="G602" s="31" t="s">
        <v>13</v>
      </c>
      <c r="H602" s="31" t="s">
        <v>14</v>
      </c>
      <c r="I602" s="33" t="s">
        <v>15</v>
      </c>
      <c r="J602" s="31" t="s">
        <v>16</v>
      </c>
      <c r="K602" s="31" t="s">
        <v>17</v>
      </c>
      <c r="L602" s="31" t="s">
        <v>18</v>
      </c>
      <c r="M602" s="33" t="s">
        <v>19</v>
      </c>
      <c r="N602" s="31" t="s">
        <v>20</v>
      </c>
      <c r="O602" s="31" t="s">
        <v>21</v>
      </c>
      <c r="P602" s="31" t="s">
        <v>22</v>
      </c>
      <c r="Q602" s="33" t="s">
        <v>23</v>
      </c>
      <c r="R602" s="34" t="s">
        <v>24</v>
      </c>
    </row>
    <row r="603" spans="1:18" ht="16.5" customHeight="1" thickBot="1" x14ac:dyDescent="0.35">
      <c r="A603" s="41"/>
      <c r="B603" s="36"/>
      <c r="C603" s="36"/>
      <c r="D603" s="36"/>
      <c r="E603" s="37"/>
      <c r="F603" s="36"/>
      <c r="G603" s="36"/>
      <c r="H603" s="36"/>
      <c r="I603" s="37"/>
      <c r="J603" s="36"/>
      <c r="K603" s="36"/>
      <c r="L603" s="36"/>
      <c r="M603" s="37"/>
      <c r="N603" s="36"/>
      <c r="O603" s="36"/>
      <c r="P603" s="36"/>
      <c r="Q603" s="37"/>
      <c r="R603" s="41"/>
    </row>
    <row r="604" spans="1:18" ht="16.5" customHeight="1" thickBot="1" x14ac:dyDescent="0.35">
      <c r="A604" s="39" t="s">
        <v>40</v>
      </c>
      <c r="B604" s="21">
        <v>2</v>
      </c>
      <c r="C604" s="21">
        <v>3</v>
      </c>
      <c r="D604" s="21">
        <v>5</v>
      </c>
      <c r="E604" s="55">
        <f>SUM(B604:D604)</f>
        <v>10</v>
      </c>
      <c r="F604" s="21">
        <v>7</v>
      </c>
      <c r="G604" s="21">
        <v>8</v>
      </c>
      <c r="H604" s="21">
        <v>9</v>
      </c>
      <c r="I604" s="55">
        <f>SUM(F604:H604)</f>
        <v>24</v>
      </c>
      <c r="J604" s="21">
        <v>7</v>
      </c>
      <c r="K604" s="21">
        <v>6</v>
      </c>
      <c r="L604" s="21">
        <v>6</v>
      </c>
      <c r="M604" s="55">
        <f>SUM(J604:L604)</f>
        <v>19</v>
      </c>
      <c r="N604" s="21">
        <v>5</v>
      </c>
      <c r="O604" s="21">
        <v>3</v>
      </c>
      <c r="P604" s="21">
        <v>2</v>
      </c>
      <c r="Q604" s="55">
        <f>SUM(N604:P604)</f>
        <v>10</v>
      </c>
      <c r="R604" s="60">
        <f>+E604+I604+M604+Q604</f>
        <v>63</v>
      </c>
    </row>
    <row r="605" spans="1:18" ht="16.5" customHeight="1" thickBot="1" x14ac:dyDescent="0.35">
      <c r="A605" s="41"/>
      <c r="B605" s="36"/>
      <c r="C605" s="36"/>
      <c r="D605" s="36"/>
      <c r="E605" s="52"/>
      <c r="F605" s="36"/>
      <c r="G605" s="36"/>
      <c r="H605" s="36"/>
      <c r="I605" s="52"/>
      <c r="J605" s="36"/>
      <c r="K605" s="36"/>
      <c r="L605" s="36"/>
      <c r="M605" s="52"/>
      <c r="N605" s="36"/>
      <c r="O605" s="36"/>
      <c r="P605" s="36"/>
      <c r="Q605" s="52"/>
      <c r="R605" s="42"/>
    </row>
    <row r="606" spans="1:18" ht="15.75" customHeight="1" x14ac:dyDescent="0.3">
      <c r="A606" s="15" t="s">
        <v>314</v>
      </c>
      <c r="B606" s="1">
        <f>B604</f>
        <v>2</v>
      </c>
      <c r="C606" s="1">
        <f>C604</f>
        <v>3</v>
      </c>
      <c r="D606" s="1">
        <f>D604</f>
        <v>5</v>
      </c>
      <c r="E606" s="60">
        <f>SUM(B606:D606)</f>
        <v>10</v>
      </c>
      <c r="F606" s="1">
        <f>F604</f>
        <v>7</v>
      </c>
      <c r="G606" s="1">
        <f>G604</f>
        <v>8</v>
      </c>
      <c r="H606" s="1">
        <f>H604</f>
        <v>9</v>
      </c>
      <c r="I606" s="60">
        <f>SUM(F606:H606)</f>
        <v>24</v>
      </c>
      <c r="J606" s="1">
        <f>J604</f>
        <v>7</v>
      </c>
      <c r="K606" s="1">
        <f>K604</f>
        <v>6</v>
      </c>
      <c r="L606" s="1">
        <f>L604</f>
        <v>6</v>
      </c>
      <c r="M606" s="60">
        <f>SUM(J606:L606)</f>
        <v>19</v>
      </c>
      <c r="N606" s="1">
        <f>N604</f>
        <v>5</v>
      </c>
      <c r="O606" s="1">
        <f>O604</f>
        <v>3</v>
      </c>
      <c r="P606" s="1">
        <f>P604</f>
        <v>2</v>
      </c>
      <c r="Q606" s="60">
        <f>SUM(N606:P606)</f>
        <v>10</v>
      </c>
      <c r="R606" s="60">
        <f>+E606+I606+M606+Q606</f>
        <v>63</v>
      </c>
    </row>
    <row r="607" spans="1:18" ht="15.75" customHeight="1" x14ac:dyDescent="0.3">
      <c r="A607" s="15" t="s">
        <v>42</v>
      </c>
      <c r="B607" s="1">
        <f>(B606/31)/1.983</f>
        <v>3.2534608689993978E-2</v>
      </c>
      <c r="C607" s="1">
        <f>(C606/28)/1.983</f>
        <v>5.403068943159714E-2</v>
      </c>
      <c r="D607" s="1">
        <f>(D606/31)/1.983</f>
        <v>8.1336521724984942E-2</v>
      </c>
      <c r="E607" s="55" t="s">
        <v>7</v>
      </c>
      <c r="F607" s="1">
        <f>(F606/30)/1.983</f>
        <v>0.1176668347621449</v>
      </c>
      <c r="G607" s="1">
        <f>(G606/31)/1.983</f>
        <v>0.13013843475997591</v>
      </c>
      <c r="H607" s="1">
        <f>(H606/30)/1.983</f>
        <v>0.15128593040847199</v>
      </c>
      <c r="I607" s="55" t="s">
        <v>7</v>
      </c>
      <c r="J607" s="1">
        <f>(J606/31)/1.983</f>
        <v>0.11387113041497893</v>
      </c>
      <c r="K607" s="1">
        <f>(K606/31)/1.983</f>
        <v>9.7603826069981942E-2</v>
      </c>
      <c r="L607" s="1">
        <f>(L606/30)/1.983</f>
        <v>0.10085728693898134</v>
      </c>
      <c r="M607" s="55" t="s">
        <v>7</v>
      </c>
      <c r="N607" s="1">
        <f>(N606/31)/1.983</f>
        <v>8.1336521724984942E-2</v>
      </c>
      <c r="O607" s="1">
        <f>(O606/30)/1.983</f>
        <v>5.0428643469490671E-2</v>
      </c>
      <c r="P607" s="1">
        <f>(P606/31)/1.983</f>
        <v>3.2534608689993978E-2</v>
      </c>
      <c r="Q607" s="55" t="s">
        <v>7</v>
      </c>
      <c r="R607" s="55" t="s">
        <v>7</v>
      </c>
    </row>
    <row r="608" spans="1:18" ht="15.75" customHeight="1" x14ac:dyDescent="0.3">
      <c r="A608" s="15" t="s">
        <v>354</v>
      </c>
      <c r="B608" s="1">
        <f>B606+B642+B685-B637</f>
        <v>2779</v>
      </c>
      <c r="C608" s="1">
        <f>C606+C642+C685-C637</f>
        <v>3278</v>
      </c>
      <c r="D608" s="1">
        <f>D606+D642+D685-D637</f>
        <v>1132</v>
      </c>
      <c r="E608" s="55">
        <f>SUM(B608:D608)</f>
        <v>7189</v>
      </c>
      <c r="F608" s="1">
        <f>F606+F642+F685-F637</f>
        <v>1589</v>
      </c>
      <c r="G608" s="1">
        <f>G606+G642+G685-G637</f>
        <v>1769</v>
      </c>
      <c r="H608" s="1">
        <f>H606+H642+H685-H637</f>
        <v>1686</v>
      </c>
      <c r="I608" s="55">
        <f>SUM(F608:H608)</f>
        <v>5044</v>
      </c>
      <c r="J608" s="1">
        <f>J606+J642+J685-J637</f>
        <v>1361</v>
      </c>
      <c r="K608" s="1">
        <f>K606+K642+K685-K637</f>
        <v>1691</v>
      </c>
      <c r="L608" s="1">
        <f>L606+L642+L685-L637</f>
        <v>4020</v>
      </c>
      <c r="M608" s="55">
        <f>SUM(J608:L608)</f>
        <v>7072</v>
      </c>
      <c r="N608" s="1">
        <f>N606+N642+N685-N637</f>
        <v>3338</v>
      </c>
      <c r="O608" s="1">
        <f>O606+O642+O685-O637</f>
        <v>860</v>
      </c>
      <c r="P608" s="1">
        <f>P606+P642+P685-P637</f>
        <v>4269</v>
      </c>
      <c r="Q608" s="55">
        <f>SUM(N608:P608)</f>
        <v>8467</v>
      </c>
      <c r="R608" s="55">
        <f>+E608+I608+M608+Q608</f>
        <v>27772</v>
      </c>
    </row>
    <row r="609" spans="1:18" ht="16.5" customHeight="1" thickBot="1" x14ac:dyDescent="0.35">
      <c r="A609" s="20" t="s">
        <v>355</v>
      </c>
      <c r="B609" s="21">
        <f>(B608/31)/1.983</f>
        <v>45.206838774746629</v>
      </c>
      <c r="C609" s="21">
        <f>(C608/28)/1.983</f>
        <v>59.037533318925142</v>
      </c>
      <c r="D609" s="21">
        <f>(D608/31)/1.983</f>
        <v>18.414588518536593</v>
      </c>
      <c r="E609" s="81" t="s">
        <v>7</v>
      </c>
      <c r="F609" s="21">
        <f>(F608/30)/1.983</f>
        <v>26.710371491006892</v>
      </c>
      <c r="G609" s="21">
        <f>(G608/31)/1.983</f>
        <v>28.776861386299675</v>
      </c>
      <c r="H609" s="21">
        <f>(H608/30)/1.983</f>
        <v>28.340897629853757</v>
      </c>
      <c r="I609" s="81" t="s">
        <v>7</v>
      </c>
      <c r="J609" s="21">
        <f>(J608/31)/1.983</f>
        <v>22.139801213540906</v>
      </c>
      <c r="K609" s="21">
        <f>(K608/31)/1.983</f>
        <v>27.50801164738991</v>
      </c>
      <c r="L609" s="21">
        <f>(L608/30)/1.983</f>
        <v>67.574382249117491</v>
      </c>
      <c r="M609" s="81" t="s">
        <v>7</v>
      </c>
      <c r="N609" s="21">
        <f>(N608/31)/1.983</f>
        <v>54.300261903599946</v>
      </c>
      <c r="O609" s="21">
        <f>(O608/30)/1.983</f>
        <v>14.456211127920659</v>
      </c>
      <c r="P609" s="21">
        <f>(P608/31)/1.983</f>
        <v>69.44512224879216</v>
      </c>
      <c r="Q609" s="81" t="s">
        <v>7</v>
      </c>
      <c r="R609" s="81" t="s">
        <v>7</v>
      </c>
    </row>
    <row r="610" spans="1:18" ht="15.75" customHeight="1" x14ac:dyDescent="0.3">
      <c r="A610" s="2"/>
      <c r="B610" s="1"/>
      <c r="C610" s="1"/>
      <c r="D610" s="1"/>
      <c r="E610" s="1"/>
      <c r="F610" s="1"/>
      <c r="G610" s="1"/>
      <c r="H610" s="1"/>
      <c r="I610" s="1"/>
      <c r="J610" s="1"/>
      <c r="K610" s="1"/>
      <c r="L610" s="1"/>
      <c r="M610" s="1"/>
      <c r="N610" s="1"/>
      <c r="O610" s="1"/>
      <c r="P610" s="1"/>
      <c r="Q610" s="1"/>
      <c r="R610" s="2"/>
    </row>
    <row r="611" spans="1:18" ht="15.75" customHeight="1" thickBot="1" x14ac:dyDescent="0.35">
      <c r="A611" s="2"/>
      <c r="B611" s="1"/>
      <c r="C611" s="1"/>
      <c r="D611" s="1"/>
      <c r="E611" s="1"/>
      <c r="F611" s="1"/>
      <c r="G611" s="1"/>
      <c r="H611" s="1"/>
      <c r="I611" s="1"/>
      <c r="J611" s="1"/>
      <c r="K611" s="1"/>
      <c r="L611" s="1"/>
      <c r="M611" s="1"/>
      <c r="N611" s="1"/>
      <c r="O611" s="1"/>
      <c r="P611" s="1"/>
      <c r="Q611" s="1"/>
      <c r="R611" s="2"/>
    </row>
    <row r="612" spans="1:18" ht="16.5" customHeight="1" thickBot="1" x14ac:dyDescent="0.35">
      <c r="A612" s="124" t="s">
        <v>356</v>
      </c>
      <c r="B612" s="30" t="s">
        <v>8</v>
      </c>
      <c r="C612" s="31" t="s">
        <v>9</v>
      </c>
      <c r="D612" s="31" t="s">
        <v>10</v>
      </c>
      <c r="E612" s="33" t="s">
        <v>11</v>
      </c>
      <c r="F612" s="31" t="s">
        <v>12</v>
      </c>
      <c r="G612" s="31" t="s">
        <v>13</v>
      </c>
      <c r="H612" s="31" t="s">
        <v>14</v>
      </c>
      <c r="I612" s="33" t="s">
        <v>15</v>
      </c>
      <c r="J612" s="31" t="s">
        <v>16</v>
      </c>
      <c r="K612" s="31" t="s">
        <v>17</v>
      </c>
      <c r="L612" s="31" t="s">
        <v>18</v>
      </c>
      <c r="M612" s="33" t="s">
        <v>19</v>
      </c>
      <c r="N612" s="31" t="s">
        <v>20</v>
      </c>
      <c r="O612" s="31" t="s">
        <v>21</v>
      </c>
      <c r="P612" s="31" t="s">
        <v>22</v>
      </c>
      <c r="Q612" s="33" t="s">
        <v>23</v>
      </c>
      <c r="R612" s="131" t="s">
        <v>24</v>
      </c>
    </row>
    <row r="613" spans="1:18" ht="16.5" customHeight="1" thickBot="1" x14ac:dyDescent="0.35">
      <c r="A613" s="41"/>
      <c r="B613" s="36"/>
      <c r="C613" s="36"/>
      <c r="D613" s="36"/>
      <c r="E613" s="132"/>
      <c r="F613" s="36"/>
      <c r="G613" s="36"/>
      <c r="H613" s="36"/>
      <c r="I613" s="132"/>
      <c r="J613" s="36"/>
      <c r="K613" s="36"/>
      <c r="L613" s="36"/>
      <c r="M613" s="132"/>
      <c r="N613" s="36"/>
      <c r="O613" s="36"/>
      <c r="P613" s="36"/>
      <c r="Q613" s="132"/>
      <c r="R613" s="38"/>
    </row>
    <row r="614" spans="1:18" ht="15.75" customHeight="1" x14ac:dyDescent="0.3">
      <c r="A614" s="15" t="s">
        <v>48</v>
      </c>
      <c r="B614" s="1" t="s">
        <v>7</v>
      </c>
      <c r="C614" s="1" t="s">
        <v>7</v>
      </c>
      <c r="D614" s="1" t="s">
        <v>7</v>
      </c>
      <c r="E614" s="55" t="s">
        <v>7</v>
      </c>
      <c r="F614" s="1" t="s">
        <v>7</v>
      </c>
      <c r="G614" s="1" t="s">
        <v>7</v>
      </c>
      <c r="H614" s="1" t="s">
        <v>7</v>
      </c>
      <c r="I614" s="55" t="s">
        <v>7</v>
      </c>
      <c r="J614" s="1" t="s">
        <v>7</v>
      </c>
      <c r="K614" s="1" t="s">
        <v>7</v>
      </c>
      <c r="L614" s="1" t="s">
        <v>7</v>
      </c>
      <c r="M614" s="55" t="s">
        <v>7</v>
      </c>
      <c r="N614" s="1" t="s">
        <v>7</v>
      </c>
      <c r="O614" s="1" t="s">
        <v>7</v>
      </c>
      <c r="P614" s="1" t="s">
        <v>7</v>
      </c>
      <c r="Q614" s="55" t="s">
        <v>7</v>
      </c>
      <c r="R614" s="55" t="s">
        <v>7</v>
      </c>
    </row>
    <row r="615" spans="1:18" ht="15.75" customHeight="1" x14ac:dyDescent="0.3">
      <c r="A615" s="15" t="s">
        <v>49</v>
      </c>
      <c r="B615" s="1"/>
      <c r="C615" s="1"/>
      <c r="D615" s="1"/>
      <c r="E615" s="55" t="s">
        <v>7</v>
      </c>
      <c r="F615" s="1"/>
      <c r="G615" s="1"/>
      <c r="H615" s="1"/>
      <c r="I615" s="55" t="s">
        <v>7</v>
      </c>
      <c r="J615" s="1"/>
      <c r="K615" s="1"/>
      <c r="L615" s="1"/>
      <c r="M615" s="55" t="s">
        <v>7</v>
      </c>
      <c r="N615" s="1"/>
      <c r="O615" s="1"/>
      <c r="P615" s="1"/>
      <c r="Q615" s="55" t="s">
        <v>7</v>
      </c>
      <c r="R615" s="55" t="s">
        <v>7</v>
      </c>
    </row>
    <row r="616" spans="1:18" ht="15.75" customHeight="1" x14ac:dyDescent="0.3">
      <c r="A616" s="71" t="s">
        <v>357</v>
      </c>
      <c r="B616" s="1">
        <v>67</v>
      </c>
      <c r="C616" s="1">
        <v>106</v>
      </c>
      <c r="D616" s="1">
        <v>9</v>
      </c>
      <c r="E616" s="55">
        <f>SUM(B616:D616)</f>
        <v>182</v>
      </c>
      <c r="F616" s="1">
        <v>53</v>
      </c>
      <c r="G616" s="1">
        <v>16</v>
      </c>
      <c r="H616" s="1">
        <v>69</v>
      </c>
      <c r="I616" s="55">
        <f>SUM(F616:H616)</f>
        <v>138</v>
      </c>
      <c r="J616" s="1">
        <v>14</v>
      </c>
      <c r="K616" s="1">
        <v>11</v>
      </c>
      <c r="L616" s="1">
        <v>54</v>
      </c>
      <c r="M616" s="55">
        <f>SUM(J616:L616)</f>
        <v>79</v>
      </c>
      <c r="N616" s="1">
        <v>0</v>
      </c>
      <c r="O616" s="1">
        <v>31</v>
      </c>
      <c r="P616" s="1">
        <v>0</v>
      </c>
      <c r="Q616" s="55">
        <f>SUM(N616:P616)</f>
        <v>31</v>
      </c>
      <c r="R616" s="55">
        <f>+E616+I616+M616+Q616</f>
        <v>430</v>
      </c>
    </row>
    <row r="617" spans="1:18" ht="15.75" customHeight="1" x14ac:dyDescent="0.3">
      <c r="A617" s="15" t="s">
        <v>50</v>
      </c>
      <c r="B617" s="1"/>
      <c r="C617" s="1"/>
      <c r="D617" s="1"/>
      <c r="E617" s="55" t="s">
        <v>7</v>
      </c>
      <c r="F617" s="1"/>
      <c r="G617" s="1"/>
      <c r="H617" s="1"/>
      <c r="I617" s="55" t="s">
        <v>7</v>
      </c>
      <c r="J617" s="1"/>
      <c r="K617" s="1"/>
      <c r="L617" s="1"/>
      <c r="M617" s="55" t="s">
        <v>7</v>
      </c>
      <c r="N617" s="1"/>
      <c r="O617" s="1"/>
      <c r="P617" s="1"/>
      <c r="Q617" s="55" t="s">
        <v>7</v>
      </c>
      <c r="R617" s="55" t="s">
        <v>7</v>
      </c>
    </row>
    <row r="618" spans="1:18" ht="15.75" customHeight="1" x14ac:dyDescent="0.3">
      <c r="A618" s="15" t="s">
        <v>51</v>
      </c>
      <c r="B618" s="1"/>
      <c r="C618" s="1"/>
      <c r="D618" s="1"/>
      <c r="E618" s="55" t="s">
        <v>7</v>
      </c>
      <c r="F618" s="1"/>
      <c r="G618" s="1"/>
      <c r="H618" s="1"/>
      <c r="I618" s="55" t="s">
        <v>7</v>
      </c>
      <c r="J618" s="1"/>
      <c r="K618" s="1"/>
      <c r="L618" s="1"/>
      <c r="M618" s="55" t="s">
        <v>7</v>
      </c>
      <c r="N618" s="1"/>
      <c r="O618" s="1"/>
      <c r="P618" s="1"/>
      <c r="Q618" s="55" t="s">
        <v>7</v>
      </c>
      <c r="R618" s="55" t="s">
        <v>7</v>
      </c>
    </row>
    <row r="619" spans="1:18" ht="15.75" customHeight="1" thickBot="1" x14ac:dyDescent="0.35">
      <c r="A619" s="15" t="s">
        <v>53</v>
      </c>
      <c r="B619" s="1"/>
      <c r="C619" s="1"/>
      <c r="D619" s="1"/>
      <c r="E619" s="55" t="s">
        <v>7</v>
      </c>
      <c r="F619" s="1"/>
      <c r="G619" s="1"/>
      <c r="H619" s="1"/>
      <c r="I619" s="55" t="s">
        <v>7</v>
      </c>
      <c r="J619" s="1"/>
      <c r="K619" s="1"/>
      <c r="L619" s="1"/>
      <c r="M619" s="55" t="s">
        <v>7</v>
      </c>
      <c r="N619" s="1"/>
      <c r="O619" s="1"/>
      <c r="P619" s="1"/>
      <c r="Q619" s="55" t="s">
        <v>7</v>
      </c>
      <c r="R619" s="55" t="s">
        <v>7</v>
      </c>
    </row>
    <row r="620" spans="1:18" ht="16.5" customHeight="1" thickBot="1" x14ac:dyDescent="0.35">
      <c r="A620" s="57" t="s">
        <v>54</v>
      </c>
      <c r="B620" s="86">
        <f>SUM(B614:B619)</f>
        <v>67</v>
      </c>
      <c r="C620" s="87">
        <f>SUM(C614:C619)</f>
        <v>106</v>
      </c>
      <c r="D620" s="87">
        <f>SUM(D614:D619)</f>
        <v>9</v>
      </c>
      <c r="E620" s="59">
        <f>SUM(B620:D620)</f>
        <v>182</v>
      </c>
      <c r="F620" s="87">
        <f>SUM(F614:F619)</f>
        <v>53</v>
      </c>
      <c r="G620" s="87">
        <f>SUM(G614:G619)</f>
        <v>16</v>
      </c>
      <c r="H620" s="87">
        <f>SUM(H614:H619)</f>
        <v>69</v>
      </c>
      <c r="I620" s="59">
        <f>SUM(F620:H620)</f>
        <v>138</v>
      </c>
      <c r="J620" s="87">
        <f>SUM(J614:J619)</f>
        <v>14</v>
      </c>
      <c r="K620" s="87">
        <f>SUM(K614:K619)</f>
        <v>11</v>
      </c>
      <c r="L620" s="87">
        <f>SUM(L614:L619)</f>
        <v>54</v>
      </c>
      <c r="M620" s="59">
        <f>SUM(J620:L620)</f>
        <v>79</v>
      </c>
      <c r="N620" s="87">
        <f>SUM(N614:N619)</f>
        <v>0</v>
      </c>
      <c r="O620" s="87">
        <f>SUM(O614:O619)</f>
        <v>31</v>
      </c>
      <c r="P620" s="87">
        <f>SUM(P614:P619)</f>
        <v>0</v>
      </c>
      <c r="Q620" s="59">
        <f>SUM(N620:P620)</f>
        <v>31</v>
      </c>
      <c r="R620" s="59">
        <f>+E620+I620+M620+Q620</f>
        <v>430</v>
      </c>
    </row>
    <row r="621" spans="1:18" ht="15.75" customHeight="1" x14ac:dyDescent="0.3">
      <c r="A621" s="15" t="s">
        <v>55</v>
      </c>
      <c r="B621" s="1"/>
      <c r="C621" s="1"/>
      <c r="D621" s="1"/>
      <c r="E621" s="55" t="s">
        <v>7</v>
      </c>
      <c r="F621" s="1"/>
      <c r="G621" s="1"/>
      <c r="H621" s="1"/>
      <c r="I621" s="55" t="s">
        <v>7</v>
      </c>
      <c r="J621" s="1"/>
      <c r="K621" s="1"/>
      <c r="L621" s="1"/>
      <c r="M621" s="55" t="s">
        <v>7</v>
      </c>
      <c r="N621" s="1"/>
      <c r="O621" s="1"/>
      <c r="P621" s="1"/>
      <c r="Q621" s="55" t="s">
        <v>7</v>
      </c>
      <c r="R621" s="55" t="s">
        <v>7</v>
      </c>
    </row>
    <row r="622" spans="1:18" ht="15.75" customHeight="1" x14ac:dyDescent="0.3">
      <c r="A622" s="15" t="s">
        <v>57</v>
      </c>
      <c r="B622" s="1"/>
      <c r="C622" s="1"/>
      <c r="D622" s="1"/>
      <c r="E622" s="55" t="s">
        <v>7</v>
      </c>
      <c r="F622" s="1"/>
      <c r="G622" s="1"/>
      <c r="H622" s="1"/>
      <c r="I622" s="55" t="s">
        <v>7</v>
      </c>
      <c r="J622" s="1"/>
      <c r="K622" s="1"/>
      <c r="L622" s="1"/>
      <c r="M622" s="55" t="s">
        <v>7</v>
      </c>
      <c r="N622" s="1"/>
      <c r="O622" s="1"/>
      <c r="P622" s="1"/>
      <c r="Q622" s="55" t="s">
        <v>7</v>
      </c>
      <c r="R622" s="55" t="s">
        <v>7</v>
      </c>
    </row>
    <row r="623" spans="1:18" ht="15.75" customHeight="1" thickBot="1" x14ac:dyDescent="0.35">
      <c r="A623" s="15" t="s">
        <v>58</v>
      </c>
      <c r="B623" s="1"/>
      <c r="C623" s="1"/>
      <c r="D623" s="1"/>
      <c r="E623" s="55" t="s">
        <v>7</v>
      </c>
      <c r="F623" s="1"/>
      <c r="G623" s="1"/>
      <c r="H623" s="1"/>
      <c r="I623" s="55" t="s">
        <v>7</v>
      </c>
      <c r="J623" s="1"/>
      <c r="K623" s="1"/>
      <c r="L623" s="1"/>
      <c r="M623" s="55" t="s">
        <v>7</v>
      </c>
      <c r="N623" s="1"/>
      <c r="O623" s="1"/>
      <c r="P623" s="1"/>
      <c r="Q623" s="55" t="s">
        <v>7</v>
      </c>
      <c r="R623" s="55" t="s">
        <v>7</v>
      </c>
    </row>
    <row r="624" spans="1:18" ht="16.5" customHeight="1" thickBot="1" x14ac:dyDescent="0.35">
      <c r="A624" s="57" t="s">
        <v>59</v>
      </c>
      <c r="B624" s="86">
        <f>SUM(B621:B623)</f>
        <v>0</v>
      </c>
      <c r="C624" s="87">
        <f>SUM(C621:C623)</f>
        <v>0</v>
      </c>
      <c r="D624" s="87">
        <f>SUM(D621:D623)</f>
        <v>0</v>
      </c>
      <c r="E624" s="59">
        <f>SUM(B624:D624)</f>
        <v>0</v>
      </c>
      <c r="F624" s="87">
        <f>SUM(F621:F623)</f>
        <v>0</v>
      </c>
      <c r="G624" s="87">
        <f>SUM(G621:G623)</f>
        <v>0</v>
      </c>
      <c r="H624" s="87">
        <f>SUM(H621:H623)</f>
        <v>0</v>
      </c>
      <c r="I624" s="59">
        <f>SUM(F624:H624)</f>
        <v>0</v>
      </c>
      <c r="J624" s="87">
        <f>SUM(J621:J623)</f>
        <v>0</v>
      </c>
      <c r="K624" s="87">
        <f>SUM(K621:K623)</f>
        <v>0</v>
      </c>
      <c r="L624" s="87">
        <f>SUM(L621:L623)</f>
        <v>0</v>
      </c>
      <c r="M624" s="59">
        <f>SUM(J624:L624)</f>
        <v>0</v>
      </c>
      <c r="N624" s="87">
        <f>SUM(N621:N623)</f>
        <v>0</v>
      </c>
      <c r="O624" s="87">
        <f>SUM(O621:O623)</f>
        <v>0</v>
      </c>
      <c r="P624" s="87">
        <f>SUM(P621:P623)</f>
        <v>0</v>
      </c>
      <c r="Q624" s="59">
        <f>SUM(N624:P624)</f>
        <v>0</v>
      </c>
      <c r="R624" s="59">
        <f>+E624+I624+M624+Q624</f>
        <v>0</v>
      </c>
    </row>
    <row r="625" spans="1:18" ht="15.75" customHeight="1" x14ac:dyDescent="0.3">
      <c r="A625" s="15" t="s">
        <v>60</v>
      </c>
      <c r="B625" s="1"/>
      <c r="C625" s="1"/>
      <c r="D625" s="1"/>
      <c r="E625" s="55" t="s">
        <v>7</v>
      </c>
      <c r="F625" s="1"/>
      <c r="G625" s="1"/>
      <c r="H625" s="1"/>
      <c r="I625" s="55" t="s">
        <v>7</v>
      </c>
      <c r="J625" s="1"/>
      <c r="K625" s="1"/>
      <c r="L625" s="1"/>
      <c r="M625" s="55" t="s">
        <v>7</v>
      </c>
      <c r="N625" s="1"/>
      <c r="O625" s="1"/>
      <c r="P625" s="1"/>
      <c r="Q625" s="55" t="s">
        <v>7</v>
      </c>
      <c r="R625" s="55" t="s">
        <v>7</v>
      </c>
    </row>
    <row r="626" spans="1:18" ht="15.75" customHeight="1" x14ac:dyDescent="0.3">
      <c r="A626" s="15" t="s">
        <v>61</v>
      </c>
      <c r="B626" s="1"/>
      <c r="C626" s="1"/>
      <c r="D626" s="1"/>
      <c r="E626" s="55" t="s">
        <v>7</v>
      </c>
      <c r="F626" s="1"/>
      <c r="G626" s="1"/>
      <c r="H626" s="1"/>
      <c r="I626" s="55" t="s">
        <v>7</v>
      </c>
      <c r="J626" s="1"/>
      <c r="K626" s="1"/>
      <c r="L626" s="1"/>
      <c r="M626" s="55" t="s">
        <v>7</v>
      </c>
      <c r="N626" s="1"/>
      <c r="O626" s="1"/>
      <c r="P626" s="1"/>
      <c r="Q626" s="55" t="s">
        <v>7</v>
      </c>
      <c r="R626" s="55" t="s">
        <v>7</v>
      </c>
    </row>
    <row r="627" spans="1:18" ht="15.75" customHeight="1" thickBot="1" x14ac:dyDescent="0.35">
      <c r="A627" s="15" t="s">
        <v>62</v>
      </c>
      <c r="B627" s="1"/>
      <c r="C627" s="1"/>
      <c r="D627" s="1"/>
      <c r="E627" s="55" t="s">
        <v>7</v>
      </c>
      <c r="F627" s="1"/>
      <c r="G627" s="1"/>
      <c r="H627" s="1"/>
      <c r="I627" s="55" t="s">
        <v>7</v>
      </c>
      <c r="J627" s="1"/>
      <c r="K627" s="1"/>
      <c r="L627" s="1"/>
      <c r="M627" s="55" t="s">
        <v>7</v>
      </c>
      <c r="N627" s="1"/>
      <c r="O627" s="1"/>
      <c r="P627" s="1"/>
      <c r="Q627" s="55" t="s">
        <v>7</v>
      </c>
      <c r="R627" s="55" t="s">
        <v>7</v>
      </c>
    </row>
    <row r="628" spans="1:18" ht="16.5" customHeight="1" thickBot="1" x14ac:dyDescent="0.35">
      <c r="A628" s="57" t="s">
        <v>63</v>
      </c>
      <c r="B628" s="86">
        <f>SUM(B625:B627)</f>
        <v>0</v>
      </c>
      <c r="C628" s="87">
        <f>SUM(C625:C627)</f>
        <v>0</v>
      </c>
      <c r="D628" s="87">
        <f>SUM(D625:D627)</f>
        <v>0</v>
      </c>
      <c r="E628" s="59">
        <f>SUM(B628:D628)</f>
        <v>0</v>
      </c>
      <c r="F628" s="87">
        <f>SUM(F625:F627)</f>
        <v>0</v>
      </c>
      <c r="G628" s="87">
        <f>SUM(G625:G627)</f>
        <v>0</v>
      </c>
      <c r="H628" s="87">
        <f>SUM(H625:H627)</f>
        <v>0</v>
      </c>
      <c r="I628" s="59">
        <f>SUM(F628:H628)</f>
        <v>0</v>
      </c>
      <c r="J628" s="87">
        <f>SUM(J625:J627)</f>
        <v>0</v>
      </c>
      <c r="K628" s="87">
        <f>SUM(K625:K627)</f>
        <v>0</v>
      </c>
      <c r="L628" s="87">
        <f>SUM(L625:L627)</f>
        <v>0</v>
      </c>
      <c r="M628" s="59">
        <f>SUM(J628:L628)</f>
        <v>0</v>
      </c>
      <c r="N628" s="87">
        <f>SUM(N625:N627)</f>
        <v>0</v>
      </c>
      <c r="O628" s="87">
        <f>SUM(O625:O627)</f>
        <v>0</v>
      </c>
      <c r="P628" s="87">
        <f>SUM(P625:P627)</f>
        <v>0</v>
      </c>
      <c r="Q628" s="59">
        <f>SUM(N628:P628)</f>
        <v>0</v>
      </c>
      <c r="R628" s="59">
        <f>+E628+I628+M628+Q628</f>
        <v>0</v>
      </c>
    </row>
    <row r="629" spans="1:18" ht="15.75" customHeight="1" x14ac:dyDescent="0.3">
      <c r="A629" s="15" t="s">
        <v>64</v>
      </c>
      <c r="B629" s="1"/>
      <c r="C629" s="1"/>
      <c r="D629" s="1"/>
      <c r="E629" s="55" t="s">
        <v>7</v>
      </c>
      <c r="F629" s="1"/>
      <c r="G629" s="1"/>
      <c r="H629" s="1"/>
      <c r="I629" s="55" t="s">
        <v>7</v>
      </c>
      <c r="J629" s="1"/>
      <c r="K629" s="1"/>
      <c r="L629" s="1"/>
      <c r="M629" s="55" t="s">
        <v>7</v>
      </c>
      <c r="N629" s="1"/>
      <c r="O629" s="1"/>
      <c r="P629" s="1"/>
      <c r="Q629" s="55" t="s">
        <v>7</v>
      </c>
      <c r="R629" s="55" t="s">
        <v>7</v>
      </c>
    </row>
    <row r="630" spans="1:18" ht="15.75" customHeight="1" x14ac:dyDescent="0.3">
      <c r="A630" s="15" t="s">
        <v>594</v>
      </c>
      <c r="B630" s="1"/>
      <c r="C630" s="1"/>
      <c r="D630" s="1"/>
      <c r="E630" s="55" t="s">
        <v>7</v>
      </c>
      <c r="F630" s="1"/>
      <c r="G630" s="1"/>
      <c r="H630" s="1"/>
      <c r="I630" s="55" t="s">
        <v>7</v>
      </c>
      <c r="J630" s="1"/>
      <c r="K630" s="1"/>
      <c r="L630" s="1"/>
      <c r="M630" s="55" t="s">
        <v>7</v>
      </c>
      <c r="N630" s="1"/>
      <c r="O630" s="1"/>
      <c r="P630" s="1"/>
      <c r="Q630" s="55" t="s">
        <v>7</v>
      </c>
      <c r="R630" s="55" t="s">
        <v>7</v>
      </c>
    </row>
    <row r="631" spans="1:18" ht="15.75" customHeight="1" x14ac:dyDescent="0.3">
      <c r="A631" s="15" t="s">
        <v>67</v>
      </c>
      <c r="B631" s="1"/>
      <c r="C631" s="1"/>
      <c r="D631" s="1"/>
      <c r="E631" s="55" t="s">
        <v>7</v>
      </c>
      <c r="F631" s="1"/>
      <c r="G631" s="1"/>
      <c r="H631" s="1"/>
      <c r="I631" s="55" t="s">
        <v>7</v>
      </c>
      <c r="J631" s="1"/>
      <c r="K631" s="1"/>
      <c r="L631" s="1"/>
      <c r="M631" s="55" t="s">
        <v>7</v>
      </c>
      <c r="N631" s="1"/>
      <c r="O631" s="1"/>
      <c r="P631" s="1"/>
      <c r="Q631" s="55" t="s">
        <v>7</v>
      </c>
      <c r="R631" s="55" t="s">
        <v>7</v>
      </c>
    </row>
    <row r="632" spans="1:18" ht="15.75" customHeight="1" x14ac:dyDescent="0.3">
      <c r="A632" s="15" t="s">
        <v>600</v>
      </c>
      <c r="B632" s="1"/>
      <c r="C632" s="1"/>
      <c r="D632" s="1"/>
      <c r="E632" s="55" t="s">
        <v>7</v>
      </c>
      <c r="F632" s="1"/>
      <c r="G632" s="1"/>
      <c r="H632" s="1"/>
      <c r="I632" s="55" t="s">
        <v>7</v>
      </c>
      <c r="J632" s="1"/>
      <c r="K632" s="1"/>
      <c r="L632" s="1"/>
      <c r="M632" s="55" t="s">
        <v>7</v>
      </c>
      <c r="N632" s="1"/>
      <c r="O632" s="1"/>
      <c r="P632" s="1"/>
      <c r="Q632" s="55" t="s">
        <v>7</v>
      </c>
      <c r="R632" s="55" t="s">
        <v>7</v>
      </c>
    </row>
    <row r="633" spans="1:18" ht="15.75" customHeight="1" thickBot="1" x14ac:dyDescent="0.35">
      <c r="A633" s="15" t="s">
        <v>70</v>
      </c>
      <c r="B633" s="1"/>
      <c r="C633" s="1"/>
      <c r="D633" s="1"/>
      <c r="E633" s="55" t="s">
        <v>7</v>
      </c>
      <c r="F633" s="1"/>
      <c r="G633" s="1"/>
      <c r="H633" s="1"/>
      <c r="I633" s="55" t="s">
        <v>7</v>
      </c>
      <c r="J633" s="1"/>
      <c r="K633" s="1"/>
      <c r="L633" s="1"/>
      <c r="M633" s="55" t="s">
        <v>7</v>
      </c>
      <c r="N633" s="1"/>
      <c r="O633" s="1"/>
      <c r="P633" s="1"/>
      <c r="Q633" s="55" t="s">
        <v>7</v>
      </c>
      <c r="R633" s="55" t="s">
        <v>7</v>
      </c>
    </row>
    <row r="634" spans="1:18" ht="16.5" customHeight="1" thickBot="1" x14ac:dyDescent="0.35">
      <c r="A634" s="57" t="s">
        <v>71</v>
      </c>
      <c r="B634" s="58">
        <f>SUM(B633:B633)</f>
        <v>0</v>
      </c>
      <c r="C634" s="58">
        <f>SUM(C633:C633)</f>
        <v>0</v>
      </c>
      <c r="D634" s="58">
        <f>SUM(D633:D633)</f>
        <v>0</v>
      </c>
      <c r="E634" s="60">
        <f>SUM(B634:D634)</f>
        <v>0</v>
      </c>
      <c r="F634" s="58">
        <f>SUM(F633:F633)</f>
        <v>0</v>
      </c>
      <c r="G634" s="58">
        <f>SUM(G633:G633)</f>
        <v>0</v>
      </c>
      <c r="H634" s="58">
        <f>SUM(H633:H633)</f>
        <v>0</v>
      </c>
      <c r="I634" s="60">
        <f>SUM(F634:H634)</f>
        <v>0</v>
      </c>
      <c r="J634" s="58">
        <f>SUM(J633:J633)</f>
        <v>0</v>
      </c>
      <c r="K634" s="58">
        <f>SUM(K633:K633)</f>
        <v>0</v>
      </c>
      <c r="L634" s="58">
        <f>SUM(L633:L633)</f>
        <v>0</v>
      </c>
      <c r="M634" s="60">
        <f>SUM(J634:L634)</f>
        <v>0</v>
      </c>
      <c r="N634" s="58">
        <f>SUM(N633:N633)</f>
        <v>0</v>
      </c>
      <c r="O634" s="58">
        <f>SUM(O633:O633)</f>
        <v>0</v>
      </c>
      <c r="P634" s="58">
        <f>SUM(P633:P633)</f>
        <v>0</v>
      </c>
      <c r="Q634" s="60">
        <f>SUM(N634:P634)</f>
        <v>0</v>
      </c>
      <c r="R634" s="59">
        <f>+E634+I634+M634+Q634</f>
        <v>0</v>
      </c>
    </row>
    <row r="635" spans="1:18" ht="16.5" customHeight="1" thickBot="1" x14ac:dyDescent="0.35">
      <c r="A635" s="57" t="s">
        <v>72</v>
      </c>
      <c r="B635" s="86">
        <f>SUM(B629:B633)</f>
        <v>0</v>
      </c>
      <c r="C635" s="87">
        <f>SUM(C629:C633)</f>
        <v>0</v>
      </c>
      <c r="D635" s="118">
        <f>SUM(D629:D633)</f>
        <v>0</v>
      </c>
      <c r="E635" s="60">
        <f>SUM(B635:D635)</f>
        <v>0</v>
      </c>
      <c r="F635" s="87">
        <f>SUM(F629:F633)</f>
        <v>0</v>
      </c>
      <c r="G635" s="87">
        <f>SUM(G629:G633)</f>
        <v>0</v>
      </c>
      <c r="H635" s="87">
        <f>SUM(H629:H633)</f>
        <v>0</v>
      </c>
      <c r="I635" s="60">
        <f>SUM(F635:H635)</f>
        <v>0</v>
      </c>
      <c r="J635" s="87">
        <f>SUM(J629:J633)</f>
        <v>0</v>
      </c>
      <c r="K635" s="87">
        <f>SUM(K629:K633)</f>
        <v>0</v>
      </c>
      <c r="L635" s="87">
        <f>SUM(L629:L633)</f>
        <v>0</v>
      </c>
      <c r="M635" s="60">
        <f>SUM(J635:L635)</f>
        <v>0</v>
      </c>
      <c r="N635" s="87">
        <f>SUM(N629:N633)</f>
        <v>0</v>
      </c>
      <c r="O635" s="87">
        <f>SUM(O629:O633)</f>
        <v>0</v>
      </c>
      <c r="P635" s="87">
        <f>SUM(P629:P633)</f>
        <v>0</v>
      </c>
      <c r="Q635" s="60">
        <f>SUM(N635:P635)</f>
        <v>0</v>
      </c>
      <c r="R635" s="59">
        <f>+E635+I635+M635+Q635</f>
        <v>0</v>
      </c>
    </row>
    <row r="636" spans="1:18" ht="16.5" customHeight="1" thickBot="1" x14ac:dyDescent="0.35">
      <c r="A636" s="57" t="s">
        <v>73</v>
      </c>
      <c r="B636" s="90">
        <f>+B620+B624+B628+B635</f>
        <v>67</v>
      </c>
      <c r="C636" s="58">
        <f>+C620+C624+C628+C635</f>
        <v>106</v>
      </c>
      <c r="D636" s="58">
        <f>+D620+D624+D628+D635</f>
        <v>9</v>
      </c>
      <c r="E636" s="59">
        <f>SUM(B636:D636)</f>
        <v>182</v>
      </c>
      <c r="F636" s="58">
        <f>+F620+F624+F628+F635</f>
        <v>53</v>
      </c>
      <c r="G636" s="58">
        <f>+G620+G624+G628+G635</f>
        <v>16</v>
      </c>
      <c r="H636" s="58">
        <f>+H620+H624+H628+H635</f>
        <v>69</v>
      </c>
      <c r="I636" s="59">
        <f>SUM(F636:H636)</f>
        <v>138</v>
      </c>
      <c r="J636" s="58">
        <f>+J620+J624+J628+J635</f>
        <v>14</v>
      </c>
      <c r="K636" s="58">
        <f>+K620+K624+K628+K635</f>
        <v>11</v>
      </c>
      <c r="L636" s="58">
        <f>+L620+L624+L628+L635</f>
        <v>54</v>
      </c>
      <c r="M636" s="59">
        <f>SUM(J636:L636)</f>
        <v>79</v>
      </c>
      <c r="N636" s="58">
        <f>+N620+N624+N628+N635</f>
        <v>0</v>
      </c>
      <c r="O636" s="58">
        <f>+O620+O624+O628+O635</f>
        <v>31</v>
      </c>
      <c r="P636" s="58">
        <f>+P620+P624+P628+P635</f>
        <v>0</v>
      </c>
      <c r="Q636" s="59">
        <f>SUM(N636:P636)</f>
        <v>31</v>
      </c>
      <c r="R636" s="81">
        <f>+E636+I636+M636+Q636</f>
        <v>430</v>
      </c>
    </row>
    <row r="637" spans="1:18" ht="15.75" customHeight="1" x14ac:dyDescent="0.3">
      <c r="A637" s="71" t="s">
        <v>358</v>
      </c>
      <c r="B637" s="1">
        <v>5032</v>
      </c>
      <c r="C637" s="1">
        <v>4124</v>
      </c>
      <c r="D637" s="1">
        <v>5418</v>
      </c>
      <c r="E637" s="55">
        <f>SUM(B637:D637)</f>
        <v>14574</v>
      </c>
      <c r="F637" s="1">
        <v>5460</v>
      </c>
      <c r="G637" s="1">
        <v>5843</v>
      </c>
      <c r="H637" s="1">
        <v>6240</v>
      </c>
      <c r="I637" s="55">
        <f>SUM(F637:H637)</f>
        <v>17543</v>
      </c>
      <c r="J637" s="1">
        <v>6159</v>
      </c>
      <c r="K637" s="1">
        <v>6103</v>
      </c>
      <c r="L637" s="1">
        <v>5787</v>
      </c>
      <c r="M637" s="55">
        <f>SUM(J637:L637)</f>
        <v>18049</v>
      </c>
      <c r="N637" s="1">
        <v>5868</v>
      </c>
      <c r="O637" s="1">
        <v>4696</v>
      </c>
      <c r="P637" s="1">
        <v>4942</v>
      </c>
      <c r="Q637" s="55">
        <f>SUM(N637:P637)</f>
        <v>15506</v>
      </c>
      <c r="R637" s="55">
        <f>+E637+I637+M637+Q637</f>
        <v>65672</v>
      </c>
    </row>
    <row r="638" spans="1:18" ht="15.75" customHeight="1" thickBot="1" x14ac:dyDescent="0.35">
      <c r="A638" s="71" t="s">
        <v>40</v>
      </c>
      <c r="B638" s="1">
        <v>0</v>
      </c>
      <c r="C638" s="1">
        <v>0</v>
      </c>
      <c r="D638" s="1">
        <v>0</v>
      </c>
      <c r="E638" s="55">
        <f>SUM(B638:D638)</f>
        <v>0</v>
      </c>
      <c r="F638" s="1">
        <v>0</v>
      </c>
      <c r="G638" s="1">
        <v>0</v>
      </c>
      <c r="H638" s="1">
        <v>0</v>
      </c>
      <c r="I638" s="55">
        <f>SUM(F638:H638)</f>
        <v>0</v>
      </c>
      <c r="J638" s="1">
        <v>0</v>
      </c>
      <c r="K638" s="1">
        <v>0</v>
      </c>
      <c r="L638" s="1">
        <v>0</v>
      </c>
      <c r="M638" s="55">
        <f>SUM(J638:L638)</f>
        <v>0</v>
      </c>
      <c r="N638" s="1">
        <v>0</v>
      </c>
      <c r="O638" s="1">
        <v>0</v>
      </c>
      <c r="P638" s="1">
        <v>0</v>
      </c>
      <c r="Q638" s="55">
        <f>SUM(N638:P638)</f>
        <v>0</v>
      </c>
      <c r="R638" s="55">
        <f>+E638+I638+M638+Q638</f>
        <v>0</v>
      </c>
    </row>
    <row r="639" spans="1:18" ht="16.5" customHeight="1" thickBot="1" x14ac:dyDescent="0.35">
      <c r="A639" s="130"/>
      <c r="B639" s="51"/>
      <c r="C639" s="51"/>
      <c r="D639" s="51"/>
      <c r="E639" s="59" t="s">
        <v>7</v>
      </c>
      <c r="F639" s="51"/>
      <c r="G639" s="51"/>
      <c r="H639" s="51"/>
      <c r="I639" s="59" t="s">
        <v>7</v>
      </c>
      <c r="J639" s="51"/>
      <c r="K639" s="51"/>
      <c r="L639" s="51"/>
      <c r="M639" s="59" t="s">
        <v>7</v>
      </c>
      <c r="N639" s="51"/>
      <c r="O639" s="51"/>
      <c r="P639" s="51"/>
      <c r="Q639" s="59"/>
      <c r="R639" s="59"/>
    </row>
    <row r="640" spans="1:18" ht="15.75" customHeight="1" x14ac:dyDescent="0.3">
      <c r="A640" s="15" t="s">
        <v>41</v>
      </c>
      <c r="B640" s="1">
        <f>SUM(B636:B638)</f>
        <v>5099</v>
      </c>
      <c r="C640" s="1">
        <f>SUM(C636:C638)</f>
        <v>4230</v>
      </c>
      <c r="D640" s="1">
        <f>SUM(D636:D638)</f>
        <v>5427</v>
      </c>
      <c r="E640" s="60">
        <f>SUM(B640:D640)</f>
        <v>14756</v>
      </c>
      <c r="F640" s="1">
        <f>SUM(F636:F638)</f>
        <v>5513</v>
      </c>
      <c r="G640" s="1">
        <f>SUM(G636:G638)</f>
        <v>5859</v>
      </c>
      <c r="H640" s="1">
        <f>SUM(H636:H638)</f>
        <v>6309</v>
      </c>
      <c r="I640" s="60">
        <f>SUM(F640:H640)</f>
        <v>17681</v>
      </c>
      <c r="J640" s="1">
        <f>SUM(J636:J638)</f>
        <v>6173</v>
      </c>
      <c r="K640" s="1">
        <f>SUM(K636:K638)</f>
        <v>6114</v>
      </c>
      <c r="L640" s="1">
        <f>SUM(L636:L638)</f>
        <v>5841</v>
      </c>
      <c r="M640" s="60">
        <f>SUM(J640:L640)</f>
        <v>18128</v>
      </c>
      <c r="N640" s="1">
        <f>SUM(N636:N638)</f>
        <v>5868</v>
      </c>
      <c r="O640" s="1">
        <f>SUM(O636:O638)</f>
        <v>4727</v>
      </c>
      <c r="P640" s="1">
        <f>SUM(P636:P638)</f>
        <v>4942</v>
      </c>
      <c r="Q640" s="60">
        <f>SUM(N640:P640)</f>
        <v>15537</v>
      </c>
      <c r="R640" s="60">
        <f>+E640+I640+M640+Q640</f>
        <v>66102</v>
      </c>
    </row>
    <row r="641" spans="1:18" ht="15.75" customHeight="1" x14ac:dyDescent="0.3">
      <c r="A641" s="15" t="s">
        <v>42</v>
      </c>
      <c r="B641" s="1">
        <f>(B640/31)/1.983</f>
        <v>82.946984855139647</v>
      </c>
      <c r="C641" s="1">
        <f>(C640/28)/1.983</f>
        <v>76.183272098551981</v>
      </c>
      <c r="D641" s="1">
        <f>(D640/31)/1.983</f>
        <v>88.282660680298662</v>
      </c>
      <c r="E641" s="55" t="s">
        <v>7</v>
      </c>
      <c r="F641" s="1">
        <f>(F640/30)/1.983</f>
        <v>92.671037149100698</v>
      </c>
      <c r="G641" s="1">
        <f>(G640/31)/1.983</f>
        <v>95.310136157337368</v>
      </c>
      <c r="H641" s="1">
        <f>(H640/30)/1.983</f>
        <v>106.05143721633888</v>
      </c>
      <c r="I641" s="55" t="s">
        <v>7</v>
      </c>
      <c r="J641" s="1">
        <f>(J640/31)/1.983</f>
        <v>100.41806972166641</v>
      </c>
      <c r="K641" s="1">
        <f>(K640/31)/1.983</f>
        <v>99.458298765311596</v>
      </c>
      <c r="L641" s="1">
        <f>(L640/30)/1.983</f>
        <v>98.184568835098332</v>
      </c>
      <c r="M641" s="55" t="s">
        <v>7</v>
      </c>
      <c r="N641" s="1">
        <f>(N640/31)/1.983</f>
        <v>95.456541896442332</v>
      </c>
      <c r="O641" s="1">
        <f>(O640/30)/1.983</f>
        <v>79.458732560094134</v>
      </c>
      <c r="P641" s="1">
        <f>(P640/31)/1.983</f>
        <v>80.393018072975124</v>
      </c>
      <c r="Q641" s="55" t="s">
        <v>7</v>
      </c>
      <c r="R641" s="55" t="s">
        <v>7</v>
      </c>
    </row>
    <row r="642" spans="1:18" ht="15.75" customHeight="1" x14ac:dyDescent="0.3">
      <c r="A642" s="15" t="s">
        <v>359</v>
      </c>
      <c r="B642" s="1">
        <f>B640</f>
        <v>5099</v>
      </c>
      <c r="C642" s="1">
        <f>C640</f>
        <v>4230</v>
      </c>
      <c r="D642" s="1">
        <f>D640</f>
        <v>5427</v>
      </c>
      <c r="E642" s="55">
        <f>SUM(B642:D642)</f>
        <v>14756</v>
      </c>
      <c r="F642" s="1">
        <f>F640</f>
        <v>5513</v>
      </c>
      <c r="G642" s="1">
        <f>G640</f>
        <v>5859</v>
      </c>
      <c r="H642" s="1">
        <f>H640</f>
        <v>6309</v>
      </c>
      <c r="I642" s="55">
        <f>SUM(F642:H642)</f>
        <v>17681</v>
      </c>
      <c r="J642" s="1">
        <f>J640</f>
        <v>6173</v>
      </c>
      <c r="K642" s="1">
        <f>K640</f>
        <v>6114</v>
      </c>
      <c r="L642" s="1">
        <f>L640</f>
        <v>5841</v>
      </c>
      <c r="M642" s="55">
        <f>SUM(J642:L642)</f>
        <v>18128</v>
      </c>
      <c r="N642" s="1">
        <f>N640</f>
        <v>5868</v>
      </c>
      <c r="O642" s="1">
        <f>O640</f>
        <v>4727</v>
      </c>
      <c r="P642" s="1">
        <f>P640</f>
        <v>4942</v>
      </c>
      <c r="Q642" s="55">
        <f>SUM(N642:P642)</f>
        <v>15537</v>
      </c>
      <c r="R642" s="55">
        <f>+E642+I642+M642+Q642</f>
        <v>66102</v>
      </c>
    </row>
    <row r="643" spans="1:18" ht="16.5" customHeight="1" thickBot="1" x14ac:dyDescent="0.35">
      <c r="A643" s="20" t="s">
        <v>360</v>
      </c>
      <c r="B643" s="21">
        <f>(B642/31)/1.983</f>
        <v>82.946984855139647</v>
      </c>
      <c r="C643" s="21">
        <f>(C642/28)/1.983</f>
        <v>76.183272098551981</v>
      </c>
      <c r="D643" s="21">
        <f>(D642/31)/1.983</f>
        <v>88.282660680298662</v>
      </c>
      <c r="E643" s="81" t="s">
        <v>7</v>
      </c>
      <c r="F643" s="21">
        <f>(F642/30)/1.983</f>
        <v>92.671037149100698</v>
      </c>
      <c r="G643" s="21">
        <f>(G642/31)/1.983</f>
        <v>95.310136157337368</v>
      </c>
      <c r="H643" s="21">
        <f>(H642/30)/1.983</f>
        <v>106.05143721633888</v>
      </c>
      <c r="I643" s="81" t="s">
        <v>7</v>
      </c>
      <c r="J643" s="21">
        <f>(J642/31)/1.983</f>
        <v>100.41806972166641</v>
      </c>
      <c r="K643" s="21">
        <f>(K642/31)/1.983</f>
        <v>99.458298765311596</v>
      </c>
      <c r="L643" s="21">
        <f>(L642/30)/1.983</f>
        <v>98.184568835098332</v>
      </c>
      <c r="M643" s="81" t="s">
        <v>7</v>
      </c>
      <c r="N643" s="21">
        <f>(N642/31)/1.983</f>
        <v>95.456541896442332</v>
      </c>
      <c r="O643" s="21">
        <f>(O642/30)/1.983</f>
        <v>79.458732560094134</v>
      </c>
      <c r="P643" s="21">
        <f>(P642/31)/1.983</f>
        <v>80.393018072975124</v>
      </c>
      <c r="Q643" s="81" t="s">
        <v>7</v>
      </c>
      <c r="R643" s="81" t="s">
        <v>7</v>
      </c>
    </row>
    <row r="644" spans="1:18" ht="15.75" customHeight="1" x14ac:dyDescent="0.3">
      <c r="A644" s="2"/>
      <c r="B644" s="1"/>
      <c r="C644" s="1"/>
      <c r="D644" s="1"/>
      <c r="E644" s="1"/>
      <c r="F644" s="1"/>
      <c r="G644" s="1"/>
      <c r="H644" s="1"/>
      <c r="I644" s="1"/>
      <c r="J644" s="1"/>
      <c r="K644" s="1"/>
      <c r="L644" s="1"/>
      <c r="M644" s="1"/>
      <c r="N644" s="1"/>
      <c r="O644" s="1"/>
      <c r="P644" s="1"/>
      <c r="Q644" s="1"/>
      <c r="R644" s="2"/>
    </row>
    <row r="645" spans="1:18" ht="15.75" customHeight="1" thickBot="1" x14ac:dyDescent="0.35">
      <c r="A645" s="2"/>
      <c r="B645" s="1"/>
      <c r="C645" s="1"/>
      <c r="D645" s="1"/>
      <c r="E645" s="1"/>
      <c r="F645" s="1"/>
      <c r="G645" s="1"/>
      <c r="H645" s="1"/>
      <c r="I645" s="1"/>
      <c r="J645" s="1"/>
      <c r="K645" s="1"/>
      <c r="L645" s="1"/>
      <c r="M645" s="1"/>
      <c r="N645" s="1"/>
      <c r="O645" s="1"/>
      <c r="P645" s="1"/>
      <c r="Q645" s="1"/>
      <c r="R645" s="2"/>
    </row>
    <row r="646" spans="1:18" ht="16.5" customHeight="1" thickBot="1" x14ac:dyDescent="0.35">
      <c r="A646" s="124" t="s">
        <v>361</v>
      </c>
      <c r="B646" s="30" t="s">
        <v>8</v>
      </c>
      <c r="C646" s="31" t="s">
        <v>9</v>
      </c>
      <c r="D646" s="31" t="s">
        <v>10</v>
      </c>
      <c r="E646" s="32" t="s">
        <v>11</v>
      </c>
      <c r="F646" s="31" t="s">
        <v>12</v>
      </c>
      <c r="G646" s="31" t="s">
        <v>13</v>
      </c>
      <c r="H646" s="31" t="s">
        <v>14</v>
      </c>
      <c r="I646" s="33" t="s">
        <v>15</v>
      </c>
      <c r="J646" s="31" t="s">
        <v>16</v>
      </c>
      <c r="K646" s="31" t="s">
        <v>17</v>
      </c>
      <c r="L646" s="31" t="s">
        <v>18</v>
      </c>
      <c r="M646" s="33" t="s">
        <v>19</v>
      </c>
      <c r="N646" s="31" t="s">
        <v>20</v>
      </c>
      <c r="O646" s="31" t="s">
        <v>21</v>
      </c>
      <c r="P646" s="31" t="s">
        <v>22</v>
      </c>
      <c r="Q646" s="33" t="s">
        <v>23</v>
      </c>
      <c r="R646" s="133" t="s">
        <v>24</v>
      </c>
    </row>
    <row r="647" spans="1:18" ht="16.5" customHeight="1" thickBot="1" x14ac:dyDescent="0.35">
      <c r="A647" s="41"/>
      <c r="B647" s="36"/>
      <c r="C647" s="36"/>
      <c r="D647" s="36"/>
      <c r="E647" s="52"/>
      <c r="F647" s="36"/>
      <c r="G647" s="36"/>
      <c r="H647" s="36"/>
      <c r="I647" s="132"/>
      <c r="J647" s="36"/>
      <c r="K647" s="36"/>
      <c r="L647" s="36"/>
      <c r="M647" s="132"/>
      <c r="N647" s="36"/>
      <c r="O647" s="36"/>
      <c r="P647" s="36"/>
      <c r="Q647" s="134"/>
      <c r="R647" s="135"/>
    </row>
    <row r="648" spans="1:18" ht="15.75" customHeight="1" x14ac:dyDescent="0.3">
      <c r="A648" s="15" t="s">
        <v>48</v>
      </c>
      <c r="B648" s="1" t="s">
        <v>7</v>
      </c>
      <c r="C648" s="1" t="s">
        <v>7</v>
      </c>
      <c r="D648" s="1" t="s">
        <v>7</v>
      </c>
      <c r="E648" s="136"/>
      <c r="F648" s="1" t="s">
        <v>7</v>
      </c>
      <c r="G648" s="1" t="s">
        <v>7</v>
      </c>
      <c r="H648" s="1" t="s">
        <v>7</v>
      </c>
      <c r="I648" s="136"/>
      <c r="J648" s="1" t="s">
        <v>7</v>
      </c>
      <c r="K648" s="1" t="s">
        <v>7</v>
      </c>
      <c r="L648" s="1" t="s">
        <v>7</v>
      </c>
      <c r="M648" s="136"/>
      <c r="N648" s="1" t="s">
        <v>7</v>
      </c>
      <c r="O648" s="1" t="s">
        <v>7</v>
      </c>
      <c r="P648" s="1" t="s">
        <v>7</v>
      </c>
      <c r="Q648" s="137"/>
      <c r="R648" s="138" t="s">
        <v>7</v>
      </c>
    </row>
    <row r="649" spans="1:18" ht="15.75" customHeight="1" x14ac:dyDescent="0.3">
      <c r="A649" s="15" t="s">
        <v>49</v>
      </c>
      <c r="B649" s="1"/>
      <c r="C649" s="1"/>
      <c r="D649" s="1"/>
      <c r="E649" s="55" t="s">
        <v>7</v>
      </c>
      <c r="F649" s="1"/>
      <c r="G649" s="1"/>
      <c r="H649" s="1"/>
      <c r="I649" s="55" t="s">
        <v>7</v>
      </c>
      <c r="J649" s="1"/>
      <c r="K649" s="1"/>
      <c r="L649" s="1"/>
      <c r="M649" s="55" t="s">
        <v>7</v>
      </c>
      <c r="N649" s="1"/>
      <c r="O649" s="1"/>
      <c r="P649" s="1"/>
      <c r="Q649" s="55" t="s">
        <v>7</v>
      </c>
      <c r="R649" s="55" t="s">
        <v>7</v>
      </c>
    </row>
    <row r="650" spans="1:18" ht="15.75" customHeight="1" x14ac:dyDescent="0.3">
      <c r="A650" s="71" t="s">
        <v>362</v>
      </c>
      <c r="B650" s="1">
        <v>0</v>
      </c>
      <c r="C650" s="1">
        <v>0</v>
      </c>
      <c r="D650" s="1">
        <v>0</v>
      </c>
      <c r="E650" s="55">
        <f>SUM(B650:D650)</f>
        <v>0</v>
      </c>
      <c r="F650" s="1">
        <v>0</v>
      </c>
      <c r="G650" s="1">
        <v>0</v>
      </c>
      <c r="H650" s="1">
        <v>0</v>
      </c>
      <c r="I650" s="55">
        <f>SUM(F650:H650)</f>
        <v>0</v>
      </c>
      <c r="J650" s="1">
        <v>0</v>
      </c>
      <c r="K650" s="1">
        <v>151</v>
      </c>
      <c r="L650" s="1">
        <v>374</v>
      </c>
      <c r="M650" s="55">
        <f>SUM(J650:L650)</f>
        <v>525</v>
      </c>
      <c r="N650" s="1"/>
      <c r="O650" s="1"/>
      <c r="P650" s="1"/>
      <c r="Q650" s="55">
        <f>SUM(N650:P650)</f>
        <v>0</v>
      </c>
      <c r="R650" s="55">
        <f>+E650+I650+M650+Q650</f>
        <v>525</v>
      </c>
    </row>
    <row r="651" spans="1:18" ht="15.75" customHeight="1" x14ac:dyDescent="0.3">
      <c r="A651" s="71" t="s">
        <v>664</v>
      </c>
      <c r="B651" s="1">
        <v>1392</v>
      </c>
      <c r="C651" s="1">
        <v>804</v>
      </c>
      <c r="D651" s="1">
        <v>0</v>
      </c>
      <c r="E651" s="55">
        <f>SUM(B651:D651)</f>
        <v>2196</v>
      </c>
      <c r="F651" s="1">
        <v>0</v>
      </c>
      <c r="G651" s="1">
        <v>0</v>
      </c>
      <c r="H651" s="1">
        <v>0</v>
      </c>
      <c r="I651" s="55">
        <f>SUM(F651:H651)</f>
        <v>0</v>
      </c>
      <c r="J651" s="1">
        <v>0</v>
      </c>
      <c r="K651" s="1">
        <v>0</v>
      </c>
      <c r="L651" s="1">
        <v>1000</v>
      </c>
      <c r="M651" s="55">
        <f>SUM(J651:L651)</f>
        <v>1000</v>
      </c>
      <c r="N651" s="1">
        <v>0</v>
      </c>
      <c r="O651" s="1">
        <v>543</v>
      </c>
      <c r="P651" s="1">
        <v>1226</v>
      </c>
      <c r="Q651" s="55">
        <f>SUM(N651:P651)</f>
        <v>1769</v>
      </c>
      <c r="R651" s="55">
        <f>+E651+I651+M651+Q651</f>
        <v>4965</v>
      </c>
    </row>
    <row r="652" spans="1:18" ht="15.75" customHeight="1" x14ac:dyDescent="0.3">
      <c r="A652" s="15" t="s">
        <v>50</v>
      </c>
      <c r="B652" s="1"/>
      <c r="C652" s="1"/>
      <c r="D652" s="1"/>
      <c r="E652" s="55" t="s">
        <v>7</v>
      </c>
      <c r="F652" s="1"/>
      <c r="G652" s="1"/>
      <c r="H652" s="1"/>
      <c r="I652" s="55" t="s">
        <v>7</v>
      </c>
      <c r="J652" s="1"/>
      <c r="K652" s="1"/>
      <c r="L652" s="1"/>
      <c r="M652" s="55" t="s">
        <v>7</v>
      </c>
      <c r="N652" s="1"/>
      <c r="O652" s="1"/>
      <c r="P652" s="1"/>
      <c r="Q652" s="55" t="s">
        <v>7</v>
      </c>
      <c r="R652" s="55" t="s">
        <v>7</v>
      </c>
    </row>
    <row r="653" spans="1:18" ht="15.75" customHeight="1" x14ac:dyDescent="0.3">
      <c r="A653" s="15" t="s">
        <v>51</v>
      </c>
      <c r="B653" s="1"/>
      <c r="C653" s="1"/>
      <c r="D653" s="1"/>
      <c r="E653" s="55" t="s">
        <v>7</v>
      </c>
      <c r="F653" s="1"/>
      <c r="G653" s="1"/>
      <c r="H653" s="1"/>
      <c r="I653" s="55" t="s">
        <v>7</v>
      </c>
      <c r="J653" s="1"/>
      <c r="K653" s="1"/>
      <c r="L653" s="1"/>
      <c r="M653" s="55" t="s">
        <v>7</v>
      </c>
      <c r="N653" s="1"/>
      <c r="O653" s="1"/>
      <c r="P653" s="1"/>
      <c r="Q653" s="55" t="s">
        <v>7</v>
      </c>
      <c r="R653" s="55" t="s">
        <v>7</v>
      </c>
    </row>
    <row r="654" spans="1:18" ht="15.75" customHeight="1" x14ac:dyDescent="0.3">
      <c r="A654" s="71" t="s">
        <v>780</v>
      </c>
      <c r="B654" s="1">
        <v>0</v>
      </c>
      <c r="C654" s="1">
        <v>0</v>
      </c>
      <c r="D654" s="1">
        <v>0</v>
      </c>
      <c r="E654" s="55">
        <f>SUM(B654:D654)</f>
        <v>0</v>
      </c>
      <c r="F654" s="1">
        <v>0</v>
      </c>
      <c r="G654" s="1">
        <v>0</v>
      </c>
      <c r="H654" s="1">
        <v>0</v>
      </c>
      <c r="I654" s="55">
        <f>SUM(F654:H654)</f>
        <v>0</v>
      </c>
      <c r="J654" s="1">
        <v>0</v>
      </c>
      <c r="K654" s="1">
        <v>0</v>
      </c>
      <c r="L654" s="1">
        <v>910</v>
      </c>
      <c r="M654" s="55">
        <f>SUM(J654:L654)</f>
        <v>910</v>
      </c>
      <c r="N654" s="1">
        <v>0</v>
      </c>
      <c r="O654" s="1">
        <v>0</v>
      </c>
      <c r="P654" s="1">
        <v>801</v>
      </c>
      <c r="Q654" s="55">
        <f>SUM(N654:P654)</f>
        <v>801</v>
      </c>
      <c r="R654" s="55">
        <f>+E654+I654+M654+Q654</f>
        <v>1711</v>
      </c>
    </row>
    <row r="655" spans="1:18" ht="15.75" customHeight="1" thickBot="1" x14ac:dyDescent="0.35">
      <c r="A655" s="15" t="s">
        <v>53</v>
      </c>
      <c r="B655" s="1"/>
      <c r="C655" s="1"/>
      <c r="D655" s="1"/>
      <c r="E655" s="55" t="s">
        <v>7</v>
      </c>
      <c r="F655" s="1"/>
      <c r="G655" s="1"/>
      <c r="H655" s="1"/>
      <c r="I655" s="55" t="s">
        <v>7</v>
      </c>
      <c r="J655" s="1"/>
      <c r="K655" s="1"/>
      <c r="L655" s="1"/>
      <c r="M655" s="55" t="s">
        <v>7</v>
      </c>
      <c r="N655" s="1"/>
      <c r="O655" s="1"/>
      <c r="P655" s="1"/>
      <c r="Q655" s="55" t="s">
        <v>7</v>
      </c>
      <c r="R655" s="55" t="s">
        <v>7</v>
      </c>
    </row>
    <row r="656" spans="1:18" ht="16.5" customHeight="1" thickBot="1" x14ac:dyDescent="0.35">
      <c r="A656" s="57" t="s">
        <v>54</v>
      </c>
      <c r="B656" s="86">
        <f>SUM(B648:B655)</f>
        <v>1392</v>
      </c>
      <c r="C656" s="87">
        <f>SUM(C648:C655)</f>
        <v>804</v>
      </c>
      <c r="D656" s="87">
        <f>SUM(D648:D655)</f>
        <v>0</v>
      </c>
      <c r="E656" s="59">
        <f>SUM(B656:D656)</f>
        <v>2196</v>
      </c>
      <c r="F656" s="87">
        <f>SUM(F648:F655)</f>
        <v>0</v>
      </c>
      <c r="G656" s="87">
        <f>SUM(G648:G655)</f>
        <v>0</v>
      </c>
      <c r="H656" s="87">
        <f>SUM(H648:H655)</f>
        <v>0</v>
      </c>
      <c r="I656" s="59">
        <f>SUM(F656:H656)</f>
        <v>0</v>
      </c>
      <c r="J656" s="87">
        <f>SUM(J648:J655)</f>
        <v>0</v>
      </c>
      <c r="K656" s="87">
        <f>SUM(K648:K655)</f>
        <v>151</v>
      </c>
      <c r="L656" s="87">
        <f>SUM(L648:L655)</f>
        <v>2284</v>
      </c>
      <c r="M656" s="59">
        <f>SUM(J656:L656)</f>
        <v>2435</v>
      </c>
      <c r="N656" s="87">
        <f>SUM(N648:N655)</f>
        <v>0</v>
      </c>
      <c r="O656" s="87">
        <f>SUM(O648:O655)</f>
        <v>543</v>
      </c>
      <c r="P656" s="87">
        <f>SUM(P648:P655)</f>
        <v>2027</v>
      </c>
      <c r="Q656" s="59">
        <f>SUM(N656:P656)</f>
        <v>2570</v>
      </c>
      <c r="R656" s="59">
        <f>+E656+I656+M656+Q656</f>
        <v>7201</v>
      </c>
    </row>
    <row r="657" spans="1:18" ht="15.75" customHeight="1" x14ac:dyDescent="0.3">
      <c r="A657" s="15" t="s">
        <v>55</v>
      </c>
      <c r="B657" s="1"/>
      <c r="C657" s="1"/>
      <c r="D657" s="1"/>
      <c r="E657" s="55" t="s">
        <v>7</v>
      </c>
      <c r="F657" s="1"/>
      <c r="G657" s="1"/>
      <c r="H657" s="1"/>
      <c r="I657" s="55" t="s">
        <v>7</v>
      </c>
      <c r="J657" s="1"/>
      <c r="K657" s="1"/>
      <c r="L657" s="1"/>
      <c r="M657" s="55" t="s">
        <v>7</v>
      </c>
      <c r="N657" s="1"/>
      <c r="O657" s="1"/>
      <c r="P657" s="1"/>
      <c r="Q657" s="55" t="s">
        <v>7</v>
      </c>
      <c r="R657" s="55" t="s">
        <v>7</v>
      </c>
    </row>
    <row r="658" spans="1:18" ht="15.75" customHeight="1" x14ac:dyDescent="0.3">
      <c r="A658" s="15" t="s">
        <v>57</v>
      </c>
      <c r="B658" s="1"/>
      <c r="C658" s="1"/>
      <c r="D658" s="1"/>
      <c r="E658" s="55" t="s">
        <v>7</v>
      </c>
      <c r="F658" s="1"/>
      <c r="G658" s="1"/>
      <c r="H658" s="1"/>
      <c r="I658" s="55" t="s">
        <v>7</v>
      </c>
      <c r="J658" s="1"/>
      <c r="K658" s="1"/>
      <c r="L658" s="1"/>
      <c r="M658" s="55" t="s">
        <v>7</v>
      </c>
      <c r="N658" s="1"/>
      <c r="O658" s="1"/>
      <c r="P658" s="1"/>
      <c r="Q658" s="55" t="s">
        <v>7</v>
      </c>
      <c r="R658" s="55" t="s">
        <v>7</v>
      </c>
    </row>
    <row r="659" spans="1:18" ht="15.75" customHeight="1" x14ac:dyDescent="0.3">
      <c r="A659" s="71" t="s">
        <v>781</v>
      </c>
      <c r="B659" s="1">
        <v>0</v>
      </c>
      <c r="C659" s="1">
        <v>0</v>
      </c>
      <c r="D659" s="1">
        <v>0</v>
      </c>
      <c r="E659" s="55">
        <f>SUM(B659:D659)</f>
        <v>0</v>
      </c>
      <c r="F659" s="1">
        <v>0</v>
      </c>
      <c r="G659" s="1">
        <v>0</v>
      </c>
      <c r="H659" s="1">
        <v>0</v>
      </c>
      <c r="I659" s="55">
        <f>SUM(F659:H659)</f>
        <v>0</v>
      </c>
      <c r="J659" s="1">
        <v>0</v>
      </c>
      <c r="K659" s="1">
        <v>0</v>
      </c>
      <c r="L659" s="1">
        <v>0</v>
      </c>
      <c r="M659" s="55">
        <f>SUM(J659:L659)</f>
        <v>0</v>
      </c>
      <c r="N659" s="1">
        <v>0</v>
      </c>
      <c r="O659" s="1">
        <v>0</v>
      </c>
      <c r="P659" s="1">
        <v>0</v>
      </c>
      <c r="Q659" s="55">
        <f>SUM(N659:P659)</f>
        <v>0</v>
      </c>
      <c r="R659" s="55">
        <f>+E659+I659+M659+Q659</f>
        <v>0</v>
      </c>
    </row>
    <row r="660" spans="1:18" ht="15.75" customHeight="1" thickBot="1" x14ac:dyDescent="0.35">
      <c r="A660" s="15" t="s">
        <v>58</v>
      </c>
      <c r="B660" s="1"/>
      <c r="C660" s="1"/>
      <c r="D660" s="1"/>
      <c r="E660" s="55" t="s">
        <v>7</v>
      </c>
      <c r="F660" s="1"/>
      <c r="G660" s="1"/>
      <c r="H660" s="1"/>
      <c r="I660" s="55" t="s">
        <v>7</v>
      </c>
      <c r="J660" s="1"/>
      <c r="K660" s="1"/>
      <c r="L660" s="1"/>
      <c r="M660" s="55" t="s">
        <v>7</v>
      </c>
      <c r="N660" s="1"/>
      <c r="O660" s="1"/>
      <c r="P660" s="1"/>
      <c r="Q660" s="55" t="s">
        <v>7</v>
      </c>
      <c r="R660" s="55" t="s">
        <v>7</v>
      </c>
    </row>
    <row r="661" spans="1:18" ht="16.5" customHeight="1" thickBot="1" x14ac:dyDescent="0.35">
      <c r="A661" s="57" t="s">
        <v>59</v>
      </c>
      <c r="B661" s="86">
        <f>SUM(B657:B660)</f>
        <v>0</v>
      </c>
      <c r="C661" s="87">
        <f>SUM(C657:C660)</f>
        <v>0</v>
      </c>
      <c r="D661" s="87">
        <f>SUM(D657:D660)</f>
        <v>0</v>
      </c>
      <c r="E661" s="59">
        <f>SUM(B661:D661)</f>
        <v>0</v>
      </c>
      <c r="F661" s="87">
        <f>SUM(F657:F660)</f>
        <v>0</v>
      </c>
      <c r="G661" s="87">
        <f>SUM(G657:G660)</f>
        <v>0</v>
      </c>
      <c r="H661" s="87">
        <f>SUM(H657:H660)</f>
        <v>0</v>
      </c>
      <c r="I661" s="59">
        <f>SUM(F661:H661)</f>
        <v>0</v>
      </c>
      <c r="J661" s="87">
        <f>SUM(J657:J660)</f>
        <v>0</v>
      </c>
      <c r="K661" s="87">
        <f>SUM(K657:K660)</f>
        <v>0</v>
      </c>
      <c r="L661" s="87">
        <f>SUM(L657:L660)</f>
        <v>0</v>
      </c>
      <c r="M661" s="59">
        <f>SUM(J661:L661)</f>
        <v>0</v>
      </c>
      <c r="N661" s="87">
        <f>SUM(N657:N660)</f>
        <v>0</v>
      </c>
      <c r="O661" s="87">
        <f>SUM(O657:O660)</f>
        <v>0</v>
      </c>
      <c r="P661" s="87">
        <f>SUM(P657:P660)</f>
        <v>0</v>
      </c>
      <c r="Q661" s="59">
        <f>SUM(N661:P661)</f>
        <v>0</v>
      </c>
      <c r="R661" s="59">
        <f>+E661+I661+M661+Q661</f>
        <v>0</v>
      </c>
    </row>
    <row r="662" spans="1:18" ht="15.75" customHeight="1" x14ac:dyDescent="0.3">
      <c r="A662" s="15" t="s">
        <v>60</v>
      </c>
      <c r="B662" s="1"/>
      <c r="C662" s="1"/>
      <c r="D662" s="1"/>
      <c r="E662" s="55" t="s">
        <v>7</v>
      </c>
      <c r="F662" s="1"/>
      <c r="G662" s="1"/>
      <c r="H662" s="1"/>
      <c r="I662" s="55" t="s">
        <v>7</v>
      </c>
      <c r="J662" s="1" t="s">
        <v>7</v>
      </c>
      <c r="K662" s="1"/>
      <c r="L662" s="1"/>
      <c r="M662" s="55" t="s">
        <v>7</v>
      </c>
      <c r="N662" s="1"/>
      <c r="O662" s="1"/>
      <c r="P662" s="1"/>
      <c r="Q662" s="55" t="s">
        <v>7</v>
      </c>
      <c r="R662" s="55" t="s">
        <v>7</v>
      </c>
    </row>
    <row r="663" spans="1:18" ht="15.75" customHeight="1" x14ac:dyDescent="0.3">
      <c r="A663" s="15" t="s">
        <v>61</v>
      </c>
      <c r="B663" s="1"/>
      <c r="C663" s="1"/>
      <c r="D663" s="1"/>
      <c r="E663" s="55" t="s">
        <v>7</v>
      </c>
      <c r="F663" s="1"/>
      <c r="G663" s="1"/>
      <c r="H663" s="1"/>
      <c r="I663" s="55" t="s">
        <v>7</v>
      </c>
      <c r="J663" s="1"/>
      <c r="K663" s="1"/>
      <c r="L663" s="1"/>
      <c r="M663" s="55" t="s">
        <v>7</v>
      </c>
      <c r="N663" s="1"/>
      <c r="O663" s="1"/>
      <c r="P663" s="1"/>
      <c r="Q663" s="55" t="s">
        <v>7</v>
      </c>
      <c r="R663" s="55" t="s">
        <v>7</v>
      </c>
    </row>
    <row r="664" spans="1:18" ht="15.75" customHeight="1" x14ac:dyDescent="0.3">
      <c r="A664" s="71" t="s">
        <v>665</v>
      </c>
      <c r="B664" s="1">
        <v>443</v>
      </c>
      <c r="C664" s="1">
        <v>332</v>
      </c>
      <c r="D664" s="1">
        <v>251</v>
      </c>
      <c r="E664" s="55">
        <f>SUM(B664:D664)</f>
        <v>1026</v>
      </c>
      <c r="F664" s="1">
        <v>679</v>
      </c>
      <c r="G664" s="1">
        <v>1078</v>
      </c>
      <c r="H664" s="1">
        <v>774</v>
      </c>
      <c r="I664" s="55">
        <f>SUM(F664:H664)</f>
        <v>2531</v>
      </c>
      <c r="J664" s="1">
        <v>421</v>
      </c>
      <c r="K664" s="1">
        <v>871</v>
      </c>
      <c r="L664" s="1">
        <v>321</v>
      </c>
      <c r="M664" s="55">
        <f>SUM(J664:L664)</f>
        <v>1613</v>
      </c>
      <c r="N664" s="1">
        <v>334</v>
      </c>
      <c r="O664" s="1">
        <v>44</v>
      </c>
      <c r="P664" s="1">
        <v>158</v>
      </c>
      <c r="Q664" s="55">
        <f>SUM(N664:P664)</f>
        <v>536</v>
      </c>
      <c r="R664" s="55">
        <f>+E664+I664+M664+Q664</f>
        <v>5706</v>
      </c>
    </row>
    <row r="665" spans="1:18" ht="15.75" customHeight="1" x14ac:dyDescent="0.3">
      <c r="A665" s="15" t="s">
        <v>62</v>
      </c>
      <c r="B665" s="1"/>
      <c r="C665" s="1"/>
      <c r="D665" s="1"/>
      <c r="E665" s="55" t="s">
        <v>7</v>
      </c>
      <c r="F665" s="1"/>
      <c r="G665" s="1"/>
      <c r="H665" s="1"/>
      <c r="I665" s="55" t="s">
        <v>7</v>
      </c>
      <c r="J665" s="1"/>
      <c r="K665" s="1"/>
      <c r="L665" s="1"/>
      <c r="M665" s="55" t="s">
        <v>7</v>
      </c>
      <c r="N665" s="1"/>
      <c r="O665" s="1"/>
      <c r="P665" s="1"/>
      <c r="Q665" s="55" t="s">
        <v>7</v>
      </c>
      <c r="R665" s="55" t="s">
        <v>7</v>
      </c>
    </row>
    <row r="666" spans="1:18" ht="15.75" customHeight="1" x14ac:dyDescent="0.3">
      <c r="A666" s="71" t="s">
        <v>666</v>
      </c>
      <c r="B666" s="1">
        <v>0</v>
      </c>
      <c r="C666" s="1">
        <v>1000</v>
      </c>
      <c r="D666" s="1">
        <v>0</v>
      </c>
      <c r="E666" s="55">
        <f>SUM(B666:D666)</f>
        <v>1000</v>
      </c>
      <c r="F666" s="1">
        <v>0</v>
      </c>
      <c r="G666" s="1">
        <v>0</v>
      </c>
      <c r="H666" s="1">
        <v>0</v>
      </c>
      <c r="I666" s="55">
        <f>SUM(F666:H666)</f>
        <v>0</v>
      </c>
      <c r="J666" s="1">
        <v>0</v>
      </c>
      <c r="K666" s="1">
        <v>0</v>
      </c>
      <c r="L666" s="1">
        <v>600</v>
      </c>
      <c r="M666" s="55">
        <f>SUM(J666:L666)</f>
        <v>600</v>
      </c>
      <c r="N666" s="1">
        <v>1428</v>
      </c>
      <c r="O666" s="1">
        <v>0</v>
      </c>
      <c r="P666" s="1">
        <v>1472</v>
      </c>
      <c r="Q666" s="55">
        <f>SUM(N666:P666)</f>
        <v>2900</v>
      </c>
      <c r="R666" s="55">
        <f>+E666+I666+M666+Q666</f>
        <v>4500</v>
      </c>
    </row>
    <row r="667" spans="1:18" ht="15.75" customHeight="1" thickBot="1" x14ac:dyDescent="0.35">
      <c r="A667" s="71" t="s">
        <v>782</v>
      </c>
      <c r="B667" s="1">
        <v>864</v>
      </c>
      <c r="C667" s="1">
        <v>1020</v>
      </c>
      <c r="D667" s="1">
        <v>850</v>
      </c>
      <c r="E667" s="55">
        <f>SUM(B667:D667)</f>
        <v>2734</v>
      </c>
      <c r="F667" s="1">
        <v>829</v>
      </c>
      <c r="G667" s="1">
        <v>644</v>
      </c>
      <c r="H667" s="1">
        <v>809</v>
      </c>
      <c r="I667" s="55">
        <f>SUM(F667:H667)</f>
        <v>2282</v>
      </c>
      <c r="J667" s="1">
        <v>894</v>
      </c>
      <c r="K667" s="1">
        <v>631</v>
      </c>
      <c r="L667" s="1">
        <v>736</v>
      </c>
      <c r="M667" s="55">
        <f>SUM(J667:L667)</f>
        <v>2261</v>
      </c>
      <c r="N667" s="1">
        <v>554</v>
      </c>
      <c r="O667" s="1">
        <v>226</v>
      </c>
      <c r="P667" s="1">
        <v>595</v>
      </c>
      <c r="Q667" s="55">
        <f>SUM(N667:P667)</f>
        <v>1375</v>
      </c>
      <c r="R667" s="55">
        <f>+E667+I667+M667+Q667</f>
        <v>8652</v>
      </c>
    </row>
    <row r="668" spans="1:18" ht="16.5" customHeight="1" thickBot="1" x14ac:dyDescent="0.35">
      <c r="A668" s="57" t="s">
        <v>63</v>
      </c>
      <c r="B668" s="86">
        <f>SUM(B662:B667)</f>
        <v>1307</v>
      </c>
      <c r="C668" s="87">
        <f>SUM(C662:C667)</f>
        <v>2352</v>
      </c>
      <c r="D668" s="87">
        <f>SUM(D662:D667)</f>
        <v>1101</v>
      </c>
      <c r="E668" s="59">
        <f>SUM(B668:D668)</f>
        <v>4760</v>
      </c>
      <c r="F668" s="87">
        <f>SUM(F662:F667)</f>
        <v>1508</v>
      </c>
      <c r="G668" s="87">
        <f>SUM(G662:G667)</f>
        <v>1722</v>
      </c>
      <c r="H668" s="87">
        <f>SUM(H662:H667)</f>
        <v>1583</v>
      </c>
      <c r="I668" s="59">
        <f>SUM(F668:H668)</f>
        <v>4813</v>
      </c>
      <c r="J668" s="87">
        <f>SUM(J662:J667)</f>
        <v>1315</v>
      </c>
      <c r="K668" s="87">
        <f>SUM(K662:K667)</f>
        <v>1502</v>
      </c>
      <c r="L668" s="87">
        <f>SUM(L662:L667)</f>
        <v>1657</v>
      </c>
      <c r="M668" s="59">
        <f>SUM(J668:L668)</f>
        <v>4474</v>
      </c>
      <c r="N668" s="87">
        <f>SUM(N662:N667)</f>
        <v>2316</v>
      </c>
      <c r="O668" s="87">
        <f>SUM(O662:O667)</f>
        <v>270</v>
      </c>
      <c r="P668" s="87">
        <f>SUM(P662:P667)</f>
        <v>2225</v>
      </c>
      <c r="Q668" s="59">
        <f>SUM(N668:P668)</f>
        <v>4811</v>
      </c>
      <c r="R668" s="59">
        <f>+E668+I668+M668+Q668</f>
        <v>18858</v>
      </c>
    </row>
    <row r="669" spans="1:18" ht="15.75" customHeight="1" x14ac:dyDescent="0.3">
      <c r="A669" s="15" t="s">
        <v>64</v>
      </c>
      <c r="B669" s="1"/>
      <c r="C669" s="1"/>
      <c r="D669" s="1"/>
      <c r="E669" s="55" t="s">
        <v>7</v>
      </c>
      <c r="F669" s="1"/>
      <c r="G669" s="1"/>
      <c r="H669" s="1"/>
      <c r="I669" s="55" t="s">
        <v>7</v>
      </c>
      <c r="J669" s="1"/>
      <c r="K669" s="1"/>
      <c r="L669" s="1"/>
      <c r="M669" s="55" t="s">
        <v>7</v>
      </c>
      <c r="N669" s="1"/>
      <c r="O669" s="1"/>
      <c r="P669" s="1"/>
      <c r="Q669" s="55" t="s">
        <v>7</v>
      </c>
      <c r="R669" s="55" t="s">
        <v>7</v>
      </c>
    </row>
    <row r="670" spans="1:18" ht="15.75" customHeight="1" x14ac:dyDescent="0.3">
      <c r="A670" s="15" t="s">
        <v>594</v>
      </c>
      <c r="B670" s="1"/>
      <c r="C670" s="1"/>
      <c r="D670" s="1"/>
      <c r="E670" s="55" t="s">
        <v>7</v>
      </c>
      <c r="F670" s="1"/>
      <c r="G670" s="1"/>
      <c r="H670" s="1"/>
      <c r="I670" s="55" t="s">
        <v>7</v>
      </c>
      <c r="J670" s="1"/>
      <c r="K670" s="1"/>
      <c r="L670" s="1"/>
      <c r="M670" s="55" t="s">
        <v>7</v>
      </c>
      <c r="N670" s="1"/>
      <c r="O670" s="1"/>
      <c r="P670" s="1"/>
      <c r="Q670" s="55" t="s">
        <v>7</v>
      </c>
      <c r="R670" s="55" t="s">
        <v>7</v>
      </c>
    </row>
    <row r="671" spans="1:18" ht="15.75" customHeight="1" x14ac:dyDescent="0.3">
      <c r="A671" s="71" t="s">
        <v>366</v>
      </c>
      <c r="B671" s="1">
        <v>0</v>
      </c>
      <c r="C671" s="1">
        <v>0</v>
      </c>
      <c r="D671" s="1">
        <v>0</v>
      </c>
      <c r="E671" s="55">
        <f>SUM(B671:D671)</f>
        <v>0</v>
      </c>
      <c r="F671" s="1">
        <v>0</v>
      </c>
      <c r="G671" s="1">
        <v>0</v>
      </c>
      <c r="H671" s="1">
        <v>0</v>
      </c>
      <c r="I671" s="55">
        <f>SUM(F671:H671)</f>
        <v>0</v>
      </c>
      <c r="J671" s="1">
        <v>0</v>
      </c>
      <c r="K671" s="1">
        <v>0</v>
      </c>
      <c r="L671" s="1">
        <v>0</v>
      </c>
      <c r="M671" s="55">
        <f>SUM(J671:L671)</f>
        <v>0</v>
      </c>
      <c r="N671" s="1">
        <v>1000</v>
      </c>
      <c r="O671" s="1">
        <v>0</v>
      </c>
      <c r="P671" s="1">
        <v>4</v>
      </c>
      <c r="Q671" s="55">
        <f>SUM(N671:P671)</f>
        <v>1004</v>
      </c>
      <c r="R671" s="55">
        <f>+E671+I671+M671+Q671</f>
        <v>1004</v>
      </c>
    </row>
    <row r="672" spans="1:18" ht="15.75" customHeight="1" x14ac:dyDescent="0.3">
      <c r="A672" s="71" t="s">
        <v>367</v>
      </c>
      <c r="B672" s="1">
        <v>0</v>
      </c>
      <c r="C672" s="1">
        <v>0</v>
      </c>
      <c r="D672" s="1">
        <v>0</v>
      </c>
      <c r="E672" s="55">
        <f>SUM(B672:D672)</f>
        <v>0</v>
      </c>
      <c r="F672" s="1">
        <v>0</v>
      </c>
      <c r="G672" s="1">
        <v>0</v>
      </c>
      <c r="H672" s="1">
        <v>0</v>
      </c>
      <c r="I672" s="55">
        <f>SUM(F672:H672)</f>
        <v>0</v>
      </c>
      <c r="J672" s="1">
        <v>0</v>
      </c>
      <c r="K672" s="1">
        <v>0</v>
      </c>
      <c r="L672" s="1">
        <v>0</v>
      </c>
      <c r="M672" s="55">
        <f>SUM(J672:L672)</f>
        <v>0</v>
      </c>
      <c r="N672" s="1">
        <v>0</v>
      </c>
      <c r="O672" s="1">
        <v>0</v>
      </c>
      <c r="P672" s="1">
        <v>0</v>
      </c>
      <c r="Q672" s="55">
        <f>SUM(N672:P672)</f>
        <v>0</v>
      </c>
      <c r="R672" s="55">
        <f>+E672+I672+M672+Q672</f>
        <v>0</v>
      </c>
    </row>
    <row r="673" spans="1:18" ht="15.75" customHeight="1" x14ac:dyDescent="0.3">
      <c r="A673" s="15" t="s">
        <v>67</v>
      </c>
      <c r="B673" s="1"/>
      <c r="C673" s="1"/>
      <c r="D673" s="1"/>
      <c r="E673" s="55" t="s">
        <v>7</v>
      </c>
      <c r="F673" s="1"/>
      <c r="G673" s="1"/>
      <c r="H673" s="1"/>
      <c r="I673" s="55" t="s">
        <v>7</v>
      </c>
      <c r="J673" s="1"/>
      <c r="K673" s="1"/>
      <c r="L673" s="1"/>
      <c r="M673" s="55" t="s">
        <v>7</v>
      </c>
      <c r="N673" s="1"/>
      <c r="O673" s="1"/>
      <c r="P673" s="1"/>
      <c r="Q673" s="55" t="s">
        <v>7</v>
      </c>
      <c r="R673" s="55" t="s">
        <v>7</v>
      </c>
    </row>
    <row r="674" spans="1:18" ht="15.75" customHeight="1" x14ac:dyDescent="0.3">
      <c r="A674" s="71" t="s">
        <v>783</v>
      </c>
      <c r="B674" s="1">
        <v>0</v>
      </c>
      <c r="C674" s="1">
        <v>0</v>
      </c>
      <c r="D674" s="1">
        <v>0</v>
      </c>
      <c r="E674" s="55">
        <f>SUM(B674:D674)</f>
        <v>0</v>
      </c>
      <c r="F674" s="1">
        <v>0</v>
      </c>
      <c r="G674" s="1">
        <v>0</v>
      </c>
      <c r="H674" s="1">
        <v>0</v>
      </c>
      <c r="I674" s="55">
        <f>SUM(F674:H674)</f>
        <v>0</v>
      </c>
      <c r="J674" s="1">
        <v>0</v>
      </c>
      <c r="K674" s="1">
        <v>0</v>
      </c>
      <c r="L674" s="1">
        <v>0</v>
      </c>
      <c r="M674" s="55">
        <f>SUM(J674:L674)</f>
        <v>0</v>
      </c>
      <c r="N674" s="1">
        <v>0</v>
      </c>
      <c r="O674" s="1">
        <v>0</v>
      </c>
      <c r="P674" s="1">
        <v>0</v>
      </c>
      <c r="Q674" s="55">
        <f>SUM(N674:P674)</f>
        <v>0</v>
      </c>
      <c r="R674" s="55">
        <f>+E674+I674+M674+Q674</f>
        <v>0</v>
      </c>
    </row>
    <row r="675" spans="1:18" ht="15.75" customHeight="1" x14ac:dyDescent="0.3">
      <c r="A675" s="71" t="s">
        <v>784</v>
      </c>
      <c r="B675" s="1">
        <v>0</v>
      </c>
      <c r="C675" s="1">
        <v>0</v>
      </c>
      <c r="D675" s="1">
        <v>0</v>
      </c>
      <c r="E675" s="55">
        <f>SUM(B675:D675)</f>
        <v>0</v>
      </c>
      <c r="F675" s="1">
        <v>0</v>
      </c>
      <c r="G675" s="1">
        <v>0</v>
      </c>
      <c r="H675" s="1">
        <v>0</v>
      </c>
      <c r="I675" s="55">
        <f>SUM(F675:H675)</f>
        <v>0</v>
      </c>
      <c r="J675" s="1">
        <v>0</v>
      </c>
      <c r="K675" s="1">
        <v>0</v>
      </c>
      <c r="L675" s="1">
        <v>0</v>
      </c>
      <c r="M675" s="55">
        <f>SUM(J675:L675)</f>
        <v>0</v>
      </c>
      <c r="N675" s="1">
        <v>0</v>
      </c>
      <c r="O675" s="1">
        <v>0</v>
      </c>
      <c r="P675" s="1">
        <v>0</v>
      </c>
      <c r="Q675" s="55">
        <f>SUM(N675:P675)</f>
        <v>0</v>
      </c>
      <c r="R675" s="55">
        <f>+E675+I675+M675+Q675</f>
        <v>0</v>
      </c>
    </row>
    <row r="676" spans="1:18" ht="15.75" customHeight="1" x14ac:dyDescent="0.3">
      <c r="A676" s="15" t="s">
        <v>600</v>
      </c>
      <c r="B676" s="1"/>
      <c r="C676" s="1"/>
      <c r="D676" s="1"/>
      <c r="E676" s="55" t="s">
        <v>7</v>
      </c>
      <c r="F676" s="1"/>
      <c r="G676" s="1"/>
      <c r="H676" s="1"/>
      <c r="I676" s="55" t="s">
        <v>7</v>
      </c>
      <c r="J676" s="1"/>
      <c r="K676" s="1"/>
      <c r="L676" s="1"/>
      <c r="M676" s="55" t="s">
        <v>7</v>
      </c>
      <c r="N676" s="1"/>
      <c r="O676" s="1"/>
      <c r="P676" s="1"/>
      <c r="Q676" s="55" t="s">
        <v>7</v>
      </c>
      <c r="R676" s="55" t="s">
        <v>7</v>
      </c>
    </row>
    <row r="677" spans="1:18" ht="15.75" customHeight="1" thickBot="1" x14ac:dyDescent="0.35">
      <c r="A677" s="15" t="s">
        <v>70</v>
      </c>
      <c r="B677" s="1"/>
      <c r="C677" s="1"/>
      <c r="D677" s="1"/>
      <c r="E677" s="55" t="s">
        <v>7</v>
      </c>
      <c r="F677" s="1"/>
      <c r="G677" s="1"/>
      <c r="H677" s="1"/>
      <c r="I677" s="55" t="s">
        <v>7</v>
      </c>
      <c r="J677" s="1"/>
      <c r="K677" s="1"/>
      <c r="L677" s="1"/>
      <c r="M677" s="55" t="s">
        <v>7</v>
      </c>
      <c r="N677" s="1"/>
      <c r="O677" s="1"/>
      <c r="P677" s="1"/>
      <c r="Q677" s="55" t="s">
        <v>7</v>
      </c>
      <c r="R677" s="55" t="s">
        <v>7</v>
      </c>
    </row>
    <row r="678" spans="1:18" ht="16.5" customHeight="1" thickBot="1" x14ac:dyDescent="0.35">
      <c r="A678" s="57" t="s">
        <v>71</v>
      </c>
      <c r="B678" s="58">
        <f>SUM(B676:B677)</f>
        <v>0</v>
      </c>
      <c r="C678" s="58">
        <f>SUM(C676:C677)</f>
        <v>0</v>
      </c>
      <c r="D678" s="58">
        <f>SUM(D676:D677)</f>
        <v>0</v>
      </c>
      <c r="E678" s="60">
        <f>SUM(B678:D678)</f>
        <v>0</v>
      </c>
      <c r="F678" s="58">
        <f>SUM(F676:F677)</f>
        <v>0</v>
      </c>
      <c r="G678" s="58">
        <f>SUM(G676:G677)</f>
        <v>0</v>
      </c>
      <c r="H678" s="58">
        <f>SUM(H676:H677)</f>
        <v>0</v>
      </c>
      <c r="I678" s="60">
        <f>SUM(F678:H678)</f>
        <v>0</v>
      </c>
      <c r="J678" s="58">
        <f>SUM(J676:J677)</f>
        <v>0</v>
      </c>
      <c r="K678" s="58">
        <f>SUM(K676:K677)</f>
        <v>0</v>
      </c>
      <c r="L678" s="58">
        <f>SUM(L676:L677)</f>
        <v>0</v>
      </c>
      <c r="M678" s="60">
        <f>SUM(J678:L678)</f>
        <v>0</v>
      </c>
      <c r="N678" s="58">
        <f>SUM(N676:N677)</f>
        <v>0</v>
      </c>
      <c r="O678" s="58">
        <f>SUM(O676:O677)</f>
        <v>0</v>
      </c>
      <c r="P678" s="58">
        <f>SUM(P676:P677)</f>
        <v>0</v>
      </c>
      <c r="Q678" s="60">
        <f>SUM(N678:P678)</f>
        <v>0</v>
      </c>
      <c r="R678" s="59">
        <f>+E678+I678+M678+Q678</f>
        <v>0</v>
      </c>
    </row>
    <row r="679" spans="1:18" ht="16.5" customHeight="1" thickBot="1" x14ac:dyDescent="0.35">
      <c r="A679" s="57" t="s">
        <v>72</v>
      </c>
      <c r="B679" s="86">
        <f>SUM(B669:B677)</f>
        <v>0</v>
      </c>
      <c r="C679" s="87">
        <f>SUM(C669:C677)</f>
        <v>0</v>
      </c>
      <c r="D679" s="118">
        <f>SUM(D669:D677)</f>
        <v>0</v>
      </c>
      <c r="E679" s="60">
        <f>SUM(B679:D679)</f>
        <v>0</v>
      </c>
      <c r="F679" s="87">
        <f>SUM(F669:F677)</f>
        <v>0</v>
      </c>
      <c r="G679" s="87">
        <f>SUM(G669:G677)</f>
        <v>0</v>
      </c>
      <c r="H679" s="87">
        <f>SUM(H669:H677)</f>
        <v>0</v>
      </c>
      <c r="I679" s="60">
        <f>SUM(F679:H679)</f>
        <v>0</v>
      </c>
      <c r="J679" s="87">
        <f>SUM(J669:J677)</f>
        <v>0</v>
      </c>
      <c r="K679" s="87">
        <f>SUM(K669:K677)</f>
        <v>0</v>
      </c>
      <c r="L679" s="87">
        <f>SUM(L669:L677)</f>
        <v>0</v>
      </c>
      <c r="M679" s="60">
        <f>SUM(J679:L679)</f>
        <v>0</v>
      </c>
      <c r="N679" s="87">
        <f>SUM(N669:N677)</f>
        <v>1000</v>
      </c>
      <c r="O679" s="87">
        <f>SUM(O669:O677)</f>
        <v>0</v>
      </c>
      <c r="P679" s="87">
        <f>SUM(P669:P677)</f>
        <v>4</v>
      </c>
      <c r="Q679" s="60">
        <f>SUM(N679:P679)</f>
        <v>1004</v>
      </c>
      <c r="R679" s="59">
        <f>+E679+I679+M679+Q679</f>
        <v>1004</v>
      </c>
    </row>
    <row r="680" spans="1:18" ht="16.5" customHeight="1" thickBot="1" x14ac:dyDescent="0.35">
      <c r="A680" s="57" t="s">
        <v>73</v>
      </c>
      <c r="B680" s="90">
        <f>+B656+B661+B668+B679</f>
        <v>2699</v>
      </c>
      <c r="C680" s="58">
        <f>+C656+C661+C668+C679</f>
        <v>3156</v>
      </c>
      <c r="D680" s="58">
        <f>+D656+D661+D668+D679</f>
        <v>1101</v>
      </c>
      <c r="E680" s="59">
        <f>SUM(B680:D680)</f>
        <v>6956</v>
      </c>
      <c r="F680" s="58">
        <f>+F656+F661+F668+F679</f>
        <v>1508</v>
      </c>
      <c r="G680" s="58">
        <f>+G656+G661+G668+G679</f>
        <v>1722</v>
      </c>
      <c r="H680" s="58">
        <f>+H656+H661+H668+H679</f>
        <v>1583</v>
      </c>
      <c r="I680" s="59">
        <f>SUM(F680:H680)</f>
        <v>4813</v>
      </c>
      <c r="J680" s="58">
        <f>+J656+J661+J668+J679</f>
        <v>1315</v>
      </c>
      <c r="K680" s="58">
        <f>+K656+K661+K668+K679</f>
        <v>1653</v>
      </c>
      <c r="L680" s="58">
        <f>+L656+L661+L668+L679</f>
        <v>3941</v>
      </c>
      <c r="M680" s="59">
        <f>SUM(J680:L680)</f>
        <v>6909</v>
      </c>
      <c r="N680" s="58">
        <f>+N656+N661+N668+N679</f>
        <v>3316</v>
      </c>
      <c r="O680" s="58">
        <f>+O656+O661+O668+O679</f>
        <v>813</v>
      </c>
      <c r="P680" s="58">
        <f>+P656+P661+P668+P679</f>
        <v>4256</v>
      </c>
      <c r="Q680" s="59">
        <f>SUM(N680:P680)</f>
        <v>8385</v>
      </c>
      <c r="R680" s="81">
        <f>+E680+I680+M680+Q680</f>
        <v>27063</v>
      </c>
    </row>
    <row r="681" spans="1:18" ht="16.5" customHeight="1" thickBot="1" x14ac:dyDescent="0.35">
      <c r="A681" s="39" t="s">
        <v>40</v>
      </c>
      <c r="B681" s="21">
        <v>11</v>
      </c>
      <c r="C681" s="21">
        <v>13</v>
      </c>
      <c r="D681" s="21">
        <v>17</v>
      </c>
      <c r="E681" s="55">
        <f>SUM(B681:D681)</f>
        <v>41</v>
      </c>
      <c r="F681" s="21">
        <v>21</v>
      </c>
      <c r="G681" s="21">
        <v>23</v>
      </c>
      <c r="H681" s="21">
        <v>25</v>
      </c>
      <c r="I681" s="55">
        <f>SUM(F681:H681)</f>
        <v>69</v>
      </c>
      <c r="J681" s="21">
        <v>25</v>
      </c>
      <c r="K681" s="21">
        <v>21</v>
      </c>
      <c r="L681" s="21">
        <v>19</v>
      </c>
      <c r="M681" s="55">
        <f>SUM(J681:L681)</f>
        <v>65</v>
      </c>
      <c r="N681" s="21">
        <v>17</v>
      </c>
      <c r="O681" s="21">
        <v>13</v>
      </c>
      <c r="P681" s="21">
        <v>11</v>
      </c>
      <c r="Q681" s="55">
        <f>SUM(N681:P681)</f>
        <v>41</v>
      </c>
      <c r="R681" s="55">
        <f>+E681+I681+M681+Q681</f>
        <v>216</v>
      </c>
    </row>
    <row r="682" spans="1:18" ht="16.5" customHeight="1" thickBot="1" x14ac:dyDescent="0.35">
      <c r="A682" s="41"/>
      <c r="B682" s="36"/>
      <c r="C682" s="36"/>
      <c r="D682" s="36"/>
      <c r="E682" s="59" t="s">
        <v>7</v>
      </c>
      <c r="F682" s="36"/>
      <c r="G682" s="36"/>
      <c r="H682" s="36"/>
      <c r="I682" s="59" t="s">
        <v>7</v>
      </c>
      <c r="J682" s="36"/>
      <c r="K682" s="36"/>
      <c r="L682" s="36"/>
      <c r="M682" s="59" t="s">
        <v>7</v>
      </c>
      <c r="N682" s="36"/>
      <c r="O682" s="36"/>
      <c r="P682" s="36"/>
      <c r="Q682" s="59" t="s">
        <v>7</v>
      </c>
      <c r="R682" s="59" t="s">
        <v>7</v>
      </c>
    </row>
    <row r="683" spans="1:18" ht="15.75" customHeight="1" x14ac:dyDescent="0.3">
      <c r="A683" s="15" t="s">
        <v>41</v>
      </c>
      <c r="B683" s="1">
        <f>SUM(B680:B681)</f>
        <v>2710</v>
      </c>
      <c r="C683" s="1">
        <f>SUM(C680:C681)</f>
        <v>3169</v>
      </c>
      <c r="D683" s="1">
        <f>SUM(D680:D681)</f>
        <v>1118</v>
      </c>
      <c r="E683" s="60">
        <f>SUM(B683:D683)</f>
        <v>6997</v>
      </c>
      <c r="F683" s="1">
        <f>SUM(F680:F681)</f>
        <v>1529</v>
      </c>
      <c r="G683" s="1">
        <f>SUM(G680:G681)</f>
        <v>1745</v>
      </c>
      <c r="H683" s="1">
        <f>SUM(H680:H681)</f>
        <v>1608</v>
      </c>
      <c r="I683" s="60">
        <f>SUM(F683:H683)</f>
        <v>4882</v>
      </c>
      <c r="J683" s="1">
        <f>SUM(J680:J681)</f>
        <v>1340</v>
      </c>
      <c r="K683" s="1">
        <f>SUM(K680:K681)</f>
        <v>1674</v>
      </c>
      <c r="L683" s="1">
        <f>SUM(L680:L681)</f>
        <v>3960</v>
      </c>
      <c r="M683" s="60">
        <f>SUM(J683:L683)</f>
        <v>6974</v>
      </c>
      <c r="N683" s="1">
        <f>SUM(N680:N681)</f>
        <v>3333</v>
      </c>
      <c r="O683" s="1">
        <f>SUM(O680:O681)</f>
        <v>826</v>
      </c>
      <c r="P683" s="1">
        <f>SUM(P680:P681)</f>
        <v>4267</v>
      </c>
      <c r="Q683" s="60">
        <f>SUM(N683:P683)</f>
        <v>8426</v>
      </c>
      <c r="R683" s="60">
        <f>+E683+I683+M683+Q683</f>
        <v>27279</v>
      </c>
    </row>
    <row r="684" spans="1:18" ht="15.75" customHeight="1" x14ac:dyDescent="0.3">
      <c r="A684" s="15" t="s">
        <v>42</v>
      </c>
      <c r="B684" s="1">
        <f>(B683/31)/1.983</f>
        <v>44.084394774941842</v>
      </c>
      <c r="C684" s="1">
        <f>(C683/28)/1.983</f>
        <v>57.074418269577116</v>
      </c>
      <c r="D684" s="1">
        <f>(D683/31)/1.983</f>
        <v>18.186846257706634</v>
      </c>
      <c r="E684" s="55" t="s">
        <v>7</v>
      </c>
      <c r="F684" s="1">
        <f>(F683/30)/1.983</f>
        <v>25.70179862161708</v>
      </c>
      <c r="G684" s="1">
        <f>(G683/31)/1.983</f>
        <v>28.386446082019745</v>
      </c>
      <c r="H684" s="1">
        <f>(H683/30)/1.983</f>
        <v>27.029752899647001</v>
      </c>
      <c r="I684" s="55" t="s">
        <v>7</v>
      </c>
      <c r="J684" s="1">
        <f>(J683/31)/1.983</f>
        <v>21.798187822295965</v>
      </c>
      <c r="K684" s="1">
        <f>(K683/31)/1.983</f>
        <v>27.231467473524962</v>
      </c>
      <c r="L684" s="1">
        <f>(L683/30)/1.983</f>
        <v>66.565809379727682</v>
      </c>
      <c r="M684" s="55" t="s">
        <v>7</v>
      </c>
      <c r="N684" s="1">
        <f>(N683/31)/1.983</f>
        <v>54.218925381874968</v>
      </c>
      <c r="O684" s="1">
        <f>(O683/30)/1.983</f>
        <v>13.884686501933098</v>
      </c>
      <c r="P684" s="1">
        <f>(P683/31)/1.983</f>
        <v>69.41258764010216</v>
      </c>
      <c r="Q684" s="55" t="s">
        <v>7</v>
      </c>
      <c r="R684" s="55" t="s">
        <v>7</v>
      </c>
    </row>
    <row r="685" spans="1:18" ht="15.75" customHeight="1" x14ac:dyDescent="0.3">
      <c r="A685" s="15" t="s">
        <v>372</v>
      </c>
      <c r="B685" s="1">
        <f>B683</f>
        <v>2710</v>
      </c>
      <c r="C685" s="1">
        <f>C683</f>
        <v>3169</v>
      </c>
      <c r="D685" s="1">
        <f>D683</f>
        <v>1118</v>
      </c>
      <c r="E685" s="55">
        <f>SUM(B685:D685)</f>
        <v>6997</v>
      </c>
      <c r="F685" s="1">
        <f>F683</f>
        <v>1529</v>
      </c>
      <c r="G685" s="1">
        <f>G683</f>
        <v>1745</v>
      </c>
      <c r="H685" s="1">
        <f>H683</f>
        <v>1608</v>
      </c>
      <c r="I685" s="55">
        <f>SUM(F685:H685)</f>
        <v>4882</v>
      </c>
      <c r="J685" s="1">
        <f>J683</f>
        <v>1340</v>
      </c>
      <c r="K685" s="1">
        <f>K683</f>
        <v>1674</v>
      </c>
      <c r="L685" s="1">
        <f>L683</f>
        <v>3960</v>
      </c>
      <c r="M685" s="55">
        <f>SUM(J685:L685)</f>
        <v>6974</v>
      </c>
      <c r="N685" s="1">
        <f>N683</f>
        <v>3333</v>
      </c>
      <c r="O685" s="1">
        <f>O683</f>
        <v>826</v>
      </c>
      <c r="P685" s="1">
        <f>P683</f>
        <v>4267</v>
      </c>
      <c r="Q685" s="55">
        <f>SUM(N685:P685)</f>
        <v>8426</v>
      </c>
      <c r="R685" s="55">
        <f>+E685+I685+M685+Q685</f>
        <v>27279</v>
      </c>
    </row>
    <row r="686" spans="1:18" ht="16.5" customHeight="1" thickBot="1" x14ac:dyDescent="0.35">
      <c r="A686" s="20" t="s">
        <v>373</v>
      </c>
      <c r="B686" s="21">
        <f>(B685/31)/1.983</f>
        <v>44.084394774941842</v>
      </c>
      <c r="C686" s="21">
        <f>(C685/28)/1.983</f>
        <v>57.074418269577116</v>
      </c>
      <c r="D686" s="21">
        <f>(D685/31)/1.983</f>
        <v>18.186846257706634</v>
      </c>
      <c r="E686" s="81" t="s">
        <v>7</v>
      </c>
      <c r="F686" s="21">
        <f>(F685/30)/1.983</f>
        <v>25.70179862161708</v>
      </c>
      <c r="G686" s="21">
        <f>(G685/31)/1.983</f>
        <v>28.386446082019745</v>
      </c>
      <c r="H686" s="21">
        <f>(H685/30)/1.983</f>
        <v>27.029752899647001</v>
      </c>
      <c r="I686" s="81" t="s">
        <v>7</v>
      </c>
      <c r="J686" s="21">
        <f>(J685/31)/1.983</f>
        <v>21.798187822295965</v>
      </c>
      <c r="K686" s="21">
        <f>(K685/31)/1.983</f>
        <v>27.231467473524962</v>
      </c>
      <c r="L686" s="21">
        <f>(L685/30)/1.983</f>
        <v>66.565809379727682</v>
      </c>
      <c r="M686" s="81" t="s">
        <v>7</v>
      </c>
      <c r="N686" s="21">
        <f>(N685/31)/1.983</f>
        <v>54.218925381874968</v>
      </c>
      <c r="O686" s="21">
        <f>(O685/30)/1.983</f>
        <v>13.884686501933098</v>
      </c>
      <c r="P686" s="21">
        <f>(P685/31)/1.983</f>
        <v>69.41258764010216</v>
      </c>
      <c r="Q686" s="81" t="s">
        <v>7</v>
      </c>
      <c r="R686" s="81" t="s">
        <v>7</v>
      </c>
    </row>
    <row r="687" spans="1:18" ht="15.75" customHeight="1" x14ac:dyDescent="0.3">
      <c r="A687" s="28"/>
      <c r="B687" s="1"/>
      <c r="C687" s="1"/>
      <c r="D687" s="1"/>
      <c r="E687" s="2"/>
      <c r="F687" s="1"/>
      <c r="G687" s="1"/>
      <c r="H687" s="1"/>
      <c r="I687" s="2"/>
      <c r="J687" s="1"/>
      <c r="K687" s="1"/>
      <c r="L687" s="1"/>
      <c r="M687" s="2"/>
      <c r="N687" s="1"/>
      <c r="O687" s="1"/>
      <c r="P687" s="1"/>
      <c r="Q687" s="2"/>
      <c r="R687" s="2"/>
    </row>
    <row r="688" spans="1:18" ht="15.75" customHeight="1" x14ac:dyDescent="0.3">
      <c r="A688" s="28"/>
      <c r="B688" s="1"/>
      <c r="C688" s="1"/>
      <c r="D688" s="1"/>
      <c r="E688" s="1"/>
      <c r="F688" s="1"/>
      <c r="G688" s="1"/>
      <c r="H688" s="1"/>
      <c r="I688" s="1"/>
      <c r="J688" s="1"/>
      <c r="K688" s="1"/>
      <c r="L688" s="1"/>
      <c r="M688" s="1"/>
      <c r="N688" s="1"/>
      <c r="O688" s="1"/>
      <c r="P688" s="1"/>
      <c r="Q688" s="2" t="str">
        <f>+Q1</f>
        <v>PRINTED:</v>
      </c>
      <c r="R688" s="3">
        <f ca="1">+R1</f>
        <v>44909.46975358796</v>
      </c>
    </row>
    <row r="689" spans="1:18" ht="15.75" customHeight="1" x14ac:dyDescent="0.3">
      <c r="A689" s="499" t="s">
        <v>1</v>
      </c>
      <c r="B689" s="499"/>
      <c r="C689" s="499"/>
      <c r="D689" s="499"/>
      <c r="E689" s="499"/>
      <c r="F689" s="499"/>
      <c r="G689" s="499"/>
      <c r="H689" s="499"/>
      <c r="I689" s="499"/>
      <c r="J689" s="499"/>
      <c r="K689" s="499"/>
      <c r="L689" s="499"/>
      <c r="M689" s="499"/>
      <c r="N689" s="499"/>
      <c r="O689" s="499"/>
      <c r="P689" s="499"/>
      <c r="Q689" s="499"/>
      <c r="R689" s="499"/>
    </row>
    <row r="690" spans="1:18" ht="15.75" customHeight="1" x14ac:dyDescent="0.3">
      <c r="A690" s="499" t="s">
        <v>2</v>
      </c>
      <c r="B690" s="499"/>
      <c r="C690" s="499"/>
      <c r="D690" s="499"/>
      <c r="E690" s="499"/>
      <c r="F690" s="499"/>
      <c r="G690" s="499"/>
      <c r="H690" s="499"/>
      <c r="I690" s="499"/>
      <c r="J690" s="499"/>
      <c r="K690" s="499"/>
      <c r="L690" s="499"/>
      <c r="M690" s="499"/>
      <c r="N690" s="499"/>
      <c r="O690" s="499"/>
      <c r="P690" s="499"/>
      <c r="Q690" s="499"/>
      <c r="R690" s="499"/>
    </row>
    <row r="691" spans="1:18" ht="15.75" customHeight="1" x14ac:dyDescent="0.3">
      <c r="A691" s="499" t="s">
        <v>3</v>
      </c>
      <c r="B691" s="499"/>
      <c r="C691" s="499"/>
      <c r="D691" s="499"/>
      <c r="E691" s="499"/>
      <c r="F691" s="499"/>
      <c r="G691" s="499"/>
      <c r="H691" s="499"/>
      <c r="I691" s="499"/>
      <c r="J691" s="499"/>
      <c r="K691" s="499"/>
      <c r="L691" s="499"/>
      <c r="M691" s="499"/>
      <c r="N691" s="499"/>
      <c r="O691" s="499"/>
      <c r="P691" s="499"/>
      <c r="Q691" s="499"/>
      <c r="R691" s="499"/>
    </row>
    <row r="692" spans="1:18" ht="15.75" customHeight="1" x14ac:dyDescent="0.3">
      <c r="A692" s="499" t="str">
        <f>+A5</f>
        <v>Calendar Year 2011</v>
      </c>
      <c r="B692" s="499"/>
      <c r="C692" s="499"/>
      <c r="D692" s="499"/>
      <c r="E692" s="499"/>
      <c r="F692" s="499"/>
      <c r="G692" s="499"/>
      <c r="H692" s="499"/>
      <c r="I692" s="499"/>
      <c r="J692" s="499"/>
      <c r="K692" s="499"/>
      <c r="L692" s="499"/>
      <c r="M692" s="499"/>
      <c r="N692" s="499"/>
      <c r="O692" s="499"/>
      <c r="P692" s="499"/>
      <c r="Q692" s="499"/>
      <c r="R692" s="499"/>
    </row>
    <row r="693" spans="1:18" ht="15.75" customHeight="1" x14ac:dyDescent="0.3">
      <c r="A693" s="1"/>
      <c r="B693" s="1"/>
      <c r="C693" s="1"/>
      <c r="D693" s="5"/>
      <c r="E693" s="5"/>
      <c r="F693" s="5"/>
      <c r="G693" s="6"/>
      <c r="H693" s="5"/>
      <c r="I693" s="5"/>
      <c r="J693" s="6"/>
      <c r="K693" s="6"/>
      <c r="L693" s="6"/>
      <c r="M693" s="6"/>
      <c r="N693" s="1"/>
      <c r="O693" s="6"/>
      <c r="P693" s="6"/>
      <c r="Q693" s="6"/>
      <c r="R693" s="6"/>
    </row>
    <row r="694" spans="1:18" ht="15.75" customHeight="1" x14ac:dyDescent="0.3">
      <c r="A694" s="499" t="str">
        <f>+A9</f>
        <v>Revised:  1/23/11</v>
      </c>
      <c r="B694" s="499"/>
      <c r="C694" s="499"/>
      <c r="D694" s="499"/>
      <c r="E694" s="499"/>
      <c r="F694" s="499"/>
      <c r="G694" s="499"/>
      <c r="H694" s="499"/>
      <c r="I694" s="499"/>
      <c r="J694" s="499"/>
      <c r="K694" s="499"/>
      <c r="L694" s="499"/>
      <c r="M694" s="499"/>
      <c r="N694" s="499"/>
      <c r="O694" s="499"/>
      <c r="P694" s="499"/>
      <c r="Q694" s="499"/>
      <c r="R694" s="499"/>
    </row>
    <row r="695" spans="1:18" ht="15.75" customHeight="1" x14ac:dyDescent="0.3">
      <c r="A695" s="314"/>
      <c r="B695" s="314"/>
      <c r="C695" s="314"/>
      <c r="D695" s="314"/>
      <c r="E695" s="314"/>
      <c r="F695" s="314"/>
      <c r="G695" s="314"/>
      <c r="H695" s="314"/>
      <c r="I695" s="314"/>
      <c r="J695" s="314"/>
      <c r="K695" s="314"/>
      <c r="L695" s="314"/>
      <c r="M695" s="314"/>
      <c r="N695" s="314"/>
      <c r="O695" s="314"/>
      <c r="P695" s="314"/>
      <c r="Q695" s="314"/>
      <c r="R695" s="314"/>
    </row>
    <row r="696" spans="1:18" ht="15.75" customHeight="1" x14ac:dyDescent="0.3">
      <c r="A696" s="314"/>
      <c r="B696" s="314"/>
      <c r="C696" s="314"/>
      <c r="D696" s="314"/>
      <c r="E696" s="314"/>
      <c r="F696" s="314"/>
      <c r="G696" s="314"/>
      <c r="H696" s="314"/>
      <c r="I696" s="314"/>
      <c r="J696" s="314"/>
      <c r="K696" s="314"/>
      <c r="L696" s="314"/>
      <c r="M696" s="314"/>
      <c r="N696" s="314"/>
      <c r="O696" s="314"/>
      <c r="P696" s="314"/>
      <c r="Q696" s="314"/>
      <c r="R696" s="314"/>
    </row>
    <row r="697" spans="1:18" ht="15.75" customHeight="1" thickBot="1" x14ac:dyDescent="0.35">
      <c r="A697" s="28"/>
      <c r="B697" s="1"/>
      <c r="C697" s="1"/>
      <c r="D697" s="1"/>
      <c r="E697" s="1"/>
      <c r="F697" s="1"/>
      <c r="G697" s="1"/>
      <c r="H697" s="1"/>
      <c r="I697" s="1"/>
      <c r="J697" s="1"/>
      <c r="K697" s="1"/>
      <c r="L697" s="1"/>
      <c r="M697" s="1"/>
      <c r="N697" s="1"/>
      <c r="O697" s="1"/>
      <c r="P697" s="1"/>
      <c r="Q697" s="1"/>
      <c r="R697" s="2"/>
    </row>
    <row r="698" spans="1:18" ht="16.5" customHeight="1" thickBot="1" x14ac:dyDescent="0.35">
      <c r="A698" s="124" t="s">
        <v>374</v>
      </c>
      <c r="B698" s="30" t="s">
        <v>8</v>
      </c>
      <c r="C698" s="31" t="s">
        <v>9</v>
      </c>
      <c r="D698" s="31" t="s">
        <v>10</v>
      </c>
      <c r="E698" s="32" t="s">
        <v>11</v>
      </c>
      <c r="F698" s="31" t="s">
        <v>12</v>
      </c>
      <c r="G698" s="31" t="s">
        <v>13</v>
      </c>
      <c r="H698" s="31" t="s">
        <v>14</v>
      </c>
      <c r="I698" s="33" t="s">
        <v>15</v>
      </c>
      <c r="J698" s="31" t="s">
        <v>16</v>
      </c>
      <c r="K698" s="31" t="s">
        <v>17</v>
      </c>
      <c r="L698" s="31" t="s">
        <v>18</v>
      </c>
      <c r="M698" s="33" t="s">
        <v>19</v>
      </c>
      <c r="N698" s="31" t="s">
        <v>20</v>
      </c>
      <c r="O698" s="31" t="s">
        <v>21</v>
      </c>
      <c r="P698" s="31" t="s">
        <v>22</v>
      </c>
      <c r="Q698" s="33" t="s">
        <v>23</v>
      </c>
      <c r="R698" s="133" t="s">
        <v>24</v>
      </c>
    </row>
    <row r="699" spans="1:18" ht="16.5" customHeight="1" thickBot="1" x14ac:dyDescent="0.35">
      <c r="A699" s="41"/>
      <c r="B699" s="36"/>
      <c r="C699" s="36"/>
      <c r="D699" s="36"/>
      <c r="E699" s="52"/>
      <c r="F699" s="36"/>
      <c r="G699" s="36"/>
      <c r="H699" s="36"/>
      <c r="I699" s="132"/>
      <c r="J699" s="36"/>
      <c r="K699" s="36"/>
      <c r="L699" s="36"/>
      <c r="M699" s="132"/>
      <c r="N699" s="36"/>
      <c r="O699" s="36"/>
      <c r="P699" s="36"/>
      <c r="Q699" s="134"/>
      <c r="R699" s="135"/>
    </row>
    <row r="700" spans="1:18" ht="15.75" customHeight="1" x14ac:dyDescent="0.3">
      <c r="A700" s="15" t="s">
        <v>48</v>
      </c>
      <c r="B700" s="1" t="s">
        <v>7</v>
      </c>
      <c r="C700" s="1" t="s">
        <v>7</v>
      </c>
      <c r="D700" s="1" t="s">
        <v>7</v>
      </c>
      <c r="E700" s="136"/>
      <c r="F700" s="1" t="s">
        <v>7</v>
      </c>
      <c r="G700" s="1" t="s">
        <v>7</v>
      </c>
      <c r="H700" s="1" t="s">
        <v>7</v>
      </c>
      <c r="I700" s="136"/>
      <c r="J700" s="1" t="s">
        <v>7</v>
      </c>
      <c r="K700" s="1" t="s">
        <v>7</v>
      </c>
      <c r="L700" s="1" t="s">
        <v>7</v>
      </c>
      <c r="M700" s="136"/>
      <c r="N700" s="1" t="s">
        <v>7</v>
      </c>
      <c r="O700" s="1" t="s">
        <v>7</v>
      </c>
      <c r="P700" s="1" t="s">
        <v>7</v>
      </c>
      <c r="Q700" s="137"/>
      <c r="R700" s="138" t="s">
        <v>7</v>
      </c>
    </row>
    <row r="701" spans="1:18" ht="15.75" customHeight="1" x14ac:dyDescent="0.3">
      <c r="A701" s="315" t="s">
        <v>49</v>
      </c>
      <c r="B701" s="1">
        <f>+SUM(B72:B80)+SUM(B136:B159)+SUM(B266:B277)+SUM(B386:B388)+SUM(B426:B429)+SUM(B467:B475)+SUM(B529:B531)+SUM(B564:B566)+SUM(B615:B616)+SUM(B649:B651)</f>
        <v>33646</v>
      </c>
      <c r="C701" s="1">
        <f>+SUM(C72:C80)+SUM(C136:C159)+SUM(C266:C277)+SUM(C386:C388)+SUM(C426:C429)+SUM(C467:C475)+SUM(C529:C531)+SUM(C564:C566)+SUM(C615:C616)+SUM(C649:C651)</f>
        <v>27547</v>
      </c>
      <c r="D701" s="1">
        <f>+SUM(D72:D80)+SUM(D136:D159)+SUM(D266:D277)+SUM(D386:D388)+SUM(D426:D429)+SUM(D467:D475)+SUM(D529:D531)+SUM(D564:D566)+SUM(D615:D616)+SUM(D649:D651)</f>
        <v>29650</v>
      </c>
      <c r="E701" s="55">
        <f t="shared" ref="E701:E707" si="95">SUM(B701:D701)</f>
        <v>90843</v>
      </c>
      <c r="F701" s="1">
        <f>+SUM(F72:F80)+SUM(F136:F159)+SUM(F266:F277)+SUM(F386:F388)+SUM(F426:F429)+SUM(F467:F475)+SUM(F529:F531)+SUM(F564:F566)+SUM(F615:F616)+SUM(F649:F651)</f>
        <v>37523</v>
      </c>
      <c r="G701" s="1">
        <f>+SUM(G72:G80)+SUM(G136:G159)+SUM(G266:G277)+SUM(G386:G388)+SUM(G426:G429)+SUM(G467:G475)+SUM(G529:G531)+SUM(G564:G566)+SUM(G615:G616)+SUM(G649:G651)</f>
        <v>33914</v>
      </c>
      <c r="H701" s="1">
        <f>+SUM(H72:H80)+SUM(H136:H159)+SUM(H266:H277)+SUM(H386:H388)+SUM(H426:H429)+SUM(H467:H475)+SUM(H529:H531)+SUM(H564:H566)+SUM(H615:H616)+SUM(H649:H651)</f>
        <v>30714</v>
      </c>
      <c r="I701" s="55">
        <f t="shared" ref="I701:I707" si="96">SUM(F701:H701)</f>
        <v>102151</v>
      </c>
      <c r="J701" s="1">
        <f>+SUM(J72:J80)+SUM(J136:J159)+SUM(J266:J277)+SUM(J386:J388)+SUM(J426:J429)+SUM(J467:J475)+SUM(J529:J531)+SUM(J564:J566)+SUM(J615:J616)+SUM(J649:J651)</f>
        <v>45239</v>
      </c>
      <c r="K701" s="1">
        <f>+SUM(K72:K80)+SUM(K136:K159)+SUM(K266:K277)+SUM(K386:K388)+SUM(K426:K429)+SUM(K467:K475)+SUM(K529:K531)+SUM(K564:K566)+SUM(K615:K616)+SUM(K649:K651)</f>
        <v>50066</v>
      </c>
      <c r="L701" s="1">
        <f>+SUM(L72:L80)+SUM(L136:L159)+SUM(L266:L277)+SUM(L386:L388)+SUM(L426:L429)+SUM(L467:L475)+SUM(L529:L531)+SUM(L564:L566)+SUM(L615:L616)+SUM(L649:L651)</f>
        <v>45901</v>
      </c>
      <c r="M701" s="55">
        <f t="shared" ref="M701:M707" si="97">SUM(J701:L701)</f>
        <v>141206</v>
      </c>
      <c r="N701" s="1">
        <f>+SUM(N72:N80)+SUM(N136:N159)+SUM(N266:N277)+SUM(N386:N388)+SUM(N426:N429)+SUM(N467:N475)+SUM(N529:N531)+SUM(N564:N566)+SUM(N615:N616)+SUM(N649:N651)</f>
        <v>35463</v>
      </c>
      <c r="O701" s="1">
        <f>+SUM(O72:O80)+SUM(O136:O159)+SUM(O266:O277)+SUM(O386:O388)+SUM(O426:O429)+SUM(O467:O475)+SUM(O529:O531)+SUM(O564:O566)+SUM(O615:O616)+SUM(O649:O651)</f>
        <v>24491</v>
      </c>
      <c r="P701" s="1">
        <f>+SUM(P72:P80)+SUM(P136:P159)+SUM(P266:P277)+SUM(P386:P388)+SUM(P426:P429)+SUM(P467:P475)+SUM(P529:P531)+SUM(P564:P566)+SUM(P615:P616)+SUM(P649:P651)</f>
        <v>26174</v>
      </c>
      <c r="Q701" s="55">
        <f t="shared" ref="Q701:Q707" si="98">SUM(N701:P701)</f>
        <v>86128</v>
      </c>
      <c r="R701" s="55">
        <f t="shared" ref="R701:R707" si="99">+E701+I701+M701+Q701</f>
        <v>420328</v>
      </c>
    </row>
    <row r="702" spans="1:18" ht="15.75" customHeight="1" x14ac:dyDescent="0.3">
      <c r="A702" s="15" t="s">
        <v>50</v>
      </c>
      <c r="B702" s="1">
        <f>+SUM(B81:B83)+SUM(B161:B171)+SUM(B279:B291)+SUM(B390:B392)+B430+SUM(B476:B477)+B532+B567+B617+SUM(B652:B652)</f>
        <v>499</v>
      </c>
      <c r="C702" s="1">
        <f>+SUM(C81:C83)+SUM(C161:C171)+SUM(C279:C291)+SUM(C390:C392)+C430+SUM(C476:C477)+C532+C567+C617+SUM(C652:C652)</f>
        <v>539</v>
      </c>
      <c r="D702" s="1">
        <f>+SUM(D81:D83)+SUM(D161:D171)+SUM(D279:D291)+SUM(D390:D392)+D430+SUM(D476:D477)+D532+D567+D617+SUM(D652:D652)</f>
        <v>637</v>
      </c>
      <c r="E702" s="55">
        <f t="shared" si="95"/>
        <v>1675</v>
      </c>
      <c r="F702" s="1">
        <f>+SUM(F81:F83)+SUM(F161:F171)+SUM(F279:F291)+SUM(F390:F392)+F430+SUM(F476:F477)+F532+F567+F617+SUM(F652:F652)</f>
        <v>771</v>
      </c>
      <c r="G702" s="1">
        <f>+SUM(G81:G83)+SUM(G161:G171)+SUM(G279:G291)+SUM(G390:G392)+G430+SUM(G476:G477)+G532+G567+G617+SUM(G652:G652)</f>
        <v>934</v>
      </c>
      <c r="H702" s="1">
        <f>+SUM(H81:H83)+SUM(H161:H171)+SUM(H279:H291)+SUM(H390:H392)+H430+SUM(H476:H477)+H532+H567+H617+SUM(H652:H652)</f>
        <v>1119</v>
      </c>
      <c r="I702" s="55">
        <f t="shared" si="96"/>
        <v>2824</v>
      </c>
      <c r="J702" s="1">
        <f>+SUM(J81:J83)+SUM(J161:J171)+SUM(J279:J291)+SUM(J390:J392)+J430+SUM(J476:J477)+J532+J567+J617+SUM(J652:J652)</f>
        <v>1300</v>
      </c>
      <c r="K702" s="1">
        <f>+SUM(K81:K83)+SUM(K161:K171)+SUM(K279:K291)+SUM(K390:K392)+K430+SUM(K476:K477)+K532+K567+K617+SUM(K652:K652)</f>
        <v>1317</v>
      </c>
      <c r="L702" s="1">
        <f>+SUM(L81:L83)+SUM(L161:L171)+SUM(L279:L291)+SUM(L390:L392)+L430+SUM(L476:L477)+L532+L567+L617+SUM(L652:L652)</f>
        <v>1340</v>
      </c>
      <c r="M702" s="55">
        <f t="shared" si="97"/>
        <v>3957</v>
      </c>
      <c r="N702" s="1">
        <f>+SUM(N81:N83)+SUM(N161:N171)+SUM(N279:N291)+SUM(N390:N392)+N430+SUM(N476:N477)+N532+N567+N617+SUM(N652:N652)</f>
        <v>1426</v>
      </c>
      <c r="O702" s="1">
        <f>+SUM(O81:O83)+SUM(O161:O171)+SUM(O279:O291)+SUM(O390:O392)+O430+SUM(O476:O477)+O532+O567+O617+SUM(O652:O652)</f>
        <v>832</v>
      </c>
      <c r="P702" s="1">
        <f>+SUM(P81:P83)+SUM(P161:P171)+SUM(P279:P291)+SUM(P390:P392)+P430+SUM(P476:P477)+P532+P567+P617+SUM(P652:P652)</f>
        <v>691</v>
      </c>
      <c r="Q702" s="55">
        <f t="shared" si="98"/>
        <v>2949</v>
      </c>
      <c r="R702" s="55">
        <f t="shared" si="99"/>
        <v>11405</v>
      </c>
    </row>
    <row r="703" spans="1:18" ht="15.75" customHeight="1" x14ac:dyDescent="0.3">
      <c r="A703" s="315" t="s">
        <v>375</v>
      </c>
      <c r="B703" s="1">
        <f>+SUM(B84:B86)+SUM(B172:B175)+SUM(B292:B296)+B393+B431+SUM(B478:B479)+B533+B568+B618+SUM(B653:B654)</f>
        <v>495</v>
      </c>
      <c r="C703" s="1">
        <f>+SUM(C84:C86)+SUM(C172:C175)+SUM(C292:C296)+C393+C431+SUM(C478:C479)+C533+C568+C618+SUM(C653:C654)</f>
        <v>320</v>
      </c>
      <c r="D703" s="1">
        <f>+SUM(D84:D86)+SUM(D172:D175)+SUM(D292:D296)+D393+D431+SUM(D478:D479)+D533+D568+D618+SUM(D653:D654)</f>
        <v>1836</v>
      </c>
      <c r="E703" s="55">
        <f t="shared" si="95"/>
        <v>2651</v>
      </c>
      <c r="F703" s="1">
        <f>+SUM(F84:F86)+SUM(F172:F175)+SUM(F292:F296)+F393+F431+SUM(F478:F479)+F533+F568+F618+SUM(F653:F654)</f>
        <v>723</v>
      </c>
      <c r="G703" s="1">
        <f>+SUM(G84:G86)+SUM(G172:G175)+SUM(G292:G296)+G393+G431+SUM(G478:G479)+G533+G568+G618+SUM(G653:G654)</f>
        <v>3080</v>
      </c>
      <c r="H703" s="1">
        <f>+SUM(H84:H86)+SUM(H172:H175)+SUM(H292:H296)+H393+H431+SUM(H478:H479)+H533+H568+H618+SUM(H653:H654)</f>
        <v>2309</v>
      </c>
      <c r="I703" s="55">
        <f t="shared" si="96"/>
        <v>6112</v>
      </c>
      <c r="J703" s="1">
        <f>+SUM(J84:J86)+SUM(J172:J175)+SUM(J292:J296)+J393+J431+SUM(J478:J479)+J533+J568+J618+SUM(J653:J654)</f>
        <v>444</v>
      </c>
      <c r="K703" s="1">
        <f>+SUM(K84:K86)+SUM(K172:K175)+SUM(K292:K296)+K393+K431+SUM(K478:K479)+K533+K568+K618+SUM(K653:K654)</f>
        <v>4031</v>
      </c>
      <c r="L703" s="1">
        <f>+SUM(L84:L86)+SUM(L172:L175)+SUM(L292:L296)+L393+L431+SUM(L478:L479)+L533+L568+L618+SUM(L653:L654)</f>
        <v>5530</v>
      </c>
      <c r="M703" s="55">
        <f t="shared" si="97"/>
        <v>10005</v>
      </c>
      <c r="N703" s="1">
        <f>+SUM(N84:N86)+SUM(N172:N175)+SUM(N292:N296)+N393+N431+SUM(N478:N479)+N533+N568+N618+SUM(N653:N654)</f>
        <v>521</v>
      </c>
      <c r="O703" s="1">
        <f>+SUM(O84:O86)+SUM(O172:O175)+SUM(O292:O296)+O393+O431+SUM(O478:O479)+O533+O568+O618+SUM(O653:O654)</f>
        <v>13</v>
      </c>
      <c r="P703" s="1">
        <f>+SUM(P84:P86)+SUM(P172:P175)+SUM(P292:P296)+P393+P431+SUM(P478:P479)+P533+P568+P618+SUM(P653:P654)</f>
        <v>808</v>
      </c>
      <c r="Q703" s="55">
        <f t="shared" si="98"/>
        <v>1342</v>
      </c>
      <c r="R703" s="55">
        <f t="shared" si="99"/>
        <v>20110</v>
      </c>
    </row>
    <row r="704" spans="1:18" ht="15.75" customHeight="1" x14ac:dyDescent="0.3">
      <c r="A704" s="15" t="s">
        <v>785</v>
      </c>
      <c r="B704" s="1">
        <f>+B243+B368+B369</f>
        <v>246</v>
      </c>
      <c r="C704" s="1">
        <f>+C243+C368+C369</f>
        <v>25</v>
      </c>
      <c r="D704" s="1">
        <f>+D243+D368+D369</f>
        <v>552</v>
      </c>
      <c r="E704" s="55">
        <f t="shared" si="95"/>
        <v>823</v>
      </c>
      <c r="F704" s="1">
        <f>+F243+F368+F369</f>
        <v>0</v>
      </c>
      <c r="G704" s="1">
        <f>+G243+G368+G369</f>
        <v>1130</v>
      </c>
      <c r="H704" s="1">
        <f>+H243+H368+H369</f>
        <v>1049</v>
      </c>
      <c r="I704" s="55">
        <f t="shared" si="96"/>
        <v>2179</v>
      </c>
      <c r="J704" s="1">
        <f>+J243+J368+J369</f>
        <v>20</v>
      </c>
      <c r="K704" s="1">
        <f>+K243+K368+K369</f>
        <v>0</v>
      </c>
      <c r="L704" s="1">
        <f>+L243+L368+L369</f>
        <v>216</v>
      </c>
      <c r="M704" s="55">
        <f t="shared" si="97"/>
        <v>236</v>
      </c>
      <c r="N704" s="1">
        <f>+N243+N368+N369</f>
        <v>142</v>
      </c>
      <c r="O704" s="1">
        <f>+O243+O368+O369</f>
        <v>126</v>
      </c>
      <c r="P704" s="1">
        <f>+P243+P368+P369</f>
        <v>0</v>
      </c>
      <c r="Q704" s="55">
        <f t="shared" si="98"/>
        <v>268</v>
      </c>
      <c r="R704" s="55">
        <f t="shared" si="99"/>
        <v>3506</v>
      </c>
    </row>
    <row r="705" spans="1:18" ht="15.75" customHeight="1" x14ac:dyDescent="0.3">
      <c r="A705" s="315" t="s">
        <v>377</v>
      </c>
      <c r="B705" s="1">
        <f>+B244</f>
        <v>36</v>
      </c>
      <c r="C705" s="1">
        <f>+C244</f>
        <v>34</v>
      </c>
      <c r="D705" s="1">
        <f>+D244</f>
        <v>93</v>
      </c>
      <c r="E705" s="55">
        <f t="shared" si="95"/>
        <v>163</v>
      </c>
      <c r="F705" s="1">
        <f>+F244</f>
        <v>55</v>
      </c>
      <c r="G705" s="1">
        <f>+G244</f>
        <v>99</v>
      </c>
      <c r="H705" s="1">
        <f>+H244</f>
        <v>102</v>
      </c>
      <c r="I705" s="55">
        <f t="shared" si="96"/>
        <v>256</v>
      </c>
      <c r="J705" s="1">
        <f>+J244</f>
        <v>100</v>
      </c>
      <c r="K705" s="1">
        <f>+K244</f>
        <v>84</v>
      </c>
      <c r="L705" s="1">
        <f>+L244</f>
        <v>53</v>
      </c>
      <c r="M705" s="55">
        <f t="shared" si="97"/>
        <v>237</v>
      </c>
      <c r="N705" s="1">
        <f>+N244</f>
        <v>29</v>
      </c>
      <c r="O705" s="1">
        <f>+O244</f>
        <v>10</v>
      </c>
      <c r="P705" s="1">
        <f>+P244</f>
        <v>22</v>
      </c>
      <c r="Q705" s="55">
        <f t="shared" si="98"/>
        <v>61</v>
      </c>
      <c r="R705" s="55">
        <f t="shared" si="99"/>
        <v>717</v>
      </c>
    </row>
    <row r="706" spans="1:18" ht="15.75" customHeight="1" thickBot="1" x14ac:dyDescent="0.35">
      <c r="A706" s="15" t="s">
        <v>53</v>
      </c>
      <c r="B706" s="1">
        <f>+B87+B394+B432+B480+B534+B569+B619+B655</f>
        <v>0</v>
      </c>
      <c r="C706" s="1">
        <f>+C87+C394+C432+C480+C534+C569+C619+C655</f>
        <v>0</v>
      </c>
      <c r="D706" s="1">
        <f>+D87+D394+D432+D480+D534+D569+D619+D655</f>
        <v>0</v>
      </c>
      <c r="E706" s="55">
        <f t="shared" si="95"/>
        <v>0</v>
      </c>
      <c r="F706" s="1">
        <f>+F87+F394+F432+F480+F534+F569+F619+F655</f>
        <v>0</v>
      </c>
      <c r="G706" s="1">
        <f>+G87+G394+G432+G480+G534+G569+G619+G655</f>
        <v>0</v>
      </c>
      <c r="H706" s="1">
        <f>+H87+H394+H432+H480+H534+H569+H619+H655</f>
        <v>0</v>
      </c>
      <c r="I706" s="55">
        <f t="shared" si="96"/>
        <v>0</v>
      </c>
      <c r="J706" s="1">
        <f>+J87+J394+J432+J480+J534+J569+J619+J655</f>
        <v>0</v>
      </c>
      <c r="K706" s="1">
        <f>+K87+K394+K432+K480+K534+K569+K619+K655</f>
        <v>0</v>
      </c>
      <c r="L706" s="1">
        <f>+L87+L394+L432+L480+L534+L569+L619+L655</f>
        <v>0</v>
      </c>
      <c r="M706" s="55">
        <f t="shared" si="97"/>
        <v>0</v>
      </c>
      <c r="N706" s="1">
        <f>+N87+N394+N432+N480+N534+N569+N619+N655</f>
        <v>0</v>
      </c>
      <c r="O706" s="1">
        <f>+O87+O394+O432+O480+O534+O569+O619+O655</f>
        <v>0</v>
      </c>
      <c r="P706" s="1">
        <f>+P87+P394+P432+P480+P534+P569+P619+P655</f>
        <v>0</v>
      </c>
      <c r="Q706" s="55">
        <f t="shared" si="98"/>
        <v>0</v>
      </c>
      <c r="R706" s="55">
        <f t="shared" si="99"/>
        <v>0</v>
      </c>
    </row>
    <row r="707" spans="1:18" ht="16.5" customHeight="1" thickBot="1" x14ac:dyDescent="0.35">
      <c r="A707" s="57" t="s">
        <v>54</v>
      </c>
      <c r="B707" s="86">
        <f>SUM(B700:B706)</f>
        <v>34922</v>
      </c>
      <c r="C707" s="87">
        <f>SUM(C700:C706)</f>
        <v>28465</v>
      </c>
      <c r="D707" s="87">
        <f>SUM(D700:D706)</f>
        <v>32768</v>
      </c>
      <c r="E707" s="59">
        <f t="shared" si="95"/>
        <v>96155</v>
      </c>
      <c r="F707" s="87">
        <f>SUM(F700:F706)</f>
        <v>39072</v>
      </c>
      <c r="G707" s="87">
        <f>SUM(G700:G706)</f>
        <v>39157</v>
      </c>
      <c r="H707" s="87">
        <f>SUM(H700:H706)</f>
        <v>35293</v>
      </c>
      <c r="I707" s="59">
        <f t="shared" si="96"/>
        <v>113522</v>
      </c>
      <c r="J707" s="87">
        <f>SUM(J700:J706)</f>
        <v>47103</v>
      </c>
      <c r="K707" s="87">
        <f>SUM(K700:K706)</f>
        <v>55498</v>
      </c>
      <c r="L707" s="87">
        <f>SUM(L700:L706)</f>
        <v>53040</v>
      </c>
      <c r="M707" s="59">
        <f t="shared" si="97"/>
        <v>155641</v>
      </c>
      <c r="N707" s="87">
        <f>SUM(N700:N706)</f>
        <v>37581</v>
      </c>
      <c r="O707" s="87">
        <f>SUM(O700:O706)</f>
        <v>25472</v>
      </c>
      <c r="P707" s="87">
        <f>SUM(P700:P706)</f>
        <v>27695</v>
      </c>
      <c r="Q707" s="59">
        <f t="shared" si="98"/>
        <v>90748</v>
      </c>
      <c r="R707" s="59">
        <f t="shared" si="99"/>
        <v>456066</v>
      </c>
    </row>
    <row r="708" spans="1:18" ht="15.75" customHeight="1" x14ac:dyDescent="0.3">
      <c r="A708" s="15" t="s">
        <v>55</v>
      </c>
      <c r="B708" s="1"/>
      <c r="C708" s="1"/>
      <c r="D708" s="1"/>
      <c r="E708" s="55" t="s">
        <v>7</v>
      </c>
      <c r="F708" s="1"/>
      <c r="G708" s="1"/>
      <c r="H708" s="1"/>
      <c r="I708" s="55" t="s">
        <v>7</v>
      </c>
      <c r="J708" s="1"/>
      <c r="K708" s="1"/>
      <c r="L708" s="1"/>
      <c r="M708" s="55" t="s">
        <v>7</v>
      </c>
      <c r="N708" s="1"/>
      <c r="O708" s="1"/>
      <c r="P708" s="1"/>
      <c r="Q708" s="55" t="s">
        <v>7</v>
      </c>
      <c r="R708" s="55" t="s">
        <v>7</v>
      </c>
    </row>
    <row r="709" spans="1:18" ht="15.75" customHeight="1" x14ac:dyDescent="0.3">
      <c r="A709" s="18" t="s">
        <v>684</v>
      </c>
      <c r="B709" s="1">
        <f>SUM(B43:B44)+SUM(B179:B179)+SUM(B90:B90)+SUM(B300:B303)</f>
        <v>0</v>
      </c>
      <c r="C709" s="1">
        <f>SUM(C43:C44)+SUM(C179:C179)+SUM(C90:C90)+SUM(C300:C303)</f>
        <v>0</v>
      </c>
      <c r="D709" s="1">
        <f>SUM(D43:D44)+SUM(D179:D179)+SUM(D90:D90)+SUM(D300:D303)</f>
        <v>0</v>
      </c>
      <c r="E709" s="55">
        <f>SUM(B709:D709)</f>
        <v>0</v>
      </c>
      <c r="F709" s="1">
        <f>SUM(F43:F44)+SUM(F179:F179)+SUM(F90:F90)+SUM(F300:F303)</f>
        <v>33</v>
      </c>
      <c r="G709" s="1">
        <f>SUM(G43:G44)+SUM(G179:G179)+SUM(G90:G90)+SUM(G300:G303)</f>
        <v>120</v>
      </c>
      <c r="H709" s="1">
        <f>SUM(H43:H44)+SUM(H179:H179)+SUM(H90:H90)+SUM(H300:H303)</f>
        <v>69</v>
      </c>
      <c r="I709" s="55">
        <f>SUM(F709:H709)</f>
        <v>222</v>
      </c>
      <c r="J709" s="1">
        <f>SUM(J43:J44)+SUM(J179:J179)+SUM(J90:J90)+SUM(J300:J303)</f>
        <v>102</v>
      </c>
      <c r="K709" s="1">
        <f>SUM(K43:K44)+SUM(K179:K179)+SUM(K90:K90)+SUM(K300:K303)</f>
        <v>205</v>
      </c>
      <c r="L709" s="1">
        <f>SUM(L43:L44)+SUM(L179:L179)+SUM(L90:L90)+SUM(L300:L303)</f>
        <v>263</v>
      </c>
      <c r="M709" s="55">
        <f>SUM(J709:L709)</f>
        <v>570</v>
      </c>
      <c r="N709" s="1">
        <f>SUM(N43:N44)+SUM(N179:N179)+SUM(N90:N90)+SUM(N300:N303)</f>
        <v>160</v>
      </c>
      <c r="O709" s="1">
        <f>SUM(O43:O44)+SUM(O179:O179)+SUM(O90:O90)+SUM(O300:O303)</f>
        <v>5</v>
      </c>
      <c r="P709" s="1">
        <f>SUM(P43:P44)+SUM(P179:P179)+SUM(P90:P90)+SUM(P300:P303)</f>
        <v>253</v>
      </c>
      <c r="Q709" s="55">
        <f>SUM(N709:P709)</f>
        <v>418</v>
      </c>
      <c r="R709" s="55">
        <f>+E709+I709+M709+Q709</f>
        <v>1210</v>
      </c>
    </row>
    <row r="710" spans="1:18" ht="15.75" customHeight="1" x14ac:dyDescent="0.3">
      <c r="A710" s="315" t="s">
        <v>57</v>
      </c>
      <c r="B710" s="1">
        <f>+SUM(B92:B93)+SUM(B180:B181)+SUM(B304:B313)+B398+SUM(B435:B437)+SUM(B483:B485)+SUM(B537:B537)+B572+B622+SUM(B658:B659)</f>
        <v>9925</v>
      </c>
      <c r="C710" s="1">
        <f>+SUM(C92:C93)+SUM(C180:C181)+SUM(C304:C313)+C398+SUM(C435:C437)+SUM(C483:C485)+SUM(C537:C537)+C572+C622+SUM(C658:C659)</f>
        <v>14468</v>
      </c>
      <c r="D710" s="1">
        <f>+SUM(D92:D93)+SUM(D180:D181)+SUM(D304:D313)+D398+SUM(D435:D437)+SUM(D483:D485)+SUM(D537:D537)+D572+D622+SUM(D658:D659)</f>
        <v>35292</v>
      </c>
      <c r="E710" s="55">
        <f>SUM(B710:D710)</f>
        <v>59685</v>
      </c>
      <c r="F710" s="1">
        <f>+SUM(F92:F93)+SUM(F180:F181)+SUM(F304:F313)+F398+SUM(F435:F437)+SUM(F483:F485)+SUM(F537:F537)+F572+F622+SUM(F658:F659)</f>
        <v>45765</v>
      </c>
      <c r="G710" s="1">
        <f>+SUM(G92:G93)+SUM(G180:G181)+SUM(G304:G313)+G398+SUM(G435:G437)+SUM(G483:G485)+SUM(G537:G537)+G572+G622+SUM(G658:G659)</f>
        <v>53550</v>
      </c>
      <c r="H710" s="1">
        <f>+SUM(H92:H93)+SUM(H180:H181)+SUM(H304:H313)+H398+SUM(H435:H437)+SUM(H483:H485)+SUM(H537:H537)+H572+H622+SUM(H658:H659)</f>
        <v>78278</v>
      </c>
      <c r="I710" s="55">
        <f>SUM(F710:H710)</f>
        <v>177593</v>
      </c>
      <c r="J710" s="1">
        <f>+SUM(J92:J93)+SUM(J180:J181)+SUM(J304:J313)+J398+SUM(J435:J437)+SUM(J483:J485)+SUM(J537:J537)+J572+J622+SUM(J658:J659)</f>
        <v>83174</v>
      </c>
      <c r="K710" s="1">
        <f>+SUM(K92:K93)+SUM(K180:K181)+SUM(K304:K313)+K398+SUM(K435:K437)+SUM(K483:K485)+SUM(K537:K537)+K572+K622+SUM(K658:K659)</f>
        <v>53314</v>
      </c>
      <c r="L710" s="1">
        <f>+SUM(L92:L93)+SUM(L180:L181)+SUM(L304:L313)+L398+SUM(L435:L437)+SUM(L483:L485)+SUM(L537:L537)+L572+L622+SUM(L658:L659)</f>
        <v>12028</v>
      </c>
      <c r="M710" s="55">
        <f>SUM(J710:L710)</f>
        <v>148516</v>
      </c>
      <c r="N710" s="1">
        <f>+SUM(N92:N93)+SUM(N180:N181)+SUM(N304:N313)+N398+SUM(N435:N437)+SUM(N483:N485)+SUM(N537:N537)+N572+N622+SUM(N658:N659)</f>
        <v>6905</v>
      </c>
      <c r="O710" s="1">
        <f>+SUM(O92:O93)+SUM(O180:O181)+SUM(O304:O313)+O398+SUM(O435:O437)+SUM(O483:O485)+SUM(O537:O537)+O572+O622+SUM(O658:O659)</f>
        <v>1390</v>
      </c>
      <c r="P710" s="1">
        <f>+SUM(P92:P93)+SUM(P180:P181)+SUM(P304:P313)+P398+SUM(P435:P437)+SUM(P483:P485)+SUM(P537:P537)+P572+P622+SUM(P658:P659)</f>
        <v>1773</v>
      </c>
      <c r="Q710" s="55">
        <f>SUM(N710:P710)</f>
        <v>10068</v>
      </c>
      <c r="R710" s="55">
        <f>+E710+I710+M710+Q710</f>
        <v>395862</v>
      </c>
    </row>
    <row r="711" spans="1:18" ht="15.75" customHeight="1" thickBot="1" x14ac:dyDescent="0.35">
      <c r="A711" s="15" t="s">
        <v>58</v>
      </c>
      <c r="B711" s="1">
        <f>+B94+B399+B438+B486+B538+B573+B623+B660</f>
        <v>0</v>
      </c>
      <c r="C711" s="1">
        <f>+C94+C399+C438+C486+C538+C573+C623+C660</f>
        <v>0</v>
      </c>
      <c r="D711" s="1">
        <f>+D94+D399+D438+D486+D538+D573+D623+D660</f>
        <v>0</v>
      </c>
      <c r="E711" s="55">
        <f>SUM(B711:D711)</f>
        <v>0</v>
      </c>
      <c r="F711" s="1">
        <f>+F94+F399+F438+F486+F538+F573+F623+F660</f>
        <v>0</v>
      </c>
      <c r="G711" s="1">
        <f>+G94+G399+G438+G486+G538+G573+G623+G660</f>
        <v>0</v>
      </c>
      <c r="H711" s="1">
        <f>+H94+H399+H438+H486+H538+H573+H623+H660</f>
        <v>0</v>
      </c>
      <c r="I711" s="55">
        <f>SUM(F711:H711)</f>
        <v>0</v>
      </c>
      <c r="J711" s="1">
        <f>+J94+J399+J438+J486+J538+J573+J623+J660</f>
        <v>0</v>
      </c>
      <c r="K711" s="1">
        <f>+K94+K399+K438+K486+K538+K573+K623+K660</f>
        <v>0</v>
      </c>
      <c r="L711" s="1">
        <f>+L94+L399+L438+L486+L538+L573+L623+L660</f>
        <v>0</v>
      </c>
      <c r="M711" s="55">
        <f>SUM(J711:L711)</f>
        <v>0</v>
      </c>
      <c r="N711" s="1">
        <f>+N94+N399+N438+N486+N538+N573+N623+N660</f>
        <v>0</v>
      </c>
      <c r="O711" s="1">
        <f>+O94+O399+O438+O486+O538+O573+O623+O660</f>
        <v>0</v>
      </c>
      <c r="P711" s="1">
        <f>+P94+P399+P438+P486+P538+P573+P623+P660</f>
        <v>0</v>
      </c>
      <c r="Q711" s="55">
        <f>SUM(N711:P711)</f>
        <v>0</v>
      </c>
      <c r="R711" s="55">
        <f>+E711+I711+M711+Q711</f>
        <v>0</v>
      </c>
    </row>
    <row r="712" spans="1:18" ht="16.5" customHeight="1" thickBot="1" x14ac:dyDescent="0.35">
      <c r="A712" s="57" t="s">
        <v>59</v>
      </c>
      <c r="B712" s="86">
        <f>SUM(B708:B711)</f>
        <v>9925</v>
      </c>
      <c r="C712" s="87">
        <f>SUM(C708:C711)</f>
        <v>14468</v>
      </c>
      <c r="D712" s="87">
        <f>SUM(D708:D711)</f>
        <v>35292</v>
      </c>
      <c r="E712" s="59">
        <f>SUM(B712:D712)</f>
        <v>59685</v>
      </c>
      <c r="F712" s="87">
        <f>SUM(F708:F711)</f>
        <v>45798</v>
      </c>
      <c r="G712" s="87">
        <f>SUM(G708:G711)</f>
        <v>53670</v>
      </c>
      <c r="H712" s="87">
        <f>SUM(H708:H711)</f>
        <v>78347</v>
      </c>
      <c r="I712" s="59">
        <f>SUM(F712:H712)</f>
        <v>177815</v>
      </c>
      <c r="J712" s="87">
        <f>SUM(J708:J711)</f>
        <v>83276</v>
      </c>
      <c r="K712" s="87">
        <f>SUM(K708:K711)</f>
        <v>53519</v>
      </c>
      <c r="L712" s="87">
        <f>SUM(L708:L711)</f>
        <v>12291</v>
      </c>
      <c r="M712" s="59">
        <f>SUM(J712:L712)</f>
        <v>149086</v>
      </c>
      <c r="N712" s="87">
        <f>SUM(N708:N711)</f>
        <v>7065</v>
      </c>
      <c r="O712" s="87">
        <f>SUM(O708:O711)</f>
        <v>1395</v>
      </c>
      <c r="P712" s="87">
        <f>SUM(P708:P711)</f>
        <v>2026</v>
      </c>
      <c r="Q712" s="59">
        <f>SUM(N712:P712)</f>
        <v>10486</v>
      </c>
      <c r="R712" s="59">
        <f>+E712+I712+M712+Q712</f>
        <v>397072</v>
      </c>
    </row>
    <row r="713" spans="1:18" ht="15.75" customHeight="1" x14ac:dyDescent="0.3">
      <c r="A713" s="15" t="s">
        <v>60</v>
      </c>
      <c r="B713" s="1"/>
      <c r="C713" s="1"/>
      <c r="D713" s="1"/>
      <c r="E713" s="55" t="s">
        <v>7</v>
      </c>
      <c r="F713" s="1"/>
      <c r="G713" s="1"/>
      <c r="H713" s="1"/>
      <c r="I713" s="55" t="s">
        <v>7</v>
      </c>
      <c r="J713" s="1"/>
      <c r="K713" s="1"/>
      <c r="L713" s="1"/>
      <c r="M713" s="55" t="s">
        <v>7</v>
      </c>
      <c r="N713" s="1"/>
      <c r="O713" s="1"/>
      <c r="P713" s="1"/>
      <c r="Q713" s="55" t="s">
        <v>7</v>
      </c>
      <c r="R713" s="55" t="s">
        <v>7</v>
      </c>
    </row>
    <row r="714" spans="1:18" ht="15.75" customHeight="1" x14ac:dyDescent="0.3">
      <c r="A714" s="315" t="s">
        <v>61</v>
      </c>
      <c r="B714" s="1">
        <f>+B49+B97+B185+SUM(B317:B319)+B402+B441+B489+B541+SUM(B576:B577)+B626+SUM(B663:B664)</f>
        <v>4419</v>
      </c>
      <c r="C714" s="1">
        <f>+C49+C97+C185+SUM(C317:C319)+C402+C441+C489+C541+SUM(C576:C577)+C626+SUM(C663:C664)</f>
        <v>5519</v>
      </c>
      <c r="D714" s="1">
        <f>+D49+D97+D185+SUM(D317:D319)+D402+D441+D489+D541+SUM(D576:D577)+D626+SUM(D663:D664)</f>
        <v>10461</v>
      </c>
      <c r="E714" s="55">
        <f>SUM(B714:D714)</f>
        <v>20399</v>
      </c>
      <c r="F714" s="1">
        <f>+F49+F97+F185+SUM(F317:F319)+F402+F441+F489+F541+SUM(F576:F577)+F626+SUM(F663:F664)</f>
        <v>11792</v>
      </c>
      <c r="G714" s="1">
        <f>+G49+G97+G185+SUM(G317:G319)+G402+G441+G489+G541+SUM(G576:G577)+G626+SUM(G663:G664)</f>
        <v>16488</v>
      </c>
      <c r="H714" s="1">
        <f>+H49+H97+H185+SUM(H317:H319)+H402+H441+H489+H541+SUM(H576:H577)+H626+SUM(H663:H664)</f>
        <v>22068</v>
      </c>
      <c r="I714" s="55">
        <f>SUM(F714:H714)</f>
        <v>50348</v>
      </c>
      <c r="J714" s="1">
        <f>+J49+J97+J185+SUM(J317:J319)+J402+J441+J489+J541+SUM(J576:J577)+J626+SUM(J663:J664)</f>
        <v>18299</v>
      </c>
      <c r="K714" s="1">
        <f>+K49+K97+K185+SUM(K317:K319)+K402+K441+K489+K541+SUM(K576:K577)+K626+SUM(K663:K664)</f>
        <v>24679</v>
      </c>
      <c r="L714" s="1">
        <f>+L49+L97+L185+SUM(L317:L319)+L402+L441+L489+L541+SUM(L576:L577)+L626+SUM(L663:L664)</f>
        <v>13208</v>
      </c>
      <c r="M714" s="55">
        <f>SUM(J714:L714)</f>
        <v>56186</v>
      </c>
      <c r="N714" s="1">
        <f>+N49+N97+N185+SUM(N317:N319)+N402+N441+N489+N541+SUM(N576:N577)+N626+SUM(N663:N664)</f>
        <v>3806</v>
      </c>
      <c r="O714" s="1">
        <f>+O49+O97+O185+SUM(O317:O319)+O402+O441+O489+O541+SUM(O576:O577)+O626+SUM(O663:O664)</f>
        <v>250</v>
      </c>
      <c r="P714" s="1">
        <f>+P49+P97+P185+SUM(P317:P319)+P402+P441+P489+P541+SUM(P576:P577)+P626+SUM(P663:P664)</f>
        <v>3673</v>
      </c>
      <c r="Q714" s="55">
        <f>SUM(N714:P714)</f>
        <v>7729</v>
      </c>
      <c r="R714" s="55">
        <f>+E714+I714+M714+Q714</f>
        <v>134662</v>
      </c>
    </row>
    <row r="715" spans="1:18" ht="15.75" customHeight="1" thickBot="1" x14ac:dyDescent="0.35">
      <c r="A715" s="315" t="s">
        <v>62</v>
      </c>
      <c r="B715" s="1">
        <f>+B50+SUM(B98:B105)+SUM(B186:B219)+SUM(B320:B340)+B403+B442+SUM(B490:B491)+B542+SUM(B578:B580)+B627+SUM(B665:B667)</f>
        <v>13800</v>
      </c>
      <c r="C715" s="1">
        <f>+C50+SUM(C98:C105)+SUM(C186:C219)+SUM(C320:C340)+C403+C442+SUM(C490:C491)+C542+SUM(C578:C580)+C627+SUM(C665:C667)</f>
        <v>18362</v>
      </c>
      <c r="D715" s="1">
        <f>+D50+SUM(D98:D105)+SUM(D186:D219)+SUM(D320:D340)+D403+D442+SUM(D490:D491)+D542+SUM(D578:D580)+D627+SUM(D665:D667)</f>
        <v>30743</v>
      </c>
      <c r="E715" s="55">
        <f>SUM(B715:D715)</f>
        <v>62905</v>
      </c>
      <c r="F715" s="1">
        <f>+F50+SUM(F98:F105)+SUM(F186:F219)+SUM(F320:F340)+F403+F442+SUM(F490:F491)+F542+SUM(F578:F580)+F627+SUM(F665:F667)</f>
        <v>32773</v>
      </c>
      <c r="G715" s="1">
        <f>+G50+SUM(G98:G105)+SUM(G186:G219)+SUM(G320:G340)+G403+G442+SUM(G490:G491)+G542+SUM(G578:G580)+G627+SUM(G665:G667)</f>
        <v>47141</v>
      </c>
      <c r="H715" s="1">
        <f>+H50+SUM(H98:H105)+SUM(H186:H219)+SUM(H320:H340)+H403+H442+SUM(H490:H491)+H542+SUM(H578:H580)+H627+SUM(H665:H667)</f>
        <v>51959</v>
      </c>
      <c r="I715" s="55">
        <f>SUM(F715:H715)</f>
        <v>131873</v>
      </c>
      <c r="J715" s="1">
        <f>+J50+SUM(J98:J105)+SUM(J186:J219)+SUM(J320:J340)+J403+J442+SUM(J490:J491)+J542+SUM(J578:J580)+J627+SUM(J665:J667)</f>
        <v>38745</v>
      </c>
      <c r="K715" s="1">
        <f>+K50+SUM(K98:K105)+SUM(K186:K219)+SUM(K320:K340)+K403+K442+SUM(K490:K491)+K542+SUM(K578:K580)+K627+SUM(K665:K667)</f>
        <v>45416</v>
      </c>
      <c r="L715" s="1">
        <f>+L50+SUM(L98:L105)+SUM(L186:L219)+SUM(L320:L340)+L403+L442+SUM(L490:L491)+L542+SUM(L578:L580)+L627+SUM(L665:L667)</f>
        <v>37614</v>
      </c>
      <c r="M715" s="55">
        <f>SUM(J715:L715)</f>
        <v>121775</v>
      </c>
      <c r="N715" s="1">
        <f>+N50+SUM(N98:N105)+SUM(N186:N219)+SUM(N320:N340)+N403+N442+SUM(N490:N491)+N542+SUM(N578:N580)+N627+SUM(N665:N667)</f>
        <v>26535</v>
      </c>
      <c r="O715" s="1">
        <f>+O50+SUM(O98:O105)+SUM(O186:O219)+SUM(O320:O340)+O403+O442+SUM(O490:O491)+O542+SUM(O578:O580)+O627+SUM(O665:O667)</f>
        <v>12806</v>
      </c>
      <c r="P715" s="1">
        <f>+P50+SUM(P98:P105)+SUM(P186:P219)+SUM(P320:P340)+P403+P442+SUM(P490:P491)+P542+SUM(P578:P580)+P627+SUM(P665:P667)</f>
        <v>10997</v>
      </c>
      <c r="Q715" s="55">
        <f>SUM(N715:P715)</f>
        <v>50338</v>
      </c>
      <c r="R715" s="55">
        <f>+E715+I715+M715+Q715</f>
        <v>366891</v>
      </c>
    </row>
    <row r="716" spans="1:18" ht="16.5" customHeight="1" thickBot="1" x14ac:dyDescent="0.35">
      <c r="A716" s="57" t="s">
        <v>63</v>
      </c>
      <c r="B716" s="86">
        <f>SUM(B713:B715)</f>
        <v>18219</v>
      </c>
      <c r="C716" s="87">
        <f>SUM(C713:C715)</f>
        <v>23881</v>
      </c>
      <c r="D716" s="118">
        <f>SUM(D713:D715)</f>
        <v>41204</v>
      </c>
      <c r="E716" s="59">
        <f>SUM(B716:D716)</f>
        <v>83304</v>
      </c>
      <c r="F716" s="87">
        <f>SUM(F713:F715)</f>
        <v>44565</v>
      </c>
      <c r="G716" s="87">
        <f>SUM(G713:G715)</f>
        <v>63629</v>
      </c>
      <c r="H716" s="87">
        <f>SUM(H713:H715)</f>
        <v>74027</v>
      </c>
      <c r="I716" s="59">
        <f>SUM(F716:H716)</f>
        <v>182221</v>
      </c>
      <c r="J716" s="87">
        <f>SUM(J713:J715)</f>
        <v>57044</v>
      </c>
      <c r="K716" s="87">
        <f>SUM(K713:K715)</f>
        <v>70095</v>
      </c>
      <c r="L716" s="87">
        <f>SUM(L713:L715)</f>
        <v>50822</v>
      </c>
      <c r="M716" s="59">
        <f>SUM(J716:L716)</f>
        <v>177961</v>
      </c>
      <c r="N716" s="87">
        <f>SUM(N713:N715)</f>
        <v>30341</v>
      </c>
      <c r="O716" s="87">
        <f>SUM(O713:O715)</f>
        <v>13056</v>
      </c>
      <c r="P716" s="87">
        <f>SUM(P713:P715)</f>
        <v>14670</v>
      </c>
      <c r="Q716" s="59">
        <f>SUM(N716:P716)</f>
        <v>58067</v>
      </c>
      <c r="R716" s="59">
        <f>+E716+I716+M716+Q716</f>
        <v>501553</v>
      </c>
    </row>
    <row r="717" spans="1:18" ht="15.75" customHeight="1" x14ac:dyDescent="0.3">
      <c r="A717" s="15" t="s">
        <v>64</v>
      </c>
      <c r="B717" s="1"/>
      <c r="C717" s="1"/>
      <c r="D717" s="1"/>
      <c r="E717" s="55" t="s">
        <v>7</v>
      </c>
      <c r="F717" s="1"/>
      <c r="G717" s="1"/>
      <c r="H717" s="1"/>
      <c r="I717" s="55" t="s">
        <v>7</v>
      </c>
      <c r="J717" s="1"/>
      <c r="K717" s="1"/>
      <c r="L717" s="1"/>
      <c r="M717" s="55" t="s">
        <v>7</v>
      </c>
      <c r="N717" s="1"/>
      <c r="O717" s="1"/>
      <c r="P717" s="1"/>
      <c r="Q717" s="55" t="s">
        <v>7</v>
      </c>
      <c r="R717" s="55" t="s">
        <v>7</v>
      </c>
    </row>
    <row r="718" spans="1:18" ht="15.75" customHeight="1" x14ac:dyDescent="0.3">
      <c r="A718" s="15" t="s">
        <v>594</v>
      </c>
      <c r="B718" s="1">
        <f>SUM(B53:B53)+SUM(B108:B115)+SUM(B222:B225)+SUM(B343:B344)+SUM(B406:B406)+B445+SUM(B494:B496)+B545+B583+B630+SUM(B670:B672)</f>
        <v>1735</v>
      </c>
      <c r="C718" s="1">
        <f>SUM(C53:C53)+SUM(C108:C115)+SUM(C222:C225)+SUM(C343:C344)+SUM(C406:C406)+C445+SUM(C494:C496)+C545+C583+C630+SUM(C670:C672)</f>
        <v>1797</v>
      </c>
      <c r="D718" s="1">
        <f>SUM(D53:D53)+SUM(D108:D115)+SUM(D222:D225)+SUM(D343:D344)+SUM(D406:D406)+D445+SUM(D494:D496)+D545+D583+D630+SUM(D670:D672)</f>
        <v>2046</v>
      </c>
      <c r="E718" s="55">
        <f t="shared" ref="E718:E726" si="100">SUM(B718:D718)</f>
        <v>5578</v>
      </c>
      <c r="F718" s="1">
        <f>SUM(F53:F53)+SUM(F108:F115)+SUM(F222:F225)+SUM(F343:F344)+SUM(F406:F406)+F445+SUM(F494:F496)+F545+F583+F630+SUM(F670:F672)</f>
        <v>1990</v>
      </c>
      <c r="G718" s="1">
        <f>SUM(G53:G53)+SUM(G108:G115)+SUM(G222:G225)+SUM(G343:G344)+SUM(G406:G406)+G445+SUM(G494:G496)+G545+G583+G630+SUM(G670:G672)</f>
        <v>2020</v>
      </c>
      <c r="H718" s="1">
        <f>SUM(H53:H53)+SUM(H108:H115)+SUM(H222:H225)+SUM(H343:H344)+SUM(H406:H406)+H445+SUM(H494:H496)+H545+H583+H630+SUM(H670:H672)</f>
        <v>2640</v>
      </c>
      <c r="I718" s="55">
        <f t="shared" ref="I718:I726" si="101">SUM(F718:H718)</f>
        <v>6650</v>
      </c>
      <c r="J718" s="1">
        <f>SUM(J53:J53)+SUM(J108:J115)+SUM(J222:J225)+SUM(J343:J344)+SUM(J406:J406)+J445+SUM(J494:J496)+J545+J583+J630+SUM(J670:J672)</f>
        <v>9370</v>
      </c>
      <c r="K718" s="1">
        <f>SUM(K53:K53)+SUM(K108:K115)+SUM(K222:K225)+SUM(K343:K344)+SUM(K406:K406)+K445+SUM(K494:K496)+K545+K583+K630+SUM(K670:K672)</f>
        <v>3317</v>
      </c>
      <c r="L718" s="1">
        <f>SUM(L53:L53)+SUM(L108:L115)+SUM(L222:L225)+SUM(L343:L344)+SUM(L406:L406)+L445+SUM(L494:L496)+L545+L583+L630+SUM(L670:L672)</f>
        <v>3936</v>
      </c>
      <c r="M718" s="55">
        <f t="shared" ref="M718:M726" si="102">SUM(J718:L718)</f>
        <v>16623</v>
      </c>
      <c r="N718" s="1">
        <f>SUM(N53:N53)+SUM(N108:N115)+SUM(N222:N225)+SUM(N343:N344)+SUM(N406:N406)+N445+SUM(N494:N496)+N545+N583+N630+SUM(N670:N672)</f>
        <v>7156</v>
      </c>
      <c r="O718" s="1">
        <f>SUM(O53:O53)+SUM(O108:O115)+SUM(O222:O225)+SUM(O343:O344)+SUM(O406:O406)+O445+SUM(O494:O496)+O545+O583+O630+SUM(O670:O672)</f>
        <v>3324</v>
      </c>
      <c r="P718" s="1">
        <f>SUM(P53:P53)+SUM(P108:P115)+SUM(P222:P225)+SUM(P343:P344)+SUM(P406:P406)+P445+SUM(P494:P496)+P545+P583+P630+SUM(P670:P672)</f>
        <v>6900</v>
      </c>
      <c r="Q718" s="55">
        <f t="shared" ref="Q718:Q726" si="103">SUM(N718:P718)</f>
        <v>17380</v>
      </c>
      <c r="R718" s="55">
        <f t="shared" ref="R718:R726" si="104">+E718+I718+M718+Q718</f>
        <v>46231</v>
      </c>
    </row>
    <row r="719" spans="1:18" ht="15.75" customHeight="1" x14ac:dyDescent="0.3">
      <c r="A719" s="15" t="s">
        <v>67</v>
      </c>
      <c r="B719" s="1">
        <f>SUM(B54:B55)+SUM(B116:B117)+SUM(B226:B227)+B229+B231+B233+B234+SUM(B345:B347)+B407+B446+SUM(B497:B498)+B500+SUM(B546:B547)+B585+B587+B631+SUM(B673:B674)</f>
        <v>1317</v>
      </c>
      <c r="C719" s="1">
        <f>SUM(C54:C55)+SUM(C116:C117)+SUM(C226:C227)+C229+C231+C233+C234+SUM(C345:C347)+C407+C446+SUM(C497:C498)+C500+SUM(C546:C547)+C585+C587+C631+SUM(C673:C674)</f>
        <v>8788</v>
      </c>
      <c r="D719" s="1">
        <f>SUM(D54:D55)+SUM(D116:D117)+SUM(D226:D227)+D229+D231+D233+D234+SUM(D345:D347)+D407+D446+SUM(D497:D498)+D500+SUM(D546:D547)+D585+D587+D631+SUM(D673:D674)</f>
        <v>15515</v>
      </c>
      <c r="E719" s="55">
        <f t="shared" si="100"/>
        <v>25620</v>
      </c>
      <c r="F719" s="1">
        <f>SUM(F54:F55)+SUM(F116:F117)+SUM(F226:F227)+F229+F231+F233+F234+SUM(F345:F347)+F407+F446+SUM(F497:F498)+F500+SUM(F546:F547)+F585+F587+F631+SUM(F673:F674)</f>
        <v>6564</v>
      </c>
      <c r="G719" s="1">
        <f>SUM(G54:G55)+SUM(G116:G117)+SUM(G226:G227)+G229+G231+G233+G234+SUM(G345:G347)+G407+G446+SUM(G497:G498)+G500+SUM(G546:G547)+G585+G587+G631+SUM(G673:G674)</f>
        <v>1706</v>
      </c>
      <c r="H719" s="1">
        <f>SUM(H54:H55)+SUM(H116:H117)+SUM(H226:H227)+H229+H231+H233+H234+SUM(H345:H347)+H407+H446+SUM(H497:H498)+H500+SUM(H546:H547)+H585+H587+H631+SUM(H673:H674)</f>
        <v>14354</v>
      </c>
      <c r="I719" s="55">
        <f t="shared" si="101"/>
        <v>22624</v>
      </c>
      <c r="J719" s="1">
        <f>SUM(J54:J55)+SUM(J116:J117)+SUM(J226:J227)+J229+J231+J233+J234+SUM(J345:J347)+J407+J446+SUM(J497:J498)+J500+SUM(J546:J547)+J585+J587+J631+SUM(J673:J674)</f>
        <v>15465</v>
      </c>
      <c r="K719" s="1">
        <f>SUM(K54:K55)+SUM(K116:K117)+SUM(K226:K227)+K229+K231+K233+K234+SUM(K345:K347)+K407+K446+SUM(K497:K498)+K500+SUM(K546:K547)+K585+K587+K631+SUM(K673:K674)</f>
        <v>8881</v>
      </c>
      <c r="L719" s="1">
        <f>SUM(L54:L55)+SUM(L116:L117)+SUM(L226:L227)+L229+L231+L233+L234+SUM(L345:L347)+L407+L446+SUM(L497:L498)+L500+SUM(L546:L547)+L585+L587+L631+SUM(L673:L674)</f>
        <v>6996</v>
      </c>
      <c r="M719" s="55">
        <f t="shared" si="102"/>
        <v>31342</v>
      </c>
      <c r="N719" s="1">
        <f>SUM(N54:N55)+SUM(N116:N117)+SUM(N226:N227)+N229+N231+N233+N234+SUM(N345:N347)+N407+N446+SUM(N497:N498)+N500+SUM(N546:N547)+N585+N587+N631+SUM(N673:N674)</f>
        <v>4202</v>
      </c>
      <c r="O719" s="1">
        <f>SUM(O54:O55)+SUM(O116:O117)+SUM(O226:O227)+O229+O231+O233+O234+SUM(O345:O347)+O407+O446+SUM(O497:O498)+O500+SUM(O546:O547)+O585+O587+O631+SUM(O673:O674)</f>
        <v>2926</v>
      </c>
      <c r="P719" s="1">
        <f>SUM(P54:P55)+SUM(P116:P117)+SUM(P226:P227)+P229+P231+P233+P234+SUM(P345:P347)+P407+P446+SUM(P497:P498)+P500+SUM(P546:P547)+P585+P587+P631+SUM(P673:P674)</f>
        <v>4356</v>
      </c>
      <c r="Q719" s="55">
        <f t="shared" si="103"/>
        <v>11484</v>
      </c>
      <c r="R719" s="55">
        <f t="shared" si="104"/>
        <v>91070</v>
      </c>
    </row>
    <row r="720" spans="1:18" ht="15.75" customHeight="1" x14ac:dyDescent="0.3">
      <c r="A720" s="71" t="s">
        <v>378</v>
      </c>
      <c r="B720" s="1">
        <f>B118+B228+B230+B232+B499+B501+B586+B588+B675</f>
        <v>0</v>
      </c>
      <c r="C720" s="1">
        <f>C118+C228+C230+C232+C499+C501+C586+C588+C675</f>
        <v>0</v>
      </c>
      <c r="D720" s="1">
        <f>D118+D228+D230+D232+D499+D501+D586+D588+D675</f>
        <v>0</v>
      </c>
      <c r="E720" s="55">
        <f t="shared" si="100"/>
        <v>0</v>
      </c>
      <c r="F720" s="1">
        <f>F118+F228+F230+F232+F499+F501+F586+F588+F675</f>
        <v>0</v>
      </c>
      <c r="G720" s="1">
        <f>G118+G228+G230+G232+G499+G501+G586+G588+G675</f>
        <v>0</v>
      </c>
      <c r="H720" s="1">
        <f>H118+H228+H230+H232+H499+H501+H586+H588+H675</f>
        <v>0</v>
      </c>
      <c r="I720" s="55">
        <f t="shared" si="101"/>
        <v>0</v>
      </c>
      <c r="J720" s="1">
        <f>J118+J228+J230+J232+J499+J501+J586+J588+J675</f>
        <v>0</v>
      </c>
      <c r="K720" s="1">
        <f>K118+K228+K230+K232+K499+K501+K586+K588+K675</f>
        <v>0</v>
      </c>
      <c r="L720" s="1">
        <f>L118+L228+L230+L232+L499+L501+L586+L588+L675</f>
        <v>0</v>
      </c>
      <c r="M720" s="55">
        <f t="shared" si="102"/>
        <v>0</v>
      </c>
      <c r="N720" s="1">
        <f>N118+N228+N230+N232+N499+N501+N586+N588+N675</f>
        <v>0</v>
      </c>
      <c r="O720" s="1">
        <f>O118+O228+O230+O232+O499+O501+O586+O588+O675</f>
        <v>0</v>
      </c>
      <c r="P720" s="1">
        <f>P118+P228+P230+P232+P499+P501+P586+P588+P675</f>
        <v>0</v>
      </c>
      <c r="Q720" s="55">
        <f t="shared" si="103"/>
        <v>0</v>
      </c>
      <c r="R720" s="55">
        <f t="shared" si="104"/>
        <v>0</v>
      </c>
    </row>
    <row r="721" spans="1:18" ht="15.75" customHeight="1" x14ac:dyDescent="0.3">
      <c r="A721" s="15" t="s">
        <v>600</v>
      </c>
      <c r="B721" s="1">
        <f>+B56+SUM(B119:B120)+SUM(B235:B235)+SUM(B348:B355)+SUM(B408:B408)+SUM(B447:B448)+B502+B548+B589+B676+B676</f>
        <v>0</v>
      </c>
      <c r="C721" s="1">
        <f>+C56+SUM(C119:C120)+SUM(C235:C235)+SUM(C348:C355)+SUM(C408:C408)+SUM(C447:C448)+C502+C548+C589+C676+C676</f>
        <v>247</v>
      </c>
      <c r="D721" s="1">
        <f>+D56+SUM(D119:D120)+SUM(D235:D235)+SUM(D348:D355)+SUM(D408:D408)+SUM(D447:D448)+D502+D548+D589+D676+D676</f>
        <v>7421</v>
      </c>
      <c r="E721" s="55">
        <f t="shared" si="100"/>
        <v>7668</v>
      </c>
      <c r="F721" s="1">
        <f>+F56+SUM(F119:F120)+SUM(F235:F235)+SUM(F348:F355)+SUM(F408:F408)+SUM(F447:F448)+F502+F548+F589+F676+F676</f>
        <v>12076</v>
      </c>
      <c r="G721" s="1">
        <f>+G56+SUM(G119:G120)+SUM(G235:G235)+SUM(G348:G355)+SUM(G408:G408)+SUM(G447:G448)+G502+G548+G589+G676+G676</f>
        <v>15272</v>
      </c>
      <c r="H721" s="1">
        <f>+H56+SUM(H119:H120)+SUM(H235:H235)+SUM(H348:H355)+SUM(H408:H408)+SUM(H447:H448)+H502+H548+H589+H676+H676</f>
        <v>14877</v>
      </c>
      <c r="I721" s="55">
        <f t="shared" si="101"/>
        <v>42225</v>
      </c>
      <c r="J721" s="1">
        <f>+J56+SUM(J119:J120)+SUM(J235:J235)+SUM(J348:J355)+SUM(J408:J408)+SUM(J447:J448)+J502+J548+J589+J676+J676</f>
        <v>17289</v>
      </c>
      <c r="K721" s="1">
        <f>+K56+SUM(K119:K120)+SUM(K235:K235)+SUM(K348:K355)+SUM(K408:K408)+SUM(K447:K448)+K502+K548+K589+K676+K676</f>
        <v>8411</v>
      </c>
      <c r="L721" s="1">
        <f>+L56+SUM(L119:L120)+SUM(L235:L235)+SUM(L348:L355)+SUM(L408:L408)+SUM(L447:L448)+L502+L548+L589+L676+L676</f>
        <v>2005</v>
      </c>
      <c r="M721" s="55">
        <f t="shared" si="102"/>
        <v>27705</v>
      </c>
      <c r="N721" s="1">
        <f>+N56+SUM(N119:N120)+SUM(N235:N235)+SUM(N348:N355)+SUM(N408:N408)+SUM(N447:N448)+N502+N548+N589+N676+N676</f>
        <v>1327</v>
      </c>
      <c r="O721" s="1">
        <f>+O56+SUM(O119:O120)+SUM(O235:O235)+SUM(O348:O355)+SUM(O408:O408)+SUM(O447:O448)+O502+O548+O589+O676+O676</f>
        <v>333</v>
      </c>
      <c r="P721" s="1">
        <f>+P56+SUM(P119:P120)+SUM(P235:P235)+SUM(P348:P355)+SUM(P408:P408)+SUM(P447:P448)+P502+P548+P589+P676+P676</f>
        <v>591</v>
      </c>
      <c r="Q721" s="55">
        <f t="shared" si="103"/>
        <v>2251</v>
      </c>
      <c r="R721" s="55">
        <f t="shared" si="104"/>
        <v>79849</v>
      </c>
    </row>
    <row r="722" spans="1:18" ht="15.75" customHeight="1" x14ac:dyDescent="0.3">
      <c r="A722" s="15" t="s">
        <v>70</v>
      </c>
      <c r="B722" s="1">
        <f>SUM(B121:B121)+SUM(B237:B237)+B357+B359+B360+B362+B364+SUM(B409:B410)+B450+B452+B503+B504+B549+B590+B633+B677</f>
        <v>380</v>
      </c>
      <c r="C722" s="1">
        <f>SUM(C121:C121)+SUM(C237:C237)+C357+C359+C360+C362+C364+SUM(C409:C410)+C450+C452+C503+C504+C549+C590+C633+C677</f>
        <v>720</v>
      </c>
      <c r="D722" s="1">
        <f>SUM(D121:D121)+SUM(D237:D237)+D357+D359+D360+D362+D364+SUM(D409:D410)+D450+D452+D503+D504+D549+D590+D633+D677</f>
        <v>1550</v>
      </c>
      <c r="E722" s="55">
        <f t="shared" si="100"/>
        <v>2650</v>
      </c>
      <c r="F722" s="1">
        <f>SUM(F121:F121)+SUM(F237:F237)+F357+F359+F360+F362+F364+SUM(F409:F410)+F450+F452+F503+F504+F549+F590+F633+F677</f>
        <v>1650</v>
      </c>
      <c r="G722" s="1">
        <f>SUM(G121:G121)+SUM(G237:G237)+G357+G359+G360+G362+G364+SUM(G409:G410)+G450+G452+G503+G504+G549+G590+G633+G677</f>
        <v>1950</v>
      </c>
      <c r="H722" s="1">
        <f>SUM(H121:H121)+SUM(H237:H237)+H357+H359+H360+H362+H364+SUM(H409:H410)+H450+H452+H503+H504+H549+H590+H633+H677</f>
        <v>4375</v>
      </c>
      <c r="I722" s="55">
        <f t="shared" si="101"/>
        <v>7975</v>
      </c>
      <c r="J722" s="1">
        <f>SUM(J121:J121)+SUM(J237:J237)+J357+J359+J360+J362+J364+SUM(J409:J410)+J450+J452+J503+J504+J549+J590+J633+J677</f>
        <v>310</v>
      </c>
      <c r="K722" s="1">
        <f>SUM(K121:K121)+SUM(K237:K237)+K357+K359+K360+K362+K364+SUM(K409:K410)+K450+K452+K503+K504+K549+K590+K633+K677</f>
        <v>15864</v>
      </c>
      <c r="L722" s="1">
        <f>SUM(L121:L121)+SUM(L237:L237)+L357+L359+L360+L362+L364+SUM(L409:L410)+L450+L452+L503+L504+L549+L590+L633+L677</f>
        <v>9157</v>
      </c>
      <c r="M722" s="55">
        <f t="shared" si="102"/>
        <v>25331</v>
      </c>
      <c r="N722" s="1">
        <f>SUM(N121:N121)+SUM(N237:N237)+N357+N359+N360+N362+N364+SUM(N409:N410)+N450+N452+N503+N504+N549+N590+N633+N677</f>
        <v>2636</v>
      </c>
      <c r="O722" s="1">
        <f>SUM(O121:O121)+SUM(O237:O237)+O357+O359+O360+O362+O364+SUM(O409:O410)+O450+O452+O503+O504+O549+O590+O633+O677</f>
        <v>2054</v>
      </c>
      <c r="P722" s="1">
        <f>SUM(P121:P121)+SUM(P237:P237)+P357+P359+P360+P362+P364+SUM(P409:P410)+P450+P452+P503+P504+P549+P590+P633+P677</f>
        <v>3860</v>
      </c>
      <c r="Q722" s="55">
        <f t="shared" si="103"/>
        <v>8550</v>
      </c>
      <c r="R722" s="55">
        <f t="shared" si="104"/>
        <v>44506</v>
      </c>
    </row>
    <row r="723" spans="1:18" ht="15.75" customHeight="1" thickBot="1" x14ac:dyDescent="0.35">
      <c r="A723" s="71" t="s">
        <v>379</v>
      </c>
      <c r="B723" s="1">
        <f>+B358+B361+B363+B411</f>
        <v>0</v>
      </c>
      <c r="C723" s="1">
        <f>+C358+C361+C363+C411</f>
        <v>0</v>
      </c>
      <c r="D723" s="1">
        <f>+D358+D361+D363+D411</f>
        <v>0</v>
      </c>
      <c r="E723" s="55">
        <f>SUM(B723:D723)</f>
        <v>0</v>
      </c>
      <c r="F723" s="1">
        <f>+F358+F361+F363+F411</f>
        <v>0</v>
      </c>
      <c r="G723" s="1">
        <f>+G358+G361+G363+G411</f>
        <v>0</v>
      </c>
      <c r="H723" s="1">
        <f>+H358+H361+H363+H411</f>
        <v>0</v>
      </c>
      <c r="I723" s="55">
        <f>SUM(F723:H723)</f>
        <v>0</v>
      </c>
      <c r="J723" s="1">
        <f>+J358+J361+J363+J411</f>
        <v>0</v>
      </c>
      <c r="K723" s="1">
        <f>+K358+K361+K363+K411</f>
        <v>0</v>
      </c>
      <c r="L723" s="1">
        <f>+L358+L361+L363+L411</f>
        <v>0</v>
      </c>
      <c r="M723" s="55">
        <f>SUM(J723:L723)</f>
        <v>0</v>
      </c>
      <c r="N723" s="1">
        <f>+N358+N361+N363+N411</f>
        <v>0</v>
      </c>
      <c r="O723" s="1">
        <f>+O358+O361+O363+O411</f>
        <v>0</v>
      </c>
      <c r="P723" s="1">
        <f>+P358+P361+P363+P411</f>
        <v>0</v>
      </c>
      <c r="Q723" s="55">
        <f>SUM(N723:P723)</f>
        <v>0</v>
      </c>
      <c r="R723" s="55">
        <f>+E723+I723+M723+Q723</f>
        <v>0</v>
      </c>
    </row>
    <row r="724" spans="1:18" ht="16.5" customHeight="1" thickBot="1" x14ac:dyDescent="0.35">
      <c r="A724" s="57" t="s">
        <v>71</v>
      </c>
      <c r="B724" s="146">
        <f>SUM(B721:B723)</f>
        <v>380</v>
      </c>
      <c r="C724" s="146">
        <f>SUM(C721:C723)</f>
        <v>967</v>
      </c>
      <c r="D724" s="146">
        <f>SUM(D721:D723)</f>
        <v>8971</v>
      </c>
      <c r="E724" s="60">
        <f t="shared" si="100"/>
        <v>10318</v>
      </c>
      <c r="F724" s="146">
        <f>SUM(F721:F723)</f>
        <v>13726</v>
      </c>
      <c r="G724" s="146">
        <f>SUM(G721:G723)</f>
        <v>17222</v>
      </c>
      <c r="H724" s="146">
        <f>SUM(H721:H723)</f>
        <v>19252</v>
      </c>
      <c r="I724" s="60">
        <f t="shared" si="101"/>
        <v>50200</v>
      </c>
      <c r="J724" s="146">
        <f>SUM(J721:J723)</f>
        <v>17599</v>
      </c>
      <c r="K724" s="146">
        <f>SUM(K721:K723)</f>
        <v>24275</v>
      </c>
      <c r="L724" s="146">
        <f>SUM(L721:L723)</f>
        <v>11162</v>
      </c>
      <c r="M724" s="60">
        <f t="shared" si="102"/>
        <v>53036</v>
      </c>
      <c r="N724" s="146">
        <f>SUM(N721:N723)</f>
        <v>3963</v>
      </c>
      <c r="O724" s="146">
        <f>SUM(O721:O723)</f>
        <v>2387</v>
      </c>
      <c r="P724" s="146">
        <f>SUM(P721:P723)</f>
        <v>4451</v>
      </c>
      <c r="Q724" s="60">
        <f t="shared" si="103"/>
        <v>10801</v>
      </c>
      <c r="R724" s="59">
        <f t="shared" si="104"/>
        <v>124355</v>
      </c>
    </row>
    <row r="725" spans="1:18" ht="16.5" customHeight="1" thickBot="1" x14ac:dyDescent="0.35">
      <c r="A725" s="114" t="s">
        <v>72</v>
      </c>
      <c r="B725" s="86">
        <f>SUM(B717:B723)</f>
        <v>3432</v>
      </c>
      <c r="C725" s="87">
        <f>SUM(C717:C723)</f>
        <v>11552</v>
      </c>
      <c r="D725" s="118">
        <f>SUM(D717:D723)</f>
        <v>26532</v>
      </c>
      <c r="E725" s="147">
        <f t="shared" si="100"/>
        <v>41516</v>
      </c>
      <c r="F725" s="86">
        <f>SUM(F717:F723)</f>
        <v>22280</v>
      </c>
      <c r="G725" s="87">
        <f>SUM(G717:G723)</f>
        <v>20948</v>
      </c>
      <c r="H725" s="118">
        <f>SUM(H717:H723)</f>
        <v>36246</v>
      </c>
      <c r="I725" s="60">
        <f t="shared" si="101"/>
        <v>79474</v>
      </c>
      <c r="J725" s="86">
        <f>SUM(J717:J723)</f>
        <v>42434</v>
      </c>
      <c r="K725" s="87">
        <f>SUM(K717:K723)</f>
        <v>36473</v>
      </c>
      <c r="L725" s="118">
        <f>SUM(L717:L723)</f>
        <v>22094</v>
      </c>
      <c r="M725" s="60">
        <f t="shared" si="102"/>
        <v>101001</v>
      </c>
      <c r="N725" s="86">
        <f>SUM(N717:N723)</f>
        <v>15321</v>
      </c>
      <c r="O725" s="87">
        <f>SUM(O717:O723)</f>
        <v>8637</v>
      </c>
      <c r="P725" s="118">
        <f>SUM(P717:P723)</f>
        <v>15707</v>
      </c>
      <c r="Q725" s="60">
        <f t="shared" si="103"/>
        <v>39665</v>
      </c>
      <c r="R725" s="59">
        <f t="shared" si="104"/>
        <v>261656</v>
      </c>
    </row>
    <row r="726" spans="1:18" ht="16.5" customHeight="1" thickBot="1" x14ac:dyDescent="0.35">
      <c r="A726" s="57" t="s">
        <v>73</v>
      </c>
      <c r="B726" s="148">
        <f>+B707+B712+B716+B725</f>
        <v>66498</v>
      </c>
      <c r="C726" s="149">
        <f>+C707+C712+C716+C725</f>
        <v>78366</v>
      </c>
      <c r="D726" s="149">
        <f>+D707+D712+D716+D725</f>
        <v>135796</v>
      </c>
      <c r="E726" s="59">
        <f t="shared" si="100"/>
        <v>280660</v>
      </c>
      <c r="F726" s="58">
        <f>+F707+F712+F716+F725</f>
        <v>151715</v>
      </c>
      <c r="G726" s="58">
        <f>+G707+G712+G716+G725</f>
        <v>177404</v>
      </c>
      <c r="H726" s="58">
        <f>+H707+H712+H716+H725</f>
        <v>223913</v>
      </c>
      <c r="I726" s="59">
        <f t="shared" si="101"/>
        <v>553032</v>
      </c>
      <c r="J726" s="58">
        <f>+J707+J712+J716+J725</f>
        <v>229857</v>
      </c>
      <c r="K726" s="58">
        <f>+K707+K712+K716+K725</f>
        <v>215585</v>
      </c>
      <c r="L726" s="58">
        <f>+L707+L712+L716+L725</f>
        <v>138247</v>
      </c>
      <c r="M726" s="59">
        <f t="shared" si="102"/>
        <v>583689</v>
      </c>
      <c r="N726" s="58">
        <f>+N707+N712+N716+N725</f>
        <v>90308</v>
      </c>
      <c r="O726" s="58">
        <f>+O707+O712+O716+O725</f>
        <v>48560</v>
      </c>
      <c r="P726" s="58">
        <f>+P707+P712+P716+P725</f>
        <v>60098</v>
      </c>
      <c r="Q726" s="59">
        <f t="shared" si="103"/>
        <v>198966</v>
      </c>
      <c r="R726" s="81">
        <f t="shared" si="104"/>
        <v>1616347</v>
      </c>
    </row>
    <row r="727" spans="1:18" ht="15.75" customHeight="1" x14ac:dyDescent="0.3">
      <c r="A727" s="1"/>
      <c r="B727" s="1"/>
      <c r="C727" s="1"/>
      <c r="D727" s="1"/>
      <c r="E727" s="1"/>
      <c r="F727" s="1"/>
      <c r="G727" s="1"/>
      <c r="H727" s="1"/>
      <c r="I727" s="1"/>
      <c r="J727" s="1"/>
      <c r="K727" s="1"/>
      <c r="L727" s="1"/>
      <c r="M727" s="1"/>
      <c r="N727" s="1"/>
      <c r="O727" s="316"/>
      <c r="P727" s="1"/>
      <c r="Q727" s="1"/>
      <c r="R727" s="2"/>
    </row>
    <row r="728" spans="1:18" ht="15.75" customHeight="1" x14ac:dyDescent="0.3">
      <c r="A728" s="1"/>
      <c r="B728" s="1"/>
      <c r="C728" s="1"/>
      <c r="D728" s="1"/>
      <c r="E728" s="1"/>
      <c r="F728" s="1"/>
      <c r="G728" s="1"/>
      <c r="H728" s="1"/>
      <c r="I728" s="1"/>
      <c r="J728" s="1"/>
      <c r="K728" s="1"/>
      <c r="L728" s="1"/>
      <c r="M728" s="1"/>
      <c r="N728" s="1"/>
      <c r="O728" s="316"/>
      <c r="P728" s="1"/>
      <c r="Q728" s="2" t="str">
        <f>+Q1</f>
        <v>PRINTED:</v>
      </c>
      <c r="R728" s="3">
        <f ca="1">+R1</f>
        <v>44909.46975358796</v>
      </c>
    </row>
    <row r="729" spans="1:18" ht="15.75" customHeight="1" x14ac:dyDescent="0.3">
      <c r="A729" s="499" t="s">
        <v>1</v>
      </c>
      <c r="B729" s="499"/>
      <c r="C729" s="499"/>
      <c r="D729" s="499"/>
      <c r="E729" s="499"/>
      <c r="F729" s="499"/>
      <c r="G729" s="499"/>
      <c r="H729" s="499"/>
      <c r="I729" s="499"/>
      <c r="J729" s="499"/>
      <c r="K729" s="499"/>
      <c r="L729" s="499"/>
      <c r="M729" s="499"/>
      <c r="N729" s="499"/>
      <c r="O729" s="499"/>
      <c r="P729" s="499"/>
      <c r="Q729" s="499"/>
      <c r="R729" s="499"/>
    </row>
    <row r="730" spans="1:18" ht="15.75" customHeight="1" x14ac:dyDescent="0.3">
      <c r="A730" s="499" t="s">
        <v>2</v>
      </c>
      <c r="B730" s="499"/>
      <c r="C730" s="499"/>
      <c r="D730" s="499"/>
      <c r="E730" s="499"/>
      <c r="F730" s="499"/>
      <c r="G730" s="499"/>
      <c r="H730" s="499"/>
      <c r="I730" s="499"/>
      <c r="J730" s="499"/>
      <c r="K730" s="499"/>
      <c r="L730" s="499"/>
      <c r="M730" s="499"/>
      <c r="N730" s="499"/>
      <c r="O730" s="499"/>
      <c r="P730" s="499"/>
      <c r="Q730" s="499"/>
      <c r="R730" s="499"/>
    </row>
    <row r="731" spans="1:18" ht="15.75" customHeight="1" x14ac:dyDescent="0.3">
      <c r="A731" s="499" t="s">
        <v>3</v>
      </c>
      <c r="B731" s="499"/>
      <c r="C731" s="499"/>
      <c r="D731" s="499"/>
      <c r="E731" s="499"/>
      <c r="F731" s="499"/>
      <c r="G731" s="499"/>
      <c r="H731" s="499"/>
      <c r="I731" s="499"/>
      <c r="J731" s="499"/>
      <c r="K731" s="499"/>
      <c r="L731" s="499"/>
      <c r="M731" s="499"/>
      <c r="N731" s="499"/>
      <c r="O731" s="499"/>
      <c r="P731" s="499"/>
      <c r="Q731" s="499"/>
      <c r="R731" s="499"/>
    </row>
    <row r="732" spans="1:18" ht="15.75" customHeight="1" x14ac:dyDescent="0.3">
      <c r="A732" s="499" t="str">
        <f>+A5</f>
        <v>Calendar Year 2011</v>
      </c>
      <c r="B732" s="499"/>
      <c r="C732" s="499"/>
      <c r="D732" s="499"/>
      <c r="E732" s="499"/>
      <c r="F732" s="499"/>
      <c r="G732" s="499"/>
      <c r="H732" s="499"/>
      <c r="I732" s="499"/>
      <c r="J732" s="499"/>
      <c r="K732" s="499"/>
      <c r="L732" s="499"/>
      <c r="M732" s="499"/>
      <c r="N732" s="499"/>
      <c r="O732" s="499"/>
      <c r="P732" s="499"/>
      <c r="Q732" s="499"/>
      <c r="R732" s="499"/>
    </row>
    <row r="733" spans="1:18" ht="15.75" customHeight="1" x14ac:dyDescent="0.3">
      <c r="A733" s="1"/>
      <c r="B733" s="1"/>
      <c r="C733" s="1"/>
      <c r="D733" s="5"/>
      <c r="E733" s="5"/>
      <c r="F733" s="5"/>
      <c r="G733" s="6"/>
      <c r="H733" s="5"/>
      <c r="I733" s="5"/>
      <c r="J733" s="6"/>
      <c r="K733" s="6"/>
      <c r="L733" s="6"/>
      <c r="M733" s="6"/>
      <c r="N733" s="1"/>
      <c r="O733" s="6"/>
      <c r="P733" s="6"/>
      <c r="Q733" s="6"/>
      <c r="R733" s="6"/>
    </row>
    <row r="734" spans="1:18" ht="15.75" customHeight="1" x14ac:dyDescent="0.3">
      <c r="A734" s="499" t="str">
        <f>+A9</f>
        <v>Revised:  1/23/11</v>
      </c>
      <c r="B734" s="499"/>
      <c r="C734" s="499"/>
      <c r="D734" s="499"/>
      <c r="E734" s="499"/>
      <c r="F734" s="499"/>
      <c r="G734" s="499"/>
      <c r="H734" s="499"/>
      <c r="I734" s="499"/>
      <c r="J734" s="499"/>
      <c r="K734" s="499"/>
      <c r="L734" s="499"/>
      <c r="M734" s="499"/>
      <c r="N734" s="499"/>
      <c r="O734" s="499"/>
      <c r="P734" s="499"/>
      <c r="Q734" s="499"/>
      <c r="R734" s="499"/>
    </row>
    <row r="735" spans="1:18" ht="15.75" customHeight="1" x14ac:dyDescent="0.3">
      <c r="A735" s="314"/>
      <c r="B735" s="314"/>
      <c r="C735" s="314"/>
      <c r="D735" s="314"/>
      <c r="E735" s="314"/>
      <c r="F735" s="314"/>
      <c r="G735" s="314"/>
      <c r="H735" s="314"/>
      <c r="I735" s="314"/>
      <c r="J735" s="314"/>
      <c r="K735" s="314"/>
      <c r="L735" s="314"/>
      <c r="M735" s="314"/>
      <c r="N735" s="314"/>
      <c r="O735" s="314"/>
      <c r="P735" s="314"/>
      <c r="Q735" s="314"/>
      <c r="R735" s="314"/>
    </row>
    <row r="736" spans="1:18" ht="15.75" customHeight="1" x14ac:dyDescent="0.3">
      <c r="A736" s="28"/>
      <c r="B736" s="1"/>
      <c r="C736" s="1"/>
      <c r="D736" s="1"/>
      <c r="E736" s="1"/>
      <c r="F736" s="1"/>
      <c r="G736" s="1"/>
      <c r="H736" s="1"/>
      <c r="I736" s="1"/>
      <c r="J736" s="1"/>
      <c r="K736" s="1"/>
      <c r="L736" s="1"/>
      <c r="M736" s="1"/>
      <c r="N736" s="1"/>
      <c r="O736" s="1"/>
      <c r="P736" s="1"/>
      <c r="Q736" s="1"/>
      <c r="R736" s="2"/>
    </row>
    <row r="737" spans="1:18" ht="15.75" customHeight="1" thickBot="1" x14ac:dyDescent="0.35">
      <c r="A737" s="1"/>
      <c r="B737" s="1"/>
      <c r="C737" s="1"/>
      <c r="D737" s="1"/>
      <c r="E737" s="1"/>
      <c r="F737" s="1"/>
      <c r="G737" s="1"/>
      <c r="H737" s="1"/>
      <c r="I737" s="1"/>
      <c r="J737" s="1"/>
      <c r="K737" s="1"/>
      <c r="L737" s="1"/>
      <c r="M737" s="1"/>
      <c r="N737" s="1"/>
      <c r="O737" s="316"/>
      <c r="P737" s="1"/>
      <c r="Q737" s="1"/>
      <c r="R737" s="2"/>
    </row>
    <row r="738" spans="1:18" ht="15.75" customHeight="1" thickBot="1" x14ac:dyDescent="0.35">
      <c r="A738" s="107" t="s">
        <v>380</v>
      </c>
      <c r="B738" s="47" t="s">
        <v>8</v>
      </c>
      <c r="C738" s="48" t="s">
        <v>9</v>
      </c>
      <c r="D738" s="48" t="s">
        <v>10</v>
      </c>
      <c r="E738" s="32" t="s">
        <v>11</v>
      </c>
      <c r="F738" s="48" t="s">
        <v>12</v>
      </c>
      <c r="G738" s="48" t="s">
        <v>13</v>
      </c>
      <c r="H738" s="48" t="s">
        <v>14</v>
      </c>
      <c r="I738" s="32" t="s">
        <v>15</v>
      </c>
      <c r="J738" s="48" t="s">
        <v>16</v>
      </c>
      <c r="K738" s="48" t="s">
        <v>17</v>
      </c>
      <c r="L738" s="48" t="s">
        <v>18</v>
      </c>
      <c r="M738" s="32" t="s">
        <v>19</v>
      </c>
      <c r="N738" s="48" t="s">
        <v>20</v>
      </c>
      <c r="O738" s="48" t="s">
        <v>21</v>
      </c>
      <c r="P738" s="48" t="s">
        <v>22</v>
      </c>
      <c r="Q738" s="32" t="s">
        <v>23</v>
      </c>
      <c r="R738" s="151" t="s">
        <v>24</v>
      </c>
    </row>
    <row r="739" spans="1:18" ht="16.5" customHeight="1" thickBot="1" x14ac:dyDescent="0.35">
      <c r="A739" s="152"/>
      <c r="B739" s="153"/>
      <c r="C739" s="153"/>
      <c r="D739" s="153"/>
      <c r="E739" s="52"/>
      <c r="F739" s="153"/>
      <c r="G739" s="153"/>
      <c r="H739" s="153"/>
      <c r="I739" s="37"/>
      <c r="J739" s="153"/>
      <c r="K739" s="153"/>
      <c r="L739" s="153"/>
      <c r="M739" s="37"/>
      <c r="N739" s="153"/>
      <c r="O739" s="153"/>
      <c r="P739" s="153"/>
      <c r="Q739" s="127"/>
      <c r="R739" s="154"/>
    </row>
    <row r="740" spans="1:18" ht="16.5" customHeight="1" thickBot="1" x14ac:dyDescent="0.35">
      <c r="A740" s="155" t="s">
        <v>381</v>
      </c>
      <c r="B740" s="156">
        <f>+B707</f>
        <v>34922</v>
      </c>
      <c r="C740" s="156">
        <f>+C707</f>
        <v>28465</v>
      </c>
      <c r="D740" s="156">
        <f>+D707</f>
        <v>32768</v>
      </c>
      <c r="E740" s="86">
        <f>+SUM(B740:D740)</f>
        <v>96155</v>
      </c>
      <c r="F740" s="156">
        <f>+F707</f>
        <v>39072</v>
      </c>
      <c r="G740" s="156">
        <f>+G707</f>
        <v>39157</v>
      </c>
      <c r="H740" s="156">
        <f>+H707</f>
        <v>35293</v>
      </c>
      <c r="I740" s="86">
        <f>+SUM(F740:H740)</f>
        <v>113522</v>
      </c>
      <c r="J740" s="156">
        <f>+J707</f>
        <v>47103</v>
      </c>
      <c r="K740" s="156">
        <f>+K707</f>
        <v>55498</v>
      </c>
      <c r="L740" s="156">
        <f>+L707</f>
        <v>53040</v>
      </c>
      <c r="M740" s="86">
        <f>+SUM(J740:L740)</f>
        <v>155641</v>
      </c>
      <c r="N740" s="156">
        <f>+N707</f>
        <v>37581</v>
      </c>
      <c r="O740" s="156">
        <f>+O707</f>
        <v>25472</v>
      </c>
      <c r="P740" s="156">
        <f>+P707</f>
        <v>27695</v>
      </c>
      <c r="Q740" s="86">
        <f>+SUM(N740:P740)</f>
        <v>90748</v>
      </c>
      <c r="R740" s="59">
        <f>+E740+I740+M740+Q740</f>
        <v>456066</v>
      </c>
    </row>
    <row r="741" spans="1:18" ht="16.5" customHeight="1" thickBot="1" x14ac:dyDescent="0.35">
      <c r="A741" s="33"/>
      <c r="B741" s="86"/>
      <c r="C741" s="86"/>
      <c r="D741" s="86"/>
      <c r="E741" s="86"/>
      <c r="F741" s="86"/>
      <c r="G741" s="86"/>
      <c r="H741" s="86"/>
      <c r="I741" s="86"/>
      <c r="J741" s="86"/>
      <c r="K741" s="86"/>
      <c r="L741" s="86"/>
      <c r="M741" s="86"/>
      <c r="N741" s="86"/>
      <c r="O741" s="86"/>
      <c r="P741" s="86"/>
      <c r="Q741" s="86"/>
      <c r="R741" s="59"/>
    </row>
    <row r="742" spans="1:18" ht="16.5" customHeight="1" thickBot="1" x14ac:dyDescent="0.35">
      <c r="A742" s="155" t="s">
        <v>382</v>
      </c>
      <c r="B742" s="156">
        <f>+B712</f>
        <v>9925</v>
      </c>
      <c r="C742" s="156">
        <f>+C712</f>
        <v>14468</v>
      </c>
      <c r="D742" s="156">
        <f>+D712</f>
        <v>35292</v>
      </c>
      <c r="E742" s="86">
        <f>+SUM(B742:D742)</f>
        <v>59685</v>
      </c>
      <c r="F742" s="156">
        <f>+F712</f>
        <v>45798</v>
      </c>
      <c r="G742" s="156">
        <f>+G712</f>
        <v>53670</v>
      </c>
      <c r="H742" s="156">
        <f>+H712</f>
        <v>78347</v>
      </c>
      <c r="I742" s="86">
        <f>+SUM(F742:H742)</f>
        <v>177815</v>
      </c>
      <c r="J742" s="156">
        <f>+J712</f>
        <v>83276</v>
      </c>
      <c r="K742" s="156">
        <f>+K712</f>
        <v>53519</v>
      </c>
      <c r="L742" s="156">
        <f>+L712</f>
        <v>12291</v>
      </c>
      <c r="M742" s="86">
        <f>+SUM(J742:L742)</f>
        <v>149086</v>
      </c>
      <c r="N742" s="156">
        <f>+N712</f>
        <v>7065</v>
      </c>
      <c r="O742" s="156">
        <f>+O712</f>
        <v>1395</v>
      </c>
      <c r="P742" s="156">
        <f>+P712</f>
        <v>2026</v>
      </c>
      <c r="Q742" s="86">
        <f>+SUM(N742:P742)</f>
        <v>10486</v>
      </c>
      <c r="R742" s="59">
        <f>+E742+I742+M742+Q742</f>
        <v>397072</v>
      </c>
    </row>
    <row r="743" spans="1:18" ht="16.5" customHeight="1" thickBot="1" x14ac:dyDescent="0.35">
      <c r="A743" s="33"/>
      <c r="B743" s="86"/>
      <c r="C743" s="86"/>
      <c r="D743" s="86"/>
      <c r="E743" s="86"/>
      <c r="F743" s="86"/>
      <c r="G743" s="86"/>
      <c r="H743" s="86"/>
      <c r="I743" s="86"/>
      <c r="J743" s="86"/>
      <c r="K743" s="86"/>
      <c r="L743" s="86"/>
      <c r="M743" s="86"/>
      <c r="N743" s="86"/>
      <c r="O743" s="86"/>
      <c r="P743" s="86"/>
      <c r="Q743" s="86"/>
      <c r="R743" s="59"/>
    </row>
    <row r="744" spans="1:18" ht="16.5" customHeight="1" thickBot="1" x14ac:dyDescent="0.35">
      <c r="A744" s="155" t="s">
        <v>383</v>
      </c>
      <c r="B744" s="156">
        <f>+B716</f>
        <v>18219</v>
      </c>
      <c r="C744" s="156">
        <f>+C716</f>
        <v>23881</v>
      </c>
      <c r="D744" s="156">
        <f>+D716</f>
        <v>41204</v>
      </c>
      <c r="E744" s="86">
        <f>+SUM(B744:D744)</f>
        <v>83304</v>
      </c>
      <c r="F744" s="156">
        <f>+F716</f>
        <v>44565</v>
      </c>
      <c r="G744" s="156">
        <f>+G716</f>
        <v>63629</v>
      </c>
      <c r="H744" s="156">
        <f>+H716</f>
        <v>74027</v>
      </c>
      <c r="I744" s="86">
        <f>+SUM(F744:H744)</f>
        <v>182221</v>
      </c>
      <c r="J744" s="156">
        <f>+J716</f>
        <v>57044</v>
      </c>
      <c r="K744" s="156">
        <f>+K716</f>
        <v>70095</v>
      </c>
      <c r="L744" s="156">
        <f>+L716</f>
        <v>50822</v>
      </c>
      <c r="M744" s="86">
        <f>+SUM(J744:L744)</f>
        <v>177961</v>
      </c>
      <c r="N744" s="156">
        <f>+N716</f>
        <v>30341</v>
      </c>
      <c r="O744" s="156">
        <f>+O716</f>
        <v>13056</v>
      </c>
      <c r="P744" s="156">
        <f>+P716</f>
        <v>14670</v>
      </c>
      <c r="Q744" s="86">
        <f>+SUM(N744:P744)</f>
        <v>58067</v>
      </c>
      <c r="R744" s="59">
        <f>+E744+I744+M744+Q744</f>
        <v>501553</v>
      </c>
    </row>
    <row r="745" spans="1:18" ht="16.5" customHeight="1" thickBot="1" x14ac:dyDescent="0.35">
      <c r="A745" s="33"/>
      <c r="B745" s="86"/>
      <c r="C745" s="86"/>
      <c r="D745" s="86"/>
      <c r="E745" s="86"/>
      <c r="F745" s="86"/>
      <c r="G745" s="86"/>
      <c r="H745" s="86"/>
      <c r="I745" s="86"/>
      <c r="J745" s="86"/>
      <c r="K745" s="86"/>
      <c r="L745" s="86"/>
      <c r="M745" s="86"/>
      <c r="N745" s="86"/>
      <c r="O745" s="86"/>
      <c r="P745" s="86"/>
      <c r="Q745" s="86"/>
      <c r="R745" s="59"/>
    </row>
    <row r="746" spans="1:18" ht="16.5" customHeight="1" thickBot="1" x14ac:dyDescent="0.35">
      <c r="A746" s="155" t="s">
        <v>384</v>
      </c>
      <c r="B746" s="156">
        <f>+B725</f>
        <v>3432</v>
      </c>
      <c r="C746" s="156">
        <f>+C725</f>
        <v>11552</v>
      </c>
      <c r="D746" s="156">
        <f>+D725</f>
        <v>26532</v>
      </c>
      <c r="E746" s="86">
        <f>+SUM(B746:D746)</f>
        <v>41516</v>
      </c>
      <c r="F746" s="156">
        <f>+F725</f>
        <v>22280</v>
      </c>
      <c r="G746" s="156">
        <f>+G725</f>
        <v>20948</v>
      </c>
      <c r="H746" s="156">
        <f>+H725</f>
        <v>36246</v>
      </c>
      <c r="I746" s="86">
        <f>+SUM(F746:H746)</f>
        <v>79474</v>
      </c>
      <c r="J746" s="156">
        <f>+J725</f>
        <v>42434</v>
      </c>
      <c r="K746" s="156">
        <f>+K725</f>
        <v>36473</v>
      </c>
      <c r="L746" s="156">
        <f>+L725</f>
        <v>22094</v>
      </c>
      <c r="M746" s="86">
        <f>+SUM(J746:L746)</f>
        <v>101001</v>
      </c>
      <c r="N746" s="156">
        <f>+N725</f>
        <v>15321</v>
      </c>
      <c r="O746" s="156">
        <f>+O725</f>
        <v>8637</v>
      </c>
      <c r="P746" s="156">
        <f>+P725</f>
        <v>15707</v>
      </c>
      <c r="Q746" s="86">
        <f>+SUM(N746:P746)</f>
        <v>39665</v>
      </c>
      <c r="R746" s="59">
        <f>+E746+I746+M746+Q746</f>
        <v>261656</v>
      </c>
    </row>
    <row r="747" spans="1:18" ht="16.5" customHeight="1" thickBot="1" x14ac:dyDescent="0.35">
      <c r="A747" s="33"/>
      <c r="B747" s="86"/>
      <c r="C747" s="86"/>
      <c r="D747" s="86"/>
      <c r="E747" s="86"/>
      <c r="F747" s="86"/>
      <c r="G747" s="86"/>
      <c r="H747" s="86"/>
      <c r="I747" s="86"/>
      <c r="J747" s="86"/>
      <c r="K747" s="86"/>
      <c r="L747" s="86"/>
      <c r="M747" s="86"/>
      <c r="N747" s="86"/>
      <c r="O747" s="86"/>
      <c r="P747" s="86"/>
      <c r="Q747" s="86"/>
      <c r="R747" s="59"/>
    </row>
    <row r="748" spans="1:18" ht="16.5" customHeight="1" thickBot="1" x14ac:dyDescent="0.35">
      <c r="A748" s="33" t="s">
        <v>385</v>
      </c>
      <c r="B748" s="90">
        <f t="shared" ref="B748:R748" si="105">+SUM(B740:B746)</f>
        <v>66498</v>
      </c>
      <c r="C748" s="90">
        <f t="shared" si="105"/>
        <v>78366</v>
      </c>
      <c r="D748" s="90">
        <f t="shared" si="105"/>
        <v>135796</v>
      </c>
      <c r="E748" s="90">
        <f t="shared" si="105"/>
        <v>280660</v>
      </c>
      <c r="F748" s="90">
        <f t="shared" si="105"/>
        <v>151715</v>
      </c>
      <c r="G748" s="90">
        <f t="shared" si="105"/>
        <v>177404</v>
      </c>
      <c r="H748" s="90">
        <f t="shared" si="105"/>
        <v>223913</v>
      </c>
      <c r="I748" s="90">
        <f t="shared" si="105"/>
        <v>553032</v>
      </c>
      <c r="J748" s="90">
        <f t="shared" si="105"/>
        <v>229857</v>
      </c>
      <c r="K748" s="90">
        <f t="shared" si="105"/>
        <v>215585</v>
      </c>
      <c r="L748" s="90">
        <f t="shared" si="105"/>
        <v>138247</v>
      </c>
      <c r="M748" s="90">
        <f t="shared" si="105"/>
        <v>583689</v>
      </c>
      <c r="N748" s="90">
        <f t="shared" si="105"/>
        <v>90308</v>
      </c>
      <c r="O748" s="90">
        <f t="shared" si="105"/>
        <v>48560</v>
      </c>
      <c r="P748" s="90">
        <f t="shared" si="105"/>
        <v>60098</v>
      </c>
      <c r="Q748" s="90">
        <f t="shared" si="105"/>
        <v>198966</v>
      </c>
      <c r="R748" s="157">
        <f t="shared" si="105"/>
        <v>1616347</v>
      </c>
    </row>
    <row r="749" spans="1:18" ht="16.8" thickBot="1" x14ac:dyDescent="0.4">
      <c r="A749" s="145"/>
      <c r="B749" s="158"/>
      <c r="C749" s="158"/>
      <c r="D749" s="158"/>
      <c r="E749" s="158"/>
      <c r="F749" s="158"/>
      <c r="G749" s="158"/>
      <c r="H749" s="317" t="s">
        <v>786</v>
      </c>
      <c r="I749" s="158"/>
      <c r="J749" s="158"/>
      <c r="K749" s="158"/>
      <c r="L749" s="158"/>
      <c r="M749" s="158"/>
      <c r="N749" s="158"/>
      <c r="O749" s="158"/>
      <c r="P749" s="158"/>
      <c r="Q749" s="158"/>
      <c r="R749" s="158"/>
    </row>
    <row r="750" spans="1:18" x14ac:dyDescent="0.3">
      <c r="A750" s="318"/>
      <c r="B750" s="319"/>
      <c r="C750" s="320" t="s">
        <v>386</v>
      </c>
      <c r="D750" s="319"/>
      <c r="E750" s="319"/>
      <c r="F750" s="319"/>
      <c r="G750" s="319"/>
      <c r="H750" s="319"/>
      <c r="I750" s="319"/>
      <c r="J750" s="319"/>
      <c r="K750" s="319"/>
      <c r="L750" s="319"/>
      <c r="M750" s="319"/>
      <c r="N750" s="319"/>
      <c r="O750" s="319"/>
      <c r="P750" s="319"/>
      <c r="Q750" s="321" t="str">
        <f>+Q1</f>
        <v>PRINTED:</v>
      </c>
      <c r="R750" s="322">
        <f ca="1">+R1</f>
        <v>44909.46975358796</v>
      </c>
    </row>
    <row r="751" spans="1:18" x14ac:dyDescent="0.3">
      <c r="A751" s="323"/>
      <c r="B751" s="159"/>
      <c r="C751" s="159"/>
      <c r="D751" s="159"/>
      <c r="E751" s="159" t="s">
        <v>7</v>
      </c>
      <c r="F751" s="163" t="str">
        <f>+A9</f>
        <v>Revised:  1/23/11</v>
      </c>
      <c r="G751" s="159"/>
      <c r="H751" s="159"/>
      <c r="I751" s="159"/>
      <c r="J751" s="159"/>
      <c r="K751" s="159"/>
      <c r="L751" s="159"/>
      <c r="M751" s="159"/>
      <c r="N751" s="159"/>
      <c r="O751" s="159"/>
      <c r="P751" s="159"/>
      <c r="Q751" s="159"/>
      <c r="R751" s="324"/>
    </row>
    <row r="752" spans="1:18" x14ac:dyDescent="0.3">
      <c r="A752" s="323"/>
      <c r="B752" s="159"/>
      <c r="C752" s="159"/>
      <c r="D752" s="159" t="s">
        <v>787</v>
      </c>
      <c r="E752" s="159"/>
      <c r="F752" s="159"/>
      <c r="G752" s="159"/>
      <c r="H752" s="159"/>
      <c r="I752" s="159"/>
      <c r="J752" s="159"/>
      <c r="K752" s="159"/>
      <c r="L752" s="159"/>
      <c r="M752" s="159"/>
      <c r="N752" s="159"/>
      <c r="O752" s="159"/>
      <c r="P752" s="159"/>
      <c r="Q752" s="159"/>
      <c r="R752" s="324"/>
    </row>
    <row r="753" spans="1:18" x14ac:dyDescent="0.3">
      <c r="A753" s="323"/>
      <c r="B753" s="159"/>
      <c r="C753" s="159"/>
      <c r="D753" s="159"/>
      <c r="E753" s="159"/>
      <c r="F753" s="159"/>
      <c r="G753" s="159"/>
      <c r="H753" s="159"/>
      <c r="I753" s="159"/>
      <c r="J753" s="159"/>
      <c r="K753" s="159"/>
      <c r="L753" s="159"/>
      <c r="M753" s="159"/>
      <c r="N753" s="159"/>
      <c r="O753" s="159"/>
      <c r="P753" s="159"/>
      <c r="Q753" s="159"/>
      <c r="R753" s="324"/>
    </row>
    <row r="754" spans="1:18" x14ac:dyDescent="0.3">
      <c r="A754" s="323"/>
      <c r="B754" s="159"/>
      <c r="C754" s="159"/>
      <c r="D754" s="159"/>
      <c r="E754" s="159" t="str">
        <f>+A5</f>
        <v>Calendar Year 2011</v>
      </c>
      <c r="F754" s="159"/>
      <c r="G754" s="159"/>
      <c r="H754" s="159"/>
      <c r="I754" s="159"/>
      <c r="J754" s="159"/>
      <c r="K754" s="159"/>
      <c r="L754" s="159"/>
      <c r="M754" s="159"/>
      <c r="N754" s="159"/>
      <c r="O754" s="159"/>
      <c r="P754" s="159"/>
      <c r="Q754" s="159"/>
      <c r="R754" s="324"/>
    </row>
    <row r="755" spans="1:18" x14ac:dyDescent="0.3">
      <c r="A755" s="323"/>
      <c r="B755" s="159"/>
      <c r="C755" s="159"/>
      <c r="D755" s="159"/>
      <c r="E755" s="159" t="s">
        <v>388</v>
      </c>
      <c r="F755" s="159"/>
      <c r="G755" s="159"/>
      <c r="H755" s="159"/>
      <c r="I755" s="159"/>
      <c r="J755" s="159"/>
      <c r="K755" s="159"/>
      <c r="L755" s="159"/>
      <c r="M755" s="159"/>
      <c r="N755" s="159"/>
      <c r="O755" s="159"/>
      <c r="P755" s="159"/>
      <c r="Q755" s="159"/>
      <c r="R755" s="324"/>
    </row>
    <row r="756" spans="1:18" x14ac:dyDescent="0.3">
      <c r="A756" s="323"/>
      <c r="B756" s="159"/>
      <c r="C756" s="159"/>
      <c r="D756" s="159"/>
      <c r="E756" s="159"/>
      <c r="F756" s="159"/>
      <c r="G756" s="159"/>
      <c r="H756" s="159"/>
      <c r="I756" s="159"/>
      <c r="J756" s="159"/>
      <c r="K756" s="159"/>
      <c r="L756" s="159"/>
      <c r="M756" s="159"/>
      <c r="N756" s="159"/>
      <c r="O756" s="159"/>
      <c r="P756" s="159"/>
      <c r="Q756" s="159"/>
      <c r="R756" s="324"/>
    </row>
    <row r="757" spans="1:18" x14ac:dyDescent="0.3">
      <c r="A757" s="323" t="s">
        <v>389</v>
      </c>
      <c r="B757" s="164" t="s">
        <v>390</v>
      </c>
      <c r="C757" s="164" t="s">
        <v>391</v>
      </c>
      <c r="D757" s="164" t="s">
        <v>392</v>
      </c>
      <c r="E757" s="164" t="s">
        <v>393</v>
      </c>
      <c r="F757" s="164" t="s">
        <v>394</v>
      </c>
      <c r="G757" s="164" t="s">
        <v>394</v>
      </c>
      <c r="H757" s="164" t="s">
        <v>395</v>
      </c>
      <c r="I757" s="164" t="s">
        <v>396</v>
      </c>
      <c r="J757" s="164" t="s">
        <v>397</v>
      </c>
      <c r="K757" s="164" t="s">
        <v>398</v>
      </c>
      <c r="L757" s="164" t="s">
        <v>399</v>
      </c>
      <c r="M757" s="164" t="s">
        <v>400</v>
      </c>
      <c r="N757" s="164" t="s">
        <v>401</v>
      </c>
      <c r="O757" s="164" t="s">
        <v>402</v>
      </c>
      <c r="P757" s="164" t="s">
        <v>403</v>
      </c>
      <c r="Q757" s="164" t="s">
        <v>404</v>
      </c>
      <c r="R757" s="324"/>
    </row>
    <row r="758" spans="1:18" x14ac:dyDescent="0.3">
      <c r="A758" s="323" t="s">
        <v>405</v>
      </c>
      <c r="B758" s="159"/>
      <c r="C758" s="159"/>
      <c r="D758" s="159"/>
      <c r="E758" s="159"/>
      <c r="F758" s="164" t="s">
        <v>406</v>
      </c>
      <c r="G758" s="164" t="s">
        <v>407</v>
      </c>
      <c r="H758" s="159"/>
      <c r="I758" s="159"/>
      <c r="J758" s="159"/>
      <c r="K758" s="159"/>
      <c r="L758" s="159"/>
      <c r="M758" s="159"/>
      <c r="N758" s="159"/>
      <c r="O758" s="159"/>
      <c r="P758" s="159"/>
      <c r="Q758" s="159"/>
      <c r="R758" s="324"/>
    </row>
    <row r="759" spans="1:18" x14ac:dyDescent="0.3">
      <c r="A759" s="323" t="s">
        <v>408</v>
      </c>
      <c r="B759" s="159">
        <v>953</v>
      </c>
      <c r="C759" s="159">
        <v>128</v>
      </c>
      <c r="D759" s="159">
        <v>128</v>
      </c>
      <c r="E759" s="159">
        <v>219</v>
      </c>
      <c r="F759" s="159">
        <v>179</v>
      </c>
      <c r="G759" s="159">
        <v>121</v>
      </c>
      <c r="H759" s="159">
        <v>92</v>
      </c>
      <c r="I759" s="159">
        <v>150</v>
      </c>
      <c r="J759" s="159">
        <v>237</v>
      </c>
      <c r="K759" s="159">
        <v>226</v>
      </c>
      <c r="L759" s="159">
        <v>99</v>
      </c>
      <c r="M759" s="159">
        <v>102</v>
      </c>
      <c r="N759" s="159">
        <v>249</v>
      </c>
      <c r="O759" s="159">
        <v>189</v>
      </c>
      <c r="P759" s="159">
        <v>333</v>
      </c>
      <c r="Q759" s="159">
        <v>411</v>
      </c>
      <c r="R759" s="324"/>
    </row>
    <row r="760" spans="1:18" x14ac:dyDescent="0.3">
      <c r="A760" s="323"/>
      <c r="B760" s="159" t="s">
        <v>409</v>
      </c>
      <c r="C760" s="159" t="s">
        <v>409</v>
      </c>
      <c r="D760" s="159" t="s">
        <v>409</v>
      </c>
      <c r="E760" s="159" t="s">
        <v>409</v>
      </c>
      <c r="F760" s="159" t="s">
        <v>409</v>
      </c>
      <c r="G760" s="159" t="s">
        <v>409</v>
      </c>
      <c r="H760" s="159" t="s">
        <v>409</v>
      </c>
      <c r="I760" s="159" t="s">
        <v>409</v>
      </c>
      <c r="J760" s="159" t="s">
        <v>409</v>
      </c>
      <c r="K760" s="159" t="s">
        <v>409</v>
      </c>
      <c r="L760" s="159" t="s">
        <v>409</v>
      </c>
      <c r="M760" s="159" t="s">
        <v>409</v>
      </c>
      <c r="N760" s="159" t="s">
        <v>409</v>
      </c>
      <c r="O760" s="159" t="s">
        <v>409</v>
      </c>
      <c r="P760" s="159" t="s">
        <v>409</v>
      </c>
      <c r="Q760" s="159" t="s">
        <v>409</v>
      </c>
      <c r="R760" s="324"/>
    </row>
    <row r="761" spans="1:18" x14ac:dyDescent="0.3">
      <c r="A761" s="325" t="s">
        <v>410</v>
      </c>
      <c r="B761" s="159">
        <f>+B30</f>
        <v>89980</v>
      </c>
      <c r="C761" s="159">
        <f>+B65</f>
        <v>89883</v>
      </c>
      <c r="D761" s="159">
        <f>+B129</f>
        <v>89787</v>
      </c>
      <c r="E761" s="159">
        <f>+B250</f>
        <v>86696</v>
      </c>
      <c r="F761" s="159">
        <f>+B245</f>
        <v>22743</v>
      </c>
      <c r="G761" s="159">
        <f>+B257</f>
        <v>0</v>
      </c>
      <c r="H761" s="159">
        <f>+B374</f>
        <v>42431</v>
      </c>
      <c r="I761" s="159">
        <f>+B419</f>
        <v>20914</v>
      </c>
      <c r="J761" s="159">
        <f>+B460</f>
        <v>20901</v>
      </c>
      <c r="K761" s="159">
        <f>+B512</f>
        <v>20497</v>
      </c>
      <c r="L761" s="159">
        <f>+B522</f>
        <v>16249</v>
      </c>
      <c r="M761" s="159">
        <f>+B557</f>
        <v>16229</v>
      </c>
      <c r="N761" s="159">
        <f>+B598</f>
        <v>16219</v>
      </c>
      <c r="O761" s="159">
        <f>+B608</f>
        <v>2779</v>
      </c>
      <c r="P761" s="159">
        <f>+B642</f>
        <v>5099</v>
      </c>
      <c r="Q761" s="159">
        <f>+B685</f>
        <v>2710</v>
      </c>
      <c r="R761" s="324"/>
    </row>
    <row r="762" spans="1:18" x14ac:dyDescent="0.3">
      <c r="A762" s="325" t="s">
        <v>411</v>
      </c>
      <c r="B762" s="159">
        <f>+C30</f>
        <v>133796</v>
      </c>
      <c r="C762" s="159">
        <f>+C65</f>
        <v>133648</v>
      </c>
      <c r="D762" s="159">
        <f>+C129</f>
        <v>133503</v>
      </c>
      <c r="E762" s="159">
        <f>+C250</f>
        <v>123525</v>
      </c>
      <c r="F762" s="159">
        <f>+C245</f>
        <v>52608</v>
      </c>
      <c r="G762" s="159">
        <f>+C257</f>
        <v>0</v>
      </c>
      <c r="H762" s="159">
        <f>+C374</f>
        <v>48437</v>
      </c>
      <c r="I762" s="159">
        <f>+C419</f>
        <v>22595</v>
      </c>
      <c r="J762" s="159">
        <f>+C460</f>
        <v>22469</v>
      </c>
      <c r="K762" s="159">
        <f>+C512</f>
        <v>21756</v>
      </c>
      <c r="L762" s="159">
        <f>+C522</f>
        <v>16947</v>
      </c>
      <c r="M762" s="159">
        <f>+C557</f>
        <v>16925</v>
      </c>
      <c r="N762" s="159">
        <f>+C598</f>
        <v>16914</v>
      </c>
      <c r="O762" s="159">
        <f>+C608</f>
        <v>3278</v>
      </c>
      <c r="P762" s="159">
        <f>+C642</f>
        <v>4230</v>
      </c>
      <c r="Q762" s="159">
        <f>+C685</f>
        <v>3169</v>
      </c>
      <c r="R762" s="324"/>
    </row>
    <row r="763" spans="1:18" x14ac:dyDescent="0.3">
      <c r="A763" s="325" t="s">
        <v>412</v>
      </c>
      <c r="B763" s="159">
        <f>+D30</f>
        <v>185757</v>
      </c>
      <c r="C763" s="159">
        <f>+D65</f>
        <v>185483</v>
      </c>
      <c r="D763" s="159">
        <f>+D129</f>
        <v>185222</v>
      </c>
      <c r="E763" s="159">
        <f>+D250</f>
        <v>161765</v>
      </c>
      <c r="F763" s="159">
        <f>+D245</f>
        <v>44419</v>
      </c>
      <c r="G763" s="159">
        <f>+D257</f>
        <v>0</v>
      </c>
      <c r="H763" s="159">
        <f>+D374</f>
        <v>87218</v>
      </c>
      <c r="I763" s="159">
        <f>+D419</f>
        <v>27213</v>
      </c>
      <c r="J763" s="159">
        <f>+D460</f>
        <v>24520</v>
      </c>
      <c r="K763" s="159">
        <f>+D512</f>
        <v>20179</v>
      </c>
      <c r="L763" s="159">
        <f>+D522</f>
        <v>14708</v>
      </c>
      <c r="M763" s="159">
        <f>+D557</f>
        <v>14680</v>
      </c>
      <c r="N763" s="159">
        <f>+D598</f>
        <v>14578</v>
      </c>
      <c r="O763" s="159">
        <f>+D608</f>
        <v>1132</v>
      </c>
      <c r="P763" s="159">
        <f>+D642</f>
        <v>5427</v>
      </c>
      <c r="Q763" s="159">
        <f>+D685</f>
        <v>1118</v>
      </c>
      <c r="R763" s="324"/>
    </row>
    <row r="764" spans="1:18" x14ac:dyDescent="0.3">
      <c r="A764" s="325" t="s">
        <v>413</v>
      </c>
      <c r="B764" s="159">
        <f>+F30</f>
        <v>180578</v>
      </c>
      <c r="C764" s="159">
        <f>+F65</f>
        <v>180211</v>
      </c>
      <c r="D764" s="159">
        <f>+F129</f>
        <v>179828</v>
      </c>
      <c r="E764" s="159">
        <f>+F250</f>
        <v>166361</v>
      </c>
      <c r="F764" s="159">
        <f>+F245</f>
        <v>21347</v>
      </c>
      <c r="G764" s="159">
        <f>+F257</f>
        <v>0</v>
      </c>
      <c r="H764" s="159">
        <f>+F374</f>
        <v>114594</v>
      </c>
      <c r="I764" s="159">
        <f>+F419</f>
        <v>34270</v>
      </c>
      <c r="J764" s="159">
        <f>+F460</f>
        <v>28892</v>
      </c>
      <c r="K764" s="159">
        <f>+F512</f>
        <v>23884</v>
      </c>
      <c r="L764" s="159">
        <f>+F522</f>
        <v>18424</v>
      </c>
      <c r="M764" s="159">
        <f>+F557</f>
        <v>18387</v>
      </c>
      <c r="N764" s="159">
        <f>+F598</f>
        <v>17139</v>
      </c>
      <c r="O764" s="159">
        <f>+F608</f>
        <v>1589</v>
      </c>
      <c r="P764" s="159">
        <f>+F642</f>
        <v>5513</v>
      </c>
      <c r="Q764" s="159">
        <f>+F685</f>
        <v>1529</v>
      </c>
      <c r="R764" s="324"/>
    </row>
    <row r="765" spans="1:18" x14ac:dyDescent="0.3">
      <c r="A765" s="325" t="s">
        <v>414</v>
      </c>
      <c r="B765" s="159">
        <f>+G30</f>
        <v>167185</v>
      </c>
      <c r="C765" s="159">
        <f>+G65</f>
        <v>166760</v>
      </c>
      <c r="D765" s="159">
        <f>+G129</f>
        <v>166256</v>
      </c>
      <c r="E765" s="159">
        <f>+G250</f>
        <v>153385</v>
      </c>
      <c r="F765" s="159">
        <f>+G245</f>
        <v>7072</v>
      </c>
      <c r="G765" s="159">
        <f>+G257</f>
        <v>-25965</v>
      </c>
      <c r="H765" s="159">
        <f>+G374</f>
        <v>132276</v>
      </c>
      <c r="I765" s="159">
        <f>+G419</f>
        <v>31390</v>
      </c>
      <c r="J765" s="159">
        <f>+G460</f>
        <v>27107</v>
      </c>
      <c r="K765" s="159">
        <f>+G512</f>
        <v>20749</v>
      </c>
      <c r="L765" s="159">
        <f>+G522</f>
        <v>19875</v>
      </c>
      <c r="M765" s="159">
        <f>+G557</f>
        <v>19833</v>
      </c>
      <c r="N765" s="159">
        <f>+G598</f>
        <v>17047</v>
      </c>
      <c r="O765" s="159">
        <f>+G608</f>
        <v>1769</v>
      </c>
      <c r="P765" s="159">
        <f>+G642</f>
        <v>5859</v>
      </c>
      <c r="Q765" s="159">
        <f>+G685</f>
        <v>1745</v>
      </c>
      <c r="R765" s="324"/>
    </row>
    <row r="766" spans="1:18" x14ac:dyDescent="0.3">
      <c r="A766" s="325" t="s">
        <v>415</v>
      </c>
      <c r="B766" s="159">
        <f>+H30</f>
        <v>155346</v>
      </c>
      <c r="C766" s="159">
        <f>+H65</f>
        <v>154929</v>
      </c>
      <c r="D766" s="159">
        <f>+H129</f>
        <v>154464</v>
      </c>
      <c r="E766" s="159">
        <f>+H250</f>
        <v>126946</v>
      </c>
      <c r="F766" s="159">
        <f>+H245</f>
        <v>1045</v>
      </c>
      <c r="G766" s="159">
        <f>+H257</f>
        <v>-77908</v>
      </c>
      <c r="H766" s="159">
        <f>+H374</f>
        <v>159939</v>
      </c>
      <c r="I766" s="159">
        <f>+H419</f>
        <v>36637</v>
      </c>
      <c r="J766" s="159">
        <f>+H460</f>
        <v>22329</v>
      </c>
      <c r="K766" s="159">
        <f>+H512</f>
        <v>13481</v>
      </c>
      <c r="L766" s="159">
        <f>+H522</f>
        <v>12317</v>
      </c>
      <c r="M766" s="159">
        <f>+H557</f>
        <v>12273</v>
      </c>
      <c r="N766" s="159">
        <f>+H598</f>
        <v>10141</v>
      </c>
      <c r="O766" s="159">
        <f>+H608</f>
        <v>1686</v>
      </c>
      <c r="P766" s="159">
        <f>+H642</f>
        <v>6309</v>
      </c>
      <c r="Q766" s="159">
        <f>+H685</f>
        <v>1608</v>
      </c>
      <c r="R766" s="324"/>
    </row>
    <row r="767" spans="1:18" x14ac:dyDescent="0.3">
      <c r="A767" s="325" t="s">
        <v>416</v>
      </c>
      <c r="B767" s="159">
        <f>+J30</f>
        <v>79405</v>
      </c>
      <c r="C767" s="159">
        <f>+J65</f>
        <v>78989</v>
      </c>
      <c r="D767" s="159">
        <f>+J129</f>
        <v>78511</v>
      </c>
      <c r="E767" s="159">
        <f>+J250</f>
        <v>47909</v>
      </c>
      <c r="F767" s="159">
        <f>+J245</f>
        <v>316</v>
      </c>
      <c r="G767" s="159">
        <f>+J257</f>
        <v>-159336</v>
      </c>
      <c r="H767" s="159">
        <f>+J374</f>
        <v>168010</v>
      </c>
      <c r="I767" s="159">
        <f>+J419</f>
        <v>47543</v>
      </c>
      <c r="J767" s="159">
        <f>+J460</f>
        <v>28510</v>
      </c>
      <c r="K767" s="159">
        <f>+J512</f>
        <v>17576</v>
      </c>
      <c r="L767" s="159">
        <f>+J522</f>
        <v>14929</v>
      </c>
      <c r="M767" s="159">
        <f>+J557</f>
        <v>14890</v>
      </c>
      <c r="N767" s="159">
        <f>+J598</f>
        <v>12128</v>
      </c>
      <c r="O767" s="159">
        <f>+J608</f>
        <v>1361</v>
      </c>
      <c r="P767" s="159">
        <f>+J642</f>
        <v>6173</v>
      </c>
      <c r="Q767" s="159">
        <f>+J685</f>
        <v>1340</v>
      </c>
      <c r="R767" s="324"/>
    </row>
    <row r="768" spans="1:18" x14ac:dyDescent="0.3">
      <c r="A768" s="325" t="s">
        <v>417</v>
      </c>
      <c r="B768" s="159">
        <f>+K30</f>
        <v>61540</v>
      </c>
      <c r="C768" s="159">
        <f>+K65</f>
        <v>61206</v>
      </c>
      <c r="D768" s="159">
        <f>+K129</f>
        <v>60690</v>
      </c>
      <c r="E768" s="159">
        <f>+K250</f>
        <v>44886</v>
      </c>
      <c r="F768" s="159">
        <f>+K245</f>
        <v>0</v>
      </c>
      <c r="G768" s="159">
        <f>+K257</f>
        <v>-161275</v>
      </c>
      <c r="H768" s="159">
        <f>+K374</f>
        <v>169866</v>
      </c>
      <c r="I768" s="159">
        <f>+K419</f>
        <v>49120</v>
      </c>
      <c r="J768" s="159">
        <f>+K460</f>
        <v>29402</v>
      </c>
      <c r="K768" s="159">
        <f>+K512</f>
        <v>24124</v>
      </c>
      <c r="L768" s="159">
        <f>+K522</f>
        <v>19206</v>
      </c>
      <c r="M768" s="159">
        <f>+K557</f>
        <v>19170</v>
      </c>
      <c r="N768" s="159">
        <f>+K598</f>
        <v>16057</v>
      </c>
      <c r="O768" s="159">
        <f>+K608</f>
        <v>1691</v>
      </c>
      <c r="P768" s="159">
        <f>+K642</f>
        <v>6114</v>
      </c>
      <c r="Q768" s="159">
        <f>+K685</f>
        <v>1674</v>
      </c>
      <c r="R768" s="324"/>
    </row>
    <row r="769" spans="1:18" x14ac:dyDescent="0.3">
      <c r="A769" s="325" t="s">
        <v>418</v>
      </c>
      <c r="B769" s="159">
        <f>+L30</f>
        <v>103188</v>
      </c>
      <c r="C769" s="159">
        <f>+L65</f>
        <v>102872</v>
      </c>
      <c r="D769" s="159">
        <f>+L129</f>
        <v>102319</v>
      </c>
      <c r="E769" s="159">
        <f>+L250</f>
        <v>93865</v>
      </c>
      <c r="F769" s="159">
        <f>+L245</f>
        <v>4936</v>
      </c>
      <c r="G769" s="159">
        <f>+L257</f>
        <v>-46169</v>
      </c>
      <c r="H769" s="159">
        <f>+L374</f>
        <v>98936</v>
      </c>
      <c r="I769" s="159">
        <f>+L419</f>
        <v>29027</v>
      </c>
      <c r="J769" s="159">
        <f>+L460</f>
        <v>24427</v>
      </c>
      <c r="K769" s="159">
        <f>+L512</f>
        <v>21006</v>
      </c>
      <c r="L769" s="159">
        <f>+L522</f>
        <v>19538</v>
      </c>
      <c r="M769" s="159">
        <f>+L557</f>
        <v>19504</v>
      </c>
      <c r="N769" s="159">
        <f>+L598</f>
        <v>18841</v>
      </c>
      <c r="O769" s="159">
        <f>+L608</f>
        <v>4020</v>
      </c>
      <c r="P769" s="159">
        <f>+L642</f>
        <v>5841</v>
      </c>
      <c r="Q769" s="159">
        <f>+L685</f>
        <v>3960</v>
      </c>
      <c r="R769" s="324"/>
    </row>
    <row r="770" spans="1:18" x14ac:dyDescent="0.3">
      <c r="A770" s="325" t="s">
        <v>419</v>
      </c>
      <c r="B770" s="159">
        <f>+N30</f>
        <v>148432</v>
      </c>
      <c r="C770" s="159">
        <f>+N65</f>
        <v>148147</v>
      </c>
      <c r="D770" s="159">
        <f>+N129</f>
        <v>147875</v>
      </c>
      <c r="E770" s="159">
        <f>+N250</f>
        <v>141161</v>
      </c>
      <c r="F770" s="159">
        <f>+N245</f>
        <v>51830</v>
      </c>
      <c r="G770" s="159">
        <f>+N257</f>
        <v>0</v>
      </c>
      <c r="H770" s="159">
        <f>+N374</f>
        <v>55112</v>
      </c>
      <c r="I770" s="159">
        <f>+N419</f>
        <v>17111</v>
      </c>
      <c r="J770" s="159">
        <f>+N460</f>
        <v>16860</v>
      </c>
      <c r="K770" s="159">
        <f>+N512</f>
        <v>16321</v>
      </c>
      <c r="L770" s="159">
        <f>+N522</f>
        <v>13295</v>
      </c>
      <c r="M770" s="159">
        <f>+N557</f>
        <v>13266</v>
      </c>
      <c r="N770" s="159">
        <f>+N598</f>
        <v>13091</v>
      </c>
      <c r="O770" s="159">
        <f>+N608</f>
        <v>3338</v>
      </c>
      <c r="P770" s="159">
        <f>+N642</f>
        <v>5868</v>
      </c>
      <c r="Q770" s="159">
        <f>+N685</f>
        <v>3333</v>
      </c>
      <c r="R770" s="324"/>
    </row>
    <row r="771" spans="1:18" x14ac:dyDescent="0.3">
      <c r="A771" s="325" t="s">
        <v>420</v>
      </c>
      <c r="B771" s="159">
        <f>+O30</f>
        <v>175631</v>
      </c>
      <c r="C771" s="159">
        <f>+O65</f>
        <v>175396</v>
      </c>
      <c r="D771" s="159">
        <f>+O129</f>
        <v>175170</v>
      </c>
      <c r="E771" s="159">
        <f>+O250</f>
        <v>171806</v>
      </c>
      <c r="F771" s="159">
        <f>+O245</f>
        <v>121619</v>
      </c>
      <c r="G771" s="159">
        <f>+O257</f>
        <v>0</v>
      </c>
      <c r="H771" s="159">
        <f>+O374</f>
        <v>26527</v>
      </c>
      <c r="I771" s="159">
        <f>+O419</f>
        <v>7612</v>
      </c>
      <c r="J771" s="159">
        <f>+O460</f>
        <v>7542</v>
      </c>
      <c r="K771" s="159">
        <f>+O512</f>
        <v>7464</v>
      </c>
      <c r="L771" s="159">
        <f>+O522</f>
        <v>5655</v>
      </c>
      <c r="M771" s="159">
        <f>+O557</f>
        <v>5632</v>
      </c>
      <c r="N771" s="159">
        <f>+O598</f>
        <v>5514</v>
      </c>
      <c r="O771" s="159">
        <f>+O608</f>
        <v>860</v>
      </c>
      <c r="P771" s="159">
        <f>+O642</f>
        <v>4727</v>
      </c>
      <c r="Q771" s="159">
        <f>+O685</f>
        <v>826</v>
      </c>
      <c r="R771" s="324"/>
    </row>
    <row r="772" spans="1:18" x14ac:dyDescent="0.3">
      <c r="A772" s="325" t="s">
        <v>421</v>
      </c>
      <c r="B772" s="159">
        <f>+P30</f>
        <v>150248</v>
      </c>
      <c r="C772" s="159">
        <f>+P65</f>
        <v>150062</v>
      </c>
      <c r="D772" s="159">
        <f>+P129</f>
        <v>149883</v>
      </c>
      <c r="E772" s="159">
        <f>+P250</f>
        <v>140840</v>
      </c>
      <c r="F772" s="159">
        <f>+P245</f>
        <v>87741</v>
      </c>
      <c r="G772" s="159">
        <f>+P257</f>
        <v>0</v>
      </c>
      <c r="H772" s="159">
        <f>+P374</f>
        <v>34687</v>
      </c>
      <c r="I772" s="159">
        <f>+P419</f>
        <v>13104</v>
      </c>
      <c r="J772" s="159">
        <f>+P460</f>
        <v>13087</v>
      </c>
      <c r="K772" s="159">
        <f>+P512</f>
        <v>13045</v>
      </c>
      <c r="L772" s="159">
        <f>+P522</f>
        <v>11178</v>
      </c>
      <c r="M772" s="159">
        <f>+P557</f>
        <v>11159</v>
      </c>
      <c r="N772" s="159">
        <f>+P598</f>
        <v>11073</v>
      </c>
      <c r="O772" s="159">
        <f>+P608</f>
        <v>4269</v>
      </c>
      <c r="P772" s="159">
        <f>+P642</f>
        <v>4942</v>
      </c>
      <c r="Q772" s="159">
        <f>+P685</f>
        <v>4267</v>
      </c>
      <c r="R772" s="324"/>
    </row>
    <row r="773" spans="1:18" x14ac:dyDescent="0.3">
      <c r="A773" s="323"/>
      <c r="B773" s="159"/>
      <c r="C773" s="159"/>
      <c r="D773" s="159"/>
      <c r="E773" s="159"/>
      <c r="F773" s="159"/>
      <c r="G773" s="159"/>
      <c r="H773" s="159"/>
      <c r="I773" s="159"/>
      <c r="J773" s="159"/>
      <c r="K773" s="159"/>
      <c r="L773" s="159"/>
      <c r="M773" s="159"/>
      <c r="N773" s="159"/>
      <c r="O773" s="159"/>
      <c r="P773" s="159"/>
      <c r="Q773" s="159"/>
      <c r="R773" s="324"/>
    </row>
    <row r="774" spans="1:18" x14ac:dyDescent="0.3">
      <c r="A774" s="325" t="s">
        <v>422</v>
      </c>
      <c r="B774" s="159">
        <f t="shared" ref="B774:Q774" si="106">SUM(B761:B772)</f>
        <v>1631086</v>
      </c>
      <c r="C774" s="159">
        <f t="shared" si="106"/>
        <v>1627586</v>
      </c>
      <c r="D774" s="159">
        <f t="shared" si="106"/>
        <v>1623508</v>
      </c>
      <c r="E774" s="159">
        <f t="shared" si="106"/>
        <v>1459145</v>
      </c>
      <c r="F774" s="159">
        <f t="shared" si="106"/>
        <v>415676</v>
      </c>
      <c r="G774" s="159">
        <f t="shared" si="106"/>
        <v>-470653</v>
      </c>
      <c r="H774" s="159">
        <f t="shared" si="106"/>
        <v>1138033</v>
      </c>
      <c r="I774" s="159">
        <f t="shared" si="106"/>
        <v>336536</v>
      </c>
      <c r="J774" s="159">
        <f t="shared" si="106"/>
        <v>266046</v>
      </c>
      <c r="K774" s="159">
        <f t="shared" si="106"/>
        <v>220082</v>
      </c>
      <c r="L774" s="159">
        <f t="shared" si="106"/>
        <v>182321</v>
      </c>
      <c r="M774" s="159">
        <f t="shared" si="106"/>
        <v>181948</v>
      </c>
      <c r="N774" s="159">
        <f t="shared" si="106"/>
        <v>168742</v>
      </c>
      <c r="O774" s="159">
        <f t="shared" si="106"/>
        <v>27772</v>
      </c>
      <c r="P774" s="159">
        <f t="shared" si="106"/>
        <v>66102</v>
      </c>
      <c r="Q774" s="159">
        <f t="shared" si="106"/>
        <v>27279</v>
      </c>
      <c r="R774" s="324"/>
    </row>
    <row r="775" spans="1:18" ht="16.2" thickBot="1" x14ac:dyDescent="0.35">
      <c r="A775" s="326" t="s">
        <v>7</v>
      </c>
      <c r="B775" s="327"/>
      <c r="C775" s="327"/>
      <c r="D775" s="327"/>
      <c r="E775" s="327"/>
      <c r="F775" s="327"/>
      <c r="G775" s="327"/>
      <c r="H775" s="327"/>
      <c r="I775" s="327"/>
      <c r="J775" s="327"/>
      <c r="K775" s="327"/>
      <c r="L775" s="327"/>
      <c r="M775" s="327"/>
      <c r="N775" s="327"/>
      <c r="O775" s="327"/>
      <c r="P775" s="327"/>
      <c r="Q775" s="327"/>
      <c r="R775" s="328"/>
    </row>
    <row r="776" spans="1:18" ht="16.2" thickBot="1" x14ac:dyDescent="0.35">
      <c r="A776" s="159"/>
      <c r="B776" s="159"/>
      <c r="C776" s="159"/>
      <c r="D776" s="159"/>
      <c r="E776" s="159"/>
      <c r="F776" s="159"/>
      <c r="G776" s="159"/>
      <c r="H776" s="159"/>
      <c r="I776" s="159"/>
      <c r="J776" s="159"/>
      <c r="K776" s="159"/>
      <c r="L776" s="159"/>
      <c r="M776" s="159"/>
      <c r="N776" s="159"/>
      <c r="O776" s="159"/>
      <c r="P776" s="159"/>
      <c r="Q776" s="159"/>
      <c r="R776" s="159"/>
    </row>
    <row r="777" spans="1:18" x14ac:dyDescent="0.3">
      <c r="A777" s="318"/>
      <c r="B777" s="319"/>
      <c r="C777" s="321" t="s">
        <v>423</v>
      </c>
      <c r="D777" s="319"/>
      <c r="E777" s="319"/>
      <c r="F777" s="319"/>
      <c r="G777" s="319"/>
      <c r="H777" s="319"/>
      <c r="I777" s="319" t="s">
        <v>424</v>
      </c>
      <c r="J777" s="319"/>
      <c r="K777" s="319" t="s">
        <v>7</v>
      </c>
      <c r="L777" s="329" t="str">
        <f>+A9</f>
        <v>Revised:  1/23/11</v>
      </c>
      <c r="M777" s="319"/>
      <c r="N777" s="319"/>
      <c r="O777" s="319"/>
      <c r="P777" s="319"/>
      <c r="Q777" s="321" t="str">
        <f>+Q1</f>
        <v>PRINTED:</v>
      </c>
      <c r="R777" s="322">
        <f ca="1">+R1</f>
        <v>44909.46975358796</v>
      </c>
    </row>
    <row r="778" spans="1:18" x14ac:dyDescent="0.3">
      <c r="A778" s="323"/>
      <c r="B778" s="159"/>
      <c r="C778" s="159"/>
      <c r="D778" s="159" t="str">
        <f>++A5</f>
        <v>Calendar Year 2011</v>
      </c>
      <c r="E778" s="159"/>
      <c r="F778" s="159"/>
      <c r="G778" s="159"/>
      <c r="H778" s="159"/>
      <c r="I778" s="159"/>
      <c r="J778" s="159"/>
      <c r="K778" s="159"/>
      <c r="L778" s="159"/>
      <c r="M778" s="159"/>
      <c r="N778" s="159"/>
      <c r="O778" s="159"/>
      <c r="P778" s="159"/>
      <c r="Q778" s="159"/>
      <c r="R778" s="324"/>
    </row>
    <row r="779" spans="1:18" x14ac:dyDescent="0.3">
      <c r="A779" s="323"/>
      <c r="B779" s="159"/>
      <c r="C779" s="159"/>
      <c r="D779" s="159"/>
      <c r="E779" s="159"/>
      <c r="F779" s="159"/>
      <c r="G779" s="159"/>
      <c r="H779" s="159"/>
      <c r="I779" s="159"/>
      <c r="J779" s="159"/>
      <c r="K779" s="159"/>
      <c r="L779" s="159"/>
      <c r="M779" s="159"/>
      <c r="N779" s="159"/>
      <c r="O779" s="159"/>
      <c r="P779" s="159"/>
      <c r="Q779" s="159"/>
      <c r="R779" s="324"/>
    </row>
    <row r="780" spans="1:18" x14ac:dyDescent="0.3">
      <c r="A780" s="323"/>
      <c r="B780" s="159"/>
      <c r="C780" s="159"/>
      <c r="D780" s="159"/>
      <c r="E780" s="159"/>
      <c r="F780" s="159"/>
      <c r="G780" s="164" t="s">
        <v>425</v>
      </c>
      <c r="H780" s="159"/>
      <c r="I780" s="159"/>
      <c r="J780" s="159"/>
      <c r="K780" s="159"/>
      <c r="L780" s="159"/>
      <c r="M780" s="159"/>
      <c r="N780" s="159"/>
      <c r="O780" s="159"/>
      <c r="P780" s="159"/>
      <c r="Q780" s="159"/>
      <c r="R780" s="324"/>
    </row>
    <row r="781" spans="1:18" x14ac:dyDescent="0.3">
      <c r="A781" s="323"/>
      <c r="B781" s="159" t="s">
        <v>424</v>
      </c>
      <c r="C781" s="159"/>
      <c r="D781" s="164" t="s">
        <v>426</v>
      </c>
      <c r="E781" s="164" t="s">
        <v>426</v>
      </c>
      <c r="F781" s="164" t="s">
        <v>427</v>
      </c>
      <c r="G781" s="164" t="s">
        <v>404</v>
      </c>
      <c r="H781" s="164" t="s">
        <v>428</v>
      </c>
      <c r="I781" s="164" t="s">
        <v>429</v>
      </c>
      <c r="J781" s="164" t="s">
        <v>422</v>
      </c>
      <c r="K781" s="159" t="s">
        <v>424</v>
      </c>
      <c r="L781" s="164" t="s">
        <v>430</v>
      </c>
      <c r="M781" s="164" t="s">
        <v>430</v>
      </c>
      <c r="N781" s="164" t="s">
        <v>430</v>
      </c>
      <c r="O781" s="159"/>
      <c r="P781" s="159"/>
      <c r="Q781" s="159"/>
      <c r="R781" s="324"/>
    </row>
    <row r="782" spans="1:18" ht="16.2" x14ac:dyDescent="0.35">
      <c r="A782" s="323"/>
      <c r="B782" s="164" t="s">
        <v>394</v>
      </c>
      <c r="C782" s="164" t="s">
        <v>431</v>
      </c>
      <c r="D782" s="164" t="s">
        <v>432</v>
      </c>
      <c r="E782" s="164" t="s">
        <v>432</v>
      </c>
      <c r="F782" s="164" t="s">
        <v>433</v>
      </c>
      <c r="G782" s="165" t="s">
        <v>434</v>
      </c>
      <c r="H782" s="164" t="s">
        <v>435</v>
      </c>
      <c r="I782" s="164" t="s">
        <v>436</v>
      </c>
      <c r="J782" s="164" t="s">
        <v>437</v>
      </c>
      <c r="K782" s="159" t="s">
        <v>424</v>
      </c>
      <c r="L782" s="164" t="s">
        <v>438</v>
      </c>
      <c r="M782" s="164" t="s">
        <v>434</v>
      </c>
      <c r="N782" s="164" t="s">
        <v>407</v>
      </c>
      <c r="O782" s="159"/>
      <c r="P782" s="159"/>
      <c r="Q782" s="159"/>
      <c r="R782" s="324"/>
    </row>
    <row r="783" spans="1:18" x14ac:dyDescent="0.3">
      <c r="A783" s="323"/>
      <c r="B783" s="164" t="s">
        <v>406</v>
      </c>
      <c r="C783" s="164" t="s">
        <v>439</v>
      </c>
      <c r="D783" s="164" t="s">
        <v>440</v>
      </c>
      <c r="E783" s="164" t="s">
        <v>441</v>
      </c>
      <c r="F783" s="164" t="s">
        <v>442</v>
      </c>
      <c r="G783" s="164" t="s">
        <v>442</v>
      </c>
      <c r="H783" s="164" t="s">
        <v>442</v>
      </c>
      <c r="I783" s="164" t="s">
        <v>442</v>
      </c>
      <c r="J783" s="164" t="s">
        <v>443</v>
      </c>
      <c r="K783" s="159" t="s">
        <v>424</v>
      </c>
      <c r="L783" s="164" t="s">
        <v>444</v>
      </c>
      <c r="M783" s="164" t="s">
        <v>445</v>
      </c>
      <c r="N783" s="164" t="s">
        <v>445</v>
      </c>
      <c r="O783" s="159"/>
      <c r="P783" s="159"/>
      <c r="Q783" s="159"/>
      <c r="R783" s="324"/>
    </row>
    <row r="784" spans="1:18" x14ac:dyDescent="0.3">
      <c r="A784" s="323"/>
      <c r="B784" s="164" t="s">
        <v>446</v>
      </c>
      <c r="C784" s="164" t="s">
        <v>447</v>
      </c>
      <c r="D784" s="164" t="s">
        <v>448</v>
      </c>
      <c r="E784" s="164" t="s">
        <v>448</v>
      </c>
      <c r="F784" s="164" t="s">
        <v>448</v>
      </c>
      <c r="G784" s="164" t="s">
        <v>448</v>
      </c>
      <c r="H784" s="164" t="s">
        <v>448</v>
      </c>
      <c r="I784" s="164" t="s">
        <v>448</v>
      </c>
      <c r="J784" s="164" t="s">
        <v>448</v>
      </c>
      <c r="K784" s="159" t="s">
        <v>424</v>
      </c>
      <c r="L784" s="164" t="s">
        <v>449</v>
      </c>
      <c r="M784" s="164" t="s">
        <v>449</v>
      </c>
      <c r="N784" s="164" t="s">
        <v>449</v>
      </c>
      <c r="O784" s="159"/>
      <c r="P784" s="159"/>
      <c r="Q784" s="159"/>
      <c r="R784" s="324"/>
    </row>
    <row r="785" spans="1:18" x14ac:dyDescent="0.3">
      <c r="A785" s="323"/>
      <c r="B785" s="159" t="s">
        <v>409</v>
      </c>
      <c r="C785" s="159" t="s">
        <v>409</v>
      </c>
      <c r="D785" s="159" t="s">
        <v>409</v>
      </c>
      <c r="E785" s="159" t="s">
        <v>409</v>
      </c>
      <c r="F785" s="159" t="s">
        <v>409</v>
      </c>
      <c r="G785" s="159" t="s">
        <v>409</v>
      </c>
      <c r="H785" s="159" t="s">
        <v>409</v>
      </c>
      <c r="I785" s="159" t="s">
        <v>409</v>
      </c>
      <c r="J785" s="159" t="s">
        <v>409</v>
      </c>
      <c r="K785" s="159" t="s">
        <v>424</v>
      </c>
      <c r="L785" s="159" t="s">
        <v>409</v>
      </c>
      <c r="M785" s="159" t="s">
        <v>409</v>
      </c>
      <c r="N785" s="159" t="s">
        <v>409</v>
      </c>
      <c r="O785" s="159"/>
      <c r="P785" s="159"/>
      <c r="Q785" s="159"/>
      <c r="R785" s="324"/>
    </row>
    <row r="786" spans="1:18" x14ac:dyDescent="0.3">
      <c r="A786" s="325" t="s">
        <v>410</v>
      </c>
      <c r="B786" s="159">
        <f t="shared" ref="B786:B797" si="107">(F761)</f>
        <v>22743</v>
      </c>
      <c r="C786" s="159">
        <f t="shared" ref="C786:C797" si="108">(SUM($B$759:$F$759))</f>
        <v>1607</v>
      </c>
      <c r="D786" s="159">
        <f t="shared" ref="D786:D797" si="109">(B786*C786/1000)</f>
        <v>36548.000999999997</v>
      </c>
      <c r="E786" s="159">
        <f t="shared" ref="E786:E797" si="110">(((B761-F761)*B$759)+((C761-F761)*C$759)+((D761-F761)*D$759)+((E761-F761)*E$759))/1000</f>
        <v>95258.12</v>
      </c>
      <c r="F786" s="159">
        <f t="shared" ref="F786:F797" si="111">(D786+E786)</f>
        <v>131806.12099999998</v>
      </c>
      <c r="G786" s="159">
        <f t="shared" ref="G786:G797" si="112">SUM(H843:Q843)</f>
        <v>27266.159000000003</v>
      </c>
      <c r="H786" s="159">
        <f t="shared" ref="H786:H797" si="113">+F786+G786</f>
        <v>159072.28</v>
      </c>
      <c r="I786" s="159">
        <f t="shared" ref="I786:I793" si="114">(E897)</f>
        <v>0</v>
      </c>
      <c r="J786" s="159">
        <f t="shared" ref="J786:J797" si="115">(H786-I786)</f>
        <v>159072.28</v>
      </c>
      <c r="K786" s="159" t="s">
        <v>424</v>
      </c>
      <c r="L786" s="159">
        <f>+B761/31/1.98</f>
        <v>1465.9498207885304</v>
      </c>
      <c r="M786" s="159">
        <f>(B786*43560/31/24/3600)</f>
        <v>369.87943548387096</v>
      </c>
      <c r="N786" s="159">
        <f>+B260</f>
        <v>0</v>
      </c>
      <c r="O786" s="159"/>
      <c r="P786" s="159"/>
      <c r="Q786" s="159"/>
      <c r="R786" s="324"/>
    </row>
    <row r="787" spans="1:18" x14ac:dyDescent="0.3">
      <c r="A787" s="325" t="s">
        <v>411</v>
      </c>
      <c r="B787" s="159">
        <f t="shared" si="107"/>
        <v>52608</v>
      </c>
      <c r="C787" s="159">
        <f t="shared" si="108"/>
        <v>1607</v>
      </c>
      <c r="D787" s="159">
        <f t="shared" si="109"/>
        <v>84541.055999999997</v>
      </c>
      <c r="E787" s="159">
        <f t="shared" si="110"/>
        <v>113630.667</v>
      </c>
      <c r="F787" s="159">
        <f t="shared" si="111"/>
        <v>198171.723</v>
      </c>
      <c r="G787" s="159">
        <f t="shared" si="112"/>
        <v>29033.742999999999</v>
      </c>
      <c r="H787" s="159">
        <f t="shared" si="113"/>
        <v>227205.46599999999</v>
      </c>
      <c r="I787" s="159">
        <f t="shared" si="114"/>
        <v>0</v>
      </c>
      <c r="J787" s="159">
        <f t="shared" si="115"/>
        <v>227205.46599999999</v>
      </c>
      <c r="K787" s="159" t="s">
        <v>424</v>
      </c>
      <c r="L787" s="159">
        <f>+B762/28/1.98</f>
        <v>2413.3477633477632</v>
      </c>
      <c r="M787" s="159">
        <f>(B787*43560/29/24/3600)</f>
        <v>914.59310344827577</v>
      </c>
      <c r="N787" s="159">
        <f>+C260</f>
        <v>0</v>
      </c>
      <c r="O787" s="159"/>
      <c r="P787" s="159"/>
      <c r="Q787" s="159"/>
      <c r="R787" s="324"/>
    </row>
    <row r="788" spans="1:18" x14ac:dyDescent="0.3">
      <c r="A788" s="325" t="s">
        <v>412</v>
      </c>
      <c r="B788" s="159">
        <f t="shared" si="107"/>
        <v>44419</v>
      </c>
      <c r="C788" s="159">
        <f t="shared" si="108"/>
        <v>1607</v>
      </c>
      <c r="D788" s="159">
        <f t="shared" si="109"/>
        <v>71381.332999999999</v>
      </c>
      <c r="E788" s="159">
        <f t="shared" si="110"/>
        <v>196472.864</v>
      </c>
      <c r="F788" s="159">
        <f t="shared" si="111"/>
        <v>267854.19699999999</v>
      </c>
      <c r="G788" s="159">
        <f t="shared" si="112"/>
        <v>31541.710999999996</v>
      </c>
      <c r="H788" s="159">
        <f t="shared" si="113"/>
        <v>299395.908</v>
      </c>
      <c r="I788" s="159">
        <f t="shared" si="114"/>
        <v>0</v>
      </c>
      <c r="J788" s="159">
        <f t="shared" si="115"/>
        <v>299395.908</v>
      </c>
      <c r="K788" s="159" t="s">
        <v>424</v>
      </c>
      <c r="L788" s="159">
        <f>+B763/31/1.98</f>
        <v>3026.3440860215055</v>
      </c>
      <c r="M788" s="159">
        <f>(B788*43560/31/24/3600)</f>
        <v>722.40577956989239</v>
      </c>
      <c r="N788" s="159">
        <f>+D260</f>
        <v>0</v>
      </c>
      <c r="O788" s="159"/>
      <c r="P788" s="159"/>
      <c r="Q788" s="159"/>
      <c r="R788" s="324"/>
    </row>
    <row r="789" spans="1:18" x14ac:dyDescent="0.3">
      <c r="A789" s="325" t="s">
        <v>413</v>
      </c>
      <c r="B789" s="159">
        <f t="shared" si="107"/>
        <v>21347</v>
      </c>
      <c r="C789" s="159">
        <f t="shared" si="108"/>
        <v>1607</v>
      </c>
      <c r="D789" s="159">
        <f t="shared" si="109"/>
        <v>34304.629000000001</v>
      </c>
      <c r="E789" s="159">
        <f t="shared" si="110"/>
        <v>224125.36900000001</v>
      </c>
      <c r="F789" s="159">
        <f t="shared" si="111"/>
        <v>258429.99800000002</v>
      </c>
      <c r="G789" s="159">
        <f t="shared" si="112"/>
        <v>38659.966</v>
      </c>
      <c r="H789" s="159">
        <f t="shared" si="113"/>
        <v>297089.96400000004</v>
      </c>
      <c r="I789" s="159">
        <f t="shared" si="114"/>
        <v>0</v>
      </c>
      <c r="J789" s="159">
        <f t="shared" si="115"/>
        <v>297089.96400000004</v>
      </c>
      <c r="K789" s="159" t="s">
        <v>424</v>
      </c>
      <c r="L789" s="159">
        <f>+B764/30/1.98</f>
        <v>3040.0336700336698</v>
      </c>
      <c r="M789" s="159">
        <f>(B789*43560/30/24/3600)</f>
        <v>358.74819444444444</v>
      </c>
      <c r="N789" s="159">
        <f>+F260</f>
        <v>0</v>
      </c>
      <c r="O789" s="159"/>
      <c r="P789" s="159"/>
      <c r="Q789" s="159"/>
      <c r="R789" s="324"/>
    </row>
    <row r="790" spans="1:18" x14ac:dyDescent="0.3">
      <c r="A790" s="325" t="s">
        <v>414</v>
      </c>
      <c r="B790" s="159">
        <f t="shared" si="107"/>
        <v>7072</v>
      </c>
      <c r="C790" s="159">
        <f t="shared" si="108"/>
        <v>1607</v>
      </c>
      <c r="D790" s="159">
        <f t="shared" si="109"/>
        <v>11364.704</v>
      </c>
      <c r="E790" s="159">
        <f t="shared" si="110"/>
        <v>225445.85200000001</v>
      </c>
      <c r="F790" s="159">
        <f t="shared" si="111"/>
        <v>236810.55600000001</v>
      </c>
      <c r="G790" s="159">
        <f t="shared" si="112"/>
        <v>39229.402000000002</v>
      </c>
      <c r="H790" s="159">
        <f t="shared" si="113"/>
        <v>276039.95799999998</v>
      </c>
      <c r="I790" s="159">
        <f t="shared" si="114"/>
        <v>3141.7649999999999</v>
      </c>
      <c r="J790" s="159">
        <f t="shared" si="115"/>
        <v>272898.19299999997</v>
      </c>
      <c r="K790" s="159" t="s">
        <v>424</v>
      </c>
      <c r="L790" s="159">
        <f>+B765/31/1.98</f>
        <v>2723.7699576409254</v>
      </c>
      <c r="M790" s="159">
        <f>(B790*43560/31/24/3600)</f>
        <v>115.01505376344086</v>
      </c>
      <c r="N790" s="159">
        <f>+G260</f>
        <v>-422.38055731784686</v>
      </c>
      <c r="O790" s="159"/>
      <c r="P790" s="159"/>
      <c r="Q790" s="159"/>
      <c r="R790" s="324"/>
    </row>
    <row r="791" spans="1:18" x14ac:dyDescent="0.3">
      <c r="A791" s="325" t="s">
        <v>415</v>
      </c>
      <c r="B791" s="159">
        <f t="shared" si="107"/>
        <v>1045</v>
      </c>
      <c r="C791" s="159">
        <f t="shared" si="108"/>
        <v>1607</v>
      </c>
      <c r="D791" s="159">
        <f t="shared" si="109"/>
        <v>1679.3150000000001</v>
      </c>
      <c r="E791" s="159">
        <f t="shared" si="110"/>
        <v>213955.95600000001</v>
      </c>
      <c r="F791" s="159">
        <f t="shared" si="111"/>
        <v>215635.27100000001</v>
      </c>
      <c r="G791" s="159">
        <f t="shared" si="112"/>
        <v>36625.394</v>
      </c>
      <c r="H791" s="159">
        <f t="shared" si="113"/>
        <v>252260.66500000001</v>
      </c>
      <c r="I791" s="159">
        <f t="shared" si="114"/>
        <v>9426.8680000000004</v>
      </c>
      <c r="J791" s="159">
        <f t="shared" si="115"/>
        <v>242833.79700000002</v>
      </c>
      <c r="K791" s="159" t="s">
        <v>424</v>
      </c>
      <c r="L791" s="159">
        <f>+B766/30/1.98</f>
        <v>2615.2525252525252</v>
      </c>
      <c r="M791" s="159">
        <f t="shared" ref="M791:M796" si="116">(B791*43560/30/24/3600)</f>
        <v>17.561805555555555</v>
      </c>
      <c r="N791" s="159">
        <f>+H260</f>
        <v>-1309.5982518070264</v>
      </c>
      <c r="O791" s="159"/>
      <c r="P791" s="159"/>
      <c r="Q791" s="159"/>
      <c r="R791" s="324"/>
    </row>
    <row r="792" spans="1:18" x14ac:dyDescent="0.3">
      <c r="A792" s="325" t="s">
        <v>416</v>
      </c>
      <c r="B792" s="159">
        <f t="shared" si="107"/>
        <v>316</v>
      </c>
      <c r="C792" s="159">
        <f t="shared" si="108"/>
        <v>1607</v>
      </c>
      <c r="D792" s="159">
        <f t="shared" si="109"/>
        <v>507.81200000000001</v>
      </c>
      <c r="E792" s="159">
        <f t="shared" si="110"/>
        <v>105873.788</v>
      </c>
      <c r="F792" s="159">
        <f t="shared" si="111"/>
        <v>106381.6</v>
      </c>
      <c r="G792" s="159">
        <f t="shared" si="112"/>
        <v>42197.616999999991</v>
      </c>
      <c r="H792" s="159">
        <f t="shared" si="113"/>
        <v>148579.217</v>
      </c>
      <c r="I792" s="159">
        <f t="shared" si="114"/>
        <v>19279.655999999999</v>
      </c>
      <c r="J792" s="159">
        <f t="shared" si="115"/>
        <v>129299.561</v>
      </c>
      <c r="K792" s="159" t="s">
        <v>424</v>
      </c>
      <c r="L792" s="159">
        <f>+B767/31/1.98</f>
        <v>1293.6624307592049</v>
      </c>
      <c r="M792" s="159">
        <f t="shared" si="116"/>
        <v>5.3105555555555553</v>
      </c>
      <c r="N792" s="159">
        <f>+J260</f>
        <v>-2591.9672051144403</v>
      </c>
      <c r="O792" s="159"/>
      <c r="P792" s="159"/>
      <c r="Q792" s="159"/>
      <c r="R792" s="324"/>
    </row>
    <row r="793" spans="1:18" x14ac:dyDescent="0.3">
      <c r="A793" s="325" t="s">
        <v>417</v>
      </c>
      <c r="B793" s="159">
        <f t="shared" si="107"/>
        <v>0</v>
      </c>
      <c r="C793" s="159">
        <f t="shared" si="108"/>
        <v>1607</v>
      </c>
      <c r="D793" s="159">
        <f t="shared" si="109"/>
        <v>0</v>
      </c>
      <c r="E793" s="159">
        <f t="shared" si="110"/>
        <v>84080.342000000004</v>
      </c>
      <c r="F793" s="159">
        <f t="shared" si="111"/>
        <v>84080.342000000004</v>
      </c>
      <c r="G793" s="159">
        <f t="shared" si="112"/>
        <v>46314.472000000002</v>
      </c>
      <c r="H793" s="159">
        <f t="shared" si="113"/>
        <v>130394.81400000001</v>
      </c>
      <c r="I793" s="159">
        <f t="shared" si="114"/>
        <v>19514.275000000001</v>
      </c>
      <c r="J793" s="159">
        <f t="shared" si="115"/>
        <v>110880.53900000002</v>
      </c>
      <c r="K793" s="159" t="s">
        <v>424</v>
      </c>
      <c r="L793" s="159">
        <f>+B768/31/1.98</f>
        <v>1002.6067122841317</v>
      </c>
      <c r="M793" s="159">
        <f t="shared" si="116"/>
        <v>0</v>
      </c>
      <c r="N793" s="159">
        <f>+K260</f>
        <v>-2623.5095082393891</v>
      </c>
      <c r="O793" s="159"/>
      <c r="P793" s="159"/>
      <c r="Q793" s="159"/>
      <c r="R793" s="324"/>
    </row>
    <row r="794" spans="1:18" x14ac:dyDescent="0.3">
      <c r="A794" s="325" t="s">
        <v>418</v>
      </c>
      <c r="B794" s="159">
        <f t="shared" si="107"/>
        <v>4936</v>
      </c>
      <c r="C794" s="159">
        <f t="shared" si="108"/>
        <v>1607</v>
      </c>
      <c r="D794" s="159">
        <f t="shared" si="109"/>
        <v>7932.152</v>
      </c>
      <c r="E794" s="159">
        <f t="shared" si="110"/>
        <v>138110.43900000001</v>
      </c>
      <c r="F794" s="159">
        <f t="shared" si="111"/>
        <v>146042.59100000001</v>
      </c>
      <c r="G794" s="159">
        <f t="shared" si="112"/>
        <v>36940.188999999998</v>
      </c>
      <c r="H794" s="159">
        <f t="shared" si="113"/>
        <v>182982.78000000003</v>
      </c>
      <c r="I794" s="159">
        <v>0</v>
      </c>
      <c r="J794" s="159">
        <f t="shared" si="115"/>
        <v>182982.78000000003</v>
      </c>
      <c r="K794" s="159" t="s">
        <v>424</v>
      </c>
      <c r="L794" s="159">
        <f>+B769/30/1.98</f>
        <v>1737.1717171717171</v>
      </c>
      <c r="M794" s="159">
        <f t="shared" si="116"/>
        <v>82.952222222222218</v>
      </c>
      <c r="N794" s="159">
        <f>+L260</f>
        <v>-776.08001344763818</v>
      </c>
      <c r="O794" s="159"/>
      <c r="P794" s="159"/>
      <c r="Q794" s="159"/>
      <c r="R794" s="324"/>
    </row>
    <row r="795" spans="1:18" x14ac:dyDescent="0.3">
      <c r="A795" s="325" t="s">
        <v>419</v>
      </c>
      <c r="B795" s="159">
        <f t="shared" si="107"/>
        <v>51830</v>
      </c>
      <c r="C795" s="159">
        <f t="shared" si="108"/>
        <v>1607</v>
      </c>
      <c r="D795" s="159">
        <f t="shared" si="109"/>
        <v>83290.81</v>
      </c>
      <c r="E795" s="159">
        <f t="shared" si="110"/>
        <v>136247.53099999999</v>
      </c>
      <c r="F795" s="159">
        <f t="shared" si="111"/>
        <v>219538.34099999999</v>
      </c>
      <c r="G795" s="159">
        <f t="shared" si="112"/>
        <v>25205.105000000007</v>
      </c>
      <c r="H795" s="159">
        <f t="shared" si="113"/>
        <v>244743.446</v>
      </c>
      <c r="I795" s="159">
        <v>0</v>
      </c>
      <c r="J795" s="159">
        <f t="shared" si="115"/>
        <v>244743.446</v>
      </c>
      <c r="K795" s="159" t="s">
        <v>424</v>
      </c>
      <c r="L795" s="159">
        <f>+B770/31/1.98</f>
        <v>2418.2469859889216</v>
      </c>
      <c r="M795" s="159">
        <f t="shared" si="116"/>
        <v>871.03194444444443</v>
      </c>
      <c r="N795" s="159">
        <f>+N260</f>
        <v>0</v>
      </c>
      <c r="O795" s="159"/>
      <c r="P795" s="159"/>
      <c r="Q795" s="159"/>
      <c r="R795" s="324"/>
    </row>
    <row r="796" spans="1:18" x14ac:dyDescent="0.3">
      <c r="A796" s="325" t="s">
        <v>420</v>
      </c>
      <c r="B796" s="159">
        <f t="shared" si="107"/>
        <v>121619</v>
      </c>
      <c r="C796" s="159">
        <f t="shared" si="108"/>
        <v>1607</v>
      </c>
      <c r="D796" s="159">
        <f t="shared" si="109"/>
        <v>195441.73300000001</v>
      </c>
      <c r="E796" s="159">
        <f t="shared" si="110"/>
        <v>76202.373000000007</v>
      </c>
      <c r="F796" s="159">
        <f t="shared" si="111"/>
        <v>271644.10600000003</v>
      </c>
      <c r="G796" s="159">
        <f t="shared" si="112"/>
        <v>11640.014000000001</v>
      </c>
      <c r="H796" s="159">
        <f t="shared" si="113"/>
        <v>283284.12000000005</v>
      </c>
      <c r="I796" s="159">
        <f>(E907)</f>
        <v>0</v>
      </c>
      <c r="J796" s="159">
        <f t="shared" si="115"/>
        <v>283284.12000000005</v>
      </c>
      <c r="K796" s="159" t="s">
        <v>424</v>
      </c>
      <c r="L796" s="159">
        <f>+B771/30/1.98</f>
        <v>2956.750841750842</v>
      </c>
      <c r="M796" s="159">
        <f t="shared" si="116"/>
        <v>2043.8748611111112</v>
      </c>
      <c r="N796" s="159">
        <f>+O260</f>
        <v>0</v>
      </c>
      <c r="O796" s="159"/>
      <c r="P796" s="159"/>
      <c r="Q796" s="159"/>
      <c r="R796" s="324"/>
    </row>
    <row r="797" spans="1:18" x14ac:dyDescent="0.3">
      <c r="A797" s="325" t="s">
        <v>421</v>
      </c>
      <c r="B797" s="159">
        <f t="shared" si="107"/>
        <v>87741</v>
      </c>
      <c r="C797" s="159">
        <f t="shared" si="108"/>
        <v>1607</v>
      </c>
      <c r="D797" s="159">
        <f t="shared" si="109"/>
        <v>140999.78700000001</v>
      </c>
      <c r="E797" s="159">
        <f t="shared" si="110"/>
        <v>87129.115999999995</v>
      </c>
      <c r="F797" s="159">
        <f t="shared" si="111"/>
        <v>228128.90299999999</v>
      </c>
      <c r="G797" s="159">
        <f t="shared" si="112"/>
        <v>20414.874000000003</v>
      </c>
      <c r="H797" s="159">
        <f t="shared" si="113"/>
        <v>248543.777</v>
      </c>
      <c r="I797" s="159">
        <f>(E908)</f>
        <v>0</v>
      </c>
      <c r="J797" s="159">
        <f t="shared" si="115"/>
        <v>248543.777</v>
      </c>
      <c r="K797" s="159" t="s">
        <v>424</v>
      </c>
      <c r="L797" s="159">
        <f>+B772/31/1.98</f>
        <v>2447.8331704138159</v>
      </c>
      <c r="M797" s="159">
        <f>(B797*43560/31/24/3600)</f>
        <v>1426.9705645161291</v>
      </c>
      <c r="N797" s="159">
        <f>+P260</f>
        <v>0</v>
      </c>
      <c r="O797" s="159"/>
      <c r="P797" s="159"/>
      <c r="Q797" s="159"/>
      <c r="R797" s="324"/>
    </row>
    <row r="798" spans="1:18" x14ac:dyDescent="0.3">
      <c r="A798" s="323"/>
      <c r="B798" s="159"/>
      <c r="C798" s="159"/>
      <c r="D798" s="159"/>
      <c r="E798" s="159"/>
      <c r="F798" s="159"/>
      <c r="G798" s="159"/>
      <c r="H798" s="159"/>
      <c r="I798" s="159"/>
      <c r="J798" s="159"/>
      <c r="K798" s="159" t="s">
        <v>424</v>
      </c>
      <c r="L798" s="159"/>
      <c r="M798" s="159"/>
      <c r="N798" s="159"/>
      <c r="O798" s="159"/>
      <c r="P798" s="159"/>
      <c r="Q798" s="159"/>
      <c r="R798" s="324"/>
    </row>
    <row r="799" spans="1:18" x14ac:dyDescent="0.3">
      <c r="A799" s="323" t="s">
        <v>422</v>
      </c>
      <c r="B799" s="159">
        <f>SUM(B786:B797)</f>
        <v>415676</v>
      </c>
      <c r="C799" s="159"/>
      <c r="D799" s="159">
        <f t="shared" ref="D799:J799" si="117">SUM(D786:D797)</f>
        <v>667991.33200000005</v>
      </c>
      <c r="E799" s="159">
        <f t="shared" si="117"/>
        <v>1696532.4169999997</v>
      </c>
      <c r="F799" s="159">
        <f t="shared" si="117"/>
        <v>2364523.7489999998</v>
      </c>
      <c r="G799" s="159">
        <f t="shared" si="117"/>
        <v>385068.64600000001</v>
      </c>
      <c r="H799" s="159">
        <f t="shared" si="117"/>
        <v>2749592.3949999996</v>
      </c>
      <c r="I799" s="159">
        <f t="shared" si="117"/>
        <v>51362.563999999998</v>
      </c>
      <c r="J799" s="159">
        <f t="shared" si="117"/>
        <v>2698229.8310000002</v>
      </c>
      <c r="K799" s="159"/>
      <c r="L799" s="159"/>
      <c r="M799" s="159"/>
      <c r="N799" s="159"/>
      <c r="O799" s="159"/>
      <c r="P799" s="159"/>
      <c r="Q799" s="159"/>
      <c r="R799" s="324"/>
    </row>
    <row r="800" spans="1:18" x14ac:dyDescent="0.3">
      <c r="A800" s="323"/>
      <c r="B800" s="159"/>
      <c r="C800" s="159"/>
      <c r="D800" s="159"/>
      <c r="E800" s="159"/>
      <c r="F800" s="159"/>
      <c r="G800" s="159"/>
      <c r="H800" s="159"/>
      <c r="I800" s="159"/>
      <c r="J800" s="159"/>
      <c r="K800" s="159"/>
      <c r="L800" s="159"/>
      <c r="M800" s="159"/>
      <c r="N800" s="159"/>
      <c r="O800" s="159"/>
      <c r="P800" s="159"/>
      <c r="Q800" s="159"/>
      <c r="R800" s="324"/>
    </row>
    <row r="801" spans="1:18" x14ac:dyDescent="0.3">
      <c r="A801" s="323" t="s">
        <v>450</v>
      </c>
      <c r="B801" s="159"/>
      <c r="C801" s="159"/>
      <c r="D801" s="159"/>
      <c r="E801" s="159"/>
      <c r="F801" s="159"/>
      <c r="G801" s="159"/>
      <c r="H801" s="159"/>
      <c r="I801" s="159"/>
      <c r="J801" s="159"/>
      <c r="K801" s="159"/>
      <c r="L801" s="159"/>
      <c r="M801" s="159"/>
      <c r="N801" s="159"/>
      <c r="O801" s="159"/>
      <c r="P801" s="159"/>
      <c r="Q801" s="159"/>
      <c r="R801" s="324"/>
    </row>
    <row r="802" spans="1:18" x14ac:dyDescent="0.3">
      <c r="A802" s="323" t="s">
        <v>451</v>
      </c>
      <c r="B802" s="159"/>
      <c r="C802" s="159"/>
      <c r="D802" s="159"/>
      <c r="E802" s="159"/>
      <c r="F802" s="159"/>
      <c r="G802" s="159"/>
      <c r="H802" s="159"/>
      <c r="I802" s="159"/>
      <c r="J802" s="159"/>
      <c r="K802" s="159"/>
      <c r="L802" s="159"/>
      <c r="M802" s="159"/>
      <c r="N802" s="159"/>
      <c r="O802" s="159"/>
      <c r="P802" s="159"/>
      <c r="Q802" s="159"/>
      <c r="R802" s="324"/>
    </row>
    <row r="803" spans="1:18" x14ac:dyDescent="0.3">
      <c r="A803" s="323"/>
      <c r="B803" s="159"/>
      <c r="C803" s="159"/>
      <c r="D803" s="159"/>
      <c r="E803" s="159"/>
      <c r="F803" s="159"/>
      <c r="G803" s="159"/>
      <c r="H803" s="159"/>
      <c r="I803" s="159"/>
      <c r="J803" s="159"/>
      <c r="K803" s="159"/>
      <c r="L803" s="159"/>
      <c r="M803" s="159"/>
      <c r="N803" s="159"/>
      <c r="O803" s="159"/>
      <c r="P803" s="159"/>
      <c r="Q803" s="159"/>
      <c r="R803" s="324"/>
    </row>
    <row r="804" spans="1:18" x14ac:dyDescent="0.3">
      <c r="A804" s="323" t="s">
        <v>452</v>
      </c>
      <c r="B804" s="159"/>
      <c r="C804" s="159"/>
      <c r="D804" s="159"/>
      <c r="E804" s="159"/>
      <c r="F804" s="159"/>
      <c r="G804" s="159"/>
      <c r="H804" s="159"/>
      <c r="I804" s="159"/>
      <c r="J804" s="159"/>
      <c r="K804" s="159"/>
      <c r="L804" s="159"/>
      <c r="M804" s="159"/>
      <c r="N804" s="159"/>
      <c r="O804" s="159"/>
      <c r="P804" s="159"/>
      <c r="Q804" s="159"/>
      <c r="R804" s="324"/>
    </row>
    <row r="805" spans="1:18" x14ac:dyDescent="0.3">
      <c r="A805" s="323"/>
      <c r="B805" s="159"/>
      <c r="C805" s="159"/>
      <c r="D805" s="159"/>
      <c r="E805" s="159"/>
      <c r="F805" s="159"/>
      <c r="G805" s="159"/>
      <c r="H805" s="159"/>
      <c r="I805" s="159"/>
      <c r="J805" s="159"/>
      <c r="K805" s="159"/>
      <c r="L805" s="159"/>
      <c r="M805" s="159"/>
      <c r="N805" s="159"/>
      <c r="O805" s="159"/>
      <c r="P805" s="159"/>
      <c r="Q805" s="159"/>
      <c r="R805" s="324"/>
    </row>
    <row r="806" spans="1:18" ht="16.2" thickBot="1" x14ac:dyDescent="0.35">
      <c r="A806" s="326" t="s">
        <v>453</v>
      </c>
      <c r="B806" s="327"/>
      <c r="C806" s="327"/>
      <c r="D806" s="327"/>
      <c r="E806" s="327"/>
      <c r="F806" s="327"/>
      <c r="G806" s="327"/>
      <c r="H806" s="327"/>
      <c r="I806" s="327"/>
      <c r="J806" s="327"/>
      <c r="K806" s="327"/>
      <c r="L806" s="327"/>
      <c r="M806" s="327"/>
      <c r="N806" s="327"/>
      <c r="O806" s="327"/>
      <c r="P806" s="327"/>
      <c r="Q806" s="327"/>
      <c r="R806" s="328"/>
    </row>
    <row r="807" spans="1:18" ht="16.2" thickBot="1" x14ac:dyDescent="0.35">
      <c r="A807" s="159"/>
      <c r="B807" s="159"/>
      <c r="C807" s="159"/>
      <c r="D807" s="159"/>
      <c r="E807" s="159"/>
      <c r="F807" s="159"/>
      <c r="G807" s="159"/>
      <c r="H807" s="159"/>
      <c r="I807" s="159"/>
      <c r="J807" s="159"/>
      <c r="K807" s="159"/>
      <c r="L807" s="159"/>
      <c r="M807" s="159"/>
      <c r="N807" s="159"/>
      <c r="O807" s="159"/>
      <c r="P807" s="159"/>
      <c r="Q807" s="159"/>
      <c r="R807" s="159"/>
    </row>
    <row r="808" spans="1:18" x14ac:dyDescent="0.3">
      <c r="A808" s="318"/>
      <c r="B808" s="319"/>
      <c r="C808" s="319"/>
      <c r="D808" s="321" t="s">
        <v>454</v>
      </c>
      <c r="E808" s="319"/>
      <c r="F808" s="319"/>
      <c r="G808" s="319"/>
      <c r="H808" s="319"/>
      <c r="I808" s="319"/>
      <c r="J808" s="319"/>
      <c r="K808" s="319"/>
      <c r="L808" s="319"/>
      <c r="M808" s="319"/>
      <c r="N808" s="319"/>
      <c r="O808" s="319"/>
      <c r="P808" s="319"/>
      <c r="Q808" s="321" t="str">
        <f>+Q1</f>
        <v>PRINTED:</v>
      </c>
      <c r="R808" s="322">
        <f ca="1">+R1</f>
        <v>44909.46975358796</v>
      </c>
    </row>
    <row r="809" spans="1:18" x14ac:dyDescent="0.3">
      <c r="A809" s="323"/>
      <c r="B809" s="159"/>
      <c r="C809" s="159"/>
      <c r="D809" s="159"/>
      <c r="E809" s="159" t="s">
        <v>7</v>
      </c>
      <c r="F809" s="163" t="str">
        <f>+A9</f>
        <v>Revised:  1/23/11</v>
      </c>
      <c r="G809" s="159"/>
      <c r="H809" s="159"/>
      <c r="I809" s="159"/>
      <c r="J809" s="159"/>
      <c r="K809" s="159"/>
      <c r="L809" s="159"/>
      <c r="M809" s="159"/>
      <c r="N809" s="159"/>
      <c r="O809" s="159"/>
      <c r="P809" s="159"/>
      <c r="Q809" s="159"/>
      <c r="R809" s="324"/>
    </row>
    <row r="810" spans="1:18" x14ac:dyDescent="0.3">
      <c r="A810" s="323"/>
      <c r="B810" s="159"/>
      <c r="C810" s="159"/>
      <c r="D810" s="159" t="s">
        <v>787</v>
      </c>
      <c r="E810" s="159"/>
      <c r="F810" s="159"/>
      <c r="G810" s="159"/>
      <c r="H810" s="159"/>
      <c r="I810" s="159"/>
      <c r="J810" s="159"/>
      <c r="K810" s="159"/>
      <c r="L810" s="159"/>
      <c r="M810" s="159"/>
      <c r="N810" s="159"/>
      <c r="O810" s="159"/>
      <c r="P810" s="159"/>
      <c r="Q810" s="159"/>
      <c r="R810" s="324"/>
    </row>
    <row r="811" spans="1:18" x14ac:dyDescent="0.3">
      <c r="A811" s="323"/>
      <c r="B811" s="159"/>
      <c r="C811" s="159"/>
      <c r="D811" s="159"/>
      <c r="E811" s="159"/>
      <c r="F811" s="159"/>
      <c r="G811" s="159"/>
      <c r="H811" s="159"/>
      <c r="I811" s="159"/>
      <c r="J811" s="159"/>
      <c r="K811" s="159"/>
      <c r="L811" s="159"/>
      <c r="M811" s="159"/>
      <c r="N811" s="159"/>
      <c r="O811" s="159"/>
      <c r="P811" s="159"/>
      <c r="Q811" s="159"/>
      <c r="R811" s="324"/>
    </row>
    <row r="812" spans="1:18" x14ac:dyDescent="0.3">
      <c r="A812" s="323"/>
      <c r="B812" s="159"/>
      <c r="C812" s="159"/>
      <c r="D812" s="159"/>
      <c r="E812" s="159" t="str">
        <f>+A5</f>
        <v>Calendar Year 2011</v>
      </c>
      <c r="F812" s="159"/>
      <c r="G812" s="159"/>
      <c r="H812" s="159"/>
      <c r="I812" s="159"/>
      <c r="J812" s="159"/>
      <c r="K812" s="159"/>
      <c r="L812" s="159"/>
      <c r="M812" s="159"/>
      <c r="N812" s="159"/>
      <c r="O812" s="159"/>
      <c r="P812" s="159"/>
      <c r="Q812" s="159"/>
      <c r="R812" s="324"/>
    </row>
    <row r="813" spans="1:18" x14ac:dyDescent="0.3">
      <c r="A813" s="323"/>
      <c r="B813" s="159"/>
      <c r="C813" s="159"/>
      <c r="D813" s="159"/>
      <c r="E813" s="159" t="s">
        <v>455</v>
      </c>
      <c r="F813" s="159"/>
      <c r="G813" s="159"/>
      <c r="H813" s="159"/>
      <c r="I813" s="159"/>
      <c r="J813" s="159"/>
      <c r="K813" s="159"/>
      <c r="L813" s="159"/>
      <c r="M813" s="159"/>
      <c r="N813" s="159"/>
      <c r="O813" s="159"/>
      <c r="P813" s="159"/>
      <c r="Q813" s="159"/>
      <c r="R813" s="324"/>
    </row>
    <row r="814" spans="1:18" x14ac:dyDescent="0.3">
      <c r="A814" s="323"/>
      <c r="B814" s="159"/>
      <c r="C814" s="159"/>
      <c r="D814" s="159"/>
      <c r="E814" s="159"/>
      <c r="F814" s="159"/>
      <c r="G814" s="159"/>
      <c r="H814" s="159"/>
      <c r="I814" s="159"/>
      <c r="J814" s="159"/>
      <c r="K814" s="159"/>
      <c r="L814" s="159"/>
      <c r="M814" s="159"/>
      <c r="N814" s="159"/>
      <c r="O814" s="159"/>
      <c r="P814" s="159"/>
      <c r="Q814" s="159"/>
      <c r="R814" s="324"/>
    </row>
    <row r="815" spans="1:18" x14ac:dyDescent="0.3">
      <c r="A815" s="323" t="s">
        <v>389</v>
      </c>
      <c r="B815" s="164" t="s">
        <v>390</v>
      </c>
      <c r="C815" s="164" t="s">
        <v>391</v>
      </c>
      <c r="D815" s="164" t="s">
        <v>392</v>
      </c>
      <c r="E815" s="164" t="s">
        <v>393</v>
      </c>
      <c r="F815" s="164" t="s">
        <v>394</v>
      </c>
      <c r="G815" s="164" t="s">
        <v>394</v>
      </c>
      <c r="H815" s="164" t="s">
        <v>395</v>
      </c>
      <c r="I815" s="164" t="s">
        <v>396</v>
      </c>
      <c r="J815" s="164" t="s">
        <v>397</v>
      </c>
      <c r="K815" s="164" t="s">
        <v>398</v>
      </c>
      <c r="L815" s="164" t="s">
        <v>399</v>
      </c>
      <c r="M815" s="164" t="s">
        <v>400</v>
      </c>
      <c r="N815" s="164" t="s">
        <v>401</v>
      </c>
      <c r="O815" s="164" t="s">
        <v>402</v>
      </c>
      <c r="P815" s="164" t="s">
        <v>403</v>
      </c>
      <c r="Q815" s="164" t="s">
        <v>404</v>
      </c>
      <c r="R815" s="324"/>
    </row>
    <row r="816" spans="1:18" x14ac:dyDescent="0.3">
      <c r="A816" s="323" t="s">
        <v>405</v>
      </c>
      <c r="B816" s="159"/>
      <c r="C816" s="159"/>
      <c r="D816" s="159"/>
      <c r="E816" s="159"/>
      <c r="F816" s="164" t="s">
        <v>406</v>
      </c>
      <c r="G816" s="164" t="s">
        <v>407</v>
      </c>
      <c r="H816" s="159"/>
      <c r="I816" s="159"/>
      <c r="J816" s="159"/>
      <c r="K816" s="159"/>
      <c r="L816" s="159"/>
      <c r="M816" s="159"/>
      <c r="N816" s="159"/>
      <c r="O816" s="159"/>
      <c r="P816" s="159"/>
      <c r="Q816" s="159"/>
      <c r="R816" s="324"/>
    </row>
    <row r="817" spans="1:19" x14ac:dyDescent="0.3">
      <c r="A817" s="323" t="s">
        <v>408</v>
      </c>
      <c r="B817" s="159">
        <v>953</v>
      </c>
      <c r="C817" s="159">
        <v>128</v>
      </c>
      <c r="D817" s="159">
        <v>128</v>
      </c>
      <c r="E817" s="159">
        <v>219</v>
      </c>
      <c r="F817" s="159">
        <v>179</v>
      </c>
      <c r="G817" s="159">
        <v>121</v>
      </c>
      <c r="H817" s="159">
        <v>92</v>
      </c>
      <c r="I817" s="159">
        <v>150</v>
      </c>
      <c r="J817" s="159">
        <v>237</v>
      </c>
      <c r="K817" s="159">
        <v>226</v>
      </c>
      <c r="L817" s="159">
        <v>99</v>
      </c>
      <c r="M817" s="159">
        <v>102</v>
      </c>
      <c r="N817" s="159">
        <v>249</v>
      </c>
      <c r="O817" s="159">
        <v>189</v>
      </c>
      <c r="P817" s="159">
        <v>333</v>
      </c>
      <c r="Q817" s="159">
        <v>411</v>
      </c>
      <c r="R817" s="324"/>
    </row>
    <row r="818" spans="1:19" x14ac:dyDescent="0.3">
      <c r="A818" s="323"/>
      <c r="B818" s="166" t="s">
        <v>409</v>
      </c>
      <c r="C818" s="166" t="s">
        <v>409</v>
      </c>
      <c r="D818" s="166" t="s">
        <v>409</v>
      </c>
      <c r="E818" s="166" t="s">
        <v>409</v>
      </c>
      <c r="F818" s="166" t="s">
        <v>409</v>
      </c>
      <c r="G818" s="166" t="s">
        <v>409</v>
      </c>
      <c r="H818" s="166" t="s">
        <v>409</v>
      </c>
      <c r="I818" s="166" t="s">
        <v>409</v>
      </c>
      <c r="J818" s="166" t="s">
        <v>409</v>
      </c>
      <c r="K818" s="166" t="s">
        <v>409</v>
      </c>
      <c r="L818" s="166" t="s">
        <v>409</v>
      </c>
      <c r="M818" s="166" t="s">
        <v>409</v>
      </c>
      <c r="N818" s="166" t="s">
        <v>409</v>
      </c>
      <c r="O818" s="166" t="s">
        <v>409</v>
      </c>
      <c r="P818" s="166" t="s">
        <v>409</v>
      </c>
      <c r="Q818" s="166" t="s">
        <v>409</v>
      </c>
      <c r="R818" s="324"/>
    </row>
    <row r="819" spans="1:19" x14ac:dyDescent="0.3">
      <c r="A819" s="325" t="s">
        <v>410</v>
      </c>
      <c r="B819" s="159">
        <f t="shared" ref="B819:Q819" si="118">(B761/31/1.98)</f>
        <v>1465.9498207885304</v>
      </c>
      <c r="C819" s="159">
        <f t="shared" si="118"/>
        <v>1464.3695014662758</v>
      </c>
      <c r="D819" s="159">
        <f t="shared" si="118"/>
        <v>1462.8054740957969</v>
      </c>
      <c r="E819" s="159">
        <f t="shared" si="118"/>
        <v>1412.4470511567285</v>
      </c>
      <c r="F819" s="159">
        <f t="shared" si="118"/>
        <v>370.52785923753663</v>
      </c>
      <c r="G819" s="159">
        <f t="shared" si="118"/>
        <v>0</v>
      </c>
      <c r="H819" s="159">
        <f t="shared" si="118"/>
        <v>691.28380579993484</v>
      </c>
      <c r="I819" s="159">
        <f t="shared" si="118"/>
        <v>340.72987943955684</v>
      </c>
      <c r="J819" s="159">
        <f t="shared" si="118"/>
        <v>340.5180840664712</v>
      </c>
      <c r="K819" s="159">
        <f t="shared" si="118"/>
        <v>333.9361355490388</v>
      </c>
      <c r="L819" s="159">
        <f t="shared" si="118"/>
        <v>264.72792440534374</v>
      </c>
      <c r="M819" s="159">
        <f t="shared" si="118"/>
        <v>264.40208536982732</v>
      </c>
      <c r="N819" s="159">
        <f t="shared" si="118"/>
        <v>264.23916585206911</v>
      </c>
      <c r="O819" s="159">
        <f t="shared" si="118"/>
        <v>45.2753339850114</v>
      </c>
      <c r="P819" s="159">
        <f t="shared" si="118"/>
        <v>83.07266210492017</v>
      </c>
      <c r="Q819" s="159">
        <f t="shared" si="118"/>
        <v>44.151189312479637</v>
      </c>
      <c r="R819" s="324"/>
    </row>
    <row r="820" spans="1:19" x14ac:dyDescent="0.3">
      <c r="A820" s="325" t="s">
        <v>411</v>
      </c>
      <c r="B820" s="159">
        <f t="shared" ref="B820:Q820" si="119">(B762/28/1.98)</f>
        <v>2413.3477633477632</v>
      </c>
      <c r="C820" s="159">
        <f t="shared" si="119"/>
        <v>2410.6782106782107</v>
      </c>
      <c r="D820" s="159">
        <f t="shared" si="119"/>
        <v>2408.0627705627703</v>
      </c>
      <c r="E820" s="159">
        <f t="shared" si="119"/>
        <v>2228.0844155844156</v>
      </c>
      <c r="F820" s="159">
        <f t="shared" si="119"/>
        <v>948.9177489177489</v>
      </c>
      <c r="G820" s="159">
        <f t="shared" si="119"/>
        <v>0</v>
      </c>
      <c r="H820" s="159">
        <f t="shared" si="119"/>
        <v>873.68326118326115</v>
      </c>
      <c r="I820" s="159">
        <f t="shared" si="119"/>
        <v>407.55772005772002</v>
      </c>
      <c r="J820" s="159">
        <f t="shared" si="119"/>
        <v>405.28499278499277</v>
      </c>
      <c r="K820" s="159">
        <f t="shared" si="119"/>
        <v>392.42424242424244</v>
      </c>
      <c r="L820" s="159">
        <f t="shared" si="119"/>
        <v>305.68181818181819</v>
      </c>
      <c r="M820" s="159">
        <f t="shared" si="119"/>
        <v>305.28499278499277</v>
      </c>
      <c r="N820" s="159">
        <f t="shared" si="119"/>
        <v>305.08658008658006</v>
      </c>
      <c r="O820" s="159">
        <f t="shared" si="119"/>
        <v>59.126984126984127</v>
      </c>
      <c r="P820" s="159">
        <f t="shared" si="119"/>
        <v>76.298701298701303</v>
      </c>
      <c r="Q820" s="159">
        <f t="shared" si="119"/>
        <v>57.160894660894662</v>
      </c>
      <c r="R820" s="324"/>
    </row>
    <row r="821" spans="1:19" x14ac:dyDescent="0.3">
      <c r="A821" s="325" t="s">
        <v>412</v>
      </c>
      <c r="B821" s="159">
        <f t="shared" ref="B821:Q821" si="120">(B763/31/1.98)</f>
        <v>3026.3440860215055</v>
      </c>
      <c r="C821" s="159">
        <f t="shared" si="120"/>
        <v>3021.8800912349298</v>
      </c>
      <c r="D821" s="159">
        <f t="shared" si="120"/>
        <v>3017.6278918214402</v>
      </c>
      <c r="E821" s="159">
        <f t="shared" si="120"/>
        <v>2635.4675790159658</v>
      </c>
      <c r="F821" s="159">
        <f t="shared" si="120"/>
        <v>723.67220593027037</v>
      </c>
      <c r="G821" s="159">
        <f t="shared" si="120"/>
        <v>0</v>
      </c>
      <c r="H821" s="159">
        <f t="shared" si="120"/>
        <v>1420.951449983708</v>
      </c>
      <c r="I821" s="159">
        <f t="shared" si="120"/>
        <v>443.35288367546434</v>
      </c>
      <c r="J821" s="159">
        <f t="shared" si="120"/>
        <v>399.47865754317371</v>
      </c>
      <c r="K821" s="159">
        <f t="shared" si="120"/>
        <v>328.7552948843271</v>
      </c>
      <c r="L821" s="159">
        <f t="shared" si="120"/>
        <v>239.6220267188009</v>
      </c>
      <c r="M821" s="159">
        <f t="shared" si="120"/>
        <v>239.16585206907789</v>
      </c>
      <c r="N821" s="159">
        <f t="shared" si="120"/>
        <v>237.50407298794394</v>
      </c>
      <c r="O821" s="159">
        <f t="shared" si="120"/>
        <v>18.442489410231346</v>
      </c>
      <c r="P821" s="159">
        <f t="shared" si="120"/>
        <v>88.416422287390034</v>
      </c>
      <c r="Q821" s="159">
        <f t="shared" si="120"/>
        <v>18.214402085369827</v>
      </c>
      <c r="R821" s="324"/>
    </row>
    <row r="822" spans="1:19" x14ac:dyDescent="0.3">
      <c r="A822" s="325" t="s">
        <v>413</v>
      </c>
      <c r="B822" s="159">
        <f t="shared" ref="B822:Q822" si="121">(B764/30/1.98)</f>
        <v>3040.0336700336698</v>
      </c>
      <c r="C822" s="159">
        <f t="shared" si="121"/>
        <v>3033.8552188552189</v>
      </c>
      <c r="D822" s="159">
        <f t="shared" si="121"/>
        <v>3027.4074074074074</v>
      </c>
      <c r="E822" s="159">
        <f t="shared" si="121"/>
        <v>2800.6902356902356</v>
      </c>
      <c r="F822" s="159">
        <f t="shared" si="121"/>
        <v>359.37710437710439</v>
      </c>
      <c r="G822" s="159">
        <f t="shared" si="121"/>
        <v>0</v>
      </c>
      <c r="H822" s="159">
        <f t="shared" si="121"/>
        <v>1929.1919191919194</v>
      </c>
      <c r="I822" s="159">
        <f t="shared" si="121"/>
        <v>576.93602693602691</v>
      </c>
      <c r="J822" s="159">
        <f t="shared" si="121"/>
        <v>486.39730639730641</v>
      </c>
      <c r="K822" s="159">
        <f t="shared" si="121"/>
        <v>402.08754208754209</v>
      </c>
      <c r="L822" s="159">
        <f t="shared" si="121"/>
        <v>310.16835016835017</v>
      </c>
      <c r="M822" s="159">
        <f t="shared" si="121"/>
        <v>309.54545454545456</v>
      </c>
      <c r="N822" s="159">
        <f t="shared" si="121"/>
        <v>288.53535353535352</v>
      </c>
      <c r="O822" s="159">
        <f t="shared" si="121"/>
        <v>26.750841750841751</v>
      </c>
      <c r="P822" s="159">
        <f t="shared" si="121"/>
        <v>92.81144781144782</v>
      </c>
      <c r="Q822" s="159">
        <f t="shared" si="121"/>
        <v>25.74074074074074</v>
      </c>
      <c r="R822" s="324"/>
    </row>
    <row r="823" spans="1:19" x14ac:dyDescent="0.3">
      <c r="A823" s="325" t="s">
        <v>414</v>
      </c>
      <c r="B823" s="159">
        <f t="shared" ref="B823:Q823" si="122">(B765/31/1.98)</f>
        <v>2723.7699576409254</v>
      </c>
      <c r="C823" s="159">
        <f t="shared" si="122"/>
        <v>2716.8458781362006</v>
      </c>
      <c r="D823" s="159">
        <f t="shared" si="122"/>
        <v>2708.6347344411861</v>
      </c>
      <c r="E823" s="159">
        <f t="shared" si="122"/>
        <v>2498.9410231345714</v>
      </c>
      <c r="F823" s="159">
        <f t="shared" si="122"/>
        <v>115.21668295861843</v>
      </c>
      <c r="G823" s="159">
        <f t="shared" si="122"/>
        <v>-423.02052785923757</v>
      </c>
      <c r="H823" s="159">
        <f t="shared" si="122"/>
        <v>2155.0342130987292</v>
      </c>
      <c r="I823" s="159">
        <f t="shared" si="122"/>
        <v>511.40436624307597</v>
      </c>
      <c r="J823" s="159">
        <f t="shared" si="122"/>
        <v>441.62593678722709</v>
      </c>
      <c r="K823" s="159">
        <f t="shared" si="122"/>
        <v>338.04170739654614</v>
      </c>
      <c r="L823" s="159">
        <f t="shared" si="122"/>
        <v>323.80254154447704</v>
      </c>
      <c r="M823" s="159">
        <f t="shared" si="122"/>
        <v>323.11827956989248</v>
      </c>
      <c r="N823" s="159">
        <f t="shared" si="122"/>
        <v>277.72890192245029</v>
      </c>
      <c r="O823" s="159">
        <f t="shared" si="122"/>
        <v>28.820462691430432</v>
      </c>
      <c r="P823" s="159">
        <f t="shared" si="122"/>
        <v>95.454545454545453</v>
      </c>
      <c r="Q823" s="159">
        <f t="shared" si="122"/>
        <v>28.429455848810687</v>
      </c>
      <c r="R823" s="324"/>
    </row>
    <row r="824" spans="1:19" x14ac:dyDescent="0.3">
      <c r="A824" s="325" t="s">
        <v>415</v>
      </c>
      <c r="B824" s="159">
        <f t="shared" ref="B824:Q824" si="123">(B766/30/1.98)</f>
        <v>2615.2525252525252</v>
      </c>
      <c r="C824" s="159">
        <f t="shared" si="123"/>
        <v>2608.2323232323233</v>
      </c>
      <c r="D824" s="159">
        <f t="shared" si="123"/>
        <v>2600.4040404040406</v>
      </c>
      <c r="E824" s="159">
        <f t="shared" si="123"/>
        <v>2137.1380471380476</v>
      </c>
      <c r="F824" s="159">
        <f t="shared" si="123"/>
        <v>17.592592592592595</v>
      </c>
      <c r="G824" s="159">
        <f t="shared" si="123"/>
        <v>-1311.5824915824917</v>
      </c>
      <c r="H824" s="159">
        <f t="shared" si="123"/>
        <v>2692.5757575757575</v>
      </c>
      <c r="I824" s="159">
        <f t="shared" si="123"/>
        <v>616.78451178451178</v>
      </c>
      <c r="J824" s="159">
        <f t="shared" si="123"/>
        <v>375.90909090909088</v>
      </c>
      <c r="K824" s="159">
        <f t="shared" si="123"/>
        <v>226.95286195286195</v>
      </c>
      <c r="L824" s="159">
        <f t="shared" si="123"/>
        <v>207.35690235690237</v>
      </c>
      <c r="M824" s="159">
        <f t="shared" si="123"/>
        <v>206.61616161616163</v>
      </c>
      <c r="N824" s="159">
        <f t="shared" si="123"/>
        <v>170.72390572390574</v>
      </c>
      <c r="O824" s="159">
        <f t="shared" si="123"/>
        <v>28.383838383838384</v>
      </c>
      <c r="P824" s="159">
        <f t="shared" si="123"/>
        <v>106.21212121212122</v>
      </c>
      <c r="Q824" s="159">
        <f t="shared" si="123"/>
        <v>27.070707070707073</v>
      </c>
      <c r="R824" s="324"/>
    </row>
    <row r="825" spans="1:19" x14ac:dyDescent="0.3">
      <c r="A825" s="325" t="s">
        <v>416</v>
      </c>
      <c r="B825" s="159">
        <f t="shared" ref="B825:Q826" si="124">(B767/31/1.98)</f>
        <v>1293.6624307592049</v>
      </c>
      <c r="C825" s="159">
        <f t="shared" si="124"/>
        <v>1286.8849788204627</v>
      </c>
      <c r="D825" s="159">
        <f t="shared" si="124"/>
        <v>1279.0974258716194</v>
      </c>
      <c r="E825" s="159">
        <f t="shared" si="124"/>
        <v>780.53111762789183</v>
      </c>
      <c r="F825" s="159">
        <f t="shared" si="124"/>
        <v>5.1482567611599865</v>
      </c>
      <c r="G825" s="159">
        <f t="shared" si="124"/>
        <v>-2595.8944281524928</v>
      </c>
      <c r="H825" s="159">
        <f t="shared" si="124"/>
        <v>2737.2108178559793</v>
      </c>
      <c r="I825" s="159">
        <f t="shared" si="124"/>
        <v>774.56826327794079</v>
      </c>
      <c r="J825" s="159">
        <f t="shared" si="124"/>
        <v>464.4835451287064</v>
      </c>
      <c r="K825" s="159">
        <f t="shared" si="124"/>
        <v>286.34734441186055</v>
      </c>
      <c r="L825" s="159">
        <f t="shared" si="124"/>
        <v>243.22254806125773</v>
      </c>
      <c r="M825" s="159">
        <f t="shared" si="124"/>
        <v>242.58716194200065</v>
      </c>
      <c r="N825" s="159">
        <f t="shared" si="124"/>
        <v>197.58879113717825</v>
      </c>
      <c r="O825" s="159">
        <f t="shared" si="124"/>
        <v>22.173346366894755</v>
      </c>
      <c r="P825" s="159">
        <f t="shared" si="124"/>
        <v>100.5702183121538</v>
      </c>
      <c r="Q825" s="159">
        <f t="shared" si="124"/>
        <v>21.831215379602476</v>
      </c>
      <c r="R825" s="324"/>
    </row>
    <row r="826" spans="1:19" x14ac:dyDescent="0.3">
      <c r="A826" s="325" t="s">
        <v>417</v>
      </c>
      <c r="B826" s="159">
        <f t="shared" si="124"/>
        <v>1002.6067122841317</v>
      </c>
      <c r="C826" s="159">
        <f t="shared" si="124"/>
        <v>997.16520039100692</v>
      </c>
      <c r="D826" s="159">
        <f t="shared" si="124"/>
        <v>988.7585532746823</v>
      </c>
      <c r="E826" s="159">
        <f t="shared" si="124"/>
        <v>731.28054740957975</v>
      </c>
      <c r="F826" s="159">
        <f t="shared" si="124"/>
        <v>0</v>
      </c>
      <c r="G826" s="159">
        <f t="shared" si="124"/>
        <v>-2627.4845226458128</v>
      </c>
      <c r="H826" s="159">
        <f t="shared" si="124"/>
        <v>2767.4486803519062</v>
      </c>
      <c r="I826" s="159">
        <f t="shared" si="124"/>
        <v>800.26067122841312</v>
      </c>
      <c r="J826" s="159">
        <f t="shared" si="124"/>
        <v>479.01596611274033</v>
      </c>
      <c r="K826" s="159">
        <f t="shared" si="124"/>
        <v>393.02704463994792</v>
      </c>
      <c r="L826" s="159">
        <f t="shared" si="124"/>
        <v>312.90322580645159</v>
      </c>
      <c r="M826" s="159">
        <f t="shared" si="124"/>
        <v>312.31671554252199</v>
      </c>
      <c r="N826" s="159">
        <f t="shared" si="124"/>
        <v>261.59986966438584</v>
      </c>
      <c r="O826" s="159">
        <f t="shared" si="124"/>
        <v>27.549690452916259</v>
      </c>
      <c r="P826" s="159">
        <f t="shared" si="124"/>
        <v>99.608993157380255</v>
      </c>
      <c r="Q826" s="159">
        <f t="shared" si="124"/>
        <v>27.272727272727273</v>
      </c>
      <c r="R826" s="324"/>
    </row>
    <row r="827" spans="1:19" x14ac:dyDescent="0.3">
      <c r="A827" s="325" t="s">
        <v>418</v>
      </c>
      <c r="B827" s="159">
        <f>(B769/30/1.98)</f>
        <v>1737.1717171717171</v>
      </c>
      <c r="C827" s="159">
        <f t="shared" ref="C827:Q827" si="125">(C769/30/1.98)</f>
        <v>1731.8518518518517</v>
      </c>
      <c r="D827" s="159">
        <f t="shared" si="125"/>
        <v>1722.5420875420875</v>
      </c>
      <c r="E827" s="159">
        <f t="shared" si="125"/>
        <v>1580.2188552188552</v>
      </c>
      <c r="F827" s="159">
        <f t="shared" si="125"/>
        <v>83.0976430976431</v>
      </c>
      <c r="G827" s="159">
        <f t="shared" si="125"/>
        <v>-777.25589225589226</v>
      </c>
      <c r="H827" s="159">
        <f t="shared" si="125"/>
        <v>1665.5892255892256</v>
      </c>
      <c r="I827" s="159">
        <f t="shared" si="125"/>
        <v>488.67003367003372</v>
      </c>
      <c r="J827" s="159">
        <f t="shared" si="125"/>
        <v>411.22895622895624</v>
      </c>
      <c r="K827" s="159">
        <f t="shared" si="125"/>
        <v>353.63636363636368</v>
      </c>
      <c r="L827" s="159">
        <f t="shared" si="125"/>
        <v>328.92255892255889</v>
      </c>
      <c r="M827" s="159">
        <f t="shared" si="125"/>
        <v>328.35016835016836</v>
      </c>
      <c r="N827" s="159">
        <f t="shared" si="125"/>
        <v>317.18855218855219</v>
      </c>
      <c r="O827" s="159">
        <f t="shared" si="125"/>
        <v>67.676767676767682</v>
      </c>
      <c r="P827" s="159">
        <f t="shared" si="125"/>
        <v>98.333333333333329</v>
      </c>
      <c r="Q827" s="159">
        <f t="shared" si="125"/>
        <v>66.666666666666671</v>
      </c>
      <c r="R827" s="324"/>
    </row>
    <row r="828" spans="1:19" x14ac:dyDescent="0.3">
      <c r="A828" s="325" t="s">
        <v>419</v>
      </c>
      <c r="B828" s="159">
        <f t="shared" ref="B828:Q828" si="126">(B770/31/1.98)</f>
        <v>2418.2469859889216</v>
      </c>
      <c r="C828" s="159">
        <f t="shared" si="126"/>
        <v>2413.6037797328122</v>
      </c>
      <c r="D828" s="159">
        <f t="shared" si="126"/>
        <v>2409.1723688497882</v>
      </c>
      <c r="E828" s="159">
        <f t="shared" si="126"/>
        <v>2299.7882046269146</v>
      </c>
      <c r="F828" s="159">
        <f t="shared" si="126"/>
        <v>844.4118605408928</v>
      </c>
      <c r="G828" s="159">
        <f t="shared" si="126"/>
        <v>0</v>
      </c>
      <c r="H828" s="159">
        <f t="shared" si="126"/>
        <v>897.88204626914307</v>
      </c>
      <c r="I828" s="159">
        <f t="shared" si="126"/>
        <v>278.77158683610298</v>
      </c>
      <c r="J828" s="159">
        <f t="shared" si="126"/>
        <v>274.68230694037146</v>
      </c>
      <c r="K828" s="159">
        <f t="shared" si="126"/>
        <v>265.90094493320299</v>
      </c>
      <c r="L828" s="159">
        <f t="shared" si="126"/>
        <v>216.60149885956338</v>
      </c>
      <c r="M828" s="159">
        <f t="shared" si="126"/>
        <v>216.12903225806451</v>
      </c>
      <c r="N828" s="159">
        <f t="shared" si="126"/>
        <v>213.27794069729555</v>
      </c>
      <c r="O828" s="159">
        <f t="shared" si="126"/>
        <v>54.382535027696314</v>
      </c>
      <c r="P828" s="159">
        <f t="shared" si="126"/>
        <v>95.601173020527852</v>
      </c>
      <c r="Q828" s="159">
        <f t="shared" si="126"/>
        <v>54.301075268817208</v>
      </c>
      <c r="R828" s="324"/>
    </row>
    <row r="829" spans="1:19" x14ac:dyDescent="0.3">
      <c r="A829" s="325" t="s">
        <v>420</v>
      </c>
      <c r="B829" s="159">
        <f t="shared" ref="B829:Q829" si="127">(B771/30/1.98)</f>
        <v>2956.750841750842</v>
      </c>
      <c r="C829" s="159">
        <f t="shared" si="127"/>
        <v>2952.7946127946129</v>
      </c>
      <c r="D829" s="159">
        <f t="shared" si="127"/>
        <v>2948.9898989898988</v>
      </c>
      <c r="E829" s="159">
        <f t="shared" si="127"/>
        <v>2892.3569023569025</v>
      </c>
      <c r="F829" s="159">
        <f t="shared" si="127"/>
        <v>2047.4579124579125</v>
      </c>
      <c r="G829" s="159">
        <f t="shared" si="127"/>
        <v>0</v>
      </c>
      <c r="H829" s="159">
        <f t="shared" si="127"/>
        <v>446.58249158249157</v>
      </c>
      <c r="I829" s="159">
        <f t="shared" si="127"/>
        <v>128.14814814814815</v>
      </c>
      <c r="J829" s="159">
        <f t="shared" si="127"/>
        <v>126.96969696969697</v>
      </c>
      <c r="K829" s="159">
        <f t="shared" si="127"/>
        <v>125.65656565656566</v>
      </c>
      <c r="L829" s="159">
        <f t="shared" si="127"/>
        <v>95.202020202020208</v>
      </c>
      <c r="M829" s="159">
        <f t="shared" si="127"/>
        <v>94.81481481481481</v>
      </c>
      <c r="N829" s="159">
        <f t="shared" si="127"/>
        <v>92.828282828282838</v>
      </c>
      <c r="O829" s="159">
        <f t="shared" si="127"/>
        <v>14.478114478114479</v>
      </c>
      <c r="P829" s="159">
        <f t="shared" si="127"/>
        <v>79.579124579124581</v>
      </c>
      <c r="Q829" s="159">
        <f t="shared" si="127"/>
        <v>13.905723905723907</v>
      </c>
      <c r="R829" s="324"/>
    </row>
    <row r="830" spans="1:19" ht="16.2" thickBot="1" x14ac:dyDescent="0.35">
      <c r="A830" s="330" t="s">
        <v>421</v>
      </c>
      <c r="B830" s="327">
        <f t="shared" ref="B830:Q830" si="128">(B772/31/1.98)</f>
        <v>2447.8331704138159</v>
      </c>
      <c r="C830" s="327">
        <f t="shared" si="128"/>
        <v>2444.8028673835129</v>
      </c>
      <c r="D830" s="327">
        <f t="shared" si="128"/>
        <v>2441.8866080156404</v>
      </c>
      <c r="E830" s="327">
        <f t="shared" si="128"/>
        <v>2294.5584881068753</v>
      </c>
      <c r="F830" s="327">
        <f t="shared" si="128"/>
        <v>1429.4721407624634</v>
      </c>
      <c r="G830" s="327">
        <f t="shared" si="128"/>
        <v>0</v>
      </c>
      <c r="H830" s="327">
        <f t="shared" si="128"/>
        <v>565.11893124796359</v>
      </c>
      <c r="I830" s="327">
        <f t="shared" si="128"/>
        <v>213.48973607038121</v>
      </c>
      <c r="J830" s="327">
        <f t="shared" si="128"/>
        <v>213.21277289019227</v>
      </c>
      <c r="K830" s="327">
        <f t="shared" si="128"/>
        <v>212.52851091560768</v>
      </c>
      <c r="L830" s="327">
        <f t="shared" si="128"/>
        <v>182.11143695014661</v>
      </c>
      <c r="M830" s="327">
        <f t="shared" si="128"/>
        <v>181.80188986640599</v>
      </c>
      <c r="N830" s="327">
        <f t="shared" si="128"/>
        <v>180.40078201368524</v>
      </c>
      <c r="O830" s="327">
        <f t="shared" si="128"/>
        <v>69.550342130987303</v>
      </c>
      <c r="P830" s="327">
        <f t="shared" si="128"/>
        <v>80.51482567611599</v>
      </c>
      <c r="Q830" s="327">
        <f t="shared" si="128"/>
        <v>69.51775822743565</v>
      </c>
      <c r="R830" s="328"/>
    </row>
    <row r="831" spans="1:19" ht="16.2" thickBot="1" x14ac:dyDescent="0.35">
      <c r="A831" s="159"/>
      <c r="B831" s="159"/>
      <c r="C831" s="159"/>
      <c r="D831" s="159"/>
      <c r="E831" s="159"/>
      <c r="F831" s="159"/>
      <c r="G831" s="159"/>
      <c r="H831" s="159"/>
      <c r="I831" s="159"/>
      <c r="J831" s="159"/>
      <c r="K831" s="159"/>
      <c r="L831" s="159"/>
      <c r="M831" s="159"/>
      <c r="N831" s="159"/>
      <c r="O831" s="159"/>
      <c r="P831" s="159"/>
      <c r="Q831" s="159"/>
      <c r="R831" s="159"/>
    </row>
    <row r="832" spans="1:19" x14ac:dyDescent="0.3">
      <c r="A832" s="318"/>
      <c r="B832" s="319"/>
      <c r="C832" s="319"/>
      <c r="D832" s="321" t="s">
        <v>456</v>
      </c>
      <c r="E832" s="319"/>
      <c r="F832" s="319"/>
      <c r="G832" s="319"/>
      <c r="H832" s="319"/>
      <c r="I832" s="319"/>
      <c r="J832" s="319"/>
      <c r="K832" s="319"/>
      <c r="L832" s="319"/>
      <c r="M832" s="319"/>
      <c r="N832" s="319"/>
      <c r="O832" s="319"/>
      <c r="P832" s="319"/>
      <c r="Q832" s="321" t="str">
        <f>+Q1</f>
        <v>PRINTED:</v>
      </c>
      <c r="R832" s="331">
        <f ca="1">+R1</f>
        <v>44909.46975358796</v>
      </c>
      <c r="S832" s="332"/>
    </row>
    <row r="833" spans="1:19" x14ac:dyDescent="0.3">
      <c r="A833" s="323"/>
      <c r="B833" s="159"/>
      <c r="C833" s="159"/>
      <c r="D833" s="159"/>
      <c r="E833" s="159" t="s">
        <v>7</v>
      </c>
      <c r="F833" s="163" t="str">
        <f>+A9</f>
        <v>Revised:  1/23/11</v>
      </c>
      <c r="G833" s="159"/>
      <c r="H833" s="159"/>
      <c r="I833" s="159"/>
      <c r="J833" s="159"/>
      <c r="K833" s="159"/>
      <c r="L833" s="159"/>
      <c r="M833" s="159"/>
      <c r="N833" s="159"/>
      <c r="O833" s="159"/>
      <c r="P833" s="159"/>
      <c r="Q833" s="159"/>
      <c r="R833" s="159"/>
      <c r="S833" s="307"/>
    </row>
    <row r="834" spans="1:19" x14ac:dyDescent="0.3">
      <c r="A834" s="323"/>
      <c r="B834" s="159"/>
      <c r="C834" s="159"/>
      <c r="D834" s="159" t="s">
        <v>787</v>
      </c>
      <c r="E834" s="159"/>
      <c r="F834" s="159"/>
      <c r="G834" s="159"/>
      <c r="H834" s="159"/>
      <c r="I834" s="159"/>
      <c r="J834" s="159"/>
      <c r="K834" s="159"/>
      <c r="L834" s="159"/>
      <c r="M834" s="159"/>
      <c r="N834" s="159"/>
      <c r="O834" s="159"/>
      <c r="P834" s="159"/>
      <c r="Q834" s="159"/>
      <c r="R834" s="159"/>
      <c r="S834" s="307"/>
    </row>
    <row r="835" spans="1:19" x14ac:dyDescent="0.3">
      <c r="A835" s="323"/>
      <c r="B835" s="159"/>
      <c r="C835" s="159"/>
      <c r="D835" s="159"/>
      <c r="E835" s="159"/>
      <c r="F835" s="159"/>
      <c r="G835" s="159"/>
      <c r="H835" s="159"/>
      <c r="I835" s="159"/>
      <c r="J835" s="159"/>
      <c r="K835" s="159"/>
      <c r="L835" s="159"/>
      <c r="M835" s="159"/>
      <c r="N835" s="159"/>
      <c r="O835" s="159"/>
      <c r="P835" s="159"/>
      <c r="Q835" s="159"/>
      <c r="R835" s="159"/>
      <c r="S835" s="307"/>
    </row>
    <row r="836" spans="1:19" x14ac:dyDescent="0.3">
      <c r="A836" s="323"/>
      <c r="B836" s="159"/>
      <c r="C836" s="159"/>
      <c r="D836" s="159"/>
      <c r="E836" s="159" t="str">
        <f>A5</f>
        <v>Calendar Year 2011</v>
      </c>
      <c r="F836" s="159"/>
      <c r="G836" s="159"/>
      <c r="H836" s="159"/>
      <c r="I836" s="159"/>
      <c r="J836" s="159"/>
      <c r="K836" s="159"/>
      <c r="L836" s="159"/>
      <c r="M836" s="159"/>
      <c r="N836" s="159"/>
      <c r="O836" s="159"/>
      <c r="P836" s="159"/>
      <c r="Q836" s="159"/>
      <c r="R836" s="159"/>
      <c r="S836" s="324"/>
    </row>
    <row r="837" spans="1:19" x14ac:dyDescent="0.3">
      <c r="A837" s="323"/>
      <c r="B837" s="159"/>
      <c r="C837" s="159"/>
      <c r="D837" s="159"/>
      <c r="E837" s="159" t="s">
        <v>457</v>
      </c>
      <c r="F837" s="159"/>
      <c r="G837" s="159"/>
      <c r="H837" s="159"/>
      <c r="I837" s="159"/>
      <c r="J837" s="159"/>
      <c r="K837" s="159"/>
      <c r="L837" s="159"/>
      <c r="M837" s="159"/>
      <c r="N837" s="159"/>
      <c r="O837" s="159"/>
      <c r="P837" s="159"/>
      <c r="Q837" s="159"/>
      <c r="R837" s="159"/>
      <c r="S837" s="324"/>
    </row>
    <row r="838" spans="1:19" x14ac:dyDescent="0.3">
      <c r="A838" s="323"/>
      <c r="B838" s="159"/>
      <c r="C838" s="159"/>
      <c r="D838" s="159"/>
      <c r="E838" s="159"/>
      <c r="F838" s="159"/>
      <c r="G838" s="159"/>
      <c r="H838" s="159"/>
      <c r="I838" s="159"/>
      <c r="J838" s="159"/>
      <c r="K838" s="159"/>
      <c r="L838" s="159"/>
      <c r="M838" s="159"/>
      <c r="N838" s="159"/>
      <c r="O838" s="159"/>
      <c r="P838" s="159"/>
      <c r="Q838" s="159"/>
      <c r="R838" s="159"/>
      <c r="S838" s="324"/>
    </row>
    <row r="839" spans="1:19" x14ac:dyDescent="0.3">
      <c r="A839" s="323" t="s">
        <v>389</v>
      </c>
      <c r="B839" s="164" t="s">
        <v>390</v>
      </c>
      <c r="C839" s="164" t="s">
        <v>391</v>
      </c>
      <c r="D839" s="164" t="s">
        <v>392</v>
      </c>
      <c r="E839" s="164" t="s">
        <v>393</v>
      </c>
      <c r="F839" s="164" t="s">
        <v>394</v>
      </c>
      <c r="G839" s="164" t="s">
        <v>394</v>
      </c>
      <c r="H839" s="164" t="s">
        <v>395</v>
      </c>
      <c r="I839" s="164" t="s">
        <v>396</v>
      </c>
      <c r="J839" s="164" t="s">
        <v>397</v>
      </c>
      <c r="K839" s="164" t="s">
        <v>398</v>
      </c>
      <c r="L839" s="164" t="s">
        <v>399</v>
      </c>
      <c r="M839" s="164" t="s">
        <v>400</v>
      </c>
      <c r="N839" s="164" t="s">
        <v>401</v>
      </c>
      <c r="O839" s="164" t="s">
        <v>402</v>
      </c>
      <c r="P839" s="164" t="s">
        <v>403</v>
      </c>
      <c r="Q839" s="164" t="s">
        <v>404</v>
      </c>
      <c r="R839" s="164" t="s">
        <v>422</v>
      </c>
      <c r="S839" s="333" t="s">
        <v>462</v>
      </c>
    </row>
    <row r="840" spans="1:19" x14ac:dyDescent="0.3">
      <c r="A840" s="323" t="s">
        <v>405</v>
      </c>
      <c r="B840" s="159"/>
      <c r="C840" s="159"/>
      <c r="D840" s="159"/>
      <c r="E840" s="159"/>
      <c r="F840" s="164" t="s">
        <v>406</v>
      </c>
      <c r="G840" s="164" t="s">
        <v>407</v>
      </c>
      <c r="H840" s="159"/>
      <c r="I840" s="159"/>
      <c r="J840" s="159"/>
      <c r="K840" s="159"/>
      <c r="L840" s="159"/>
      <c r="M840" s="159"/>
      <c r="N840" s="159"/>
      <c r="O840" s="159"/>
      <c r="P840" s="159"/>
      <c r="Q840" s="159"/>
      <c r="R840" s="164" t="s">
        <v>458</v>
      </c>
      <c r="S840" s="333" t="s">
        <v>463</v>
      </c>
    </row>
    <row r="841" spans="1:19" x14ac:dyDescent="0.3">
      <c r="A841" s="323" t="s">
        <v>408</v>
      </c>
      <c r="B841" s="159">
        <v>953</v>
      </c>
      <c r="C841" s="159">
        <v>128</v>
      </c>
      <c r="D841" s="159">
        <v>128</v>
      </c>
      <c r="E841" s="159">
        <v>219</v>
      </c>
      <c r="F841" s="159">
        <v>179</v>
      </c>
      <c r="G841" s="159">
        <v>121</v>
      </c>
      <c r="H841" s="159">
        <v>92</v>
      </c>
      <c r="I841" s="159">
        <v>150</v>
      </c>
      <c r="J841" s="159">
        <v>237</v>
      </c>
      <c r="K841" s="159">
        <v>226</v>
      </c>
      <c r="L841" s="159">
        <v>99</v>
      </c>
      <c r="M841" s="159">
        <v>102</v>
      </c>
      <c r="N841" s="159">
        <v>249</v>
      </c>
      <c r="O841" s="159">
        <v>189</v>
      </c>
      <c r="P841" s="159">
        <v>333</v>
      </c>
      <c r="Q841" s="159">
        <v>411</v>
      </c>
      <c r="R841" s="164" t="s">
        <v>442</v>
      </c>
      <c r="S841" s="333" t="s">
        <v>464</v>
      </c>
    </row>
    <row r="842" spans="1:19" x14ac:dyDescent="0.3">
      <c r="A842" s="323"/>
      <c r="B842" s="159" t="s">
        <v>409</v>
      </c>
      <c r="C842" s="159" t="s">
        <v>409</v>
      </c>
      <c r="D842" s="159" t="s">
        <v>409</v>
      </c>
      <c r="E842" s="159" t="s">
        <v>409</v>
      </c>
      <c r="F842" s="159" t="s">
        <v>409</v>
      </c>
      <c r="G842" s="159" t="s">
        <v>409</v>
      </c>
      <c r="H842" s="159" t="s">
        <v>409</v>
      </c>
      <c r="I842" s="159" t="s">
        <v>409</v>
      </c>
      <c r="J842" s="159" t="s">
        <v>409</v>
      </c>
      <c r="K842" s="159" t="s">
        <v>409</v>
      </c>
      <c r="L842" s="159" t="s">
        <v>409</v>
      </c>
      <c r="M842" s="159" t="s">
        <v>409</v>
      </c>
      <c r="N842" s="159" t="s">
        <v>409</v>
      </c>
      <c r="O842" s="159" t="s">
        <v>409</v>
      </c>
      <c r="P842" s="159" t="s">
        <v>409</v>
      </c>
      <c r="Q842" s="159" t="s">
        <v>409</v>
      </c>
      <c r="R842" s="159" t="s">
        <v>459</v>
      </c>
      <c r="S842" s="333" t="s">
        <v>409</v>
      </c>
    </row>
    <row r="843" spans="1:19" x14ac:dyDescent="0.3">
      <c r="A843" s="325" t="s">
        <v>410</v>
      </c>
      <c r="B843" s="159">
        <f t="shared" ref="B843:Q843" si="129">(B761*B759)/1000</f>
        <v>85750.94</v>
      </c>
      <c r="C843" s="159">
        <f t="shared" si="129"/>
        <v>11505.023999999999</v>
      </c>
      <c r="D843" s="159">
        <f t="shared" si="129"/>
        <v>11492.736000000001</v>
      </c>
      <c r="E843" s="159">
        <f t="shared" si="129"/>
        <v>18986.423999999999</v>
      </c>
      <c r="F843" s="159">
        <f t="shared" si="129"/>
        <v>4070.9969999999998</v>
      </c>
      <c r="G843" s="159">
        <f t="shared" si="129"/>
        <v>0</v>
      </c>
      <c r="H843" s="159">
        <f t="shared" si="129"/>
        <v>3903.652</v>
      </c>
      <c r="I843" s="159">
        <f t="shared" si="129"/>
        <v>3137.1</v>
      </c>
      <c r="J843" s="159">
        <f t="shared" si="129"/>
        <v>4953.5370000000003</v>
      </c>
      <c r="K843" s="159">
        <f t="shared" si="129"/>
        <v>4632.3220000000001</v>
      </c>
      <c r="L843" s="159">
        <f t="shared" si="129"/>
        <v>1608.6510000000001</v>
      </c>
      <c r="M843" s="159">
        <f t="shared" si="129"/>
        <v>1655.3579999999999</v>
      </c>
      <c r="N843" s="159">
        <f t="shared" si="129"/>
        <v>4038.5309999999999</v>
      </c>
      <c r="O843" s="159">
        <f t="shared" si="129"/>
        <v>525.23099999999999</v>
      </c>
      <c r="P843" s="159">
        <f t="shared" si="129"/>
        <v>1697.9670000000001</v>
      </c>
      <c r="Q843" s="159">
        <f t="shared" si="129"/>
        <v>1113.81</v>
      </c>
      <c r="R843" s="159">
        <f t="shared" ref="R843:R854" si="130">(SUM(B843:Q843))</f>
        <v>159072.28000000003</v>
      </c>
      <c r="S843" s="334">
        <f t="shared" ref="S843:S854" si="131">(Q897*R897)/1000</f>
        <v>26.279683559999999</v>
      </c>
    </row>
    <row r="844" spans="1:19" x14ac:dyDescent="0.3">
      <c r="A844" s="325" t="s">
        <v>411</v>
      </c>
      <c r="B844" s="159">
        <f t="shared" ref="B844:Q844" si="132">(B762*B759)/1000</f>
        <v>127507.588</v>
      </c>
      <c r="C844" s="159">
        <f t="shared" si="132"/>
        <v>17106.944</v>
      </c>
      <c r="D844" s="159">
        <f t="shared" si="132"/>
        <v>17088.383999999998</v>
      </c>
      <c r="E844" s="159">
        <f t="shared" si="132"/>
        <v>27051.974999999999</v>
      </c>
      <c r="F844" s="159">
        <f t="shared" si="132"/>
        <v>9416.8320000000003</v>
      </c>
      <c r="G844" s="159">
        <f t="shared" si="132"/>
        <v>0</v>
      </c>
      <c r="H844" s="159">
        <f t="shared" si="132"/>
        <v>4456.2039999999997</v>
      </c>
      <c r="I844" s="159">
        <f t="shared" si="132"/>
        <v>3389.25</v>
      </c>
      <c r="J844" s="159">
        <f t="shared" si="132"/>
        <v>5325.1530000000002</v>
      </c>
      <c r="K844" s="159">
        <f t="shared" si="132"/>
        <v>4916.8559999999998</v>
      </c>
      <c r="L844" s="159">
        <f t="shared" si="132"/>
        <v>1677.7529999999999</v>
      </c>
      <c r="M844" s="159">
        <f t="shared" si="132"/>
        <v>1726.35</v>
      </c>
      <c r="N844" s="159">
        <f t="shared" si="132"/>
        <v>4211.5860000000002</v>
      </c>
      <c r="O844" s="159">
        <f t="shared" si="132"/>
        <v>619.54200000000003</v>
      </c>
      <c r="P844" s="159">
        <f t="shared" si="132"/>
        <v>1408.59</v>
      </c>
      <c r="Q844" s="159">
        <f t="shared" si="132"/>
        <v>1302.4590000000001</v>
      </c>
      <c r="R844" s="159">
        <f t="shared" si="130"/>
        <v>227205.46599999999</v>
      </c>
      <c r="S844" s="334">
        <f t="shared" si="131"/>
        <v>27.037311600000006</v>
      </c>
    </row>
    <row r="845" spans="1:19" x14ac:dyDescent="0.3">
      <c r="A845" s="325" t="s">
        <v>412</v>
      </c>
      <c r="B845" s="159">
        <f t="shared" ref="B845:Q845" si="133">(B763*B759)/1000</f>
        <v>177026.421</v>
      </c>
      <c r="C845" s="159">
        <f t="shared" si="133"/>
        <v>23741.824000000001</v>
      </c>
      <c r="D845" s="159">
        <f t="shared" si="133"/>
        <v>23708.416000000001</v>
      </c>
      <c r="E845" s="159">
        <f t="shared" si="133"/>
        <v>35426.535000000003</v>
      </c>
      <c r="F845" s="159">
        <f t="shared" si="133"/>
        <v>7951.0010000000002</v>
      </c>
      <c r="G845" s="159">
        <f t="shared" si="133"/>
        <v>0</v>
      </c>
      <c r="H845" s="159">
        <f t="shared" si="133"/>
        <v>8024.0559999999996</v>
      </c>
      <c r="I845" s="159">
        <f t="shared" si="133"/>
        <v>4081.95</v>
      </c>
      <c r="J845" s="159">
        <f t="shared" si="133"/>
        <v>5811.24</v>
      </c>
      <c r="K845" s="159">
        <f t="shared" si="133"/>
        <v>4560.4539999999997</v>
      </c>
      <c r="L845" s="159">
        <f t="shared" si="133"/>
        <v>1456.0920000000001</v>
      </c>
      <c r="M845" s="159">
        <f t="shared" si="133"/>
        <v>1497.36</v>
      </c>
      <c r="N845" s="159">
        <f t="shared" si="133"/>
        <v>3629.922</v>
      </c>
      <c r="O845" s="159">
        <f t="shared" si="133"/>
        <v>213.94800000000001</v>
      </c>
      <c r="P845" s="159">
        <f t="shared" si="133"/>
        <v>1807.191</v>
      </c>
      <c r="Q845" s="159">
        <f t="shared" si="133"/>
        <v>459.49799999999999</v>
      </c>
      <c r="R845" s="159">
        <f t="shared" si="130"/>
        <v>299395.908</v>
      </c>
      <c r="S845" s="334">
        <f t="shared" si="131"/>
        <v>22.388107170000001</v>
      </c>
    </row>
    <row r="846" spans="1:19" x14ac:dyDescent="0.3">
      <c r="A846" s="325" t="s">
        <v>413</v>
      </c>
      <c r="B846" s="159">
        <f t="shared" ref="B846:Q846" si="134">(B764*B759)/1000</f>
        <v>172090.834</v>
      </c>
      <c r="C846" s="159">
        <f t="shared" si="134"/>
        <v>23067.008000000002</v>
      </c>
      <c r="D846" s="159">
        <f t="shared" si="134"/>
        <v>23017.984</v>
      </c>
      <c r="E846" s="159">
        <f t="shared" si="134"/>
        <v>36433.059000000001</v>
      </c>
      <c r="F846" s="159">
        <f t="shared" si="134"/>
        <v>3821.1129999999998</v>
      </c>
      <c r="G846" s="159">
        <f t="shared" si="134"/>
        <v>0</v>
      </c>
      <c r="H846" s="159">
        <f t="shared" si="134"/>
        <v>10542.647999999999</v>
      </c>
      <c r="I846" s="159">
        <f t="shared" si="134"/>
        <v>5140.5</v>
      </c>
      <c r="J846" s="159">
        <f t="shared" si="134"/>
        <v>6847.4040000000005</v>
      </c>
      <c r="K846" s="159">
        <f t="shared" si="134"/>
        <v>5397.7839999999997</v>
      </c>
      <c r="L846" s="159">
        <f t="shared" si="134"/>
        <v>1823.9760000000001</v>
      </c>
      <c r="M846" s="159">
        <f t="shared" si="134"/>
        <v>1875.4739999999999</v>
      </c>
      <c r="N846" s="159">
        <f t="shared" si="134"/>
        <v>4267.6109999999999</v>
      </c>
      <c r="O846" s="159">
        <f t="shared" si="134"/>
        <v>300.32100000000003</v>
      </c>
      <c r="P846" s="159">
        <f t="shared" si="134"/>
        <v>1835.829</v>
      </c>
      <c r="Q846" s="159">
        <f t="shared" si="134"/>
        <v>628.41899999999998</v>
      </c>
      <c r="R846" s="159">
        <f t="shared" si="130"/>
        <v>297089.96399999998</v>
      </c>
      <c r="S846" s="334">
        <f t="shared" si="131"/>
        <v>26.507126100000001</v>
      </c>
    </row>
    <row r="847" spans="1:19" x14ac:dyDescent="0.3">
      <c r="A847" s="325" t="s">
        <v>414</v>
      </c>
      <c r="B847" s="159">
        <f t="shared" ref="B847:Q847" si="135">(B765*B759)/1000</f>
        <v>159327.30499999999</v>
      </c>
      <c r="C847" s="159">
        <f t="shared" si="135"/>
        <v>21345.279999999999</v>
      </c>
      <c r="D847" s="159">
        <f t="shared" si="135"/>
        <v>21280.768</v>
      </c>
      <c r="E847" s="159">
        <f t="shared" si="135"/>
        <v>33591.315000000002</v>
      </c>
      <c r="F847" s="159">
        <f t="shared" si="135"/>
        <v>1265.8879999999999</v>
      </c>
      <c r="G847" s="159">
        <f t="shared" si="135"/>
        <v>-3141.7649999999999</v>
      </c>
      <c r="H847" s="159">
        <f t="shared" si="135"/>
        <v>12169.392</v>
      </c>
      <c r="I847" s="159">
        <f t="shared" si="135"/>
        <v>4708.5</v>
      </c>
      <c r="J847" s="159">
        <f t="shared" si="135"/>
        <v>6424.3590000000004</v>
      </c>
      <c r="K847" s="159">
        <f t="shared" si="135"/>
        <v>4689.2740000000003</v>
      </c>
      <c r="L847" s="159">
        <f t="shared" si="135"/>
        <v>1967.625</v>
      </c>
      <c r="M847" s="159">
        <f t="shared" si="135"/>
        <v>2022.9659999999999</v>
      </c>
      <c r="N847" s="159">
        <f t="shared" si="135"/>
        <v>4244.7030000000004</v>
      </c>
      <c r="O847" s="159">
        <f t="shared" si="135"/>
        <v>334.34100000000001</v>
      </c>
      <c r="P847" s="159">
        <f t="shared" si="135"/>
        <v>1951.047</v>
      </c>
      <c r="Q847" s="159">
        <f t="shared" si="135"/>
        <v>717.19500000000005</v>
      </c>
      <c r="R847" s="159">
        <f t="shared" si="130"/>
        <v>272898.19300000003</v>
      </c>
      <c r="S847" s="334">
        <f t="shared" si="131"/>
        <v>27.757556190000003</v>
      </c>
    </row>
    <row r="848" spans="1:19" x14ac:dyDescent="0.3">
      <c r="A848" s="325" t="s">
        <v>415</v>
      </c>
      <c r="B848" s="159">
        <f t="shared" ref="B848:Q848" si="136">(B766*B759)/1000</f>
        <v>148044.73800000001</v>
      </c>
      <c r="C848" s="159">
        <f t="shared" si="136"/>
        <v>19830.912</v>
      </c>
      <c r="D848" s="159">
        <f t="shared" si="136"/>
        <v>19771.392</v>
      </c>
      <c r="E848" s="159">
        <f t="shared" si="136"/>
        <v>27801.173999999999</v>
      </c>
      <c r="F848" s="159">
        <f t="shared" si="136"/>
        <v>187.05500000000001</v>
      </c>
      <c r="G848" s="159">
        <f t="shared" si="136"/>
        <v>-9426.8680000000004</v>
      </c>
      <c r="H848" s="159">
        <f t="shared" si="136"/>
        <v>14714.388000000001</v>
      </c>
      <c r="I848" s="159">
        <f t="shared" si="136"/>
        <v>5495.55</v>
      </c>
      <c r="J848" s="159">
        <f t="shared" si="136"/>
        <v>5291.973</v>
      </c>
      <c r="K848" s="159">
        <f t="shared" si="136"/>
        <v>3046.7060000000001</v>
      </c>
      <c r="L848" s="159">
        <f t="shared" si="136"/>
        <v>1219.383</v>
      </c>
      <c r="M848" s="159">
        <f t="shared" si="136"/>
        <v>1251.846</v>
      </c>
      <c r="N848" s="159">
        <f t="shared" si="136"/>
        <v>2525.1089999999999</v>
      </c>
      <c r="O848" s="159">
        <f t="shared" si="136"/>
        <v>318.654</v>
      </c>
      <c r="P848" s="159">
        <f t="shared" si="136"/>
        <v>2100.8969999999999</v>
      </c>
      <c r="Q848" s="159">
        <f t="shared" si="136"/>
        <v>660.88800000000003</v>
      </c>
      <c r="R848" s="159">
        <f t="shared" si="130"/>
        <v>242833.79700000002</v>
      </c>
      <c r="S848" s="334">
        <f t="shared" si="131"/>
        <v>19.949639190000003</v>
      </c>
    </row>
    <row r="849" spans="1:19" x14ac:dyDescent="0.3">
      <c r="A849" s="325" t="s">
        <v>416</v>
      </c>
      <c r="B849" s="159">
        <f t="shared" ref="B849:Q849" si="137">(B767*B759)/1000</f>
        <v>75672.964999999997</v>
      </c>
      <c r="C849" s="159">
        <f t="shared" si="137"/>
        <v>10110.592000000001</v>
      </c>
      <c r="D849" s="159">
        <f t="shared" si="137"/>
        <v>10049.407999999999</v>
      </c>
      <c r="E849" s="159">
        <f t="shared" si="137"/>
        <v>10492.071</v>
      </c>
      <c r="F849" s="159">
        <f t="shared" si="137"/>
        <v>56.564</v>
      </c>
      <c r="G849" s="159">
        <f t="shared" si="137"/>
        <v>-19279.655999999999</v>
      </c>
      <c r="H849" s="159">
        <f t="shared" si="137"/>
        <v>15456.92</v>
      </c>
      <c r="I849" s="159">
        <f t="shared" si="137"/>
        <v>7131.45</v>
      </c>
      <c r="J849" s="159">
        <f t="shared" si="137"/>
        <v>6756.87</v>
      </c>
      <c r="K849" s="159">
        <f t="shared" si="137"/>
        <v>3972.1759999999999</v>
      </c>
      <c r="L849" s="159">
        <f t="shared" si="137"/>
        <v>1477.971</v>
      </c>
      <c r="M849" s="159">
        <f t="shared" si="137"/>
        <v>1518.78</v>
      </c>
      <c r="N849" s="159">
        <f t="shared" si="137"/>
        <v>3019.8719999999998</v>
      </c>
      <c r="O849" s="159">
        <f t="shared" si="137"/>
        <v>257.22899999999998</v>
      </c>
      <c r="P849" s="159">
        <f t="shared" si="137"/>
        <v>2055.6089999999999</v>
      </c>
      <c r="Q849" s="159">
        <f t="shared" si="137"/>
        <v>550.74</v>
      </c>
      <c r="R849" s="159">
        <f t="shared" si="130"/>
        <v>129299.561</v>
      </c>
      <c r="S849" s="334">
        <f t="shared" si="131"/>
        <v>21.93409647</v>
      </c>
    </row>
    <row r="850" spans="1:19" x14ac:dyDescent="0.3">
      <c r="A850" s="325" t="s">
        <v>417</v>
      </c>
      <c r="B850" s="159">
        <f t="shared" ref="B850:Q850" si="138">(B768*B759)/1000</f>
        <v>58647.62</v>
      </c>
      <c r="C850" s="159">
        <f t="shared" si="138"/>
        <v>7834.3680000000004</v>
      </c>
      <c r="D850" s="159">
        <f t="shared" si="138"/>
        <v>7768.32</v>
      </c>
      <c r="E850" s="159">
        <f t="shared" si="138"/>
        <v>9830.0339999999997</v>
      </c>
      <c r="F850" s="159">
        <f t="shared" si="138"/>
        <v>0</v>
      </c>
      <c r="G850" s="159">
        <f t="shared" si="138"/>
        <v>-19514.275000000001</v>
      </c>
      <c r="H850" s="159">
        <f t="shared" si="138"/>
        <v>15627.672</v>
      </c>
      <c r="I850" s="159">
        <f t="shared" si="138"/>
        <v>7368</v>
      </c>
      <c r="J850" s="159">
        <f t="shared" si="138"/>
        <v>6968.2740000000003</v>
      </c>
      <c r="K850" s="159">
        <f t="shared" si="138"/>
        <v>5452.0240000000003</v>
      </c>
      <c r="L850" s="159">
        <f t="shared" si="138"/>
        <v>1901.394</v>
      </c>
      <c r="M850" s="159">
        <f t="shared" si="138"/>
        <v>1955.34</v>
      </c>
      <c r="N850" s="159">
        <f t="shared" si="138"/>
        <v>3998.1930000000002</v>
      </c>
      <c r="O850" s="159">
        <f t="shared" si="138"/>
        <v>319.59899999999999</v>
      </c>
      <c r="P850" s="159">
        <f t="shared" si="138"/>
        <v>2035.962</v>
      </c>
      <c r="Q850" s="159">
        <f t="shared" si="138"/>
        <v>688.01400000000001</v>
      </c>
      <c r="R850" s="159">
        <f t="shared" si="130"/>
        <v>110880.53899999999</v>
      </c>
      <c r="S850" s="334">
        <f t="shared" si="131"/>
        <v>26.919299939999998</v>
      </c>
    </row>
    <row r="851" spans="1:19" x14ac:dyDescent="0.3">
      <c r="A851" s="325" t="s">
        <v>418</v>
      </c>
      <c r="B851" s="159">
        <f>(B769*B759)/1000</f>
        <v>98338.164000000004</v>
      </c>
      <c r="C851" s="159">
        <f>(C769*C759)/1000</f>
        <v>13167.616</v>
      </c>
      <c r="D851" s="159">
        <f>(D769*D759)/1000</f>
        <v>13096.832</v>
      </c>
      <c r="E851" s="159">
        <f>(E769*E759)/1000</f>
        <v>20556.435000000001</v>
      </c>
      <c r="F851" s="159">
        <f>(F769*F759)/1000</f>
        <v>883.54399999999998</v>
      </c>
      <c r="G851" s="159">
        <v>0</v>
      </c>
      <c r="H851" s="159">
        <f t="shared" ref="H851:Q851" si="139">(H769*H759)/1000</f>
        <v>9102.1119999999992</v>
      </c>
      <c r="I851" s="159">
        <f t="shared" si="139"/>
        <v>4354.05</v>
      </c>
      <c r="J851" s="159">
        <f t="shared" si="139"/>
        <v>5789.1989999999996</v>
      </c>
      <c r="K851" s="159">
        <f t="shared" si="139"/>
        <v>4747.3559999999998</v>
      </c>
      <c r="L851" s="159">
        <f t="shared" si="139"/>
        <v>1934.2619999999999</v>
      </c>
      <c r="M851" s="159">
        <f t="shared" si="139"/>
        <v>1989.4079999999999</v>
      </c>
      <c r="N851" s="159">
        <f t="shared" si="139"/>
        <v>4691.4089999999997</v>
      </c>
      <c r="O851" s="159">
        <f t="shared" si="139"/>
        <v>759.78</v>
      </c>
      <c r="P851" s="159">
        <f t="shared" si="139"/>
        <v>1945.0530000000001</v>
      </c>
      <c r="Q851" s="159">
        <f t="shared" si="139"/>
        <v>1627.56</v>
      </c>
      <c r="R851" s="159">
        <f t="shared" si="130"/>
        <v>182982.77999999994</v>
      </c>
      <c r="S851" s="334">
        <f t="shared" si="131"/>
        <v>31.980255840000002</v>
      </c>
    </row>
    <row r="852" spans="1:19" x14ac:dyDescent="0.3">
      <c r="A852" s="325" t="s">
        <v>419</v>
      </c>
      <c r="B852" s="159">
        <f>(B770*B759)/1000</f>
        <v>141455.696</v>
      </c>
      <c r="C852" s="159">
        <f>(C770*C759)/1000</f>
        <v>18962.815999999999</v>
      </c>
      <c r="D852" s="159">
        <f>(D770*D759)/1000</f>
        <v>18928</v>
      </c>
      <c r="E852" s="159">
        <f>(E770*E759)/1000</f>
        <v>30914.258999999998</v>
      </c>
      <c r="F852" s="159">
        <f>(F770*F759)/1000</f>
        <v>9277.57</v>
      </c>
      <c r="G852" s="159">
        <v>0</v>
      </c>
      <c r="H852" s="159">
        <f t="shared" ref="H852:Q852" si="140">(H770*H759)/1000</f>
        <v>5070.3040000000001</v>
      </c>
      <c r="I852" s="159">
        <f t="shared" si="140"/>
        <v>2566.65</v>
      </c>
      <c r="J852" s="159">
        <f t="shared" si="140"/>
        <v>3995.82</v>
      </c>
      <c r="K852" s="159">
        <f t="shared" si="140"/>
        <v>3688.5459999999998</v>
      </c>
      <c r="L852" s="159">
        <f t="shared" si="140"/>
        <v>1316.2049999999999</v>
      </c>
      <c r="M852" s="159">
        <f t="shared" si="140"/>
        <v>1353.1320000000001</v>
      </c>
      <c r="N852" s="159">
        <f t="shared" si="140"/>
        <v>3259.6590000000001</v>
      </c>
      <c r="O852" s="159">
        <f t="shared" si="140"/>
        <v>630.88199999999995</v>
      </c>
      <c r="P852" s="159">
        <f t="shared" si="140"/>
        <v>1954.0440000000001</v>
      </c>
      <c r="Q852" s="159">
        <f t="shared" si="140"/>
        <v>1369.8630000000001</v>
      </c>
      <c r="R852" s="159">
        <f t="shared" si="130"/>
        <v>244743.44600000003</v>
      </c>
      <c r="S852" s="334">
        <f t="shared" si="131"/>
        <v>24.412948950000001</v>
      </c>
    </row>
    <row r="853" spans="1:19" x14ac:dyDescent="0.3">
      <c r="A853" s="325" t="s">
        <v>420</v>
      </c>
      <c r="B853" s="159">
        <f t="shared" ref="B853:Q853" si="141">(B771*B759)/1000</f>
        <v>167376.34299999999</v>
      </c>
      <c r="C853" s="159">
        <f t="shared" si="141"/>
        <v>22450.687999999998</v>
      </c>
      <c r="D853" s="159">
        <f t="shared" si="141"/>
        <v>22421.759999999998</v>
      </c>
      <c r="E853" s="159">
        <f t="shared" si="141"/>
        <v>37625.514000000003</v>
      </c>
      <c r="F853" s="159">
        <f t="shared" si="141"/>
        <v>21769.800999999999</v>
      </c>
      <c r="G853" s="159">
        <f t="shared" si="141"/>
        <v>0</v>
      </c>
      <c r="H853" s="159">
        <f t="shared" si="141"/>
        <v>2440.4839999999999</v>
      </c>
      <c r="I853" s="159">
        <f t="shared" si="141"/>
        <v>1141.8</v>
      </c>
      <c r="J853" s="159">
        <f t="shared" si="141"/>
        <v>1787.454</v>
      </c>
      <c r="K853" s="159">
        <f t="shared" si="141"/>
        <v>1686.864</v>
      </c>
      <c r="L853" s="159">
        <f t="shared" si="141"/>
        <v>559.84500000000003</v>
      </c>
      <c r="M853" s="159">
        <f t="shared" si="141"/>
        <v>574.46400000000006</v>
      </c>
      <c r="N853" s="159">
        <f t="shared" si="141"/>
        <v>1372.9860000000001</v>
      </c>
      <c r="O853" s="159">
        <f t="shared" si="141"/>
        <v>162.54</v>
      </c>
      <c r="P853" s="159">
        <f t="shared" si="141"/>
        <v>1574.0909999999999</v>
      </c>
      <c r="Q853" s="159">
        <f t="shared" si="141"/>
        <v>339.48599999999999</v>
      </c>
      <c r="R853" s="159">
        <f t="shared" si="130"/>
        <v>283284.11999999988</v>
      </c>
      <c r="S853" s="334">
        <f t="shared" si="131"/>
        <v>11.321027639999999</v>
      </c>
    </row>
    <row r="854" spans="1:19" x14ac:dyDescent="0.3">
      <c r="A854" s="325" t="s">
        <v>421</v>
      </c>
      <c r="B854" s="159">
        <f t="shared" ref="B854:Q854" si="142">(B772*B759)/1000</f>
        <v>143186.34400000001</v>
      </c>
      <c r="C854" s="159">
        <f t="shared" si="142"/>
        <v>19207.936000000002</v>
      </c>
      <c r="D854" s="159">
        <f t="shared" si="142"/>
        <v>19185.024000000001</v>
      </c>
      <c r="E854" s="159">
        <f t="shared" si="142"/>
        <v>30843.96</v>
      </c>
      <c r="F854" s="159">
        <f t="shared" si="142"/>
        <v>15705.638999999999</v>
      </c>
      <c r="G854" s="159">
        <f t="shared" si="142"/>
        <v>0</v>
      </c>
      <c r="H854" s="159">
        <f t="shared" si="142"/>
        <v>3191.2040000000002</v>
      </c>
      <c r="I854" s="159">
        <f t="shared" si="142"/>
        <v>1965.6</v>
      </c>
      <c r="J854" s="159">
        <f t="shared" si="142"/>
        <v>3101.6190000000001</v>
      </c>
      <c r="K854" s="159">
        <f t="shared" si="142"/>
        <v>2948.17</v>
      </c>
      <c r="L854" s="159">
        <f t="shared" si="142"/>
        <v>1106.6220000000001</v>
      </c>
      <c r="M854" s="159">
        <f t="shared" si="142"/>
        <v>1138.2180000000001</v>
      </c>
      <c r="N854" s="159">
        <f t="shared" si="142"/>
        <v>2757.1770000000001</v>
      </c>
      <c r="O854" s="159">
        <f t="shared" si="142"/>
        <v>806.84100000000001</v>
      </c>
      <c r="P854" s="159">
        <f t="shared" si="142"/>
        <v>1645.6859999999999</v>
      </c>
      <c r="Q854" s="159">
        <f t="shared" si="142"/>
        <v>1753.7370000000001</v>
      </c>
      <c r="R854" s="159">
        <f t="shared" si="130"/>
        <v>248543.777</v>
      </c>
      <c r="S854" s="334">
        <f t="shared" si="131"/>
        <v>22.74445407</v>
      </c>
    </row>
    <row r="855" spans="1:19" x14ac:dyDescent="0.3">
      <c r="A855" s="323"/>
      <c r="B855" s="159"/>
      <c r="C855" s="159"/>
      <c r="D855" s="159"/>
      <c r="E855" s="159"/>
      <c r="F855" s="159"/>
      <c r="G855" s="159"/>
      <c r="H855" s="159"/>
      <c r="I855" s="159"/>
      <c r="J855" s="159"/>
      <c r="K855" s="159"/>
      <c r="L855" s="159"/>
      <c r="M855" s="159"/>
      <c r="N855" s="159"/>
      <c r="O855" s="159"/>
      <c r="P855" s="159"/>
      <c r="Q855" s="159"/>
      <c r="R855" s="159"/>
      <c r="S855" s="334"/>
    </row>
    <row r="856" spans="1:19" x14ac:dyDescent="0.3">
      <c r="A856" s="325" t="s">
        <v>422</v>
      </c>
      <c r="B856" s="159">
        <f t="shared" ref="B856:R856" si="143">SUM(B843:B854)</f>
        <v>1554424.9580000001</v>
      </c>
      <c r="C856" s="159">
        <f t="shared" si="143"/>
        <v>208331.00799999997</v>
      </c>
      <c r="D856" s="159">
        <f t="shared" si="143"/>
        <v>207809.024</v>
      </c>
      <c r="E856" s="159">
        <f t="shared" si="143"/>
        <v>319552.755</v>
      </c>
      <c r="F856" s="159">
        <f t="shared" si="143"/>
        <v>74406.004000000001</v>
      </c>
      <c r="G856" s="159">
        <f t="shared" si="143"/>
        <v>-51362.563999999998</v>
      </c>
      <c r="H856" s="159">
        <f t="shared" si="143"/>
        <v>104699.03599999999</v>
      </c>
      <c r="I856" s="159">
        <f t="shared" si="143"/>
        <v>50480.4</v>
      </c>
      <c r="J856" s="159">
        <f t="shared" si="143"/>
        <v>63052.902000000002</v>
      </c>
      <c r="K856" s="159">
        <f t="shared" si="143"/>
        <v>49738.531999999999</v>
      </c>
      <c r="L856" s="159">
        <f t="shared" si="143"/>
        <v>18049.778999999999</v>
      </c>
      <c r="M856" s="159">
        <f t="shared" si="143"/>
        <v>18558.696</v>
      </c>
      <c r="N856" s="159">
        <f t="shared" si="143"/>
        <v>42016.758000000002</v>
      </c>
      <c r="O856" s="159">
        <f t="shared" si="143"/>
        <v>5248.9080000000004</v>
      </c>
      <c r="P856" s="159">
        <f t="shared" si="143"/>
        <v>22011.966000000004</v>
      </c>
      <c r="Q856" s="159">
        <f t="shared" si="143"/>
        <v>11211.669000000002</v>
      </c>
      <c r="R856" s="159">
        <f t="shared" si="143"/>
        <v>2698229.8310000002</v>
      </c>
      <c r="S856" s="334">
        <f>(SUM(S843:S854))</f>
        <v>289.23150672000003</v>
      </c>
    </row>
    <row r="857" spans="1:19" ht="16.2" thickBot="1" x14ac:dyDescent="0.35">
      <c r="A857" s="326" t="s">
        <v>7</v>
      </c>
      <c r="B857" s="327"/>
      <c r="C857" s="327"/>
      <c r="D857" s="327"/>
      <c r="E857" s="327"/>
      <c r="F857" s="327"/>
      <c r="G857" s="327"/>
      <c r="H857" s="327"/>
      <c r="I857" s="327"/>
      <c r="J857" s="327"/>
      <c r="K857" s="327"/>
      <c r="L857" s="327"/>
      <c r="M857" s="327"/>
      <c r="N857" s="327"/>
      <c r="O857" s="327"/>
      <c r="P857" s="327"/>
      <c r="Q857" s="327"/>
      <c r="R857" s="327"/>
      <c r="S857" s="328"/>
    </row>
    <row r="858" spans="1:19" ht="16.2" thickBot="1" x14ac:dyDescent="0.35">
      <c r="A858" s="159"/>
      <c r="B858" s="159"/>
      <c r="C858" s="159"/>
      <c r="D858" s="159"/>
      <c r="E858" s="159"/>
      <c r="F858" s="159"/>
      <c r="G858" s="159"/>
      <c r="H858" s="159"/>
      <c r="I858" s="159"/>
      <c r="J858" s="159"/>
      <c r="K858" s="159"/>
      <c r="L858" s="159"/>
      <c r="M858" s="159"/>
      <c r="N858" s="159"/>
      <c r="O858" s="159"/>
      <c r="P858" s="159"/>
      <c r="Q858" s="159"/>
      <c r="R858" s="159"/>
    </row>
    <row r="859" spans="1:19" x14ac:dyDescent="0.3">
      <c r="A859" s="318"/>
      <c r="B859" s="319"/>
      <c r="C859" s="319"/>
      <c r="D859" s="319"/>
      <c r="E859" s="319"/>
      <c r="F859" s="319"/>
      <c r="G859" s="319"/>
      <c r="H859" s="319"/>
      <c r="I859" s="319"/>
      <c r="J859" s="319"/>
      <c r="K859" s="319"/>
      <c r="L859" s="319"/>
      <c r="M859" s="319"/>
      <c r="N859" s="319"/>
      <c r="O859" s="319"/>
      <c r="P859" s="319"/>
      <c r="Q859" s="321" t="str">
        <f>+Q1</f>
        <v>PRINTED:</v>
      </c>
      <c r="R859" s="331">
        <f ca="1">+R1</f>
        <v>44909.46975358796</v>
      </c>
      <c r="S859" s="332"/>
    </row>
    <row r="860" spans="1:19" ht="16.2" x14ac:dyDescent="0.35">
      <c r="A860" s="323"/>
      <c r="B860" s="159"/>
      <c r="C860" s="161" t="s">
        <v>460</v>
      </c>
      <c r="D860" s="159"/>
      <c r="E860" s="159"/>
      <c r="F860" s="159"/>
      <c r="G860" s="159"/>
      <c r="H860" s="159"/>
      <c r="I860" s="159"/>
      <c r="J860" s="159"/>
      <c r="K860" s="159"/>
      <c r="L860" s="167"/>
      <c r="M860" s="161" t="s">
        <v>461</v>
      </c>
      <c r="N860" s="159"/>
      <c r="O860" s="159"/>
      <c r="P860" s="159"/>
      <c r="Q860" s="159"/>
      <c r="R860" s="159"/>
      <c r="S860" s="307"/>
    </row>
    <row r="861" spans="1:19" x14ac:dyDescent="0.3">
      <c r="A861" s="323"/>
      <c r="B861" s="159"/>
      <c r="C861" s="159"/>
      <c r="D861" s="159"/>
      <c r="E861" s="159" t="s">
        <v>7</v>
      </c>
      <c r="F861" s="163" t="str">
        <f>+A9</f>
        <v>Revised:  1/23/11</v>
      </c>
      <c r="G861" s="159"/>
      <c r="H861" s="159"/>
      <c r="I861" s="159"/>
      <c r="J861" s="159"/>
      <c r="K861" s="159"/>
      <c r="L861" s="159"/>
      <c r="M861" s="159"/>
      <c r="N861" s="159"/>
      <c r="O861" s="159"/>
      <c r="P861" s="159" t="s">
        <v>7</v>
      </c>
      <c r="Q861" s="163" t="str">
        <f>+A9</f>
        <v>Revised:  1/23/11</v>
      </c>
      <c r="R861" s="159"/>
      <c r="S861" s="307"/>
    </row>
    <row r="862" spans="1:19" x14ac:dyDescent="0.3">
      <c r="A862" s="323"/>
      <c r="B862" s="159"/>
      <c r="C862" s="159"/>
      <c r="D862" s="159" t="s">
        <v>787</v>
      </c>
      <c r="E862" s="159"/>
      <c r="F862" s="159"/>
      <c r="G862" s="159"/>
      <c r="H862" s="159"/>
      <c r="I862" s="159"/>
      <c r="J862" s="159"/>
      <c r="K862" s="159"/>
      <c r="L862" s="159"/>
      <c r="M862" s="159"/>
      <c r="N862" s="159" t="s">
        <v>787</v>
      </c>
      <c r="O862" s="159"/>
      <c r="P862" s="159"/>
      <c r="Q862" s="159"/>
      <c r="R862" s="159"/>
      <c r="S862" s="307"/>
    </row>
    <row r="863" spans="1:19" x14ac:dyDescent="0.3">
      <c r="A863" s="323"/>
      <c r="B863" s="159"/>
      <c r="C863" s="159"/>
      <c r="D863" s="159"/>
      <c r="E863" s="159"/>
      <c r="F863" s="159"/>
      <c r="G863" s="159"/>
      <c r="H863" s="159"/>
      <c r="I863" s="159"/>
      <c r="J863" s="159"/>
      <c r="K863" s="159"/>
      <c r="L863" s="159"/>
      <c r="M863" s="159"/>
      <c r="N863" s="159"/>
      <c r="O863" s="159"/>
      <c r="P863" s="159"/>
      <c r="Q863" s="159"/>
      <c r="R863" s="159"/>
      <c r="S863" s="307"/>
    </row>
    <row r="864" spans="1:19" x14ac:dyDescent="0.3">
      <c r="A864" s="323"/>
      <c r="B864" s="159"/>
      <c r="C864" s="159"/>
      <c r="D864" s="159"/>
      <c r="E864" s="159" t="str">
        <f>+A5</f>
        <v>Calendar Year 2011</v>
      </c>
      <c r="F864" s="159"/>
      <c r="G864" s="159"/>
      <c r="H864" s="159"/>
      <c r="I864" s="159"/>
      <c r="J864" s="159"/>
      <c r="K864" s="159"/>
      <c r="L864" s="159"/>
      <c r="M864" s="159"/>
      <c r="N864" s="159"/>
      <c r="O864" s="159"/>
      <c r="P864" s="159" t="str">
        <f>+A5</f>
        <v>Calendar Year 2011</v>
      </c>
      <c r="Q864" s="159"/>
      <c r="R864" s="159"/>
      <c r="S864" s="307"/>
    </row>
    <row r="865" spans="1:19" x14ac:dyDescent="0.3">
      <c r="A865" s="323"/>
      <c r="B865" s="159"/>
      <c r="C865" s="159"/>
      <c r="D865" s="159"/>
      <c r="E865" s="159" t="s">
        <v>457</v>
      </c>
      <c r="F865" s="159"/>
      <c r="G865" s="159"/>
      <c r="H865" s="159"/>
      <c r="I865" s="159"/>
      <c r="J865" s="159"/>
      <c r="K865" s="159"/>
      <c r="L865" s="159"/>
      <c r="M865" s="159"/>
      <c r="N865" s="159"/>
      <c r="O865" s="159"/>
      <c r="P865" s="159" t="s">
        <v>457</v>
      </c>
      <c r="Q865" s="159"/>
      <c r="R865" s="159"/>
      <c r="S865" s="307"/>
    </row>
    <row r="866" spans="1:19" x14ac:dyDescent="0.3">
      <c r="A866" s="323"/>
      <c r="B866" s="159"/>
      <c r="C866" s="159"/>
      <c r="D866" s="159"/>
      <c r="E866" s="159"/>
      <c r="F866" s="159"/>
      <c r="G866" s="159"/>
      <c r="H866" s="159"/>
      <c r="I866" s="159"/>
      <c r="J866" s="159"/>
      <c r="K866" s="159"/>
      <c r="L866" s="159"/>
      <c r="M866" s="159"/>
      <c r="N866" s="159"/>
      <c r="O866" s="159"/>
      <c r="P866" s="159"/>
      <c r="Q866" s="159"/>
      <c r="R866" s="159"/>
      <c r="S866" s="307"/>
    </row>
    <row r="867" spans="1:19" x14ac:dyDescent="0.3">
      <c r="A867" s="323" t="s">
        <v>389</v>
      </c>
      <c r="B867" s="164" t="s">
        <v>390</v>
      </c>
      <c r="C867" s="164" t="s">
        <v>391</v>
      </c>
      <c r="D867" s="164" t="s">
        <v>392</v>
      </c>
      <c r="E867" s="164" t="s">
        <v>393</v>
      </c>
      <c r="F867" s="164" t="s">
        <v>394</v>
      </c>
      <c r="G867" s="159"/>
      <c r="H867" s="164" t="s">
        <v>422</v>
      </c>
      <c r="I867" s="159"/>
      <c r="J867" s="159"/>
      <c r="K867" s="159"/>
      <c r="L867" s="159" t="s">
        <v>389</v>
      </c>
      <c r="M867" s="164" t="s">
        <v>390</v>
      </c>
      <c r="N867" s="164" t="s">
        <v>391</v>
      </c>
      <c r="O867" s="164" t="s">
        <v>392</v>
      </c>
      <c r="P867" s="164" t="s">
        <v>393</v>
      </c>
      <c r="Q867" s="164" t="s">
        <v>394</v>
      </c>
      <c r="R867" s="164" t="s">
        <v>422</v>
      </c>
      <c r="S867" s="307"/>
    </row>
    <row r="868" spans="1:19" x14ac:dyDescent="0.3">
      <c r="A868" s="323" t="s">
        <v>405</v>
      </c>
      <c r="B868" s="159"/>
      <c r="C868" s="159"/>
      <c r="D868" s="159"/>
      <c r="E868" s="159"/>
      <c r="F868" s="164" t="s">
        <v>406</v>
      </c>
      <c r="G868" s="159"/>
      <c r="H868" s="164" t="s">
        <v>465</v>
      </c>
      <c r="I868" s="159"/>
      <c r="J868" s="159"/>
      <c r="K868" s="159"/>
      <c r="L868" s="159" t="s">
        <v>405</v>
      </c>
      <c r="M868" s="159"/>
      <c r="N868" s="159"/>
      <c r="O868" s="159"/>
      <c r="P868" s="159"/>
      <c r="Q868" s="164" t="s">
        <v>406</v>
      </c>
      <c r="R868" s="164" t="s">
        <v>465</v>
      </c>
      <c r="S868" s="307"/>
    </row>
    <row r="869" spans="1:19" x14ac:dyDescent="0.3">
      <c r="A869" s="323" t="s">
        <v>408</v>
      </c>
      <c r="B869" s="159">
        <v>953</v>
      </c>
      <c r="C869" s="159">
        <v>128</v>
      </c>
      <c r="D869" s="159">
        <v>128</v>
      </c>
      <c r="E869" s="159">
        <v>219</v>
      </c>
      <c r="F869" s="159">
        <v>179</v>
      </c>
      <c r="G869" s="159"/>
      <c r="H869" s="164" t="s">
        <v>442</v>
      </c>
      <c r="I869" s="159"/>
      <c r="J869" s="159"/>
      <c r="K869" s="159"/>
      <c r="L869" s="159" t="s">
        <v>408</v>
      </c>
      <c r="M869" s="159">
        <v>953</v>
      </c>
      <c r="N869" s="159">
        <v>128</v>
      </c>
      <c r="O869" s="159">
        <v>128</v>
      </c>
      <c r="P869" s="159">
        <v>219</v>
      </c>
      <c r="Q869" s="159">
        <v>179</v>
      </c>
      <c r="R869" s="164" t="s">
        <v>442</v>
      </c>
      <c r="S869" s="307"/>
    </row>
    <row r="870" spans="1:19" x14ac:dyDescent="0.3">
      <c r="A870" s="323"/>
      <c r="B870" s="159" t="s">
        <v>409</v>
      </c>
      <c r="C870" s="159" t="s">
        <v>409</v>
      </c>
      <c r="D870" s="159" t="s">
        <v>409</v>
      </c>
      <c r="E870" s="159" t="s">
        <v>409</v>
      </c>
      <c r="F870" s="159" t="s">
        <v>409</v>
      </c>
      <c r="G870" s="159"/>
      <c r="H870" s="159" t="s">
        <v>459</v>
      </c>
      <c r="I870" s="159"/>
      <c r="J870" s="159"/>
      <c r="K870" s="159"/>
      <c r="L870" s="159"/>
      <c r="M870" s="159" t="s">
        <v>409</v>
      </c>
      <c r="N870" s="159" t="s">
        <v>409</v>
      </c>
      <c r="O870" s="159" t="s">
        <v>409</v>
      </c>
      <c r="P870" s="159" t="s">
        <v>409</v>
      </c>
      <c r="Q870" s="159" t="s">
        <v>409</v>
      </c>
      <c r="R870" s="159" t="s">
        <v>459</v>
      </c>
      <c r="S870" s="307"/>
    </row>
    <row r="871" spans="1:19" x14ac:dyDescent="0.3">
      <c r="A871" s="325" t="s">
        <v>410</v>
      </c>
      <c r="B871" s="159">
        <f t="shared" ref="B871:F882" si="144">($F761)*B$759/1000</f>
        <v>21674.079000000002</v>
      </c>
      <c r="C871" s="159">
        <f t="shared" si="144"/>
        <v>2911.1039999999998</v>
      </c>
      <c r="D871" s="159">
        <f t="shared" si="144"/>
        <v>2911.1039999999998</v>
      </c>
      <c r="E871" s="159">
        <f t="shared" si="144"/>
        <v>4980.7169999999996</v>
      </c>
      <c r="F871" s="159">
        <f t="shared" si="144"/>
        <v>4070.9969999999998</v>
      </c>
      <c r="G871" s="159"/>
      <c r="H871" s="159">
        <f t="shared" ref="H871:H882" si="145">SUM(B871:F871)</f>
        <v>36548.001000000004</v>
      </c>
      <c r="I871" s="159"/>
      <c r="J871" s="159"/>
      <c r="K871" s="159"/>
      <c r="L871" s="164" t="s">
        <v>410</v>
      </c>
      <c r="M871" s="159">
        <f t="shared" ref="M871:Q882" si="146">(B761-$F761)*B$759/1000</f>
        <v>64076.860999999997</v>
      </c>
      <c r="N871" s="159">
        <f t="shared" si="146"/>
        <v>8593.92</v>
      </c>
      <c r="O871" s="159">
        <f t="shared" si="146"/>
        <v>8581.6319999999996</v>
      </c>
      <c r="P871" s="159">
        <f t="shared" si="146"/>
        <v>14005.707</v>
      </c>
      <c r="Q871" s="159">
        <f t="shared" si="146"/>
        <v>0</v>
      </c>
      <c r="R871" s="159">
        <f t="shared" ref="R871:R882" si="147">SUM(L871:P871)</f>
        <v>95258.12</v>
      </c>
      <c r="S871" s="307"/>
    </row>
    <row r="872" spans="1:19" x14ac:dyDescent="0.3">
      <c r="A872" s="325" t="s">
        <v>411</v>
      </c>
      <c r="B872" s="159">
        <f t="shared" si="144"/>
        <v>50135.423999999999</v>
      </c>
      <c r="C872" s="159">
        <f t="shared" si="144"/>
        <v>6733.8239999999996</v>
      </c>
      <c r="D872" s="159">
        <f t="shared" si="144"/>
        <v>6733.8239999999996</v>
      </c>
      <c r="E872" s="159">
        <f t="shared" si="144"/>
        <v>11521.152</v>
      </c>
      <c r="F872" s="159">
        <f t="shared" si="144"/>
        <v>9416.8320000000003</v>
      </c>
      <c r="G872" s="159"/>
      <c r="H872" s="159">
        <f t="shared" si="145"/>
        <v>84541.055999999997</v>
      </c>
      <c r="I872" s="159"/>
      <c r="J872" s="159"/>
      <c r="K872" s="159"/>
      <c r="L872" s="164" t="s">
        <v>411</v>
      </c>
      <c r="M872" s="159">
        <f t="shared" si="146"/>
        <v>77372.164000000004</v>
      </c>
      <c r="N872" s="159">
        <f t="shared" si="146"/>
        <v>10373.120000000001</v>
      </c>
      <c r="O872" s="159">
        <f t="shared" si="146"/>
        <v>10354.56</v>
      </c>
      <c r="P872" s="159">
        <f t="shared" si="146"/>
        <v>15530.823</v>
      </c>
      <c r="Q872" s="159">
        <f t="shared" si="146"/>
        <v>0</v>
      </c>
      <c r="R872" s="159">
        <f t="shared" si="147"/>
        <v>113630.667</v>
      </c>
      <c r="S872" s="307"/>
    </row>
    <row r="873" spans="1:19" x14ac:dyDescent="0.3">
      <c r="A873" s="325" t="s">
        <v>412</v>
      </c>
      <c r="B873" s="159">
        <f t="shared" si="144"/>
        <v>42331.307000000001</v>
      </c>
      <c r="C873" s="159">
        <f t="shared" si="144"/>
        <v>5685.6319999999996</v>
      </c>
      <c r="D873" s="159">
        <f t="shared" si="144"/>
        <v>5685.6319999999996</v>
      </c>
      <c r="E873" s="159">
        <f t="shared" si="144"/>
        <v>9727.7610000000004</v>
      </c>
      <c r="F873" s="159">
        <f t="shared" si="144"/>
        <v>7951.0010000000002</v>
      </c>
      <c r="G873" s="159"/>
      <c r="H873" s="159">
        <f t="shared" si="145"/>
        <v>71381.332999999999</v>
      </c>
      <c r="I873" s="159"/>
      <c r="J873" s="159"/>
      <c r="K873" s="159"/>
      <c r="L873" s="164" t="s">
        <v>412</v>
      </c>
      <c r="M873" s="159">
        <f t="shared" si="146"/>
        <v>134695.114</v>
      </c>
      <c r="N873" s="159">
        <f t="shared" si="146"/>
        <v>18056.191999999999</v>
      </c>
      <c r="O873" s="159">
        <f t="shared" si="146"/>
        <v>18022.784</v>
      </c>
      <c r="P873" s="159">
        <f t="shared" si="146"/>
        <v>25698.774000000001</v>
      </c>
      <c r="Q873" s="159">
        <f t="shared" si="146"/>
        <v>0</v>
      </c>
      <c r="R873" s="159">
        <f t="shared" si="147"/>
        <v>196472.86400000003</v>
      </c>
      <c r="S873" s="307"/>
    </row>
    <row r="874" spans="1:19" x14ac:dyDescent="0.3">
      <c r="A874" s="325" t="s">
        <v>413</v>
      </c>
      <c r="B874" s="159">
        <f t="shared" si="144"/>
        <v>20343.690999999999</v>
      </c>
      <c r="C874" s="159">
        <f t="shared" si="144"/>
        <v>2732.4160000000002</v>
      </c>
      <c r="D874" s="159">
        <f t="shared" si="144"/>
        <v>2732.4160000000002</v>
      </c>
      <c r="E874" s="159">
        <f t="shared" si="144"/>
        <v>4674.9930000000004</v>
      </c>
      <c r="F874" s="159">
        <f t="shared" si="144"/>
        <v>3821.1129999999998</v>
      </c>
      <c r="G874" s="159"/>
      <c r="H874" s="159">
        <f t="shared" si="145"/>
        <v>34304.629000000001</v>
      </c>
      <c r="I874" s="159"/>
      <c r="J874" s="159"/>
      <c r="K874" s="159"/>
      <c r="L874" s="164" t="s">
        <v>413</v>
      </c>
      <c r="M874" s="159">
        <f t="shared" si="146"/>
        <v>151747.14300000001</v>
      </c>
      <c r="N874" s="159">
        <f t="shared" si="146"/>
        <v>20334.592000000001</v>
      </c>
      <c r="O874" s="159">
        <f t="shared" si="146"/>
        <v>20285.567999999999</v>
      </c>
      <c r="P874" s="159">
        <f t="shared" si="146"/>
        <v>31758.065999999999</v>
      </c>
      <c r="Q874" s="159">
        <f t="shared" si="146"/>
        <v>0</v>
      </c>
      <c r="R874" s="159">
        <f t="shared" si="147"/>
        <v>224125.36900000001</v>
      </c>
      <c r="S874" s="307"/>
    </row>
    <row r="875" spans="1:19" x14ac:dyDescent="0.3">
      <c r="A875" s="325" t="s">
        <v>414</v>
      </c>
      <c r="B875" s="159">
        <f t="shared" si="144"/>
        <v>6739.616</v>
      </c>
      <c r="C875" s="159">
        <f t="shared" si="144"/>
        <v>905.21600000000001</v>
      </c>
      <c r="D875" s="159">
        <f t="shared" si="144"/>
        <v>905.21600000000001</v>
      </c>
      <c r="E875" s="159">
        <f t="shared" si="144"/>
        <v>1548.768</v>
      </c>
      <c r="F875" s="159">
        <f t="shared" si="144"/>
        <v>1265.8879999999999</v>
      </c>
      <c r="G875" s="159"/>
      <c r="H875" s="159">
        <f t="shared" si="145"/>
        <v>11364.704000000002</v>
      </c>
      <c r="I875" s="159"/>
      <c r="J875" s="159"/>
      <c r="K875" s="159"/>
      <c r="L875" s="164" t="s">
        <v>414</v>
      </c>
      <c r="M875" s="159">
        <f t="shared" si="146"/>
        <v>152587.68900000001</v>
      </c>
      <c r="N875" s="159">
        <f t="shared" si="146"/>
        <v>20440.063999999998</v>
      </c>
      <c r="O875" s="159">
        <f t="shared" si="146"/>
        <v>20375.552</v>
      </c>
      <c r="P875" s="159">
        <f t="shared" si="146"/>
        <v>32042.546999999999</v>
      </c>
      <c r="Q875" s="159">
        <f t="shared" si="146"/>
        <v>0</v>
      </c>
      <c r="R875" s="159">
        <f t="shared" si="147"/>
        <v>225445.85200000001</v>
      </c>
      <c r="S875" s="307"/>
    </row>
    <row r="876" spans="1:19" x14ac:dyDescent="0.3">
      <c r="A876" s="325" t="s">
        <v>415</v>
      </c>
      <c r="B876" s="159">
        <f t="shared" si="144"/>
        <v>995.88499999999999</v>
      </c>
      <c r="C876" s="159">
        <f t="shared" si="144"/>
        <v>133.76</v>
      </c>
      <c r="D876" s="159">
        <f t="shared" si="144"/>
        <v>133.76</v>
      </c>
      <c r="E876" s="159">
        <f t="shared" si="144"/>
        <v>228.85499999999999</v>
      </c>
      <c r="F876" s="159">
        <f t="shared" si="144"/>
        <v>187.05500000000001</v>
      </c>
      <c r="G876" s="159"/>
      <c r="H876" s="159">
        <f t="shared" si="145"/>
        <v>1679.3150000000001</v>
      </c>
      <c r="I876" s="159"/>
      <c r="J876" s="159"/>
      <c r="K876" s="159"/>
      <c r="L876" s="164" t="s">
        <v>415</v>
      </c>
      <c r="M876" s="159">
        <f t="shared" si="146"/>
        <v>147048.853</v>
      </c>
      <c r="N876" s="159">
        <f t="shared" si="146"/>
        <v>19697.151999999998</v>
      </c>
      <c r="O876" s="159">
        <f t="shared" si="146"/>
        <v>19637.632000000001</v>
      </c>
      <c r="P876" s="159">
        <f t="shared" si="146"/>
        <v>27572.319</v>
      </c>
      <c r="Q876" s="159">
        <f t="shared" si="146"/>
        <v>0</v>
      </c>
      <c r="R876" s="159">
        <f t="shared" si="147"/>
        <v>213955.95600000001</v>
      </c>
      <c r="S876" s="307"/>
    </row>
    <row r="877" spans="1:19" x14ac:dyDescent="0.3">
      <c r="A877" s="325" t="s">
        <v>416</v>
      </c>
      <c r="B877" s="159">
        <f t="shared" si="144"/>
        <v>301.14800000000002</v>
      </c>
      <c r="C877" s="159">
        <f t="shared" si="144"/>
        <v>40.448</v>
      </c>
      <c r="D877" s="159">
        <f t="shared" si="144"/>
        <v>40.448</v>
      </c>
      <c r="E877" s="159">
        <f t="shared" si="144"/>
        <v>69.203999999999994</v>
      </c>
      <c r="F877" s="159">
        <f t="shared" si="144"/>
        <v>56.564</v>
      </c>
      <c r="G877" s="159"/>
      <c r="H877" s="159">
        <f t="shared" si="145"/>
        <v>507.81200000000001</v>
      </c>
      <c r="I877" s="159"/>
      <c r="J877" s="159"/>
      <c r="K877" s="159"/>
      <c r="L877" s="164" t="s">
        <v>416</v>
      </c>
      <c r="M877" s="159">
        <f t="shared" si="146"/>
        <v>75371.816999999995</v>
      </c>
      <c r="N877" s="159">
        <f t="shared" si="146"/>
        <v>10070.144</v>
      </c>
      <c r="O877" s="159">
        <f t="shared" si="146"/>
        <v>10008.959999999999</v>
      </c>
      <c r="P877" s="159">
        <f t="shared" si="146"/>
        <v>10422.867</v>
      </c>
      <c r="Q877" s="159">
        <f t="shared" si="146"/>
        <v>0</v>
      </c>
      <c r="R877" s="159">
        <f t="shared" si="147"/>
        <v>105873.788</v>
      </c>
      <c r="S877" s="307"/>
    </row>
    <row r="878" spans="1:19" x14ac:dyDescent="0.3">
      <c r="A878" s="325" t="s">
        <v>417</v>
      </c>
      <c r="B878" s="159">
        <f t="shared" si="144"/>
        <v>0</v>
      </c>
      <c r="C878" s="159">
        <f t="shared" si="144"/>
        <v>0</v>
      </c>
      <c r="D878" s="159">
        <f t="shared" si="144"/>
        <v>0</v>
      </c>
      <c r="E878" s="159">
        <f t="shared" si="144"/>
        <v>0</v>
      </c>
      <c r="F878" s="159">
        <f t="shared" si="144"/>
        <v>0</v>
      </c>
      <c r="G878" s="159"/>
      <c r="H878" s="159">
        <f t="shared" si="145"/>
        <v>0</v>
      </c>
      <c r="I878" s="159"/>
      <c r="J878" s="159"/>
      <c r="K878" s="159"/>
      <c r="L878" s="164" t="s">
        <v>417</v>
      </c>
      <c r="M878" s="159">
        <f t="shared" si="146"/>
        <v>58647.62</v>
      </c>
      <c r="N878" s="159">
        <f t="shared" si="146"/>
        <v>7834.3680000000004</v>
      </c>
      <c r="O878" s="159">
        <f t="shared" si="146"/>
        <v>7768.32</v>
      </c>
      <c r="P878" s="159">
        <f t="shared" si="146"/>
        <v>9830.0339999999997</v>
      </c>
      <c r="Q878" s="159">
        <f t="shared" si="146"/>
        <v>0</v>
      </c>
      <c r="R878" s="159">
        <f t="shared" si="147"/>
        <v>84080.34199999999</v>
      </c>
      <c r="S878" s="307"/>
    </row>
    <row r="879" spans="1:19" x14ac:dyDescent="0.3">
      <c r="A879" s="325" t="s">
        <v>418</v>
      </c>
      <c r="B879" s="159">
        <f t="shared" si="144"/>
        <v>4704.0079999999998</v>
      </c>
      <c r="C879" s="159">
        <f t="shared" si="144"/>
        <v>631.80799999999999</v>
      </c>
      <c r="D879" s="159">
        <f t="shared" si="144"/>
        <v>631.80799999999999</v>
      </c>
      <c r="E879" s="159">
        <f t="shared" si="144"/>
        <v>1080.9839999999999</v>
      </c>
      <c r="F879" s="159">
        <f t="shared" si="144"/>
        <v>883.54399999999998</v>
      </c>
      <c r="G879" s="159"/>
      <c r="H879" s="159">
        <f t="shared" si="145"/>
        <v>7932.152</v>
      </c>
      <c r="I879" s="159"/>
      <c r="J879" s="159"/>
      <c r="K879" s="159"/>
      <c r="L879" s="164" t="s">
        <v>418</v>
      </c>
      <c r="M879" s="159">
        <f t="shared" si="146"/>
        <v>93634.156000000003</v>
      </c>
      <c r="N879" s="159">
        <f t="shared" si="146"/>
        <v>12535.808000000001</v>
      </c>
      <c r="O879" s="159">
        <f t="shared" si="146"/>
        <v>12465.023999999999</v>
      </c>
      <c r="P879" s="159">
        <f t="shared" si="146"/>
        <v>19475.451000000001</v>
      </c>
      <c r="Q879" s="159">
        <f t="shared" si="146"/>
        <v>0</v>
      </c>
      <c r="R879" s="159">
        <f t="shared" si="147"/>
        <v>138110.43900000001</v>
      </c>
      <c r="S879" s="307"/>
    </row>
    <row r="880" spans="1:19" x14ac:dyDescent="0.3">
      <c r="A880" s="325" t="s">
        <v>419</v>
      </c>
      <c r="B880" s="159">
        <f t="shared" si="144"/>
        <v>49393.99</v>
      </c>
      <c r="C880" s="159">
        <f t="shared" si="144"/>
        <v>6634.24</v>
      </c>
      <c r="D880" s="159">
        <f t="shared" si="144"/>
        <v>6634.24</v>
      </c>
      <c r="E880" s="159">
        <f t="shared" si="144"/>
        <v>11350.77</v>
      </c>
      <c r="F880" s="159">
        <f t="shared" si="144"/>
        <v>9277.57</v>
      </c>
      <c r="G880" s="159"/>
      <c r="H880" s="159">
        <f t="shared" si="145"/>
        <v>83290.81</v>
      </c>
      <c r="I880" s="159"/>
      <c r="J880" s="159"/>
      <c r="K880" s="159"/>
      <c r="L880" s="164" t="s">
        <v>419</v>
      </c>
      <c r="M880" s="159">
        <f t="shared" si="146"/>
        <v>92061.706000000006</v>
      </c>
      <c r="N880" s="159">
        <f t="shared" si="146"/>
        <v>12328.575999999999</v>
      </c>
      <c r="O880" s="159">
        <f t="shared" si="146"/>
        <v>12293.76</v>
      </c>
      <c r="P880" s="159">
        <f t="shared" si="146"/>
        <v>19563.489000000001</v>
      </c>
      <c r="Q880" s="159">
        <f t="shared" si="146"/>
        <v>0</v>
      </c>
      <c r="R880" s="159">
        <f t="shared" si="147"/>
        <v>136247.53100000002</v>
      </c>
      <c r="S880" s="307"/>
    </row>
    <row r="881" spans="1:19" x14ac:dyDescent="0.3">
      <c r="A881" s="325" t="s">
        <v>420</v>
      </c>
      <c r="B881" s="159">
        <f t="shared" si="144"/>
        <v>115902.90700000001</v>
      </c>
      <c r="C881" s="159">
        <f t="shared" si="144"/>
        <v>15567.232</v>
      </c>
      <c r="D881" s="159">
        <f t="shared" si="144"/>
        <v>15567.232</v>
      </c>
      <c r="E881" s="159">
        <f t="shared" si="144"/>
        <v>26634.561000000002</v>
      </c>
      <c r="F881" s="159">
        <f t="shared" si="144"/>
        <v>21769.800999999999</v>
      </c>
      <c r="G881" s="159"/>
      <c r="H881" s="159">
        <f t="shared" si="145"/>
        <v>195441.73299999998</v>
      </c>
      <c r="I881" s="159"/>
      <c r="J881" s="159"/>
      <c r="K881" s="159"/>
      <c r="L881" s="164" t="s">
        <v>420</v>
      </c>
      <c r="M881" s="159">
        <f t="shared" si="146"/>
        <v>51473.436000000002</v>
      </c>
      <c r="N881" s="159">
        <f t="shared" si="146"/>
        <v>6883.4560000000001</v>
      </c>
      <c r="O881" s="159">
        <f t="shared" si="146"/>
        <v>6854.5280000000002</v>
      </c>
      <c r="P881" s="159">
        <f t="shared" si="146"/>
        <v>10990.953</v>
      </c>
      <c r="Q881" s="159">
        <f t="shared" si="146"/>
        <v>0</v>
      </c>
      <c r="R881" s="159">
        <f t="shared" si="147"/>
        <v>76202.372999999992</v>
      </c>
      <c r="S881" s="307"/>
    </row>
    <row r="882" spans="1:19" x14ac:dyDescent="0.3">
      <c r="A882" s="325" t="s">
        <v>421</v>
      </c>
      <c r="B882" s="159">
        <f t="shared" si="144"/>
        <v>83617.172999999995</v>
      </c>
      <c r="C882" s="159">
        <f t="shared" si="144"/>
        <v>11230.848</v>
      </c>
      <c r="D882" s="159">
        <f t="shared" si="144"/>
        <v>11230.848</v>
      </c>
      <c r="E882" s="159">
        <f t="shared" si="144"/>
        <v>19215.278999999999</v>
      </c>
      <c r="F882" s="159">
        <f t="shared" si="144"/>
        <v>15705.638999999999</v>
      </c>
      <c r="G882" s="159"/>
      <c r="H882" s="159">
        <f t="shared" si="145"/>
        <v>140999.78699999998</v>
      </c>
      <c r="I882" s="159"/>
      <c r="J882" s="159"/>
      <c r="K882" s="159"/>
      <c r="L882" s="164" t="s">
        <v>421</v>
      </c>
      <c r="M882" s="159">
        <f t="shared" si="146"/>
        <v>59569.171000000002</v>
      </c>
      <c r="N882" s="159">
        <f t="shared" si="146"/>
        <v>7977.0879999999997</v>
      </c>
      <c r="O882" s="159">
        <f t="shared" si="146"/>
        <v>7954.1760000000004</v>
      </c>
      <c r="P882" s="159">
        <f t="shared" si="146"/>
        <v>11628.681</v>
      </c>
      <c r="Q882" s="159">
        <f t="shared" si="146"/>
        <v>0</v>
      </c>
      <c r="R882" s="159">
        <f t="shared" si="147"/>
        <v>87129.116000000009</v>
      </c>
      <c r="S882" s="307"/>
    </row>
    <row r="883" spans="1:19" x14ac:dyDescent="0.3">
      <c r="A883" s="323"/>
      <c r="B883" s="159"/>
      <c r="C883" s="159"/>
      <c r="D883" s="159"/>
      <c r="E883" s="159"/>
      <c r="F883" s="159"/>
      <c r="G883" s="159"/>
      <c r="H883" s="159"/>
      <c r="I883" s="159"/>
      <c r="J883" s="159"/>
      <c r="K883" s="159"/>
      <c r="L883" s="159"/>
      <c r="M883" s="159"/>
      <c r="N883" s="159"/>
      <c r="O883" s="159"/>
      <c r="P883" s="159"/>
      <c r="Q883" s="159"/>
      <c r="R883" s="159"/>
      <c r="S883" s="307"/>
    </row>
    <row r="884" spans="1:19" ht="16.2" thickBot="1" x14ac:dyDescent="0.35">
      <c r="A884" s="330" t="s">
        <v>422</v>
      </c>
      <c r="B884" s="327">
        <f>SUM(B871:B882)</f>
        <v>396139.228</v>
      </c>
      <c r="C884" s="327">
        <f>SUM(C871:C882)</f>
        <v>53206.527999999991</v>
      </c>
      <c r="D884" s="327">
        <f>SUM(D871:D882)</f>
        <v>53206.527999999991</v>
      </c>
      <c r="E884" s="327">
        <f>SUM(E871:E882)</f>
        <v>91033.043999999994</v>
      </c>
      <c r="F884" s="327">
        <f>SUM(F871:F882)</f>
        <v>74406.004000000001</v>
      </c>
      <c r="G884" s="327"/>
      <c r="H884" s="327">
        <f>SUM(H871:H882)</f>
        <v>667991.33200000005</v>
      </c>
      <c r="I884" s="327"/>
      <c r="J884" s="327"/>
      <c r="K884" s="327"/>
      <c r="L884" s="335" t="s">
        <v>422</v>
      </c>
      <c r="M884" s="327">
        <f t="shared" ref="M884:R884" si="148">SUM(M871:M882)</f>
        <v>1158285.7300000002</v>
      </c>
      <c r="N884" s="327">
        <f t="shared" si="148"/>
        <v>155124.48000000001</v>
      </c>
      <c r="O884" s="327">
        <f t="shared" si="148"/>
        <v>154602.49600000001</v>
      </c>
      <c r="P884" s="327">
        <f t="shared" si="148"/>
        <v>228519.71100000001</v>
      </c>
      <c r="Q884" s="327">
        <f t="shared" si="148"/>
        <v>0</v>
      </c>
      <c r="R884" s="327">
        <f t="shared" si="148"/>
        <v>1696532.4169999997</v>
      </c>
      <c r="S884" s="313"/>
    </row>
    <row r="885" spans="1:19" ht="16.2" thickBot="1" x14ac:dyDescent="0.35">
      <c r="A885" s="159"/>
      <c r="B885" s="159"/>
      <c r="C885" s="159"/>
      <c r="D885" s="159"/>
      <c r="E885" s="159"/>
      <c r="F885" s="159"/>
      <c r="G885" s="159"/>
      <c r="H885" s="159"/>
      <c r="I885" s="159"/>
      <c r="J885" s="159"/>
      <c r="K885" s="159"/>
      <c r="L885" s="159"/>
      <c r="M885" s="159"/>
      <c r="N885" s="159"/>
      <c r="O885" s="159"/>
      <c r="P885" s="159"/>
      <c r="Q885" s="159"/>
      <c r="R885" s="159"/>
    </row>
    <row r="886" spans="1:19" ht="16.2" x14ac:dyDescent="0.35">
      <c r="A886" s="318"/>
      <c r="B886" s="319" t="s">
        <v>424</v>
      </c>
      <c r="C886" s="336"/>
      <c r="D886" s="336"/>
      <c r="E886" s="336"/>
      <c r="F886" s="336"/>
      <c r="G886" s="321" t="s">
        <v>466</v>
      </c>
      <c r="H886" s="319"/>
      <c r="I886" s="319"/>
      <c r="J886" s="319"/>
      <c r="K886" s="319"/>
      <c r="L886" s="319"/>
      <c r="M886" s="319"/>
      <c r="N886" s="319"/>
      <c r="O886" s="319"/>
      <c r="P886" s="319"/>
      <c r="Q886" s="321" t="str">
        <f>+Q1</f>
        <v>PRINTED:</v>
      </c>
      <c r="R886" s="331">
        <f ca="1">+R1</f>
        <v>44909.46975358796</v>
      </c>
      <c r="S886" s="332"/>
    </row>
    <row r="887" spans="1:19" ht="16.2" x14ac:dyDescent="0.35">
      <c r="A887" s="323"/>
      <c r="B887" s="159"/>
      <c r="C887" s="167"/>
      <c r="D887" s="167"/>
      <c r="E887" s="167"/>
      <c r="F887" s="167"/>
      <c r="G887" s="159" t="s">
        <v>424</v>
      </c>
      <c r="H887" s="159" t="s">
        <v>7</v>
      </c>
      <c r="I887" s="163" t="str">
        <f>+A9</f>
        <v>Revised:  1/23/11</v>
      </c>
      <c r="J887" s="159"/>
      <c r="K887" s="159"/>
      <c r="L887" s="159"/>
      <c r="M887" s="159"/>
      <c r="N887" s="159"/>
      <c r="O887" s="159"/>
      <c r="P887" s="159"/>
      <c r="Q887" s="159"/>
      <c r="R887" s="159"/>
      <c r="S887" s="307"/>
    </row>
    <row r="888" spans="1:19" ht="16.2" x14ac:dyDescent="0.35">
      <c r="A888" s="323"/>
      <c r="B888" s="159" t="s">
        <v>424</v>
      </c>
      <c r="C888" s="167"/>
      <c r="D888" s="167"/>
      <c r="E888" s="167"/>
      <c r="F888" s="167"/>
      <c r="G888" s="159" t="s">
        <v>787</v>
      </c>
      <c r="H888" s="159"/>
      <c r="I888" s="159"/>
      <c r="J888" s="159"/>
      <c r="K888" s="159"/>
      <c r="L888" s="159"/>
      <c r="M888" s="159"/>
      <c r="N888" s="159"/>
      <c r="O888" s="159"/>
      <c r="P888" s="159"/>
      <c r="Q888" s="159"/>
      <c r="R888" s="159"/>
      <c r="S888" s="307"/>
    </row>
    <row r="889" spans="1:19" ht="16.2" x14ac:dyDescent="0.35">
      <c r="A889" s="323"/>
      <c r="B889" s="159"/>
      <c r="C889" s="167"/>
      <c r="D889" s="167"/>
      <c r="E889" s="167"/>
      <c r="F889" s="167"/>
      <c r="G889" s="159"/>
      <c r="H889" s="159"/>
      <c r="I889" s="159"/>
      <c r="J889" s="159"/>
      <c r="K889" s="159"/>
      <c r="L889" s="159" t="s">
        <v>424</v>
      </c>
      <c r="M889" s="159"/>
      <c r="N889" s="159"/>
      <c r="O889" s="159"/>
      <c r="P889" s="159"/>
      <c r="Q889" s="159"/>
      <c r="R889" s="159"/>
      <c r="S889" s="307"/>
    </row>
    <row r="890" spans="1:19" ht="16.2" x14ac:dyDescent="0.35">
      <c r="A890" s="323"/>
      <c r="B890" s="159"/>
      <c r="C890" s="167"/>
      <c r="D890" s="167"/>
      <c r="E890" s="167"/>
      <c r="F890" s="167"/>
      <c r="G890" s="159" t="s">
        <v>424</v>
      </c>
      <c r="H890" s="159" t="str">
        <f>+A5</f>
        <v>Calendar Year 2011</v>
      </c>
      <c r="I890" s="159"/>
      <c r="K890" s="159"/>
      <c r="L890" s="159"/>
      <c r="N890" s="159" t="s">
        <v>424</v>
      </c>
      <c r="O890" s="159"/>
      <c r="P890" s="159"/>
      <c r="Q890" s="161" t="s">
        <v>467</v>
      </c>
      <c r="R890" s="159"/>
      <c r="S890" s="307"/>
    </row>
    <row r="891" spans="1:19" x14ac:dyDescent="0.3">
      <c r="A891" s="323"/>
      <c r="B891" s="159"/>
      <c r="C891" s="159"/>
      <c r="D891" s="159"/>
      <c r="E891" s="159"/>
      <c r="F891" s="159"/>
      <c r="G891" s="159"/>
      <c r="H891" s="159"/>
      <c r="I891" s="159"/>
      <c r="K891" s="159"/>
      <c r="L891" s="159"/>
      <c r="N891" s="159"/>
      <c r="O891" s="159"/>
      <c r="P891" s="159"/>
      <c r="Q891" s="159" t="s">
        <v>468</v>
      </c>
      <c r="R891" s="159"/>
      <c r="S891" s="307"/>
    </row>
    <row r="892" spans="1:19" ht="16.2" x14ac:dyDescent="0.35">
      <c r="A892" s="323" t="s">
        <v>424</v>
      </c>
      <c r="B892" s="164" t="s">
        <v>428</v>
      </c>
      <c r="C892" s="164" t="s">
        <v>469</v>
      </c>
      <c r="D892" s="164" t="s">
        <v>470</v>
      </c>
      <c r="E892" s="164" t="s">
        <v>471</v>
      </c>
      <c r="F892" s="159"/>
      <c r="G892" s="159"/>
      <c r="H892" s="164" t="s">
        <v>472</v>
      </c>
      <c r="I892" s="164" t="s">
        <v>473</v>
      </c>
      <c r="J892" s="164" t="s">
        <v>474</v>
      </c>
      <c r="K892" s="164" t="s">
        <v>475</v>
      </c>
      <c r="L892" s="164" t="s">
        <v>476</v>
      </c>
      <c r="M892" s="164" t="s">
        <v>474</v>
      </c>
      <c r="N892" s="159" t="s">
        <v>424</v>
      </c>
      <c r="O892" s="159"/>
      <c r="P892" s="159"/>
      <c r="Q892" s="159"/>
      <c r="R892" s="159"/>
      <c r="S892" s="307"/>
    </row>
    <row r="893" spans="1:19" x14ac:dyDescent="0.3">
      <c r="A893" s="323" t="s">
        <v>424</v>
      </c>
      <c r="B893" s="164" t="s">
        <v>435</v>
      </c>
      <c r="C893" s="164" t="s">
        <v>477</v>
      </c>
      <c r="D893" s="164" t="s">
        <v>442</v>
      </c>
      <c r="E893" s="164" t="s">
        <v>429</v>
      </c>
      <c r="F893" s="164" t="s">
        <v>478</v>
      </c>
      <c r="G893" s="164" t="s">
        <v>479</v>
      </c>
      <c r="H893" s="164" t="s">
        <v>480</v>
      </c>
      <c r="I893" s="164" t="s">
        <v>481</v>
      </c>
      <c r="J893" s="164" t="s">
        <v>671</v>
      </c>
      <c r="K893" s="164" t="s">
        <v>483</v>
      </c>
      <c r="L893" s="164" t="s">
        <v>422</v>
      </c>
      <c r="M893" s="164" t="s">
        <v>671</v>
      </c>
      <c r="N893" s="159" t="s">
        <v>484</v>
      </c>
      <c r="O893" s="159"/>
      <c r="P893" s="159"/>
      <c r="Q893" s="159" t="s">
        <v>424</v>
      </c>
      <c r="R893" s="164" t="s">
        <v>442</v>
      </c>
      <c r="S893" s="307"/>
    </row>
    <row r="894" spans="1:19" x14ac:dyDescent="0.3">
      <c r="A894" s="323" t="s">
        <v>424</v>
      </c>
      <c r="B894" s="164" t="s">
        <v>442</v>
      </c>
      <c r="C894" s="169">
        <v>6.8000000000000005E-2</v>
      </c>
      <c r="D894" s="164" t="s">
        <v>485</v>
      </c>
      <c r="E894" s="164" t="s">
        <v>436</v>
      </c>
      <c r="F894" s="164" t="s">
        <v>442</v>
      </c>
      <c r="G894" s="164" t="s">
        <v>442</v>
      </c>
      <c r="H894" s="164" t="s">
        <v>442</v>
      </c>
      <c r="I894" s="164" t="s">
        <v>486</v>
      </c>
      <c r="J894" s="164" t="s">
        <v>487</v>
      </c>
      <c r="K894" s="164" t="s">
        <v>442</v>
      </c>
      <c r="L894" s="164" t="s">
        <v>488</v>
      </c>
      <c r="M894" s="164" t="s">
        <v>487</v>
      </c>
      <c r="N894" s="164" t="s">
        <v>489</v>
      </c>
      <c r="O894" s="164" t="s">
        <v>490</v>
      </c>
      <c r="P894" s="159"/>
      <c r="Q894" s="164" t="s">
        <v>442</v>
      </c>
      <c r="R894" s="164" t="s">
        <v>439</v>
      </c>
      <c r="S894" s="307"/>
    </row>
    <row r="895" spans="1:19" x14ac:dyDescent="0.3">
      <c r="A895" s="323" t="s">
        <v>424</v>
      </c>
      <c r="B895" s="164" t="s">
        <v>448</v>
      </c>
      <c r="C895" s="164" t="s">
        <v>448</v>
      </c>
      <c r="D895" s="164" t="s">
        <v>448</v>
      </c>
      <c r="E895" s="164" t="s">
        <v>448</v>
      </c>
      <c r="F895" s="164" t="s">
        <v>491</v>
      </c>
      <c r="G895" s="164" t="s">
        <v>491</v>
      </c>
      <c r="H895" s="164" t="s">
        <v>448</v>
      </c>
      <c r="I895" s="164" t="s">
        <v>448</v>
      </c>
      <c r="J895" s="164" t="s">
        <v>491</v>
      </c>
      <c r="K895" s="164" t="s">
        <v>448</v>
      </c>
      <c r="L895" s="164" t="s">
        <v>491</v>
      </c>
      <c r="M895" s="164" t="s">
        <v>491</v>
      </c>
      <c r="N895" s="164" t="s">
        <v>491</v>
      </c>
      <c r="O895" s="164" t="s">
        <v>491</v>
      </c>
      <c r="P895" s="159"/>
      <c r="Q895" s="164" t="s">
        <v>491</v>
      </c>
      <c r="R895" s="164" t="s">
        <v>492</v>
      </c>
      <c r="S895" s="307"/>
    </row>
    <row r="896" spans="1:19" x14ac:dyDescent="0.3">
      <c r="A896" s="323" t="s">
        <v>409</v>
      </c>
      <c r="B896" s="159" t="s">
        <v>409</v>
      </c>
      <c r="C896" s="159" t="s">
        <v>409</v>
      </c>
      <c r="D896" s="159" t="s">
        <v>493</v>
      </c>
      <c r="E896" s="159" t="s">
        <v>409</v>
      </c>
      <c r="F896" s="164" t="s">
        <v>494</v>
      </c>
      <c r="G896" s="164" t="s">
        <v>494</v>
      </c>
      <c r="H896" s="159" t="s">
        <v>409</v>
      </c>
      <c r="I896" s="159" t="s">
        <v>409</v>
      </c>
      <c r="J896" s="159" t="s">
        <v>409</v>
      </c>
      <c r="K896" s="159" t="s">
        <v>409</v>
      </c>
      <c r="L896" s="164" t="s">
        <v>409</v>
      </c>
      <c r="M896" s="159" t="s">
        <v>409</v>
      </c>
      <c r="N896" s="164" t="s">
        <v>409</v>
      </c>
      <c r="O896" s="164" t="s">
        <v>409</v>
      </c>
      <c r="P896" s="159"/>
      <c r="Q896" s="164" t="s">
        <v>409</v>
      </c>
      <c r="R896" s="164" t="s">
        <v>409</v>
      </c>
      <c r="S896" s="307"/>
    </row>
    <row r="897" spans="1:19" x14ac:dyDescent="0.3">
      <c r="A897" s="325" t="s">
        <v>410</v>
      </c>
      <c r="B897" s="159">
        <f t="shared" ref="B897:B908" si="149">+H786</f>
        <v>159072.28</v>
      </c>
      <c r="C897" s="159">
        <f t="shared" ref="C897:C908" si="150">(B897*C$894)</f>
        <v>10816.91504</v>
      </c>
      <c r="D897" s="159">
        <f t="shared" ref="D897:D908" si="151">(B897*1.005)</f>
        <v>159867.64139999999</v>
      </c>
      <c r="E897" s="159">
        <f t="shared" ref="E897:E904" si="152">(G761*G$759)/(-1000)</f>
        <v>0</v>
      </c>
      <c r="F897" s="159">
        <f t="shared" ref="F897:F908" si="153">(K934)</f>
        <v>4000</v>
      </c>
      <c r="G897" s="159">
        <f t="shared" ref="G897:G908" si="154">(O934)</f>
        <v>0</v>
      </c>
      <c r="H897" s="159">
        <f t="shared" ref="H897:H908" si="155">(F897+G897)</f>
        <v>4000</v>
      </c>
      <c r="I897" s="159">
        <f t="shared" ref="I897:I908" si="156">(G934)</f>
        <v>0</v>
      </c>
      <c r="J897" s="4">
        <f>(B$243+B$368+B$369)*1.728</f>
        <v>425.08800000000002</v>
      </c>
      <c r="K897" s="159">
        <f t="shared" ref="K897:K908" si="157">(D897+C897-E897-H897-I897-J897)</f>
        <v>166259.46844</v>
      </c>
      <c r="L897" s="159">
        <f t="shared" ref="L897:L908" si="158">(C897+D897)</f>
        <v>170684.55643999999</v>
      </c>
      <c r="M897" s="159">
        <f t="shared" ref="M897:M908" si="159">J897</f>
        <v>425.08800000000002</v>
      </c>
      <c r="N897" s="159">
        <f t="shared" ref="N897:N905" si="160">L897-M897</f>
        <v>170259.46844</v>
      </c>
      <c r="O897" s="159">
        <v>0</v>
      </c>
      <c r="P897" s="171" t="s">
        <v>495</v>
      </c>
      <c r="Q897" s="159">
        <f t="shared" ref="Q897:Q908" si="161">SUM(L843:Q843)</f>
        <v>10639.547999999999</v>
      </c>
      <c r="R897" s="172">
        <v>2.4700000000000002</v>
      </c>
      <c r="S897" s="307"/>
    </row>
    <row r="898" spans="1:19" x14ac:dyDescent="0.3">
      <c r="A898" s="325" t="s">
        <v>411</v>
      </c>
      <c r="B898" s="159">
        <f t="shared" si="149"/>
        <v>227205.46599999999</v>
      </c>
      <c r="C898" s="159">
        <f t="shared" si="150"/>
        <v>15449.971688</v>
      </c>
      <c r="D898" s="159">
        <f t="shared" si="151"/>
        <v>228341.49332999997</v>
      </c>
      <c r="E898" s="159">
        <f t="shared" si="152"/>
        <v>0</v>
      </c>
      <c r="F898" s="159">
        <f t="shared" si="153"/>
        <v>4000</v>
      </c>
      <c r="G898" s="159">
        <f t="shared" si="154"/>
        <v>0</v>
      </c>
      <c r="H898" s="159">
        <f t="shared" si="155"/>
        <v>4000</v>
      </c>
      <c r="I898" s="159">
        <f t="shared" si="156"/>
        <v>0</v>
      </c>
      <c r="J898" s="4">
        <f>(C$243+C$368+C$369)*1.728</f>
        <v>43.2</v>
      </c>
      <c r="K898" s="159">
        <f t="shared" si="157"/>
        <v>239748.26501799995</v>
      </c>
      <c r="L898" s="159">
        <f t="shared" si="158"/>
        <v>243791.46501799996</v>
      </c>
      <c r="M898" s="159">
        <f t="shared" si="159"/>
        <v>43.2</v>
      </c>
      <c r="N898" s="159">
        <f t="shared" si="160"/>
        <v>243748.26501799995</v>
      </c>
      <c r="O898" s="159">
        <v>0</v>
      </c>
      <c r="P898" s="159"/>
      <c r="Q898" s="159">
        <f t="shared" si="161"/>
        <v>10946.28</v>
      </c>
      <c r="R898" s="172">
        <v>2.4700000000000002</v>
      </c>
      <c r="S898" s="307"/>
    </row>
    <row r="899" spans="1:19" x14ac:dyDescent="0.3">
      <c r="A899" s="325" t="s">
        <v>412</v>
      </c>
      <c r="B899" s="159">
        <f t="shared" si="149"/>
        <v>299395.908</v>
      </c>
      <c r="C899" s="159">
        <f t="shared" si="150"/>
        <v>20358.921744000003</v>
      </c>
      <c r="D899" s="159">
        <f t="shared" si="151"/>
        <v>300892.88753999997</v>
      </c>
      <c r="E899" s="159">
        <f t="shared" si="152"/>
        <v>0</v>
      </c>
      <c r="F899" s="159">
        <f t="shared" si="153"/>
        <v>4000</v>
      </c>
      <c r="G899" s="159">
        <f t="shared" si="154"/>
        <v>0</v>
      </c>
      <c r="H899" s="159">
        <f t="shared" si="155"/>
        <v>4000</v>
      </c>
      <c r="I899" s="159">
        <f t="shared" si="156"/>
        <v>0</v>
      </c>
      <c r="J899" s="4">
        <f>(D$243+D$368+D$369)*1.728</f>
        <v>953.85599999999999</v>
      </c>
      <c r="K899" s="159">
        <f t="shared" si="157"/>
        <v>316297.95328399993</v>
      </c>
      <c r="L899" s="159">
        <f t="shared" si="158"/>
        <v>321251.80928399996</v>
      </c>
      <c r="M899" s="159">
        <f t="shared" si="159"/>
        <v>953.85599999999999</v>
      </c>
      <c r="N899" s="159">
        <f t="shared" si="160"/>
        <v>320297.95328399993</v>
      </c>
      <c r="O899" s="159">
        <v>0</v>
      </c>
      <c r="P899" s="159"/>
      <c r="Q899" s="159">
        <f t="shared" si="161"/>
        <v>9064.0110000000004</v>
      </c>
      <c r="R899" s="172">
        <v>2.4700000000000002</v>
      </c>
      <c r="S899" s="307"/>
    </row>
    <row r="900" spans="1:19" x14ac:dyDescent="0.3">
      <c r="A900" s="325" t="s">
        <v>413</v>
      </c>
      <c r="B900" s="159">
        <f t="shared" si="149"/>
        <v>297089.96400000004</v>
      </c>
      <c r="C900" s="159">
        <f t="shared" si="150"/>
        <v>20202.117552000003</v>
      </c>
      <c r="D900" s="159">
        <f t="shared" si="151"/>
        <v>298575.41382000002</v>
      </c>
      <c r="E900" s="159">
        <f t="shared" si="152"/>
        <v>0</v>
      </c>
      <c r="F900" s="159">
        <f t="shared" si="153"/>
        <v>4000</v>
      </c>
      <c r="G900" s="159">
        <f t="shared" si="154"/>
        <v>0</v>
      </c>
      <c r="H900" s="159">
        <f t="shared" si="155"/>
        <v>4000</v>
      </c>
      <c r="I900" s="159">
        <f t="shared" si="156"/>
        <v>0</v>
      </c>
      <c r="J900" s="4">
        <f>(F$243+F$368+F$369)*1.728</f>
        <v>0</v>
      </c>
      <c r="K900" s="159">
        <f t="shared" si="157"/>
        <v>314777.531372</v>
      </c>
      <c r="L900" s="159">
        <f t="shared" si="158"/>
        <v>318777.531372</v>
      </c>
      <c r="M900" s="159">
        <f t="shared" si="159"/>
        <v>0</v>
      </c>
      <c r="N900" s="159">
        <f t="shared" si="160"/>
        <v>318777.531372</v>
      </c>
      <c r="O900" s="159">
        <v>0</v>
      </c>
      <c r="P900" s="159"/>
      <c r="Q900" s="159">
        <f t="shared" si="161"/>
        <v>10731.63</v>
      </c>
      <c r="R900" s="172">
        <v>2.4700000000000002</v>
      </c>
      <c r="S900" s="307"/>
    </row>
    <row r="901" spans="1:19" x14ac:dyDescent="0.3">
      <c r="A901" s="325" t="s">
        <v>414</v>
      </c>
      <c r="B901" s="159">
        <f t="shared" si="149"/>
        <v>276039.95799999998</v>
      </c>
      <c r="C901" s="159">
        <f t="shared" si="150"/>
        <v>18770.717144000002</v>
      </c>
      <c r="D901" s="159">
        <f t="shared" si="151"/>
        <v>277420.15778999997</v>
      </c>
      <c r="E901" s="159">
        <f t="shared" si="152"/>
        <v>3141.7649999999999</v>
      </c>
      <c r="F901" s="159">
        <f t="shared" si="153"/>
        <v>9000</v>
      </c>
      <c r="G901" s="159">
        <f t="shared" si="154"/>
        <v>0</v>
      </c>
      <c r="H901" s="159">
        <f t="shared" si="155"/>
        <v>9000</v>
      </c>
      <c r="I901" s="159">
        <f t="shared" si="156"/>
        <v>0</v>
      </c>
      <c r="J901" s="4">
        <f>(G$243+G$368+G$369)*1.728</f>
        <v>1952.6399999999999</v>
      </c>
      <c r="K901" s="159">
        <f t="shared" si="157"/>
        <v>282096.46993399994</v>
      </c>
      <c r="L901" s="159">
        <f t="shared" si="158"/>
        <v>296190.87493399996</v>
      </c>
      <c r="M901" s="159">
        <f t="shared" si="159"/>
        <v>1952.6399999999999</v>
      </c>
      <c r="N901" s="159">
        <f t="shared" si="160"/>
        <v>294238.23493399995</v>
      </c>
      <c r="O901" s="159">
        <v>0</v>
      </c>
      <c r="P901" s="159"/>
      <c r="Q901" s="159">
        <f t="shared" si="161"/>
        <v>11237.877</v>
      </c>
      <c r="R901" s="172">
        <v>2.4700000000000002</v>
      </c>
      <c r="S901" s="307"/>
    </row>
    <row r="902" spans="1:19" x14ac:dyDescent="0.3">
      <c r="A902" s="325" t="s">
        <v>415</v>
      </c>
      <c r="B902" s="159">
        <f t="shared" si="149"/>
        <v>252260.66500000001</v>
      </c>
      <c r="C902" s="159">
        <f t="shared" si="150"/>
        <v>17153.72522</v>
      </c>
      <c r="D902" s="159">
        <f t="shared" si="151"/>
        <v>253521.96832499999</v>
      </c>
      <c r="E902" s="159">
        <f t="shared" si="152"/>
        <v>9426.8680000000004</v>
      </c>
      <c r="F902" s="159">
        <f t="shared" si="153"/>
        <v>18000</v>
      </c>
      <c r="G902" s="159">
        <f t="shared" si="154"/>
        <v>0</v>
      </c>
      <c r="H902" s="159">
        <f t="shared" si="155"/>
        <v>18000</v>
      </c>
      <c r="I902" s="159">
        <f t="shared" si="156"/>
        <v>0</v>
      </c>
      <c r="J902" s="4">
        <f>(H$243+H$368+H$369)*1.728</f>
        <v>1812.672</v>
      </c>
      <c r="K902" s="159">
        <f t="shared" si="157"/>
        <v>241436.15354500001</v>
      </c>
      <c r="L902" s="159">
        <f t="shared" si="158"/>
        <v>270675.69354499999</v>
      </c>
      <c r="M902" s="159">
        <f t="shared" si="159"/>
        <v>1812.672</v>
      </c>
      <c r="N902" s="159">
        <f t="shared" si="160"/>
        <v>268863.02154499997</v>
      </c>
      <c r="O902" s="159">
        <f t="shared" ref="O902:O908" si="162">(L902-M902-N902)</f>
        <v>0</v>
      </c>
      <c r="P902" s="159"/>
      <c r="Q902" s="159">
        <f t="shared" si="161"/>
        <v>8076.777</v>
      </c>
      <c r="R902" s="172">
        <v>2.4700000000000002</v>
      </c>
      <c r="S902" s="307"/>
    </row>
    <row r="903" spans="1:19" x14ac:dyDescent="0.3">
      <c r="A903" s="325" t="s">
        <v>416</v>
      </c>
      <c r="B903" s="159">
        <f t="shared" si="149"/>
        <v>148579.217</v>
      </c>
      <c r="C903" s="159">
        <f t="shared" si="150"/>
        <v>10103.386756000002</v>
      </c>
      <c r="D903" s="159">
        <f t="shared" si="151"/>
        <v>149322.11308499999</v>
      </c>
      <c r="E903" s="159">
        <f t="shared" si="152"/>
        <v>19279.655999999999</v>
      </c>
      <c r="F903" s="159">
        <f t="shared" si="153"/>
        <v>26000</v>
      </c>
      <c r="G903" s="159">
        <f t="shared" si="154"/>
        <v>0</v>
      </c>
      <c r="H903" s="159">
        <f t="shared" si="155"/>
        <v>26000</v>
      </c>
      <c r="I903" s="159">
        <f t="shared" si="156"/>
        <v>0</v>
      </c>
      <c r="J903" s="4">
        <f>(J$243+J$368+J$369)*1.728</f>
        <v>34.56</v>
      </c>
      <c r="K903" s="159">
        <f t="shared" si="157"/>
        <v>114111.283841</v>
      </c>
      <c r="L903" s="159">
        <f t="shared" si="158"/>
        <v>159425.49984099998</v>
      </c>
      <c r="M903" s="159">
        <f t="shared" si="159"/>
        <v>34.56</v>
      </c>
      <c r="N903" s="159">
        <f t="shared" si="160"/>
        <v>159390.93984099998</v>
      </c>
      <c r="O903" s="159">
        <f t="shared" si="162"/>
        <v>0</v>
      </c>
      <c r="P903" s="159"/>
      <c r="Q903" s="159">
        <f t="shared" si="161"/>
        <v>8880.2009999999991</v>
      </c>
      <c r="R903" s="172">
        <v>2.4700000000000002</v>
      </c>
      <c r="S903" s="307"/>
    </row>
    <row r="904" spans="1:19" x14ac:dyDescent="0.3">
      <c r="A904" s="325" t="s">
        <v>417</v>
      </c>
      <c r="B904" s="159">
        <f t="shared" si="149"/>
        <v>130394.81400000001</v>
      </c>
      <c r="C904" s="159">
        <f t="shared" si="150"/>
        <v>8866.8473520000007</v>
      </c>
      <c r="D904" s="159">
        <f t="shared" si="151"/>
        <v>131046.78807</v>
      </c>
      <c r="E904" s="159">
        <f t="shared" si="152"/>
        <v>19514.275000000001</v>
      </c>
      <c r="F904" s="159">
        <f t="shared" si="153"/>
        <v>35000</v>
      </c>
      <c r="G904" s="159">
        <f t="shared" si="154"/>
        <v>0</v>
      </c>
      <c r="H904" s="159">
        <f t="shared" si="155"/>
        <v>35000</v>
      </c>
      <c r="I904" s="159">
        <f t="shared" si="156"/>
        <v>0</v>
      </c>
      <c r="J904" s="4">
        <f>(K$243+K$368+K$369)*1.728</f>
        <v>0</v>
      </c>
      <c r="K904" s="159">
        <f t="shared" si="157"/>
        <v>85399.360421999998</v>
      </c>
      <c r="L904" s="159">
        <f t="shared" si="158"/>
        <v>139913.63542199999</v>
      </c>
      <c r="M904" s="159">
        <f t="shared" si="159"/>
        <v>0</v>
      </c>
      <c r="N904" s="159">
        <f t="shared" si="160"/>
        <v>139913.63542199999</v>
      </c>
      <c r="O904" s="159">
        <f t="shared" si="162"/>
        <v>0</v>
      </c>
      <c r="P904" s="159"/>
      <c r="Q904" s="159">
        <f t="shared" si="161"/>
        <v>10898.501999999999</v>
      </c>
      <c r="R904" s="172">
        <v>2.4700000000000002</v>
      </c>
      <c r="S904" s="307"/>
    </row>
    <row r="905" spans="1:19" x14ac:dyDescent="0.3">
      <c r="A905" s="325" t="s">
        <v>418</v>
      </c>
      <c r="B905" s="159">
        <f t="shared" si="149"/>
        <v>182982.78000000003</v>
      </c>
      <c r="C905" s="159">
        <f t="shared" si="150"/>
        <v>12442.829040000002</v>
      </c>
      <c r="D905" s="159">
        <f t="shared" si="151"/>
        <v>183897.69390000001</v>
      </c>
      <c r="E905" s="159">
        <v>0</v>
      </c>
      <c r="F905" s="159">
        <f t="shared" si="153"/>
        <v>29348</v>
      </c>
      <c r="G905" s="159">
        <f t="shared" si="154"/>
        <v>0</v>
      </c>
      <c r="H905" s="159">
        <f t="shared" si="155"/>
        <v>29348</v>
      </c>
      <c r="I905" s="159">
        <f t="shared" si="156"/>
        <v>0</v>
      </c>
      <c r="J905" s="4">
        <f>(L$243+L$368+L$369)*1.728</f>
        <v>373.24799999999999</v>
      </c>
      <c r="K905" s="159">
        <f t="shared" si="157"/>
        <v>166619.27494000003</v>
      </c>
      <c r="L905" s="159">
        <f t="shared" si="158"/>
        <v>196340.52294000002</v>
      </c>
      <c r="M905" s="159">
        <f t="shared" si="159"/>
        <v>373.24799999999999</v>
      </c>
      <c r="N905" s="159">
        <f t="shared" si="160"/>
        <v>195967.27494000003</v>
      </c>
      <c r="O905" s="159">
        <f t="shared" si="162"/>
        <v>0</v>
      </c>
      <c r="P905" s="159"/>
      <c r="Q905" s="159">
        <f t="shared" si="161"/>
        <v>12947.472</v>
      </c>
      <c r="R905" s="172">
        <v>2.4700000000000002</v>
      </c>
      <c r="S905" s="307"/>
    </row>
    <row r="906" spans="1:19" x14ac:dyDescent="0.3">
      <c r="A906" s="325" t="s">
        <v>419</v>
      </c>
      <c r="B906" s="159">
        <f t="shared" si="149"/>
        <v>244743.446</v>
      </c>
      <c r="C906" s="159">
        <f t="shared" si="150"/>
        <v>16642.554328000002</v>
      </c>
      <c r="D906" s="159">
        <f t="shared" si="151"/>
        <v>245967.16322999998</v>
      </c>
      <c r="E906" s="159">
        <v>0</v>
      </c>
      <c r="F906" s="159">
        <f t="shared" si="153"/>
        <v>7123</v>
      </c>
      <c r="G906" s="159">
        <f t="shared" si="154"/>
        <v>0</v>
      </c>
      <c r="H906" s="159">
        <f t="shared" si="155"/>
        <v>7123</v>
      </c>
      <c r="I906" s="159">
        <f t="shared" si="156"/>
        <v>262364.34155800001</v>
      </c>
      <c r="J906" s="4">
        <f>(N$243+N$368+N$369)*1.728</f>
        <v>245.376</v>
      </c>
      <c r="K906" s="159">
        <f t="shared" si="157"/>
        <v>-7123.0000000000109</v>
      </c>
      <c r="L906" s="159">
        <f t="shared" si="158"/>
        <v>262609.717558</v>
      </c>
      <c r="M906" s="159">
        <f t="shared" si="159"/>
        <v>245.376</v>
      </c>
      <c r="N906" s="159">
        <v>0</v>
      </c>
      <c r="O906" s="159">
        <f t="shared" si="162"/>
        <v>262364.34155800001</v>
      </c>
      <c r="P906" s="159"/>
      <c r="Q906" s="159">
        <f t="shared" si="161"/>
        <v>9883.7849999999999</v>
      </c>
      <c r="R906" s="172">
        <v>2.4700000000000002</v>
      </c>
      <c r="S906" s="307"/>
    </row>
    <row r="907" spans="1:19" x14ac:dyDescent="0.3">
      <c r="A907" s="325" t="s">
        <v>420</v>
      </c>
      <c r="B907" s="159">
        <f t="shared" si="149"/>
        <v>283284.12000000005</v>
      </c>
      <c r="C907" s="159">
        <f t="shared" si="150"/>
        <v>19263.320160000007</v>
      </c>
      <c r="D907" s="159">
        <f t="shared" si="151"/>
        <v>284700.54060000001</v>
      </c>
      <c r="E907" s="159">
        <f>(G771*G$759)/(-1000)</f>
        <v>0</v>
      </c>
      <c r="F907" s="159">
        <f t="shared" si="153"/>
        <v>9726</v>
      </c>
      <c r="G907" s="159">
        <f t="shared" si="154"/>
        <v>0</v>
      </c>
      <c r="H907" s="159">
        <f t="shared" si="155"/>
        <v>9726</v>
      </c>
      <c r="I907" s="159">
        <f t="shared" si="156"/>
        <v>303746.13276000001</v>
      </c>
      <c r="J907" s="4">
        <f>(O$243+O$368+O$369)*1.728</f>
        <v>217.72800000000001</v>
      </c>
      <c r="K907" s="159">
        <f t="shared" si="157"/>
        <v>-9725.9999999999964</v>
      </c>
      <c r="L907" s="159">
        <f t="shared" si="158"/>
        <v>303963.86076000001</v>
      </c>
      <c r="M907" s="159">
        <f t="shared" si="159"/>
        <v>217.72800000000001</v>
      </c>
      <c r="N907" s="159">
        <v>0</v>
      </c>
      <c r="O907" s="159">
        <f t="shared" si="162"/>
        <v>303746.13276000001</v>
      </c>
      <c r="P907" s="159"/>
      <c r="Q907" s="159">
        <f t="shared" si="161"/>
        <v>4583.4119999999994</v>
      </c>
      <c r="R907" s="172">
        <v>2.4700000000000002</v>
      </c>
      <c r="S907" s="307"/>
    </row>
    <row r="908" spans="1:19" x14ac:dyDescent="0.3">
      <c r="A908" s="325" t="s">
        <v>421</v>
      </c>
      <c r="B908" s="159">
        <f t="shared" si="149"/>
        <v>248543.777</v>
      </c>
      <c r="C908" s="159">
        <f t="shared" si="150"/>
        <v>16900.976836000002</v>
      </c>
      <c r="D908" s="159">
        <f t="shared" si="151"/>
        <v>249786.49588499998</v>
      </c>
      <c r="E908" s="159">
        <f>(G772*G$759)/(-1000)</f>
        <v>0</v>
      </c>
      <c r="F908" s="159">
        <f t="shared" si="153"/>
        <v>8170</v>
      </c>
      <c r="G908" s="159">
        <f t="shared" si="154"/>
        <v>0</v>
      </c>
      <c r="H908" s="159">
        <f t="shared" si="155"/>
        <v>8170</v>
      </c>
      <c r="I908" s="159">
        <f t="shared" si="156"/>
        <v>266687.47272099997</v>
      </c>
      <c r="J908" s="4">
        <f>(P$243+P$368+P$369)*1.728</f>
        <v>0</v>
      </c>
      <c r="K908" s="159">
        <f t="shared" si="157"/>
        <v>-8170</v>
      </c>
      <c r="L908" s="159">
        <f t="shared" si="158"/>
        <v>266687.47272099997</v>
      </c>
      <c r="M908" s="159">
        <f t="shared" si="159"/>
        <v>0</v>
      </c>
      <c r="N908" s="159">
        <v>0</v>
      </c>
      <c r="O908" s="159">
        <f t="shared" si="162"/>
        <v>266687.47272099997</v>
      </c>
      <c r="P908" s="159"/>
      <c r="Q908" s="159">
        <f t="shared" si="161"/>
        <v>9208.280999999999</v>
      </c>
      <c r="R908" s="172">
        <v>2.4700000000000002</v>
      </c>
      <c r="S908" s="307"/>
    </row>
    <row r="909" spans="1:19" x14ac:dyDescent="0.3">
      <c r="A909" s="323" t="s">
        <v>424</v>
      </c>
      <c r="B909" s="159" t="s">
        <v>424</v>
      </c>
      <c r="C909" s="159"/>
      <c r="D909" s="159" t="s">
        <v>7</v>
      </c>
      <c r="E909" s="159"/>
      <c r="F909" s="159"/>
      <c r="G909" s="159" t="s">
        <v>7</v>
      </c>
      <c r="H909" s="159" t="s">
        <v>7</v>
      </c>
      <c r="I909" s="168"/>
      <c r="K909" s="159"/>
      <c r="L909" s="159"/>
      <c r="M909" s="159"/>
      <c r="N909" s="159"/>
      <c r="O909" s="164" t="s">
        <v>424</v>
      </c>
      <c r="P909" s="159"/>
      <c r="Q909" s="159"/>
      <c r="R909" s="172"/>
      <c r="S909" s="307"/>
    </row>
    <row r="910" spans="1:19" x14ac:dyDescent="0.3">
      <c r="A910" s="323" t="s">
        <v>422</v>
      </c>
      <c r="B910" s="159">
        <f>SUM(B897:B908)</f>
        <v>2749592.3949999996</v>
      </c>
      <c r="C910" s="159">
        <f>SUM(C897:C908)</f>
        <v>186972.28286000004</v>
      </c>
      <c r="D910" s="159">
        <f>(B910*1.005)</f>
        <v>2763340.3569749994</v>
      </c>
      <c r="E910" s="159">
        <f>SUM(E897:E908)</f>
        <v>51362.563999999998</v>
      </c>
      <c r="F910" s="159">
        <f>(K948)</f>
        <v>158367</v>
      </c>
      <c r="G910" s="159">
        <f>(O948)</f>
        <v>0</v>
      </c>
      <c r="H910" s="159">
        <f>(F910+G910)</f>
        <v>158367</v>
      </c>
      <c r="I910" s="159">
        <f t="shared" ref="I910:O910" si="163">SUM(I897:I908)</f>
        <v>832797.94703899999</v>
      </c>
      <c r="J910" s="159">
        <f t="shared" si="163"/>
        <v>6058.3680000000004</v>
      </c>
      <c r="K910" s="159">
        <f t="shared" si="163"/>
        <v>1901726.7607959998</v>
      </c>
      <c r="L910" s="159">
        <f t="shared" si="163"/>
        <v>2950312.6398349991</v>
      </c>
      <c r="M910" s="159">
        <f t="shared" si="163"/>
        <v>6058.3680000000004</v>
      </c>
      <c r="N910" s="159">
        <f t="shared" si="163"/>
        <v>2111456.3247959996</v>
      </c>
      <c r="O910" s="159">
        <f t="shared" si="163"/>
        <v>832797.94703899999</v>
      </c>
      <c r="P910" s="159"/>
      <c r="Q910" s="159">
        <f>(SUM(Q897:Q908))</f>
        <v>117097.77599999998</v>
      </c>
      <c r="R910" s="172"/>
      <c r="S910" s="307"/>
    </row>
    <row r="911" spans="1:19" x14ac:dyDescent="0.3">
      <c r="A911" s="323"/>
      <c r="B911" s="159"/>
      <c r="C911" s="159"/>
      <c r="D911" s="159"/>
      <c r="E911" s="159"/>
      <c r="F911" s="159" t="s">
        <v>424</v>
      </c>
      <c r="G911" s="159"/>
      <c r="H911" s="159"/>
      <c r="I911" s="159"/>
      <c r="K911" s="159"/>
      <c r="L911" s="159"/>
      <c r="N911" s="173" t="s">
        <v>788</v>
      </c>
      <c r="P911" s="159"/>
      <c r="Q911" s="159"/>
      <c r="R911" s="159"/>
      <c r="S911" s="307"/>
    </row>
    <row r="912" spans="1:19" ht="16.2" x14ac:dyDescent="0.35">
      <c r="A912" s="323" t="s">
        <v>424</v>
      </c>
      <c r="B912" s="159" t="s">
        <v>497</v>
      </c>
      <c r="C912" s="159"/>
      <c r="D912" s="159"/>
      <c r="E912" s="159"/>
      <c r="F912" s="159"/>
      <c r="G912" s="159"/>
      <c r="H912" s="159"/>
      <c r="I912" s="159"/>
      <c r="J912" s="159"/>
      <c r="K912" s="159"/>
      <c r="L912" s="159"/>
      <c r="M912" s="159"/>
      <c r="N912" s="159"/>
      <c r="O912" s="159"/>
      <c r="P912" s="159"/>
      <c r="Q912" s="159"/>
      <c r="R912" s="159"/>
      <c r="S912" s="307"/>
    </row>
    <row r="913" spans="1:19" x14ac:dyDescent="0.3">
      <c r="A913" s="323"/>
      <c r="B913" s="159" t="s">
        <v>498</v>
      </c>
      <c r="C913" s="159"/>
      <c r="D913" s="159"/>
      <c r="E913" s="159"/>
      <c r="F913" s="159"/>
      <c r="G913" s="159"/>
      <c r="H913" s="159"/>
      <c r="I913" s="159"/>
      <c r="J913" s="159"/>
      <c r="K913" s="159"/>
      <c r="L913" s="159"/>
      <c r="M913" s="159"/>
      <c r="N913" s="159"/>
      <c r="O913" s="159"/>
      <c r="P913" s="159"/>
      <c r="Q913" s="159"/>
      <c r="R913" s="159"/>
      <c r="S913" s="307"/>
    </row>
    <row r="914" spans="1:19" x14ac:dyDescent="0.3">
      <c r="A914" s="323"/>
      <c r="B914" s="159" t="s">
        <v>499</v>
      </c>
      <c r="C914" s="159"/>
      <c r="D914" s="159"/>
      <c r="E914" s="159"/>
      <c r="F914" s="159"/>
      <c r="G914" s="159"/>
      <c r="H914" s="159"/>
      <c r="I914" s="159"/>
      <c r="J914" s="564" t="s">
        <v>500</v>
      </c>
      <c r="K914" s="564"/>
      <c r="L914" s="564"/>
      <c r="M914" s="564"/>
      <c r="N914" s="170" t="s">
        <v>501</v>
      </c>
      <c r="O914" s="159"/>
      <c r="P914" s="159"/>
      <c r="Q914" s="159"/>
      <c r="R914" s="159"/>
      <c r="S914" s="307"/>
    </row>
    <row r="915" spans="1:19" x14ac:dyDescent="0.3">
      <c r="A915" s="323"/>
      <c r="B915" s="159" t="s">
        <v>789</v>
      </c>
      <c r="C915" s="159"/>
      <c r="D915" s="159"/>
      <c r="E915" s="159"/>
      <c r="F915" s="159"/>
      <c r="G915" s="159"/>
      <c r="H915" s="159"/>
      <c r="I915" s="159"/>
      <c r="J915" s="159"/>
      <c r="K915" s="159"/>
      <c r="L915" s="159"/>
      <c r="M915" s="159"/>
      <c r="N915" s="159"/>
      <c r="O915" s="159"/>
      <c r="P915" s="159"/>
      <c r="Q915" s="159"/>
      <c r="R915" s="159"/>
      <c r="S915" s="307"/>
    </row>
    <row r="916" spans="1:19" x14ac:dyDescent="0.3">
      <c r="A916" s="323"/>
      <c r="B916" s="159" t="s">
        <v>790</v>
      </c>
      <c r="C916" s="159"/>
      <c r="D916" s="159"/>
      <c r="E916" s="159"/>
      <c r="F916" s="159"/>
      <c r="G916" s="159"/>
      <c r="H916" s="159"/>
      <c r="I916" s="159"/>
      <c r="J916" s="159"/>
      <c r="K916" s="159"/>
      <c r="L916" s="159"/>
      <c r="M916" s="159"/>
      <c r="N916" s="159"/>
      <c r="O916" s="159"/>
      <c r="P916" s="159"/>
      <c r="Q916" s="159"/>
      <c r="R916" s="159"/>
      <c r="S916" s="307"/>
    </row>
    <row r="917" spans="1:19" ht="16.2" x14ac:dyDescent="0.35">
      <c r="A917" s="323"/>
      <c r="B917" s="159" t="s">
        <v>504</v>
      </c>
      <c r="C917" s="159"/>
      <c r="D917" s="159"/>
      <c r="E917" s="159"/>
      <c r="F917" s="159"/>
      <c r="G917" s="159"/>
      <c r="H917" s="159"/>
      <c r="I917" s="159"/>
      <c r="J917" s="159"/>
      <c r="K917" s="159"/>
      <c r="L917" s="159"/>
      <c r="M917" s="159"/>
      <c r="N917" s="159"/>
      <c r="O917" s="159"/>
      <c r="P917" s="159"/>
      <c r="Q917" s="159"/>
      <c r="R917" s="159"/>
      <c r="S917" s="307"/>
    </row>
    <row r="918" spans="1:19" ht="16.8" thickBot="1" x14ac:dyDescent="0.4">
      <c r="A918" s="326"/>
      <c r="B918" s="327" t="s">
        <v>677</v>
      </c>
      <c r="C918" s="327"/>
      <c r="D918" s="327"/>
      <c r="E918" s="327"/>
      <c r="F918" s="327"/>
      <c r="G918" s="327"/>
      <c r="H918" s="327"/>
      <c r="I918" s="327"/>
      <c r="J918" s="327"/>
      <c r="K918" s="327"/>
      <c r="L918" s="327"/>
      <c r="M918" s="327"/>
      <c r="N918" s="327"/>
      <c r="O918" s="327"/>
      <c r="P918" s="327"/>
      <c r="Q918" s="327"/>
      <c r="R918" s="327"/>
      <c r="S918" s="313"/>
    </row>
    <row r="919" spans="1:19" ht="16.2" thickBot="1" x14ac:dyDescent="0.35">
      <c r="A919" s="159"/>
      <c r="B919" s="159"/>
      <c r="C919" s="159"/>
      <c r="D919" s="159"/>
      <c r="E919" s="159"/>
      <c r="F919" s="159"/>
      <c r="G919" s="159"/>
      <c r="H919" s="159"/>
      <c r="I919" s="159"/>
      <c r="J919" s="159"/>
      <c r="K919" s="159"/>
      <c r="L919" s="159"/>
      <c r="M919" s="159"/>
      <c r="N919" s="159"/>
      <c r="O919" s="159"/>
      <c r="P919" s="159"/>
      <c r="Q919" s="159"/>
      <c r="R919" s="159"/>
    </row>
    <row r="920" spans="1:19" ht="16.2" x14ac:dyDescent="0.35">
      <c r="A920" s="318"/>
      <c r="B920" s="319"/>
      <c r="C920" s="336"/>
      <c r="D920" s="336"/>
      <c r="E920" s="336"/>
      <c r="F920" s="336"/>
      <c r="G920" s="336"/>
      <c r="H920" s="321" t="s">
        <v>506</v>
      </c>
      <c r="I920" s="319"/>
      <c r="J920" s="319"/>
      <c r="K920" s="319"/>
      <c r="L920" s="319"/>
      <c r="M920" s="319"/>
      <c r="N920" s="319"/>
      <c r="O920" s="319"/>
      <c r="P920" s="319"/>
      <c r="Q920" s="321" t="str">
        <f>+Q1</f>
        <v>PRINTED:</v>
      </c>
      <c r="R920" s="331">
        <f ca="1">+R1</f>
        <v>44909.46975358796</v>
      </c>
      <c r="S920" s="332"/>
    </row>
    <row r="921" spans="1:19" ht="16.2" x14ac:dyDescent="0.35">
      <c r="A921" s="323"/>
      <c r="B921" s="159"/>
      <c r="C921" s="167"/>
      <c r="D921" s="167"/>
      <c r="E921" s="167"/>
      <c r="F921" s="167"/>
      <c r="G921" s="167"/>
      <c r="H921" s="159" t="s">
        <v>424</v>
      </c>
      <c r="I921" s="159" t="s">
        <v>7</v>
      </c>
      <c r="J921" s="163" t="str">
        <f>+A9</f>
        <v>Revised:  1/23/11</v>
      </c>
      <c r="K921" s="159"/>
      <c r="L921" s="159"/>
      <c r="M921" s="159"/>
      <c r="N921" s="159"/>
      <c r="O921" s="159"/>
      <c r="P921" s="159"/>
      <c r="Q921" s="159"/>
      <c r="R921" s="159"/>
      <c r="S921" s="307"/>
    </row>
    <row r="922" spans="1:19" ht="16.2" x14ac:dyDescent="0.35">
      <c r="A922" s="323"/>
      <c r="B922" s="159"/>
      <c r="C922" s="167"/>
      <c r="D922" s="167"/>
      <c r="E922" s="167"/>
      <c r="F922" s="167"/>
      <c r="G922" s="167"/>
      <c r="H922" s="159" t="s">
        <v>387</v>
      </c>
      <c r="I922" s="159"/>
      <c r="J922" s="159"/>
      <c r="K922" s="159"/>
      <c r="L922" s="159"/>
      <c r="M922" s="159"/>
      <c r="N922" s="159"/>
      <c r="O922" s="159"/>
      <c r="P922" s="159"/>
      <c r="Q922" s="159"/>
      <c r="R922" s="159"/>
      <c r="S922" s="307"/>
    </row>
    <row r="923" spans="1:19" ht="16.2" x14ac:dyDescent="0.35">
      <c r="A923" s="323"/>
      <c r="B923" s="159"/>
      <c r="C923" s="167"/>
      <c r="D923" s="167"/>
      <c r="E923" s="167"/>
      <c r="F923" s="167"/>
      <c r="G923" s="167"/>
      <c r="H923" s="159"/>
      <c r="I923" s="159"/>
      <c r="J923" s="159"/>
      <c r="K923" s="159"/>
      <c r="L923" s="159"/>
      <c r="M923" s="159"/>
      <c r="N923" s="159"/>
      <c r="O923" s="159"/>
      <c r="P923" s="159"/>
      <c r="Q923" s="159"/>
      <c r="R923" s="159"/>
      <c r="S923" s="307"/>
    </row>
    <row r="924" spans="1:19" ht="16.2" x14ac:dyDescent="0.35">
      <c r="A924" s="323"/>
      <c r="B924" s="159"/>
      <c r="C924" s="167"/>
      <c r="D924" s="167"/>
      <c r="E924" s="167"/>
      <c r="F924" s="167"/>
      <c r="G924" s="167"/>
      <c r="H924" s="159" t="s">
        <v>424</v>
      </c>
      <c r="I924" s="159" t="str">
        <f>+A5</f>
        <v>Calendar Year 2011</v>
      </c>
      <c r="J924" s="159"/>
      <c r="K924" s="159"/>
      <c r="L924" s="159"/>
      <c r="M924" s="159"/>
      <c r="N924" s="159"/>
      <c r="O924" s="159"/>
      <c r="P924" s="159"/>
      <c r="Q924" s="159"/>
      <c r="R924" s="159"/>
      <c r="S924" s="307"/>
    </row>
    <row r="925" spans="1:19" x14ac:dyDescent="0.3">
      <c r="A925" s="323"/>
      <c r="B925" s="159"/>
      <c r="C925" s="159"/>
      <c r="D925" s="159"/>
      <c r="E925" s="159"/>
      <c r="F925" s="159"/>
      <c r="G925" s="159"/>
      <c r="H925" s="159"/>
      <c r="I925" s="159"/>
      <c r="J925" s="159"/>
      <c r="K925" s="159"/>
      <c r="L925" s="159"/>
      <c r="M925" s="159"/>
      <c r="N925" s="159"/>
      <c r="O925" s="159"/>
      <c r="P925" s="159"/>
      <c r="Q925" s="159"/>
      <c r="R925" s="159"/>
      <c r="S925" s="307"/>
    </row>
    <row r="926" spans="1:19" x14ac:dyDescent="0.3">
      <c r="A926" s="323"/>
      <c r="B926" s="159"/>
      <c r="C926" s="161" t="s">
        <v>507</v>
      </c>
      <c r="D926" s="159"/>
      <c r="E926" s="159"/>
      <c r="F926" s="159"/>
      <c r="G926" s="161" t="s">
        <v>508</v>
      </c>
      <c r="H926" s="159"/>
      <c r="I926" s="159"/>
      <c r="J926" s="159"/>
      <c r="K926" s="160" t="s">
        <v>509</v>
      </c>
      <c r="L926" s="159"/>
      <c r="M926" s="159"/>
      <c r="N926" s="159"/>
      <c r="O926" s="160" t="s">
        <v>510</v>
      </c>
      <c r="P926" s="159"/>
      <c r="Q926" s="159"/>
      <c r="R926" s="159"/>
      <c r="S926" s="307"/>
    </row>
    <row r="927" spans="1:19" x14ac:dyDescent="0.3">
      <c r="A927" s="323"/>
      <c r="B927" s="159"/>
      <c r="C927" s="159" t="str">
        <f>+A5</f>
        <v>Calendar Year 2011</v>
      </c>
      <c r="D927" s="159"/>
      <c r="E927" s="159"/>
      <c r="F927" s="159" t="s">
        <v>511</v>
      </c>
      <c r="G927" s="159"/>
      <c r="H927" s="159"/>
      <c r="I927" s="159"/>
      <c r="J927" s="159"/>
      <c r="K927" s="159" t="str">
        <f>+A5</f>
        <v>Calendar Year 2011</v>
      </c>
      <c r="L927" s="159"/>
      <c r="M927" s="159"/>
      <c r="N927" s="159"/>
      <c r="O927" s="159" t="str">
        <f>+A5</f>
        <v>Calendar Year 2011</v>
      </c>
      <c r="P927" s="159"/>
      <c r="Q927" s="159"/>
      <c r="R927" s="159"/>
      <c r="S927" s="307"/>
    </row>
    <row r="928" spans="1:19" x14ac:dyDescent="0.3">
      <c r="A928" s="323"/>
      <c r="B928" s="159"/>
      <c r="C928" s="159"/>
      <c r="D928" s="159"/>
      <c r="E928" s="159"/>
      <c r="F928" s="159"/>
      <c r="G928" s="159" t="str">
        <f>+A5</f>
        <v>Calendar Year 2011</v>
      </c>
      <c r="H928" s="159"/>
      <c r="I928" s="159"/>
      <c r="J928" s="159"/>
      <c r="K928" s="159"/>
      <c r="L928" s="159"/>
      <c r="M928" s="159"/>
      <c r="N928" s="159"/>
      <c r="O928" s="159"/>
      <c r="P928" s="159"/>
      <c r="Q928" s="159"/>
      <c r="R928" s="159"/>
      <c r="S928" s="307"/>
    </row>
    <row r="929" spans="1:19" x14ac:dyDescent="0.3">
      <c r="A929" s="323"/>
      <c r="B929" s="159"/>
      <c r="C929" s="164" t="s">
        <v>475</v>
      </c>
      <c r="D929" s="164" t="s">
        <v>512</v>
      </c>
      <c r="E929" s="164" t="s">
        <v>513</v>
      </c>
      <c r="F929" s="159"/>
      <c r="G929" s="164" t="s">
        <v>473</v>
      </c>
      <c r="H929" s="164" t="s">
        <v>512</v>
      </c>
      <c r="I929" s="164" t="s">
        <v>514</v>
      </c>
      <c r="J929" s="159"/>
      <c r="K929" s="164" t="s">
        <v>472</v>
      </c>
      <c r="L929" s="164" t="s">
        <v>512</v>
      </c>
      <c r="M929" s="164" t="s">
        <v>515</v>
      </c>
      <c r="N929" s="159"/>
      <c r="O929" s="164" t="s">
        <v>472</v>
      </c>
      <c r="P929" s="164" t="s">
        <v>512</v>
      </c>
      <c r="Q929" s="164" t="s">
        <v>515</v>
      </c>
      <c r="R929" s="159"/>
      <c r="S929" s="307"/>
    </row>
    <row r="930" spans="1:19" x14ac:dyDescent="0.3">
      <c r="A930" s="323"/>
      <c r="B930" s="159"/>
      <c r="C930" s="164" t="s">
        <v>483</v>
      </c>
      <c r="D930" s="164" t="s">
        <v>442</v>
      </c>
      <c r="E930" s="164" t="s">
        <v>462</v>
      </c>
      <c r="F930" s="159"/>
      <c r="G930" s="164" t="s">
        <v>481</v>
      </c>
      <c r="H930" s="164" t="s">
        <v>442</v>
      </c>
      <c r="I930" s="164" t="s">
        <v>462</v>
      </c>
      <c r="J930" s="159"/>
      <c r="K930" s="164" t="s">
        <v>480</v>
      </c>
      <c r="L930" s="164" t="s">
        <v>442</v>
      </c>
      <c r="M930" s="164" t="s">
        <v>462</v>
      </c>
      <c r="N930" s="159"/>
      <c r="O930" s="164" t="s">
        <v>480</v>
      </c>
      <c r="P930" s="164" t="s">
        <v>442</v>
      </c>
      <c r="Q930" s="164" t="s">
        <v>462</v>
      </c>
      <c r="R930" s="159"/>
      <c r="S930" s="307"/>
    </row>
    <row r="931" spans="1:19" x14ac:dyDescent="0.3">
      <c r="A931" s="323"/>
      <c r="B931" s="159"/>
      <c r="C931" s="164" t="s">
        <v>442</v>
      </c>
      <c r="D931" s="164" t="s">
        <v>439</v>
      </c>
      <c r="E931" s="164" t="s">
        <v>463</v>
      </c>
      <c r="F931" s="159"/>
      <c r="G931" s="164" t="s">
        <v>486</v>
      </c>
      <c r="H931" s="164" t="s">
        <v>439</v>
      </c>
      <c r="I931" s="164" t="s">
        <v>463</v>
      </c>
      <c r="J931" s="159"/>
      <c r="K931" s="164" t="s">
        <v>442</v>
      </c>
      <c r="L931" s="164" t="s">
        <v>439</v>
      </c>
      <c r="M931" s="164" t="s">
        <v>463</v>
      </c>
      <c r="N931" s="159"/>
      <c r="O931" s="164" t="s">
        <v>442</v>
      </c>
      <c r="P931" s="164" t="s">
        <v>439</v>
      </c>
      <c r="Q931" s="164" t="s">
        <v>463</v>
      </c>
      <c r="R931" s="159"/>
      <c r="S931" s="307"/>
    </row>
    <row r="932" spans="1:19" x14ac:dyDescent="0.3">
      <c r="A932" s="323"/>
      <c r="B932" s="159"/>
      <c r="C932" s="164" t="s">
        <v>448</v>
      </c>
      <c r="D932" s="164" t="s">
        <v>516</v>
      </c>
      <c r="E932" s="164" t="s">
        <v>464</v>
      </c>
      <c r="F932" s="159"/>
      <c r="G932" s="164" t="s">
        <v>448</v>
      </c>
      <c r="H932" s="164" t="s">
        <v>516</v>
      </c>
      <c r="I932" s="164" t="s">
        <v>464</v>
      </c>
      <c r="J932" s="159"/>
      <c r="K932" s="164" t="s">
        <v>448</v>
      </c>
      <c r="L932" s="164" t="s">
        <v>516</v>
      </c>
      <c r="M932" s="164" t="s">
        <v>464</v>
      </c>
      <c r="N932" s="159"/>
      <c r="O932" s="164" t="s">
        <v>448</v>
      </c>
      <c r="P932" s="164" t="s">
        <v>516</v>
      </c>
      <c r="Q932" s="164" t="s">
        <v>464</v>
      </c>
      <c r="R932" s="159"/>
      <c r="S932" s="307"/>
    </row>
    <row r="933" spans="1:19" x14ac:dyDescent="0.3">
      <c r="A933" s="323"/>
      <c r="B933" s="159"/>
      <c r="C933" s="159" t="s">
        <v>409</v>
      </c>
      <c r="D933" s="159" t="s">
        <v>409</v>
      </c>
      <c r="E933" s="159" t="s">
        <v>409</v>
      </c>
      <c r="F933" s="159"/>
      <c r="G933" s="164" t="s">
        <v>409</v>
      </c>
      <c r="H933" s="164" t="s">
        <v>409</v>
      </c>
      <c r="I933" s="164" t="s">
        <v>409</v>
      </c>
      <c r="J933" s="159"/>
      <c r="K933" s="159" t="s">
        <v>409</v>
      </c>
      <c r="L933" s="159" t="s">
        <v>409</v>
      </c>
      <c r="M933" s="159" t="s">
        <v>409</v>
      </c>
      <c r="N933" s="159"/>
      <c r="O933" s="159" t="s">
        <v>409</v>
      </c>
      <c r="P933" s="159" t="s">
        <v>409</v>
      </c>
      <c r="Q933" s="159" t="s">
        <v>409</v>
      </c>
      <c r="R933" s="159"/>
      <c r="S933" s="307"/>
    </row>
    <row r="934" spans="1:19" x14ac:dyDescent="0.3">
      <c r="A934" s="325" t="s">
        <v>410</v>
      </c>
      <c r="B934" s="159"/>
      <c r="C934" s="159">
        <f t="shared" ref="C934:C945" si="164">(K897)</f>
        <v>166259.46844</v>
      </c>
      <c r="D934" s="172">
        <v>0</v>
      </c>
      <c r="E934" s="168">
        <f t="shared" ref="E934:E945" si="165">(K897*D934/1000)</f>
        <v>0</v>
      </c>
      <c r="F934" s="159"/>
      <c r="G934" s="159">
        <v>0</v>
      </c>
      <c r="H934" s="172">
        <v>0</v>
      </c>
      <c r="I934" s="168">
        <f t="shared" ref="I934:I945" si="166">(G934*H934/1000)</f>
        <v>0</v>
      </c>
      <c r="J934" s="159"/>
      <c r="K934" s="159">
        <v>4000</v>
      </c>
      <c r="L934" s="172">
        <v>0</v>
      </c>
      <c r="M934" s="168">
        <f t="shared" ref="M934:M945" si="167">(K934*L934/1000)</f>
        <v>0</v>
      </c>
      <c r="N934" s="159"/>
      <c r="O934" s="159">
        <v>0</v>
      </c>
      <c r="P934" s="172">
        <v>0</v>
      </c>
      <c r="Q934" s="168">
        <f t="shared" ref="Q934:Q945" si="168">(O934*P934/1000)</f>
        <v>0</v>
      </c>
      <c r="R934" s="159"/>
      <c r="S934" s="307"/>
    </row>
    <row r="935" spans="1:19" x14ac:dyDescent="0.3">
      <c r="A935" s="325" t="s">
        <v>411</v>
      </c>
      <c r="B935" s="159"/>
      <c r="C935" s="159">
        <f t="shared" si="164"/>
        <v>239748.26501799995</v>
      </c>
      <c r="D935" s="172">
        <v>0</v>
      </c>
      <c r="E935" s="168">
        <f t="shared" si="165"/>
        <v>0</v>
      </c>
      <c r="F935" s="159"/>
      <c r="G935" s="159">
        <f t="shared" ref="G935:G945" si="169">O898</f>
        <v>0</v>
      </c>
      <c r="H935" s="172">
        <v>0</v>
      </c>
      <c r="I935" s="168">
        <f t="shared" si="166"/>
        <v>0</v>
      </c>
      <c r="J935" s="159"/>
      <c r="K935" s="159">
        <v>4000</v>
      </c>
      <c r="L935" s="172">
        <v>0</v>
      </c>
      <c r="M935" s="168">
        <f t="shared" si="167"/>
        <v>0</v>
      </c>
      <c r="N935" s="159"/>
      <c r="O935" s="159">
        <v>0</v>
      </c>
      <c r="P935" s="172">
        <v>0</v>
      </c>
      <c r="Q935" s="168">
        <f t="shared" si="168"/>
        <v>0</v>
      </c>
      <c r="R935" s="159"/>
      <c r="S935" s="307"/>
    </row>
    <row r="936" spans="1:19" x14ac:dyDescent="0.3">
      <c r="A936" s="325" t="s">
        <v>412</v>
      </c>
      <c r="B936" s="159"/>
      <c r="C936" s="159">
        <f t="shared" si="164"/>
        <v>316297.95328399993</v>
      </c>
      <c r="D936" s="172">
        <v>0</v>
      </c>
      <c r="E936" s="168">
        <f t="shared" si="165"/>
        <v>0</v>
      </c>
      <c r="F936" s="159">
        <f>SUM(E934:E936)</f>
        <v>0</v>
      </c>
      <c r="G936" s="159">
        <f t="shared" si="169"/>
        <v>0</v>
      </c>
      <c r="H936" s="172">
        <v>0</v>
      </c>
      <c r="I936" s="168">
        <f t="shared" si="166"/>
        <v>0</v>
      </c>
      <c r="J936" s="159">
        <f>SUM(I934:I936)</f>
        <v>0</v>
      </c>
      <c r="K936" s="159">
        <v>4000</v>
      </c>
      <c r="L936" s="172">
        <v>0</v>
      </c>
      <c r="M936" s="168">
        <f t="shared" si="167"/>
        <v>0</v>
      </c>
      <c r="N936" s="159">
        <f>SUM(M934:M936)</f>
        <v>0</v>
      </c>
      <c r="O936" s="159">
        <v>0</v>
      </c>
      <c r="P936" s="172">
        <v>0</v>
      </c>
      <c r="Q936" s="168">
        <f t="shared" si="168"/>
        <v>0</v>
      </c>
      <c r="R936" s="159">
        <f>SUM(Q934:Q936)</f>
        <v>0</v>
      </c>
      <c r="S936" s="307"/>
    </row>
    <row r="937" spans="1:19" x14ac:dyDescent="0.3">
      <c r="A937" s="325" t="s">
        <v>413</v>
      </c>
      <c r="B937" s="159"/>
      <c r="C937" s="159">
        <f t="shared" si="164"/>
        <v>314777.531372</v>
      </c>
      <c r="D937" s="172">
        <v>0</v>
      </c>
      <c r="E937" s="168">
        <f t="shared" si="165"/>
        <v>0</v>
      </c>
      <c r="F937" s="159"/>
      <c r="G937" s="159">
        <f t="shared" si="169"/>
        <v>0</v>
      </c>
      <c r="H937" s="172">
        <v>0</v>
      </c>
      <c r="I937" s="168">
        <f t="shared" si="166"/>
        <v>0</v>
      </c>
      <c r="J937" s="159"/>
      <c r="K937" s="159">
        <v>4000</v>
      </c>
      <c r="L937" s="172">
        <v>0</v>
      </c>
      <c r="M937" s="168">
        <f t="shared" si="167"/>
        <v>0</v>
      </c>
      <c r="N937" s="159"/>
      <c r="O937" s="159">
        <v>0</v>
      </c>
      <c r="P937" s="172">
        <v>0</v>
      </c>
      <c r="Q937" s="168">
        <f t="shared" si="168"/>
        <v>0</v>
      </c>
      <c r="R937" s="159"/>
      <c r="S937" s="307"/>
    </row>
    <row r="938" spans="1:19" x14ac:dyDescent="0.3">
      <c r="A938" s="325" t="s">
        <v>414</v>
      </c>
      <c r="B938" s="159"/>
      <c r="C938" s="159">
        <f t="shared" si="164"/>
        <v>282096.46993399994</v>
      </c>
      <c r="D938" s="172">
        <v>0</v>
      </c>
      <c r="E938" s="168">
        <f t="shared" si="165"/>
        <v>0</v>
      </c>
      <c r="F938" s="159"/>
      <c r="G938" s="159">
        <f t="shared" si="169"/>
        <v>0</v>
      </c>
      <c r="H938" s="172">
        <v>0</v>
      </c>
      <c r="I938" s="168">
        <f t="shared" si="166"/>
        <v>0</v>
      </c>
      <c r="J938" s="159"/>
      <c r="K938" s="159">
        <v>9000</v>
      </c>
      <c r="L938" s="172">
        <v>0</v>
      </c>
      <c r="M938" s="168">
        <f t="shared" si="167"/>
        <v>0</v>
      </c>
      <c r="N938" s="159"/>
      <c r="O938" s="159">
        <v>0</v>
      </c>
      <c r="P938" s="172">
        <v>0</v>
      </c>
      <c r="Q938" s="168">
        <f t="shared" si="168"/>
        <v>0</v>
      </c>
      <c r="R938" s="159"/>
      <c r="S938" s="307"/>
    </row>
    <row r="939" spans="1:19" x14ac:dyDescent="0.3">
      <c r="A939" s="325" t="s">
        <v>415</v>
      </c>
      <c r="B939" s="159"/>
      <c r="C939" s="159">
        <f t="shared" si="164"/>
        <v>241436.15354500001</v>
      </c>
      <c r="D939" s="172">
        <v>0</v>
      </c>
      <c r="E939" s="168">
        <f t="shared" si="165"/>
        <v>0</v>
      </c>
      <c r="F939" s="159">
        <f>SUM(E937:E939)</f>
        <v>0</v>
      </c>
      <c r="G939" s="159">
        <f t="shared" si="169"/>
        <v>0</v>
      </c>
      <c r="H939" s="172">
        <v>0</v>
      </c>
      <c r="I939" s="168">
        <f t="shared" si="166"/>
        <v>0</v>
      </c>
      <c r="J939" s="159">
        <f>SUM(I937:I939)</f>
        <v>0</v>
      </c>
      <c r="K939" s="159">
        <v>18000</v>
      </c>
      <c r="L939" s="172">
        <v>0</v>
      </c>
      <c r="M939" s="168">
        <f t="shared" si="167"/>
        <v>0</v>
      </c>
      <c r="N939" s="159">
        <f>SUM(M937:M939)</f>
        <v>0</v>
      </c>
      <c r="O939" s="159">
        <v>0</v>
      </c>
      <c r="P939" s="172">
        <v>0</v>
      </c>
      <c r="Q939" s="168">
        <f t="shared" si="168"/>
        <v>0</v>
      </c>
      <c r="R939" s="159">
        <f>SUM(Q937:Q939)</f>
        <v>0</v>
      </c>
      <c r="S939" s="307"/>
    </row>
    <row r="940" spans="1:19" x14ac:dyDescent="0.3">
      <c r="A940" s="325" t="s">
        <v>416</v>
      </c>
      <c r="B940" s="159"/>
      <c r="C940" s="159">
        <f t="shared" si="164"/>
        <v>114111.283841</v>
      </c>
      <c r="D940" s="172">
        <v>0</v>
      </c>
      <c r="E940" s="168">
        <f t="shared" si="165"/>
        <v>0</v>
      </c>
      <c r="F940" s="159"/>
      <c r="G940" s="159">
        <f t="shared" si="169"/>
        <v>0</v>
      </c>
      <c r="H940" s="172">
        <v>0</v>
      </c>
      <c r="I940" s="168">
        <f t="shared" si="166"/>
        <v>0</v>
      </c>
      <c r="J940" s="159"/>
      <c r="K940" s="159">
        <v>26000</v>
      </c>
      <c r="L940" s="172">
        <v>0</v>
      </c>
      <c r="M940" s="168">
        <f t="shared" si="167"/>
        <v>0</v>
      </c>
      <c r="N940" s="159"/>
      <c r="O940" s="159">
        <v>0</v>
      </c>
      <c r="P940" s="172">
        <v>0</v>
      </c>
      <c r="Q940" s="168">
        <f t="shared" si="168"/>
        <v>0</v>
      </c>
      <c r="R940" s="159"/>
      <c r="S940" s="307"/>
    </row>
    <row r="941" spans="1:19" x14ac:dyDescent="0.3">
      <c r="A941" s="325" t="s">
        <v>417</v>
      </c>
      <c r="B941" s="159"/>
      <c r="C941" s="159">
        <f t="shared" si="164"/>
        <v>85399.360421999998</v>
      </c>
      <c r="D941" s="172">
        <v>0</v>
      </c>
      <c r="E941" s="168">
        <f t="shared" si="165"/>
        <v>0</v>
      </c>
      <c r="F941" s="159"/>
      <c r="G941" s="159">
        <f t="shared" si="169"/>
        <v>0</v>
      </c>
      <c r="H941" s="172">
        <v>0</v>
      </c>
      <c r="I941" s="168">
        <f t="shared" si="166"/>
        <v>0</v>
      </c>
      <c r="J941" s="159"/>
      <c r="K941" s="159">
        <v>35000</v>
      </c>
      <c r="L941" s="172">
        <v>0</v>
      </c>
      <c r="M941" s="168">
        <f t="shared" si="167"/>
        <v>0</v>
      </c>
      <c r="N941" s="159"/>
      <c r="O941" s="159">
        <v>0</v>
      </c>
      <c r="P941" s="172">
        <v>0</v>
      </c>
      <c r="Q941" s="168">
        <f t="shared" si="168"/>
        <v>0</v>
      </c>
      <c r="R941" s="159"/>
      <c r="S941" s="307"/>
    </row>
    <row r="942" spans="1:19" x14ac:dyDescent="0.3">
      <c r="A942" s="325" t="s">
        <v>418</v>
      </c>
      <c r="B942" s="159"/>
      <c r="C942" s="159">
        <f t="shared" si="164"/>
        <v>166619.27494000003</v>
      </c>
      <c r="D942" s="172">
        <v>0</v>
      </c>
      <c r="E942" s="168">
        <f t="shared" si="165"/>
        <v>0</v>
      </c>
      <c r="F942" s="159">
        <f>SUM(E940:E942)</f>
        <v>0</v>
      </c>
      <c r="G942" s="159">
        <f t="shared" si="169"/>
        <v>0</v>
      </c>
      <c r="H942" s="172">
        <v>0</v>
      </c>
      <c r="I942" s="168">
        <f t="shared" si="166"/>
        <v>0</v>
      </c>
      <c r="J942" s="159">
        <f>SUM(I940:I942)</f>
        <v>0</v>
      </c>
      <c r="K942" s="159">
        <v>29348</v>
      </c>
      <c r="L942" s="172">
        <v>0</v>
      </c>
      <c r="M942" s="168">
        <f t="shared" si="167"/>
        <v>0</v>
      </c>
      <c r="N942" s="159">
        <f>SUM(M940:M942)</f>
        <v>0</v>
      </c>
      <c r="O942" s="159">
        <v>0</v>
      </c>
      <c r="P942" s="172">
        <v>0</v>
      </c>
      <c r="Q942" s="168">
        <f t="shared" si="168"/>
        <v>0</v>
      </c>
      <c r="R942" s="159">
        <f>SUM(Q940:Q942)</f>
        <v>0</v>
      </c>
      <c r="S942" s="307"/>
    </row>
    <row r="943" spans="1:19" x14ac:dyDescent="0.3">
      <c r="A943" s="325" t="s">
        <v>419</v>
      </c>
      <c r="B943" s="159"/>
      <c r="C943" s="159">
        <f t="shared" si="164"/>
        <v>-7123.0000000000109</v>
      </c>
      <c r="D943" s="172">
        <v>0</v>
      </c>
      <c r="E943" s="168">
        <f t="shared" si="165"/>
        <v>0</v>
      </c>
      <c r="F943" s="159"/>
      <c r="G943" s="159">
        <f t="shared" si="169"/>
        <v>262364.34155800001</v>
      </c>
      <c r="H943" s="172">
        <v>0</v>
      </c>
      <c r="I943" s="168">
        <f t="shared" si="166"/>
        <v>0</v>
      </c>
      <c r="J943" s="159"/>
      <c r="K943" s="159">
        <v>7123</v>
      </c>
      <c r="L943" s="172">
        <v>0</v>
      </c>
      <c r="M943" s="168">
        <f t="shared" si="167"/>
        <v>0</v>
      </c>
      <c r="N943" s="159"/>
      <c r="O943" s="159">
        <v>0</v>
      </c>
      <c r="P943" s="172">
        <v>0</v>
      </c>
      <c r="Q943" s="168">
        <f t="shared" si="168"/>
        <v>0</v>
      </c>
      <c r="R943" s="159"/>
      <c r="S943" s="307"/>
    </row>
    <row r="944" spans="1:19" x14ac:dyDescent="0.3">
      <c r="A944" s="325" t="s">
        <v>420</v>
      </c>
      <c r="B944" s="159"/>
      <c r="C944" s="159">
        <f t="shared" si="164"/>
        <v>-9725.9999999999964</v>
      </c>
      <c r="D944" s="172">
        <v>0</v>
      </c>
      <c r="E944" s="168">
        <f t="shared" si="165"/>
        <v>0</v>
      </c>
      <c r="F944" s="159"/>
      <c r="G944" s="159">
        <f t="shared" si="169"/>
        <v>303746.13276000001</v>
      </c>
      <c r="H944" s="172">
        <v>0</v>
      </c>
      <c r="I944" s="168">
        <f t="shared" si="166"/>
        <v>0</v>
      </c>
      <c r="J944" s="159"/>
      <c r="K944" s="159">
        <v>9726</v>
      </c>
      <c r="L944" s="172">
        <v>0</v>
      </c>
      <c r="M944" s="168">
        <f t="shared" si="167"/>
        <v>0</v>
      </c>
      <c r="N944" s="159"/>
      <c r="O944" s="159">
        <v>0</v>
      </c>
      <c r="P944" s="172">
        <v>0</v>
      </c>
      <c r="Q944" s="168">
        <f t="shared" si="168"/>
        <v>0</v>
      </c>
      <c r="R944" s="159"/>
      <c r="S944" s="307"/>
    </row>
    <row r="945" spans="1:19" x14ac:dyDescent="0.3">
      <c r="A945" s="325" t="s">
        <v>421</v>
      </c>
      <c r="B945" s="159"/>
      <c r="C945" s="159">
        <f t="shared" si="164"/>
        <v>-8170</v>
      </c>
      <c r="D945" s="172">
        <v>0</v>
      </c>
      <c r="E945" s="168">
        <f t="shared" si="165"/>
        <v>0</v>
      </c>
      <c r="F945" s="159">
        <f>SUM(E943:E945)</f>
        <v>0</v>
      </c>
      <c r="G945" s="159">
        <f t="shared" si="169"/>
        <v>266687.47272099997</v>
      </c>
      <c r="H945" s="172">
        <v>0</v>
      </c>
      <c r="I945" s="168">
        <f t="shared" si="166"/>
        <v>0</v>
      </c>
      <c r="J945" s="159">
        <f>SUM(I943:I945)</f>
        <v>0</v>
      </c>
      <c r="K945" s="159">
        <v>8170</v>
      </c>
      <c r="L945" s="172">
        <v>0</v>
      </c>
      <c r="M945" s="168">
        <f t="shared" si="167"/>
        <v>0</v>
      </c>
      <c r="N945" s="159">
        <f>SUM(M943:M945)</f>
        <v>0</v>
      </c>
      <c r="O945" s="159">
        <v>0</v>
      </c>
      <c r="P945" s="172">
        <v>0</v>
      </c>
      <c r="Q945" s="168">
        <f t="shared" si="168"/>
        <v>0</v>
      </c>
      <c r="R945" s="159">
        <f>SUM(Q943:Q945)</f>
        <v>0</v>
      </c>
      <c r="S945" s="307"/>
    </row>
    <row r="946" spans="1:19" x14ac:dyDescent="0.3">
      <c r="A946" s="323"/>
      <c r="B946" s="159"/>
      <c r="C946" s="159"/>
      <c r="D946" s="159"/>
      <c r="E946" s="159"/>
      <c r="F946" s="159"/>
      <c r="G946" s="159"/>
      <c r="H946" s="159"/>
      <c r="I946" s="159"/>
      <c r="J946" s="159"/>
      <c r="K946" s="159"/>
      <c r="L946" s="159"/>
      <c r="M946" s="159"/>
      <c r="N946" s="159"/>
      <c r="O946" s="159"/>
      <c r="P946" s="159"/>
      <c r="Q946" s="159"/>
      <c r="R946" s="159"/>
      <c r="S946" s="307"/>
    </row>
    <row r="947" spans="1:19" x14ac:dyDescent="0.3">
      <c r="A947" s="323"/>
      <c r="B947" s="159"/>
      <c r="C947" s="159"/>
      <c r="D947" s="159"/>
      <c r="E947" s="159"/>
      <c r="F947" s="159"/>
      <c r="G947" s="159"/>
      <c r="H947" s="159"/>
      <c r="I947" s="159"/>
      <c r="J947" s="159"/>
      <c r="K947" s="159"/>
      <c r="L947" s="159"/>
      <c r="M947" s="159"/>
      <c r="N947" s="159"/>
      <c r="O947" s="159"/>
      <c r="P947" s="159"/>
      <c r="Q947" s="159"/>
      <c r="R947" s="159"/>
      <c r="S947" s="307"/>
    </row>
    <row r="948" spans="1:19" ht="16.2" thickBot="1" x14ac:dyDescent="0.35">
      <c r="A948" s="326" t="s">
        <v>422</v>
      </c>
      <c r="B948" s="327"/>
      <c r="C948" s="327">
        <f>SUM(C934:C945)</f>
        <v>1901726.7607959998</v>
      </c>
      <c r="D948" s="327"/>
      <c r="E948" s="337">
        <f>SUM(E934:E945)</f>
        <v>0</v>
      </c>
      <c r="F948" s="327"/>
      <c r="G948" s="327">
        <f>SUM(G934:G945)</f>
        <v>832797.94703899999</v>
      </c>
      <c r="H948" s="327" t="s">
        <v>424</v>
      </c>
      <c r="I948" s="337">
        <f>SUM(I934:I945)</f>
        <v>0</v>
      </c>
      <c r="J948" s="327"/>
      <c r="K948" s="327">
        <f>SUM(K934:K945)</f>
        <v>158367</v>
      </c>
      <c r="L948" s="327" t="s">
        <v>424</v>
      </c>
      <c r="M948" s="337">
        <f>SUM(M934:M945)</f>
        <v>0</v>
      </c>
      <c r="N948" s="327"/>
      <c r="O948" s="327">
        <f>(SUM(O934:O945))</f>
        <v>0</v>
      </c>
      <c r="P948" s="327" t="s">
        <v>424</v>
      </c>
      <c r="Q948" s="337">
        <f>SUM(Q934:Q945)</f>
        <v>0</v>
      </c>
      <c r="R948" s="327"/>
      <c r="S948" s="313"/>
    </row>
  </sheetData>
  <autoFilter ref="A1:A948" xr:uid="{00000000-0009-0000-0000-000013000000}"/>
  <mergeCells count="17">
    <mergeCell ref="A730:R730"/>
    <mergeCell ref="A731:R731"/>
    <mergeCell ref="A732:R732"/>
    <mergeCell ref="A734:R734"/>
    <mergeCell ref="J914:M914"/>
    <mergeCell ref="A729:R729"/>
    <mergeCell ref="A2:R2"/>
    <mergeCell ref="A3:R3"/>
    <mergeCell ref="A4:R4"/>
    <mergeCell ref="A5:R5"/>
    <mergeCell ref="A7:R7"/>
    <mergeCell ref="A9:R9"/>
    <mergeCell ref="A689:R689"/>
    <mergeCell ref="A690:R690"/>
    <mergeCell ref="A691:R691"/>
    <mergeCell ref="A692:R692"/>
    <mergeCell ref="A694:R694"/>
  </mergeCells>
  <printOptions horizontalCentered="1"/>
  <pageMargins left="0.25" right="0.25" top="0.25" bottom="0.25" header="0" footer="0"/>
  <pageSetup paperSize="17" scale="81" fitToHeight="10" orientation="landscape" r:id="rId1"/>
  <headerFooter alignWithMargins="0"/>
  <rowBreaks count="6" manualBreakCount="6">
    <brk id="686" max="17" man="1"/>
    <brk id="726" max="17" man="1"/>
    <brk id="776" max="18" man="1"/>
    <brk id="807" max="18" man="1"/>
    <brk id="831" max="18" man="1"/>
    <brk id="858" max="1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1C228-84C1-47A8-9E83-B4D7C1F78269}">
  <sheetPr codeName="Sheet115"/>
  <dimension ref="A1:T926"/>
  <sheetViews>
    <sheetView topLeftCell="A846" zoomScale="70" zoomScaleNormal="70" workbookViewId="0">
      <selection activeCell="N871" sqref="N871"/>
    </sheetView>
  </sheetViews>
  <sheetFormatPr defaultColWidth="8.77734375" defaultRowHeight="15.6" x14ac:dyDescent="0.3"/>
  <cols>
    <col min="1" max="1" width="40.77734375" style="4" customWidth="1"/>
    <col min="2" max="4" width="8.77734375" style="4"/>
    <col min="5" max="5" width="11.88671875" style="4" customWidth="1"/>
    <col min="6" max="8" width="8.77734375" style="4"/>
    <col min="9" max="9" width="13.6640625" style="4" customWidth="1"/>
    <col min="10" max="11" width="11.88671875" style="4" customWidth="1"/>
    <col min="12" max="12" width="8.77734375" style="4"/>
    <col min="13" max="13" width="14" style="4" customWidth="1"/>
    <col min="14" max="16" width="8.77734375" style="4"/>
    <col min="17" max="17" width="11.88671875" style="4" customWidth="1"/>
    <col min="18" max="18" width="14.77734375" style="4" customWidth="1"/>
    <col min="19" max="16384" width="8.77734375" style="4"/>
  </cols>
  <sheetData>
    <row r="1" spans="1:18" x14ac:dyDescent="0.3">
      <c r="A1" s="1"/>
      <c r="B1" s="1"/>
      <c r="C1" s="1"/>
      <c r="D1" s="1"/>
      <c r="E1" s="1"/>
      <c r="F1" s="1"/>
      <c r="G1" s="1"/>
      <c r="H1" s="1"/>
      <c r="I1" s="1"/>
      <c r="J1" s="1"/>
      <c r="K1" s="1"/>
      <c r="L1" s="1"/>
      <c r="M1" s="1"/>
      <c r="N1" s="1"/>
      <c r="O1" s="1"/>
      <c r="P1" s="1"/>
      <c r="Q1" s="2" t="s">
        <v>0</v>
      </c>
      <c r="R1" s="3">
        <f ca="1">NOW()</f>
        <v>44909.46975358796</v>
      </c>
    </row>
    <row r="2" spans="1:18" ht="19.8" x14ac:dyDescent="0.35">
      <c r="A2" s="500" t="s">
        <v>1</v>
      </c>
      <c r="B2" s="500"/>
      <c r="C2" s="500"/>
      <c r="D2" s="500"/>
      <c r="E2" s="500"/>
      <c r="F2" s="500"/>
      <c r="G2" s="500"/>
      <c r="H2" s="500"/>
      <c r="I2" s="500"/>
      <c r="J2" s="500"/>
      <c r="K2" s="500"/>
      <c r="L2" s="500"/>
      <c r="M2" s="500"/>
      <c r="N2" s="500"/>
      <c r="O2" s="500"/>
      <c r="P2" s="500"/>
      <c r="Q2" s="500"/>
      <c r="R2" s="500"/>
    </row>
    <row r="3" spans="1:18" ht="19.8" x14ac:dyDescent="0.35">
      <c r="A3" s="500" t="s">
        <v>2</v>
      </c>
      <c r="B3" s="500"/>
      <c r="C3" s="500"/>
      <c r="D3" s="500"/>
      <c r="E3" s="500"/>
      <c r="F3" s="500"/>
      <c r="G3" s="500"/>
      <c r="H3" s="500"/>
      <c r="I3" s="500"/>
      <c r="J3" s="500"/>
      <c r="K3" s="500"/>
      <c r="L3" s="500"/>
      <c r="M3" s="500"/>
      <c r="N3" s="500"/>
      <c r="O3" s="500"/>
      <c r="P3" s="500"/>
      <c r="Q3" s="500"/>
      <c r="R3" s="500"/>
    </row>
    <row r="4" spans="1:18" ht="18" x14ac:dyDescent="0.35">
      <c r="A4" s="501" t="s">
        <v>3</v>
      </c>
      <c r="B4" s="501"/>
      <c r="C4" s="501"/>
      <c r="D4" s="501"/>
      <c r="E4" s="501"/>
      <c r="F4" s="501"/>
      <c r="G4" s="501"/>
      <c r="H4" s="501"/>
      <c r="I4" s="501"/>
      <c r="J4" s="501"/>
      <c r="K4" s="501"/>
      <c r="L4" s="501"/>
      <c r="M4" s="501"/>
      <c r="N4" s="501"/>
      <c r="O4" s="501"/>
      <c r="P4" s="501"/>
      <c r="Q4" s="501"/>
      <c r="R4" s="501"/>
    </row>
    <row r="5" spans="1:18" ht="18" x14ac:dyDescent="0.35">
      <c r="A5" s="501" t="s">
        <v>585</v>
      </c>
      <c r="B5" s="501"/>
      <c r="C5" s="501"/>
      <c r="D5" s="501"/>
      <c r="E5" s="501"/>
      <c r="F5" s="501"/>
      <c r="G5" s="501"/>
      <c r="H5" s="501"/>
      <c r="I5" s="501"/>
      <c r="J5" s="501"/>
      <c r="K5" s="501"/>
      <c r="L5" s="501"/>
      <c r="M5" s="501"/>
      <c r="N5" s="501"/>
      <c r="O5" s="501"/>
      <c r="P5" s="501"/>
      <c r="Q5" s="501"/>
      <c r="R5" s="501"/>
    </row>
    <row r="6" spans="1:18" x14ac:dyDescent="0.3">
      <c r="A6" s="1"/>
      <c r="B6" s="1"/>
      <c r="C6" s="1"/>
      <c r="D6" s="5"/>
      <c r="E6" s="5"/>
      <c r="F6" s="5"/>
      <c r="G6" s="6"/>
      <c r="H6" s="5"/>
      <c r="I6" s="5"/>
      <c r="J6" s="6"/>
      <c r="K6" s="6"/>
      <c r="L6" s="6"/>
      <c r="M6" s="6"/>
      <c r="N6" s="1"/>
      <c r="O6" s="6"/>
      <c r="P6" s="6"/>
      <c r="Q6" s="6"/>
      <c r="R6" s="6"/>
    </row>
    <row r="7" spans="1:18" ht="16.2" x14ac:dyDescent="0.35">
      <c r="A7" s="565" t="s">
        <v>5</v>
      </c>
      <c r="B7" s="565"/>
      <c r="C7" s="565"/>
      <c r="D7" s="565"/>
      <c r="E7" s="565"/>
      <c r="F7" s="565"/>
      <c r="G7" s="565"/>
      <c r="H7" s="565"/>
      <c r="I7" s="565"/>
      <c r="J7" s="565"/>
      <c r="K7" s="565"/>
      <c r="L7" s="565"/>
      <c r="M7" s="565"/>
      <c r="N7" s="565"/>
      <c r="O7" s="565"/>
      <c r="P7" s="565"/>
      <c r="Q7" s="565"/>
      <c r="R7" s="565"/>
    </row>
    <row r="8" spans="1:18" ht="16.2" x14ac:dyDescent="0.35">
      <c r="A8" s="145"/>
      <c r="B8" s="145"/>
      <c r="C8" s="145"/>
      <c r="D8" s="145"/>
      <c r="E8" s="145"/>
      <c r="F8" s="145"/>
      <c r="G8" s="145"/>
      <c r="H8" s="145"/>
      <c r="I8" s="145"/>
      <c r="J8" s="145"/>
      <c r="K8" s="145"/>
      <c r="L8" s="145"/>
      <c r="M8" s="145"/>
      <c r="N8" s="145"/>
      <c r="O8" s="145"/>
      <c r="P8" s="145"/>
      <c r="Q8" s="145"/>
      <c r="R8" s="145"/>
    </row>
    <row r="9" spans="1:18" x14ac:dyDescent="0.3">
      <c r="A9" s="499" t="s">
        <v>586</v>
      </c>
      <c r="B9" s="499"/>
      <c r="C9" s="499"/>
      <c r="D9" s="499"/>
      <c r="E9" s="499"/>
      <c r="F9" s="499"/>
      <c r="G9" s="499"/>
      <c r="H9" s="499"/>
      <c r="I9" s="499"/>
      <c r="J9" s="499"/>
      <c r="K9" s="499"/>
      <c r="L9" s="499"/>
      <c r="M9" s="499"/>
      <c r="N9" s="499"/>
      <c r="O9" s="499"/>
      <c r="P9" s="499"/>
      <c r="Q9" s="499"/>
      <c r="R9" s="499"/>
    </row>
    <row r="10" spans="1:18" x14ac:dyDescent="0.3">
      <c r="A10" s="5"/>
      <c r="B10" s="6"/>
      <c r="C10" s="6"/>
      <c r="D10" s="6"/>
      <c r="E10" s="6"/>
      <c r="F10" s="6"/>
      <c r="G10" s="6"/>
      <c r="H10" s="6"/>
      <c r="I10" s="6"/>
      <c r="J10" s="6"/>
      <c r="K10" s="6"/>
      <c r="L10" s="6"/>
      <c r="M10" s="6"/>
      <c r="N10" s="6"/>
      <c r="O10" s="6"/>
      <c r="P10" s="6"/>
      <c r="Q10" s="6"/>
      <c r="R10" s="6"/>
    </row>
    <row r="11" spans="1:18" ht="16.2" thickBot="1" x14ac:dyDescent="0.35">
      <c r="A11" s="1"/>
      <c r="B11" s="1"/>
      <c r="C11" s="1"/>
      <c r="D11" s="1"/>
      <c r="E11" s="1"/>
      <c r="F11" s="1"/>
      <c r="G11" s="1"/>
      <c r="H11" s="1"/>
      <c r="I11" s="1"/>
      <c r="J11" s="1"/>
      <c r="K11" s="1"/>
      <c r="L11" s="1"/>
      <c r="M11" s="1"/>
      <c r="N11" s="1"/>
      <c r="O11" s="1"/>
      <c r="P11" s="1"/>
      <c r="Q11" s="1"/>
      <c r="R11" s="1"/>
    </row>
    <row r="12" spans="1:18" ht="15.75" customHeight="1" thickBot="1" x14ac:dyDescent="0.4">
      <c r="A12" s="7" t="s">
        <v>7</v>
      </c>
      <c r="B12" s="8" t="s">
        <v>8</v>
      </c>
      <c r="C12" s="9" t="s">
        <v>9</v>
      </c>
      <c r="D12" s="9" t="s">
        <v>10</v>
      </c>
      <c r="E12" s="10" t="s">
        <v>11</v>
      </c>
      <c r="F12" s="9" t="s">
        <v>12</v>
      </c>
      <c r="G12" s="9" t="s">
        <v>13</v>
      </c>
      <c r="H12" s="9" t="s">
        <v>14</v>
      </c>
      <c r="I12" s="10" t="s">
        <v>15</v>
      </c>
      <c r="J12" s="9" t="s">
        <v>16</v>
      </c>
      <c r="K12" s="9" t="s">
        <v>17</v>
      </c>
      <c r="L12" s="9" t="s">
        <v>18</v>
      </c>
      <c r="M12" s="10" t="s">
        <v>19</v>
      </c>
      <c r="N12" s="9" t="s">
        <v>20</v>
      </c>
      <c r="O12" s="9" t="s">
        <v>21</v>
      </c>
      <c r="P12" s="9" t="s">
        <v>22</v>
      </c>
      <c r="Q12" s="10" t="s">
        <v>23</v>
      </c>
      <c r="R12" s="11" t="s">
        <v>24</v>
      </c>
    </row>
    <row r="13" spans="1:18" ht="15.75" customHeight="1" thickBot="1" x14ac:dyDescent="0.4">
      <c r="A13" s="12"/>
      <c r="B13" s="13"/>
      <c r="C13" s="13"/>
      <c r="D13" s="13"/>
      <c r="E13" s="14"/>
      <c r="F13" s="13"/>
      <c r="G13" s="13"/>
      <c r="H13" s="13"/>
      <c r="I13" s="14"/>
      <c r="J13" s="13"/>
      <c r="K13" s="13"/>
      <c r="L13" s="13"/>
      <c r="M13" s="14"/>
      <c r="N13" s="13"/>
      <c r="O13" s="13"/>
      <c r="P13" s="13"/>
      <c r="Q13" s="14"/>
      <c r="R13" s="14"/>
    </row>
    <row r="14" spans="1:18" ht="15.75" customHeight="1" x14ac:dyDescent="0.3">
      <c r="A14" s="15" t="s">
        <v>25</v>
      </c>
      <c r="B14" s="1">
        <f>+B726</f>
        <v>56674</v>
      </c>
      <c r="C14" s="1">
        <f>+C726</f>
        <v>56869</v>
      </c>
      <c r="D14" s="1">
        <f>+D726</f>
        <v>103819</v>
      </c>
      <c r="E14" s="16">
        <f t="shared" ref="E14:E23" si="0">SUM(B14:D14)</f>
        <v>217362</v>
      </c>
      <c r="F14" s="1">
        <f>+F726</f>
        <v>153932</v>
      </c>
      <c r="G14" s="1">
        <f>+G726</f>
        <v>165117</v>
      </c>
      <c r="H14" s="1">
        <f>+H726</f>
        <v>206179</v>
      </c>
      <c r="I14" s="16">
        <f t="shared" ref="I14:I23" si="1">SUM(F14:H14)</f>
        <v>525228</v>
      </c>
      <c r="J14" s="1">
        <f>+J726</f>
        <v>216826</v>
      </c>
      <c r="K14" s="1">
        <f>+K726</f>
        <v>191448</v>
      </c>
      <c r="L14" s="1">
        <f>+L726</f>
        <v>167554</v>
      </c>
      <c r="M14" s="16">
        <f t="shared" ref="M14:M23" si="2">SUM(J14:L14)</f>
        <v>575828</v>
      </c>
      <c r="N14" s="1">
        <f>+N726</f>
        <v>106439</v>
      </c>
      <c r="O14" s="1">
        <f>+O726</f>
        <v>82263</v>
      </c>
      <c r="P14" s="1">
        <f>+P726</f>
        <v>83779</v>
      </c>
      <c r="Q14" s="17">
        <f t="shared" ref="Q14:Q22" si="3">SUM(N14:P14)</f>
        <v>272481</v>
      </c>
      <c r="R14" s="16">
        <f t="shared" ref="R14:R22" si="4">+E14+I14+M14+Q14</f>
        <v>1590899</v>
      </c>
    </row>
    <row r="15" spans="1:18" ht="15.75" hidden="1" customHeight="1" x14ac:dyDescent="0.3">
      <c r="A15" s="15" t="s">
        <v>26</v>
      </c>
      <c r="B15" s="1">
        <f>+B697+B700</f>
        <v>5364</v>
      </c>
      <c r="C15" s="1">
        <f>+C697+C700</f>
        <v>4720</v>
      </c>
      <c r="D15" s="1">
        <f>+D697+D700</f>
        <v>14032</v>
      </c>
      <c r="E15" s="16">
        <f t="shared" si="0"/>
        <v>24116</v>
      </c>
      <c r="F15" s="1">
        <f>+F697+F700</f>
        <v>15168</v>
      </c>
      <c r="G15" s="1">
        <f>+G697+G700</f>
        <v>22954</v>
      </c>
      <c r="H15" s="1">
        <f>+H697+H700</f>
        <v>24691</v>
      </c>
      <c r="I15" s="16">
        <f t="shared" si="1"/>
        <v>62813</v>
      </c>
      <c r="J15" s="1">
        <f>+J697+J700</f>
        <v>23257</v>
      </c>
      <c r="K15" s="1">
        <f>+K697+K700</f>
        <v>20143</v>
      </c>
      <c r="L15" s="1">
        <f>+L697+L700</f>
        <v>22834</v>
      </c>
      <c r="M15" s="16">
        <f t="shared" si="2"/>
        <v>66234</v>
      </c>
      <c r="N15" s="1">
        <f>+N697+N700</f>
        <v>21776</v>
      </c>
      <c r="O15" s="1">
        <f>+O697+O700</f>
        <v>11430</v>
      </c>
      <c r="P15" s="1">
        <f>+P697+P700</f>
        <v>6343</v>
      </c>
      <c r="Q15" s="17">
        <f t="shared" si="3"/>
        <v>39549</v>
      </c>
      <c r="R15" s="16">
        <f t="shared" si="4"/>
        <v>192712</v>
      </c>
    </row>
    <row r="16" spans="1:18" ht="15.75" customHeight="1" x14ac:dyDescent="0.3">
      <c r="A16" s="15" t="s">
        <v>27</v>
      </c>
      <c r="B16" s="1">
        <f>B28+B63+B124+B241+B360+B401+B442+B491+B501+B536+B575+B585+B619+B660</f>
        <v>739</v>
      </c>
      <c r="C16" s="1">
        <f>C28+C63+C124+C241+C360+C401+C442+C491+C501+C536+C575+C585+C619+C660</f>
        <v>1283</v>
      </c>
      <c r="D16" s="1">
        <f>D28+D63+D124+D241+D360+D401+D442+D491+D501+D536+D575+D585+D619+D660</f>
        <v>2185</v>
      </c>
      <c r="E16" s="16">
        <f t="shared" si="0"/>
        <v>4207</v>
      </c>
      <c r="F16" s="1">
        <f>F28+F63+F124+F241+F360+F401+F442+F491+F501+F536+F575+F585+F619+F660</f>
        <v>2959</v>
      </c>
      <c r="G16" s="1">
        <f>G28+G63+G124+G241+G360+G401+G442+G491+G501+G536+G575+G585+G619+G660</f>
        <v>3425</v>
      </c>
      <c r="H16" s="1">
        <f>H28+H63+H124+H241+H360+H401+H442+H491+H501+H536+H575+H585+H619+H660</f>
        <v>3464</v>
      </c>
      <c r="I16" s="16">
        <f t="shared" si="1"/>
        <v>9848</v>
      </c>
      <c r="J16" s="1">
        <f>J28+J63+J124+J241+J360+J401+J442+J491+J501+J536+J575+J585+J619+J660</f>
        <v>3382</v>
      </c>
      <c r="K16" s="1">
        <f>K28+K63+K124+K241+K360+K401+K442+K491+K501+K536+K575+K585+K619+K660</f>
        <v>2663</v>
      </c>
      <c r="L16" s="1">
        <f>L28+L63+L124+L241+L360+L401+L442+L491+L501+L536+L575+L585+L619+L660</f>
        <v>2559</v>
      </c>
      <c r="M16" s="16">
        <f t="shared" si="2"/>
        <v>8604</v>
      </c>
      <c r="N16" s="1">
        <f>N28+N63+N124+N241+N360+N401+N442+N491+N501+N536+N575+N585+N619+N660</f>
        <v>2343</v>
      </c>
      <c r="O16" s="1">
        <f>O28+O63+O124+O241+O360+O401+O442+O491+O501+O536+O575+O585+O619+O660</f>
        <v>1892</v>
      </c>
      <c r="P16" s="1">
        <f>P28+P63+P124+P241+P360+P401+P442+P491+P501+P536+P575+P585+P619+P660</f>
        <v>1423</v>
      </c>
      <c r="Q16" s="17">
        <f t="shared" si="3"/>
        <v>5658</v>
      </c>
      <c r="R16" s="16">
        <f t="shared" si="4"/>
        <v>28317</v>
      </c>
    </row>
    <row r="17" spans="1:20" ht="15.75" customHeight="1" x14ac:dyDescent="0.3">
      <c r="A17" s="15" t="s">
        <v>28</v>
      </c>
      <c r="B17" s="1">
        <f>B236</f>
        <v>0</v>
      </c>
      <c r="C17" s="1">
        <f>C236</f>
        <v>1104</v>
      </c>
      <c r="D17" s="1">
        <f>D236</f>
        <v>801</v>
      </c>
      <c r="E17" s="16">
        <f t="shared" si="0"/>
        <v>1905</v>
      </c>
      <c r="F17" s="1">
        <f>F236</f>
        <v>2490</v>
      </c>
      <c r="G17" s="1">
        <f>G236</f>
        <v>3757</v>
      </c>
      <c r="H17" s="1">
        <f>H236</f>
        <v>3774</v>
      </c>
      <c r="I17" s="16">
        <f t="shared" si="1"/>
        <v>10021</v>
      </c>
      <c r="J17" s="1">
        <f>J236</f>
        <v>2924</v>
      </c>
      <c r="K17" s="1">
        <f>K236</f>
        <v>1975</v>
      </c>
      <c r="L17" s="1">
        <f>L236</f>
        <v>2969</v>
      </c>
      <c r="M17" s="16">
        <f t="shared" si="2"/>
        <v>7868</v>
      </c>
      <c r="N17" s="1">
        <f>N236</f>
        <v>3073</v>
      </c>
      <c r="O17" s="1">
        <f>O236</f>
        <v>4050</v>
      </c>
      <c r="P17" s="1">
        <f>P236</f>
        <v>845</v>
      </c>
      <c r="Q17" s="17">
        <f t="shared" si="3"/>
        <v>7968</v>
      </c>
      <c r="R17" s="16">
        <f t="shared" si="4"/>
        <v>27762</v>
      </c>
    </row>
    <row r="18" spans="1:20" ht="15.75" customHeight="1" x14ac:dyDescent="0.3">
      <c r="A18" s="18" t="s">
        <v>29</v>
      </c>
      <c r="B18" s="1">
        <f t="shared" ref="B18:D19" si="5">+B237</f>
        <v>0</v>
      </c>
      <c r="C18" s="1">
        <f t="shared" si="5"/>
        <v>0</v>
      </c>
      <c r="D18" s="1">
        <f t="shared" si="5"/>
        <v>0</v>
      </c>
      <c r="E18" s="16">
        <f t="shared" si="0"/>
        <v>0</v>
      </c>
      <c r="F18" s="1">
        <f t="shared" ref="F18:H19" si="6">+F237</f>
        <v>-302</v>
      </c>
      <c r="G18" s="1">
        <f t="shared" si="6"/>
        <v>-47</v>
      </c>
      <c r="H18" s="1">
        <f t="shared" si="6"/>
        <v>-1169</v>
      </c>
      <c r="I18" s="16">
        <f t="shared" si="1"/>
        <v>-1518</v>
      </c>
      <c r="J18" s="1">
        <f t="shared" ref="J18:L19" si="7">+J237</f>
        <v>-1176</v>
      </c>
      <c r="K18" s="1">
        <f t="shared" si="7"/>
        <v>-1372</v>
      </c>
      <c r="L18" s="1">
        <f t="shared" si="7"/>
        <v>-1426</v>
      </c>
      <c r="M18" s="16">
        <f t="shared" si="2"/>
        <v>-3974</v>
      </c>
      <c r="N18" s="1">
        <f t="shared" ref="N18:P19" si="8">+N237</f>
        <v>-1639</v>
      </c>
      <c r="O18" s="1">
        <f t="shared" si="8"/>
        <v>-962</v>
      </c>
      <c r="P18" s="1">
        <f t="shared" si="8"/>
        <v>-1446</v>
      </c>
      <c r="Q18" s="17">
        <f t="shared" si="3"/>
        <v>-4047</v>
      </c>
      <c r="R18" s="16">
        <f t="shared" si="4"/>
        <v>-9539</v>
      </c>
    </row>
    <row r="19" spans="1:20" ht="15.75" hidden="1" customHeight="1" x14ac:dyDescent="0.3">
      <c r="A19" s="15" t="s">
        <v>30</v>
      </c>
      <c r="B19" s="1">
        <f t="shared" si="5"/>
        <v>825</v>
      </c>
      <c r="C19" s="1">
        <f t="shared" si="5"/>
        <v>1214</v>
      </c>
      <c r="D19" s="1">
        <f t="shared" si="5"/>
        <v>0</v>
      </c>
      <c r="E19" s="16">
        <f t="shared" si="0"/>
        <v>2039</v>
      </c>
      <c r="F19" s="1">
        <f t="shared" si="6"/>
        <v>0</v>
      </c>
      <c r="G19" s="1">
        <f t="shared" si="6"/>
        <v>0</v>
      </c>
      <c r="H19" s="1">
        <f t="shared" si="6"/>
        <v>0</v>
      </c>
      <c r="I19" s="16">
        <f t="shared" si="1"/>
        <v>0</v>
      </c>
      <c r="J19" s="1">
        <f t="shared" si="7"/>
        <v>0</v>
      </c>
      <c r="K19" s="1">
        <f t="shared" si="7"/>
        <v>0</v>
      </c>
      <c r="L19" s="1">
        <f t="shared" si="7"/>
        <v>830</v>
      </c>
      <c r="M19" s="16">
        <f t="shared" si="2"/>
        <v>830</v>
      </c>
      <c r="N19" s="1">
        <f t="shared" si="8"/>
        <v>1510</v>
      </c>
      <c r="O19" s="1">
        <f t="shared" si="8"/>
        <v>0</v>
      </c>
      <c r="P19" s="1">
        <f t="shared" si="8"/>
        <v>321</v>
      </c>
      <c r="Q19" s="17">
        <f t="shared" si="3"/>
        <v>1831</v>
      </c>
      <c r="R19" s="16">
        <f t="shared" si="4"/>
        <v>4700</v>
      </c>
    </row>
    <row r="20" spans="1:20" ht="15.75" customHeight="1" x14ac:dyDescent="0.3">
      <c r="A20" s="19" t="s">
        <v>31</v>
      </c>
      <c r="B20" s="1">
        <f>B240</f>
        <v>69254</v>
      </c>
      <c r="C20" s="1">
        <f>C240</f>
        <v>32024</v>
      </c>
      <c r="D20" s="1">
        <f>D240</f>
        <v>23237</v>
      </c>
      <c r="E20" s="16">
        <f t="shared" si="0"/>
        <v>124515</v>
      </c>
      <c r="F20" s="1">
        <f>F240</f>
        <v>0</v>
      </c>
      <c r="G20" s="1">
        <f>G240</f>
        <v>794</v>
      </c>
      <c r="H20" s="1">
        <f>H240</f>
        <v>0</v>
      </c>
      <c r="I20" s="16">
        <f t="shared" si="1"/>
        <v>794</v>
      </c>
      <c r="J20" s="1">
        <f>J240</f>
        <v>0</v>
      </c>
      <c r="K20" s="1">
        <f>K240</f>
        <v>0</v>
      </c>
      <c r="L20" s="1">
        <f>L240</f>
        <v>15215</v>
      </c>
      <c r="M20" s="16">
        <f t="shared" si="2"/>
        <v>15215</v>
      </c>
      <c r="N20" s="1">
        <f>N240</f>
        <v>55015</v>
      </c>
      <c r="O20" s="1">
        <f>O240</f>
        <v>64395</v>
      </c>
      <c r="P20" s="1">
        <f>P240</f>
        <v>104913</v>
      </c>
      <c r="Q20" s="17">
        <f t="shared" si="3"/>
        <v>224323</v>
      </c>
      <c r="R20" s="16">
        <f t="shared" si="4"/>
        <v>364847</v>
      </c>
    </row>
    <row r="21" spans="1:20" ht="15.75" customHeight="1" x14ac:dyDescent="0.3">
      <c r="A21" s="19" t="s">
        <v>32</v>
      </c>
      <c r="B21" s="1">
        <f>B252</f>
        <v>0</v>
      </c>
      <c r="C21" s="1">
        <f>C252</f>
        <v>0</v>
      </c>
      <c r="D21" s="1">
        <f>D252</f>
        <v>0</v>
      </c>
      <c r="E21" s="16">
        <f t="shared" si="0"/>
        <v>0</v>
      </c>
      <c r="F21" s="1">
        <f>F252</f>
        <v>-5265</v>
      </c>
      <c r="G21" s="1">
        <f>G252</f>
        <v>-2361</v>
      </c>
      <c r="H21" s="1">
        <f>H252</f>
        <v>-39965</v>
      </c>
      <c r="I21" s="16">
        <f t="shared" si="1"/>
        <v>-47591</v>
      </c>
      <c r="J21" s="1">
        <f>J252</f>
        <v>-167728</v>
      </c>
      <c r="K21" s="1">
        <f>K252</f>
        <v>-106895</v>
      </c>
      <c r="L21" s="1">
        <f>L252</f>
        <v>-18499</v>
      </c>
      <c r="M21" s="16">
        <f t="shared" si="2"/>
        <v>-293122</v>
      </c>
      <c r="N21" s="1">
        <f>N252</f>
        <v>0</v>
      </c>
      <c r="O21" s="1">
        <f>O252</f>
        <v>0</v>
      </c>
      <c r="P21" s="1">
        <f>P252</f>
        <v>0</v>
      </c>
      <c r="Q21" s="17">
        <f t="shared" si="3"/>
        <v>0</v>
      </c>
      <c r="R21" s="16">
        <f t="shared" si="4"/>
        <v>-340713</v>
      </c>
    </row>
    <row r="22" spans="1:20" ht="15.75" customHeight="1" thickBot="1" x14ac:dyDescent="0.35">
      <c r="A22" s="20" t="s">
        <v>33</v>
      </c>
      <c r="B22" s="21">
        <f>(B32)</f>
        <v>126667</v>
      </c>
      <c r="C22" s="21">
        <f>(C32)</f>
        <v>91280</v>
      </c>
      <c r="D22" s="21">
        <f>(D32)</f>
        <v>130042</v>
      </c>
      <c r="E22" s="22">
        <f t="shared" si="0"/>
        <v>347989</v>
      </c>
      <c r="F22" s="21">
        <f>(F32)</f>
        <v>153814</v>
      </c>
      <c r="G22" s="21">
        <f>(G32)</f>
        <v>170685</v>
      </c>
      <c r="H22" s="21">
        <f>(H32)</f>
        <v>172283</v>
      </c>
      <c r="I22" s="22">
        <f t="shared" si="1"/>
        <v>496782</v>
      </c>
      <c r="J22" s="21">
        <f>(J32)</f>
        <v>54228</v>
      </c>
      <c r="K22" s="21">
        <f>(K32)</f>
        <v>87819</v>
      </c>
      <c r="L22" s="21">
        <f>(L32)</f>
        <v>168372</v>
      </c>
      <c r="M22" s="22">
        <f t="shared" si="2"/>
        <v>310419</v>
      </c>
      <c r="N22" s="21">
        <f>(N32)</f>
        <v>165231</v>
      </c>
      <c r="O22" s="21">
        <f>(O32)</f>
        <v>151638</v>
      </c>
      <c r="P22" s="21">
        <f>(P32)</f>
        <v>189514</v>
      </c>
      <c r="Q22" s="23">
        <f t="shared" si="3"/>
        <v>506383</v>
      </c>
      <c r="R22" s="22">
        <f t="shared" si="4"/>
        <v>1661573</v>
      </c>
      <c r="S22" s="4" t="s">
        <v>519</v>
      </c>
      <c r="T22" s="4" t="s">
        <v>587</v>
      </c>
    </row>
    <row r="23" spans="1:20" ht="15.75" customHeight="1" thickBot="1" x14ac:dyDescent="0.35">
      <c r="A23" s="20" t="s">
        <v>36</v>
      </c>
      <c r="B23" s="21">
        <v>126294</v>
      </c>
      <c r="C23" s="21">
        <v>90880</v>
      </c>
      <c r="D23" s="21">
        <v>128306</v>
      </c>
      <c r="E23" s="22">
        <f t="shared" si="0"/>
        <v>345480</v>
      </c>
      <c r="F23" s="21">
        <v>153154</v>
      </c>
      <c r="G23" s="21">
        <v>171813</v>
      </c>
      <c r="H23" s="21">
        <v>170755</v>
      </c>
      <c r="I23" s="22">
        <f t="shared" si="1"/>
        <v>495722</v>
      </c>
      <c r="J23" s="21">
        <v>49808</v>
      </c>
      <c r="K23" s="21">
        <v>84097</v>
      </c>
      <c r="L23" s="21">
        <v>170650</v>
      </c>
      <c r="M23" s="22">
        <f t="shared" si="2"/>
        <v>304555</v>
      </c>
      <c r="N23" s="21">
        <v>165628</v>
      </c>
      <c r="O23" s="21">
        <v>158820</v>
      </c>
      <c r="P23" s="21">
        <v>182563</v>
      </c>
      <c r="Q23" s="23">
        <f>SUM(N23:P23)</f>
        <v>507011</v>
      </c>
      <c r="R23" s="22">
        <f>+E23+I23+M23+Q23</f>
        <v>1652768</v>
      </c>
    </row>
    <row r="24" spans="1:20" ht="15.75" customHeight="1" x14ac:dyDescent="0.3">
      <c r="A24" s="1"/>
      <c r="B24" s="1"/>
      <c r="C24" s="1"/>
      <c r="D24" s="1"/>
      <c r="E24" s="1"/>
      <c r="F24" s="1"/>
      <c r="G24" s="1"/>
      <c r="H24" s="1"/>
      <c r="I24" s="1"/>
      <c r="J24" s="1"/>
      <c r="K24" s="1"/>
      <c r="L24" s="1"/>
      <c r="M24" s="1"/>
      <c r="N24" s="1"/>
      <c r="O24" s="1"/>
      <c r="P24" s="1"/>
      <c r="Q24" s="1"/>
      <c r="R24" s="2"/>
      <c r="T24" s="4" t="s">
        <v>588</v>
      </c>
    </row>
    <row r="25" spans="1:20" ht="15.75" customHeight="1" thickBot="1" x14ac:dyDescent="0.35">
      <c r="A25" s="1"/>
      <c r="B25" s="1"/>
      <c r="C25" s="1"/>
      <c r="D25" s="1"/>
      <c r="E25" s="1"/>
      <c r="F25" s="27" t="s">
        <v>7</v>
      </c>
      <c r="G25" s="27" t="s">
        <v>7</v>
      </c>
      <c r="H25" s="1"/>
      <c r="I25" s="1"/>
      <c r="J25" s="1"/>
      <c r="K25" s="1"/>
      <c r="L25" s="1"/>
      <c r="M25" s="1"/>
      <c r="N25" s="27" t="s">
        <v>7</v>
      </c>
      <c r="O25" s="27" t="s">
        <v>7</v>
      </c>
      <c r="P25" s="27" t="s">
        <v>7</v>
      </c>
      <c r="Q25" s="27"/>
      <c r="R25" s="28" t="s">
        <v>7</v>
      </c>
      <c r="T25" s="4" t="s">
        <v>589</v>
      </c>
    </row>
    <row r="26" spans="1:20" ht="15.75" customHeight="1" thickBot="1" x14ac:dyDescent="0.35">
      <c r="A26" s="29" t="s">
        <v>39</v>
      </c>
      <c r="B26" s="30" t="s">
        <v>8</v>
      </c>
      <c r="C26" s="31" t="s">
        <v>9</v>
      </c>
      <c r="D26" s="31" t="s">
        <v>10</v>
      </c>
      <c r="E26" s="32" t="s">
        <v>11</v>
      </c>
      <c r="F26" s="31" t="s">
        <v>12</v>
      </c>
      <c r="G26" s="31" t="s">
        <v>13</v>
      </c>
      <c r="H26" s="31" t="s">
        <v>14</v>
      </c>
      <c r="I26" s="33" t="s">
        <v>15</v>
      </c>
      <c r="J26" s="31" t="s">
        <v>16</v>
      </c>
      <c r="K26" s="31" t="s">
        <v>17</v>
      </c>
      <c r="L26" s="31" t="s">
        <v>18</v>
      </c>
      <c r="M26" s="33" t="s">
        <v>19</v>
      </c>
      <c r="N26" s="31" t="s">
        <v>20</v>
      </c>
      <c r="O26" s="31" t="s">
        <v>21</v>
      </c>
      <c r="P26" s="31" t="s">
        <v>22</v>
      </c>
      <c r="Q26" s="33" t="s">
        <v>23</v>
      </c>
      <c r="R26" s="34" t="s">
        <v>24</v>
      </c>
    </row>
    <row r="27" spans="1:20" ht="15.75" customHeight="1" thickBot="1" x14ac:dyDescent="0.35">
      <c r="A27" s="35"/>
      <c r="B27" s="36"/>
      <c r="C27" s="36"/>
      <c r="D27" s="36"/>
      <c r="E27" s="37"/>
      <c r="F27" s="36"/>
      <c r="G27" s="36"/>
      <c r="H27" s="36"/>
      <c r="I27" s="37"/>
      <c r="J27" s="36"/>
      <c r="K27" s="36"/>
      <c r="L27" s="36"/>
      <c r="M27" s="37"/>
      <c r="N27" s="36"/>
      <c r="O27" s="36"/>
      <c r="P27" s="36"/>
      <c r="Q27" s="37"/>
      <c r="R27" s="38"/>
    </row>
    <row r="28" spans="1:20" ht="15.75" customHeight="1" thickBot="1" x14ac:dyDescent="0.35">
      <c r="A28" s="39" t="s">
        <v>40</v>
      </c>
      <c r="B28" s="21">
        <v>97</v>
      </c>
      <c r="C28" s="21">
        <v>148</v>
      </c>
      <c r="D28" s="21">
        <v>274</v>
      </c>
      <c r="E28" s="40">
        <f>SUM(B28:D28)</f>
        <v>519</v>
      </c>
      <c r="F28" s="21">
        <v>367</v>
      </c>
      <c r="G28" s="21">
        <v>425</v>
      </c>
      <c r="H28" s="21">
        <v>417</v>
      </c>
      <c r="I28" s="40">
        <f>SUM(F28:H28)</f>
        <v>1209</v>
      </c>
      <c r="J28" s="21">
        <v>416</v>
      </c>
      <c r="K28" s="21">
        <v>334</v>
      </c>
      <c r="L28" s="21">
        <v>316</v>
      </c>
      <c r="M28" s="40">
        <f>SUM(J28:L28)</f>
        <v>1066</v>
      </c>
      <c r="N28" s="21">
        <v>285</v>
      </c>
      <c r="O28" s="21">
        <v>235</v>
      </c>
      <c r="P28" s="21">
        <v>186</v>
      </c>
      <c r="Q28" s="40">
        <f>SUM(N28:P28)</f>
        <v>706</v>
      </c>
      <c r="R28" s="22">
        <f>+E28+I28+M28+Q28</f>
        <v>3500</v>
      </c>
    </row>
    <row r="29" spans="1:20" ht="15.75" customHeight="1" thickBot="1" x14ac:dyDescent="0.35">
      <c r="A29" s="41"/>
      <c r="B29" s="36"/>
      <c r="C29" s="36"/>
      <c r="D29" s="36"/>
      <c r="E29" s="42"/>
      <c r="F29" s="36"/>
      <c r="G29" s="36"/>
      <c r="H29" s="36"/>
      <c r="I29" s="42"/>
      <c r="J29" s="36"/>
      <c r="K29" s="36"/>
      <c r="L29" s="36"/>
      <c r="M29" s="42"/>
      <c r="N29" s="36"/>
      <c r="O29" s="36"/>
      <c r="P29" s="36"/>
      <c r="Q29" s="42"/>
      <c r="R29" s="43"/>
    </row>
    <row r="30" spans="1:20" ht="15.75" customHeight="1" x14ac:dyDescent="0.3">
      <c r="A30" s="15" t="s">
        <v>41</v>
      </c>
      <c r="B30" s="1">
        <f>B28</f>
        <v>97</v>
      </c>
      <c r="C30" s="1">
        <f>C28</f>
        <v>148</v>
      </c>
      <c r="D30" s="1">
        <f>D28</f>
        <v>274</v>
      </c>
      <c r="E30" s="40">
        <f>SUM(B30:D30)</f>
        <v>519</v>
      </c>
      <c r="F30" s="1">
        <f>F28</f>
        <v>367</v>
      </c>
      <c r="G30" s="1">
        <f>G28</f>
        <v>425</v>
      </c>
      <c r="H30" s="1">
        <f>H28</f>
        <v>417</v>
      </c>
      <c r="I30" s="40">
        <f>SUM(F30:H30)</f>
        <v>1209</v>
      </c>
      <c r="J30" s="1">
        <f>J28</f>
        <v>416</v>
      </c>
      <c r="K30" s="1">
        <f>K28</f>
        <v>334</v>
      </c>
      <c r="L30" s="1">
        <f>L28</f>
        <v>316</v>
      </c>
      <c r="M30" s="40">
        <f>SUM(J30:L30)</f>
        <v>1066</v>
      </c>
      <c r="N30" s="1">
        <f>N28</f>
        <v>285</v>
      </c>
      <c r="O30" s="1">
        <f>O28</f>
        <v>235</v>
      </c>
      <c r="P30" s="1">
        <f>P28</f>
        <v>186</v>
      </c>
      <c r="Q30" s="44">
        <f>SUM(N30:P30)</f>
        <v>706</v>
      </c>
      <c r="R30" s="40">
        <f>+E30+I30+M30+Q30</f>
        <v>3500</v>
      </c>
    </row>
    <row r="31" spans="1:20" ht="15.75" customHeight="1" x14ac:dyDescent="0.3">
      <c r="A31" s="15" t="s">
        <v>42</v>
      </c>
      <c r="B31" s="1">
        <f>(B30/31)/1.983</f>
        <v>1.5779285214647079</v>
      </c>
      <c r="C31" s="1">
        <f>(C30/28)/1.983</f>
        <v>2.6655140119587926</v>
      </c>
      <c r="D31" s="1">
        <f>(D30/31)/1.983</f>
        <v>4.457241390529175</v>
      </c>
      <c r="E31" s="16"/>
      <c r="F31" s="1">
        <f>(F30/30)/1.983</f>
        <v>6.1691040511010247</v>
      </c>
      <c r="G31" s="1">
        <f>(G30/31)/1.983</f>
        <v>6.9136043466237203</v>
      </c>
      <c r="H31" s="1">
        <f>(H30/30)/1.983</f>
        <v>7.0095814422592033</v>
      </c>
      <c r="I31" s="16"/>
      <c r="J31" s="1">
        <f>(J30/31)/1.983</f>
        <v>6.7671986075187478</v>
      </c>
      <c r="K31" s="1">
        <f>(K30/31)/1.983</f>
        <v>5.433279651228994</v>
      </c>
      <c r="L31" s="1">
        <f>(L30/30)/1.983</f>
        <v>5.3118171121196838</v>
      </c>
      <c r="M31" s="16"/>
      <c r="N31" s="1">
        <f>(N30/31)/1.983</f>
        <v>4.6361817383241419</v>
      </c>
      <c r="O31" s="1">
        <f>(O30/30)/1.983</f>
        <v>3.9502437384434357</v>
      </c>
      <c r="P31" s="1">
        <f>(P30/31)/1.983</f>
        <v>3.02571860816944</v>
      </c>
      <c r="Q31" s="17"/>
      <c r="R31" s="16"/>
    </row>
    <row r="32" spans="1:20" ht="15.75" customHeight="1" x14ac:dyDescent="0.3">
      <c r="A32" s="15" t="s">
        <v>43</v>
      </c>
      <c r="B32" s="1">
        <f>B30+B67</f>
        <v>126667</v>
      </c>
      <c r="C32" s="1">
        <f>C30+C67</f>
        <v>91280</v>
      </c>
      <c r="D32" s="1">
        <f>D30+D67</f>
        <v>130042</v>
      </c>
      <c r="E32" s="16">
        <f>SUM(B32:D32)</f>
        <v>347989</v>
      </c>
      <c r="F32" s="1">
        <f>F30+F67</f>
        <v>153814</v>
      </c>
      <c r="G32" s="1">
        <f>G30+G67</f>
        <v>170685</v>
      </c>
      <c r="H32" s="1">
        <f>H30+H67</f>
        <v>172283</v>
      </c>
      <c r="I32" s="16">
        <f>SUM(F32:H32)</f>
        <v>496782</v>
      </c>
      <c r="J32" s="1">
        <f>J30+J67</f>
        <v>54228</v>
      </c>
      <c r="K32" s="1">
        <f>K30+K67</f>
        <v>87819</v>
      </c>
      <c r="L32" s="1">
        <f>L30+L67</f>
        <v>168372</v>
      </c>
      <c r="M32" s="16">
        <f>SUM(J32:L32)</f>
        <v>310419</v>
      </c>
      <c r="N32" s="1">
        <f>N30+N67</f>
        <v>165231</v>
      </c>
      <c r="O32" s="1">
        <f>O30+O67</f>
        <v>151638</v>
      </c>
      <c r="P32" s="1">
        <f>P30+P67</f>
        <v>189514</v>
      </c>
      <c r="Q32" s="17">
        <f>SUM(N32:P32)</f>
        <v>506383</v>
      </c>
      <c r="R32" s="16">
        <f>+E32+I32+M32+Q32</f>
        <v>1661573</v>
      </c>
    </row>
    <row r="33" spans="1:18" ht="15.75" customHeight="1" thickBot="1" x14ac:dyDescent="0.35">
      <c r="A33" s="20" t="s">
        <v>44</v>
      </c>
      <c r="B33" s="21">
        <f>(B32/31)/1.983</f>
        <v>2060.5306394677336</v>
      </c>
      <c r="C33" s="21">
        <f>(C32/28)/1.983</f>
        <v>1643.9737771053958</v>
      </c>
      <c r="D33" s="21">
        <f>(D32/31)/1.983</f>
        <v>2115.4327916320985</v>
      </c>
      <c r="E33" s="22"/>
      <c r="F33" s="21">
        <f>(F32/30)/1.983</f>
        <v>2585.5437888720789</v>
      </c>
      <c r="G33" s="21">
        <f>(G32/31)/1.983</f>
        <v>2776.5848421258111</v>
      </c>
      <c r="H33" s="21">
        <f>(H32/30)/1.983</f>
        <v>2895.9993276180867</v>
      </c>
      <c r="I33" s="22"/>
      <c r="J33" s="21">
        <f>(J32/31)/1.983</f>
        <v>882.14338002049669</v>
      </c>
      <c r="K33" s="21">
        <f>(K32/31)/1.983</f>
        <v>1428.5784002732908</v>
      </c>
      <c r="L33" s="21">
        <f>(L32/30)/1.983</f>
        <v>2830.2571860816943</v>
      </c>
      <c r="M33" s="22"/>
      <c r="N33" s="21">
        <f>(N32/31)/1.983</f>
        <v>2687.8629642281976</v>
      </c>
      <c r="O33" s="21">
        <f>(O32/30)/1.983</f>
        <v>2548.9662128088753</v>
      </c>
      <c r="P33" s="21">
        <f>(P32/31)/1.983</f>
        <v>3082.8819156377594</v>
      </c>
      <c r="Q33" s="23"/>
      <c r="R33" s="22"/>
    </row>
    <row r="34" spans="1:18" ht="15.75" customHeight="1" x14ac:dyDescent="0.3">
      <c r="A34" s="2"/>
      <c r="B34" s="1"/>
      <c r="C34" s="1"/>
      <c r="D34" s="1"/>
      <c r="E34" s="1"/>
      <c r="F34" s="1"/>
      <c r="G34" s="1"/>
      <c r="H34" s="1"/>
      <c r="I34" s="1"/>
      <c r="J34" s="1"/>
      <c r="K34" s="1"/>
      <c r="L34" s="1"/>
      <c r="M34" s="1"/>
      <c r="N34" s="1"/>
      <c r="O34" s="1"/>
      <c r="P34" s="1"/>
      <c r="Q34" s="1"/>
      <c r="R34" s="2"/>
    </row>
    <row r="35" spans="1:18" ht="15.75" customHeight="1" thickBot="1" x14ac:dyDescent="0.35">
      <c r="A35" s="2"/>
      <c r="B35" s="1"/>
      <c r="C35" s="1"/>
      <c r="D35" s="1"/>
      <c r="E35" s="1"/>
      <c r="F35" s="1"/>
      <c r="G35" s="1"/>
      <c r="H35" s="1"/>
      <c r="I35" s="1"/>
      <c r="J35" s="1"/>
      <c r="K35" s="1"/>
      <c r="L35" s="1"/>
      <c r="M35" s="1"/>
      <c r="N35" s="1"/>
      <c r="O35" s="1"/>
      <c r="P35" s="1"/>
      <c r="Q35" s="1"/>
      <c r="R35" s="2"/>
    </row>
    <row r="36" spans="1:18" ht="15.75" customHeight="1" thickBot="1" x14ac:dyDescent="0.35">
      <c r="A36" s="46" t="s">
        <v>47</v>
      </c>
      <c r="B36" s="47" t="s">
        <v>8</v>
      </c>
      <c r="C36" s="48" t="s">
        <v>9</v>
      </c>
      <c r="D36" s="48" t="s">
        <v>10</v>
      </c>
      <c r="E36" s="32" t="s">
        <v>11</v>
      </c>
      <c r="F36" s="48" t="s">
        <v>12</v>
      </c>
      <c r="G36" s="48" t="s">
        <v>13</v>
      </c>
      <c r="H36" s="48" t="s">
        <v>14</v>
      </c>
      <c r="I36" s="32" t="s">
        <v>15</v>
      </c>
      <c r="J36" s="48" t="s">
        <v>16</v>
      </c>
      <c r="K36" s="48" t="s">
        <v>17</v>
      </c>
      <c r="L36" s="48" t="s">
        <v>18</v>
      </c>
      <c r="M36" s="32" t="s">
        <v>19</v>
      </c>
      <c r="N36" s="48" t="s">
        <v>20</v>
      </c>
      <c r="O36" s="48" t="s">
        <v>21</v>
      </c>
      <c r="P36" s="48" t="s">
        <v>22</v>
      </c>
      <c r="Q36" s="32" t="s">
        <v>23</v>
      </c>
      <c r="R36" s="49" t="s">
        <v>24</v>
      </c>
    </row>
    <row r="37" spans="1:18" ht="15.75" customHeight="1" thickBot="1" x14ac:dyDescent="0.35">
      <c r="A37" s="42"/>
      <c r="B37" s="50"/>
      <c r="C37" s="51"/>
      <c r="D37" s="51"/>
      <c r="E37" s="52"/>
      <c r="F37" s="51"/>
      <c r="G37" s="51"/>
      <c r="H37" s="51"/>
      <c r="I37" s="52"/>
      <c r="J37" s="51"/>
      <c r="K37" s="51"/>
      <c r="L37" s="51"/>
      <c r="M37" s="52"/>
      <c r="N37" s="51"/>
      <c r="O37" s="51"/>
      <c r="P37" s="51"/>
      <c r="Q37" s="52"/>
      <c r="R37" s="53"/>
    </row>
    <row r="38" spans="1:18" ht="15.75" customHeight="1" x14ac:dyDescent="0.3">
      <c r="A38" s="54" t="s">
        <v>48</v>
      </c>
      <c r="B38" s="28"/>
      <c r="C38" s="28"/>
      <c r="D38" s="28"/>
      <c r="E38" s="55" t="s">
        <v>7</v>
      </c>
      <c r="F38" s="28"/>
      <c r="G38" s="28"/>
      <c r="H38" s="28"/>
      <c r="I38" s="55" t="s">
        <v>7</v>
      </c>
      <c r="J38" s="28"/>
      <c r="K38" s="28"/>
      <c r="L38" s="28"/>
      <c r="M38" s="55" t="s">
        <v>7</v>
      </c>
      <c r="N38" s="28"/>
      <c r="O38" s="28"/>
      <c r="P38" s="28"/>
      <c r="Q38" s="55" t="s">
        <v>7</v>
      </c>
      <c r="R38" s="55" t="s">
        <v>7</v>
      </c>
    </row>
    <row r="39" spans="1:18" ht="15.75" customHeight="1" x14ac:dyDescent="0.3">
      <c r="A39" s="18" t="s">
        <v>49</v>
      </c>
      <c r="B39" s="28" t="s">
        <v>7</v>
      </c>
      <c r="C39" s="56"/>
      <c r="D39" s="56"/>
      <c r="E39" s="55" t="s">
        <v>7</v>
      </c>
      <c r="F39" s="56"/>
      <c r="G39" s="56"/>
      <c r="H39" s="56"/>
      <c r="I39" s="55" t="s">
        <v>7</v>
      </c>
      <c r="J39" s="56"/>
      <c r="K39" s="56"/>
      <c r="L39" s="56"/>
      <c r="M39" s="55" t="s">
        <v>7</v>
      </c>
      <c r="N39" s="56"/>
      <c r="O39" s="56"/>
      <c r="P39" s="56"/>
      <c r="Q39" s="55" t="s">
        <v>7</v>
      </c>
      <c r="R39" s="55" t="s">
        <v>7</v>
      </c>
    </row>
    <row r="40" spans="1:18" ht="15.75" customHeight="1" x14ac:dyDescent="0.3">
      <c r="A40" s="18" t="s">
        <v>50</v>
      </c>
      <c r="B40" s="28"/>
      <c r="C40" s="28"/>
      <c r="D40" s="28"/>
      <c r="E40" s="55" t="s">
        <v>7</v>
      </c>
      <c r="F40" s="28"/>
      <c r="G40" s="28"/>
      <c r="H40" s="28"/>
      <c r="I40" s="55" t="s">
        <v>7</v>
      </c>
      <c r="J40" s="28"/>
      <c r="K40" s="28"/>
      <c r="L40" s="28"/>
      <c r="M40" s="55" t="s">
        <v>7</v>
      </c>
      <c r="N40" s="28"/>
      <c r="O40" s="28"/>
      <c r="P40" s="28"/>
      <c r="Q40" s="55" t="s">
        <v>7</v>
      </c>
      <c r="R40" s="55" t="s">
        <v>7</v>
      </c>
    </row>
    <row r="41" spans="1:18" ht="15.75" customHeight="1" x14ac:dyDescent="0.3">
      <c r="A41" s="18" t="s">
        <v>51</v>
      </c>
      <c r="B41" s="28"/>
      <c r="C41" s="28"/>
      <c r="D41" s="28"/>
      <c r="E41" s="55" t="s">
        <v>52</v>
      </c>
      <c r="F41" s="28"/>
      <c r="G41" s="28"/>
      <c r="H41" s="28"/>
      <c r="I41" s="55" t="s">
        <v>52</v>
      </c>
      <c r="J41" s="28"/>
      <c r="K41" s="28"/>
      <c r="L41" s="28"/>
      <c r="M41" s="55" t="s">
        <v>52</v>
      </c>
      <c r="N41" s="28"/>
      <c r="O41" s="28"/>
      <c r="P41" s="28"/>
      <c r="Q41" s="55" t="s">
        <v>52</v>
      </c>
      <c r="R41" s="55" t="s">
        <v>52</v>
      </c>
    </row>
    <row r="42" spans="1:18" ht="15.75" customHeight="1" thickBot="1" x14ac:dyDescent="0.35">
      <c r="A42" s="18" t="s">
        <v>53</v>
      </c>
      <c r="B42" s="56"/>
      <c r="C42" s="56"/>
      <c r="D42" s="56"/>
      <c r="E42" s="55" t="s">
        <v>7</v>
      </c>
      <c r="F42" s="56"/>
      <c r="G42" s="56"/>
      <c r="H42" s="56"/>
      <c r="I42" s="55" t="s">
        <v>7</v>
      </c>
      <c r="J42" s="56"/>
      <c r="K42" s="56"/>
      <c r="L42" s="56"/>
      <c r="M42" s="55" t="s">
        <v>7</v>
      </c>
      <c r="N42" s="56"/>
      <c r="O42" s="56"/>
      <c r="P42" s="56"/>
      <c r="Q42" s="55" t="s">
        <v>7</v>
      </c>
      <c r="R42" s="55" t="s">
        <v>7</v>
      </c>
    </row>
    <row r="43" spans="1:18" ht="15.75" customHeight="1" thickBot="1" x14ac:dyDescent="0.35">
      <c r="A43" s="57" t="s">
        <v>54</v>
      </c>
      <c r="B43" s="58">
        <f>SUM(B38:B42)</f>
        <v>0</v>
      </c>
      <c r="C43" s="58">
        <f>SUM(C38:C42)</f>
        <v>0</v>
      </c>
      <c r="D43" s="58">
        <f>SUM(D38:D42)</f>
        <v>0</v>
      </c>
      <c r="E43" s="59">
        <f>SUM(B43:D43)</f>
        <v>0</v>
      </c>
      <c r="F43" s="58">
        <f>SUM(F38:F42)</f>
        <v>0</v>
      </c>
      <c r="G43" s="58">
        <f>SUM(G38:G42)</f>
        <v>0</v>
      </c>
      <c r="H43" s="58">
        <f>SUM(H38:H42)</f>
        <v>0</v>
      </c>
      <c r="I43" s="59">
        <f>SUM(F43:H43)</f>
        <v>0</v>
      </c>
      <c r="J43" s="58">
        <f>SUM(J38:J42)</f>
        <v>0</v>
      </c>
      <c r="K43" s="58">
        <f>SUM(K38:K42)</f>
        <v>0</v>
      </c>
      <c r="L43" s="58">
        <f>SUM(L38:L42)</f>
        <v>0</v>
      </c>
      <c r="M43" s="59">
        <f>SUM(J43:L43)</f>
        <v>0</v>
      </c>
      <c r="N43" s="58">
        <f>SUM(N38:N42)</f>
        <v>0</v>
      </c>
      <c r="O43" s="58">
        <f>SUM(O38:O42)</f>
        <v>0</v>
      </c>
      <c r="P43" s="58">
        <f>SUM(P38:P42)</f>
        <v>0</v>
      </c>
      <c r="Q43" s="59">
        <f>SUM(N43:P43)</f>
        <v>0</v>
      </c>
      <c r="R43" s="59">
        <f>+E43+I43+M43+Q43</f>
        <v>0</v>
      </c>
    </row>
    <row r="44" spans="1:18" ht="15.75" customHeight="1" x14ac:dyDescent="0.3">
      <c r="A44" s="18" t="s">
        <v>55</v>
      </c>
      <c r="B44" s="56"/>
      <c r="C44" s="56"/>
      <c r="D44" s="56"/>
      <c r="E44" s="55" t="s">
        <v>7</v>
      </c>
      <c r="F44" s="56"/>
      <c r="G44" s="56"/>
      <c r="H44" s="56"/>
      <c r="I44" s="55" t="s">
        <v>7</v>
      </c>
      <c r="J44" s="56"/>
      <c r="K44" s="56"/>
      <c r="L44" s="56"/>
      <c r="M44" s="55" t="s">
        <v>7</v>
      </c>
      <c r="N44" s="56"/>
      <c r="O44" s="56"/>
      <c r="P44" s="56"/>
      <c r="Q44" s="55" t="s">
        <v>7</v>
      </c>
      <c r="R44" s="60" t="s">
        <v>7</v>
      </c>
    </row>
    <row r="45" spans="1:18" ht="15.75" customHeight="1" x14ac:dyDescent="0.3">
      <c r="A45" s="18" t="s">
        <v>56</v>
      </c>
      <c r="B45" s="56"/>
      <c r="C45" s="56"/>
      <c r="D45" s="56"/>
      <c r="E45" s="55"/>
      <c r="F45" s="56"/>
      <c r="G45" s="56"/>
      <c r="H45" s="56"/>
      <c r="I45" s="55"/>
      <c r="J45" s="56"/>
      <c r="K45" s="56"/>
      <c r="L45" s="56"/>
      <c r="M45" s="55"/>
      <c r="N45" s="56"/>
      <c r="O45" s="56"/>
      <c r="P45" s="56"/>
      <c r="Q45" s="55"/>
      <c r="R45" s="55"/>
    </row>
    <row r="46" spans="1:18" ht="15.75" customHeight="1" x14ac:dyDescent="0.3">
      <c r="A46" s="18" t="s">
        <v>57</v>
      </c>
      <c r="B46" s="56"/>
      <c r="C46" s="56"/>
      <c r="D46" s="56"/>
      <c r="E46" s="55" t="s">
        <v>7</v>
      </c>
      <c r="F46" s="56"/>
      <c r="G46" s="56"/>
      <c r="H46" s="56"/>
      <c r="I46" s="55" t="s">
        <v>7</v>
      </c>
      <c r="J46" s="56"/>
      <c r="K46" s="56"/>
      <c r="L46" s="56"/>
      <c r="M46" s="55" t="s">
        <v>7</v>
      </c>
      <c r="N46" s="56"/>
      <c r="O46" s="56"/>
      <c r="P46" s="56"/>
      <c r="Q46" s="55" t="s">
        <v>7</v>
      </c>
      <c r="R46" s="55" t="s">
        <v>7</v>
      </c>
    </row>
    <row r="47" spans="1:18" ht="15.75" customHeight="1" thickBot="1" x14ac:dyDescent="0.35">
      <c r="A47" s="18" t="s">
        <v>58</v>
      </c>
      <c r="B47" s="56"/>
      <c r="C47" s="56"/>
      <c r="D47" s="56"/>
      <c r="E47" s="55" t="s">
        <v>7</v>
      </c>
      <c r="F47" s="56"/>
      <c r="G47" s="56"/>
      <c r="H47" s="56"/>
      <c r="I47" s="55" t="s">
        <v>7</v>
      </c>
      <c r="J47" s="56"/>
      <c r="K47" s="56"/>
      <c r="L47" s="56"/>
      <c r="M47" s="55" t="s">
        <v>7</v>
      </c>
      <c r="N47" s="56"/>
      <c r="O47" s="56"/>
      <c r="P47" s="56"/>
      <c r="Q47" s="55" t="s">
        <v>7</v>
      </c>
      <c r="R47" s="55" t="s">
        <v>7</v>
      </c>
    </row>
    <row r="48" spans="1:18" ht="15.75" customHeight="1" thickBot="1" x14ac:dyDescent="0.35">
      <c r="A48" s="57" t="s">
        <v>59</v>
      </c>
      <c r="B48" s="58">
        <f>SUM(B44:B47)</f>
        <v>0</v>
      </c>
      <c r="C48" s="58">
        <f>SUM(C44:C47)</f>
        <v>0</v>
      </c>
      <c r="D48" s="58">
        <f>SUM(D44:D47)</f>
        <v>0</v>
      </c>
      <c r="E48" s="59">
        <f>SUM(B48:D48)</f>
        <v>0</v>
      </c>
      <c r="F48" s="58">
        <f>SUM(F44:F47)</f>
        <v>0</v>
      </c>
      <c r="G48" s="58">
        <f>SUM(G44:G47)</f>
        <v>0</v>
      </c>
      <c r="H48" s="58">
        <f>SUM(H44:H47)</f>
        <v>0</v>
      </c>
      <c r="I48" s="59">
        <f>SUM(F48:H48)</f>
        <v>0</v>
      </c>
      <c r="J48" s="58">
        <f>SUM(J44:J47)</f>
        <v>0</v>
      </c>
      <c r="K48" s="58">
        <f>SUM(K44:K47)</f>
        <v>0</v>
      </c>
      <c r="L48" s="58">
        <f>SUM(L44:L47)</f>
        <v>0</v>
      </c>
      <c r="M48" s="59">
        <f>SUM(J48:L48)</f>
        <v>0</v>
      </c>
      <c r="N48" s="58">
        <f>SUM(N44:N47)</f>
        <v>0</v>
      </c>
      <c r="O48" s="58">
        <f>SUM(O44:O47)</f>
        <v>0</v>
      </c>
      <c r="P48" s="58">
        <f>SUM(P44:P47)</f>
        <v>0</v>
      </c>
      <c r="Q48" s="59">
        <f>SUM(N48:P48)</f>
        <v>0</v>
      </c>
      <c r="R48" s="59">
        <f>+E48+I48+M48+Q48</f>
        <v>0</v>
      </c>
    </row>
    <row r="49" spans="1:18" ht="15.75" customHeight="1" x14ac:dyDescent="0.3">
      <c r="A49" s="18" t="s">
        <v>60</v>
      </c>
      <c r="B49" s="56"/>
      <c r="C49" s="56"/>
      <c r="D49" s="56"/>
      <c r="E49" s="55" t="s">
        <v>7</v>
      </c>
      <c r="F49" s="56"/>
      <c r="G49" s="56"/>
      <c r="H49" s="56"/>
      <c r="I49" s="55" t="s">
        <v>7</v>
      </c>
      <c r="J49" s="56"/>
      <c r="K49" s="56"/>
      <c r="L49" s="56"/>
      <c r="M49" s="55" t="s">
        <v>7</v>
      </c>
      <c r="N49" s="56"/>
      <c r="O49" s="56"/>
      <c r="P49" s="56"/>
      <c r="Q49" s="55" t="s">
        <v>7</v>
      </c>
      <c r="R49" s="55" t="s">
        <v>7</v>
      </c>
    </row>
    <row r="50" spans="1:18" ht="15.75" customHeight="1" x14ac:dyDescent="0.3">
      <c r="A50" s="18" t="s">
        <v>61</v>
      </c>
      <c r="B50" s="56"/>
      <c r="C50" s="56"/>
      <c r="D50" s="56"/>
      <c r="E50" s="55" t="s">
        <v>7</v>
      </c>
      <c r="F50" s="56"/>
      <c r="G50" s="56"/>
      <c r="H50" s="56"/>
      <c r="I50" s="55" t="s">
        <v>7</v>
      </c>
      <c r="J50" s="56"/>
      <c r="K50" s="56"/>
      <c r="L50" s="56"/>
      <c r="M50" s="55" t="s">
        <v>7</v>
      </c>
      <c r="N50" s="56"/>
      <c r="O50" s="56"/>
      <c r="P50" s="56"/>
      <c r="Q50" s="55" t="s">
        <v>7</v>
      </c>
      <c r="R50" s="55" t="s">
        <v>7</v>
      </c>
    </row>
    <row r="51" spans="1:18" ht="15.75" customHeight="1" thickBot="1" x14ac:dyDescent="0.35">
      <c r="A51" s="18" t="s">
        <v>62</v>
      </c>
      <c r="B51" s="56"/>
      <c r="C51" s="56"/>
      <c r="D51" s="56"/>
      <c r="E51" s="55"/>
      <c r="F51" s="56"/>
      <c r="G51" s="56"/>
      <c r="H51" s="56"/>
      <c r="I51" s="55"/>
      <c r="J51" s="56"/>
      <c r="K51" s="56"/>
      <c r="L51" s="56"/>
      <c r="M51" s="55"/>
      <c r="N51" s="56"/>
      <c r="O51" s="56"/>
      <c r="P51" s="56"/>
      <c r="Q51" s="55"/>
      <c r="R51" s="55"/>
    </row>
    <row r="52" spans="1:18" ht="15.75" customHeight="1" thickBot="1" x14ac:dyDescent="0.35">
      <c r="A52" s="57" t="s">
        <v>63</v>
      </c>
      <c r="B52" s="58">
        <f>SUM(B49:B51)</f>
        <v>0</v>
      </c>
      <c r="C52" s="58">
        <f>SUM(C49:C51)</f>
        <v>0</v>
      </c>
      <c r="D52" s="58">
        <f>SUM(D49:D51)</f>
        <v>0</v>
      </c>
      <c r="E52" s="59">
        <f>SUM(B52:D52)</f>
        <v>0</v>
      </c>
      <c r="F52" s="58">
        <f>SUM(F49:F51)</f>
        <v>0</v>
      </c>
      <c r="G52" s="58">
        <f>SUM(G49:G51)</f>
        <v>0</v>
      </c>
      <c r="H52" s="58">
        <f>SUM(H49:H51)</f>
        <v>0</v>
      </c>
      <c r="I52" s="59">
        <f>SUM(F52:H52)</f>
        <v>0</v>
      </c>
      <c r="J52" s="58">
        <f>SUM(J49:J51)</f>
        <v>0</v>
      </c>
      <c r="K52" s="58">
        <f>SUM(K49:K51)</f>
        <v>0</v>
      </c>
      <c r="L52" s="58">
        <f>SUM(L49:L51)</f>
        <v>0</v>
      </c>
      <c r="M52" s="59">
        <f>SUM(J52:L52)</f>
        <v>0</v>
      </c>
      <c r="N52" s="58">
        <f>SUM(N49:N51)</f>
        <v>0</v>
      </c>
      <c r="O52" s="58">
        <f>SUM(O49:O51)</f>
        <v>0</v>
      </c>
      <c r="P52" s="58">
        <f>SUM(P49:P51)</f>
        <v>0</v>
      </c>
      <c r="Q52" s="59">
        <f>SUM(N52:P52)</f>
        <v>0</v>
      </c>
      <c r="R52" s="59">
        <f>+E52+I52+M52+Q52</f>
        <v>0</v>
      </c>
    </row>
    <row r="53" spans="1:18" ht="15.75" customHeight="1" x14ac:dyDescent="0.3">
      <c r="A53" s="18" t="s">
        <v>64</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18" t="s">
        <v>590</v>
      </c>
      <c r="B54" s="56"/>
      <c r="C54" s="56"/>
      <c r="D54" s="56"/>
      <c r="E54" s="55" t="s">
        <v>7</v>
      </c>
      <c r="F54" s="56"/>
      <c r="G54" s="56"/>
      <c r="H54" s="56"/>
      <c r="I54" s="55" t="s">
        <v>7</v>
      </c>
      <c r="J54" s="56"/>
      <c r="K54" s="56"/>
      <c r="L54" s="56"/>
      <c r="M54" s="55" t="s">
        <v>7</v>
      </c>
      <c r="N54" s="56"/>
      <c r="O54" s="56"/>
      <c r="P54" s="56"/>
      <c r="Q54" s="55" t="s">
        <v>7</v>
      </c>
      <c r="R54" s="55" t="s">
        <v>7</v>
      </c>
    </row>
    <row r="55" spans="1:18" ht="15.75" customHeight="1" x14ac:dyDescent="0.3">
      <c r="A55" s="61" t="s">
        <v>66</v>
      </c>
      <c r="B55" s="1">
        <v>0</v>
      </c>
      <c r="C55" s="1">
        <v>0</v>
      </c>
      <c r="D55" s="1">
        <v>0</v>
      </c>
      <c r="E55" s="55">
        <f>SUM(B55:D55)</f>
        <v>0</v>
      </c>
      <c r="F55" s="1">
        <v>0</v>
      </c>
      <c r="G55" s="1">
        <v>0</v>
      </c>
      <c r="H55" s="1">
        <v>0</v>
      </c>
      <c r="I55" s="55">
        <f>SUM(F55:H55)</f>
        <v>0</v>
      </c>
      <c r="J55" s="1">
        <v>0</v>
      </c>
      <c r="K55" s="1">
        <v>0</v>
      </c>
      <c r="L55" s="1">
        <v>0</v>
      </c>
      <c r="M55" s="55">
        <f>SUM(J55:L55)</f>
        <v>0</v>
      </c>
      <c r="N55" s="1">
        <v>0</v>
      </c>
      <c r="O55" s="1">
        <v>0</v>
      </c>
      <c r="P55" s="1">
        <v>0</v>
      </c>
      <c r="Q55" s="55">
        <f>SUM(N55:P55)</f>
        <v>0</v>
      </c>
      <c r="R55" s="55">
        <f>+E55+I55+M55+Q55</f>
        <v>0</v>
      </c>
    </row>
    <row r="56" spans="1:18" ht="15.75" customHeight="1" x14ac:dyDescent="0.3">
      <c r="A56" s="18" t="s">
        <v>67</v>
      </c>
      <c r="B56" s="56"/>
      <c r="C56" s="56"/>
      <c r="D56" s="56"/>
      <c r="E56" s="55" t="s">
        <v>7</v>
      </c>
      <c r="F56" s="56"/>
      <c r="G56" s="56"/>
      <c r="H56" s="56"/>
      <c r="I56" s="55" t="s">
        <v>7</v>
      </c>
      <c r="J56" s="56"/>
      <c r="K56" s="56"/>
      <c r="L56" s="56"/>
      <c r="M56" s="55" t="s">
        <v>7</v>
      </c>
      <c r="N56" s="56"/>
      <c r="O56" s="56"/>
      <c r="P56" s="56"/>
      <c r="Q56" s="55" t="s">
        <v>7</v>
      </c>
      <c r="R56" s="55" t="s">
        <v>7</v>
      </c>
    </row>
    <row r="57" spans="1:18" ht="15.75" customHeight="1" x14ac:dyDescent="0.3">
      <c r="A57" s="61" t="s">
        <v>68</v>
      </c>
      <c r="B57" s="1">
        <v>0</v>
      </c>
      <c r="C57" s="1">
        <v>0</v>
      </c>
      <c r="D57" s="1">
        <v>0</v>
      </c>
      <c r="E57" s="55">
        <f>SUM(B57:D57)</f>
        <v>0</v>
      </c>
      <c r="F57" s="1">
        <v>0</v>
      </c>
      <c r="G57" s="1">
        <v>0</v>
      </c>
      <c r="H57" s="1">
        <v>0</v>
      </c>
      <c r="I57" s="55">
        <f>SUM(F57:H57)</f>
        <v>0</v>
      </c>
      <c r="J57" s="1">
        <v>0</v>
      </c>
      <c r="K57" s="1">
        <v>0</v>
      </c>
      <c r="L57" s="1">
        <v>0</v>
      </c>
      <c r="M57" s="55">
        <f>SUM(J57:L57)</f>
        <v>0</v>
      </c>
      <c r="N57" s="1">
        <v>0</v>
      </c>
      <c r="O57" s="1">
        <v>0</v>
      </c>
      <c r="P57" s="1">
        <v>0</v>
      </c>
      <c r="Q57" s="55">
        <f>SUM(N57:P57)</f>
        <v>0</v>
      </c>
      <c r="R57" s="55">
        <f>+E57+I57+M57+Q57</f>
        <v>0</v>
      </c>
    </row>
    <row r="58" spans="1:18" ht="15.75" customHeight="1" x14ac:dyDescent="0.3">
      <c r="A58" s="18" t="s">
        <v>591</v>
      </c>
      <c r="B58" s="56"/>
      <c r="C58" s="56"/>
      <c r="D58" s="56"/>
      <c r="E58" s="55" t="s">
        <v>7</v>
      </c>
      <c r="F58" s="56"/>
      <c r="G58" s="56"/>
      <c r="H58" s="56"/>
      <c r="I58" s="55" t="s">
        <v>7</v>
      </c>
      <c r="J58" s="56"/>
      <c r="K58" s="56"/>
      <c r="L58" s="56"/>
      <c r="M58" s="55" t="s">
        <v>7</v>
      </c>
      <c r="N58" s="56"/>
      <c r="O58" s="56"/>
      <c r="P58" s="56"/>
      <c r="Q58" s="55" t="s">
        <v>7</v>
      </c>
      <c r="R58" s="55" t="s">
        <v>7</v>
      </c>
    </row>
    <row r="59" spans="1:18" ht="15.75" customHeight="1" thickBot="1" x14ac:dyDescent="0.35">
      <c r="A59" s="18" t="s">
        <v>70</v>
      </c>
      <c r="B59" s="56"/>
      <c r="C59" s="56"/>
      <c r="D59" s="56"/>
      <c r="E59" s="55" t="s">
        <v>7</v>
      </c>
      <c r="F59" s="56"/>
      <c r="G59" s="56"/>
      <c r="H59" s="56"/>
      <c r="I59" s="55" t="s">
        <v>7</v>
      </c>
      <c r="J59" s="56"/>
      <c r="K59" s="56"/>
      <c r="L59" s="56"/>
      <c r="M59" s="55" t="s">
        <v>7</v>
      </c>
      <c r="N59" s="56"/>
      <c r="O59" s="56"/>
      <c r="P59" s="56"/>
      <c r="Q59" s="55" t="s">
        <v>7</v>
      </c>
      <c r="R59" s="55" t="s">
        <v>7</v>
      </c>
    </row>
    <row r="60" spans="1:18" ht="15.75" customHeight="1" thickBot="1" x14ac:dyDescent="0.35">
      <c r="A60" s="57" t="s">
        <v>71</v>
      </c>
      <c r="B60" s="58">
        <f>SUM(B58:B59)</f>
        <v>0</v>
      </c>
      <c r="C60" s="58">
        <f>SUM(C58:C59)</f>
        <v>0</v>
      </c>
      <c r="D60" s="58">
        <f>SUM(D58:D59)</f>
        <v>0</v>
      </c>
      <c r="E60" s="60">
        <f>SUM(B60:D60)</f>
        <v>0</v>
      </c>
      <c r="F60" s="58">
        <f>SUM(F58:F59)</f>
        <v>0</v>
      </c>
      <c r="G60" s="58">
        <f>SUM(G58:G59)</f>
        <v>0</v>
      </c>
      <c r="H60" s="58">
        <f>SUM(H58:H59)</f>
        <v>0</v>
      </c>
      <c r="I60" s="60">
        <f>SUM(F60:H60)</f>
        <v>0</v>
      </c>
      <c r="J60" s="58">
        <f>SUM(J58:J59)</f>
        <v>0</v>
      </c>
      <c r="K60" s="58">
        <f>SUM(K58:K59)</f>
        <v>0</v>
      </c>
      <c r="L60" s="58">
        <f>SUM(L58:L59)</f>
        <v>0</v>
      </c>
      <c r="M60" s="60">
        <f>SUM(J60:L60)</f>
        <v>0</v>
      </c>
      <c r="N60" s="58">
        <f>SUM(N58:N59)</f>
        <v>0</v>
      </c>
      <c r="O60" s="58">
        <f>SUM(O58:O59)</f>
        <v>0</v>
      </c>
      <c r="P60" s="58">
        <f>SUM(P58:P59)</f>
        <v>0</v>
      </c>
      <c r="Q60" s="60">
        <f>SUM(N60:P60)</f>
        <v>0</v>
      </c>
      <c r="R60" s="59">
        <f>+E60+I60+M60+Q60</f>
        <v>0</v>
      </c>
    </row>
    <row r="61" spans="1:18" ht="15.75" customHeight="1" thickBot="1" x14ac:dyDescent="0.35">
      <c r="A61" s="57" t="s">
        <v>72</v>
      </c>
      <c r="B61" s="58">
        <f>SUM(B53:B59)</f>
        <v>0</v>
      </c>
      <c r="C61" s="58">
        <f>SUM(C53:C59)</f>
        <v>0</v>
      </c>
      <c r="D61" s="58">
        <f>SUM(D53:D59)</f>
        <v>0</v>
      </c>
      <c r="E61" s="60">
        <f>SUM(B61:D61)</f>
        <v>0</v>
      </c>
      <c r="F61" s="58">
        <f>SUM(F53:F59)</f>
        <v>0</v>
      </c>
      <c r="G61" s="58">
        <f>SUM(G53:G59)</f>
        <v>0</v>
      </c>
      <c r="H61" s="58">
        <f>SUM(H53:H59)</f>
        <v>0</v>
      </c>
      <c r="I61" s="60">
        <f>SUM(F61:H61)</f>
        <v>0</v>
      </c>
      <c r="J61" s="58">
        <f>SUM(J53:J59)</f>
        <v>0</v>
      </c>
      <c r="K61" s="58">
        <f>SUM(K53:K59)</f>
        <v>0</v>
      </c>
      <c r="L61" s="58">
        <f>SUM(L53:L59)</f>
        <v>0</v>
      </c>
      <c r="M61" s="60">
        <f>SUM(J61:L61)</f>
        <v>0</v>
      </c>
      <c r="N61" s="58">
        <f>SUM(N53:N59)</f>
        <v>0</v>
      </c>
      <c r="O61" s="58">
        <f>SUM(O53:O59)</f>
        <v>0</v>
      </c>
      <c r="P61" s="58">
        <f>SUM(P53:P59)</f>
        <v>0</v>
      </c>
      <c r="Q61" s="60">
        <f>SUM(N61:P61)</f>
        <v>0</v>
      </c>
      <c r="R61" s="59">
        <f>+E61+I61+M61+Q61</f>
        <v>0</v>
      </c>
    </row>
    <row r="62" spans="1:18" ht="15.75" customHeight="1" thickBot="1" x14ac:dyDescent="0.35">
      <c r="A62" s="57" t="s">
        <v>73</v>
      </c>
      <c r="B62" s="58">
        <f>+B43+B48+B52+B61</f>
        <v>0</v>
      </c>
      <c r="C62" s="58">
        <f>+C43+C48+C52+C61</f>
        <v>0</v>
      </c>
      <c r="D62" s="58">
        <f>+D43+D48+D52+D61</f>
        <v>0</v>
      </c>
      <c r="E62" s="59">
        <f>SUM(B62:D62)</f>
        <v>0</v>
      </c>
      <c r="F62" s="58">
        <f>+F43+F48+F52+F61</f>
        <v>0</v>
      </c>
      <c r="G62" s="58">
        <f>+G43+G48+G52+G61</f>
        <v>0</v>
      </c>
      <c r="H62" s="58">
        <f>+H43+H48+H52+H61</f>
        <v>0</v>
      </c>
      <c r="I62" s="59">
        <f>SUM(F62:H62)</f>
        <v>0</v>
      </c>
      <c r="J62" s="58">
        <f>+J43+J48+J52+J61</f>
        <v>0</v>
      </c>
      <c r="K62" s="58">
        <f>+K43+K48+K52+K61</f>
        <v>0</v>
      </c>
      <c r="L62" s="58">
        <f>+L43+L48+L52+L61</f>
        <v>0</v>
      </c>
      <c r="M62" s="59">
        <f>SUM(J62:L62)</f>
        <v>0</v>
      </c>
      <c r="N62" s="58">
        <f>+N43+N48+N52+N61</f>
        <v>0</v>
      </c>
      <c r="O62" s="58">
        <f>+O43+O48+O52+O61</f>
        <v>0</v>
      </c>
      <c r="P62" s="58">
        <f>+P43+P48+P52+P61</f>
        <v>0</v>
      </c>
      <c r="Q62" s="59">
        <f>SUM(N62:P62)</f>
        <v>0</v>
      </c>
      <c r="R62" s="59">
        <f>+E62+I62+M62+Q62</f>
        <v>0</v>
      </c>
    </row>
    <row r="63" spans="1:18" ht="15.75" customHeight="1" thickBot="1" x14ac:dyDescent="0.35">
      <c r="A63" s="62" t="s">
        <v>40</v>
      </c>
      <c r="B63" s="63">
        <v>96</v>
      </c>
      <c r="C63" s="63">
        <v>145</v>
      </c>
      <c r="D63" s="63">
        <v>261</v>
      </c>
      <c r="E63" s="42">
        <f>SUM(B63:D63)</f>
        <v>502</v>
      </c>
      <c r="F63" s="63">
        <v>350</v>
      </c>
      <c r="G63" s="63">
        <v>402</v>
      </c>
      <c r="H63" s="63">
        <v>396</v>
      </c>
      <c r="I63" s="42">
        <f>SUM(F63:H63)</f>
        <v>1148</v>
      </c>
      <c r="J63" s="63">
        <v>394</v>
      </c>
      <c r="K63" s="63">
        <v>318</v>
      </c>
      <c r="L63" s="63">
        <v>301</v>
      </c>
      <c r="M63" s="42">
        <f>SUM(J63:L63)</f>
        <v>1013</v>
      </c>
      <c r="N63" s="63">
        <v>272</v>
      </c>
      <c r="O63" s="63">
        <v>226</v>
      </c>
      <c r="P63" s="63">
        <v>179</v>
      </c>
      <c r="Q63" s="42">
        <f>SUM(N63:P63)</f>
        <v>677</v>
      </c>
      <c r="R63" s="42">
        <f>+E63+I63+M63+Q63</f>
        <v>3340</v>
      </c>
    </row>
    <row r="64" spans="1:18" ht="15.75" customHeight="1" thickBot="1" x14ac:dyDescent="0.35">
      <c r="A64" s="41"/>
      <c r="B64" s="36"/>
      <c r="C64" s="36"/>
      <c r="D64" s="36"/>
      <c r="E64" s="22"/>
      <c r="F64" s="36"/>
      <c r="G64" s="36"/>
      <c r="H64" s="36"/>
      <c r="I64" s="22"/>
      <c r="J64" s="36"/>
      <c r="K64" s="36"/>
      <c r="L64" s="36"/>
      <c r="M64" s="22"/>
      <c r="N64" s="36"/>
      <c r="O64" s="36"/>
      <c r="P64" s="36"/>
      <c r="Q64" s="22"/>
      <c r="R64" s="41"/>
    </row>
    <row r="65" spans="1:18" ht="15.75" customHeight="1" x14ac:dyDescent="0.3">
      <c r="A65" s="15" t="s">
        <v>41</v>
      </c>
      <c r="B65" s="1">
        <f>+B62+B63</f>
        <v>96</v>
      </c>
      <c r="C65" s="1">
        <f>+C62+C63</f>
        <v>145</v>
      </c>
      <c r="D65" s="1">
        <f>+D62+D63</f>
        <v>261</v>
      </c>
      <c r="E65" s="40">
        <f>SUM(B65:D65)</f>
        <v>502</v>
      </c>
      <c r="F65" s="1">
        <f>+F62+F63</f>
        <v>350</v>
      </c>
      <c r="G65" s="1">
        <f>+G62+G63</f>
        <v>402</v>
      </c>
      <c r="H65" s="1">
        <f>+H62+H63</f>
        <v>396</v>
      </c>
      <c r="I65" s="40">
        <f>SUM(F65:H65)</f>
        <v>1148</v>
      </c>
      <c r="J65" s="1">
        <f>+J62+J63</f>
        <v>394</v>
      </c>
      <c r="K65" s="1">
        <f>+K62+K63</f>
        <v>318</v>
      </c>
      <c r="L65" s="1">
        <f>+L62+L63</f>
        <v>301</v>
      </c>
      <c r="M65" s="40">
        <f>SUM(J65:L65)</f>
        <v>1013</v>
      </c>
      <c r="N65" s="1">
        <f>+N62+N63</f>
        <v>272</v>
      </c>
      <c r="O65" s="1">
        <f>+O62+O63</f>
        <v>226</v>
      </c>
      <c r="P65" s="1">
        <f>+P62+P63</f>
        <v>179</v>
      </c>
      <c r="Q65" s="44">
        <f>SUM(N65:P65)</f>
        <v>677</v>
      </c>
      <c r="R65" s="16">
        <f>+E65+I65+M65+Q65</f>
        <v>3340</v>
      </c>
    </row>
    <row r="66" spans="1:18" ht="15.75" customHeight="1" x14ac:dyDescent="0.3">
      <c r="A66" s="15" t="s">
        <v>42</v>
      </c>
      <c r="B66" s="1">
        <f>(B65/31)/1.983</f>
        <v>1.5616612171197111</v>
      </c>
      <c r="C66" s="1">
        <f>(C65/28)/1.983</f>
        <v>2.6114833225271954</v>
      </c>
      <c r="D66" s="1">
        <f>(D65/31)/1.983</f>
        <v>4.2457664340442145</v>
      </c>
      <c r="E66" s="16"/>
      <c r="F66" s="1">
        <f>(F65/30)/1.983</f>
        <v>5.8833417381072444</v>
      </c>
      <c r="G66" s="1">
        <f>(G65/31)/1.983</f>
        <v>6.5394563466887892</v>
      </c>
      <c r="H66" s="1">
        <f>(H65/30)/1.983</f>
        <v>6.6565809379727678</v>
      </c>
      <c r="I66" s="16"/>
      <c r="J66" s="1">
        <f>(J65/31)/1.983</f>
        <v>6.4093179119288139</v>
      </c>
      <c r="K66" s="1">
        <f>(K65/31)/1.983</f>
        <v>5.1730027817090427</v>
      </c>
      <c r="L66" s="1">
        <f>(L65/30)/1.983</f>
        <v>5.0596738947722306</v>
      </c>
      <c r="M66" s="16"/>
      <c r="N66" s="1">
        <f>(N65/31)/1.983</f>
        <v>4.4247067818391805</v>
      </c>
      <c r="O66" s="1">
        <f>(O65/30)/1.983</f>
        <v>3.7989578080349635</v>
      </c>
      <c r="P66" s="1">
        <f>(P65/31)/1.983</f>
        <v>2.9118474777544612</v>
      </c>
      <c r="Q66" s="17"/>
      <c r="R66" s="64"/>
    </row>
    <row r="67" spans="1:18" ht="15.75" customHeight="1" x14ac:dyDescent="0.3">
      <c r="A67" s="15" t="s">
        <v>74</v>
      </c>
      <c r="B67" s="1">
        <f>B65+B128</f>
        <v>126570</v>
      </c>
      <c r="C67" s="1">
        <f>C65+C128</f>
        <v>91132</v>
      </c>
      <c r="D67" s="1">
        <f>D65+D128</f>
        <v>129768</v>
      </c>
      <c r="E67" s="16">
        <f>SUM(B67:D67)</f>
        <v>347470</v>
      </c>
      <c r="F67" s="1">
        <f>F65+F128</f>
        <v>153447</v>
      </c>
      <c r="G67" s="1">
        <f>G65+G128</f>
        <v>170260</v>
      </c>
      <c r="H67" s="1">
        <f>H65+H128</f>
        <v>171866</v>
      </c>
      <c r="I67" s="16">
        <f>SUM(F67:H67)</f>
        <v>495573</v>
      </c>
      <c r="J67" s="1">
        <f>J65+J128</f>
        <v>53812</v>
      </c>
      <c r="K67" s="1">
        <f>K65+K128</f>
        <v>87485</v>
      </c>
      <c r="L67" s="1">
        <f>L65+L128</f>
        <v>168056</v>
      </c>
      <c r="M67" s="16">
        <f>SUM(J67:L67)</f>
        <v>309353</v>
      </c>
      <c r="N67" s="1">
        <f>N65+N128</f>
        <v>164946</v>
      </c>
      <c r="O67" s="1">
        <f>O65+O128</f>
        <v>151403</v>
      </c>
      <c r="P67" s="1">
        <f>P65+P128</f>
        <v>189328</v>
      </c>
      <c r="Q67" s="17">
        <f>SUM(N67:P67)</f>
        <v>505677</v>
      </c>
      <c r="R67" s="16">
        <f>+E67+I67+M67+Q67</f>
        <v>1658073</v>
      </c>
    </row>
    <row r="68" spans="1:18" ht="15.75" customHeight="1" thickBot="1" x14ac:dyDescent="0.35">
      <c r="A68" s="20" t="s">
        <v>75</v>
      </c>
      <c r="B68" s="21">
        <f>(B67/31)/1.983</f>
        <v>2058.9527109462692</v>
      </c>
      <c r="C68" s="21">
        <f>(C67/28)/1.983</f>
        <v>1641.3082630934371</v>
      </c>
      <c r="D68" s="21">
        <f>(D67/31)/1.983</f>
        <v>2110.9755502415692</v>
      </c>
      <c r="E68" s="22"/>
      <c r="F68" s="21">
        <f>(F67/30)/1.983</f>
        <v>2579.374684820978</v>
      </c>
      <c r="G68" s="21">
        <f>(G67/31)/1.983</f>
        <v>2769.6712377791873</v>
      </c>
      <c r="H68" s="21">
        <f>(H67/30)/1.983</f>
        <v>2888.9897461758278</v>
      </c>
      <c r="I68" s="22"/>
      <c r="J68" s="21">
        <f>(J67/31)/1.983</f>
        <v>875.37618141297799</v>
      </c>
      <c r="K68" s="21">
        <f>(K67/31)/1.983</f>
        <v>1423.1451206220615</v>
      </c>
      <c r="L68" s="21">
        <f>(L67/30)/1.983</f>
        <v>2824.9453689695747</v>
      </c>
      <c r="M68" s="22"/>
      <c r="N68" s="21">
        <f>(N67/31)/1.983</f>
        <v>2683.2267824898736</v>
      </c>
      <c r="O68" s="21">
        <f>(O67/30)/1.983</f>
        <v>2545.0159690704318</v>
      </c>
      <c r="P68" s="21">
        <f>(P67/31)/1.983</f>
        <v>3079.85619702959</v>
      </c>
      <c r="Q68" s="23"/>
      <c r="R68" s="65" t="s">
        <v>7</v>
      </c>
    </row>
    <row r="69" spans="1:18" ht="15.75" customHeight="1" x14ac:dyDescent="0.3">
      <c r="A69" s="2"/>
      <c r="B69" s="1"/>
      <c r="C69" s="1"/>
      <c r="D69" s="1"/>
      <c r="E69" s="1"/>
      <c r="F69" s="1"/>
      <c r="G69" s="1"/>
      <c r="H69" s="1"/>
      <c r="I69" s="1"/>
      <c r="J69" s="1"/>
      <c r="K69" s="1"/>
      <c r="L69" s="1"/>
      <c r="M69" s="1"/>
      <c r="N69" s="1"/>
      <c r="O69" s="1"/>
      <c r="P69" s="1"/>
      <c r="Q69" s="1"/>
      <c r="R69" s="2"/>
    </row>
    <row r="70" spans="1:18" ht="15.75" customHeight="1" thickBot="1" x14ac:dyDescent="0.35">
      <c r="A70" s="2"/>
      <c r="B70" s="1"/>
      <c r="C70" s="1"/>
      <c r="D70" s="1"/>
      <c r="E70" s="1"/>
      <c r="F70" s="1"/>
      <c r="G70" s="1"/>
      <c r="H70" s="1"/>
      <c r="I70" s="1"/>
      <c r="J70" s="1"/>
      <c r="K70" s="1"/>
      <c r="L70" s="1"/>
      <c r="M70" s="1"/>
      <c r="N70" s="1"/>
      <c r="O70" s="1"/>
      <c r="P70" s="1"/>
      <c r="Q70" s="1"/>
      <c r="R70" s="2"/>
    </row>
    <row r="71" spans="1:18" ht="15.75" customHeight="1" thickBot="1" x14ac:dyDescent="0.35">
      <c r="A71" s="29" t="s">
        <v>76</v>
      </c>
      <c r="B71" s="30" t="s">
        <v>8</v>
      </c>
      <c r="C71" s="31" t="s">
        <v>9</v>
      </c>
      <c r="D71" s="31" t="s">
        <v>10</v>
      </c>
      <c r="E71" s="32" t="s">
        <v>11</v>
      </c>
      <c r="F71" s="31" t="s">
        <v>12</v>
      </c>
      <c r="G71" s="31" t="s">
        <v>13</v>
      </c>
      <c r="H71" s="31" t="s">
        <v>14</v>
      </c>
      <c r="I71" s="33" t="s">
        <v>15</v>
      </c>
      <c r="J71" s="31" t="s">
        <v>16</v>
      </c>
      <c r="K71" s="31" t="s">
        <v>17</v>
      </c>
      <c r="L71" s="31" t="s">
        <v>18</v>
      </c>
      <c r="M71" s="33" t="s">
        <v>19</v>
      </c>
      <c r="N71" s="31" t="s">
        <v>20</v>
      </c>
      <c r="O71" s="31" t="s">
        <v>21</v>
      </c>
      <c r="P71" s="31" t="s">
        <v>22</v>
      </c>
      <c r="Q71" s="33" t="s">
        <v>23</v>
      </c>
      <c r="R71" s="34" t="s">
        <v>24</v>
      </c>
    </row>
    <row r="72" spans="1:18" ht="15.75" customHeight="1" thickBot="1" x14ac:dyDescent="0.35">
      <c r="A72" s="66"/>
      <c r="B72" s="67"/>
      <c r="C72" s="68"/>
      <c r="D72" s="68"/>
      <c r="E72" s="69"/>
      <c r="F72" s="68"/>
      <c r="G72" s="68"/>
      <c r="H72" s="68"/>
      <c r="I72" s="69"/>
      <c r="J72" s="68"/>
      <c r="K72" s="68"/>
      <c r="L72" s="68"/>
      <c r="M72" s="69"/>
      <c r="N72" s="68"/>
      <c r="O72" s="68"/>
      <c r="P72" s="70"/>
      <c r="Q72" s="69"/>
      <c r="R72" s="59"/>
    </row>
    <row r="73" spans="1:18" ht="15.75" customHeight="1" x14ac:dyDescent="0.3">
      <c r="A73" s="54" t="s">
        <v>48</v>
      </c>
      <c r="B73" s="28"/>
      <c r="C73" s="28"/>
      <c r="D73" s="28"/>
      <c r="E73" s="55" t="s">
        <v>7</v>
      </c>
      <c r="F73" s="28"/>
      <c r="G73" s="28"/>
      <c r="H73" s="28"/>
      <c r="I73" s="55" t="s">
        <v>7</v>
      </c>
      <c r="J73" s="28"/>
      <c r="K73" s="28"/>
      <c r="L73" s="28"/>
      <c r="M73" s="55" t="s">
        <v>7</v>
      </c>
      <c r="N73" s="28"/>
      <c r="O73" s="28"/>
      <c r="P73" s="28"/>
      <c r="Q73" s="55" t="s">
        <v>7</v>
      </c>
      <c r="R73" s="55" t="s">
        <v>7</v>
      </c>
    </row>
    <row r="74" spans="1:18" ht="15.75" customHeight="1" x14ac:dyDescent="0.3">
      <c r="A74" s="18" t="s">
        <v>49</v>
      </c>
      <c r="B74" s="28"/>
      <c r="C74" s="56"/>
      <c r="D74" s="56"/>
      <c r="E74" s="55" t="s">
        <v>7</v>
      </c>
      <c r="F74" s="56"/>
      <c r="G74" s="56"/>
      <c r="H74" s="56"/>
      <c r="I74" s="55" t="s">
        <v>7</v>
      </c>
      <c r="J74" s="56"/>
      <c r="K74" s="56"/>
      <c r="L74" s="56"/>
      <c r="M74" s="55" t="s">
        <v>7</v>
      </c>
      <c r="N74" s="56"/>
      <c r="O74" s="56"/>
      <c r="P74" s="56"/>
      <c r="Q74" s="55" t="s">
        <v>7</v>
      </c>
      <c r="R74" s="55" t="s">
        <v>7</v>
      </c>
    </row>
    <row r="75" spans="1:18" ht="15.75" customHeight="1" x14ac:dyDescent="0.3">
      <c r="A75" s="71" t="s">
        <v>524</v>
      </c>
      <c r="B75" s="1">
        <v>0</v>
      </c>
      <c r="C75" s="1">
        <v>0</v>
      </c>
      <c r="D75" s="1">
        <v>0</v>
      </c>
      <c r="E75" s="55">
        <f>SUM(B75:D75)</f>
        <v>0</v>
      </c>
      <c r="F75" s="1">
        <v>0</v>
      </c>
      <c r="G75" s="1">
        <v>0</v>
      </c>
      <c r="H75" s="1">
        <v>0</v>
      </c>
      <c r="I75" s="55">
        <f>SUM(F75:H75)</f>
        <v>0</v>
      </c>
      <c r="J75" s="1">
        <v>0</v>
      </c>
      <c r="K75" s="1">
        <v>0</v>
      </c>
      <c r="L75" s="1">
        <v>0</v>
      </c>
      <c r="M75" s="55">
        <f>SUM(J75:L75)</f>
        <v>0</v>
      </c>
      <c r="N75" s="1">
        <v>0</v>
      </c>
      <c r="O75" s="1">
        <v>0</v>
      </c>
      <c r="P75" s="1">
        <v>0</v>
      </c>
      <c r="Q75" s="55">
        <f>SUM(N75:P75)</f>
        <v>0</v>
      </c>
      <c r="R75" s="55">
        <f>+E75+I75+M75+Q75</f>
        <v>0</v>
      </c>
    </row>
    <row r="76" spans="1:18" ht="15.75" customHeight="1" x14ac:dyDescent="0.3">
      <c r="A76" s="71" t="s">
        <v>78</v>
      </c>
      <c r="B76" s="1">
        <v>0</v>
      </c>
      <c r="C76" s="1">
        <v>0</v>
      </c>
      <c r="D76" s="1">
        <v>0</v>
      </c>
      <c r="E76" s="55">
        <f>SUM(B76:D76)</f>
        <v>0</v>
      </c>
      <c r="F76" s="1">
        <v>0</v>
      </c>
      <c r="G76" s="1">
        <v>0</v>
      </c>
      <c r="H76" s="1">
        <v>0</v>
      </c>
      <c r="I76" s="55">
        <f>SUM(F76:H76)</f>
        <v>0</v>
      </c>
      <c r="J76" s="1">
        <v>0</v>
      </c>
      <c r="K76" s="1">
        <v>0</v>
      </c>
      <c r="L76" s="1">
        <v>0</v>
      </c>
      <c r="M76" s="55">
        <f>SUM(J76:L76)</f>
        <v>0</v>
      </c>
      <c r="N76" s="1">
        <v>0</v>
      </c>
      <c r="O76" s="1">
        <v>0</v>
      </c>
      <c r="P76" s="1">
        <v>0</v>
      </c>
      <c r="Q76" s="55">
        <f>SUM(N76:P76)</f>
        <v>0</v>
      </c>
      <c r="R76" s="55">
        <f>+E76+I76+M76+Q76</f>
        <v>0</v>
      </c>
    </row>
    <row r="77" spans="1:18" ht="15.75" customHeight="1" x14ac:dyDescent="0.3">
      <c r="A77" s="71" t="s">
        <v>525</v>
      </c>
      <c r="B77" s="1">
        <v>0</v>
      </c>
      <c r="C77" s="1">
        <v>0</v>
      </c>
      <c r="D77" s="1">
        <v>0</v>
      </c>
      <c r="E77" s="55">
        <f>SUM(B77:D77)</f>
        <v>0</v>
      </c>
      <c r="F77" s="1">
        <v>0</v>
      </c>
      <c r="G77" s="1">
        <v>0</v>
      </c>
      <c r="H77" s="1">
        <v>0</v>
      </c>
      <c r="I77" s="55">
        <f>SUM(F77:H77)</f>
        <v>0</v>
      </c>
      <c r="J77" s="1">
        <v>0</v>
      </c>
      <c r="K77" s="1">
        <v>0</v>
      </c>
      <c r="L77" s="1">
        <v>508</v>
      </c>
      <c r="M77" s="55">
        <f>SUM(J77:L77)</f>
        <v>508</v>
      </c>
      <c r="N77" s="1">
        <v>0</v>
      </c>
      <c r="O77" s="1">
        <v>0</v>
      </c>
      <c r="P77" s="1">
        <v>0</v>
      </c>
      <c r="Q77" s="55">
        <f>SUM(N77:P77)</f>
        <v>0</v>
      </c>
      <c r="R77" s="55">
        <f>+E77+I77+M77+Q77</f>
        <v>508</v>
      </c>
    </row>
    <row r="78" spans="1:18" ht="15.75" customHeight="1" x14ac:dyDescent="0.3">
      <c r="A78" s="71" t="s">
        <v>79</v>
      </c>
      <c r="B78" s="1">
        <v>0</v>
      </c>
      <c r="C78" s="1">
        <v>0</v>
      </c>
      <c r="D78" s="1">
        <v>0</v>
      </c>
      <c r="E78" s="55">
        <f>SUM(B78:D78)</f>
        <v>0</v>
      </c>
      <c r="F78" s="1">
        <v>0</v>
      </c>
      <c r="G78" s="1">
        <v>0</v>
      </c>
      <c r="H78" s="1">
        <v>0</v>
      </c>
      <c r="I78" s="55">
        <f>SUM(F78:H78)</f>
        <v>0</v>
      </c>
      <c r="J78" s="1">
        <v>0</v>
      </c>
      <c r="K78" s="1">
        <v>0</v>
      </c>
      <c r="L78" s="1">
        <v>0</v>
      </c>
      <c r="M78" s="55">
        <f>SUM(J78:L78)</f>
        <v>0</v>
      </c>
      <c r="N78" s="1">
        <v>0</v>
      </c>
      <c r="O78" s="1">
        <v>130</v>
      </c>
      <c r="P78" s="1">
        <v>0</v>
      </c>
      <c r="Q78" s="55">
        <f>SUM(N78:P78)</f>
        <v>130</v>
      </c>
      <c r="R78" s="55">
        <f>+E78+I78+M78+Q78</f>
        <v>130</v>
      </c>
    </row>
    <row r="79" spans="1:18" ht="15.75" customHeight="1" x14ac:dyDescent="0.3">
      <c r="A79" s="72" t="s">
        <v>80</v>
      </c>
      <c r="B79" s="1">
        <v>0</v>
      </c>
      <c r="C79" s="1">
        <v>0</v>
      </c>
      <c r="D79" s="1">
        <v>0</v>
      </c>
      <c r="E79" s="55">
        <f>SUM(B79:D79)</f>
        <v>0</v>
      </c>
      <c r="F79" s="1">
        <v>0</v>
      </c>
      <c r="G79" s="1">
        <v>0</v>
      </c>
      <c r="H79" s="1">
        <v>0</v>
      </c>
      <c r="I79" s="55">
        <f>SUM(F79:H79)</f>
        <v>0</v>
      </c>
      <c r="J79" s="1">
        <v>0</v>
      </c>
      <c r="K79" s="1">
        <v>0</v>
      </c>
      <c r="L79" s="1">
        <v>0</v>
      </c>
      <c r="M79" s="55">
        <f>SUM(J79:L79)</f>
        <v>0</v>
      </c>
      <c r="N79" s="1">
        <v>0</v>
      </c>
      <c r="O79" s="1">
        <v>0</v>
      </c>
      <c r="P79" s="1">
        <v>0</v>
      </c>
      <c r="Q79" s="55">
        <f>SUM(N79:P79)</f>
        <v>0</v>
      </c>
      <c r="R79" s="55">
        <f>+E79+I79+M79+Q79</f>
        <v>0</v>
      </c>
    </row>
    <row r="80" spans="1:18" ht="15.75" customHeight="1" x14ac:dyDescent="0.3">
      <c r="A80" s="18" t="s">
        <v>50</v>
      </c>
      <c r="B80" s="28"/>
      <c r="C80" s="28"/>
      <c r="D80" s="28"/>
      <c r="E80" s="55" t="s">
        <v>7</v>
      </c>
      <c r="F80" s="28"/>
      <c r="G80" s="28"/>
      <c r="H80" s="28"/>
      <c r="I80" s="55" t="s">
        <v>7</v>
      </c>
      <c r="J80" s="28"/>
      <c r="K80" s="28"/>
      <c r="L80" s="28"/>
      <c r="M80" s="55" t="s">
        <v>7</v>
      </c>
      <c r="N80" s="28"/>
      <c r="O80" s="28"/>
      <c r="P80" s="28"/>
      <c r="Q80" s="55" t="s">
        <v>7</v>
      </c>
      <c r="R80" s="55" t="s">
        <v>7</v>
      </c>
    </row>
    <row r="81" spans="1:18" ht="15.75" customHeight="1" x14ac:dyDescent="0.3">
      <c r="A81" s="72" t="s">
        <v>81</v>
      </c>
      <c r="B81" s="1">
        <v>0</v>
      </c>
      <c r="C81" s="1">
        <v>0</v>
      </c>
      <c r="D81" s="1">
        <v>0</v>
      </c>
      <c r="E81" s="55">
        <f>SUM(B81:D81)</f>
        <v>0</v>
      </c>
      <c r="F81" s="1">
        <v>0</v>
      </c>
      <c r="G81" s="1">
        <v>0</v>
      </c>
      <c r="H81" s="1">
        <v>0</v>
      </c>
      <c r="I81" s="55">
        <f>SUM(F81:H81)</f>
        <v>0</v>
      </c>
      <c r="J81" s="1">
        <v>0</v>
      </c>
      <c r="K81" s="1">
        <v>0</v>
      </c>
      <c r="L81" s="1">
        <v>0</v>
      </c>
      <c r="M81" s="55">
        <f>SUM(J81:L81)</f>
        <v>0</v>
      </c>
      <c r="N81" s="1">
        <v>0</v>
      </c>
      <c r="O81" s="1">
        <v>0</v>
      </c>
      <c r="P81" s="1">
        <v>500</v>
      </c>
      <c r="Q81" s="55">
        <f>SUM(N81:P81)</f>
        <v>500</v>
      </c>
      <c r="R81" s="55">
        <f>+E81+I81+M81+Q81</f>
        <v>500</v>
      </c>
    </row>
    <row r="82" spans="1:18" ht="15.75" customHeight="1" x14ac:dyDescent="0.3">
      <c r="A82" s="72" t="s">
        <v>83</v>
      </c>
      <c r="B82" s="1">
        <v>0</v>
      </c>
      <c r="C82" s="1">
        <v>0</v>
      </c>
      <c r="D82" s="1">
        <v>0</v>
      </c>
      <c r="E82" s="55">
        <f>SUM(B82:D82)</f>
        <v>0</v>
      </c>
      <c r="F82" s="1">
        <v>0</v>
      </c>
      <c r="G82" s="1">
        <v>0</v>
      </c>
      <c r="H82" s="1">
        <v>0</v>
      </c>
      <c r="I82" s="55">
        <f>SUM(F82:H82)</f>
        <v>0</v>
      </c>
      <c r="J82" s="1">
        <v>143</v>
      </c>
      <c r="K82" s="1">
        <v>248</v>
      </c>
      <c r="L82" s="1">
        <v>53</v>
      </c>
      <c r="M82" s="55">
        <f>SUM(J82:L82)</f>
        <v>444</v>
      </c>
      <c r="N82" s="1">
        <v>67</v>
      </c>
      <c r="O82" s="1">
        <v>0</v>
      </c>
      <c r="P82" s="1">
        <v>0</v>
      </c>
      <c r="Q82" s="55">
        <f>SUM(N82:P82)</f>
        <v>67</v>
      </c>
      <c r="R82" s="55">
        <f>+E82+I82+M82+Q82</f>
        <v>511</v>
      </c>
    </row>
    <row r="83" spans="1:18" ht="15.75" customHeight="1" x14ac:dyDescent="0.3">
      <c r="A83" s="72" t="s">
        <v>527</v>
      </c>
      <c r="B83" s="1">
        <v>0</v>
      </c>
      <c r="C83" s="1">
        <v>0</v>
      </c>
      <c r="D83" s="1">
        <v>0</v>
      </c>
      <c r="E83" s="55">
        <f>SUM(B83:D83)</f>
        <v>0</v>
      </c>
      <c r="F83" s="1">
        <v>0</v>
      </c>
      <c r="G83" s="1">
        <v>0</v>
      </c>
      <c r="H83" s="1">
        <v>0</v>
      </c>
      <c r="I83" s="55">
        <f>SUM(F83:H83)</f>
        <v>0</v>
      </c>
      <c r="J83" s="1">
        <v>4</v>
      </c>
      <c r="K83" s="1">
        <v>85</v>
      </c>
      <c r="L83" s="1">
        <v>48</v>
      </c>
      <c r="M83" s="55">
        <f>SUM(J83:L83)</f>
        <v>137</v>
      </c>
      <c r="N83" s="1">
        <v>0</v>
      </c>
      <c r="O83" s="1">
        <v>0</v>
      </c>
      <c r="P83" s="1">
        <v>45</v>
      </c>
      <c r="Q83" s="55">
        <f>SUM(N83:P83)</f>
        <v>45</v>
      </c>
      <c r="R83" s="55">
        <f>+E83+I83+M83+Q83</f>
        <v>182</v>
      </c>
    </row>
    <row r="84" spans="1:18" ht="15.75" customHeight="1" x14ac:dyDescent="0.3">
      <c r="A84" s="18" t="s">
        <v>51</v>
      </c>
      <c r="B84" s="28"/>
      <c r="C84" s="28"/>
      <c r="D84" s="28"/>
      <c r="E84" s="55" t="s">
        <v>52</v>
      </c>
      <c r="F84" s="28"/>
      <c r="G84" s="28"/>
      <c r="H84" s="28"/>
      <c r="I84" s="55" t="s">
        <v>52</v>
      </c>
      <c r="J84" s="28"/>
      <c r="K84" s="28"/>
      <c r="L84" s="28"/>
      <c r="M84" s="55" t="s">
        <v>52</v>
      </c>
      <c r="N84" s="28"/>
      <c r="O84" s="28"/>
      <c r="P84" s="28"/>
      <c r="Q84" s="55" t="s">
        <v>52</v>
      </c>
      <c r="R84" s="55" t="s">
        <v>52</v>
      </c>
    </row>
    <row r="85" spans="1:18" ht="15.75" customHeight="1" x14ac:dyDescent="0.3">
      <c r="A85" s="72" t="s">
        <v>86</v>
      </c>
      <c r="B85" s="1">
        <v>0</v>
      </c>
      <c r="C85" s="1">
        <v>0</v>
      </c>
      <c r="D85" s="1">
        <v>0</v>
      </c>
      <c r="E85" s="55">
        <f>SUM(B85:D85)</f>
        <v>0</v>
      </c>
      <c r="F85" s="1">
        <v>0</v>
      </c>
      <c r="G85" s="1">
        <v>0</v>
      </c>
      <c r="H85" s="1">
        <v>0</v>
      </c>
      <c r="I85" s="55">
        <f>SUM(F85:H85)</f>
        <v>0</v>
      </c>
      <c r="J85" s="1">
        <v>1307</v>
      </c>
      <c r="K85" s="1">
        <v>0</v>
      </c>
      <c r="L85" s="1">
        <v>0</v>
      </c>
      <c r="M85" s="55">
        <f>SUM(J85:L85)</f>
        <v>1307</v>
      </c>
      <c r="N85" s="1">
        <v>0</v>
      </c>
      <c r="O85" s="1">
        <v>0</v>
      </c>
      <c r="P85" s="1">
        <v>0</v>
      </c>
      <c r="Q85" s="55">
        <f>SUM(N85:P85)</f>
        <v>0</v>
      </c>
      <c r="R85" s="55">
        <f>+E85+I85+M85+Q85</f>
        <v>1307</v>
      </c>
    </row>
    <row r="86" spans="1:18" ht="15.75" customHeight="1" x14ac:dyDescent="0.3">
      <c r="A86" s="61" t="s">
        <v>87</v>
      </c>
      <c r="B86" s="1">
        <v>209</v>
      </c>
      <c r="C86" s="1">
        <v>94</v>
      </c>
      <c r="D86" s="1">
        <v>0</v>
      </c>
      <c r="E86" s="55">
        <f>SUM(B86:D86)</f>
        <v>303</v>
      </c>
      <c r="F86" s="1">
        <v>608</v>
      </c>
      <c r="G86" s="1">
        <v>1887</v>
      </c>
      <c r="H86" s="1">
        <v>858</v>
      </c>
      <c r="I86" s="55">
        <f>SUM(F86:H86)</f>
        <v>3353</v>
      </c>
      <c r="J86" s="1">
        <v>144</v>
      </c>
      <c r="K86" s="1">
        <v>0</v>
      </c>
      <c r="L86" s="1">
        <v>0</v>
      </c>
      <c r="M86" s="55">
        <f>SUM(J86:L86)</f>
        <v>144</v>
      </c>
      <c r="N86" s="1">
        <v>0</v>
      </c>
      <c r="O86" s="1">
        <v>0</v>
      </c>
      <c r="P86" s="1">
        <v>0</v>
      </c>
      <c r="Q86" s="55">
        <f>SUM(N86:P86)</f>
        <v>0</v>
      </c>
      <c r="R86" s="55">
        <f>+E86+I86+M86+Q86</f>
        <v>3800</v>
      </c>
    </row>
    <row r="87" spans="1:18" ht="15.75" customHeight="1" thickBot="1" x14ac:dyDescent="0.35">
      <c r="A87" s="18" t="s">
        <v>53</v>
      </c>
      <c r="B87" s="56"/>
      <c r="C87" s="56"/>
      <c r="D87" s="56"/>
      <c r="E87" s="55" t="s">
        <v>7</v>
      </c>
      <c r="F87" s="56"/>
      <c r="G87" s="56"/>
      <c r="H87" s="56"/>
      <c r="I87" s="55" t="s">
        <v>7</v>
      </c>
      <c r="J87" s="56"/>
      <c r="K87" s="56"/>
      <c r="L87" s="56"/>
      <c r="M87" s="55" t="s">
        <v>7</v>
      </c>
      <c r="N87" s="56"/>
      <c r="O87" s="56"/>
      <c r="P87" s="56"/>
      <c r="Q87" s="55" t="s">
        <v>7</v>
      </c>
      <c r="R87" s="55" t="s">
        <v>7</v>
      </c>
    </row>
    <row r="88" spans="1:18" ht="15.75" customHeight="1" thickBot="1" x14ac:dyDescent="0.35">
      <c r="A88" s="57" t="s">
        <v>54</v>
      </c>
      <c r="B88" s="58">
        <f>SUM(B73:B87)</f>
        <v>209</v>
      </c>
      <c r="C88" s="58">
        <f>SUM(C73:C87)</f>
        <v>94</v>
      </c>
      <c r="D88" s="58">
        <f>SUM(D73:D87)</f>
        <v>0</v>
      </c>
      <c r="E88" s="59">
        <f>SUM(B88:D88)</f>
        <v>303</v>
      </c>
      <c r="F88" s="58">
        <f>SUM(F73:F87)</f>
        <v>608</v>
      </c>
      <c r="G88" s="58">
        <f>SUM(G73:G87)</f>
        <v>1887</v>
      </c>
      <c r="H88" s="58">
        <f>SUM(H73:H87)</f>
        <v>858</v>
      </c>
      <c r="I88" s="59">
        <f>SUM(F88:H88)</f>
        <v>3353</v>
      </c>
      <c r="J88" s="58">
        <f>SUM(J73:J87)</f>
        <v>1598</v>
      </c>
      <c r="K88" s="58">
        <f>SUM(K73:K87)</f>
        <v>333</v>
      </c>
      <c r="L88" s="58">
        <f>SUM(L73:L87)</f>
        <v>609</v>
      </c>
      <c r="M88" s="59">
        <f>SUM(J88:L88)</f>
        <v>2540</v>
      </c>
      <c r="N88" s="58">
        <f>SUM(N73:N87)</f>
        <v>67</v>
      </c>
      <c r="O88" s="58">
        <f>SUM(O73:O87)</f>
        <v>130</v>
      </c>
      <c r="P88" s="58">
        <f>SUM(P73:P87)</f>
        <v>545</v>
      </c>
      <c r="Q88" s="59">
        <f>SUM(N88:P88)</f>
        <v>742</v>
      </c>
      <c r="R88" s="59">
        <f>+E88+I88+M88+Q88</f>
        <v>6938</v>
      </c>
    </row>
    <row r="89" spans="1:18" ht="15.75" customHeight="1" x14ac:dyDescent="0.3">
      <c r="A89" s="18" t="s">
        <v>55</v>
      </c>
      <c r="B89" s="56"/>
      <c r="C89" s="56"/>
      <c r="D89" s="56"/>
      <c r="E89" s="55" t="s">
        <v>7</v>
      </c>
      <c r="F89" s="56"/>
      <c r="G89" s="56"/>
      <c r="H89" s="56"/>
      <c r="I89" s="55" t="s">
        <v>7</v>
      </c>
      <c r="J89" s="56"/>
      <c r="K89" s="56"/>
      <c r="L89" s="56"/>
      <c r="M89" s="55" t="s">
        <v>7</v>
      </c>
      <c r="N89" s="56"/>
      <c r="O89" s="56"/>
      <c r="P89" s="56"/>
      <c r="Q89" s="55" t="s">
        <v>7</v>
      </c>
      <c r="R89" s="60" t="s">
        <v>7</v>
      </c>
    </row>
    <row r="90" spans="1:18" ht="15.75" customHeight="1" x14ac:dyDescent="0.3">
      <c r="A90" s="18" t="s">
        <v>56</v>
      </c>
      <c r="B90" s="56"/>
      <c r="C90" s="56"/>
      <c r="D90" s="56"/>
      <c r="E90" s="55" t="s">
        <v>7</v>
      </c>
      <c r="F90" s="56"/>
      <c r="G90" s="56"/>
      <c r="H90" s="56"/>
      <c r="I90" s="55" t="s">
        <v>7</v>
      </c>
      <c r="J90" s="56"/>
      <c r="K90" s="56"/>
      <c r="L90" s="56"/>
      <c r="M90" s="55" t="s">
        <v>7</v>
      </c>
      <c r="N90" s="56"/>
      <c r="O90" s="56"/>
      <c r="P90" s="56"/>
      <c r="Q90" s="55" t="s">
        <v>7</v>
      </c>
      <c r="R90" s="55" t="s">
        <v>7</v>
      </c>
    </row>
    <row r="91" spans="1:18" ht="15.75" customHeight="1" x14ac:dyDescent="0.3">
      <c r="A91" s="18" t="s">
        <v>57</v>
      </c>
      <c r="B91" s="56"/>
      <c r="C91" s="56"/>
      <c r="D91" s="56"/>
      <c r="E91" s="55" t="s">
        <v>7</v>
      </c>
      <c r="F91" s="56"/>
      <c r="G91" s="56"/>
      <c r="H91" s="56"/>
      <c r="I91" s="55" t="s">
        <v>7</v>
      </c>
      <c r="J91" s="56"/>
      <c r="K91" s="56"/>
      <c r="L91" s="56"/>
      <c r="M91" s="55" t="s">
        <v>7</v>
      </c>
      <c r="N91" s="56"/>
      <c r="O91" s="56"/>
      <c r="P91" s="56"/>
      <c r="Q91" s="55" t="s">
        <v>7</v>
      </c>
      <c r="R91" s="55" t="s">
        <v>7</v>
      </c>
    </row>
    <row r="92" spans="1:18" ht="15.75" customHeight="1" x14ac:dyDescent="0.3">
      <c r="A92" s="72" t="s">
        <v>81</v>
      </c>
      <c r="B92" s="1">
        <v>186</v>
      </c>
      <c r="C92" s="1">
        <v>276</v>
      </c>
      <c r="D92" s="1">
        <v>1981</v>
      </c>
      <c r="E92" s="55">
        <f>SUM(B92:D92)</f>
        <v>2443</v>
      </c>
      <c r="F92" s="1">
        <v>3592</v>
      </c>
      <c r="G92" s="1">
        <v>5116</v>
      </c>
      <c r="H92" s="1">
        <v>5527</v>
      </c>
      <c r="I92" s="55">
        <f>SUM(F92:H92)</f>
        <v>14235</v>
      </c>
      <c r="J92" s="1">
        <v>8649</v>
      </c>
      <c r="K92" s="1">
        <v>7339</v>
      </c>
      <c r="L92" s="1">
        <v>7941</v>
      </c>
      <c r="M92" s="55">
        <f>SUM(J92:L92)</f>
        <v>23929</v>
      </c>
      <c r="N92" s="1">
        <v>4051</v>
      </c>
      <c r="O92" s="1">
        <v>2909</v>
      </c>
      <c r="P92" s="1">
        <v>5252</v>
      </c>
      <c r="Q92" s="55">
        <f>SUM(N92:P92)</f>
        <v>12212</v>
      </c>
      <c r="R92" s="55">
        <f>+E92+I92+M92+Q92</f>
        <v>52819</v>
      </c>
    </row>
    <row r="93" spans="1:18" ht="15.75" customHeight="1" x14ac:dyDescent="0.3">
      <c r="A93" s="72" t="s">
        <v>87</v>
      </c>
      <c r="B93" s="1">
        <v>0</v>
      </c>
      <c r="C93" s="1">
        <v>0</v>
      </c>
      <c r="D93" s="1">
        <v>834</v>
      </c>
      <c r="E93" s="55">
        <f>SUM(B93:D93)</f>
        <v>834</v>
      </c>
      <c r="F93" s="1">
        <v>1166</v>
      </c>
      <c r="G93" s="1">
        <v>0</v>
      </c>
      <c r="H93" s="1">
        <v>1000</v>
      </c>
      <c r="I93" s="55">
        <f>SUM(F93:H93)</f>
        <v>2166</v>
      </c>
      <c r="J93" s="1">
        <v>460</v>
      </c>
      <c r="K93" s="1">
        <v>0</v>
      </c>
      <c r="L93" s="1">
        <v>0</v>
      </c>
      <c r="M93" s="55">
        <f>SUM(J93:L93)</f>
        <v>460</v>
      </c>
      <c r="N93" s="1">
        <v>0</v>
      </c>
      <c r="O93" s="1">
        <v>0</v>
      </c>
      <c r="P93" s="1">
        <v>0</v>
      </c>
      <c r="Q93" s="55">
        <f>SUM(N93:P93)</f>
        <v>0</v>
      </c>
      <c r="R93" s="55">
        <f>+E93+I93+M93+Q93</f>
        <v>3460</v>
      </c>
    </row>
    <row r="94" spans="1:18" ht="15.75" customHeight="1" thickBot="1" x14ac:dyDescent="0.35">
      <c r="A94" s="18" t="s">
        <v>58</v>
      </c>
      <c r="B94" s="56"/>
      <c r="C94" s="56"/>
      <c r="D94" s="56"/>
      <c r="E94" s="55" t="s">
        <v>7</v>
      </c>
      <c r="F94" s="56"/>
      <c r="G94" s="56"/>
      <c r="H94" s="56"/>
      <c r="I94" s="55" t="s">
        <v>7</v>
      </c>
      <c r="J94" s="56"/>
      <c r="K94" s="56"/>
      <c r="L94" s="56"/>
      <c r="M94" s="55" t="s">
        <v>7</v>
      </c>
      <c r="N94" s="56"/>
      <c r="O94" s="56"/>
      <c r="P94" s="56"/>
      <c r="Q94" s="55" t="s">
        <v>7</v>
      </c>
      <c r="R94" s="55" t="s">
        <v>7</v>
      </c>
    </row>
    <row r="95" spans="1:18" ht="15.75" customHeight="1" thickBot="1" x14ac:dyDescent="0.35">
      <c r="A95" s="57" t="s">
        <v>59</v>
      </c>
      <c r="B95" s="58">
        <f>SUM(B89:B94)</f>
        <v>186</v>
      </c>
      <c r="C95" s="58">
        <f>SUM(C89:C94)</f>
        <v>276</v>
      </c>
      <c r="D95" s="58">
        <f>SUM(D89:D94)</f>
        <v>2815</v>
      </c>
      <c r="E95" s="59">
        <f>SUM(B95:D95)</f>
        <v>3277</v>
      </c>
      <c r="F95" s="58">
        <f>SUM(F89:F94)</f>
        <v>4758</v>
      </c>
      <c r="G95" s="58">
        <f>SUM(G89:G94)</f>
        <v>5116</v>
      </c>
      <c r="H95" s="58">
        <f>SUM(H89:H94)</f>
        <v>6527</v>
      </c>
      <c r="I95" s="59">
        <f>SUM(F95:H95)</f>
        <v>16401</v>
      </c>
      <c r="J95" s="58">
        <f>SUM(J89:J94)</f>
        <v>9109</v>
      </c>
      <c r="K95" s="58">
        <f>SUM(K89:K94)</f>
        <v>7339</v>
      </c>
      <c r="L95" s="58">
        <f>SUM(L89:L94)</f>
        <v>7941</v>
      </c>
      <c r="M95" s="59">
        <f>SUM(J95:L95)</f>
        <v>24389</v>
      </c>
      <c r="N95" s="58">
        <f>SUM(N89:N94)</f>
        <v>4051</v>
      </c>
      <c r="O95" s="58">
        <f>SUM(O89:O94)</f>
        <v>2909</v>
      </c>
      <c r="P95" s="58">
        <f>SUM(P89:P94)</f>
        <v>5252</v>
      </c>
      <c r="Q95" s="59">
        <f>SUM(N95:P95)</f>
        <v>12212</v>
      </c>
      <c r="R95" s="59">
        <f>+E95+I95+M95+Q95</f>
        <v>56279</v>
      </c>
    </row>
    <row r="96" spans="1:18" ht="15.75" customHeight="1" x14ac:dyDescent="0.3">
      <c r="A96" s="18" t="s">
        <v>60</v>
      </c>
      <c r="B96" s="56"/>
      <c r="C96" s="56"/>
      <c r="D96" s="56"/>
      <c r="E96" s="55" t="s">
        <v>7</v>
      </c>
      <c r="F96" s="56"/>
      <c r="G96" s="56"/>
      <c r="H96" s="56"/>
      <c r="I96" s="55" t="s">
        <v>7</v>
      </c>
      <c r="J96" s="56"/>
      <c r="K96" s="56"/>
      <c r="L96" s="56"/>
      <c r="M96" s="55" t="s">
        <v>7</v>
      </c>
      <c r="N96" s="56"/>
      <c r="O96" s="56"/>
      <c r="P96" s="56"/>
      <c r="Q96" s="55" t="s">
        <v>7</v>
      </c>
      <c r="R96" s="55" t="s">
        <v>7</v>
      </c>
    </row>
    <row r="97" spans="1:18" ht="15.75" customHeight="1" x14ac:dyDescent="0.3">
      <c r="A97" s="18" t="s">
        <v>61</v>
      </c>
      <c r="B97" s="56"/>
      <c r="C97" s="56"/>
      <c r="D97" s="56"/>
      <c r="E97" s="55" t="s">
        <v>7</v>
      </c>
      <c r="F97" s="56"/>
      <c r="G97" s="56"/>
      <c r="H97" s="56"/>
      <c r="I97" s="55" t="s">
        <v>7</v>
      </c>
      <c r="J97" s="56"/>
      <c r="K97" s="56"/>
      <c r="L97" s="56"/>
      <c r="M97" s="55" t="s">
        <v>7</v>
      </c>
      <c r="N97" s="56"/>
      <c r="O97" s="56"/>
      <c r="P97" s="56"/>
      <c r="Q97" s="55" t="s">
        <v>7</v>
      </c>
      <c r="R97" s="55" t="s">
        <v>7</v>
      </c>
    </row>
    <row r="98" spans="1:18" ht="15.75" customHeight="1" x14ac:dyDescent="0.3">
      <c r="A98" s="18" t="s">
        <v>62</v>
      </c>
      <c r="B98" s="56"/>
      <c r="C98" s="56"/>
      <c r="D98" s="56"/>
      <c r="E98" s="55"/>
      <c r="F98" s="56"/>
      <c r="G98" s="56"/>
      <c r="H98" s="56"/>
      <c r="I98" s="55"/>
      <c r="J98" s="56"/>
      <c r="K98" s="56"/>
      <c r="L98" s="56"/>
      <c r="M98" s="55"/>
      <c r="N98" s="56"/>
      <c r="O98" s="56"/>
      <c r="P98" s="56"/>
      <c r="Q98" s="55"/>
      <c r="R98" s="55"/>
    </row>
    <row r="99" spans="1:18" ht="15.75" customHeight="1" x14ac:dyDescent="0.3">
      <c r="A99" s="72" t="s">
        <v>88</v>
      </c>
      <c r="B99" s="1">
        <v>0</v>
      </c>
      <c r="C99" s="1">
        <v>0</v>
      </c>
      <c r="D99" s="1">
        <v>0</v>
      </c>
      <c r="E99" s="55">
        <f>SUM(B99:D99)</f>
        <v>0</v>
      </c>
      <c r="F99" s="1">
        <v>0</v>
      </c>
      <c r="G99" s="1">
        <v>0</v>
      </c>
      <c r="H99" s="1">
        <v>0</v>
      </c>
      <c r="I99" s="55">
        <f>SUM(F99:H99)</f>
        <v>0</v>
      </c>
      <c r="J99" s="1">
        <v>0</v>
      </c>
      <c r="K99" s="1">
        <v>0</v>
      </c>
      <c r="L99" s="1">
        <v>0</v>
      </c>
      <c r="M99" s="55">
        <f>SUM(J99:L99)</f>
        <v>0</v>
      </c>
      <c r="N99" s="1">
        <v>0</v>
      </c>
      <c r="O99" s="1">
        <v>0</v>
      </c>
      <c r="P99" s="1">
        <v>0</v>
      </c>
      <c r="Q99" s="55">
        <f>SUM(N99:P99)</f>
        <v>0</v>
      </c>
      <c r="R99" s="55">
        <f>+E99+I99+M99+Q99</f>
        <v>0</v>
      </c>
    </row>
    <row r="100" spans="1:18" ht="15.75" customHeight="1" x14ac:dyDescent="0.3">
      <c r="A100" s="72" t="s">
        <v>89</v>
      </c>
      <c r="B100" s="1">
        <v>0</v>
      </c>
      <c r="C100" s="1">
        <v>0</v>
      </c>
      <c r="D100" s="1">
        <v>0</v>
      </c>
      <c r="E100" s="55">
        <f>SUM(B100:D100)</f>
        <v>0</v>
      </c>
      <c r="F100" s="1">
        <v>0</v>
      </c>
      <c r="G100" s="1">
        <v>0</v>
      </c>
      <c r="H100" s="1">
        <v>0</v>
      </c>
      <c r="I100" s="55">
        <f>SUM(F100:H100)</f>
        <v>0</v>
      </c>
      <c r="J100" s="1">
        <v>0</v>
      </c>
      <c r="K100" s="1">
        <v>0</v>
      </c>
      <c r="L100" s="1">
        <v>0</v>
      </c>
      <c r="M100" s="55">
        <f>SUM(J100:L100)</f>
        <v>0</v>
      </c>
      <c r="N100" s="1">
        <v>0</v>
      </c>
      <c r="O100" s="1">
        <v>79</v>
      </c>
      <c r="P100" s="1">
        <v>0</v>
      </c>
      <c r="Q100" s="55">
        <f>SUM(N100:P100)</f>
        <v>79</v>
      </c>
      <c r="R100" s="55">
        <f>+E100+I100+M100+Q100</f>
        <v>79</v>
      </c>
    </row>
    <row r="101" spans="1:18" ht="15.75" customHeight="1" x14ac:dyDescent="0.3">
      <c r="A101" s="72" t="s">
        <v>592</v>
      </c>
      <c r="B101" s="1">
        <v>0</v>
      </c>
      <c r="C101" s="1">
        <v>0</v>
      </c>
      <c r="D101" s="1">
        <v>0</v>
      </c>
      <c r="E101" s="55">
        <f>SUM(B101:D101)</f>
        <v>0</v>
      </c>
      <c r="F101" s="1">
        <v>0</v>
      </c>
      <c r="G101" s="1">
        <v>0</v>
      </c>
      <c r="H101" s="1">
        <v>0</v>
      </c>
      <c r="I101" s="55">
        <f>SUM(F101:H101)</f>
        <v>0</v>
      </c>
      <c r="J101" s="1">
        <v>0</v>
      </c>
      <c r="K101" s="1">
        <v>0</v>
      </c>
      <c r="L101" s="1">
        <v>0</v>
      </c>
      <c r="M101" s="55">
        <f>SUM(J101:L101)</f>
        <v>0</v>
      </c>
      <c r="N101" s="1">
        <v>0</v>
      </c>
      <c r="O101" s="1">
        <v>0</v>
      </c>
      <c r="P101" s="1">
        <v>0</v>
      </c>
      <c r="Q101" s="55">
        <f>SUM(N101:P101)</f>
        <v>0</v>
      </c>
      <c r="R101" s="55">
        <f>+E101+I101+M101+Q101</f>
        <v>0</v>
      </c>
    </row>
    <row r="102" spans="1:18" ht="15.75" customHeight="1" thickBot="1" x14ac:dyDescent="0.35">
      <c r="A102" s="72" t="s">
        <v>593</v>
      </c>
      <c r="B102" s="1">
        <v>0</v>
      </c>
      <c r="C102" s="1">
        <v>0</v>
      </c>
      <c r="D102" s="1">
        <v>0</v>
      </c>
      <c r="E102" s="55">
        <f>SUM(B102:D102)</f>
        <v>0</v>
      </c>
      <c r="F102" s="1">
        <v>0</v>
      </c>
      <c r="G102" s="1">
        <v>0</v>
      </c>
      <c r="H102" s="1">
        <v>0</v>
      </c>
      <c r="I102" s="55">
        <f>SUM(F102:H102)</f>
        <v>0</v>
      </c>
      <c r="J102" s="1">
        <v>0</v>
      </c>
      <c r="K102" s="1">
        <v>0</v>
      </c>
      <c r="L102" s="1">
        <v>0</v>
      </c>
      <c r="M102" s="55">
        <f>SUM(J102:L102)</f>
        <v>0</v>
      </c>
      <c r="N102" s="1">
        <v>0</v>
      </c>
      <c r="O102" s="1">
        <v>0</v>
      </c>
      <c r="P102" s="1">
        <v>0</v>
      </c>
      <c r="Q102" s="55">
        <f>SUM(N102:P102)</f>
        <v>0</v>
      </c>
      <c r="R102" s="55">
        <f>+E102+I102+M102+Q102</f>
        <v>0</v>
      </c>
    </row>
    <row r="103" spans="1:18" ht="15.75" customHeight="1" thickBot="1" x14ac:dyDescent="0.35">
      <c r="A103" s="57" t="s">
        <v>63</v>
      </c>
      <c r="B103" s="58">
        <f>SUM(B96:B102)</f>
        <v>0</v>
      </c>
      <c r="C103" s="58">
        <f>SUM(C96:C102)</f>
        <v>0</v>
      </c>
      <c r="D103" s="58">
        <f>SUM(D96:D102)</f>
        <v>0</v>
      </c>
      <c r="E103" s="59">
        <f>SUM(B103:D103)</f>
        <v>0</v>
      </c>
      <c r="F103" s="58">
        <f>SUM(F96:F102)</f>
        <v>0</v>
      </c>
      <c r="G103" s="58">
        <f>SUM(G96:G102)</f>
        <v>0</v>
      </c>
      <c r="H103" s="58">
        <f>SUM(H96:H102)</f>
        <v>0</v>
      </c>
      <c r="I103" s="59">
        <f>SUM(F103:H103)</f>
        <v>0</v>
      </c>
      <c r="J103" s="58">
        <f>SUM(J96:J102)</f>
        <v>0</v>
      </c>
      <c r="K103" s="58">
        <f>SUM(K96:K102)</f>
        <v>0</v>
      </c>
      <c r="L103" s="58">
        <f>SUM(L96:L102)</f>
        <v>0</v>
      </c>
      <c r="M103" s="59">
        <f>SUM(J103:L103)</f>
        <v>0</v>
      </c>
      <c r="N103" s="58">
        <f>SUM(N96:N102)</f>
        <v>0</v>
      </c>
      <c r="O103" s="58">
        <f>SUM(O96:O102)</f>
        <v>79</v>
      </c>
      <c r="P103" s="58">
        <f>SUM(P96:P102)</f>
        <v>0</v>
      </c>
      <c r="Q103" s="59">
        <f>SUM(N103:P103)</f>
        <v>79</v>
      </c>
      <c r="R103" s="59">
        <f>+E103+I103+M103+Q103</f>
        <v>79</v>
      </c>
    </row>
    <row r="104" spans="1:18" ht="15.75" customHeight="1" x14ac:dyDescent="0.3">
      <c r="A104" s="18" t="s">
        <v>64</v>
      </c>
      <c r="B104" s="56"/>
      <c r="C104" s="56"/>
      <c r="D104" s="56"/>
      <c r="E104" s="55" t="s">
        <v>7</v>
      </c>
      <c r="F104" s="56"/>
      <c r="G104" s="56"/>
      <c r="H104" s="56"/>
      <c r="I104" s="55" t="s">
        <v>7</v>
      </c>
      <c r="J104" s="56"/>
      <c r="K104" s="56"/>
      <c r="L104" s="56"/>
      <c r="M104" s="55" t="s">
        <v>7</v>
      </c>
      <c r="N104" s="56"/>
      <c r="O104" s="56"/>
      <c r="P104" s="56"/>
      <c r="Q104" s="55" t="s">
        <v>7</v>
      </c>
      <c r="R104" s="55" t="s">
        <v>7</v>
      </c>
    </row>
    <row r="105" spans="1:18" ht="15.75" customHeight="1" x14ac:dyDescent="0.3">
      <c r="A105" s="18" t="s">
        <v>594</v>
      </c>
      <c r="B105" s="56"/>
      <c r="C105" s="56"/>
      <c r="D105" s="56"/>
      <c r="E105" s="55" t="s">
        <v>7</v>
      </c>
      <c r="F105" s="56"/>
      <c r="G105" s="56"/>
      <c r="H105" s="56"/>
      <c r="I105" s="55" t="s">
        <v>7</v>
      </c>
      <c r="J105" s="56"/>
      <c r="K105" s="56"/>
      <c r="L105" s="56"/>
      <c r="M105" s="55" t="s">
        <v>7</v>
      </c>
      <c r="N105" s="56"/>
      <c r="O105" s="56"/>
      <c r="P105" s="56"/>
      <c r="Q105" s="55" t="s">
        <v>7</v>
      </c>
      <c r="R105" s="55" t="s">
        <v>7</v>
      </c>
    </row>
    <row r="106" spans="1:18" ht="15.75" customHeight="1" x14ac:dyDescent="0.3">
      <c r="A106" s="61" t="s">
        <v>97</v>
      </c>
      <c r="B106" s="1">
        <v>0</v>
      </c>
      <c r="C106" s="1">
        <v>0</v>
      </c>
      <c r="D106" s="1">
        <v>0</v>
      </c>
      <c r="E106" s="55">
        <f t="shared" ref="E106:E113" si="9">SUM(B106:D106)</f>
        <v>0</v>
      </c>
      <c r="F106" s="1">
        <v>0</v>
      </c>
      <c r="G106" s="1">
        <v>0</v>
      </c>
      <c r="H106" s="1">
        <v>0</v>
      </c>
      <c r="I106" s="55">
        <f t="shared" ref="I106:I113" si="10">SUM(F106:H106)</f>
        <v>0</v>
      </c>
      <c r="J106" s="1">
        <v>0</v>
      </c>
      <c r="K106" s="1">
        <v>0</v>
      </c>
      <c r="L106" s="1">
        <v>0</v>
      </c>
      <c r="M106" s="55">
        <f t="shared" ref="M106:M113" si="11">SUM(J106:L106)</f>
        <v>0</v>
      </c>
      <c r="N106" s="1">
        <v>0</v>
      </c>
      <c r="O106" s="1">
        <v>0</v>
      </c>
      <c r="P106" s="1">
        <v>0</v>
      </c>
      <c r="Q106" s="55">
        <f t="shared" ref="Q106:Q113" si="12">SUM(N106:P106)</f>
        <v>0</v>
      </c>
      <c r="R106" s="55">
        <f t="shared" ref="R106:R113" si="13">+E106+I106+M106+Q106</f>
        <v>0</v>
      </c>
    </row>
    <row r="107" spans="1:18" ht="15.75" customHeight="1" x14ac:dyDescent="0.3">
      <c r="A107" s="71" t="s">
        <v>595</v>
      </c>
      <c r="B107" s="1">
        <v>0</v>
      </c>
      <c r="C107" s="1">
        <v>0</v>
      </c>
      <c r="D107" s="1">
        <v>0</v>
      </c>
      <c r="E107" s="55">
        <f>SUM(B107:D107)</f>
        <v>0</v>
      </c>
      <c r="F107" s="1">
        <v>0</v>
      </c>
      <c r="G107" s="1">
        <v>0</v>
      </c>
      <c r="H107" s="1">
        <v>0</v>
      </c>
      <c r="I107" s="55">
        <f>SUM(F107:H107)</f>
        <v>0</v>
      </c>
      <c r="J107" s="1">
        <v>0</v>
      </c>
      <c r="K107" s="1">
        <v>0</v>
      </c>
      <c r="L107" s="1">
        <v>3000</v>
      </c>
      <c r="M107" s="55">
        <f>SUM(J107:L107)</f>
        <v>3000</v>
      </c>
      <c r="N107" s="1">
        <v>2000</v>
      </c>
      <c r="O107" s="1">
        <v>0</v>
      </c>
      <c r="P107" s="1">
        <v>0</v>
      </c>
      <c r="Q107" s="55">
        <f>SUM(N107:P107)</f>
        <v>2000</v>
      </c>
      <c r="R107" s="55">
        <f>+E107+I107+M107+Q107</f>
        <v>5000</v>
      </c>
    </row>
    <row r="108" spans="1:18" ht="15.75" customHeight="1" x14ac:dyDescent="0.3">
      <c r="A108" s="72" t="s">
        <v>596</v>
      </c>
      <c r="B108" s="1">
        <v>878</v>
      </c>
      <c r="C108" s="1">
        <v>3000</v>
      </c>
      <c r="D108" s="1">
        <v>3000</v>
      </c>
      <c r="E108" s="55">
        <f>SUM(B108:D108)</f>
        <v>6878</v>
      </c>
      <c r="F108" s="1">
        <v>0</v>
      </c>
      <c r="G108" s="1">
        <v>6000</v>
      </c>
      <c r="H108" s="1">
        <v>2122</v>
      </c>
      <c r="I108" s="55">
        <f>SUM(F108:H108)</f>
        <v>8122</v>
      </c>
      <c r="J108" s="1">
        <v>0</v>
      </c>
      <c r="K108" s="1">
        <v>18374</v>
      </c>
      <c r="L108" s="1">
        <v>2341</v>
      </c>
      <c r="M108" s="55">
        <f>SUM(J108:L108)</f>
        <v>20715</v>
      </c>
      <c r="N108" s="1">
        <v>0</v>
      </c>
      <c r="O108" s="1">
        <v>0</v>
      </c>
      <c r="P108" s="1">
        <v>0</v>
      </c>
      <c r="Q108" s="55">
        <f>SUM(N108:P108)</f>
        <v>0</v>
      </c>
      <c r="R108" s="55">
        <f>+E108+I108+M108+Q108</f>
        <v>35715</v>
      </c>
    </row>
    <row r="109" spans="1:18" ht="15.75" customHeight="1" x14ac:dyDescent="0.3">
      <c r="A109" s="61" t="s">
        <v>530</v>
      </c>
      <c r="B109" s="1">
        <v>0</v>
      </c>
      <c r="C109" s="1">
        <v>0</v>
      </c>
      <c r="D109" s="1">
        <v>0</v>
      </c>
      <c r="E109" s="55">
        <f t="shared" si="9"/>
        <v>0</v>
      </c>
      <c r="F109" s="1">
        <v>0</v>
      </c>
      <c r="G109" s="1">
        <v>0</v>
      </c>
      <c r="H109" s="1">
        <v>0</v>
      </c>
      <c r="I109" s="55">
        <f t="shared" si="10"/>
        <v>0</v>
      </c>
      <c r="J109" s="1">
        <v>2000</v>
      </c>
      <c r="K109" s="1">
        <v>0</v>
      </c>
      <c r="L109" s="1">
        <v>0</v>
      </c>
      <c r="M109" s="55">
        <f t="shared" si="11"/>
        <v>2000</v>
      </c>
      <c r="N109" s="1">
        <v>0</v>
      </c>
      <c r="O109" s="1">
        <v>0</v>
      </c>
      <c r="P109" s="1">
        <v>0</v>
      </c>
      <c r="Q109" s="55">
        <f t="shared" si="12"/>
        <v>0</v>
      </c>
      <c r="R109" s="55">
        <f t="shared" si="13"/>
        <v>2000</v>
      </c>
    </row>
    <row r="110" spans="1:18" ht="15.75" customHeight="1" x14ac:dyDescent="0.3">
      <c r="A110" s="61" t="s">
        <v>597</v>
      </c>
      <c r="B110" s="1">
        <v>0</v>
      </c>
      <c r="C110" s="1">
        <v>0</v>
      </c>
      <c r="D110" s="1">
        <v>0</v>
      </c>
      <c r="E110" s="55">
        <f>SUM(B110:D110)</f>
        <v>0</v>
      </c>
      <c r="F110" s="1">
        <v>0</v>
      </c>
      <c r="G110" s="1">
        <v>0</v>
      </c>
      <c r="H110" s="1">
        <v>0</v>
      </c>
      <c r="I110" s="55">
        <f>SUM(F110:H110)</f>
        <v>0</v>
      </c>
      <c r="J110" s="1">
        <v>0</v>
      </c>
      <c r="K110" s="1">
        <v>0</v>
      </c>
      <c r="L110" s="1">
        <v>0</v>
      </c>
      <c r="M110" s="55">
        <f>SUM(J110:L110)</f>
        <v>0</v>
      </c>
      <c r="N110" s="1">
        <v>0</v>
      </c>
      <c r="O110" s="1">
        <v>0</v>
      </c>
      <c r="P110" s="1">
        <v>19637</v>
      </c>
      <c r="Q110" s="55">
        <f>SUM(N110:P110)</f>
        <v>19637</v>
      </c>
      <c r="R110" s="55">
        <f>+E110+I110+M110+Q110</f>
        <v>19637</v>
      </c>
    </row>
    <row r="111" spans="1:18" ht="15.75" customHeight="1" x14ac:dyDescent="0.3">
      <c r="A111" s="61" t="s">
        <v>85</v>
      </c>
      <c r="B111" s="1">
        <v>4015</v>
      </c>
      <c r="C111" s="1">
        <v>3933</v>
      </c>
      <c r="D111" s="1">
        <v>4248</v>
      </c>
      <c r="E111" s="55">
        <f t="shared" si="9"/>
        <v>12196</v>
      </c>
      <c r="F111" s="1">
        <v>3949</v>
      </c>
      <c r="G111" s="1">
        <v>3877</v>
      </c>
      <c r="H111" s="1">
        <v>48</v>
      </c>
      <c r="I111" s="55">
        <f t="shared" si="10"/>
        <v>7874</v>
      </c>
      <c r="J111" s="1">
        <v>35</v>
      </c>
      <c r="K111" s="1">
        <v>4138</v>
      </c>
      <c r="L111" s="1">
        <v>3791</v>
      </c>
      <c r="M111" s="55">
        <f t="shared" si="11"/>
        <v>7964</v>
      </c>
      <c r="N111" s="1">
        <v>4223</v>
      </c>
      <c r="O111" s="1">
        <v>4008</v>
      </c>
      <c r="P111" s="1">
        <v>3650</v>
      </c>
      <c r="Q111" s="55">
        <f t="shared" si="12"/>
        <v>11881</v>
      </c>
      <c r="R111" s="55">
        <f t="shared" si="13"/>
        <v>39915</v>
      </c>
    </row>
    <row r="112" spans="1:18" ht="15.75" customHeight="1" x14ac:dyDescent="0.3">
      <c r="A112" s="288" t="s">
        <v>598</v>
      </c>
      <c r="B112" s="112">
        <v>0</v>
      </c>
      <c r="C112" s="112">
        <v>1868</v>
      </c>
      <c r="D112" s="112">
        <v>0</v>
      </c>
      <c r="E112" s="113">
        <f>SUM(B112:D112)</f>
        <v>1868</v>
      </c>
      <c r="F112" s="112">
        <v>0</v>
      </c>
      <c r="G112" s="112">
        <v>0</v>
      </c>
      <c r="H112" s="112">
        <v>0</v>
      </c>
      <c r="I112" s="113">
        <f>SUM(F112:H112)</f>
        <v>0</v>
      </c>
      <c r="J112" s="112">
        <v>0</v>
      </c>
      <c r="K112" s="112">
        <v>0</v>
      </c>
      <c r="L112" s="112">
        <v>0</v>
      </c>
      <c r="M112" s="113">
        <f>SUM(J112:L112)</f>
        <v>0</v>
      </c>
      <c r="N112" s="112">
        <v>0</v>
      </c>
      <c r="O112" s="112">
        <v>0</v>
      </c>
      <c r="P112" s="112">
        <v>0</v>
      </c>
      <c r="Q112" s="113">
        <f>SUM(N112:P112)</f>
        <v>0</v>
      </c>
      <c r="R112" s="113">
        <f>+E112+I112+M112+Q112</f>
        <v>1868</v>
      </c>
    </row>
    <row r="113" spans="1:20" ht="15.75" customHeight="1" x14ac:dyDescent="0.3">
      <c r="A113" s="61" t="s">
        <v>102</v>
      </c>
      <c r="B113" s="1">
        <v>1250</v>
      </c>
      <c r="C113" s="1">
        <v>818</v>
      </c>
      <c r="D113" s="1">
        <v>626</v>
      </c>
      <c r="E113" s="55">
        <f t="shared" si="9"/>
        <v>2694</v>
      </c>
      <c r="F113" s="1">
        <v>1283</v>
      </c>
      <c r="G113" s="1">
        <v>2558</v>
      </c>
      <c r="H113" s="1">
        <v>3162</v>
      </c>
      <c r="I113" s="55">
        <f t="shared" si="10"/>
        <v>7003</v>
      </c>
      <c r="J113" s="1">
        <v>3121</v>
      </c>
      <c r="K113" s="1">
        <v>3094</v>
      </c>
      <c r="L113" s="1">
        <v>2447</v>
      </c>
      <c r="M113" s="55">
        <f t="shared" si="11"/>
        <v>8662</v>
      </c>
      <c r="N113" s="1">
        <v>2571</v>
      </c>
      <c r="O113" s="1">
        <v>2243</v>
      </c>
      <c r="P113" s="1">
        <v>1829</v>
      </c>
      <c r="Q113" s="55">
        <f t="shared" si="12"/>
        <v>6643</v>
      </c>
      <c r="R113" s="55">
        <f t="shared" si="13"/>
        <v>25002</v>
      </c>
    </row>
    <row r="114" spans="1:20" ht="15.75" customHeight="1" x14ac:dyDescent="0.3">
      <c r="A114" s="18" t="s">
        <v>67</v>
      </c>
      <c r="B114" s="56"/>
      <c r="C114" s="56"/>
      <c r="D114" s="56"/>
      <c r="E114" s="55" t="s">
        <v>7</v>
      </c>
      <c r="F114" s="56"/>
      <c r="G114" s="56"/>
      <c r="H114" s="56"/>
      <c r="I114" s="55" t="s">
        <v>7</v>
      </c>
      <c r="J114" s="56"/>
      <c r="K114" s="56"/>
      <c r="L114" s="56"/>
      <c r="M114" s="55" t="s">
        <v>7</v>
      </c>
      <c r="N114" s="56"/>
      <c r="O114" s="56"/>
      <c r="P114" s="56"/>
      <c r="Q114" s="55" t="s">
        <v>7</v>
      </c>
      <c r="R114" s="55" t="s">
        <v>7</v>
      </c>
    </row>
    <row r="115" spans="1:20" ht="15.75" customHeight="1" x14ac:dyDescent="0.3">
      <c r="A115" s="61" t="s">
        <v>103</v>
      </c>
      <c r="B115" s="1">
        <v>0</v>
      </c>
      <c r="C115" s="1">
        <v>2583</v>
      </c>
      <c r="D115" s="1">
        <v>7113</v>
      </c>
      <c r="E115" s="55">
        <f>SUM(B115:D115)</f>
        <v>9696</v>
      </c>
      <c r="F115" s="1">
        <v>1137</v>
      </c>
      <c r="G115" s="1">
        <v>8131</v>
      </c>
      <c r="H115" s="1">
        <v>15338</v>
      </c>
      <c r="I115" s="55">
        <f>SUM(F115:H115)</f>
        <v>24606</v>
      </c>
      <c r="J115" s="1">
        <v>14895</v>
      </c>
      <c r="K115" s="1">
        <v>0</v>
      </c>
      <c r="L115" s="1">
        <v>12248</v>
      </c>
      <c r="M115" s="55">
        <f>SUM(J115:L115)</f>
        <v>27143</v>
      </c>
      <c r="N115" s="1">
        <v>15460</v>
      </c>
      <c r="O115" s="1">
        <v>2440</v>
      </c>
      <c r="P115" s="1">
        <v>200</v>
      </c>
      <c r="Q115" s="55">
        <f>SUM(N115:P115)</f>
        <v>18100</v>
      </c>
      <c r="R115" s="55">
        <f>+E115+I115+M115+Q115</f>
        <v>79545</v>
      </c>
    </row>
    <row r="116" spans="1:20" ht="15.75" customHeight="1" x14ac:dyDescent="0.3">
      <c r="A116" s="61" t="s">
        <v>104</v>
      </c>
      <c r="B116" s="1">
        <v>0</v>
      </c>
      <c r="C116" s="1">
        <v>0</v>
      </c>
      <c r="D116" s="1">
        <v>0</v>
      </c>
      <c r="E116" s="55">
        <f>SUM(B116:D116)</f>
        <v>0</v>
      </c>
      <c r="F116" s="1">
        <v>0</v>
      </c>
      <c r="G116" s="1">
        <v>0</v>
      </c>
      <c r="H116" s="1">
        <v>0</v>
      </c>
      <c r="I116" s="55">
        <f>SUM(F116:H116)</f>
        <v>0</v>
      </c>
      <c r="J116" s="1">
        <v>0</v>
      </c>
      <c r="K116" s="1">
        <v>0</v>
      </c>
      <c r="L116" s="1">
        <v>0</v>
      </c>
      <c r="M116" s="55">
        <f>SUM(J116:L116)</f>
        <v>0</v>
      </c>
      <c r="N116" s="1">
        <v>0</v>
      </c>
      <c r="O116" s="1">
        <v>5000</v>
      </c>
      <c r="P116" s="1">
        <v>0</v>
      </c>
      <c r="Q116" s="55">
        <f>SUM(N116:P116)</f>
        <v>5000</v>
      </c>
      <c r="R116" s="55">
        <f>+E116+I116+M116+Q116</f>
        <v>5000</v>
      </c>
      <c r="S116" s="4" t="s">
        <v>519</v>
      </c>
      <c r="T116" s="4" t="s">
        <v>599</v>
      </c>
    </row>
    <row r="117" spans="1:20" ht="15.75" customHeight="1" x14ac:dyDescent="0.3">
      <c r="A117" s="18" t="s">
        <v>600</v>
      </c>
      <c r="B117" s="56"/>
      <c r="C117" s="56"/>
      <c r="D117" s="56"/>
      <c r="E117" s="55" t="s">
        <v>7</v>
      </c>
      <c r="F117" s="56"/>
      <c r="G117" s="56"/>
      <c r="H117" s="56"/>
      <c r="I117" s="55" t="s">
        <v>7</v>
      </c>
      <c r="J117" s="56"/>
      <c r="K117" s="56"/>
      <c r="L117" s="56"/>
      <c r="M117" s="55" t="s">
        <v>7</v>
      </c>
      <c r="N117" s="56"/>
      <c r="O117" s="56"/>
      <c r="P117" s="56"/>
      <c r="Q117" s="55" t="s">
        <v>7</v>
      </c>
      <c r="R117" s="55" t="s">
        <v>7</v>
      </c>
    </row>
    <row r="118" spans="1:20" ht="15.75" customHeight="1" x14ac:dyDescent="0.3">
      <c r="A118" s="61" t="s">
        <v>105</v>
      </c>
      <c r="B118" s="1">
        <v>0</v>
      </c>
      <c r="C118" s="1">
        <v>0</v>
      </c>
      <c r="D118" s="1">
        <v>0</v>
      </c>
      <c r="E118" s="55">
        <f>SUM(B118:D118)</f>
        <v>0</v>
      </c>
      <c r="F118" s="1">
        <v>0</v>
      </c>
      <c r="G118" s="1">
        <v>0</v>
      </c>
      <c r="H118" s="1">
        <v>0</v>
      </c>
      <c r="I118" s="55">
        <f>SUM(F118:H118)</f>
        <v>0</v>
      </c>
      <c r="J118" s="1">
        <v>1503</v>
      </c>
      <c r="K118" s="1">
        <v>1738</v>
      </c>
      <c r="L118" s="1">
        <v>1546</v>
      </c>
      <c r="M118" s="55">
        <f>SUM(J118:L118)</f>
        <v>4787</v>
      </c>
      <c r="N118" s="1">
        <v>1152</v>
      </c>
      <c r="O118" s="1">
        <v>400</v>
      </c>
      <c r="P118" s="1">
        <v>284</v>
      </c>
      <c r="Q118" s="55">
        <f>SUM(N118:P118)</f>
        <v>1836</v>
      </c>
      <c r="R118" s="55">
        <f>+E118+I118+M118+Q118</f>
        <v>6623</v>
      </c>
    </row>
    <row r="119" spans="1:20" ht="15.75" customHeight="1" x14ac:dyDescent="0.3">
      <c r="A119" s="18" t="s">
        <v>70</v>
      </c>
      <c r="B119" s="56"/>
      <c r="C119" s="56"/>
      <c r="D119" s="56"/>
      <c r="E119" s="55" t="s">
        <v>7</v>
      </c>
      <c r="F119" s="56"/>
      <c r="G119" s="56"/>
      <c r="H119" s="56"/>
      <c r="I119" s="55" t="s">
        <v>7</v>
      </c>
      <c r="J119" s="56"/>
      <c r="K119" s="56"/>
      <c r="L119" s="56"/>
      <c r="M119" s="55" t="s">
        <v>7</v>
      </c>
      <c r="N119" s="56"/>
      <c r="O119" s="56"/>
      <c r="P119" s="56"/>
      <c r="Q119" s="55" t="s">
        <v>7</v>
      </c>
      <c r="R119" s="55" t="s">
        <v>7</v>
      </c>
    </row>
    <row r="120" spans="1:20" ht="15.75" customHeight="1" thickBot="1" x14ac:dyDescent="0.35">
      <c r="A120" s="61" t="s">
        <v>87</v>
      </c>
      <c r="B120" s="1">
        <v>0</v>
      </c>
      <c r="C120" s="1">
        <v>0</v>
      </c>
      <c r="D120" s="1">
        <v>0</v>
      </c>
      <c r="E120" s="55">
        <f>SUM(B120:D120)</f>
        <v>0</v>
      </c>
      <c r="F120" s="1">
        <v>0</v>
      </c>
      <c r="G120" s="1">
        <v>0</v>
      </c>
      <c r="H120" s="1">
        <v>0</v>
      </c>
      <c r="I120" s="55">
        <f>SUM(F120:H120)</f>
        <v>0</v>
      </c>
      <c r="J120" s="1">
        <v>0</v>
      </c>
      <c r="K120" s="1">
        <v>0</v>
      </c>
      <c r="L120" s="1">
        <v>0</v>
      </c>
      <c r="M120" s="55">
        <f>SUM(J120:L120)</f>
        <v>0</v>
      </c>
      <c r="N120" s="1">
        <v>0</v>
      </c>
      <c r="O120" s="1">
        <v>0</v>
      </c>
      <c r="P120" s="1">
        <v>0</v>
      </c>
      <c r="Q120" s="55">
        <f>SUM(N120:P120)</f>
        <v>0</v>
      </c>
      <c r="R120" s="55">
        <f>+E120+I120+M120+Q120</f>
        <v>0</v>
      </c>
    </row>
    <row r="121" spans="1:20" ht="15.75" customHeight="1" thickBot="1" x14ac:dyDescent="0.35">
      <c r="A121" s="57" t="s">
        <v>71</v>
      </c>
      <c r="B121" s="58">
        <f>SUM(B119:B120)</f>
        <v>0</v>
      </c>
      <c r="C121" s="58">
        <f>SUM(C119:C120)</f>
        <v>0</v>
      </c>
      <c r="D121" s="58">
        <f>SUM(D119:D120)</f>
        <v>0</v>
      </c>
      <c r="E121" s="60">
        <f>SUM(B121:D121)</f>
        <v>0</v>
      </c>
      <c r="F121" s="58">
        <f>SUM(F119:F120)</f>
        <v>0</v>
      </c>
      <c r="G121" s="58">
        <f>SUM(G119:G120)</f>
        <v>0</v>
      </c>
      <c r="H121" s="58">
        <f>SUM(H119:H120)</f>
        <v>0</v>
      </c>
      <c r="I121" s="60">
        <f>SUM(F121:H121)</f>
        <v>0</v>
      </c>
      <c r="J121" s="58">
        <f>SUM(J119:J120)</f>
        <v>0</v>
      </c>
      <c r="K121" s="58">
        <f>SUM(K119:K120)</f>
        <v>0</v>
      </c>
      <c r="L121" s="58">
        <f>SUM(L119:L120)</f>
        <v>0</v>
      </c>
      <c r="M121" s="60">
        <f>SUM(J121:L121)</f>
        <v>0</v>
      </c>
      <c r="N121" s="58">
        <f>SUM(N119:N120)</f>
        <v>0</v>
      </c>
      <c r="O121" s="58">
        <f>SUM(O119:O120)</f>
        <v>0</v>
      </c>
      <c r="P121" s="58">
        <f>SUM(P119:P120)</f>
        <v>0</v>
      </c>
      <c r="Q121" s="60">
        <f>SUM(N121:P121)</f>
        <v>0</v>
      </c>
      <c r="R121" s="59">
        <f>+E121+I121+M121+Q121</f>
        <v>0</v>
      </c>
    </row>
    <row r="122" spans="1:20" ht="15.75" customHeight="1" thickBot="1" x14ac:dyDescent="0.35">
      <c r="A122" s="57" t="s">
        <v>72</v>
      </c>
      <c r="B122" s="58">
        <f>SUM(B104:B120)</f>
        <v>6143</v>
      </c>
      <c r="C122" s="58">
        <f>SUM(C104:C120)</f>
        <v>12202</v>
      </c>
      <c r="D122" s="58">
        <f>SUM(D104:D120)</f>
        <v>14987</v>
      </c>
      <c r="E122" s="60">
        <f>SUM(B122:D122)</f>
        <v>33332</v>
      </c>
      <c r="F122" s="58">
        <f>SUM(F104:F120)</f>
        <v>6369</v>
      </c>
      <c r="G122" s="58">
        <f>SUM(G104:G120)</f>
        <v>20566</v>
      </c>
      <c r="H122" s="58">
        <f>SUM(H104:H120)</f>
        <v>20670</v>
      </c>
      <c r="I122" s="60">
        <f>SUM(F122:H122)</f>
        <v>47605</v>
      </c>
      <c r="J122" s="58">
        <f>SUM(J104:J120)</f>
        <v>21554</v>
      </c>
      <c r="K122" s="58">
        <f>SUM(K104:K120)</f>
        <v>27344</v>
      </c>
      <c r="L122" s="58">
        <f>SUM(L104:L120)</f>
        <v>25373</v>
      </c>
      <c r="M122" s="60">
        <f>SUM(J122:L122)</f>
        <v>74271</v>
      </c>
      <c r="N122" s="58">
        <f>SUM(N104:N120)</f>
        <v>25406</v>
      </c>
      <c r="O122" s="58">
        <f>SUM(O104:O120)</f>
        <v>14091</v>
      </c>
      <c r="P122" s="58">
        <f>SUM(P104:P120)</f>
        <v>25600</v>
      </c>
      <c r="Q122" s="60">
        <f>SUM(N122:P122)</f>
        <v>65097</v>
      </c>
      <c r="R122" s="59">
        <f>+E122+I122+M122+Q122</f>
        <v>220305</v>
      </c>
    </row>
    <row r="123" spans="1:20" ht="15.75" customHeight="1" thickBot="1" x14ac:dyDescent="0.35">
      <c r="A123" s="57" t="s">
        <v>73</v>
      </c>
      <c r="B123" s="58">
        <f>+B88+B95+B103+B122</f>
        <v>6538</v>
      </c>
      <c r="C123" s="58">
        <f>+C88+C95+C103+C122</f>
        <v>12572</v>
      </c>
      <c r="D123" s="58">
        <f>+D88+D95+D103+D122</f>
        <v>17802</v>
      </c>
      <c r="E123" s="59">
        <f>SUM(B123:D123)</f>
        <v>36912</v>
      </c>
      <c r="F123" s="58">
        <f>+F88+F95+F103+F122</f>
        <v>11735</v>
      </c>
      <c r="G123" s="58">
        <f>+G88+G95+G103+G122</f>
        <v>27569</v>
      </c>
      <c r="H123" s="58">
        <f>+H88+H95+H103+H122</f>
        <v>28055</v>
      </c>
      <c r="I123" s="59">
        <f>SUM(F123:H123)</f>
        <v>67359</v>
      </c>
      <c r="J123" s="58">
        <f>+J88+J95+J103+J122</f>
        <v>32261</v>
      </c>
      <c r="K123" s="58">
        <f>+K88+K95+K103+K122</f>
        <v>35016</v>
      </c>
      <c r="L123" s="58">
        <f>+L88+L95+L103+L122</f>
        <v>33923</v>
      </c>
      <c r="M123" s="59">
        <f>SUM(J123:L123)</f>
        <v>101200</v>
      </c>
      <c r="N123" s="58">
        <f>+N88+N95+N103+N122</f>
        <v>29524</v>
      </c>
      <c r="O123" s="58">
        <f>+O88+O95+O103+O122</f>
        <v>17209</v>
      </c>
      <c r="P123" s="58">
        <f>+P88+P95+P103+P122</f>
        <v>31397</v>
      </c>
      <c r="Q123" s="59">
        <f>SUM(N123:P123)</f>
        <v>78130</v>
      </c>
      <c r="R123" s="59">
        <f>+E123+I123+M123+Q123</f>
        <v>283601</v>
      </c>
    </row>
    <row r="124" spans="1:20" ht="15.75" customHeight="1" thickBot="1" x14ac:dyDescent="0.35">
      <c r="A124" s="73" t="s">
        <v>40</v>
      </c>
      <c r="B124" s="21">
        <v>173</v>
      </c>
      <c r="C124" s="21">
        <v>260</v>
      </c>
      <c r="D124" s="21">
        <v>471</v>
      </c>
      <c r="E124" s="55">
        <f>SUM(B124:D124)</f>
        <v>904</v>
      </c>
      <c r="F124" s="21">
        <v>629</v>
      </c>
      <c r="G124" s="21">
        <v>725</v>
      </c>
      <c r="H124" s="21">
        <v>712</v>
      </c>
      <c r="I124" s="55">
        <f>SUM(F124:H124)</f>
        <v>2066</v>
      </c>
      <c r="J124" s="21">
        <v>711</v>
      </c>
      <c r="K124" s="21">
        <v>573</v>
      </c>
      <c r="L124" s="21">
        <v>542</v>
      </c>
      <c r="M124" s="55">
        <f>SUM(J124:L124)</f>
        <v>1826</v>
      </c>
      <c r="N124" s="21">
        <v>490</v>
      </c>
      <c r="O124" s="21">
        <v>407</v>
      </c>
      <c r="P124" s="21">
        <v>323</v>
      </c>
      <c r="Q124" s="55">
        <f>SUM(N124:P124)</f>
        <v>1220</v>
      </c>
      <c r="R124" s="55">
        <f>+E124+I124+M124+Q124</f>
        <v>6016</v>
      </c>
    </row>
    <row r="125" spans="1:20" ht="15.75" customHeight="1" thickBot="1" x14ac:dyDescent="0.35">
      <c r="A125" s="74"/>
      <c r="B125" s="75"/>
      <c r="C125" s="75"/>
      <c r="D125" s="75"/>
      <c r="E125" s="59" t="s">
        <v>7</v>
      </c>
      <c r="F125" s="75"/>
      <c r="G125" s="75"/>
      <c r="H125" s="75"/>
      <c r="I125" s="59" t="s">
        <v>7</v>
      </c>
      <c r="J125" s="75"/>
      <c r="K125" s="75"/>
      <c r="L125" s="75"/>
      <c r="M125" s="59" t="s">
        <v>7</v>
      </c>
      <c r="N125" s="75"/>
      <c r="O125" s="75"/>
      <c r="P125" s="75"/>
      <c r="Q125" s="59" t="s">
        <v>7</v>
      </c>
      <c r="R125" s="59" t="s">
        <v>7</v>
      </c>
    </row>
    <row r="126" spans="1:20" ht="15.75" customHeight="1" x14ac:dyDescent="0.3">
      <c r="A126" s="76" t="s">
        <v>41</v>
      </c>
      <c r="B126" s="77">
        <f>+B123+B124</f>
        <v>6711</v>
      </c>
      <c r="C126" s="77">
        <f>+C123+C124</f>
        <v>12832</v>
      </c>
      <c r="D126" s="77">
        <f>+D123+D124</f>
        <v>18273</v>
      </c>
      <c r="E126" s="55">
        <f>SUM(B126:D126)</f>
        <v>37816</v>
      </c>
      <c r="F126" s="77">
        <f>+F123+F124</f>
        <v>12364</v>
      </c>
      <c r="G126" s="77">
        <f>+G123+G124</f>
        <v>28294</v>
      </c>
      <c r="H126" s="77">
        <f>+H123+H124</f>
        <v>28767</v>
      </c>
      <c r="I126" s="55">
        <f>SUM(F126:H126)</f>
        <v>69425</v>
      </c>
      <c r="J126" s="77">
        <f>+J123+J124</f>
        <v>32972</v>
      </c>
      <c r="K126" s="77">
        <f>+K123+K124</f>
        <v>35589</v>
      </c>
      <c r="L126" s="77">
        <f>+L123+L124</f>
        <v>34465</v>
      </c>
      <c r="M126" s="55">
        <f>SUM(J126:L126)</f>
        <v>103026</v>
      </c>
      <c r="N126" s="77">
        <f>+N123+N124</f>
        <v>30014</v>
      </c>
      <c r="O126" s="77">
        <f>+O123+O124</f>
        <v>17616</v>
      </c>
      <c r="P126" s="77">
        <f>+P123+P124</f>
        <v>31720</v>
      </c>
      <c r="Q126" s="55">
        <f>SUM(N126:P126)</f>
        <v>79350</v>
      </c>
      <c r="R126" s="55">
        <f>+E126+I126+M126+Q126</f>
        <v>289617</v>
      </c>
    </row>
    <row r="127" spans="1:20" ht="15.75" customHeight="1" x14ac:dyDescent="0.3">
      <c r="A127" s="78" t="s">
        <v>42</v>
      </c>
      <c r="B127" s="1">
        <f>(B126/31)/1.983</f>
        <v>109.1698794592748</v>
      </c>
      <c r="C127" s="1">
        <f>(C126/28)/1.983</f>
        <v>231.10726892875152</v>
      </c>
      <c r="D127" s="1">
        <f>(D126/31)/1.983</f>
        <v>297.25245229613</v>
      </c>
      <c r="E127" s="55" t="s">
        <v>7</v>
      </c>
      <c r="F127" s="1">
        <f>(F126/30)/1.983</f>
        <v>207.83324928559421</v>
      </c>
      <c r="G127" s="1">
        <f>(G126/31)/1.983</f>
        <v>460.26710913734485</v>
      </c>
      <c r="H127" s="1">
        <f>(H126/30)/1.983</f>
        <v>483.56026222894599</v>
      </c>
      <c r="I127" s="55" t="s">
        <v>7</v>
      </c>
      <c r="J127" s="1">
        <f>(J126/31)/1.983</f>
        <v>536.36555886324072</v>
      </c>
      <c r="K127" s="1">
        <f>(K126/31)/1.983</f>
        <v>578.93709433409788</v>
      </c>
      <c r="L127" s="1">
        <f>(L126/30)/1.983</f>
        <v>579.34106572533187</v>
      </c>
      <c r="M127" s="55" t="s">
        <v>7</v>
      </c>
      <c r="N127" s="1">
        <f>(N126/31)/1.983</f>
        <v>488.24687261073967</v>
      </c>
      <c r="O127" s="1">
        <f>(O126/30)/1.983</f>
        <v>296.11699445284921</v>
      </c>
      <c r="P127" s="1">
        <f>(P126/31)/1.983</f>
        <v>515.99889382330457</v>
      </c>
      <c r="Q127" s="55" t="s">
        <v>7</v>
      </c>
      <c r="R127" s="55" t="s">
        <v>7</v>
      </c>
    </row>
    <row r="128" spans="1:20" ht="15.75" customHeight="1" x14ac:dyDescent="0.3">
      <c r="A128" s="79" t="s">
        <v>106</v>
      </c>
      <c r="B128" s="1">
        <f>B126+B245</f>
        <v>126474</v>
      </c>
      <c r="C128" s="1">
        <f>C126+C245</f>
        <v>90987</v>
      </c>
      <c r="D128" s="1">
        <f>D126+D245</f>
        <v>129507</v>
      </c>
      <c r="E128" s="55">
        <f>SUM(B128:D128)</f>
        <v>346968</v>
      </c>
      <c r="F128" s="1">
        <f>F126+F245</f>
        <v>153097</v>
      </c>
      <c r="G128" s="1">
        <f>G126+G245</f>
        <v>169858</v>
      </c>
      <c r="H128" s="1">
        <f>H126+H245</f>
        <v>171470</v>
      </c>
      <c r="I128" s="55">
        <f>SUM(F128:H128)</f>
        <v>494425</v>
      </c>
      <c r="J128" s="1">
        <f>J126+J245</f>
        <v>53418</v>
      </c>
      <c r="K128" s="1">
        <f>K126+K245</f>
        <v>87167</v>
      </c>
      <c r="L128" s="1">
        <f>L126+L245</f>
        <v>167755</v>
      </c>
      <c r="M128" s="55">
        <f>SUM(J128:L128)</f>
        <v>308340</v>
      </c>
      <c r="N128" s="1">
        <f>N126+N245</f>
        <v>164674</v>
      </c>
      <c r="O128" s="1">
        <f>O126+O245</f>
        <v>151177</v>
      </c>
      <c r="P128" s="1">
        <f>P126+P245</f>
        <v>189149</v>
      </c>
      <c r="Q128" s="55">
        <f>SUM(N128:P128)</f>
        <v>505000</v>
      </c>
      <c r="R128" s="55">
        <f>+E128+I128+M128+Q128</f>
        <v>1654733</v>
      </c>
    </row>
    <row r="129" spans="1:18" ht="15.75" customHeight="1" thickBot="1" x14ac:dyDescent="0.35">
      <c r="A129" s="80" t="s">
        <v>107</v>
      </c>
      <c r="B129" s="25">
        <f>(B128/31)/1.983</f>
        <v>2057.3910497291495</v>
      </c>
      <c r="C129" s="25">
        <f>(C128/28)/1.983</f>
        <v>1638.6967797709099</v>
      </c>
      <c r="D129" s="25">
        <f>(D128/31)/1.983</f>
        <v>2106.7297838075251</v>
      </c>
      <c r="E129" s="81" t="s">
        <v>7</v>
      </c>
      <c r="F129" s="25">
        <f>(F128/30)/1.983</f>
        <v>2573.491343082871</v>
      </c>
      <c r="G129" s="25">
        <f>(G128/31)/1.983</f>
        <v>2763.1317814324984</v>
      </c>
      <c r="H129" s="25">
        <f>(H128/30)/1.983</f>
        <v>2882.3331652378552</v>
      </c>
      <c r="I129" s="81" t="s">
        <v>7</v>
      </c>
      <c r="J129" s="25">
        <f>(J128/31)/1.983</f>
        <v>868.96686350104926</v>
      </c>
      <c r="K129" s="25">
        <f>(K128/31)/1.983</f>
        <v>1417.9721178403527</v>
      </c>
      <c r="L129" s="25">
        <f>(L128/30)/1.983</f>
        <v>2819.8856950748022</v>
      </c>
      <c r="M129" s="81" t="s">
        <v>7</v>
      </c>
      <c r="N129" s="25">
        <f>(N128/31)/1.983</f>
        <v>2678.8020757080344</v>
      </c>
      <c r="O129" s="25">
        <f>(O128/30)/1.983</f>
        <v>2541.2170112623971</v>
      </c>
      <c r="P129" s="25">
        <f>(P128/31)/1.983</f>
        <v>3076.9443495518358</v>
      </c>
      <c r="Q129" s="81" t="s">
        <v>7</v>
      </c>
      <c r="R129" s="81" t="s">
        <v>7</v>
      </c>
    </row>
    <row r="130" spans="1:18" ht="15.75" customHeight="1" x14ac:dyDescent="0.3">
      <c r="A130" s="120" t="s">
        <v>601</v>
      </c>
      <c r="B130" s="121"/>
      <c r="C130" s="121"/>
      <c r="D130" s="121"/>
      <c r="E130" s="121"/>
      <c r="F130" s="121"/>
      <c r="G130" s="121"/>
      <c r="H130" s="121"/>
      <c r="I130" s="1"/>
      <c r="J130" s="1"/>
      <c r="K130" s="1"/>
      <c r="L130" s="1"/>
      <c r="M130" s="1"/>
      <c r="N130" s="1"/>
      <c r="O130" s="1"/>
      <c r="P130" s="1"/>
      <c r="Q130" s="1"/>
      <c r="R130" s="2"/>
    </row>
    <row r="131" spans="1:18" ht="15.75" customHeight="1" thickBot="1" x14ac:dyDescent="0.35">
      <c r="A131" s="28" t="s">
        <v>7</v>
      </c>
      <c r="B131" s="1"/>
      <c r="C131" s="1"/>
      <c r="D131" s="1"/>
      <c r="E131" s="1"/>
      <c r="F131" s="1"/>
      <c r="G131" s="1"/>
      <c r="H131" s="1"/>
      <c r="I131" s="1"/>
      <c r="J131" s="1"/>
      <c r="K131" s="1"/>
      <c r="L131" s="1"/>
      <c r="M131" s="1"/>
      <c r="N131" s="1"/>
      <c r="O131" s="1"/>
      <c r="P131" s="1"/>
      <c r="Q131" s="1"/>
      <c r="R131" s="2"/>
    </row>
    <row r="132" spans="1:18" ht="15.75" customHeight="1" thickBot="1" x14ac:dyDescent="0.35">
      <c r="A132" s="29" t="s">
        <v>108</v>
      </c>
      <c r="B132" s="30" t="s">
        <v>8</v>
      </c>
      <c r="C132" s="31" t="s">
        <v>9</v>
      </c>
      <c r="D132" s="31" t="s">
        <v>10</v>
      </c>
      <c r="E132" s="32" t="s">
        <v>11</v>
      </c>
      <c r="F132" s="31" t="s">
        <v>12</v>
      </c>
      <c r="G132" s="31" t="s">
        <v>13</v>
      </c>
      <c r="H132" s="31" t="s">
        <v>14</v>
      </c>
      <c r="I132" s="33" t="s">
        <v>15</v>
      </c>
      <c r="J132" s="31" t="s">
        <v>16</v>
      </c>
      <c r="K132" s="31" t="s">
        <v>17</v>
      </c>
      <c r="L132" s="31" t="s">
        <v>18</v>
      </c>
      <c r="M132" s="33" t="s">
        <v>19</v>
      </c>
      <c r="N132" s="31" t="s">
        <v>20</v>
      </c>
      <c r="O132" s="31" t="s">
        <v>21</v>
      </c>
      <c r="P132" s="31" t="s">
        <v>22</v>
      </c>
      <c r="Q132" s="33" t="s">
        <v>23</v>
      </c>
      <c r="R132" s="34" t="s">
        <v>24</v>
      </c>
    </row>
    <row r="133" spans="1:18" ht="15.75" customHeight="1" thickBot="1" x14ac:dyDescent="0.35">
      <c r="A133" s="74"/>
      <c r="B133" s="75"/>
      <c r="C133" s="75"/>
      <c r="D133" s="75"/>
      <c r="E133" s="82"/>
      <c r="F133" s="75"/>
      <c r="G133" s="75"/>
      <c r="H133" s="75"/>
      <c r="I133" s="82"/>
      <c r="J133" s="75"/>
      <c r="K133" s="75"/>
      <c r="L133" s="75"/>
      <c r="M133" s="82"/>
      <c r="N133" s="75"/>
      <c r="O133" s="75"/>
      <c r="P133" s="75"/>
      <c r="Q133" s="82"/>
      <c r="R133" s="74"/>
    </row>
    <row r="134" spans="1:18" ht="15.75" customHeight="1" x14ac:dyDescent="0.3">
      <c r="A134" s="15" t="s">
        <v>48</v>
      </c>
      <c r="B134" s="1" t="s">
        <v>7</v>
      </c>
      <c r="C134" s="1" t="s">
        <v>7</v>
      </c>
      <c r="D134" s="1" t="s">
        <v>7</v>
      </c>
      <c r="E134" s="55" t="s">
        <v>7</v>
      </c>
      <c r="F134" s="1" t="s">
        <v>7</v>
      </c>
      <c r="G134" s="1" t="s">
        <v>7</v>
      </c>
      <c r="H134" s="1" t="s">
        <v>7</v>
      </c>
      <c r="I134" s="55" t="s">
        <v>7</v>
      </c>
      <c r="J134" s="1" t="s">
        <v>7</v>
      </c>
      <c r="K134" s="1" t="s">
        <v>7</v>
      </c>
      <c r="L134" s="1" t="s">
        <v>7</v>
      </c>
      <c r="M134" s="55" t="s">
        <v>7</v>
      </c>
      <c r="N134" s="1" t="s">
        <v>7</v>
      </c>
      <c r="O134" s="1" t="s">
        <v>7</v>
      </c>
      <c r="P134" s="1" t="s">
        <v>7</v>
      </c>
      <c r="Q134" s="55" t="s">
        <v>7</v>
      </c>
      <c r="R134" s="83" t="s">
        <v>7</v>
      </c>
    </row>
    <row r="135" spans="1:18" ht="15.75" customHeight="1" x14ac:dyDescent="0.3">
      <c r="A135" s="15" t="s">
        <v>49</v>
      </c>
      <c r="B135" s="1"/>
      <c r="C135" s="1"/>
      <c r="D135" s="1"/>
      <c r="E135" s="55" t="s">
        <v>7</v>
      </c>
      <c r="F135" s="1"/>
      <c r="G135" s="1"/>
      <c r="H135" s="1"/>
      <c r="I135" s="55" t="s">
        <v>7</v>
      </c>
      <c r="J135" s="1"/>
      <c r="K135" s="1"/>
      <c r="L135" s="1"/>
      <c r="M135" s="55" t="s">
        <v>7</v>
      </c>
      <c r="N135" s="1"/>
      <c r="O135" s="1"/>
      <c r="P135" s="1"/>
      <c r="Q135" s="55" t="s">
        <v>7</v>
      </c>
      <c r="R135" s="83"/>
    </row>
    <row r="136" spans="1:18" ht="15.75" customHeight="1" x14ac:dyDescent="0.3">
      <c r="A136" s="84" t="s">
        <v>602</v>
      </c>
      <c r="B136" s="1">
        <v>0</v>
      </c>
      <c r="C136" s="1">
        <v>0</v>
      </c>
      <c r="D136" s="1">
        <v>252</v>
      </c>
      <c r="E136" s="55">
        <f>SUM(B136:D136)</f>
        <v>252</v>
      </c>
      <c r="F136" s="1">
        <v>278</v>
      </c>
      <c r="G136" s="1">
        <v>330</v>
      </c>
      <c r="H136" s="1">
        <v>341</v>
      </c>
      <c r="I136" s="55">
        <f>SUM(F136:H136)</f>
        <v>949</v>
      </c>
      <c r="J136" s="1">
        <v>341</v>
      </c>
      <c r="K136" s="1">
        <v>309</v>
      </c>
      <c r="L136" s="1">
        <v>274</v>
      </c>
      <c r="M136" s="55">
        <f>SUM(J136:L136)</f>
        <v>924</v>
      </c>
      <c r="N136" s="1">
        <v>0</v>
      </c>
      <c r="O136" s="1">
        <v>0</v>
      </c>
      <c r="P136" s="1">
        <v>0</v>
      </c>
      <c r="Q136" s="55">
        <f>SUM(N136:P136)</f>
        <v>0</v>
      </c>
      <c r="R136" s="55">
        <f>+E136+I136+M136+Q136</f>
        <v>2125</v>
      </c>
    </row>
    <row r="137" spans="1:18" ht="15.75" customHeight="1" x14ac:dyDescent="0.3">
      <c r="A137" s="84" t="s">
        <v>603</v>
      </c>
      <c r="B137" s="1">
        <v>0</v>
      </c>
      <c r="C137" s="1">
        <v>34</v>
      </c>
      <c r="D137" s="1">
        <v>839</v>
      </c>
      <c r="E137" s="55">
        <f>SUM(B137:D137)</f>
        <v>873</v>
      </c>
      <c r="F137" s="1">
        <v>1165</v>
      </c>
      <c r="G137" s="1">
        <v>1168</v>
      </c>
      <c r="H137" s="1">
        <v>1483</v>
      </c>
      <c r="I137" s="55">
        <f>SUM(F137:H137)</f>
        <v>3816</v>
      </c>
      <c r="J137" s="1">
        <v>1167</v>
      </c>
      <c r="K137" s="1">
        <v>1212</v>
      </c>
      <c r="L137" s="1">
        <v>1704</v>
      </c>
      <c r="M137" s="55">
        <f>SUM(J137:L137)</f>
        <v>4083</v>
      </c>
      <c r="N137" s="1">
        <v>999</v>
      </c>
      <c r="O137" s="1">
        <v>859</v>
      </c>
      <c r="P137" s="1">
        <v>463</v>
      </c>
      <c r="Q137" s="55">
        <f>SUM(N137:P137)</f>
        <v>2321</v>
      </c>
      <c r="R137" s="55">
        <f>+E137+I137+M137+Q137</f>
        <v>11093</v>
      </c>
    </row>
    <row r="138" spans="1:18" ht="15.75" customHeight="1" x14ac:dyDescent="0.3">
      <c r="A138" s="84" t="s">
        <v>604</v>
      </c>
      <c r="B138" s="1">
        <v>0</v>
      </c>
      <c r="C138" s="1">
        <v>0</v>
      </c>
      <c r="D138" s="1">
        <v>142</v>
      </c>
      <c r="E138" s="55">
        <f>SUM(B138:D138)</f>
        <v>142</v>
      </c>
      <c r="F138" s="1">
        <v>125</v>
      </c>
      <c r="G138" s="1">
        <v>186</v>
      </c>
      <c r="H138" s="1">
        <v>194</v>
      </c>
      <c r="I138" s="55">
        <f>SUM(F138:H138)</f>
        <v>505</v>
      </c>
      <c r="J138" s="1">
        <v>194</v>
      </c>
      <c r="K138" s="1">
        <v>175</v>
      </c>
      <c r="L138" s="1">
        <v>184</v>
      </c>
      <c r="M138" s="55">
        <f>SUM(J138:L138)</f>
        <v>553</v>
      </c>
      <c r="N138" s="1">
        <v>0</v>
      </c>
      <c r="O138" s="1">
        <v>0</v>
      </c>
      <c r="P138" s="1">
        <v>0</v>
      </c>
      <c r="Q138" s="55">
        <f>SUM(N138:P138)</f>
        <v>0</v>
      </c>
      <c r="R138" s="55">
        <f>+E138+I138+M138+Q138</f>
        <v>1200</v>
      </c>
    </row>
    <row r="139" spans="1:18" ht="15.75" customHeight="1" x14ac:dyDescent="0.3">
      <c r="A139" s="84" t="s">
        <v>605</v>
      </c>
      <c r="B139" s="1">
        <v>0</v>
      </c>
      <c r="C139" s="1">
        <v>0</v>
      </c>
      <c r="D139" s="1">
        <v>323</v>
      </c>
      <c r="E139" s="55">
        <f>SUM(B139:D139)</f>
        <v>323</v>
      </c>
      <c r="F139" s="1">
        <v>323</v>
      </c>
      <c r="G139" s="1">
        <v>323</v>
      </c>
      <c r="H139" s="1">
        <v>323</v>
      </c>
      <c r="I139" s="55">
        <f>SUM(F139:H139)</f>
        <v>969</v>
      </c>
      <c r="J139" s="1">
        <v>324</v>
      </c>
      <c r="K139" s="1">
        <v>323</v>
      </c>
      <c r="L139" s="1">
        <v>381</v>
      </c>
      <c r="M139" s="55">
        <f>SUM(J139:L139)</f>
        <v>1028</v>
      </c>
      <c r="N139" s="1">
        <v>911</v>
      </c>
      <c r="O139" s="1">
        <v>0</v>
      </c>
      <c r="P139" s="1">
        <v>0</v>
      </c>
      <c r="Q139" s="55">
        <f>SUM(N139:P139)</f>
        <v>911</v>
      </c>
      <c r="R139" s="55">
        <f>+E139+I139+M139+Q139</f>
        <v>3231</v>
      </c>
    </row>
    <row r="140" spans="1:18" ht="15.75" customHeight="1" x14ac:dyDescent="0.3">
      <c r="A140" s="71" t="s">
        <v>111</v>
      </c>
      <c r="B140" s="1">
        <v>1</v>
      </c>
      <c r="C140" s="1">
        <v>0</v>
      </c>
      <c r="D140" s="1">
        <v>0</v>
      </c>
      <c r="E140" s="55">
        <f>SUM(B140:D140)</f>
        <v>1</v>
      </c>
      <c r="F140" s="1">
        <v>0</v>
      </c>
      <c r="G140" s="1">
        <v>0</v>
      </c>
      <c r="H140" s="1">
        <v>0</v>
      </c>
      <c r="I140" s="55">
        <f>SUM(F140:H140)</f>
        <v>0</v>
      </c>
      <c r="J140" s="1">
        <v>0</v>
      </c>
      <c r="K140" s="1">
        <v>0</v>
      </c>
      <c r="L140" s="1">
        <v>0</v>
      </c>
      <c r="M140" s="55">
        <f>SUM(J140:L140)</f>
        <v>0</v>
      </c>
      <c r="N140" s="1">
        <v>0</v>
      </c>
      <c r="O140" s="1">
        <v>0</v>
      </c>
      <c r="P140" s="1">
        <v>0</v>
      </c>
      <c r="Q140" s="55">
        <f>SUM(N140:P140)</f>
        <v>0</v>
      </c>
      <c r="R140" s="55">
        <f>+E140+I140+M140+Q140</f>
        <v>1</v>
      </c>
    </row>
    <row r="141" spans="1:18" ht="15.75" customHeight="1" x14ac:dyDescent="0.3">
      <c r="A141" s="84" t="s">
        <v>606</v>
      </c>
      <c r="B141" s="1">
        <v>0</v>
      </c>
      <c r="C141" s="1">
        <v>750</v>
      </c>
      <c r="D141" s="1">
        <v>1037</v>
      </c>
      <c r="E141" s="55">
        <f t="shared" ref="E141:E155" si="14">SUM(B141:D141)</f>
        <v>1787</v>
      </c>
      <c r="F141" s="1">
        <v>1132</v>
      </c>
      <c r="G141" s="1">
        <v>2497</v>
      </c>
      <c r="H141" s="1">
        <v>0</v>
      </c>
      <c r="I141" s="55">
        <f t="shared" ref="I141:I155" si="15">SUM(F141:H141)</f>
        <v>3629</v>
      </c>
      <c r="J141" s="1">
        <v>0</v>
      </c>
      <c r="K141" s="1">
        <v>0</v>
      </c>
      <c r="L141" s="1">
        <v>0</v>
      </c>
      <c r="M141" s="55">
        <f t="shared" ref="M141:M155" si="16">SUM(J141:L141)</f>
        <v>0</v>
      </c>
      <c r="N141" s="1">
        <v>0</v>
      </c>
      <c r="O141" s="1">
        <v>0</v>
      </c>
      <c r="P141" s="1">
        <v>0</v>
      </c>
      <c r="Q141" s="55">
        <f t="shared" ref="Q141:Q155" si="17">SUM(N141:P141)</f>
        <v>0</v>
      </c>
      <c r="R141" s="55">
        <f t="shared" ref="R141:R155" si="18">+E141+I141+M141+Q141</f>
        <v>5416</v>
      </c>
    </row>
    <row r="142" spans="1:18" ht="15.75" customHeight="1" x14ac:dyDescent="0.3">
      <c r="A142" s="84" t="s">
        <v>607</v>
      </c>
      <c r="B142" s="1">
        <v>0</v>
      </c>
      <c r="C142" s="1">
        <v>0</v>
      </c>
      <c r="D142" s="1">
        <v>0</v>
      </c>
      <c r="E142" s="55">
        <f t="shared" si="14"/>
        <v>0</v>
      </c>
      <c r="F142" s="1">
        <v>1148</v>
      </c>
      <c r="G142" s="1">
        <v>0</v>
      </c>
      <c r="H142" s="1">
        <v>343</v>
      </c>
      <c r="I142" s="55">
        <f t="shared" si="15"/>
        <v>1491</v>
      </c>
      <c r="J142" s="1">
        <v>839</v>
      </c>
      <c r="K142" s="1">
        <v>0</v>
      </c>
      <c r="L142" s="1">
        <v>1723</v>
      </c>
      <c r="M142" s="55">
        <f t="shared" si="16"/>
        <v>2562</v>
      </c>
      <c r="N142" s="1">
        <v>2190</v>
      </c>
      <c r="O142" s="1">
        <v>1503</v>
      </c>
      <c r="P142" s="1">
        <v>0</v>
      </c>
      <c r="Q142" s="55">
        <f t="shared" si="17"/>
        <v>3693</v>
      </c>
      <c r="R142" s="55">
        <f t="shared" si="18"/>
        <v>7746</v>
      </c>
    </row>
    <row r="143" spans="1:18" ht="15.75" customHeight="1" x14ac:dyDescent="0.3">
      <c r="A143" s="71" t="s">
        <v>114</v>
      </c>
      <c r="B143" s="1">
        <v>23</v>
      </c>
      <c r="C143" s="1">
        <v>40</v>
      </c>
      <c r="D143" s="1">
        <v>36</v>
      </c>
      <c r="E143" s="55">
        <f t="shared" si="14"/>
        <v>99</v>
      </c>
      <c r="F143" s="1">
        <v>46</v>
      </c>
      <c r="G143" s="1">
        <v>59</v>
      </c>
      <c r="H143" s="1">
        <v>69</v>
      </c>
      <c r="I143" s="55">
        <f t="shared" si="15"/>
        <v>174</v>
      </c>
      <c r="J143" s="1">
        <v>60</v>
      </c>
      <c r="K143" s="1">
        <v>57</v>
      </c>
      <c r="L143" s="1">
        <v>53</v>
      </c>
      <c r="M143" s="55">
        <f t="shared" si="16"/>
        <v>170</v>
      </c>
      <c r="N143" s="1">
        <v>37</v>
      </c>
      <c r="O143" s="1">
        <v>38</v>
      </c>
      <c r="P143" s="1">
        <v>15</v>
      </c>
      <c r="Q143" s="55">
        <f t="shared" si="17"/>
        <v>90</v>
      </c>
      <c r="R143" s="55">
        <f t="shared" si="18"/>
        <v>533</v>
      </c>
    </row>
    <row r="144" spans="1:18" ht="15.75" customHeight="1" x14ac:dyDescent="0.3">
      <c r="A144" s="71" t="s">
        <v>115</v>
      </c>
      <c r="B144" s="1">
        <v>126</v>
      </c>
      <c r="C144" s="1">
        <v>101</v>
      </c>
      <c r="D144" s="1">
        <v>121</v>
      </c>
      <c r="E144" s="55">
        <f t="shared" si="14"/>
        <v>348</v>
      </c>
      <c r="F144" s="1">
        <v>142</v>
      </c>
      <c r="G144" s="1">
        <v>157</v>
      </c>
      <c r="H144" s="1">
        <v>178</v>
      </c>
      <c r="I144" s="55">
        <f t="shared" si="15"/>
        <v>477</v>
      </c>
      <c r="J144" s="1">
        <v>203</v>
      </c>
      <c r="K144" s="1">
        <v>190</v>
      </c>
      <c r="L144" s="1">
        <v>188</v>
      </c>
      <c r="M144" s="55">
        <f t="shared" si="16"/>
        <v>581</v>
      </c>
      <c r="N144" s="1">
        <v>174</v>
      </c>
      <c r="O144" s="1">
        <v>152</v>
      </c>
      <c r="P144" s="1">
        <v>146</v>
      </c>
      <c r="Q144" s="55">
        <f t="shared" si="17"/>
        <v>472</v>
      </c>
      <c r="R144" s="55">
        <f t="shared" si="18"/>
        <v>1878</v>
      </c>
    </row>
    <row r="145" spans="1:18" ht="15.75" customHeight="1" x14ac:dyDescent="0.3">
      <c r="A145" s="71" t="s">
        <v>117</v>
      </c>
      <c r="B145" s="1">
        <v>397</v>
      </c>
      <c r="C145" s="1">
        <v>349</v>
      </c>
      <c r="D145" s="1">
        <v>411</v>
      </c>
      <c r="E145" s="55">
        <f t="shared" si="14"/>
        <v>1157</v>
      </c>
      <c r="F145" s="1">
        <v>482</v>
      </c>
      <c r="G145" s="1">
        <v>553</v>
      </c>
      <c r="H145" s="1">
        <v>600</v>
      </c>
      <c r="I145" s="55">
        <f t="shared" si="15"/>
        <v>1635</v>
      </c>
      <c r="J145" s="1">
        <v>664</v>
      </c>
      <c r="K145" s="1">
        <v>626</v>
      </c>
      <c r="L145" s="1">
        <v>613</v>
      </c>
      <c r="M145" s="55">
        <f t="shared" si="16"/>
        <v>1903</v>
      </c>
      <c r="N145" s="1">
        <v>583</v>
      </c>
      <c r="O145" s="1">
        <v>523</v>
      </c>
      <c r="P145" s="1">
        <v>438</v>
      </c>
      <c r="Q145" s="55">
        <f t="shared" si="17"/>
        <v>1544</v>
      </c>
      <c r="R145" s="55">
        <f t="shared" si="18"/>
        <v>6239</v>
      </c>
    </row>
    <row r="146" spans="1:18" ht="15.75" customHeight="1" x14ac:dyDescent="0.3">
      <c r="A146" s="71" t="s">
        <v>118</v>
      </c>
      <c r="B146" s="1">
        <v>0</v>
      </c>
      <c r="C146" s="1">
        <v>0</v>
      </c>
      <c r="D146" s="1">
        <v>0</v>
      </c>
      <c r="E146" s="55">
        <f t="shared" ref="E146:E151" si="19">SUM(B146:D146)</f>
        <v>0</v>
      </c>
      <c r="F146" s="1">
        <v>0</v>
      </c>
      <c r="G146" s="1">
        <v>0</v>
      </c>
      <c r="H146" s="1">
        <v>0</v>
      </c>
      <c r="I146" s="55">
        <f t="shared" ref="I146:I151" si="20">SUM(F146:H146)</f>
        <v>0</v>
      </c>
      <c r="J146" s="1">
        <v>0</v>
      </c>
      <c r="K146" s="1">
        <v>0</v>
      </c>
      <c r="L146" s="1">
        <v>0</v>
      </c>
      <c r="M146" s="55">
        <f t="shared" ref="M146:M151" si="21">SUM(J146:L146)</f>
        <v>0</v>
      </c>
      <c r="N146" s="1">
        <v>310</v>
      </c>
      <c r="O146" s="1">
        <v>0</v>
      </c>
      <c r="P146" s="1">
        <v>0</v>
      </c>
      <c r="Q146" s="55">
        <f t="shared" ref="Q146:Q151" si="22">SUM(N146:P146)</f>
        <v>310</v>
      </c>
      <c r="R146" s="55">
        <f t="shared" si="18"/>
        <v>310</v>
      </c>
    </row>
    <row r="147" spans="1:18" ht="15.75" customHeight="1" x14ac:dyDescent="0.3">
      <c r="A147" s="289" t="s">
        <v>608</v>
      </c>
      <c r="B147" s="1">
        <v>0</v>
      </c>
      <c r="C147" s="1">
        <v>0</v>
      </c>
      <c r="D147" s="1">
        <v>0</v>
      </c>
      <c r="E147" s="55">
        <f t="shared" si="19"/>
        <v>0</v>
      </c>
      <c r="F147" s="1">
        <v>0</v>
      </c>
      <c r="G147" s="1">
        <v>0</v>
      </c>
      <c r="H147" s="1">
        <v>0</v>
      </c>
      <c r="I147" s="55">
        <f t="shared" si="20"/>
        <v>0</v>
      </c>
      <c r="J147" s="1">
        <v>0</v>
      </c>
      <c r="K147" s="1">
        <v>0</v>
      </c>
      <c r="L147" s="1">
        <v>0</v>
      </c>
      <c r="M147" s="55">
        <f t="shared" si="21"/>
        <v>0</v>
      </c>
      <c r="N147" s="1">
        <v>0</v>
      </c>
      <c r="O147" s="1">
        <v>0</v>
      </c>
      <c r="P147" s="1">
        <v>0</v>
      </c>
      <c r="Q147" s="55">
        <f t="shared" si="22"/>
        <v>0</v>
      </c>
      <c r="R147" s="55">
        <f t="shared" si="18"/>
        <v>0</v>
      </c>
    </row>
    <row r="148" spans="1:18" ht="15.75" customHeight="1" x14ac:dyDescent="0.3">
      <c r="A148" s="71" t="s">
        <v>609</v>
      </c>
      <c r="B148" s="1">
        <v>0</v>
      </c>
      <c r="C148" s="1">
        <v>0</v>
      </c>
      <c r="D148" s="1">
        <v>0</v>
      </c>
      <c r="E148" s="55">
        <f t="shared" si="19"/>
        <v>0</v>
      </c>
      <c r="F148" s="1">
        <v>0</v>
      </c>
      <c r="G148" s="1">
        <v>0</v>
      </c>
      <c r="H148" s="1">
        <v>2051</v>
      </c>
      <c r="I148" s="55">
        <f t="shared" si="20"/>
        <v>2051</v>
      </c>
      <c r="J148" s="1">
        <v>2331</v>
      </c>
      <c r="K148" s="1">
        <v>1589</v>
      </c>
      <c r="L148" s="1">
        <v>1743</v>
      </c>
      <c r="M148" s="55">
        <f t="shared" si="21"/>
        <v>5663</v>
      </c>
      <c r="N148" s="1">
        <v>494</v>
      </c>
      <c r="O148" s="1">
        <v>1273</v>
      </c>
      <c r="P148" s="1">
        <v>1337</v>
      </c>
      <c r="Q148" s="55">
        <f t="shared" si="22"/>
        <v>3104</v>
      </c>
      <c r="R148" s="55">
        <f t="shared" si="18"/>
        <v>10818</v>
      </c>
    </row>
    <row r="149" spans="1:18" ht="15.75" customHeight="1" x14ac:dyDescent="0.3">
      <c r="A149" s="71" t="s">
        <v>120</v>
      </c>
      <c r="B149" s="1">
        <v>15</v>
      </c>
      <c r="C149" s="1">
        <v>18</v>
      </c>
      <c r="D149" s="1">
        <v>26</v>
      </c>
      <c r="E149" s="55">
        <f t="shared" si="19"/>
        <v>59</v>
      </c>
      <c r="F149" s="1">
        <v>50</v>
      </c>
      <c r="G149" s="1">
        <v>88</v>
      </c>
      <c r="H149" s="1">
        <v>82</v>
      </c>
      <c r="I149" s="55">
        <f t="shared" si="20"/>
        <v>220</v>
      </c>
      <c r="J149" s="1">
        <v>86</v>
      </c>
      <c r="K149" s="1">
        <v>73</v>
      </c>
      <c r="L149" s="1">
        <v>76</v>
      </c>
      <c r="M149" s="55">
        <f t="shared" si="21"/>
        <v>235</v>
      </c>
      <c r="N149" s="1">
        <v>59</v>
      </c>
      <c r="O149" s="1">
        <v>44</v>
      </c>
      <c r="P149" s="1">
        <v>16</v>
      </c>
      <c r="Q149" s="55">
        <f t="shared" si="22"/>
        <v>119</v>
      </c>
      <c r="R149" s="55">
        <f t="shared" si="18"/>
        <v>633</v>
      </c>
    </row>
    <row r="150" spans="1:18" ht="15.75" customHeight="1" x14ac:dyDescent="0.3">
      <c r="A150" s="84" t="s">
        <v>610</v>
      </c>
      <c r="B150" s="1">
        <v>21</v>
      </c>
      <c r="C150" s="1">
        <v>11</v>
      </c>
      <c r="D150" s="1">
        <v>305</v>
      </c>
      <c r="E150" s="55">
        <f t="shared" si="19"/>
        <v>337</v>
      </c>
      <c r="F150" s="1">
        <v>26</v>
      </c>
      <c r="G150" s="1">
        <v>0</v>
      </c>
      <c r="H150" s="1">
        <v>0</v>
      </c>
      <c r="I150" s="55">
        <f t="shared" si="20"/>
        <v>26</v>
      </c>
      <c r="J150" s="1">
        <v>1018</v>
      </c>
      <c r="K150" s="1">
        <v>2690</v>
      </c>
      <c r="L150" s="1">
        <v>1273</v>
      </c>
      <c r="M150" s="55">
        <f t="shared" si="21"/>
        <v>4981</v>
      </c>
      <c r="N150" s="1">
        <v>927</v>
      </c>
      <c r="O150" s="1">
        <v>755</v>
      </c>
      <c r="P150" s="1">
        <v>697</v>
      </c>
      <c r="Q150" s="55">
        <f t="shared" si="22"/>
        <v>2379</v>
      </c>
      <c r="R150" s="55">
        <f t="shared" si="18"/>
        <v>7723</v>
      </c>
    </row>
    <row r="151" spans="1:18" ht="15.75" customHeight="1" x14ac:dyDescent="0.3">
      <c r="A151" s="84" t="s">
        <v>611</v>
      </c>
      <c r="B151" s="1">
        <v>0</v>
      </c>
      <c r="C151" s="1">
        <v>0</v>
      </c>
      <c r="D151" s="1">
        <v>0</v>
      </c>
      <c r="E151" s="55">
        <f t="shared" si="19"/>
        <v>0</v>
      </c>
      <c r="F151" s="1">
        <v>0</v>
      </c>
      <c r="G151" s="1">
        <v>0</v>
      </c>
      <c r="H151" s="1">
        <v>50</v>
      </c>
      <c r="I151" s="55">
        <f t="shared" si="20"/>
        <v>50</v>
      </c>
      <c r="J151" s="1">
        <v>0</v>
      </c>
      <c r="K151" s="1">
        <v>0</v>
      </c>
      <c r="L151" s="1">
        <v>0</v>
      </c>
      <c r="M151" s="55">
        <f t="shared" si="21"/>
        <v>0</v>
      </c>
      <c r="N151" s="1">
        <v>0</v>
      </c>
      <c r="O151" s="1">
        <v>0</v>
      </c>
      <c r="P151" s="1">
        <v>0</v>
      </c>
      <c r="Q151" s="55">
        <f t="shared" si="22"/>
        <v>0</v>
      </c>
      <c r="R151" s="55">
        <f t="shared" si="18"/>
        <v>50</v>
      </c>
    </row>
    <row r="152" spans="1:18" ht="15.75" customHeight="1" x14ac:dyDescent="0.3">
      <c r="A152" s="71" t="s">
        <v>122</v>
      </c>
      <c r="B152" s="1">
        <v>8776</v>
      </c>
      <c r="C152" s="1">
        <v>7223</v>
      </c>
      <c r="D152" s="1">
        <v>7540</v>
      </c>
      <c r="E152" s="55">
        <f t="shared" si="14"/>
        <v>23539</v>
      </c>
      <c r="F152" s="1">
        <v>10435</v>
      </c>
      <c r="G152" s="1">
        <v>2170</v>
      </c>
      <c r="H152" s="1">
        <v>0</v>
      </c>
      <c r="I152" s="55">
        <f t="shared" si="15"/>
        <v>12605</v>
      </c>
      <c r="J152" s="1">
        <v>10988</v>
      </c>
      <c r="K152" s="1">
        <v>14220</v>
      </c>
      <c r="L152" s="1">
        <v>15123</v>
      </c>
      <c r="M152" s="55">
        <f t="shared" si="16"/>
        <v>40331</v>
      </c>
      <c r="N152" s="1">
        <v>14221</v>
      </c>
      <c r="O152" s="1">
        <v>12447</v>
      </c>
      <c r="P152" s="1">
        <v>10419</v>
      </c>
      <c r="Q152" s="55">
        <f t="shared" si="17"/>
        <v>37087</v>
      </c>
      <c r="R152" s="55">
        <f t="shared" si="18"/>
        <v>113562</v>
      </c>
    </row>
    <row r="153" spans="1:18" ht="15.75" customHeight="1" x14ac:dyDescent="0.3">
      <c r="A153" s="71" t="s">
        <v>123</v>
      </c>
      <c r="B153" s="1">
        <v>15</v>
      </c>
      <c r="C153" s="1">
        <v>15</v>
      </c>
      <c r="D153" s="1">
        <v>24</v>
      </c>
      <c r="E153" s="55">
        <f t="shared" si="14"/>
        <v>54</v>
      </c>
      <c r="F153" s="1">
        <v>24</v>
      </c>
      <c r="G153" s="1">
        <v>25</v>
      </c>
      <c r="H153" s="1">
        <v>25</v>
      </c>
      <c r="I153" s="55">
        <f t="shared" si="15"/>
        <v>74</v>
      </c>
      <c r="J153" s="1">
        <v>25</v>
      </c>
      <c r="K153" s="1">
        <v>25</v>
      </c>
      <c r="L153" s="1">
        <v>25</v>
      </c>
      <c r="M153" s="55">
        <f t="shared" si="16"/>
        <v>75</v>
      </c>
      <c r="N153" s="1">
        <v>18</v>
      </c>
      <c r="O153" s="1">
        <v>18</v>
      </c>
      <c r="P153" s="1">
        <v>18</v>
      </c>
      <c r="Q153" s="55">
        <f t="shared" si="17"/>
        <v>54</v>
      </c>
      <c r="R153" s="55">
        <f t="shared" si="18"/>
        <v>257</v>
      </c>
    </row>
    <row r="154" spans="1:18" ht="15.75" customHeight="1" x14ac:dyDescent="0.3">
      <c r="A154" s="71" t="s">
        <v>124</v>
      </c>
      <c r="B154" s="1">
        <v>3283</v>
      </c>
      <c r="C154" s="1">
        <v>0</v>
      </c>
      <c r="D154" s="1">
        <v>0</v>
      </c>
      <c r="E154" s="55">
        <f t="shared" si="14"/>
        <v>3283</v>
      </c>
      <c r="F154" s="1">
        <v>0</v>
      </c>
      <c r="G154" s="1">
        <v>4425</v>
      </c>
      <c r="H154" s="1">
        <v>5621</v>
      </c>
      <c r="I154" s="55">
        <f t="shared" si="15"/>
        <v>10046</v>
      </c>
      <c r="J154" s="1">
        <v>5865</v>
      </c>
      <c r="K154" s="1">
        <v>5971</v>
      </c>
      <c r="L154" s="1">
        <v>5718</v>
      </c>
      <c r="M154" s="55">
        <f t="shared" si="16"/>
        <v>17554</v>
      </c>
      <c r="N154" s="1">
        <v>5799</v>
      </c>
      <c r="O154" s="1">
        <v>5008</v>
      </c>
      <c r="P154" s="1">
        <v>4253</v>
      </c>
      <c r="Q154" s="55">
        <f t="shared" si="17"/>
        <v>15060</v>
      </c>
      <c r="R154" s="55">
        <f t="shared" si="18"/>
        <v>45943</v>
      </c>
    </row>
    <row r="155" spans="1:18" ht="15.75" customHeight="1" x14ac:dyDescent="0.3">
      <c r="A155" s="71" t="s">
        <v>612</v>
      </c>
      <c r="B155" s="1">
        <v>0</v>
      </c>
      <c r="C155" s="1">
        <v>0</v>
      </c>
      <c r="D155" s="1">
        <v>0</v>
      </c>
      <c r="E155" s="55">
        <f t="shared" si="14"/>
        <v>0</v>
      </c>
      <c r="F155" s="1">
        <v>0</v>
      </c>
      <c r="G155" s="1">
        <v>0</v>
      </c>
      <c r="H155" s="1">
        <v>3798</v>
      </c>
      <c r="I155" s="55">
        <f t="shared" si="15"/>
        <v>3798</v>
      </c>
      <c r="J155" s="1">
        <v>1700</v>
      </c>
      <c r="K155" s="1">
        <v>1597</v>
      </c>
      <c r="L155" s="1">
        <v>2064</v>
      </c>
      <c r="M155" s="55">
        <f t="shared" si="16"/>
        <v>5361</v>
      </c>
      <c r="N155" s="1">
        <v>1090</v>
      </c>
      <c r="O155" s="1">
        <v>0</v>
      </c>
      <c r="P155" s="1">
        <v>0</v>
      </c>
      <c r="Q155" s="55">
        <f t="shared" si="17"/>
        <v>1090</v>
      </c>
      <c r="R155" s="55">
        <f t="shared" si="18"/>
        <v>10249</v>
      </c>
    </row>
    <row r="156" spans="1:18" ht="15.75" customHeight="1" x14ac:dyDescent="0.3">
      <c r="A156" s="71" t="s">
        <v>125</v>
      </c>
      <c r="B156" s="1">
        <v>122</v>
      </c>
      <c r="C156" s="1">
        <v>0</v>
      </c>
      <c r="D156" s="1">
        <v>0</v>
      </c>
      <c r="E156" s="55">
        <f>SUM(B156:D156)</f>
        <v>122</v>
      </c>
      <c r="F156" s="1">
        <v>0</v>
      </c>
      <c r="G156" s="1">
        <v>0</v>
      </c>
      <c r="H156" s="1">
        <v>450</v>
      </c>
      <c r="I156" s="55">
        <f>SUM(F156:H156)</f>
        <v>450</v>
      </c>
      <c r="J156" s="1">
        <v>493</v>
      </c>
      <c r="K156" s="1">
        <v>500</v>
      </c>
      <c r="L156" s="1">
        <v>400</v>
      </c>
      <c r="M156" s="55">
        <f>SUM(J156:L156)</f>
        <v>1393</v>
      </c>
      <c r="N156" s="1">
        <v>0</v>
      </c>
      <c r="O156" s="1">
        <v>300</v>
      </c>
      <c r="P156" s="1">
        <v>250</v>
      </c>
      <c r="Q156" s="55">
        <f>SUM(N156:P156)</f>
        <v>550</v>
      </c>
      <c r="R156" s="55">
        <f>+E156+I156+M156+Q156</f>
        <v>2515</v>
      </c>
    </row>
    <row r="157" spans="1:18" ht="15.75" customHeight="1" x14ac:dyDescent="0.3">
      <c r="A157" s="71" t="s">
        <v>126</v>
      </c>
      <c r="B157" s="1">
        <v>2</v>
      </c>
      <c r="C157" s="1">
        <v>2</v>
      </c>
      <c r="D157" s="1">
        <v>2</v>
      </c>
      <c r="E157" s="55">
        <f>SUM(B157:D157)</f>
        <v>6</v>
      </c>
      <c r="F157" s="1">
        <v>2</v>
      </c>
      <c r="G157" s="1">
        <v>3</v>
      </c>
      <c r="H157" s="1">
        <v>3</v>
      </c>
      <c r="I157" s="55">
        <f>SUM(F157:H157)</f>
        <v>8</v>
      </c>
      <c r="J157" s="1">
        <v>3</v>
      </c>
      <c r="K157" s="1">
        <v>3</v>
      </c>
      <c r="L157" s="1">
        <v>3</v>
      </c>
      <c r="M157" s="55">
        <f>SUM(J157:L157)</f>
        <v>9</v>
      </c>
      <c r="N157" s="1">
        <v>3</v>
      </c>
      <c r="O157" s="1">
        <v>2</v>
      </c>
      <c r="P157" s="1">
        <v>1</v>
      </c>
      <c r="Q157" s="55">
        <f>SUM(N157:P157)</f>
        <v>6</v>
      </c>
      <c r="R157" s="55">
        <f>+E157+I157+M157+Q157</f>
        <v>29</v>
      </c>
    </row>
    <row r="158" spans="1:18" ht="15.75" customHeight="1" x14ac:dyDescent="0.3">
      <c r="A158" s="15" t="s">
        <v>50</v>
      </c>
      <c r="B158" s="1"/>
      <c r="C158" s="1"/>
      <c r="D158" s="1"/>
      <c r="E158" s="55" t="s">
        <v>7</v>
      </c>
      <c r="F158" s="1"/>
      <c r="G158" s="1"/>
      <c r="H158" s="1"/>
      <c r="I158" s="55" t="s">
        <v>7</v>
      </c>
      <c r="J158" s="1"/>
      <c r="K158" s="1"/>
      <c r="L158" s="1"/>
      <c r="M158" s="55" t="s">
        <v>7</v>
      </c>
      <c r="N158" s="1"/>
      <c r="O158" s="1"/>
      <c r="P158" s="1"/>
      <c r="Q158" s="55" t="s">
        <v>7</v>
      </c>
      <c r="R158" s="55" t="s">
        <v>7</v>
      </c>
    </row>
    <row r="159" spans="1:18" ht="15.75" customHeight="1" x14ac:dyDescent="0.3">
      <c r="A159" s="71" t="s">
        <v>127</v>
      </c>
      <c r="B159" s="1">
        <v>15</v>
      </c>
      <c r="C159" s="1">
        <v>15</v>
      </c>
      <c r="D159" s="1">
        <v>23</v>
      </c>
      <c r="E159" s="55">
        <f t="shared" ref="E159:E168" si="23">SUM(B159:D159)</f>
        <v>53</v>
      </c>
      <c r="F159" s="1">
        <v>37</v>
      </c>
      <c r="G159" s="1">
        <v>48</v>
      </c>
      <c r="H159" s="1">
        <v>54</v>
      </c>
      <c r="I159" s="55">
        <f t="shared" ref="I159:I168" si="24">SUM(F159:H159)</f>
        <v>139</v>
      </c>
      <c r="J159" s="1">
        <v>58</v>
      </c>
      <c r="K159" s="1">
        <v>50</v>
      </c>
      <c r="L159" s="1">
        <v>42</v>
      </c>
      <c r="M159" s="55">
        <f t="shared" ref="M159:M168" si="25">SUM(J159:L159)</f>
        <v>150</v>
      </c>
      <c r="N159" s="1">
        <v>55</v>
      </c>
      <c r="O159" s="1">
        <v>34</v>
      </c>
      <c r="P159" s="1">
        <v>18</v>
      </c>
      <c r="Q159" s="55">
        <f t="shared" ref="Q159:Q168" si="26">SUM(N159:P159)</f>
        <v>107</v>
      </c>
      <c r="R159" s="55">
        <f t="shared" ref="R159:R168" si="27">+E159+I159+M159+Q159</f>
        <v>449</v>
      </c>
    </row>
    <row r="160" spans="1:18" ht="15.75" customHeight="1" x14ac:dyDescent="0.3">
      <c r="A160" s="71" t="s">
        <v>128</v>
      </c>
      <c r="B160" s="1">
        <v>1</v>
      </c>
      <c r="C160" s="1">
        <v>1</v>
      </c>
      <c r="D160" s="1">
        <v>6</v>
      </c>
      <c r="E160" s="55">
        <f t="shared" si="23"/>
        <v>8</v>
      </c>
      <c r="F160" s="1">
        <v>12</v>
      </c>
      <c r="G160" s="1">
        <v>17</v>
      </c>
      <c r="H160" s="1">
        <v>19</v>
      </c>
      <c r="I160" s="55">
        <f t="shared" si="24"/>
        <v>48</v>
      </c>
      <c r="J160" s="1">
        <v>17</v>
      </c>
      <c r="K160" s="1">
        <v>23</v>
      </c>
      <c r="L160" s="1">
        <v>21</v>
      </c>
      <c r="M160" s="55">
        <f t="shared" si="25"/>
        <v>61</v>
      </c>
      <c r="N160" s="1">
        <v>14</v>
      </c>
      <c r="O160" s="1">
        <v>0</v>
      </c>
      <c r="P160" s="1">
        <v>0</v>
      </c>
      <c r="Q160" s="55">
        <f t="shared" si="26"/>
        <v>14</v>
      </c>
      <c r="R160" s="55">
        <f t="shared" si="27"/>
        <v>131</v>
      </c>
    </row>
    <row r="161" spans="1:18" ht="15.75" customHeight="1" x14ac:dyDescent="0.3">
      <c r="A161" s="71" t="s">
        <v>129</v>
      </c>
      <c r="B161" s="1">
        <v>10</v>
      </c>
      <c r="C161" s="1">
        <v>10</v>
      </c>
      <c r="D161" s="1">
        <v>10</v>
      </c>
      <c r="E161" s="55">
        <f t="shared" si="23"/>
        <v>30</v>
      </c>
      <c r="F161" s="1">
        <v>10</v>
      </c>
      <c r="G161" s="1">
        <v>10</v>
      </c>
      <c r="H161" s="1">
        <v>10</v>
      </c>
      <c r="I161" s="55">
        <f t="shared" si="24"/>
        <v>30</v>
      </c>
      <c r="J161" s="1">
        <v>10</v>
      </c>
      <c r="K161" s="1">
        <v>10</v>
      </c>
      <c r="L161" s="1">
        <v>10</v>
      </c>
      <c r="M161" s="55">
        <f t="shared" si="25"/>
        <v>30</v>
      </c>
      <c r="N161" s="1">
        <v>10</v>
      </c>
      <c r="O161" s="1">
        <v>10</v>
      </c>
      <c r="P161" s="1">
        <v>10</v>
      </c>
      <c r="Q161" s="55">
        <f t="shared" si="26"/>
        <v>30</v>
      </c>
      <c r="R161" s="55">
        <f t="shared" si="27"/>
        <v>120</v>
      </c>
    </row>
    <row r="162" spans="1:18" ht="15.75" customHeight="1" x14ac:dyDescent="0.3">
      <c r="A162" s="71" t="s">
        <v>613</v>
      </c>
      <c r="B162" s="1">
        <v>1</v>
      </c>
      <c r="C162" s="1">
        <v>1</v>
      </c>
      <c r="D162" s="1">
        <v>2</v>
      </c>
      <c r="E162" s="55">
        <f t="shared" si="23"/>
        <v>4</v>
      </c>
      <c r="F162" s="1">
        <v>3</v>
      </c>
      <c r="G162" s="1">
        <v>3</v>
      </c>
      <c r="H162" s="1">
        <v>5</v>
      </c>
      <c r="I162" s="55">
        <f t="shared" si="24"/>
        <v>11</v>
      </c>
      <c r="J162" s="1">
        <v>3</v>
      </c>
      <c r="K162" s="1">
        <v>2</v>
      </c>
      <c r="L162" s="1">
        <v>2</v>
      </c>
      <c r="M162" s="55">
        <f t="shared" si="25"/>
        <v>7</v>
      </c>
      <c r="N162" s="1">
        <v>2</v>
      </c>
      <c r="O162" s="1">
        <v>2</v>
      </c>
      <c r="P162" s="1">
        <v>1</v>
      </c>
      <c r="Q162" s="55">
        <f t="shared" si="26"/>
        <v>5</v>
      </c>
      <c r="R162" s="55">
        <f t="shared" si="27"/>
        <v>27</v>
      </c>
    </row>
    <row r="163" spans="1:18" ht="15.75" customHeight="1" x14ac:dyDescent="0.3">
      <c r="A163" s="71" t="s">
        <v>120</v>
      </c>
      <c r="B163" s="1">
        <v>0</v>
      </c>
      <c r="C163" s="1">
        <v>0</v>
      </c>
      <c r="D163" s="1">
        <v>0</v>
      </c>
      <c r="E163" s="55">
        <f t="shared" si="23"/>
        <v>0</v>
      </c>
      <c r="F163" s="1">
        <v>0</v>
      </c>
      <c r="G163" s="1">
        <v>0</v>
      </c>
      <c r="H163" s="1">
        <v>0</v>
      </c>
      <c r="I163" s="55">
        <f t="shared" si="24"/>
        <v>0</v>
      </c>
      <c r="J163" s="1">
        <v>0</v>
      </c>
      <c r="K163" s="1">
        <v>0</v>
      </c>
      <c r="L163" s="1">
        <v>0</v>
      </c>
      <c r="M163" s="55">
        <f t="shared" si="25"/>
        <v>0</v>
      </c>
      <c r="N163" s="1">
        <v>0</v>
      </c>
      <c r="O163" s="1">
        <v>0</v>
      </c>
      <c r="P163" s="1">
        <v>0</v>
      </c>
      <c r="Q163" s="55">
        <f t="shared" si="26"/>
        <v>0</v>
      </c>
      <c r="R163" s="55">
        <f t="shared" si="27"/>
        <v>0</v>
      </c>
    </row>
    <row r="164" spans="1:18" ht="15.75" customHeight="1" x14ac:dyDescent="0.3">
      <c r="A164" s="71" t="s">
        <v>132</v>
      </c>
      <c r="B164" s="1">
        <v>0</v>
      </c>
      <c r="C164" s="1">
        <v>1</v>
      </c>
      <c r="D164" s="1">
        <v>1</v>
      </c>
      <c r="E164" s="55">
        <f t="shared" si="23"/>
        <v>2</v>
      </c>
      <c r="F164" s="1">
        <v>0</v>
      </c>
      <c r="G164" s="1">
        <v>1</v>
      </c>
      <c r="H164" s="1">
        <v>1</v>
      </c>
      <c r="I164" s="55">
        <f t="shared" si="24"/>
        <v>2</v>
      </c>
      <c r="J164" s="1">
        <v>1</v>
      </c>
      <c r="K164" s="1">
        <v>1</v>
      </c>
      <c r="L164" s="1">
        <v>1</v>
      </c>
      <c r="M164" s="55">
        <f t="shared" si="25"/>
        <v>3</v>
      </c>
      <c r="N164" s="1">
        <v>1</v>
      </c>
      <c r="O164" s="1">
        <v>1</v>
      </c>
      <c r="P164" s="1">
        <v>0</v>
      </c>
      <c r="Q164" s="55">
        <f t="shared" si="26"/>
        <v>2</v>
      </c>
      <c r="R164" s="55">
        <f t="shared" si="27"/>
        <v>9</v>
      </c>
    </row>
    <row r="165" spans="1:18" ht="15.75" customHeight="1" x14ac:dyDescent="0.3">
      <c r="A165" s="71" t="s">
        <v>614</v>
      </c>
      <c r="B165" s="1">
        <v>14</v>
      </c>
      <c r="C165" s="1">
        <v>8</v>
      </c>
      <c r="D165" s="1">
        <v>15</v>
      </c>
      <c r="E165" s="55">
        <f t="shared" si="23"/>
        <v>37</v>
      </c>
      <c r="F165" s="1">
        <v>96</v>
      </c>
      <c r="G165" s="1">
        <v>208</v>
      </c>
      <c r="H165" s="1">
        <v>235</v>
      </c>
      <c r="I165" s="55">
        <f t="shared" si="24"/>
        <v>539</v>
      </c>
      <c r="J165" s="1">
        <v>225</v>
      </c>
      <c r="K165" s="1">
        <v>126</v>
      </c>
      <c r="L165" s="1">
        <v>179</v>
      </c>
      <c r="M165" s="55">
        <f t="shared" si="25"/>
        <v>530</v>
      </c>
      <c r="N165" s="1">
        <v>247</v>
      </c>
      <c r="O165" s="1">
        <v>114</v>
      </c>
      <c r="P165" s="1">
        <v>249</v>
      </c>
      <c r="Q165" s="55">
        <f t="shared" si="26"/>
        <v>610</v>
      </c>
      <c r="R165" s="55">
        <f t="shared" si="27"/>
        <v>1716</v>
      </c>
    </row>
    <row r="166" spans="1:18" ht="15.75" customHeight="1" x14ac:dyDescent="0.3">
      <c r="A166" s="71" t="s">
        <v>615</v>
      </c>
      <c r="B166" s="1">
        <v>0</v>
      </c>
      <c r="C166" s="1">
        <v>0</v>
      </c>
      <c r="D166" s="1">
        <v>0</v>
      </c>
      <c r="E166" s="55">
        <f t="shared" si="23"/>
        <v>0</v>
      </c>
      <c r="F166" s="1">
        <v>0</v>
      </c>
      <c r="G166" s="1">
        <v>12</v>
      </c>
      <c r="H166" s="1">
        <v>12</v>
      </c>
      <c r="I166" s="55">
        <f t="shared" si="24"/>
        <v>24</v>
      </c>
      <c r="J166" s="1">
        <v>13</v>
      </c>
      <c r="K166" s="1">
        <v>12</v>
      </c>
      <c r="L166" s="1">
        <v>12</v>
      </c>
      <c r="M166" s="55">
        <f t="shared" si="25"/>
        <v>37</v>
      </c>
      <c r="N166" s="1">
        <v>12</v>
      </c>
      <c r="O166" s="1">
        <v>12</v>
      </c>
      <c r="P166" s="1">
        <v>12</v>
      </c>
      <c r="Q166" s="55">
        <f t="shared" si="26"/>
        <v>36</v>
      </c>
      <c r="R166" s="55">
        <f t="shared" si="27"/>
        <v>97</v>
      </c>
    </row>
    <row r="167" spans="1:18" ht="15.75" customHeight="1" x14ac:dyDescent="0.3">
      <c r="A167" s="71" t="s">
        <v>135</v>
      </c>
      <c r="B167" s="1">
        <v>0</v>
      </c>
      <c r="C167" s="1">
        <v>0</v>
      </c>
      <c r="D167" s="1">
        <v>0</v>
      </c>
      <c r="E167" s="55">
        <f t="shared" si="23"/>
        <v>0</v>
      </c>
      <c r="F167" s="1">
        <v>0</v>
      </c>
      <c r="G167" s="1">
        <v>0</v>
      </c>
      <c r="H167" s="1">
        <v>0</v>
      </c>
      <c r="I167" s="55">
        <f t="shared" si="24"/>
        <v>0</v>
      </c>
      <c r="J167" s="1">
        <v>0</v>
      </c>
      <c r="K167" s="1">
        <v>0</v>
      </c>
      <c r="L167" s="1">
        <v>15</v>
      </c>
      <c r="M167" s="55">
        <f t="shared" si="25"/>
        <v>15</v>
      </c>
      <c r="N167" s="1">
        <v>2</v>
      </c>
      <c r="O167" s="1">
        <v>0</v>
      </c>
      <c r="P167" s="1">
        <v>0</v>
      </c>
      <c r="Q167" s="55">
        <f t="shared" si="26"/>
        <v>2</v>
      </c>
      <c r="R167" s="55">
        <f t="shared" si="27"/>
        <v>17</v>
      </c>
    </row>
    <row r="168" spans="1:18" ht="15.75" customHeight="1" x14ac:dyDescent="0.3">
      <c r="A168" s="71" t="s">
        <v>136</v>
      </c>
      <c r="B168" s="1">
        <v>0</v>
      </c>
      <c r="C168" s="1">
        <v>0</v>
      </c>
      <c r="D168" s="1">
        <v>0</v>
      </c>
      <c r="E168" s="55">
        <f t="shared" si="23"/>
        <v>0</v>
      </c>
      <c r="F168" s="1">
        <v>0</v>
      </c>
      <c r="G168" s="1">
        <v>0</v>
      </c>
      <c r="H168" s="1">
        <v>0</v>
      </c>
      <c r="I168" s="55">
        <f t="shared" si="24"/>
        <v>0</v>
      </c>
      <c r="J168" s="1">
        <v>0</v>
      </c>
      <c r="K168" s="1">
        <v>0</v>
      </c>
      <c r="L168" s="1">
        <v>0</v>
      </c>
      <c r="M168" s="55">
        <f t="shared" si="25"/>
        <v>0</v>
      </c>
      <c r="N168" s="1">
        <v>0</v>
      </c>
      <c r="O168" s="1">
        <v>0</v>
      </c>
      <c r="P168" s="1">
        <v>0</v>
      </c>
      <c r="Q168" s="55">
        <f t="shared" si="26"/>
        <v>0</v>
      </c>
      <c r="R168" s="55">
        <f t="shared" si="27"/>
        <v>0</v>
      </c>
    </row>
    <row r="169" spans="1:18" ht="15.75" customHeight="1" x14ac:dyDescent="0.3">
      <c r="A169" s="15" t="s">
        <v>51</v>
      </c>
      <c r="B169" s="1"/>
      <c r="C169" s="1"/>
      <c r="D169" s="1"/>
      <c r="E169" s="55" t="s">
        <v>7</v>
      </c>
      <c r="F169" s="1"/>
      <c r="G169" s="1"/>
      <c r="H169" s="1"/>
      <c r="I169" s="55" t="s">
        <v>7</v>
      </c>
      <c r="J169" s="1"/>
      <c r="K169" s="1"/>
      <c r="L169" s="1"/>
      <c r="M169" s="55" t="s">
        <v>7</v>
      </c>
      <c r="N169" s="1"/>
      <c r="O169" s="1"/>
      <c r="P169" s="1"/>
      <c r="Q169" s="55" t="s">
        <v>7</v>
      </c>
      <c r="R169" s="55" t="s">
        <v>7</v>
      </c>
    </row>
    <row r="170" spans="1:18" ht="15.75" customHeight="1" x14ac:dyDescent="0.3">
      <c r="A170" s="85" t="s">
        <v>137</v>
      </c>
      <c r="B170" s="1">
        <v>0</v>
      </c>
      <c r="C170" s="1">
        <v>0</v>
      </c>
      <c r="D170" s="1">
        <v>0</v>
      </c>
      <c r="E170" s="55">
        <f>SUM(B170:D170)</f>
        <v>0</v>
      </c>
      <c r="F170" s="1">
        <v>0</v>
      </c>
      <c r="G170" s="1">
        <v>0</v>
      </c>
      <c r="H170" s="1">
        <v>0</v>
      </c>
      <c r="I170" s="55">
        <f>SUM(F170:H170)</f>
        <v>0</v>
      </c>
      <c r="J170" s="1">
        <v>0</v>
      </c>
      <c r="K170" s="1">
        <v>0</v>
      </c>
      <c r="L170" s="1">
        <v>0</v>
      </c>
      <c r="M170" s="55">
        <f>SUM(J170:L170)</f>
        <v>0</v>
      </c>
      <c r="N170" s="1">
        <v>0</v>
      </c>
      <c r="O170" s="1">
        <v>0</v>
      </c>
      <c r="P170" s="1">
        <v>0</v>
      </c>
      <c r="Q170" s="55">
        <f>SUM(N170:P170)</f>
        <v>0</v>
      </c>
      <c r="R170" s="55">
        <f>+E170+I170+M170+Q170</f>
        <v>0</v>
      </c>
    </row>
    <row r="171" spans="1:18" ht="15.75" customHeight="1" x14ac:dyDescent="0.3">
      <c r="A171" s="85" t="s">
        <v>138</v>
      </c>
      <c r="B171" s="1">
        <v>0</v>
      </c>
      <c r="C171" s="1">
        <v>0</v>
      </c>
      <c r="D171" s="1">
        <v>0</v>
      </c>
      <c r="E171" s="55">
        <f>SUM(B171:D171)</f>
        <v>0</v>
      </c>
      <c r="F171" s="1">
        <v>0</v>
      </c>
      <c r="G171" s="1">
        <v>0</v>
      </c>
      <c r="H171" s="1">
        <v>0</v>
      </c>
      <c r="I171" s="55">
        <f>SUM(F171:H171)</f>
        <v>0</v>
      </c>
      <c r="J171" s="1">
        <v>0</v>
      </c>
      <c r="K171" s="1">
        <v>0</v>
      </c>
      <c r="L171" s="1">
        <v>1165</v>
      </c>
      <c r="M171" s="55">
        <f>SUM(J171:L171)</f>
        <v>1165</v>
      </c>
      <c r="N171" s="1">
        <v>0</v>
      </c>
      <c r="O171" s="1">
        <v>0</v>
      </c>
      <c r="P171" s="1">
        <v>0</v>
      </c>
      <c r="Q171" s="55">
        <f>SUM(N171:P171)</f>
        <v>0</v>
      </c>
      <c r="R171" s="55">
        <f>+E171+I171+M171+Q171</f>
        <v>1165</v>
      </c>
    </row>
    <row r="172" spans="1:18" ht="15.75" customHeight="1" x14ac:dyDescent="0.3">
      <c r="A172" s="61" t="s">
        <v>139</v>
      </c>
      <c r="B172" s="1">
        <v>6</v>
      </c>
      <c r="C172" s="1">
        <v>12</v>
      </c>
      <c r="D172" s="1">
        <v>0</v>
      </c>
      <c r="E172" s="55">
        <f>SUM(B172:D172)</f>
        <v>18</v>
      </c>
      <c r="F172" s="1">
        <v>0</v>
      </c>
      <c r="G172" s="1">
        <v>38</v>
      </c>
      <c r="H172" s="1">
        <v>69</v>
      </c>
      <c r="I172" s="55">
        <f>SUM(F172:H172)</f>
        <v>107</v>
      </c>
      <c r="J172" s="1">
        <v>116</v>
      </c>
      <c r="K172" s="1">
        <v>112</v>
      </c>
      <c r="L172" s="1">
        <v>129</v>
      </c>
      <c r="M172" s="55">
        <f>SUM(J172:L172)</f>
        <v>357</v>
      </c>
      <c r="N172" s="1">
        <v>86</v>
      </c>
      <c r="O172" s="1">
        <v>39</v>
      </c>
      <c r="P172" s="1">
        <v>3</v>
      </c>
      <c r="Q172" s="55">
        <f>SUM(N172:P172)</f>
        <v>128</v>
      </c>
      <c r="R172" s="55">
        <f>+E172+I172+M172+Q172</f>
        <v>610</v>
      </c>
    </row>
    <row r="173" spans="1:18" ht="15.75" customHeight="1" thickBot="1" x14ac:dyDescent="0.35">
      <c r="A173" s="15" t="s">
        <v>53</v>
      </c>
      <c r="B173" s="1"/>
      <c r="C173" s="1"/>
      <c r="D173" s="1"/>
      <c r="E173" s="55" t="s">
        <v>7</v>
      </c>
      <c r="F173" s="1"/>
      <c r="G173" s="1"/>
      <c r="H173" s="1"/>
      <c r="I173" s="55" t="s">
        <v>7</v>
      </c>
      <c r="J173" s="1"/>
      <c r="K173" s="1"/>
      <c r="L173" s="1"/>
      <c r="M173" s="55" t="s">
        <v>7</v>
      </c>
      <c r="N173" s="1"/>
      <c r="O173" s="1"/>
      <c r="P173" s="1"/>
      <c r="Q173" s="55" t="s">
        <v>7</v>
      </c>
      <c r="R173" s="55" t="s">
        <v>7</v>
      </c>
    </row>
    <row r="174" spans="1:18" ht="15.75" customHeight="1" thickBot="1" x14ac:dyDescent="0.35">
      <c r="A174" s="57" t="s">
        <v>54</v>
      </c>
      <c r="B174" s="86">
        <f>SUM(B134:B173)</f>
        <v>12828</v>
      </c>
      <c r="C174" s="87">
        <f>SUM(C134:C173)</f>
        <v>8591</v>
      </c>
      <c r="D174" s="87">
        <f>SUM(D134:D173)</f>
        <v>11115</v>
      </c>
      <c r="E174" s="59">
        <f>SUM(B174:D174)</f>
        <v>32534</v>
      </c>
      <c r="F174" s="87">
        <f>SUM(F134:F173)</f>
        <v>15536</v>
      </c>
      <c r="G174" s="87">
        <f>SUM(G134:G173)</f>
        <v>12321</v>
      </c>
      <c r="H174" s="87">
        <f>SUM(H134:H173)</f>
        <v>16016</v>
      </c>
      <c r="I174" s="59">
        <f>SUM(F174:H174)</f>
        <v>43873</v>
      </c>
      <c r="J174" s="87">
        <f>SUM(J134:J173)</f>
        <v>26744</v>
      </c>
      <c r="K174" s="87">
        <f>SUM(K134:K173)</f>
        <v>29896</v>
      </c>
      <c r="L174" s="87">
        <f>SUM(L134:L173)</f>
        <v>33121</v>
      </c>
      <c r="M174" s="59">
        <f>SUM(J174:L174)</f>
        <v>89761</v>
      </c>
      <c r="N174" s="87">
        <f>SUM(N134:N173)</f>
        <v>28244</v>
      </c>
      <c r="O174" s="87">
        <f>SUM(O134:O173)</f>
        <v>23134</v>
      </c>
      <c r="P174" s="87">
        <f>SUM(P134:P173)</f>
        <v>18346</v>
      </c>
      <c r="Q174" s="59">
        <f>SUM(N174:P174)</f>
        <v>69724</v>
      </c>
      <c r="R174" s="59">
        <f>+E174+I174+M174+Q174</f>
        <v>235892</v>
      </c>
    </row>
    <row r="175" spans="1:18" ht="15.75" customHeight="1" x14ac:dyDescent="0.3">
      <c r="A175" s="15" t="s">
        <v>55</v>
      </c>
      <c r="B175" s="1"/>
      <c r="C175" s="1"/>
      <c r="D175" s="1"/>
      <c r="E175" s="55" t="s">
        <v>7</v>
      </c>
      <c r="F175" s="1"/>
      <c r="G175" s="1"/>
      <c r="H175" s="1"/>
      <c r="I175" s="55" t="s">
        <v>7</v>
      </c>
      <c r="J175" s="1"/>
      <c r="K175" s="1"/>
      <c r="L175" s="1"/>
      <c r="M175" s="55" t="s">
        <v>7</v>
      </c>
      <c r="N175" s="1"/>
      <c r="O175" s="1"/>
      <c r="P175" s="1"/>
      <c r="Q175" s="55" t="s">
        <v>7</v>
      </c>
      <c r="R175" s="55" t="s">
        <v>7</v>
      </c>
    </row>
    <row r="176" spans="1:18" ht="15.75" customHeight="1" x14ac:dyDescent="0.3">
      <c r="A176" s="15" t="s">
        <v>56</v>
      </c>
      <c r="B176" s="1"/>
      <c r="C176" s="1"/>
      <c r="D176" s="1"/>
      <c r="E176" s="55" t="s">
        <v>7</v>
      </c>
      <c r="F176" s="1"/>
      <c r="G176" s="1"/>
      <c r="H176" s="1"/>
      <c r="I176" s="55" t="s">
        <v>7</v>
      </c>
      <c r="J176" s="1"/>
      <c r="K176" s="1"/>
      <c r="L176" s="1"/>
      <c r="M176" s="55" t="s">
        <v>7</v>
      </c>
      <c r="N176" s="1"/>
      <c r="O176" s="1"/>
      <c r="P176" s="1"/>
      <c r="Q176" s="55" t="s">
        <v>7</v>
      </c>
      <c r="R176" s="55" t="s">
        <v>7</v>
      </c>
    </row>
    <row r="177" spans="1:18" ht="15.75" customHeight="1" x14ac:dyDescent="0.3">
      <c r="A177" s="15" t="s">
        <v>57</v>
      </c>
      <c r="B177" s="1"/>
      <c r="C177" s="1"/>
      <c r="D177" s="1"/>
      <c r="E177" s="55" t="s">
        <v>7</v>
      </c>
      <c r="F177" s="1"/>
      <c r="G177" s="1"/>
      <c r="H177" s="1"/>
      <c r="I177" s="55" t="s">
        <v>7</v>
      </c>
      <c r="J177" s="1"/>
      <c r="K177" s="1"/>
      <c r="L177" s="1"/>
      <c r="M177" s="55" t="s">
        <v>7</v>
      </c>
      <c r="N177" s="1"/>
      <c r="O177" s="1"/>
      <c r="P177" s="1"/>
      <c r="Q177" s="55" t="s">
        <v>7</v>
      </c>
      <c r="R177" s="55" t="s">
        <v>7</v>
      </c>
    </row>
    <row r="178" spans="1:18" ht="15.75" customHeight="1" x14ac:dyDescent="0.3">
      <c r="A178" s="61" t="s">
        <v>616</v>
      </c>
      <c r="B178" s="1">
        <v>0</v>
      </c>
      <c r="C178" s="1">
        <v>0</v>
      </c>
      <c r="D178" s="1">
        <v>500</v>
      </c>
      <c r="E178" s="55">
        <f>SUM(B178:D178)</f>
        <v>500</v>
      </c>
      <c r="F178" s="1">
        <v>500</v>
      </c>
      <c r="G178" s="1">
        <v>500</v>
      </c>
      <c r="H178" s="1">
        <v>500</v>
      </c>
      <c r="I178" s="55">
        <f>SUM(F178:H178)</f>
        <v>1500</v>
      </c>
      <c r="J178" s="1">
        <v>500</v>
      </c>
      <c r="K178" s="1">
        <v>500</v>
      </c>
      <c r="L178" s="1">
        <v>500</v>
      </c>
      <c r="M178" s="55">
        <f>SUM(J178:L178)</f>
        <v>1500</v>
      </c>
      <c r="N178" s="1">
        <v>500</v>
      </c>
      <c r="O178" s="1">
        <v>0</v>
      </c>
      <c r="P178" s="1">
        <v>0</v>
      </c>
      <c r="Q178" s="55">
        <f>SUM(N178:P178)</f>
        <v>500</v>
      </c>
      <c r="R178" s="55">
        <f>+E178+I178+M178+Q178</f>
        <v>4000</v>
      </c>
    </row>
    <row r="179" spans="1:18" ht="15.75" customHeight="1" thickBot="1" x14ac:dyDescent="0.35">
      <c r="A179" s="15" t="s">
        <v>58</v>
      </c>
      <c r="B179" s="1"/>
      <c r="C179" s="1"/>
      <c r="D179" s="1"/>
      <c r="E179" s="55" t="s">
        <v>7</v>
      </c>
      <c r="F179" s="1"/>
      <c r="G179" s="1"/>
      <c r="H179" s="1"/>
      <c r="I179" s="55" t="s">
        <v>7</v>
      </c>
      <c r="J179" s="1"/>
      <c r="K179" s="1"/>
      <c r="L179" s="1"/>
      <c r="M179" s="55" t="s">
        <v>7</v>
      </c>
      <c r="N179" s="1"/>
      <c r="O179" s="1"/>
      <c r="P179" s="1"/>
      <c r="Q179" s="55" t="s">
        <v>7</v>
      </c>
      <c r="R179" s="55" t="s">
        <v>7</v>
      </c>
    </row>
    <row r="180" spans="1:18" ht="15.75" customHeight="1" thickBot="1" x14ac:dyDescent="0.35">
      <c r="A180" s="57" t="s">
        <v>59</v>
      </c>
      <c r="B180" s="86">
        <f>SUM(B175:B179)</f>
        <v>0</v>
      </c>
      <c r="C180" s="87">
        <f>SUM(C175:C179)</f>
        <v>0</v>
      </c>
      <c r="D180" s="87">
        <f>SUM(D175:D179)</f>
        <v>500</v>
      </c>
      <c r="E180" s="59">
        <f>SUM(B180:D180)</f>
        <v>500</v>
      </c>
      <c r="F180" s="87">
        <f>SUM(F175:F179)</f>
        <v>500</v>
      </c>
      <c r="G180" s="87">
        <f>SUM(G175:G179)</f>
        <v>500</v>
      </c>
      <c r="H180" s="87">
        <f>SUM(H175:H179)</f>
        <v>500</v>
      </c>
      <c r="I180" s="59">
        <f>SUM(F180:H180)</f>
        <v>1500</v>
      </c>
      <c r="J180" s="87">
        <f>SUM(J175:J179)</f>
        <v>500</v>
      </c>
      <c r="K180" s="87">
        <f>SUM(K175:K179)</f>
        <v>500</v>
      </c>
      <c r="L180" s="87">
        <f>SUM(L175:L179)</f>
        <v>500</v>
      </c>
      <c r="M180" s="59">
        <f>SUM(J180:L180)</f>
        <v>1500</v>
      </c>
      <c r="N180" s="87">
        <f>SUM(N175:N179)</f>
        <v>500</v>
      </c>
      <c r="O180" s="87">
        <f>SUM(O175:O179)</f>
        <v>0</v>
      </c>
      <c r="P180" s="87">
        <f>SUM(P175:P179)</f>
        <v>0</v>
      </c>
      <c r="Q180" s="59">
        <f>SUM(N180:P180)</f>
        <v>500</v>
      </c>
      <c r="R180" s="59">
        <f>+E180+I180+M180+Q180</f>
        <v>4000</v>
      </c>
    </row>
    <row r="181" spans="1:18" ht="15.75" customHeight="1" x14ac:dyDescent="0.3">
      <c r="A181" s="15" t="s">
        <v>60</v>
      </c>
      <c r="B181" s="1"/>
      <c r="C181" s="1"/>
      <c r="D181" s="1"/>
      <c r="E181" s="55" t="s">
        <v>7</v>
      </c>
      <c r="F181" s="1"/>
      <c r="G181" s="1"/>
      <c r="H181" s="1"/>
      <c r="I181" s="55" t="s">
        <v>7</v>
      </c>
      <c r="J181" s="1"/>
      <c r="K181" s="1"/>
      <c r="L181" s="1"/>
      <c r="M181" s="55" t="s">
        <v>7</v>
      </c>
      <c r="N181" s="1"/>
      <c r="O181" s="1"/>
      <c r="P181" s="1"/>
      <c r="Q181" s="55" t="s">
        <v>7</v>
      </c>
      <c r="R181" s="55" t="s">
        <v>7</v>
      </c>
    </row>
    <row r="182" spans="1:18" ht="15.75" customHeight="1" x14ac:dyDescent="0.3">
      <c r="A182" s="15" t="s">
        <v>61</v>
      </c>
      <c r="B182" s="1"/>
      <c r="C182" s="1"/>
      <c r="D182" s="1"/>
      <c r="E182" s="55" t="s">
        <v>7</v>
      </c>
      <c r="F182" s="1"/>
      <c r="G182" s="1"/>
      <c r="H182" s="1"/>
      <c r="I182" s="55" t="s">
        <v>7</v>
      </c>
      <c r="J182" s="1"/>
      <c r="K182" s="1"/>
      <c r="L182" s="1"/>
      <c r="M182" s="55" t="s">
        <v>7</v>
      </c>
      <c r="N182" s="1"/>
      <c r="O182" s="1"/>
      <c r="P182" s="1"/>
      <c r="Q182" s="55" t="s">
        <v>7</v>
      </c>
      <c r="R182" s="55" t="s">
        <v>7</v>
      </c>
    </row>
    <row r="183" spans="1:18" ht="15.75" customHeight="1" x14ac:dyDescent="0.3">
      <c r="A183" s="15" t="s">
        <v>62</v>
      </c>
      <c r="B183" s="1"/>
      <c r="C183" s="1"/>
      <c r="D183" s="1"/>
      <c r="E183" s="55" t="s">
        <v>7</v>
      </c>
      <c r="F183" s="1"/>
      <c r="G183" s="1"/>
      <c r="H183" s="1"/>
      <c r="I183" s="55" t="s">
        <v>7</v>
      </c>
      <c r="J183" s="1"/>
      <c r="K183" s="1"/>
      <c r="L183" s="1"/>
      <c r="M183" s="55" t="s">
        <v>7</v>
      </c>
      <c r="N183" s="1"/>
      <c r="O183" s="1"/>
      <c r="P183" s="1"/>
      <c r="Q183" s="55" t="s">
        <v>7</v>
      </c>
      <c r="R183" s="55" t="s">
        <v>7</v>
      </c>
    </row>
    <row r="184" spans="1:18" ht="15.75" customHeight="1" x14ac:dyDescent="0.3">
      <c r="A184" s="88" t="s">
        <v>142</v>
      </c>
      <c r="B184" s="1">
        <v>325</v>
      </c>
      <c r="C184" s="1">
        <v>278</v>
      </c>
      <c r="D184" s="1">
        <v>333</v>
      </c>
      <c r="E184" s="55">
        <f>SUM(B184:D184)</f>
        <v>936</v>
      </c>
      <c r="F184" s="1">
        <v>420</v>
      </c>
      <c r="G184" s="1">
        <v>478</v>
      </c>
      <c r="H184" s="1">
        <v>533</v>
      </c>
      <c r="I184" s="55">
        <f>SUM(F184:H184)</f>
        <v>1431</v>
      </c>
      <c r="J184" s="1">
        <v>583</v>
      </c>
      <c r="K184" s="1">
        <v>536</v>
      </c>
      <c r="L184" s="1">
        <v>544</v>
      </c>
      <c r="M184" s="55">
        <f>SUM(J184:L184)</f>
        <v>1663</v>
      </c>
      <c r="N184" s="1">
        <v>373</v>
      </c>
      <c r="O184" s="1">
        <v>375</v>
      </c>
      <c r="P184" s="1">
        <v>299</v>
      </c>
      <c r="Q184" s="55">
        <f>SUM(N184:P184)</f>
        <v>1047</v>
      </c>
      <c r="R184" s="55">
        <f>+E184+I184+M184+Q184</f>
        <v>5077</v>
      </c>
    </row>
    <row r="185" spans="1:18" ht="15.75" customHeight="1" x14ac:dyDescent="0.3">
      <c r="A185" s="88" t="s">
        <v>617</v>
      </c>
      <c r="B185" s="1">
        <v>0</v>
      </c>
      <c r="C185" s="1">
        <v>0</v>
      </c>
      <c r="D185" s="1">
        <v>357</v>
      </c>
      <c r="E185" s="55">
        <f>SUM(B185:D185)</f>
        <v>357</v>
      </c>
      <c r="F185" s="1">
        <v>288</v>
      </c>
      <c r="G185" s="1">
        <v>288</v>
      </c>
      <c r="H185" s="1">
        <v>288</v>
      </c>
      <c r="I185" s="55">
        <f>SUM(F185:H185)</f>
        <v>864</v>
      </c>
      <c r="J185" s="1">
        <v>286</v>
      </c>
      <c r="K185" s="1">
        <v>0</v>
      </c>
      <c r="L185" s="1">
        <v>0</v>
      </c>
      <c r="M185" s="55">
        <f>SUM(J185:L185)</f>
        <v>286</v>
      </c>
      <c r="N185" s="1">
        <v>0</v>
      </c>
      <c r="O185" s="1">
        <v>0</v>
      </c>
      <c r="P185" s="1">
        <v>0</v>
      </c>
      <c r="Q185" s="55">
        <f>SUM(N185:P185)</f>
        <v>0</v>
      </c>
      <c r="R185" s="55">
        <f>+E185+I185+M185+Q185</f>
        <v>1507</v>
      </c>
    </row>
    <row r="186" spans="1:18" ht="15.75" customHeight="1" x14ac:dyDescent="0.3">
      <c r="A186" s="88" t="s">
        <v>618</v>
      </c>
      <c r="B186" s="1">
        <v>0</v>
      </c>
      <c r="C186" s="1">
        <v>0</v>
      </c>
      <c r="D186" s="1">
        <v>0</v>
      </c>
      <c r="E186" s="55">
        <f>SUM(B186:D186)</f>
        <v>0</v>
      </c>
      <c r="F186" s="1">
        <v>0</v>
      </c>
      <c r="G186" s="1">
        <v>0</v>
      </c>
      <c r="H186" s="1">
        <v>0</v>
      </c>
      <c r="I186" s="55">
        <f>SUM(F186:H186)</f>
        <v>0</v>
      </c>
      <c r="J186" s="1">
        <v>0</v>
      </c>
      <c r="K186" s="1">
        <v>0</v>
      </c>
      <c r="L186" s="1">
        <v>0</v>
      </c>
      <c r="M186" s="55">
        <f>SUM(J186:L186)</f>
        <v>0</v>
      </c>
      <c r="N186" s="1">
        <v>0</v>
      </c>
      <c r="O186" s="1">
        <v>0</v>
      </c>
      <c r="P186" s="1">
        <v>440</v>
      </c>
      <c r="Q186" s="55">
        <f>SUM(N186:P186)</f>
        <v>440</v>
      </c>
      <c r="R186" s="55">
        <f>+E186+I186+M186+Q186</f>
        <v>440</v>
      </c>
    </row>
    <row r="187" spans="1:18" ht="15.75" customHeight="1" x14ac:dyDescent="0.3">
      <c r="A187" s="88" t="s">
        <v>619</v>
      </c>
      <c r="B187" s="1">
        <v>8</v>
      </c>
      <c r="C187" s="1">
        <v>11</v>
      </c>
      <c r="D187" s="1">
        <v>21</v>
      </c>
      <c r="E187" s="55">
        <f>SUM(B187:D187)</f>
        <v>40</v>
      </c>
      <c r="F187" s="1">
        <v>52</v>
      </c>
      <c r="G187" s="1">
        <v>45</v>
      </c>
      <c r="H187" s="1">
        <v>84</v>
      </c>
      <c r="I187" s="55">
        <f>SUM(F187:H187)</f>
        <v>181</v>
      </c>
      <c r="J187" s="1">
        <v>95</v>
      </c>
      <c r="K187" s="1">
        <v>67</v>
      </c>
      <c r="L187" s="1">
        <v>75</v>
      </c>
      <c r="M187" s="55">
        <f>SUM(J187:L187)</f>
        <v>237</v>
      </c>
      <c r="N187" s="1">
        <v>51</v>
      </c>
      <c r="O187" s="1">
        <v>45</v>
      </c>
      <c r="P187" s="1">
        <v>18</v>
      </c>
      <c r="Q187" s="55">
        <f>SUM(N187:P187)</f>
        <v>114</v>
      </c>
      <c r="R187" s="55">
        <f>+E187+I187+M187+Q187</f>
        <v>572</v>
      </c>
    </row>
    <row r="188" spans="1:18" ht="15.75" customHeight="1" x14ac:dyDescent="0.3">
      <c r="A188" s="72" t="s">
        <v>146</v>
      </c>
      <c r="B188" s="1">
        <v>0</v>
      </c>
      <c r="C188" s="1">
        <v>0</v>
      </c>
      <c r="D188" s="1">
        <v>0</v>
      </c>
      <c r="E188" s="55">
        <f t="shared" ref="E188:E216" si="28">SUM(B188:D188)</f>
        <v>0</v>
      </c>
      <c r="F188" s="1">
        <v>0</v>
      </c>
      <c r="G188" s="1">
        <v>0</v>
      </c>
      <c r="H188" s="1">
        <v>0</v>
      </c>
      <c r="I188" s="55">
        <f t="shared" ref="I188:I216" si="29">SUM(F188:H188)</f>
        <v>0</v>
      </c>
      <c r="J188" s="1">
        <v>0</v>
      </c>
      <c r="K188" s="1">
        <v>0</v>
      </c>
      <c r="L188" s="1">
        <v>0</v>
      </c>
      <c r="M188" s="55">
        <f t="shared" ref="M188:M216" si="30">SUM(J188:L188)</f>
        <v>0</v>
      </c>
      <c r="N188" s="1">
        <v>0</v>
      </c>
      <c r="O188" s="1">
        <v>0</v>
      </c>
      <c r="P188" s="1">
        <v>0</v>
      </c>
      <c r="Q188" s="55">
        <f t="shared" ref="Q188:Q216" si="31">SUM(N188:P188)</f>
        <v>0</v>
      </c>
      <c r="R188" s="55">
        <f t="shared" ref="R188:R216" si="32">+E188+I188+M188+Q188</f>
        <v>0</v>
      </c>
    </row>
    <row r="189" spans="1:18" ht="15.75" customHeight="1" x14ac:dyDescent="0.3">
      <c r="A189" s="72" t="s">
        <v>147</v>
      </c>
      <c r="B189" s="1">
        <v>0</v>
      </c>
      <c r="C189" s="1">
        <v>0</v>
      </c>
      <c r="D189" s="1">
        <v>0</v>
      </c>
      <c r="E189" s="55">
        <f>SUM(B189:D189)</f>
        <v>0</v>
      </c>
      <c r="F189" s="1">
        <v>0</v>
      </c>
      <c r="G189" s="1">
        <v>0</v>
      </c>
      <c r="H189" s="1">
        <v>0</v>
      </c>
      <c r="I189" s="55">
        <f>SUM(F189:H189)</f>
        <v>0</v>
      </c>
      <c r="J189" s="1">
        <v>0</v>
      </c>
      <c r="K189" s="1">
        <v>0</v>
      </c>
      <c r="L189" s="1">
        <v>0</v>
      </c>
      <c r="M189" s="55">
        <f>SUM(J189:L189)</f>
        <v>0</v>
      </c>
      <c r="N189" s="1">
        <v>0</v>
      </c>
      <c r="O189" s="1">
        <v>0</v>
      </c>
      <c r="P189" s="1">
        <v>0</v>
      </c>
      <c r="Q189" s="55">
        <f>SUM(N189:P189)</f>
        <v>0</v>
      </c>
      <c r="R189" s="55">
        <f>+E189+I189+M189+Q189</f>
        <v>0</v>
      </c>
    </row>
    <row r="190" spans="1:18" ht="15.75" customHeight="1" x14ac:dyDescent="0.3">
      <c r="A190" s="72" t="s">
        <v>148</v>
      </c>
      <c r="B190" s="1">
        <v>391</v>
      </c>
      <c r="C190" s="1">
        <v>291</v>
      </c>
      <c r="D190" s="1">
        <v>0</v>
      </c>
      <c r="E190" s="55">
        <f t="shared" si="28"/>
        <v>682</v>
      </c>
      <c r="F190" s="1">
        <v>0</v>
      </c>
      <c r="G190" s="1">
        <v>0</v>
      </c>
      <c r="H190" s="1">
        <v>0</v>
      </c>
      <c r="I190" s="55">
        <f t="shared" si="29"/>
        <v>0</v>
      </c>
      <c r="J190" s="1">
        <v>0</v>
      </c>
      <c r="K190" s="1">
        <v>0</v>
      </c>
      <c r="L190" s="1">
        <v>0</v>
      </c>
      <c r="M190" s="55">
        <f t="shared" si="30"/>
        <v>0</v>
      </c>
      <c r="N190" s="1">
        <v>0</v>
      </c>
      <c r="O190" s="1">
        <v>0</v>
      </c>
      <c r="P190" s="1">
        <v>0</v>
      </c>
      <c r="Q190" s="55">
        <f t="shared" si="31"/>
        <v>0</v>
      </c>
      <c r="R190" s="55">
        <f t="shared" si="32"/>
        <v>682</v>
      </c>
    </row>
    <row r="191" spans="1:18" ht="15.75" customHeight="1" x14ac:dyDescent="0.3">
      <c r="A191" s="72" t="s">
        <v>149</v>
      </c>
      <c r="B191" s="1">
        <v>0</v>
      </c>
      <c r="C191" s="1">
        <v>0</v>
      </c>
      <c r="D191" s="1">
        <v>0</v>
      </c>
      <c r="E191" s="55">
        <f t="shared" si="28"/>
        <v>0</v>
      </c>
      <c r="F191" s="1">
        <v>0</v>
      </c>
      <c r="G191" s="1">
        <v>0</v>
      </c>
      <c r="H191" s="1">
        <v>0</v>
      </c>
      <c r="I191" s="55">
        <f t="shared" si="29"/>
        <v>0</v>
      </c>
      <c r="J191" s="1">
        <v>0</v>
      </c>
      <c r="K191" s="1">
        <v>0</v>
      </c>
      <c r="L191" s="1">
        <v>0</v>
      </c>
      <c r="M191" s="55">
        <f t="shared" si="30"/>
        <v>0</v>
      </c>
      <c r="N191" s="1">
        <v>0</v>
      </c>
      <c r="O191" s="1">
        <v>0</v>
      </c>
      <c r="P191" s="1">
        <v>0</v>
      </c>
      <c r="Q191" s="55">
        <f t="shared" si="31"/>
        <v>0</v>
      </c>
      <c r="R191" s="55">
        <f t="shared" si="32"/>
        <v>0</v>
      </c>
    </row>
    <row r="192" spans="1:18" ht="15.75" customHeight="1" x14ac:dyDescent="0.3">
      <c r="A192" s="72" t="s">
        <v>150</v>
      </c>
      <c r="B192" s="1">
        <v>1136</v>
      </c>
      <c r="C192" s="1">
        <v>0</v>
      </c>
      <c r="D192" s="1">
        <v>0</v>
      </c>
      <c r="E192" s="55">
        <f t="shared" si="28"/>
        <v>1136</v>
      </c>
      <c r="F192" s="1">
        <v>0</v>
      </c>
      <c r="G192" s="1">
        <v>0</v>
      </c>
      <c r="H192" s="1">
        <v>0</v>
      </c>
      <c r="I192" s="55">
        <f t="shared" si="29"/>
        <v>0</v>
      </c>
      <c r="J192" s="1">
        <v>0</v>
      </c>
      <c r="K192" s="1">
        <v>0</v>
      </c>
      <c r="L192" s="1">
        <v>0</v>
      </c>
      <c r="M192" s="55">
        <f t="shared" si="30"/>
        <v>0</v>
      </c>
      <c r="N192" s="1">
        <v>0</v>
      </c>
      <c r="O192" s="1">
        <v>0</v>
      </c>
      <c r="P192" s="1">
        <v>0</v>
      </c>
      <c r="Q192" s="55">
        <f t="shared" si="31"/>
        <v>0</v>
      </c>
      <c r="R192" s="55">
        <f t="shared" si="32"/>
        <v>1136</v>
      </c>
    </row>
    <row r="193" spans="1:18" ht="15.75" customHeight="1" x14ac:dyDescent="0.3">
      <c r="A193" s="72" t="s">
        <v>151</v>
      </c>
      <c r="B193" s="1">
        <v>23</v>
      </c>
      <c r="C193" s="1">
        <v>0</v>
      </c>
      <c r="D193" s="1">
        <v>0</v>
      </c>
      <c r="E193" s="55">
        <f t="shared" si="28"/>
        <v>23</v>
      </c>
      <c r="F193" s="1">
        <v>0</v>
      </c>
      <c r="G193" s="1">
        <v>0</v>
      </c>
      <c r="H193" s="1">
        <v>0</v>
      </c>
      <c r="I193" s="55">
        <f t="shared" si="29"/>
        <v>0</v>
      </c>
      <c r="J193" s="1">
        <v>0</v>
      </c>
      <c r="K193" s="1">
        <v>0</v>
      </c>
      <c r="L193" s="1">
        <v>0</v>
      </c>
      <c r="M193" s="55">
        <f t="shared" si="30"/>
        <v>0</v>
      </c>
      <c r="N193" s="1">
        <v>0</v>
      </c>
      <c r="O193" s="1">
        <v>0</v>
      </c>
      <c r="P193" s="1">
        <v>0</v>
      </c>
      <c r="Q193" s="55">
        <f t="shared" si="31"/>
        <v>0</v>
      </c>
      <c r="R193" s="55">
        <f t="shared" si="32"/>
        <v>23</v>
      </c>
    </row>
    <row r="194" spans="1:18" ht="15.75" customHeight="1" x14ac:dyDescent="0.3">
      <c r="A194" s="72" t="s">
        <v>152</v>
      </c>
      <c r="B194" s="1">
        <v>23</v>
      </c>
      <c r="C194" s="1">
        <v>0</v>
      </c>
      <c r="D194" s="1">
        <v>0</v>
      </c>
      <c r="E194" s="55">
        <f t="shared" si="28"/>
        <v>23</v>
      </c>
      <c r="F194" s="1">
        <v>0</v>
      </c>
      <c r="G194" s="1">
        <v>0</v>
      </c>
      <c r="H194" s="1">
        <v>0</v>
      </c>
      <c r="I194" s="55">
        <f t="shared" si="29"/>
        <v>0</v>
      </c>
      <c r="J194" s="1">
        <v>0</v>
      </c>
      <c r="K194" s="1">
        <v>0</v>
      </c>
      <c r="L194" s="1">
        <v>0</v>
      </c>
      <c r="M194" s="55">
        <f t="shared" si="30"/>
        <v>0</v>
      </c>
      <c r="N194" s="1">
        <v>0</v>
      </c>
      <c r="O194" s="1">
        <v>0</v>
      </c>
      <c r="P194" s="1">
        <v>0</v>
      </c>
      <c r="Q194" s="55">
        <f t="shared" si="31"/>
        <v>0</v>
      </c>
      <c r="R194" s="55">
        <f t="shared" si="32"/>
        <v>23</v>
      </c>
    </row>
    <row r="195" spans="1:18" ht="15.75" customHeight="1" x14ac:dyDescent="0.3">
      <c r="A195" s="72" t="s">
        <v>620</v>
      </c>
      <c r="B195" s="1">
        <v>821</v>
      </c>
      <c r="C195" s="1">
        <v>1355</v>
      </c>
      <c r="D195" s="1">
        <v>687</v>
      </c>
      <c r="E195" s="55">
        <f t="shared" si="28"/>
        <v>2863</v>
      </c>
      <c r="F195" s="1">
        <v>819</v>
      </c>
      <c r="G195" s="1">
        <v>999</v>
      </c>
      <c r="H195" s="1">
        <v>1018</v>
      </c>
      <c r="I195" s="55">
        <f t="shared" si="29"/>
        <v>2836</v>
      </c>
      <c r="J195" s="1">
        <v>23</v>
      </c>
      <c r="K195" s="1">
        <v>732</v>
      </c>
      <c r="L195" s="1">
        <v>0</v>
      </c>
      <c r="M195" s="55">
        <f t="shared" si="30"/>
        <v>755</v>
      </c>
      <c r="N195" s="1">
        <v>0</v>
      </c>
      <c r="O195" s="1">
        <v>0</v>
      </c>
      <c r="P195" s="1">
        <v>0</v>
      </c>
      <c r="Q195" s="55">
        <f t="shared" si="31"/>
        <v>0</v>
      </c>
      <c r="R195" s="55">
        <f t="shared" si="32"/>
        <v>6454</v>
      </c>
    </row>
    <row r="196" spans="1:18" ht="15.75" customHeight="1" x14ac:dyDescent="0.3">
      <c r="A196" s="72" t="s">
        <v>621</v>
      </c>
      <c r="B196" s="1">
        <v>0</v>
      </c>
      <c r="C196" s="1">
        <v>0</v>
      </c>
      <c r="D196" s="1">
        <v>0</v>
      </c>
      <c r="E196" s="55">
        <f t="shared" si="28"/>
        <v>0</v>
      </c>
      <c r="F196" s="1">
        <v>0</v>
      </c>
      <c r="G196" s="1">
        <v>0</v>
      </c>
      <c r="H196" s="1">
        <v>11418</v>
      </c>
      <c r="I196" s="55">
        <f t="shared" si="29"/>
        <v>11418</v>
      </c>
      <c r="J196" s="1">
        <v>3582</v>
      </c>
      <c r="K196" s="1">
        <v>0</v>
      </c>
      <c r="L196" s="1">
        <v>0</v>
      </c>
      <c r="M196" s="55">
        <f t="shared" si="30"/>
        <v>3582</v>
      </c>
      <c r="N196" s="1">
        <v>0</v>
      </c>
      <c r="O196" s="1">
        <v>0</v>
      </c>
      <c r="P196" s="1">
        <v>0</v>
      </c>
      <c r="Q196" s="55">
        <f t="shared" si="31"/>
        <v>0</v>
      </c>
      <c r="R196" s="55">
        <f t="shared" si="32"/>
        <v>15000</v>
      </c>
    </row>
    <row r="197" spans="1:18" ht="15.75" customHeight="1" x14ac:dyDescent="0.3">
      <c r="A197" s="72" t="s">
        <v>622</v>
      </c>
      <c r="B197" s="1">
        <v>0</v>
      </c>
      <c r="C197" s="1">
        <v>2957</v>
      </c>
      <c r="D197" s="1">
        <v>3337</v>
      </c>
      <c r="E197" s="55">
        <f>SUM(B197:D197)</f>
        <v>6294</v>
      </c>
      <c r="F197" s="1">
        <v>4628</v>
      </c>
      <c r="G197" s="1">
        <v>1078</v>
      </c>
      <c r="H197" s="1">
        <v>0</v>
      </c>
      <c r="I197" s="55">
        <f>SUM(F197:H197)</f>
        <v>5706</v>
      </c>
      <c r="J197" s="1">
        <v>0</v>
      </c>
      <c r="K197" s="1">
        <v>0</v>
      </c>
      <c r="L197" s="1">
        <v>0</v>
      </c>
      <c r="M197" s="55">
        <f>SUM(J197:L197)</f>
        <v>0</v>
      </c>
      <c r="N197" s="1">
        <v>0</v>
      </c>
      <c r="O197" s="1">
        <v>0</v>
      </c>
      <c r="P197" s="1">
        <v>0</v>
      </c>
      <c r="Q197" s="55">
        <f>SUM(N197:P197)</f>
        <v>0</v>
      </c>
      <c r="R197" s="55">
        <f>+E197+I197+M197+Q197</f>
        <v>12000</v>
      </c>
    </row>
    <row r="198" spans="1:18" ht="15.75" customHeight="1" x14ac:dyDescent="0.3">
      <c r="A198" s="72" t="s">
        <v>153</v>
      </c>
      <c r="B198" s="1">
        <v>0</v>
      </c>
      <c r="C198" s="1">
        <v>0</v>
      </c>
      <c r="D198" s="1">
        <v>0</v>
      </c>
      <c r="E198" s="55">
        <f t="shared" si="28"/>
        <v>0</v>
      </c>
      <c r="F198" s="1">
        <v>0</v>
      </c>
      <c r="G198" s="1">
        <v>2638</v>
      </c>
      <c r="H198" s="1">
        <v>1662</v>
      </c>
      <c r="I198" s="55">
        <f t="shared" si="29"/>
        <v>4300</v>
      </c>
      <c r="J198" s="1">
        <v>0</v>
      </c>
      <c r="K198" s="1">
        <v>0</v>
      </c>
      <c r="L198" s="1">
        <v>0</v>
      </c>
      <c r="M198" s="55">
        <f t="shared" si="30"/>
        <v>0</v>
      </c>
      <c r="N198" s="1">
        <v>0</v>
      </c>
      <c r="O198" s="1">
        <v>0</v>
      </c>
      <c r="P198" s="1">
        <v>0</v>
      </c>
      <c r="Q198" s="55">
        <f t="shared" si="31"/>
        <v>0</v>
      </c>
      <c r="R198" s="55">
        <f t="shared" si="32"/>
        <v>4300</v>
      </c>
    </row>
    <row r="199" spans="1:18" ht="15.75" customHeight="1" x14ac:dyDescent="0.3">
      <c r="A199" s="72" t="s">
        <v>159</v>
      </c>
      <c r="B199" s="1">
        <v>0</v>
      </c>
      <c r="C199" s="1">
        <v>0</v>
      </c>
      <c r="D199" s="1">
        <v>0</v>
      </c>
      <c r="E199" s="55">
        <f t="shared" si="28"/>
        <v>0</v>
      </c>
      <c r="F199" s="1">
        <v>0</v>
      </c>
      <c r="G199" s="1">
        <v>0</v>
      </c>
      <c r="H199" s="1">
        <v>0</v>
      </c>
      <c r="I199" s="55">
        <f t="shared" si="29"/>
        <v>0</v>
      </c>
      <c r="J199" s="1">
        <v>0</v>
      </c>
      <c r="K199" s="1">
        <v>0</v>
      </c>
      <c r="L199" s="1">
        <v>0</v>
      </c>
      <c r="M199" s="55">
        <f t="shared" si="30"/>
        <v>0</v>
      </c>
      <c r="N199" s="1">
        <v>0</v>
      </c>
      <c r="O199" s="1">
        <v>0</v>
      </c>
      <c r="P199" s="1">
        <v>0</v>
      </c>
      <c r="Q199" s="55">
        <f t="shared" si="31"/>
        <v>0</v>
      </c>
      <c r="R199" s="55">
        <f t="shared" si="32"/>
        <v>0</v>
      </c>
    </row>
    <row r="200" spans="1:18" ht="15.75" customHeight="1" x14ac:dyDescent="0.3">
      <c r="A200" s="72" t="s">
        <v>160</v>
      </c>
      <c r="B200" s="1">
        <v>0</v>
      </c>
      <c r="C200" s="1">
        <v>0</v>
      </c>
      <c r="D200" s="1">
        <v>0</v>
      </c>
      <c r="E200" s="55">
        <f t="shared" si="28"/>
        <v>0</v>
      </c>
      <c r="F200" s="1">
        <v>0</v>
      </c>
      <c r="G200" s="1">
        <v>0</v>
      </c>
      <c r="H200" s="1">
        <v>0</v>
      </c>
      <c r="I200" s="55">
        <f t="shared" si="29"/>
        <v>0</v>
      </c>
      <c r="J200" s="1">
        <v>0</v>
      </c>
      <c r="K200" s="1">
        <v>0</v>
      </c>
      <c r="L200" s="1">
        <v>0</v>
      </c>
      <c r="M200" s="55">
        <f t="shared" si="30"/>
        <v>0</v>
      </c>
      <c r="N200" s="1">
        <v>0</v>
      </c>
      <c r="O200" s="1">
        <v>0</v>
      </c>
      <c r="P200" s="1">
        <v>0</v>
      </c>
      <c r="Q200" s="55">
        <f t="shared" si="31"/>
        <v>0</v>
      </c>
      <c r="R200" s="55">
        <f t="shared" si="32"/>
        <v>0</v>
      </c>
    </row>
    <row r="201" spans="1:18" ht="15.75" customHeight="1" x14ac:dyDescent="0.3">
      <c r="A201" s="72" t="s">
        <v>161</v>
      </c>
      <c r="B201" s="1">
        <v>0</v>
      </c>
      <c r="C201" s="1">
        <v>0</v>
      </c>
      <c r="D201" s="1">
        <v>0</v>
      </c>
      <c r="E201" s="55">
        <f t="shared" si="28"/>
        <v>0</v>
      </c>
      <c r="F201" s="1">
        <v>716</v>
      </c>
      <c r="G201" s="1">
        <v>1046</v>
      </c>
      <c r="H201" s="1">
        <v>52</v>
      </c>
      <c r="I201" s="55">
        <f t="shared" si="29"/>
        <v>1814</v>
      </c>
      <c r="J201" s="1">
        <v>0</v>
      </c>
      <c r="K201" s="1">
        <v>0</v>
      </c>
      <c r="L201" s="1">
        <v>0</v>
      </c>
      <c r="M201" s="55">
        <f t="shared" si="30"/>
        <v>0</v>
      </c>
      <c r="N201" s="1">
        <v>0</v>
      </c>
      <c r="O201" s="1">
        <v>0</v>
      </c>
      <c r="P201" s="1">
        <v>0</v>
      </c>
      <c r="Q201" s="55">
        <f t="shared" si="31"/>
        <v>0</v>
      </c>
      <c r="R201" s="55">
        <f t="shared" si="32"/>
        <v>1814</v>
      </c>
    </row>
    <row r="202" spans="1:18" ht="15.75" customHeight="1" x14ac:dyDescent="0.3">
      <c r="A202" s="72" t="s">
        <v>162</v>
      </c>
      <c r="B202" s="1">
        <v>0</v>
      </c>
      <c r="C202" s="1">
        <v>0</v>
      </c>
      <c r="D202" s="1">
        <v>0</v>
      </c>
      <c r="E202" s="55">
        <f t="shared" si="28"/>
        <v>0</v>
      </c>
      <c r="F202" s="1">
        <v>0</v>
      </c>
      <c r="G202" s="1">
        <v>0</v>
      </c>
      <c r="H202" s="1">
        <v>0</v>
      </c>
      <c r="I202" s="55">
        <f t="shared" si="29"/>
        <v>0</v>
      </c>
      <c r="J202" s="1">
        <v>0</v>
      </c>
      <c r="K202" s="1">
        <v>0</v>
      </c>
      <c r="L202" s="1">
        <v>0</v>
      </c>
      <c r="M202" s="55">
        <f t="shared" si="30"/>
        <v>0</v>
      </c>
      <c r="N202" s="1">
        <v>0</v>
      </c>
      <c r="O202" s="1">
        <v>0</v>
      </c>
      <c r="P202" s="1">
        <v>0</v>
      </c>
      <c r="Q202" s="55">
        <f t="shared" si="31"/>
        <v>0</v>
      </c>
      <c r="R202" s="55">
        <f t="shared" si="32"/>
        <v>0</v>
      </c>
    </row>
    <row r="203" spans="1:18" ht="15.75" customHeight="1" x14ac:dyDescent="0.3">
      <c r="A203" s="72" t="s">
        <v>163</v>
      </c>
      <c r="B203" s="1">
        <v>0</v>
      </c>
      <c r="C203" s="1">
        <v>0</v>
      </c>
      <c r="D203" s="1">
        <v>0</v>
      </c>
      <c r="E203" s="55">
        <f t="shared" si="28"/>
        <v>0</v>
      </c>
      <c r="F203" s="1">
        <v>0</v>
      </c>
      <c r="G203" s="1">
        <v>3023</v>
      </c>
      <c r="H203" s="1">
        <v>0</v>
      </c>
      <c r="I203" s="55">
        <f t="shared" si="29"/>
        <v>3023</v>
      </c>
      <c r="J203" s="1">
        <v>0</v>
      </c>
      <c r="K203" s="1">
        <v>0</v>
      </c>
      <c r="L203" s="1">
        <v>0</v>
      </c>
      <c r="M203" s="55">
        <f t="shared" si="30"/>
        <v>0</v>
      </c>
      <c r="N203" s="1">
        <v>0</v>
      </c>
      <c r="O203" s="1">
        <v>0</v>
      </c>
      <c r="P203" s="1">
        <v>0</v>
      </c>
      <c r="Q203" s="55">
        <f t="shared" si="31"/>
        <v>0</v>
      </c>
      <c r="R203" s="55">
        <f t="shared" si="32"/>
        <v>3023</v>
      </c>
    </row>
    <row r="204" spans="1:18" ht="15.75" customHeight="1" x14ac:dyDescent="0.3">
      <c r="A204" s="72" t="s">
        <v>164</v>
      </c>
      <c r="B204" s="1">
        <v>60</v>
      </c>
      <c r="C204" s="1">
        <v>0</v>
      </c>
      <c r="D204" s="1">
        <v>0</v>
      </c>
      <c r="E204" s="55">
        <f t="shared" si="28"/>
        <v>60</v>
      </c>
      <c r="F204" s="1">
        <v>0</v>
      </c>
      <c r="G204" s="1">
        <v>0</v>
      </c>
      <c r="H204" s="1">
        <v>0</v>
      </c>
      <c r="I204" s="55">
        <f t="shared" si="29"/>
        <v>0</v>
      </c>
      <c r="J204" s="1">
        <v>0</v>
      </c>
      <c r="K204" s="1">
        <v>0</v>
      </c>
      <c r="L204" s="1">
        <v>0</v>
      </c>
      <c r="M204" s="55">
        <f t="shared" si="30"/>
        <v>0</v>
      </c>
      <c r="N204" s="1">
        <v>0</v>
      </c>
      <c r="O204" s="1">
        <v>0</v>
      </c>
      <c r="P204" s="1">
        <v>0</v>
      </c>
      <c r="Q204" s="55">
        <f t="shared" si="31"/>
        <v>0</v>
      </c>
      <c r="R204" s="55">
        <f t="shared" si="32"/>
        <v>60</v>
      </c>
    </row>
    <row r="205" spans="1:18" ht="15.75" customHeight="1" x14ac:dyDescent="0.3">
      <c r="A205" s="72" t="s">
        <v>165</v>
      </c>
      <c r="B205" s="1">
        <v>60</v>
      </c>
      <c r="C205" s="1">
        <v>0</v>
      </c>
      <c r="D205" s="1">
        <v>0</v>
      </c>
      <c r="E205" s="55">
        <f t="shared" si="28"/>
        <v>60</v>
      </c>
      <c r="F205" s="1">
        <v>0</v>
      </c>
      <c r="G205" s="1">
        <v>0</v>
      </c>
      <c r="H205" s="1">
        <v>0</v>
      </c>
      <c r="I205" s="55">
        <f t="shared" si="29"/>
        <v>0</v>
      </c>
      <c r="J205" s="1">
        <v>0</v>
      </c>
      <c r="K205" s="1">
        <v>0</v>
      </c>
      <c r="L205" s="1">
        <v>0</v>
      </c>
      <c r="M205" s="55">
        <f t="shared" si="30"/>
        <v>0</v>
      </c>
      <c r="N205" s="1">
        <v>0</v>
      </c>
      <c r="O205" s="1">
        <v>0</v>
      </c>
      <c r="P205" s="1">
        <v>0</v>
      </c>
      <c r="Q205" s="55">
        <f t="shared" si="31"/>
        <v>0</v>
      </c>
      <c r="R205" s="55">
        <f t="shared" si="32"/>
        <v>60</v>
      </c>
    </row>
    <row r="206" spans="1:18" ht="15.75" customHeight="1" x14ac:dyDescent="0.3">
      <c r="A206" s="85" t="s">
        <v>623</v>
      </c>
      <c r="B206" s="1">
        <v>4146</v>
      </c>
      <c r="C206" s="1">
        <v>3012</v>
      </c>
      <c r="D206" s="1">
        <v>3933</v>
      </c>
      <c r="E206" s="55">
        <f t="shared" si="28"/>
        <v>11091</v>
      </c>
      <c r="F206" s="1">
        <v>0</v>
      </c>
      <c r="G206" s="1">
        <v>2509</v>
      </c>
      <c r="H206" s="1">
        <v>1400</v>
      </c>
      <c r="I206" s="55">
        <f t="shared" si="29"/>
        <v>3909</v>
      </c>
      <c r="J206" s="1">
        <v>0</v>
      </c>
      <c r="K206" s="1">
        <v>0</v>
      </c>
      <c r="L206" s="1">
        <v>0</v>
      </c>
      <c r="M206" s="55">
        <f t="shared" si="30"/>
        <v>0</v>
      </c>
      <c r="N206" s="1">
        <v>0</v>
      </c>
      <c r="O206" s="1">
        <v>0</v>
      </c>
      <c r="P206" s="1">
        <v>0</v>
      </c>
      <c r="Q206" s="55">
        <f t="shared" si="31"/>
        <v>0</v>
      </c>
      <c r="R206" s="55">
        <f t="shared" si="32"/>
        <v>15000</v>
      </c>
    </row>
    <row r="207" spans="1:18" ht="15.75" customHeight="1" x14ac:dyDescent="0.3">
      <c r="A207" s="72" t="s">
        <v>624</v>
      </c>
      <c r="B207" s="1">
        <v>400</v>
      </c>
      <c r="C207" s="1">
        <v>361</v>
      </c>
      <c r="D207" s="1">
        <v>0</v>
      </c>
      <c r="E207" s="55">
        <f t="shared" si="28"/>
        <v>761</v>
      </c>
      <c r="F207" s="1">
        <v>268</v>
      </c>
      <c r="G207" s="1">
        <v>0</v>
      </c>
      <c r="H207" s="1">
        <v>622</v>
      </c>
      <c r="I207" s="55">
        <f t="shared" si="29"/>
        <v>890</v>
      </c>
      <c r="J207" s="1">
        <v>635</v>
      </c>
      <c r="K207" s="1">
        <v>825</v>
      </c>
      <c r="L207" s="1">
        <v>979</v>
      </c>
      <c r="M207" s="55">
        <f t="shared" si="30"/>
        <v>2439</v>
      </c>
      <c r="N207" s="1">
        <v>713</v>
      </c>
      <c r="O207" s="1">
        <v>622</v>
      </c>
      <c r="P207" s="1">
        <v>635</v>
      </c>
      <c r="Q207" s="55">
        <f t="shared" si="31"/>
        <v>1970</v>
      </c>
      <c r="R207" s="55">
        <f t="shared" si="32"/>
        <v>6060</v>
      </c>
    </row>
    <row r="208" spans="1:18" ht="15.75" customHeight="1" x14ac:dyDescent="0.3">
      <c r="A208" s="72" t="s">
        <v>625</v>
      </c>
      <c r="B208" s="1">
        <v>0</v>
      </c>
      <c r="C208" s="1">
        <v>0</v>
      </c>
      <c r="D208" s="1">
        <v>0</v>
      </c>
      <c r="E208" s="55">
        <f t="shared" si="28"/>
        <v>0</v>
      </c>
      <c r="F208" s="1">
        <v>0</v>
      </c>
      <c r="G208" s="1">
        <v>0</v>
      </c>
      <c r="H208" s="1">
        <v>0</v>
      </c>
      <c r="I208" s="55">
        <f t="shared" si="29"/>
        <v>0</v>
      </c>
      <c r="J208" s="1">
        <v>0</v>
      </c>
      <c r="K208" s="1">
        <v>0</v>
      </c>
      <c r="L208" s="1">
        <v>0</v>
      </c>
      <c r="M208" s="55">
        <f t="shared" si="30"/>
        <v>0</v>
      </c>
      <c r="N208" s="1">
        <v>0</v>
      </c>
      <c r="O208" s="1">
        <v>0</v>
      </c>
      <c r="P208" s="1">
        <v>0</v>
      </c>
      <c r="Q208" s="55">
        <f t="shared" si="31"/>
        <v>0</v>
      </c>
      <c r="R208" s="55">
        <f t="shared" si="32"/>
        <v>0</v>
      </c>
    </row>
    <row r="209" spans="1:18" ht="15.75" customHeight="1" x14ac:dyDescent="0.3">
      <c r="A209" s="72" t="s">
        <v>169</v>
      </c>
      <c r="B209" s="1">
        <v>0</v>
      </c>
      <c r="C209" s="1">
        <v>0</v>
      </c>
      <c r="D209" s="1">
        <v>0</v>
      </c>
      <c r="E209" s="55">
        <f>SUM(B209:D209)</f>
        <v>0</v>
      </c>
      <c r="F209" s="1">
        <v>0</v>
      </c>
      <c r="G209" s="1">
        <v>0</v>
      </c>
      <c r="H209" s="1">
        <v>0</v>
      </c>
      <c r="I209" s="55">
        <f>SUM(F209:H209)</f>
        <v>0</v>
      </c>
      <c r="J209" s="1">
        <v>0</v>
      </c>
      <c r="K209" s="1">
        <v>0</v>
      </c>
      <c r="L209" s="1">
        <v>0</v>
      </c>
      <c r="M209" s="55">
        <f>SUM(J209:L209)</f>
        <v>0</v>
      </c>
      <c r="N209" s="1">
        <v>0</v>
      </c>
      <c r="O209" s="1">
        <v>0</v>
      </c>
      <c r="P209" s="1">
        <v>0</v>
      </c>
      <c r="Q209" s="55">
        <f>SUM(N209:P209)</f>
        <v>0</v>
      </c>
      <c r="R209" s="55">
        <f>+E209+I209+M209+Q209</f>
        <v>0</v>
      </c>
    </row>
    <row r="210" spans="1:18" ht="15.75" customHeight="1" x14ac:dyDescent="0.3">
      <c r="A210" s="72" t="s">
        <v>170</v>
      </c>
      <c r="B210" s="1">
        <v>0</v>
      </c>
      <c r="C210" s="1">
        <v>14</v>
      </c>
      <c r="D210" s="1">
        <v>1773</v>
      </c>
      <c r="E210" s="55">
        <f t="shared" si="28"/>
        <v>1787</v>
      </c>
      <c r="F210" s="1">
        <v>1063</v>
      </c>
      <c r="G210" s="1">
        <v>0</v>
      </c>
      <c r="H210" s="1">
        <v>0</v>
      </c>
      <c r="I210" s="55">
        <f t="shared" si="29"/>
        <v>1063</v>
      </c>
      <c r="J210" s="1">
        <v>0</v>
      </c>
      <c r="K210" s="1">
        <v>0</v>
      </c>
      <c r="L210" s="1">
        <v>0</v>
      </c>
      <c r="M210" s="55">
        <f t="shared" si="30"/>
        <v>0</v>
      </c>
      <c r="N210" s="1">
        <v>0</v>
      </c>
      <c r="O210" s="1">
        <v>0</v>
      </c>
      <c r="P210" s="1">
        <v>0</v>
      </c>
      <c r="Q210" s="55">
        <f t="shared" si="31"/>
        <v>0</v>
      </c>
      <c r="R210" s="55">
        <f t="shared" si="32"/>
        <v>2850</v>
      </c>
    </row>
    <row r="211" spans="1:18" ht="15.75" customHeight="1" x14ac:dyDescent="0.3">
      <c r="A211" s="72" t="s">
        <v>171</v>
      </c>
      <c r="B211" s="1">
        <v>0</v>
      </c>
      <c r="C211" s="1">
        <v>0</v>
      </c>
      <c r="D211" s="1">
        <v>0</v>
      </c>
      <c r="E211" s="55">
        <f t="shared" si="28"/>
        <v>0</v>
      </c>
      <c r="F211" s="1">
        <v>0</v>
      </c>
      <c r="G211" s="1">
        <v>0</v>
      </c>
      <c r="H211" s="1">
        <v>0</v>
      </c>
      <c r="I211" s="55">
        <f t="shared" si="29"/>
        <v>0</v>
      </c>
      <c r="J211" s="1">
        <v>0</v>
      </c>
      <c r="K211" s="1">
        <v>0</v>
      </c>
      <c r="L211" s="1">
        <v>0</v>
      </c>
      <c r="M211" s="55">
        <f t="shared" si="30"/>
        <v>0</v>
      </c>
      <c r="N211" s="1">
        <v>0</v>
      </c>
      <c r="O211" s="1">
        <v>0</v>
      </c>
      <c r="P211" s="1">
        <v>0</v>
      </c>
      <c r="Q211" s="55">
        <f t="shared" si="31"/>
        <v>0</v>
      </c>
      <c r="R211" s="55">
        <f t="shared" si="32"/>
        <v>0</v>
      </c>
    </row>
    <row r="212" spans="1:18" ht="15.75" customHeight="1" x14ac:dyDescent="0.3">
      <c r="A212" s="72" t="s">
        <v>172</v>
      </c>
      <c r="B212" s="1">
        <v>0</v>
      </c>
      <c r="C212" s="1">
        <v>0</v>
      </c>
      <c r="D212" s="1">
        <v>0</v>
      </c>
      <c r="E212" s="55">
        <f t="shared" si="28"/>
        <v>0</v>
      </c>
      <c r="F212" s="1">
        <v>0</v>
      </c>
      <c r="G212" s="1">
        <v>4750</v>
      </c>
      <c r="H212" s="1">
        <v>0</v>
      </c>
      <c r="I212" s="55">
        <f t="shared" si="29"/>
        <v>4750</v>
      </c>
      <c r="J212" s="1">
        <v>0</v>
      </c>
      <c r="K212" s="1">
        <v>0</v>
      </c>
      <c r="L212" s="1">
        <v>0</v>
      </c>
      <c r="M212" s="55">
        <f t="shared" si="30"/>
        <v>0</v>
      </c>
      <c r="N212" s="1">
        <v>0</v>
      </c>
      <c r="O212" s="1">
        <v>0</v>
      </c>
      <c r="P212" s="1">
        <v>0</v>
      </c>
      <c r="Q212" s="55">
        <f t="shared" si="31"/>
        <v>0</v>
      </c>
      <c r="R212" s="55">
        <f t="shared" si="32"/>
        <v>4750</v>
      </c>
    </row>
    <row r="213" spans="1:18" ht="15.75" customHeight="1" x14ac:dyDescent="0.3">
      <c r="A213" s="72" t="s">
        <v>173</v>
      </c>
      <c r="B213" s="1">
        <v>95</v>
      </c>
      <c r="C213" s="1">
        <v>0</v>
      </c>
      <c r="D213" s="1">
        <v>0</v>
      </c>
      <c r="E213" s="55">
        <f t="shared" si="28"/>
        <v>95</v>
      </c>
      <c r="F213" s="1">
        <v>0</v>
      </c>
      <c r="G213" s="1">
        <v>0</v>
      </c>
      <c r="H213" s="1">
        <v>0</v>
      </c>
      <c r="I213" s="55">
        <f t="shared" si="29"/>
        <v>0</v>
      </c>
      <c r="J213" s="1">
        <v>0</v>
      </c>
      <c r="K213" s="1">
        <v>0</v>
      </c>
      <c r="L213" s="1">
        <v>0</v>
      </c>
      <c r="M213" s="55">
        <f t="shared" si="30"/>
        <v>0</v>
      </c>
      <c r="N213" s="1">
        <v>0</v>
      </c>
      <c r="O213" s="1">
        <v>0</v>
      </c>
      <c r="P213" s="1">
        <v>0</v>
      </c>
      <c r="Q213" s="55">
        <f t="shared" si="31"/>
        <v>0</v>
      </c>
      <c r="R213" s="55">
        <f t="shared" si="32"/>
        <v>95</v>
      </c>
    </row>
    <row r="214" spans="1:18" ht="15.75" customHeight="1" x14ac:dyDescent="0.3">
      <c r="A214" s="72" t="s">
        <v>174</v>
      </c>
      <c r="B214" s="1">
        <v>95</v>
      </c>
      <c r="C214" s="1">
        <v>0</v>
      </c>
      <c r="D214" s="1">
        <v>0</v>
      </c>
      <c r="E214" s="55">
        <f t="shared" si="28"/>
        <v>95</v>
      </c>
      <c r="F214" s="1">
        <v>0</v>
      </c>
      <c r="G214" s="1">
        <v>0</v>
      </c>
      <c r="H214" s="1">
        <v>0</v>
      </c>
      <c r="I214" s="55">
        <f t="shared" si="29"/>
        <v>0</v>
      </c>
      <c r="J214" s="1">
        <v>0</v>
      </c>
      <c r="K214" s="1">
        <v>0</v>
      </c>
      <c r="L214" s="1">
        <v>0</v>
      </c>
      <c r="M214" s="55">
        <f t="shared" si="30"/>
        <v>0</v>
      </c>
      <c r="N214" s="1">
        <v>0</v>
      </c>
      <c r="O214" s="1">
        <v>0</v>
      </c>
      <c r="P214" s="1">
        <v>0</v>
      </c>
      <c r="Q214" s="55">
        <f t="shared" si="31"/>
        <v>0</v>
      </c>
      <c r="R214" s="55">
        <f t="shared" si="32"/>
        <v>95</v>
      </c>
    </row>
    <row r="215" spans="1:18" ht="15.75" customHeight="1" thickBot="1" x14ac:dyDescent="0.35">
      <c r="A215" s="72" t="s">
        <v>175</v>
      </c>
      <c r="B215" s="1">
        <v>285</v>
      </c>
      <c r="C215" s="1">
        <v>215</v>
      </c>
      <c r="D215" s="1">
        <v>0</v>
      </c>
      <c r="E215" s="55">
        <f t="shared" si="28"/>
        <v>500</v>
      </c>
      <c r="F215" s="1">
        <v>0</v>
      </c>
      <c r="G215" s="1">
        <v>0</v>
      </c>
      <c r="H215" s="1">
        <v>0</v>
      </c>
      <c r="I215" s="55">
        <f t="shared" si="29"/>
        <v>0</v>
      </c>
      <c r="J215" s="1">
        <v>0</v>
      </c>
      <c r="K215" s="1">
        <v>0</v>
      </c>
      <c r="L215" s="1">
        <v>0</v>
      </c>
      <c r="M215" s="55">
        <f t="shared" si="30"/>
        <v>0</v>
      </c>
      <c r="N215" s="1">
        <v>0</v>
      </c>
      <c r="O215" s="1">
        <v>0</v>
      </c>
      <c r="P215" s="1">
        <v>0</v>
      </c>
      <c r="Q215" s="55">
        <f t="shared" si="31"/>
        <v>0</v>
      </c>
      <c r="R215" s="55">
        <f t="shared" si="32"/>
        <v>500</v>
      </c>
    </row>
    <row r="216" spans="1:18" ht="15.75" customHeight="1" thickBot="1" x14ac:dyDescent="0.35">
      <c r="A216" s="57" t="s">
        <v>63</v>
      </c>
      <c r="B216" s="86">
        <f>SUM(B181:B215)</f>
        <v>7868</v>
      </c>
      <c r="C216" s="87">
        <f>SUM(C181:C215)</f>
        <v>8494</v>
      </c>
      <c r="D216" s="87">
        <f>SUM(D181:D215)</f>
        <v>10441</v>
      </c>
      <c r="E216" s="59">
        <f t="shared" si="28"/>
        <v>26803</v>
      </c>
      <c r="F216" s="87">
        <f>SUM(F181:F215)</f>
        <v>8254</v>
      </c>
      <c r="G216" s="87">
        <f>SUM(G181:G215)</f>
        <v>16854</v>
      </c>
      <c r="H216" s="87">
        <f>SUM(H181:H215)</f>
        <v>17077</v>
      </c>
      <c r="I216" s="59">
        <f t="shared" si="29"/>
        <v>42185</v>
      </c>
      <c r="J216" s="87">
        <f>SUM(J181:J215)</f>
        <v>5204</v>
      </c>
      <c r="K216" s="87">
        <f>SUM(K181:K215)</f>
        <v>2160</v>
      </c>
      <c r="L216" s="87">
        <f>SUM(L181:L215)</f>
        <v>1598</v>
      </c>
      <c r="M216" s="59">
        <f t="shared" si="30"/>
        <v>8962</v>
      </c>
      <c r="N216" s="87">
        <f>SUM(N181:N215)</f>
        <v>1137</v>
      </c>
      <c r="O216" s="87">
        <f>SUM(O181:O215)</f>
        <v>1042</v>
      </c>
      <c r="P216" s="87">
        <f>SUM(P181:P215)</f>
        <v>1392</v>
      </c>
      <c r="Q216" s="59">
        <f t="shared" si="31"/>
        <v>3571</v>
      </c>
      <c r="R216" s="59">
        <f t="shared" si="32"/>
        <v>81521</v>
      </c>
    </row>
    <row r="217" spans="1:18" ht="15.75" customHeight="1" x14ac:dyDescent="0.3">
      <c r="A217" s="15" t="s">
        <v>64</v>
      </c>
      <c r="B217" s="1"/>
      <c r="C217" s="1"/>
      <c r="D217" s="1"/>
      <c r="E217" s="55" t="s">
        <v>7</v>
      </c>
      <c r="F217" s="1"/>
      <c r="G217" s="1"/>
      <c r="H217" s="1"/>
      <c r="I217" s="55" t="s">
        <v>7</v>
      </c>
      <c r="J217" s="1"/>
      <c r="K217" s="1"/>
      <c r="L217" s="1"/>
      <c r="M217" s="55" t="s">
        <v>7</v>
      </c>
      <c r="N217" s="1"/>
      <c r="O217" s="1"/>
      <c r="P217" s="1"/>
      <c r="Q217" s="55" t="s">
        <v>7</v>
      </c>
      <c r="R217" s="55" t="s">
        <v>7</v>
      </c>
    </row>
    <row r="218" spans="1:18" ht="15.75" customHeight="1" x14ac:dyDescent="0.3">
      <c r="A218" s="15" t="s">
        <v>594</v>
      </c>
      <c r="B218" s="1"/>
      <c r="C218" s="1"/>
      <c r="D218" s="1"/>
      <c r="E218" s="55" t="s">
        <v>7</v>
      </c>
      <c r="F218" s="1"/>
      <c r="G218" s="1"/>
      <c r="H218" s="1"/>
      <c r="I218" s="55" t="s">
        <v>7</v>
      </c>
      <c r="J218" s="1"/>
      <c r="K218" s="1"/>
      <c r="L218" s="1"/>
      <c r="M218" s="55" t="s">
        <v>7</v>
      </c>
      <c r="N218" s="1"/>
      <c r="O218" s="1"/>
      <c r="P218" s="1"/>
      <c r="Q218" s="55" t="s">
        <v>7</v>
      </c>
      <c r="R218" s="55" t="s">
        <v>7</v>
      </c>
    </row>
    <row r="219" spans="1:18" ht="15.75" customHeight="1" x14ac:dyDescent="0.3">
      <c r="A219" s="85" t="s">
        <v>626</v>
      </c>
      <c r="B219" s="1">
        <v>0</v>
      </c>
      <c r="C219" s="1">
        <v>0</v>
      </c>
      <c r="D219" s="1">
        <v>0</v>
      </c>
      <c r="E219" s="55">
        <f>SUM(B219:D219)</f>
        <v>0</v>
      </c>
      <c r="F219" s="1">
        <v>0</v>
      </c>
      <c r="G219" s="1">
        <v>732</v>
      </c>
      <c r="H219" s="1">
        <v>268</v>
      </c>
      <c r="I219" s="55">
        <f>SUM(F219:H219)</f>
        <v>1000</v>
      </c>
      <c r="J219" s="1">
        <v>2299</v>
      </c>
      <c r="K219" s="1">
        <v>0</v>
      </c>
      <c r="L219" s="1">
        <v>1701</v>
      </c>
      <c r="M219" s="55">
        <f>SUM(J219:L219)</f>
        <v>4000</v>
      </c>
      <c r="N219" s="1">
        <v>0</v>
      </c>
      <c r="O219" s="1">
        <v>0</v>
      </c>
      <c r="P219" s="1">
        <v>0</v>
      </c>
      <c r="Q219" s="55">
        <f>SUM(N219:P219)</f>
        <v>0</v>
      </c>
      <c r="R219" s="55">
        <f>+E219+I219+M219+Q219</f>
        <v>5000</v>
      </c>
    </row>
    <row r="220" spans="1:18" ht="15.75" customHeight="1" x14ac:dyDescent="0.3">
      <c r="A220" s="85" t="s">
        <v>543</v>
      </c>
      <c r="B220" s="1">
        <v>0</v>
      </c>
      <c r="C220" s="1">
        <v>0</v>
      </c>
      <c r="D220" s="1">
        <v>0</v>
      </c>
      <c r="E220" s="55">
        <f>SUM(B220:D220)</f>
        <v>0</v>
      </c>
      <c r="F220" s="1">
        <v>0</v>
      </c>
      <c r="G220" s="1">
        <v>0</v>
      </c>
      <c r="H220" s="1">
        <v>0</v>
      </c>
      <c r="I220" s="55">
        <f>SUM(F220:H220)</f>
        <v>0</v>
      </c>
      <c r="J220" s="1">
        <v>0</v>
      </c>
      <c r="K220" s="1">
        <v>0</v>
      </c>
      <c r="L220" s="1">
        <v>0</v>
      </c>
      <c r="M220" s="55">
        <f>SUM(J220:L220)</f>
        <v>0</v>
      </c>
      <c r="N220" s="1">
        <v>0</v>
      </c>
      <c r="O220" s="1">
        <v>0</v>
      </c>
      <c r="P220" s="1">
        <v>0</v>
      </c>
      <c r="Q220" s="55">
        <f>SUM(N220:P220)</f>
        <v>0</v>
      </c>
      <c r="R220" s="55">
        <f>+E220+I220+M220+Q220</f>
        <v>0</v>
      </c>
    </row>
    <row r="221" spans="1:18" ht="15.75" customHeight="1" x14ac:dyDescent="0.3">
      <c r="A221" s="85" t="s">
        <v>544</v>
      </c>
      <c r="B221" s="1">
        <v>0</v>
      </c>
      <c r="C221" s="1">
        <v>0</v>
      </c>
      <c r="D221" s="1">
        <v>0</v>
      </c>
      <c r="E221" s="55">
        <f>SUM(B221:D221)</f>
        <v>0</v>
      </c>
      <c r="F221" s="1">
        <v>0</v>
      </c>
      <c r="G221" s="1">
        <v>0</v>
      </c>
      <c r="H221" s="1">
        <v>0</v>
      </c>
      <c r="I221" s="55">
        <f>SUM(F221:H221)</f>
        <v>0</v>
      </c>
      <c r="J221" s="1">
        <v>0</v>
      </c>
      <c r="K221" s="1">
        <v>0</v>
      </c>
      <c r="L221" s="1">
        <v>1036</v>
      </c>
      <c r="M221" s="55">
        <f>SUM(J221:L221)</f>
        <v>1036</v>
      </c>
      <c r="N221" s="1">
        <v>1964</v>
      </c>
      <c r="O221" s="1">
        <v>0</v>
      </c>
      <c r="P221" s="1">
        <v>0</v>
      </c>
      <c r="Q221" s="55">
        <f>SUM(N221:P221)</f>
        <v>1964</v>
      </c>
      <c r="R221" s="55">
        <f>+E221+I221+M221+Q221</f>
        <v>3000</v>
      </c>
    </row>
    <row r="222" spans="1:18" ht="15.75" customHeight="1" x14ac:dyDescent="0.3">
      <c r="A222" s="85" t="s">
        <v>627</v>
      </c>
      <c r="B222" s="1">
        <v>0</v>
      </c>
      <c r="C222" s="1">
        <v>0</v>
      </c>
      <c r="D222" s="1">
        <v>0</v>
      </c>
      <c r="E222" s="55">
        <f>SUM(B222:D222)</f>
        <v>0</v>
      </c>
      <c r="F222" s="1">
        <v>0</v>
      </c>
      <c r="G222" s="1">
        <v>0</v>
      </c>
      <c r="H222" s="1">
        <v>0</v>
      </c>
      <c r="I222" s="55">
        <f>SUM(F222:H222)</f>
        <v>0</v>
      </c>
      <c r="J222" s="1">
        <v>0</v>
      </c>
      <c r="K222" s="1">
        <v>0</v>
      </c>
      <c r="L222" s="1">
        <v>0</v>
      </c>
      <c r="M222" s="55">
        <f>SUM(J222:L222)</f>
        <v>0</v>
      </c>
      <c r="N222" s="1">
        <v>0</v>
      </c>
      <c r="O222" s="1">
        <v>0</v>
      </c>
      <c r="P222" s="1">
        <v>0</v>
      </c>
      <c r="Q222" s="55">
        <f>SUM(N222:P222)</f>
        <v>0</v>
      </c>
      <c r="R222" s="55">
        <f>+E222+I222+M222+Q222</f>
        <v>0</v>
      </c>
    </row>
    <row r="223" spans="1:18" ht="15.75" customHeight="1" x14ac:dyDescent="0.3">
      <c r="A223" s="71" t="s">
        <v>628</v>
      </c>
      <c r="B223" s="1">
        <v>0</v>
      </c>
      <c r="C223" s="1">
        <v>0</v>
      </c>
      <c r="D223" s="1">
        <v>0</v>
      </c>
      <c r="E223" s="55">
        <f>SUM(B223:D223)</f>
        <v>0</v>
      </c>
      <c r="F223" s="1">
        <v>0</v>
      </c>
      <c r="G223" s="1">
        <v>0</v>
      </c>
      <c r="H223" s="1">
        <v>0</v>
      </c>
      <c r="I223" s="55">
        <f>SUM(F223:H223)</f>
        <v>0</v>
      </c>
      <c r="J223" s="1">
        <v>0</v>
      </c>
      <c r="K223" s="1">
        <v>0</v>
      </c>
      <c r="L223" s="1">
        <v>0</v>
      </c>
      <c r="M223" s="55">
        <f>SUM(J223:L223)</f>
        <v>0</v>
      </c>
      <c r="N223" s="1">
        <v>0</v>
      </c>
      <c r="O223" s="1">
        <v>0</v>
      </c>
      <c r="P223" s="1">
        <v>0</v>
      </c>
      <c r="Q223" s="55">
        <f>SUM(N223:P223)</f>
        <v>0</v>
      </c>
      <c r="R223" s="55">
        <f>+E223+I223+M223+Q223</f>
        <v>0</v>
      </c>
    </row>
    <row r="224" spans="1:18" ht="15.75" customHeight="1" x14ac:dyDescent="0.3">
      <c r="A224" s="15" t="s">
        <v>67</v>
      </c>
      <c r="B224" s="1"/>
      <c r="C224" s="1"/>
      <c r="D224" s="1"/>
      <c r="E224" s="55" t="s">
        <v>7</v>
      </c>
      <c r="F224" s="1"/>
      <c r="G224" s="1"/>
      <c r="H224" s="1"/>
      <c r="I224" s="55" t="s">
        <v>7</v>
      </c>
      <c r="J224" s="1"/>
      <c r="K224" s="1"/>
      <c r="L224" s="1"/>
      <c r="M224" s="55" t="s">
        <v>7</v>
      </c>
      <c r="N224" s="1"/>
      <c r="O224" s="1"/>
      <c r="P224" s="1"/>
      <c r="Q224" s="55" t="s">
        <v>7</v>
      </c>
      <c r="R224" s="55" t="s">
        <v>7</v>
      </c>
    </row>
    <row r="225" spans="1:18" ht="15.75" customHeight="1" x14ac:dyDescent="0.3">
      <c r="A225" s="85" t="s">
        <v>182</v>
      </c>
      <c r="B225" s="1">
        <v>0</v>
      </c>
      <c r="C225" s="1">
        <v>0</v>
      </c>
      <c r="D225" s="1">
        <v>0</v>
      </c>
      <c r="E225" s="55">
        <f t="shared" ref="E225:E230" si="33">SUM(B225:D225)</f>
        <v>0</v>
      </c>
      <c r="F225" s="1">
        <v>0</v>
      </c>
      <c r="G225" s="1">
        <v>0</v>
      </c>
      <c r="H225" s="1">
        <v>0</v>
      </c>
      <c r="I225" s="55">
        <f t="shared" ref="I225:I230" si="34">SUM(F225:H225)</f>
        <v>0</v>
      </c>
      <c r="J225" s="1">
        <v>0</v>
      </c>
      <c r="K225" s="1">
        <v>0</v>
      </c>
      <c r="L225" s="1">
        <v>0</v>
      </c>
      <c r="M225" s="55">
        <f t="shared" ref="M225:M230" si="35">SUM(J225:L225)</f>
        <v>0</v>
      </c>
      <c r="N225" s="1">
        <v>0</v>
      </c>
      <c r="O225" s="1">
        <v>377</v>
      </c>
      <c r="P225" s="1">
        <v>2227</v>
      </c>
      <c r="Q225" s="55">
        <f t="shared" ref="Q225:Q230" si="36">SUM(N225:P225)</f>
        <v>2604</v>
      </c>
      <c r="R225" s="55">
        <f t="shared" ref="R225:R230" si="37">+E225+I225+M225+Q225</f>
        <v>2604</v>
      </c>
    </row>
    <row r="226" spans="1:18" ht="15.75" customHeight="1" x14ac:dyDescent="0.3">
      <c r="A226" s="85" t="s">
        <v>183</v>
      </c>
      <c r="B226" s="1">
        <v>0</v>
      </c>
      <c r="C226" s="1">
        <v>0</v>
      </c>
      <c r="D226" s="1">
        <v>0</v>
      </c>
      <c r="E226" s="55">
        <f t="shared" si="33"/>
        <v>0</v>
      </c>
      <c r="F226" s="1">
        <v>0</v>
      </c>
      <c r="G226" s="1">
        <v>0</v>
      </c>
      <c r="H226" s="1">
        <v>0</v>
      </c>
      <c r="I226" s="55">
        <f t="shared" si="34"/>
        <v>0</v>
      </c>
      <c r="J226" s="1">
        <v>0</v>
      </c>
      <c r="K226" s="1">
        <v>0</v>
      </c>
      <c r="L226" s="1">
        <v>0</v>
      </c>
      <c r="M226" s="55">
        <f t="shared" si="35"/>
        <v>0</v>
      </c>
      <c r="N226" s="1">
        <v>0</v>
      </c>
      <c r="O226" s="1">
        <v>0</v>
      </c>
      <c r="P226" s="1">
        <v>0</v>
      </c>
      <c r="Q226" s="55">
        <f t="shared" si="36"/>
        <v>0</v>
      </c>
      <c r="R226" s="55">
        <f t="shared" si="37"/>
        <v>0</v>
      </c>
    </row>
    <row r="227" spans="1:18" ht="15.75" customHeight="1" x14ac:dyDescent="0.3">
      <c r="A227" s="84" t="s">
        <v>186</v>
      </c>
      <c r="B227" s="1">
        <v>0</v>
      </c>
      <c r="C227" s="1">
        <v>0</v>
      </c>
      <c r="D227" s="1">
        <v>0</v>
      </c>
      <c r="E227" s="55">
        <f t="shared" si="33"/>
        <v>0</v>
      </c>
      <c r="F227" s="1">
        <v>0</v>
      </c>
      <c r="G227" s="1">
        <v>0</v>
      </c>
      <c r="H227" s="1">
        <v>0</v>
      </c>
      <c r="I227" s="55">
        <f t="shared" si="34"/>
        <v>0</v>
      </c>
      <c r="J227" s="1">
        <v>0</v>
      </c>
      <c r="K227" s="1">
        <v>0</v>
      </c>
      <c r="L227" s="1">
        <v>0</v>
      </c>
      <c r="M227" s="55">
        <f t="shared" si="35"/>
        <v>0</v>
      </c>
      <c r="N227" s="1">
        <v>1860</v>
      </c>
      <c r="O227" s="1">
        <v>3142</v>
      </c>
      <c r="P227" s="1">
        <v>0</v>
      </c>
      <c r="Q227" s="55">
        <f t="shared" si="36"/>
        <v>5002</v>
      </c>
      <c r="R227" s="55">
        <f t="shared" si="37"/>
        <v>5002</v>
      </c>
    </row>
    <row r="228" spans="1:18" s="89" customFormat="1" ht="15.75" customHeight="1" x14ac:dyDescent="0.3">
      <c r="A228" s="84" t="s">
        <v>187</v>
      </c>
      <c r="B228" s="1">
        <v>0</v>
      </c>
      <c r="C228" s="1">
        <v>0</v>
      </c>
      <c r="D228" s="1">
        <v>0</v>
      </c>
      <c r="E228" s="55">
        <f t="shared" si="33"/>
        <v>0</v>
      </c>
      <c r="F228" s="1">
        <v>0</v>
      </c>
      <c r="G228" s="1">
        <v>0</v>
      </c>
      <c r="H228" s="1">
        <v>0</v>
      </c>
      <c r="I228" s="55">
        <f t="shared" si="34"/>
        <v>0</v>
      </c>
      <c r="J228" s="1">
        <v>0</v>
      </c>
      <c r="K228" s="1">
        <v>0</v>
      </c>
      <c r="L228" s="1">
        <v>0</v>
      </c>
      <c r="M228" s="55">
        <f t="shared" si="35"/>
        <v>0</v>
      </c>
      <c r="N228" s="1">
        <v>0</v>
      </c>
      <c r="O228" s="1">
        <v>0</v>
      </c>
      <c r="P228" s="1">
        <v>0</v>
      </c>
      <c r="Q228" s="55">
        <f t="shared" si="36"/>
        <v>0</v>
      </c>
      <c r="R228" s="55">
        <f t="shared" si="37"/>
        <v>0</v>
      </c>
    </row>
    <row r="229" spans="1:18" ht="15.75" customHeight="1" x14ac:dyDescent="0.3">
      <c r="A229" s="61" t="s">
        <v>188</v>
      </c>
      <c r="B229" s="1">
        <v>0</v>
      </c>
      <c r="C229" s="1">
        <v>0</v>
      </c>
      <c r="D229" s="1">
        <v>0</v>
      </c>
      <c r="E229" s="55">
        <f t="shared" si="33"/>
        <v>0</v>
      </c>
      <c r="F229" s="1">
        <v>0</v>
      </c>
      <c r="G229" s="1">
        <v>0</v>
      </c>
      <c r="H229" s="1">
        <v>0</v>
      </c>
      <c r="I229" s="55">
        <f t="shared" si="34"/>
        <v>0</v>
      </c>
      <c r="J229" s="1">
        <v>0</v>
      </c>
      <c r="K229" s="1">
        <v>0</v>
      </c>
      <c r="L229" s="1">
        <v>0</v>
      </c>
      <c r="M229" s="55">
        <f t="shared" si="35"/>
        <v>0</v>
      </c>
      <c r="N229" s="1">
        <v>0</v>
      </c>
      <c r="O229" s="1">
        <v>0</v>
      </c>
      <c r="P229" s="1">
        <v>0</v>
      </c>
      <c r="Q229" s="55">
        <f t="shared" si="36"/>
        <v>0</v>
      </c>
      <c r="R229" s="55">
        <f t="shared" si="37"/>
        <v>0</v>
      </c>
    </row>
    <row r="230" spans="1:18" ht="15.75" customHeight="1" x14ac:dyDescent="0.3">
      <c r="A230" s="61" t="s">
        <v>189</v>
      </c>
      <c r="B230" s="1">
        <v>0</v>
      </c>
      <c r="C230" s="1">
        <v>0</v>
      </c>
      <c r="D230" s="1">
        <v>0</v>
      </c>
      <c r="E230" s="55">
        <f t="shared" si="33"/>
        <v>0</v>
      </c>
      <c r="F230" s="1">
        <v>0</v>
      </c>
      <c r="G230" s="1">
        <v>0</v>
      </c>
      <c r="H230" s="1">
        <v>0</v>
      </c>
      <c r="I230" s="55">
        <f t="shared" si="34"/>
        <v>0</v>
      </c>
      <c r="J230" s="1">
        <v>0</v>
      </c>
      <c r="K230" s="1">
        <v>0</v>
      </c>
      <c r="L230" s="1">
        <v>0</v>
      </c>
      <c r="M230" s="55">
        <f t="shared" si="35"/>
        <v>0</v>
      </c>
      <c r="N230" s="1">
        <v>0</v>
      </c>
      <c r="O230" s="1">
        <v>0</v>
      </c>
      <c r="P230" s="1">
        <v>0</v>
      </c>
      <c r="Q230" s="55">
        <f t="shared" si="36"/>
        <v>0</v>
      </c>
      <c r="R230" s="55">
        <f t="shared" si="37"/>
        <v>0</v>
      </c>
    </row>
    <row r="231" spans="1:18" ht="15.75" customHeight="1" x14ac:dyDescent="0.3">
      <c r="A231" s="15" t="s">
        <v>600</v>
      </c>
      <c r="B231" s="1"/>
      <c r="C231" s="1"/>
      <c r="D231" s="1"/>
      <c r="E231" s="55" t="s">
        <v>7</v>
      </c>
      <c r="F231" s="1"/>
      <c r="G231" s="1"/>
      <c r="H231" s="1"/>
      <c r="I231" s="55" t="s">
        <v>7</v>
      </c>
      <c r="J231" s="1"/>
      <c r="K231" s="1"/>
      <c r="L231" s="1"/>
      <c r="M231" s="55" t="s">
        <v>7</v>
      </c>
      <c r="N231" s="1"/>
      <c r="O231" s="1"/>
      <c r="P231" s="1"/>
      <c r="Q231" s="55" t="s">
        <v>7</v>
      </c>
      <c r="R231" s="55" t="s">
        <v>7</v>
      </c>
    </row>
    <row r="232" spans="1:18" s="167" customFormat="1" ht="15.75" customHeight="1" thickBot="1" x14ac:dyDescent="0.4">
      <c r="A232" s="15" t="s">
        <v>70</v>
      </c>
      <c r="B232" s="1"/>
      <c r="C232" s="1"/>
      <c r="D232" s="1"/>
      <c r="E232" s="55" t="s">
        <v>7</v>
      </c>
      <c r="F232" s="1"/>
      <c r="G232" s="1"/>
      <c r="H232" s="1"/>
      <c r="I232" s="55" t="s">
        <v>7</v>
      </c>
      <c r="J232" s="1"/>
      <c r="K232" s="1"/>
      <c r="L232" s="1"/>
      <c r="M232" s="55" t="s">
        <v>7</v>
      </c>
      <c r="N232" s="1"/>
      <c r="O232" s="1"/>
      <c r="P232" s="1"/>
      <c r="Q232" s="55" t="s">
        <v>7</v>
      </c>
      <c r="R232" s="55" t="s">
        <v>7</v>
      </c>
    </row>
    <row r="233" spans="1:18" ht="15.75" customHeight="1" thickBot="1" x14ac:dyDescent="0.35">
      <c r="A233" s="57" t="s">
        <v>71</v>
      </c>
      <c r="B233" s="58">
        <f>SUM(B231:B232)</f>
        <v>0</v>
      </c>
      <c r="C233" s="58">
        <f>SUM(C231:C232)</f>
        <v>0</v>
      </c>
      <c r="D233" s="58">
        <f>SUM(D231:D232)</f>
        <v>0</v>
      </c>
      <c r="E233" s="60">
        <f t="shared" ref="E233:E241" si="38">SUM(B233:D233)</f>
        <v>0</v>
      </c>
      <c r="F233" s="58">
        <f>SUM(F231:F232)</f>
        <v>0</v>
      </c>
      <c r="G233" s="58">
        <f>SUM(G231:G232)</f>
        <v>0</v>
      </c>
      <c r="H233" s="58">
        <f>SUM(H231:H232)</f>
        <v>0</v>
      </c>
      <c r="I233" s="60">
        <f t="shared" ref="I233:I241" si="39">SUM(F233:H233)</f>
        <v>0</v>
      </c>
      <c r="J233" s="58">
        <f>SUM(J231:J232)</f>
        <v>0</v>
      </c>
      <c r="K233" s="58">
        <f>SUM(K231:K232)</f>
        <v>0</v>
      </c>
      <c r="L233" s="58">
        <f>SUM(L231:L232)</f>
        <v>0</v>
      </c>
      <c r="M233" s="60">
        <f t="shared" ref="M233:M241" si="40">SUM(J233:L233)</f>
        <v>0</v>
      </c>
      <c r="N233" s="58">
        <f>SUM(N231:N232)</f>
        <v>0</v>
      </c>
      <c r="O233" s="58">
        <f>SUM(O231:O232)</f>
        <v>0</v>
      </c>
      <c r="P233" s="58">
        <f>SUM(P231:P232)</f>
        <v>0</v>
      </c>
      <c r="Q233" s="60">
        <f t="shared" ref="Q233:Q241" si="41">SUM(N233:P233)</f>
        <v>0</v>
      </c>
      <c r="R233" s="59">
        <f t="shared" ref="R233:R241" si="42">+E233+I233+M233+Q233</f>
        <v>0</v>
      </c>
    </row>
    <row r="234" spans="1:18" ht="15.75" customHeight="1" thickBot="1" x14ac:dyDescent="0.35">
      <c r="A234" s="57" t="s">
        <v>72</v>
      </c>
      <c r="B234" s="86">
        <f>SUM(B217:B232)</f>
        <v>0</v>
      </c>
      <c r="C234" s="87">
        <f>SUM(C217:C232)</f>
        <v>0</v>
      </c>
      <c r="D234" s="87">
        <f>SUM(D217:D232)</f>
        <v>0</v>
      </c>
      <c r="E234" s="59">
        <f t="shared" si="38"/>
        <v>0</v>
      </c>
      <c r="F234" s="87">
        <f>SUM(F217:F232)</f>
        <v>0</v>
      </c>
      <c r="G234" s="87">
        <f>SUM(G217:G232)</f>
        <v>732</v>
      </c>
      <c r="H234" s="87">
        <f>SUM(H217:H232)</f>
        <v>268</v>
      </c>
      <c r="I234" s="59">
        <f t="shared" si="39"/>
        <v>1000</v>
      </c>
      <c r="J234" s="87">
        <f>SUM(J217:J232)</f>
        <v>2299</v>
      </c>
      <c r="K234" s="87">
        <f>SUM(K217:K232)</f>
        <v>0</v>
      </c>
      <c r="L234" s="87">
        <f>SUM(L217:L232)</f>
        <v>2737</v>
      </c>
      <c r="M234" s="59">
        <f t="shared" si="40"/>
        <v>5036</v>
      </c>
      <c r="N234" s="87">
        <f>SUM(N217:N232)</f>
        <v>3824</v>
      </c>
      <c r="O234" s="87">
        <f>SUM(O217:O232)</f>
        <v>3519</v>
      </c>
      <c r="P234" s="87">
        <f>SUM(P217:P232)</f>
        <v>2227</v>
      </c>
      <c r="Q234" s="59">
        <f t="shared" si="41"/>
        <v>9570</v>
      </c>
      <c r="R234" s="59">
        <f t="shared" si="42"/>
        <v>15606</v>
      </c>
    </row>
    <row r="235" spans="1:18" ht="15.75" customHeight="1" thickBot="1" x14ac:dyDescent="0.35">
      <c r="A235" s="57" t="s">
        <v>73</v>
      </c>
      <c r="B235" s="90">
        <f>+B174+B180+B216+B234</f>
        <v>20696</v>
      </c>
      <c r="C235" s="58">
        <f>+C174+C180+C216+C234</f>
        <v>17085</v>
      </c>
      <c r="D235" s="58">
        <f>+D174+D180+D216+D234</f>
        <v>22056</v>
      </c>
      <c r="E235" s="81">
        <f t="shared" si="38"/>
        <v>59837</v>
      </c>
      <c r="F235" s="58">
        <f>+F174+F180+F216+F234</f>
        <v>24290</v>
      </c>
      <c r="G235" s="58">
        <f>+G174+G180+G216+G234</f>
        <v>30407</v>
      </c>
      <c r="H235" s="58">
        <f>+H174+H180+H216+H234</f>
        <v>33861</v>
      </c>
      <c r="I235" s="81">
        <f t="shared" si="39"/>
        <v>88558</v>
      </c>
      <c r="J235" s="58">
        <f>+J174+J180+J216+J234</f>
        <v>34747</v>
      </c>
      <c r="K235" s="58">
        <f>+K174+K180+K216+K234</f>
        <v>32556</v>
      </c>
      <c r="L235" s="58">
        <f>+L174+L180+L216+L234</f>
        <v>37956</v>
      </c>
      <c r="M235" s="81">
        <f t="shared" si="40"/>
        <v>105259</v>
      </c>
      <c r="N235" s="58">
        <f>+N174+N180+N216+N234</f>
        <v>33705</v>
      </c>
      <c r="O235" s="58">
        <f>+O174+O180+O216+O234</f>
        <v>27695</v>
      </c>
      <c r="P235" s="58">
        <f>+P174+P180+P216+P234</f>
        <v>21965</v>
      </c>
      <c r="Q235" s="81">
        <f t="shared" si="41"/>
        <v>83365</v>
      </c>
      <c r="R235" s="81">
        <f t="shared" si="42"/>
        <v>337019</v>
      </c>
    </row>
    <row r="236" spans="1:18" ht="15.75" customHeight="1" x14ac:dyDescent="0.3">
      <c r="A236" s="88" t="s">
        <v>629</v>
      </c>
      <c r="B236" s="1">
        <v>0</v>
      </c>
      <c r="C236" s="1">
        <v>1104</v>
      </c>
      <c r="D236" s="1">
        <v>801</v>
      </c>
      <c r="E236" s="55">
        <f t="shared" si="38"/>
        <v>1905</v>
      </c>
      <c r="F236" s="1">
        <v>2490</v>
      </c>
      <c r="G236" s="1">
        <v>3757</v>
      </c>
      <c r="H236" s="1">
        <v>3774</v>
      </c>
      <c r="I236" s="55">
        <f t="shared" si="39"/>
        <v>10021</v>
      </c>
      <c r="J236" s="1">
        <v>2924</v>
      </c>
      <c r="K236" s="1">
        <v>1975</v>
      </c>
      <c r="L236" s="1">
        <v>2969</v>
      </c>
      <c r="M236" s="55">
        <f t="shared" si="40"/>
        <v>7868</v>
      </c>
      <c r="N236" s="1">
        <v>3073</v>
      </c>
      <c r="O236" s="1">
        <v>4050</v>
      </c>
      <c r="P236" s="1">
        <v>845</v>
      </c>
      <c r="Q236" s="55">
        <f t="shared" si="41"/>
        <v>7968</v>
      </c>
      <c r="R236" s="55">
        <f t="shared" si="42"/>
        <v>27762</v>
      </c>
    </row>
    <row r="237" spans="1:18" ht="15.75" customHeight="1" x14ac:dyDescent="0.3">
      <c r="A237" s="91" t="s">
        <v>193</v>
      </c>
      <c r="B237" s="1">
        <v>0</v>
      </c>
      <c r="C237" s="1">
        <v>0</v>
      </c>
      <c r="D237" s="1">
        <v>0</v>
      </c>
      <c r="E237" s="55">
        <f t="shared" si="38"/>
        <v>0</v>
      </c>
      <c r="F237" s="1">
        <v>-302</v>
      </c>
      <c r="G237" s="1">
        <v>-47</v>
      </c>
      <c r="H237" s="1">
        <v>-1169</v>
      </c>
      <c r="I237" s="55">
        <f t="shared" si="39"/>
        <v>-1518</v>
      </c>
      <c r="J237" s="1">
        <v>-1176</v>
      </c>
      <c r="K237" s="1">
        <v>-1372</v>
      </c>
      <c r="L237" s="1">
        <v>-1426</v>
      </c>
      <c r="M237" s="55">
        <f t="shared" si="40"/>
        <v>-3974</v>
      </c>
      <c r="N237" s="1">
        <v>-1639</v>
      </c>
      <c r="O237" s="1">
        <v>-962</v>
      </c>
      <c r="P237" s="1">
        <v>-1446</v>
      </c>
      <c r="Q237" s="55">
        <f t="shared" si="41"/>
        <v>-4047</v>
      </c>
      <c r="R237" s="55">
        <f t="shared" si="42"/>
        <v>-9539</v>
      </c>
    </row>
    <row r="238" spans="1:18" ht="15.75" customHeight="1" x14ac:dyDescent="0.3">
      <c r="A238" s="71" t="s">
        <v>630</v>
      </c>
      <c r="B238" s="1">
        <v>825</v>
      </c>
      <c r="C238" s="1">
        <v>1214</v>
      </c>
      <c r="D238" s="1">
        <v>0</v>
      </c>
      <c r="E238" s="55">
        <f t="shared" si="38"/>
        <v>2039</v>
      </c>
      <c r="F238" s="1">
        <v>0</v>
      </c>
      <c r="G238" s="1">
        <v>0</v>
      </c>
      <c r="H238" s="1">
        <v>0</v>
      </c>
      <c r="I238" s="55">
        <f t="shared" si="39"/>
        <v>0</v>
      </c>
      <c r="J238" s="1">
        <v>0</v>
      </c>
      <c r="K238" s="1">
        <v>0</v>
      </c>
      <c r="L238" s="1">
        <v>830</v>
      </c>
      <c r="M238" s="55">
        <f t="shared" si="40"/>
        <v>830</v>
      </c>
      <c r="N238" s="1">
        <v>1510</v>
      </c>
      <c r="O238" s="1">
        <v>0</v>
      </c>
      <c r="P238" s="1">
        <v>321</v>
      </c>
      <c r="Q238" s="55">
        <f t="shared" si="41"/>
        <v>1831</v>
      </c>
      <c r="R238" s="55">
        <f t="shared" si="42"/>
        <v>4700</v>
      </c>
    </row>
    <row r="239" spans="1:18" ht="15.75" customHeight="1" x14ac:dyDescent="0.3">
      <c r="A239" s="91" t="s">
        <v>547</v>
      </c>
      <c r="B239" s="1">
        <v>58</v>
      </c>
      <c r="C239" s="1">
        <v>25</v>
      </c>
      <c r="D239" s="1">
        <v>34</v>
      </c>
      <c r="E239" s="55">
        <f t="shared" si="38"/>
        <v>117</v>
      </c>
      <c r="F239" s="1">
        <v>101</v>
      </c>
      <c r="G239" s="1">
        <v>146</v>
      </c>
      <c r="H239" s="1">
        <v>166</v>
      </c>
      <c r="I239" s="55">
        <f t="shared" si="39"/>
        <v>413</v>
      </c>
      <c r="J239" s="1">
        <v>262</v>
      </c>
      <c r="K239" s="1">
        <v>109</v>
      </c>
      <c r="L239" s="1">
        <v>126</v>
      </c>
      <c r="M239" s="55">
        <f t="shared" si="40"/>
        <v>497</v>
      </c>
      <c r="N239" s="1">
        <v>80</v>
      </c>
      <c r="O239" s="1">
        <v>115</v>
      </c>
      <c r="P239" s="1">
        <v>119</v>
      </c>
      <c r="Q239" s="55">
        <f t="shared" si="41"/>
        <v>314</v>
      </c>
      <c r="R239" s="55">
        <f t="shared" si="42"/>
        <v>1341</v>
      </c>
    </row>
    <row r="240" spans="1:18" ht="15.75" customHeight="1" x14ac:dyDescent="0.3">
      <c r="A240" s="84" t="s">
        <v>196</v>
      </c>
      <c r="B240" s="1">
        <v>69254</v>
      </c>
      <c r="C240" s="1">
        <v>32024</v>
      </c>
      <c r="D240" s="1">
        <v>23237</v>
      </c>
      <c r="E240" s="55">
        <f t="shared" si="38"/>
        <v>124515</v>
      </c>
      <c r="F240" s="1">
        <v>0</v>
      </c>
      <c r="G240" s="1">
        <v>794</v>
      </c>
      <c r="H240" s="1">
        <v>0</v>
      </c>
      <c r="I240" s="55">
        <f t="shared" si="39"/>
        <v>794</v>
      </c>
      <c r="J240" s="1">
        <v>0</v>
      </c>
      <c r="K240" s="1">
        <v>0</v>
      </c>
      <c r="L240" s="1">
        <v>15215</v>
      </c>
      <c r="M240" s="55">
        <f t="shared" si="40"/>
        <v>15215</v>
      </c>
      <c r="N240" s="1">
        <v>55015</v>
      </c>
      <c r="O240" s="1">
        <v>64395</v>
      </c>
      <c r="P240" s="1">
        <v>104913</v>
      </c>
      <c r="Q240" s="55">
        <f t="shared" si="41"/>
        <v>224323</v>
      </c>
      <c r="R240" s="55">
        <f t="shared" si="42"/>
        <v>364847</v>
      </c>
    </row>
    <row r="241" spans="1:18" ht="15.75" customHeight="1" thickBot="1" x14ac:dyDescent="0.35">
      <c r="A241" s="39" t="s">
        <v>40</v>
      </c>
      <c r="B241" s="21">
        <v>104</v>
      </c>
      <c r="C241" s="21">
        <v>268</v>
      </c>
      <c r="D241" s="21">
        <v>474</v>
      </c>
      <c r="E241" s="55">
        <f t="shared" si="38"/>
        <v>846</v>
      </c>
      <c r="F241" s="21">
        <v>647</v>
      </c>
      <c r="G241" s="21">
        <v>742</v>
      </c>
      <c r="H241" s="21">
        <v>781</v>
      </c>
      <c r="I241" s="55">
        <f t="shared" si="39"/>
        <v>2170</v>
      </c>
      <c r="J241" s="21">
        <v>774</v>
      </c>
      <c r="K241" s="21">
        <v>596</v>
      </c>
      <c r="L241" s="21">
        <v>546</v>
      </c>
      <c r="M241" s="55">
        <f t="shared" si="40"/>
        <v>1916</v>
      </c>
      <c r="N241" s="21">
        <v>517</v>
      </c>
      <c r="O241" s="21">
        <v>413</v>
      </c>
      <c r="P241" s="21">
        <v>302</v>
      </c>
      <c r="Q241" s="55">
        <f t="shared" si="41"/>
        <v>1232</v>
      </c>
      <c r="R241" s="55">
        <f t="shared" si="42"/>
        <v>6164</v>
      </c>
    </row>
    <row r="242" spans="1:18" ht="15.75" customHeight="1" thickBot="1" x14ac:dyDescent="0.35">
      <c r="A242" s="74"/>
      <c r="B242" s="75"/>
      <c r="C242" s="75"/>
      <c r="D242" s="75"/>
      <c r="E242" s="60"/>
      <c r="F242" s="75"/>
      <c r="G242" s="75"/>
      <c r="H242" s="75"/>
      <c r="I242" s="59"/>
      <c r="J242" s="75"/>
      <c r="K242" s="75"/>
      <c r="L242" s="75"/>
      <c r="M242" s="59"/>
      <c r="N242" s="75"/>
      <c r="O242" s="75"/>
      <c r="P242" s="75"/>
      <c r="Q242" s="59"/>
      <c r="R242" s="59" t="s">
        <v>7</v>
      </c>
    </row>
    <row r="243" spans="1:18" ht="15.75" customHeight="1" x14ac:dyDescent="0.3">
      <c r="A243" s="76" t="s">
        <v>41</v>
      </c>
      <c r="B243" s="77">
        <f>SUM(B235:B241)</f>
        <v>90937</v>
      </c>
      <c r="C243" s="77">
        <f>SUM(C235:C241)</f>
        <v>51720</v>
      </c>
      <c r="D243" s="77">
        <f>SUM(D235:D241)</f>
        <v>46602</v>
      </c>
      <c r="E243" s="60">
        <f>SUM(B243:D243)</f>
        <v>189259</v>
      </c>
      <c r="F243" s="77">
        <f>SUM(F235:F241)</f>
        <v>27226</v>
      </c>
      <c r="G243" s="77">
        <f>SUM(G235:G241)</f>
        <v>35799</v>
      </c>
      <c r="H243" s="77">
        <f>SUM(H235:H241)</f>
        <v>37413</v>
      </c>
      <c r="I243" s="60">
        <f>SUM(F243:H243)</f>
        <v>100438</v>
      </c>
      <c r="J243" s="77">
        <f>SUM(J235:J241)</f>
        <v>37531</v>
      </c>
      <c r="K243" s="77">
        <f>SUM(K235:K241)</f>
        <v>33864</v>
      </c>
      <c r="L243" s="77">
        <f>SUM(L235:L241)</f>
        <v>56216</v>
      </c>
      <c r="M243" s="60">
        <f>SUM(J243:L243)</f>
        <v>127611</v>
      </c>
      <c r="N243" s="77">
        <f>SUM(N235:N241)</f>
        <v>92261</v>
      </c>
      <c r="O243" s="77">
        <f>SUM(O235:O241)</f>
        <v>95706</v>
      </c>
      <c r="P243" s="77">
        <f>SUM(P235:P241)</f>
        <v>127019</v>
      </c>
      <c r="Q243" s="92">
        <f>SUM(N243:P243)</f>
        <v>314986</v>
      </c>
      <c r="R243" s="60">
        <f>+E243+I243+M243+Q243</f>
        <v>732294</v>
      </c>
    </row>
    <row r="244" spans="1:18" ht="15.75" customHeight="1" x14ac:dyDescent="0.3">
      <c r="A244" s="79" t="s">
        <v>42</v>
      </c>
      <c r="B244" s="1">
        <f>(B243/31)/1.983</f>
        <v>1479.2998552209913</v>
      </c>
      <c r="C244" s="1">
        <f>(C243/28)/1.983</f>
        <v>931.48908580073476</v>
      </c>
      <c r="D244" s="1">
        <f>(D243/31)/1.983</f>
        <v>758.08891708554972</v>
      </c>
      <c r="E244" s="55" t="s">
        <v>7</v>
      </c>
      <c r="F244" s="1">
        <f>(F243/30)/1.983</f>
        <v>457.65674903345098</v>
      </c>
      <c r="G244" s="1">
        <f>(G243/31)/1.983</f>
        <v>582.35322824654725</v>
      </c>
      <c r="H244" s="1">
        <f>(H243/30)/1.983</f>
        <v>628.89561270801812</v>
      </c>
      <c r="I244" s="55" t="s">
        <v>7</v>
      </c>
      <c r="J244" s="1">
        <f>(J243/31)/1.983</f>
        <v>610.5281993720821</v>
      </c>
      <c r="K244" s="1">
        <f>(K243/31)/1.983</f>
        <v>550.8759943389781</v>
      </c>
      <c r="L244" s="1">
        <f>(L243/30)/1.983</f>
        <v>944.96554042696243</v>
      </c>
      <c r="M244" s="55" t="s">
        <v>7</v>
      </c>
      <c r="N244" s="1">
        <f>(N243/31)/1.983</f>
        <v>1500.8377661737672</v>
      </c>
      <c r="O244" s="1">
        <f>(O243/30)/1.983</f>
        <v>1608.7745839636912</v>
      </c>
      <c r="P244" s="1">
        <f>(P243/31)/1.983</f>
        <v>2066.2567305971725</v>
      </c>
      <c r="Q244" s="93" t="s">
        <v>7</v>
      </c>
      <c r="R244" s="55" t="s">
        <v>7</v>
      </c>
    </row>
    <row r="245" spans="1:18" ht="15.75" customHeight="1" x14ac:dyDescent="0.3">
      <c r="A245" s="79" t="s">
        <v>197</v>
      </c>
      <c r="B245" s="1">
        <f>(+B243+B364)+B252</f>
        <v>119763</v>
      </c>
      <c r="C245" s="1">
        <f>(+C243+C364)+C252</f>
        <v>78155</v>
      </c>
      <c r="D245" s="1">
        <f>(+D243+D364)+D252</f>
        <v>111234</v>
      </c>
      <c r="E245" s="55">
        <f>SUM(B245:D245)</f>
        <v>309152</v>
      </c>
      <c r="F245" s="1">
        <f>(+F243+F364)+F252</f>
        <v>140733</v>
      </c>
      <c r="G245" s="1">
        <f>(+G243+G364)+G252</f>
        <v>141564</v>
      </c>
      <c r="H245" s="1">
        <f>(+H243+H364)+H252</f>
        <v>142703</v>
      </c>
      <c r="I245" s="55">
        <f>SUM(F245:H245)</f>
        <v>425000</v>
      </c>
      <c r="J245" s="1">
        <f>(+J243+J364)+J252</f>
        <v>20446</v>
      </c>
      <c r="K245" s="1">
        <f>(+K243+K364)+K252</f>
        <v>51578</v>
      </c>
      <c r="L245" s="1">
        <f>(+L243+L364)+L252</f>
        <v>133290</v>
      </c>
      <c r="M245" s="55">
        <f>SUM(J245:L245)</f>
        <v>205314</v>
      </c>
      <c r="N245" s="1">
        <f>(+N243+N364)+N252</f>
        <v>134660</v>
      </c>
      <c r="O245" s="1">
        <f>(+O243+O364)+O252</f>
        <v>133561</v>
      </c>
      <c r="P245" s="1">
        <f>(+P243+P364)+P252</f>
        <v>157429</v>
      </c>
      <c r="Q245" s="93">
        <f>SUM(N245:P245)</f>
        <v>425650</v>
      </c>
      <c r="R245" s="55">
        <f>+E245+I245+M245+Q245</f>
        <v>1365116</v>
      </c>
    </row>
    <row r="246" spans="1:18" ht="15.75" customHeight="1" thickBot="1" x14ac:dyDescent="0.35">
      <c r="A246" s="80" t="s">
        <v>198</v>
      </c>
      <c r="B246" s="25">
        <f>(B245/31)/1.983</f>
        <v>1948.2211702698746</v>
      </c>
      <c r="C246" s="25">
        <f>(C245/28)/1.983</f>
        <v>1407.5895108421582</v>
      </c>
      <c r="D246" s="25">
        <f>(D245/31)/1.983</f>
        <v>1809.4773315113951</v>
      </c>
      <c r="E246" s="81" t="s">
        <v>7</v>
      </c>
      <c r="F246" s="25">
        <f>(F245/30)/1.983</f>
        <v>2365.6580937972767</v>
      </c>
      <c r="G246" s="25">
        <f>(G245/31)/1.983</f>
        <v>2302.8646722951539</v>
      </c>
      <c r="H246" s="25">
        <f>(H245/30)/1.983</f>
        <v>2398.772903008909</v>
      </c>
      <c r="I246" s="81" t="s">
        <v>7</v>
      </c>
      <c r="J246" s="25">
        <f>(J245/31)/1.983</f>
        <v>332.60130463780843</v>
      </c>
      <c r="K246" s="25">
        <f>(K245/31)/1.983</f>
        <v>839.03502350625467</v>
      </c>
      <c r="L246" s="25">
        <f>(L245/30)/1.983</f>
        <v>2240.5446293494706</v>
      </c>
      <c r="M246" s="81" t="s">
        <v>7</v>
      </c>
      <c r="N246" s="25">
        <f>(N245/30)/1.983</f>
        <v>2263.5737098672048</v>
      </c>
      <c r="O246" s="25">
        <f>(O245/30)/1.983</f>
        <v>2245.1000168095479</v>
      </c>
      <c r="P246" s="25">
        <f>(P245/31)/1.983</f>
        <v>2560.9454557285308</v>
      </c>
      <c r="Q246" s="94" t="s">
        <v>7</v>
      </c>
      <c r="R246" s="81" t="s">
        <v>7</v>
      </c>
    </row>
    <row r="247" spans="1:18" ht="15.75" customHeight="1" thickBot="1" x14ac:dyDescent="0.35">
      <c r="A247" s="95" t="s">
        <v>199</v>
      </c>
      <c r="B247" s="96">
        <f>+(B245-(B136+B137+B138+B139+B141+B142+B150+B151+B170+B171+B184+B185+B186+B187+B206+B219+B220+B221+B225+B226+B227+B228+B236+B240)-B252-B248)/(31*1.983)</f>
        <v>686.54531257625297</v>
      </c>
      <c r="C247" s="96">
        <f>+(C245-(C136+C137+C138+C139+C141+C142+C150+C151+C170+C171+C184+C185+C186+C187+C206+C219+C220+C221+C225+C226+C227+C228+C236+C240)-C252-C248)/(31*1.983)</f>
        <v>611.17889154588192</v>
      </c>
      <c r="D247" s="96">
        <f>+(D245-(D136+D137+D138+D139+D141+D142+D150+D151+D170+D171+D184+D185+D186+D187+D206+D219+D220+D221+D225+D226+D227+D228+D236+D240)-D252-D248)/(31*1.983)</f>
        <v>1235.2414881330014</v>
      </c>
      <c r="E247" s="97"/>
      <c r="F247" s="96">
        <f>+(F245-(F136+F137+F138+F139+F141+F142+F150+F151+F170+F171+F184+F185+F186+F187+F206+F219+F220+F221+F225+F226+F227+F228+F236+F240)-F252-F248)/(31*1.983)</f>
        <v>2195.2889886616886</v>
      </c>
      <c r="G247" s="96">
        <f>+(G245-(G136+G137+G138+G139+G141+G142+G150+G151+G170+G171+G184+G185+G186+G187+G206+G219+G220+G221+G225+G226+G227+G228+G236+G240)-G252-G248)/(31*1.983)</f>
        <v>2067.5418476404275</v>
      </c>
      <c r="H247" s="96">
        <f>+(H245-(H136+H137+H138+H139+H141+H142+H150+H151+H170+H171+H184+H185+H186+H187+H206+H219+H220+H221+H225+H226+H227+H228+H236+H240)-H252-H248)/(31*1.983)</f>
        <v>2765.2302636930031</v>
      </c>
      <c r="I247" s="97"/>
      <c r="J247" s="96">
        <f>+(J245-(J136+J137+J138+J139+J141+J142+J150+J151+J170+J171+J184+J185+J186+J187+J206+J219+J220+J221+J225+J226+J227+J228+J236+J240)-J252-J248)/(31*1.983)</f>
        <v>2836.7576008979549</v>
      </c>
      <c r="K247" s="96">
        <f>+(K245-(K136+K137+K138+K139+K141+K142+K150+K151+K170+K171+K184+K185+K186+K187+K206+K219+K220+K221+K225+K226+K227+K228+K236+K240)-K252-K248)/(31*1.983)</f>
        <v>2397.4915816700013</v>
      </c>
      <c r="L247" s="96">
        <f>+(L245-(L136+L137+L138+L139+L141+L142+L150+L151+L170+L171+L184+L185+L186+L187+L206+L219+L220+L221+L225+L226+L227+L228+L236+L240)-L252-L248)/(31*1.983)</f>
        <v>1949.831633400029</v>
      </c>
      <c r="M247" s="97"/>
      <c r="N247" s="96">
        <f>+(N245-(N136+N137+N138+N139+N141+N142+N150+N151+N170+N171+N184+N185+N186+N187+N206+N219+N220+N221+N225+N226+N227+N228+N236+N240)-N252-N248)/(31*1.983)</f>
        <v>1032.8436874725487</v>
      </c>
      <c r="O247" s="96">
        <f>+(O245-(O136+O137+O138+O139+O141+O142+O150+O151+O170+O171+O184+O185+O186+O187+O206+O219+O220+O221+O225+O226+O227+O228+O236+O240)-O252-O248)/(31*1.983)</f>
        <v>884.56720836790123</v>
      </c>
      <c r="P247" s="96">
        <f>+(P245-(P136+P137+P138+P139+P141+P142+P150+P151+P170+P171+P184+P185+P186+P187+P206+P219+P220+P221+P225+P226+P227+P228+P236+P240)-P252-P248)/(31*1.983)</f>
        <v>717.12784474484727</v>
      </c>
      <c r="Q247" s="98"/>
      <c r="R247" s="97"/>
    </row>
    <row r="248" spans="1:18" ht="15.75" customHeight="1" x14ac:dyDescent="0.35">
      <c r="A248" s="99" t="s">
        <v>200</v>
      </c>
      <c r="B248" s="1">
        <v>3805</v>
      </c>
      <c r="C248" s="1">
        <v>3360</v>
      </c>
      <c r="D248" s="1">
        <v>3720</v>
      </c>
      <c r="E248" s="1"/>
      <c r="F248" s="1">
        <v>3600</v>
      </c>
      <c r="G248" s="1">
        <v>3720</v>
      </c>
      <c r="H248" s="1">
        <v>3600</v>
      </c>
      <c r="I248" s="1"/>
      <c r="J248" s="1">
        <v>3720</v>
      </c>
      <c r="K248" s="1">
        <v>3805</v>
      </c>
      <c r="L248" s="1">
        <v>3683</v>
      </c>
      <c r="M248" s="1"/>
      <c r="N248" s="1">
        <v>3805</v>
      </c>
      <c r="O248" s="1">
        <v>3683</v>
      </c>
      <c r="P248" s="1">
        <v>3443</v>
      </c>
      <c r="Q248" s="1"/>
      <c r="R248" s="2"/>
    </row>
    <row r="249" spans="1:18" ht="15.75" customHeight="1" thickBot="1" x14ac:dyDescent="0.35">
      <c r="A249" s="120" t="s">
        <v>631</v>
      </c>
      <c r="B249" s="121"/>
      <c r="C249" s="121"/>
      <c r="D249" s="121"/>
      <c r="E249" s="121"/>
      <c r="F249" s="121"/>
      <c r="G249" s="121"/>
      <c r="H249" s="121"/>
      <c r="I249" s="121"/>
      <c r="J249" s="121"/>
      <c r="K249" s="121"/>
      <c r="L249" s="1"/>
      <c r="M249" s="1"/>
      <c r="N249" s="1"/>
      <c r="O249" s="1"/>
      <c r="P249" s="1"/>
      <c r="Q249" s="1"/>
      <c r="R249" s="2"/>
    </row>
    <row r="250" spans="1:18" ht="15.75" customHeight="1" thickBot="1" x14ac:dyDescent="0.35">
      <c r="A250" s="29" t="s">
        <v>201</v>
      </c>
      <c r="B250" s="30" t="s">
        <v>8</v>
      </c>
      <c r="C250" s="31" t="s">
        <v>9</v>
      </c>
      <c r="D250" s="31" t="s">
        <v>10</v>
      </c>
      <c r="E250" s="32" t="s">
        <v>11</v>
      </c>
      <c r="F250" s="31" t="s">
        <v>12</v>
      </c>
      <c r="G250" s="31" t="s">
        <v>13</v>
      </c>
      <c r="H250" s="31" t="s">
        <v>14</v>
      </c>
      <c r="I250" s="33" t="s">
        <v>15</v>
      </c>
      <c r="J250" s="31" t="s">
        <v>16</v>
      </c>
      <c r="K250" s="31" t="s">
        <v>17</v>
      </c>
      <c r="L250" s="31" t="s">
        <v>18</v>
      </c>
      <c r="M250" s="33" t="s">
        <v>19</v>
      </c>
      <c r="N250" s="31" t="s">
        <v>20</v>
      </c>
      <c r="O250" s="31" t="s">
        <v>21</v>
      </c>
      <c r="P250" s="31" t="s">
        <v>22</v>
      </c>
      <c r="Q250" s="33" t="s">
        <v>23</v>
      </c>
      <c r="R250" s="34" t="s">
        <v>24</v>
      </c>
    </row>
    <row r="251" spans="1:18" ht="15.75" customHeight="1" thickBot="1" x14ac:dyDescent="0.35">
      <c r="A251" s="74"/>
      <c r="B251" s="75"/>
      <c r="C251" s="75"/>
      <c r="D251" s="75"/>
      <c r="E251" s="82"/>
      <c r="F251" s="75"/>
      <c r="G251" s="75"/>
      <c r="H251" s="75"/>
      <c r="I251" s="82"/>
      <c r="J251" s="75"/>
      <c r="K251" s="75"/>
      <c r="L251" s="75"/>
      <c r="M251" s="82"/>
      <c r="N251" s="75"/>
      <c r="O251" s="75"/>
      <c r="P251" s="75"/>
      <c r="Q251" s="82"/>
      <c r="R251" s="100"/>
    </row>
    <row r="252" spans="1:18" ht="15.75" customHeight="1" thickBot="1" x14ac:dyDescent="0.35">
      <c r="A252" s="71" t="s">
        <v>202</v>
      </c>
      <c r="B252" s="1">
        <v>0</v>
      </c>
      <c r="C252" s="1">
        <v>0</v>
      </c>
      <c r="D252" s="1">
        <v>0</v>
      </c>
      <c r="E252" s="55">
        <f>SUM(B252:D252)</f>
        <v>0</v>
      </c>
      <c r="F252" s="1">
        <v>-5265</v>
      </c>
      <c r="G252" s="1">
        <v>-2361</v>
      </c>
      <c r="H252" s="1">
        <v>-39965</v>
      </c>
      <c r="I252" s="55">
        <f>SUM(F252:H252)</f>
        <v>-47591</v>
      </c>
      <c r="J252" s="1">
        <v>-167728</v>
      </c>
      <c r="K252" s="1">
        <v>-106895</v>
      </c>
      <c r="L252" s="1">
        <v>-18499</v>
      </c>
      <c r="M252" s="55">
        <f>SUM(J252:L252)</f>
        <v>-293122</v>
      </c>
      <c r="N252" s="1">
        <v>0</v>
      </c>
      <c r="O252" s="1">
        <v>0</v>
      </c>
      <c r="P252" s="1">
        <v>0</v>
      </c>
      <c r="Q252" s="55">
        <f>SUM(N252:P252)</f>
        <v>0</v>
      </c>
      <c r="R252" s="55">
        <f>+E252+I252+M252+Q252</f>
        <v>-340713</v>
      </c>
    </row>
    <row r="253" spans="1:18" ht="15.75" customHeight="1" thickBot="1" x14ac:dyDescent="0.35">
      <c r="A253" s="101"/>
      <c r="B253" s="102"/>
      <c r="C253" s="102"/>
      <c r="D253" s="102"/>
      <c r="E253" s="103"/>
      <c r="F253" s="102"/>
      <c r="G253" s="102"/>
      <c r="H253" s="102"/>
      <c r="I253" s="103"/>
      <c r="J253" s="102"/>
      <c r="K253" s="102"/>
      <c r="L253" s="102"/>
      <c r="M253" s="103"/>
      <c r="N253" s="102"/>
      <c r="O253" s="102"/>
      <c r="P253" s="102"/>
      <c r="Q253" s="103"/>
      <c r="R253" s="104"/>
    </row>
    <row r="254" spans="1:18" ht="15.75" customHeight="1" x14ac:dyDescent="0.3">
      <c r="A254" s="15" t="s">
        <v>32</v>
      </c>
      <c r="B254" s="1">
        <f>B252</f>
        <v>0</v>
      </c>
      <c r="C254" s="1">
        <f>C252</f>
        <v>0</v>
      </c>
      <c r="D254" s="1">
        <f>D252</f>
        <v>0</v>
      </c>
      <c r="E254" s="55">
        <f>SUM(B254:D254)</f>
        <v>0</v>
      </c>
      <c r="F254" s="1">
        <f>F252</f>
        <v>-5265</v>
      </c>
      <c r="G254" s="1">
        <f>G252</f>
        <v>-2361</v>
      </c>
      <c r="H254" s="1">
        <f>H252</f>
        <v>-39965</v>
      </c>
      <c r="I254" s="55">
        <f>SUM(F254:H254)</f>
        <v>-47591</v>
      </c>
      <c r="J254" s="1">
        <f>J252</f>
        <v>-167728</v>
      </c>
      <c r="K254" s="1">
        <f>K252</f>
        <v>-106895</v>
      </c>
      <c r="L254" s="1">
        <f>L252</f>
        <v>-18499</v>
      </c>
      <c r="M254" s="55">
        <f>SUM(J254:L254)</f>
        <v>-293122</v>
      </c>
      <c r="N254" s="1">
        <f>N252</f>
        <v>0</v>
      </c>
      <c r="O254" s="1">
        <f>O252</f>
        <v>0</v>
      </c>
      <c r="P254" s="1">
        <f>P252</f>
        <v>0</v>
      </c>
      <c r="Q254" s="55">
        <f>SUM(N254:P254)</f>
        <v>0</v>
      </c>
      <c r="R254" s="105">
        <f>R252</f>
        <v>-340713</v>
      </c>
    </row>
    <row r="255" spans="1:18" ht="15.75" customHeight="1" thickBot="1" x14ac:dyDescent="0.35">
      <c r="A255" s="20" t="s">
        <v>42</v>
      </c>
      <c r="B255" s="21">
        <f>(B254/31)/1.983</f>
        <v>0</v>
      </c>
      <c r="C255" s="21">
        <f>(C254/28)/1.983</f>
        <v>0</v>
      </c>
      <c r="D255" s="21">
        <f>(D254/31)/1.983</f>
        <v>0</v>
      </c>
      <c r="E255" s="81"/>
      <c r="F255" s="21">
        <f>(F254/30)/1.983</f>
        <v>-88.502269288956128</v>
      </c>
      <c r="G255" s="21">
        <f>(G254/31)/1.983</f>
        <v>-38.407105558537893</v>
      </c>
      <c r="H255" s="21">
        <f>(H254/30)/1.983</f>
        <v>-671.79357875273161</v>
      </c>
      <c r="I255" s="81"/>
      <c r="J255" s="21">
        <f>(J254/31)/1.983</f>
        <v>-2728.4824231776552</v>
      </c>
      <c r="K255" s="21">
        <f>(K254/31)/1.983</f>
        <v>-1738.8934979584531</v>
      </c>
      <c r="L255" s="21">
        <f>(L254/30)/1.983</f>
        <v>-310.95982518070264</v>
      </c>
      <c r="M255" s="81"/>
      <c r="N255" s="21">
        <f>(N254/31)/1.983</f>
        <v>0</v>
      </c>
      <c r="O255" s="21">
        <f>(O254/30)/1.983</f>
        <v>0</v>
      </c>
      <c r="P255" s="21">
        <f>(P254/31)/1.983</f>
        <v>0</v>
      </c>
      <c r="Q255" s="81"/>
      <c r="R255" s="100" t="s">
        <v>7</v>
      </c>
    </row>
    <row r="256" spans="1:18" ht="15.75" customHeight="1" x14ac:dyDescent="0.3">
      <c r="A256" s="2"/>
      <c r="B256" s="1"/>
      <c r="C256" s="1"/>
      <c r="D256" s="1"/>
      <c r="E256" s="1"/>
      <c r="F256" s="1"/>
      <c r="G256" s="1"/>
      <c r="H256" s="1"/>
      <c r="I256" s="1"/>
      <c r="J256" s="1"/>
      <c r="K256" s="1"/>
      <c r="L256" s="1"/>
      <c r="M256" s="1"/>
      <c r="N256" s="1"/>
      <c r="O256" s="1"/>
      <c r="P256" s="1"/>
      <c r="Q256" s="1"/>
      <c r="R256" s="2"/>
    </row>
    <row r="257" spans="1:18" ht="15.75" customHeight="1" thickBot="1" x14ac:dyDescent="0.35">
      <c r="A257" s="106"/>
      <c r="B257" s="21"/>
      <c r="C257" s="21"/>
      <c r="D257" s="21"/>
      <c r="E257" s="21"/>
      <c r="F257" s="21"/>
      <c r="G257" s="21"/>
      <c r="H257" s="21"/>
      <c r="I257" s="21"/>
      <c r="J257" s="21"/>
      <c r="K257" s="21"/>
      <c r="L257" s="21"/>
      <c r="M257" s="21"/>
      <c r="N257" s="21"/>
      <c r="O257" s="21"/>
      <c r="P257" s="21"/>
      <c r="Q257" s="21"/>
      <c r="R257" s="106"/>
    </row>
    <row r="258" spans="1:18" ht="15.75" customHeight="1" thickBot="1" x14ac:dyDescent="0.35">
      <c r="A258" s="107" t="s">
        <v>203</v>
      </c>
      <c r="B258" s="30" t="s">
        <v>8</v>
      </c>
      <c r="C258" s="31" t="s">
        <v>9</v>
      </c>
      <c r="D258" s="31" t="s">
        <v>10</v>
      </c>
      <c r="E258" s="32" t="s">
        <v>11</v>
      </c>
      <c r="F258" s="31" t="s">
        <v>12</v>
      </c>
      <c r="G258" s="31" t="s">
        <v>13</v>
      </c>
      <c r="H258" s="31" t="s">
        <v>14</v>
      </c>
      <c r="I258" s="33" t="s">
        <v>15</v>
      </c>
      <c r="J258" s="31" t="s">
        <v>16</v>
      </c>
      <c r="K258" s="31" t="s">
        <v>17</v>
      </c>
      <c r="L258" s="31" t="s">
        <v>18</v>
      </c>
      <c r="M258" s="33" t="s">
        <v>19</v>
      </c>
      <c r="N258" s="31" t="s">
        <v>20</v>
      </c>
      <c r="O258" s="31" t="s">
        <v>21</v>
      </c>
      <c r="P258" s="31" t="s">
        <v>22</v>
      </c>
      <c r="Q258" s="33" t="s">
        <v>23</v>
      </c>
      <c r="R258" s="34" t="s">
        <v>24</v>
      </c>
    </row>
    <row r="259" spans="1:18" ht="15.75" customHeight="1" thickBot="1" x14ac:dyDescent="0.35">
      <c r="A259" s="59"/>
      <c r="B259" s="75"/>
      <c r="C259" s="75"/>
      <c r="D259" s="75"/>
      <c r="E259" s="69"/>
      <c r="F259" s="75"/>
      <c r="G259" s="75"/>
      <c r="H259" s="75"/>
      <c r="I259" s="82"/>
      <c r="J259" s="75"/>
      <c r="K259" s="75"/>
      <c r="L259" s="75"/>
      <c r="M259" s="82"/>
      <c r="N259" s="75"/>
      <c r="O259" s="75"/>
      <c r="P259" s="75"/>
      <c r="Q259" s="82"/>
      <c r="R259" s="100"/>
    </row>
    <row r="260" spans="1:18" ht="15.75" customHeight="1" x14ac:dyDescent="0.3">
      <c r="A260" s="15" t="s">
        <v>48</v>
      </c>
      <c r="B260" s="1" t="s">
        <v>7</v>
      </c>
      <c r="C260" s="1" t="s">
        <v>7</v>
      </c>
      <c r="D260" s="1" t="s">
        <v>7</v>
      </c>
      <c r="E260" s="55" t="s">
        <v>7</v>
      </c>
      <c r="F260" s="1" t="s">
        <v>7</v>
      </c>
      <c r="G260" s="1" t="s">
        <v>7</v>
      </c>
      <c r="H260" s="1" t="s">
        <v>7</v>
      </c>
      <c r="I260" s="55" t="s">
        <v>7</v>
      </c>
      <c r="J260" s="1" t="s">
        <v>7</v>
      </c>
      <c r="K260" s="1" t="s">
        <v>7</v>
      </c>
      <c r="L260" s="1" t="s">
        <v>7</v>
      </c>
      <c r="M260" s="55" t="s">
        <v>7</v>
      </c>
      <c r="N260" s="1" t="s">
        <v>7</v>
      </c>
      <c r="O260" s="1" t="s">
        <v>7</v>
      </c>
      <c r="P260" s="1" t="s">
        <v>7</v>
      </c>
      <c r="Q260" s="55" t="s">
        <v>7</v>
      </c>
      <c r="R260" s="55" t="s">
        <v>7</v>
      </c>
    </row>
    <row r="261" spans="1:18" ht="15.75" customHeight="1" x14ac:dyDescent="0.3">
      <c r="A261" s="15" t="s">
        <v>49</v>
      </c>
      <c r="B261" s="1"/>
      <c r="C261" s="1"/>
      <c r="D261" s="1"/>
      <c r="E261" s="55" t="s">
        <v>7</v>
      </c>
      <c r="F261" s="1"/>
      <c r="G261" s="1"/>
      <c r="H261" s="1"/>
      <c r="I261" s="55" t="s">
        <v>7</v>
      </c>
      <c r="J261" s="1"/>
      <c r="K261" s="1"/>
      <c r="L261" s="1"/>
      <c r="M261" s="55" t="s">
        <v>7</v>
      </c>
      <c r="N261" s="1"/>
      <c r="O261" s="1"/>
      <c r="P261" s="1"/>
      <c r="Q261" s="55" t="s">
        <v>7</v>
      </c>
      <c r="R261" s="55" t="s">
        <v>7</v>
      </c>
    </row>
    <row r="262" spans="1:18" ht="15.75" customHeight="1" x14ac:dyDescent="0.3">
      <c r="A262" s="72" t="s">
        <v>204</v>
      </c>
      <c r="B262" s="1">
        <v>8</v>
      </c>
      <c r="C262" s="108">
        <v>30</v>
      </c>
      <c r="D262" s="1">
        <v>58</v>
      </c>
      <c r="E262" s="55">
        <f>SUM(B262:D262)</f>
        <v>96</v>
      </c>
      <c r="F262" s="1">
        <v>60</v>
      </c>
      <c r="G262" s="1">
        <v>73</v>
      </c>
      <c r="H262" s="1">
        <v>105</v>
      </c>
      <c r="I262" s="55">
        <f>SUM(F262:H262)</f>
        <v>238</v>
      </c>
      <c r="J262" s="1">
        <v>78</v>
      </c>
      <c r="K262" s="1">
        <v>54</v>
      </c>
      <c r="L262" s="1">
        <v>77</v>
      </c>
      <c r="M262" s="55">
        <f>SUM(J262:L262)</f>
        <v>209</v>
      </c>
      <c r="N262" s="1">
        <v>62</v>
      </c>
      <c r="O262" s="1">
        <v>107</v>
      </c>
      <c r="P262" s="1">
        <v>96</v>
      </c>
      <c r="Q262" s="55">
        <f>SUM(N262:P262)</f>
        <v>265</v>
      </c>
      <c r="R262" s="55">
        <f>+E262+I262+M262+Q262</f>
        <v>808</v>
      </c>
    </row>
    <row r="263" spans="1:18" ht="15.75" customHeight="1" x14ac:dyDescent="0.3">
      <c r="A263" s="72" t="s">
        <v>632</v>
      </c>
      <c r="B263" s="1">
        <v>83</v>
      </c>
      <c r="C263" s="1">
        <v>84</v>
      </c>
      <c r="D263" s="1">
        <v>100</v>
      </c>
      <c r="E263" s="55">
        <f>SUM(B263:D263)</f>
        <v>267</v>
      </c>
      <c r="F263" s="1">
        <v>229</v>
      </c>
      <c r="G263" s="1">
        <v>377</v>
      </c>
      <c r="H263" s="1">
        <v>362</v>
      </c>
      <c r="I263" s="55">
        <f>SUM(F263:H263)</f>
        <v>968</v>
      </c>
      <c r="J263" s="1">
        <v>374</v>
      </c>
      <c r="K263" s="1">
        <v>347</v>
      </c>
      <c r="L263" s="1">
        <v>322</v>
      </c>
      <c r="M263" s="55">
        <f>SUM(J263:L263)</f>
        <v>1043</v>
      </c>
      <c r="N263" s="1">
        <v>395</v>
      </c>
      <c r="O263" s="1">
        <v>219</v>
      </c>
      <c r="P263" s="1">
        <v>99</v>
      </c>
      <c r="Q263" s="55">
        <f>SUM(N263:P263)</f>
        <v>713</v>
      </c>
      <c r="R263" s="55">
        <f>+E263+I263+M263+Q263</f>
        <v>2991</v>
      </c>
    </row>
    <row r="264" spans="1:18" ht="15.75" customHeight="1" x14ac:dyDescent="0.3">
      <c r="A264" s="72" t="s">
        <v>208</v>
      </c>
      <c r="B264" s="1">
        <v>54</v>
      </c>
      <c r="C264" s="1">
        <v>73</v>
      </c>
      <c r="D264" s="1">
        <v>69</v>
      </c>
      <c r="E264" s="55">
        <f>SUM(B264:D264)</f>
        <v>196</v>
      </c>
      <c r="F264" s="1">
        <v>100</v>
      </c>
      <c r="G264" s="1">
        <v>265</v>
      </c>
      <c r="H264" s="1">
        <v>174</v>
      </c>
      <c r="I264" s="55">
        <f>SUM(F264:H264)</f>
        <v>539</v>
      </c>
      <c r="J264" s="1">
        <v>272</v>
      </c>
      <c r="K264" s="1">
        <v>244</v>
      </c>
      <c r="L264" s="1">
        <v>243</v>
      </c>
      <c r="M264" s="55">
        <f>SUM(J264:L264)</f>
        <v>759</v>
      </c>
      <c r="N264" s="1">
        <v>214</v>
      </c>
      <c r="O264" s="1">
        <v>87</v>
      </c>
      <c r="P264" s="1">
        <v>53</v>
      </c>
      <c r="Q264" s="55">
        <f>SUM(N264:P264)</f>
        <v>354</v>
      </c>
      <c r="R264" s="55">
        <f>+E264+I264+M264+Q264</f>
        <v>1848</v>
      </c>
    </row>
    <row r="265" spans="1:18" ht="15.75" customHeight="1" x14ac:dyDescent="0.3">
      <c r="A265" s="72" t="s">
        <v>116</v>
      </c>
      <c r="B265" s="1">
        <v>0</v>
      </c>
      <c r="C265" s="1">
        <v>0</v>
      </c>
      <c r="D265" s="1">
        <v>0</v>
      </c>
      <c r="E265" s="55">
        <f t="shared" ref="E265:E271" si="43">SUM(B265:D265)</f>
        <v>0</v>
      </c>
      <c r="F265" s="1">
        <v>0</v>
      </c>
      <c r="G265" s="1">
        <v>31</v>
      </c>
      <c r="H265" s="1">
        <v>906</v>
      </c>
      <c r="I265" s="55">
        <f t="shared" ref="I265:I271" si="44">SUM(F265:H265)</f>
        <v>937</v>
      </c>
      <c r="J265" s="1">
        <v>950</v>
      </c>
      <c r="K265" s="1">
        <v>967</v>
      </c>
      <c r="L265" s="1">
        <v>98</v>
      </c>
      <c r="M265" s="55">
        <f t="shared" ref="M265:M271" si="45">SUM(J265:L265)</f>
        <v>2015</v>
      </c>
      <c r="N265" s="1">
        <v>0</v>
      </c>
      <c r="O265" s="1">
        <v>0</v>
      </c>
      <c r="P265" s="1">
        <v>42</v>
      </c>
      <c r="Q265" s="55">
        <f t="shared" ref="Q265:Q271" si="46">SUM(N265:P265)</f>
        <v>42</v>
      </c>
      <c r="R265" s="55">
        <f t="shared" ref="R265:R271" si="47">+E265+I265+M265+Q265</f>
        <v>2994</v>
      </c>
    </row>
    <row r="266" spans="1:18" ht="15.75" customHeight="1" x14ac:dyDescent="0.3">
      <c r="A266" s="72" t="s">
        <v>211</v>
      </c>
      <c r="B266" s="1">
        <v>8</v>
      </c>
      <c r="C266" s="1">
        <v>7</v>
      </c>
      <c r="D266" s="1">
        <v>1601</v>
      </c>
      <c r="E266" s="55">
        <f t="shared" si="43"/>
        <v>1616</v>
      </c>
      <c r="F266" s="1">
        <v>40</v>
      </c>
      <c r="G266" s="1">
        <v>67</v>
      </c>
      <c r="H266" s="1">
        <v>55</v>
      </c>
      <c r="I266" s="55">
        <f t="shared" si="44"/>
        <v>162</v>
      </c>
      <c r="J266" s="1">
        <v>38</v>
      </c>
      <c r="K266" s="1">
        <v>16</v>
      </c>
      <c r="L266" s="1">
        <v>54</v>
      </c>
      <c r="M266" s="55">
        <f t="shared" si="45"/>
        <v>108</v>
      </c>
      <c r="N266" s="1">
        <v>60</v>
      </c>
      <c r="O266" s="1">
        <v>35</v>
      </c>
      <c r="P266" s="1">
        <v>20</v>
      </c>
      <c r="Q266" s="55">
        <f t="shared" si="46"/>
        <v>115</v>
      </c>
      <c r="R266" s="55">
        <f t="shared" si="47"/>
        <v>2001</v>
      </c>
    </row>
    <row r="267" spans="1:18" ht="15.75" customHeight="1" x14ac:dyDescent="0.3">
      <c r="A267" s="72" t="s">
        <v>212</v>
      </c>
      <c r="B267" s="1">
        <v>0</v>
      </c>
      <c r="C267" s="1">
        <v>0</v>
      </c>
      <c r="D267" s="1">
        <v>0</v>
      </c>
      <c r="E267" s="55">
        <f t="shared" si="43"/>
        <v>0</v>
      </c>
      <c r="F267" s="1">
        <v>2048</v>
      </c>
      <c r="G267" s="1">
        <v>0</v>
      </c>
      <c r="H267" s="1">
        <v>0</v>
      </c>
      <c r="I267" s="55">
        <f t="shared" si="44"/>
        <v>2048</v>
      </c>
      <c r="J267" s="1">
        <v>0</v>
      </c>
      <c r="K267" s="1">
        <v>0</v>
      </c>
      <c r="L267" s="1">
        <v>0</v>
      </c>
      <c r="M267" s="55">
        <f t="shared" si="45"/>
        <v>0</v>
      </c>
      <c r="N267" s="1">
        <v>0</v>
      </c>
      <c r="O267" s="1">
        <v>0</v>
      </c>
      <c r="P267" s="1">
        <v>0</v>
      </c>
      <c r="Q267" s="55">
        <f t="shared" si="46"/>
        <v>0</v>
      </c>
      <c r="R267" s="55">
        <f t="shared" si="47"/>
        <v>2048</v>
      </c>
    </row>
    <row r="268" spans="1:18" ht="15.75" customHeight="1" x14ac:dyDescent="0.3">
      <c r="A268" s="72" t="s">
        <v>118</v>
      </c>
      <c r="B268" s="1">
        <v>0</v>
      </c>
      <c r="C268" s="1">
        <v>0</v>
      </c>
      <c r="D268" s="1">
        <v>0</v>
      </c>
      <c r="E268" s="55">
        <f t="shared" si="43"/>
        <v>0</v>
      </c>
      <c r="F268" s="1">
        <v>0</v>
      </c>
      <c r="G268" s="1">
        <v>0</v>
      </c>
      <c r="H268" s="1">
        <v>0</v>
      </c>
      <c r="I268" s="55">
        <f t="shared" si="44"/>
        <v>0</v>
      </c>
      <c r="J268" s="1">
        <v>0</v>
      </c>
      <c r="K268" s="1">
        <v>0</v>
      </c>
      <c r="L268" s="1">
        <v>2303</v>
      </c>
      <c r="M268" s="55">
        <f t="shared" si="45"/>
        <v>2303</v>
      </c>
      <c r="N268" s="1">
        <v>2246</v>
      </c>
      <c r="O268" s="1">
        <v>1054</v>
      </c>
      <c r="P268" s="1">
        <v>1008</v>
      </c>
      <c r="Q268" s="55">
        <f t="shared" si="46"/>
        <v>4308</v>
      </c>
      <c r="R268" s="55">
        <f t="shared" si="47"/>
        <v>6611</v>
      </c>
    </row>
    <row r="269" spans="1:18" ht="15.75" customHeight="1" x14ac:dyDescent="0.3">
      <c r="A269" s="72" t="s">
        <v>213</v>
      </c>
      <c r="B269" s="1">
        <v>12</v>
      </c>
      <c r="C269" s="1">
        <v>12</v>
      </c>
      <c r="D269" s="1">
        <v>23</v>
      </c>
      <c r="E269" s="55">
        <f t="shared" si="43"/>
        <v>47</v>
      </c>
      <c r="F269" s="1">
        <v>25</v>
      </c>
      <c r="G269" s="1">
        <v>12</v>
      </c>
      <c r="H269" s="1">
        <v>12</v>
      </c>
      <c r="I269" s="55">
        <f>SUM(F269:H269)</f>
        <v>49</v>
      </c>
      <c r="J269" s="1">
        <v>22</v>
      </c>
      <c r="K269" s="1">
        <v>8</v>
      </c>
      <c r="L269" s="1">
        <v>21</v>
      </c>
      <c r="M269" s="55">
        <f t="shared" si="45"/>
        <v>51</v>
      </c>
      <c r="N269" s="1">
        <v>0</v>
      </c>
      <c r="O269" s="1">
        <v>0</v>
      </c>
      <c r="P269" s="1">
        <v>0</v>
      </c>
      <c r="Q269" s="55">
        <f t="shared" si="46"/>
        <v>0</v>
      </c>
      <c r="R269" s="55">
        <f t="shared" si="47"/>
        <v>147</v>
      </c>
    </row>
    <row r="270" spans="1:18" ht="15.75" customHeight="1" x14ac:dyDescent="0.3">
      <c r="A270" s="72" t="s">
        <v>215</v>
      </c>
      <c r="B270" s="1">
        <v>446</v>
      </c>
      <c r="C270" s="1">
        <v>1277</v>
      </c>
      <c r="D270" s="1">
        <v>2145</v>
      </c>
      <c r="E270" s="55">
        <f t="shared" si="43"/>
        <v>3868</v>
      </c>
      <c r="F270" s="1">
        <v>1056</v>
      </c>
      <c r="G270" s="1">
        <v>732</v>
      </c>
      <c r="H270" s="1">
        <v>4933</v>
      </c>
      <c r="I270" s="55">
        <f t="shared" si="44"/>
        <v>6721</v>
      </c>
      <c r="J270" s="1">
        <v>4821</v>
      </c>
      <c r="K270" s="1">
        <v>5208</v>
      </c>
      <c r="L270" s="1">
        <v>5208</v>
      </c>
      <c r="M270" s="55">
        <f t="shared" si="45"/>
        <v>15237</v>
      </c>
      <c r="N270" s="1">
        <v>5056</v>
      </c>
      <c r="O270" s="1">
        <v>4770</v>
      </c>
      <c r="P270" s="1">
        <v>4538</v>
      </c>
      <c r="Q270" s="55">
        <f t="shared" si="46"/>
        <v>14364</v>
      </c>
      <c r="R270" s="55">
        <f t="shared" si="47"/>
        <v>40190</v>
      </c>
    </row>
    <row r="271" spans="1:18" ht="15.75" customHeight="1" x14ac:dyDescent="0.3">
      <c r="A271" s="72" t="s">
        <v>216</v>
      </c>
      <c r="B271" s="1">
        <v>0</v>
      </c>
      <c r="C271" s="1">
        <v>0</v>
      </c>
      <c r="D271" s="1">
        <v>0</v>
      </c>
      <c r="E271" s="55">
        <f t="shared" si="43"/>
        <v>0</v>
      </c>
      <c r="F271" s="1">
        <v>0</v>
      </c>
      <c r="G271" s="1">
        <v>0</v>
      </c>
      <c r="H271" s="1">
        <v>97</v>
      </c>
      <c r="I271" s="55">
        <f t="shared" si="44"/>
        <v>97</v>
      </c>
      <c r="J271" s="1">
        <v>125</v>
      </c>
      <c r="K271" s="1">
        <v>106</v>
      </c>
      <c r="L271" s="1">
        <v>20</v>
      </c>
      <c r="M271" s="55">
        <f t="shared" si="45"/>
        <v>251</v>
      </c>
      <c r="N271" s="1">
        <v>0</v>
      </c>
      <c r="O271" s="1">
        <v>0</v>
      </c>
      <c r="P271" s="1">
        <v>0</v>
      </c>
      <c r="Q271" s="55">
        <f t="shared" si="46"/>
        <v>0</v>
      </c>
      <c r="R271" s="55">
        <f t="shared" si="47"/>
        <v>348</v>
      </c>
    </row>
    <row r="272" spans="1:18" ht="15.75" customHeight="1" x14ac:dyDescent="0.3">
      <c r="A272" s="15" t="s">
        <v>50</v>
      </c>
      <c r="B272" s="1"/>
      <c r="C272" s="1"/>
      <c r="D272" s="1"/>
      <c r="E272" s="55" t="s">
        <v>7</v>
      </c>
      <c r="F272" s="1"/>
      <c r="G272" s="1"/>
      <c r="H272" s="1"/>
      <c r="I272" s="55" t="s">
        <v>7</v>
      </c>
      <c r="J272" s="1"/>
      <c r="K272" s="1"/>
      <c r="L272" s="1"/>
      <c r="M272" s="55" t="s">
        <v>7</v>
      </c>
      <c r="N272" s="1"/>
      <c r="O272" s="1"/>
      <c r="P272" s="1"/>
      <c r="Q272" s="55" t="s">
        <v>7</v>
      </c>
      <c r="R272" s="55" t="s">
        <v>7</v>
      </c>
    </row>
    <row r="273" spans="1:18" ht="15.75" customHeight="1" x14ac:dyDescent="0.3">
      <c r="A273" s="72" t="s">
        <v>217</v>
      </c>
      <c r="B273" s="1">
        <v>3</v>
      </c>
      <c r="C273" s="1">
        <v>3</v>
      </c>
      <c r="D273" s="1">
        <v>3</v>
      </c>
      <c r="E273" s="55">
        <f>SUM(B273:D273)</f>
        <v>9</v>
      </c>
      <c r="F273" s="1">
        <v>3</v>
      </c>
      <c r="G273" s="1">
        <v>5</v>
      </c>
      <c r="H273" s="1">
        <v>0</v>
      </c>
      <c r="I273" s="55">
        <f>SUM(F273:H273)</f>
        <v>8</v>
      </c>
      <c r="J273" s="1">
        <v>2</v>
      </c>
      <c r="K273" s="1">
        <v>0</v>
      </c>
      <c r="L273" s="1">
        <v>0</v>
      </c>
      <c r="M273" s="55">
        <f>SUM(J273:L273)</f>
        <v>2</v>
      </c>
      <c r="N273" s="1">
        <v>0</v>
      </c>
      <c r="O273" s="1">
        <v>0</v>
      </c>
      <c r="P273" s="1">
        <v>0</v>
      </c>
      <c r="Q273" s="55">
        <f>SUM(N273:P273)</f>
        <v>0</v>
      </c>
      <c r="R273" s="55">
        <f>+E273+I273+M273+Q273</f>
        <v>19</v>
      </c>
    </row>
    <row r="274" spans="1:18" ht="15.75" customHeight="1" x14ac:dyDescent="0.3">
      <c r="A274" s="72" t="s">
        <v>219</v>
      </c>
      <c r="B274" s="1">
        <v>6</v>
      </c>
      <c r="C274" s="1">
        <v>16</v>
      </c>
      <c r="D274" s="1">
        <v>0</v>
      </c>
      <c r="E274" s="55">
        <f>SUM(B274:D274)</f>
        <v>22</v>
      </c>
      <c r="F274" s="1">
        <v>18</v>
      </c>
      <c r="G274" s="1">
        <v>0</v>
      </c>
      <c r="H274" s="1">
        <v>20</v>
      </c>
      <c r="I274" s="55">
        <f>SUM(F274:H274)</f>
        <v>38</v>
      </c>
      <c r="J274" s="1">
        <v>18</v>
      </c>
      <c r="K274" s="1">
        <v>17</v>
      </c>
      <c r="L274" s="1">
        <v>6</v>
      </c>
      <c r="M274" s="55">
        <f>SUM(J274:L274)</f>
        <v>41</v>
      </c>
      <c r="N274" s="1">
        <v>17</v>
      </c>
      <c r="O274" s="1">
        <v>0</v>
      </c>
      <c r="P274" s="1">
        <v>0</v>
      </c>
      <c r="Q274" s="55">
        <f>SUM(N274:P274)</f>
        <v>17</v>
      </c>
      <c r="R274" s="55">
        <f>+E274+I274+M274+Q274</f>
        <v>118</v>
      </c>
    </row>
    <row r="275" spans="1:18" ht="15.75" customHeight="1" x14ac:dyDescent="0.3">
      <c r="A275" s="72" t="s">
        <v>221</v>
      </c>
      <c r="B275" s="1">
        <v>0</v>
      </c>
      <c r="C275" s="1">
        <v>0</v>
      </c>
      <c r="D275" s="1">
        <v>0</v>
      </c>
      <c r="E275" s="55">
        <f>SUM(B275:D275)</f>
        <v>0</v>
      </c>
      <c r="F275" s="1">
        <v>0</v>
      </c>
      <c r="G275" s="1">
        <v>0</v>
      </c>
      <c r="H275" s="1">
        <v>0</v>
      </c>
      <c r="I275" s="55">
        <f>SUM(F275:H275)</f>
        <v>0</v>
      </c>
      <c r="J275" s="1">
        <v>0</v>
      </c>
      <c r="K275" s="1">
        <v>0</v>
      </c>
      <c r="L275" s="1">
        <v>6</v>
      </c>
      <c r="M275" s="55">
        <f>SUM(J275:L275)</f>
        <v>6</v>
      </c>
      <c r="N275" s="1">
        <v>58</v>
      </c>
      <c r="O275" s="1">
        <v>28</v>
      </c>
      <c r="P275" s="1">
        <v>48</v>
      </c>
      <c r="Q275" s="55">
        <f>SUM(N275:P275)</f>
        <v>134</v>
      </c>
      <c r="R275" s="55">
        <f>+E275+I275+M275+Q275</f>
        <v>140</v>
      </c>
    </row>
    <row r="276" spans="1:18" ht="15.75" customHeight="1" x14ac:dyDescent="0.3">
      <c r="A276" s="72" t="s">
        <v>633</v>
      </c>
      <c r="B276" s="1">
        <v>12</v>
      </c>
      <c r="C276" s="1">
        <v>12</v>
      </c>
      <c r="D276" s="1">
        <v>17</v>
      </c>
      <c r="E276" s="55">
        <f>SUM(B276:D276)</f>
        <v>41</v>
      </c>
      <c r="F276" s="1">
        <v>47</v>
      </c>
      <c r="G276" s="1">
        <v>67</v>
      </c>
      <c r="H276" s="1">
        <v>67</v>
      </c>
      <c r="I276" s="55">
        <f>SUM(F276:H276)</f>
        <v>181</v>
      </c>
      <c r="J276" s="1">
        <v>65</v>
      </c>
      <c r="K276" s="1">
        <v>52</v>
      </c>
      <c r="L276" s="1">
        <v>43</v>
      </c>
      <c r="M276" s="55">
        <f>SUM(J276:L276)</f>
        <v>160</v>
      </c>
      <c r="N276" s="1">
        <v>41</v>
      </c>
      <c r="O276" s="1">
        <v>31</v>
      </c>
      <c r="P276" s="1">
        <v>18</v>
      </c>
      <c r="Q276" s="55">
        <f>SUM(N276:P276)</f>
        <v>90</v>
      </c>
      <c r="R276" s="55">
        <f>+E276+I276+M276+Q276</f>
        <v>472</v>
      </c>
    </row>
    <row r="277" spans="1:18" ht="15.75" customHeight="1" x14ac:dyDescent="0.3">
      <c r="A277" s="72" t="s">
        <v>222</v>
      </c>
      <c r="B277" s="1">
        <v>0</v>
      </c>
      <c r="C277" s="1">
        <v>0</v>
      </c>
      <c r="D277" s="1">
        <v>0</v>
      </c>
      <c r="E277" s="55">
        <f t="shared" ref="E277:E283" si="48">SUM(B277:D277)</f>
        <v>0</v>
      </c>
      <c r="F277" s="1">
        <v>0</v>
      </c>
      <c r="G277" s="1">
        <v>0</v>
      </c>
      <c r="H277" s="1">
        <v>0</v>
      </c>
      <c r="I277" s="55">
        <f t="shared" ref="I277:I283" si="49">SUM(F277:H277)</f>
        <v>0</v>
      </c>
      <c r="J277" s="1">
        <v>0</v>
      </c>
      <c r="K277" s="1">
        <v>0</v>
      </c>
      <c r="L277" s="1">
        <v>0</v>
      </c>
      <c r="M277" s="55">
        <f t="shared" ref="M277:M283" si="50">SUM(J277:L277)</f>
        <v>0</v>
      </c>
      <c r="N277" s="1">
        <v>0</v>
      </c>
      <c r="O277" s="1">
        <v>0</v>
      </c>
      <c r="P277" s="1">
        <v>0</v>
      </c>
      <c r="Q277" s="55">
        <f t="shared" ref="Q277:Q283" si="51">SUM(N277:P277)</f>
        <v>0</v>
      </c>
      <c r="R277" s="55">
        <f t="shared" ref="R277:R283" si="52">+E277+I277+M277+Q277</f>
        <v>0</v>
      </c>
    </row>
    <row r="278" spans="1:18" ht="15.75" customHeight="1" x14ac:dyDescent="0.3">
      <c r="A278" s="72" t="s">
        <v>223</v>
      </c>
      <c r="B278" s="1">
        <v>4</v>
      </c>
      <c r="C278" s="1">
        <v>0</v>
      </c>
      <c r="D278" s="1">
        <v>0</v>
      </c>
      <c r="E278" s="55">
        <f t="shared" si="48"/>
        <v>4</v>
      </c>
      <c r="F278" s="1">
        <v>0</v>
      </c>
      <c r="G278" s="1">
        <v>0</v>
      </c>
      <c r="H278" s="1">
        <v>13</v>
      </c>
      <c r="I278" s="55">
        <f t="shared" si="49"/>
        <v>13</v>
      </c>
      <c r="J278" s="1">
        <v>3</v>
      </c>
      <c r="K278" s="1">
        <v>0</v>
      </c>
      <c r="L278" s="1">
        <v>0</v>
      </c>
      <c r="M278" s="55">
        <f t="shared" si="50"/>
        <v>3</v>
      </c>
      <c r="N278" s="1">
        <v>0</v>
      </c>
      <c r="O278" s="1">
        <v>0</v>
      </c>
      <c r="P278" s="1">
        <v>0</v>
      </c>
      <c r="Q278" s="55">
        <f t="shared" si="51"/>
        <v>0</v>
      </c>
      <c r="R278" s="55">
        <f t="shared" si="52"/>
        <v>20</v>
      </c>
    </row>
    <row r="279" spans="1:18" ht="15.75" customHeight="1" x14ac:dyDescent="0.3">
      <c r="A279" s="72" t="s">
        <v>225</v>
      </c>
      <c r="B279" s="1">
        <v>2</v>
      </c>
      <c r="C279" s="1">
        <v>0</v>
      </c>
      <c r="D279" s="1">
        <v>1</v>
      </c>
      <c r="E279" s="55">
        <f t="shared" si="48"/>
        <v>3</v>
      </c>
      <c r="F279" s="1">
        <v>30</v>
      </c>
      <c r="G279" s="1">
        <v>64</v>
      </c>
      <c r="H279" s="1">
        <v>94</v>
      </c>
      <c r="I279" s="55">
        <f t="shared" si="49"/>
        <v>188</v>
      </c>
      <c r="J279" s="1">
        <v>113</v>
      </c>
      <c r="K279" s="1">
        <v>63</v>
      </c>
      <c r="L279" s="1">
        <v>81</v>
      </c>
      <c r="M279" s="55">
        <f t="shared" si="50"/>
        <v>257</v>
      </c>
      <c r="N279" s="1">
        <v>49</v>
      </c>
      <c r="O279" s="1">
        <v>53</v>
      </c>
      <c r="P279" s="1">
        <v>15</v>
      </c>
      <c r="Q279" s="55">
        <f t="shared" si="51"/>
        <v>117</v>
      </c>
      <c r="R279" s="55">
        <f t="shared" si="52"/>
        <v>565</v>
      </c>
    </row>
    <row r="280" spans="1:18" ht="15.75" customHeight="1" x14ac:dyDescent="0.3">
      <c r="A280" s="72" t="s">
        <v>227</v>
      </c>
      <c r="B280" s="1">
        <v>2</v>
      </c>
      <c r="C280" s="1">
        <v>2</v>
      </c>
      <c r="D280" s="1">
        <v>3</v>
      </c>
      <c r="E280" s="55">
        <f t="shared" si="48"/>
        <v>7</v>
      </c>
      <c r="F280" s="1">
        <v>5</v>
      </c>
      <c r="G280" s="1">
        <v>4</v>
      </c>
      <c r="H280" s="1">
        <v>3</v>
      </c>
      <c r="I280" s="55">
        <f t="shared" si="49"/>
        <v>12</v>
      </c>
      <c r="J280" s="1">
        <v>2</v>
      </c>
      <c r="K280" s="1">
        <v>1</v>
      </c>
      <c r="L280" s="1">
        <v>1</v>
      </c>
      <c r="M280" s="55">
        <f t="shared" si="50"/>
        <v>4</v>
      </c>
      <c r="N280" s="1">
        <v>1</v>
      </c>
      <c r="O280" s="1">
        <v>1</v>
      </c>
      <c r="P280" s="1">
        <v>1</v>
      </c>
      <c r="Q280" s="55">
        <f t="shared" si="51"/>
        <v>3</v>
      </c>
      <c r="R280" s="55">
        <f t="shared" si="52"/>
        <v>26</v>
      </c>
    </row>
    <row r="281" spans="1:18" ht="15.75" customHeight="1" x14ac:dyDescent="0.3">
      <c r="A281" s="72" t="s">
        <v>216</v>
      </c>
      <c r="B281" s="1">
        <v>0</v>
      </c>
      <c r="C281" s="1">
        <v>0</v>
      </c>
      <c r="D281" s="1">
        <v>0</v>
      </c>
      <c r="E281" s="55">
        <f t="shared" si="48"/>
        <v>0</v>
      </c>
      <c r="F281" s="1">
        <v>0</v>
      </c>
      <c r="G281" s="1">
        <v>0</v>
      </c>
      <c r="H281" s="1">
        <v>0</v>
      </c>
      <c r="I281" s="55">
        <f t="shared" si="49"/>
        <v>0</v>
      </c>
      <c r="J281" s="1">
        <v>0</v>
      </c>
      <c r="K281" s="1">
        <v>0</v>
      </c>
      <c r="L281" s="1">
        <v>29</v>
      </c>
      <c r="M281" s="55">
        <f t="shared" si="50"/>
        <v>29</v>
      </c>
      <c r="N281" s="1">
        <v>11</v>
      </c>
      <c r="O281" s="1">
        <v>4</v>
      </c>
      <c r="P281" s="1">
        <v>9</v>
      </c>
      <c r="Q281" s="55">
        <f t="shared" si="51"/>
        <v>24</v>
      </c>
      <c r="R281" s="55">
        <f t="shared" si="52"/>
        <v>53</v>
      </c>
    </row>
    <row r="282" spans="1:18" ht="15.75" customHeight="1" x14ac:dyDescent="0.3">
      <c r="A282" s="72" t="s">
        <v>228</v>
      </c>
      <c r="B282" s="1">
        <v>16</v>
      </c>
      <c r="C282" s="1">
        <v>19</v>
      </c>
      <c r="D282" s="1">
        <v>34</v>
      </c>
      <c r="E282" s="55">
        <f t="shared" si="48"/>
        <v>69</v>
      </c>
      <c r="F282" s="1">
        <v>60</v>
      </c>
      <c r="G282" s="1">
        <v>84</v>
      </c>
      <c r="H282" s="1">
        <v>71</v>
      </c>
      <c r="I282" s="55">
        <f t="shared" si="49"/>
        <v>215</v>
      </c>
      <c r="J282" s="1">
        <v>65</v>
      </c>
      <c r="K282" s="1">
        <v>59</v>
      </c>
      <c r="L282" s="1">
        <v>38</v>
      </c>
      <c r="M282" s="55">
        <f t="shared" si="50"/>
        <v>162</v>
      </c>
      <c r="N282" s="1">
        <v>67</v>
      </c>
      <c r="O282" s="1">
        <v>49</v>
      </c>
      <c r="P282" s="1">
        <v>5</v>
      </c>
      <c r="Q282" s="55">
        <f t="shared" si="51"/>
        <v>121</v>
      </c>
      <c r="R282" s="55">
        <f t="shared" si="52"/>
        <v>567</v>
      </c>
    </row>
    <row r="283" spans="1:18" ht="15.75" customHeight="1" x14ac:dyDescent="0.3">
      <c r="A283" s="72" t="s">
        <v>229</v>
      </c>
      <c r="B283" s="1">
        <v>1</v>
      </c>
      <c r="C283" s="1">
        <v>1</v>
      </c>
      <c r="D283" s="1">
        <v>1</v>
      </c>
      <c r="E283" s="55">
        <f t="shared" si="48"/>
        <v>3</v>
      </c>
      <c r="F283" s="1">
        <v>2</v>
      </c>
      <c r="G283" s="1">
        <v>2</v>
      </c>
      <c r="H283" s="1">
        <v>2</v>
      </c>
      <c r="I283" s="55">
        <f t="shared" si="49"/>
        <v>6</v>
      </c>
      <c r="J283" s="1">
        <v>2</v>
      </c>
      <c r="K283" s="1">
        <v>2</v>
      </c>
      <c r="L283" s="1">
        <v>2</v>
      </c>
      <c r="M283" s="55">
        <f t="shared" si="50"/>
        <v>6</v>
      </c>
      <c r="N283" s="1">
        <v>2</v>
      </c>
      <c r="O283" s="1">
        <v>1</v>
      </c>
      <c r="P283" s="1">
        <v>1</v>
      </c>
      <c r="Q283" s="55">
        <f t="shared" si="51"/>
        <v>4</v>
      </c>
      <c r="R283" s="55">
        <f t="shared" si="52"/>
        <v>19</v>
      </c>
    </row>
    <row r="284" spans="1:18" ht="15.75" customHeight="1" x14ac:dyDescent="0.3">
      <c r="A284" s="72" t="s">
        <v>634</v>
      </c>
      <c r="B284" s="1">
        <v>0</v>
      </c>
      <c r="C284" s="1">
        <v>0</v>
      </c>
      <c r="D284" s="1">
        <v>5</v>
      </c>
      <c r="E284" s="55">
        <f>SUM(B284:D284)</f>
        <v>5</v>
      </c>
      <c r="F284" s="1">
        <v>13</v>
      </c>
      <c r="G284" s="1">
        <v>11</v>
      </c>
      <c r="H284" s="1">
        <v>10</v>
      </c>
      <c r="I284" s="55">
        <f>SUM(F284:H284)</f>
        <v>34</v>
      </c>
      <c r="J284" s="1">
        <v>0</v>
      </c>
      <c r="K284" s="1">
        <v>10</v>
      </c>
      <c r="L284" s="1">
        <v>6</v>
      </c>
      <c r="M284" s="55">
        <f>SUM(J284:L284)</f>
        <v>16</v>
      </c>
      <c r="N284" s="1">
        <v>0</v>
      </c>
      <c r="O284" s="1">
        <v>0</v>
      </c>
      <c r="P284" s="1">
        <v>0</v>
      </c>
      <c r="Q284" s="55">
        <f>SUM(N284:P284)</f>
        <v>0</v>
      </c>
      <c r="R284" s="55">
        <f>+E284+I284+M284+Q284</f>
        <v>55</v>
      </c>
    </row>
    <row r="285" spans="1:18" ht="15.75" customHeight="1" x14ac:dyDescent="0.3">
      <c r="A285" s="72" t="s">
        <v>635</v>
      </c>
      <c r="B285" s="1">
        <v>0</v>
      </c>
      <c r="C285" s="1">
        <v>0</v>
      </c>
      <c r="D285" s="1">
        <v>0</v>
      </c>
      <c r="E285" s="55">
        <f>SUM(B285:D285)</f>
        <v>0</v>
      </c>
      <c r="F285" s="1">
        <v>0</v>
      </c>
      <c r="G285" s="1">
        <v>6</v>
      </c>
      <c r="H285" s="1">
        <v>30</v>
      </c>
      <c r="I285" s="55">
        <f>SUM(F285:H285)</f>
        <v>36</v>
      </c>
      <c r="J285" s="1">
        <v>6</v>
      </c>
      <c r="K285" s="1">
        <v>0</v>
      </c>
      <c r="L285" s="1">
        <v>0</v>
      </c>
      <c r="M285" s="55">
        <f>SUM(J285:L285)</f>
        <v>6</v>
      </c>
      <c r="N285" s="1">
        <v>0</v>
      </c>
      <c r="O285" s="1">
        <v>0</v>
      </c>
      <c r="P285" s="1">
        <v>0</v>
      </c>
      <c r="Q285" s="55">
        <f>SUM(N285:P285)</f>
        <v>0</v>
      </c>
      <c r="R285" s="55">
        <f>+E285+I285+M285+Q285</f>
        <v>42</v>
      </c>
    </row>
    <row r="286" spans="1:18" ht="15.75" customHeight="1" x14ac:dyDescent="0.3">
      <c r="A286" s="72" t="s">
        <v>552</v>
      </c>
      <c r="B286" s="1">
        <v>7</v>
      </c>
      <c r="C286" s="1">
        <v>11</v>
      </c>
      <c r="D286" s="1">
        <v>27</v>
      </c>
      <c r="E286" s="55">
        <f>SUM(B286:D286)</f>
        <v>45</v>
      </c>
      <c r="F286" s="1">
        <v>57</v>
      </c>
      <c r="G286" s="1">
        <v>85</v>
      </c>
      <c r="H286" s="1">
        <v>104</v>
      </c>
      <c r="I286" s="55">
        <f>SUM(F286:H286)</f>
        <v>246</v>
      </c>
      <c r="J286" s="1">
        <v>89</v>
      </c>
      <c r="K286" s="1">
        <v>88</v>
      </c>
      <c r="L286" s="1">
        <v>70</v>
      </c>
      <c r="M286" s="55">
        <f>SUM(J286:L286)</f>
        <v>247</v>
      </c>
      <c r="N286" s="1">
        <v>92</v>
      </c>
      <c r="O286" s="1">
        <v>43</v>
      </c>
      <c r="P286" s="1">
        <v>38</v>
      </c>
      <c r="Q286" s="55">
        <f>SUM(N286:P286)</f>
        <v>173</v>
      </c>
      <c r="R286" s="55">
        <f>+E286+I286+M286+Q286</f>
        <v>711</v>
      </c>
    </row>
    <row r="287" spans="1:18" ht="15.75" customHeight="1" x14ac:dyDescent="0.3">
      <c r="A287" s="72" t="s">
        <v>237</v>
      </c>
      <c r="B287" s="1">
        <v>7</v>
      </c>
      <c r="C287" s="1">
        <v>5</v>
      </c>
      <c r="D287" s="1">
        <v>7</v>
      </c>
      <c r="E287" s="55">
        <f>SUM(B287:D287)</f>
        <v>19</v>
      </c>
      <c r="F287" s="1">
        <v>28</v>
      </c>
      <c r="G287" s="1">
        <v>33</v>
      </c>
      <c r="H287" s="1">
        <v>40</v>
      </c>
      <c r="I287" s="55">
        <f>SUM(F287:H287)</f>
        <v>101</v>
      </c>
      <c r="J287" s="1">
        <v>32</v>
      </c>
      <c r="K287" s="1">
        <v>33</v>
      </c>
      <c r="L287" s="1">
        <v>17</v>
      </c>
      <c r="M287" s="55">
        <f>SUM(J287:L287)</f>
        <v>82</v>
      </c>
      <c r="N287" s="1">
        <v>19</v>
      </c>
      <c r="O287" s="1">
        <v>16</v>
      </c>
      <c r="P287" s="1">
        <v>7</v>
      </c>
      <c r="Q287" s="55">
        <f>SUM(N287:P287)</f>
        <v>42</v>
      </c>
      <c r="R287" s="55">
        <f>+E287+I287+M287+Q287</f>
        <v>244</v>
      </c>
    </row>
    <row r="288" spans="1:18" ht="15.75" customHeight="1" x14ac:dyDescent="0.3">
      <c r="A288" s="15" t="s">
        <v>51</v>
      </c>
      <c r="B288" s="1"/>
      <c r="C288" s="1"/>
      <c r="D288" s="1"/>
      <c r="E288" s="55" t="s">
        <v>7</v>
      </c>
      <c r="F288" s="1"/>
      <c r="G288" s="1"/>
      <c r="H288" s="1"/>
      <c r="I288" s="55" t="s">
        <v>7</v>
      </c>
      <c r="J288" s="1"/>
      <c r="K288" s="1"/>
      <c r="L288" s="1"/>
      <c r="M288" s="55" t="s">
        <v>7</v>
      </c>
      <c r="N288" s="1"/>
      <c r="O288" s="1"/>
      <c r="P288" s="1"/>
      <c r="Q288" s="55" t="s">
        <v>7</v>
      </c>
      <c r="R288" s="55" t="s">
        <v>7</v>
      </c>
    </row>
    <row r="289" spans="1:18" ht="15.75" customHeight="1" x14ac:dyDescent="0.3">
      <c r="A289" s="72" t="s">
        <v>238</v>
      </c>
      <c r="B289" s="1">
        <v>0</v>
      </c>
      <c r="C289" s="1">
        <v>0</v>
      </c>
      <c r="D289" s="1">
        <v>145</v>
      </c>
      <c r="E289" s="55">
        <f>SUM(B289:D289)</f>
        <v>145</v>
      </c>
      <c r="F289" s="1">
        <v>0</v>
      </c>
      <c r="G289" s="1">
        <v>0</v>
      </c>
      <c r="H289" s="1">
        <v>0</v>
      </c>
      <c r="I289" s="55">
        <f>SUM(F289:H289)</f>
        <v>0</v>
      </c>
      <c r="J289" s="1">
        <v>0</v>
      </c>
      <c r="K289" s="1">
        <v>0</v>
      </c>
      <c r="L289" s="1">
        <v>0</v>
      </c>
      <c r="M289" s="55">
        <f>SUM(J289:L289)</f>
        <v>0</v>
      </c>
      <c r="N289" s="1">
        <v>0</v>
      </c>
      <c r="O289" s="1">
        <v>0</v>
      </c>
      <c r="P289" s="1">
        <v>0</v>
      </c>
      <c r="Q289" s="55">
        <f>SUM(N289:P289)</f>
        <v>0</v>
      </c>
      <c r="R289" s="55">
        <f>+E289+I289+M289+Q289</f>
        <v>145</v>
      </c>
    </row>
    <row r="290" spans="1:18" ht="15.75" customHeight="1" x14ac:dyDescent="0.3">
      <c r="A290" s="72" t="s">
        <v>636</v>
      </c>
      <c r="B290" s="1">
        <v>0</v>
      </c>
      <c r="C290" s="1">
        <v>0</v>
      </c>
      <c r="D290" s="1">
        <v>0</v>
      </c>
      <c r="E290" s="55">
        <f>SUM(B290:D290)</f>
        <v>0</v>
      </c>
      <c r="F290" s="1">
        <v>1629</v>
      </c>
      <c r="G290" s="1">
        <v>6509</v>
      </c>
      <c r="H290" s="1">
        <v>0</v>
      </c>
      <c r="I290" s="55">
        <f>SUM(F290:H290)</f>
        <v>8138</v>
      </c>
      <c r="J290" s="1">
        <v>0</v>
      </c>
      <c r="K290" s="1">
        <v>0</v>
      </c>
      <c r="L290" s="1">
        <v>0</v>
      </c>
      <c r="M290" s="55">
        <f>SUM(J290:L290)</f>
        <v>0</v>
      </c>
      <c r="N290" s="1">
        <v>0</v>
      </c>
      <c r="O290" s="1">
        <v>0</v>
      </c>
      <c r="P290" s="1">
        <v>0</v>
      </c>
      <c r="Q290" s="55">
        <f>SUM(N290:P290)</f>
        <v>0</v>
      </c>
      <c r="R290" s="55">
        <f>+E290+I290+M290+Q290</f>
        <v>8138</v>
      </c>
    </row>
    <row r="291" spans="1:18" ht="15.75" customHeight="1" x14ac:dyDescent="0.3">
      <c r="A291" s="72" t="s">
        <v>239</v>
      </c>
      <c r="B291" s="1">
        <v>0</v>
      </c>
      <c r="C291" s="1">
        <v>0</v>
      </c>
      <c r="D291" s="1">
        <v>0</v>
      </c>
      <c r="E291" s="55">
        <f>SUM(B291:D291)</f>
        <v>0</v>
      </c>
      <c r="F291" s="1">
        <v>0</v>
      </c>
      <c r="G291" s="1">
        <v>0</v>
      </c>
      <c r="H291" s="1">
        <v>2044</v>
      </c>
      <c r="I291" s="55">
        <f>SUM(F291:H291)</f>
        <v>2044</v>
      </c>
      <c r="J291" s="1">
        <v>956</v>
      </c>
      <c r="K291" s="1">
        <v>0</v>
      </c>
      <c r="L291" s="1">
        <v>0</v>
      </c>
      <c r="M291" s="55">
        <f>SUM(J291:L291)</f>
        <v>956</v>
      </c>
      <c r="N291" s="1">
        <v>0</v>
      </c>
      <c r="O291" s="1">
        <v>0</v>
      </c>
      <c r="P291" s="1">
        <v>0</v>
      </c>
      <c r="Q291" s="55">
        <f>SUM(N291:P291)</f>
        <v>0</v>
      </c>
      <c r="R291" s="55">
        <f>+E291+I291+M291+Q291</f>
        <v>3000</v>
      </c>
    </row>
    <row r="292" spans="1:18" ht="15.75" customHeight="1" x14ac:dyDescent="0.3">
      <c r="A292" s="72" t="s">
        <v>240</v>
      </c>
      <c r="B292" s="1">
        <v>0</v>
      </c>
      <c r="C292" s="1">
        <v>0</v>
      </c>
      <c r="D292" s="1">
        <v>0</v>
      </c>
      <c r="E292" s="55">
        <f>SUM(B292:D292)</f>
        <v>0</v>
      </c>
      <c r="F292" s="1">
        <v>0</v>
      </c>
      <c r="G292" s="1">
        <v>0</v>
      </c>
      <c r="H292" s="1">
        <v>0</v>
      </c>
      <c r="I292" s="55">
        <f>SUM(F292:H292)</f>
        <v>0</v>
      </c>
      <c r="J292" s="1">
        <v>0</v>
      </c>
      <c r="K292" s="1">
        <v>0</v>
      </c>
      <c r="L292" s="1">
        <v>0</v>
      </c>
      <c r="M292" s="55">
        <f>SUM(J292:L292)</f>
        <v>0</v>
      </c>
      <c r="N292" s="1">
        <v>0</v>
      </c>
      <c r="O292" s="1">
        <v>0</v>
      </c>
      <c r="P292" s="1">
        <v>0</v>
      </c>
      <c r="Q292" s="55">
        <f>SUM(N292:P292)</f>
        <v>0</v>
      </c>
      <c r="R292" s="55">
        <f>+E292+I292+M292+Q292</f>
        <v>0</v>
      </c>
    </row>
    <row r="293" spans="1:18" ht="15.75" customHeight="1" thickBot="1" x14ac:dyDescent="0.35">
      <c r="A293" s="15" t="s">
        <v>53</v>
      </c>
      <c r="B293" s="1"/>
      <c r="C293" s="1"/>
      <c r="D293" s="1"/>
      <c r="E293" s="55" t="s">
        <v>7</v>
      </c>
      <c r="F293" s="1"/>
      <c r="G293" s="1"/>
      <c r="H293" s="1"/>
      <c r="I293" s="55" t="s">
        <v>7</v>
      </c>
      <c r="J293" s="1"/>
      <c r="K293" s="1"/>
      <c r="L293" s="1"/>
      <c r="M293" s="55" t="s">
        <v>7</v>
      </c>
      <c r="N293" s="1"/>
      <c r="O293" s="1"/>
      <c r="P293" s="1"/>
      <c r="Q293" s="55" t="s">
        <v>7</v>
      </c>
      <c r="R293" s="55" t="s">
        <v>7</v>
      </c>
    </row>
    <row r="294" spans="1:18" ht="15.75" customHeight="1" thickBot="1" x14ac:dyDescent="0.35">
      <c r="A294" s="109" t="s">
        <v>54</v>
      </c>
      <c r="B294" s="86">
        <f>SUM(B260:B293)</f>
        <v>671</v>
      </c>
      <c r="C294" s="87">
        <f>SUM(C260:C293)</f>
        <v>1552</v>
      </c>
      <c r="D294" s="87">
        <f>SUM(D260:D293)</f>
        <v>4239</v>
      </c>
      <c r="E294" s="59">
        <f>SUM(B294:D294)</f>
        <v>6462</v>
      </c>
      <c r="F294" s="87">
        <f>SUM(F260:F293)</f>
        <v>5450</v>
      </c>
      <c r="G294" s="87">
        <f>SUM(G260:G293)</f>
        <v>8427</v>
      </c>
      <c r="H294" s="87">
        <f>SUM(H260:H293)</f>
        <v>9142</v>
      </c>
      <c r="I294" s="59">
        <f>SUM(F294:H294)</f>
        <v>23019</v>
      </c>
      <c r="J294" s="87">
        <f>SUM(J260:J293)</f>
        <v>8033</v>
      </c>
      <c r="K294" s="87">
        <f>SUM(K260:K293)</f>
        <v>7275</v>
      </c>
      <c r="L294" s="87">
        <f>SUM(L260:L293)</f>
        <v>8645</v>
      </c>
      <c r="M294" s="59">
        <f>SUM(J294:L294)</f>
        <v>23953</v>
      </c>
      <c r="N294" s="87">
        <f>SUM(N260:N293)</f>
        <v>8390</v>
      </c>
      <c r="O294" s="87">
        <f>SUM(O260:O293)</f>
        <v>6498</v>
      </c>
      <c r="P294" s="87">
        <f>SUM(P260:P293)</f>
        <v>5998</v>
      </c>
      <c r="Q294" s="59">
        <f>SUM(N294:P294)</f>
        <v>20886</v>
      </c>
      <c r="R294" s="59">
        <f>+E294+I294+M294+Q294</f>
        <v>74320</v>
      </c>
    </row>
    <row r="295" spans="1:18" ht="15.75" customHeight="1" x14ac:dyDescent="0.3">
      <c r="A295" s="15" t="s">
        <v>55</v>
      </c>
      <c r="B295" s="1"/>
      <c r="C295" s="1"/>
      <c r="D295" s="1"/>
      <c r="E295" s="55" t="s">
        <v>7</v>
      </c>
      <c r="F295" s="1"/>
      <c r="G295" s="1"/>
      <c r="H295" s="1"/>
      <c r="I295" s="55" t="s">
        <v>7</v>
      </c>
      <c r="J295" s="1"/>
      <c r="K295" s="1"/>
      <c r="L295" s="1"/>
      <c r="M295" s="55" t="s">
        <v>7</v>
      </c>
      <c r="N295" s="1"/>
      <c r="O295" s="1"/>
      <c r="P295" s="1"/>
      <c r="Q295" s="55" t="s">
        <v>7</v>
      </c>
      <c r="R295" s="55" t="s">
        <v>7</v>
      </c>
    </row>
    <row r="296" spans="1:18" ht="15.75" customHeight="1" x14ac:dyDescent="0.3">
      <c r="A296" s="15" t="s">
        <v>242</v>
      </c>
      <c r="B296" s="1"/>
      <c r="C296" s="1"/>
      <c r="D296" s="1"/>
      <c r="E296" s="55"/>
      <c r="F296" s="1"/>
      <c r="G296" s="1"/>
      <c r="H296" s="1"/>
      <c r="I296" s="55"/>
      <c r="J296" s="1"/>
      <c r="K296" s="1"/>
      <c r="L296" s="1"/>
      <c r="M296" s="55"/>
      <c r="N296" s="1"/>
      <c r="O296" s="1"/>
      <c r="P296" s="1"/>
      <c r="Q296" s="55"/>
      <c r="R296" s="55"/>
    </row>
    <row r="297" spans="1:18" ht="15.75" customHeight="1" x14ac:dyDescent="0.3">
      <c r="A297" s="15" t="s">
        <v>57</v>
      </c>
      <c r="B297" s="1"/>
      <c r="C297" s="1"/>
      <c r="D297" s="1"/>
      <c r="E297" s="55" t="s">
        <v>7</v>
      </c>
      <c r="F297" s="1"/>
      <c r="G297" s="1"/>
      <c r="H297" s="1"/>
      <c r="I297" s="55" t="s">
        <v>7</v>
      </c>
      <c r="J297" s="1"/>
      <c r="K297" s="1"/>
      <c r="L297" s="1"/>
      <c r="M297" s="55" t="s">
        <v>7</v>
      </c>
      <c r="N297" s="1"/>
      <c r="O297" s="1"/>
      <c r="P297" s="1"/>
      <c r="Q297" s="55" t="s">
        <v>7</v>
      </c>
      <c r="R297" s="55" t="s">
        <v>7</v>
      </c>
    </row>
    <row r="298" spans="1:18" ht="15.75" customHeight="1" x14ac:dyDescent="0.3">
      <c r="A298" s="72" t="s">
        <v>553</v>
      </c>
      <c r="B298" s="1">
        <v>0</v>
      </c>
      <c r="C298" s="1">
        <v>0</v>
      </c>
      <c r="D298" s="1">
        <v>943</v>
      </c>
      <c r="E298" s="55">
        <f t="shared" ref="E298:E305" si="53">SUM(B298:D298)</f>
        <v>943</v>
      </c>
      <c r="F298" s="1">
        <v>2763</v>
      </c>
      <c r="G298" s="1">
        <v>1972</v>
      </c>
      <c r="H298" s="1">
        <v>3471</v>
      </c>
      <c r="I298" s="55">
        <f t="shared" ref="I298:I305" si="54">SUM(F298:H298)</f>
        <v>8206</v>
      </c>
      <c r="J298" s="1">
        <v>4528</v>
      </c>
      <c r="K298" s="1">
        <v>3765</v>
      </c>
      <c r="L298" s="1">
        <v>2088</v>
      </c>
      <c r="M298" s="55">
        <f t="shared" ref="M298:M305" si="55">SUM(J298:L298)</f>
        <v>10381</v>
      </c>
      <c r="N298" s="1">
        <v>52</v>
      </c>
      <c r="O298" s="1">
        <v>0</v>
      </c>
      <c r="P298" s="1">
        <v>0</v>
      </c>
      <c r="Q298" s="55">
        <f t="shared" ref="Q298:Q305" si="56">SUM(N298:P298)</f>
        <v>52</v>
      </c>
      <c r="R298" s="55">
        <f t="shared" ref="R298:R305" si="57">+E298+I298+M298+Q298</f>
        <v>19582</v>
      </c>
    </row>
    <row r="299" spans="1:18" ht="15.75" customHeight="1" x14ac:dyDescent="0.3">
      <c r="A299" s="72" t="s">
        <v>244</v>
      </c>
      <c r="B299" s="1">
        <v>0</v>
      </c>
      <c r="C299" s="1">
        <v>0</v>
      </c>
      <c r="D299" s="1">
        <v>0</v>
      </c>
      <c r="E299" s="55">
        <f t="shared" si="53"/>
        <v>0</v>
      </c>
      <c r="F299" s="1">
        <v>97</v>
      </c>
      <c r="G299" s="1">
        <v>72</v>
      </c>
      <c r="H299" s="1">
        <v>120</v>
      </c>
      <c r="I299" s="55">
        <f t="shared" si="54"/>
        <v>289</v>
      </c>
      <c r="J299" s="1">
        <v>116</v>
      </c>
      <c r="K299" s="1">
        <v>10</v>
      </c>
      <c r="L299" s="1">
        <v>27</v>
      </c>
      <c r="M299" s="55">
        <f t="shared" si="55"/>
        <v>153</v>
      </c>
      <c r="N299" s="1">
        <v>53</v>
      </c>
      <c r="O299" s="1">
        <v>0</v>
      </c>
      <c r="P299" s="1">
        <v>0</v>
      </c>
      <c r="Q299" s="55">
        <f t="shared" si="56"/>
        <v>53</v>
      </c>
      <c r="R299" s="55">
        <f t="shared" si="57"/>
        <v>495</v>
      </c>
    </row>
    <row r="300" spans="1:18" ht="15.75" customHeight="1" x14ac:dyDescent="0.3">
      <c r="A300" s="72" t="s">
        <v>245</v>
      </c>
      <c r="B300" s="1">
        <v>0</v>
      </c>
      <c r="C300" s="1">
        <v>1349</v>
      </c>
      <c r="D300" s="1">
        <v>4061</v>
      </c>
      <c r="E300" s="55">
        <f t="shared" si="53"/>
        <v>5410</v>
      </c>
      <c r="F300" s="1">
        <v>6777</v>
      </c>
      <c r="G300" s="1">
        <v>2098</v>
      </c>
      <c r="H300" s="1">
        <v>5734</v>
      </c>
      <c r="I300" s="55">
        <f t="shared" si="54"/>
        <v>14609</v>
      </c>
      <c r="J300" s="1">
        <v>6603</v>
      </c>
      <c r="K300" s="1">
        <v>5329</v>
      </c>
      <c r="L300" s="1">
        <v>1788</v>
      </c>
      <c r="M300" s="55">
        <f t="shared" si="55"/>
        <v>13720</v>
      </c>
      <c r="N300" s="1">
        <v>0</v>
      </c>
      <c r="O300" s="1">
        <v>3</v>
      </c>
      <c r="P300" s="1">
        <v>0</v>
      </c>
      <c r="Q300" s="55">
        <f t="shared" si="56"/>
        <v>3</v>
      </c>
      <c r="R300" s="55">
        <f t="shared" si="57"/>
        <v>33742</v>
      </c>
    </row>
    <row r="301" spans="1:18" ht="15.75" customHeight="1" x14ac:dyDescent="0.3">
      <c r="A301" s="72" t="s">
        <v>247</v>
      </c>
      <c r="B301" s="1">
        <v>2827</v>
      </c>
      <c r="C301" s="1">
        <v>844</v>
      </c>
      <c r="D301" s="1">
        <v>2273</v>
      </c>
      <c r="E301" s="55">
        <f t="shared" si="53"/>
        <v>5944</v>
      </c>
      <c r="F301" s="1">
        <v>9949</v>
      </c>
      <c r="G301" s="1">
        <v>15980</v>
      </c>
      <c r="H301" s="1">
        <v>24948</v>
      </c>
      <c r="I301" s="55">
        <f t="shared" si="54"/>
        <v>50877</v>
      </c>
      <c r="J301" s="1">
        <v>21814</v>
      </c>
      <c r="K301" s="1">
        <v>15560</v>
      </c>
      <c r="L301" s="1">
        <v>16744</v>
      </c>
      <c r="M301" s="55">
        <f t="shared" si="55"/>
        <v>54118</v>
      </c>
      <c r="N301" s="1">
        <v>6860</v>
      </c>
      <c r="O301" s="1">
        <v>5392</v>
      </c>
      <c r="P301" s="1">
        <v>3621</v>
      </c>
      <c r="Q301" s="55">
        <f t="shared" si="56"/>
        <v>15873</v>
      </c>
      <c r="R301" s="55">
        <f t="shared" si="57"/>
        <v>126812</v>
      </c>
    </row>
    <row r="302" spans="1:18" ht="15.75" customHeight="1" x14ac:dyDescent="0.3">
      <c r="A302" s="72" t="s">
        <v>248</v>
      </c>
      <c r="B302" s="1">
        <v>602</v>
      </c>
      <c r="C302" s="1">
        <v>239</v>
      </c>
      <c r="D302" s="1">
        <v>1873</v>
      </c>
      <c r="E302" s="55">
        <f t="shared" si="53"/>
        <v>2714</v>
      </c>
      <c r="F302" s="1">
        <v>8781</v>
      </c>
      <c r="G302" s="1">
        <v>3250</v>
      </c>
      <c r="H302" s="1">
        <v>2200</v>
      </c>
      <c r="I302" s="55">
        <f t="shared" si="54"/>
        <v>14231</v>
      </c>
      <c r="J302" s="1">
        <v>3265</v>
      </c>
      <c r="K302" s="1">
        <v>3733</v>
      </c>
      <c r="L302" s="1">
        <v>3382</v>
      </c>
      <c r="M302" s="55">
        <f t="shared" si="55"/>
        <v>10380</v>
      </c>
      <c r="N302" s="1">
        <v>1500</v>
      </c>
      <c r="O302" s="1">
        <v>2000</v>
      </c>
      <c r="P302" s="1">
        <v>0</v>
      </c>
      <c r="Q302" s="55">
        <f t="shared" si="56"/>
        <v>3500</v>
      </c>
      <c r="R302" s="55">
        <f t="shared" si="57"/>
        <v>30825</v>
      </c>
    </row>
    <row r="303" spans="1:18" ht="15.75" customHeight="1" x14ac:dyDescent="0.3">
      <c r="A303" s="72" t="s">
        <v>250</v>
      </c>
      <c r="B303" s="1">
        <v>272</v>
      </c>
      <c r="C303" s="1">
        <v>519</v>
      </c>
      <c r="D303" s="1">
        <v>1342</v>
      </c>
      <c r="E303" s="55">
        <f t="shared" si="53"/>
        <v>2133</v>
      </c>
      <c r="F303" s="1">
        <v>3748</v>
      </c>
      <c r="G303" s="1">
        <v>3726</v>
      </c>
      <c r="H303" s="1">
        <v>2393</v>
      </c>
      <c r="I303" s="55">
        <f t="shared" si="54"/>
        <v>9867</v>
      </c>
      <c r="J303" s="1">
        <v>0</v>
      </c>
      <c r="K303" s="1">
        <v>0</v>
      </c>
      <c r="L303" s="1">
        <v>0</v>
      </c>
      <c r="M303" s="55">
        <f t="shared" si="55"/>
        <v>0</v>
      </c>
      <c r="N303" s="1">
        <v>0</v>
      </c>
      <c r="O303" s="1">
        <v>0</v>
      </c>
      <c r="P303" s="1">
        <v>0</v>
      </c>
      <c r="Q303" s="55">
        <f t="shared" si="56"/>
        <v>0</v>
      </c>
      <c r="R303" s="55">
        <f t="shared" si="57"/>
        <v>12000</v>
      </c>
    </row>
    <row r="304" spans="1:18" ht="15.75" customHeight="1" x14ac:dyDescent="0.3">
      <c r="A304" s="72" t="s">
        <v>251</v>
      </c>
      <c r="B304" s="1">
        <v>146</v>
      </c>
      <c r="C304" s="1">
        <v>803</v>
      </c>
      <c r="D304" s="1">
        <v>1773</v>
      </c>
      <c r="E304" s="55">
        <f t="shared" si="53"/>
        <v>2722</v>
      </c>
      <c r="F304" s="1">
        <v>2278</v>
      </c>
      <c r="G304" s="1">
        <v>0</v>
      </c>
      <c r="H304" s="1">
        <v>0</v>
      </c>
      <c r="I304" s="55">
        <f t="shared" si="54"/>
        <v>2278</v>
      </c>
      <c r="J304" s="1">
        <v>0</v>
      </c>
      <c r="K304" s="1">
        <v>0</v>
      </c>
      <c r="L304" s="1">
        <v>0</v>
      </c>
      <c r="M304" s="55">
        <f t="shared" si="55"/>
        <v>0</v>
      </c>
      <c r="N304" s="1">
        <v>0</v>
      </c>
      <c r="O304" s="1">
        <v>0</v>
      </c>
      <c r="P304" s="1">
        <v>0</v>
      </c>
      <c r="Q304" s="55">
        <f t="shared" si="56"/>
        <v>0</v>
      </c>
      <c r="R304" s="55">
        <f t="shared" si="57"/>
        <v>5000</v>
      </c>
    </row>
    <row r="305" spans="1:18" ht="15.75" customHeight="1" x14ac:dyDescent="0.3">
      <c r="A305" s="72" t="s">
        <v>252</v>
      </c>
      <c r="B305" s="1">
        <v>0</v>
      </c>
      <c r="C305" s="1">
        <v>0</v>
      </c>
      <c r="D305" s="1">
        <v>0</v>
      </c>
      <c r="E305" s="55">
        <f t="shared" si="53"/>
        <v>0</v>
      </c>
      <c r="F305" s="1">
        <v>0</v>
      </c>
      <c r="G305" s="1">
        <v>0</v>
      </c>
      <c r="H305" s="1">
        <v>0</v>
      </c>
      <c r="I305" s="55">
        <f t="shared" si="54"/>
        <v>0</v>
      </c>
      <c r="J305" s="1">
        <v>0</v>
      </c>
      <c r="K305" s="1">
        <v>329</v>
      </c>
      <c r="L305" s="1">
        <v>1506</v>
      </c>
      <c r="M305" s="55">
        <f t="shared" si="55"/>
        <v>1835</v>
      </c>
      <c r="N305" s="1">
        <v>0</v>
      </c>
      <c r="O305" s="1">
        <v>10</v>
      </c>
      <c r="P305" s="1">
        <v>838</v>
      </c>
      <c r="Q305" s="55">
        <f t="shared" si="56"/>
        <v>848</v>
      </c>
      <c r="R305" s="55">
        <f t="shared" si="57"/>
        <v>2683</v>
      </c>
    </row>
    <row r="306" spans="1:18" ht="15.75" customHeight="1" thickBot="1" x14ac:dyDescent="0.35">
      <c r="A306" s="15" t="s">
        <v>58</v>
      </c>
      <c r="B306" s="1"/>
      <c r="C306" s="1"/>
      <c r="D306" s="1"/>
      <c r="E306" s="55" t="s">
        <v>7</v>
      </c>
      <c r="F306" s="1"/>
      <c r="G306" s="1"/>
      <c r="H306" s="1"/>
      <c r="I306" s="55" t="s">
        <v>7</v>
      </c>
      <c r="J306" s="1"/>
      <c r="K306" s="1"/>
      <c r="L306" s="1"/>
      <c r="M306" s="55" t="s">
        <v>7</v>
      </c>
      <c r="N306" s="1"/>
      <c r="O306" s="1"/>
      <c r="P306" s="1"/>
      <c r="Q306" s="55" t="s">
        <v>7</v>
      </c>
      <c r="R306" s="55" t="s">
        <v>7</v>
      </c>
    </row>
    <row r="307" spans="1:18" ht="15.75" customHeight="1" thickBot="1" x14ac:dyDescent="0.35">
      <c r="A307" s="57" t="s">
        <v>59</v>
      </c>
      <c r="B307" s="86">
        <f>SUM(B295:B306)</f>
        <v>3847</v>
      </c>
      <c r="C307" s="87">
        <f>SUM(C295:C306)</f>
        <v>3754</v>
      </c>
      <c r="D307" s="87">
        <f>SUM(D295:D306)</f>
        <v>12265</v>
      </c>
      <c r="E307" s="59">
        <f>SUM(B307:D307)</f>
        <v>19866</v>
      </c>
      <c r="F307" s="87">
        <f>SUM(F295:F306)</f>
        <v>34393</v>
      </c>
      <c r="G307" s="87">
        <f>SUM(G295:G306)</f>
        <v>27098</v>
      </c>
      <c r="H307" s="87">
        <f>SUM(H295:H306)</f>
        <v>38866</v>
      </c>
      <c r="I307" s="59">
        <f>SUM(F307:H307)</f>
        <v>100357</v>
      </c>
      <c r="J307" s="87">
        <f>SUM(J295:J306)</f>
        <v>36326</v>
      </c>
      <c r="K307" s="87">
        <f>SUM(K295:K306)</f>
        <v>28726</v>
      </c>
      <c r="L307" s="87">
        <f>SUM(L295:L306)</f>
        <v>25535</v>
      </c>
      <c r="M307" s="59">
        <f>SUM(J307:L307)</f>
        <v>90587</v>
      </c>
      <c r="N307" s="87">
        <f>SUM(N295:N306)</f>
        <v>8465</v>
      </c>
      <c r="O307" s="87">
        <f>SUM(O295:O306)</f>
        <v>7405</v>
      </c>
      <c r="P307" s="87">
        <f>SUM(P295:P306)</f>
        <v>4459</v>
      </c>
      <c r="Q307" s="59">
        <f>SUM(N307:P307)</f>
        <v>20329</v>
      </c>
      <c r="R307" s="59">
        <f>+E307+I307+M307+Q307</f>
        <v>231139</v>
      </c>
    </row>
    <row r="308" spans="1:18" ht="15.75" customHeight="1" x14ac:dyDescent="0.3">
      <c r="A308" s="15" t="s">
        <v>60</v>
      </c>
      <c r="B308" s="1"/>
      <c r="C308" s="1"/>
      <c r="D308" s="1"/>
      <c r="E308" s="55" t="s">
        <v>7</v>
      </c>
      <c r="F308" s="1"/>
      <c r="G308" s="1"/>
      <c r="H308" s="1"/>
      <c r="I308" s="55" t="s">
        <v>7</v>
      </c>
      <c r="J308" s="1"/>
      <c r="K308" s="1"/>
      <c r="L308" s="1"/>
      <c r="M308" s="55" t="s">
        <v>7</v>
      </c>
      <c r="N308" s="1"/>
      <c r="O308" s="1"/>
      <c r="P308" s="1"/>
      <c r="Q308" s="55" t="s">
        <v>7</v>
      </c>
      <c r="R308" s="55" t="s">
        <v>7</v>
      </c>
    </row>
    <row r="309" spans="1:18" ht="15.75" customHeight="1" x14ac:dyDescent="0.3">
      <c r="A309" s="15" t="s">
        <v>61</v>
      </c>
      <c r="B309" s="1"/>
      <c r="C309" s="1"/>
      <c r="D309" s="1"/>
      <c r="E309" s="55" t="s">
        <v>7</v>
      </c>
      <c r="F309" s="1"/>
      <c r="G309" s="1"/>
      <c r="H309" s="1"/>
      <c r="I309" s="55" t="s">
        <v>7</v>
      </c>
      <c r="J309" s="1"/>
      <c r="K309" s="1"/>
      <c r="L309" s="1"/>
      <c r="M309" s="55" t="s">
        <v>7</v>
      </c>
      <c r="N309" s="1"/>
      <c r="O309" s="1"/>
      <c r="P309" s="1"/>
      <c r="Q309" s="55" t="s">
        <v>7</v>
      </c>
      <c r="R309" s="55" t="s">
        <v>7</v>
      </c>
    </row>
    <row r="310" spans="1:18" ht="15.75" customHeight="1" x14ac:dyDescent="0.3">
      <c r="A310" s="72" t="s">
        <v>254</v>
      </c>
      <c r="B310" s="1">
        <v>1968</v>
      </c>
      <c r="C310" s="1">
        <v>1769</v>
      </c>
      <c r="D310" s="1">
        <v>9258</v>
      </c>
      <c r="E310" s="55">
        <f>SUM(B310:D310)</f>
        <v>12995</v>
      </c>
      <c r="F310" s="1">
        <v>9366</v>
      </c>
      <c r="G310" s="1">
        <v>10472</v>
      </c>
      <c r="H310" s="1">
        <v>10925</v>
      </c>
      <c r="I310" s="55">
        <f>SUM(F310:H310)</f>
        <v>30763</v>
      </c>
      <c r="J310" s="1">
        <v>10397</v>
      </c>
      <c r="K310" s="1">
        <v>8188</v>
      </c>
      <c r="L310" s="1">
        <v>7023</v>
      </c>
      <c r="M310" s="55">
        <f>SUM(J310:L310)</f>
        <v>25608</v>
      </c>
      <c r="N310" s="1">
        <v>3531</v>
      </c>
      <c r="O310" s="1">
        <v>1724</v>
      </c>
      <c r="P310" s="1">
        <v>2614</v>
      </c>
      <c r="Q310" s="55">
        <f>SUM(N310:P310)</f>
        <v>7869</v>
      </c>
      <c r="R310" s="55">
        <f>+E310+I310+M310+Q310</f>
        <v>77235</v>
      </c>
    </row>
    <row r="311" spans="1:18" ht="15.75" customHeight="1" x14ac:dyDescent="0.3">
      <c r="A311" s="72" t="s">
        <v>637</v>
      </c>
      <c r="B311" s="1">
        <v>0</v>
      </c>
      <c r="C311" s="1">
        <v>0</v>
      </c>
      <c r="D311" s="1">
        <v>0</v>
      </c>
      <c r="E311" s="55">
        <f>SUM(B311:D311)</f>
        <v>0</v>
      </c>
      <c r="F311" s="1">
        <v>0</v>
      </c>
      <c r="G311" s="1">
        <v>0</v>
      </c>
      <c r="H311" s="1">
        <v>0</v>
      </c>
      <c r="I311" s="55">
        <f>SUM(F311:H311)</f>
        <v>0</v>
      </c>
      <c r="J311" s="1">
        <v>2076</v>
      </c>
      <c r="K311" s="1">
        <v>0</v>
      </c>
      <c r="L311" s="1">
        <v>0</v>
      </c>
      <c r="M311" s="55">
        <f>SUM(J311:L311)</f>
        <v>2076</v>
      </c>
      <c r="N311" s="1">
        <v>0</v>
      </c>
      <c r="O311" s="1">
        <v>0</v>
      </c>
      <c r="P311" s="1">
        <v>0</v>
      </c>
      <c r="Q311" s="55">
        <f>SUM(N311:P311)</f>
        <v>0</v>
      </c>
      <c r="R311" s="55">
        <f>+E311+I311+M311+Q311</f>
        <v>2076</v>
      </c>
    </row>
    <row r="312" spans="1:18" ht="15.75" customHeight="1" x14ac:dyDescent="0.3">
      <c r="A312" s="15" t="s">
        <v>62</v>
      </c>
      <c r="B312" s="1"/>
      <c r="C312" s="1"/>
      <c r="D312" s="1"/>
      <c r="E312" s="55" t="s">
        <v>7</v>
      </c>
      <c r="F312" s="1"/>
      <c r="G312" s="1"/>
      <c r="H312" s="1"/>
      <c r="I312" s="55" t="s">
        <v>7</v>
      </c>
      <c r="J312" s="1"/>
      <c r="K312" s="1"/>
      <c r="L312" s="1"/>
      <c r="M312" s="55" t="s">
        <v>7</v>
      </c>
      <c r="N312" s="1"/>
      <c r="O312" s="1"/>
      <c r="P312" s="1"/>
      <c r="Q312" s="55" t="s">
        <v>7</v>
      </c>
      <c r="R312" s="55" t="s">
        <v>7</v>
      </c>
    </row>
    <row r="313" spans="1:18" ht="15.75" customHeight="1" x14ac:dyDescent="0.3">
      <c r="A313" s="72" t="s">
        <v>146</v>
      </c>
      <c r="B313" s="1">
        <v>0</v>
      </c>
      <c r="C313" s="1">
        <v>0</v>
      </c>
      <c r="D313" s="1">
        <v>0</v>
      </c>
      <c r="E313" s="55">
        <f t="shared" ref="E313:E329" si="58">SUM(B313:D313)</f>
        <v>0</v>
      </c>
      <c r="F313" s="1">
        <v>97</v>
      </c>
      <c r="G313" s="1">
        <v>875</v>
      </c>
      <c r="H313" s="1">
        <v>0</v>
      </c>
      <c r="I313" s="55">
        <f t="shared" ref="I313:I329" si="59">SUM(F313:H313)</f>
        <v>972</v>
      </c>
      <c r="J313" s="1">
        <v>0</v>
      </c>
      <c r="K313" s="1">
        <v>0</v>
      </c>
      <c r="L313" s="1">
        <v>0</v>
      </c>
      <c r="M313" s="55">
        <f t="shared" ref="M313:M329" si="60">SUM(J313:L313)</f>
        <v>0</v>
      </c>
      <c r="N313" s="1">
        <v>0</v>
      </c>
      <c r="O313" s="1">
        <v>0</v>
      </c>
      <c r="P313" s="1">
        <v>0</v>
      </c>
      <c r="Q313" s="55">
        <f t="shared" ref="Q313:Q329" si="61">SUM(N313:P313)</f>
        <v>0</v>
      </c>
      <c r="R313" s="55">
        <f t="shared" ref="R313:R329" si="62">+E313+I313+M313+Q313</f>
        <v>972</v>
      </c>
    </row>
    <row r="314" spans="1:18" ht="15.75" customHeight="1" x14ac:dyDescent="0.3">
      <c r="A314" s="72" t="s">
        <v>147</v>
      </c>
      <c r="B314" s="1">
        <v>1019</v>
      </c>
      <c r="C314" s="1">
        <v>518</v>
      </c>
      <c r="D314" s="1">
        <v>0</v>
      </c>
      <c r="E314" s="55">
        <f t="shared" si="58"/>
        <v>1537</v>
      </c>
      <c r="F314" s="1">
        <v>0</v>
      </c>
      <c r="G314" s="1">
        <v>0</v>
      </c>
      <c r="H314" s="1">
        <v>0</v>
      </c>
      <c r="I314" s="55">
        <f t="shared" si="59"/>
        <v>0</v>
      </c>
      <c r="J314" s="1">
        <v>0</v>
      </c>
      <c r="K314" s="1">
        <v>0</v>
      </c>
      <c r="L314" s="1">
        <v>0</v>
      </c>
      <c r="M314" s="55">
        <f t="shared" si="60"/>
        <v>0</v>
      </c>
      <c r="N314" s="1">
        <v>0</v>
      </c>
      <c r="O314" s="1">
        <v>0</v>
      </c>
      <c r="P314" s="1">
        <v>0</v>
      </c>
      <c r="Q314" s="55">
        <f t="shared" si="61"/>
        <v>0</v>
      </c>
      <c r="R314" s="55">
        <f t="shared" si="62"/>
        <v>1537</v>
      </c>
    </row>
    <row r="315" spans="1:18" ht="15.75" customHeight="1" x14ac:dyDescent="0.3">
      <c r="A315" s="72" t="s">
        <v>149</v>
      </c>
      <c r="B315" s="1">
        <v>0</v>
      </c>
      <c r="C315" s="1">
        <v>0</v>
      </c>
      <c r="D315" s="1">
        <v>0</v>
      </c>
      <c r="E315" s="55">
        <f t="shared" si="58"/>
        <v>0</v>
      </c>
      <c r="F315" s="1">
        <v>627</v>
      </c>
      <c r="G315" s="1">
        <v>0</v>
      </c>
      <c r="H315" s="1">
        <v>0</v>
      </c>
      <c r="I315" s="55">
        <f t="shared" si="59"/>
        <v>627</v>
      </c>
      <c r="J315" s="1">
        <v>0</v>
      </c>
      <c r="K315" s="1">
        <v>0</v>
      </c>
      <c r="L315" s="1">
        <v>0</v>
      </c>
      <c r="M315" s="55">
        <f t="shared" si="60"/>
        <v>0</v>
      </c>
      <c r="N315" s="1">
        <v>0</v>
      </c>
      <c r="O315" s="1">
        <v>0</v>
      </c>
      <c r="P315" s="1">
        <v>0</v>
      </c>
      <c r="Q315" s="55">
        <f t="shared" si="61"/>
        <v>0</v>
      </c>
      <c r="R315" s="55">
        <f t="shared" si="62"/>
        <v>627</v>
      </c>
    </row>
    <row r="316" spans="1:18" ht="15.75" customHeight="1" x14ac:dyDescent="0.3">
      <c r="A316" s="72" t="s">
        <v>159</v>
      </c>
      <c r="B316" s="1">
        <v>0</v>
      </c>
      <c r="C316" s="1">
        <v>0</v>
      </c>
      <c r="D316" s="1">
        <v>0</v>
      </c>
      <c r="E316" s="55">
        <f t="shared" si="58"/>
        <v>0</v>
      </c>
      <c r="F316" s="1">
        <v>0</v>
      </c>
      <c r="G316" s="1">
        <v>0</v>
      </c>
      <c r="H316" s="1">
        <v>0</v>
      </c>
      <c r="I316" s="55">
        <f t="shared" si="59"/>
        <v>0</v>
      </c>
      <c r="J316" s="1">
        <v>0</v>
      </c>
      <c r="K316" s="1">
        <v>0</v>
      </c>
      <c r="L316" s="1">
        <v>822</v>
      </c>
      <c r="M316" s="55">
        <f t="shared" si="60"/>
        <v>822</v>
      </c>
      <c r="N316" s="1">
        <v>736</v>
      </c>
      <c r="O316" s="1">
        <v>843</v>
      </c>
      <c r="P316" s="1">
        <v>106</v>
      </c>
      <c r="Q316" s="55">
        <f t="shared" si="61"/>
        <v>1685</v>
      </c>
      <c r="R316" s="55">
        <f t="shared" si="62"/>
        <v>2507</v>
      </c>
    </row>
    <row r="317" spans="1:18" ht="15.75" customHeight="1" x14ac:dyDescent="0.3">
      <c r="A317" s="72" t="s">
        <v>160</v>
      </c>
      <c r="B317" s="1">
        <v>0</v>
      </c>
      <c r="C317" s="1">
        <v>218</v>
      </c>
      <c r="D317" s="1">
        <v>1042</v>
      </c>
      <c r="E317" s="55">
        <f t="shared" si="58"/>
        <v>1260</v>
      </c>
      <c r="F317" s="1">
        <v>1044</v>
      </c>
      <c r="G317" s="1">
        <v>1214</v>
      </c>
      <c r="H317" s="1">
        <v>570</v>
      </c>
      <c r="I317" s="55">
        <f t="shared" si="59"/>
        <v>2828</v>
      </c>
      <c r="J317" s="1">
        <v>0</v>
      </c>
      <c r="K317" s="1">
        <v>0</v>
      </c>
      <c r="L317" s="1">
        <v>0</v>
      </c>
      <c r="M317" s="55">
        <f t="shared" si="60"/>
        <v>0</v>
      </c>
      <c r="N317" s="1">
        <v>0</v>
      </c>
      <c r="O317" s="1">
        <v>0</v>
      </c>
      <c r="P317" s="1">
        <v>0</v>
      </c>
      <c r="Q317" s="55">
        <f t="shared" si="61"/>
        <v>0</v>
      </c>
      <c r="R317" s="55">
        <f t="shared" si="62"/>
        <v>4088</v>
      </c>
    </row>
    <row r="318" spans="1:18" ht="15.75" customHeight="1" x14ac:dyDescent="0.3">
      <c r="A318" s="72" t="s">
        <v>162</v>
      </c>
      <c r="B318" s="1">
        <v>0</v>
      </c>
      <c r="C318" s="1">
        <v>0</v>
      </c>
      <c r="D318" s="1">
        <v>0</v>
      </c>
      <c r="E318" s="55">
        <f t="shared" si="58"/>
        <v>0</v>
      </c>
      <c r="F318" s="1">
        <v>837</v>
      </c>
      <c r="G318" s="1">
        <v>832</v>
      </c>
      <c r="H318" s="1">
        <v>0</v>
      </c>
      <c r="I318" s="55">
        <f t="shared" si="59"/>
        <v>1669</v>
      </c>
      <c r="J318" s="1">
        <v>0</v>
      </c>
      <c r="K318" s="1">
        <v>0</v>
      </c>
      <c r="L318" s="1">
        <v>0</v>
      </c>
      <c r="M318" s="55">
        <f t="shared" si="60"/>
        <v>0</v>
      </c>
      <c r="N318" s="1">
        <v>0</v>
      </c>
      <c r="O318" s="1">
        <v>0</v>
      </c>
      <c r="P318" s="1">
        <v>0</v>
      </c>
      <c r="Q318" s="55">
        <f t="shared" si="61"/>
        <v>0</v>
      </c>
      <c r="R318" s="55">
        <f t="shared" si="62"/>
        <v>1669</v>
      </c>
    </row>
    <row r="319" spans="1:18" ht="15.75" customHeight="1" x14ac:dyDescent="0.3">
      <c r="A319" s="72" t="s">
        <v>638</v>
      </c>
      <c r="B319" s="1">
        <v>406</v>
      </c>
      <c r="C319" s="1">
        <v>331</v>
      </c>
      <c r="D319" s="1">
        <v>381</v>
      </c>
      <c r="E319" s="55">
        <f t="shared" si="58"/>
        <v>1118</v>
      </c>
      <c r="F319" s="1">
        <v>804</v>
      </c>
      <c r="G319" s="1">
        <v>0</v>
      </c>
      <c r="H319" s="1">
        <v>0</v>
      </c>
      <c r="I319" s="55">
        <f t="shared" si="59"/>
        <v>804</v>
      </c>
      <c r="J319" s="1">
        <v>0</v>
      </c>
      <c r="K319" s="1">
        <v>0</v>
      </c>
      <c r="L319" s="1">
        <v>0</v>
      </c>
      <c r="M319" s="55">
        <f t="shared" si="60"/>
        <v>0</v>
      </c>
      <c r="N319" s="1">
        <v>0</v>
      </c>
      <c r="O319" s="1">
        <v>0</v>
      </c>
      <c r="P319" s="1">
        <v>0</v>
      </c>
      <c r="Q319" s="55">
        <f t="shared" si="61"/>
        <v>0</v>
      </c>
      <c r="R319" s="55">
        <f t="shared" si="62"/>
        <v>1922</v>
      </c>
    </row>
    <row r="320" spans="1:18" ht="15.75" customHeight="1" x14ac:dyDescent="0.3">
      <c r="A320" s="72" t="s">
        <v>639</v>
      </c>
      <c r="B320" s="1">
        <v>0</v>
      </c>
      <c r="C320" s="1">
        <v>0</v>
      </c>
      <c r="D320" s="1">
        <v>0</v>
      </c>
      <c r="E320" s="55">
        <f>SUM(B320:D320)</f>
        <v>0</v>
      </c>
      <c r="F320" s="1">
        <v>1000</v>
      </c>
      <c r="G320" s="1">
        <v>0</v>
      </c>
      <c r="H320" s="1">
        <v>1000</v>
      </c>
      <c r="I320" s="55">
        <f>SUM(F320:H320)</f>
        <v>2000</v>
      </c>
      <c r="J320" s="1">
        <v>1500</v>
      </c>
      <c r="K320" s="1">
        <v>5500</v>
      </c>
      <c r="L320" s="1">
        <v>6500</v>
      </c>
      <c r="M320" s="55">
        <f>SUM(J320:L320)</f>
        <v>13500</v>
      </c>
      <c r="N320" s="1">
        <v>0</v>
      </c>
      <c r="O320" s="1">
        <v>0</v>
      </c>
      <c r="P320" s="1">
        <v>0</v>
      </c>
      <c r="Q320" s="55">
        <f>SUM(N320:P320)</f>
        <v>0</v>
      </c>
      <c r="R320" s="55">
        <f>+E320+I320+M320+Q320</f>
        <v>15500</v>
      </c>
    </row>
    <row r="321" spans="1:18" ht="15.75" customHeight="1" x14ac:dyDescent="0.3">
      <c r="A321" s="72" t="s">
        <v>640</v>
      </c>
      <c r="B321" s="1">
        <v>1139</v>
      </c>
      <c r="C321" s="1">
        <v>0</v>
      </c>
      <c r="D321" s="1">
        <v>0</v>
      </c>
      <c r="E321" s="55">
        <f>SUM(B321:D321)</f>
        <v>1139</v>
      </c>
      <c r="F321" s="1">
        <v>1756</v>
      </c>
      <c r="G321" s="1">
        <v>6400</v>
      </c>
      <c r="H321" s="1">
        <v>8200</v>
      </c>
      <c r="I321" s="55">
        <f>SUM(F321:H321)</f>
        <v>16356</v>
      </c>
      <c r="J321" s="1">
        <v>8000</v>
      </c>
      <c r="K321" s="1">
        <v>7160</v>
      </c>
      <c r="L321" s="1">
        <v>4625</v>
      </c>
      <c r="M321" s="55">
        <f>SUM(J321:L321)</f>
        <v>19785</v>
      </c>
      <c r="N321" s="1">
        <v>2825</v>
      </c>
      <c r="O321" s="1">
        <v>1395</v>
      </c>
      <c r="P321" s="1">
        <v>0</v>
      </c>
      <c r="Q321" s="55">
        <f>SUM(N321:P321)</f>
        <v>4220</v>
      </c>
      <c r="R321" s="55">
        <f>+E321+I321+M321+Q321</f>
        <v>41500</v>
      </c>
    </row>
    <row r="322" spans="1:18" ht="15.75" customHeight="1" x14ac:dyDescent="0.3">
      <c r="A322" s="72" t="s">
        <v>641</v>
      </c>
      <c r="B322" s="1">
        <v>0</v>
      </c>
      <c r="C322" s="1">
        <v>600</v>
      </c>
      <c r="D322" s="1">
        <v>4700</v>
      </c>
      <c r="E322" s="55">
        <f>SUM(B322:D322)</f>
        <v>5300</v>
      </c>
      <c r="F322" s="1">
        <v>5300</v>
      </c>
      <c r="G322" s="1">
        <v>6300</v>
      </c>
      <c r="H322" s="1">
        <v>6300</v>
      </c>
      <c r="I322" s="55">
        <f>SUM(F322:H322)</f>
        <v>17900</v>
      </c>
      <c r="J322" s="1">
        <v>6630</v>
      </c>
      <c r="K322" s="1">
        <v>4810</v>
      </c>
      <c r="L322" s="1">
        <v>2650</v>
      </c>
      <c r="M322" s="55">
        <f>SUM(J322:L322)</f>
        <v>14090</v>
      </c>
      <c r="N322" s="1">
        <v>1290</v>
      </c>
      <c r="O322" s="1">
        <v>980</v>
      </c>
      <c r="P322" s="1">
        <v>940</v>
      </c>
      <c r="Q322" s="55">
        <f>SUM(N322:P322)</f>
        <v>3210</v>
      </c>
      <c r="R322" s="55">
        <f>+E322+I322+M322+Q322</f>
        <v>40500</v>
      </c>
    </row>
    <row r="323" spans="1:18" ht="15.75" customHeight="1" x14ac:dyDescent="0.3">
      <c r="A323" s="72" t="s">
        <v>642</v>
      </c>
      <c r="B323" s="1">
        <v>815</v>
      </c>
      <c r="C323" s="1">
        <v>815</v>
      </c>
      <c r="D323" s="1">
        <v>815</v>
      </c>
      <c r="E323" s="55">
        <f t="shared" si="58"/>
        <v>2445</v>
      </c>
      <c r="F323" s="1">
        <v>815</v>
      </c>
      <c r="G323" s="1">
        <v>815</v>
      </c>
      <c r="H323" s="1">
        <v>815</v>
      </c>
      <c r="I323" s="55">
        <f t="shared" si="59"/>
        <v>2445</v>
      </c>
      <c r="J323" s="1">
        <v>817</v>
      </c>
      <c r="K323" s="1">
        <v>0</v>
      </c>
      <c r="L323" s="1">
        <v>0</v>
      </c>
      <c r="M323" s="55">
        <f t="shared" si="60"/>
        <v>817</v>
      </c>
      <c r="N323" s="1">
        <v>0</v>
      </c>
      <c r="O323" s="1">
        <v>0</v>
      </c>
      <c r="P323" s="1">
        <v>0</v>
      </c>
      <c r="Q323" s="55">
        <f t="shared" si="61"/>
        <v>0</v>
      </c>
      <c r="R323" s="55">
        <f t="shared" si="62"/>
        <v>5707</v>
      </c>
    </row>
    <row r="324" spans="1:18" ht="15.75" customHeight="1" x14ac:dyDescent="0.3">
      <c r="A324" s="72" t="s">
        <v>643</v>
      </c>
      <c r="B324" s="1">
        <v>0</v>
      </c>
      <c r="C324" s="1">
        <v>0</v>
      </c>
      <c r="D324" s="1">
        <v>0</v>
      </c>
      <c r="E324" s="55">
        <f>SUM(B324:D324)</f>
        <v>0</v>
      </c>
      <c r="F324" s="1">
        <v>0</v>
      </c>
      <c r="G324" s="1">
        <v>0</v>
      </c>
      <c r="H324" s="1">
        <v>0</v>
      </c>
      <c r="I324" s="55">
        <f>SUM(F324:H324)</f>
        <v>0</v>
      </c>
      <c r="J324" s="1">
        <v>0</v>
      </c>
      <c r="K324" s="1">
        <v>0</v>
      </c>
      <c r="L324" s="1">
        <v>1000</v>
      </c>
      <c r="M324" s="55">
        <f>SUM(J324:L324)</f>
        <v>1000</v>
      </c>
      <c r="N324" s="1">
        <v>0</v>
      </c>
      <c r="O324" s="1">
        <v>0</v>
      </c>
      <c r="P324" s="1">
        <v>0</v>
      </c>
      <c r="Q324" s="55">
        <f>SUM(N324:P324)</f>
        <v>0</v>
      </c>
      <c r="R324" s="55">
        <f>+E324+I324+M324+Q324</f>
        <v>1000</v>
      </c>
    </row>
    <row r="325" spans="1:18" ht="15.75" customHeight="1" x14ac:dyDescent="0.3">
      <c r="A325" s="72" t="s">
        <v>168</v>
      </c>
      <c r="B325" s="1">
        <v>0</v>
      </c>
      <c r="C325" s="1">
        <v>0</v>
      </c>
      <c r="D325" s="1">
        <v>0</v>
      </c>
      <c r="E325" s="55">
        <f t="shared" si="58"/>
        <v>0</v>
      </c>
      <c r="F325" s="1">
        <v>0</v>
      </c>
      <c r="G325" s="1">
        <v>0</v>
      </c>
      <c r="H325" s="1">
        <v>0</v>
      </c>
      <c r="I325" s="55">
        <f t="shared" si="59"/>
        <v>0</v>
      </c>
      <c r="J325" s="1">
        <v>0</v>
      </c>
      <c r="K325" s="1">
        <v>0</v>
      </c>
      <c r="L325" s="1">
        <v>0</v>
      </c>
      <c r="M325" s="55">
        <f t="shared" si="60"/>
        <v>0</v>
      </c>
      <c r="N325" s="1">
        <v>0</v>
      </c>
      <c r="O325" s="1">
        <v>0</v>
      </c>
      <c r="P325" s="1">
        <v>955</v>
      </c>
      <c r="Q325" s="55">
        <f t="shared" si="61"/>
        <v>955</v>
      </c>
      <c r="R325" s="55">
        <f t="shared" si="62"/>
        <v>955</v>
      </c>
    </row>
    <row r="326" spans="1:18" ht="15.75" customHeight="1" x14ac:dyDescent="0.3">
      <c r="A326" s="72" t="s">
        <v>644</v>
      </c>
      <c r="B326" s="1">
        <v>0</v>
      </c>
      <c r="C326" s="1">
        <v>0</v>
      </c>
      <c r="D326" s="1">
        <v>0</v>
      </c>
      <c r="E326" s="55">
        <f>SUM(B326:D326)</f>
        <v>0</v>
      </c>
      <c r="F326" s="1">
        <v>0</v>
      </c>
      <c r="G326" s="1">
        <v>0</v>
      </c>
      <c r="H326" s="1">
        <v>0</v>
      </c>
      <c r="I326" s="55">
        <f>SUM(F326:H326)</f>
        <v>0</v>
      </c>
      <c r="J326" s="1">
        <v>0</v>
      </c>
      <c r="K326" s="1">
        <v>2434</v>
      </c>
      <c r="L326" s="1">
        <v>2037</v>
      </c>
      <c r="M326" s="55">
        <f>SUM(J326:L326)</f>
        <v>4471</v>
      </c>
      <c r="N326" s="1">
        <v>0</v>
      </c>
      <c r="O326" s="1">
        <v>0</v>
      </c>
      <c r="P326" s="1">
        <v>0</v>
      </c>
      <c r="Q326" s="55">
        <f>SUM(N326:P326)</f>
        <v>0</v>
      </c>
      <c r="R326" s="55">
        <f>+E326+I326+M326+Q326</f>
        <v>4471</v>
      </c>
    </row>
    <row r="327" spans="1:18" ht="15.75" customHeight="1" x14ac:dyDescent="0.3">
      <c r="A327" s="72" t="s">
        <v>169</v>
      </c>
      <c r="B327" s="1">
        <v>0</v>
      </c>
      <c r="C327" s="1">
        <v>0</v>
      </c>
      <c r="D327" s="1">
        <v>0</v>
      </c>
      <c r="E327" s="55">
        <f t="shared" si="58"/>
        <v>0</v>
      </c>
      <c r="F327" s="1">
        <v>0</v>
      </c>
      <c r="G327" s="1">
        <v>0</v>
      </c>
      <c r="H327" s="1">
        <v>651</v>
      </c>
      <c r="I327" s="55">
        <f t="shared" si="59"/>
        <v>651</v>
      </c>
      <c r="J327" s="1">
        <v>1302</v>
      </c>
      <c r="K327" s="1">
        <v>0</v>
      </c>
      <c r="L327" s="1">
        <v>0</v>
      </c>
      <c r="M327" s="55">
        <f t="shared" si="60"/>
        <v>1302</v>
      </c>
      <c r="N327" s="1">
        <v>0</v>
      </c>
      <c r="O327" s="1">
        <v>0</v>
      </c>
      <c r="P327" s="1">
        <v>0</v>
      </c>
      <c r="Q327" s="55">
        <f t="shared" si="61"/>
        <v>0</v>
      </c>
      <c r="R327" s="55">
        <f t="shared" si="62"/>
        <v>1953</v>
      </c>
    </row>
    <row r="328" spans="1:18" ht="15.75" customHeight="1" thickBot="1" x14ac:dyDescent="0.35">
      <c r="A328" s="72" t="s">
        <v>171</v>
      </c>
      <c r="B328" s="1">
        <v>0</v>
      </c>
      <c r="C328" s="1">
        <v>0</v>
      </c>
      <c r="D328" s="1">
        <v>0</v>
      </c>
      <c r="E328" s="55">
        <f t="shared" si="58"/>
        <v>0</v>
      </c>
      <c r="F328" s="1">
        <v>0</v>
      </c>
      <c r="G328" s="1">
        <v>2622</v>
      </c>
      <c r="H328" s="1">
        <v>0</v>
      </c>
      <c r="I328" s="55">
        <f t="shared" si="59"/>
        <v>2622</v>
      </c>
      <c r="J328" s="1">
        <v>0</v>
      </c>
      <c r="K328" s="1">
        <v>0</v>
      </c>
      <c r="L328" s="1">
        <v>0</v>
      </c>
      <c r="M328" s="55">
        <f t="shared" si="60"/>
        <v>0</v>
      </c>
      <c r="N328" s="1">
        <v>0</v>
      </c>
      <c r="O328" s="1">
        <v>0</v>
      </c>
      <c r="P328" s="1">
        <v>0</v>
      </c>
      <c r="Q328" s="55">
        <f t="shared" si="61"/>
        <v>0</v>
      </c>
      <c r="R328" s="55">
        <f t="shared" si="62"/>
        <v>2622</v>
      </c>
    </row>
    <row r="329" spans="1:18" ht="15.75" customHeight="1" thickBot="1" x14ac:dyDescent="0.35">
      <c r="A329" s="114" t="s">
        <v>63</v>
      </c>
      <c r="B329" s="86">
        <f>SUM(B308:B328)</f>
        <v>5347</v>
      </c>
      <c r="C329" s="87">
        <f>SUM(C308:C328)</f>
        <v>4251</v>
      </c>
      <c r="D329" s="87">
        <f>SUM(D308:D328)</f>
        <v>16196</v>
      </c>
      <c r="E329" s="59">
        <f t="shared" si="58"/>
        <v>25794</v>
      </c>
      <c r="F329" s="87">
        <f>SUM(F308:F328)</f>
        <v>21646</v>
      </c>
      <c r="G329" s="87">
        <f>SUM(G308:G328)</f>
        <v>29530</v>
      </c>
      <c r="H329" s="87">
        <f>SUM(H308:H328)</f>
        <v>28461</v>
      </c>
      <c r="I329" s="59">
        <f t="shared" si="59"/>
        <v>79637</v>
      </c>
      <c r="J329" s="87">
        <f>SUM(J308:J328)</f>
        <v>30722</v>
      </c>
      <c r="K329" s="87">
        <f>SUM(K308:K328)</f>
        <v>28092</v>
      </c>
      <c r="L329" s="87">
        <f>SUM(L308:L328)</f>
        <v>24657</v>
      </c>
      <c r="M329" s="59">
        <f t="shared" si="60"/>
        <v>83471</v>
      </c>
      <c r="N329" s="87">
        <f>SUM(N308:N328)</f>
        <v>8382</v>
      </c>
      <c r="O329" s="87">
        <f>SUM(O308:O328)</f>
        <v>4942</v>
      </c>
      <c r="P329" s="87">
        <f>SUM(P308:P328)</f>
        <v>4615</v>
      </c>
      <c r="Q329" s="59">
        <f t="shared" si="61"/>
        <v>17939</v>
      </c>
      <c r="R329" s="59">
        <f t="shared" si="62"/>
        <v>206841</v>
      </c>
    </row>
    <row r="330" spans="1:18" ht="15.75" customHeight="1" x14ac:dyDescent="0.3">
      <c r="A330" s="15" t="s">
        <v>64</v>
      </c>
      <c r="B330" s="1"/>
      <c r="C330" s="1"/>
      <c r="D330" s="1"/>
      <c r="E330" s="55" t="s">
        <v>7</v>
      </c>
      <c r="F330" s="1"/>
      <c r="G330" s="1"/>
      <c r="H330" s="1"/>
      <c r="I330" s="55" t="s">
        <v>7</v>
      </c>
      <c r="J330" s="1"/>
      <c r="K330" s="1"/>
      <c r="L330" s="1"/>
      <c r="M330" s="55" t="s">
        <v>7</v>
      </c>
      <c r="N330" s="1"/>
      <c r="O330" s="1"/>
      <c r="P330" s="1"/>
      <c r="Q330" s="55" t="s">
        <v>7</v>
      </c>
      <c r="R330" s="55" t="s">
        <v>7</v>
      </c>
    </row>
    <row r="331" spans="1:18" ht="15.75" customHeight="1" x14ac:dyDescent="0.3">
      <c r="A331" s="15" t="s">
        <v>594</v>
      </c>
      <c r="B331" s="1"/>
      <c r="C331" s="1"/>
      <c r="D331" s="1"/>
      <c r="E331" s="55" t="s">
        <v>7</v>
      </c>
      <c r="F331" s="1"/>
      <c r="G331" s="1"/>
      <c r="H331" s="1"/>
      <c r="I331" s="55" t="s">
        <v>7</v>
      </c>
      <c r="J331" s="1"/>
      <c r="K331" s="1"/>
      <c r="L331" s="1"/>
      <c r="M331" s="55" t="s">
        <v>7</v>
      </c>
      <c r="N331" s="1"/>
      <c r="O331" s="1"/>
      <c r="P331" s="1"/>
      <c r="Q331" s="55" t="s">
        <v>7</v>
      </c>
      <c r="R331" s="55" t="s">
        <v>7</v>
      </c>
    </row>
    <row r="332" spans="1:18" ht="15.75" customHeight="1" x14ac:dyDescent="0.3">
      <c r="A332" s="72" t="s">
        <v>557</v>
      </c>
      <c r="B332" s="1">
        <v>0</v>
      </c>
      <c r="C332" s="1">
        <v>0</v>
      </c>
      <c r="D332" s="1">
        <v>0</v>
      </c>
      <c r="E332" s="55">
        <f>SUM(B332:D332)</f>
        <v>0</v>
      </c>
      <c r="F332" s="1">
        <v>0</v>
      </c>
      <c r="G332" s="1">
        <v>0</v>
      </c>
      <c r="H332" s="1">
        <v>0</v>
      </c>
      <c r="I332" s="55">
        <f>SUM(F332:H332)</f>
        <v>0</v>
      </c>
      <c r="J332" s="1">
        <v>0</v>
      </c>
      <c r="K332" s="1">
        <v>0</v>
      </c>
      <c r="L332" s="1">
        <v>0</v>
      </c>
      <c r="M332" s="55">
        <f>SUM(J332:L332)</f>
        <v>0</v>
      </c>
      <c r="N332" s="1">
        <v>0</v>
      </c>
      <c r="O332" s="1">
        <v>0</v>
      </c>
      <c r="P332" s="1">
        <v>0</v>
      </c>
      <c r="Q332" s="55">
        <f>SUM(N332:P332)</f>
        <v>0</v>
      </c>
      <c r="R332" s="55">
        <f>+E332+I332+M332+Q332</f>
        <v>0</v>
      </c>
    </row>
    <row r="333" spans="1:18" ht="15.75" customHeight="1" x14ac:dyDescent="0.3">
      <c r="A333" s="15" t="s">
        <v>67</v>
      </c>
      <c r="B333" s="1"/>
      <c r="C333" s="1"/>
      <c r="D333" s="1"/>
      <c r="E333" s="55" t="s">
        <v>7</v>
      </c>
      <c r="F333" s="1"/>
      <c r="G333" s="1"/>
      <c r="H333" s="1"/>
      <c r="I333" s="55" t="s">
        <v>7</v>
      </c>
      <c r="J333" s="1"/>
      <c r="K333" s="1"/>
      <c r="L333" s="1"/>
      <c r="M333" s="55" t="s">
        <v>7</v>
      </c>
      <c r="N333" s="1"/>
      <c r="O333" s="1"/>
      <c r="P333" s="1"/>
      <c r="Q333" s="55" t="s">
        <v>7</v>
      </c>
      <c r="R333" s="55" t="s">
        <v>7</v>
      </c>
    </row>
    <row r="334" spans="1:18" ht="15.75" customHeight="1" x14ac:dyDescent="0.3">
      <c r="A334" s="72" t="s">
        <v>267</v>
      </c>
      <c r="B334" s="1">
        <v>0</v>
      </c>
      <c r="C334" s="1">
        <v>0</v>
      </c>
      <c r="D334" s="1">
        <v>0</v>
      </c>
      <c r="E334" s="55">
        <f>SUM(B334:D334)</f>
        <v>0</v>
      </c>
      <c r="F334" s="1">
        <v>0</v>
      </c>
      <c r="G334" s="1">
        <v>0</v>
      </c>
      <c r="H334" s="1">
        <v>0</v>
      </c>
      <c r="I334" s="55">
        <f>SUM(F334:H334)</f>
        <v>0</v>
      </c>
      <c r="J334" s="1">
        <v>0</v>
      </c>
      <c r="K334" s="1">
        <v>0</v>
      </c>
      <c r="L334" s="1">
        <v>0</v>
      </c>
      <c r="M334" s="55">
        <f>SUM(J334:L334)</f>
        <v>0</v>
      </c>
      <c r="N334" s="1">
        <v>0</v>
      </c>
      <c r="O334" s="1">
        <v>0</v>
      </c>
      <c r="P334" s="1">
        <v>0</v>
      </c>
      <c r="Q334" s="55">
        <f>SUM(N334:P334)</f>
        <v>0</v>
      </c>
      <c r="R334" s="55">
        <f>+E334+I334+M334+Q334</f>
        <v>0</v>
      </c>
    </row>
    <row r="335" spans="1:18" ht="15.75" customHeight="1" x14ac:dyDescent="0.3">
      <c r="A335" s="72" t="s">
        <v>645</v>
      </c>
      <c r="B335" s="1">
        <v>0</v>
      </c>
      <c r="C335" s="1">
        <v>0</v>
      </c>
      <c r="D335" s="1">
        <v>0</v>
      </c>
      <c r="E335" s="55">
        <f>SUM(B335:D335)</f>
        <v>0</v>
      </c>
      <c r="F335" s="1">
        <v>0</v>
      </c>
      <c r="G335" s="1">
        <v>0</v>
      </c>
      <c r="H335" s="1">
        <v>0</v>
      </c>
      <c r="I335" s="55">
        <f>SUM(F335:H335)</f>
        <v>0</v>
      </c>
      <c r="J335" s="1">
        <v>0</v>
      </c>
      <c r="K335" s="1">
        <v>0</v>
      </c>
      <c r="L335" s="1">
        <v>0</v>
      </c>
      <c r="M335" s="55">
        <f>SUM(J335:L335)</f>
        <v>0</v>
      </c>
      <c r="N335" s="1">
        <v>0</v>
      </c>
      <c r="O335" s="1">
        <v>0</v>
      </c>
      <c r="P335" s="1">
        <v>0</v>
      </c>
      <c r="Q335" s="55">
        <f>SUM(N335:P335)</f>
        <v>0</v>
      </c>
      <c r="R335" s="55">
        <f>+E335+I335+M335+Q335</f>
        <v>0</v>
      </c>
    </row>
    <row r="336" spans="1:18" ht="15.75" customHeight="1" x14ac:dyDescent="0.3">
      <c r="A336" s="15" t="s">
        <v>600</v>
      </c>
      <c r="B336" s="1"/>
      <c r="C336" s="1"/>
      <c r="D336" s="1"/>
      <c r="E336" s="55" t="s">
        <v>7</v>
      </c>
      <c r="F336" s="1"/>
      <c r="G336" s="1"/>
      <c r="H336" s="1"/>
      <c r="I336" s="55" t="s">
        <v>7</v>
      </c>
      <c r="J336" s="1"/>
      <c r="K336" s="1"/>
      <c r="L336" s="1"/>
      <c r="M336" s="55" t="s">
        <v>7</v>
      </c>
      <c r="N336" s="1"/>
      <c r="O336" s="1"/>
      <c r="P336" s="1"/>
      <c r="Q336" s="55" t="s">
        <v>7</v>
      </c>
      <c r="R336" s="55" t="s">
        <v>7</v>
      </c>
    </row>
    <row r="337" spans="1:18" ht="15.75" customHeight="1" x14ac:dyDescent="0.3">
      <c r="A337" s="72" t="s">
        <v>270</v>
      </c>
      <c r="B337" s="1">
        <v>0</v>
      </c>
      <c r="C337" s="1">
        <v>0</v>
      </c>
      <c r="D337" s="1">
        <v>0</v>
      </c>
      <c r="E337" s="55">
        <f t="shared" ref="E337:E347" si="63">SUM(B337:D337)</f>
        <v>0</v>
      </c>
      <c r="F337" s="1">
        <v>0</v>
      </c>
      <c r="G337" s="1">
        <v>0</v>
      </c>
      <c r="H337" s="1">
        <v>0</v>
      </c>
      <c r="I337" s="55">
        <f t="shared" ref="I337:I347" si="64">SUM(F337:H337)</f>
        <v>0</v>
      </c>
      <c r="J337" s="1">
        <v>1000</v>
      </c>
      <c r="K337" s="1">
        <v>0</v>
      </c>
      <c r="L337" s="1">
        <v>0</v>
      </c>
      <c r="M337" s="55">
        <f t="shared" ref="M337:M347" si="65">SUM(J337:L337)</f>
        <v>1000</v>
      </c>
      <c r="N337" s="1">
        <v>0</v>
      </c>
      <c r="O337" s="1">
        <v>0</v>
      </c>
      <c r="P337" s="1">
        <v>0</v>
      </c>
      <c r="Q337" s="55">
        <f t="shared" ref="Q337:Q347" si="66">SUM(N337:P337)</f>
        <v>0</v>
      </c>
      <c r="R337" s="55">
        <f t="shared" ref="R337:R347" si="67">+E337+I337+M337+Q337</f>
        <v>1000</v>
      </c>
    </row>
    <row r="338" spans="1:18" ht="15.75" customHeight="1" x14ac:dyDescent="0.3">
      <c r="A338" s="72" t="s">
        <v>646</v>
      </c>
      <c r="B338" s="1">
        <v>0</v>
      </c>
      <c r="C338" s="1">
        <v>0</v>
      </c>
      <c r="D338" s="1">
        <v>0</v>
      </c>
      <c r="E338" s="55">
        <f>SUM(B338:D338)</f>
        <v>0</v>
      </c>
      <c r="F338" s="1">
        <v>0</v>
      </c>
      <c r="G338" s="1">
        <v>0</v>
      </c>
      <c r="H338" s="1">
        <v>0</v>
      </c>
      <c r="I338" s="55">
        <f>SUM(F338:H338)</f>
        <v>0</v>
      </c>
      <c r="J338" s="1">
        <v>3000</v>
      </c>
      <c r="K338" s="1">
        <v>0</v>
      </c>
      <c r="L338" s="1">
        <v>0</v>
      </c>
      <c r="M338" s="55">
        <f>SUM(J338:L338)</f>
        <v>3000</v>
      </c>
      <c r="N338" s="1">
        <v>0</v>
      </c>
      <c r="O338" s="1">
        <v>0</v>
      </c>
      <c r="P338" s="1">
        <v>0</v>
      </c>
      <c r="Q338" s="55">
        <f>SUM(N338:P338)</f>
        <v>0</v>
      </c>
      <c r="R338" s="55">
        <f>+E338+I338+M338+Q338</f>
        <v>3000</v>
      </c>
    </row>
    <row r="339" spans="1:18" ht="15.75" customHeight="1" x14ac:dyDescent="0.3">
      <c r="A339" s="72" t="s">
        <v>271</v>
      </c>
      <c r="B339" s="1">
        <v>0</v>
      </c>
      <c r="C339" s="1">
        <v>0</v>
      </c>
      <c r="D339" s="1">
        <v>0</v>
      </c>
      <c r="E339" s="55">
        <f t="shared" si="63"/>
        <v>0</v>
      </c>
      <c r="F339" s="1">
        <v>0</v>
      </c>
      <c r="G339" s="1">
        <v>0</v>
      </c>
      <c r="H339" s="1">
        <v>0</v>
      </c>
      <c r="I339" s="55">
        <f t="shared" si="64"/>
        <v>0</v>
      </c>
      <c r="J339" s="1">
        <v>1000</v>
      </c>
      <c r="K339" s="1">
        <v>0</v>
      </c>
      <c r="L339" s="1">
        <v>0</v>
      </c>
      <c r="M339" s="55">
        <f t="shared" si="65"/>
        <v>1000</v>
      </c>
      <c r="N339" s="1">
        <v>0</v>
      </c>
      <c r="O339" s="1">
        <v>0</v>
      </c>
      <c r="P339" s="1">
        <v>0</v>
      </c>
      <c r="Q339" s="55">
        <f t="shared" si="66"/>
        <v>0</v>
      </c>
      <c r="R339" s="55">
        <f t="shared" si="67"/>
        <v>1000</v>
      </c>
    </row>
    <row r="340" spans="1:18" ht="15.75" customHeight="1" x14ac:dyDescent="0.3">
      <c r="A340" s="72" t="s">
        <v>647</v>
      </c>
      <c r="B340" s="1">
        <v>0</v>
      </c>
      <c r="C340" s="1">
        <v>0</v>
      </c>
      <c r="D340" s="1">
        <v>0</v>
      </c>
      <c r="E340" s="55">
        <f t="shared" si="63"/>
        <v>0</v>
      </c>
      <c r="F340" s="1">
        <v>0</v>
      </c>
      <c r="G340" s="1">
        <v>0</v>
      </c>
      <c r="H340" s="1">
        <v>0</v>
      </c>
      <c r="I340" s="55">
        <f t="shared" si="64"/>
        <v>0</v>
      </c>
      <c r="J340" s="1">
        <v>862</v>
      </c>
      <c r="K340" s="1">
        <v>0</v>
      </c>
      <c r="L340" s="1">
        <v>0</v>
      </c>
      <c r="M340" s="55">
        <f t="shared" si="65"/>
        <v>862</v>
      </c>
      <c r="N340" s="1">
        <v>0</v>
      </c>
      <c r="O340" s="1">
        <v>0</v>
      </c>
      <c r="P340" s="1">
        <v>0</v>
      </c>
      <c r="Q340" s="55">
        <f t="shared" si="66"/>
        <v>0</v>
      </c>
      <c r="R340" s="55">
        <f t="shared" si="67"/>
        <v>862</v>
      </c>
    </row>
    <row r="341" spans="1:18" ht="15.75" customHeight="1" x14ac:dyDescent="0.3">
      <c r="A341" s="290" t="s">
        <v>648</v>
      </c>
      <c r="B341" s="1">
        <v>0</v>
      </c>
      <c r="C341" s="1">
        <v>0</v>
      </c>
      <c r="D341" s="1">
        <v>0</v>
      </c>
      <c r="E341" s="55">
        <f t="shared" si="63"/>
        <v>0</v>
      </c>
      <c r="F341" s="1">
        <v>0</v>
      </c>
      <c r="G341" s="1">
        <v>0</v>
      </c>
      <c r="H341" s="1">
        <v>0</v>
      </c>
      <c r="I341" s="55">
        <f t="shared" si="64"/>
        <v>0</v>
      </c>
      <c r="J341" s="1">
        <v>0</v>
      </c>
      <c r="K341" s="1">
        <v>0</v>
      </c>
      <c r="L341" s="1">
        <v>0</v>
      </c>
      <c r="M341" s="55">
        <f t="shared" si="65"/>
        <v>0</v>
      </c>
      <c r="N341" s="1">
        <v>0</v>
      </c>
      <c r="O341" s="1">
        <v>0</v>
      </c>
      <c r="P341" s="1">
        <v>0</v>
      </c>
      <c r="Q341" s="55">
        <f t="shared" si="66"/>
        <v>0</v>
      </c>
      <c r="R341" s="55">
        <f t="shared" si="67"/>
        <v>0</v>
      </c>
    </row>
    <row r="342" spans="1:18" ht="15.75" customHeight="1" x14ac:dyDescent="0.3">
      <c r="A342" s="72" t="s">
        <v>649</v>
      </c>
      <c r="B342" s="1">
        <v>0</v>
      </c>
      <c r="C342" s="1">
        <v>0</v>
      </c>
      <c r="D342" s="1">
        <v>0</v>
      </c>
      <c r="E342" s="55">
        <f>SUM(B342:D342)</f>
        <v>0</v>
      </c>
      <c r="F342" s="1">
        <v>0</v>
      </c>
      <c r="G342" s="1">
        <v>218</v>
      </c>
      <c r="H342" s="1">
        <v>11830</v>
      </c>
      <c r="I342" s="55">
        <f>SUM(F342:H342)</f>
        <v>12048</v>
      </c>
      <c r="J342" s="1">
        <v>7952</v>
      </c>
      <c r="K342" s="1">
        <v>0</v>
      </c>
      <c r="L342" s="1">
        <v>0</v>
      </c>
      <c r="M342" s="55">
        <f>SUM(J342:L342)</f>
        <v>7952</v>
      </c>
      <c r="N342" s="1">
        <v>0</v>
      </c>
      <c r="O342" s="1">
        <v>0</v>
      </c>
      <c r="P342" s="1">
        <v>0</v>
      </c>
      <c r="Q342" s="55">
        <f>SUM(N342:P342)</f>
        <v>0</v>
      </c>
      <c r="R342" s="55">
        <f>+E342+I342+M342+Q342</f>
        <v>20000</v>
      </c>
    </row>
    <row r="343" spans="1:18" ht="15.75" customHeight="1" x14ac:dyDescent="0.3">
      <c r="A343" s="72" t="s">
        <v>274</v>
      </c>
      <c r="B343" s="1">
        <v>0</v>
      </c>
      <c r="C343" s="1">
        <v>0</v>
      </c>
      <c r="D343" s="1">
        <v>0</v>
      </c>
      <c r="E343" s="55">
        <f>SUM(B343:D343)</f>
        <v>0</v>
      </c>
      <c r="F343" s="1">
        <v>0</v>
      </c>
      <c r="G343" s="1">
        <v>0</v>
      </c>
      <c r="H343" s="1">
        <v>0</v>
      </c>
      <c r="I343" s="55">
        <f>SUM(F343:H343)</f>
        <v>0</v>
      </c>
      <c r="J343" s="1">
        <v>2409</v>
      </c>
      <c r="K343" s="1">
        <v>3657</v>
      </c>
      <c r="L343" s="1">
        <v>2309</v>
      </c>
      <c r="M343" s="55">
        <f>SUM(J343:L343)</f>
        <v>8375</v>
      </c>
      <c r="N343" s="1">
        <v>1340</v>
      </c>
      <c r="O343" s="1">
        <v>668</v>
      </c>
      <c r="P343" s="1">
        <v>617</v>
      </c>
      <c r="Q343" s="55">
        <f>SUM(N343:P343)</f>
        <v>2625</v>
      </c>
      <c r="R343" s="55">
        <f>+E343+I343+M343+Q343</f>
        <v>11000</v>
      </c>
    </row>
    <row r="344" spans="1:18" ht="15.75" customHeight="1" x14ac:dyDescent="0.3">
      <c r="A344" s="72" t="s">
        <v>650</v>
      </c>
      <c r="B344" s="1">
        <v>0</v>
      </c>
      <c r="C344" s="1">
        <v>0</v>
      </c>
      <c r="D344" s="1">
        <v>0</v>
      </c>
      <c r="E344" s="55">
        <f>SUM(B344:D344)</f>
        <v>0</v>
      </c>
      <c r="F344" s="1">
        <v>0</v>
      </c>
      <c r="G344" s="1">
        <v>0</v>
      </c>
      <c r="H344" s="1">
        <v>3528</v>
      </c>
      <c r="I344" s="55">
        <f>SUM(F344:H344)</f>
        <v>3528</v>
      </c>
      <c r="J344" s="1">
        <v>3387</v>
      </c>
      <c r="K344" s="1">
        <v>1640</v>
      </c>
      <c r="L344" s="1">
        <v>0</v>
      </c>
      <c r="M344" s="55">
        <f>SUM(J344:L344)</f>
        <v>5027</v>
      </c>
      <c r="N344" s="1">
        <v>0</v>
      </c>
      <c r="O344" s="1">
        <v>0</v>
      </c>
      <c r="P344" s="1">
        <v>0</v>
      </c>
      <c r="Q344" s="55">
        <f>SUM(N344:P344)</f>
        <v>0</v>
      </c>
      <c r="R344" s="55">
        <f>+E344+I344+M344+Q344</f>
        <v>8555</v>
      </c>
    </row>
    <row r="345" spans="1:18" ht="15.75" customHeight="1" x14ac:dyDescent="0.3">
      <c r="A345" s="72" t="s">
        <v>651</v>
      </c>
      <c r="B345" s="1">
        <v>0</v>
      </c>
      <c r="C345" s="1">
        <v>0</v>
      </c>
      <c r="D345" s="1">
        <v>0</v>
      </c>
      <c r="E345" s="55">
        <f t="shared" si="63"/>
        <v>0</v>
      </c>
      <c r="F345" s="1">
        <v>0</v>
      </c>
      <c r="G345" s="1">
        <v>0</v>
      </c>
      <c r="H345" s="1">
        <v>0</v>
      </c>
      <c r="I345" s="55">
        <f t="shared" si="64"/>
        <v>0</v>
      </c>
      <c r="J345" s="1">
        <v>0</v>
      </c>
      <c r="K345" s="1">
        <v>0</v>
      </c>
      <c r="L345" s="1">
        <v>0</v>
      </c>
      <c r="M345" s="55">
        <f t="shared" si="65"/>
        <v>0</v>
      </c>
      <c r="N345" s="1">
        <v>0</v>
      </c>
      <c r="O345" s="1">
        <v>0</v>
      </c>
      <c r="P345" s="1">
        <v>0</v>
      </c>
      <c r="Q345" s="55">
        <f t="shared" si="66"/>
        <v>0</v>
      </c>
      <c r="R345" s="55">
        <f t="shared" si="67"/>
        <v>0</v>
      </c>
    </row>
    <row r="346" spans="1:18" ht="15.75" customHeight="1" x14ac:dyDescent="0.3">
      <c r="A346" s="72" t="s">
        <v>652</v>
      </c>
      <c r="B346" s="1">
        <v>0</v>
      </c>
      <c r="C346" s="1">
        <v>0</v>
      </c>
      <c r="D346" s="1">
        <v>0</v>
      </c>
      <c r="E346" s="55">
        <f>SUM(B346:D346)</f>
        <v>0</v>
      </c>
      <c r="F346" s="1">
        <v>0</v>
      </c>
      <c r="G346" s="1">
        <v>0</v>
      </c>
      <c r="H346" s="1">
        <v>0</v>
      </c>
      <c r="I346" s="55">
        <f>SUM(F346:H346)</f>
        <v>0</v>
      </c>
      <c r="J346" s="1">
        <v>1117</v>
      </c>
      <c r="K346" s="1">
        <v>7976</v>
      </c>
      <c r="L346" s="1">
        <v>4451</v>
      </c>
      <c r="M346" s="55">
        <f>SUM(J346:L346)</f>
        <v>13544</v>
      </c>
      <c r="N346" s="1">
        <v>3131</v>
      </c>
      <c r="O346" s="1">
        <v>692</v>
      </c>
      <c r="P346" s="1">
        <v>3385</v>
      </c>
      <c r="Q346" s="55">
        <f>SUM(N346:P346)</f>
        <v>7208</v>
      </c>
      <c r="R346" s="55">
        <f>+E346+I346+M346+Q346</f>
        <v>20752</v>
      </c>
    </row>
    <row r="347" spans="1:18" ht="15.75" customHeight="1" x14ac:dyDescent="0.3">
      <c r="A347" s="72" t="s">
        <v>653</v>
      </c>
      <c r="B347" s="1">
        <v>0</v>
      </c>
      <c r="C347" s="1">
        <v>0</v>
      </c>
      <c r="D347" s="1">
        <v>0</v>
      </c>
      <c r="E347" s="55">
        <f t="shared" si="63"/>
        <v>0</v>
      </c>
      <c r="F347" s="1">
        <v>2002</v>
      </c>
      <c r="G347" s="1">
        <v>0</v>
      </c>
      <c r="H347" s="1">
        <v>3782</v>
      </c>
      <c r="I347" s="55">
        <f t="shared" si="64"/>
        <v>5784</v>
      </c>
      <c r="J347" s="1">
        <v>0</v>
      </c>
      <c r="K347" s="1">
        <v>0</v>
      </c>
      <c r="L347" s="1">
        <v>0</v>
      </c>
      <c r="M347" s="55">
        <f t="shared" si="65"/>
        <v>0</v>
      </c>
      <c r="N347" s="1">
        <v>2935</v>
      </c>
      <c r="O347" s="1">
        <v>1008</v>
      </c>
      <c r="P347" s="1">
        <v>63</v>
      </c>
      <c r="Q347" s="55">
        <f t="shared" si="66"/>
        <v>4006</v>
      </c>
      <c r="R347" s="55">
        <f t="shared" si="67"/>
        <v>9790</v>
      </c>
    </row>
    <row r="348" spans="1:18" ht="15.75" customHeight="1" x14ac:dyDescent="0.3">
      <c r="A348" s="15" t="s">
        <v>70</v>
      </c>
      <c r="B348" s="1"/>
      <c r="C348" s="1"/>
      <c r="D348" s="1"/>
      <c r="E348" s="55" t="s">
        <v>7</v>
      </c>
      <c r="F348" s="1"/>
      <c r="G348" s="1"/>
      <c r="H348" s="1"/>
      <c r="I348" s="55" t="s">
        <v>7</v>
      </c>
      <c r="J348" s="1"/>
      <c r="K348" s="1"/>
      <c r="L348" s="1"/>
      <c r="M348" s="55" t="s">
        <v>7</v>
      </c>
      <c r="N348" s="1"/>
      <c r="O348" s="1"/>
      <c r="P348" s="1"/>
      <c r="Q348" s="55" t="s">
        <v>7</v>
      </c>
      <c r="R348" s="55" t="s">
        <v>7</v>
      </c>
    </row>
    <row r="349" spans="1:18" ht="15.75" customHeight="1" x14ac:dyDescent="0.3">
      <c r="A349" s="72" t="s">
        <v>560</v>
      </c>
      <c r="B349" s="1">
        <v>0</v>
      </c>
      <c r="C349" s="1">
        <v>0</v>
      </c>
      <c r="D349" s="1">
        <v>0</v>
      </c>
      <c r="E349" s="55">
        <f>SUM(B349:D349)</f>
        <v>0</v>
      </c>
      <c r="F349" s="1">
        <v>0</v>
      </c>
      <c r="G349" s="1">
        <v>0</v>
      </c>
      <c r="H349" s="1">
        <v>0</v>
      </c>
      <c r="I349" s="55">
        <f>SUM(F349:H349)</f>
        <v>0</v>
      </c>
      <c r="J349" s="1">
        <v>0</v>
      </c>
      <c r="K349" s="1">
        <v>0</v>
      </c>
      <c r="L349" s="1">
        <v>0</v>
      </c>
      <c r="M349" s="55">
        <f>SUM(J349:L349)</f>
        <v>0</v>
      </c>
      <c r="N349" s="1">
        <v>0</v>
      </c>
      <c r="O349" s="1">
        <v>120</v>
      </c>
      <c r="P349" s="1">
        <v>970</v>
      </c>
      <c r="Q349" s="55">
        <f>SUM(N349:P349)</f>
        <v>1090</v>
      </c>
      <c r="R349" s="55">
        <f>+E349+I349+M349+Q349</f>
        <v>1090</v>
      </c>
    </row>
    <row r="350" spans="1:18" ht="15.75" customHeight="1" x14ac:dyDescent="0.3">
      <c r="A350" s="72" t="s">
        <v>561</v>
      </c>
      <c r="B350" s="1">
        <v>0</v>
      </c>
      <c r="C350" s="1">
        <v>0</v>
      </c>
      <c r="D350" s="1">
        <v>0</v>
      </c>
      <c r="E350" s="55">
        <f t="shared" ref="E350:E360" si="68">SUM(B350:D350)</f>
        <v>0</v>
      </c>
      <c r="F350" s="1">
        <v>0</v>
      </c>
      <c r="G350" s="1">
        <v>0</v>
      </c>
      <c r="H350" s="1">
        <v>0</v>
      </c>
      <c r="I350" s="55">
        <f t="shared" ref="I350:I360" si="69">SUM(F350:H350)</f>
        <v>0</v>
      </c>
      <c r="J350" s="1">
        <v>0</v>
      </c>
      <c r="K350" s="1">
        <v>0</v>
      </c>
      <c r="L350" s="1">
        <v>0</v>
      </c>
      <c r="M350" s="55">
        <f t="shared" ref="M350:M360" si="70">SUM(J350:L350)</f>
        <v>0</v>
      </c>
      <c r="N350" s="1">
        <v>0</v>
      </c>
      <c r="O350" s="1">
        <v>0</v>
      </c>
      <c r="P350" s="1">
        <v>0</v>
      </c>
      <c r="Q350" s="55">
        <f t="shared" ref="Q350:Q360" si="71">SUM(N350:P350)</f>
        <v>0</v>
      </c>
      <c r="R350" s="55">
        <f t="shared" ref="R350:R360" si="72">+E350+I350+M350+Q350</f>
        <v>0</v>
      </c>
    </row>
    <row r="351" spans="1:18" ht="15.75" customHeight="1" x14ac:dyDescent="0.3">
      <c r="A351" s="72" t="s">
        <v>282</v>
      </c>
      <c r="B351" s="1">
        <v>0</v>
      </c>
      <c r="C351" s="1">
        <v>0</v>
      </c>
      <c r="D351" s="1">
        <v>0</v>
      </c>
      <c r="E351" s="55">
        <f t="shared" si="68"/>
        <v>0</v>
      </c>
      <c r="F351" s="1">
        <v>500</v>
      </c>
      <c r="G351" s="1">
        <v>364</v>
      </c>
      <c r="H351" s="1">
        <v>0</v>
      </c>
      <c r="I351" s="55">
        <f t="shared" si="69"/>
        <v>864</v>
      </c>
      <c r="J351" s="1">
        <v>0</v>
      </c>
      <c r="K351" s="1">
        <v>0</v>
      </c>
      <c r="L351" s="1">
        <v>2460</v>
      </c>
      <c r="M351" s="55">
        <f t="shared" si="70"/>
        <v>2460</v>
      </c>
      <c r="N351" s="1">
        <v>0</v>
      </c>
      <c r="O351" s="1">
        <v>1749</v>
      </c>
      <c r="P351" s="1">
        <v>1927</v>
      </c>
      <c r="Q351" s="55">
        <f t="shared" si="71"/>
        <v>3676</v>
      </c>
      <c r="R351" s="55">
        <f t="shared" si="72"/>
        <v>7000</v>
      </c>
    </row>
    <row r="352" spans="1:18" ht="15.75" customHeight="1" x14ac:dyDescent="0.3">
      <c r="A352" s="72" t="s">
        <v>283</v>
      </c>
      <c r="B352" s="1">
        <v>0</v>
      </c>
      <c r="C352" s="1">
        <v>0</v>
      </c>
      <c r="D352" s="1">
        <v>0</v>
      </c>
      <c r="E352" s="55">
        <f>SUM(B352:D352)</f>
        <v>0</v>
      </c>
      <c r="F352" s="1">
        <v>0</v>
      </c>
      <c r="G352" s="1">
        <v>0</v>
      </c>
      <c r="H352" s="1">
        <v>0</v>
      </c>
      <c r="I352" s="55">
        <f>SUM(F352:H352)</f>
        <v>0</v>
      </c>
      <c r="J352" s="1">
        <v>0</v>
      </c>
      <c r="K352" s="1">
        <v>0</v>
      </c>
      <c r="L352" s="1">
        <v>0</v>
      </c>
      <c r="M352" s="55">
        <f>SUM(J352:L352)</f>
        <v>0</v>
      </c>
      <c r="N352" s="1">
        <v>0</v>
      </c>
      <c r="O352" s="1">
        <v>0</v>
      </c>
      <c r="P352" s="1">
        <v>0</v>
      </c>
      <c r="Q352" s="55">
        <f>SUM(N352:P352)</f>
        <v>0</v>
      </c>
      <c r="R352" s="55">
        <f>+E352+I352+M352+Q352</f>
        <v>0</v>
      </c>
    </row>
    <row r="353" spans="1:18" ht="15.75" customHeight="1" x14ac:dyDescent="0.3">
      <c r="A353" s="72" t="s">
        <v>284</v>
      </c>
      <c r="B353" s="1">
        <v>800</v>
      </c>
      <c r="C353" s="1">
        <v>0</v>
      </c>
      <c r="D353" s="1">
        <v>2500</v>
      </c>
      <c r="E353" s="55">
        <f>SUM(B353:D353)</f>
        <v>3300</v>
      </c>
      <c r="F353" s="1">
        <v>2100</v>
      </c>
      <c r="G353" s="1">
        <v>3100</v>
      </c>
      <c r="H353" s="1">
        <v>1000</v>
      </c>
      <c r="I353" s="55">
        <f>SUM(F353:H353)</f>
        <v>6200</v>
      </c>
      <c r="J353" s="1">
        <v>500</v>
      </c>
      <c r="K353" s="1">
        <v>2000</v>
      </c>
      <c r="L353" s="1">
        <v>2300</v>
      </c>
      <c r="M353" s="55">
        <f>SUM(J353:L353)</f>
        <v>4800</v>
      </c>
      <c r="N353" s="1">
        <v>1300</v>
      </c>
      <c r="O353" s="1">
        <v>0</v>
      </c>
      <c r="P353" s="1">
        <v>34</v>
      </c>
      <c r="Q353" s="55">
        <f>SUM(N353:P353)</f>
        <v>1334</v>
      </c>
      <c r="R353" s="55">
        <f>+E353+I353+M353+Q353</f>
        <v>15634</v>
      </c>
    </row>
    <row r="354" spans="1:18" ht="15.75" customHeight="1" x14ac:dyDescent="0.3">
      <c r="A354" s="72" t="s">
        <v>285</v>
      </c>
      <c r="B354" s="1">
        <v>0</v>
      </c>
      <c r="C354" s="1">
        <v>0</v>
      </c>
      <c r="D354" s="1">
        <v>0</v>
      </c>
      <c r="E354" s="55">
        <f>SUM(B354:D354)</f>
        <v>0</v>
      </c>
      <c r="F354" s="1">
        <v>0</v>
      </c>
      <c r="G354" s="1">
        <v>0</v>
      </c>
      <c r="H354" s="1">
        <v>0</v>
      </c>
      <c r="I354" s="55">
        <f>SUM(F354:H354)</f>
        <v>0</v>
      </c>
      <c r="J354" s="1">
        <v>0</v>
      </c>
      <c r="K354" s="1">
        <v>0</v>
      </c>
      <c r="L354" s="1">
        <v>0</v>
      </c>
      <c r="M354" s="55">
        <f>SUM(J354:L354)</f>
        <v>0</v>
      </c>
      <c r="N354" s="1">
        <v>0</v>
      </c>
      <c r="O354" s="1">
        <v>0</v>
      </c>
      <c r="P354" s="1">
        <v>0</v>
      </c>
      <c r="Q354" s="55">
        <f>SUM(N354:P354)</f>
        <v>0</v>
      </c>
      <c r="R354" s="55">
        <f>+E354+I354+M354+Q354</f>
        <v>0</v>
      </c>
    </row>
    <row r="355" spans="1:18" ht="15.75" customHeight="1" thickBot="1" x14ac:dyDescent="0.35">
      <c r="A355" s="72" t="s">
        <v>286</v>
      </c>
      <c r="B355" s="1">
        <v>0</v>
      </c>
      <c r="C355" s="1">
        <v>0</v>
      </c>
      <c r="D355" s="1">
        <v>0</v>
      </c>
      <c r="E355" s="55">
        <f>SUM(B355:D355)</f>
        <v>0</v>
      </c>
      <c r="F355" s="1">
        <v>0</v>
      </c>
      <c r="G355" s="1">
        <v>0</v>
      </c>
      <c r="H355" s="1">
        <v>0</v>
      </c>
      <c r="I355" s="55">
        <f>SUM(F355:H355)</f>
        <v>0</v>
      </c>
      <c r="J355" s="1">
        <v>0</v>
      </c>
      <c r="K355" s="1">
        <v>0</v>
      </c>
      <c r="L355" s="1">
        <v>0</v>
      </c>
      <c r="M355" s="55">
        <f>SUM(J355:L355)</f>
        <v>0</v>
      </c>
      <c r="N355" s="1">
        <v>0</v>
      </c>
      <c r="O355" s="1">
        <v>0</v>
      </c>
      <c r="P355" s="1">
        <v>309</v>
      </c>
      <c r="Q355" s="55">
        <f>SUM(N355:P355)</f>
        <v>309</v>
      </c>
      <c r="R355" s="55">
        <f>+E355+I355+M355+Q355</f>
        <v>309</v>
      </c>
    </row>
    <row r="356" spans="1:18" ht="15.75" customHeight="1" thickBot="1" x14ac:dyDescent="0.35">
      <c r="A356" s="57" t="s">
        <v>71</v>
      </c>
      <c r="B356" s="58">
        <f>SUM(B337:B355)</f>
        <v>800</v>
      </c>
      <c r="C356" s="58">
        <f>SUM(C337:C355)</f>
        <v>0</v>
      </c>
      <c r="D356" s="58">
        <f>SUM(D337:D355)</f>
        <v>2500</v>
      </c>
      <c r="E356" s="60">
        <f t="shared" si="68"/>
        <v>3300</v>
      </c>
      <c r="F356" s="58">
        <f>SUM(F337:F355)</f>
        <v>4602</v>
      </c>
      <c r="G356" s="58">
        <f>SUM(G337:G355)</f>
        <v>3682</v>
      </c>
      <c r="H356" s="58">
        <f>SUM(H337:H355)</f>
        <v>20140</v>
      </c>
      <c r="I356" s="60">
        <f t="shared" si="69"/>
        <v>28424</v>
      </c>
      <c r="J356" s="58">
        <f>SUM(J337:J355)</f>
        <v>21227</v>
      </c>
      <c r="K356" s="58">
        <f>SUM(K337:K355)</f>
        <v>15273</v>
      </c>
      <c r="L356" s="58">
        <f>SUM(L337:L355)</f>
        <v>11520</v>
      </c>
      <c r="M356" s="60">
        <f t="shared" si="70"/>
        <v>48020</v>
      </c>
      <c r="N356" s="58">
        <f>SUM(N337:N355)</f>
        <v>8706</v>
      </c>
      <c r="O356" s="58">
        <f>SUM(O337:O355)</f>
        <v>4237</v>
      </c>
      <c r="P356" s="58">
        <f>SUM(P337:P355)</f>
        <v>7305</v>
      </c>
      <c r="Q356" s="60">
        <f t="shared" si="71"/>
        <v>20248</v>
      </c>
      <c r="R356" s="59">
        <f t="shared" si="72"/>
        <v>99992</v>
      </c>
    </row>
    <row r="357" spans="1:18" ht="15.75" customHeight="1" thickBot="1" x14ac:dyDescent="0.35">
      <c r="A357" s="114" t="s">
        <v>72</v>
      </c>
      <c r="B357" s="86">
        <f>SUM(B330:B355)</f>
        <v>800</v>
      </c>
      <c r="C357" s="87">
        <f>SUM(C330:C355)</f>
        <v>0</v>
      </c>
      <c r="D357" s="118">
        <f>SUM(D330:D355)</f>
        <v>2500</v>
      </c>
      <c r="E357" s="60">
        <f t="shared" si="68"/>
        <v>3300</v>
      </c>
      <c r="F357" s="87">
        <f>SUM(F330:F355)</f>
        <v>4602</v>
      </c>
      <c r="G357" s="87">
        <f>SUM(G330:G355)</f>
        <v>3682</v>
      </c>
      <c r="H357" s="87">
        <f>SUM(H330:H355)</f>
        <v>20140</v>
      </c>
      <c r="I357" s="60">
        <f t="shared" si="69"/>
        <v>28424</v>
      </c>
      <c r="J357" s="87">
        <f>SUM(J330:J355)</f>
        <v>21227</v>
      </c>
      <c r="K357" s="87">
        <f>SUM(K330:K355)</f>
        <v>15273</v>
      </c>
      <c r="L357" s="87">
        <f>SUM(L330:L355)</f>
        <v>11520</v>
      </c>
      <c r="M357" s="60">
        <f t="shared" si="70"/>
        <v>48020</v>
      </c>
      <c r="N357" s="87">
        <f>SUM(N330:N355)</f>
        <v>8706</v>
      </c>
      <c r="O357" s="87">
        <f>SUM(O330:O355)</f>
        <v>4237</v>
      </c>
      <c r="P357" s="87">
        <f>SUM(P330:P355)</f>
        <v>7305</v>
      </c>
      <c r="Q357" s="60">
        <f t="shared" si="71"/>
        <v>20248</v>
      </c>
      <c r="R357" s="59">
        <f t="shared" si="72"/>
        <v>99992</v>
      </c>
    </row>
    <row r="358" spans="1:18" ht="15.75" customHeight="1" thickBot="1" x14ac:dyDescent="0.35">
      <c r="A358" s="291" t="s">
        <v>73</v>
      </c>
      <c r="B358" s="90">
        <f>+B294+B307+B329+B357</f>
        <v>10665</v>
      </c>
      <c r="C358" s="58">
        <f>+C294+C307+C329+C357</f>
        <v>9557</v>
      </c>
      <c r="D358" s="58">
        <f>+D294+D307+D329+D357</f>
        <v>35200</v>
      </c>
      <c r="E358" s="60">
        <f t="shared" si="68"/>
        <v>55422</v>
      </c>
      <c r="F358" s="58">
        <f>+F294+F307+F329+F357</f>
        <v>66091</v>
      </c>
      <c r="G358" s="58">
        <f>+G294+G307+G329+G357</f>
        <v>68737</v>
      </c>
      <c r="H358" s="58">
        <f>+H294+H307+H329+H357</f>
        <v>96609</v>
      </c>
      <c r="I358" s="59">
        <f t="shared" si="69"/>
        <v>231437</v>
      </c>
      <c r="J358" s="58">
        <f>+J294+J307+J329+J357</f>
        <v>96308</v>
      </c>
      <c r="K358" s="58">
        <f>+K294+K307+K329+K357</f>
        <v>79366</v>
      </c>
      <c r="L358" s="58">
        <f>+L294+L307+L329+L357</f>
        <v>70357</v>
      </c>
      <c r="M358" s="59">
        <f t="shared" si="70"/>
        <v>246031</v>
      </c>
      <c r="N358" s="58">
        <f>+N294+N307+N329+N357</f>
        <v>33943</v>
      </c>
      <c r="O358" s="58">
        <f>+O294+O307+O329+O357</f>
        <v>23082</v>
      </c>
      <c r="P358" s="58">
        <f>+P294+P307+P329+P357</f>
        <v>22377</v>
      </c>
      <c r="Q358" s="59">
        <f t="shared" si="71"/>
        <v>79402</v>
      </c>
      <c r="R358" s="81">
        <f t="shared" si="72"/>
        <v>612292</v>
      </c>
    </row>
    <row r="359" spans="1:18" ht="15.75" customHeight="1" x14ac:dyDescent="0.3">
      <c r="A359" s="71" t="s">
        <v>654</v>
      </c>
      <c r="B359" s="1">
        <v>0</v>
      </c>
      <c r="C359" s="1">
        <v>0</v>
      </c>
      <c r="D359" s="1">
        <v>0</v>
      </c>
      <c r="E359" s="55">
        <f t="shared" si="68"/>
        <v>0</v>
      </c>
      <c r="F359" s="1">
        <v>0</v>
      </c>
      <c r="G359" s="1">
        <v>0</v>
      </c>
      <c r="H359" s="1">
        <v>0</v>
      </c>
      <c r="I359" s="55">
        <f t="shared" si="69"/>
        <v>0</v>
      </c>
      <c r="J359" s="1">
        <v>0</v>
      </c>
      <c r="K359" s="1">
        <v>0</v>
      </c>
      <c r="L359" s="1">
        <v>830</v>
      </c>
      <c r="M359" s="55">
        <f t="shared" si="70"/>
        <v>830</v>
      </c>
      <c r="N359" s="1">
        <v>934</v>
      </c>
      <c r="O359" s="1">
        <v>0</v>
      </c>
      <c r="P359" s="1">
        <v>0</v>
      </c>
      <c r="Q359" s="55">
        <f t="shared" si="71"/>
        <v>934</v>
      </c>
      <c r="R359" s="55">
        <f t="shared" si="72"/>
        <v>1764</v>
      </c>
    </row>
    <row r="360" spans="1:18" ht="15.75" customHeight="1" thickBot="1" x14ac:dyDescent="0.35">
      <c r="A360" s="73" t="s">
        <v>40</v>
      </c>
      <c r="B360" s="21">
        <v>155</v>
      </c>
      <c r="C360" s="21">
        <v>283</v>
      </c>
      <c r="D360" s="21">
        <v>435</v>
      </c>
      <c r="E360" s="81">
        <f t="shared" si="68"/>
        <v>873</v>
      </c>
      <c r="F360" s="21">
        <v>602</v>
      </c>
      <c r="G360" s="21">
        <v>711</v>
      </c>
      <c r="H360" s="21">
        <v>722</v>
      </c>
      <c r="I360" s="81">
        <f t="shared" si="69"/>
        <v>2035</v>
      </c>
      <c r="J360" s="21">
        <v>686</v>
      </c>
      <c r="K360" s="21">
        <v>519</v>
      </c>
      <c r="L360" s="21">
        <v>531</v>
      </c>
      <c r="M360" s="81">
        <f t="shared" si="70"/>
        <v>1736</v>
      </c>
      <c r="N360" s="21">
        <v>489</v>
      </c>
      <c r="O360" s="21">
        <v>389</v>
      </c>
      <c r="P360" s="21">
        <v>275</v>
      </c>
      <c r="Q360" s="81">
        <f t="shared" si="71"/>
        <v>1153</v>
      </c>
      <c r="R360" s="55">
        <f t="shared" si="72"/>
        <v>5797</v>
      </c>
    </row>
    <row r="361" spans="1:18" ht="15.75" customHeight="1" thickBot="1" x14ac:dyDescent="0.35">
      <c r="A361" s="74"/>
      <c r="B361" s="75"/>
      <c r="C361" s="75"/>
      <c r="D361" s="75"/>
      <c r="E361" s="59"/>
      <c r="F361" s="75"/>
      <c r="G361" s="75"/>
      <c r="H361" s="75"/>
      <c r="I361" s="59"/>
      <c r="J361" s="75"/>
      <c r="K361" s="75"/>
      <c r="L361" s="75"/>
      <c r="M361" s="59"/>
      <c r="N361" s="75"/>
      <c r="O361" s="75"/>
      <c r="P361" s="75"/>
      <c r="Q361" s="59"/>
      <c r="R361" s="59" t="s">
        <v>7</v>
      </c>
    </row>
    <row r="362" spans="1:18" ht="15.75" customHeight="1" x14ac:dyDescent="0.3">
      <c r="A362" s="76" t="s">
        <v>41</v>
      </c>
      <c r="B362" s="77">
        <f>+B358+B360</f>
        <v>10820</v>
      </c>
      <c r="C362" s="77">
        <f>+C358+C360</f>
        <v>9840</v>
      </c>
      <c r="D362" s="77">
        <f>+D358+D360</f>
        <v>35635</v>
      </c>
      <c r="E362" s="60">
        <f>SUM(B362:D362)</f>
        <v>56295</v>
      </c>
      <c r="F362" s="77">
        <f>+F358+F360</f>
        <v>66693</v>
      </c>
      <c r="G362" s="77">
        <f>+G358+G360</f>
        <v>69448</v>
      </c>
      <c r="H362" s="77">
        <f>+H358+H360</f>
        <v>97331</v>
      </c>
      <c r="I362" s="60">
        <f>SUM(F362:H362)</f>
        <v>233472</v>
      </c>
      <c r="J362" s="77">
        <f>+J358+J360</f>
        <v>96994</v>
      </c>
      <c r="K362" s="77">
        <f>+K358+K360</f>
        <v>79885</v>
      </c>
      <c r="L362" s="77">
        <f>+L358+L360</f>
        <v>70888</v>
      </c>
      <c r="M362" s="60">
        <f>SUM(J362:L362)</f>
        <v>247767</v>
      </c>
      <c r="N362" s="77">
        <f>+N358+N360</f>
        <v>34432</v>
      </c>
      <c r="O362" s="77">
        <f>+O358+O360</f>
        <v>23471</v>
      </c>
      <c r="P362" s="77">
        <f>+P358+P360</f>
        <v>22652</v>
      </c>
      <c r="Q362" s="60">
        <f>SUM(N362:P362)</f>
        <v>80555</v>
      </c>
      <c r="R362" s="60">
        <f>+E362+I362+M362+Q362</f>
        <v>618089</v>
      </c>
    </row>
    <row r="363" spans="1:18" ht="15.75" customHeight="1" x14ac:dyDescent="0.3">
      <c r="A363" s="79" t="s">
        <v>42</v>
      </c>
      <c r="B363" s="1">
        <f>(B362/31)/1.983</f>
        <v>176.01223301286745</v>
      </c>
      <c r="C363" s="1">
        <f>(C362/28)/1.983</f>
        <v>177.22066133563865</v>
      </c>
      <c r="D363" s="1">
        <f>(D362/31)/1.983</f>
        <v>579.68539033396769</v>
      </c>
      <c r="E363" s="55" t="s">
        <v>7</v>
      </c>
      <c r="F363" s="1">
        <f>(F362/30)/1.983</f>
        <v>1121.0791729702471</v>
      </c>
      <c r="G363" s="1">
        <f>(G362/31)/1.983</f>
        <v>1129.731752151351</v>
      </c>
      <c r="H363" s="1">
        <f>(H362/30)/1.983</f>
        <v>1636.0900991763322</v>
      </c>
      <c r="I363" s="55" t="s">
        <v>7</v>
      </c>
      <c r="J363" s="1">
        <f>(J362/31)/1.983</f>
        <v>1577.8309176386381</v>
      </c>
      <c r="K363" s="1">
        <f>(K362/31)/1.983</f>
        <v>1299.5136076000845</v>
      </c>
      <c r="L363" s="1">
        <f>(L362/30)/1.983</f>
        <v>1191.5952260884183</v>
      </c>
      <c r="M363" s="55" t="s">
        <v>7</v>
      </c>
      <c r="N363" s="1">
        <f>(N362/31)/1.983</f>
        <v>560.1158232069364</v>
      </c>
      <c r="O363" s="1">
        <f>(O362/30)/1.983</f>
        <v>394.53689695747181</v>
      </c>
      <c r="P363" s="1">
        <f>(P362/31)/1.983</f>
        <v>368.48697802287182</v>
      </c>
      <c r="Q363" s="55" t="s">
        <v>7</v>
      </c>
      <c r="R363" s="55" t="s">
        <v>7</v>
      </c>
    </row>
    <row r="364" spans="1:18" ht="15.75" customHeight="1" x14ac:dyDescent="0.3">
      <c r="A364" s="79" t="s">
        <v>289</v>
      </c>
      <c r="B364" s="1">
        <f>B362+B405</f>
        <v>28826</v>
      </c>
      <c r="C364" s="1">
        <f>C362+C405</f>
        <v>26435</v>
      </c>
      <c r="D364" s="1">
        <f>D362+D405</f>
        <v>64632</v>
      </c>
      <c r="E364" s="55">
        <f>SUM(B364:D364)</f>
        <v>119893</v>
      </c>
      <c r="F364" s="1">
        <f>F362+F405</f>
        <v>118772</v>
      </c>
      <c r="G364" s="1">
        <f>G362+G405</f>
        <v>108126</v>
      </c>
      <c r="H364" s="1">
        <f>H362+H405</f>
        <v>145255</v>
      </c>
      <c r="I364" s="55">
        <f>SUM(F364:H364)</f>
        <v>372153</v>
      </c>
      <c r="J364" s="1">
        <f>J362+J405</f>
        <v>150643</v>
      </c>
      <c r="K364" s="1">
        <f>K362+K405</f>
        <v>124609</v>
      </c>
      <c r="L364" s="1">
        <f>L362+L405</f>
        <v>95573</v>
      </c>
      <c r="M364" s="55">
        <f>SUM(J364:L364)</f>
        <v>370825</v>
      </c>
      <c r="N364" s="1">
        <f>N362+N405</f>
        <v>42399</v>
      </c>
      <c r="O364" s="1">
        <f>O362+O405</f>
        <v>37855</v>
      </c>
      <c r="P364" s="1">
        <f>P362+P405</f>
        <v>30410</v>
      </c>
      <c r="Q364" s="55">
        <f>SUM(N364:P364)</f>
        <v>110664</v>
      </c>
      <c r="R364" s="55">
        <f>+E364+I364+M364+Q364</f>
        <v>973535</v>
      </c>
    </row>
    <row r="365" spans="1:18" ht="15.75" customHeight="1" thickBot="1" x14ac:dyDescent="0.35">
      <c r="A365" s="80" t="s">
        <v>290</v>
      </c>
      <c r="B365" s="25">
        <f>(B364/31)/1.983</f>
        <v>468.92131504888323</v>
      </c>
      <c r="C365" s="25">
        <f>(C364/28)/1.983</f>
        <v>476.10042504142353</v>
      </c>
      <c r="D365" s="25">
        <f>(D364/31)/1.983</f>
        <v>1051.3884144258454</v>
      </c>
      <c r="E365" s="81" t="s">
        <v>7</v>
      </c>
      <c r="F365" s="25">
        <f>(F364/30)/1.983</f>
        <v>1996.5036140527818</v>
      </c>
      <c r="G365" s="25">
        <f>(G364/31)/1.983</f>
        <v>1758.9185496071445</v>
      </c>
      <c r="H365" s="25">
        <f>(H364/30)/1.983</f>
        <v>2441.670869053622</v>
      </c>
      <c r="I365" s="81" t="s">
        <v>7</v>
      </c>
      <c r="J365" s="25">
        <f>(J364/31)/1.983</f>
        <v>2450.5555284433813</v>
      </c>
      <c r="K365" s="25">
        <f>(K364/31)/1.983</f>
        <v>2027.0525271257297</v>
      </c>
      <c r="L365" s="25">
        <f>(L364/30)/1.983</f>
        <v>1606.5389141032106</v>
      </c>
      <c r="M365" s="81" t="s">
        <v>7</v>
      </c>
      <c r="N365" s="25">
        <f>(N364/31)/1.983</f>
        <v>689.71743692352743</v>
      </c>
      <c r="O365" s="25">
        <f>(O364/30)/1.983</f>
        <v>636.32543284585643</v>
      </c>
      <c r="P365" s="25">
        <f>(P364/31)/1.983</f>
        <v>494.68872513135847</v>
      </c>
      <c r="Q365" s="81" t="s">
        <v>7</v>
      </c>
      <c r="R365" s="81" t="s">
        <v>7</v>
      </c>
    </row>
    <row r="366" spans="1:18" ht="15.75" customHeight="1" x14ac:dyDescent="0.3">
      <c r="A366" s="28"/>
      <c r="B366" s="1"/>
      <c r="C366" s="1"/>
      <c r="D366" s="1"/>
      <c r="E366" s="1"/>
      <c r="F366" s="1"/>
      <c r="G366" s="1"/>
      <c r="H366" s="1"/>
      <c r="I366" s="1"/>
      <c r="J366" s="1"/>
      <c r="K366" s="1"/>
      <c r="L366" s="1"/>
      <c r="M366" s="1"/>
      <c r="N366" s="1"/>
      <c r="O366" s="1"/>
      <c r="P366" s="1"/>
      <c r="Q366" s="1"/>
      <c r="R366" s="2"/>
    </row>
    <row r="367" spans="1:18" ht="15.75" customHeight="1" thickBot="1" x14ac:dyDescent="0.35">
      <c r="A367" s="28"/>
      <c r="B367" s="1"/>
      <c r="C367" s="1"/>
      <c r="D367" s="1"/>
      <c r="E367" s="1"/>
      <c r="F367" s="1"/>
      <c r="G367" s="1"/>
      <c r="H367" s="1"/>
      <c r="I367" s="1"/>
      <c r="J367" s="1"/>
      <c r="K367" s="1"/>
      <c r="L367" s="1"/>
      <c r="M367" s="1"/>
      <c r="N367" s="1"/>
      <c r="O367" s="1"/>
      <c r="P367" s="1"/>
      <c r="Q367" s="1"/>
      <c r="R367" s="2"/>
    </row>
    <row r="368" spans="1:18" ht="15.75" customHeight="1" thickBot="1" x14ac:dyDescent="0.35">
      <c r="A368" s="29" t="s">
        <v>297</v>
      </c>
      <c r="B368" s="30" t="s">
        <v>8</v>
      </c>
      <c r="C368" s="31" t="s">
        <v>9</v>
      </c>
      <c r="D368" s="31" t="s">
        <v>10</v>
      </c>
      <c r="E368" s="32" t="s">
        <v>11</v>
      </c>
      <c r="F368" s="31" t="s">
        <v>12</v>
      </c>
      <c r="G368" s="31" t="s">
        <v>13</v>
      </c>
      <c r="H368" s="31" t="s">
        <v>14</v>
      </c>
      <c r="I368" s="33" t="s">
        <v>15</v>
      </c>
      <c r="J368" s="31" t="s">
        <v>16</v>
      </c>
      <c r="K368" s="31" t="s">
        <v>17</v>
      </c>
      <c r="L368" s="31" t="s">
        <v>18</v>
      </c>
      <c r="M368" s="33" t="s">
        <v>19</v>
      </c>
      <c r="N368" s="31" t="s">
        <v>20</v>
      </c>
      <c r="O368" s="31" t="s">
        <v>21</v>
      </c>
      <c r="P368" s="31" t="s">
        <v>22</v>
      </c>
      <c r="Q368" s="33" t="s">
        <v>23</v>
      </c>
      <c r="R368" s="34" t="s">
        <v>24</v>
      </c>
    </row>
    <row r="369" spans="1:18" ht="15.75" customHeight="1" thickBot="1" x14ac:dyDescent="0.35">
      <c r="A369" s="59"/>
      <c r="B369" s="75"/>
      <c r="C369" s="75"/>
      <c r="D369" s="75"/>
      <c r="E369" s="69"/>
      <c r="F369" s="75"/>
      <c r="G369" s="75"/>
      <c r="H369" s="75"/>
      <c r="I369" s="82"/>
      <c r="J369" s="75"/>
      <c r="K369" s="75"/>
      <c r="L369" s="75"/>
      <c r="M369" s="82"/>
      <c r="N369" s="75"/>
      <c r="O369" s="75"/>
      <c r="P369" s="75"/>
      <c r="Q369" s="82"/>
      <c r="R369" s="100"/>
    </row>
    <row r="370" spans="1:18" ht="15.75" customHeight="1" x14ac:dyDescent="0.3">
      <c r="A370" s="15" t="s">
        <v>48</v>
      </c>
      <c r="B370" s="1" t="s">
        <v>7</v>
      </c>
      <c r="C370" s="1" t="s">
        <v>7</v>
      </c>
      <c r="D370" s="1" t="s">
        <v>7</v>
      </c>
      <c r="E370" s="55" t="s">
        <v>7</v>
      </c>
      <c r="F370" s="1" t="s">
        <v>7</v>
      </c>
      <c r="G370" s="1" t="s">
        <v>7</v>
      </c>
      <c r="H370" s="1" t="s">
        <v>7</v>
      </c>
      <c r="I370" s="55" t="s">
        <v>7</v>
      </c>
      <c r="J370" s="1" t="s">
        <v>7</v>
      </c>
      <c r="K370" s="1" t="s">
        <v>7</v>
      </c>
      <c r="L370" s="1" t="s">
        <v>7</v>
      </c>
      <c r="M370" s="55" t="s">
        <v>7</v>
      </c>
      <c r="N370" s="1" t="s">
        <v>7</v>
      </c>
      <c r="O370" s="1" t="s">
        <v>7</v>
      </c>
      <c r="P370" s="1" t="s">
        <v>7</v>
      </c>
      <c r="Q370" s="55" t="s">
        <v>7</v>
      </c>
      <c r="R370" s="55" t="s">
        <v>7</v>
      </c>
    </row>
    <row r="371" spans="1:18" ht="15.75" customHeight="1" x14ac:dyDescent="0.3">
      <c r="A371" s="15" t="s">
        <v>49</v>
      </c>
      <c r="B371" s="1"/>
      <c r="C371" s="1"/>
      <c r="D371" s="1"/>
      <c r="E371" s="55" t="s">
        <v>7</v>
      </c>
      <c r="F371" s="1"/>
      <c r="G371" s="1"/>
      <c r="H371" s="1"/>
      <c r="I371" s="55" t="s">
        <v>7</v>
      </c>
      <c r="J371" s="1"/>
      <c r="K371" s="1"/>
      <c r="L371" s="1"/>
      <c r="M371" s="55" t="s">
        <v>7</v>
      </c>
      <c r="N371" s="1"/>
      <c r="O371" s="1"/>
      <c r="P371" s="1"/>
      <c r="Q371" s="55" t="s">
        <v>7</v>
      </c>
      <c r="R371" s="55" t="s">
        <v>7</v>
      </c>
    </row>
    <row r="372" spans="1:18" ht="15.75" customHeight="1" x14ac:dyDescent="0.3">
      <c r="A372" s="71" t="s">
        <v>211</v>
      </c>
      <c r="B372" s="1">
        <v>1</v>
      </c>
      <c r="C372" s="1">
        <v>0</v>
      </c>
      <c r="D372" s="1">
        <v>0</v>
      </c>
      <c r="E372" s="55">
        <f>SUM(B372:D372)</f>
        <v>1</v>
      </c>
      <c r="F372" s="1">
        <v>3</v>
      </c>
      <c r="G372" s="1">
        <v>7</v>
      </c>
      <c r="H372" s="1">
        <v>5</v>
      </c>
      <c r="I372" s="55">
        <f>SUM(F372:H372)</f>
        <v>15</v>
      </c>
      <c r="J372" s="1">
        <v>9</v>
      </c>
      <c r="K372" s="1">
        <v>14</v>
      </c>
      <c r="L372" s="1">
        <v>8</v>
      </c>
      <c r="M372" s="55">
        <f>SUM(J372:L372)</f>
        <v>31</v>
      </c>
      <c r="N372" s="1">
        <v>7</v>
      </c>
      <c r="O372" s="1">
        <v>1</v>
      </c>
      <c r="P372" s="1">
        <v>0</v>
      </c>
      <c r="Q372" s="55">
        <f>SUM(N372:P372)</f>
        <v>8</v>
      </c>
      <c r="R372" s="55">
        <f>+E372+I372+M372+Q372</f>
        <v>55</v>
      </c>
    </row>
    <row r="373" spans="1:18" ht="15.75" customHeight="1" x14ac:dyDescent="0.3">
      <c r="A373" s="15" t="s">
        <v>50</v>
      </c>
      <c r="B373" s="1"/>
      <c r="C373" s="1"/>
      <c r="D373" s="1"/>
      <c r="E373" s="55" t="s">
        <v>7</v>
      </c>
      <c r="F373" s="1"/>
      <c r="G373" s="1"/>
      <c r="H373" s="1"/>
      <c r="I373" s="55" t="s">
        <v>7</v>
      </c>
      <c r="J373" s="1"/>
      <c r="K373" s="1"/>
      <c r="L373" s="1"/>
      <c r="M373" s="55" t="s">
        <v>7</v>
      </c>
      <c r="N373" s="1"/>
      <c r="O373" s="1"/>
      <c r="P373" s="1"/>
      <c r="Q373" s="55" t="s">
        <v>7</v>
      </c>
      <c r="R373" s="55" t="s">
        <v>7</v>
      </c>
    </row>
    <row r="374" spans="1:18" ht="15.75" customHeight="1" x14ac:dyDescent="0.3">
      <c r="A374" s="71" t="s">
        <v>211</v>
      </c>
      <c r="B374" s="1">
        <v>0</v>
      </c>
      <c r="C374" s="1">
        <v>0</v>
      </c>
      <c r="D374" s="1">
        <v>0</v>
      </c>
      <c r="E374" s="55">
        <f>SUM(B374:D374)</f>
        <v>0</v>
      </c>
      <c r="F374" s="1">
        <v>0</v>
      </c>
      <c r="G374" s="1">
        <v>0</v>
      </c>
      <c r="H374" s="1">
        <v>0</v>
      </c>
      <c r="I374" s="55">
        <f>SUM(F374:H374)</f>
        <v>0</v>
      </c>
      <c r="J374" s="1">
        <v>0</v>
      </c>
      <c r="K374" s="1">
        <v>0</v>
      </c>
      <c r="L374" s="1">
        <v>0</v>
      </c>
      <c r="M374" s="55">
        <f>SUM(J374:L374)</f>
        <v>0</v>
      </c>
      <c r="N374" s="1">
        <v>0</v>
      </c>
      <c r="O374" s="1">
        <v>0</v>
      </c>
      <c r="P374" s="1">
        <v>0</v>
      </c>
      <c r="Q374" s="55">
        <f>SUM(N374:P374)</f>
        <v>0</v>
      </c>
      <c r="R374" s="55">
        <f>+E374+I374+M374+Q374</f>
        <v>0</v>
      </c>
    </row>
    <row r="375" spans="1:18" ht="15.75" customHeight="1" x14ac:dyDescent="0.3">
      <c r="A375" s="71" t="s">
        <v>298</v>
      </c>
      <c r="B375" s="1">
        <v>0</v>
      </c>
      <c r="C375" s="1">
        <v>0</v>
      </c>
      <c r="D375" s="1">
        <v>0</v>
      </c>
      <c r="E375" s="55">
        <f>SUM(B375:D375)</f>
        <v>0</v>
      </c>
      <c r="F375" s="1">
        <v>0</v>
      </c>
      <c r="G375" s="1">
        <v>1</v>
      </c>
      <c r="H375" s="1">
        <v>0</v>
      </c>
      <c r="I375" s="55">
        <f>SUM(F375:H375)</f>
        <v>1</v>
      </c>
      <c r="J375" s="1">
        <v>0</v>
      </c>
      <c r="K375" s="1">
        <v>0</v>
      </c>
      <c r="L375" s="1">
        <v>0</v>
      </c>
      <c r="M375" s="55">
        <f>SUM(J375:L375)</f>
        <v>0</v>
      </c>
      <c r="N375" s="1">
        <v>0</v>
      </c>
      <c r="O375" s="1">
        <v>0</v>
      </c>
      <c r="P375" s="1">
        <v>0</v>
      </c>
      <c r="Q375" s="55">
        <f>SUM(N375:P375)</f>
        <v>0</v>
      </c>
      <c r="R375" s="55">
        <f>+E375+I375+M375+Q375</f>
        <v>1</v>
      </c>
    </row>
    <row r="376" spans="1:18" ht="15.75" customHeight="1" x14ac:dyDescent="0.3">
      <c r="A376" s="15" t="s">
        <v>51</v>
      </c>
      <c r="B376" s="1"/>
      <c r="C376" s="1"/>
      <c r="D376" s="1"/>
      <c r="E376" s="55" t="s">
        <v>7</v>
      </c>
      <c r="F376" s="1"/>
      <c r="G376" s="1"/>
      <c r="H376" s="1"/>
      <c r="I376" s="55" t="s">
        <v>7</v>
      </c>
      <c r="J376" s="1"/>
      <c r="K376" s="1"/>
      <c r="L376" s="1"/>
      <c r="M376" s="55" t="s">
        <v>7</v>
      </c>
      <c r="N376" s="1"/>
      <c r="O376" s="1"/>
      <c r="P376" s="1"/>
      <c r="Q376" s="55" t="s">
        <v>7</v>
      </c>
      <c r="R376" s="55" t="s">
        <v>7</v>
      </c>
    </row>
    <row r="377" spans="1:18" ht="15.75" customHeight="1" thickBot="1" x14ac:dyDescent="0.35">
      <c r="A377" s="15" t="s">
        <v>53</v>
      </c>
      <c r="B377" s="1"/>
      <c r="C377" s="1"/>
      <c r="D377" s="1"/>
      <c r="E377" s="55" t="s">
        <v>7</v>
      </c>
      <c r="F377" s="1"/>
      <c r="G377" s="1"/>
      <c r="H377" s="1"/>
      <c r="I377" s="55" t="s">
        <v>7</v>
      </c>
      <c r="J377" s="1"/>
      <c r="K377" s="1"/>
      <c r="L377" s="1"/>
      <c r="M377" s="55" t="s">
        <v>7</v>
      </c>
      <c r="N377" s="1"/>
      <c r="O377" s="1"/>
      <c r="P377" s="1"/>
      <c r="Q377" s="55" t="s">
        <v>7</v>
      </c>
      <c r="R377" s="55" t="s">
        <v>7</v>
      </c>
    </row>
    <row r="378" spans="1:18" ht="15.75" customHeight="1" thickBot="1" x14ac:dyDescent="0.35">
      <c r="A378" s="109" t="s">
        <v>54</v>
      </c>
      <c r="B378" s="86">
        <f>SUM(B370:B377)</f>
        <v>1</v>
      </c>
      <c r="C378" s="87">
        <f>SUM(C370:C377)</f>
        <v>0</v>
      </c>
      <c r="D378" s="87">
        <f>SUM(D370:D377)</f>
        <v>0</v>
      </c>
      <c r="E378" s="59">
        <f>SUM(B378:D378)</f>
        <v>1</v>
      </c>
      <c r="F378" s="87">
        <f>SUM(F370:F377)</f>
        <v>3</v>
      </c>
      <c r="G378" s="87">
        <f>SUM(G370:G377)</f>
        <v>8</v>
      </c>
      <c r="H378" s="87">
        <f>SUM(H370:H377)</f>
        <v>5</v>
      </c>
      <c r="I378" s="59">
        <f>SUM(F378:H378)</f>
        <v>16</v>
      </c>
      <c r="J378" s="87">
        <f>SUM(J370:J377)</f>
        <v>9</v>
      </c>
      <c r="K378" s="87">
        <f>SUM(K370:K377)</f>
        <v>14</v>
      </c>
      <c r="L378" s="87">
        <f>SUM(L370:L377)</f>
        <v>8</v>
      </c>
      <c r="M378" s="59">
        <f>SUM(J378:L378)</f>
        <v>31</v>
      </c>
      <c r="N378" s="87">
        <f>SUM(N370:N377)</f>
        <v>7</v>
      </c>
      <c r="O378" s="87">
        <f>SUM(O370:O377)</f>
        <v>1</v>
      </c>
      <c r="P378" s="87">
        <f>SUM(P370:P377)</f>
        <v>0</v>
      </c>
      <c r="Q378" s="59">
        <f>SUM(N378:P378)</f>
        <v>8</v>
      </c>
      <c r="R378" s="59">
        <f>+E378+I378+M378+Q378</f>
        <v>56</v>
      </c>
    </row>
    <row r="379" spans="1:18" ht="15.75" customHeight="1" x14ac:dyDescent="0.3">
      <c r="A379" s="15" t="s">
        <v>55</v>
      </c>
      <c r="B379" s="1"/>
      <c r="C379" s="1"/>
      <c r="D379" s="1"/>
      <c r="E379" s="55" t="s">
        <v>7</v>
      </c>
      <c r="F379" s="1"/>
      <c r="G379" s="1"/>
      <c r="H379" s="1"/>
      <c r="I379" s="55" t="s">
        <v>7</v>
      </c>
      <c r="J379" s="1"/>
      <c r="K379" s="1"/>
      <c r="L379" s="1"/>
      <c r="M379" s="55" t="s">
        <v>7</v>
      </c>
      <c r="N379" s="1" t="s">
        <v>7</v>
      </c>
      <c r="O379" s="1"/>
      <c r="P379" s="1"/>
      <c r="Q379" s="55" t="s">
        <v>7</v>
      </c>
      <c r="R379" s="55" t="s">
        <v>7</v>
      </c>
    </row>
    <row r="380" spans="1:18" ht="15.75" customHeight="1" x14ac:dyDescent="0.3">
      <c r="A380" s="15" t="s">
        <v>57</v>
      </c>
      <c r="B380" s="1"/>
      <c r="C380" s="1"/>
      <c r="D380" s="1"/>
      <c r="E380" s="55" t="s">
        <v>7</v>
      </c>
      <c r="F380" s="1"/>
      <c r="G380" s="1"/>
      <c r="H380" s="1"/>
      <c r="I380" s="55" t="s">
        <v>7</v>
      </c>
      <c r="J380" s="1"/>
      <c r="K380" s="1"/>
      <c r="L380" s="1"/>
      <c r="M380" s="55" t="s">
        <v>7</v>
      </c>
      <c r="N380" s="1"/>
      <c r="O380" s="1"/>
      <c r="P380" s="1"/>
      <c r="Q380" s="55" t="s">
        <v>7</v>
      </c>
      <c r="R380" s="55" t="s">
        <v>7</v>
      </c>
    </row>
    <row r="381" spans="1:18" ht="15.75" customHeight="1" x14ac:dyDescent="0.3">
      <c r="A381" s="71" t="s">
        <v>565</v>
      </c>
      <c r="B381" s="1">
        <v>0</v>
      </c>
      <c r="C381" s="1">
        <v>0</v>
      </c>
      <c r="D381" s="1">
        <v>2286</v>
      </c>
      <c r="E381" s="55">
        <f>SUM(B381:D381)</f>
        <v>2286</v>
      </c>
      <c r="F381" s="1">
        <v>14561</v>
      </c>
      <c r="G381" s="1">
        <v>7002</v>
      </c>
      <c r="H381" s="1">
        <v>15609</v>
      </c>
      <c r="I381" s="55">
        <f>SUM(F381:H381)</f>
        <v>37172</v>
      </c>
      <c r="J381" s="1">
        <v>20889</v>
      </c>
      <c r="K381" s="1">
        <v>361</v>
      </c>
      <c r="L381" s="1">
        <v>0</v>
      </c>
      <c r="M381" s="55">
        <f>SUM(J381:L381)</f>
        <v>21250</v>
      </c>
      <c r="N381" s="1">
        <v>38</v>
      </c>
      <c r="O381" s="1">
        <v>182</v>
      </c>
      <c r="P381" s="1">
        <v>0</v>
      </c>
      <c r="Q381" s="55">
        <f>SUM(N381:P381)</f>
        <v>220</v>
      </c>
      <c r="R381" s="55">
        <f>+E381+I381+M381+Q381</f>
        <v>60928</v>
      </c>
    </row>
    <row r="382" spans="1:18" ht="15.75" customHeight="1" x14ac:dyDescent="0.3">
      <c r="A382" s="15" t="s">
        <v>49</v>
      </c>
      <c r="B382" s="1"/>
      <c r="C382" s="1"/>
      <c r="D382" s="1"/>
      <c r="E382" s="55" t="s">
        <v>7</v>
      </c>
      <c r="F382" s="1"/>
      <c r="G382" s="1"/>
      <c r="H382" s="1"/>
      <c r="I382" s="55" t="s">
        <v>7</v>
      </c>
      <c r="J382" s="1"/>
      <c r="K382" s="1"/>
      <c r="L382" s="1"/>
      <c r="M382" s="55" t="s">
        <v>7</v>
      </c>
      <c r="N382" s="1"/>
      <c r="O382" s="1"/>
      <c r="P382" s="1"/>
      <c r="Q382" s="55" t="s">
        <v>7</v>
      </c>
      <c r="R382" s="55" t="s">
        <v>7</v>
      </c>
    </row>
    <row r="383" spans="1:18" ht="15.75" customHeight="1" thickBot="1" x14ac:dyDescent="0.35">
      <c r="A383" s="15" t="s">
        <v>58</v>
      </c>
      <c r="B383" s="1"/>
      <c r="C383" s="1"/>
      <c r="D383" s="1"/>
      <c r="E383" s="55" t="s">
        <v>7</v>
      </c>
      <c r="F383" s="1"/>
      <c r="G383" s="1"/>
      <c r="H383" s="1"/>
      <c r="I383" s="55" t="s">
        <v>7</v>
      </c>
      <c r="J383" s="1"/>
      <c r="K383" s="1"/>
      <c r="L383" s="1"/>
      <c r="M383" s="55" t="s">
        <v>7</v>
      </c>
      <c r="N383" s="1"/>
      <c r="O383" s="1"/>
      <c r="P383" s="1"/>
      <c r="Q383" s="55" t="s">
        <v>7</v>
      </c>
      <c r="R383" s="55" t="s">
        <v>7</v>
      </c>
    </row>
    <row r="384" spans="1:18" ht="15.75" customHeight="1" thickBot="1" x14ac:dyDescent="0.35">
      <c r="A384" s="57" t="s">
        <v>59</v>
      </c>
      <c r="B384" s="86">
        <f>SUM(B379:B383)</f>
        <v>0</v>
      </c>
      <c r="C384" s="87">
        <f>SUM(C379:C383)</f>
        <v>0</v>
      </c>
      <c r="D384" s="87">
        <f>SUM(D379:D383)</f>
        <v>2286</v>
      </c>
      <c r="E384" s="59">
        <f>SUM(B384:D384)</f>
        <v>2286</v>
      </c>
      <c r="F384" s="87">
        <f>SUM(F379:F383)</f>
        <v>14561</v>
      </c>
      <c r="G384" s="87">
        <f>SUM(G379:G383)</f>
        <v>7002</v>
      </c>
      <c r="H384" s="87">
        <f>SUM(H379:H383)</f>
        <v>15609</v>
      </c>
      <c r="I384" s="59">
        <f>SUM(F384:H384)</f>
        <v>37172</v>
      </c>
      <c r="J384" s="87">
        <f>SUM(J379:J383)</f>
        <v>20889</v>
      </c>
      <c r="K384" s="87">
        <f>SUM(K379:K383)</f>
        <v>361</v>
      </c>
      <c r="L384" s="87">
        <f>SUM(L379:L383)</f>
        <v>0</v>
      </c>
      <c r="M384" s="59">
        <f>SUM(J384:L384)</f>
        <v>21250</v>
      </c>
      <c r="N384" s="87">
        <f>SUM(N379:N383)</f>
        <v>38</v>
      </c>
      <c r="O384" s="87">
        <f>SUM(O379:O383)</f>
        <v>182</v>
      </c>
      <c r="P384" s="87">
        <f>SUM(P379:P383)</f>
        <v>0</v>
      </c>
      <c r="Q384" s="59">
        <f>SUM(N384:P384)</f>
        <v>220</v>
      </c>
      <c r="R384" s="59">
        <f>+E384+I384+M384+Q384</f>
        <v>60928</v>
      </c>
    </row>
    <row r="385" spans="1:18" ht="15.75" customHeight="1" x14ac:dyDescent="0.3">
      <c r="A385" s="15" t="s">
        <v>60</v>
      </c>
      <c r="B385" s="1"/>
      <c r="C385" s="1"/>
      <c r="D385" s="1"/>
      <c r="E385" s="55" t="s">
        <v>7</v>
      </c>
      <c r="F385" s="1"/>
      <c r="G385" s="1"/>
      <c r="H385" s="1"/>
      <c r="I385" s="55" t="s">
        <v>7</v>
      </c>
      <c r="J385" s="1"/>
      <c r="K385" s="1"/>
      <c r="L385" s="1"/>
      <c r="M385" s="55" t="s">
        <v>7</v>
      </c>
      <c r="N385" s="1"/>
      <c r="O385" s="1"/>
      <c r="P385" s="1"/>
      <c r="Q385" s="55" t="s">
        <v>7</v>
      </c>
      <c r="R385" s="55" t="s">
        <v>7</v>
      </c>
    </row>
    <row r="386" spans="1:18" ht="15.75" customHeight="1" x14ac:dyDescent="0.3">
      <c r="A386" s="15" t="s">
        <v>61</v>
      </c>
      <c r="B386" s="1"/>
      <c r="C386" s="1"/>
      <c r="D386" s="1"/>
      <c r="E386" s="55" t="s">
        <v>7</v>
      </c>
      <c r="F386" s="1"/>
      <c r="G386" s="1"/>
      <c r="H386" s="1"/>
      <c r="I386" s="55" t="s">
        <v>7</v>
      </c>
      <c r="J386" s="1"/>
      <c r="K386" s="1"/>
      <c r="L386" s="1"/>
      <c r="M386" s="55" t="s">
        <v>7</v>
      </c>
      <c r="N386" s="1"/>
      <c r="O386" s="1"/>
      <c r="P386" s="1"/>
      <c r="Q386" s="55" t="s">
        <v>7</v>
      </c>
      <c r="R386" s="55" t="s">
        <v>7</v>
      </c>
    </row>
    <row r="387" spans="1:18" ht="15.75" customHeight="1" thickBot="1" x14ac:dyDescent="0.35">
      <c r="A387" s="15" t="s">
        <v>62</v>
      </c>
      <c r="B387" s="1"/>
      <c r="C387" s="1"/>
      <c r="D387" s="1"/>
      <c r="E387" s="55" t="s">
        <v>7</v>
      </c>
      <c r="F387" s="1"/>
      <c r="G387" s="1"/>
      <c r="H387" s="1"/>
      <c r="I387" s="55" t="s">
        <v>7</v>
      </c>
      <c r="J387" s="1"/>
      <c r="K387" s="1"/>
      <c r="L387" s="1"/>
      <c r="M387" s="55" t="s">
        <v>7</v>
      </c>
      <c r="N387" s="1"/>
      <c r="O387" s="1"/>
      <c r="P387" s="1"/>
      <c r="Q387" s="55" t="s">
        <v>7</v>
      </c>
      <c r="R387" s="55" t="s">
        <v>7</v>
      </c>
    </row>
    <row r="388" spans="1:18" ht="15.75" customHeight="1" thickBot="1" x14ac:dyDescent="0.35">
      <c r="A388" s="114" t="s">
        <v>63</v>
      </c>
      <c r="B388" s="86">
        <f>SUM(B385:B387)</f>
        <v>0</v>
      </c>
      <c r="C388" s="87">
        <f>SUM(C385:C387)</f>
        <v>0</v>
      </c>
      <c r="D388" s="87">
        <f>SUM(D385:D387)</f>
        <v>0</v>
      </c>
      <c r="E388" s="59">
        <f>SUM(B388:D388)</f>
        <v>0</v>
      </c>
      <c r="F388" s="87">
        <f>SUM(F385:F387)</f>
        <v>0</v>
      </c>
      <c r="G388" s="87">
        <f>SUM(G385:G387)</f>
        <v>0</v>
      </c>
      <c r="H388" s="87">
        <f>SUM(H385:H387)</f>
        <v>0</v>
      </c>
      <c r="I388" s="59">
        <f>SUM(F388:H388)</f>
        <v>0</v>
      </c>
      <c r="J388" s="87">
        <f>SUM(J385:J387)</f>
        <v>0</v>
      </c>
      <c r="K388" s="87">
        <f>SUM(K385:K387)</f>
        <v>0</v>
      </c>
      <c r="L388" s="87">
        <f>SUM(L385:L387)</f>
        <v>0</v>
      </c>
      <c r="M388" s="59">
        <f>SUM(J388:L388)</f>
        <v>0</v>
      </c>
      <c r="N388" s="87">
        <f>SUM(N385:N387)</f>
        <v>0</v>
      </c>
      <c r="O388" s="87">
        <f>SUM(O385:O387)</f>
        <v>0</v>
      </c>
      <c r="P388" s="87">
        <f>SUM(P385:P387)</f>
        <v>0</v>
      </c>
      <c r="Q388" s="59">
        <f>SUM(N388:P388)</f>
        <v>0</v>
      </c>
      <c r="R388" s="59">
        <f>+E388+I388+M388+Q388</f>
        <v>0</v>
      </c>
    </row>
    <row r="389" spans="1:18" ht="15.75" customHeight="1" x14ac:dyDescent="0.3">
      <c r="A389" s="15" t="s">
        <v>64</v>
      </c>
      <c r="B389" s="1"/>
      <c r="C389" s="1"/>
      <c r="D389" s="1"/>
      <c r="E389" s="55" t="s">
        <v>7</v>
      </c>
      <c r="F389" s="1"/>
      <c r="G389" s="1"/>
      <c r="H389" s="1"/>
      <c r="I389" s="55" t="s">
        <v>7</v>
      </c>
      <c r="J389" s="1"/>
      <c r="K389" s="1"/>
      <c r="L389" s="1"/>
      <c r="M389" s="55" t="s">
        <v>7</v>
      </c>
      <c r="N389" s="1"/>
      <c r="O389" s="1"/>
      <c r="P389" s="1"/>
      <c r="Q389" s="55" t="s">
        <v>7</v>
      </c>
      <c r="R389" s="55" t="s">
        <v>7</v>
      </c>
    </row>
    <row r="390" spans="1:18" ht="15.75" customHeight="1" x14ac:dyDescent="0.3">
      <c r="A390" s="15" t="s">
        <v>65</v>
      </c>
      <c r="B390" s="1"/>
      <c r="C390" s="1"/>
      <c r="D390" s="1"/>
      <c r="E390" s="55" t="s">
        <v>7</v>
      </c>
      <c r="F390" s="1"/>
      <c r="G390" s="1"/>
      <c r="H390" s="1"/>
      <c r="I390" s="55" t="s">
        <v>7</v>
      </c>
      <c r="J390" s="1"/>
      <c r="K390" s="1"/>
      <c r="L390" s="1"/>
      <c r="M390" s="55" t="s">
        <v>7</v>
      </c>
      <c r="N390" s="1"/>
      <c r="O390" s="1"/>
      <c r="P390" s="1"/>
      <c r="Q390" s="55" t="s">
        <v>7</v>
      </c>
      <c r="R390" s="55" t="s">
        <v>7</v>
      </c>
    </row>
    <row r="391" spans="1:18" ht="15.75" customHeight="1" x14ac:dyDescent="0.3">
      <c r="A391" s="15" t="s">
        <v>67</v>
      </c>
      <c r="B391" s="1"/>
      <c r="C391" s="1"/>
      <c r="D391" s="1"/>
      <c r="E391" s="55" t="s">
        <v>7</v>
      </c>
      <c r="F391" s="1"/>
      <c r="G391" s="1"/>
      <c r="H391" s="1"/>
      <c r="I391" s="55" t="s">
        <v>7</v>
      </c>
      <c r="J391" s="1"/>
      <c r="K391" s="1"/>
      <c r="L391" s="1"/>
      <c r="M391" s="55" t="s">
        <v>7</v>
      </c>
      <c r="N391" s="1"/>
      <c r="O391" s="1"/>
      <c r="P391" s="1"/>
      <c r="Q391" s="55" t="s">
        <v>7</v>
      </c>
      <c r="R391" s="55" t="s">
        <v>7</v>
      </c>
    </row>
    <row r="392" spans="1:18" ht="15.75" customHeight="1" x14ac:dyDescent="0.3">
      <c r="A392" s="15" t="s">
        <v>69</v>
      </c>
      <c r="B392" s="1"/>
      <c r="C392" s="1"/>
      <c r="D392" s="1"/>
      <c r="E392" s="55" t="s">
        <v>7</v>
      </c>
      <c r="F392" s="1"/>
      <c r="G392" s="1"/>
      <c r="H392" s="1"/>
      <c r="I392" s="55" t="s">
        <v>7</v>
      </c>
      <c r="J392" s="1"/>
      <c r="K392" s="1"/>
      <c r="L392" s="1"/>
      <c r="M392" s="55" t="s">
        <v>7</v>
      </c>
      <c r="N392" s="1"/>
      <c r="O392" s="1"/>
      <c r="P392" s="1"/>
      <c r="Q392" s="55" t="s">
        <v>7</v>
      </c>
      <c r="R392" s="55" t="s">
        <v>7</v>
      </c>
    </row>
    <row r="393" spans="1:18" ht="15.75" customHeight="1" x14ac:dyDescent="0.3">
      <c r="A393" s="71" t="s">
        <v>655</v>
      </c>
      <c r="B393" s="1">
        <v>0</v>
      </c>
      <c r="C393" s="1">
        <v>0</v>
      </c>
      <c r="D393" s="1">
        <v>0</v>
      </c>
      <c r="E393" s="55">
        <f>SUM(B393:D393)</f>
        <v>0</v>
      </c>
      <c r="F393" s="1">
        <v>0</v>
      </c>
      <c r="G393" s="1">
        <v>0</v>
      </c>
      <c r="H393" s="1">
        <v>0</v>
      </c>
      <c r="I393" s="55">
        <f>SUM(F393:H393)</f>
        <v>0</v>
      </c>
      <c r="J393" s="1">
        <v>0</v>
      </c>
      <c r="K393" s="1">
        <v>0</v>
      </c>
      <c r="L393" s="1">
        <v>0</v>
      </c>
      <c r="M393" s="55">
        <f>SUM(J393:L393)</f>
        <v>0</v>
      </c>
      <c r="N393" s="1">
        <v>0</v>
      </c>
      <c r="O393" s="1">
        <v>0</v>
      </c>
      <c r="P393" s="1">
        <v>0</v>
      </c>
      <c r="Q393" s="55">
        <f>SUM(N393:P393)</f>
        <v>0</v>
      </c>
      <c r="R393" s="55">
        <f>+E393+I393+M393+Q393</f>
        <v>0</v>
      </c>
    </row>
    <row r="394" spans="1:18" ht="15.75" customHeight="1" x14ac:dyDescent="0.3">
      <c r="A394" s="71" t="s">
        <v>651</v>
      </c>
      <c r="B394" s="1">
        <v>0</v>
      </c>
      <c r="C394" s="1">
        <v>0</v>
      </c>
      <c r="D394" s="1">
        <v>0</v>
      </c>
      <c r="E394" s="55">
        <f>SUM(B394:D394)</f>
        <v>0</v>
      </c>
      <c r="F394" s="1">
        <v>0</v>
      </c>
      <c r="G394" s="1">
        <v>0</v>
      </c>
      <c r="H394" s="1">
        <v>0</v>
      </c>
      <c r="I394" s="55">
        <f>SUM(F394:H394)</f>
        <v>0</v>
      </c>
      <c r="J394" s="1">
        <v>0</v>
      </c>
      <c r="K394" s="1">
        <v>0</v>
      </c>
      <c r="L394" s="1">
        <v>0</v>
      </c>
      <c r="M394" s="55">
        <f>SUM(J394:L394)</f>
        <v>0</v>
      </c>
      <c r="N394" s="1">
        <v>0</v>
      </c>
      <c r="O394" s="1">
        <v>0</v>
      </c>
      <c r="P394" s="1">
        <v>0</v>
      </c>
      <c r="Q394" s="55">
        <f>SUM(N394:P394)</f>
        <v>0</v>
      </c>
      <c r="R394" s="55">
        <f>+E394+I394+M394+Q394</f>
        <v>0</v>
      </c>
    </row>
    <row r="395" spans="1:18" ht="15.75" customHeight="1" x14ac:dyDescent="0.3">
      <c r="A395" s="15" t="s">
        <v>70</v>
      </c>
      <c r="B395" s="1"/>
      <c r="C395" s="1"/>
      <c r="D395" s="1"/>
      <c r="E395" s="55" t="s">
        <v>7</v>
      </c>
      <c r="F395" s="1"/>
      <c r="G395" s="1"/>
      <c r="H395" s="1"/>
      <c r="I395" s="55" t="s">
        <v>7</v>
      </c>
      <c r="J395" s="1"/>
      <c r="K395" s="1"/>
      <c r="L395" s="1"/>
      <c r="M395" s="55" t="s">
        <v>7</v>
      </c>
      <c r="N395" s="1"/>
      <c r="O395" s="1"/>
      <c r="P395" s="1"/>
      <c r="Q395" s="55" t="s">
        <v>7</v>
      </c>
      <c r="R395" s="55" t="s">
        <v>7</v>
      </c>
    </row>
    <row r="396" spans="1:18" ht="15.75" customHeight="1" x14ac:dyDescent="0.3">
      <c r="A396" s="71" t="s">
        <v>566</v>
      </c>
      <c r="B396" s="1">
        <v>0</v>
      </c>
      <c r="C396" s="1">
        <v>0</v>
      </c>
      <c r="D396" s="1">
        <v>0</v>
      </c>
      <c r="E396" s="55">
        <f t="shared" ref="E396:E401" si="73">SUM(B396:D396)</f>
        <v>0</v>
      </c>
      <c r="F396" s="1">
        <v>0</v>
      </c>
      <c r="G396" s="1">
        <v>0</v>
      </c>
      <c r="H396" s="1">
        <v>0</v>
      </c>
      <c r="I396" s="55">
        <f t="shared" ref="I396:I401" si="74">SUM(F396:H396)</f>
        <v>0</v>
      </c>
      <c r="J396" s="1">
        <v>0</v>
      </c>
      <c r="K396" s="1">
        <v>11400</v>
      </c>
      <c r="L396" s="1">
        <v>0</v>
      </c>
      <c r="M396" s="55">
        <f t="shared" ref="M396:M401" si="75">SUM(J396:L396)</f>
        <v>11400</v>
      </c>
      <c r="N396" s="1">
        <v>0</v>
      </c>
      <c r="O396" s="1">
        <v>0</v>
      </c>
      <c r="P396" s="1">
        <v>414</v>
      </c>
      <c r="Q396" s="55">
        <f t="shared" ref="Q396:Q401" si="76">SUM(N396:P396)</f>
        <v>414</v>
      </c>
      <c r="R396" s="55">
        <f t="shared" ref="R396:R401" si="77">+E396+I396+M396+Q396</f>
        <v>11814</v>
      </c>
    </row>
    <row r="397" spans="1:18" ht="15.75" customHeight="1" thickBot="1" x14ac:dyDescent="0.35">
      <c r="A397" s="71" t="s">
        <v>567</v>
      </c>
      <c r="B397" s="1">
        <v>0</v>
      </c>
      <c r="C397" s="1">
        <v>0</v>
      </c>
      <c r="D397" s="1">
        <v>0</v>
      </c>
      <c r="E397" s="55">
        <f t="shared" si="73"/>
        <v>0</v>
      </c>
      <c r="F397" s="1">
        <v>0</v>
      </c>
      <c r="G397" s="1">
        <v>0</v>
      </c>
      <c r="H397" s="1">
        <v>0</v>
      </c>
      <c r="I397" s="55">
        <f t="shared" si="74"/>
        <v>0</v>
      </c>
      <c r="J397" s="1">
        <v>0</v>
      </c>
      <c r="K397" s="1">
        <v>0</v>
      </c>
      <c r="L397" s="1">
        <v>0</v>
      </c>
      <c r="M397" s="55">
        <f t="shared" si="75"/>
        <v>0</v>
      </c>
      <c r="N397" s="1">
        <v>0</v>
      </c>
      <c r="O397" s="1">
        <v>0</v>
      </c>
      <c r="P397" s="1">
        <v>0</v>
      </c>
      <c r="Q397" s="55">
        <f t="shared" si="76"/>
        <v>0</v>
      </c>
      <c r="R397" s="55">
        <f t="shared" si="77"/>
        <v>0</v>
      </c>
    </row>
    <row r="398" spans="1:18" ht="15.75" customHeight="1" thickBot="1" x14ac:dyDescent="0.35">
      <c r="A398" s="57" t="s">
        <v>71</v>
      </c>
      <c r="B398" s="58">
        <f>SUM(B392:B397)</f>
        <v>0</v>
      </c>
      <c r="C398" s="58">
        <f>SUM(C392:C397)</f>
        <v>0</v>
      </c>
      <c r="D398" s="58">
        <f>SUM(D392:D397)</f>
        <v>0</v>
      </c>
      <c r="E398" s="60">
        <f t="shared" si="73"/>
        <v>0</v>
      </c>
      <c r="F398" s="58">
        <f>SUM(F392:F397)</f>
        <v>0</v>
      </c>
      <c r="G398" s="58">
        <f>SUM(G392:G397)</f>
        <v>0</v>
      </c>
      <c r="H398" s="58">
        <f>SUM(H392:H397)</f>
        <v>0</v>
      </c>
      <c r="I398" s="60">
        <f t="shared" si="74"/>
        <v>0</v>
      </c>
      <c r="J398" s="58">
        <f>SUM(J392:J397)</f>
        <v>0</v>
      </c>
      <c r="K398" s="58">
        <f>SUM(K392:K397)</f>
        <v>11400</v>
      </c>
      <c r="L398" s="58">
        <f>SUM(L392:L397)</f>
        <v>0</v>
      </c>
      <c r="M398" s="60">
        <f t="shared" si="75"/>
        <v>11400</v>
      </c>
      <c r="N398" s="58">
        <f>SUM(N392:N397)</f>
        <v>0</v>
      </c>
      <c r="O398" s="58">
        <f>SUM(O392:O397)</f>
        <v>0</v>
      </c>
      <c r="P398" s="58">
        <f>SUM(P392:P397)</f>
        <v>414</v>
      </c>
      <c r="Q398" s="60">
        <f t="shared" si="76"/>
        <v>414</v>
      </c>
      <c r="R398" s="59">
        <f t="shared" si="77"/>
        <v>11814</v>
      </c>
    </row>
    <row r="399" spans="1:18" ht="15.75" customHeight="1" thickBot="1" x14ac:dyDescent="0.35">
      <c r="A399" s="114" t="s">
        <v>72</v>
      </c>
      <c r="B399" s="86">
        <f>SUM(B389:B397)</f>
        <v>0</v>
      </c>
      <c r="C399" s="87">
        <f>SUM(C389:C397)</f>
        <v>0</v>
      </c>
      <c r="D399" s="118">
        <f>SUM(D389:D397)</f>
        <v>0</v>
      </c>
      <c r="E399" s="60">
        <f t="shared" si="73"/>
        <v>0</v>
      </c>
      <c r="F399" s="87">
        <f>SUM(F389:F397)</f>
        <v>0</v>
      </c>
      <c r="G399" s="87">
        <f>SUM(G389:G397)</f>
        <v>0</v>
      </c>
      <c r="H399" s="87">
        <f>SUM(H389:H397)</f>
        <v>0</v>
      </c>
      <c r="I399" s="60">
        <f t="shared" si="74"/>
        <v>0</v>
      </c>
      <c r="J399" s="87">
        <f>SUM(J389:J397)</f>
        <v>0</v>
      </c>
      <c r="K399" s="87">
        <f>SUM(K389:K397)</f>
        <v>11400</v>
      </c>
      <c r="L399" s="87">
        <f>SUM(L389:L397)</f>
        <v>0</v>
      </c>
      <c r="M399" s="60">
        <f t="shared" si="75"/>
        <v>11400</v>
      </c>
      <c r="N399" s="87">
        <f>SUM(N389:N397)</f>
        <v>0</v>
      </c>
      <c r="O399" s="87">
        <f>SUM(O389:O397)</f>
        <v>0</v>
      </c>
      <c r="P399" s="87">
        <f>SUM(P389:P397)</f>
        <v>414</v>
      </c>
      <c r="Q399" s="60">
        <f t="shared" si="76"/>
        <v>414</v>
      </c>
      <c r="R399" s="59">
        <f t="shared" si="77"/>
        <v>11814</v>
      </c>
    </row>
    <row r="400" spans="1:18" ht="15.75" customHeight="1" thickBot="1" x14ac:dyDescent="0.35">
      <c r="A400" s="57" t="s">
        <v>73</v>
      </c>
      <c r="B400" s="90">
        <f>+B378+B384+B388+B399</f>
        <v>1</v>
      </c>
      <c r="C400" s="58">
        <f>+C378+C384+C388+C399</f>
        <v>0</v>
      </c>
      <c r="D400" s="58">
        <f>+D378+D384+D388+D399</f>
        <v>2286</v>
      </c>
      <c r="E400" s="59">
        <f t="shared" si="73"/>
        <v>2287</v>
      </c>
      <c r="F400" s="58">
        <f>+F378+F384+F388+F399</f>
        <v>14564</v>
      </c>
      <c r="G400" s="58">
        <f>+G378+G384+G388+G399</f>
        <v>7010</v>
      </c>
      <c r="H400" s="58">
        <f>+H378+H384+H388+H399</f>
        <v>15614</v>
      </c>
      <c r="I400" s="59">
        <f t="shared" si="74"/>
        <v>37188</v>
      </c>
      <c r="J400" s="58">
        <f>+J378+J384+J388+J399</f>
        <v>20898</v>
      </c>
      <c r="K400" s="58">
        <f>+K378+K384+K388+K399</f>
        <v>11775</v>
      </c>
      <c r="L400" s="58">
        <f>+L378+L384+L388+L399</f>
        <v>8</v>
      </c>
      <c r="M400" s="59">
        <f t="shared" si="75"/>
        <v>32681</v>
      </c>
      <c r="N400" s="58">
        <f>+N378+N384+N388+N399</f>
        <v>45</v>
      </c>
      <c r="O400" s="58">
        <f>+O378+O384+O388+O399</f>
        <v>183</v>
      </c>
      <c r="P400" s="58">
        <f>+P378+P384+P388+P399</f>
        <v>414</v>
      </c>
      <c r="Q400" s="59">
        <f t="shared" si="76"/>
        <v>642</v>
      </c>
      <c r="R400" s="81">
        <f t="shared" si="77"/>
        <v>72798</v>
      </c>
    </row>
    <row r="401" spans="1:18" ht="15.75" customHeight="1" thickBot="1" x14ac:dyDescent="0.35">
      <c r="A401" s="39" t="s">
        <v>40</v>
      </c>
      <c r="B401" s="21">
        <v>9</v>
      </c>
      <c r="C401" s="21">
        <v>16</v>
      </c>
      <c r="D401" s="21">
        <v>25</v>
      </c>
      <c r="E401" s="55">
        <f t="shared" si="73"/>
        <v>50</v>
      </c>
      <c r="F401" s="21">
        <v>34</v>
      </c>
      <c r="G401" s="21">
        <v>41</v>
      </c>
      <c r="H401" s="21">
        <v>41</v>
      </c>
      <c r="I401" s="55">
        <f t="shared" si="74"/>
        <v>116</v>
      </c>
      <c r="J401" s="21">
        <v>39</v>
      </c>
      <c r="K401" s="21">
        <v>30</v>
      </c>
      <c r="L401" s="21">
        <v>30</v>
      </c>
      <c r="M401" s="55">
        <f t="shared" si="75"/>
        <v>99</v>
      </c>
      <c r="N401" s="21">
        <v>28</v>
      </c>
      <c r="O401" s="21">
        <v>22</v>
      </c>
      <c r="P401" s="21">
        <v>16</v>
      </c>
      <c r="Q401" s="55">
        <f t="shared" si="76"/>
        <v>66</v>
      </c>
      <c r="R401" s="55">
        <f t="shared" si="77"/>
        <v>331</v>
      </c>
    </row>
    <row r="402" spans="1:18" ht="15.75" customHeight="1" thickBot="1" x14ac:dyDescent="0.35">
      <c r="A402" s="74"/>
      <c r="B402" s="75"/>
      <c r="C402" s="75"/>
      <c r="D402" s="75"/>
      <c r="E402" s="59"/>
      <c r="F402" s="75"/>
      <c r="G402" s="75"/>
      <c r="H402" s="75"/>
      <c r="I402" s="59"/>
      <c r="J402" s="75"/>
      <c r="K402" s="75"/>
      <c r="L402" s="75"/>
      <c r="M402" s="59"/>
      <c r="N402" s="75"/>
      <c r="O402" s="75"/>
      <c r="P402" s="75"/>
      <c r="Q402" s="59"/>
      <c r="R402" s="59" t="s">
        <v>7</v>
      </c>
    </row>
    <row r="403" spans="1:18" ht="15.75" customHeight="1" x14ac:dyDescent="0.3">
      <c r="A403" s="76" t="s">
        <v>41</v>
      </c>
      <c r="B403" s="77">
        <f>SUM(B400:B401)</f>
        <v>10</v>
      </c>
      <c r="C403" s="77">
        <f>SUM(C400:C401)</f>
        <v>16</v>
      </c>
      <c r="D403" s="77">
        <f>SUM(D400:D401)</f>
        <v>2311</v>
      </c>
      <c r="E403" s="60">
        <f>SUM(B403:D403)</f>
        <v>2337</v>
      </c>
      <c r="F403" s="77">
        <f>SUM(F400:F401)</f>
        <v>14598</v>
      </c>
      <c r="G403" s="77">
        <f>SUM(G400:G401)</f>
        <v>7051</v>
      </c>
      <c r="H403" s="77">
        <f>SUM(H400:H401)</f>
        <v>15655</v>
      </c>
      <c r="I403" s="60">
        <f>SUM(F403:H403)</f>
        <v>37304</v>
      </c>
      <c r="J403" s="77">
        <f>SUM(J400:J401)</f>
        <v>20937</v>
      </c>
      <c r="K403" s="77">
        <f>SUM(K400:K401)</f>
        <v>11805</v>
      </c>
      <c r="L403" s="77">
        <f>SUM(L400:L401)</f>
        <v>38</v>
      </c>
      <c r="M403" s="60">
        <f>SUM(J403:L403)</f>
        <v>32780</v>
      </c>
      <c r="N403" s="77">
        <f>SUM(N400:N401)</f>
        <v>73</v>
      </c>
      <c r="O403" s="77">
        <f>SUM(O400:O401)</f>
        <v>205</v>
      </c>
      <c r="P403" s="77">
        <f>SUM(P400:P401)</f>
        <v>430</v>
      </c>
      <c r="Q403" s="60">
        <f>SUM(N403:P403)</f>
        <v>708</v>
      </c>
      <c r="R403" s="60">
        <f>+E403+I403+M403+Q403</f>
        <v>73129</v>
      </c>
    </row>
    <row r="404" spans="1:18" ht="15.75" customHeight="1" x14ac:dyDescent="0.3">
      <c r="A404" s="79" t="s">
        <v>42</v>
      </c>
      <c r="B404" s="1">
        <f>(B403/31)/1.983</f>
        <v>0.16267304344996988</v>
      </c>
      <c r="C404" s="1">
        <f>(C403/28)/1.983</f>
        <v>0.28816367696851808</v>
      </c>
      <c r="D404" s="1">
        <f>(D403/31)/1.983</f>
        <v>37.59374034128804</v>
      </c>
      <c r="E404" s="55" t="s">
        <v>7</v>
      </c>
      <c r="F404" s="1">
        <f>(F403/30)/1.983</f>
        <v>245.38577912254161</v>
      </c>
      <c r="G404" s="1">
        <f>(G403/31)/1.983</f>
        <v>114.70076293657377</v>
      </c>
      <c r="H404" s="1">
        <f>(H403/30)/1.983</f>
        <v>263.15347117162548</v>
      </c>
      <c r="I404" s="55" t="s">
        <v>7</v>
      </c>
      <c r="J404" s="1">
        <f>(J403/31)/1.983</f>
        <v>340.58855107120195</v>
      </c>
      <c r="K404" s="1">
        <f>(K403/31)/1.983</f>
        <v>192.03552779268946</v>
      </c>
      <c r="L404" s="1">
        <f>(L403/30)/1.983</f>
        <v>0.63876281728021511</v>
      </c>
      <c r="M404" s="55" t="s">
        <v>7</v>
      </c>
      <c r="N404" s="1">
        <f>(N403/31)/1.983</f>
        <v>1.1875132171847804</v>
      </c>
      <c r="O404" s="1">
        <f>(O403/30)/1.983</f>
        <v>3.4459573037485289</v>
      </c>
      <c r="P404" s="1">
        <f>(P403/31)/1.983</f>
        <v>6.9949408683487055</v>
      </c>
      <c r="Q404" s="55" t="s">
        <v>7</v>
      </c>
      <c r="R404" s="55" t="s">
        <v>7</v>
      </c>
    </row>
    <row r="405" spans="1:18" ht="15.75" customHeight="1" x14ac:dyDescent="0.3">
      <c r="A405" s="79" t="s">
        <v>303</v>
      </c>
      <c r="B405" s="1">
        <f>B403+B446</f>
        <v>18006</v>
      </c>
      <c r="C405" s="1">
        <f>C403+C446</f>
        <v>16595</v>
      </c>
      <c r="D405" s="1">
        <f>D403+D446</f>
        <v>28997</v>
      </c>
      <c r="E405" s="55">
        <f>SUM(B405:D405)</f>
        <v>63598</v>
      </c>
      <c r="F405" s="1">
        <f>F403+F446</f>
        <v>52079</v>
      </c>
      <c r="G405" s="1">
        <f>G403+G446</f>
        <v>38678</v>
      </c>
      <c r="H405" s="1">
        <f>H403+H446</f>
        <v>47924</v>
      </c>
      <c r="I405" s="55">
        <f>SUM(F405:H405)</f>
        <v>138681</v>
      </c>
      <c r="J405" s="1">
        <f>J403+J446</f>
        <v>53649</v>
      </c>
      <c r="K405" s="1">
        <f>K403+K446</f>
        <v>44724</v>
      </c>
      <c r="L405" s="1">
        <f>L403+L446</f>
        <v>24685</v>
      </c>
      <c r="M405" s="55">
        <f>SUM(J405:L405)</f>
        <v>123058</v>
      </c>
      <c r="N405" s="1">
        <f>N403+N446</f>
        <v>7967</v>
      </c>
      <c r="O405" s="1">
        <f>O403+O446</f>
        <v>14384</v>
      </c>
      <c r="P405" s="1">
        <f>P403+P446</f>
        <v>7758</v>
      </c>
      <c r="Q405" s="55">
        <f>SUM(N405:P405)</f>
        <v>30109</v>
      </c>
      <c r="R405" s="55">
        <f>+E405+I405+M405+Q405</f>
        <v>355446</v>
      </c>
    </row>
    <row r="406" spans="1:18" ht="15.75" customHeight="1" thickBot="1" x14ac:dyDescent="0.35">
      <c r="A406" s="80" t="s">
        <v>304</v>
      </c>
      <c r="B406" s="25">
        <f>(B405/31)/1.983</f>
        <v>292.90908203601583</v>
      </c>
      <c r="C406" s="25">
        <f>(C405/28)/1.983</f>
        <v>298.87976370578485</v>
      </c>
      <c r="D406" s="25">
        <f>(D405/31)/1.983</f>
        <v>471.70302409187769</v>
      </c>
      <c r="E406" s="81" t="s">
        <v>7</v>
      </c>
      <c r="F406" s="25">
        <f>(F405/30)/1.983</f>
        <v>875.42444108253483</v>
      </c>
      <c r="G406" s="25">
        <f>(G405/31)/1.983</f>
        <v>629.18679745579357</v>
      </c>
      <c r="H406" s="25">
        <f>(H405/30)/1.983</f>
        <v>805.58076987729032</v>
      </c>
      <c r="I406" s="81" t="s">
        <v>7</v>
      </c>
      <c r="J406" s="25">
        <f>(J405/31)/1.983</f>
        <v>872.72461080474341</v>
      </c>
      <c r="K406" s="25">
        <f>(K405/31)/1.983</f>
        <v>727.53891952564538</v>
      </c>
      <c r="L406" s="25">
        <f>(L405/30)/1.983</f>
        <v>414.94368801479243</v>
      </c>
      <c r="M406" s="81" t="s">
        <v>7</v>
      </c>
      <c r="N406" s="25">
        <f>(N405/31)/1.983</f>
        <v>129.601613716591</v>
      </c>
      <c r="O406" s="25">
        <f>(O405/30)/1.983</f>
        <v>241.78853588838459</v>
      </c>
      <c r="P406" s="25">
        <f>(P405/31)/1.983</f>
        <v>126.20174710848664</v>
      </c>
      <c r="Q406" s="81" t="s">
        <v>7</v>
      </c>
      <c r="R406" s="81" t="s">
        <v>7</v>
      </c>
    </row>
    <row r="407" spans="1:18" ht="15.75" customHeight="1" x14ac:dyDescent="0.3">
      <c r="A407" s="2"/>
      <c r="B407" s="1"/>
      <c r="C407" s="1"/>
      <c r="D407" s="1"/>
      <c r="E407" s="1"/>
      <c r="F407" s="1"/>
      <c r="G407" s="1"/>
      <c r="H407" s="1"/>
      <c r="I407" s="1"/>
      <c r="J407" s="1"/>
      <c r="K407" s="1"/>
      <c r="L407" s="1"/>
      <c r="M407" s="1"/>
      <c r="N407" s="1"/>
      <c r="O407" s="1"/>
      <c r="P407" s="1"/>
      <c r="Q407" s="1"/>
      <c r="R407" s="2"/>
    </row>
    <row r="408" spans="1:18" ht="15.75" customHeight="1" thickBot="1" x14ac:dyDescent="0.35">
      <c r="A408" s="2"/>
      <c r="B408" s="1"/>
      <c r="C408" s="1"/>
      <c r="D408" s="1"/>
      <c r="E408" s="1"/>
      <c r="F408" s="1"/>
      <c r="G408" s="1"/>
      <c r="H408" s="1"/>
      <c r="I408" s="1"/>
      <c r="J408" s="1"/>
      <c r="K408" s="1"/>
      <c r="L408" s="1"/>
      <c r="M408" s="1"/>
      <c r="N408" s="1"/>
      <c r="O408" s="1"/>
      <c r="P408" s="1"/>
      <c r="Q408" s="1"/>
      <c r="R408" s="2"/>
    </row>
    <row r="409" spans="1:18" ht="15.75" customHeight="1" thickBot="1" x14ac:dyDescent="0.35">
      <c r="A409" s="124" t="s">
        <v>305</v>
      </c>
      <c r="B409" s="30" t="s">
        <v>8</v>
      </c>
      <c r="C409" s="31" t="s">
        <v>9</v>
      </c>
      <c r="D409" s="31" t="s">
        <v>10</v>
      </c>
      <c r="E409" s="32" t="s">
        <v>11</v>
      </c>
      <c r="F409" s="31" t="s">
        <v>12</v>
      </c>
      <c r="G409" s="31" t="s">
        <v>13</v>
      </c>
      <c r="H409" s="31" t="s">
        <v>14</v>
      </c>
      <c r="I409" s="33" t="s">
        <v>15</v>
      </c>
      <c r="J409" s="31" t="s">
        <v>16</v>
      </c>
      <c r="K409" s="31" t="s">
        <v>17</v>
      </c>
      <c r="L409" s="31" t="s">
        <v>18</v>
      </c>
      <c r="M409" s="33" t="s">
        <v>19</v>
      </c>
      <c r="N409" s="31" t="s">
        <v>20</v>
      </c>
      <c r="O409" s="31" t="s">
        <v>21</v>
      </c>
      <c r="P409" s="31" t="s">
        <v>22</v>
      </c>
      <c r="Q409" s="33" t="s">
        <v>23</v>
      </c>
      <c r="R409" s="34" t="s">
        <v>24</v>
      </c>
    </row>
    <row r="410" spans="1:18" ht="15.75" customHeight="1" thickBot="1" x14ac:dyDescent="0.35">
      <c r="A410" s="59"/>
      <c r="B410" s="75"/>
      <c r="C410" s="75"/>
      <c r="D410" s="75"/>
      <c r="E410" s="69"/>
      <c r="F410" s="75"/>
      <c r="G410" s="75"/>
      <c r="H410" s="75"/>
      <c r="I410" s="82"/>
      <c r="J410" s="75"/>
      <c r="K410" s="75"/>
      <c r="L410" s="75"/>
      <c r="M410" s="82"/>
      <c r="N410" s="75"/>
      <c r="O410" s="75"/>
      <c r="P410" s="75"/>
      <c r="Q410" s="82"/>
      <c r="R410" s="100"/>
    </row>
    <row r="411" spans="1:18" ht="15.75" customHeight="1" x14ac:dyDescent="0.3">
      <c r="A411" s="15" t="s">
        <v>48</v>
      </c>
      <c r="B411" s="1" t="s">
        <v>7</v>
      </c>
      <c r="C411" s="1" t="s">
        <v>7</v>
      </c>
      <c r="D411" s="1" t="s">
        <v>7</v>
      </c>
      <c r="E411" s="55" t="s">
        <v>7</v>
      </c>
      <c r="F411" s="1" t="s">
        <v>7</v>
      </c>
      <c r="G411" s="1" t="s">
        <v>7</v>
      </c>
      <c r="H411" s="1" t="s">
        <v>7</v>
      </c>
      <c r="I411" s="55" t="s">
        <v>7</v>
      </c>
      <c r="J411" s="1" t="s">
        <v>7</v>
      </c>
      <c r="K411" s="1" t="s">
        <v>7</v>
      </c>
      <c r="L411" s="1" t="s">
        <v>7</v>
      </c>
      <c r="M411" s="55" t="s">
        <v>7</v>
      </c>
      <c r="N411" s="1" t="s">
        <v>7</v>
      </c>
      <c r="O411" s="1" t="s">
        <v>7</v>
      </c>
      <c r="P411" s="1" t="s">
        <v>7</v>
      </c>
      <c r="Q411" s="55" t="s">
        <v>7</v>
      </c>
      <c r="R411" s="55" t="s">
        <v>7</v>
      </c>
    </row>
    <row r="412" spans="1:18" ht="15.75" customHeight="1" x14ac:dyDescent="0.3">
      <c r="A412" s="15" t="s">
        <v>49</v>
      </c>
      <c r="B412" s="1"/>
      <c r="C412" s="1"/>
      <c r="D412" s="1"/>
      <c r="E412" s="55" t="s">
        <v>7</v>
      </c>
      <c r="F412" s="1"/>
      <c r="G412" s="1"/>
      <c r="H412" s="1"/>
      <c r="I412" s="55" t="s">
        <v>7</v>
      </c>
      <c r="J412" s="1"/>
      <c r="K412" s="1"/>
      <c r="L412" s="1"/>
      <c r="M412" s="55" t="s">
        <v>7</v>
      </c>
      <c r="N412" s="1"/>
      <c r="O412" s="1"/>
      <c r="P412" s="1"/>
      <c r="Q412" s="55" t="s">
        <v>7</v>
      </c>
      <c r="R412" s="55" t="s">
        <v>7</v>
      </c>
    </row>
    <row r="413" spans="1:18" ht="15.75" customHeight="1" x14ac:dyDescent="0.3">
      <c r="A413" s="71" t="s">
        <v>306</v>
      </c>
      <c r="B413" s="1">
        <v>0</v>
      </c>
      <c r="C413" s="1">
        <v>0</v>
      </c>
      <c r="D413" s="1">
        <v>0</v>
      </c>
      <c r="E413" s="55">
        <f>SUM(B413:D413)</f>
        <v>0</v>
      </c>
      <c r="F413" s="1">
        <v>0</v>
      </c>
      <c r="G413" s="1">
        <v>412</v>
      </c>
      <c r="H413" s="1">
        <v>588</v>
      </c>
      <c r="I413" s="55">
        <f>SUM(F413:H413)</f>
        <v>1000</v>
      </c>
      <c r="J413" s="1">
        <v>0</v>
      </c>
      <c r="K413" s="1">
        <v>0</v>
      </c>
      <c r="L413" s="1">
        <v>0</v>
      </c>
      <c r="M413" s="55">
        <f>SUM(J413:L413)</f>
        <v>0</v>
      </c>
      <c r="N413" s="1">
        <v>0</v>
      </c>
      <c r="O413" s="1">
        <v>0</v>
      </c>
      <c r="P413" s="1">
        <v>0</v>
      </c>
      <c r="Q413" s="55">
        <f>SUM(N413:P413)</f>
        <v>0</v>
      </c>
      <c r="R413" s="55">
        <f>+E413+I413+M413+Q413</f>
        <v>1000</v>
      </c>
    </row>
    <row r="414" spans="1:18" ht="15.75" customHeight="1" x14ac:dyDescent="0.3">
      <c r="A414" s="71" t="s">
        <v>656</v>
      </c>
      <c r="B414" s="1">
        <v>0</v>
      </c>
      <c r="C414" s="1">
        <v>0</v>
      </c>
      <c r="D414" s="1">
        <v>0</v>
      </c>
      <c r="E414" s="55">
        <f>SUM(B414:D414)</f>
        <v>0</v>
      </c>
      <c r="F414" s="1">
        <v>0</v>
      </c>
      <c r="G414" s="1">
        <v>0</v>
      </c>
      <c r="H414" s="1">
        <v>496</v>
      </c>
      <c r="I414" s="55">
        <f>SUM(F414:H414)</f>
        <v>496</v>
      </c>
      <c r="J414" s="1">
        <v>580</v>
      </c>
      <c r="K414" s="1">
        <v>924</v>
      </c>
      <c r="L414" s="1">
        <v>0</v>
      </c>
      <c r="M414" s="55">
        <f>SUM(J414:L414)</f>
        <v>1504</v>
      </c>
      <c r="N414" s="1">
        <v>0</v>
      </c>
      <c r="O414" s="1">
        <v>0</v>
      </c>
      <c r="P414" s="1">
        <v>0</v>
      </c>
      <c r="Q414" s="55">
        <f>SUM(N414:P414)</f>
        <v>0</v>
      </c>
      <c r="R414" s="55">
        <f>+E414+I414+M414+Q414</f>
        <v>2000</v>
      </c>
    </row>
    <row r="415" spans="1:18" ht="15.75" customHeight="1" x14ac:dyDescent="0.3">
      <c r="A415" s="71" t="s">
        <v>657</v>
      </c>
      <c r="B415" s="1">
        <v>0</v>
      </c>
      <c r="C415" s="1">
        <v>0</v>
      </c>
      <c r="D415" s="1">
        <v>0</v>
      </c>
      <c r="E415" s="55">
        <f>SUM(B415:D415)</f>
        <v>0</v>
      </c>
      <c r="F415" s="1">
        <v>0</v>
      </c>
      <c r="G415" s="1">
        <v>0</v>
      </c>
      <c r="H415" s="1">
        <v>0</v>
      </c>
      <c r="I415" s="55">
        <f>SUM(F415:H415)</f>
        <v>0</v>
      </c>
      <c r="J415" s="1">
        <v>357</v>
      </c>
      <c r="K415" s="1">
        <v>34</v>
      </c>
      <c r="L415" s="1">
        <v>718</v>
      </c>
      <c r="M415" s="55">
        <f>SUM(J415:L415)</f>
        <v>1109</v>
      </c>
      <c r="N415" s="1">
        <v>387</v>
      </c>
      <c r="O415" s="1">
        <v>211</v>
      </c>
      <c r="P415" s="1">
        <v>65</v>
      </c>
      <c r="Q415" s="55">
        <f>SUM(N415:P415)</f>
        <v>663</v>
      </c>
      <c r="R415" s="55">
        <f>+E415+I415+M415+Q415</f>
        <v>1772</v>
      </c>
    </row>
    <row r="416" spans="1:18" ht="15.75" customHeight="1" x14ac:dyDescent="0.3">
      <c r="A416" s="15" t="s">
        <v>50</v>
      </c>
      <c r="B416" s="1"/>
      <c r="C416" s="1"/>
      <c r="D416" s="1"/>
      <c r="E416" s="55" t="s">
        <v>7</v>
      </c>
      <c r="F416" s="1"/>
      <c r="G416" s="1"/>
      <c r="H416" s="1"/>
      <c r="I416" s="55" t="s">
        <v>7</v>
      </c>
      <c r="J416" s="1"/>
      <c r="K416" s="1"/>
      <c r="L416" s="1"/>
      <c r="M416" s="55" t="s">
        <v>7</v>
      </c>
      <c r="N416" s="1"/>
      <c r="O416" s="1"/>
      <c r="P416" s="1"/>
      <c r="Q416" s="55" t="s">
        <v>7</v>
      </c>
      <c r="R416" s="55" t="s">
        <v>7</v>
      </c>
    </row>
    <row r="417" spans="1:18" ht="15.75" customHeight="1" x14ac:dyDescent="0.3">
      <c r="A417" s="15" t="s">
        <v>51</v>
      </c>
      <c r="B417" s="1"/>
      <c r="C417" s="1"/>
      <c r="D417" s="1"/>
      <c r="E417" s="55" t="s">
        <v>7</v>
      </c>
      <c r="F417" s="1"/>
      <c r="G417" s="1"/>
      <c r="H417" s="1"/>
      <c r="I417" s="55" t="s">
        <v>7</v>
      </c>
      <c r="J417" s="1"/>
      <c r="K417" s="1"/>
      <c r="L417" s="1"/>
      <c r="M417" s="55" t="s">
        <v>7</v>
      </c>
      <c r="N417" s="1"/>
      <c r="O417" s="1"/>
      <c r="P417" s="1"/>
      <c r="Q417" s="55" t="s">
        <v>7</v>
      </c>
      <c r="R417" s="55" t="s">
        <v>7</v>
      </c>
    </row>
    <row r="418" spans="1:18" ht="15.75" customHeight="1" thickBot="1" x14ac:dyDescent="0.35">
      <c r="A418" s="15" t="s">
        <v>53</v>
      </c>
      <c r="B418" s="1"/>
      <c r="C418" s="1"/>
      <c r="D418" s="1"/>
      <c r="E418" s="55" t="s">
        <v>7</v>
      </c>
      <c r="F418" s="1"/>
      <c r="G418" s="1"/>
      <c r="H418" s="1"/>
      <c r="I418" s="55" t="s">
        <v>7</v>
      </c>
      <c r="J418" s="1"/>
      <c r="K418" s="1"/>
      <c r="L418" s="1"/>
      <c r="M418" s="55" t="s">
        <v>7</v>
      </c>
      <c r="N418" s="1"/>
      <c r="O418" s="1"/>
      <c r="P418" s="1"/>
      <c r="Q418" s="55" t="s">
        <v>7</v>
      </c>
      <c r="R418" s="55" t="s">
        <v>7</v>
      </c>
    </row>
    <row r="419" spans="1:18" ht="15.75" customHeight="1" thickBot="1" x14ac:dyDescent="0.35">
      <c r="A419" s="109" t="s">
        <v>54</v>
      </c>
      <c r="B419" s="86">
        <f>SUM(B411:B418)</f>
        <v>0</v>
      </c>
      <c r="C419" s="87">
        <f>SUM(C411:C418)</f>
        <v>0</v>
      </c>
      <c r="D419" s="87">
        <f>SUM(D411:D418)</f>
        <v>0</v>
      </c>
      <c r="E419" s="59">
        <f>SUM(B419:D419)</f>
        <v>0</v>
      </c>
      <c r="F419" s="87">
        <f>SUM(F411:F418)</f>
        <v>0</v>
      </c>
      <c r="G419" s="87">
        <f>SUM(G411:G418)</f>
        <v>412</v>
      </c>
      <c r="H419" s="87">
        <f>SUM(H411:H418)</f>
        <v>1084</v>
      </c>
      <c r="I419" s="59">
        <f>SUM(F419:H419)</f>
        <v>1496</v>
      </c>
      <c r="J419" s="87">
        <f>SUM(J411:J418)</f>
        <v>937</v>
      </c>
      <c r="K419" s="87">
        <f>SUM(K411:K418)</f>
        <v>958</v>
      </c>
      <c r="L419" s="87">
        <f>SUM(L411:L418)</f>
        <v>718</v>
      </c>
      <c r="M419" s="59">
        <f>SUM(J419:L419)</f>
        <v>2613</v>
      </c>
      <c r="N419" s="87">
        <f>SUM(N411:N418)</f>
        <v>387</v>
      </c>
      <c r="O419" s="87">
        <f>SUM(O411:O418)</f>
        <v>211</v>
      </c>
      <c r="P419" s="87">
        <f>SUM(P411:P418)</f>
        <v>65</v>
      </c>
      <c r="Q419" s="59">
        <f>SUM(N419:P419)</f>
        <v>663</v>
      </c>
      <c r="R419" s="59">
        <f>+E419+I419+M419+Q419</f>
        <v>4772</v>
      </c>
    </row>
    <row r="420" spans="1:18" ht="15.75" customHeight="1" x14ac:dyDescent="0.3">
      <c r="A420" s="15" t="s">
        <v>55</v>
      </c>
      <c r="B420" s="1"/>
      <c r="C420" s="1"/>
      <c r="D420" s="1"/>
      <c r="E420" s="60" t="s">
        <v>7</v>
      </c>
      <c r="F420" s="1"/>
      <c r="G420" s="1"/>
      <c r="H420" s="1"/>
      <c r="I420" s="60" t="s">
        <v>7</v>
      </c>
      <c r="J420" s="1"/>
      <c r="K420" s="1"/>
      <c r="L420" s="1"/>
      <c r="M420" s="60" t="s">
        <v>7</v>
      </c>
      <c r="N420" s="1"/>
      <c r="O420" s="1"/>
      <c r="P420" s="1"/>
      <c r="Q420" s="60" t="s">
        <v>7</v>
      </c>
      <c r="R420" s="125" t="s">
        <v>7</v>
      </c>
    </row>
    <row r="421" spans="1:18" ht="15.75" customHeight="1" x14ac:dyDescent="0.3">
      <c r="A421" s="15" t="s">
        <v>57</v>
      </c>
      <c r="B421" s="1"/>
      <c r="C421" s="1"/>
      <c r="D421" s="1"/>
      <c r="E421" s="55" t="s">
        <v>7</v>
      </c>
      <c r="F421" s="1"/>
      <c r="G421" s="1"/>
      <c r="H421" s="1"/>
      <c r="I421" s="55" t="s">
        <v>7</v>
      </c>
      <c r="J421" s="1"/>
      <c r="K421" s="1"/>
      <c r="L421" s="1"/>
      <c r="M421" s="55" t="s">
        <v>7</v>
      </c>
      <c r="N421" s="1"/>
      <c r="O421" s="1"/>
      <c r="P421" s="1"/>
      <c r="Q421" s="55" t="s">
        <v>7</v>
      </c>
      <c r="R421" s="125" t="s">
        <v>7</v>
      </c>
    </row>
    <row r="422" spans="1:18" ht="15.75" customHeight="1" x14ac:dyDescent="0.3">
      <c r="A422" s="71" t="s">
        <v>569</v>
      </c>
      <c r="B422" s="1">
        <v>159</v>
      </c>
      <c r="C422" s="1">
        <v>0</v>
      </c>
      <c r="D422" s="1">
        <v>743</v>
      </c>
      <c r="E422" s="55">
        <f>SUM(B422:D422)</f>
        <v>902</v>
      </c>
      <c r="F422" s="1">
        <v>7047</v>
      </c>
      <c r="G422" s="1">
        <v>2941</v>
      </c>
      <c r="H422" s="1">
        <v>7087</v>
      </c>
      <c r="I422" s="55">
        <f>SUM(F422:H422)</f>
        <v>17075</v>
      </c>
      <c r="J422" s="1">
        <v>7793</v>
      </c>
      <c r="K422" s="1">
        <v>7506</v>
      </c>
      <c r="L422" s="1">
        <v>2696</v>
      </c>
      <c r="M422" s="55">
        <f>SUM(J422:L422)</f>
        <v>17995</v>
      </c>
      <c r="N422" s="1">
        <v>263</v>
      </c>
      <c r="O422" s="1">
        <v>322</v>
      </c>
      <c r="P422" s="1">
        <v>0</v>
      </c>
      <c r="Q422" s="55">
        <f>SUM(N422:P422)</f>
        <v>585</v>
      </c>
      <c r="R422" s="55">
        <f>+E422+I422+M422+Q422</f>
        <v>36557</v>
      </c>
    </row>
    <row r="423" spans="1:18" ht="15.75" customHeight="1" x14ac:dyDescent="0.3">
      <c r="A423" s="71" t="s">
        <v>309</v>
      </c>
      <c r="B423" s="1">
        <v>0</v>
      </c>
      <c r="C423" s="1">
        <v>0</v>
      </c>
      <c r="D423" s="1">
        <v>0</v>
      </c>
      <c r="E423" s="55">
        <f>SUM(B423:D423)</f>
        <v>0</v>
      </c>
      <c r="F423" s="1">
        <v>702</v>
      </c>
      <c r="G423" s="1">
        <v>298</v>
      </c>
      <c r="H423" s="1">
        <v>0</v>
      </c>
      <c r="I423" s="55">
        <f>SUM(F423:H423)</f>
        <v>1000</v>
      </c>
      <c r="J423" s="1">
        <v>0</v>
      </c>
      <c r="K423" s="1">
        <v>0</v>
      </c>
      <c r="L423" s="1">
        <v>250</v>
      </c>
      <c r="M423" s="55">
        <f>SUM(J423:L423)</f>
        <v>250</v>
      </c>
      <c r="N423" s="1">
        <v>0</v>
      </c>
      <c r="O423" s="1">
        <v>0</v>
      </c>
      <c r="P423" s="1">
        <v>0</v>
      </c>
      <c r="Q423" s="55">
        <f>SUM(N423:P423)</f>
        <v>0</v>
      </c>
      <c r="R423" s="55">
        <f>+E423+I423+M423+Q423</f>
        <v>1250</v>
      </c>
    </row>
    <row r="424" spans="1:18" ht="15.75" customHeight="1" x14ac:dyDescent="0.3">
      <c r="A424" s="15" t="s">
        <v>49</v>
      </c>
      <c r="B424" s="1"/>
      <c r="C424" s="1"/>
      <c r="D424" s="1"/>
      <c r="E424" s="55" t="s">
        <v>7</v>
      </c>
      <c r="F424" s="1"/>
      <c r="G424" s="1"/>
      <c r="H424" s="1"/>
      <c r="I424" s="55" t="s">
        <v>7</v>
      </c>
      <c r="J424" s="1"/>
      <c r="K424" s="1"/>
      <c r="L424" s="1"/>
      <c r="M424" s="55" t="s">
        <v>7</v>
      </c>
      <c r="N424" s="1"/>
      <c r="O424" s="1"/>
      <c r="P424" s="1"/>
      <c r="Q424" s="55" t="s">
        <v>7</v>
      </c>
      <c r="R424" s="125" t="s">
        <v>7</v>
      </c>
    </row>
    <row r="425" spans="1:18" ht="15.75" customHeight="1" thickBot="1" x14ac:dyDescent="0.35">
      <c r="A425" s="15" t="s">
        <v>58</v>
      </c>
      <c r="B425" s="1"/>
      <c r="C425" s="1"/>
      <c r="D425" s="1"/>
      <c r="E425" s="55" t="s">
        <v>7</v>
      </c>
      <c r="F425" s="1"/>
      <c r="G425" s="1"/>
      <c r="H425" s="1"/>
      <c r="I425" s="55" t="s">
        <v>7</v>
      </c>
      <c r="J425" s="1"/>
      <c r="K425" s="1"/>
      <c r="L425" s="1"/>
      <c r="M425" s="55" t="s">
        <v>7</v>
      </c>
      <c r="N425" s="1"/>
      <c r="O425" s="1"/>
      <c r="P425" s="1"/>
      <c r="Q425" s="55" t="s">
        <v>7</v>
      </c>
      <c r="R425" s="125" t="s">
        <v>7</v>
      </c>
    </row>
    <row r="426" spans="1:18" ht="15.75" customHeight="1" thickBot="1" x14ac:dyDescent="0.35">
      <c r="A426" s="57" t="s">
        <v>59</v>
      </c>
      <c r="B426" s="86">
        <f>SUM(B420:B425)</f>
        <v>159</v>
      </c>
      <c r="C426" s="87">
        <f>SUM(C420:C425)</f>
        <v>0</v>
      </c>
      <c r="D426" s="87">
        <f>SUM(D420:D425)</f>
        <v>743</v>
      </c>
      <c r="E426" s="59">
        <f>SUM(B426:D426)</f>
        <v>902</v>
      </c>
      <c r="F426" s="87">
        <f>SUM(F420:F425)</f>
        <v>7749</v>
      </c>
      <c r="G426" s="87">
        <f>SUM(G420:G425)</f>
        <v>3239</v>
      </c>
      <c r="H426" s="87">
        <f>SUM(H420:H425)</f>
        <v>7087</v>
      </c>
      <c r="I426" s="59">
        <f>SUM(F426:H426)</f>
        <v>18075</v>
      </c>
      <c r="J426" s="87">
        <f>SUM(J420:J425)</f>
        <v>7793</v>
      </c>
      <c r="K426" s="87">
        <f>SUM(K420:K425)</f>
        <v>7506</v>
      </c>
      <c r="L426" s="87">
        <f>SUM(L420:L425)</f>
        <v>2946</v>
      </c>
      <c r="M426" s="59">
        <f>SUM(J426:L426)</f>
        <v>18245</v>
      </c>
      <c r="N426" s="87">
        <f>SUM(N420:N425)</f>
        <v>263</v>
      </c>
      <c r="O426" s="87">
        <f>SUM(O420:O425)</f>
        <v>322</v>
      </c>
      <c r="P426" s="87">
        <f>SUM(P420:P425)</f>
        <v>0</v>
      </c>
      <c r="Q426" s="59">
        <f>SUM(N426:P426)</f>
        <v>585</v>
      </c>
      <c r="R426" s="59">
        <f>+E426+I426+M426+Q426</f>
        <v>37807</v>
      </c>
    </row>
    <row r="427" spans="1:18" ht="15.75" customHeight="1" x14ac:dyDescent="0.3">
      <c r="A427" s="15" t="s">
        <v>60</v>
      </c>
      <c r="B427" s="1"/>
      <c r="C427" s="1"/>
      <c r="D427" s="1"/>
      <c r="E427" s="55" t="s">
        <v>7</v>
      </c>
      <c r="F427" s="1"/>
      <c r="G427" s="1"/>
      <c r="H427" s="1"/>
      <c r="I427" s="55" t="s">
        <v>7</v>
      </c>
      <c r="J427" s="1"/>
      <c r="K427" s="1"/>
      <c r="L427" s="1"/>
      <c r="M427" s="55" t="s">
        <v>7</v>
      </c>
      <c r="N427" s="1"/>
      <c r="O427" s="1"/>
      <c r="P427" s="1"/>
      <c r="Q427" s="55" t="s">
        <v>7</v>
      </c>
      <c r="R427" s="55" t="s">
        <v>7</v>
      </c>
    </row>
    <row r="428" spans="1:18" ht="15.75" customHeight="1" x14ac:dyDescent="0.3">
      <c r="A428" s="15" t="s">
        <v>61</v>
      </c>
      <c r="B428" s="1"/>
      <c r="C428" s="1"/>
      <c r="D428" s="1"/>
      <c r="E428" s="55" t="s">
        <v>7</v>
      </c>
      <c r="F428" s="1"/>
      <c r="G428" s="1"/>
      <c r="H428" s="1"/>
      <c r="I428" s="55" t="s">
        <v>7</v>
      </c>
      <c r="J428" s="1"/>
      <c r="K428" s="1"/>
      <c r="L428" s="1"/>
      <c r="M428" s="55" t="s">
        <v>7</v>
      </c>
      <c r="N428" s="1"/>
      <c r="O428" s="1"/>
      <c r="P428" s="1"/>
      <c r="Q428" s="55" t="s">
        <v>7</v>
      </c>
      <c r="R428" s="55" t="s">
        <v>7</v>
      </c>
    </row>
    <row r="429" spans="1:18" ht="15.75" customHeight="1" thickBot="1" x14ac:dyDescent="0.35">
      <c r="A429" s="15" t="s">
        <v>62</v>
      </c>
      <c r="B429" s="1"/>
      <c r="C429" s="1"/>
      <c r="D429" s="1"/>
      <c r="E429" s="55" t="s">
        <v>7</v>
      </c>
      <c r="F429" s="1"/>
      <c r="G429" s="1"/>
      <c r="H429" s="1"/>
      <c r="I429" s="55" t="s">
        <v>7</v>
      </c>
      <c r="J429" s="1"/>
      <c r="K429" s="1"/>
      <c r="L429" s="1"/>
      <c r="M429" s="55" t="s">
        <v>7</v>
      </c>
      <c r="N429" s="1"/>
      <c r="O429" s="1"/>
      <c r="P429" s="1"/>
      <c r="Q429" s="55" t="s">
        <v>7</v>
      </c>
      <c r="R429" s="55" t="s">
        <v>7</v>
      </c>
    </row>
    <row r="430" spans="1:18" ht="15.75" customHeight="1" thickBot="1" x14ac:dyDescent="0.35">
      <c r="A430" s="114" t="s">
        <v>63</v>
      </c>
      <c r="B430" s="86">
        <f>SUM(B427:B429)</f>
        <v>0</v>
      </c>
      <c r="C430" s="87">
        <f>SUM(C427:C429)</f>
        <v>0</v>
      </c>
      <c r="D430" s="87">
        <f>SUM(D427:D429)</f>
        <v>0</v>
      </c>
      <c r="E430" s="59">
        <f>SUM(B430:D430)</f>
        <v>0</v>
      </c>
      <c r="F430" s="87">
        <f>SUM(F427:F429)</f>
        <v>0</v>
      </c>
      <c r="G430" s="87">
        <f>SUM(G427:G429)</f>
        <v>0</v>
      </c>
      <c r="H430" s="87">
        <f>SUM(H427:H429)</f>
        <v>0</v>
      </c>
      <c r="I430" s="59">
        <f>SUM(F430:H430)</f>
        <v>0</v>
      </c>
      <c r="J430" s="87">
        <f>SUM(J427:J429)</f>
        <v>0</v>
      </c>
      <c r="K430" s="87">
        <f>SUM(K427:K429)</f>
        <v>0</v>
      </c>
      <c r="L430" s="87">
        <f>SUM(L427:L429)</f>
        <v>0</v>
      </c>
      <c r="M430" s="59">
        <f>SUM(J430:L430)</f>
        <v>0</v>
      </c>
      <c r="N430" s="87">
        <f>SUM(N427:N429)</f>
        <v>0</v>
      </c>
      <c r="O430" s="87">
        <f>SUM(O427:O429)</f>
        <v>0</v>
      </c>
      <c r="P430" s="87">
        <f>SUM(P427:P429)</f>
        <v>0</v>
      </c>
      <c r="Q430" s="59">
        <f>SUM(N430:P430)</f>
        <v>0</v>
      </c>
      <c r="R430" s="59">
        <f>+E430+I430+M430+Q430</f>
        <v>0</v>
      </c>
    </row>
    <row r="431" spans="1:18" ht="15.75" customHeight="1" x14ac:dyDescent="0.3">
      <c r="A431" s="15" t="s">
        <v>64</v>
      </c>
      <c r="B431" s="1"/>
      <c r="C431" s="1"/>
      <c r="D431" s="1"/>
      <c r="E431" s="55" t="s">
        <v>7</v>
      </c>
      <c r="F431" s="1"/>
      <c r="G431" s="1"/>
      <c r="H431" s="1"/>
      <c r="I431" s="55" t="s">
        <v>7</v>
      </c>
      <c r="J431" s="1"/>
      <c r="K431" s="1"/>
      <c r="L431" s="1"/>
      <c r="M431" s="55" t="s">
        <v>7</v>
      </c>
      <c r="N431" s="1"/>
      <c r="O431" s="1"/>
      <c r="P431" s="1"/>
      <c r="Q431" s="55" t="s">
        <v>7</v>
      </c>
      <c r="R431" s="55" t="s">
        <v>7</v>
      </c>
    </row>
    <row r="432" spans="1:18" ht="15.75" customHeight="1" x14ac:dyDescent="0.3">
      <c r="A432" s="15" t="s">
        <v>594</v>
      </c>
      <c r="B432" s="1"/>
      <c r="C432" s="1"/>
      <c r="D432" s="1"/>
      <c r="E432" s="55" t="s">
        <v>7</v>
      </c>
      <c r="F432" s="1"/>
      <c r="G432" s="1"/>
      <c r="H432" s="1"/>
      <c r="I432" s="55" t="s">
        <v>7</v>
      </c>
      <c r="J432" s="1"/>
      <c r="K432" s="1"/>
      <c r="L432" s="1"/>
      <c r="M432" s="55" t="s">
        <v>7</v>
      </c>
      <c r="N432" s="1"/>
      <c r="O432" s="1"/>
      <c r="P432" s="1"/>
      <c r="Q432" s="55" t="s">
        <v>7</v>
      </c>
      <c r="R432" s="55" t="s">
        <v>7</v>
      </c>
    </row>
    <row r="433" spans="1:18" ht="15.75" customHeight="1" x14ac:dyDescent="0.3">
      <c r="A433" s="15" t="s">
        <v>67</v>
      </c>
      <c r="B433" s="1"/>
      <c r="C433" s="1"/>
      <c r="D433" s="1"/>
      <c r="E433" s="55" t="s">
        <v>7</v>
      </c>
      <c r="F433" s="1"/>
      <c r="G433" s="1"/>
      <c r="H433" s="1"/>
      <c r="I433" s="55" t="s">
        <v>7</v>
      </c>
      <c r="J433" s="1"/>
      <c r="K433" s="1"/>
      <c r="L433" s="1"/>
      <c r="M433" s="55" t="s">
        <v>7</v>
      </c>
      <c r="N433" s="1"/>
      <c r="O433" s="1"/>
      <c r="P433" s="1"/>
      <c r="Q433" s="55" t="s">
        <v>7</v>
      </c>
      <c r="R433" s="55" t="s">
        <v>7</v>
      </c>
    </row>
    <row r="434" spans="1:18" ht="15.75" customHeight="1" x14ac:dyDescent="0.3">
      <c r="A434" s="15" t="s">
        <v>600</v>
      </c>
      <c r="B434" s="1"/>
      <c r="C434" s="1"/>
      <c r="D434" s="1"/>
      <c r="E434" s="55" t="s">
        <v>7</v>
      </c>
      <c r="F434" s="1"/>
      <c r="G434" s="1"/>
      <c r="H434" s="1"/>
      <c r="I434" s="55" t="s">
        <v>7</v>
      </c>
      <c r="J434" s="1"/>
      <c r="K434" s="1"/>
      <c r="L434" s="1"/>
      <c r="M434" s="55" t="s">
        <v>7</v>
      </c>
      <c r="N434" s="1"/>
      <c r="O434" s="1"/>
      <c r="P434" s="1"/>
      <c r="Q434" s="55" t="s">
        <v>7</v>
      </c>
      <c r="R434" s="55" t="s">
        <v>7</v>
      </c>
    </row>
    <row r="435" spans="1:18" ht="15.75" customHeight="1" x14ac:dyDescent="0.3">
      <c r="A435" s="71" t="s">
        <v>570</v>
      </c>
      <c r="B435" s="1">
        <v>0</v>
      </c>
      <c r="C435" s="1">
        <v>0</v>
      </c>
      <c r="D435" s="1">
        <v>0</v>
      </c>
      <c r="E435" s="55">
        <f>SUM(B435:D435)</f>
        <v>0</v>
      </c>
      <c r="F435" s="1">
        <v>0</v>
      </c>
      <c r="G435" s="1">
        <v>0</v>
      </c>
      <c r="H435" s="1">
        <v>0</v>
      </c>
      <c r="I435" s="55">
        <f>SUM(F435:H435)</f>
        <v>0</v>
      </c>
      <c r="J435" s="1">
        <v>0</v>
      </c>
      <c r="K435" s="1">
        <v>0</v>
      </c>
      <c r="L435" s="1">
        <v>0</v>
      </c>
      <c r="M435" s="55">
        <f>SUM(J435:L435)</f>
        <v>0</v>
      </c>
      <c r="N435" s="1">
        <v>0</v>
      </c>
      <c r="O435" s="1">
        <v>0</v>
      </c>
      <c r="P435" s="1">
        <v>0</v>
      </c>
      <c r="Q435" s="55">
        <f>SUM(N435:P435)</f>
        <v>0</v>
      </c>
      <c r="R435" s="55">
        <f>+E435+I435+M435+Q435</f>
        <v>0</v>
      </c>
    </row>
    <row r="436" spans="1:18" ht="15.75" customHeight="1" x14ac:dyDescent="0.3">
      <c r="A436" s="15" t="s">
        <v>70</v>
      </c>
      <c r="B436" s="1"/>
      <c r="C436" s="1"/>
      <c r="D436" s="1"/>
      <c r="E436" s="55"/>
      <c r="F436" s="1"/>
      <c r="G436" s="1"/>
      <c r="H436" s="1"/>
      <c r="I436" s="55"/>
      <c r="J436" s="1"/>
      <c r="K436" s="1"/>
      <c r="L436" s="1"/>
      <c r="M436" s="55"/>
      <c r="N436" s="1"/>
      <c r="O436" s="1"/>
      <c r="P436" s="1"/>
      <c r="Q436" s="55"/>
      <c r="R436" s="55" t="s">
        <v>7</v>
      </c>
    </row>
    <row r="437" spans="1:18" ht="15.75" customHeight="1" x14ac:dyDescent="0.3">
      <c r="A437" s="71" t="s">
        <v>560</v>
      </c>
      <c r="B437" s="1">
        <v>0</v>
      </c>
      <c r="C437" s="1">
        <v>0</v>
      </c>
      <c r="D437" s="1">
        <v>0</v>
      </c>
      <c r="E437" s="55">
        <f t="shared" ref="E437:E442" si="78">SUM(B437:D437)</f>
        <v>0</v>
      </c>
      <c r="F437" s="1">
        <v>0</v>
      </c>
      <c r="G437" s="1">
        <v>0</v>
      </c>
      <c r="H437" s="1">
        <v>0</v>
      </c>
      <c r="I437" s="55">
        <f t="shared" ref="I437:I442" si="79">SUM(F437:H437)</f>
        <v>0</v>
      </c>
      <c r="J437" s="1">
        <v>0</v>
      </c>
      <c r="K437" s="1">
        <v>0</v>
      </c>
      <c r="L437" s="1">
        <v>0</v>
      </c>
      <c r="M437" s="55">
        <f t="shared" ref="M437:M442" si="80">SUM(J437:L437)</f>
        <v>0</v>
      </c>
      <c r="N437" s="1">
        <v>0</v>
      </c>
      <c r="O437" s="1">
        <v>33</v>
      </c>
      <c r="P437" s="1">
        <v>259</v>
      </c>
      <c r="Q437" s="55">
        <f t="shared" ref="Q437:Q442" si="81">SUM(N437:P437)</f>
        <v>292</v>
      </c>
      <c r="R437" s="55">
        <f t="shared" ref="R437:R442" si="82">+E437+I437+M437+Q437</f>
        <v>292</v>
      </c>
    </row>
    <row r="438" spans="1:18" ht="15.75" customHeight="1" thickBot="1" x14ac:dyDescent="0.35">
      <c r="A438" s="71" t="s">
        <v>561</v>
      </c>
      <c r="B438" s="1">
        <v>0</v>
      </c>
      <c r="C438" s="1">
        <v>0</v>
      </c>
      <c r="D438" s="1">
        <v>0</v>
      </c>
      <c r="E438" s="55">
        <f t="shared" si="78"/>
        <v>0</v>
      </c>
      <c r="F438" s="1">
        <v>0</v>
      </c>
      <c r="G438" s="1">
        <v>0</v>
      </c>
      <c r="H438" s="1">
        <v>0</v>
      </c>
      <c r="I438" s="55">
        <f t="shared" si="79"/>
        <v>0</v>
      </c>
      <c r="J438" s="1">
        <v>0</v>
      </c>
      <c r="K438" s="1">
        <v>0</v>
      </c>
      <c r="L438" s="1">
        <v>0</v>
      </c>
      <c r="M438" s="55">
        <f t="shared" si="80"/>
        <v>0</v>
      </c>
      <c r="N438" s="1">
        <v>0</v>
      </c>
      <c r="O438" s="1">
        <v>0</v>
      </c>
      <c r="P438" s="1">
        <v>0</v>
      </c>
      <c r="Q438" s="55">
        <f t="shared" si="81"/>
        <v>0</v>
      </c>
      <c r="R438" s="55">
        <f t="shared" si="82"/>
        <v>0</v>
      </c>
    </row>
    <row r="439" spans="1:18" ht="15.75" customHeight="1" thickBot="1" x14ac:dyDescent="0.35">
      <c r="A439" s="57" t="s">
        <v>71</v>
      </c>
      <c r="B439" s="58">
        <f>SUM(B434:B438)</f>
        <v>0</v>
      </c>
      <c r="C439" s="58">
        <f>SUM(C434:C438)</f>
        <v>0</v>
      </c>
      <c r="D439" s="58">
        <f>SUM(D434:D438)</f>
        <v>0</v>
      </c>
      <c r="E439" s="60">
        <f t="shared" si="78"/>
        <v>0</v>
      </c>
      <c r="F439" s="58">
        <f>SUM(F434:F438)</f>
        <v>0</v>
      </c>
      <c r="G439" s="58">
        <f>SUM(G434:G438)</f>
        <v>0</v>
      </c>
      <c r="H439" s="58">
        <f>SUM(H434:H438)</f>
        <v>0</v>
      </c>
      <c r="I439" s="60">
        <f t="shared" si="79"/>
        <v>0</v>
      </c>
      <c r="J439" s="58">
        <f>SUM(J434:J438)</f>
        <v>0</v>
      </c>
      <c r="K439" s="58">
        <f>SUM(K434:K438)</f>
        <v>0</v>
      </c>
      <c r="L439" s="58">
        <f>SUM(L434:L438)</f>
        <v>0</v>
      </c>
      <c r="M439" s="60">
        <f t="shared" si="80"/>
        <v>0</v>
      </c>
      <c r="N439" s="58">
        <f>SUM(N434:N438)</f>
        <v>0</v>
      </c>
      <c r="O439" s="58">
        <f>SUM(O434:O438)</f>
        <v>33</v>
      </c>
      <c r="P439" s="58">
        <f>SUM(P434:P438)</f>
        <v>259</v>
      </c>
      <c r="Q439" s="60">
        <f t="shared" si="81"/>
        <v>292</v>
      </c>
      <c r="R439" s="59">
        <f t="shared" si="82"/>
        <v>292</v>
      </c>
    </row>
    <row r="440" spans="1:18" ht="15.75" customHeight="1" thickBot="1" x14ac:dyDescent="0.35">
      <c r="A440" s="114" t="s">
        <v>72</v>
      </c>
      <c r="B440" s="86">
        <f>SUM(B431:B438)</f>
        <v>0</v>
      </c>
      <c r="C440" s="87">
        <f>SUM(C431:C438)</f>
        <v>0</v>
      </c>
      <c r="D440" s="118">
        <f>SUM(D431:D438)</f>
        <v>0</v>
      </c>
      <c r="E440" s="60">
        <f t="shared" si="78"/>
        <v>0</v>
      </c>
      <c r="F440" s="87">
        <f>SUM(F431:F438)</f>
        <v>0</v>
      </c>
      <c r="G440" s="87">
        <f>SUM(G431:G438)</f>
        <v>0</v>
      </c>
      <c r="H440" s="87">
        <f>SUM(H431:H438)</f>
        <v>0</v>
      </c>
      <c r="I440" s="60">
        <f t="shared" si="79"/>
        <v>0</v>
      </c>
      <c r="J440" s="87">
        <f>SUM(J431:J438)</f>
        <v>0</v>
      </c>
      <c r="K440" s="87">
        <f>SUM(K431:K438)</f>
        <v>0</v>
      </c>
      <c r="L440" s="87">
        <f>SUM(L431:L438)</f>
        <v>0</v>
      </c>
      <c r="M440" s="60">
        <f t="shared" si="80"/>
        <v>0</v>
      </c>
      <c r="N440" s="87">
        <f>SUM(N431:N438)</f>
        <v>0</v>
      </c>
      <c r="O440" s="87">
        <f>SUM(O431:O438)</f>
        <v>33</v>
      </c>
      <c r="P440" s="87">
        <f>SUM(P431:P438)</f>
        <v>259</v>
      </c>
      <c r="Q440" s="60">
        <f t="shared" si="81"/>
        <v>292</v>
      </c>
      <c r="R440" s="59">
        <f t="shared" si="82"/>
        <v>292</v>
      </c>
    </row>
    <row r="441" spans="1:18" ht="15.75" customHeight="1" thickBot="1" x14ac:dyDescent="0.35">
      <c r="A441" s="57" t="s">
        <v>73</v>
      </c>
      <c r="B441" s="90">
        <f>+B419+B426+B430+B440</f>
        <v>159</v>
      </c>
      <c r="C441" s="58">
        <f>+C419+C426+C430+C440</f>
        <v>0</v>
      </c>
      <c r="D441" s="58">
        <f>+D419+D426+D430+D440</f>
        <v>743</v>
      </c>
      <c r="E441" s="59">
        <f t="shared" si="78"/>
        <v>902</v>
      </c>
      <c r="F441" s="58">
        <f>+F419+F426+F430+F440</f>
        <v>7749</v>
      </c>
      <c r="G441" s="58">
        <f>+G419+G426+G430+G440</f>
        <v>3651</v>
      </c>
      <c r="H441" s="58">
        <f>+H419+H426+H430+H440</f>
        <v>8171</v>
      </c>
      <c r="I441" s="59">
        <f t="shared" si="79"/>
        <v>19571</v>
      </c>
      <c r="J441" s="58">
        <f>+J419+J426+J430+J440</f>
        <v>8730</v>
      </c>
      <c r="K441" s="58">
        <f>+K419+K426+K430+K440</f>
        <v>8464</v>
      </c>
      <c r="L441" s="58">
        <f>+L419+L426+L430+L440</f>
        <v>3664</v>
      </c>
      <c r="M441" s="59">
        <f t="shared" si="80"/>
        <v>20858</v>
      </c>
      <c r="N441" s="58">
        <f>+N419+N426+N430+N440</f>
        <v>650</v>
      </c>
      <c r="O441" s="58">
        <f>+O419+O426+O430+O440</f>
        <v>566</v>
      </c>
      <c r="P441" s="58">
        <f>+P419+P426+P430+P440</f>
        <v>324</v>
      </c>
      <c r="Q441" s="59">
        <f t="shared" si="81"/>
        <v>1540</v>
      </c>
      <c r="R441" s="81">
        <f t="shared" si="82"/>
        <v>42871</v>
      </c>
    </row>
    <row r="442" spans="1:18" ht="15.75" customHeight="1" thickBot="1" x14ac:dyDescent="0.35">
      <c r="A442" s="39" t="s">
        <v>40</v>
      </c>
      <c r="B442" s="21">
        <v>23</v>
      </c>
      <c r="C442" s="21">
        <v>43</v>
      </c>
      <c r="D442" s="21">
        <v>66</v>
      </c>
      <c r="E442" s="81">
        <f t="shared" si="78"/>
        <v>132</v>
      </c>
      <c r="F442" s="21">
        <v>91</v>
      </c>
      <c r="G442" s="21">
        <v>108</v>
      </c>
      <c r="H442" s="21">
        <v>109</v>
      </c>
      <c r="I442" s="81">
        <f t="shared" si="79"/>
        <v>308</v>
      </c>
      <c r="J442" s="21">
        <v>104</v>
      </c>
      <c r="K442" s="21">
        <v>79</v>
      </c>
      <c r="L442" s="21">
        <v>80</v>
      </c>
      <c r="M442" s="81">
        <f t="shared" si="80"/>
        <v>263</v>
      </c>
      <c r="N442" s="21">
        <v>74</v>
      </c>
      <c r="O442" s="21">
        <v>58</v>
      </c>
      <c r="P442" s="21">
        <v>42</v>
      </c>
      <c r="Q442" s="81">
        <f t="shared" si="81"/>
        <v>174</v>
      </c>
      <c r="R442" s="55">
        <f t="shared" si="82"/>
        <v>877</v>
      </c>
    </row>
    <row r="443" spans="1:18" ht="15.75" customHeight="1" thickBot="1" x14ac:dyDescent="0.35">
      <c r="A443" s="41"/>
      <c r="B443" s="36"/>
      <c r="C443" s="36"/>
      <c r="D443" s="36"/>
      <c r="E443" s="42"/>
      <c r="F443" s="36"/>
      <c r="G443" s="36"/>
      <c r="H443" s="36"/>
      <c r="I443" s="126"/>
      <c r="J443" s="36"/>
      <c r="K443" s="36"/>
      <c r="L443" s="36"/>
      <c r="M443" s="126"/>
      <c r="N443" s="36"/>
      <c r="O443" s="36"/>
      <c r="P443" s="36"/>
      <c r="Q443" s="126"/>
      <c r="R443" s="42"/>
    </row>
    <row r="444" spans="1:18" ht="15.75" customHeight="1" x14ac:dyDescent="0.3">
      <c r="A444" s="15" t="s">
        <v>314</v>
      </c>
      <c r="B444" s="77">
        <f>SUM(B441:B442)</f>
        <v>182</v>
      </c>
      <c r="C444" s="77">
        <f>SUM(C441:C442)</f>
        <v>43</v>
      </c>
      <c r="D444" s="77">
        <f>SUM(D441:D442)</f>
        <v>809</v>
      </c>
      <c r="E444" s="60">
        <f>SUM(B444:D444)</f>
        <v>1034</v>
      </c>
      <c r="F444" s="77">
        <f>SUM(F441:F442)</f>
        <v>7840</v>
      </c>
      <c r="G444" s="77">
        <f>SUM(G441:G442)</f>
        <v>3759</v>
      </c>
      <c r="H444" s="77">
        <f>SUM(H441:H442)</f>
        <v>8280</v>
      </c>
      <c r="I444" s="60">
        <f>SUM(F444:H444)</f>
        <v>19879</v>
      </c>
      <c r="J444" s="77">
        <f>SUM(J441:J442)</f>
        <v>8834</v>
      </c>
      <c r="K444" s="77">
        <f>SUM(K441:K442)</f>
        <v>8543</v>
      </c>
      <c r="L444" s="77">
        <f>SUM(L441:L442)</f>
        <v>3744</v>
      </c>
      <c r="M444" s="60">
        <f>SUM(J444:L444)</f>
        <v>21121</v>
      </c>
      <c r="N444" s="77">
        <f>SUM(N441:N442)</f>
        <v>724</v>
      </c>
      <c r="O444" s="77">
        <f>SUM(O441:O442)</f>
        <v>624</v>
      </c>
      <c r="P444" s="77">
        <f>SUM(P441:P442)</f>
        <v>366</v>
      </c>
      <c r="Q444" s="60">
        <f>SUM(N444:P444)</f>
        <v>1714</v>
      </c>
      <c r="R444" s="60">
        <f>+E444+I444+M444+Q444</f>
        <v>43748</v>
      </c>
    </row>
    <row r="445" spans="1:18" ht="15.75" customHeight="1" x14ac:dyDescent="0.3">
      <c r="A445" s="15" t="s">
        <v>42</v>
      </c>
      <c r="B445" s="1">
        <f>(B444/31)/1.983</f>
        <v>2.960649390789452</v>
      </c>
      <c r="C445" s="1">
        <f>(C444/28)/1.983</f>
        <v>0.77443988185289248</v>
      </c>
      <c r="D445" s="1">
        <f>(D444/31)/1.983</f>
        <v>13.160249215102565</v>
      </c>
      <c r="E445" s="55" t="s">
        <v>7</v>
      </c>
      <c r="F445" s="1">
        <f>(F444/30)/1.983</f>
        <v>131.78685493360226</v>
      </c>
      <c r="G445" s="1">
        <f>(G444/31)/1.983</f>
        <v>61.148797032843689</v>
      </c>
      <c r="H445" s="1">
        <f>(H444/30)/1.983</f>
        <v>139.18305597579425</v>
      </c>
      <c r="I445" s="55" t="s">
        <v>7</v>
      </c>
      <c r="J445" s="1">
        <f>(J444/31)/1.983</f>
        <v>143.70536658370338</v>
      </c>
      <c r="K445" s="1">
        <f>(K444/31)/1.983</f>
        <v>138.97158101930927</v>
      </c>
      <c r="L445" s="1">
        <f>(L444/30)/1.983</f>
        <v>62.934947049924354</v>
      </c>
      <c r="M445" s="55" t="s">
        <v>7</v>
      </c>
      <c r="N445" s="1">
        <f>(N444/31)/1.983</f>
        <v>11.777528345777821</v>
      </c>
      <c r="O445" s="1">
        <f>(O444/30)/1.983</f>
        <v>10.489157841654059</v>
      </c>
      <c r="P445" s="1">
        <f>(P444/31)/1.983</f>
        <v>5.9538333902688985</v>
      </c>
      <c r="Q445" s="55" t="s">
        <v>7</v>
      </c>
      <c r="R445" s="55" t="s">
        <v>7</v>
      </c>
    </row>
    <row r="446" spans="1:18" ht="15.75" customHeight="1" x14ac:dyDescent="0.3">
      <c r="A446" s="15" t="s">
        <v>315</v>
      </c>
      <c r="B446" s="1">
        <f>B444+B495</f>
        <v>17996</v>
      </c>
      <c r="C446" s="1">
        <f>C444+C495</f>
        <v>16579</v>
      </c>
      <c r="D446" s="1">
        <f>D444+D495</f>
        <v>26686</v>
      </c>
      <c r="E446" s="55">
        <f>SUM(B446:D446)</f>
        <v>61261</v>
      </c>
      <c r="F446" s="1">
        <f>F444+F495</f>
        <v>37481</v>
      </c>
      <c r="G446" s="1">
        <f>G444+G495</f>
        <v>31627</v>
      </c>
      <c r="H446" s="1">
        <f>H444+H495</f>
        <v>32269</v>
      </c>
      <c r="I446" s="55">
        <f>SUM(F446:H446)</f>
        <v>101377</v>
      </c>
      <c r="J446" s="1">
        <f>J444+J495</f>
        <v>32712</v>
      </c>
      <c r="K446" s="1">
        <f>K444+K495</f>
        <v>32919</v>
      </c>
      <c r="L446" s="1">
        <f>L444+L495</f>
        <v>24647</v>
      </c>
      <c r="M446" s="55">
        <f>SUM(J446:L446)</f>
        <v>90278</v>
      </c>
      <c r="N446" s="1">
        <f>N444+N495</f>
        <v>7894</v>
      </c>
      <c r="O446" s="1">
        <f>O444+O495</f>
        <v>14179</v>
      </c>
      <c r="P446" s="1">
        <f>P444+P495</f>
        <v>7328</v>
      </c>
      <c r="Q446" s="55">
        <f>SUM(N446:P446)</f>
        <v>29401</v>
      </c>
      <c r="R446" s="55">
        <f>+E446+I446+M446+Q446</f>
        <v>282317</v>
      </c>
    </row>
    <row r="447" spans="1:18" ht="15.75" customHeight="1" thickBot="1" x14ac:dyDescent="0.35">
      <c r="A447" s="20" t="s">
        <v>316</v>
      </c>
      <c r="B447" s="25">
        <f>(B446/31)/1.983</f>
        <v>292.74640899256582</v>
      </c>
      <c r="C447" s="25">
        <f>(C446/28)/1.983</f>
        <v>298.59160002881634</v>
      </c>
      <c r="D447" s="25">
        <f>(D446/31)/1.983</f>
        <v>434.10928375058967</v>
      </c>
      <c r="E447" s="81" t="s">
        <v>7</v>
      </c>
      <c r="F447" s="25">
        <f>(F446/30)/1.983</f>
        <v>630.03866195999319</v>
      </c>
      <c r="G447" s="25">
        <f>(G446/31)/1.983</f>
        <v>514.48603451921986</v>
      </c>
      <c r="H447" s="25">
        <f>(H446/30)/1.983</f>
        <v>542.42729870566484</v>
      </c>
      <c r="I447" s="81" t="s">
        <v>7</v>
      </c>
      <c r="J447" s="25">
        <f>(J446/31)/1.983</f>
        <v>532.13605973354152</v>
      </c>
      <c r="K447" s="25">
        <f>(K446/31)/1.983</f>
        <v>535.50339173295595</v>
      </c>
      <c r="L447" s="25">
        <f>(L446/30)/1.983</f>
        <v>414.3049251975122</v>
      </c>
      <c r="M447" s="81" t="s">
        <v>7</v>
      </c>
      <c r="N447" s="25">
        <f>(N446/31)/1.983</f>
        <v>128.41410049940623</v>
      </c>
      <c r="O447" s="25">
        <f>(O446/30)/1.983</f>
        <v>238.34257858463604</v>
      </c>
      <c r="P447" s="25">
        <f>(P446/31)/1.983</f>
        <v>119.20680624013794</v>
      </c>
      <c r="Q447" s="81" t="s">
        <v>7</v>
      </c>
      <c r="R447" s="81" t="s">
        <v>7</v>
      </c>
    </row>
    <row r="448" spans="1:18" ht="15.75" customHeight="1" x14ac:dyDescent="0.3">
      <c r="A448" s="2"/>
      <c r="B448" s="1"/>
      <c r="C448" s="1"/>
      <c r="D448" s="1"/>
      <c r="E448" s="1"/>
      <c r="F448" s="1"/>
      <c r="G448" s="1"/>
      <c r="H448" s="1"/>
      <c r="I448" s="1"/>
      <c r="J448" s="1"/>
      <c r="K448" s="1"/>
      <c r="L448" s="1"/>
      <c r="M448" s="1"/>
      <c r="N448" s="1"/>
      <c r="O448" s="1"/>
      <c r="P448" s="1"/>
      <c r="Q448" s="1"/>
      <c r="R448" s="2"/>
    </row>
    <row r="449" spans="1:18" ht="15.75" customHeight="1" thickBot="1" x14ac:dyDescent="0.35">
      <c r="A449" s="2"/>
      <c r="B449" s="1"/>
      <c r="C449" s="1"/>
      <c r="D449" s="1"/>
      <c r="E449" s="1"/>
      <c r="F449" s="1"/>
      <c r="G449" s="1"/>
      <c r="H449" s="1"/>
      <c r="I449" s="1"/>
      <c r="J449" s="1"/>
      <c r="K449" s="1"/>
      <c r="L449" s="1"/>
      <c r="M449" s="1"/>
      <c r="N449" s="1"/>
      <c r="O449" s="1"/>
      <c r="P449" s="1"/>
      <c r="Q449" s="1"/>
      <c r="R449" s="2"/>
    </row>
    <row r="450" spans="1:18" ht="15.75" customHeight="1" thickBot="1" x14ac:dyDescent="0.35">
      <c r="A450" s="124" t="s">
        <v>317</v>
      </c>
      <c r="B450" s="30" t="s">
        <v>8</v>
      </c>
      <c r="C450" s="31" t="s">
        <v>9</v>
      </c>
      <c r="D450" s="31" t="s">
        <v>10</v>
      </c>
      <c r="E450" s="32" t="s">
        <v>11</v>
      </c>
      <c r="F450" s="31" t="s">
        <v>12</v>
      </c>
      <c r="G450" s="31" t="s">
        <v>13</v>
      </c>
      <c r="H450" s="31" t="s">
        <v>14</v>
      </c>
      <c r="I450" s="33" t="s">
        <v>15</v>
      </c>
      <c r="J450" s="31" t="s">
        <v>16</v>
      </c>
      <c r="K450" s="31" t="s">
        <v>17</v>
      </c>
      <c r="L450" s="31" t="s">
        <v>18</v>
      </c>
      <c r="M450" s="33" t="s">
        <v>19</v>
      </c>
      <c r="N450" s="31" t="s">
        <v>20</v>
      </c>
      <c r="O450" s="31" t="s">
        <v>21</v>
      </c>
      <c r="P450" s="31" t="s">
        <v>22</v>
      </c>
      <c r="Q450" s="33" t="s">
        <v>23</v>
      </c>
      <c r="R450" s="34" t="s">
        <v>24</v>
      </c>
    </row>
    <row r="451" spans="1:18" ht="15.75" customHeight="1" thickBot="1" x14ac:dyDescent="0.35">
      <c r="A451" s="59"/>
      <c r="B451" s="75"/>
      <c r="C451" s="75"/>
      <c r="D451" s="75"/>
      <c r="E451" s="69"/>
      <c r="F451" s="75"/>
      <c r="G451" s="75"/>
      <c r="H451" s="75"/>
      <c r="I451" s="82"/>
      <c r="J451" s="75"/>
      <c r="K451" s="75"/>
      <c r="L451" s="75"/>
      <c r="M451" s="82"/>
      <c r="N451" s="75"/>
      <c r="O451" s="75"/>
      <c r="P451" s="75"/>
      <c r="Q451" s="82"/>
      <c r="R451" s="100"/>
    </row>
    <row r="452" spans="1:18" ht="15.75" customHeight="1" x14ac:dyDescent="0.3">
      <c r="A452" s="15" t="s">
        <v>48</v>
      </c>
      <c r="B452" s="1" t="s">
        <v>7</v>
      </c>
      <c r="C452" s="1" t="s">
        <v>7</v>
      </c>
      <c r="D452" s="1" t="s">
        <v>7</v>
      </c>
      <c r="E452" s="55" t="s">
        <v>7</v>
      </c>
      <c r="F452" s="1" t="s">
        <v>7</v>
      </c>
      <c r="G452" s="1" t="s">
        <v>7</v>
      </c>
      <c r="H452" s="1" t="s">
        <v>7</v>
      </c>
      <c r="I452" s="55" t="s">
        <v>7</v>
      </c>
      <c r="J452" s="1" t="s">
        <v>7</v>
      </c>
      <c r="K452" s="1" t="s">
        <v>7</v>
      </c>
      <c r="L452" s="1" t="s">
        <v>7</v>
      </c>
      <c r="M452" s="55" t="s">
        <v>7</v>
      </c>
      <c r="N452" s="1" t="s">
        <v>7</v>
      </c>
      <c r="O452" s="1" t="s">
        <v>7</v>
      </c>
      <c r="P452" s="1" t="s">
        <v>7</v>
      </c>
      <c r="Q452" s="55" t="s">
        <v>7</v>
      </c>
      <c r="R452" s="55" t="s">
        <v>7</v>
      </c>
    </row>
    <row r="453" spans="1:18" ht="15.75" customHeight="1" x14ac:dyDescent="0.3">
      <c r="A453" s="15" t="s">
        <v>49</v>
      </c>
      <c r="B453" s="1"/>
      <c r="C453" s="1"/>
      <c r="D453" s="1"/>
      <c r="E453" s="55" t="s">
        <v>7</v>
      </c>
      <c r="F453" s="1"/>
      <c r="G453" s="1"/>
      <c r="H453" s="1"/>
      <c r="I453" s="55" t="s">
        <v>7</v>
      </c>
      <c r="J453" s="1"/>
      <c r="K453" s="1"/>
      <c r="L453" s="1"/>
      <c r="M453" s="55" t="s">
        <v>7</v>
      </c>
      <c r="N453" s="1"/>
      <c r="O453" s="1"/>
      <c r="P453" s="1"/>
      <c r="Q453" s="55" t="s">
        <v>7</v>
      </c>
      <c r="R453" s="55" t="s">
        <v>7</v>
      </c>
    </row>
    <row r="454" spans="1:18" ht="15.75" customHeight="1" x14ac:dyDescent="0.3">
      <c r="A454" s="71" t="s">
        <v>321</v>
      </c>
      <c r="B454" s="1">
        <v>0</v>
      </c>
      <c r="C454" s="1">
        <v>0</v>
      </c>
      <c r="D454" s="1">
        <v>0</v>
      </c>
      <c r="E454" s="55">
        <f t="shared" ref="E454:E459" si="83">SUM(B454:D454)</f>
        <v>0</v>
      </c>
      <c r="F454" s="1">
        <v>0</v>
      </c>
      <c r="G454" s="1">
        <v>0</v>
      </c>
      <c r="H454" s="1">
        <v>0</v>
      </c>
      <c r="I454" s="55">
        <f t="shared" ref="I454:I459" si="84">SUM(F454:H454)</f>
        <v>0</v>
      </c>
      <c r="J454" s="1">
        <v>600</v>
      </c>
      <c r="K454" s="1">
        <v>928</v>
      </c>
      <c r="L454" s="1">
        <v>0</v>
      </c>
      <c r="M454" s="55">
        <f t="shared" ref="M454:M459" si="85">SUM(J454:L454)</f>
        <v>1528</v>
      </c>
      <c r="N454" s="1">
        <v>0</v>
      </c>
      <c r="O454" s="1">
        <v>0</v>
      </c>
      <c r="P454" s="1">
        <v>0</v>
      </c>
      <c r="Q454" s="55">
        <f t="shared" ref="Q454:Q459" si="86">SUM(N454:P454)</f>
        <v>0</v>
      </c>
      <c r="R454" s="55">
        <f t="shared" ref="R454:R459" si="87">+E454+I454+M454+Q454</f>
        <v>1528</v>
      </c>
    </row>
    <row r="455" spans="1:18" ht="15.75" customHeight="1" x14ac:dyDescent="0.3">
      <c r="A455" s="71" t="s">
        <v>319</v>
      </c>
      <c r="B455" s="1">
        <v>0</v>
      </c>
      <c r="C455" s="1">
        <v>0</v>
      </c>
      <c r="D455" s="1">
        <v>0</v>
      </c>
      <c r="E455" s="55">
        <f t="shared" si="83"/>
        <v>0</v>
      </c>
      <c r="F455" s="1">
        <v>0</v>
      </c>
      <c r="G455" s="1">
        <v>0</v>
      </c>
      <c r="H455" s="1">
        <v>0</v>
      </c>
      <c r="I455" s="55">
        <f t="shared" si="84"/>
        <v>0</v>
      </c>
      <c r="J455" s="1">
        <v>650</v>
      </c>
      <c r="K455" s="1">
        <v>750</v>
      </c>
      <c r="L455" s="1">
        <v>0</v>
      </c>
      <c r="M455" s="55">
        <f t="shared" si="85"/>
        <v>1400</v>
      </c>
      <c r="N455" s="1">
        <v>0</v>
      </c>
      <c r="O455" s="1">
        <v>0</v>
      </c>
      <c r="P455" s="1">
        <v>0</v>
      </c>
      <c r="Q455" s="55">
        <f t="shared" si="86"/>
        <v>0</v>
      </c>
      <c r="R455" s="55">
        <f t="shared" si="87"/>
        <v>1400</v>
      </c>
    </row>
    <row r="456" spans="1:18" ht="15.75" customHeight="1" x14ac:dyDescent="0.3">
      <c r="A456" s="71" t="s">
        <v>320</v>
      </c>
      <c r="B456" s="1">
        <v>100</v>
      </c>
      <c r="C456" s="1">
        <v>0</v>
      </c>
      <c r="D456" s="1">
        <v>0</v>
      </c>
      <c r="E456" s="55">
        <f t="shared" si="83"/>
        <v>100</v>
      </c>
      <c r="F456" s="1">
        <v>0</v>
      </c>
      <c r="G456" s="1">
        <v>0</v>
      </c>
      <c r="H456" s="1">
        <v>0</v>
      </c>
      <c r="I456" s="55">
        <f t="shared" si="84"/>
        <v>0</v>
      </c>
      <c r="J456" s="1">
        <v>0</v>
      </c>
      <c r="K456" s="1">
        <v>0</v>
      </c>
      <c r="L456" s="1">
        <v>0</v>
      </c>
      <c r="M456" s="55">
        <f t="shared" si="85"/>
        <v>0</v>
      </c>
      <c r="N456" s="1">
        <v>0</v>
      </c>
      <c r="O456" s="1">
        <v>0</v>
      </c>
      <c r="P456" s="1">
        <v>0</v>
      </c>
      <c r="Q456" s="55">
        <f t="shared" si="86"/>
        <v>0</v>
      </c>
      <c r="R456" s="55">
        <f t="shared" si="87"/>
        <v>100</v>
      </c>
    </row>
    <row r="457" spans="1:18" ht="15.75" customHeight="1" x14ac:dyDescent="0.3">
      <c r="A457" s="71" t="s">
        <v>318</v>
      </c>
      <c r="B457" s="1">
        <v>153</v>
      </c>
      <c r="C457" s="1">
        <v>133</v>
      </c>
      <c r="D457" s="1">
        <v>1143</v>
      </c>
      <c r="E457" s="55">
        <f t="shared" si="83"/>
        <v>1429</v>
      </c>
      <c r="F457" s="1">
        <v>1900</v>
      </c>
      <c r="G457" s="1">
        <v>0</v>
      </c>
      <c r="H457" s="1">
        <v>0</v>
      </c>
      <c r="I457" s="55">
        <f t="shared" si="84"/>
        <v>1900</v>
      </c>
      <c r="J457" s="1">
        <v>0</v>
      </c>
      <c r="K457" s="1">
        <v>0</v>
      </c>
      <c r="L457" s="1">
        <v>0</v>
      </c>
      <c r="M457" s="55">
        <f t="shared" si="85"/>
        <v>0</v>
      </c>
      <c r="N457" s="1">
        <v>0</v>
      </c>
      <c r="O457" s="1">
        <v>0</v>
      </c>
      <c r="P457" s="1">
        <v>0</v>
      </c>
      <c r="Q457" s="55">
        <f t="shared" si="86"/>
        <v>0</v>
      </c>
      <c r="R457" s="55">
        <f t="shared" si="87"/>
        <v>3329</v>
      </c>
    </row>
    <row r="458" spans="1:18" ht="15.75" customHeight="1" x14ac:dyDescent="0.3">
      <c r="A458" s="71" t="s">
        <v>572</v>
      </c>
      <c r="B458" s="1">
        <v>0</v>
      </c>
      <c r="C458" s="1">
        <v>0</v>
      </c>
      <c r="D458" s="1">
        <v>0</v>
      </c>
      <c r="E458" s="55">
        <f>SUM(B458:D458)</f>
        <v>0</v>
      </c>
      <c r="F458" s="1">
        <v>0</v>
      </c>
      <c r="G458" s="1">
        <v>0</v>
      </c>
      <c r="H458" s="1">
        <v>0</v>
      </c>
      <c r="I458" s="55">
        <f>SUM(F458:H458)</f>
        <v>0</v>
      </c>
      <c r="J458" s="1">
        <v>1237</v>
      </c>
      <c r="K458" s="1">
        <v>763</v>
      </c>
      <c r="L458" s="1">
        <v>0</v>
      </c>
      <c r="M458" s="55">
        <f>SUM(J458:L458)</f>
        <v>2000</v>
      </c>
      <c r="N458" s="1">
        <v>0</v>
      </c>
      <c r="O458" s="1">
        <v>0</v>
      </c>
      <c r="P458" s="1">
        <v>0</v>
      </c>
      <c r="Q458" s="55">
        <f>SUM(N458:P458)</f>
        <v>0</v>
      </c>
      <c r="R458" s="55">
        <f>+E458+I458+M458+Q458</f>
        <v>2000</v>
      </c>
    </row>
    <row r="459" spans="1:18" ht="15.75" customHeight="1" x14ac:dyDescent="0.3">
      <c r="A459" s="71" t="s">
        <v>322</v>
      </c>
      <c r="B459" s="1">
        <v>0</v>
      </c>
      <c r="C459" s="1">
        <v>0</v>
      </c>
      <c r="D459" s="1">
        <v>0</v>
      </c>
      <c r="E459" s="55">
        <f t="shared" si="83"/>
        <v>0</v>
      </c>
      <c r="F459" s="1">
        <v>447</v>
      </c>
      <c r="G459" s="1">
        <v>1029</v>
      </c>
      <c r="H459" s="1">
        <v>1672</v>
      </c>
      <c r="I459" s="55">
        <f t="shared" si="84"/>
        <v>3148</v>
      </c>
      <c r="J459" s="1">
        <v>1594</v>
      </c>
      <c r="K459" s="1">
        <v>1614</v>
      </c>
      <c r="L459" s="1">
        <v>514</v>
      </c>
      <c r="M459" s="55">
        <f t="shared" si="85"/>
        <v>3722</v>
      </c>
      <c r="N459" s="1">
        <v>72</v>
      </c>
      <c r="O459" s="1">
        <v>0</v>
      </c>
      <c r="P459" s="1">
        <v>0</v>
      </c>
      <c r="Q459" s="55">
        <f t="shared" si="86"/>
        <v>72</v>
      </c>
      <c r="R459" s="55">
        <f t="shared" si="87"/>
        <v>6942</v>
      </c>
    </row>
    <row r="460" spans="1:18" ht="15.75" customHeight="1" x14ac:dyDescent="0.3">
      <c r="A460" s="15" t="s">
        <v>50</v>
      </c>
      <c r="B460" s="1"/>
      <c r="C460" s="1"/>
      <c r="D460" s="1"/>
      <c r="E460" s="55" t="s">
        <v>7</v>
      </c>
      <c r="F460" s="1"/>
      <c r="G460" s="1"/>
      <c r="H460" s="1"/>
      <c r="I460" s="55" t="s">
        <v>7</v>
      </c>
      <c r="J460" s="1"/>
      <c r="K460" s="1"/>
      <c r="L460" s="1"/>
      <c r="M460" s="55" t="s">
        <v>7</v>
      </c>
      <c r="N460" s="1"/>
      <c r="O460" s="1"/>
      <c r="P460" s="1"/>
      <c r="Q460" s="55" t="s">
        <v>7</v>
      </c>
      <c r="R460" s="55" t="s">
        <v>7</v>
      </c>
    </row>
    <row r="461" spans="1:18" ht="15.75" customHeight="1" x14ac:dyDescent="0.3">
      <c r="A461" s="15" t="s">
        <v>51</v>
      </c>
      <c r="B461" s="1"/>
      <c r="C461" s="1"/>
      <c r="D461" s="1"/>
      <c r="E461" s="55" t="s">
        <v>7</v>
      </c>
      <c r="F461" s="1"/>
      <c r="G461" s="1"/>
      <c r="H461" s="1"/>
      <c r="I461" s="55" t="s">
        <v>7</v>
      </c>
      <c r="J461" s="1"/>
      <c r="K461" s="1"/>
      <c r="L461" s="1"/>
      <c r="M461" s="55" t="s">
        <v>7</v>
      </c>
      <c r="N461" s="1"/>
      <c r="O461" s="1"/>
      <c r="P461" s="1"/>
      <c r="Q461" s="55" t="s">
        <v>7</v>
      </c>
      <c r="R461" s="55" t="s">
        <v>7</v>
      </c>
    </row>
    <row r="462" spans="1:18" ht="15.75" customHeight="1" x14ac:dyDescent="0.3">
      <c r="A462" s="15" t="s">
        <v>658</v>
      </c>
      <c r="B462" s="1">
        <v>0</v>
      </c>
      <c r="C462" s="1">
        <v>0</v>
      </c>
      <c r="D462" s="1">
        <v>0</v>
      </c>
      <c r="E462" s="55">
        <f>SUM(B462:D462)</f>
        <v>0</v>
      </c>
      <c r="F462" s="1">
        <v>0</v>
      </c>
      <c r="G462" s="1">
        <v>0</v>
      </c>
      <c r="H462" s="1">
        <v>0</v>
      </c>
      <c r="I462" s="55">
        <f>SUM(F462:H462)</f>
        <v>0</v>
      </c>
      <c r="J462" s="1">
        <v>0</v>
      </c>
      <c r="K462" s="1">
        <v>0</v>
      </c>
      <c r="L462" s="1">
        <v>0</v>
      </c>
      <c r="M462" s="55">
        <f>SUM(J462:L462)</f>
        <v>0</v>
      </c>
      <c r="N462" s="1">
        <v>0</v>
      </c>
      <c r="O462" s="1">
        <v>0</v>
      </c>
      <c r="P462" s="1">
        <v>0</v>
      </c>
      <c r="Q462" s="55">
        <f>SUM(N462:P462)</f>
        <v>0</v>
      </c>
      <c r="R462" s="55">
        <f>+E462+I462+M462+Q462</f>
        <v>0</v>
      </c>
    </row>
    <row r="463" spans="1:18" ht="15.75" customHeight="1" thickBot="1" x14ac:dyDescent="0.35">
      <c r="A463" s="15" t="s">
        <v>53</v>
      </c>
      <c r="B463" s="1"/>
      <c r="C463" s="1"/>
      <c r="D463" s="1"/>
      <c r="E463" s="55" t="s">
        <v>7</v>
      </c>
      <c r="F463" s="1"/>
      <c r="G463" s="1"/>
      <c r="H463" s="1"/>
      <c r="I463" s="55" t="s">
        <v>7</v>
      </c>
      <c r="J463" s="1"/>
      <c r="K463" s="1"/>
      <c r="L463" s="1"/>
      <c r="M463" s="55" t="s">
        <v>7</v>
      </c>
      <c r="N463" s="1"/>
      <c r="O463" s="1"/>
      <c r="P463" s="1"/>
      <c r="Q463" s="55" t="s">
        <v>7</v>
      </c>
      <c r="R463" s="55" t="s">
        <v>7</v>
      </c>
    </row>
    <row r="464" spans="1:18" ht="15.75" customHeight="1" thickBot="1" x14ac:dyDescent="0.35">
      <c r="A464" s="109" t="s">
        <v>54</v>
      </c>
      <c r="B464" s="86">
        <f>SUM(B452:B463)</f>
        <v>253</v>
      </c>
      <c r="C464" s="87">
        <f>SUM(C452:C463)</f>
        <v>133</v>
      </c>
      <c r="D464" s="87">
        <f>SUM(D452:D463)</f>
        <v>1143</v>
      </c>
      <c r="E464" s="59">
        <f>SUM(B464:D464)</f>
        <v>1529</v>
      </c>
      <c r="F464" s="87">
        <f>SUM(F452:F463)</f>
        <v>2347</v>
      </c>
      <c r="G464" s="87">
        <f>SUM(G452:G463)</f>
        <v>1029</v>
      </c>
      <c r="H464" s="87">
        <f>SUM(H452:H463)</f>
        <v>1672</v>
      </c>
      <c r="I464" s="59">
        <f>SUM(F464:H464)</f>
        <v>5048</v>
      </c>
      <c r="J464" s="87">
        <f>SUM(J452:J463)</f>
        <v>4081</v>
      </c>
      <c r="K464" s="87">
        <f>SUM(K452:K463)</f>
        <v>4055</v>
      </c>
      <c r="L464" s="87">
        <f>SUM(L452:L463)</f>
        <v>514</v>
      </c>
      <c r="M464" s="59">
        <f>SUM(J464:L464)</f>
        <v>8650</v>
      </c>
      <c r="N464" s="87">
        <f>SUM(N452:N463)</f>
        <v>72</v>
      </c>
      <c r="O464" s="87">
        <f>SUM(O452:O463)</f>
        <v>0</v>
      </c>
      <c r="P464" s="87">
        <f>SUM(P452:P463)</f>
        <v>0</v>
      </c>
      <c r="Q464" s="59">
        <f>SUM(N464:P464)</f>
        <v>72</v>
      </c>
      <c r="R464" s="59">
        <f>+E464+I464+M464+Q464</f>
        <v>15299</v>
      </c>
    </row>
    <row r="465" spans="1:18" ht="15.75" customHeight="1" x14ac:dyDescent="0.3">
      <c r="A465" s="15" t="s">
        <v>55</v>
      </c>
      <c r="B465" s="1"/>
      <c r="C465" s="1"/>
      <c r="D465" s="1"/>
      <c r="E465" s="55" t="s">
        <v>7</v>
      </c>
      <c r="F465" s="1"/>
      <c r="G465" s="1"/>
      <c r="H465" s="1"/>
      <c r="I465" s="55" t="s">
        <v>7</v>
      </c>
      <c r="J465" s="1"/>
      <c r="K465" s="1"/>
      <c r="L465" s="1"/>
      <c r="M465" s="55" t="s">
        <v>7</v>
      </c>
      <c r="N465" s="1"/>
      <c r="O465" s="1"/>
      <c r="P465" s="1"/>
      <c r="Q465" s="55" t="s">
        <v>7</v>
      </c>
      <c r="R465" s="55" t="s">
        <v>7</v>
      </c>
    </row>
    <row r="466" spans="1:18" ht="15.75" customHeight="1" x14ac:dyDescent="0.3">
      <c r="A466" s="15" t="s">
        <v>57</v>
      </c>
      <c r="B466" s="1"/>
      <c r="C466" s="1"/>
      <c r="D466" s="1"/>
      <c r="E466" s="55" t="s">
        <v>7</v>
      </c>
      <c r="F466" s="1"/>
      <c r="G466" s="1"/>
      <c r="H466" s="1"/>
      <c r="I466" s="55" t="s">
        <v>7</v>
      </c>
      <c r="J466" s="1"/>
      <c r="K466" s="1"/>
      <c r="L466" s="1"/>
      <c r="M466" s="55" t="s">
        <v>7</v>
      </c>
      <c r="N466" s="1"/>
      <c r="O466" s="1"/>
      <c r="P466" s="1"/>
      <c r="Q466" s="55" t="s">
        <v>7</v>
      </c>
      <c r="R466" s="55" t="s">
        <v>7</v>
      </c>
    </row>
    <row r="467" spans="1:18" ht="15.75" customHeight="1" x14ac:dyDescent="0.3">
      <c r="A467" s="71" t="s">
        <v>324</v>
      </c>
      <c r="B467" s="1">
        <v>137</v>
      </c>
      <c r="C467" s="1">
        <v>362</v>
      </c>
      <c r="D467" s="1">
        <v>239</v>
      </c>
      <c r="E467" s="55">
        <f>SUM(B467:D467)</f>
        <v>738</v>
      </c>
      <c r="F467" s="1">
        <v>897</v>
      </c>
      <c r="G467" s="1">
        <v>0</v>
      </c>
      <c r="H467" s="1">
        <v>0</v>
      </c>
      <c r="I467" s="55">
        <f>SUM(F467:H467)</f>
        <v>897</v>
      </c>
      <c r="J467" s="1">
        <v>0</v>
      </c>
      <c r="K467" s="1">
        <v>0</v>
      </c>
      <c r="L467" s="1">
        <v>0</v>
      </c>
      <c r="M467" s="55">
        <f>SUM(J467:L467)</f>
        <v>0</v>
      </c>
      <c r="N467" s="1">
        <v>0</v>
      </c>
      <c r="O467" s="1">
        <v>0</v>
      </c>
      <c r="P467" s="1">
        <v>0</v>
      </c>
      <c r="Q467" s="55">
        <f>SUM(N467:P467)</f>
        <v>0</v>
      </c>
      <c r="R467" s="55">
        <f>+E467+I467+M467+Q467</f>
        <v>1635</v>
      </c>
    </row>
    <row r="468" spans="1:18" ht="15.75" customHeight="1" x14ac:dyDescent="0.3">
      <c r="A468" s="71" t="s">
        <v>659</v>
      </c>
      <c r="B468" s="1">
        <v>0</v>
      </c>
      <c r="C468" s="1">
        <v>0</v>
      </c>
      <c r="D468" s="1">
        <v>0</v>
      </c>
      <c r="E468" s="55">
        <f>SUM(B468:D468)</f>
        <v>0</v>
      </c>
      <c r="F468" s="1">
        <v>0</v>
      </c>
      <c r="G468" s="1">
        <v>0</v>
      </c>
      <c r="H468" s="1">
        <v>0</v>
      </c>
      <c r="I468" s="55">
        <f>SUM(F468:H468)</f>
        <v>0</v>
      </c>
      <c r="J468" s="1">
        <v>0</v>
      </c>
      <c r="K468" s="1">
        <v>0</v>
      </c>
      <c r="L468" s="1">
        <v>0</v>
      </c>
      <c r="M468" s="55">
        <f>SUM(J468:L468)</f>
        <v>0</v>
      </c>
      <c r="N468" s="1">
        <v>0</v>
      </c>
      <c r="O468" s="1">
        <v>0</v>
      </c>
      <c r="P468" s="1">
        <v>0</v>
      </c>
      <c r="Q468" s="55">
        <f>SUM(N468:P468)</f>
        <v>0</v>
      </c>
      <c r="R468" s="55">
        <f>+E468+I468+M468+Q468</f>
        <v>0</v>
      </c>
    </row>
    <row r="469" spans="1:18" ht="15.75" customHeight="1" thickBot="1" x14ac:dyDescent="0.35">
      <c r="A469" s="15" t="s">
        <v>58</v>
      </c>
      <c r="B469" s="1"/>
      <c r="C469" s="1"/>
      <c r="D469" s="1"/>
      <c r="E469" s="55" t="s">
        <v>7</v>
      </c>
      <c r="F469" s="1"/>
      <c r="G469" s="1"/>
      <c r="H469" s="1"/>
      <c r="I469" s="55" t="s">
        <v>7</v>
      </c>
      <c r="J469" s="1"/>
      <c r="K469" s="1"/>
      <c r="L469" s="1"/>
      <c r="M469" s="55" t="s">
        <v>7</v>
      </c>
      <c r="N469" s="1"/>
      <c r="O469" s="1"/>
      <c r="P469" s="1"/>
      <c r="Q469" s="55" t="s">
        <v>7</v>
      </c>
      <c r="R469" s="55" t="s">
        <v>7</v>
      </c>
    </row>
    <row r="470" spans="1:18" ht="15.75" customHeight="1" thickBot="1" x14ac:dyDescent="0.35">
      <c r="A470" s="57" t="s">
        <v>59</v>
      </c>
      <c r="B470" s="86">
        <f>SUM(B465:B469)</f>
        <v>137</v>
      </c>
      <c r="C470" s="87">
        <f>SUM(C465:C469)</f>
        <v>362</v>
      </c>
      <c r="D470" s="87">
        <f>SUM(D465:D469)</f>
        <v>239</v>
      </c>
      <c r="E470" s="59">
        <f>SUM(B470:D470)</f>
        <v>738</v>
      </c>
      <c r="F470" s="87">
        <f>SUM(F465:F469)</f>
        <v>897</v>
      </c>
      <c r="G470" s="87">
        <f>SUM(G465:G469)</f>
        <v>0</v>
      </c>
      <c r="H470" s="87">
        <f>SUM(H465:H469)</f>
        <v>0</v>
      </c>
      <c r="I470" s="59">
        <f>SUM(F470:H470)</f>
        <v>897</v>
      </c>
      <c r="J470" s="87">
        <f>SUM(J465:J469)</f>
        <v>0</v>
      </c>
      <c r="K470" s="87">
        <f>SUM(K465:K469)</f>
        <v>0</v>
      </c>
      <c r="L470" s="87">
        <f>SUM(L465:L469)</f>
        <v>0</v>
      </c>
      <c r="M470" s="59">
        <f>SUM(J470:L470)</f>
        <v>0</v>
      </c>
      <c r="N470" s="87">
        <f>SUM(N465:N469)</f>
        <v>0</v>
      </c>
      <c r="O470" s="87">
        <f>SUM(O465:O469)</f>
        <v>0</v>
      </c>
      <c r="P470" s="87">
        <f>SUM(P465:P469)</f>
        <v>0</v>
      </c>
      <c r="Q470" s="59">
        <f>SUM(N470:P470)</f>
        <v>0</v>
      </c>
      <c r="R470" s="59">
        <f>+E470+I470+M470+Q470</f>
        <v>1635</v>
      </c>
    </row>
    <row r="471" spans="1:18" ht="15.75" customHeight="1" x14ac:dyDescent="0.3">
      <c r="A471" s="15" t="s">
        <v>60</v>
      </c>
      <c r="B471" s="1"/>
      <c r="C471" s="1"/>
      <c r="D471" s="1"/>
      <c r="E471" s="55" t="s">
        <v>7</v>
      </c>
      <c r="F471" s="1"/>
      <c r="G471" s="1"/>
      <c r="H471" s="1"/>
      <c r="I471" s="55" t="s">
        <v>7</v>
      </c>
      <c r="J471" s="1"/>
      <c r="K471" s="1"/>
      <c r="L471" s="1"/>
      <c r="M471" s="55" t="s">
        <v>7</v>
      </c>
      <c r="N471" s="1"/>
      <c r="O471" s="1"/>
      <c r="P471" s="1"/>
      <c r="Q471" s="55" t="s">
        <v>7</v>
      </c>
      <c r="R471" s="55" t="s">
        <v>7</v>
      </c>
    </row>
    <row r="472" spans="1:18" ht="15.75" customHeight="1" x14ac:dyDescent="0.3">
      <c r="A472" s="15" t="s">
        <v>61</v>
      </c>
      <c r="B472" s="1"/>
      <c r="C472" s="1"/>
      <c r="D472" s="1"/>
      <c r="E472" s="55" t="s">
        <v>7</v>
      </c>
      <c r="F472" s="1"/>
      <c r="G472" s="1"/>
      <c r="H472" s="1"/>
      <c r="I472" s="55" t="s">
        <v>7</v>
      </c>
      <c r="J472" s="1"/>
      <c r="K472" s="1"/>
      <c r="L472" s="1"/>
      <c r="M472" s="55" t="s">
        <v>7</v>
      </c>
      <c r="N472" s="1"/>
      <c r="O472" s="1"/>
      <c r="P472" s="1"/>
      <c r="Q472" s="55" t="s">
        <v>7</v>
      </c>
      <c r="R472" s="55" t="s">
        <v>7</v>
      </c>
    </row>
    <row r="473" spans="1:18" ht="15.75" customHeight="1" x14ac:dyDescent="0.3">
      <c r="A473" s="15" t="s">
        <v>62</v>
      </c>
      <c r="B473" s="1"/>
      <c r="C473" s="1"/>
      <c r="D473" s="1"/>
      <c r="E473" s="55"/>
      <c r="F473" s="1"/>
      <c r="G473" s="1"/>
      <c r="H473" s="1"/>
      <c r="I473" s="55"/>
      <c r="J473" s="1"/>
      <c r="K473" s="1"/>
      <c r="L473" s="1"/>
      <c r="M473" s="55"/>
      <c r="N473" s="1"/>
      <c r="O473" s="1"/>
      <c r="P473" s="1"/>
      <c r="Q473" s="55"/>
      <c r="R473" s="55"/>
    </row>
    <row r="474" spans="1:18" ht="15.75" customHeight="1" thickBot="1" x14ac:dyDescent="0.35">
      <c r="A474" s="71" t="s">
        <v>660</v>
      </c>
      <c r="B474" s="1">
        <v>0</v>
      </c>
      <c r="C474" s="1">
        <v>1000</v>
      </c>
      <c r="D474" s="1">
        <v>0</v>
      </c>
      <c r="E474" s="55">
        <f>SUM(B474:D474)</f>
        <v>1000</v>
      </c>
      <c r="F474" s="1">
        <v>1000</v>
      </c>
      <c r="G474" s="1">
        <v>1261</v>
      </c>
      <c r="H474" s="1">
        <v>0</v>
      </c>
      <c r="I474" s="55">
        <f>SUM(F474:H474)</f>
        <v>2261</v>
      </c>
      <c r="J474" s="1">
        <v>0</v>
      </c>
      <c r="K474" s="1">
        <v>0</v>
      </c>
      <c r="L474" s="1">
        <v>0</v>
      </c>
      <c r="M474" s="55">
        <f>SUM(J474:L474)</f>
        <v>0</v>
      </c>
      <c r="N474" s="1">
        <v>0</v>
      </c>
      <c r="O474" s="1">
        <v>0</v>
      </c>
      <c r="P474" s="1">
        <v>0</v>
      </c>
      <c r="Q474" s="55">
        <f>SUM(N474:P474)</f>
        <v>0</v>
      </c>
      <c r="R474" s="55">
        <f>+E474+I474+M474+Q474</f>
        <v>3261</v>
      </c>
    </row>
    <row r="475" spans="1:18" ht="15.75" customHeight="1" thickBot="1" x14ac:dyDescent="0.35">
      <c r="A475" s="114" t="s">
        <v>63</v>
      </c>
      <c r="B475" s="86">
        <f>SUM(B471:B474)</f>
        <v>0</v>
      </c>
      <c r="C475" s="87">
        <f>SUM(C471:C474)</f>
        <v>1000</v>
      </c>
      <c r="D475" s="87">
        <f>SUM(D471:D474)</f>
        <v>0</v>
      </c>
      <c r="E475" s="59">
        <f>SUM(B475:D475)</f>
        <v>1000</v>
      </c>
      <c r="F475" s="87">
        <f>SUM(F471:F474)</f>
        <v>1000</v>
      </c>
      <c r="G475" s="87">
        <f>SUM(G471:G474)</f>
        <v>1261</v>
      </c>
      <c r="H475" s="87">
        <f>SUM(H471:H474)</f>
        <v>0</v>
      </c>
      <c r="I475" s="59">
        <f>SUM(F475:H475)</f>
        <v>2261</v>
      </c>
      <c r="J475" s="87">
        <f>SUM(J471:J474)</f>
        <v>0</v>
      </c>
      <c r="K475" s="87">
        <f>SUM(K471:K474)</f>
        <v>0</v>
      </c>
      <c r="L475" s="87">
        <f>SUM(L471:L474)</f>
        <v>0</v>
      </c>
      <c r="M475" s="59">
        <f>SUM(J475:L475)</f>
        <v>0</v>
      </c>
      <c r="N475" s="87">
        <f>SUM(N471:N474)</f>
        <v>0</v>
      </c>
      <c r="O475" s="87">
        <f>SUM(O471:O474)</f>
        <v>0</v>
      </c>
      <c r="P475" s="87">
        <f>SUM(P471:P474)</f>
        <v>0</v>
      </c>
      <c r="Q475" s="59">
        <f>SUM(N475:P475)</f>
        <v>0</v>
      </c>
      <c r="R475" s="59">
        <f>+E475+I475+M475+Q475</f>
        <v>3261</v>
      </c>
    </row>
    <row r="476" spans="1:18" ht="15.75" customHeight="1" x14ac:dyDescent="0.3">
      <c r="A476" s="15" t="s">
        <v>64</v>
      </c>
      <c r="B476" s="1"/>
      <c r="C476" s="1"/>
      <c r="D476" s="1"/>
      <c r="E476" s="55" t="s">
        <v>7</v>
      </c>
      <c r="F476" s="1"/>
      <c r="G476" s="1"/>
      <c r="H476" s="1"/>
      <c r="I476" s="55" t="s">
        <v>7</v>
      </c>
      <c r="J476" s="1"/>
      <c r="K476" s="1"/>
      <c r="L476" s="1"/>
      <c r="M476" s="55" t="s">
        <v>7</v>
      </c>
      <c r="N476" s="1"/>
      <c r="O476" s="1"/>
      <c r="P476" s="1"/>
      <c r="Q476" s="55" t="s">
        <v>7</v>
      </c>
      <c r="R476" s="55" t="s">
        <v>7</v>
      </c>
    </row>
    <row r="477" spans="1:18" ht="15.75" customHeight="1" x14ac:dyDescent="0.3">
      <c r="A477" s="15" t="s">
        <v>594</v>
      </c>
      <c r="B477" s="1"/>
      <c r="C477" s="1"/>
      <c r="D477" s="1"/>
      <c r="E477" s="55" t="s">
        <v>7</v>
      </c>
      <c r="F477" s="1"/>
      <c r="G477" s="1"/>
      <c r="H477" s="1"/>
      <c r="I477" s="55" t="s">
        <v>7</v>
      </c>
      <c r="J477" s="1"/>
      <c r="K477" s="1"/>
      <c r="L477" s="1"/>
      <c r="M477" s="55" t="s">
        <v>7</v>
      </c>
      <c r="N477" s="1"/>
      <c r="O477" s="1"/>
      <c r="P477" s="1"/>
      <c r="Q477" s="55" t="s">
        <v>7</v>
      </c>
      <c r="R477" s="55" t="s">
        <v>7</v>
      </c>
    </row>
    <row r="478" spans="1:18" ht="15.75" customHeight="1" x14ac:dyDescent="0.3">
      <c r="A478" s="71" t="s">
        <v>326</v>
      </c>
      <c r="B478" s="1">
        <v>0</v>
      </c>
      <c r="C478" s="1">
        <v>0</v>
      </c>
      <c r="D478" s="1">
        <v>0</v>
      </c>
      <c r="E478" s="55">
        <f>SUM(B478:D478)</f>
        <v>0</v>
      </c>
      <c r="F478" s="1">
        <v>0</v>
      </c>
      <c r="G478" s="1">
        <v>0</v>
      </c>
      <c r="H478" s="1">
        <v>0</v>
      </c>
      <c r="I478" s="55">
        <f>SUM(F478:H478)</f>
        <v>0</v>
      </c>
      <c r="J478" s="1">
        <v>0</v>
      </c>
      <c r="K478" s="1">
        <v>0</v>
      </c>
      <c r="L478" s="1">
        <v>0</v>
      </c>
      <c r="M478" s="55">
        <f>SUM(J478:L478)</f>
        <v>0</v>
      </c>
      <c r="N478" s="1">
        <v>0</v>
      </c>
      <c r="O478" s="1">
        <v>0</v>
      </c>
      <c r="P478" s="1">
        <v>500</v>
      </c>
      <c r="Q478" s="55">
        <f>SUM(N478:P478)</f>
        <v>500</v>
      </c>
      <c r="R478" s="55">
        <f>+E478+I478+M478+Q478</f>
        <v>500</v>
      </c>
    </row>
    <row r="479" spans="1:18" ht="15.75" customHeight="1" x14ac:dyDescent="0.3">
      <c r="A479" s="71" t="s">
        <v>661</v>
      </c>
      <c r="B479" s="1">
        <v>0</v>
      </c>
      <c r="C479" s="1">
        <v>0</v>
      </c>
      <c r="D479" s="1">
        <v>0</v>
      </c>
      <c r="E479" s="55">
        <f>SUM(B479:D479)</f>
        <v>0</v>
      </c>
      <c r="F479" s="1">
        <v>0</v>
      </c>
      <c r="G479" s="1">
        <v>0</v>
      </c>
      <c r="H479" s="1">
        <v>0</v>
      </c>
      <c r="I479" s="55">
        <f>SUM(F479:H479)</f>
        <v>0</v>
      </c>
      <c r="J479" s="1">
        <v>0</v>
      </c>
      <c r="K479" s="1">
        <v>0</v>
      </c>
      <c r="L479" s="1">
        <v>0</v>
      </c>
      <c r="M479" s="55">
        <f>SUM(J479:L479)</f>
        <v>0</v>
      </c>
      <c r="N479" s="1">
        <v>0</v>
      </c>
      <c r="O479" s="1">
        <v>0</v>
      </c>
      <c r="P479" s="1">
        <v>0</v>
      </c>
      <c r="Q479" s="55">
        <f>SUM(N479:P479)</f>
        <v>0</v>
      </c>
      <c r="R479" s="55">
        <f>+E479+I479+M479+Q479</f>
        <v>0</v>
      </c>
    </row>
    <row r="480" spans="1:18" ht="15.75" customHeight="1" x14ac:dyDescent="0.3">
      <c r="A480" s="15" t="s">
        <v>67</v>
      </c>
      <c r="B480" s="1"/>
      <c r="C480" s="1"/>
      <c r="D480" s="1"/>
      <c r="E480" s="55" t="s">
        <v>7</v>
      </c>
      <c r="F480" s="1"/>
      <c r="G480" s="1"/>
      <c r="H480" s="1"/>
      <c r="I480" s="55" t="s">
        <v>7</v>
      </c>
      <c r="J480" s="1"/>
      <c r="K480" s="1"/>
      <c r="L480" s="1"/>
      <c r="M480" s="55" t="s">
        <v>7</v>
      </c>
      <c r="N480" s="1"/>
      <c r="O480" s="1"/>
      <c r="P480" s="1"/>
      <c r="Q480" s="55" t="s">
        <v>7</v>
      </c>
      <c r="R480" s="55" t="s">
        <v>7</v>
      </c>
    </row>
    <row r="481" spans="1:18" ht="15.75" customHeight="1" x14ac:dyDescent="0.3">
      <c r="A481" s="71" t="s">
        <v>328</v>
      </c>
      <c r="B481" s="1">
        <v>607</v>
      </c>
      <c r="C481" s="1">
        <v>428</v>
      </c>
      <c r="D481" s="1">
        <v>565</v>
      </c>
      <c r="E481" s="55">
        <f>SUM(B481:D481)</f>
        <v>1600</v>
      </c>
      <c r="F481" s="1">
        <v>438</v>
      </c>
      <c r="G481" s="1">
        <v>500</v>
      </c>
      <c r="H481" s="1">
        <v>471</v>
      </c>
      <c r="I481" s="55">
        <f>SUM(F481:H481)</f>
        <v>1409</v>
      </c>
      <c r="J481" s="1">
        <v>419</v>
      </c>
      <c r="K481" s="1">
        <v>349</v>
      </c>
      <c r="L481" s="1">
        <v>0</v>
      </c>
      <c r="M481" s="55">
        <f>SUM(J481:L481)</f>
        <v>768</v>
      </c>
      <c r="N481" s="1">
        <v>0</v>
      </c>
      <c r="O481" s="1">
        <v>0</v>
      </c>
      <c r="P481" s="1">
        <v>0</v>
      </c>
      <c r="Q481" s="55">
        <f>SUM(N481:P481)</f>
        <v>0</v>
      </c>
      <c r="R481" s="55">
        <f>+E481+I481+M481+Q481</f>
        <v>3777</v>
      </c>
    </row>
    <row r="482" spans="1:18" ht="15.75" customHeight="1" x14ac:dyDescent="0.3">
      <c r="A482" s="71" t="s">
        <v>329</v>
      </c>
      <c r="B482" s="1">
        <v>0</v>
      </c>
      <c r="C482" s="1">
        <v>0</v>
      </c>
      <c r="D482" s="1">
        <v>0</v>
      </c>
      <c r="E482" s="55">
        <f>SUM(B482:D482)</f>
        <v>0</v>
      </c>
      <c r="F482" s="1">
        <v>0</v>
      </c>
      <c r="G482" s="1">
        <v>0</v>
      </c>
      <c r="H482" s="1">
        <v>0</v>
      </c>
      <c r="I482" s="55">
        <f>SUM(F482:H482)</f>
        <v>0</v>
      </c>
      <c r="J482" s="1">
        <v>0</v>
      </c>
      <c r="K482" s="1">
        <v>0</v>
      </c>
      <c r="L482" s="1">
        <v>226</v>
      </c>
      <c r="M482" s="55">
        <f>SUM(J482:L482)</f>
        <v>226</v>
      </c>
      <c r="N482" s="1">
        <v>116</v>
      </c>
      <c r="O482" s="1">
        <v>0</v>
      </c>
      <c r="P482" s="1">
        <v>204</v>
      </c>
      <c r="Q482" s="55">
        <f>SUM(N482:P482)</f>
        <v>320</v>
      </c>
      <c r="R482" s="55">
        <f>+E482+I482+M482+Q482</f>
        <v>546</v>
      </c>
    </row>
    <row r="483" spans="1:18" ht="15.75" customHeight="1" x14ac:dyDescent="0.3">
      <c r="A483" s="71" t="s">
        <v>330</v>
      </c>
      <c r="B483" s="1">
        <v>3957</v>
      </c>
      <c r="C483" s="1">
        <v>1709</v>
      </c>
      <c r="D483" s="1">
        <v>3854</v>
      </c>
      <c r="E483" s="55">
        <f>SUM(B483:D483)</f>
        <v>9520</v>
      </c>
      <c r="F483" s="1">
        <v>2920</v>
      </c>
      <c r="G483" s="1">
        <v>2733</v>
      </c>
      <c r="H483" s="1">
        <v>3777</v>
      </c>
      <c r="I483" s="55">
        <f>SUM(F483:H483)</f>
        <v>9430</v>
      </c>
      <c r="J483" s="1">
        <v>1484</v>
      </c>
      <c r="K483" s="1">
        <v>211</v>
      </c>
      <c r="L483" s="1">
        <v>0</v>
      </c>
      <c r="M483" s="55">
        <f>SUM(J483:L483)</f>
        <v>1695</v>
      </c>
      <c r="N483" s="1">
        <v>0</v>
      </c>
      <c r="O483" s="1">
        <v>0</v>
      </c>
      <c r="P483" s="1">
        <v>0</v>
      </c>
      <c r="Q483" s="55">
        <f>SUM(N483:P483)</f>
        <v>0</v>
      </c>
      <c r="R483" s="55">
        <f>+E483+I483+M483+Q483</f>
        <v>20645</v>
      </c>
    </row>
    <row r="484" spans="1:18" ht="15.75" customHeight="1" x14ac:dyDescent="0.3">
      <c r="A484" s="71" t="s">
        <v>331</v>
      </c>
      <c r="B484" s="1">
        <v>0</v>
      </c>
      <c r="C484" s="1">
        <v>0</v>
      </c>
      <c r="D484" s="1">
        <v>0</v>
      </c>
      <c r="E484" s="55">
        <f>SUM(B484:D484)</f>
        <v>0</v>
      </c>
      <c r="F484" s="1">
        <v>0</v>
      </c>
      <c r="G484" s="1">
        <v>0</v>
      </c>
      <c r="H484" s="1">
        <v>0</v>
      </c>
      <c r="I484" s="55">
        <f>SUM(F484:H484)</f>
        <v>0</v>
      </c>
      <c r="J484" s="1">
        <v>0</v>
      </c>
      <c r="K484" s="1">
        <v>0</v>
      </c>
      <c r="L484" s="1">
        <v>3557</v>
      </c>
      <c r="M484" s="55">
        <f>SUM(J484:L484)</f>
        <v>3557</v>
      </c>
      <c r="N484" s="1">
        <v>1657</v>
      </c>
      <c r="O484" s="1">
        <v>2066</v>
      </c>
      <c r="P484" s="1">
        <v>1174</v>
      </c>
      <c r="Q484" s="55">
        <f>SUM(N484:P484)</f>
        <v>4897</v>
      </c>
      <c r="R484" s="55">
        <f>+E484+I484+M484+Q484</f>
        <v>8454</v>
      </c>
    </row>
    <row r="485" spans="1:18" ht="15.75" customHeight="1" x14ac:dyDescent="0.3">
      <c r="A485" s="15" t="s">
        <v>600</v>
      </c>
      <c r="B485" s="1"/>
      <c r="C485" s="1"/>
      <c r="D485" s="1"/>
      <c r="E485" s="55" t="s">
        <v>7</v>
      </c>
      <c r="F485" s="1"/>
      <c r="G485" s="1"/>
      <c r="H485" s="1"/>
      <c r="I485" s="55" t="s">
        <v>7</v>
      </c>
      <c r="J485" s="1"/>
      <c r="K485" s="1"/>
      <c r="L485" s="1"/>
      <c r="M485" s="55" t="s">
        <v>7</v>
      </c>
      <c r="N485" s="1"/>
      <c r="O485" s="1"/>
      <c r="P485" s="1"/>
      <c r="Q485" s="55" t="s">
        <v>7</v>
      </c>
      <c r="R485" s="55" t="s">
        <v>7</v>
      </c>
    </row>
    <row r="486" spans="1:18" ht="15.75" customHeight="1" x14ac:dyDescent="0.3">
      <c r="A486" s="15" t="s">
        <v>70</v>
      </c>
      <c r="B486" s="1"/>
      <c r="C486" s="1"/>
      <c r="D486" s="1"/>
      <c r="E486" s="55" t="s">
        <v>7</v>
      </c>
      <c r="F486" s="1"/>
      <c r="G486" s="1"/>
      <c r="H486" s="1"/>
      <c r="I486" s="55" t="s">
        <v>7</v>
      </c>
      <c r="J486" s="1"/>
      <c r="K486" s="1"/>
      <c r="L486" s="1"/>
      <c r="M486" s="55" t="s">
        <v>7</v>
      </c>
      <c r="N486" s="1"/>
      <c r="O486" s="1"/>
      <c r="P486" s="1"/>
      <c r="Q486" s="55" t="s">
        <v>7</v>
      </c>
      <c r="R486" s="55" t="s">
        <v>7</v>
      </c>
    </row>
    <row r="487" spans="1:18" ht="15.75" customHeight="1" thickBot="1" x14ac:dyDescent="0.35">
      <c r="A487" s="71" t="s">
        <v>659</v>
      </c>
      <c r="B487" s="1">
        <v>0</v>
      </c>
      <c r="C487" s="1">
        <v>0</v>
      </c>
      <c r="D487" s="1">
        <v>0</v>
      </c>
      <c r="E487" s="55">
        <f>SUM(B487:D487)</f>
        <v>0</v>
      </c>
      <c r="F487" s="1">
        <v>1030</v>
      </c>
      <c r="G487" s="1">
        <v>1602</v>
      </c>
      <c r="H487" s="1">
        <v>492</v>
      </c>
      <c r="I487" s="55">
        <f>SUM(F487:H487)</f>
        <v>3124</v>
      </c>
      <c r="J487" s="1">
        <v>715</v>
      </c>
      <c r="K487" s="1">
        <v>158</v>
      </c>
      <c r="L487" s="1">
        <v>0</v>
      </c>
      <c r="M487" s="55">
        <f>SUM(J487:L487)</f>
        <v>873</v>
      </c>
      <c r="N487" s="1">
        <v>0</v>
      </c>
      <c r="O487" s="1">
        <v>0</v>
      </c>
      <c r="P487" s="1">
        <v>3</v>
      </c>
      <c r="Q487" s="55">
        <f>SUM(N487:P487)</f>
        <v>3</v>
      </c>
      <c r="R487" s="55">
        <f>+E487+I487+M487+Q487</f>
        <v>4000</v>
      </c>
    </row>
    <row r="488" spans="1:18" ht="15.75" customHeight="1" thickBot="1" x14ac:dyDescent="0.35">
      <c r="A488" s="57" t="s">
        <v>71</v>
      </c>
      <c r="B488" s="146">
        <f>SUM(B486:B487)</f>
        <v>0</v>
      </c>
      <c r="C488" s="146">
        <f>SUM(C486:C487)</f>
        <v>0</v>
      </c>
      <c r="D488" s="146">
        <f>SUM(D486:D487)</f>
        <v>0</v>
      </c>
      <c r="E488" s="60">
        <f>SUM(B488:D488)</f>
        <v>0</v>
      </c>
      <c r="F488" s="146">
        <f>SUM(F486:F487)</f>
        <v>1030</v>
      </c>
      <c r="G488" s="146">
        <f>SUM(G486:G487)</f>
        <v>1602</v>
      </c>
      <c r="H488" s="146">
        <f>SUM(H486:H487)</f>
        <v>492</v>
      </c>
      <c r="I488" s="60">
        <f>SUM(F488:H488)</f>
        <v>3124</v>
      </c>
      <c r="J488" s="146">
        <f>SUM(J486:J487)</f>
        <v>715</v>
      </c>
      <c r="K488" s="146">
        <f>SUM(K486:K487)</f>
        <v>158</v>
      </c>
      <c r="L488" s="146">
        <f>SUM(L486:L487)</f>
        <v>0</v>
      </c>
      <c r="M488" s="60">
        <f>SUM(J488:L488)</f>
        <v>873</v>
      </c>
      <c r="N488" s="146">
        <f>SUM(N486:N487)</f>
        <v>0</v>
      </c>
      <c r="O488" s="146">
        <f>SUM(O486:O487)</f>
        <v>0</v>
      </c>
      <c r="P488" s="146">
        <f>SUM(P486:P487)</f>
        <v>3</v>
      </c>
      <c r="Q488" s="60">
        <f>SUM(N488:P488)</f>
        <v>3</v>
      </c>
      <c r="R488" s="59">
        <f>+E488+I488+M488+Q488</f>
        <v>4000</v>
      </c>
    </row>
    <row r="489" spans="1:18" ht="15.75" customHeight="1" thickBot="1" x14ac:dyDescent="0.35">
      <c r="A489" s="114" t="s">
        <v>72</v>
      </c>
      <c r="B489" s="86">
        <f>SUM(B476:B487)</f>
        <v>4564</v>
      </c>
      <c r="C489" s="87">
        <f>SUM(C476:C487)</f>
        <v>2137</v>
      </c>
      <c r="D489" s="118">
        <f>SUM(D476:D487)</f>
        <v>4419</v>
      </c>
      <c r="E489" s="60">
        <f>SUM(B489:D489)</f>
        <v>11120</v>
      </c>
      <c r="F489" s="86">
        <f>SUM(F476:F487)</f>
        <v>4388</v>
      </c>
      <c r="G489" s="87">
        <f>SUM(G476:G487)</f>
        <v>4835</v>
      </c>
      <c r="H489" s="118">
        <f>SUM(H476:H487)</f>
        <v>4740</v>
      </c>
      <c r="I489" s="60">
        <f>SUM(F489:H489)</f>
        <v>13963</v>
      </c>
      <c r="J489" s="86">
        <f>SUM(J476:J487)</f>
        <v>2618</v>
      </c>
      <c r="K489" s="87">
        <f>SUM(K476:K487)</f>
        <v>718</v>
      </c>
      <c r="L489" s="118">
        <f>SUM(L476:L487)</f>
        <v>3783</v>
      </c>
      <c r="M489" s="60">
        <f>SUM(J489:L489)</f>
        <v>7119</v>
      </c>
      <c r="N489" s="86">
        <f>SUM(N476:N487)</f>
        <v>1773</v>
      </c>
      <c r="O489" s="87">
        <f>SUM(O476:O487)</f>
        <v>2066</v>
      </c>
      <c r="P489" s="118">
        <f>SUM(P476:P487)</f>
        <v>1881</v>
      </c>
      <c r="Q489" s="60">
        <f>SUM(N489:P489)</f>
        <v>5720</v>
      </c>
      <c r="R489" s="59">
        <f>+E489+I489+M489+Q489</f>
        <v>37922</v>
      </c>
    </row>
    <row r="490" spans="1:18" ht="15.75" customHeight="1" thickBot="1" x14ac:dyDescent="0.35">
      <c r="A490" s="57" t="s">
        <v>73</v>
      </c>
      <c r="B490" s="148">
        <f>+B464+B470+B475+B489</f>
        <v>4954</v>
      </c>
      <c r="C490" s="149">
        <f>+C464+C470+C475+C489</f>
        <v>3632</v>
      </c>
      <c r="D490" s="149">
        <f>+D464+D470+D475+D489</f>
        <v>5801</v>
      </c>
      <c r="E490" s="59">
        <f>SUM(B490:D490)</f>
        <v>14387</v>
      </c>
      <c r="F490" s="58">
        <f>+F464+F470+F475+F489</f>
        <v>8632</v>
      </c>
      <c r="G490" s="58">
        <f>+G464+G470+G475+G489</f>
        <v>7125</v>
      </c>
      <c r="H490" s="58">
        <f>+H464+H470+H475+H489</f>
        <v>6412</v>
      </c>
      <c r="I490" s="59">
        <f>SUM(F490:H490)</f>
        <v>22169</v>
      </c>
      <c r="J490" s="58">
        <f>+J464+J470+J475+J489</f>
        <v>6699</v>
      </c>
      <c r="K490" s="58">
        <f>+K464+K470+K475+K489</f>
        <v>4773</v>
      </c>
      <c r="L490" s="58">
        <f>+L464+L470+L475+L489</f>
        <v>4297</v>
      </c>
      <c r="M490" s="59">
        <f>SUM(J490:L490)</f>
        <v>15769</v>
      </c>
      <c r="N490" s="58">
        <f>+N464+N470+N475+N489</f>
        <v>1845</v>
      </c>
      <c r="O490" s="58">
        <f>+O464+O470+O475+O489</f>
        <v>2066</v>
      </c>
      <c r="P490" s="58">
        <f>+P464+P470+P475+P489</f>
        <v>1881</v>
      </c>
      <c r="Q490" s="59">
        <f>SUM(N490:P490)</f>
        <v>5792</v>
      </c>
      <c r="R490" s="81">
        <f>+E490+I490+M490+Q490</f>
        <v>58117</v>
      </c>
    </row>
    <row r="491" spans="1:18" ht="15.75" customHeight="1" thickBot="1" x14ac:dyDescent="0.35">
      <c r="A491" s="39" t="s">
        <v>40</v>
      </c>
      <c r="B491" s="21">
        <v>17</v>
      </c>
      <c r="C491" s="21">
        <v>47</v>
      </c>
      <c r="D491" s="21">
        <v>84</v>
      </c>
      <c r="E491" s="55">
        <f>SUM(B491:D491)</f>
        <v>148</v>
      </c>
      <c r="F491" s="21">
        <v>116</v>
      </c>
      <c r="G491" s="21">
        <v>132</v>
      </c>
      <c r="H491" s="21">
        <v>138</v>
      </c>
      <c r="I491" s="55">
        <f>SUM(F491:H491)</f>
        <v>386</v>
      </c>
      <c r="J491" s="21">
        <v>126</v>
      </c>
      <c r="K491" s="21">
        <v>95</v>
      </c>
      <c r="L491" s="21">
        <v>99</v>
      </c>
      <c r="M491" s="55">
        <f>SUM(J491:L491)</f>
        <v>320</v>
      </c>
      <c r="N491" s="21">
        <v>91</v>
      </c>
      <c r="O491" s="21">
        <v>67</v>
      </c>
      <c r="P491" s="21">
        <v>38</v>
      </c>
      <c r="Q491" s="55">
        <f>SUM(N491:P491)</f>
        <v>196</v>
      </c>
      <c r="R491" s="55">
        <f>+E491+I491+M491+Q491</f>
        <v>1050</v>
      </c>
    </row>
    <row r="492" spans="1:18" ht="15.75" customHeight="1" thickBot="1" x14ac:dyDescent="0.35">
      <c r="A492" s="41"/>
      <c r="B492" s="36"/>
      <c r="C492" s="36"/>
      <c r="D492" s="36"/>
      <c r="E492" s="42"/>
      <c r="F492" s="36"/>
      <c r="G492" s="36"/>
      <c r="H492" s="36"/>
      <c r="I492" s="42"/>
      <c r="J492" s="36"/>
      <c r="K492" s="36"/>
      <c r="L492" s="36"/>
      <c r="M492" s="42"/>
      <c r="N492" s="36"/>
      <c r="O492" s="36"/>
      <c r="P492" s="36"/>
      <c r="Q492" s="42"/>
      <c r="R492" s="42"/>
    </row>
    <row r="493" spans="1:18" ht="15.75" customHeight="1" x14ac:dyDescent="0.3">
      <c r="A493" s="76" t="s">
        <v>314</v>
      </c>
      <c r="B493" s="77">
        <f>SUM(B490:B491)</f>
        <v>4971</v>
      </c>
      <c r="C493" s="77">
        <f>SUM(C490:C491)</f>
        <v>3679</v>
      </c>
      <c r="D493" s="77">
        <f>SUM(D490:D491)</f>
        <v>5885</v>
      </c>
      <c r="E493" s="60">
        <f>SUM(B493:D493)</f>
        <v>14535</v>
      </c>
      <c r="F493" s="77">
        <f>SUM(F490:F491)</f>
        <v>8748</v>
      </c>
      <c r="G493" s="77">
        <f>SUM(G490:G491)</f>
        <v>7257</v>
      </c>
      <c r="H493" s="77">
        <f>SUM(H490:H491)</f>
        <v>6550</v>
      </c>
      <c r="I493" s="60">
        <f>SUM(F493:H493)</f>
        <v>22555</v>
      </c>
      <c r="J493" s="77">
        <f>SUM(J490:J491)</f>
        <v>6825</v>
      </c>
      <c r="K493" s="77">
        <f>SUM(K490:K491)</f>
        <v>4868</v>
      </c>
      <c r="L493" s="77">
        <f>SUM(L490:L491)</f>
        <v>4396</v>
      </c>
      <c r="M493" s="60">
        <f>SUM(J493:L493)</f>
        <v>16089</v>
      </c>
      <c r="N493" s="77">
        <f>SUM(N490:N491)</f>
        <v>1936</v>
      </c>
      <c r="O493" s="77">
        <f>SUM(O490:O491)</f>
        <v>2133</v>
      </c>
      <c r="P493" s="77">
        <f>SUM(P490:P491)</f>
        <v>1919</v>
      </c>
      <c r="Q493" s="60">
        <f>SUM(N493:P493)</f>
        <v>5988</v>
      </c>
      <c r="R493" s="60">
        <f>+E493+I493+M493+Q493</f>
        <v>59167</v>
      </c>
    </row>
    <row r="494" spans="1:18" ht="15.75" customHeight="1" x14ac:dyDescent="0.3">
      <c r="A494" s="79" t="s">
        <v>42</v>
      </c>
      <c r="B494" s="1">
        <f>(B493/31)/1.983</f>
        <v>80.864769898980029</v>
      </c>
      <c r="C494" s="1">
        <f>(C493/28)/1.983</f>
        <v>66.259635472948631</v>
      </c>
      <c r="D494" s="1">
        <f>(D493/31)/1.983</f>
        <v>95.73308607030728</v>
      </c>
      <c r="E494" s="55" t="s">
        <v>7</v>
      </c>
      <c r="F494" s="1">
        <f>(F493/30)/1.983</f>
        <v>147.0499243570348</v>
      </c>
      <c r="G494" s="1">
        <f>(G493/31)/1.983</f>
        <v>118.05182763164315</v>
      </c>
      <c r="H494" s="1">
        <f>(H493/30)/1.983</f>
        <v>110.10253824172129</v>
      </c>
      <c r="I494" s="55" t="s">
        <v>7</v>
      </c>
      <c r="J494" s="1">
        <f>(J493/31)/1.983</f>
        <v>111.02435215460446</v>
      </c>
      <c r="K494" s="1">
        <f>(K493/31)/1.983</f>
        <v>79.189237551445345</v>
      </c>
      <c r="L494" s="1">
        <f>(L493/30)/1.983</f>
        <v>73.894772230626998</v>
      </c>
      <c r="M494" s="55" t="s">
        <v>7</v>
      </c>
      <c r="N494" s="1">
        <f>(N493/31)/1.983</f>
        <v>31.493501211914172</v>
      </c>
      <c r="O494" s="1">
        <f>(O493/30)/1.983</f>
        <v>35.854765506807865</v>
      </c>
      <c r="P494" s="1">
        <f>(P493/31)/1.983</f>
        <v>31.216957038049223</v>
      </c>
      <c r="Q494" s="55" t="s">
        <v>7</v>
      </c>
      <c r="R494" s="55" t="s">
        <v>7</v>
      </c>
    </row>
    <row r="495" spans="1:18" ht="15.75" customHeight="1" x14ac:dyDescent="0.3">
      <c r="A495" s="79" t="s">
        <v>332</v>
      </c>
      <c r="B495" s="1">
        <f>B493+B505</f>
        <v>17814</v>
      </c>
      <c r="C495" s="1">
        <f>C493+C505</f>
        <v>16536</v>
      </c>
      <c r="D495" s="1">
        <f>D493+D505</f>
        <v>25877</v>
      </c>
      <c r="E495" s="55">
        <f>SUM(B495:D495)</f>
        <v>60227</v>
      </c>
      <c r="F495" s="1">
        <f>F493+F505</f>
        <v>29641</v>
      </c>
      <c r="G495" s="1">
        <f>G493+G505</f>
        <v>27868</v>
      </c>
      <c r="H495" s="1">
        <f>H493+H505</f>
        <v>23989</v>
      </c>
      <c r="I495" s="55">
        <f>SUM(F495:H495)</f>
        <v>81498</v>
      </c>
      <c r="J495" s="1">
        <f>J493+J505</f>
        <v>23878</v>
      </c>
      <c r="K495" s="1">
        <f>K493+K505</f>
        <v>24376</v>
      </c>
      <c r="L495" s="1">
        <f>L493+L505</f>
        <v>20903</v>
      </c>
      <c r="M495" s="55">
        <f>SUM(J495:L495)</f>
        <v>69157</v>
      </c>
      <c r="N495" s="1">
        <f>N493+N505</f>
        <v>7170</v>
      </c>
      <c r="O495" s="1">
        <f>O493+O505</f>
        <v>13555</v>
      </c>
      <c r="P495" s="1">
        <f>P493+P505</f>
        <v>6962</v>
      </c>
      <c r="Q495" s="55">
        <f>SUM(N495:P495)</f>
        <v>27687</v>
      </c>
      <c r="R495" s="55">
        <f>+E495+I495+M495+Q495</f>
        <v>238569</v>
      </c>
    </row>
    <row r="496" spans="1:18" ht="15.75" customHeight="1" thickBot="1" x14ac:dyDescent="0.35">
      <c r="A496" s="80" t="s">
        <v>333</v>
      </c>
      <c r="B496" s="25">
        <f>(B495/31)/1.983</f>
        <v>289.78575960177636</v>
      </c>
      <c r="C496" s="25">
        <f>(C495/28)/1.983</f>
        <v>297.81716014696343</v>
      </c>
      <c r="D496" s="25">
        <f>(D495/31)/1.983</f>
        <v>420.9490345354871</v>
      </c>
      <c r="E496" s="81" t="s">
        <v>7</v>
      </c>
      <c r="F496" s="25">
        <f>(F495/30)/1.983</f>
        <v>498.25180702639096</v>
      </c>
      <c r="G496" s="25">
        <f>(G495/31)/1.983</f>
        <v>453.33723748637613</v>
      </c>
      <c r="H496" s="25">
        <f>(H495/30)/1.983</f>
        <v>403.24424272987056</v>
      </c>
      <c r="I496" s="81" t="s">
        <v>7</v>
      </c>
      <c r="J496" s="25">
        <f>(J495/31)/1.983</f>
        <v>388.43069314983813</v>
      </c>
      <c r="K496" s="25">
        <f>(K495/31)/1.983</f>
        <v>396.53181071364662</v>
      </c>
      <c r="L496" s="25">
        <f>(L495/30)/1.983</f>
        <v>351.3699781475878</v>
      </c>
      <c r="M496" s="81" t="s">
        <v>7</v>
      </c>
      <c r="N496" s="25">
        <f>(N495/31)/1.983</f>
        <v>116.63657215362841</v>
      </c>
      <c r="O496" s="25">
        <f>(O495/30)/1.983</f>
        <v>227.853420742982</v>
      </c>
      <c r="P496" s="25">
        <f>(P495/31)/1.983</f>
        <v>113.25297284986905</v>
      </c>
      <c r="Q496" s="81" t="s">
        <v>7</v>
      </c>
      <c r="R496" s="81" t="s">
        <v>7</v>
      </c>
    </row>
    <row r="497" spans="1:18" ht="15.75" customHeight="1" x14ac:dyDescent="0.3">
      <c r="A497" s="2"/>
      <c r="B497" s="1"/>
      <c r="C497" s="1"/>
      <c r="D497" s="1"/>
      <c r="E497" s="1"/>
      <c r="F497" s="1"/>
      <c r="G497" s="1"/>
      <c r="H497" s="1"/>
      <c r="I497" s="1"/>
      <c r="J497" s="1"/>
      <c r="K497" s="1"/>
      <c r="L497" s="1"/>
      <c r="M497" s="1"/>
      <c r="N497" s="1"/>
      <c r="O497" s="1"/>
      <c r="P497" s="1"/>
      <c r="Q497" s="1"/>
      <c r="R497" s="2"/>
    </row>
    <row r="498" spans="1:18" ht="15.75" customHeight="1" thickBot="1" x14ac:dyDescent="0.35">
      <c r="A498" s="106"/>
      <c r="B498" s="21"/>
      <c r="C498" s="21"/>
      <c r="D498" s="21"/>
      <c r="E498" s="21"/>
      <c r="F498" s="21"/>
      <c r="G498" s="21"/>
      <c r="H498" s="21"/>
      <c r="I498" s="21"/>
      <c r="J498" s="21"/>
      <c r="K498" s="21"/>
      <c r="L498" s="21"/>
      <c r="M498" s="21"/>
      <c r="N498" s="21"/>
      <c r="O498" s="21"/>
      <c r="P498" s="21"/>
      <c r="Q498" s="21"/>
      <c r="R498" s="106"/>
    </row>
    <row r="499" spans="1:18" ht="15.75" customHeight="1" thickBot="1" x14ac:dyDescent="0.35">
      <c r="A499" s="124" t="s">
        <v>334</v>
      </c>
      <c r="B499" s="30" t="s">
        <v>8</v>
      </c>
      <c r="C499" s="31" t="s">
        <v>9</v>
      </c>
      <c r="D499" s="31" t="s">
        <v>10</v>
      </c>
      <c r="E499" s="32" t="s">
        <v>11</v>
      </c>
      <c r="F499" s="31" t="s">
        <v>12</v>
      </c>
      <c r="G499" s="31" t="s">
        <v>13</v>
      </c>
      <c r="H499" s="31" t="s">
        <v>14</v>
      </c>
      <c r="I499" s="33" t="s">
        <v>15</v>
      </c>
      <c r="J499" s="31" t="s">
        <v>16</v>
      </c>
      <c r="K499" s="31" t="s">
        <v>17</v>
      </c>
      <c r="L499" s="31" t="s">
        <v>18</v>
      </c>
      <c r="M499" s="33" t="s">
        <v>19</v>
      </c>
      <c r="N499" s="31" t="s">
        <v>20</v>
      </c>
      <c r="O499" s="31" t="s">
        <v>21</v>
      </c>
      <c r="P499" s="31" t="s">
        <v>22</v>
      </c>
      <c r="Q499" s="32" t="s">
        <v>23</v>
      </c>
      <c r="R499" s="49" t="s">
        <v>24</v>
      </c>
    </row>
    <row r="500" spans="1:18" ht="15.75" customHeight="1" thickBot="1" x14ac:dyDescent="0.35">
      <c r="A500" s="41"/>
      <c r="B500" s="36"/>
      <c r="C500" s="36"/>
      <c r="D500" s="36"/>
      <c r="E500" s="37"/>
      <c r="F500" s="36"/>
      <c r="G500" s="36"/>
      <c r="H500" s="36"/>
      <c r="I500" s="37"/>
      <c r="J500" s="36"/>
      <c r="K500" s="36"/>
      <c r="L500" s="36"/>
      <c r="M500" s="37"/>
      <c r="N500" s="36"/>
      <c r="O500" s="36"/>
      <c r="P500" s="36"/>
      <c r="Q500" s="127"/>
      <c r="R500" s="128"/>
    </row>
    <row r="501" spans="1:18" ht="15.75" customHeight="1" thickBot="1" x14ac:dyDescent="0.35">
      <c r="A501" s="39" t="s">
        <v>40</v>
      </c>
      <c r="B501" s="21">
        <v>20</v>
      </c>
      <c r="C501" s="21">
        <v>22</v>
      </c>
      <c r="D501" s="21">
        <v>28</v>
      </c>
      <c r="E501" s="55">
        <f>SUM(B501:D501)</f>
        <v>70</v>
      </c>
      <c r="F501" s="21">
        <v>37</v>
      </c>
      <c r="G501" s="21">
        <v>42</v>
      </c>
      <c r="H501" s="21">
        <v>44</v>
      </c>
      <c r="I501" s="55">
        <f>SUM(F501:H501)</f>
        <v>123</v>
      </c>
      <c r="J501" s="21">
        <v>39</v>
      </c>
      <c r="K501" s="21">
        <v>36</v>
      </c>
      <c r="L501" s="21">
        <v>34</v>
      </c>
      <c r="M501" s="55">
        <f>SUM(J501:L501)</f>
        <v>109</v>
      </c>
      <c r="N501" s="21">
        <v>29</v>
      </c>
      <c r="O501" s="21">
        <v>23</v>
      </c>
      <c r="P501" s="21">
        <v>19</v>
      </c>
      <c r="Q501" s="55">
        <f>SUM(N501:P501)</f>
        <v>71</v>
      </c>
      <c r="R501" s="55">
        <f>+E501+I501+M501+Q501</f>
        <v>373</v>
      </c>
    </row>
    <row r="502" spans="1:18" ht="15.75" customHeight="1" thickBot="1" x14ac:dyDescent="0.35">
      <c r="A502" s="41"/>
      <c r="B502" s="36"/>
      <c r="C502" s="36"/>
      <c r="D502" s="36"/>
      <c r="E502" s="52"/>
      <c r="F502" s="36"/>
      <c r="G502" s="36"/>
      <c r="H502" s="36"/>
      <c r="I502" s="52"/>
      <c r="J502" s="36"/>
      <c r="K502" s="36"/>
      <c r="L502" s="36"/>
      <c r="M502" s="52"/>
      <c r="N502" s="36"/>
      <c r="O502" s="36"/>
      <c r="P502" s="36"/>
      <c r="Q502" s="52"/>
      <c r="R502" s="42"/>
    </row>
    <row r="503" spans="1:18" ht="15.75" customHeight="1" x14ac:dyDescent="0.3">
      <c r="A503" s="76" t="s">
        <v>314</v>
      </c>
      <c r="B503" s="77">
        <f>B501</f>
        <v>20</v>
      </c>
      <c r="C503" s="77">
        <f>C501</f>
        <v>22</v>
      </c>
      <c r="D503" s="77">
        <f>D501</f>
        <v>28</v>
      </c>
      <c r="E503" s="60">
        <f>SUM(B503:D503)</f>
        <v>70</v>
      </c>
      <c r="F503" s="77">
        <f>F501</f>
        <v>37</v>
      </c>
      <c r="G503" s="77">
        <f>G501</f>
        <v>42</v>
      </c>
      <c r="H503" s="77">
        <f>H501</f>
        <v>44</v>
      </c>
      <c r="I503" s="60">
        <f>SUM(F503:H503)</f>
        <v>123</v>
      </c>
      <c r="J503" s="77">
        <f>J501</f>
        <v>39</v>
      </c>
      <c r="K503" s="77">
        <f>K501</f>
        <v>36</v>
      </c>
      <c r="L503" s="77">
        <f>L501</f>
        <v>34</v>
      </c>
      <c r="M503" s="60">
        <f>SUM(J503:L503)</f>
        <v>109</v>
      </c>
      <c r="N503" s="77">
        <f>N501</f>
        <v>29</v>
      </c>
      <c r="O503" s="77">
        <f>O501</f>
        <v>23</v>
      </c>
      <c r="P503" s="77">
        <f>P501</f>
        <v>19</v>
      </c>
      <c r="Q503" s="60">
        <f>SUM(N503:P503)</f>
        <v>71</v>
      </c>
      <c r="R503" s="60">
        <f>+E503+I503+M503+Q503</f>
        <v>373</v>
      </c>
    </row>
    <row r="504" spans="1:18" ht="15.75" customHeight="1" x14ac:dyDescent="0.3">
      <c r="A504" s="79" t="s">
        <v>42</v>
      </c>
      <c r="B504" s="1">
        <f>(B503/31)/1.983</f>
        <v>0.32534608689993977</v>
      </c>
      <c r="C504" s="1">
        <f>(C503/28)/1.983</f>
        <v>0.39622505583171236</v>
      </c>
      <c r="D504" s="1">
        <f>(D503/31)/1.983</f>
        <v>0.45548452165991571</v>
      </c>
      <c r="E504" s="55" t="s">
        <v>7</v>
      </c>
      <c r="F504" s="1">
        <f>(F503/30)/1.983</f>
        <v>0.62195326945705165</v>
      </c>
      <c r="G504" s="1">
        <f>(G503/31)/1.983</f>
        <v>0.68322678248987356</v>
      </c>
      <c r="H504" s="1">
        <f>(H503/30)/1.983</f>
        <v>0.73962010421919644</v>
      </c>
      <c r="I504" s="55" t="s">
        <v>7</v>
      </c>
      <c r="J504" s="1">
        <f>(J503/31)/1.983</f>
        <v>0.63442486945488263</v>
      </c>
      <c r="K504" s="1">
        <f>(K503/31)/1.983</f>
        <v>0.5856229564198917</v>
      </c>
      <c r="L504" s="1">
        <f>(L503/30)/1.983</f>
        <v>0.57152462598756093</v>
      </c>
      <c r="M504" s="55" t="s">
        <v>7</v>
      </c>
      <c r="N504" s="1">
        <f>(N503/31)/1.983</f>
        <v>0.47175182600491267</v>
      </c>
      <c r="O504" s="1">
        <f>(O503/30)/1.983</f>
        <v>0.38661959993276179</v>
      </c>
      <c r="P504" s="1">
        <f>(P503/31)/1.983</f>
        <v>0.30907878255494281</v>
      </c>
      <c r="Q504" s="55" t="s">
        <v>7</v>
      </c>
      <c r="R504" s="55" t="s">
        <v>7</v>
      </c>
    </row>
    <row r="505" spans="1:18" ht="15.75" customHeight="1" x14ac:dyDescent="0.3">
      <c r="A505" s="79" t="s">
        <v>335</v>
      </c>
      <c r="B505" s="1">
        <f>B503+B540</f>
        <v>12843</v>
      </c>
      <c r="C505" s="1">
        <f>C503+C540</f>
        <v>12857</v>
      </c>
      <c r="D505" s="1">
        <f>D503+D540</f>
        <v>19992</v>
      </c>
      <c r="E505" s="55">
        <f>SUM(B505:D505)</f>
        <v>45692</v>
      </c>
      <c r="F505" s="1">
        <f>F503+F540</f>
        <v>20893</v>
      </c>
      <c r="G505" s="1">
        <f>G503+G540</f>
        <v>20611</v>
      </c>
      <c r="H505" s="1">
        <f>H503+H540</f>
        <v>17439</v>
      </c>
      <c r="I505" s="55">
        <f>SUM(F505:H505)</f>
        <v>58943</v>
      </c>
      <c r="J505" s="1">
        <f>J503+J540</f>
        <v>17053</v>
      </c>
      <c r="K505" s="1">
        <f>K503+K540</f>
        <v>19508</v>
      </c>
      <c r="L505" s="1">
        <f>L503+L540</f>
        <v>16507</v>
      </c>
      <c r="M505" s="55">
        <f>SUM(J505:L505)</f>
        <v>53068</v>
      </c>
      <c r="N505" s="1">
        <f>N503+N540</f>
        <v>5234</v>
      </c>
      <c r="O505" s="1">
        <f>O503+O540</f>
        <v>11422</v>
      </c>
      <c r="P505" s="1">
        <f>P503+P540</f>
        <v>5043</v>
      </c>
      <c r="Q505" s="55">
        <f>SUM(N505:P505)</f>
        <v>21699</v>
      </c>
      <c r="R505" s="55">
        <f>+E505+I505+M505+Q505</f>
        <v>179402</v>
      </c>
    </row>
    <row r="506" spans="1:18" ht="15.75" customHeight="1" thickBot="1" x14ac:dyDescent="0.35">
      <c r="A506" s="80" t="s">
        <v>336</v>
      </c>
      <c r="B506" s="25">
        <f>(B505/31)/1.983</f>
        <v>208.92098970279636</v>
      </c>
      <c r="C506" s="25">
        <f>(C505/28)/1.983</f>
        <v>231.55752467401484</v>
      </c>
      <c r="D506" s="25">
        <f>(D505/31)/1.983</f>
        <v>325.21594846517979</v>
      </c>
      <c r="E506" s="81" t="s">
        <v>7</v>
      </c>
      <c r="F506" s="25">
        <f>(F505/30)/1.983</f>
        <v>351.20188266935617</v>
      </c>
      <c r="G506" s="25">
        <f>(G505/31)/1.983</f>
        <v>335.28540985473296</v>
      </c>
      <c r="H506" s="25">
        <f>(H505/30)/1.983</f>
        <v>293.14170448814923</v>
      </c>
      <c r="I506" s="81" t="s">
        <v>7</v>
      </c>
      <c r="J506" s="25">
        <f>(J505/31)/1.983</f>
        <v>277.40634099523368</v>
      </c>
      <c r="K506" s="25">
        <f>(K505/31)/1.983</f>
        <v>317.34257316220123</v>
      </c>
      <c r="L506" s="25">
        <f>(L505/30)/1.983</f>
        <v>277.47520591696082</v>
      </c>
      <c r="M506" s="81" t="s">
        <v>7</v>
      </c>
      <c r="N506" s="25">
        <f>(N505/31)/1.983</f>
        <v>85.143070941714242</v>
      </c>
      <c r="O506" s="25">
        <f>(O505/30)/1.983</f>
        <v>191.99865523617416</v>
      </c>
      <c r="P506" s="25">
        <f>(P505/31)/1.983</f>
        <v>82.036015811819823</v>
      </c>
      <c r="Q506" s="81" t="s">
        <v>7</v>
      </c>
      <c r="R506" s="81" t="s">
        <v>7</v>
      </c>
    </row>
    <row r="507" spans="1:18" ht="15.75" customHeight="1" x14ac:dyDescent="0.3">
      <c r="A507" s="28"/>
      <c r="B507" s="1"/>
      <c r="C507" s="1"/>
      <c r="D507" s="1"/>
      <c r="E507" s="1"/>
      <c r="F507" s="1"/>
      <c r="G507" s="1"/>
      <c r="H507" s="1"/>
      <c r="I507" s="1"/>
      <c r="J507" s="1"/>
      <c r="K507" s="1"/>
      <c r="L507" s="1"/>
      <c r="M507" s="1"/>
      <c r="N507" s="1"/>
      <c r="O507" s="1"/>
      <c r="P507" s="1"/>
      <c r="Q507" s="1"/>
      <c r="R507" s="2"/>
    </row>
    <row r="508" spans="1:18" ht="15.75" customHeight="1" thickBot="1" x14ac:dyDescent="0.35">
      <c r="A508" s="28"/>
      <c r="B508" s="1"/>
      <c r="C508" s="1"/>
      <c r="D508" s="1"/>
      <c r="E508" s="1"/>
      <c r="F508" s="1"/>
      <c r="G508" s="1"/>
      <c r="H508" s="1"/>
      <c r="I508" s="1"/>
      <c r="J508" s="1"/>
      <c r="K508" s="1"/>
      <c r="L508" s="1"/>
      <c r="M508" s="1"/>
      <c r="N508" s="1"/>
      <c r="O508" s="1"/>
      <c r="P508" s="1"/>
      <c r="Q508" s="1"/>
      <c r="R508" s="2"/>
    </row>
    <row r="509" spans="1:18" ht="15.75" customHeight="1" thickBot="1" x14ac:dyDescent="0.35">
      <c r="A509" s="29" t="s">
        <v>337</v>
      </c>
      <c r="B509" s="30" t="s">
        <v>8</v>
      </c>
      <c r="C509" s="31" t="s">
        <v>9</v>
      </c>
      <c r="D509" s="31" t="s">
        <v>10</v>
      </c>
      <c r="E509" s="32" t="s">
        <v>11</v>
      </c>
      <c r="F509" s="31" t="s">
        <v>12</v>
      </c>
      <c r="G509" s="31" t="s">
        <v>13</v>
      </c>
      <c r="H509" s="31" t="s">
        <v>14</v>
      </c>
      <c r="I509" s="33" t="s">
        <v>15</v>
      </c>
      <c r="J509" s="31" t="s">
        <v>16</v>
      </c>
      <c r="K509" s="31" t="s">
        <v>17</v>
      </c>
      <c r="L509" s="31" t="s">
        <v>18</v>
      </c>
      <c r="M509" s="33" t="s">
        <v>19</v>
      </c>
      <c r="N509" s="31" t="s">
        <v>20</v>
      </c>
      <c r="O509" s="31" t="s">
        <v>21</v>
      </c>
      <c r="P509" s="31" t="s">
        <v>22</v>
      </c>
      <c r="Q509" s="33" t="s">
        <v>23</v>
      </c>
      <c r="R509" s="34" t="s">
        <v>24</v>
      </c>
    </row>
    <row r="510" spans="1:18" ht="15.75" customHeight="1" thickBot="1" x14ac:dyDescent="0.35">
      <c r="A510" s="41"/>
      <c r="B510" s="36"/>
      <c r="C510" s="36"/>
      <c r="D510" s="36"/>
      <c r="E510" s="52"/>
      <c r="F510" s="36"/>
      <c r="G510" s="36"/>
      <c r="H510" s="36"/>
      <c r="I510" s="52"/>
      <c r="J510" s="36"/>
      <c r="K510" s="36"/>
      <c r="L510" s="36"/>
      <c r="M510" s="52"/>
      <c r="N510" s="36"/>
      <c r="O510" s="36"/>
      <c r="P510" s="36"/>
      <c r="Q510" s="52"/>
      <c r="R510" s="38"/>
    </row>
    <row r="511" spans="1:18" ht="15.75" customHeight="1" x14ac:dyDescent="0.3">
      <c r="A511" s="15" t="s">
        <v>48</v>
      </c>
      <c r="B511" s="1" t="s">
        <v>7</v>
      </c>
      <c r="C511" s="1" t="s">
        <v>7</v>
      </c>
      <c r="D511" s="1" t="s">
        <v>7</v>
      </c>
      <c r="E511" s="55" t="s">
        <v>7</v>
      </c>
      <c r="F511" s="1" t="s">
        <v>7</v>
      </c>
      <c r="G511" s="1" t="s">
        <v>7</v>
      </c>
      <c r="H511" s="1" t="s">
        <v>7</v>
      </c>
      <c r="I511" s="55" t="s">
        <v>7</v>
      </c>
      <c r="J511" s="1" t="s">
        <v>7</v>
      </c>
      <c r="K511" s="1" t="s">
        <v>7</v>
      </c>
      <c r="L511" s="1" t="s">
        <v>7</v>
      </c>
      <c r="M511" s="55" t="s">
        <v>7</v>
      </c>
      <c r="N511" s="1" t="s">
        <v>7</v>
      </c>
      <c r="O511" s="1" t="s">
        <v>7</v>
      </c>
      <c r="P511" s="1" t="s">
        <v>7</v>
      </c>
      <c r="Q511" s="55" t="s">
        <v>7</v>
      </c>
      <c r="R511" s="55" t="s">
        <v>7</v>
      </c>
    </row>
    <row r="512" spans="1:18" ht="15.75" customHeight="1" x14ac:dyDescent="0.3">
      <c r="A512" s="15" t="s">
        <v>49</v>
      </c>
      <c r="B512" s="1"/>
      <c r="C512" s="1"/>
      <c r="D512" s="1"/>
      <c r="E512" s="55" t="s">
        <v>7</v>
      </c>
      <c r="F512" s="1"/>
      <c r="G512" s="1"/>
      <c r="H512" s="1"/>
      <c r="I512" s="55" t="s">
        <v>7</v>
      </c>
      <c r="J512" s="1"/>
      <c r="K512" s="1"/>
      <c r="L512" s="1"/>
      <c r="M512" s="55" t="s">
        <v>7</v>
      </c>
      <c r="N512" s="1"/>
      <c r="O512" s="1"/>
      <c r="P512" s="1"/>
      <c r="Q512" s="55" t="s">
        <v>7</v>
      </c>
      <c r="R512" s="55" t="s">
        <v>7</v>
      </c>
    </row>
    <row r="513" spans="1:18" ht="15.75" customHeight="1" x14ac:dyDescent="0.3">
      <c r="A513" s="71" t="s">
        <v>662</v>
      </c>
      <c r="B513" s="1">
        <v>0</v>
      </c>
      <c r="C513" s="1">
        <v>0</v>
      </c>
      <c r="D513" s="1">
        <v>0</v>
      </c>
      <c r="E513" s="55">
        <f>SUM(B513:D513)</f>
        <v>0</v>
      </c>
      <c r="F513" s="1">
        <v>381</v>
      </c>
      <c r="G513" s="1">
        <v>507</v>
      </c>
      <c r="H513" s="1">
        <v>683</v>
      </c>
      <c r="I513" s="55">
        <f>SUM(F513:H513)</f>
        <v>1571</v>
      </c>
      <c r="J513" s="1">
        <v>99</v>
      </c>
      <c r="K513" s="1">
        <v>86</v>
      </c>
      <c r="L513" s="1">
        <v>0</v>
      </c>
      <c r="M513" s="55">
        <f>SUM(J513:L513)</f>
        <v>185</v>
      </c>
      <c r="N513" s="1">
        <v>0</v>
      </c>
      <c r="O513" s="1">
        <v>0</v>
      </c>
      <c r="P513" s="1">
        <v>0</v>
      </c>
      <c r="Q513" s="55">
        <f>SUM(N513:P513)</f>
        <v>0</v>
      </c>
      <c r="R513" s="55">
        <f>+E513+I513+M513+Q513</f>
        <v>1756</v>
      </c>
    </row>
    <row r="514" spans="1:18" ht="15.75" customHeight="1" x14ac:dyDescent="0.3">
      <c r="A514" s="71" t="s">
        <v>339</v>
      </c>
      <c r="B514" s="1">
        <v>0</v>
      </c>
      <c r="C514" s="1">
        <v>0</v>
      </c>
      <c r="D514" s="1">
        <v>0</v>
      </c>
      <c r="E514" s="55">
        <f>SUM(B514:D514)</f>
        <v>0</v>
      </c>
      <c r="F514" s="1">
        <v>104</v>
      </c>
      <c r="G514" s="1">
        <v>42</v>
      </c>
      <c r="H514" s="1">
        <v>40</v>
      </c>
      <c r="I514" s="55">
        <f>SUM(F514:H514)</f>
        <v>186</v>
      </c>
      <c r="J514" s="1">
        <v>116</v>
      </c>
      <c r="K514" s="1">
        <v>57</v>
      </c>
      <c r="L514" s="1">
        <v>0</v>
      </c>
      <c r="M514" s="55">
        <f>SUM(J514:L514)</f>
        <v>173</v>
      </c>
      <c r="N514" s="1">
        <v>0</v>
      </c>
      <c r="O514" s="1">
        <v>0</v>
      </c>
      <c r="P514" s="1">
        <v>0</v>
      </c>
      <c r="Q514" s="55">
        <f>SUM(N514:P514)</f>
        <v>0</v>
      </c>
      <c r="R514" s="55">
        <f>+E514+I514+M514+Q514</f>
        <v>359</v>
      </c>
    </row>
    <row r="515" spans="1:18" ht="15.75" customHeight="1" x14ac:dyDescent="0.3">
      <c r="A515" s="15" t="s">
        <v>50</v>
      </c>
      <c r="B515" s="1"/>
      <c r="C515" s="1"/>
      <c r="D515" s="1"/>
      <c r="E515" s="55" t="s">
        <v>7</v>
      </c>
      <c r="F515" s="1"/>
      <c r="G515" s="1"/>
      <c r="H515" s="1"/>
      <c r="I515" s="55" t="s">
        <v>7</v>
      </c>
      <c r="J515" s="1"/>
      <c r="K515" s="1"/>
      <c r="L515" s="1"/>
      <c r="M515" s="55" t="s">
        <v>7</v>
      </c>
      <c r="N515" s="1"/>
      <c r="O515" s="1"/>
      <c r="P515" s="1"/>
      <c r="Q515" s="55" t="s">
        <v>7</v>
      </c>
      <c r="R515" s="55" t="s">
        <v>7</v>
      </c>
    </row>
    <row r="516" spans="1:18" ht="15.75" customHeight="1" x14ac:dyDescent="0.3">
      <c r="A516" s="15" t="s">
        <v>51</v>
      </c>
      <c r="B516" s="1"/>
      <c r="C516" s="1"/>
      <c r="D516" s="1"/>
      <c r="E516" s="55" t="s">
        <v>7</v>
      </c>
      <c r="F516" s="1"/>
      <c r="G516" s="1"/>
      <c r="H516" s="1"/>
      <c r="I516" s="55" t="s">
        <v>7</v>
      </c>
      <c r="J516" s="1"/>
      <c r="K516" s="1"/>
      <c r="L516" s="1"/>
      <c r="M516" s="55" t="s">
        <v>7</v>
      </c>
      <c r="N516" s="1"/>
      <c r="O516" s="1"/>
      <c r="P516" s="1"/>
      <c r="Q516" s="55" t="s">
        <v>7</v>
      </c>
      <c r="R516" s="55" t="s">
        <v>7</v>
      </c>
    </row>
    <row r="517" spans="1:18" ht="15.75" customHeight="1" thickBot="1" x14ac:dyDescent="0.35">
      <c r="A517" s="15" t="s">
        <v>53</v>
      </c>
      <c r="B517" s="1"/>
      <c r="C517" s="1"/>
      <c r="D517" s="1"/>
      <c r="E517" s="55" t="s">
        <v>7</v>
      </c>
      <c r="F517" s="1"/>
      <c r="G517" s="1"/>
      <c r="H517" s="1"/>
      <c r="I517" s="55" t="s">
        <v>7</v>
      </c>
      <c r="J517" s="1"/>
      <c r="K517" s="1"/>
      <c r="L517" s="1"/>
      <c r="M517" s="55" t="s">
        <v>7</v>
      </c>
      <c r="N517" s="1"/>
      <c r="O517" s="1"/>
      <c r="P517" s="1"/>
      <c r="Q517" s="55" t="s">
        <v>7</v>
      </c>
      <c r="R517" s="55" t="s">
        <v>7</v>
      </c>
    </row>
    <row r="518" spans="1:18" ht="15.75" customHeight="1" thickBot="1" x14ac:dyDescent="0.35">
      <c r="A518" s="109" t="s">
        <v>54</v>
      </c>
      <c r="B518" s="86">
        <f>SUM(B511:B517)</f>
        <v>0</v>
      </c>
      <c r="C518" s="87">
        <f>SUM(C511:C517)</f>
        <v>0</v>
      </c>
      <c r="D518" s="87">
        <f>SUM(D511:D517)</f>
        <v>0</v>
      </c>
      <c r="E518" s="59">
        <f>SUM(B518:D518)</f>
        <v>0</v>
      </c>
      <c r="F518" s="87">
        <f>SUM(F511:F517)</f>
        <v>485</v>
      </c>
      <c r="G518" s="87">
        <f>SUM(G511:G517)</f>
        <v>549</v>
      </c>
      <c r="H518" s="87">
        <f>SUM(H511:H517)</f>
        <v>723</v>
      </c>
      <c r="I518" s="59">
        <f>SUM(F518:H518)</f>
        <v>1757</v>
      </c>
      <c r="J518" s="87">
        <f>SUM(J511:J517)</f>
        <v>215</v>
      </c>
      <c r="K518" s="87">
        <f>SUM(K511:K517)</f>
        <v>143</v>
      </c>
      <c r="L518" s="87">
        <f>SUM(L511:L517)</f>
        <v>0</v>
      </c>
      <c r="M518" s="59">
        <f>SUM(J518:L518)</f>
        <v>358</v>
      </c>
      <c r="N518" s="87">
        <f>SUM(N511:N517)</f>
        <v>0</v>
      </c>
      <c r="O518" s="87">
        <f>SUM(O511:O517)</f>
        <v>0</v>
      </c>
      <c r="P518" s="87">
        <f>SUM(P511:P517)</f>
        <v>0</v>
      </c>
      <c r="Q518" s="59">
        <f>SUM(N518:P518)</f>
        <v>0</v>
      </c>
      <c r="R518" s="59">
        <f>+E518+I518+M518+Q518</f>
        <v>2115</v>
      </c>
    </row>
    <row r="519" spans="1:18" ht="15.75" customHeight="1" x14ac:dyDescent="0.3">
      <c r="A519" s="15" t="s">
        <v>55</v>
      </c>
      <c r="B519" s="1"/>
      <c r="C519" s="1"/>
      <c r="D519" s="1"/>
      <c r="E519" s="55" t="s">
        <v>7</v>
      </c>
      <c r="F519" s="1"/>
      <c r="G519" s="1"/>
      <c r="H519" s="1"/>
      <c r="I519" s="55" t="s">
        <v>7</v>
      </c>
      <c r="J519" s="1"/>
      <c r="K519" s="1"/>
      <c r="L519" s="1"/>
      <c r="M519" s="55" t="s">
        <v>7</v>
      </c>
      <c r="N519" s="1"/>
      <c r="O519" s="1"/>
      <c r="P519" s="1"/>
      <c r="Q519" s="55" t="s">
        <v>7</v>
      </c>
      <c r="R519" s="55" t="s">
        <v>7</v>
      </c>
    </row>
    <row r="520" spans="1:18" ht="15.75" customHeight="1" x14ac:dyDescent="0.3">
      <c r="A520" s="15" t="s">
        <v>57</v>
      </c>
      <c r="B520" s="1"/>
      <c r="C520" s="1"/>
      <c r="D520" s="1"/>
      <c r="E520" s="55" t="s">
        <v>7</v>
      </c>
      <c r="F520" s="1"/>
      <c r="G520" s="1"/>
      <c r="H520" s="1"/>
      <c r="I520" s="55" t="s">
        <v>7</v>
      </c>
      <c r="J520" s="1"/>
      <c r="K520" s="1"/>
      <c r="L520" s="1"/>
      <c r="M520" s="55" t="s">
        <v>7</v>
      </c>
      <c r="N520" s="1"/>
      <c r="O520" s="1"/>
      <c r="P520" s="1"/>
      <c r="Q520" s="55" t="s">
        <v>7</v>
      </c>
      <c r="R520" s="55" t="s">
        <v>7</v>
      </c>
    </row>
    <row r="521" spans="1:18" ht="15.75" customHeight="1" thickBot="1" x14ac:dyDescent="0.35">
      <c r="A521" s="15" t="s">
        <v>58</v>
      </c>
      <c r="B521" s="1"/>
      <c r="C521" s="1"/>
      <c r="D521" s="1"/>
      <c r="E521" s="55" t="s">
        <v>7</v>
      </c>
      <c r="F521" s="1"/>
      <c r="G521" s="1"/>
      <c r="H521" s="1"/>
      <c r="I521" s="55" t="s">
        <v>7</v>
      </c>
      <c r="J521" s="1"/>
      <c r="K521" s="1"/>
      <c r="L521" s="1"/>
      <c r="M521" s="55" t="s">
        <v>7</v>
      </c>
      <c r="N521" s="1"/>
      <c r="O521" s="1"/>
      <c r="P521" s="1"/>
      <c r="Q521" s="55" t="s">
        <v>7</v>
      </c>
      <c r="R521" s="55" t="s">
        <v>7</v>
      </c>
    </row>
    <row r="522" spans="1:18" ht="15.75" customHeight="1" thickBot="1" x14ac:dyDescent="0.35">
      <c r="A522" s="57" t="s">
        <v>59</v>
      </c>
      <c r="B522" s="86">
        <f>SUM(B519:B521)</f>
        <v>0</v>
      </c>
      <c r="C522" s="87">
        <f>SUM(C519:C521)</f>
        <v>0</v>
      </c>
      <c r="D522" s="87">
        <f>SUM(D519:D521)</f>
        <v>0</v>
      </c>
      <c r="E522" s="59">
        <f>SUM(B522:D522)</f>
        <v>0</v>
      </c>
      <c r="F522" s="87">
        <f>SUM(F519:F521)</f>
        <v>0</v>
      </c>
      <c r="G522" s="87">
        <f>SUM(G519:G521)</f>
        <v>0</v>
      </c>
      <c r="H522" s="87">
        <f>SUM(H519:H521)</f>
        <v>0</v>
      </c>
      <c r="I522" s="59">
        <f>SUM(F522:H522)</f>
        <v>0</v>
      </c>
      <c r="J522" s="87">
        <f>SUM(J519:J521)</f>
        <v>0</v>
      </c>
      <c r="K522" s="87">
        <f>SUM(K519:K521)</f>
        <v>0</v>
      </c>
      <c r="L522" s="87">
        <f>SUM(L519:L521)</f>
        <v>0</v>
      </c>
      <c r="M522" s="59">
        <f>SUM(J522:L522)</f>
        <v>0</v>
      </c>
      <c r="N522" s="87">
        <f>SUM(N519:N521)</f>
        <v>0</v>
      </c>
      <c r="O522" s="87">
        <f>SUM(O519:O521)</f>
        <v>0</v>
      </c>
      <c r="P522" s="87">
        <f>SUM(P519:P521)</f>
        <v>0</v>
      </c>
      <c r="Q522" s="59">
        <f>SUM(N522:P522)</f>
        <v>0</v>
      </c>
      <c r="R522" s="59">
        <f>+E522+I522+M522+Q522</f>
        <v>0</v>
      </c>
    </row>
    <row r="523" spans="1:18" ht="15.75" customHeight="1" x14ac:dyDescent="0.3">
      <c r="A523" s="15" t="s">
        <v>60</v>
      </c>
      <c r="B523" s="1"/>
      <c r="C523" s="1"/>
      <c r="D523" s="1"/>
      <c r="E523" s="55" t="s">
        <v>7</v>
      </c>
      <c r="F523" s="1"/>
      <c r="G523" s="1"/>
      <c r="H523" s="1"/>
      <c r="I523" s="55" t="s">
        <v>7</v>
      </c>
      <c r="J523" s="1"/>
      <c r="K523" s="1"/>
      <c r="L523" s="1"/>
      <c r="M523" s="55" t="s">
        <v>7</v>
      </c>
      <c r="N523" s="1"/>
      <c r="O523" s="1"/>
      <c r="P523" s="1"/>
      <c r="Q523" s="55" t="s">
        <v>7</v>
      </c>
      <c r="R523" s="55" t="s">
        <v>7</v>
      </c>
    </row>
    <row r="524" spans="1:18" ht="15.75" customHeight="1" x14ac:dyDescent="0.3">
      <c r="A524" s="15" t="s">
        <v>61</v>
      </c>
      <c r="B524" s="1"/>
      <c r="C524" s="1"/>
      <c r="D524" s="1"/>
      <c r="E524" s="55" t="s">
        <v>7</v>
      </c>
      <c r="F524" s="1"/>
      <c r="G524" s="1"/>
      <c r="H524" s="1"/>
      <c r="I524" s="55" t="s">
        <v>7</v>
      </c>
      <c r="J524" s="1"/>
      <c r="K524" s="1"/>
      <c r="L524" s="1"/>
      <c r="M524" s="55" t="s">
        <v>7</v>
      </c>
      <c r="N524" s="1"/>
      <c r="O524" s="1"/>
      <c r="P524" s="1"/>
      <c r="Q524" s="55" t="s">
        <v>7</v>
      </c>
      <c r="R524" s="55" t="s">
        <v>7</v>
      </c>
    </row>
    <row r="525" spans="1:18" ht="15.75" customHeight="1" thickBot="1" x14ac:dyDescent="0.35">
      <c r="A525" s="15" t="s">
        <v>62</v>
      </c>
      <c r="B525" s="1"/>
      <c r="C525" s="1"/>
      <c r="D525" s="1"/>
      <c r="E525" s="55" t="s">
        <v>7</v>
      </c>
      <c r="F525" s="1"/>
      <c r="G525" s="1"/>
      <c r="H525" s="1"/>
      <c r="I525" s="55" t="s">
        <v>7</v>
      </c>
      <c r="J525" s="1"/>
      <c r="K525" s="1"/>
      <c r="L525" s="1"/>
      <c r="M525" s="55" t="s">
        <v>7</v>
      </c>
      <c r="N525" s="1"/>
      <c r="O525" s="1"/>
      <c r="P525" s="1"/>
      <c r="Q525" s="55" t="s">
        <v>7</v>
      </c>
      <c r="R525" s="55" t="s">
        <v>7</v>
      </c>
    </row>
    <row r="526" spans="1:18" ht="15.75" customHeight="1" thickBot="1" x14ac:dyDescent="0.35">
      <c r="A526" s="114" t="s">
        <v>63</v>
      </c>
      <c r="B526" s="86">
        <f>SUM(B523:B525)</f>
        <v>0</v>
      </c>
      <c r="C526" s="87">
        <f>SUM(C523:C525)</f>
        <v>0</v>
      </c>
      <c r="D526" s="87">
        <f>SUM(D523:D525)</f>
        <v>0</v>
      </c>
      <c r="E526" s="59">
        <f>SUM(B526:D526)</f>
        <v>0</v>
      </c>
      <c r="F526" s="87">
        <f>SUM(F523:F525)</f>
        <v>0</v>
      </c>
      <c r="G526" s="87">
        <f>SUM(G523:G525)</f>
        <v>0</v>
      </c>
      <c r="H526" s="87">
        <f>SUM(H523:H525)</f>
        <v>0</v>
      </c>
      <c r="I526" s="59">
        <f>SUM(F526:H526)</f>
        <v>0</v>
      </c>
      <c r="J526" s="87">
        <f>SUM(J523:J525)</f>
        <v>0</v>
      </c>
      <c r="K526" s="87">
        <f>SUM(K523:K525)</f>
        <v>0</v>
      </c>
      <c r="L526" s="87">
        <f>SUM(L523:L525)</f>
        <v>0</v>
      </c>
      <c r="M526" s="59">
        <f>SUM(J526:L526)</f>
        <v>0</v>
      </c>
      <c r="N526" s="87">
        <f>SUM(N523:N525)</f>
        <v>0</v>
      </c>
      <c r="O526" s="87">
        <f>SUM(O523:O525)</f>
        <v>0</v>
      </c>
      <c r="P526" s="87">
        <f>SUM(P523:P525)</f>
        <v>0</v>
      </c>
      <c r="Q526" s="59">
        <f>SUM(N526:P526)</f>
        <v>0</v>
      </c>
      <c r="R526" s="59">
        <f>+E526+I526+M526+Q526</f>
        <v>0</v>
      </c>
    </row>
    <row r="527" spans="1:18" ht="15.75" customHeight="1" x14ac:dyDescent="0.3">
      <c r="A527" s="15" t="s">
        <v>64</v>
      </c>
      <c r="B527" s="1"/>
      <c r="C527" s="1"/>
      <c r="D527" s="1"/>
      <c r="E527" s="55" t="s">
        <v>7</v>
      </c>
      <c r="F527" s="1"/>
      <c r="G527" s="1"/>
      <c r="H527" s="1"/>
      <c r="I527" s="55" t="s">
        <v>7</v>
      </c>
      <c r="J527" s="1"/>
      <c r="K527" s="1"/>
      <c r="L527" s="1"/>
      <c r="M527" s="55" t="s">
        <v>7</v>
      </c>
      <c r="N527" s="1"/>
      <c r="O527" s="1"/>
      <c r="P527" s="1"/>
      <c r="Q527" s="55" t="s">
        <v>7</v>
      </c>
      <c r="R527" s="55" t="s">
        <v>7</v>
      </c>
    </row>
    <row r="528" spans="1:18" ht="15.75" customHeight="1" x14ac:dyDescent="0.3">
      <c r="A528" s="15" t="s">
        <v>65</v>
      </c>
      <c r="B528" s="1"/>
      <c r="C528" s="1"/>
      <c r="D528" s="1"/>
      <c r="E528" s="55" t="s">
        <v>7</v>
      </c>
      <c r="F528" s="1"/>
      <c r="G528" s="1"/>
      <c r="H528" s="1"/>
      <c r="I528" s="55" t="s">
        <v>7</v>
      </c>
      <c r="J528" s="1"/>
      <c r="K528" s="1"/>
      <c r="L528" s="1"/>
      <c r="M528" s="55" t="s">
        <v>7</v>
      </c>
      <c r="N528" s="1"/>
      <c r="O528" s="1"/>
      <c r="P528" s="1"/>
      <c r="Q528" s="55" t="s">
        <v>7</v>
      </c>
      <c r="R528" s="55" t="s">
        <v>7</v>
      </c>
    </row>
    <row r="529" spans="1:18" ht="15.75" customHeight="1" x14ac:dyDescent="0.3">
      <c r="A529" s="15" t="s">
        <v>67</v>
      </c>
      <c r="B529" s="1"/>
      <c r="C529" s="1"/>
      <c r="D529" s="1"/>
      <c r="E529" s="55" t="s">
        <v>7</v>
      </c>
      <c r="F529" s="1"/>
      <c r="G529" s="1"/>
      <c r="H529" s="1"/>
      <c r="I529" s="55" t="s">
        <v>7</v>
      </c>
      <c r="J529" s="1"/>
      <c r="K529" s="1"/>
      <c r="L529" s="1"/>
      <c r="M529" s="55" t="s">
        <v>7</v>
      </c>
      <c r="N529" s="1"/>
      <c r="O529" s="1"/>
      <c r="P529" s="1"/>
      <c r="Q529" s="55" t="s">
        <v>7</v>
      </c>
      <c r="R529" s="55" t="s">
        <v>7</v>
      </c>
    </row>
    <row r="530" spans="1:18" ht="15.75" customHeight="1" x14ac:dyDescent="0.3">
      <c r="A530" s="71" t="s">
        <v>663</v>
      </c>
      <c r="B530" s="1">
        <v>0</v>
      </c>
      <c r="C530" s="1">
        <v>0</v>
      </c>
      <c r="D530" s="1">
        <v>0</v>
      </c>
      <c r="E530" s="55">
        <f>SUM(B530:D530)</f>
        <v>0</v>
      </c>
      <c r="F530" s="1">
        <v>0</v>
      </c>
      <c r="G530" s="1">
        <v>0</v>
      </c>
      <c r="H530" s="1">
        <v>0</v>
      </c>
      <c r="I530" s="55">
        <f>SUM(F530:H530)</f>
        <v>0</v>
      </c>
      <c r="J530" s="1">
        <v>0</v>
      </c>
      <c r="K530" s="1">
        <v>0</v>
      </c>
      <c r="L530" s="1">
        <v>0</v>
      </c>
      <c r="M530" s="55">
        <f>SUM(J530:L530)</f>
        <v>0</v>
      </c>
      <c r="N530" s="1">
        <v>0</v>
      </c>
      <c r="O530" s="1">
        <v>0</v>
      </c>
      <c r="P530" s="1">
        <v>0</v>
      </c>
      <c r="Q530" s="55">
        <f>SUM(N530:P530)</f>
        <v>0</v>
      </c>
      <c r="R530" s="55">
        <f>+E530+I530+M530+Q530</f>
        <v>0</v>
      </c>
    </row>
    <row r="531" spans="1:18" ht="15.75" customHeight="1" x14ac:dyDescent="0.3">
      <c r="A531" s="15" t="s">
        <v>69</v>
      </c>
      <c r="B531" s="1"/>
      <c r="C531" s="1"/>
      <c r="D531" s="1"/>
      <c r="E531" s="55" t="s">
        <v>7</v>
      </c>
      <c r="F531" s="1"/>
      <c r="G531" s="1"/>
      <c r="H531" s="1"/>
      <c r="I531" s="55" t="s">
        <v>7</v>
      </c>
      <c r="J531" s="1"/>
      <c r="K531" s="1"/>
      <c r="L531" s="1"/>
      <c r="M531" s="55" t="s">
        <v>7</v>
      </c>
      <c r="N531" s="1"/>
      <c r="O531" s="1"/>
      <c r="P531" s="1"/>
      <c r="Q531" s="55" t="s">
        <v>7</v>
      </c>
      <c r="R531" s="55" t="s">
        <v>7</v>
      </c>
    </row>
    <row r="532" spans="1:18" ht="15.75" customHeight="1" thickBot="1" x14ac:dyDescent="0.35">
      <c r="A532" s="15" t="s">
        <v>70</v>
      </c>
      <c r="B532" s="1"/>
      <c r="C532" s="1"/>
      <c r="D532" s="1"/>
      <c r="E532" s="55" t="s">
        <v>7</v>
      </c>
      <c r="F532" s="1"/>
      <c r="G532" s="1"/>
      <c r="H532" s="1"/>
      <c r="I532" s="55" t="s">
        <v>7</v>
      </c>
      <c r="J532" s="1"/>
      <c r="K532" s="1"/>
      <c r="L532" s="1"/>
      <c r="M532" s="55" t="s">
        <v>7</v>
      </c>
      <c r="N532" s="1"/>
      <c r="O532" s="1"/>
      <c r="P532" s="1"/>
      <c r="Q532" s="55" t="s">
        <v>7</v>
      </c>
      <c r="R532" s="55" t="s">
        <v>7</v>
      </c>
    </row>
    <row r="533" spans="1:18" ht="15.75" customHeight="1" thickBot="1" x14ac:dyDescent="0.35">
      <c r="A533" s="57" t="s">
        <v>71</v>
      </c>
      <c r="B533" s="58">
        <f>SUM(B531:B532)</f>
        <v>0</v>
      </c>
      <c r="C533" s="58">
        <f>SUM(C531:C532)</f>
        <v>0</v>
      </c>
      <c r="D533" s="58">
        <f>SUM(D531:D532)</f>
        <v>0</v>
      </c>
      <c r="E533" s="60">
        <f>SUM(B533:D533)</f>
        <v>0</v>
      </c>
      <c r="F533" s="58">
        <f>SUM(F531:F532)</f>
        <v>0</v>
      </c>
      <c r="G533" s="58">
        <f>SUM(G531:G532)</f>
        <v>0</v>
      </c>
      <c r="H533" s="58">
        <f>SUM(H531:H532)</f>
        <v>0</v>
      </c>
      <c r="I533" s="60">
        <f>SUM(F533:H533)</f>
        <v>0</v>
      </c>
      <c r="J533" s="58">
        <f>SUM(J531:J532)</f>
        <v>0</v>
      </c>
      <c r="K533" s="58">
        <f>SUM(K531:K532)</f>
        <v>0</v>
      </c>
      <c r="L533" s="58">
        <f>SUM(L531:L532)</f>
        <v>0</v>
      </c>
      <c r="M533" s="60">
        <f>SUM(J533:L533)</f>
        <v>0</v>
      </c>
      <c r="N533" s="58">
        <f>SUM(N531:N532)</f>
        <v>0</v>
      </c>
      <c r="O533" s="58">
        <f>SUM(O531:O532)</f>
        <v>0</v>
      </c>
      <c r="P533" s="58">
        <f>SUM(P531:P532)</f>
        <v>0</v>
      </c>
      <c r="Q533" s="60">
        <f>SUM(N533:P533)</f>
        <v>0</v>
      </c>
      <c r="R533" s="59">
        <f>+E533+I533+M533+Q533</f>
        <v>0</v>
      </c>
    </row>
    <row r="534" spans="1:18" ht="15.75" customHeight="1" thickBot="1" x14ac:dyDescent="0.35">
      <c r="A534" s="114" t="s">
        <v>72</v>
      </c>
      <c r="B534" s="86">
        <f>SUM(B527:B532)</f>
        <v>0</v>
      </c>
      <c r="C534" s="87">
        <f>SUM(C527:C532)</f>
        <v>0</v>
      </c>
      <c r="D534" s="118">
        <f>SUM(D527:D532)</f>
        <v>0</v>
      </c>
      <c r="E534" s="60">
        <f>SUM(B534:D534)</f>
        <v>0</v>
      </c>
      <c r="F534" s="87">
        <f>SUM(F527:F532)</f>
        <v>0</v>
      </c>
      <c r="G534" s="87">
        <f>SUM(G527:G532)</f>
        <v>0</v>
      </c>
      <c r="H534" s="87">
        <f>SUM(H527:H532)</f>
        <v>0</v>
      </c>
      <c r="I534" s="60">
        <f>SUM(F534:H534)</f>
        <v>0</v>
      </c>
      <c r="J534" s="87">
        <f>SUM(J527:J532)</f>
        <v>0</v>
      </c>
      <c r="K534" s="87">
        <f>SUM(K527:K532)</f>
        <v>0</v>
      </c>
      <c r="L534" s="87">
        <f>SUM(L527:L532)</f>
        <v>0</v>
      </c>
      <c r="M534" s="60">
        <f>SUM(J534:L534)</f>
        <v>0</v>
      </c>
      <c r="N534" s="87">
        <f>SUM(N527:N532)</f>
        <v>0</v>
      </c>
      <c r="O534" s="87">
        <f>SUM(O527:O532)</f>
        <v>0</v>
      </c>
      <c r="P534" s="87">
        <f>SUM(P527:P532)</f>
        <v>0</v>
      </c>
      <c r="Q534" s="60">
        <f>SUM(N534:P534)</f>
        <v>0</v>
      </c>
      <c r="R534" s="59">
        <f>+E534+I534+M534+Q534</f>
        <v>0</v>
      </c>
    </row>
    <row r="535" spans="1:18" ht="15.75" customHeight="1" thickBot="1" x14ac:dyDescent="0.35">
      <c r="A535" s="57" t="s">
        <v>73</v>
      </c>
      <c r="B535" s="90">
        <f>+B518+B522+B526+B534</f>
        <v>0</v>
      </c>
      <c r="C535" s="58">
        <f>+C518+C522+C526+C534</f>
        <v>0</v>
      </c>
      <c r="D535" s="58">
        <f>+D518+D522+D526+D534</f>
        <v>0</v>
      </c>
      <c r="E535" s="59">
        <f>SUM(B535:D535)</f>
        <v>0</v>
      </c>
      <c r="F535" s="58">
        <f>+F518+F522+F526+F534</f>
        <v>485</v>
      </c>
      <c r="G535" s="58">
        <f>+G518+G522+G526+G534</f>
        <v>549</v>
      </c>
      <c r="H535" s="58">
        <f>+H518+H522+H526+H534</f>
        <v>723</v>
      </c>
      <c r="I535" s="59">
        <f>SUM(F535:H535)</f>
        <v>1757</v>
      </c>
      <c r="J535" s="58">
        <f>+J518+J522+J526+J534</f>
        <v>215</v>
      </c>
      <c r="K535" s="58">
        <f>+K518+K522+K526+K534</f>
        <v>143</v>
      </c>
      <c r="L535" s="58">
        <f>+L518+L522+L526+L534</f>
        <v>0</v>
      </c>
      <c r="M535" s="59">
        <f>SUM(J535:L535)</f>
        <v>358</v>
      </c>
      <c r="N535" s="58">
        <f>+N518+N522+N526+N534</f>
        <v>0</v>
      </c>
      <c r="O535" s="58">
        <f>+O518+O522+O526+O534</f>
        <v>0</v>
      </c>
      <c r="P535" s="58">
        <f>+P518+P522+P526+P534</f>
        <v>0</v>
      </c>
      <c r="Q535" s="59">
        <f>SUM(N535:P535)</f>
        <v>0</v>
      </c>
      <c r="R535" s="81">
        <f>+E535+I535+M535+Q535</f>
        <v>2115</v>
      </c>
    </row>
    <row r="536" spans="1:18" ht="15.75" customHeight="1" thickBot="1" x14ac:dyDescent="0.35">
      <c r="A536" s="39" t="s">
        <v>40</v>
      </c>
      <c r="B536" s="21">
        <v>10</v>
      </c>
      <c r="C536" s="21">
        <v>11</v>
      </c>
      <c r="D536" s="21">
        <v>14</v>
      </c>
      <c r="E536" s="55">
        <f>SUM(B536:D536)</f>
        <v>35</v>
      </c>
      <c r="F536" s="21">
        <v>18</v>
      </c>
      <c r="G536" s="21">
        <v>21</v>
      </c>
      <c r="H536" s="21">
        <v>22</v>
      </c>
      <c r="I536" s="55">
        <f>SUM(F536:H536)</f>
        <v>61</v>
      </c>
      <c r="J536" s="21">
        <v>19</v>
      </c>
      <c r="K536" s="21">
        <v>17</v>
      </c>
      <c r="L536" s="21">
        <v>17</v>
      </c>
      <c r="M536" s="55">
        <f>SUM(J536:L536)</f>
        <v>53</v>
      </c>
      <c r="N536" s="21">
        <v>14</v>
      </c>
      <c r="O536" s="21">
        <v>11</v>
      </c>
      <c r="P536" s="21">
        <v>9</v>
      </c>
      <c r="Q536" s="55">
        <f>SUM(N536:P536)</f>
        <v>34</v>
      </c>
      <c r="R536" s="55">
        <f>+E536+I536+M536+Q536</f>
        <v>183</v>
      </c>
    </row>
    <row r="537" spans="1:18" ht="15.75" customHeight="1" thickBot="1" x14ac:dyDescent="0.35">
      <c r="A537" s="41"/>
      <c r="B537" s="36"/>
      <c r="C537" s="36"/>
      <c r="D537" s="36"/>
      <c r="E537" s="52"/>
      <c r="F537" s="36"/>
      <c r="G537" s="36"/>
      <c r="H537" s="36"/>
      <c r="I537" s="52"/>
      <c r="J537" s="36"/>
      <c r="K537" s="36"/>
      <c r="L537" s="36"/>
      <c r="M537" s="129"/>
      <c r="N537" s="36"/>
      <c r="O537" s="36"/>
      <c r="P537" s="36"/>
      <c r="Q537" s="129"/>
      <c r="R537" s="40"/>
    </row>
    <row r="538" spans="1:18" ht="15.75" customHeight="1" x14ac:dyDescent="0.3">
      <c r="A538" s="15" t="s">
        <v>314</v>
      </c>
      <c r="B538" s="1">
        <f>SUM(B535:B536)</f>
        <v>10</v>
      </c>
      <c r="C538" s="1">
        <f>SUM(C535:C536)</f>
        <v>11</v>
      </c>
      <c r="D538" s="1">
        <f>SUM(D535:D536)</f>
        <v>14</v>
      </c>
      <c r="E538" s="55">
        <f>SUM(B538:D538)</f>
        <v>35</v>
      </c>
      <c r="F538" s="1">
        <f>SUM(F535:F536)</f>
        <v>503</v>
      </c>
      <c r="G538" s="1">
        <f>SUM(G535:G536)</f>
        <v>570</v>
      </c>
      <c r="H538" s="1">
        <f>SUM(H535:H536)</f>
        <v>745</v>
      </c>
      <c r="I538" s="60">
        <f>SUM(F538:H538)</f>
        <v>1818</v>
      </c>
      <c r="J538" s="1">
        <f>SUM(J535:J536)</f>
        <v>234</v>
      </c>
      <c r="K538" s="1">
        <f>SUM(K535:K536)</f>
        <v>160</v>
      </c>
      <c r="L538" s="1">
        <f>SUM(L535:L536)</f>
        <v>17</v>
      </c>
      <c r="M538" s="60">
        <f>SUM(J538:L538)</f>
        <v>411</v>
      </c>
      <c r="N538" s="1">
        <f>SUM(N535:N536)</f>
        <v>14</v>
      </c>
      <c r="O538" s="1">
        <f>SUM(O535:O536)</f>
        <v>11</v>
      </c>
      <c r="P538" s="1">
        <f>SUM(P535:P536)</f>
        <v>9</v>
      </c>
      <c r="Q538" s="60">
        <f>SUM(N538:P538)</f>
        <v>34</v>
      </c>
      <c r="R538" s="60">
        <f>+E538+I538+M538+Q538</f>
        <v>2298</v>
      </c>
    </row>
    <row r="539" spans="1:18" ht="15.75" customHeight="1" x14ac:dyDescent="0.3">
      <c r="A539" s="15" t="s">
        <v>42</v>
      </c>
      <c r="B539" s="1">
        <f>(B538/31)/1.983</f>
        <v>0.16267304344996988</v>
      </c>
      <c r="C539" s="1">
        <f>(C538/28)/1.983</f>
        <v>0.19811252791585618</v>
      </c>
      <c r="D539" s="1">
        <f>(D538/31)/1.983</f>
        <v>0.22774226082995785</v>
      </c>
      <c r="E539" s="55" t="s">
        <v>7</v>
      </c>
      <c r="F539" s="1">
        <f>(F538/30)/1.983</f>
        <v>8.4552025550512688</v>
      </c>
      <c r="G539" s="1">
        <f>(G538/31)/1.983</f>
        <v>9.2723634766482839</v>
      </c>
      <c r="H539" s="1">
        <f>(H538/30)/1.983</f>
        <v>12.523113128256849</v>
      </c>
      <c r="I539" s="55" t="s">
        <v>7</v>
      </c>
      <c r="J539" s="1">
        <f>(J538/31)/1.983</f>
        <v>3.8065492167292958</v>
      </c>
      <c r="K539" s="1">
        <f>(K538/31)/1.983</f>
        <v>2.6027686951995181</v>
      </c>
      <c r="L539" s="1">
        <f>(L538/30)/1.983</f>
        <v>0.28576231299378047</v>
      </c>
      <c r="M539" s="55" t="s">
        <v>7</v>
      </c>
      <c r="N539" s="1">
        <f>(N538/31)/1.983</f>
        <v>0.22774226082995785</v>
      </c>
      <c r="O539" s="1">
        <f>(O538/30)/1.983</f>
        <v>0.18490502605479911</v>
      </c>
      <c r="P539" s="1">
        <f>(P538/31)/1.983</f>
        <v>0.14640573910497293</v>
      </c>
      <c r="Q539" s="55" t="s">
        <v>7</v>
      </c>
      <c r="R539" s="55" t="s">
        <v>7</v>
      </c>
    </row>
    <row r="540" spans="1:18" ht="15.75" customHeight="1" x14ac:dyDescent="0.3">
      <c r="A540" s="15" t="s">
        <v>341</v>
      </c>
      <c r="B540" s="1">
        <f>B538+B579</f>
        <v>12823</v>
      </c>
      <c r="C540" s="1">
        <f>C538+C579</f>
        <v>12835</v>
      </c>
      <c r="D540" s="1">
        <f>D538+D579</f>
        <v>19964</v>
      </c>
      <c r="E540" s="55">
        <f>SUM(B540:D540)</f>
        <v>45622</v>
      </c>
      <c r="F540" s="1">
        <f>F538+F579</f>
        <v>20856</v>
      </c>
      <c r="G540" s="1">
        <f>G538+G579</f>
        <v>20569</v>
      </c>
      <c r="H540" s="1">
        <f>H538+H579</f>
        <v>17395</v>
      </c>
      <c r="I540" s="55">
        <f>SUM(F540:H540)</f>
        <v>58820</v>
      </c>
      <c r="J540" s="1">
        <f>J538+J579</f>
        <v>17014</v>
      </c>
      <c r="K540" s="1">
        <f>K538+K579</f>
        <v>19472</v>
      </c>
      <c r="L540" s="1">
        <f>L538+L579</f>
        <v>16473</v>
      </c>
      <c r="M540" s="55">
        <f>SUM(J540:L540)</f>
        <v>52959</v>
      </c>
      <c r="N540" s="1">
        <f>N538+N579</f>
        <v>5205</v>
      </c>
      <c r="O540" s="1">
        <f>O538+O579</f>
        <v>11399</v>
      </c>
      <c r="P540" s="1">
        <f>P538+P579</f>
        <v>5024</v>
      </c>
      <c r="Q540" s="55">
        <f>SUM(N540:P540)</f>
        <v>21628</v>
      </c>
      <c r="R540" s="55">
        <f>+E540+I540+M540+Q540</f>
        <v>179029</v>
      </c>
    </row>
    <row r="541" spans="1:18" ht="15.75" customHeight="1" thickBot="1" x14ac:dyDescent="0.35">
      <c r="A541" s="20" t="s">
        <v>342</v>
      </c>
      <c r="B541" s="21">
        <f>(B540/31)/1.983</f>
        <v>208.59564361589639</v>
      </c>
      <c r="C541" s="21">
        <f>(C540/28)/1.983</f>
        <v>231.16129961818314</v>
      </c>
      <c r="D541" s="21">
        <f>(D540/31)/1.983</f>
        <v>324.76046394351988</v>
      </c>
      <c r="E541" s="81" t="s">
        <v>7</v>
      </c>
      <c r="F541" s="21">
        <f>(F540/30)/1.983</f>
        <v>350.57992939989913</v>
      </c>
      <c r="G541" s="21">
        <f>(G540/31)/1.983</f>
        <v>334.60218307224306</v>
      </c>
      <c r="H541" s="21">
        <f>(H540/30)/1.983</f>
        <v>292.40208438393006</v>
      </c>
      <c r="I541" s="81" t="s">
        <v>7</v>
      </c>
      <c r="J541" s="21">
        <f>(J540/31)/1.983</f>
        <v>276.77191612577877</v>
      </c>
      <c r="K541" s="21">
        <f>(K540/31)/1.983</f>
        <v>316.75695020578138</v>
      </c>
      <c r="L541" s="21">
        <f>(L540/30)/1.983</f>
        <v>276.90368129097328</v>
      </c>
      <c r="M541" s="81" t="s">
        <v>7</v>
      </c>
      <c r="N541" s="21">
        <f>(N540/31)/1.983</f>
        <v>84.671319115709338</v>
      </c>
      <c r="O541" s="21">
        <f>(O540/30)/1.983</f>
        <v>191.61203563624136</v>
      </c>
      <c r="P541" s="21">
        <f>(P540/31)/1.983</f>
        <v>81.726937029264874</v>
      </c>
      <c r="Q541" s="81" t="s">
        <v>7</v>
      </c>
      <c r="R541" s="81" t="s">
        <v>7</v>
      </c>
    </row>
    <row r="542" spans="1:18" ht="15.75" customHeight="1" x14ac:dyDescent="0.3">
      <c r="A542" s="2"/>
      <c r="B542" s="1"/>
      <c r="C542" s="1"/>
      <c r="D542" s="1"/>
      <c r="E542" s="1"/>
      <c r="F542" s="1"/>
      <c r="G542" s="1"/>
      <c r="H542" s="1"/>
      <c r="I542" s="1"/>
      <c r="J542" s="1"/>
      <c r="K542" s="1"/>
      <c r="L542" s="1"/>
      <c r="M542" s="1"/>
      <c r="N542" s="1"/>
      <c r="O542" s="1"/>
      <c r="P542" s="1"/>
      <c r="Q542" s="1"/>
      <c r="R542" s="2"/>
    </row>
    <row r="543" spans="1:18" ht="15.75" customHeight="1" thickBot="1" x14ac:dyDescent="0.35">
      <c r="A543" s="106"/>
      <c r="B543" s="21"/>
      <c r="C543" s="21"/>
      <c r="D543" s="21"/>
      <c r="E543" s="21"/>
      <c r="F543" s="21"/>
      <c r="G543" s="21"/>
      <c r="H543" s="21"/>
      <c r="I543" s="21"/>
      <c r="J543" s="21"/>
      <c r="K543" s="21"/>
      <c r="L543" s="21"/>
      <c r="M543" s="21"/>
      <c r="N543" s="21"/>
      <c r="O543" s="21"/>
      <c r="P543" s="21"/>
      <c r="Q543" s="21"/>
      <c r="R543" s="106"/>
    </row>
    <row r="544" spans="1:18" ht="15.75" customHeight="1" thickBot="1" x14ac:dyDescent="0.35">
      <c r="A544" s="107" t="s">
        <v>343</v>
      </c>
      <c r="B544" s="47" t="s">
        <v>8</v>
      </c>
      <c r="C544" s="48" t="s">
        <v>9</v>
      </c>
      <c r="D544" s="48" t="s">
        <v>10</v>
      </c>
      <c r="E544" s="32" t="s">
        <v>11</v>
      </c>
      <c r="F544" s="48" t="s">
        <v>12</v>
      </c>
      <c r="G544" s="48" t="s">
        <v>13</v>
      </c>
      <c r="H544" s="48" t="s">
        <v>14</v>
      </c>
      <c r="I544" s="32" t="s">
        <v>15</v>
      </c>
      <c r="J544" s="48" t="s">
        <v>16</v>
      </c>
      <c r="K544" s="48" t="s">
        <v>17</v>
      </c>
      <c r="L544" s="48" t="s">
        <v>18</v>
      </c>
      <c r="M544" s="32" t="s">
        <v>19</v>
      </c>
      <c r="N544" s="48" t="s">
        <v>20</v>
      </c>
      <c r="O544" s="48" t="s">
        <v>21</v>
      </c>
      <c r="P544" s="48" t="s">
        <v>22</v>
      </c>
      <c r="Q544" s="32" t="s">
        <v>23</v>
      </c>
      <c r="R544" s="49" t="s">
        <v>24</v>
      </c>
    </row>
    <row r="545" spans="1:18" ht="15.75" customHeight="1" thickBot="1" x14ac:dyDescent="0.35">
      <c r="A545" s="130"/>
      <c r="B545" s="51"/>
      <c r="C545" s="51"/>
      <c r="D545" s="51"/>
      <c r="E545" s="52"/>
      <c r="F545" s="51"/>
      <c r="G545" s="51"/>
      <c r="H545" s="51"/>
      <c r="I545" s="52"/>
      <c r="J545" s="51"/>
      <c r="K545" s="51"/>
      <c r="L545" s="51"/>
      <c r="M545" s="52"/>
      <c r="N545" s="51"/>
      <c r="O545" s="51"/>
      <c r="P545" s="51"/>
      <c r="Q545" s="52"/>
      <c r="R545" s="53"/>
    </row>
    <row r="546" spans="1:18" ht="15.75" customHeight="1" x14ac:dyDescent="0.3">
      <c r="A546" s="15" t="s">
        <v>48</v>
      </c>
      <c r="B546" s="1" t="s">
        <v>7</v>
      </c>
      <c r="C546" s="1" t="s">
        <v>7</v>
      </c>
      <c r="D546" s="1" t="s">
        <v>7</v>
      </c>
      <c r="E546" s="55" t="s">
        <v>7</v>
      </c>
      <c r="F546" s="1" t="s">
        <v>7</v>
      </c>
      <c r="G546" s="1" t="s">
        <v>7</v>
      </c>
      <c r="H546" s="1" t="s">
        <v>7</v>
      </c>
      <c r="I546" s="55" t="s">
        <v>7</v>
      </c>
      <c r="J546" s="1" t="s">
        <v>7</v>
      </c>
      <c r="K546" s="1" t="s">
        <v>7</v>
      </c>
      <c r="L546" s="1" t="s">
        <v>7</v>
      </c>
      <c r="M546" s="55" t="s">
        <v>7</v>
      </c>
      <c r="N546" s="1" t="s">
        <v>7</v>
      </c>
      <c r="O546" s="1" t="s">
        <v>7</v>
      </c>
      <c r="P546" s="1" t="s">
        <v>7</v>
      </c>
      <c r="Q546" s="55" t="s">
        <v>7</v>
      </c>
      <c r="R546" s="55" t="s">
        <v>7</v>
      </c>
    </row>
    <row r="547" spans="1:18" ht="15.75" customHeight="1" x14ac:dyDescent="0.3">
      <c r="A547" s="15" t="s">
        <v>49</v>
      </c>
      <c r="B547" s="1"/>
      <c r="C547" s="1"/>
      <c r="D547" s="1"/>
      <c r="E547" s="55" t="s">
        <v>7</v>
      </c>
      <c r="F547" s="1"/>
      <c r="G547" s="1"/>
      <c r="H547" s="1"/>
      <c r="I547" s="55" t="s">
        <v>7</v>
      </c>
      <c r="J547" s="1"/>
      <c r="K547" s="1"/>
      <c r="L547" s="1"/>
      <c r="M547" s="55" t="s">
        <v>7</v>
      </c>
      <c r="N547" s="1"/>
      <c r="O547" s="1"/>
      <c r="P547" s="1"/>
      <c r="Q547" s="55" t="s">
        <v>7</v>
      </c>
      <c r="R547" s="55" t="s">
        <v>7</v>
      </c>
    </row>
    <row r="548" spans="1:18" ht="15.75" customHeight="1" x14ac:dyDescent="0.3">
      <c r="A548" s="71" t="s">
        <v>344</v>
      </c>
      <c r="B548" s="1">
        <v>6753</v>
      </c>
      <c r="C548" s="1">
        <v>5662</v>
      </c>
      <c r="D548" s="1">
        <v>7916</v>
      </c>
      <c r="E548" s="55">
        <f>SUM(B548:D548)</f>
        <v>20331</v>
      </c>
      <c r="F548" s="1">
        <v>7646</v>
      </c>
      <c r="G548" s="1">
        <v>7943</v>
      </c>
      <c r="H548" s="1">
        <v>7547</v>
      </c>
      <c r="I548" s="55">
        <f>SUM(F548:H548)</f>
        <v>23136</v>
      </c>
      <c r="J548" s="1">
        <v>7970</v>
      </c>
      <c r="K548" s="1">
        <v>7930</v>
      </c>
      <c r="L548" s="1">
        <v>5554</v>
      </c>
      <c r="M548" s="55">
        <f>SUM(J548:L548)</f>
        <v>21454</v>
      </c>
      <c r="N548" s="1">
        <v>0</v>
      </c>
      <c r="O548" s="1">
        <v>0</v>
      </c>
      <c r="P548" s="1">
        <v>2064</v>
      </c>
      <c r="Q548" s="55">
        <f>SUM(N548:P548)</f>
        <v>2064</v>
      </c>
      <c r="R548" s="55">
        <f>+E548+I548+M548+Q548</f>
        <v>66985</v>
      </c>
    </row>
    <row r="549" spans="1:18" ht="15.75" customHeight="1" x14ac:dyDescent="0.3">
      <c r="A549" s="71" t="s">
        <v>345</v>
      </c>
      <c r="B549" s="1">
        <v>4486</v>
      </c>
      <c r="C549" s="1">
        <v>4912</v>
      </c>
      <c r="D549" s="1">
        <v>7305</v>
      </c>
      <c r="E549" s="55">
        <f>SUM(B549:D549)</f>
        <v>16703</v>
      </c>
      <c r="F549" s="1">
        <v>0</v>
      </c>
      <c r="G549" s="1">
        <v>0</v>
      </c>
      <c r="H549" s="1">
        <v>0</v>
      </c>
      <c r="I549" s="55">
        <f>SUM(F549:H549)</f>
        <v>0</v>
      </c>
      <c r="J549" s="1">
        <v>0</v>
      </c>
      <c r="K549" s="1">
        <v>0</v>
      </c>
      <c r="L549" s="1">
        <v>0</v>
      </c>
      <c r="M549" s="55">
        <f>SUM(J549:L549)</f>
        <v>0</v>
      </c>
      <c r="N549" s="1">
        <v>0</v>
      </c>
      <c r="O549" s="1">
        <v>129</v>
      </c>
      <c r="P549" s="1">
        <v>60</v>
      </c>
      <c r="Q549" s="55">
        <f>SUM(N549:P549)</f>
        <v>189</v>
      </c>
      <c r="R549" s="55">
        <f>+E549+I549+M549+Q549</f>
        <v>16892</v>
      </c>
    </row>
    <row r="550" spans="1:18" ht="15.75" customHeight="1" x14ac:dyDescent="0.3">
      <c r="A550" s="15" t="s">
        <v>50</v>
      </c>
      <c r="B550" s="1"/>
      <c r="C550" s="1"/>
      <c r="D550" s="1"/>
      <c r="E550" s="55" t="s">
        <v>7</v>
      </c>
      <c r="F550" s="1"/>
      <c r="G550" s="1"/>
      <c r="H550" s="1"/>
      <c r="I550" s="55" t="s">
        <v>7</v>
      </c>
      <c r="J550" s="1"/>
      <c r="K550" s="1"/>
      <c r="L550" s="1"/>
      <c r="M550" s="55" t="s">
        <v>7</v>
      </c>
      <c r="N550" s="1"/>
      <c r="O550" s="1"/>
      <c r="P550" s="1"/>
      <c r="Q550" s="55" t="s">
        <v>7</v>
      </c>
      <c r="R550" s="55" t="s">
        <v>7</v>
      </c>
    </row>
    <row r="551" spans="1:18" ht="15.75" customHeight="1" x14ac:dyDescent="0.3">
      <c r="A551" s="15" t="s">
        <v>51</v>
      </c>
      <c r="B551" s="1"/>
      <c r="C551" s="1"/>
      <c r="D551" s="1"/>
      <c r="E551" s="55" t="s">
        <v>7</v>
      </c>
      <c r="F551" s="1"/>
      <c r="G551" s="1"/>
      <c r="H551" s="1"/>
      <c r="I551" s="55" t="s">
        <v>7</v>
      </c>
      <c r="J551" s="1"/>
      <c r="K551" s="1"/>
      <c r="L551" s="1"/>
      <c r="M551" s="55" t="s">
        <v>7</v>
      </c>
      <c r="N551" s="1"/>
      <c r="O551" s="1"/>
      <c r="P551" s="1"/>
      <c r="Q551" s="55" t="s">
        <v>7</v>
      </c>
      <c r="R551" s="55" t="s">
        <v>7</v>
      </c>
    </row>
    <row r="552" spans="1:18" ht="15.75" customHeight="1" thickBot="1" x14ac:dyDescent="0.35">
      <c r="A552" s="15" t="s">
        <v>53</v>
      </c>
      <c r="B552" s="1"/>
      <c r="C552" s="1"/>
      <c r="D552" s="1"/>
      <c r="E552" s="55" t="s">
        <v>7</v>
      </c>
      <c r="F552" s="1"/>
      <c r="G552" s="1"/>
      <c r="H552" s="1"/>
      <c r="I552" s="55" t="s">
        <v>7</v>
      </c>
      <c r="J552" s="1"/>
      <c r="K552" s="1"/>
      <c r="L552" s="1"/>
      <c r="M552" s="55" t="s">
        <v>7</v>
      </c>
      <c r="N552" s="1"/>
      <c r="O552" s="1"/>
      <c r="P552" s="1"/>
      <c r="Q552" s="55" t="s">
        <v>7</v>
      </c>
      <c r="R552" s="55" t="s">
        <v>7</v>
      </c>
    </row>
    <row r="553" spans="1:18" ht="15.75" customHeight="1" thickBot="1" x14ac:dyDescent="0.35">
      <c r="A553" s="109" t="s">
        <v>54</v>
      </c>
      <c r="B553" s="86">
        <f>SUM(B546:B552)</f>
        <v>11239</v>
      </c>
      <c r="C553" s="87">
        <f>SUM(C546:C552)</f>
        <v>10574</v>
      </c>
      <c r="D553" s="87">
        <f>SUM(D546:D552)</f>
        <v>15221</v>
      </c>
      <c r="E553" s="59">
        <f>SUM(B553:D553)</f>
        <v>37034</v>
      </c>
      <c r="F553" s="87">
        <f>SUM(F546:F552)</f>
        <v>7646</v>
      </c>
      <c r="G553" s="87">
        <f>SUM(G546:G552)</f>
        <v>7943</v>
      </c>
      <c r="H553" s="87">
        <f>SUM(H546:H552)</f>
        <v>7547</v>
      </c>
      <c r="I553" s="59">
        <f>SUM(F553:H553)</f>
        <v>23136</v>
      </c>
      <c r="J553" s="87">
        <f>SUM(J546:J552)</f>
        <v>7970</v>
      </c>
      <c r="K553" s="87">
        <f>SUM(K546:K552)</f>
        <v>7930</v>
      </c>
      <c r="L553" s="87">
        <f>SUM(L546:L552)</f>
        <v>5554</v>
      </c>
      <c r="M553" s="59">
        <f>SUM(J553:L553)</f>
        <v>21454</v>
      </c>
      <c r="N553" s="87">
        <f>SUM(N546:N552)</f>
        <v>0</v>
      </c>
      <c r="O553" s="87">
        <f>SUM(O546:O552)</f>
        <v>129</v>
      </c>
      <c r="P553" s="87">
        <f>SUM(P546:P552)</f>
        <v>2124</v>
      </c>
      <c r="Q553" s="59">
        <f>SUM(N553:P553)</f>
        <v>2253</v>
      </c>
      <c r="R553" s="59">
        <f>+E553+I553+M553+Q553</f>
        <v>83877</v>
      </c>
    </row>
    <row r="554" spans="1:18" ht="15.75" customHeight="1" x14ac:dyDescent="0.3">
      <c r="A554" s="15" t="s">
        <v>55</v>
      </c>
      <c r="B554" s="1"/>
      <c r="C554" s="1"/>
      <c r="D554" s="1"/>
      <c r="E554" s="55" t="s">
        <v>7</v>
      </c>
      <c r="F554" s="1"/>
      <c r="G554" s="1"/>
      <c r="H554" s="1"/>
      <c r="I554" s="55" t="s">
        <v>7</v>
      </c>
      <c r="J554" s="1"/>
      <c r="K554" s="1"/>
      <c r="L554" s="1"/>
      <c r="M554" s="55" t="s">
        <v>7</v>
      </c>
      <c r="N554" s="1"/>
      <c r="O554" s="1"/>
      <c r="P554" s="1"/>
      <c r="Q554" s="55" t="s">
        <v>7</v>
      </c>
      <c r="R554" s="55" t="s">
        <v>7</v>
      </c>
    </row>
    <row r="555" spans="1:18" ht="15.75" customHeight="1" x14ac:dyDescent="0.3">
      <c r="A555" s="15" t="s">
        <v>57</v>
      </c>
      <c r="B555" s="1"/>
      <c r="C555" s="1"/>
      <c r="D555" s="1"/>
      <c r="E555" s="55" t="s">
        <v>7</v>
      </c>
      <c r="F555" s="1"/>
      <c r="G555" s="1"/>
      <c r="H555" s="1"/>
      <c r="I555" s="55" t="s">
        <v>7</v>
      </c>
      <c r="J555" s="1"/>
      <c r="K555" s="1"/>
      <c r="L555" s="1"/>
      <c r="M555" s="55" t="s">
        <v>7</v>
      </c>
      <c r="N555" s="1"/>
      <c r="O555" s="1"/>
      <c r="P555" s="1"/>
      <c r="Q555" s="55" t="s">
        <v>7</v>
      </c>
      <c r="R555" s="55" t="s">
        <v>7</v>
      </c>
    </row>
    <row r="556" spans="1:18" ht="15.75" customHeight="1" thickBot="1" x14ac:dyDescent="0.35">
      <c r="A556" s="15" t="s">
        <v>58</v>
      </c>
      <c r="B556" s="1"/>
      <c r="C556" s="1"/>
      <c r="D556" s="1"/>
      <c r="E556" s="55" t="s">
        <v>7</v>
      </c>
      <c r="F556" s="1"/>
      <c r="G556" s="1"/>
      <c r="H556" s="1"/>
      <c r="I556" s="55" t="s">
        <v>7</v>
      </c>
      <c r="J556" s="1"/>
      <c r="K556" s="1"/>
      <c r="L556" s="1"/>
      <c r="M556" s="55" t="s">
        <v>7</v>
      </c>
      <c r="N556" s="1"/>
      <c r="O556" s="1"/>
      <c r="P556" s="1"/>
      <c r="Q556" s="55" t="s">
        <v>7</v>
      </c>
      <c r="R556" s="55" t="s">
        <v>7</v>
      </c>
    </row>
    <row r="557" spans="1:18" ht="15.75" customHeight="1" thickBot="1" x14ac:dyDescent="0.35">
      <c r="A557" s="57" t="s">
        <v>59</v>
      </c>
      <c r="B557" s="86">
        <f>SUM(B554:B556)</f>
        <v>0</v>
      </c>
      <c r="C557" s="87">
        <f>SUM(C554:C556)</f>
        <v>0</v>
      </c>
      <c r="D557" s="87">
        <f>SUM(D554:D556)</f>
        <v>0</v>
      </c>
      <c r="E557" s="59">
        <f>SUM(B557:D557)</f>
        <v>0</v>
      </c>
      <c r="F557" s="87">
        <f>SUM(F554:F556)</f>
        <v>0</v>
      </c>
      <c r="G557" s="87">
        <f>SUM(G554:G556)</f>
        <v>0</v>
      </c>
      <c r="H557" s="87">
        <f>SUM(H554:H556)</f>
        <v>0</v>
      </c>
      <c r="I557" s="59">
        <f>SUM(F557:H557)</f>
        <v>0</v>
      </c>
      <c r="J557" s="87">
        <f>SUM(J554:J556)</f>
        <v>0</v>
      </c>
      <c r="K557" s="87">
        <f>SUM(K554:K556)</f>
        <v>0</v>
      </c>
      <c r="L557" s="87">
        <f>SUM(L554:L556)</f>
        <v>0</v>
      </c>
      <c r="M557" s="59">
        <f>SUM(J557:L557)</f>
        <v>0</v>
      </c>
      <c r="N557" s="87">
        <f>SUM(N554:N556)</f>
        <v>0</v>
      </c>
      <c r="O557" s="87">
        <f>SUM(O554:O556)</f>
        <v>0</v>
      </c>
      <c r="P557" s="87">
        <f>SUM(P554:P556)</f>
        <v>0</v>
      </c>
      <c r="Q557" s="59">
        <f>SUM(N557:P557)</f>
        <v>0</v>
      </c>
      <c r="R557" s="59">
        <f>+E557+I557+M557+Q557</f>
        <v>0</v>
      </c>
    </row>
    <row r="558" spans="1:18" ht="15.75" customHeight="1" x14ac:dyDescent="0.3">
      <c r="A558" s="15" t="s">
        <v>60</v>
      </c>
      <c r="B558" s="1"/>
      <c r="C558" s="1"/>
      <c r="D558" s="1"/>
      <c r="E558" s="55" t="s">
        <v>7</v>
      </c>
      <c r="F558" s="1"/>
      <c r="G558" s="1"/>
      <c r="H558" s="1"/>
      <c r="I558" s="55" t="s">
        <v>7</v>
      </c>
      <c r="J558" s="1"/>
      <c r="K558" s="1"/>
      <c r="L558" s="1"/>
      <c r="M558" s="55" t="s">
        <v>7</v>
      </c>
      <c r="N558" s="1"/>
      <c r="O558" s="1"/>
      <c r="P558" s="1"/>
      <c r="Q558" s="55" t="s">
        <v>7</v>
      </c>
      <c r="R558" s="55" t="s">
        <v>7</v>
      </c>
    </row>
    <row r="559" spans="1:18" ht="15.75" customHeight="1" x14ac:dyDescent="0.3">
      <c r="A559" s="15" t="s">
        <v>61</v>
      </c>
      <c r="B559" s="1"/>
      <c r="C559" s="1"/>
      <c r="D559" s="1"/>
      <c r="E559" s="55" t="s">
        <v>7</v>
      </c>
      <c r="F559" s="1"/>
      <c r="G559" s="1"/>
      <c r="H559" s="1"/>
      <c r="I559" s="55" t="s">
        <v>7</v>
      </c>
      <c r="J559" s="1"/>
      <c r="K559" s="1"/>
      <c r="L559" s="1"/>
      <c r="M559" s="55" t="s">
        <v>7</v>
      </c>
      <c r="N559" s="1"/>
      <c r="O559" s="1"/>
      <c r="P559" s="1"/>
      <c r="Q559" s="55" t="s">
        <v>7</v>
      </c>
      <c r="R559" s="55" t="s">
        <v>7</v>
      </c>
    </row>
    <row r="560" spans="1:18" ht="15.75" customHeight="1" x14ac:dyDescent="0.3">
      <c r="A560" s="71" t="s">
        <v>346</v>
      </c>
      <c r="B560" s="1">
        <v>250</v>
      </c>
      <c r="C560" s="1">
        <v>373</v>
      </c>
      <c r="D560" s="1">
        <v>906</v>
      </c>
      <c r="E560" s="55">
        <f>SUM(B560:D560)</f>
        <v>1529</v>
      </c>
      <c r="F560" s="1">
        <v>2125</v>
      </c>
      <c r="G560" s="1">
        <v>1200</v>
      </c>
      <c r="H560" s="1">
        <v>1517</v>
      </c>
      <c r="I560" s="55">
        <f>SUM(F560:H560)</f>
        <v>4842</v>
      </c>
      <c r="J560" s="1">
        <v>1392</v>
      </c>
      <c r="K560" s="1">
        <v>1122</v>
      </c>
      <c r="L560" s="1">
        <v>1076</v>
      </c>
      <c r="M560" s="55">
        <f>SUM(J560:L560)</f>
        <v>3590</v>
      </c>
      <c r="N560" s="1">
        <v>40</v>
      </c>
      <c r="O560" s="1">
        <v>390</v>
      </c>
      <c r="P560" s="1">
        <v>180</v>
      </c>
      <c r="Q560" s="55">
        <f>SUM(N560:P560)</f>
        <v>610</v>
      </c>
      <c r="R560" s="55">
        <f>+E560+I560+M560+Q560</f>
        <v>10571</v>
      </c>
    </row>
    <row r="561" spans="1:18" ht="15.75" customHeight="1" thickBot="1" x14ac:dyDescent="0.35">
      <c r="A561" s="15" t="s">
        <v>62</v>
      </c>
      <c r="B561" s="1"/>
      <c r="C561" s="1"/>
      <c r="D561" s="1"/>
      <c r="E561" s="55" t="s">
        <v>7</v>
      </c>
      <c r="F561" s="1"/>
      <c r="G561" s="1"/>
      <c r="H561" s="1"/>
      <c r="I561" s="55" t="s">
        <v>7</v>
      </c>
      <c r="J561" s="1"/>
      <c r="K561" s="1"/>
      <c r="L561" s="1"/>
      <c r="M561" s="55" t="s">
        <v>7</v>
      </c>
      <c r="N561" s="1"/>
      <c r="O561" s="1"/>
      <c r="P561" s="1"/>
      <c r="Q561" s="55" t="s">
        <v>7</v>
      </c>
      <c r="R561" s="55" t="s">
        <v>7</v>
      </c>
    </row>
    <row r="562" spans="1:18" ht="15.75" customHeight="1" thickBot="1" x14ac:dyDescent="0.35">
      <c r="A562" s="57" t="s">
        <v>63</v>
      </c>
      <c r="B562" s="86">
        <f>SUM(B558:B561)</f>
        <v>250</v>
      </c>
      <c r="C562" s="87">
        <f>SUM(C558:C561)</f>
        <v>373</v>
      </c>
      <c r="D562" s="87">
        <f>SUM(D558:D561)</f>
        <v>906</v>
      </c>
      <c r="E562" s="59">
        <f>SUM(B562:D562)</f>
        <v>1529</v>
      </c>
      <c r="F562" s="87">
        <f>SUM(F558:F561)</f>
        <v>2125</v>
      </c>
      <c r="G562" s="87">
        <f>SUM(G558:G561)</f>
        <v>1200</v>
      </c>
      <c r="H562" s="87">
        <f>SUM(H558:H561)</f>
        <v>1517</v>
      </c>
      <c r="I562" s="59">
        <f>SUM(F562:H562)</f>
        <v>4842</v>
      </c>
      <c r="J562" s="87">
        <f>SUM(J558:J561)</f>
        <v>1392</v>
      </c>
      <c r="K562" s="87">
        <f>SUM(K558:K561)</f>
        <v>1122</v>
      </c>
      <c r="L562" s="87">
        <f>SUM(L558:L561)</f>
        <v>1076</v>
      </c>
      <c r="M562" s="59">
        <f>SUM(J562:L562)</f>
        <v>3590</v>
      </c>
      <c r="N562" s="87">
        <f>SUM(N558:N561)</f>
        <v>40</v>
      </c>
      <c r="O562" s="87">
        <f>SUM(O558:O561)</f>
        <v>390</v>
      </c>
      <c r="P562" s="87">
        <f>SUM(P558:P561)</f>
        <v>180</v>
      </c>
      <c r="Q562" s="59">
        <f>SUM(N562:P562)</f>
        <v>610</v>
      </c>
      <c r="R562" s="59">
        <f>+E562+I562+M562+Q562</f>
        <v>10571</v>
      </c>
    </row>
    <row r="563" spans="1:18" ht="15.75" customHeight="1" x14ac:dyDescent="0.3">
      <c r="A563" s="15" t="s">
        <v>64</v>
      </c>
      <c r="B563" s="1"/>
      <c r="C563" s="1"/>
      <c r="D563" s="1"/>
      <c r="E563" s="55" t="s">
        <v>7</v>
      </c>
      <c r="F563" s="1"/>
      <c r="G563" s="1"/>
      <c r="H563" s="1"/>
      <c r="I563" s="55" t="s">
        <v>7</v>
      </c>
      <c r="J563" s="1"/>
      <c r="K563" s="1"/>
      <c r="L563" s="1"/>
      <c r="M563" s="55" t="s">
        <v>7</v>
      </c>
      <c r="N563" s="1"/>
      <c r="O563" s="1"/>
      <c r="P563" s="1"/>
      <c r="Q563" s="55" t="s">
        <v>7</v>
      </c>
      <c r="R563" s="55" t="s">
        <v>7</v>
      </c>
    </row>
    <row r="564" spans="1:18" ht="15.75" customHeight="1" x14ac:dyDescent="0.3">
      <c r="A564" s="15" t="s">
        <v>65</v>
      </c>
      <c r="B564" s="1"/>
      <c r="C564" s="1"/>
      <c r="D564" s="1"/>
      <c r="E564" s="55" t="s">
        <v>7</v>
      </c>
      <c r="F564" s="1"/>
      <c r="G564" s="1"/>
      <c r="H564" s="1"/>
      <c r="I564" s="55" t="s">
        <v>7</v>
      </c>
      <c r="J564" s="1"/>
      <c r="K564" s="1"/>
      <c r="L564" s="1"/>
      <c r="M564" s="55" t="s">
        <v>7</v>
      </c>
      <c r="N564" s="1"/>
      <c r="O564" s="1"/>
      <c r="P564" s="1"/>
      <c r="Q564" s="55" t="s">
        <v>7</v>
      </c>
      <c r="R564" s="55" t="s">
        <v>7</v>
      </c>
    </row>
    <row r="565" spans="1:18" ht="15.75" customHeight="1" x14ac:dyDescent="0.3">
      <c r="A565" s="15" t="s">
        <v>67</v>
      </c>
      <c r="B565" s="1"/>
      <c r="C565" s="1"/>
      <c r="D565" s="1"/>
      <c r="E565" s="55" t="s">
        <v>7</v>
      </c>
      <c r="F565" s="1"/>
      <c r="G565" s="1"/>
      <c r="H565" s="1"/>
      <c r="I565" s="55" t="s">
        <v>7</v>
      </c>
      <c r="J565" s="1"/>
      <c r="K565" s="1"/>
      <c r="L565" s="1"/>
      <c r="M565" s="55" t="s">
        <v>7</v>
      </c>
      <c r="N565" s="1"/>
      <c r="O565" s="1"/>
      <c r="P565" s="1"/>
      <c r="Q565" s="55" t="s">
        <v>7</v>
      </c>
      <c r="R565" s="55" t="s">
        <v>7</v>
      </c>
    </row>
    <row r="566" spans="1:18" ht="15.75" customHeight="1" x14ac:dyDescent="0.3">
      <c r="A566" s="71" t="s">
        <v>347</v>
      </c>
      <c r="B566" s="1">
        <v>0</v>
      </c>
      <c r="C566" s="1">
        <v>0</v>
      </c>
      <c r="D566" s="1">
        <v>0</v>
      </c>
      <c r="E566" s="55">
        <f>SUM(B566:D566)</f>
        <v>0</v>
      </c>
      <c r="F566" s="1">
        <v>0</v>
      </c>
      <c r="G566" s="1">
        <v>0</v>
      </c>
      <c r="H566" s="1">
        <v>0</v>
      </c>
      <c r="I566" s="55">
        <f>SUM(F566:H566)</f>
        <v>0</v>
      </c>
      <c r="J566" s="1">
        <v>0</v>
      </c>
      <c r="K566" s="1">
        <v>0</v>
      </c>
      <c r="L566" s="1">
        <v>0</v>
      </c>
      <c r="M566" s="55">
        <f>SUM(J566:L566)</f>
        <v>0</v>
      </c>
      <c r="N566" s="1">
        <v>0</v>
      </c>
      <c r="O566" s="1">
        <v>0</v>
      </c>
      <c r="P566" s="1">
        <v>0</v>
      </c>
      <c r="Q566" s="55">
        <f>SUM(N566:P566)</f>
        <v>0</v>
      </c>
      <c r="R566" s="55">
        <f>+E566+I566+M566+Q566</f>
        <v>0</v>
      </c>
    </row>
    <row r="567" spans="1:18" ht="15.75" customHeight="1" x14ac:dyDescent="0.3">
      <c r="A567" s="71" t="s">
        <v>348</v>
      </c>
      <c r="B567" s="1">
        <v>0</v>
      </c>
      <c r="C567" s="1">
        <v>0</v>
      </c>
      <c r="D567" s="1">
        <v>0</v>
      </c>
      <c r="E567" s="55">
        <f>SUM(B567:D567)</f>
        <v>0</v>
      </c>
      <c r="F567" s="1">
        <v>0</v>
      </c>
      <c r="G567" s="1">
        <v>0</v>
      </c>
      <c r="H567" s="1">
        <v>0</v>
      </c>
      <c r="I567" s="55">
        <f>SUM(F567:H567)</f>
        <v>0</v>
      </c>
      <c r="J567" s="1">
        <v>0</v>
      </c>
      <c r="K567" s="1">
        <v>0</v>
      </c>
      <c r="L567" s="1">
        <v>0</v>
      </c>
      <c r="M567" s="55">
        <f>SUM(J567:L567)</f>
        <v>0</v>
      </c>
      <c r="N567" s="1">
        <v>0</v>
      </c>
      <c r="O567" s="1">
        <v>4627</v>
      </c>
      <c r="P567" s="1">
        <v>373</v>
      </c>
      <c r="Q567" s="55">
        <f>SUM(N567:P567)</f>
        <v>5000</v>
      </c>
      <c r="R567" s="55">
        <f>+E567+I567+M567+Q567</f>
        <v>5000</v>
      </c>
    </row>
    <row r="568" spans="1:18" ht="15.75" customHeight="1" x14ac:dyDescent="0.3">
      <c r="A568" s="71" t="s">
        <v>349</v>
      </c>
      <c r="B568" s="1">
        <v>0</v>
      </c>
      <c r="C568" s="1">
        <v>0</v>
      </c>
      <c r="D568" s="1">
        <v>0</v>
      </c>
      <c r="E568" s="55">
        <f>SUM(B568:D568)</f>
        <v>0</v>
      </c>
      <c r="F568" s="1">
        <v>7043</v>
      </c>
      <c r="G568" s="1">
        <v>6524</v>
      </c>
      <c r="H568" s="1">
        <v>3613</v>
      </c>
      <c r="I568" s="55">
        <f>SUM(F568:H568)</f>
        <v>17180</v>
      </c>
      <c r="J568" s="1">
        <v>5244</v>
      </c>
      <c r="K568" s="1">
        <v>6025</v>
      </c>
      <c r="L568" s="1">
        <v>5826</v>
      </c>
      <c r="M568" s="55">
        <f>SUM(J568:L568)</f>
        <v>17095</v>
      </c>
      <c r="N568" s="1">
        <v>3156</v>
      </c>
      <c r="O568" s="1">
        <v>3569</v>
      </c>
      <c r="P568" s="1">
        <v>0</v>
      </c>
      <c r="Q568" s="55">
        <f>SUM(N568:P568)</f>
        <v>6725</v>
      </c>
      <c r="R568" s="55">
        <f>+E568+I568+M568+Q568</f>
        <v>41000</v>
      </c>
    </row>
    <row r="569" spans="1:18" ht="15.75" customHeight="1" x14ac:dyDescent="0.3">
      <c r="A569" s="71" t="s">
        <v>350</v>
      </c>
      <c r="B569" s="1">
        <v>0</v>
      </c>
      <c r="C569" s="1">
        <v>0</v>
      </c>
      <c r="D569" s="1">
        <v>0</v>
      </c>
      <c r="E569" s="55">
        <f>SUM(B569:D569)</f>
        <v>0</v>
      </c>
      <c r="F569" s="1">
        <v>0</v>
      </c>
      <c r="G569" s="1">
        <v>0</v>
      </c>
      <c r="H569" s="1">
        <v>0</v>
      </c>
      <c r="I569" s="55">
        <f>SUM(F569:H569)</f>
        <v>0</v>
      </c>
      <c r="J569" s="1">
        <v>0</v>
      </c>
      <c r="K569" s="1">
        <v>0</v>
      </c>
      <c r="L569" s="1">
        <v>0</v>
      </c>
      <c r="M569" s="55">
        <f>SUM(J569:L569)</f>
        <v>0</v>
      </c>
      <c r="N569" s="1">
        <v>0</v>
      </c>
      <c r="O569" s="1">
        <v>0</v>
      </c>
      <c r="P569" s="1">
        <v>0</v>
      </c>
      <c r="Q569" s="55">
        <f>SUM(N569:P569)</f>
        <v>0</v>
      </c>
      <c r="R569" s="55">
        <f>+E569+I569+M569+Q569</f>
        <v>0</v>
      </c>
    </row>
    <row r="570" spans="1:18" ht="15.75" customHeight="1" x14ac:dyDescent="0.3">
      <c r="A570" s="15" t="s">
        <v>69</v>
      </c>
      <c r="B570" s="1"/>
      <c r="C570" s="1"/>
      <c r="D570" s="1"/>
      <c r="E570" s="55" t="s">
        <v>7</v>
      </c>
      <c r="F570" s="1"/>
      <c r="G570" s="1"/>
      <c r="H570" s="1"/>
      <c r="I570" s="55" t="s">
        <v>7</v>
      </c>
      <c r="J570" s="1"/>
      <c r="K570" s="1"/>
      <c r="L570" s="1"/>
      <c r="M570" s="55" t="s">
        <v>7</v>
      </c>
      <c r="N570" s="1"/>
      <c r="O570" s="1"/>
      <c r="P570" s="1"/>
      <c r="Q570" s="55" t="s">
        <v>7</v>
      </c>
      <c r="R570" s="55" t="s">
        <v>7</v>
      </c>
    </row>
    <row r="571" spans="1:18" ht="15.75" customHeight="1" thickBot="1" x14ac:dyDescent="0.35">
      <c r="A571" s="15" t="s">
        <v>70</v>
      </c>
      <c r="B571" s="1"/>
      <c r="C571" s="1"/>
      <c r="D571" s="1"/>
      <c r="E571" s="55" t="s">
        <v>7</v>
      </c>
      <c r="F571" s="1"/>
      <c r="G571" s="1"/>
      <c r="H571" s="1"/>
      <c r="I571" s="55" t="s">
        <v>7</v>
      </c>
      <c r="J571" s="1"/>
      <c r="K571" s="1"/>
      <c r="L571" s="1"/>
      <c r="M571" s="55" t="s">
        <v>7</v>
      </c>
      <c r="N571" s="1"/>
      <c r="O571" s="1"/>
      <c r="P571" s="1"/>
      <c r="Q571" s="55" t="s">
        <v>7</v>
      </c>
      <c r="R571" s="55" t="s">
        <v>7</v>
      </c>
    </row>
    <row r="572" spans="1:18" ht="15.75" customHeight="1" thickBot="1" x14ac:dyDescent="0.35">
      <c r="A572" s="57" t="s">
        <v>71</v>
      </c>
      <c r="B572" s="58">
        <f>SUM(B570:B571)</f>
        <v>0</v>
      </c>
      <c r="C572" s="58">
        <f>SUM(C570:C571)</f>
        <v>0</v>
      </c>
      <c r="D572" s="58">
        <f>SUM(D570:D571)</f>
        <v>0</v>
      </c>
      <c r="E572" s="60">
        <f>SUM(B572:D572)</f>
        <v>0</v>
      </c>
      <c r="F572" s="58">
        <f>SUM(F570:F571)</f>
        <v>0</v>
      </c>
      <c r="G572" s="58">
        <f>SUM(G570:G571)</f>
        <v>0</v>
      </c>
      <c r="H572" s="58">
        <f>SUM(H570:H571)</f>
        <v>0</v>
      </c>
      <c r="I572" s="60">
        <f>SUM(F572:H572)</f>
        <v>0</v>
      </c>
      <c r="J572" s="58">
        <f>SUM(J570:J571)</f>
        <v>0</v>
      </c>
      <c r="K572" s="58">
        <f>SUM(K570:K571)</f>
        <v>0</v>
      </c>
      <c r="L572" s="58">
        <f>SUM(L570:L571)</f>
        <v>0</v>
      </c>
      <c r="M572" s="60">
        <f>SUM(J572:L572)</f>
        <v>0</v>
      </c>
      <c r="N572" s="58">
        <f>SUM(N570:N571)</f>
        <v>0</v>
      </c>
      <c r="O572" s="58">
        <f>SUM(O570:O571)</f>
        <v>0</v>
      </c>
      <c r="P572" s="58">
        <f>SUM(P570:P571)</f>
        <v>0</v>
      </c>
      <c r="Q572" s="60">
        <f>SUM(N572:P572)</f>
        <v>0</v>
      </c>
      <c r="R572" s="59">
        <f>+E572+I572+M572+Q572</f>
        <v>0</v>
      </c>
    </row>
    <row r="573" spans="1:18" ht="15.75" customHeight="1" thickBot="1" x14ac:dyDescent="0.35">
      <c r="A573" s="114" t="s">
        <v>72</v>
      </c>
      <c r="B573" s="86">
        <f>SUM(B563:B571)</f>
        <v>0</v>
      </c>
      <c r="C573" s="87">
        <f>SUM(C563:C571)</f>
        <v>0</v>
      </c>
      <c r="D573" s="118">
        <f>SUM(D563:D571)</f>
        <v>0</v>
      </c>
      <c r="E573" s="60">
        <f>SUM(B573:D573)</f>
        <v>0</v>
      </c>
      <c r="F573" s="87">
        <f>SUM(F563:F571)</f>
        <v>7043</v>
      </c>
      <c r="G573" s="87">
        <f>SUM(G563:G571)</f>
        <v>6524</v>
      </c>
      <c r="H573" s="87">
        <f>SUM(H563:H571)</f>
        <v>3613</v>
      </c>
      <c r="I573" s="60">
        <f>SUM(F573:H573)</f>
        <v>17180</v>
      </c>
      <c r="J573" s="87">
        <f>SUM(J563:J571)</f>
        <v>5244</v>
      </c>
      <c r="K573" s="87">
        <f>SUM(K563:K571)</f>
        <v>6025</v>
      </c>
      <c r="L573" s="87">
        <f>SUM(L563:L571)</f>
        <v>5826</v>
      </c>
      <c r="M573" s="60">
        <f>SUM(J573:L573)</f>
        <v>17095</v>
      </c>
      <c r="N573" s="87">
        <f>SUM(N563:N571)</f>
        <v>3156</v>
      </c>
      <c r="O573" s="87">
        <f>SUM(O563:O571)</f>
        <v>8196</v>
      </c>
      <c r="P573" s="87">
        <f>SUM(P563:P571)</f>
        <v>373</v>
      </c>
      <c r="Q573" s="60">
        <f>SUM(N573:P573)</f>
        <v>11725</v>
      </c>
      <c r="R573" s="59">
        <f>+E573+I573+M573+Q573</f>
        <v>46000</v>
      </c>
    </row>
    <row r="574" spans="1:18" ht="15.75" customHeight="1" thickBot="1" x14ac:dyDescent="0.35">
      <c r="A574" s="57" t="s">
        <v>73</v>
      </c>
      <c r="B574" s="90">
        <f>+B553+B557+B562+B573</f>
        <v>11489</v>
      </c>
      <c r="C574" s="58">
        <f>+C553+C557+C562+C573</f>
        <v>10947</v>
      </c>
      <c r="D574" s="58">
        <f>+D553+D557+D562+D573</f>
        <v>16127</v>
      </c>
      <c r="E574" s="59">
        <f>SUM(B574:D574)</f>
        <v>38563</v>
      </c>
      <c r="F574" s="58">
        <f>+F553+F557+F562+F573</f>
        <v>16814</v>
      </c>
      <c r="G574" s="58">
        <f>+G553+G557+G562+G573</f>
        <v>15667</v>
      </c>
      <c r="H574" s="58">
        <f>+H553+H557+H562+H573</f>
        <v>12677</v>
      </c>
      <c r="I574" s="59">
        <f>SUM(F574:H574)</f>
        <v>45158</v>
      </c>
      <c r="J574" s="58">
        <f>+J553+J557+J562+J573</f>
        <v>14606</v>
      </c>
      <c r="K574" s="58">
        <f>+K553+K557+K562+K573</f>
        <v>15077</v>
      </c>
      <c r="L574" s="58">
        <f>+L553+L557+L562+L573</f>
        <v>12456</v>
      </c>
      <c r="M574" s="59">
        <f>SUM(J574:L574)</f>
        <v>42139</v>
      </c>
      <c r="N574" s="58">
        <f>+N553+N557+N562+N573</f>
        <v>3196</v>
      </c>
      <c r="O574" s="58">
        <f>+O553+O557+O562+O573</f>
        <v>8715</v>
      </c>
      <c r="P574" s="58">
        <f>+P553+P557+P562+P573</f>
        <v>2677</v>
      </c>
      <c r="Q574" s="59">
        <f>SUM(N574:P574)</f>
        <v>14588</v>
      </c>
      <c r="R574" s="81">
        <f>+E574+I574+M574+Q574</f>
        <v>140448</v>
      </c>
    </row>
    <row r="575" spans="1:18" ht="15.75" customHeight="1" thickBot="1" x14ac:dyDescent="0.35">
      <c r="A575" s="62" t="s">
        <v>40</v>
      </c>
      <c r="B575" s="21">
        <v>22</v>
      </c>
      <c r="C575" s="21">
        <v>24</v>
      </c>
      <c r="D575" s="21">
        <v>31</v>
      </c>
      <c r="E575" s="59">
        <f>SUM(B575:D575)</f>
        <v>77</v>
      </c>
      <c r="F575" s="21">
        <v>40</v>
      </c>
      <c r="G575" s="21">
        <v>45</v>
      </c>
      <c r="H575" s="21">
        <v>48</v>
      </c>
      <c r="I575" s="59">
        <f>SUM(F575:H575)</f>
        <v>133</v>
      </c>
      <c r="J575" s="21">
        <v>42</v>
      </c>
      <c r="K575" s="21">
        <v>39</v>
      </c>
      <c r="L575" s="21">
        <v>38</v>
      </c>
      <c r="M575" s="59">
        <f>SUM(J575:L575)</f>
        <v>119</v>
      </c>
      <c r="N575" s="21">
        <v>32</v>
      </c>
      <c r="O575" s="21">
        <v>25</v>
      </c>
      <c r="P575" s="21">
        <v>21</v>
      </c>
      <c r="Q575" s="59">
        <f>SUM(N575:P575)</f>
        <v>78</v>
      </c>
      <c r="R575" s="60">
        <f>+E575+I575+M575+Q575</f>
        <v>407</v>
      </c>
    </row>
    <row r="576" spans="1:18" ht="15.75" customHeight="1" thickBot="1" x14ac:dyDescent="0.35">
      <c r="A576" s="41"/>
      <c r="B576" s="36"/>
      <c r="C576" s="36"/>
      <c r="D576" s="36"/>
      <c r="E576" s="52"/>
      <c r="F576" s="36"/>
      <c r="G576" s="36"/>
      <c r="H576" s="36"/>
      <c r="I576" s="52"/>
      <c r="J576" s="36"/>
      <c r="K576" s="36"/>
      <c r="L576" s="36"/>
      <c r="M576" s="52"/>
      <c r="N576" s="36"/>
      <c r="O576" s="36"/>
      <c r="P576" s="36"/>
      <c r="Q576" s="52"/>
      <c r="R576" s="42"/>
    </row>
    <row r="577" spans="1:18" ht="15.75" customHeight="1" x14ac:dyDescent="0.3">
      <c r="A577" s="15" t="s">
        <v>314</v>
      </c>
      <c r="B577" s="1">
        <f>+SUM(B574:B575)</f>
        <v>11511</v>
      </c>
      <c r="C577" s="1">
        <f>+SUM(C574:C575)</f>
        <v>10971</v>
      </c>
      <c r="D577" s="1">
        <f>+SUM(D574:D575)</f>
        <v>16158</v>
      </c>
      <c r="E577" s="60">
        <f>SUM(B577:D577)</f>
        <v>38640</v>
      </c>
      <c r="F577" s="1">
        <f>+SUM(F574:F575)</f>
        <v>16854</v>
      </c>
      <c r="G577" s="1">
        <f>+SUM(G574:G575)</f>
        <v>15712</v>
      </c>
      <c r="H577" s="1">
        <f>+SUM(H574:H575)</f>
        <v>12725</v>
      </c>
      <c r="I577" s="60">
        <f>SUM(F577:H577)</f>
        <v>45291</v>
      </c>
      <c r="J577" s="1">
        <f>+SUM(J574:J575)</f>
        <v>14648</v>
      </c>
      <c r="K577" s="1">
        <f>+SUM(K574:K575)</f>
        <v>15116</v>
      </c>
      <c r="L577" s="1">
        <f>+SUM(L574:L575)</f>
        <v>12494</v>
      </c>
      <c r="M577" s="60">
        <f>SUM(J577:L577)</f>
        <v>42258</v>
      </c>
      <c r="N577" s="1">
        <f>+SUM(N574:N575)</f>
        <v>3228</v>
      </c>
      <c r="O577" s="1">
        <f>+SUM(O574:O575)</f>
        <v>8740</v>
      </c>
      <c r="P577" s="1">
        <f>+SUM(P574:P575)</f>
        <v>2698</v>
      </c>
      <c r="Q577" s="60">
        <f>SUM(N577:P577)</f>
        <v>14666</v>
      </c>
      <c r="R577" s="60">
        <f>+E577+I577+M577+Q577</f>
        <v>140855</v>
      </c>
    </row>
    <row r="578" spans="1:18" ht="15.75" customHeight="1" x14ac:dyDescent="0.3">
      <c r="A578" s="15" t="s">
        <v>42</v>
      </c>
      <c r="B578" s="1">
        <f>(B577/31)/1.983</f>
        <v>187.25294031526033</v>
      </c>
      <c r="C578" s="1">
        <f>(C577/28)/1.983</f>
        <v>197.59023125135076</v>
      </c>
      <c r="D578" s="1">
        <f>(D577/31)/1.983</f>
        <v>262.84710360646136</v>
      </c>
      <c r="E578" s="55" t="s">
        <v>7</v>
      </c>
      <c r="F578" s="1">
        <f>(F577/30)/1.983</f>
        <v>283.30811901159854</v>
      </c>
      <c r="G578" s="1">
        <f>(G577/31)/1.983</f>
        <v>255.5918858685927</v>
      </c>
      <c r="H578" s="1">
        <f>(H577/30)/1.983</f>
        <v>213.90149604975625</v>
      </c>
      <c r="I578" s="55" t="s">
        <v>7</v>
      </c>
      <c r="J578" s="1">
        <f>(J577/31)/1.983</f>
        <v>238.2834740455159</v>
      </c>
      <c r="K578" s="1">
        <f>(K577/31)/1.983</f>
        <v>245.89657247897449</v>
      </c>
      <c r="L578" s="1">
        <f>(L577/30)/1.983</f>
        <v>210.01849050260546</v>
      </c>
      <c r="M578" s="55" t="s">
        <v>7</v>
      </c>
      <c r="N578" s="1">
        <f>(N577/31)/1.983</f>
        <v>52.510858425650284</v>
      </c>
      <c r="O578" s="1">
        <f>(O577/30)/1.983</f>
        <v>146.91544797444948</v>
      </c>
      <c r="P578" s="1">
        <f>(P577/31)/1.983</f>
        <v>43.889187122801879</v>
      </c>
      <c r="Q578" s="55" t="s">
        <v>7</v>
      </c>
      <c r="R578" s="55" t="s">
        <v>7</v>
      </c>
    </row>
    <row r="579" spans="1:18" ht="15.75" customHeight="1" x14ac:dyDescent="0.3">
      <c r="A579" s="15" t="s">
        <v>351</v>
      </c>
      <c r="B579" s="1">
        <f>B577+B589</f>
        <v>12813</v>
      </c>
      <c r="C579" s="1">
        <f>C577+C589</f>
        <v>12824</v>
      </c>
      <c r="D579" s="1">
        <f>D577+D589</f>
        <v>19950</v>
      </c>
      <c r="E579" s="55">
        <f>SUM(B579:D579)</f>
        <v>45587</v>
      </c>
      <c r="F579" s="1">
        <f>F577+F589</f>
        <v>20353</v>
      </c>
      <c r="G579" s="1">
        <f>G577+G589</f>
        <v>19999</v>
      </c>
      <c r="H579" s="1">
        <f>H577+H589</f>
        <v>16650</v>
      </c>
      <c r="I579" s="55">
        <f>SUM(F579:H579)</f>
        <v>57002</v>
      </c>
      <c r="J579" s="1">
        <f>J577+J589</f>
        <v>16780</v>
      </c>
      <c r="K579" s="1">
        <f>K577+K589</f>
        <v>19312</v>
      </c>
      <c r="L579" s="1">
        <f>L577+L589</f>
        <v>16456</v>
      </c>
      <c r="M579" s="55">
        <f>SUM(J579:L579)</f>
        <v>52548</v>
      </c>
      <c r="N579" s="1">
        <f>N577+N589</f>
        <v>5191</v>
      </c>
      <c r="O579" s="1">
        <f>O577+O589</f>
        <v>11388</v>
      </c>
      <c r="P579" s="1">
        <f>P577+P589</f>
        <v>5015</v>
      </c>
      <c r="Q579" s="55">
        <f>SUM(N579:P579)</f>
        <v>21594</v>
      </c>
      <c r="R579" s="55">
        <f>+E579+I579+M579+Q579</f>
        <v>176731</v>
      </c>
    </row>
    <row r="580" spans="1:18" ht="15.75" customHeight="1" thickBot="1" x14ac:dyDescent="0.35">
      <c r="A580" s="20" t="s">
        <v>352</v>
      </c>
      <c r="B580" s="21">
        <f>(B579/31)/1.983</f>
        <v>208.43297057244644</v>
      </c>
      <c r="C580" s="21">
        <f>(C579/28)/1.983</f>
        <v>230.96318709026727</v>
      </c>
      <c r="D580" s="21">
        <f>(D579/31)/1.983</f>
        <v>324.5327216826899</v>
      </c>
      <c r="E580" s="81" t="s">
        <v>7</v>
      </c>
      <c r="F580" s="21">
        <f>(F579/30)/1.983</f>
        <v>342.12472684484783</v>
      </c>
      <c r="G580" s="21">
        <f>(G579/31)/1.983</f>
        <v>325.32981959559481</v>
      </c>
      <c r="H580" s="21">
        <f>(H579/30)/1.983</f>
        <v>279.87897125567321</v>
      </c>
      <c r="I580" s="81" t="s">
        <v>7</v>
      </c>
      <c r="J580" s="21">
        <f>(J579/31)/1.983</f>
        <v>272.96536690904946</v>
      </c>
      <c r="K580" s="21">
        <f>(K579/31)/1.983</f>
        <v>314.15418151058191</v>
      </c>
      <c r="L580" s="21">
        <f>(L579/30)/1.983</f>
        <v>276.61791897797946</v>
      </c>
      <c r="M580" s="81" t="s">
        <v>7</v>
      </c>
      <c r="N580" s="21">
        <f>(N579/31)/1.983</f>
        <v>84.443576854879367</v>
      </c>
      <c r="O580" s="21">
        <f>(O579/30)/1.983</f>
        <v>191.42713061018659</v>
      </c>
      <c r="P580" s="21">
        <f>(P579/31)/1.983</f>
        <v>81.580531290159911</v>
      </c>
      <c r="Q580" s="81" t="s">
        <v>7</v>
      </c>
      <c r="R580" s="81" t="s">
        <v>7</v>
      </c>
    </row>
    <row r="581" spans="1:18" ht="15.75" customHeight="1" x14ac:dyDescent="0.3">
      <c r="A581" s="2"/>
      <c r="B581" s="1"/>
      <c r="C581" s="1"/>
      <c r="D581" s="1"/>
      <c r="E581" s="1"/>
      <c r="F581" s="1"/>
      <c r="G581" s="1"/>
      <c r="H581" s="1"/>
      <c r="I581" s="1"/>
      <c r="J581" s="1"/>
      <c r="K581" s="1"/>
      <c r="L581" s="1"/>
      <c r="M581" s="1"/>
      <c r="N581" s="1"/>
      <c r="O581" s="1"/>
      <c r="P581" s="1"/>
      <c r="Q581" s="1"/>
      <c r="R581" s="2"/>
    </row>
    <row r="582" spans="1:18" ht="15.75" customHeight="1" thickBot="1" x14ac:dyDescent="0.35">
      <c r="A582" s="2"/>
      <c r="B582" s="1"/>
      <c r="C582" s="1"/>
      <c r="D582" s="1"/>
      <c r="E582" s="1"/>
      <c r="F582" s="1"/>
      <c r="G582" s="1"/>
      <c r="H582" s="1"/>
      <c r="I582" s="1"/>
      <c r="J582" s="1"/>
      <c r="K582" s="1"/>
      <c r="L582" s="1"/>
      <c r="M582" s="1"/>
      <c r="N582" s="1"/>
      <c r="O582" s="1"/>
      <c r="P582" s="1"/>
      <c r="Q582" s="1"/>
      <c r="R582" s="2"/>
    </row>
    <row r="583" spans="1:18" ht="15.75" customHeight="1" thickBot="1" x14ac:dyDescent="0.35">
      <c r="A583" s="124" t="s">
        <v>353</v>
      </c>
      <c r="B583" s="30" t="s">
        <v>8</v>
      </c>
      <c r="C583" s="31" t="s">
        <v>9</v>
      </c>
      <c r="D583" s="31" t="s">
        <v>10</v>
      </c>
      <c r="E583" s="32" t="s">
        <v>11</v>
      </c>
      <c r="F583" s="31" t="s">
        <v>12</v>
      </c>
      <c r="G583" s="31" t="s">
        <v>13</v>
      </c>
      <c r="H583" s="31" t="s">
        <v>14</v>
      </c>
      <c r="I583" s="33" t="s">
        <v>15</v>
      </c>
      <c r="J583" s="31" t="s">
        <v>16</v>
      </c>
      <c r="K583" s="31" t="s">
        <v>17</v>
      </c>
      <c r="L583" s="31" t="s">
        <v>18</v>
      </c>
      <c r="M583" s="33" t="s">
        <v>19</v>
      </c>
      <c r="N583" s="31" t="s">
        <v>20</v>
      </c>
      <c r="O583" s="31" t="s">
        <v>21</v>
      </c>
      <c r="P583" s="31" t="s">
        <v>22</v>
      </c>
      <c r="Q583" s="33" t="s">
        <v>23</v>
      </c>
      <c r="R583" s="34" t="s">
        <v>24</v>
      </c>
    </row>
    <row r="584" spans="1:18" ht="15.75" customHeight="1" thickBot="1" x14ac:dyDescent="0.35">
      <c r="A584" s="41"/>
      <c r="B584" s="36"/>
      <c r="C584" s="36"/>
      <c r="D584" s="36"/>
      <c r="E584" s="37"/>
      <c r="F584" s="36"/>
      <c r="G584" s="36"/>
      <c r="H584" s="36"/>
      <c r="I584" s="37"/>
      <c r="J584" s="36"/>
      <c r="K584" s="36"/>
      <c r="L584" s="36"/>
      <c r="M584" s="37"/>
      <c r="N584" s="36"/>
      <c r="O584" s="36"/>
      <c r="P584" s="36"/>
      <c r="Q584" s="37"/>
      <c r="R584" s="41"/>
    </row>
    <row r="585" spans="1:18" ht="15.75" customHeight="1" thickBot="1" x14ac:dyDescent="0.35">
      <c r="A585" s="39" t="s">
        <v>40</v>
      </c>
      <c r="B585" s="21">
        <v>2</v>
      </c>
      <c r="C585" s="21">
        <v>3</v>
      </c>
      <c r="D585" s="21">
        <v>5</v>
      </c>
      <c r="E585" s="55">
        <f>SUM(B585:D585)</f>
        <v>10</v>
      </c>
      <c r="F585" s="21">
        <v>7</v>
      </c>
      <c r="G585" s="21">
        <v>8</v>
      </c>
      <c r="H585" s="21">
        <v>9</v>
      </c>
      <c r="I585" s="55">
        <f>SUM(F585:H585)</f>
        <v>24</v>
      </c>
      <c r="J585" s="21">
        <v>7</v>
      </c>
      <c r="K585" s="21">
        <v>6</v>
      </c>
      <c r="L585" s="21">
        <v>6</v>
      </c>
      <c r="M585" s="55">
        <f>SUM(J585:L585)</f>
        <v>19</v>
      </c>
      <c r="N585" s="21">
        <v>5</v>
      </c>
      <c r="O585" s="21">
        <v>3</v>
      </c>
      <c r="P585" s="21">
        <v>2</v>
      </c>
      <c r="Q585" s="55">
        <f>SUM(N585:P585)</f>
        <v>10</v>
      </c>
      <c r="R585" s="60">
        <f>+E585+I585+M585+Q585</f>
        <v>63</v>
      </c>
    </row>
    <row r="586" spans="1:18" ht="15.75" customHeight="1" thickBot="1" x14ac:dyDescent="0.35">
      <c r="A586" s="41"/>
      <c r="B586" s="36"/>
      <c r="C586" s="36"/>
      <c r="D586" s="36"/>
      <c r="E586" s="52"/>
      <c r="F586" s="36"/>
      <c r="G586" s="36"/>
      <c r="H586" s="36"/>
      <c r="I586" s="52"/>
      <c r="J586" s="36"/>
      <c r="K586" s="36"/>
      <c r="L586" s="36"/>
      <c r="M586" s="52"/>
      <c r="N586" s="36"/>
      <c r="O586" s="36"/>
      <c r="P586" s="36"/>
      <c r="Q586" s="52"/>
      <c r="R586" s="42"/>
    </row>
    <row r="587" spans="1:18" ht="15.75" customHeight="1" x14ac:dyDescent="0.3">
      <c r="A587" s="15" t="s">
        <v>314</v>
      </c>
      <c r="B587" s="1">
        <f>B585</f>
        <v>2</v>
      </c>
      <c r="C587" s="1">
        <f>C585</f>
        <v>3</v>
      </c>
      <c r="D587" s="1">
        <f>D585</f>
        <v>5</v>
      </c>
      <c r="E587" s="60">
        <f>SUM(B587:D587)</f>
        <v>10</v>
      </c>
      <c r="F587" s="1">
        <f>F585</f>
        <v>7</v>
      </c>
      <c r="G587" s="1">
        <f>G585</f>
        <v>8</v>
      </c>
      <c r="H587" s="1">
        <f>H585</f>
        <v>9</v>
      </c>
      <c r="I587" s="60">
        <f>SUM(F587:H587)</f>
        <v>24</v>
      </c>
      <c r="J587" s="1">
        <f>J585</f>
        <v>7</v>
      </c>
      <c r="K587" s="1">
        <f>K585</f>
        <v>6</v>
      </c>
      <c r="L587" s="1">
        <f>L585</f>
        <v>6</v>
      </c>
      <c r="M587" s="60">
        <f>SUM(J587:L587)</f>
        <v>19</v>
      </c>
      <c r="N587" s="1">
        <f>N585</f>
        <v>5</v>
      </c>
      <c r="O587" s="1">
        <f>O585</f>
        <v>3</v>
      </c>
      <c r="P587" s="1">
        <f>P585</f>
        <v>2</v>
      </c>
      <c r="Q587" s="60">
        <f>SUM(N587:P587)</f>
        <v>10</v>
      </c>
      <c r="R587" s="60">
        <f>+E587+I587+M587+Q587</f>
        <v>63</v>
      </c>
    </row>
    <row r="588" spans="1:18" ht="15.75" customHeight="1" x14ac:dyDescent="0.3">
      <c r="A588" s="15" t="s">
        <v>42</v>
      </c>
      <c r="B588" s="1">
        <f>(B587/31)/1.983</f>
        <v>3.2534608689993978E-2</v>
      </c>
      <c r="C588" s="1">
        <f>(C587/28)/1.983</f>
        <v>5.403068943159714E-2</v>
      </c>
      <c r="D588" s="1">
        <f>(D587/31)/1.983</f>
        <v>8.1336521724984942E-2</v>
      </c>
      <c r="E588" s="55" t="s">
        <v>7</v>
      </c>
      <c r="F588" s="1">
        <f>(F587/30)/1.983</f>
        <v>0.1176668347621449</v>
      </c>
      <c r="G588" s="1">
        <f>(G587/31)/1.983</f>
        <v>0.13013843475997591</v>
      </c>
      <c r="H588" s="1">
        <f>(H587/30)/1.983</f>
        <v>0.15128593040847199</v>
      </c>
      <c r="I588" s="55" t="s">
        <v>7</v>
      </c>
      <c r="J588" s="1">
        <f>(J587/31)/1.983</f>
        <v>0.11387113041497893</v>
      </c>
      <c r="K588" s="1">
        <f>(K587/31)/1.983</f>
        <v>9.7603826069981942E-2</v>
      </c>
      <c r="L588" s="1">
        <f>(L587/30)/1.983</f>
        <v>0.10085728693898134</v>
      </c>
      <c r="M588" s="55" t="s">
        <v>7</v>
      </c>
      <c r="N588" s="1">
        <f>(N587/31)/1.983</f>
        <v>8.1336521724984942E-2</v>
      </c>
      <c r="O588" s="1">
        <f>(O587/30)/1.983</f>
        <v>5.0428643469490671E-2</v>
      </c>
      <c r="P588" s="1">
        <f>(P587/31)/1.983</f>
        <v>3.2534608689993978E-2</v>
      </c>
      <c r="Q588" s="55" t="s">
        <v>7</v>
      </c>
      <c r="R588" s="55" t="s">
        <v>7</v>
      </c>
    </row>
    <row r="589" spans="1:18" ht="15.75" customHeight="1" x14ac:dyDescent="0.3">
      <c r="A589" s="15" t="s">
        <v>354</v>
      </c>
      <c r="B589" s="1">
        <f>B587+B623+B664-B618</f>
        <v>1302</v>
      </c>
      <c r="C589" s="1">
        <f>C587+C623+C664-C618</f>
        <v>1853</v>
      </c>
      <c r="D589" s="1">
        <f>D587+D623+D664-D618</f>
        <v>3792</v>
      </c>
      <c r="E589" s="55">
        <f>SUM(B589:D589)</f>
        <v>6947</v>
      </c>
      <c r="F589" s="1">
        <f>F587+F623+F664-F618</f>
        <v>3499</v>
      </c>
      <c r="G589" s="1">
        <f>G587+G623+G664-G618</f>
        <v>4287</v>
      </c>
      <c r="H589" s="1">
        <f>H587+H623+H664-H618</f>
        <v>3925</v>
      </c>
      <c r="I589" s="55">
        <f>SUM(F589:H589)</f>
        <v>11711</v>
      </c>
      <c r="J589" s="1">
        <f>J587+J623+J664-J618</f>
        <v>2132</v>
      </c>
      <c r="K589" s="1">
        <f>K587+K623+K664-K618</f>
        <v>4196</v>
      </c>
      <c r="L589" s="1">
        <f>L587+L623+L664-L618</f>
        <v>3962</v>
      </c>
      <c r="M589" s="55">
        <f>SUM(J589:L589)</f>
        <v>10290</v>
      </c>
      <c r="N589" s="1">
        <f>N587+N623+N664-N618</f>
        <v>1963</v>
      </c>
      <c r="O589" s="1">
        <f>O587+O623+O664-O618</f>
        <v>2648</v>
      </c>
      <c r="P589" s="1">
        <f>P587+P623+P664-P618</f>
        <v>2317</v>
      </c>
      <c r="Q589" s="55">
        <f>SUM(N589:P589)</f>
        <v>6928</v>
      </c>
      <c r="R589" s="55">
        <f>+E589+I589+M589+Q589</f>
        <v>35876</v>
      </c>
    </row>
    <row r="590" spans="1:18" ht="15.75" customHeight="1" thickBot="1" x14ac:dyDescent="0.35">
      <c r="A590" s="20" t="s">
        <v>355</v>
      </c>
      <c r="B590" s="21">
        <f>(B589/31)/1.983</f>
        <v>21.180030257186079</v>
      </c>
      <c r="C590" s="21">
        <f>(C589/28)/1.983</f>
        <v>33.372955838916504</v>
      </c>
      <c r="D590" s="21">
        <f>(D589/31)/1.983</f>
        <v>61.685618076228586</v>
      </c>
      <c r="E590" s="81" t="s">
        <v>7</v>
      </c>
      <c r="F590" s="21">
        <f>(F589/30)/1.983</f>
        <v>58.816607833249286</v>
      </c>
      <c r="G590" s="21">
        <f>(G589/31)/1.983</f>
        <v>69.737933727002087</v>
      </c>
      <c r="H590" s="21">
        <f>(H589/30)/1.983</f>
        <v>65.97747520591696</v>
      </c>
      <c r="I590" s="81" t="s">
        <v>7</v>
      </c>
      <c r="J590" s="21">
        <f>(J589/31)/1.983</f>
        <v>34.681892863533584</v>
      </c>
      <c r="K590" s="21">
        <f>(K589/31)/1.983</f>
        <v>68.257609031607359</v>
      </c>
      <c r="L590" s="21">
        <f>(L589/30)/1.983</f>
        <v>66.599428475374012</v>
      </c>
      <c r="M590" s="81" t="s">
        <v>7</v>
      </c>
      <c r="N590" s="21">
        <f>(N589/31)/1.983</f>
        <v>31.932718429229091</v>
      </c>
      <c r="O590" s="21">
        <f>(O589/30)/1.983</f>
        <v>44.511682635737095</v>
      </c>
      <c r="P590" s="21">
        <f>(P589/31)/1.983</f>
        <v>37.691344167358025</v>
      </c>
      <c r="Q590" s="81" t="s">
        <v>7</v>
      </c>
      <c r="R590" s="81" t="s">
        <v>7</v>
      </c>
    </row>
    <row r="591" spans="1:18" ht="15.75" customHeight="1" x14ac:dyDescent="0.3">
      <c r="A591" s="2"/>
      <c r="B591" s="1"/>
      <c r="C591" s="1"/>
      <c r="D591" s="1"/>
      <c r="E591" s="1"/>
      <c r="F591" s="1"/>
      <c r="G591" s="1"/>
      <c r="H591" s="1"/>
      <c r="I591" s="1"/>
      <c r="J591" s="1"/>
      <c r="K591" s="1"/>
      <c r="L591" s="1"/>
      <c r="M591" s="1"/>
      <c r="N591" s="1"/>
      <c r="O591" s="1"/>
      <c r="P591" s="1"/>
      <c r="Q591" s="1"/>
      <c r="R591" s="2"/>
    </row>
    <row r="592" spans="1:18" ht="15.75" customHeight="1" thickBot="1" x14ac:dyDescent="0.35">
      <c r="A592" s="2"/>
      <c r="B592" s="1"/>
      <c r="C592" s="1"/>
      <c r="D592" s="1"/>
      <c r="E592" s="1"/>
      <c r="F592" s="1"/>
      <c r="G592" s="1"/>
      <c r="H592" s="1"/>
      <c r="I592" s="1"/>
      <c r="J592" s="1"/>
      <c r="K592" s="1"/>
      <c r="L592" s="1"/>
      <c r="M592" s="1"/>
      <c r="N592" s="1"/>
      <c r="O592" s="1"/>
      <c r="P592" s="1"/>
      <c r="Q592" s="1"/>
      <c r="R592" s="2"/>
    </row>
    <row r="593" spans="1:18" ht="15.75" customHeight="1" thickBot="1" x14ac:dyDescent="0.35">
      <c r="A593" s="124" t="s">
        <v>356</v>
      </c>
      <c r="B593" s="30" t="s">
        <v>8</v>
      </c>
      <c r="C593" s="31" t="s">
        <v>9</v>
      </c>
      <c r="D593" s="31" t="s">
        <v>10</v>
      </c>
      <c r="E593" s="33" t="s">
        <v>11</v>
      </c>
      <c r="F593" s="31" t="s">
        <v>12</v>
      </c>
      <c r="G593" s="31" t="s">
        <v>13</v>
      </c>
      <c r="H593" s="31" t="s">
        <v>14</v>
      </c>
      <c r="I593" s="33" t="s">
        <v>15</v>
      </c>
      <c r="J593" s="31" t="s">
        <v>16</v>
      </c>
      <c r="K593" s="31" t="s">
        <v>17</v>
      </c>
      <c r="L593" s="31" t="s">
        <v>18</v>
      </c>
      <c r="M593" s="33" t="s">
        <v>19</v>
      </c>
      <c r="N593" s="31" t="s">
        <v>20</v>
      </c>
      <c r="O593" s="31" t="s">
        <v>21</v>
      </c>
      <c r="P593" s="31" t="s">
        <v>22</v>
      </c>
      <c r="Q593" s="33" t="s">
        <v>23</v>
      </c>
      <c r="R593" s="131" t="s">
        <v>24</v>
      </c>
    </row>
    <row r="594" spans="1:18" ht="15.75" customHeight="1" thickBot="1" x14ac:dyDescent="0.35">
      <c r="A594" s="41"/>
      <c r="B594" s="36"/>
      <c r="C594" s="36"/>
      <c r="D594" s="36"/>
      <c r="E594" s="132"/>
      <c r="F594" s="36"/>
      <c r="G594" s="36"/>
      <c r="H594" s="36"/>
      <c r="I594" s="132"/>
      <c r="J594" s="36"/>
      <c r="K594" s="36"/>
      <c r="L594" s="36"/>
      <c r="M594" s="132"/>
      <c r="N594" s="36"/>
      <c r="O594" s="36"/>
      <c r="P594" s="36"/>
      <c r="Q594" s="132"/>
      <c r="R594" s="38"/>
    </row>
    <row r="595" spans="1:18" ht="15.75" customHeight="1" x14ac:dyDescent="0.3">
      <c r="A595" s="15" t="s">
        <v>48</v>
      </c>
      <c r="B595" s="1" t="s">
        <v>7</v>
      </c>
      <c r="C595" s="1" t="s">
        <v>7</v>
      </c>
      <c r="D595" s="1" t="s">
        <v>7</v>
      </c>
      <c r="E595" s="55" t="s">
        <v>7</v>
      </c>
      <c r="F595" s="1" t="s">
        <v>7</v>
      </c>
      <c r="G595" s="1" t="s">
        <v>7</v>
      </c>
      <c r="H595" s="1" t="s">
        <v>7</v>
      </c>
      <c r="I595" s="55" t="s">
        <v>7</v>
      </c>
      <c r="J595" s="1" t="s">
        <v>7</v>
      </c>
      <c r="K595" s="1" t="s">
        <v>7</v>
      </c>
      <c r="L595" s="1" t="s">
        <v>7</v>
      </c>
      <c r="M595" s="55" t="s">
        <v>7</v>
      </c>
      <c r="N595" s="1" t="s">
        <v>7</v>
      </c>
      <c r="O595" s="1" t="s">
        <v>7</v>
      </c>
      <c r="P595" s="1" t="s">
        <v>7</v>
      </c>
      <c r="Q595" s="55" t="s">
        <v>7</v>
      </c>
      <c r="R595" s="55" t="s">
        <v>7</v>
      </c>
    </row>
    <row r="596" spans="1:18" ht="15.75" customHeight="1" x14ac:dyDescent="0.3">
      <c r="A596" s="15" t="s">
        <v>49</v>
      </c>
      <c r="B596" s="1"/>
      <c r="C596" s="1"/>
      <c r="D596" s="1"/>
      <c r="E596" s="55" t="s">
        <v>7</v>
      </c>
      <c r="F596" s="1"/>
      <c r="G596" s="1"/>
      <c r="H596" s="1"/>
      <c r="I596" s="55" t="s">
        <v>7</v>
      </c>
      <c r="J596" s="1"/>
      <c r="K596" s="1"/>
      <c r="L596" s="1"/>
      <c r="M596" s="55" t="s">
        <v>7</v>
      </c>
      <c r="N596" s="1"/>
      <c r="O596" s="1"/>
      <c r="P596" s="1"/>
      <c r="Q596" s="55" t="s">
        <v>7</v>
      </c>
      <c r="R596" s="55" t="s">
        <v>7</v>
      </c>
    </row>
    <row r="597" spans="1:18" ht="15.75" customHeight="1" x14ac:dyDescent="0.3">
      <c r="A597" s="71" t="s">
        <v>357</v>
      </c>
      <c r="B597" s="1">
        <v>91</v>
      </c>
      <c r="C597" s="1">
        <v>85</v>
      </c>
      <c r="D597" s="1">
        <v>11</v>
      </c>
      <c r="E597" s="55">
        <f>SUM(B597:D597)</f>
        <v>187</v>
      </c>
      <c r="F597" s="1">
        <v>166</v>
      </c>
      <c r="G597" s="1">
        <v>132</v>
      </c>
      <c r="H597" s="1">
        <v>49</v>
      </c>
      <c r="I597" s="55">
        <f>SUM(F597:H597)</f>
        <v>347</v>
      </c>
      <c r="J597" s="1">
        <v>101</v>
      </c>
      <c r="K597" s="1">
        <v>47</v>
      </c>
      <c r="L597" s="1">
        <v>91</v>
      </c>
      <c r="M597" s="55">
        <f>SUM(J597:L597)</f>
        <v>239</v>
      </c>
      <c r="N597" s="1">
        <v>54</v>
      </c>
      <c r="O597" s="1">
        <v>68</v>
      </c>
      <c r="P597" s="1">
        <v>60</v>
      </c>
      <c r="Q597" s="55">
        <f>SUM(N597:P597)</f>
        <v>182</v>
      </c>
      <c r="R597" s="55">
        <f>+E597+I597+M597+Q597</f>
        <v>955</v>
      </c>
    </row>
    <row r="598" spans="1:18" ht="15.75" customHeight="1" x14ac:dyDescent="0.3">
      <c r="A598" s="15" t="s">
        <v>50</v>
      </c>
      <c r="B598" s="1"/>
      <c r="C598" s="1"/>
      <c r="D598" s="1"/>
      <c r="E598" s="55" t="s">
        <v>7</v>
      </c>
      <c r="F598" s="1"/>
      <c r="G598" s="1"/>
      <c r="H598" s="1"/>
      <c r="I598" s="55" t="s">
        <v>7</v>
      </c>
      <c r="J598" s="1"/>
      <c r="K598" s="1"/>
      <c r="L598" s="1"/>
      <c r="M598" s="55" t="s">
        <v>7</v>
      </c>
      <c r="N598" s="1"/>
      <c r="O598" s="1"/>
      <c r="P598" s="1"/>
      <c r="Q598" s="55" t="s">
        <v>7</v>
      </c>
      <c r="R598" s="55" t="s">
        <v>7</v>
      </c>
    </row>
    <row r="599" spans="1:18" ht="15.75" customHeight="1" x14ac:dyDescent="0.3">
      <c r="A599" s="15" t="s">
        <v>51</v>
      </c>
      <c r="B599" s="1"/>
      <c r="C599" s="1"/>
      <c r="D599" s="1"/>
      <c r="E599" s="55" t="s">
        <v>7</v>
      </c>
      <c r="F599" s="1"/>
      <c r="G599" s="1"/>
      <c r="H599" s="1"/>
      <c r="I599" s="55" t="s">
        <v>7</v>
      </c>
      <c r="J599" s="1"/>
      <c r="K599" s="1"/>
      <c r="L599" s="1"/>
      <c r="M599" s="55" t="s">
        <v>7</v>
      </c>
      <c r="N599" s="1"/>
      <c r="O599" s="1"/>
      <c r="P599" s="1"/>
      <c r="Q599" s="55" t="s">
        <v>7</v>
      </c>
      <c r="R599" s="55" t="s">
        <v>7</v>
      </c>
    </row>
    <row r="600" spans="1:18" ht="15.75" customHeight="1" thickBot="1" x14ac:dyDescent="0.35">
      <c r="A600" s="15" t="s">
        <v>53</v>
      </c>
      <c r="B600" s="1"/>
      <c r="C600" s="1"/>
      <c r="D600" s="1"/>
      <c r="E600" s="55" t="s">
        <v>7</v>
      </c>
      <c r="F600" s="1"/>
      <c r="G600" s="1"/>
      <c r="H600" s="1"/>
      <c r="I600" s="55" t="s">
        <v>7</v>
      </c>
      <c r="J600" s="1"/>
      <c r="K600" s="1"/>
      <c r="L600" s="1"/>
      <c r="M600" s="55" t="s">
        <v>7</v>
      </c>
      <c r="N600" s="1"/>
      <c r="O600" s="1"/>
      <c r="P600" s="1"/>
      <c r="Q600" s="55" t="s">
        <v>7</v>
      </c>
      <c r="R600" s="55" t="s">
        <v>7</v>
      </c>
    </row>
    <row r="601" spans="1:18" ht="15.75" customHeight="1" thickBot="1" x14ac:dyDescent="0.35">
      <c r="A601" s="57" t="s">
        <v>54</v>
      </c>
      <c r="B601" s="86">
        <f>SUM(B595:B600)</f>
        <v>91</v>
      </c>
      <c r="C601" s="87">
        <f>SUM(C595:C600)</f>
        <v>85</v>
      </c>
      <c r="D601" s="87">
        <f>SUM(D595:D600)</f>
        <v>11</v>
      </c>
      <c r="E601" s="59">
        <f>SUM(B601:D601)</f>
        <v>187</v>
      </c>
      <c r="F601" s="87">
        <f>SUM(F595:F600)</f>
        <v>166</v>
      </c>
      <c r="G601" s="87">
        <f>SUM(G595:G600)</f>
        <v>132</v>
      </c>
      <c r="H601" s="87">
        <f>SUM(H595:H600)</f>
        <v>49</v>
      </c>
      <c r="I601" s="59">
        <f>SUM(F601:H601)</f>
        <v>347</v>
      </c>
      <c r="J601" s="87">
        <f>SUM(J595:J600)</f>
        <v>101</v>
      </c>
      <c r="K601" s="87">
        <f>SUM(K595:K600)</f>
        <v>47</v>
      </c>
      <c r="L601" s="87">
        <f>SUM(L595:L600)</f>
        <v>91</v>
      </c>
      <c r="M601" s="59">
        <f>SUM(J601:L601)</f>
        <v>239</v>
      </c>
      <c r="N601" s="87">
        <f>SUM(N595:N600)</f>
        <v>54</v>
      </c>
      <c r="O601" s="87">
        <f>SUM(O595:O600)</f>
        <v>68</v>
      </c>
      <c r="P601" s="87">
        <f>SUM(P595:P600)</f>
        <v>60</v>
      </c>
      <c r="Q601" s="59">
        <f>SUM(N601:P601)</f>
        <v>182</v>
      </c>
      <c r="R601" s="59">
        <f>+E601+I601+M601+Q601</f>
        <v>955</v>
      </c>
    </row>
    <row r="602" spans="1:18" ht="15.75" customHeight="1" x14ac:dyDescent="0.3">
      <c r="A602" s="15" t="s">
        <v>55</v>
      </c>
      <c r="B602" s="1"/>
      <c r="C602" s="1"/>
      <c r="D602" s="1"/>
      <c r="E602" s="55" t="s">
        <v>7</v>
      </c>
      <c r="F602" s="1"/>
      <c r="G602" s="1"/>
      <c r="H602" s="1"/>
      <c r="I602" s="55" t="s">
        <v>7</v>
      </c>
      <c r="J602" s="1"/>
      <c r="K602" s="1"/>
      <c r="L602" s="1"/>
      <c r="M602" s="55" t="s">
        <v>7</v>
      </c>
      <c r="N602" s="1"/>
      <c r="O602" s="1"/>
      <c r="P602" s="1"/>
      <c r="Q602" s="55" t="s">
        <v>7</v>
      </c>
      <c r="R602" s="55" t="s">
        <v>7</v>
      </c>
    </row>
    <row r="603" spans="1:18" ht="15.75" customHeight="1" x14ac:dyDescent="0.3">
      <c r="A603" s="15" t="s">
        <v>57</v>
      </c>
      <c r="B603" s="1"/>
      <c r="C603" s="1"/>
      <c r="D603" s="1"/>
      <c r="E603" s="55" t="s">
        <v>7</v>
      </c>
      <c r="F603" s="1"/>
      <c r="G603" s="1"/>
      <c r="H603" s="1"/>
      <c r="I603" s="55" t="s">
        <v>7</v>
      </c>
      <c r="J603" s="1"/>
      <c r="K603" s="1"/>
      <c r="L603" s="1"/>
      <c r="M603" s="55" t="s">
        <v>7</v>
      </c>
      <c r="N603" s="1"/>
      <c r="O603" s="1"/>
      <c r="P603" s="1"/>
      <c r="Q603" s="55" t="s">
        <v>7</v>
      </c>
      <c r="R603" s="55" t="s">
        <v>7</v>
      </c>
    </row>
    <row r="604" spans="1:18" ht="15.75" customHeight="1" thickBot="1" x14ac:dyDescent="0.35">
      <c r="A604" s="15" t="s">
        <v>58</v>
      </c>
      <c r="B604" s="1"/>
      <c r="C604" s="1"/>
      <c r="D604" s="1"/>
      <c r="E604" s="55" t="s">
        <v>7</v>
      </c>
      <c r="F604" s="1"/>
      <c r="G604" s="1"/>
      <c r="H604" s="1"/>
      <c r="I604" s="55" t="s">
        <v>7</v>
      </c>
      <c r="J604" s="1"/>
      <c r="K604" s="1"/>
      <c r="L604" s="1"/>
      <c r="M604" s="55" t="s">
        <v>7</v>
      </c>
      <c r="N604" s="1"/>
      <c r="O604" s="1"/>
      <c r="P604" s="1"/>
      <c r="Q604" s="55" t="s">
        <v>7</v>
      </c>
      <c r="R604" s="55" t="s">
        <v>7</v>
      </c>
    </row>
    <row r="605" spans="1:18" ht="15.75" customHeight="1" thickBot="1" x14ac:dyDescent="0.35">
      <c r="A605" s="57" t="s">
        <v>59</v>
      </c>
      <c r="B605" s="86">
        <f>SUM(B602:B604)</f>
        <v>0</v>
      </c>
      <c r="C605" s="87">
        <f>SUM(C602:C604)</f>
        <v>0</v>
      </c>
      <c r="D605" s="87">
        <f>SUM(D602:D604)</f>
        <v>0</v>
      </c>
      <c r="E605" s="59">
        <f>SUM(B605:D605)</f>
        <v>0</v>
      </c>
      <c r="F605" s="87">
        <f>SUM(F602:F604)</f>
        <v>0</v>
      </c>
      <c r="G605" s="87">
        <f>SUM(G602:G604)</f>
        <v>0</v>
      </c>
      <c r="H605" s="87">
        <f>SUM(H602:H604)</f>
        <v>0</v>
      </c>
      <c r="I605" s="59">
        <f>SUM(F605:H605)</f>
        <v>0</v>
      </c>
      <c r="J605" s="87">
        <f>SUM(J602:J604)</f>
        <v>0</v>
      </c>
      <c r="K605" s="87">
        <f>SUM(K602:K604)</f>
        <v>0</v>
      </c>
      <c r="L605" s="87">
        <f>SUM(L602:L604)</f>
        <v>0</v>
      </c>
      <c r="M605" s="59">
        <f>SUM(J605:L605)</f>
        <v>0</v>
      </c>
      <c r="N605" s="87">
        <f>SUM(N602:N604)</f>
        <v>0</v>
      </c>
      <c r="O605" s="87">
        <f>SUM(O602:O604)</f>
        <v>0</v>
      </c>
      <c r="P605" s="87">
        <f>SUM(P602:P604)</f>
        <v>0</v>
      </c>
      <c r="Q605" s="59">
        <f>SUM(N605:P605)</f>
        <v>0</v>
      </c>
      <c r="R605" s="59">
        <f>+E605+I605+M605+Q605</f>
        <v>0</v>
      </c>
    </row>
    <row r="606" spans="1:18" ht="15.75" customHeight="1" x14ac:dyDescent="0.3">
      <c r="A606" s="15" t="s">
        <v>60</v>
      </c>
      <c r="B606" s="1"/>
      <c r="C606" s="1"/>
      <c r="D606" s="1"/>
      <c r="E606" s="55" t="s">
        <v>7</v>
      </c>
      <c r="F606" s="1"/>
      <c r="G606" s="1"/>
      <c r="H606" s="1"/>
      <c r="I606" s="55" t="s">
        <v>7</v>
      </c>
      <c r="J606" s="1"/>
      <c r="K606" s="1"/>
      <c r="L606" s="1"/>
      <c r="M606" s="55" t="s">
        <v>7</v>
      </c>
      <c r="N606" s="1"/>
      <c r="O606" s="1"/>
      <c r="P606" s="1"/>
      <c r="Q606" s="55" t="s">
        <v>7</v>
      </c>
      <c r="R606" s="55" t="s">
        <v>7</v>
      </c>
    </row>
    <row r="607" spans="1:18" ht="15.75" customHeight="1" x14ac:dyDescent="0.3">
      <c r="A607" s="15" t="s">
        <v>61</v>
      </c>
      <c r="B607" s="1"/>
      <c r="C607" s="1"/>
      <c r="D607" s="1"/>
      <c r="E607" s="55" t="s">
        <v>7</v>
      </c>
      <c r="F607" s="1"/>
      <c r="G607" s="1"/>
      <c r="H607" s="1"/>
      <c r="I607" s="55" t="s">
        <v>7</v>
      </c>
      <c r="J607" s="1"/>
      <c r="K607" s="1"/>
      <c r="L607" s="1"/>
      <c r="M607" s="55" t="s">
        <v>7</v>
      </c>
      <c r="N607" s="1"/>
      <c r="O607" s="1"/>
      <c r="P607" s="1"/>
      <c r="Q607" s="55" t="s">
        <v>7</v>
      </c>
      <c r="R607" s="55" t="s">
        <v>7</v>
      </c>
    </row>
    <row r="608" spans="1:18" ht="15.75" customHeight="1" thickBot="1" x14ac:dyDescent="0.35">
      <c r="A608" s="15" t="s">
        <v>62</v>
      </c>
      <c r="B608" s="1"/>
      <c r="C608" s="1"/>
      <c r="D608" s="1"/>
      <c r="E608" s="55" t="s">
        <v>7</v>
      </c>
      <c r="F608" s="1"/>
      <c r="G608" s="1"/>
      <c r="H608" s="1"/>
      <c r="I608" s="55" t="s">
        <v>7</v>
      </c>
      <c r="J608" s="1"/>
      <c r="K608" s="1"/>
      <c r="L608" s="1"/>
      <c r="M608" s="55" t="s">
        <v>7</v>
      </c>
      <c r="N608" s="1"/>
      <c r="O608" s="1"/>
      <c r="P608" s="1"/>
      <c r="Q608" s="55" t="s">
        <v>7</v>
      </c>
      <c r="R608" s="55" t="s">
        <v>7</v>
      </c>
    </row>
    <row r="609" spans="1:18" ht="15.75" customHeight="1" thickBot="1" x14ac:dyDescent="0.35">
      <c r="A609" s="57" t="s">
        <v>63</v>
      </c>
      <c r="B609" s="86">
        <f>SUM(B606:B608)</f>
        <v>0</v>
      </c>
      <c r="C609" s="87">
        <f>SUM(C606:C608)</f>
        <v>0</v>
      </c>
      <c r="D609" s="87">
        <f>SUM(D606:D608)</f>
        <v>0</v>
      </c>
      <c r="E609" s="59">
        <f>SUM(B609:D609)</f>
        <v>0</v>
      </c>
      <c r="F609" s="87">
        <f>SUM(F606:F608)</f>
        <v>0</v>
      </c>
      <c r="G609" s="87">
        <f>SUM(G606:G608)</f>
        <v>0</v>
      </c>
      <c r="H609" s="87">
        <f>SUM(H606:H608)</f>
        <v>0</v>
      </c>
      <c r="I609" s="59">
        <f>SUM(F609:H609)</f>
        <v>0</v>
      </c>
      <c r="J609" s="87">
        <f>SUM(J606:J608)</f>
        <v>0</v>
      </c>
      <c r="K609" s="87">
        <f>SUM(K606:K608)</f>
        <v>0</v>
      </c>
      <c r="L609" s="87">
        <f>SUM(L606:L608)</f>
        <v>0</v>
      </c>
      <c r="M609" s="59">
        <f>SUM(J609:L609)</f>
        <v>0</v>
      </c>
      <c r="N609" s="87">
        <f>SUM(N606:N608)</f>
        <v>0</v>
      </c>
      <c r="O609" s="87">
        <f>SUM(O606:O608)</f>
        <v>0</v>
      </c>
      <c r="P609" s="87">
        <f>SUM(P606:P608)</f>
        <v>0</v>
      </c>
      <c r="Q609" s="59">
        <f>SUM(N609:P609)</f>
        <v>0</v>
      </c>
      <c r="R609" s="59">
        <f>+E609+I609+M609+Q609</f>
        <v>0</v>
      </c>
    </row>
    <row r="610" spans="1:18" ht="15.75" customHeight="1" x14ac:dyDescent="0.3">
      <c r="A610" s="15" t="s">
        <v>64</v>
      </c>
      <c r="B610" s="1"/>
      <c r="C610" s="1"/>
      <c r="D610" s="1"/>
      <c r="E610" s="55" t="s">
        <v>7</v>
      </c>
      <c r="F610" s="1"/>
      <c r="G610" s="1"/>
      <c r="H610" s="1"/>
      <c r="I610" s="55" t="s">
        <v>7</v>
      </c>
      <c r="J610" s="1"/>
      <c r="K610" s="1"/>
      <c r="L610" s="1"/>
      <c r="M610" s="55" t="s">
        <v>7</v>
      </c>
      <c r="N610" s="1"/>
      <c r="O610" s="1"/>
      <c r="P610" s="1"/>
      <c r="Q610" s="55" t="s">
        <v>7</v>
      </c>
      <c r="R610" s="55" t="s">
        <v>7</v>
      </c>
    </row>
    <row r="611" spans="1:18" ht="15.75" customHeight="1" x14ac:dyDescent="0.3">
      <c r="A611" s="15" t="s">
        <v>65</v>
      </c>
      <c r="B611" s="1"/>
      <c r="C611" s="1"/>
      <c r="D611" s="1"/>
      <c r="E611" s="55" t="s">
        <v>7</v>
      </c>
      <c r="F611" s="1"/>
      <c r="G611" s="1"/>
      <c r="H611" s="1"/>
      <c r="I611" s="55" t="s">
        <v>7</v>
      </c>
      <c r="J611" s="1"/>
      <c r="K611" s="1"/>
      <c r="L611" s="1"/>
      <c r="M611" s="55" t="s">
        <v>7</v>
      </c>
      <c r="N611" s="1"/>
      <c r="O611" s="1"/>
      <c r="P611" s="1"/>
      <c r="Q611" s="55" t="s">
        <v>7</v>
      </c>
      <c r="R611" s="55" t="s">
        <v>7</v>
      </c>
    </row>
    <row r="612" spans="1:18" ht="15.75" customHeight="1" x14ac:dyDescent="0.3">
      <c r="A612" s="15" t="s">
        <v>67</v>
      </c>
      <c r="B612" s="1"/>
      <c r="C612" s="1"/>
      <c r="D612" s="1"/>
      <c r="E612" s="55" t="s">
        <v>7</v>
      </c>
      <c r="F612" s="1"/>
      <c r="G612" s="1"/>
      <c r="H612" s="1"/>
      <c r="I612" s="55" t="s">
        <v>7</v>
      </c>
      <c r="J612" s="1"/>
      <c r="K612" s="1"/>
      <c r="L612" s="1"/>
      <c r="M612" s="55" t="s">
        <v>7</v>
      </c>
      <c r="N612" s="1"/>
      <c r="O612" s="1"/>
      <c r="P612" s="1"/>
      <c r="Q612" s="55" t="s">
        <v>7</v>
      </c>
      <c r="R612" s="55" t="s">
        <v>7</v>
      </c>
    </row>
    <row r="613" spans="1:18" ht="15.75" customHeight="1" x14ac:dyDescent="0.3">
      <c r="A613" s="15" t="s">
        <v>69</v>
      </c>
      <c r="B613" s="1"/>
      <c r="C613" s="1"/>
      <c r="D613" s="1"/>
      <c r="E613" s="55" t="s">
        <v>7</v>
      </c>
      <c r="F613" s="1"/>
      <c r="G613" s="1"/>
      <c r="H613" s="1"/>
      <c r="I613" s="55" t="s">
        <v>7</v>
      </c>
      <c r="J613" s="1"/>
      <c r="K613" s="1"/>
      <c r="L613" s="1"/>
      <c r="M613" s="55" t="s">
        <v>7</v>
      </c>
      <c r="N613" s="1"/>
      <c r="O613" s="1"/>
      <c r="P613" s="1"/>
      <c r="Q613" s="55" t="s">
        <v>7</v>
      </c>
      <c r="R613" s="55" t="s">
        <v>7</v>
      </c>
    </row>
    <row r="614" spans="1:18" ht="15.75" customHeight="1" thickBot="1" x14ac:dyDescent="0.35">
      <c r="A614" s="15" t="s">
        <v>70</v>
      </c>
      <c r="B614" s="1"/>
      <c r="C614" s="1"/>
      <c r="D614" s="1"/>
      <c r="E614" s="55" t="s">
        <v>7</v>
      </c>
      <c r="F614" s="1"/>
      <c r="G614" s="1"/>
      <c r="H614" s="1"/>
      <c r="I614" s="55" t="s">
        <v>7</v>
      </c>
      <c r="J614" s="1"/>
      <c r="K614" s="1"/>
      <c r="L614" s="1"/>
      <c r="M614" s="55" t="s">
        <v>7</v>
      </c>
      <c r="N614" s="1"/>
      <c r="O614" s="1"/>
      <c r="P614" s="1"/>
      <c r="Q614" s="55" t="s">
        <v>7</v>
      </c>
      <c r="R614" s="55" t="s">
        <v>7</v>
      </c>
    </row>
    <row r="615" spans="1:18" ht="15.75" customHeight="1" thickBot="1" x14ac:dyDescent="0.35">
      <c r="A615" s="57" t="s">
        <v>71</v>
      </c>
      <c r="B615" s="58">
        <f>SUM(B614:B614)</f>
        <v>0</v>
      </c>
      <c r="C615" s="58">
        <f>SUM(C614:C614)</f>
        <v>0</v>
      </c>
      <c r="D615" s="58">
        <f>SUM(D614:D614)</f>
        <v>0</v>
      </c>
      <c r="E615" s="60">
        <f>SUM(B615:D615)</f>
        <v>0</v>
      </c>
      <c r="F615" s="58">
        <f>SUM(F614:F614)</f>
        <v>0</v>
      </c>
      <c r="G615" s="58">
        <f>SUM(G614:G614)</f>
        <v>0</v>
      </c>
      <c r="H615" s="58">
        <f>SUM(H614:H614)</f>
        <v>0</v>
      </c>
      <c r="I615" s="60">
        <f>SUM(F615:H615)</f>
        <v>0</v>
      </c>
      <c r="J615" s="58">
        <f>SUM(J614:J614)</f>
        <v>0</v>
      </c>
      <c r="K615" s="58">
        <f>SUM(K614:K614)</f>
        <v>0</v>
      </c>
      <c r="L615" s="58">
        <f>SUM(L614:L614)</f>
        <v>0</v>
      </c>
      <c r="M615" s="60">
        <f>SUM(J615:L615)</f>
        <v>0</v>
      </c>
      <c r="N615" s="58">
        <f>SUM(N614:N614)</f>
        <v>0</v>
      </c>
      <c r="O615" s="58">
        <f>SUM(O614:O614)</f>
        <v>0</v>
      </c>
      <c r="P615" s="58">
        <f>SUM(P614:P614)</f>
        <v>0</v>
      </c>
      <c r="Q615" s="60">
        <f>SUM(N615:P615)</f>
        <v>0</v>
      </c>
      <c r="R615" s="59">
        <f>+E615+I615+M615+Q615</f>
        <v>0</v>
      </c>
    </row>
    <row r="616" spans="1:18" ht="15.75" customHeight="1" thickBot="1" x14ac:dyDescent="0.35">
      <c r="A616" s="57" t="s">
        <v>72</v>
      </c>
      <c r="B616" s="86">
        <f>SUM(B610:B614)</f>
        <v>0</v>
      </c>
      <c r="C616" s="87">
        <f>SUM(C610:C614)</f>
        <v>0</v>
      </c>
      <c r="D616" s="118">
        <f>SUM(D610:D614)</f>
        <v>0</v>
      </c>
      <c r="E616" s="60">
        <f>SUM(B616:D616)</f>
        <v>0</v>
      </c>
      <c r="F616" s="87">
        <f>SUM(F610:F614)</f>
        <v>0</v>
      </c>
      <c r="G616" s="87">
        <f>SUM(G610:G614)</f>
        <v>0</v>
      </c>
      <c r="H616" s="87">
        <f>SUM(H610:H614)</f>
        <v>0</v>
      </c>
      <c r="I616" s="60">
        <f>SUM(F616:H616)</f>
        <v>0</v>
      </c>
      <c r="J616" s="87">
        <f>SUM(J610:J614)</f>
        <v>0</v>
      </c>
      <c r="K616" s="87">
        <f>SUM(K610:K614)</f>
        <v>0</v>
      </c>
      <c r="L616" s="87">
        <f>SUM(L610:L614)</f>
        <v>0</v>
      </c>
      <c r="M616" s="60">
        <f>SUM(J616:L616)</f>
        <v>0</v>
      </c>
      <c r="N616" s="87">
        <f>SUM(N610:N614)</f>
        <v>0</v>
      </c>
      <c r="O616" s="87">
        <f>SUM(O610:O614)</f>
        <v>0</v>
      </c>
      <c r="P616" s="87">
        <f>SUM(P610:P614)</f>
        <v>0</v>
      </c>
      <c r="Q616" s="60">
        <f>SUM(N616:P616)</f>
        <v>0</v>
      </c>
      <c r="R616" s="59">
        <f>+E616+I616+M616+Q616</f>
        <v>0</v>
      </c>
    </row>
    <row r="617" spans="1:18" ht="15.75" customHeight="1" thickBot="1" x14ac:dyDescent="0.35">
      <c r="A617" s="57" t="s">
        <v>73</v>
      </c>
      <c r="B617" s="90">
        <f>+B601+B605+B609+B616</f>
        <v>91</v>
      </c>
      <c r="C617" s="58">
        <f>+C601+C605+C609+C616</f>
        <v>85</v>
      </c>
      <c r="D617" s="58">
        <f>+D601+D605+D609+D616</f>
        <v>11</v>
      </c>
      <c r="E617" s="59">
        <f>SUM(B617:D617)</f>
        <v>187</v>
      </c>
      <c r="F617" s="58">
        <f>+F601+F605+F609+F616</f>
        <v>166</v>
      </c>
      <c r="G617" s="58">
        <f>+G601+G605+G609+G616</f>
        <v>132</v>
      </c>
      <c r="H617" s="58">
        <f>+H601+H605+H609+H616</f>
        <v>49</v>
      </c>
      <c r="I617" s="59">
        <f>SUM(F617:H617)</f>
        <v>347</v>
      </c>
      <c r="J617" s="58">
        <f>+J601+J605+J609+J616</f>
        <v>101</v>
      </c>
      <c r="K617" s="58">
        <f>+K601+K605+K609+K616</f>
        <v>47</v>
      </c>
      <c r="L617" s="58">
        <f>+L601+L605+L609+L616</f>
        <v>91</v>
      </c>
      <c r="M617" s="59">
        <f>SUM(J617:L617)</f>
        <v>239</v>
      </c>
      <c r="N617" s="58">
        <f>+N601+N605+N609+N616</f>
        <v>54</v>
      </c>
      <c r="O617" s="58">
        <f>+O601+O605+O609+O616</f>
        <v>68</v>
      </c>
      <c r="P617" s="58">
        <f>+P601+P605+P609+P616</f>
        <v>60</v>
      </c>
      <c r="Q617" s="59">
        <f>SUM(N617:P617)</f>
        <v>182</v>
      </c>
      <c r="R617" s="81">
        <f>+E617+I617+M617+Q617</f>
        <v>955</v>
      </c>
    </row>
    <row r="618" spans="1:18" ht="15.75" customHeight="1" x14ac:dyDescent="0.3">
      <c r="A618" s="71" t="s">
        <v>358</v>
      </c>
      <c r="B618" s="1">
        <v>3916</v>
      </c>
      <c r="C618" s="1">
        <v>4706</v>
      </c>
      <c r="D618" s="1">
        <v>5279</v>
      </c>
      <c r="E618" s="55">
        <f>SUM(B618:D618)</f>
        <v>13901</v>
      </c>
      <c r="F618" s="1">
        <v>4224</v>
      </c>
      <c r="G618" s="1">
        <v>4605</v>
      </c>
      <c r="H618" s="1">
        <v>4993</v>
      </c>
      <c r="I618" s="55">
        <f>SUM(F618:H618)</f>
        <v>13822</v>
      </c>
      <c r="J618" s="1">
        <v>5094</v>
      </c>
      <c r="K618" s="1">
        <v>5529</v>
      </c>
      <c r="L618" s="1">
        <v>5372</v>
      </c>
      <c r="M618" s="55">
        <f>SUM(J618:L618)</f>
        <v>15995</v>
      </c>
      <c r="N618" s="1">
        <v>5032</v>
      </c>
      <c r="O618" s="1">
        <v>4707</v>
      </c>
      <c r="P618" s="1">
        <v>5021</v>
      </c>
      <c r="Q618" s="55">
        <f>SUM(N618:P618)</f>
        <v>14760</v>
      </c>
      <c r="R618" s="55">
        <f>+E618+I618+M618+Q618</f>
        <v>58478</v>
      </c>
    </row>
    <row r="619" spans="1:18" ht="15.75" customHeight="1" thickBot="1" x14ac:dyDescent="0.35">
      <c r="A619" s="71" t="s">
        <v>40</v>
      </c>
      <c r="B619" s="1">
        <v>0</v>
      </c>
      <c r="C619" s="1">
        <v>0</v>
      </c>
      <c r="D619" s="1">
        <v>0</v>
      </c>
      <c r="E619" s="55">
        <f>SUM(B619:D619)</f>
        <v>0</v>
      </c>
      <c r="F619" s="1">
        <v>0</v>
      </c>
      <c r="G619" s="1">
        <v>0</v>
      </c>
      <c r="H619" s="1">
        <v>0</v>
      </c>
      <c r="I619" s="55">
        <f>SUM(F619:H619)</f>
        <v>0</v>
      </c>
      <c r="J619" s="1">
        <v>0</v>
      </c>
      <c r="K619" s="1">
        <v>0</v>
      </c>
      <c r="L619" s="1">
        <v>0</v>
      </c>
      <c r="M619" s="55">
        <f>SUM(J619:L619)</f>
        <v>0</v>
      </c>
      <c r="N619" s="1">
        <v>0</v>
      </c>
      <c r="O619" s="1">
        <v>0</v>
      </c>
      <c r="P619" s="1">
        <v>0</v>
      </c>
      <c r="Q619" s="55">
        <f>SUM(N619:P619)</f>
        <v>0</v>
      </c>
      <c r="R619" s="55">
        <f>+E619+I619+M619+Q619</f>
        <v>0</v>
      </c>
    </row>
    <row r="620" spans="1:18" ht="15.75" customHeight="1" thickBot="1" x14ac:dyDescent="0.35">
      <c r="A620" s="130"/>
      <c r="B620" s="51"/>
      <c r="C620" s="51"/>
      <c r="D620" s="51"/>
      <c r="E620" s="59" t="s">
        <v>7</v>
      </c>
      <c r="F620" s="51"/>
      <c r="G620" s="51"/>
      <c r="H620" s="51"/>
      <c r="I620" s="59" t="s">
        <v>7</v>
      </c>
      <c r="J620" s="51"/>
      <c r="K620" s="51"/>
      <c r="L620" s="51"/>
      <c r="M620" s="59" t="s">
        <v>7</v>
      </c>
      <c r="N620" s="51"/>
      <c r="O620" s="51"/>
      <c r="P620" s="51"/>
      <c r="Q620" s="59"/>
      <c r="R620" s="59"/>
    </row>
    <row r="621" spans="1:18" ht="15.75" customHeight="1" x14ac:dyDescent="0.3">
      <c r="A621" s="15" t="s">
        <v>41</v>
      </c>
      <c r="B621" s="1">
        <f>SUM(B617:B619)</f>
        <v>4007</v>
      </c>
      <c r="C621" s="1">
        <f>SUM(C617:C619)</f>
        <v>4791</v>
      </c>
      <c r="D621" s="1">
        <f>SUM(D617:D619)</f>
        <v>5290</v>
      </c>
      <c r="E621" s="60">
        <f>SUM(B621:D621)</f>
        <v>14088</v>
      </c>
      <c r="F621" s="1">
        <f>SUM(F617:F619)</f>
        <v>4390</v>
      </c>
      <c r="G621" s="1">
        <f>SUM(G617:G619)</f>
        <v>4737</v>
      </c>
      <c r="H621" s="1">
        <f>SUM(H617:H619)</f>
        <v>5042</v>
      </c>
      <c r="I621" s="60">
        <f>SUM(F621:H621)</f>
        <v>14169</v>
      </c>
      <c r="J621" s="1">
        <f>SUM(J617:J619)</f>
        <v>5195</v>
      </c>
      <c r="K621" s="1">
        <f>SUM(K617:K619)</f>
        <v>5576</v>
      </c>
      <c r="L621" s="1">
        <f>SUM(L617:L619)</f>
        <v>5463</v>
      </c>
      <c r="M621" s="60">
        <f>SUM(J621:L621)</f>
        <v>16234</v>
      </c>
      <c r="N621" s="1">
        <f>SUM(N617:N619)</f>
        <v>5086</v>
      </c>
      <c r="O621" s="1">
        <f>SUM(O617:O619)</f>
        <v>4775</v>
      </c>
      <c r="P621" s="1">
        <f>SUM(P617:P619)</f>
        <v>5081</v>
      </c>
      <c r="Q621" s="60">
        <f>SUM(N621:P621)</f>
        <v>14942</v>
      </c>
      <c r="R621" s="60">
        <f>+E621+I621+M621+Q621</f>
        <v>59433</v>
      </c>
    </row>
    <row r="622" spans="1:18" ht="15.75" customHeight="1" x14ac:dyDescent="0.3">
      <c r="A622" s="15" t="s">
        <v>42</v>
      </c>
      <c r="B622" s="1">
        <f>(B621/31)/1.983</f>
        <v>65.183088510402939</v>
      </c>
      <c r="C622" s="1">
        <f>(C621/28)/1.983</f>
        <v>86.287011022260643</v>
      </c>
      <c r="D622" s="1">
        <f>(D621/31)/1.983</f>
        <v>86.05403998503408</v>
      </c>
      <c r="E622" s="55" t="s">
        <v>7</v>
      </c>
      <c r="F622" s="1">
        <f>(F621/30)/1.983</f>
        <v>73.793914943688023</v>
      </c>
      <c r="G622" s="1">
        <f>(G621/31)/1.983</f>
        <v>77.058220682250749</v>
      </c>
      <c r="H622" s="1">
        <f>(H621/30)/1.983</f>
        <v>84.753740124390646</v>
      </c>
      <c r="I622" s="55" t="s">
        <v>7</v>
      </c>
      <c r="J622" s="1">
        <f>(J621/31)/1.983</f>
        <v>84.508646072259367</v>
      </c>
      <c r="K622" s="1">
        <f>(K621/31)/1.983</f>
        <v>90.706489027703213</v>
      </c>
      <c r="L622" s="1">
        <f>(L621/30)/1.983</f>
        <v>91.83055975794251</v>
      </c>
      <c r="M622" s="55" t="s">
        <v>7</v>
      </c>
      <c r="N622" s="1">
        <f>(N621/31)/1.983</f>
        <v>82.735509898654684</v>
      </c>
      <c r="O622" s="1">
        <f>(O621/30)/1.983</f>
        <v>80.265590855605979</v>
      </c>
      <c r="P622" s="1">
        <f>(P621/31)/1.983</f>
        <v>82.654173376929705</v>
      </c>
      <c r="Q622" s="55" t="s">
        <v>7</v>
      </c>
      <c r="R622" s="55" t="s">
        <v>7</v>
      </c>
    </row>
    <row r="623" spans="1:18" ht="15.75" customHeight="1" x14ac:dyDescent="0.3">
      <c r="A623" s="15" t="s">
        <v>359</v>
      </c>
      <c r="B623" s="1">
        <f>B621</f>
        <v>4007</v>
      </c>
      <c r="C623" s="1">
        <f>C621</f>
        <v>4791</v>
      </c>
      <c r="D623" s="1">
        <f>D621</f>
        <v>5290</v>
      </c>
      <c r="E623" s="55">
        <f>SUM(B623:D623)</f>
        <v>14088</v>
      </c>
      <c r="F623" s="1">
        <f>F621</f>
        <v>4390</v>
      </c>
      <c r="G623" s="1">
        <f>G621</f>
        <v>4737</v>
      </c>
      <c r="H623" s="1">
        <f>H621</f>
        <v>5042</v>
      </c>
      <c r="I623" s="55">
        <f>SUM(F623:H623)</f>
        <v>14169</v>
      </c>
      <c r="J623" s="1">
        <f>J621</f>
        <v>5195</v>
      </c>
      <c r="K623" s="1">
        <f>K621</f>
        <v>5576</v>
      </c>
      <c r="L623" s="1">
        <f>L621</f>
        <v>5463</v>
      </c>
      <c r="M623" s="55">
        <f>SUM(J623:L623)</f>
        <v>16234</v>
      </c>
      <c r="N623" s="1">
        <f>N621</f>
        <v>5086</v>
      </c>
      <c r="O623" s="1">
        <f>O621</f>
        <v>4775</v>
      </c>
      <c r="P623" s="1">
        <f>P621</f>
        <v>5081</v>
      </c>
      <c r="Q623" s="55">
        <f>SUM(N623:P623)</f>
        <v>14942</v>
      </c>
      <c r="R623" s="55">
        <f>+E623+I623+M623+Q623</f>
        <v>59433</v>
      </c>
    </row>
    <row r="624" spans="1:18" ht="15.75" customHeight="1" thickBot="1" x14ac:dyDescent="0.35">
      <c r="A624" s="20" t="s">
        <v>360</v>
      </c>
      <c r="B624" s="21">
        <f>(B623/31)/1.983</f>
        <v>65.183088510402939</v>
      </c>
      <c r="C624" s="21">
        <f>(C623/28)/1.983</f>
        <v>86.287011022260643</v>
      </c>
      <c r="D624" s="21">
        <f>(D623/31)/1.983</f>
        <v>86.05403998503408</v>
      </c>
      <c r="E624" s="81" t="s">
        <v>7</v>
      </c>
      <c r="F624" s="21">
        <f>(F623/30)/1.983</f>
        <v>73.793914943688023</v>
      </c>
      <c r="G624" s="21">
        <f>(G623/31)/1.983</f>
        <v>77.058220682250749</v>
      </c>
      <c r="H624" s="21">
        <f>(H623/30)/1.983</f>
        <v>84.753740124390646</v>
      </c>
      <c r="I624" s="81" t="s">
        <v>7</v>
      </c>
      <c r="J624" s="21">
        <f>(J623/31)/1.983</f>
        <v>84.508646072259367</v>
      </c>
      <c r="K624" s="21">
        <f>(K623/31)/1.983</f>
        <v>90.706489027703213</v>
      </c>
      <c r="L624" s="21">
        <f>(L623/30)/1.983</f>
        <v>91.83055975794251</v>
      </c>
      <c r="M624" s="81" t="s">
        <v>7</v>
      </c>
      <c r="N624" s="21">
        <f>(N623/31)/1.983</f>
        <v>82.735509898654684</v>
      </c>
      <c r="O624" s="21">
        <f>(O623/30)/1.983</f>
        <v>80.265590855605979</v>
      </c>
      <c r="P624" s="21">
        <f>(P623/31)/1.983</f>
        <v>82.654173376929705</v>
      </c>
      <c r="Q624" s="81" t="s">
        <v>7</v>
      </c>
      <c r="R624" s="81" t="s">
        <v>7</v>
      </c>
    </row>
    <row r="625" spans="1:18" ht="15.75" customHeight="1" x14ac:dyDescent="0.3">
      <c r="A625" s="2"/>
      <c r="B625" s="1"/>
      <c r="C625" s="1"/>
      <c r="D625" s="1"/>
      <c r="E625" s="1"/>
      <c r="F625" s="1"/>
      <c r="G625" s="1"/>
      <c r="H625" s="1"/>
      <c r="I625" s="1"/>
      <c r="J625" s="1"/>
      <c r="K625" s="1"/>
      <c r="L625" s="1"/>
      <c r="M625" s="1"/>
      <c r="N625" s="1"/>
      <c r="O625" s="1"/>
      <c r="P625" s="1"/>
      <c r="Q625" s="1"/>
      <c r="R625" s="2"/>
    </row>
    <row r="626" spans="1:18" ht="15.75" customHeight="1" thickBot="1" x14ac:dyDescent="0.35">
      <c r="A626" s="2"/>
      <c r="B626" s="1"/>
      <c r="C626" s="1"/>
      <c r="D626" s="1"/>
      <c r="E626" s="1"/>
      <c r="F626" s="1"/>
      <c r="G626" s="1"/>
      <c r="H626" s="1"/>
      <c r="I626" s="1"/>
      <c r="J626" s="1"/>
      <c r="K626" s="1"/>
      <c r="L626" s="1"/>
      <c r="M626" s="1"/>
      <c r="N626" s="1"/>
      <c r="O626" s="1"/>
      <c r="P626" s="1"/>
      <c r="Q626" s="1"/>
      <c r="R626" s="2"/>
    </row>
    <row r="627" spans="1:18" ht="15.75" customHeight="1" thickBot="1" x14ac:dyDescent="0.35">
      <c r="A627" s="124" t="s">
        <v>361</v>
      </c>
      <c r="B627" s="30" t="s">
        <v>8</v>
      </c>
      <c r="C627" s="31" t="s">
        <v>9</v>
      </c>
      <c r="D627" s="31" t="s">
        <v>10</v>
      </c>
      <c r="E627" s="32" t="s">
        <v>11</v>
      </c>
      <c r="F627" s="31" t="s">
        <v>12</v>
      </c>
      <c r="G627" s="31" t="s">
        <v>13</v>
      </c>
      <c r="H627" s="31" t="s">
        <v>14</v>
      </c>
      <c r="I627" s="33" t="s">
        <v>15</v>
      </c>
      <c r="J627" s="31" t="s">
        <v>16</v>
      </c>
      <c r="K627" s="31" t="s">
        <v>17</v>
      </c>
      <c r="L627" s="31" t="s">
        <v>18</v>
      </c>
      <c r="M627" s="33" t="s">
        <v>19</v>
      </c>
      <c r="N627" s="31" t="s">
        <v>20</v>
      </c>
      <c r="O627" s="31" t="s">
        <v>21</v>
      </c>
      <c r="P627" s="31" t="s">
        <v>22</v>
      </c>
      <c r="Q627" s="33" t="s">
        <v>23</v>
      </c>
      <c r="R627" s="133" t="s">
        <v>24</v>
      </c>
    </row>
    <row r="628" spans="1:18" ht="15.75" customHeight="1" thickBot="1" x14ac:dyDescent="0.35">
      <c r="A628" s="41"/>
      <c r="B628" s="36"/>
      <c r="C628" s="36"/>
      <c r="D628" s="36"/>
      <c r="E628" s="52"/>
      <c r="F628" s="36"/>
      <c r="G628" s="36"/>
      <c r="H628" s="36"/>
      <c r="I628" s="132"/>
      <c r="J628" s="36"/>
      <c r="K628" s="36"/>
      <c r="L628" s="36"/>
      <c r="M628" s="132"/>
      <c r="N628" s="36"/>
      <c r="O628" s="36"/>
      <c r="P628" s="36"/>
      <c r="Q628" s="134"/>
      <c r="R628" s="135"/>
    </row>
    <row r="629" spans="1:18" ht="15.75" customHeight="1" x14ac:dyDescent="0.3">
      <c r="A629" s="15" t="s">
        <v>48</v>
      </c>
      <c r="B629" s="1" t="s">
        <v>7</v>
      </c>
      <c r="C629" s="1" t="s">
        <v>7</v>
      </c>
      <c r="D629" s="1" t="s">
        <v>7</v>
      </c>
      <c r="E629" s="136"/>
      <c r="F629" s="1" t="s">
        <v>7</v>
      </c>
      <c r="G629" s="1" t="s">
        <v>7</v>
      </c>
      <c r="H629" s="1" t="s">
        <v>7</v>
      </c>
      <c r="I629" s="136"/>
      <c r="J629" s="1" t="s">
        <v>7</v>
      </c>
      <c r="K629" s="1" t="s">
        <v>7</v>
      </c>
      <c r="L629" s="1" t="s">
        <v>7</v>
      </c>
      <c r="M629" s="136"/>
      <c r="N629" s="1" t="s">
        <v>7</v>
      </c>
      <c r="O629" s="1" t="s">
        <v>7</v>
      </c>
      <c r="P629" s="1" t="s">
        <v>7</v>
      </c>
      <c r="Q629" s="137"/>
      <c r="R629" s="138" t="s">
        <v>7</v>
      </c>
    </row>
    <row r="630" spans="1:18" ht="15.75" customHeight="1" x14ac:dyDescent="0.3">
      <c r="A630" s="15" t="s">
        <v>49</v>
      </c>
      <c r="B630" s="1"/>
      <c r="C630" s="1"/>
      <c r="D630" s="1"/>
      <c r="E630" s="55" t="s">
        <v>7</v>
      </c>
      <c r="F630" s="1"/>
      <c r="G630" s="1"/>
      <c r="H630" s="1"/>
      <c r="I630" s="55" t="s">
        <v>7</v>
      </c>
      <c r="J630" s="1"/>
      <c r="K630" s="1"/>
      <c r="L630" s="1"/>
      <c r="M630" s="55" t="s">
        <v>7</v>
      </c>
      <c r="N630" s="1"/>
      <c r="O630" s="1"/>
      <c r="P630" s="1"/>
      <c r="Q630" s="55" t="s">
        <v>7</v>
      </c>
      <c r="R630" s="55" t="s">
        <v>7</v>
      </c>
    </row>
    <row r="631" spans="1:18" ht="15.75" customHeight="1" x14ac:dyDescent="0.3">
      <c r="A631" s="71" t="s">
        <v>362</v>
      </c>
      <c r="B631" s="1">
        <v>0</v>
      </c>
      <c r="C631" s="1">
        <v>0</v>
      </c>
      <c r="D631" s="1">
        <v>0</v>
      </c>
      <c r="E631" s="55">
        <f>SUM(B631:D631)</f>
        <v>0</v>
      </c>
      <c r="F631" s="1">
        <v>0</v>
      </c>
      <c r="G631" s="1">
        <v>0</v>
      </c>
      <c r="H631" s="1">
        <v>0</v>
      </c>
      <c r="I631" s="55">
        <f>SUM(F631:H631)</f>
        <v>0</v>
      </c>
      <c r="J631" s="1">
        <v>0</v>
      </c>
      <c r="K631" s="1">
        <v>0</v>
      </c>
      <c r="L631" s="1">
        <v>250</v>
      </c>
      <c r="M631" s="55">
        <f>SUM(J631:L631)</f>
        <v>250</v>
      </c>
      <c r="N631" s="1">
        <v>0</v>
      </c>
      <c r="O631" s="1">
        <v>0</v>
      </c>
      <c r="P631" s="1">
        <v>275</v>
      </c>
      <c r="Q631" s="55">
        <f>SUM(N631:P631)</f>
        <v>275</v>
      </c>
      <c r="R631" s="55">
        <f>+E631+I631+M631+Q631</f>
        <v>525</v>
      </c>
    </row>
    <row r="632" spans="1:18" ht="15.75" customHeight="1" x14ac:dyDescent="0.3">
      <c r="A632" s="71" t="s">
        <v>664</v>
      </c>
      <c r="B632" s="1">
        <v>0</v>
      </c>
      <c r="C632" s="1">
        <v>0</v>
      </c>
      <c r="D632" s="1">
        <v>0</v>
      </c>
      <c r="E632" s="55">
        <f>SUM(B632:D632)</f>
        <v>0</v>
      </c>
      <c r="F632" s="1">
        <v>0</v>
      </c>
      <c r="G632" s="1">
        <v>0</v>
      </c>
      <c r="H632" s="1">
        <v>0</v>
      </c>
      <c r="I632" s="55">
        <f>SUM(F632:H632)</f>
        <v>0</v>
      </c>
      <c r="J632" s="1">
        <v>0</v>
      </c>
      <c r="K632" s="1">
        <v>0</v>
      </c>
      <c r="L632" s="1">
        <v>0</v>
      </c>
      <c r="M632" s="55">
        <f>SUM(J632:L632)</f>
        <v>0</v>
      </c>
      <c r="N632" s="1">
        <v>0</v>
      </c>
      <c r="O632" s="1">
        <v>0</v>
      </c>
      <c r="P632" s="1">
        <v>0</v>
      </c>
      <c r="Q632" s="55">
        <f>SUM(N632:P632)</f>
        <v>0</v>
      </c>
      <c r="R632" s="55">
        <f>+E632+I632+M632+Q632</f>
        <v>0</v>
      </c>
    </row>
    <row r="633" spans="1:18" ht="15.75" customHeight="1" x14ac:dyDescent="0.3">
      <c r="A633" s="15" t="s">
        <v>50</v>
      </c>
      <c r="B633" s="1"/>
      <c r="C633" s="1"/>
      <c r="D633" s="1"/>
      <c r="E633" s="55" t="s">
        <v>7</v>
      </c>
      <c r="F633" s="1"/>
      <c r="G633" s="1"/>
      <c r="H633" s="1"/>
      <c r="I633" s="55" t="s">
        <v>7</v>
      </c>
      <c r="J633" s="1"/>
      <c r="K633" s="1"/>
      <c r="L633" s="1"/>
      <c r="M633" s="55" t="s">
        <v>7</v>
      </c>
      <c r="N633" s="1"/>
      <c r="O633" s="1"/>
      <c r="P633" s="1"/>
      <c r="Q633" s="55" t="s">
        <v>7</v>
      </c>
      <c r="R633" s="55" t="s">
        <v>7</v>
      </c>
    </row>
    <row r="634" spans="1:18" ht="15.75" customHeight="1" x14ac:dyDescent="0.3">
      <c r="A634" s="15" t="s">
        <v>51</v>
      </c>
      <c r="B634" s="1"/>
      <c r="C634" s="1"/>
      <c r="D634" s="1"/>
      <c r="E634" s="55" t="s">
        <v>7</v>
      </c>
      <c r="F634" s="1"/>
      <c r="G634" s="1"/>
      <c r="H634" s="1"/>
      <c r="I634" s="55" t="s">
        <v>7</v>
      </c>
      <c r="J634" s="1"/>
      <c r="K634" s="1"/>
      <c r="L634" s="1"/>
      <c r="M634" s="55" t="s">
        <v>7</v>
      </c>
      <c r="N634" s="1"/>
      <c r="O634" s="1"/>
      <c r="P634" s="1"/>
      <c r="Q634" s="55" t="s">
        <v>7</v>
      </c>
      <c r="R634" s="55" t="s">
        <v>7</v>
      </c>
    </row>
    <row r="635" spans="1:18" ht="15.75" customHeight="1" x14ac:dyDescent="0.3">
      <c r="A635" s="71" t="s">
        <v>364</v>
      </c>
      <c r="B635" s="1">
        <v>0</v>
      </c>
      <c r="C635" s="1">
        <v>0</v>
      </c>
      <c r="D635" s="1">
        <v>0</v>
      </c>
      <c r="E635" s="55">
        <f>SUM(B635:D635)</f>
        <v>0</v>
      </c>
      <c r="F635" s="1">
        <v>0</v>
      </c>
      <c r="G635" s="1">
        <v>0</v>
      </c>
      <c r="H635" s="1">
        <v>0</v>
      </c>
      <c r="I635" s="55">
        <f>SUM(F635:H635)</f>
        <v>0</v>
      </c>
      <c r="J635" s="1">
        <v>0</v>
      </c>
      <c r="K635" s="1">
        <v>0</v>
      </c>
      <c r="L635" s="1">
        <v>325</v>
      </c>
      <c r="M635" s="55">
        <f>SUM(J635:L635)</f>
        <v>325</v>
      </c>
      <c r="N635" s="1">
        <v>837</v>
      </c>
      <c r="O635" s="1">
        <v>209</v>
      </c>
      <c r="P635" s="1">
        <v>0</v>
      </c>
      <c r="Q635" s="55">
        <f>SUM(N635:P635)</f>
        <v>1046</v>
      </c>
      <c r="R635" s="55">
        <f>+E635+I635+M635+Q635</f>
        <v>1371</v>
      </c>
    </row>
    <row r="636" spans="1:18" ht="15.75" customHeight="1" thickBot="1" x14ac:dyDescent="0.35">
      <c r="A636" s="15" t="s">
        <v>53</v>
      </c>
      <c r="B636" s="1"/>
      <c r="C636" s="1"/>
      <c r="D636" s="1"/>
      <c r="E636" s="55" t="s">
        <v>7</v>
      </c>
      <c r="F636" s="1"/>
      <c r="G636" s="1"/>
      <c r="H636" s="1"/>
      <c r="I636" s="55" t="s">
        <v>7</v>
      </c>
      <c r="J636" s="1"/>
      <c r="K636" s="1"/>
      <c r="L636" s="1"/>
      <c r="M636" s="55" t="s">
        <v>7</v>
      </c>
      <c r="N636" s="1"/>
      <c r="O636" s="1"/>
      <c r="P636" s="1"/>
      <c r="Q636" s="55" t="s">
        <v>7</v>
      </c>
      <c r="R636" s="55" t="s">
        <v>7</v>
      </c>
    </row>
    <row r="637" spans="1:18" ht="15.75" customHeight="1" thickBot="1" x14ac:dyDescent="0.35">
      <c r="A637" s="57" t="s">
        <v>54</v>
      </c>
      <c r="B637" s="86">
        <f>SUM(B629:B636)</f>
        <v>0</v>
      </c>
      <c r="C637" s="87">
        <f>SUM(C629:C636)</f>
        <v>0</v>
      </c>
      <c r="D637" s="87">
        <f>SUM(D629:D636)</f>
        <v>0</v>
      </c>
      <c r="E637" s="59">
        <f>SUM(B637:D637)</f>
        <v>0</v>
      </c>
      <c r="F637" s="87">
        <f>SUM(F629:F636)</f>
        <v>0</v>
      </c>
      <c r="G637" s="87">
        <f>SUM(G629:G636)</f>
        <v>0</v>
      </c>
      <c r="H637" s="87">
        <f>SUM(H629:H636)</f>
        <v>0</v>
      </c>
      <c r="I637" s="59">
        <f>SUM(F637:H637)</f>
        <v>0</v>
      </c>
      <c r="J637" s="87">
        <f>SUM(J629:J636)</f>
        <v>0</v>
      </c>
      <c r="K637" s="87">
        <f>SUM(K629:K636)</f>
        <v>0</v>
      </c>
      <c r="L637" s="87">
        <f>SUM(L629:L636)</f>
        <v>575</v>
      </c>
      <c r="M637" s="59">
        <f>SUM(J637:L637)</f>
        <v>575</v>
      </c>
      <c r="N637" s="87">
        <f>SUM(N629:N636)</f>
        <v>837</v>
      </c>
      <c r="O637" s="87">
        <f>SUM(O629:O636)</f>
        <v>209</v>
      </c>
      <c r="P637" s="87">
        <f>SUM(P629:P636)</f>
        <v>275</v>
      </c>
      <c r="Q637" s="59">
        <f>SUM(N637:P637)</f>
        <v>1321</v>
      </c>
      <c r="R637" s="59">
        <f>+E637+I637+M637+Q637</f>
        <v>1896</v>
      </c>
    </row>
    <row r="638" spans="1:18" ht="15.75" customHeight="1" x14ac:dyDescent="0.3">
      <c r="A638" s="15" t="s">
        <v>55</v>
      </c>
      <c r="B638" s="1"/>
      <c r="C638" s="1"/>
      <c r="D638" s="1"/>
      <c r="E638" s="55" t="s">
        <v>7</v>
      </c>
      <c r="F638" s="1"/>
      <c r="G638" s="1"/>
      <c r="H638" s="1"/>
      <c r="I638" s="55" t="s">
        <v>7</v>
      </c>
      <c r="J638" s="1"/>
      <c r="K638" s="1"/>
      <c r="L638" s="1"/>
      <c r="M638" s="55" t="s">
        <v>7</v>
      </c>
      <c r="N638" s="1"/>
      <c r="O638" s="1"/>
      <c r="P638" s="1"/>
      <c r="Q638" s="55" t="s">
        <v>7</v>
      </c>
      <c r="R638" s="55" t="s">
        <v>7</v>
      </c>
    </row>
    <row r="639" spans="1:18" ht="15.75" customHeight="1" x14ac:dyDescent="0.3">
      <c r="A639" s="15" t="s">
        <v>57</v>
      </c>
      <c r="B639" s="1"/>
      <c r="C639" s="1"/>
      <c r="D639" s="1"/>
      <c r="E639" s="55" t="s">
        <v>7</v>
      </c>
      <c r="F639" s="1"/>
      <c r="G639" s="1"/>
      <c r="H639" s="1"/>
      <c r="I639" s="55" t="s">
        <v>7</v>
      </c>
      <c r="J639" s="1"/>
      <c r="K639" s="1"/>
      <c r="L639" s="1"/>
      <c r="M639" s="55" t="s">
        <v>7</v>
      </c>
      <c r="N639" s="1"/>
      <c r="O639" s="1"/>
      <c r="P639" s="1"/>
      <c r="Q639" s="55" t="s">
        <v>7</v>
      </c>
      <c r="R639" s="55" t="s">
        <v>7</v>
      </c>
    </row>
    <row r="640" spans="1:18" ht="15.75" customHeight="1" thickBot="1" x14ac:dyDescent="0.35">
      <c r="A640" s="15" t="s">
        <v>58</v>
      </c>
      <c r="B640" s="1"/>
      <c r="C640" s="1"/>
      <c r="D640" s="1"/>
      <c r="E640" s="55" t="s">
        <v>7</v>
      </c>
      <c r="F640" s="1"/>
      <c r="G640" s="1"/>
      <c r="H640" s="1"/>
      <c r="I640" s="55" t="s">
        <v>7</v>
      </c>
      <c r="J640" s="1"/>
      <c r="K640" s="1"/>
      <c r="L640" s="1"/>
      <c r="M640" s="55" t="s">
        <v>7</v>
      </c>
      <c r="N640" s="1"/>
      <c r="O640" s="1"/>
      <c r="P640" s="1"/>
      <c r="Q640" s="55" t="s">
        <v>7</v>
      </c>
      <c r="R640" s="55" t="s">
        <v>7</v>
      </c>
    </row>
    <row r="641" spans="1:18" ht="15.75" customHeight="1" thickBot="1" x14ac:dyDescent="0.35">
      <c r="A641" s="57" t="s">
        <v>59</v>
      </c>
      <c r="B641" s="86">
        <f>SUM(B638:B640)</f>
        <v>0</v>
      </c>
      <c r="C641" s="87">
        <f>SUM(C638:C640)</f>
        <v>0</v>
      </c>
      <c r="D641" s="87">
        <f>SUM(D638:D640)</f>
        <v>0</v>
      </c>
      <c r="E641" s="59">
        <f>SUM(B641:D641)</f>
        <v>0</v>
      </c>
      <c r="F641" s="87">
        <f>SUM(F638:F640)</f>
        <v>0</v>
      </c>
      <c r="G641" s="87">
        <f>SUM(G638:G640)</f>
        <v>0</v>
      </c>
      <c r="H641" s="87">
        <f>SUM(H638:H640)</f>
        <v>0</v>
      </c>
      <c r="I641" s="59">
        <f>SUM(F641:H641)</f>
        <v>0</v>
      </c>
      <c r="J641" s="87">
        <f>SUM(J638:J640)</f>
        <v>0</v>
      </c>
      <c r="K641" s="87">
        <f>SUM(K638:K640)</f>
        <v>0</v>
      </c>
      <c r="L641" s="87">
        <f>SUM(L638:L640)</f>
        <v>0</v>
      </c>
      <c r="M641" s="59">
        <f>SUM(J641:L641)</f>
        <v>0</v>
      </c>
      <c r="N641" s="87">
        <f>SUM(N638:N640)</f>
        <v>0</v>
      </c>
      <c r="O641" s="87">
        <f>SUM(O638:O640)</f>
        <v>0</v>
      </c>
      <c r="P641" s="87">
        <f>SUM(P638:P640)</f>
        <v>0</v>
      </c>
      <c r="Q641" s="59">
        <f>SUM(N641:P641)</f>
        <v>0</v>
      </c>
      <c r="R641" s="59">
        <f>+E641+I641+M641+Q641</f>
        <v>0</v>
      </c>
    </row>
    <row r="642" spans="1:18" ht="15.75" customHeight="1" x14ac:dyDescent="0.3">
      <c r="A642" s="15" t="s">
        <v>60</v>
      </c>
      <c r="B642" s="1"/>
      <c r="C642" s="1"/>
      <c r="D642" s="1"/>
      <c r="E642" s="55" t="s">
        <v>7</v>
      </c>
      <c r="F642" s="1"/>
      <c r="G642" s="1"/>
      <c r="H642" s="1"/>
      <c r="I642" s="55" t="s">
        <v>7</v>
      </c>
      <c r="J642" s="1" t="s">
        <v>7</v>
      </c>
      <c r="K642" s="1"/>
      <c r="L642" s="1"/>
      <c r="M642" s="55" t="s">
        <v>7</v>
      </c>
      <c r="N642" s="1"/>
      <c r="O642" s="1"/>
      <c r="P642" s="1"/>
      <c r="Q642" s="55" t="s">
        <v>7</v>
      </c>
      <c r="R642" s="55" t="s">
        <v>7</v>
      </c>
    </row>
    <row r="643" spans="1:18" ht="15.75" customHeight="1" x14ac:dyDescent="0.3">
      <c r="A643" s="15" t="s">
        <v>61</v>
      </c>
      <c r="B643" s="1"/>
      <c r="C643" s="1"/>
      <c r="D643" s="1"/>
      <c r="E643" s="55" t="s">
        <v>7</v>
      </c>
      <c r="F643" s="1"/>
      <c r="G643" s="1"/>
      <c r="H643" s="1"/>
      <c r="I643" s="55" t="s">
        <v>7</v>
      </c>
      <c r="J643" s="1"/>
      <c r="K643" s="1"/>
      <c r="L643" s="1"/>
      <c r="M643" s="55" t="s">
        <v>7</v>
      </c>
      <c r="N643" s="1"/>
      <c r="O643" s="1"/>
      <c r="P643" s="1"/>
      <c r="Q643" s="55" t="s">
        <v>7</v>
      </c>
      <c r="R643" s="55" t="s">
        <v>7</v>
      </c>
    </row>
    <row r="644" spans="1:18" ht="15.75" customHeight="1" x14ac:dyDescent="0.3">
      <c r="A644" s="71" t="s">
        <v>665</v>
      </c>
      <c r="B644" s="1">
        <v>278</v>
      </c>
      <c r="C644" s="1">
        <v>51</v>
      </c>
      <c r="D644" s="1">
        <v>374</v>
      </c>
      <c r="E644" s="55">
        <f>SUM(B644:D644)</f>
        <v>703</v>
      </c>
      <c r="F644" s="1">
        <v>433</v>
      </c>
      <c r="G644" s="1">
        <v>627</v>
      </c>
      <c r="H644" s="1">
        <v>902</v>
      </c>
      <c r="I644" s="55">
        <f>SUM(F644:H644)</f>
        <v>1962</v>
      </c>
      <c r="J644" s="1">
        <v>633</v>
      </c>
      <c r="K644" s="1">
        <v>400</v>
      </c>
      <c r="L644" s="1">
        <v>834</v>
      </c>
      <c r="M644" s="55">
        <f>SUM(J644:L644)</f>
        <v>1867</v>
      </c>
      <c r="N644" s="1">
        <v>602</v>
      </c>
      <c r="O644" s="1">
        <v>532</v>
      </c>
      <c r="P644" s="1">
        <v>380</v>
      </c>
      <c r="Q644" s="55">
        <f>SUM(N644:P644)</f>
        <v>1514</v>
      </c>
      <c r="R644" s="55">
        <f>+E644+I644+M644+Q644</f>
        <v>6046</v>
      </c>
    </row>
    <row r="645" spans="1:18" ht="15.75" customHeight="1" x14ac:dyDescent="0.3">
      <c r="A645" s="15" t="s">
        <v>62</v>
      </c>
      <c r="B645" s="1"/>
      <c r="C645" s="1"/>
      <c r="D645" s="1"/>
      <c r="E645" s="55" t="s">
        <v>7</v>
      </c>
      <c r="F645" s="1"/>
      <c r="G645" s="1"/>
      <c r="H645" s="1"/>
      <c r="I645" s="55" t="s">
        <v>7</v>
      </c>
      <c r="J645" s="1"/>
      <c r="K645" s="1"/>
      <c r="L645" s="1"/>
      <c r="M645" s="55" t="s">
        <v>7</v>
      </c>
      <c r="N645" s="1"/>
      <c r="O645" s="1"/>
      <c r="P645" s="1"/>
      <c r="Q645" s="55" t="s">
        <v>7</v>
      </c>
      <c r="R645" s="55" t="s">
        <v>7</v>
      </c>
    </row>
    <row r="646" spans="1:18" ht="15.75" customHeight="1" x14ac:dyDescent="0.3">
      <c r="A646" s="71" t="s">
        <v>666</v>
      </c>
      <c r="B646" s="1">
        <v>255</v>
      </c>
      <c r="C646" s="1">
        <v>1111</v>
      </c>
      <c r="D646" s="1">
        <v>2704</v>
      </c>
      <c r="E646" s="55">
        <f>SUM(B646:D646)</f>
        <v>4070</v>
      </c>
      <c r="F646" s="1">
        <v>2204</v>
      </c>
      <c r="G646" s="1">
        <v>2689</v>
      </c>
      <c r="H646" s="1">
        <v>2195</v>
      </c>
      <c r="I646" s="55">
        <f>SUM(F646:H646)</f>
        <v>7088</v>
      </c>
      <c r="J646" s="1">
        <v>696</v>
      </c>
      <c r="K646" s="1">
        <v>3214</v>
      </c>
      <c r="L646" s="1">
        <v>1836</v>
      </c>
      <c r="M646" s="55">
        <f>SUM(J646:L646)</f>
        <v>5746</v>
      </c>
      <c r="N646" s="1">
        <v>0</v>
      </c>
      <c r="O646" s="1">
        <v>0</v>
      </c>
      <c r="P646" s="1">
        <v>0</v>
      </c>
      <c r="Q646" s="55">
        <f>SUM(N646:P646)</f>
        <v>0</v>
      </c>
      <c r="R646" s="55">
        <f>+E646+I646+M646+Q646</f>
        <v>16904</v>
      </c>
    </row>
    <row r="647" spans="1:18" ht="15.75" customHeight="1" thickBot="1" x14ac:dyDescent="0.35">
      <c r="A647" s="71" t="s">
        <v>667</v>
      </c>
      <c r="B647" s="1">
        <v>665</v>
      </c>
      <c r="C647" s="1">
        <v>590</v>
      </c>
      <c r="D647" s="1">
        <v>681</v>
      </c>
      <c r="E647" s="55">
        <f>SUM(B647:D647)</f>
        <v>1936</v>
      </c>
      <c r="F647" s="1">
        <v>668</v>
      </c>
      <c r="G647" s="1">
        <v>808</v>
      </c>
      <c r="H647" s="1">
        <v>745</v>
      </c>
      <c r="I647" s="55">
        <f>SUM(F647:H647)</f>
        <v>2221</v>
      </c>
      <c r="J647" s="1">
        <v>670</v>
      </c>
      <c r="K647" s="1">
        <v>508</v>
      </c>
      <c r="L647" s="1">
        <v>601</v>
      </c>
      <c r="M647" s="55">
        <f>SUM(J647:L647)</f>
        <v>1779</v>
      </c>
      <c r="N647" s="1">
        <v>448</v>
      </c>
      <c r="O647" s="1">
        <v>555</v>
      </c>
      <c r="P647" s="1">
        <v>657</v>
      </c>
      <c r="Q647" s="55">
        <f>SUM(N647:P647)</f>
        <v>1660</v>
      </c>
      <c r="R647" s="55">
        <f>+E647+I647+M647+Q647</f>
        <v>7596</v>
      </c>
    </row>
    <row r="648" spans="1:18" ht="15.75" customHeight="1" thickBot="1" x14ac:dyDescent="0.35">
      <c r="A648" s="57" t="s">
        <v>63</v>
      </c>
      <c r="B648" s="86">
        <f>SUM(B642:B647)</f>
        <v>1198</v>
      </c>
      <c r="C648" s="86">
        <f>SUM(C642:C647)</f>
        <v>1752</v>
      </c>
      <c r="D648" s="86">
        <f>SUM(D642:D647)</f>
        <v>3759</v>
      </c>
      <c r="E648" s="59">
        <f>SUM(B648:D648)</f>
        <v>6709</v>
      </c>
      <c r="F648" s="86">
        <f>SUM(F642:F647)</f>
        <v>3305</v>
      </c>
      <c r="G648" s="86">
        <f>SUM(G642:G647)</f>
        <v>4124</v>
      </c>
      <c r="H648" s="86">
        <f>SUM(H642:H647)</f>
        <v>3842</v>
      </c>
      <c r="I648" s="59">
        <f>SUM(F648:H648)</f>
        <v>11271</v>
      </c>
      <c r="J648" s="86">
        <f>SUM(J642:J647)</f>
        <v>1999</v>
      </c>
      <c r="K648" s="86">
        <f>SUM(K642:K647)</f>
        <v>4122</v>
      </c>
      <c r="L648" s="86">
        <f>SUM(L642:L647)</f>
        <v>3271</v>
      </c>
      <c r="M648" s="59">
        <f>SUM(J648:L648)</f>
        <v>9392</v>
      </c>
      <c r="N648" s="86">
        <f>SUM(N642:N647)</f>
        <v>1050</v>
      </c>
      <c r="O648" s="86">
        <f>SUM(O642:O647)</f>
        <v>1087</v>
      </c>
      <c r="P648" s="86">
        <f>SUM(P642:P647)</f>
        <v>1037</v>
      </c>
      <c r="Q648" s="59">
        <f>SUM(N648:P648)</f>
        <v>3174</v>
      </c>
      <c r="R648" s="59">
        <f>+E648+I648+M648+Q648</f>
        <v>30546</v>
      </c>
    </row>
    <row r="649" spans="1:18" ht="15.75" customHeight="1" x14ac:dyDescent="0.3">
      <c r="A649" s="15" t="s">
        <v>64</v>
      </c>
      <c r="B649" s="1"/>
      <c r="C649" s="1"/>
      <c r="D649" s="1"/>
      <c r="E649" s="55" t="s">
        <v>7</v>
      </c>
      <c r="F649" s="1"/>
      <c r="G649" s="1"/>
      <c r="H649" s="1"/>
      <c r="I649" s="55" t="s">
        <v>7</v>
      </c>
      <c r="J649" s="1"/>
      <c r="K649" s="1"/>
      <c r="L649" s="1"/>
      <c r="M649" s="55" t="s">
        <v>7</v>
      </c>
      <c r="N649" s="1"/>
      <c r="O649" s="1"/>
      <c r="P649" s="1"/>
      <c r="Q649" s="55" t="s">
        <v>7</v>
      </c>
      <c r="R649" s="55" t="s">
        <v>7</v>
      </c>
    </row>
    <row r="650" spans="1:18" ht="15.75" customHeight="1" x14ac:dyDescent="0.3">
      <c r="A650" s="15" t="s">
        <v>65</v>
      </c>
      <c r="B650" s="1"/>
      <c r="C650" s="1"/>
      <c r="D650" s="1"/>
      <c r="E650" s="55" t="s">
        <v>7</v>
      </c>
      <c r="F650" s="1"/>
      <c r="G650" s="1"/>
      <c r="H650" s="1"/>
      <c r="I650" s="55" t="s">
        <v>7</v>
      </c>
      <c r="J650" s="1"/>
      <c r="K650" s="1"/>
      <c r="L650" s="1"/>
      <c r="M650" s="55" t="s">
        <v>7</v>
      </c>
      <c r="N650" s="1"/>
      <c r="O650" s="1"/>
      <c r="P650" s="1"/>
      <c r="Q650" s="55" t="s">
        <v>7</v>
      </c>
      <c r="R650" s="55" t="s">
        <v>7</v>
      </c>
    </row>
    <row r="651" spans="1:18" ht="15.75" customHeight="1" x14ac:dyDescent="0.3">
      <c r="A651" s="71" t="s">
        <v>366</v>
      </c>
      <c r="B651" s="1">
        <v>0</v>
      </c>
      <c r="C651" s="1">
        <v>0</v>
      </c>
      <c r="D651" s="1">
        <v>0</v>
      </c>
      <c r="E651" s="55">
        <f>SUM(B651:D651)</f>
        <v>0</v>
      </c>
      <c r="F651" s="1">
        <v>0</v>
      </c>
      <c r="G651" s="1">
        <v>0</v>
      </c>
      <c r="H651" s="1">
        <v>0</v>
      </c>
      <c r="I651" s="55">
        <f>SUM(F651:H651)</f>
        <v>0</v>
      </c>
      <c r="J651" s="1">
        <v>0</v>
      </c>
      <c r="K651" s="1">
        <v>0</v>
      </c>
      <c r="L651" s="1">
        <v>0</v>
      </c>
      <c r="M651" s="55">
        <f>SUM(J651:L651)</f>
        <v>0</v>
      </c>
      <c r="N651" s="1">
        <v>0</v>
      </c>
      <c r="O651" s="1">
        <v>1268</v>
      </c>
      <c r="P651" s="1">
        <v>932</v>
      </c>
      <c r="Q651" s="55">
        <f>SUM(N651:P651)</f>
        <v>2200</v>
      </c>
      <c r="R651" s="55">
        <f>+E651+I651+M651+Q651</f>
        <v>2200</v>
      </c>
    </row>
    <row r="652" spans="1:18" ht="15.75" customHeight="1" x14ac:dyDescent="0.3">
      <c r="A652" s="15" t="s">
        <v>67</v>
      </c>
      <c r="B652" s="1"/>
      <c r="C652" s="1"/>
      <c r="D652" s="1"/>
      <c r="E652" s="55" t="s">
        <v>7</v>
      </c>
      <c r="F652" s="1"/>
      <c r="G652" s="1"/>
      <c r="H652" s="1"/>
      <c r="I652" s="55" t="s">
        <v>7</v>
      </c>
      <c r="J652" s="1"/>
      <c r="K652" s="1"/>
      <c r="L652" s="1"/>
      <c r="M652" s="55" t="s">
        <v>7</v>
      </c>
      <c r="N652" s="1"/>
      <c r="O652" s="1"/>
      <c r="P652" s="1"/>
      <c r="Q652" s="55" t="s">
        <v>7</v>
      </c>
      <c r="R652" s="55" t="s">
        <v>7</v>
      </c>
    </row>
    <row r="653" spans="1:18" ht="15.75" customHeight="1" x14ac:dyDescent="0.3">
      <c r="A653" s="71" t="s">
        <v>370</v>
      </c>
      <c r="B653" s="1">
        <v>0</v>
      </c>
      <c r="C653" s="1">
        <v>0</v>
      </c>
      <c r="D653" s="1">
        <v>0</v>
      </c>
      <c r="E653" s="55">
        <f>SUM(B653:D653)</f>
        <v>0</v>
      </c>
      <c r="F653" s="1">
        <v>0</v>
      </c>
      <c r="G653" s="1">
        <v>0</v>
      </c>
      <c r="H653" s="1">
        <v>0</v>
      </c>
      <c r="I653" s="55">
        <f>SUM(F653:H653)</f>
        <v>0</v>
      </c>
      <c r="J653" s="1">
        <v>0</v>
      </c>
      <c r="K653" s="1">
        <v>0</v>
      </c>
      <c r="L653" s="1">
        <v>0</v>
      </c>
      <c r="M653" s="55">
        <f>SUM(J653:L653)</f>
        <v>0</v>
      </c>
      <c r="N653" s="1">
        <v>0</v>
      </c>
      <c r="O653" s="1">
        <v>0</v>
      </c>
      <c r="P653" s="1">
        <v>0</v>
      </c>
      <c r="Q653" s="55">
        <f>SUM(N653:P653)</f>
        <v>0</v>
      </c>
      <c r="R653" s="55">
        <f>+E653+I653+M653+Q653</f>
        <v>0</v>
      </c>
    </row>
    <row r="654" spans="1:18" ht="15.75" customHeight="1" x14ac:dyDescent="0.3">
      <c r="A654" s="71" t="s">
        <v>371</v>
      </c>
      <c r="B654" s="1">
        <v>0</v>
      </c>
      <c r="C654" s="1">
        <v>0</v>
      </c>
      <c r="D654" s="1">
        <v>0</v>
      </c>
      <c r="E654" s="55">
        <f>SUM(B654:D654)</f>
        <v>0</v>
      </c>
      <c r="F654" s="1">
        <v>0</v>
      </c>
      <c r="G654" s="1">
        <v>0</v>
      </c>
      <c r="H654" s="1">
        <v>0</v>
      </c>
      <c r="I654" s="55">
        <f>SUM(F654:H654)</f>
        <v>0</v>
      </c>
      <c r="J654" s="1">
        <v>0</v>
      </c>
      <c r="K654" s="1">
        <v>0</v>
      </c>
      <c r="L654" s="1">
        <v>0</v>
      </c>
      <c r="M654" s="55">
        <f>SUM(J654:L654)</f>
        <v>0</v>
      </c>
      <c r="N654" s="1">
        <v>0</v>
      </c>
      <c r="O654" s="1">
        <v>0</v>
      </c>
      <c r="P654" s="1">
        <v>0</v>
      </c>
      <c r="Q654" s="55">
        <f>SUM(N654:P654)</f>
        <v>0</v>
      </c>
      <c r="R654" s="55">
        <f>+E654+I654+M654+Q654</f>
        <v>0</v>
      </c>
    </row>
    <row r="655" spans="1:18" ht="15.75" customHeight="1" x14ac:dyDescent="0.3">
      <c r="A655" s="15" t="s">
        <v>69</v>
      </c>
      <c r="B655" s="1"/>
      <c r="C655" s="1"/>
      <c r="D655" s="1"/>
      <c r="E655" s="55" t="s">
        <v>7</v>
      </c>
      <c r="F655" s="1"/>
      <c r="G655" s="1"/>
      <c r="H655" s="1"/>
      <c r="I655" s="55" t="s">
        <v>7</v>
      </c>
      <c r="J655" s="1"/>
      <c r="K655" s="1"/>
      <c r="L655" s="1"/>
      <c r="M655" s="55" t="s">
        <v>7</v>
      </c>
      <c r="N655" s="1"/>
      <c r="O655" s="1"/>
      <c r="P655" s="1"/>
      <c r="Q655" s="55" t="s">
        <v>7</v>
      </c>
      <c r="R655" s="55" t="s">
        <v>7</v>
      </c>
    </row>
    <row r="656" spans="1:18" ht="15.75" customHeight="1" thickBot="1" x14ac:dyDescent="0.35">
      <c r="A656" s="15" t="s">
        <v>70</v>
      </c>
      <c r="B656" s="1"/>
      <c r="C656" s="1"/>
      <c r="D656" s="1"/>
      <c r="E656" s="55" t="s">
        <v>7</v>
      </c>
      <c r="F656" s="1"/>
      <c r="G656" s="1"/>
      <c r="H656" s="1"/>
      <c r="I656" s="55" t="s">
        <v>7</v>
      </c>
      <c r="J656" s="1"/>
      <c r="K656" s="1"/>
      <c r="L656" s="1"/>
      <c r="M656" s="55" t="s">
        <v>7</v>
      </c>
      <c r="N656" s="1"/>
      <c r="O656" s="1"/>
      <c r="P656" s="1"/>
      <c r="Q656" s="55" t="s">
        <v>7</v>
      </c>
      <c r="R656" s="55" t="s">
        <v>7</v>
      </c>
    </row>
    <row r="657" spans="1:18" ht="15.75" customHeight="1" thickBot="1" x14ac:dyDescent="0.35">
      <c r="A657" s="57" t="s">
        <v>71</v>
      </c>
      <c r="B657" s="58">
        <f>SUM(B655:B656)</f>
        <v>0</v>
      </c>
      <c r="C657" s="58">
        <f>SUM(C655:C656)</f>
        <v>0</v>
      </c>
      <c r="D657" s="58">
        <f>SUM(D655:D656)</f>
        <v>0</v>
      </c>
      <c r="E657" s="60">
        <f>SUM(B657:D657)</f>
        <v>0</v>
      </c>
      <c r="F657" s="58">
        <f>SUM(F655:F656)</f>
        <v>0</v>
      </c>
      <c r="G657" s="58">
        <f>SUM(G655:G656)</f>
        <v>0</v>
      </c>
      <c r="H657" s="58">
        <f>SUM(H655:H656)</f>
        <v>0</v>
      </c>
      <c r="I657" s="60">
        <f>SUM(F657:H657)</f>
        <v>0</v>
      </c>
      <c r="J657" s="58">
        <f>SUM(J655:J656)</f>
        <v>0</v>
      </c>
      <c r="K657" s="58">
        <f>SUM(K655:K656)</f>
        <v>0</v>
      </c>
      <c r="L657" s="58">
        <f>SUM(L655:L656)</f>
        <v>0</v>
      </c>
      <c r="M657" s="60">
        <f>SUM(J657:L657)</f>
        <v>0</v>
      </c>
      <c r="N657" s="58">
        <f>SUM(N655:N656)</f>
        <v>0</v>
      </c>
      <c r="O657" s="58">
        <f>SUM(O655:O656)</f>
        <v>0</v>
      </c>
      <c r="P657" s="58">
        <f>SUM(P655:P656)</f>
        <v>0</v>
      </c>
      <c r="Q657" s="60">
        <f>SUM(N657:P657)</f>
        <v>0</v>
      </c>
      <c r="R657" s="59">
        <f>+E657+I657+M657+Q657</f>
        <v>0</v>
      </c>
    </row>
    <row r="658" spans="1:18" ht="15.75" customHeight="1" thickBot="1" x14ac:dyDescent="0.35">
      <c r="A658" s="57" t="s">
        <v>72</v>
      </c>
      <c r="B658" s="86">
        <f>SUM(B649:B656)</f>
        <v>0</v>
      </c>
      <c r="C658" s="87">
        <f>SUM(C649:C656)</f>
        <v>0</v>
      </c>
      <c r="D658" s="118">
        <f>SUM(D649:D656)</f>
        <v>0</v>
      </c>
      <c r="E658" s="60">
        <f>SUM(B658:D658)</f>
        <v>0</v>
      </c>
      <c r="F658" s="87">
        <f>SUM(F649:F656)</f>
        <v>0</v>
      </c>
      <c r="G658" s="87">
        <f>SUM(G649:G656)</f>
        <v>0</v>
      </c>
      <c r="H658" s="87">
        <f>SUM(H649:H656)</f>
        <v>0</v>
      </c>
      <c r="I658" s="60">
        <f>SUM(F658:H658)</f>
        <v>0</v>
      </c>
      <c r="J658" s="87">
        <f>SUM(J649:J656)</f>
        <v>0</v>
      </c>
      <c r="K658" s="87">
        <f>SUM(K649:K656)</f>
        <v>0</v>
      </c>
      <c r="L658" s="87">
        <f>SUM(L649:L656)</f>
        <v>0</v>
      </c>
      <c r="M658" s="60">
        <f>SUM(J658:L658)</f>
        <v>0</v>
      </c>
      <c r="N658" s="87">
        <f>SUM(N649:N656)</f>
        <v>0</v>
      </c>
      <c r="O658" s="87">
        <f>SUM(O649:O656)</f>
        <v>1268</v>
      </c>
      <c r="P658" s="87">
        <f>SUM(P649:P656)</f>
        <v>932</v>
      </c>
      <c r="Q658" s="60">
        <f>SUM(N658:P658)</f>
        <v>2200</v>
      </c>
      <c r="R658" s="59">
        <f>+E658+I658+M658+Q658</f>
        <v>2200</v>
      </c>
    </row>
    <row r="659" spans="1:18" ht="15.75" customHeight="1" thickBot="1" x14ac:dyDescent="0.35">
      <c r="A659" s="57" t="s">
        <v>73</v>
      </c>
      <c r="B659" s="90">
        <f>+B637+B641+B648+B658</f>
        <v>1198</v>
      </c>
      <c r="C659" s="58">
        <f>+C637+C641+C648+C658</f>
        <v>1752</v>
      </c>
      <c r="D659" s="58">
        <f>+D637+D641+D648+D658</f>
        <v>3759</v>
      </c>
      <c r="E659" s="59">
        <f>SUM(B659:D659)</f>
        <v>6709</v>
      </c>
      <c r="F659" s="58">
        <f>+F637+F641+F648+F658</f>
        <v>3305</v>
      </c>
      <c r="G659" s="58">
        <f>+G637+G641+G648+G658</f>
        <v>4124</v>
      </c>
      <c r="H659" s="58">
        <f>+H637+H641+H648+H658</f>
        <v>3842</v>
      </c>
      <c r="I659" s="59">
        <f>SUM(F659:H659)</f>
        <v>11271</v>
      </c>
      <c r="J659" s="58">
        <f>+J637+J641+J648+J658</f>
        <v>1999</v>
      </c>
      <c r="K659" s="58">
        <f>+K637+K641+K648+K658</f>
        <v>4122</v>
      </c>
      <c r="L659" s="58">
        <f>+L637+L641+L648+L658</f>
        <v>3846</v>
      </c>
      <c r="M659" s="59">
        <f>SUM(J659:L659)</f>
        <v>9967</v>
      </c>
      <c r="N659" s="58">
        <f>+N637+N641+N648+N658</f>
        <v>1887</v>
      </c>
      <c r="O659" s="58">
        <f>+O637+O641+O648+O658</f>
        <v>2564</v>
      </c>
      <c r="P659" s="58">
        <f>+P637+P641+P648+P658</f>
        <v>2244</v>
      </c>
      <c r="Q659" s="59">
        <f>SUM(N659:P659)</f>
        <v>6695</v>
      </c>
      <c r="R659" s="81">
        <f>+E659+I659+M659+Q659</f>
        <v>34642</v>
      </c>
    </row>
    <row r="660" spans="1:18" ht="15.75" customHeight="1" thickBot="1" x14ac:dyDescent="0.35">
      <c r="A660" s="39" t="s">
        <v>40</v>
      </c>
      <c r="B660" s="21">
        <v>11</v>
      </c>
      <c r="C660" s="21">
        <v>13</v>
      </c>
      <c r="D660" s="21">
        <v>17</v>
      </c>
      <c r="E660" s="55">
        <f>SUM(B660:D660)</f>
        <v>41</v>
      </c>
      <c r="F660" s="21">
        <v>21</v>
      </c>
      <c r="G660" s="21">
        <v>23</v>
      </c>
      <c r="H660" s="21">
        <v>25</v>
      </c>
      <c r="I660" s="55">
        <f>SUM(F660:H660)</f>
        <v>69</v>
      </c>
      <c r="J660" s="21">
        <v>25</v>
      </c>
      <c r="K660" s="21">
        <v>21</v>
      </c>
      <c r="L660" s="21">
        <v>19</v>
      </c>
      <c r="M660" s="55">
        <f>SUM(J660:L660)</f>
        <v>65</v>
      </c>
      <c r="N660" s="21">
        <v>17</v>
      </c>
      <c r="O660" s="21">
        <v>13</v>
      </c>
      <c r="P660" s="21">
        <v>11</v>
      </c>
      <c r="Q660" s="55">
        <f>SUM(N660:P660)</f>
        <v>41</v>
      </c>
      <c r="R660" s="55">
        <f>+E660+I660+M660+Q660</f>
        <v>216</v>
      </c>
    </row>
    <row r="661" spans="1:18" ht="15.75" customHeight="1" thickBot="1" x14ac:dyDescent="0.35">
      <c r="A661" s="64"/>
      <c r="B661" s="292"/>
      <c r="C661" s="292"/>
      <c r="D661" s="292"/>
      <c r="E661" s="60" t="s">
        <v>7</v>
      </c>
      <c r="F661" s="292"/>
      <c r="G661" s="292"/>
      <c r="H661" s="292"/>
      <c r="I661" s="60" t="s">
        <v>7</v>
      </c>
      <c r="J661" s="292"/>
      <c r="K661" s="292"/>
      <c r="L661" s="292"/>
      <c r="M661" s="60" t="s">
        <v>7</v>
      </c>
      <c r="N661" s="292"/>
      <c r="O661" s="292"/>
      <c r="P661" s="292"/>
      <c r="Q661" s="60" t="s">
        <v>7</v>
      </c>
      <c r="R661" s="60" t="s">
        <v>7</v>
      </c>
    </row>
    <row r="662" spans="1:18" ht="15.75" customHeight="1" x14ac:dyDescent="0.3">
      <c r="A662" s="76" t="s">
        <v>41</v>
      </c>
      <c r="B662" s="77">
        <f>SUM(B659:B660)</f>
        <v>1209</v>
      </c>
      <c r="C662" s="77">
        <f>SUM(C659:C660)</f>
        <v>1765</v>
      </c>
      <c r="D662" s="77">
        <f>SUM(D659:D660)</f>
        <v>3776</v>
      </c>
      <c r="E662" s="60">
        <f>SUM(B662:D662)</f>
        <v>6750</v>
      </c>
      <c r="F662" s="77">
        <f>SUM(F659:F660)</f>
        <v>3326</v>
      </c>
      <c r="G662" s="77">
        <f>SUM(G659:G660)</f>
        <v>4147</v>
      </c>
      <c r="H662" s="77">
        <f>SUM(H659:H660)</f>
        <v>3867</v>
      </c>
      <c r="I662" s="60">
        <f>SUM(F662:H662)</f>
        <v>11340</v>
      </c>
      <c r="J662" s="77">
        <f>SUM(J659:J660)</f>
        <v>2024</v>
      </c>
      <c r="K662" s="77">
        <f>SUM(K659:K660)</f>
        <v>4143</v>
      </c>
      <c r="L662" s="77">
        <f>SUM(L659:L660)</f>
        <v>3865</v>
      </c>
      <c r="M662" s="60">
        <f>SUM(J662:L662)</f>
        <v>10032</v>
      </c>
      <c r="N662" s="77">
        <f>SUM(N659:N660)</f>
        <v>1904</v>
      </c>
      <c r="O662" s="77">
        <f>SUM(O659:O660)</f>
        <v>2577</v>
      </c>
      <c r="P662" s="77">
        <f>SUM(P659:P660)</f>
        <v>2255</v>
      </c>
      <c r="Q662" s="60">
        <f>SUM(N662:P662)</f>
        <v>6736</v>
      </c>
      <c r="R662" s="60">
        <f>+E662+I662+M662+Q662</f>
        <v>34858</v>
      </c>
    </row>
    <row r="663" spans="1:18" ht="15.75" customHeight="1" x14ac:dyDescent="0.3">
      <c r="A663" s="79" t="s">
        <v>42</v>
      </c>
      <c r="B663" s="1">
        <f>(B662/31)/1.983</f>
        <v>19.667170953101362</v>
      </c>
      <c r="C663" s="1">
        <f>(C662/28)/1.983</f>
        <v>31.788055615589652</v>
      </c>
      <c r="D663" s="1">
        <f>(D662/31)/1.983</f>
        <v>61.425341206708637</v>
      </c>
      <c r="E663" s="55" t="s">
        <v>7</v>
      </c>
      <c r="F663" s="1">
        <f>(F662/30)/1.983</f>
        <v>55.908556059841985</v>
      </c>
      <c r="G663" s="1">
        <f>(G662/31)/1.983</f>
        <v>67.460511118702513</v>
      </c>
      <c r="H663" s="1">
        <f>(H662/30)/1.983</f>
        <v>65.002521432173481</v>
      </c>
      <c r="I663" s="55" t="s">
        <v>7</v>
      </c>
      <c r="J663" s="1">
        <f>(J662/31)/1.983</f>
        <v>32.925023994273907</v>
      </c>
      <c r="K663" s="1">
        <f>(K662/31)/1.983</f>
        <v>67.395441901322528</v>
      </c>
      <c r="L663" s="1">
        <f>(L662/30)/1.983</f>
        <v>64.968902336527151</v>
      </c>
      <c r="M663" s="55" t="s">
        <v>7</v>
      </c>
      <c r="N663" s="1">
        <f>(N662/31)/1.983</f>
        <v>30.972947472874271</v>
      </c>
      <c r="O663" s="1">
        <f>(O662/30)/1.983</f>
        <v>43.318204740292487</v>
      </c>
      <c r="P663" s="1">
        <f>(P662/31)/1.983</f>
        <v>36.682771297968209</v>
      </c>
      <c r="Q663" s="55" t="s">
        <v>7</v>
      </c>
      <c r="R663" s="55" t="s">
        <v>7</v>
      </c>
    </row>
    <row r="664" spans="1:18" ht="15.75" customHeight="1" x14ac:dyDescent="0.3">
      <c r="A664" s="79" t="s">
        <v>372</v>
      </c>
      <c r="B664" s="1">
        <f>B662</f>
        <v>1209</v>
      </c>
      <c r="C664" s="1">
        <f>C662</f>
        <v>1765</v>
      </c>
      <c r="D664" s="1">
        <f>D662</f>
        <v>3776</v>
      </c>
      <c r="E664" s="55">
        <f>SUM(B664:D664)</f>
        <v>6750</v>
      </c>
      <c r="F664" s="1">
        <f>F662</f>
        <v>3326</v>
      </c>
      <c r="G664" s="1">
        <f>G662</f>
        <v>4147</v>
      </c>
      <c r="H664" s="1">
        <f>H662</f>
        <v>3867</v>
      </c>
      <c r="I664" s="55">
        <f>SUM(F664:H664)</f>
        <v>11340</v>
      </c>
      <c r="J664" s="1">
        <f>J662</f>
        <v>2024</v>
      </c>
      <c r="K664" s="1">
        <f>K662</f>
        <v>4143</v>
      </c>
      <c r="L664" s="1">
        <f>L662</f>
        <v>3865</v>
      </c>
      <c r="M664" s="55">
        <f>SUM(J664:L664)</f>
        <v>10032</v>
      </c>
      <c r="N664" s="1">
        <f>N662</f>
        <v>1904</v>
      </c>
      <c r="O664" s="1">
        <f>O662</f>
        <v>2577</v>
      </c>
      <c r="P664" s="1">
        <f>P662</f>
        <v>2255</v>
      </c>
      <c r="Q664" s="55">
        <f>SUM(N664:P664)</f>
        <v>6736</v>
      </c>
      <c r="R664" s="55">
        <f>+E664+I664+M664+Q664</f>
        <v>34858</v>
      </c>
    </row>
    <row r="665" spans="1:18" ht="15.75" customHeight="1" thickBot="1" x14ac:dyDescent="0.35">
      <c r="A665" s="80" t="s">
        <v>373</v>
      </c>
      <c r="B665" s="25">
        <f>(B664/31)/1.983</f>
        <v>19.667170953101362</v>
      </c>
      <c r="C665" s="25">
        <f>(C664/28)/1.983</f>
        <v>31.788055615589652</v>
      </c>
      <c r="D665" s="25">
        <f>(D664/31)/1.983</f>
        <v>61.425341206708637</v>
      </c>
      <c r="E665" s="81" t="s">
        <v>7</v>
      </c>
      <c r="F665" s="25">
        <f>(F664/30)/1.983</f>
        <v>55.908556059841985</v>
      </c>
      <c r="G665" s="25">
        <f>(G664/31)/1.983</f>
        <v>67.460511118702513</v>
      </c>
      <c r="H665" s="25">
        <f>(H664/30)/1.983</f>
        <v>65.002521432173481</v>
      </c>
      <c r="I665" s="81" t="s">
        <v>7</v>
      </c>
      <c r="J665" s="25">
        <f>(J664/31)/1.983</f>
        <v>32.925023994273907</v>
      </c>
      <c r="K665" s="25">
        <f>(K664/31)/1.983</f>
        <v>67.395441901322528</v>
      </c>
      <c r="L665" s="25">
        <f>(L664/30)/1.983</f>
        <v>64.968902336527151</v>
      </c>
      <c r="M665" s="81" t="s">
        <v>7</v>
      </c>
      <c r="N665" s="25">
        <f>(N664/31)/1.983</f>
        <v>30.972947472874271</v>
      </c>
      <c r="O665" s="25">
        <f>(O664/30)/1.983</f>
        <v>43.318204740292487</v>
      </c>
      <c r="P665" s="25">
        <f>(P664/31)/1.983</f>
        <v>36.682771297968209</v>
      </c>
      <c r="Q665" s="81" t="s">
        <v>7</v>
      </c>
      <c r="R665" s="81" t="s">
        <v>7</v>
      </c>
    </row>
    <row r="666" spans="1:18" ht="15.75" customHeight="1" x14ac:dyDescent="0.35">
      <c r="A666" s="565"/>
      <c r="B666" s="565"/>
      <c r="C666" s="565"/>
      <c r="D666" s="565"/>
      <c r="E666" s="565"/>
      <c r="F666" s="565"/>
      <c r="G666" s="565"/>
      <c r="H666" s="565"/>
      <c r="I666" s="565"/>
      <c r="J666" s="565"/>
      <c r="K666" s="565"/>
      <c r="L666" s="565"/>
      <c r="M666" s="565"/>
      <c r="N666" s="565"/>
      <c r="O666" s="565"/>
      <c r="P666" s="565"/>
      <c r="Q666" s="565"/>
      <c r="R666" s="565"/>
    </row>
    <row r="667" spans="1:18" ht="15.75" customHeight="1" x14ac:dyDescent="0.35">
      <c r="A667" s="565" t="s">
        <v>1</v>
      </c>
      <c r="B667" s="565"/>
      <c r="C667" s="565"/>
      <c r="D667" s="565"/>
      <c r="E667" s="565"/>
      <c r="F667" s="565"/>
      <c r="G667" s="565"/>
      <c r="H667" s="565"/>
      <c r="I667" s="565"/>
      <c r="J667" s="565"/>
      <c r="K667" s="565"/>
      <c r="L667" s="565"/>
      <c r="M667" s="565"/>
      <c r="N667" s="565"/>
      <c r="O667" s="565"/>
      <c r="P667" s="565"/>
      <c r="Q667" s="565"/>
      <c r="R667" s="565"/>
    </row>
    <row r="668" spans="1:18" ht="15.75" customHeight="1" x14ac:dyDescent="0.35">
      <c r="A668" s="565" t="s">
        <v>2</v>
      </c>
      <c r="B668" s="565"/>
      <c r="C668" s="565"/>
      <c r="D668" s="565"/>
      <c r="E668" s="565"/>
      <c r="F668" s="565"/>
      <c r="G668" s="565"/>
      <c r="H668" s="565"/>
      <c r="I668" s="565"/>
      <c r="J668" s="565"/>
      <c r="K668" s="565"/>
      <c r="L668" s="565"/>
      <c r="M668" s="565"/>
      <c r="N668" s="565"/>
      <c r="O668" s="565"/>
      <c r="P668" s="565"/>
      <c r="Q668" s="565"/>
      <c r="R668" s="565"/>
    </row>
    <row r="669" spans="1:18" ht="15.75" customHeight="1" x14ac:dyDescent="0.35">
      <c r="A669" s="565" t="s">
        <v>3</v>
      </c>
      <c r="B669" s="565"/>
      <c r="C669" s="565"/>
      <c r="D669" s="565"/>
      <c r="E669" s="565"/>
      <c r="F669" s="565"/>
      <c r="G669" s="565"/>
      <c r="H669" s="565"/>
      <c r="I669" s="565"/>
      <c r="J669" s="565"/>
      <c r="K669" s="565"/>
      <c r="L669" s="565"/>
      <c r="M669" s="565"/>
      <c r="N669" s="565"/>
      <c r="O669" s="565"/>
      <c r="P669" s="565"/>
      <c r="Q669" s="565"/>
      <c r="R669" s="565"/>
    </row>
    <row r="670" spans="1:18" ht="15.75" customHeight="1" x14ac:dyDescent="0.35">
      <c r="A670" s="565" t="str">
        <f>+A5</f>
        <v>Calendar Year 2010</v>
      </c>
      <c r="B670" s="565"/>
      <c r="C670" s="565"/>
      <c r="D670" s="565"/>
      <c r="E670" s="565"/>
      <c r="F670" s="565"/>
      <c r="G670" s="565"/>
      <c r="H670" s="565"/>
      <c r="I670" s="565"/>
      <c r="J670" s="565"/>
      <c r="K670" s="565"/>
      <c r="L670" s="565"/>
      <c r="M670" s="565"/>
      <c r="N670" s="565"/>
      <c r="O670" s="565"/>
      <c r="P670" s="565"/>
      <c r="Q670" s="565"/>
      <c r="R670" s="565"/>
    </row>
    <row r="671" spans="1:18" ht="15.75" customHeight="1" x14ac:dyDescent="0.35">
      <c r="A671" s="140"/>
      <c r="B671" s="140"/>
      <c r="C671" s="140"/>
      <c r="D671" s="143"/>
      <c r="E671" s="143"/>
      <c r="F671" s="143"/>
      <c r="G671" s="144"/>
      <c r="H671" s="143"/>
      <c r="I671" s="143"/>
      <c r="J671" s="144"/>
      <c r="K671" s="144"/>
      <c r="L671" s="144"/>
      <c r="M671" s="144"/>
      <c r="N671" s="140"/>
      <c r="O671" s="144"/>
      <c r="P671" s="144"/>
      <c r="Q671" s="144"/>
      <c r="R671" s="144"/>
    </row>
    <row r="672" spans="1:18" ht="15.75" customHeight="1" x14ac:dyDescent="0.35">
      <c r="A672" s="565" t="str">
        <f>+A9</f>
        <v>Revised:  1/24/11</v>
      </c>
      <c r="B672" s="565"/>
      <c r="C672" s="565"/>
      <c r="D672" s="565"/>
      <c r="E672" s="565"/>
      <c r="F672" s="565"/>
      <c r="G672" s="565"/>
      <c r="H672" s="565"/>
      <c r="I672" s="565"/>
      <c r="J672" s="565"/>
      <c r="K672" s="565"/>
      <c r="L672" s="565"/>
      <c r="M672" s="565"/>
      <c r="N672" s="565"/>
      <c r="O672" s="565"/>
      <c r="P672" s="565"/>
      <c r="Q672" s="565"/>
      <c r="R672" s="565"/>
    </row>
    <row r="673" spans="1:19" ht="15.75" customHeight="1" x14ac:dyDescent="0.35">
      <c r="A673" s="145"/>
      <c r="B673" s="145"/>
      <c r="C673" s="145"/>
      <c r="D673" s="145"/>
      <c r="E673" s="145"/>
      <c r="F673" s="145"/>
      <c r="G673" s="145"/>
      <c r="H673" s="145"/>
      <c r="I673" s="145"/>
      <c r="J673" s="145"/>
      <c r="K673" s="145"/>
      <c r="L673" s="145"/>
      <c r="M673" s="145"/>
      <c r="N673" s="145"/>
      <c r="O673" s="145"/>
      <c r="P673" s="145"/>
      <c r="Q673" s="145"/>
      <c r="R673" s="145"/>
    </row>
    <row r="674" spans="1:19" ht="15.75" customHeight="1" x14ac:dyDescent="0.35">
      <c r="A674" s="145"/>
      <c r="B674" s="145"/>
      <c r="C674" s="145"/>
      <c r="D674" s="145"/>
      <c r="E674" s="145"/>
      <c r="F674" s="145"/>
      <c r="G674" s="145"/>
      <c r="H674" s="145"/>
      <c r="I674" s="145"/>
      <c r="J674" s="145"/>
      <c r="K674" s="145"/>
      <c r="L674" s="145"/>
      <c r="M674" s="145"/>
      <c r="N674" s="145"/>
      <c r="O674" s="145"/>
      <c r="P674" s="145"/>
      <c r="Q674" s="145"/>
      <c r="R674" s="145"/>
    </row>
    <row r="675" spans="1:19" ht="15.75" customHeight="1" thickBot="1" x14ac:dyDescent="0.4">
      <c r="A675" s="139"/>
      <c r="B675" s="140"/>
      <c r="C675" s="140"/>
      <c r="D675" s="140"/>
      <c r="E675" s="140"/>
      <c r="F675" s="140"/>
      <c r="G675" s="140"/>
      <c r="H675" s="140"/>
      <c r="I675" s="140"/>
      <c r="J675" s="140"/>
      <c r="K675" s="140"/>
      <c r="L675" s="140"/>
      <c r="M675" s="140"/>
      <c r="N675" s="140"/>
      <c r="O675" s="140"/>
      <c r="P675" s="140"/>
      <c r="Q675" s="140"/>
      <c r="R675" s="141"/>
    </row>
    <row r="676" spans="1:19" ht="15.75" customHeight="1" thickBot="1" x14ac:dyDescent="0.4">
      <c r="A676" s="261" t="s">
        <v>374</v>
      </c>
      <c r="B676" s="188" t="s">
        <v>8</v>
      </c>
      <c r="C676" s="189" t="s">
        <v>9</v>
      </c>
      <c r="D676" s="189" t="s">
        <v>10</v>
      </c>
      <c r="E676" s="10" t="s">
        <v>11</v>
      </c>
      <c r="F676" s="189" t="s">
        <v>12</v>
      </c>
      <c r="G676" s="189" t="s">
        <v>13</v>
      </c>
      <c r="H676" s="189" t="s">
        <v>14</v>
      </c>
      <c r="I676" s="190" t="s">
        <v>15</v>
      </c>
      <c r="J676" s="189" t="s">
        <v>16</v>
      </c>
      <c r="K676" s="189" t="s">
        <v>17</v>
      </c>
      <c r="L676" s="189" t="s">
        <v>18</v>
      </c>
      <c r="M676" s="190" t="s">
        <v>19</v>
      </c>
      <c r="N676" s="189" t="s">
        <v>20</v>
      </c>
      <c r="O676" s="189" t="s">
        <v>21</v>
      </c>
      <c r="P676" s="189" t="s">
        <v>22</v>
      </c>
      <c r="Q676" s="190" t="s">
        <v>23</v>
      </c>
      <c r="R676" s="270" t="s">
        <v>24</v>
      </c>
    </row>
    <row r="677" spans="1:19" ht="15.75" customHeight="1" thickBot="1" x14ac:dyDescent="0.4">
      <c r="A677" s="198"/>
      <c r="B677" s="193"/>
      <c r="C677" s="193"/>
      <c r="D677" s="193"/>
      <c r="E677" s="14"/>
      <c r="F677" s="193"/>
      <c r="G677" s="193"/>
      <c r="H677" s="193"/>
      <c r="I677" s="269"/>
      <c r="J677" s="193"/>
      <c r="K677" s="193"/>
      <c r="L677" s="193"/>
      <c r="M677" s="269"/>
      <c r="N677" s="193"/>
      <c r="O677" s="193"/>
      <c r="P677" s="193"/>
      <c r="Q677" s="271"/>
      <c r="R677" s="272"/>
    </row>
    <row r="678" spans="1:19" ht="15.75" customHeight="1" x14ac:dyDescent="0.35">
      <c r="A678" s="174" t="s">
        <v>48</v>
      </c>
      <c r="B678" s="140" t="s">
        <v>7</v>
      </c>
      <c r="C678" s="140" t="s">
        <v>7</v>
      </c>
      <c r="D678" s="140" t="s">
        <v>7</v>
      </c>
      <c r="E678" s="273"/>
      <c r="F678" s="140" t="s">
        <v>7</v>
      </c>
      <c r="G678" s="140" t="s">
        <v>7</v>
      </c>
      <c r="H678" s="140" t="s">
        <v>7</v>
      </c>
      <c r="I678" s="273"/>
      <c r="J678" s="140" t="s">
        <v>7</v>
      </c>
      <c r="K678" s="140" t="s">
        <v>7</v>
      </c>
      <c r="L678" s="140" t="s">
        <v>7</v>
      </c>
      <c r="M678" s="273"/>
      <c r="N678" s="140" t="s">
        <v>7</v>
      </c>
      <c r="O678" s="140" t="s">
        <v>7</v>
      </c>
      <c r="P678" s="140" t="s">
        <v>7</v>
      </c>
      <c r="Q678" s="274"/>
      <c r="R678" s="275" t="s">
        <v>7</v>
      </c>
    </row>
    <row r="679" spans="1:19" ht="15.75" customHeight="1" x14ac:dyDescent="0.35">
      <c r="A679" s="174" t="s">
        <v>49</v>
      </c>
      <c r="B679" s="140">
        <f>+SUM(B74:B79)+SUM(B135:B157)+SUM(B261:B271)+SUM(B371:B372)+SUM(B412:B415)+SUM(B453:B459)+SUM(B512:B514)+SUM(B547:B549)+SUM(B596:B597)+SUM(B630:B632)</f>
        <v>24976</v>
      </c>
      <c r="C679" s="140">
        <f>+SUM(C74:C79)+SUM(C135:C157)+SUM(C261:C271)+SUM(C371:C372)+SUM(C412:C415)+SUM(C453:C459)+SUM(C512:C514)+SUM(C547:C549)+SUM(C596:C597)+SUM(C630:C632)</f>
        <v>20818</v>
      </c>
      <c r="D679" s="140">
        <f>+SUM(D74:D79)+SUM(D135:D157)+SUM(D261:D271)+SUM(D371:D372)+SUM(D412:D415)+SUM(D453:D459)+SUM(D512:D514)+SUM(D547:D549)+SUM(D596:D597)+SUM(D630:D632)</f>
        <v>31429</v>
      </c>
      <c r="E679" s="207">
        <f t="shared" ref="E679:E685" si="88">SUM(B679:D679)</f>
        <v>77223</v>
      </c>
      <c r="F679" s="140">
        <f>+SUM(F74:F79)+SUM(F135:F157)+SUM(F261:F271)+SUM(F371:F372)+SUM(F412:F415)+SUM(F453:F459)+SUM(F512:F514)+SUM(F547:F549)+SUM(F596:F597)+SUM(F630:F632)</f>
        <v>29583</v>
      </c>
      <c r="G679" s="140">
        <f>+SUM(G74:G79)+SUM(G135:G157)+SUM(G261:G271)+SUM(G371:G372)+SUM(G412:G415)+SUM(G453:G459)+SUM(G512:G514)+SUM(G547:G549)+SUM(G596:G597)+SUM(G630:G632)</f>
        <v>23613</v>
      </c>
      <c r="H679" s="140">
        <f>+SUM(H74:H79)+SUM(H135:H157)+SUM(H261:H271)+SUM(H371:H372)+SUM(H412:H415)+SUM(H453:H459)+SUM(H512:H514)+SUM(H547:H549)+SUM(H596:H597)+SUM(H630:H632)</f>
        <v>33335</v>
      </c>
      <c r="I679" s="207">
        <f t="shared" ref="I679:I685" si="89">SUM(F679:H679)</f>
        <v>86531</v>
      </c>
      <c r="J679" s="140">
        <f>+SUM(J74:J79)+SUM(J135:J157)+SUM(J261:J271)+SUM(J371:J372)+SUM(J412:J415)+SUM(J453:J459)+SUM(J512:J514)+SUM(J547:J549)+SUM(J596:J597)+SUM(J630:J632)</f>
        <v>46294</v>
      </c>
      <c r="K679" s="140">
        <f>+SUM(K74:K79)+SUM(K135:K157)+SUM(K261:K271)+SUM(K371:K372)+SUM(K412:K415)+SUM(K453:K459)+SUM(K512:K514)+SUM(K547:K549)+SUM(K596:K597)+SUM(K630:K632)</f>
        <v>49657</v>
      </c>
      <c r="L679" s="140">
        <f>+SUM(L74:L79)+SUM(L135:L157)+SUM(L261:L271)+SUM(L371:L372)+SUM(L412:L415)+SUM(L453:L459)+SUM(L512:L514)+SUM(L547:L549)+SUM(L596:L597)+SUM(L630:L632)</f>
        <v>47534</v>
      </c>
      <c r="M679" s="207">
        <f t="shared" ref="M679:M685" si="90">SUM(J679:L679)</f>
        <v>143485</v>
      </c>
      <c r="N679" s="140">
        <f>+SUM(N74:N79)+SUM(N135:N157)+SUM(N261:N271)+SUM(N371:N372)+SUM(N412:N415)+SUM(N453:N459)+SUM(N512:N514)+SUM(N547:N549)+SUM(N596:N597)+SUM(N630:N632)</f>
        <v>36368</v>
      </c>
      <c r="O679" s="140">
        <f>+SUM(O74:O79)+SUM(O135:O157)+SUM(O261:O271)+SUM(O371:O372)+SUM(O412:O415)+SUM(O453:O459)+SUM(O512:O514)+SUM(O547:O549)+SUM(O596:O597)+SUM(O630:O632)</f>
        <v>29733</v>
      </c>
      <c r="P679" s="140">
        <f>+SUM(P74:P79)+SUM(P135:P157)+SUM(P261:P271)+SUM(P371:P372)+SUM(P412:P415)+SUM(P453:P459)+SUM(P512:P514)+SUM(P547:P549)+SUM(P596:P597)+SUM(P630:P632)</f>
        <v>26433</v>
      </c>
      <c r="Q679" s="207">
        <f t="shared" ref="Q679:Q685" si="91">SUM(N679:P679)</f>
        <v>92534</v>
      </c>
      <c r="R679" s="207">
        <f t="shared" ref="R679:R685" si="92">+E679+I679+M679+Q679</f>
        <v>399773</v>
      </c>
      <c r="S679" s="293"/>
    </row>
    <row r="680" spans="1:19" ht="15.75" customHeight="1" x14ac:dyDescent="0.35">
      <c r="A680" s="174" t="s">
        <v>50</v>
      </c>
      <c r="B680" s="140">
        <f>+SUM(B80:B83)+SUM(B159:B168)+SUM(B273:B287)+SUM(B374:B375)+B416+SUM(B460:B460)+B515+B550+B598+SUM(B633:B633)</f>
        <v>101</v>
      </c>
      <c r="C680" s="140">
        <f>+SUM(C80:C83)+SUM(C159:C168)+SUM(C273:C287)+SUM(C374:C375)+C416+SUM(C460:C460)+C515+C550+C598+SUM(C633:C633)</f>
        <v>105</v>
      </c>
      <c r="D680" s="140">
        <f>+SUM(D80:D83)+SUM(D159:D168)+SUM(D273:D287)+SUM(D374:D375)+D416+SUM(D460:D460)+D515+D550+D598+SUM(D633:D633)</f>
        <v>155</v>
      </c>
      <c r="E680" s="207">
        <f t="shared" si="88"/>
        <v>361</v>
      </c>
      <c r="F680" s="140">
        <f>+SUM(F80:F83)+SUM(F159:F168)+SUM(F273:F287)+SUM(F374:F375)+F416+SUM(F460:F460)+F515+F550+F598+SUM(F633:F633)</f>
        <v>421</v>
      </c>
      <c r="G680" s="140">
        <f>+SUM(G80:G83)+SUM(G159:G168)+SUM(G273:G287)+SUM(G374:G375)+G416+SUM(G460:G460)+G515+G550+G598+SUM(G633:G633)</f>
        <v>661</v>
      </c>
      <c r="H680" s="140">
        <f>+SUM(H80:H83)+SUM(H159:H168)+SUM(H273:H287)+SUM(H374:H375)+H416+SUM(H460:H460)+H515+H550+H598+SUM(H633:H633)</f>
        <v>790</v>
      </c>
      <c r="I680" s="207">
        <f t="shared" si="89"/>
        <v>1872</v>
      </c>
      <c r="J680" s="140">
        <f>+SUM(J80:J83)+SUM(J159:J168)+SUM(J273:J287)+SUM(J374:J375)+J416+SUM(J460:J460)+J515+J550+J598+SUM(J633:J633)</f>
        <v>871</v>
      </c>
      <c r="K680" s="140">
        <f>+SUM(K80:K83)+SUM(K159:K168)+SUM(K273:K287)+SUM(K374:K375)+K416+SUM(K460:K460)+K515+K550+K598+SUM(K633:K633)</f>
        <v>882</v>
      </c>
      <c r="L680" s="140">
        <f>+SUM(L80:L83)+SUM(L159:L168)+SUM(L273:L287)+SUM(L374:L375)+L416+SUM(L460:L460)+L515+L550+L598+SUM(L633:L633)</f>
        <v>682</v>
      </c>
      <c r="M680" s="207">
        <f t="shared" si="90"/>
        <v>2435</v>
      </c>
      <c r="N680" s="140">
        <f>+SUM(N80:N83)+SUM(N159:N168)+SUM(N273:N287)+SUM(N374:N375)+N416+SUM(N460:N460)+N515+N550+N598+SUM(N633:N633)</f>
        <v>767</v>
      </c>
      <c r="O680" s="140">
        <f>+SUM(O80:O83)+SUM(O159:O168)+SUM(O273:O287)+SUM(O374:O375)+O416+SUM(O460:O460)+O515+O550+O598+SUM(O633:O633)</f>
        <v>399</v>
      </c>
      <c r="P680" s="140">
        <f>+SUM(P80:P83)+SUM(P159:P168)+SUM(P273:P287)+SUM(P374:P375)+P416+SUM(P460:P460)+P515+P550+P598+SUM(P633:P633)</f>
        <v>977</v>
      </c>
      <c r="Q680" s="207">
        <f t="shared" si="91"/>
        <v>2143</v>
      </c>
      <c r="R680" s="207">
        <f t="shared" si="92"/>
        <v>6811</v>
      </c>
    </row>
    <row r="681" spans="1:19" ht="15.75" customHeight="1" x14ac:dyDescent="0.35">
      <c r="A681" s="174" t="s">
        <v>375</v>
      </c>
      <c r="B681" s="140">
        <f>SUM(B85:B86)+SUM(B169:B172)+SUM(B288:B292)+B376+B417+SUM(B461:B462)+B516+B551+B599+SUM(B634:B635)</f>
        <v>215</v>
      </c>
      <c r="C681" s="140">
        <f>SUM(C85:C86)+SUM(C169:C172)+SUM(C288:C292)+C376+C417+SUM(C461:C462)+C516+C551+C599+SUM(C634:C635)</f>
        <v>106</v>
      </c>
      <c r="D681" s="140">
        <f>SUM(D85:D86)+SUM(D169:D172)+SUM(D288:D292)+D376+D417+SUM(D461:D462)+D516+D551+D599+SUM(D634:D635)</f>
        <v>145</v>
      </c>
      <c r="E681" s="207">
        <f t="shared" si="88"/>
        <v>466</v>
      </c>
      <c r="F681" s="140">
        <f>SUM(F85:F86)+SUM(F169:F172)+SUM(F288:F292)+F376+F417+SUM(F461:F462)+F516+F551+F599+SUM(F634:F635)</f>
        <v>2237</v>
      </c>
      <c r="G681" s="140">
        <f>SUM(G85:G86)+SUM(G169:G172)+SUM(G288:G292)+G376+G417+SUM(G461:G462)+G516+G551+G599+SUM(G634:G635)</f>
        <v>8434</v>
      </c>
      <c r="H681" s="140">
        <f>SUM(H85:H86)+SUM(H169:H172)+SUM(H288:H292)+H376+H417+SUM(H461:H462)+H516+H551+H599+SUM(H634:H635)</f>
        <v>2971</v>
      </c>
      <c r="I681" s="207">
        <f t="shared" si="89"/>
        <v>13642</v>
      </c>
      <c r="J681" s="140">
        <f>SUM(J85:J86)+SUM(J169:J172)+SUM(J288:J292)+J376+J417+SUM(J461:J462)+J516+J551+J599+SUM(J634:J635)</f>
        <v>2523</v>
      </c>
      <c r="K681" s="140">
        <f>SUM(K85:K86)+SUM(K169:K172)+SUM(K288:K292)+K376+K417+SUM(K461:K462)+K516+K551+K599+SUM(K634:K635)</f>
        <v>112</v>
      </c>
      <c r="L681" s="140">
        <f>SUM(L85:L86)+SUM(L169:L172)+SUM(L288:L292)+L376+L417+SUM(L461:L462)+L516+L551+L599+SUM(L634:L635)</f>
        <v>1619</v>
      </c>
      <c r="M681" s="207">
        <f t="shared" si="90"/>
        <v>4254</v>
      </c>
      <c r="N681" s="140">
        <f>SUM(N85:N86)+SUM(N169:N172)+SUM(N288:N292)+N376+N417+SUM(N461:N462)+N516+N551+N599+SUM(N634:N635)</f>
        <v>923</v>
      </c>
      <c r="O681" s="140">
        <f>SUM(O85:O86)+SUM(O169:O172)+SUM(O288:O292)+O376+O417+SUM(O461:O462)+O516+O551+O599+SUM(O634:O635)</f>
        <v>248</v>
      </c>
      <c r="P681" s="140">
        <f>SUM(P85:P86)+SUM(P169:P172)+SUM(P288:P292)+P376+P417+SUM(P461:P462)+P516+P551+P599+SUM(P634:P635)</f>
        <v>3</v>
      </c>
      <c r="Q681" s="207">
        <f t="shared" si="91"/>
        <v>1174</v>
      </c>
      <c r="R681" s="207">
        <f t="shared" si="92"/>
        <v>19536</v>
      </c>
    </row>
    <row r="682" spans="1:19" ht="15.75" customHeight="1" x14ac:dyDescent="0.35">
      <c r="A682" s="174" t="s">
        <v>668</v>
      </c>
      <c r="B682" s="140">
        <f t="shared" ref="B682:D683" si="93">+B238</f>
        <v>825</v>
      </c>
      <c r="C682" s="140">
        <f t="shared" si="93"/>
        <v>1214</v>
      </c>
      <c r="D682" s="140">
        <f t="shared" si="93"/>
        <v>0</v>
      </c>
      <c r="E682" s="207">
        <f t="shared" si="88"/>
        <v>2039</v>
      </c>
      <c r="F682" s="140">
        <f t="shared" ref="F682:H683" si="94">+F238</f>
        <v>0</v>
      </c>
      <c r="G682" s="140">
        <f t="shared" si="94"/>
        <v>0</v>
      </c>
      <c r="H682" s="140">
        <f t="shared" si="94"/>
        <v>0</v>
      </c>
      <c r="I682" s="207">
        <f t="shared" si="89"/>
        <v>0</v>
      </c>
      <c r="J682" s="140">
        <f t="shared" ref="J682:L683" si="95">+J238</f>
        <v>0</v>
      </c>
      <c r="K682" s="140">
        <f t="shared" si="95"/>
        <v>0</v>
      </c>
      <c r="L682" s="140">
        <f t="shared" si="95"/>
        <v>830</v>
      </c>
      <c r="M682" s="207">
        <f t="shared" si="90"/>
        <v>830</v>
      </c>
      <c r="N682" s="140">
        <f t="shared" ref="N682:P683" si="96">+N238</f>
        <v>1510</v>
      </c>
      <c r="O682" s="140">
        <f t="shared" si="96"/>
        <v>0</v>
      </c>
      <c r="P682" s="140">
        <f t="shared" si="96"/>
        <v>321</v>
      </c>
      <c r="Q682" s="207">
        <f t="shared" si="91"/>
        <v>1831</v>
      </c>
      <c r="R682" s="207">
        <f t="shared" si="92"/>
        <v>4700</v>
      </c>
    </row>
    <row r="683" spans="1:19" ht="15.75" customHeight="1" x14ac:dyDescent="0.35">
      <c r="A683" s="174" t="s">
        <v>377</v>
      </c>
      <c r="B683" s="140">
        <f t="shared" si="93"/>
        <v>58</v>
      </c>
      <c r="C683" s="140">
        <f t="shared" si="93"/>
        <v>25</v>
      </c>
      <c r="D683" s="140">
        <f t="shared" si="93"/>
        <v>34</v>
      </c>
      <c r="E683" s="207">
        <f t="shared" si="88"/>
        <v>117</v>
      </c>
      <c r="F683" s="140">
        <f t="shared" si="94"/>
        <v>101</v>
      </c>
      <c r="G683" s="140">
        <f t="shared" si="94"/>
        <v>146</v>
      </c>
      <c r="H683" s="140">
        <f t="shared" si="94"/>
        <v>166</v>
      </c>
      <c r="I683" s="207">
        <f t="shared" si="89"/>
        <v>413</v>
      </c>
      <c r="J683" s="140">
        <f t="shared" si="95"/>
        <v>262</v>
      </c>
      <c r="K683" s="140">
        <f t="shared" si="95"/>
        <v>109</v>
      </c>
      <c r="L683" s="140">
        <f t="shared" si="95"/>
        <v>126</v>
      </c>
      <c r="M683" s="207">
        <f t="shared" si="90"/>
        <v>497</v>
      </c>
      <c r="N683" s="140">
        <f t="shared" si="96"/>
        <v>80</v>
      </c>
      <c r="O683" s="140">
        <f t="shared" si="96"/>
        <v>115</v>
      </c>
      <c r="P683" s="140">
        <f t="shared" si="96"/>
        <v>119</v>
      </c>
      <c r="Q683" s="207">
        <f t="shared" si="91"/>
        <v>314</v>
      </c>
      <c r="R683" s="207">
        <f t="shared" si="92"/>
        <v>1341</v>
      </c>
    </row>
    <row r="684" spans="1:19" ht="15.75" customHeight="1" thickBot="1" x14ac:dyDescent="0.4">
      <c r="A684" s="174" t="s">
        <v>53</v>
      </c>
      <c r="B684" s="140">
        <f>+B87+B377+B418+B463+B517+B552+B600+B636</f>
        <v>0</v>
      </c>
      <c r="C684" s="140">
        <f>+C87+C377+C418+C463+C517+C552+C600+C636</f>
        <v>0</v>
      </c>
      <c r="D684" s="140">
        <f>+D87+D377+D418+D463+D517+D552+D600+D636</f>
        <v>0</v>
      </c>
      <c r="E684" s="207">
        <f t="shared" si="88"/>
        <v>0</v>
      </c>
      <c r="F684" s="140">
        <f>+F87+F377+F418+F463+F517+F552+F600+F636</f>
        <v>0</v>
      </c>
      <c r="G684" s="140">
        <f>+G87+G377+G418+G463+G517+G552+G600+G636</f>
        <v>0</v>
      </c>
      <c r="H684" s="140">
        <f>+H87+H377+H418+H463+H517+H552+H600+H636</f>
        <v>0</v>
      </c>
      <c r="I684" s="207">
        <f t="shared" si="89"/>
        <v>0</v>
      </c>
      <c r="J684" s="140">
        <f>+J87+J377+J418+J463+J517+J552+J600+J636</f>
        <v>0</v>
      </c>
      <c r="K684" s="140">
        <f>+K87+K377+K418+K463+K517+K552+K600+K636</f>
        <v>0</v>
      </c>
      <c r="L684" s="140">
        <f>+L87+L377+L418+L463+L517+L552+L600+L636</f>
        <v>0</v>
      </c>
      <c r="M684" s="207">
        <f t="shared" si="90"/>
        <v>0</v>
      </c>
      <c r="N684" s="140">
        <f>+N87+N377+N418+N463+N517+N552+N600+N636</f>
        <v>0</v>
      </c>
      <c r="O684" s="140">
        <f>+O87+O377+O418+O463+O517+O552+O600+O636</f>
        <v>0</v>
      </c>
      <c r="P684" s="140">
        <f>+P87+P377+P418+P463+P517+P552+P600+P636</f>
        <v>0</v>
      </c>
      <c r="Q684" s="207">
        <f t="shared" si="91"/>
        <v>0</v>
      </c>
      <c r="R684" s="207">
        <f t="shared" si="92"/>
        <v>0</v>
      </c>
    </row>
    <row r="685" spans="1:19" ht="15.75" customHeight="1" thickBot="1" x14ac:dyDescent="0.4">
      <c r="A685" s="209" t="s">
        <v>54</v>
      </c>
      <c r="B685" s="237">
        <f>SUM(B678:B684)</f>
        <v>26175</v>
      </c>
      <c r="C685" s="238">
        <f>SUM(C678:C684)</f>
        <v>22268</v>
      </c>
      <c r="D685" s="238">
        <f>SUM(D678:D684)</f>
        <v>31763</v>
      </c>
      <c r="E685" s="211">
        <f t="shared" si="88"/>
        <v>80206</v>
      </c>
      <c r="F685" s="238">
        <f>SUM(F678:F684)</f>
        <v>32342</v>
      </c>
      <c r="G685" s="238">
        <f>SUM(G678:G684)</f>
        <v>32854</v>
      </c>
      <c r="H685" s="238">
        <f>SUM(H678:H684)</f>
        <v>37262</v>
      </c>
      <c r="I685" s="211">
        <f t="shared" si="89"/>
        <v>102458</v>
      </c>
      <c r="J685" s="238">
        <f>SUM(J678:J684)</f>
        <v>49950</v>
      </c>
      <c r="K685" s="238">
        <f>SUM(K678:K684)</f>
        <v>50760</v>
      </c>
      <c r="L685" s="238">
        <f>SUM(L678:L684)</f>
        <v>50791</v>
      </c>
      <c r="M685" s="211">
        <f t="shared" si="90"/>
        <v>151501</v>
      </c>
      <c r="N685" s="238">
        <f>SUM(N678:N684)</f>
        <v>39648</v>
      </c>
      <c r="O685" s="238">
        <f>SUM(O678:O684)</f>
        <v>30495</v>
      </c>
      <c r="P685" s="238">
        <f>SUM(P678:P684)</f>
        <v>27853</v>
      </c>
      <c r="Q685" s="211">
        <f t="shared" si="91"/>
        <v>97996</v>
      </c>
      <c r="R685" s="211">
        <f t="shared" si="92"/>
        <v>432161</v>
      </c>
    </row>
    <row r="686" spans="1:19" ht="15.75" customHeight="1" x14ac:dyDescent="0.35">
      <c r="A686" s="174" t="s">
        <v>55</v>
      </c>
      <c r="B686" s="140"/>
      <c r="C686" s="140"/>
      <c r="D686" s="140"/>
      <c r="E686" s="207" t="s">
        <v>7</v>
      </c>
      <c r="F686" s="140"/>
      <c r="G686" s="140"/>
      <c r="H686" s="140"/>
      <c r="I686" s="207" t="s">
        <v>7</v>
      </c>
      <c r="J686" s="140"/>
      <c r="K686" s="140"/>
      <c r="L686" s="140"/>
      <c r="M686" s="207" t="s">
        <v>7</v>
      </c>
      <c r="N686" s="140"/>
      <c r="O686" s="140"/>
      <c r="P686" s="140"/>
      <c r="Q686" s="207" t="s">
        <v>7</v>
      </c>
      <c r="R686" s="207" t="s">
        <v>7</v>
      </c>
    </row>
    <row r="687" spans="1:19" ht="15.75" customHeight="1" x14ac:dyDescent="0.35">
      <c r="A687" s="174" t="s">
        <v>56</v>
      </c>
      <c r="B687" s="140">
        <f>SUM(B45:B45)+SUM(B176:B176)+SUM(B90:B90)+SUM(B296:B296)</f>
        <v>0</v>
      </c>
      <c r="C687" s="140">
        <f>SUM(C45:C45)+SUM(C176:C176)+SUM(C90:C90)+SUM(C296:C296)</f>
        <v>0</v>
      </c>
      <c r="D687" s="140">
        <f>SUM(D45:D45)+SUM(D176:D176)+SUM(D90:D90)+SUM(D296:D296)</f>
        <v>0</v>
      </c>
      <c r="E687" s="207">
        <f>SUM(B687:D687)</f>
        <v>0</v>
      </c>
      <c r="F687" s="140">
        <f>SUM(F45:F45)+SUM(F176:F176)+SUM(F90:F90)+SUM(F296:F296)</f>
        <v>0</v>
      </c>
      <c r="G687" s="140">
        <f>SUM(G45:G45)+SUM(G176:G176)+SUM(G90:G90)+SUM(G296:G296)</f>
        <v>0</v>
      </c>
      <c r="H687" s="140">
        <f>SUM(H45:H45)+SUM(H176:H176)+SUM(H90:H90)+SUM(H296:H296)</f>
        <v>0</v>
      </c>
      <c r="I687" s="207">
        <f>SUM(F687:H687)</f>
        <v>0</v>
      </c>
      <c r="J687" s="140">
        <f>SUM(J45:J45)+SUM(J176:J176)+SUM(J90:J90)+SUM(J296:J296)</f>
        <v>0</v>
      </c>
      <c r="K687" s="140">
        <f>SUM(K45:K45)+SUM(K176:K176)+SUM(K90:K90)+SUM(K296:K296)</f>
        <v>0</v>
      </c>
      <c r="L687" s="140">
        <f>SUM(L45:L45)+SUM(L176:L176)+SUM(L90:L90)+SUM(L296:L296)</f>
        <v>0</v>
      </c>
      <c r="M687" s="207">
        <f>SUM(J687:L687)</f>
        <v>0</v>
      </c>
      <c r="N687" s="140">
        <f>SUM(N45:N45)+SUM(N176:N176)+SUM(N90:N90)+SUM(N296:N296)</f>
        <v>0</v>
      </c>
      <c r="O687" s="140">
        <f>SUM(O45:O45)+SUM(O176:O176)+SUM(O90:O90)+SUM(O296:O296)</f>
        <v>0</v>
      </c>
      <c r="P687" s="140">
        <f>SUM(P45:P45)+SUM(P176:P176)+SUM(P90:P90)+SUM(P296:P296)</f>
        <v>0</v>
      </c>
      <c r="Q687" s="207">
        <f>SUM(N687:P687)</f>
        <v>0</v>
      </c>
      <c r="R687" s="207">
        <f>+E687+I687+M687+Q687</f>
        <v>0</v>
      </c>
    </row>
    <row r="688" spans="1:19" ht="15.75" customHeight="1" x14ac:dyDescent="0.35">
      <c r="A688" s="174" t="s">
        <v>57</v>
      </c>
      <c r="B688" s="140">
        <f>+SUM(B92:B93)+SUM(B177:B178)+SUM(B297:B305)+B381+SUM(B421:B423)+SUM(B466:B468)+SUM(B520:B520)+B555+B603+B639</f>
        <v>4329</v>
      </c>
      <c r="C688" s="140">
        <f>+SUM(C92:C93)+SUM(C177:C178)+SUM(C297:C305)+C381+SUM(C421:C423)+SUM(C466:C468)+SUM(C520:C520)+C555+C603+C639</f>
        <v>4392</v>
      </c>
      <c r="D688" s="140">
        <f>+SUM(D92:D93)+SUM(D177:D178)+SUM(D297:D305)+D381+SUM(D421:D423)+SUM(D466:D468)+SUM(D520:D520)+D555+D603+D639</f>
        <v>18848</v>
      </c>
      <c r="E688" s="207">
        <f>SUM(B688:D688)</f>
        <v>27569</v>
      </c>
      <c r="F688" s="140">
        <f>+SUM(F92:F93)+SUM(F177:F178)+SUM(F297:F305)+F381+SUM(F421:F423)+SUM(F466:F468)+SUM(F520:F520)+F555+F603+F639</f>
        <v>62858</v>
      </c>
      <c r="G688" s="140">
        <f>+SUM(G92:G93)+SUM(G177:G178)+SUM(G297:G305)+G381+SUM(G421:G423)+SUM(G466:G468)+SUM(G520:G520)+G555+G603+G639</f>
        <v>42955</v>
      </c>
      <c r="H688" s="140">
        <f>+SUM(H92:H93)+SUM(H177:H178)+SUM(H297:H305)+H381+SUM(H421:H423)+SUM(H466:H468)+SUM(H520:H520)+H555+H603+H639</f>
        <v>68589</v>
      </c>
      <c r="I688" s="207">
        <f>SUM(F688:H688)</f>
        <v>174402</v>
      </c>
      <c r="J688" s="140">
        <f>+SUM(J92:J93)+SUM(J177:J178)+SUM(J297:J305)+J381+SUM(J421:J423)+SUM(J466:J468)+SUM(J520:J520)+J555+J603+J639</f>
        <v>74617</v>
      </c>
      <c r="K688" s="140">
        <f>+SUM(K92:K93)+SUM(K177:K178)+SUM(K297:K305)+K381+SUM(K421:K423)+SUM(K466:K468)+SUM(K520:K520)+K555+K603+K639</f>
        <v>44432</v>
      </c>
      <c r="L688" s="140">
        <f>+SUM(L92:L93)+SUM(L177:L178)+SUM(L297:L305)+L381+SUM(L421:L423)+SUM(L466:L468)+SUM(L520:L520)+L555+L603+L639</f>
        <v>36922</v>
      </c>
      <c r="M688" s="207">
        <f>SUM(J688:L688)</f>
        <v>155971</v>
      </c>
      <c r="N688" s="140">
        <f>+SUM(N92:N93)+SUM(N177:N178)+SUM(N297:N305)+N381+SUM(N421:N423)+SUM(N466:N468)+SUM(N520:N520)+N555+N603+N639</f>
        <v>13317</v>
      </c>
      <c r="O688" s="140">
        <f>+SUM(O92:O93)+SUM(O177:O178)+SUM(O297:O305)+O381+SUM(O421:O423)+SUM(O466:O468)+SUM(O520:O520)+O555+O603+O639</f>
        <v>10818</v>
      </c>
      <c r="P688" s="140">
        <f>+SUM(P92:P93)+SUM(P177:P178)+SUM(P297:P305)+P381+SUM(P421:P423)+SUM(P466:P468)+SUM(P520:P520)+P555+P603+P639</f>
        <v>9711</v>
      </c>
      <c r="Q688" s="207">
        <f>SUM(N688:P688)</f>
        <v>33846</v>
      </c>
      <c r="R688" s="207">
        <f>+E688+I688+M688+Q688</f>
        <v>391788</v>
      </c>
    </row>
    <row r="689" spans="1:18" ht="15.75" customHeight="1" thickBot="1" x14ac:dyDescent="0.4">
      <c r="A689" s="174" t="s">
        <v>58</v>
      </c>
      <c r="B689" s="140">
        <f>+B94+B383+B425+B469+B521+B556+B604+B640</f>
        <v>0</v>
      </c>
      <c r="C689" s="140">
        <f>+C94+C383+C425+C469+C521+C556+C604+C640</f>
        <v>0</v>
      </c>
      <c r="D689" s="140">
        <f>+D94+D383+D425+D469+D521+D556+D604+D640</f>
        <v>0</v>
      </c>
      <c r="E689" s="207">
        <f>SUM(B689:D689)</f>
        <v>0</v>
      </c>
      <c r="F689" s="140">
        <f>+F94+F383+F425+F469+F521+F556+F604+F640</f>
        <v>0</v>
      </c>
      <c r="G689" s="140">
        <f>+G94+G383+G425+G469+G521+G556+G604+G640</f>
        <v>0</v>
      </c>
      <c r="H689" s="140">
        <f>+H94+H383+H425+H469+H521+H556+H604+H640</f>
        <v>0</v>
      </c>
      <c r="I689" s="207">
        <f>SUM(F689:H689)</f>
        <v>0</v>
      </c>
      <c r="J689" s="140">
        <f>+J94+J383+J425+J469+J521+J556+J604+J640</f>
        <v>0</v>
      </c>
      <c r="K689" s="140">
        <f>+K94+K383+K425+K469+K521+K556+K604+K640</f>
        <v>0</v>
      </c>
      <c r="L689" s="140">
        <f>+L94+L383+L425+L469+L521+L556+L604+L640</f>
        <v>0</v>
      </c>
      <c r="M689" s="207">
        <f>SUM(J689:L689)</f>
        <v>0</v>
      </c>
      <c r="N689" s="140">
        <f>+N94+N383+N425+N469+N521+N556+N604+N640</f>
        <v>0</v>
      </c>
      <c r="O689" s="140">
        <f>+O94+O383+O425+O469+O521+O556+O604+O640</f>
        <v>0</v>
      </c>
      <c r="P689" s="140">
        <f>+P94+P383+P425+P469+P521+P556+P604+P640</f>
        <v>0</v>
      </c>
      <c r="Q689" s="207">
        <f>SUM(N689:P689)</f>
        <v>0</v>
      </c>
      <c r="R689" s="207">
        <f>+E689+I689+M689+Q689</f>
        <v>0</v>
      </c>
    </row>
    <row r="690" spans="1:18" ht="15.75" customHeight="1" thickBot="1" x14ac:dyDescent="0.4">
      <c r="A690" s="209" t="s">
        <v>59</v>
      </c>
      <c r="B690" s="237">
        <f>SUM(B686:B689)</f>
        <v>4329</v>
      </c>
      <c r="C690" s="238">
        <f>SUM(C686:C689)</f>
        <v>4392</v>
      </c>
      <c r="D690" s="238">
        <f>SUM(D686:D689)</f>
        <v>18848</v>
      </c>
      <c r="E690" s="211">
        <f>SUM(B690:D690)</f>
        <v>27569</v>
      </c>
      <c r="F690" s="238">
        <f>SUM(F686:F689)</f>
        <v>62858</v>
      </c>
      <c r="G690" s="238">
        <f>SUM(G686:G689)</f>
        <v>42955</v>
      </c>
      <c r="H690" s="238">
        <f>SUM(H686:H689)</f>
        <v>68589</v>
      </c>
      <c r="I690" s="211">
        <f>SUM(F690:H690)</f>
        <v>174402</v>
      </c>
      <c r="J690" s="238">
        <f>SUM(J686:J689)</f>
        <v>74617</v>
      </c>
      <c r="K690" s="238">
        <f>SUM(K686:K689)</f>
        <v>44432</v>
      </c>
      <c r="L690" s="238">
        <f>SUM(L686:L689)</f>
        <v>36922</v>
      </c>
      <c r="M690" s="211">
        <f>SUM(J690:L690)</f>
        <v>155971</v>
      </c>
      <c r="N690" s="238">
        <f>SUM(N686:N689)</f>
        <v>13317</v>
      </c>
      <c r="O690" s="238">
        <f>SUM(O686:O689)</f>
        <v>10818</v>
      </c>
      <c r="P690" s="238">
        <f>SUM(P686:P689)</f>
        <v>9711</v>
      </c>
      <c r="Q690" s="211">
        <f>SUM(N690:P690)</f>
        <v>33846</v>
      </c>
      <c r="R690" s="211">
        <f>+E690+I690+M690+Q690</f>
        <v>391788</v>
      </c>
    </row>
    <row r="691" spans="1:18" ht="15.75" customHeight="1" x14ac:dyDescent="0.35">
      <c r="A691" s="174" t="s">
        <v>60</v>
      </c>
      <c r="B691" s="140"/>
      <c r="C691" s="140"/>
      <c r="D691" s="140"/>
      <c r="E691" s="207" t="s">
        <v>7</v>
      </c>
      <c r="F691" s="140"/>
      <c r="G691" s="140"/>
      <c r="H691" s="140"/>
      <c r="I691" s="207" t="s">
        <v>7</v>
      </c>
      <c r="J691" s="140"/>
      <c r="K691" s="140"/>
      <c r="L691" s="140"/>
      <c r="M691" s="207" t="s">
        <v>7</v>
      </c>
      <c r="N691" s="140"/>
      <c r="O691" s="140"/>
      <c r="P691" s="140"/>
      <c r="Q691" s="207" t="s">
        <v>7</v>
      </c>
      <c r="R691" s="207" t="s">
        <v>7</v>
      </c>
    </row>
    <row r="692" spans="1:18" ht="15.75" customHeight="1" x14ac:dyDescent="0.35">
      <c r="A692" s="174" t="s">
        <v>61</v>
      </c>
      <c r="B692" s="140">
        <f>+B97+B182+SUM(B309:B311)+B386+B428+B472+B524+SUM(B559:B560)+B607+SUM(B643:B644)</f>
        <v>2496</v>
      </c>
      <c r="C692" s="140">
        <f>+C97+C182+SUM(C309:C311)+C386+C428+C472+C524+SUM(C559:C560)+C607+SUM(C643:C644)</f>
        <v>2193</v>
      </c>
      <c r="D692" s="140">
        <f>+D97+D182+SUM(D309:D311)+D386+D428+D472+D524+SUM(D559:D560)+D607+SUM(D643:D644)</f>
        <v>10538</v>
      </c>
      <c r="E692" s="207">
        <f>SUM(B692:D692)</f>
        <v>15227</v>
      </c>
      <c r="F692" s="140">
        <f>+F97+F182+SUM(F309:F311)+F386+F428+F472+F524+SUM(F559:F560)+F607+SUM(F643:F644)</f>
        <v>11924</v>
      </c>
      <c r="G692" s="140">
        <f>+G97+G182+SUM(G309:G311)+G386+G428+G472+G524+SUM(G559:G560)+G607+SUM(G643:G644)</f>
        <v>12299</v>
      </c>
      <c r="H692" s="140">
        <f>+H97+H182+SUM(H309:H311)+H386+H428+H472+H524+SUM(H559:H560)+H607+SUM(H643:H644)</f>
        <v>13344</v>
      </c>
      <c r="I692" s="207">
        <f>SUM(F692:H692)</f>
        <v>37567</v>
      </c>
      <c r="J692" s="140">
        <f>+J97+J182+SUM(J309:J311)+J386+J428+J472+J524+SUM(J559:J560)+J607+SUM(J643:J644)</f>
        <v>14498</v>
      </c>
      <c r="K692" s="140">
        <f>+K97+K182+SUM(K309:K311)+K386+K428+K472+K524+SUM(K559:K560)+K607+SUM(K643:K644)</f>
        <v>9710</v>
      </c>
      <c r="L692" s="140">
        <f>+L97+L182+SUM(L309:L311)+L386+L428+L472+L524+SUM(L559:L560)+L607+SUM(L643:L644)</f>
        <v>8933</v>
      </c>
      <c r="M692" s="207">
        <f>SUM(J692:L692)</f>
        <v>33141</v>
      </c>
      <c r="N692" s="140">
        <f>+N97+N182+SUM(N309:N311)+N386+N428+N472+N524+SUM(N559:N560)+N607+SUM(N643:N644)</f>
        <v>4173</v>
      </c>
      <c r="O692" s="140">
        <f>+O97+O182+SUM(O309:O311)+O386+O428+O472+O524+SUM(O559:O560)+O607+SUM(O643:O644)</f>
        <v>2646</v>
      </c>
      <c r="P692" s="140">
        <f>+P97+P182+SUM(P309:P311)+P386+P428+P472+P524+SUM(P559:P560)+P607+SUM(P643:P644)</f>
        <v>3174</v>
      </c>
      <c r="Q692" s="207">
        <f>SUM(N692:P692)</f>
        <v>9993</v>
      </c>
      <c r="R692" s="207">
        <f>+E692+I692+M692+Q692</f>
        <v>95928</v>
      </c>
    </row>
    <row r="693" spans="1:18" ht="15.75" customHeight="1" thickBot="1" x14ac:dyDescent="0.4">
      <c r="A693" s="174" t="s">
        <v>62</v>
      </c>
      <c r="B693" s="140">
        <f>+SUM(B99:B102)+SUM(B183:B215)+SUM(B312:B328)+B474+SUM(B645:B647)</f>
        <v>12167</v>
      </c>
      <c r="C693" s="140">
        <f>+SUM(C99:C102)+SUM(C183:C215)+SUM(C312:C328)+C474+SUM(C645:C647)</f>
        <v>13677</v>
      </c>
      <c r="D693" s="140">
        <f>+SUM(D99:D102)+SUM(D183:D215)+SUM(D312:D328)+D474+SUM(D645:D647)</f>
        <v>20764</v>
      </c>
      <c r="E693" s="207">
        <f>SUM(B693:D693)</f>
        <v>46608</v>
      </c>
      <c r="F693" s="140">
        <f>+SUM(F99:F102)+SUM(F183:F215)+SUM(F312:F328)+F474+SUM(F645:F647)</f>
        <v>24406</v>
      </c>
      <c r="G693" s="140">
        <f>+SUM(G99:G102)+SUM(G183:G215)+SUM(G312:G328)+G474+SUM(G645:G647)</f>
        <v>40670</v>
      </c>
      <c r="H693" s="140">
        <f>+SUM(H99:H102)+SUM(H183:H215)+SUM(H312:H328)+H474+SUM(H645:H647)</f>
        <v>37553</v>
      </c>
      <c r="I693" s="207">
        <f>SUM(F693:H693)</f>
        <v>102629</v>
      </c>
      <c r="J693" s="140">
        <f>+SUM(J99:J102)+SUM(J183:J215)+SUM(J312:J328)+J474+SUM(J645:J647)</f>
        <v>24819</v>
      </c>
      <c r="K693" s="140">
        <f>+SUM(K99:K102)+SUM(K183:K215)+SUM(K312:K328)+K474+SUM(K645:K647)</f>
        <v>25786</v>
      </c>
      <c r="L693" s="140">
        <f>+SUM(L99:L102)+SUM(L183:L215)+SUM(L312:L328)+L474+SUM(L645:L647)</f>
        <v>21669</v>
      </c>
      <c r="M693" s="207">
        <f>SUM(J693:L693)</f>
        <v>72274</v>
      </c>
      <c r="N693" s="140">
        <f>+SUM(N99:N102)+SUM(N183:N215)+SUM(N312:N328)+N474+SUM(N645:N647)</f>
        <v>6436</v>
      </c>
      <c r="O693" s="140">
        <f>+SUM(O99:O102)+SUM(O183:O215)+SUM(O312:O328)+O474+SUM(O645:O647)</f>
        <v>4894</v>
      </c>
      <c r="P693" s="140">
        <f>+SUM(P99:P102)+SUM(P183:P215)+SUM(P312:P328)+P474+SUM(P645:P647)</f>
        <v>4050</v>
      </c>
      <c r="Q693" s="207">
        <f>SUM(N693:P693)</f>
        <v>15380</v>
      </c>
      <c r="R693" s="207">
        <f>+E693+I693+M693+Q693</f>
        <v>236891</v>
      </c>
    </row>
    <row r="694" spans="1:18" ht="15.75" customHeight="1" thickBot="1" x14ac:dyDescent="0.4">
      <c r="A694" s="209" t="s">
        <v>63</v>
      </c>
      <c r="B694" s="237">
        <f>SUM(B691:B693)</f>
        <v>14663</v>
      </c>
      <c r="C694" s="238">
        <f>SUM(C691:C693)</f>
        <v>15870</v>
      </c>
      <c r="D694" s="238">
        <f>SUM(D691:D693)</f>
        <v>31302</v>
      </c>
      <c r="E694" s="211">
        <f>SUM(B694:D694)</f>
        <v>61835</v>
      </c>
      <c r="F694" s="238">
        <f>SUM(F691:F693)</f>
        <v>36330</v>
      </c>
      <c r="G694" s="238">
        <f>SUM(G691:G693)</f>
        <v>52969</v>
      </c>
      <c r="H694" s="238">
        <f>SUM(H691:H693)</f>
        <v>50897</v>
      </c>
      <c r="I694" s="211">
        <f>SUM(F694:H694)</f>
        <v>140196</v>
      </c>
      <c r="J694" s="238">
        <f>SUM(J691:J693)</f>
        <v>39317</v>
      </c>
      <c r="K694" s="238">
        <f>SUM(K691:K693)</f>
        <v>35496</v>
      </c>
      <c r="L694" s="238">
        <f>SUM(L691:L693)</f>
        <v>30602</v>
      </c>
      <c r="M694" s="211">
        <f>SUM(J694:L694)</f>
        <v>105415</v>
      </c>
      <c r="N694" s="238">
        <f>SUM(N691:N693)</f>
        <v>10609</v>
      </c>
      <c r="O694" s="238">
        <f>SUM(O691:O693)</f>
        <v>7540</v>
      </c>
      <c r="P694" s="238">
        <f>SUM(P691:P693)</f>
        <v>7224</v>
      </c>
      <c r="Q694" s="211">
        <f>SUM(N694:P694)</f>
        <v>25373</v>
      </c>
      <c r="R694" s="211">
        <f>+E694+I694+M694+Q694</f>
        <v>332819</v>
      </c>
    </row>
    <row r="695" spans="1:18" ht="15.75" customHeight="1" x14ac:dyDescent="0.35">
      <c r="A695" s="174" t="s">
        <v>64</v>
      </c>
      <c r="B695" s="140"/>
      <c r="C695" s="140"/>
      <c r="D695" s="140"/>
      <c r="E695" s="207" t="s">
        <v>7</v>
      </c>
      <c r="F695" s="140"/>
      <c r="G695" s="140"/>
      <c r="H695" s="140"/>
      <c r="I695" s="207" t="s">
        <v>7</v>
      </c>
      <c r="J695" s="140"/>
      <c r="K695" s="140"/>
      <c r="L695" s="140"/>
      <c r="M695" s="207" t="s">
        <v>7</v>
      </c>
      <c r="N695" s="140"/>
      <c r="O695" s="140"/>
      <c r="P695" s="140"/>
      <c r="Q695" s="207" t="s">
        <v>7</v>
      </c>
      <c r="R695" s="207" t="s">
        <v>7</v>
      </c>
    </row>
    <row r="696" spans="1:18" ht="15.75" customHeight="1" x14ac:dyDescent="0.35">
      <c r="A696" s="174" t="s">
        <v>65</v>
      </c>
      <c r="B696" s="140">
        <f>+B55+SUM(B105:B113)+SUM(B218:B223)+SUM(B331:B332)+SUM(B390:B390)+B432+SUM(B477:B479)+SUM(B564:B564)+B611+SUM(B650:B651)</f>
        <v>6143</v>
      </c>
      <c r="C696" s="140">
        <f>+C55+SUM(C105:C113)+SUM(C218:C223)+SUM(C331:C332)+SUM(C390:C390)+C432+SUM(C477:C479)+SUM(C564:C564)+C611+SUM(C650:C651)</f>
        <v>9619</v>
      </c>
      <c r="D696" s="140">
        <f>+D55+SUM(D105:D113)+SUM(D218:D223)+SUM(D331:D332)+SUM(D390:D390)+D432+SUM(D477:D479)+SUM(D564:D564)+D611+SUM(D650:D651)</f>
        <v>7874</v>
      </c>
      <c r="E696" s="207">
        <f t="shared" ref="E696:E704" si="97">SUM(B696:D696)</f>
        <v>23636</v>
      </c>
      <c r="F696" s="140">
        <f>+F55+SUM(F105:F113)+SUM(F218:F223)+SUM(F331:F332)+SUM(F390:F390)+F432+SUM(F477:F479)+SUM(F564:F564)+F611+SUM(F650:F651)</f>
        <v>5232</v>
      </c>
      <c r="G696" s="140">
        <f>+G55+SUM(G105:G113)+SUM(G218:G223)+SUM(G331:G332)+SUM(G390:G390)+G432+SUM(G477:G479)+SUM(G564:G564)+G611+SUM(G650:G651)</f>
        <v>13167</v>
      </c>
      <c r="H696" s="140">
        <f>+H55+SUM(H105:H113)+SUM(H218:H223)+SUM(H331:H332)+SUM(H390:H390)+H432+SUM(H477:H479)+SUM(H564:H564)+H611+SUM(H650:H651)</f>
        <v>5600</v>
      </c>
      <c r="I696" s="207">
        <f t="shared" ref="I696:I704" si="98">SUM(F696:H696)</f>
        <v>23999</v>
      </c>
      <c r="J696" s="140">
        <f>+J55+SUM(J105:J113)+SUM(J218:J223)+SUM(J331:J332)+SUM(J390:J390)+J432+SUM(J477:J479)+SUM(J564:J564)+J611+SUM(J650:J651)</f>
        <v>7455</v>
      </c>
      <c r="K696" s="140">
        <f>+K55+SUM(K105:K113)+SUM(K218:K223)+SUM(K331:K332)+SUM(K390:K390)+K432+SUM(K477:K479)+SUM(K564:K564)+K611+SUM(K650:K651)</f>
        <v>25606</v>
      </c>
      <c r="L696" s="140">
        <f>+L55+SUM(L105:L113)+SUM(L218:L223)+SUM(L331:L332)+SUM(L390:L390)+L432+SUM(L477:L479)+SUM(L564:L564)+L611+SUM(L650:L651)</f>
        <v>14316</v>
      </c>
      <c r="M696" s="207">
        <f t="shared" ref="M696:M704" si="99">SUM(J696:L696)</f>
        <v>47377</v>
      </c>
      <c r="N696" s="140">
        <f>+N55+SUM(N105:N113)+SUM(N218:N223)+SUM(N331:N332)+SUM(N390:N390)+N432+SUM(N477:N479)+SUM(N564:N564)+N611+SUM(N650:N651)</f>
        <v>10758</v>
      </c>
      <c r="O696" s="140">
        <f>+O55+SUM(O105:O113)+SUM(O218:O223)+SUM(O331:O332)+SUM(O390:O390)+O432+SUM(O477:O479)+SUM(O564:O564)+O611+SUM(O650:O651)</f>
        <v>7519</v>
      </c>
      <c r="P696" s="140">
        <f>+P55+SUM(P105:P113)+SUM(P218:P223)+SUM(P331:P332)+SUM(P390:P390)+P432+SUM(P477:P479)+SUM(P564:P564)+P611+SUM(P650:P651)</f>
        <v>26548</v>
      </c>
      <c r="Q696" s="207">
        <f t="shared" ref="Q696:Q704" si="100">SUM(N696:P696)</f>
        <v>44825</v>
      </c>
      <c r="R696" s="207">
        <f t="shared" ref="R696:R704" si="101">+E696+I696+M696+Q696</f>
        <v>139837</v>
      </c>
    </row>
    <row r="697" spans="1:18" ht="15.75" customHeight="1" x14ac:dyDescent="0.35">
      <c r="A697" s="174" t="s">
        <v>67</v>
      </c>
      <c r="B697" s="140">
        <f>SUM(B56:B57)+SUM(B114:B115)+SUM(B224:B225)+B227+B229+B230+SUM(B333:B335)+B391+B433+SUM(B480:B481)+B483+SUM(B529:B530)+B566+B568+B612+SUM(B652:B653)</f>
        <v>4564</v>
      </c>
      <c r="C697" s="140">
        <f>SUM(C56:C57)+SUM(C114:C115)+SUM(C224:C225)+C227+C229+C230+SUM(C333:C335)+C391+C433+SUM(C480:C481)+C483+SUM(C529:C530)+C566+C568+C612+SUM(C652:C653)</f>
        <v>4720</v>
      </c>
      <c r="D697" s="140">
        <f>SUM(D56:D57)+SUM(D114:D115)+SUM(D224:D225)+D227+D229+D230+SUM(D333:D335)+D391+D433+SUM(D480:D481)+D483+SUM(D529:D530)+D566+D568+D612+SUM(D652:D653)</f>
        <v>11532</v>
      </c>
      <c r="E697" s="207">
        <f t="shared" si="97"/>
        <v>20816</v>
      </c>
      <c r="F697" s="140">
        <f>SUM(F56:F57)+SUM(F114:F115)+SUM(F224:F225)+F227+F229+F230+SUM(F333:F335)+F391+F433+SUM(F480:F481)+F483+SUM(F529:F530)+F566+F568+F612+SUM(F652:F653)</f>
        <v>11538</v>
      </c>
      <c r="G697" s="140">
        <f>SUM(G56:G57)+SUM(G114:G115)+SUM(G224:G225)+G227+G229+G230+SUM(G333:G335)+G391+G433+SUM(G480:G481)+G483+SUM(G529:G530)+G566+G568+G612+SUM(G652:G653)</f>
        <v>17888</v>
      </c>
      <c r="H697" s="140">
        <f>SUM(H56:H57)+SUM(H114:H115)+SUM(H224:H225)+H227+H229+H230+SUM(H333:H335)+H391+H433+SUM(H480:H481)+H483+SUM(H529:H530)+H566+H568+H612+SUM(H652:H653)</f>
        <v>23199</v>
      </c>
      <c r="I697" s="207">
        <f t="shared" si="98"/>
        <v>52625</v>
      </c>
      <c r="J697" s="140">
        <f>SUM(J56:J57)+SUM(J114:J115)+SUM(J224:J225)+J227+J229+J230+SUM(J333:J335)+J391+J433+SUM(J480:J481)+J483+SUM(J529:J530)+J566+J568+J612+SUM(J652:J653)</f>
        <v>22042</v>
      </c>
      <c r="K697" s="140">
        <f>SUM(K56:K57)+SUM(K114:K115)+SUM(K224:K225)+K227+K229+K230+SUM(K333:K335)+K391+K433+SUM(K480:K481)+K483+SUM(K529:K530)+K566+K568+K612+SUM(K652:K653)</f>
        <v>6585</v>
      </c>
      <c r="L697" s="140">
        <f>SUM(L56:L57)+SUM(L114:L115)+SUM(L224:L225)+L227+L229+L230+SUM(L333:L335)+L391+L433+SUM(L480:L481)+L483+SUM(L529:L530)+L566+L568+L612+SUM(L652:L653)</f>
        <v>18074</v>
      </c>
      <c r="M697" s="207">
        <f t="shared" si="99"/>
        <v>46701</v>
      </c>
      <c r="N697" s="140">
        <f>SUM(N56:N57)+SUM(N114:N115)+SUM(N224:N225)+N227+N229+N230+SUM(N333:N335)+N391+N433+SUM(N480:N481)+N483+SUM(N529:N530)+N566+N568+N612+SUM(N652:N653)</f>
        <v>20476</v>
      </c>
      <c r="O697" s="140">
        <f>SUM(O56:O57)+SUM(O114:O115)+SUM(O224:O225)+O227+O229+O230+SUM(O333:O335)+O391+O433+SUM(O480:O481)+O483+SUM(O529:O530)+O566+O568+O612+SUM(O652:O653)</f>
        <v>9528</v>
      </c>
      <c r="P697" s="140">
        <f>SUM(P56:P57)+SUM(P114:P115)+SUM(P224:P225)+P227+P229+P230+SUM(P333:P335)+P391+P433+SUM(P480:P481)+P483+SUM(P529:P530)+P566+P568+P612+SUM(P652:P653)</f>
        <v>2427</v>
      </c>
      <c r="Q697" s="207">
        <f t="shared" si="100"/>
        <v>32431</v>
      </c>
      <c r="R697" s="207">
        <f t="shared" si="101"/>
        <v>152573</v>
      </c>
    </row>
    <row r="698" spans="1:18" ht="15.75" customHeight="1" x14ac:dyDescent="0.35">
      <c r="A698" s="222" t="s">
        <v>669</v>
      </c>
      <c r="B698" s="140">
        <f>B116+B226+B228+B482+B484+B567+B569+B654</f>
        <v>0</v>
      </c>
      <c r="C698" s="140">
        <f>C116+C226+C228+C482+C484+C567+C569+C654</f>
        <v>0</v>
      </c>
      <c r="D698" s="140">
        <f>D116+D226+D228+D482+D484+D567+D569+D654</f>
        <v>0</v>
      </c>
      <c r="E698" s="207">
        <f t="shared" si="97"/>
        <v>0</v>
      </c>
      <c r="F698" s="140">
        <f>F116+F226+F228+F482+F484+F567+F569+F654</f>
        <v>0</v>
      </c>
      <c r="G698" s="140">
        <f>G116+G226+G228+G482+G484+G567+G569+G654</f>
        <v>0</v>
      </c>
      <c r="H698" s="140">
        <f>H116+H226+H228+H482+H484+H567+H569+H654</f>
        <v>0</v>
      </c>
      <c r="I698" s="207">
        <f t="shared" si="98"/>
        <v>0</v>
      </c>
      <c r="J698" s="140">
        <f>J116+J226+J228+J482+J484+J567+J569+J654</f>
        <v>0</v>
      </c>
      <c r="K698" s="140">
        <f>K116+K226+K228+K482+K484+K567+K569+K654</f>
        <v>0</v>
      </c>
      <c r="L698" s="140">
        <f>L116+L226+L228+L482+L484+L567+L569+L654</f>
        <v>3783</v>
      </c>
      <c r="M698" s="207">
        <f t="shared" si="99"/>
        <v>3783</v>
      </c>
      <c r="N698" s="140">
        <f>N116+N226+N228+N482+N484+N567+N569+N654</f>
        <v>1773</v>
      </c>
      <c r="O698" s="140">
        <f>O116+O226+O228+O482+O484+O567+O569+O654</f>
        <v>11693</v>
      </c>
      <c r="P698" s="140">
        <f>P116+P226+P228+P482+P484+P567+P569+P654</f>
        <v>1751</v>
      </c>
      <c r="Q698" s="207">
        <f t="shared" si="100"/>
        <v>15217</v>
      </c>
      <c r="R698" s="207">
        <f t="shared" si="101"/>
        <v>19000</v>
      </c>
    </row>
    <row r="699" spans="1:18" ht="15.75" customHeight="1" x14ac:dyDescent="0.35">
      <c r="A699" s="174" t="s">
        <v>69</v>
      </c>
      <c r="B699" s="140">
        <f>+SUM(B117:B118)+SUM(B231:B231)+SUM(B336:B347)+B393+SUM(B434:B435)+SUM(B485:B485)+SUM(B531:B531)+B570+B655</f>
        <v>0</v>
      </c>
      <c r="C699" s="140">
        <f>+SUM(C117:C118)+SUM(C231:C231)+SUM(C336:C347)+C393+SUM(C434:C435)+SUM(C485:C485)+SUM(C531:C531)+C570+C655</f>
        <v>0</v>
      </c>
      <c r="D699" s="140">
        <f>+SUM(D117:D118)+SUM(D231:D231)+SUM(D336:D347)+D393+SUM(D434:D435)+SUM(D485:D485)+SUM(D531:D531)+D570+D655</f>
        <v>0</v>
      </c>
      <c r="E699" s="207">
        <f t="shared" si="97"/>
        <v>0</v>
      </c>
      <c r="F699" s="140">
        <f>+SUM(F117:F118)+SUM(F231:F231)+SUM(F336:F347)+F393+SUM(F434:F435)+SUM(F485:F485)+SUM(F531:F531)+F570+F655</f>
        <v>2002</v>
      </c>
      <c r="G699" s="140">
        <f>+SUM(G117:G118)+SUM(G231:G231)+SUM(G336:G347)+G393+SUM(G434:G435)+SUM(G485:G485)+SUM(G531:G531)+G570+G655</f>
        <v>218</v>
      </c>
      <c r="H699" s="140">
        <f>+SUM(H117:H118)+SUM(H231:H231)+SUM(H336:H347)+H393+SUM(H434:H435)+SUM(H485:H485)+SUM(H531:H531)+H570+H655</f>
        <v>19140</v>
      </c>
      <c r="I699" s="207">
        <f t="shared" si="98"/>
        <v>21360</v>
      </c>
      <c r="J699" s="140">
        <f>+SUM(J117:J118)+SUM(J231:J231)+SUM(J336:J347)+J393+SUM(J434:J435)+SUM(J485:J485)+SUM(J531:J531)+J570+J655</f>
        <v>22230</v>
      </c>
      <c r="K699" s="140">
        <f>+SUM(K117:K118)+SUM(K231:K231)+SUM(K336:K347)+K393+SUM(K434:K435)+SUM(K485:K485)+SUM(K531:K531)+K570+K655</f>
        <v>15011</v>
      </c>
      <c r="L699" s="140">
        <f>+SUM(L117:L118)+SUM(L231:L231)+SUM(L336:L347)+L393+SUM(L434:L435)+SUM(L485:L485)+SUM(L531:L531)+L570+L655</f>
        <v>8306</v>
      </c>
      <c r="M699" s="207">
        <f t="shared" si="99"/>
        <v>45547</v>
      </c>
      <c r="N699" s="140">
        <f>+SUM(N117:N118)+SUM(N231:N231)+SUM(N336:N347)+N393+SUM(N434:N435)+SUM(N485:N485)+SUM(N531:N531)+N570+N655</f>
        <v>8558</v>
      </c>
      <c r="O699" s="140">
        <f>+SUM(O117:O118)+SUM(O231:O231)+SUM(O336:O347)+O393+SUM(O434:O435)+SUM(O485:O485)+SUM(O531:O531)+O570+O655</f>
        <v>2768</v>
      </c>
      <c r="P699" s="140">
        <f>+SUM(P117:P118)+SUM(P231:P231)+SUM(P336:P347)+P393+SUM(P434:P435)+SUM(P485:P485)+SUM(P531:P531)+P570+P655</f>
        <v>4349</v>
      </c>
      <c r="Q699" s="207">
        <f t="shared" si="100"/>
        <v>15675</v>
      </c>
      <c r="R699" s="207">
        <f t="shared" si="101"/>
        <v>82582</v>
      </c>
    </row>
    <row r="700" spans="1:18" ht="15.75" customHeight="1" x14ac:dyDescent="0.35">
      <c r="A700" s="174" t="s">
        <v>70</v>
      </c>
      <c r="B700" s="140">
        <f>SUM(B119:B120)+SUM(B232:B232)+B349+B351+B353+B355+SUM(B395:B396)+B437+B438+B486+B487+B532+B571+B614+B656</f>
        <v>800</v>
      </c>
      <c r="C700" s="140">
        <f>SUM(C119:C120)+SUM(C232:C232)+C349+C351+C353+C355+SUM(C395:C396)+C437+C438+C486+C487+C532+C571+C614+C656</f>
        <v>0</v>
      </c>
      <c r="D700" s="140">
        <f>SUM(D119:D120)+SUM(D232:D232)+D349+D351+D353+D355+SUM(D395:D396)+D437+D438+D486+D487+D532+D571+D614+D656</f>
        <v>2500</v>
      </c>
      <c r="E700" s="207">
        <f t="shared" si="97"/>
        <v>3300</v>
      </c>
      <c r="F700" s="140">
        <f>SUM(F119:F120)+SUM(F232:F232)+F349+F351+F353+F355+SUM(F395:F396)+F437+F438+F486+F487+F532+F571+F614+F656</f>
        <v>3630</v>
      </c>
      <c r="G700" s="140">
        <f>SUM(G119:G120)+SUM(G232:G232)+G349+G351+G353+G355+SUM(G395:G396)+G437+G438+G486+G487+G532+G571+G614+G656</f>
        <v>5066</v>
      </c>
      <c r="H700" s="140">
        <f>SUM(H119:H120)+SUM(H232:H232)+H349+H351+H353+H355+SUM(H395:H396)+H437+H438+H486+H487+H532+H571+H614+H656</f>
        <v>1492</v>
      </c>
      <c r="I700" s="207">
        <f t="shared" si="98"/>
        <v>10188</v>
      </c>
      <c r="J700" s="140">
        <f>SUM(J119:J120)+SUM(J232:J232)+J349+J351+J353+J355+SUM(J395:J396)+J437+J438+J486+J487+J532+J571+J614+J656</f>
        <v>1215</v>
      </c>
      <c r="K700" s="140">
        <f>SUM(K119:K120)+SUM(K232:K232)+K349+K351+K353+K355+SUM(K395:K396)+K437+K438+K486+K487+K532+K571+K614+K656</f>
        <v>13558</v>
      </c>
      <c r="L700" s="140">
        <f>SUM(L119:L120)+SUM(L232:L232)+L349+L351+L353+L355+SUM(L395:L396)+L437+L438+L486+L487+L532+L571+L614+L656</f>
        <v>4760</v>
      </c>
      <c r="M700" s="207">
        <f t="shared" si="99"/>
        <v>19533</v>
      </c>
      <c r="N700" s="140">
        <f>SUM(N119:N120)+SUM(N232:N232)+N349+N351+N353+N355+SUM(N395:N396)+N437+N438+N486+N487+N532+N571+N614+N656</f>
        <v>1300</v>
      </c>
      <c r="O700" s="140">
        <f>SUM(O119:O120)+SUM(O232:O232)+O349+O351+O353+O355+SUM(O395:O396)+O437+O438+O486+O487+O532+O571+O614+O656</f>
        <v>1902</v>
      </c>
      <c r="P700" s="140">
        <f>SUM(P119:P120)+SUM(P232:P232)+P349+P351+P353+P355+SUM(P395:P396)+P437+P438+P486+P487+P532+P571+P614+P656</f>
        <v>3916</v>
      </c>
      <c r="Q700" s="207">
        <f t="shared" si="100"/>
        <v>7118</v>
      </c>
      <c r="R700" s="207">
        <f t="shared" si="101"/>
        <v>40139</v>
      </c>
    </row>
    <row r="701" spans="1:18" ht="15.75" customHeight="1" thickBot="1" x14ac:dyDescent="0.4">
      <c r="A701" s="222" t="s">
        <v>670</v>
      </c>
      <c r="B701" s="140">
        <f>+B350+B352+B354+B397</f>
        <v>0</v>
      </c>
      <c r="C701" s="140">
        <f>+C350+C352+C354+C397</f>
        <v>0</v>
      </c>
      <c r="D701" s="140">
        <f>+D350+D352+D354+D397</f>
        <v>0</v>
      </c>
      <c r="E701" s="207">
        <f t="shared" si="97"/>
        <v>0</v>
      </c>
      <c r="F701" s="140">
        <f>+F350+F352+F354+F397</f>
        <v>0</v>
      </c>
      <c r="G701" s="140">
        <f>+G350+G352+G354+G397</f>
        <v>0</v>
      </c>
      <c r="H701" s="140">
        <f>+H350+H352+H354+H397</f>
        <v>0</v>
      </c>
      <c r="I701" s="207">
        <f t="shared" si="98"/>
        <v>0</v>
      </c>
      <c r="J701" s="140">
        <f>+J350+J352+J354+J397</f>
        <v>0</v>
      </c>
      <c r="K701" s="140">
        <f>+K350+K352+K354+K397</f>
        <v>0</v>
      </c>
      <c r="L701" s="140">
        <f>+L350+L352+L354+L397</f>
        <v>0</v>
      </c>
      <c r="M701" s="207">
        <f t="shared" si="99"/>
        <v>0</v>
      </c>
      <c r="N701" s="140">
        <f>+N350+N352+N354+N397</f>
        <v>0</v>
      </c>
      <c r="O701" s="140">
        <f>+O350+O352+O354+O397</f>
        <v>0</v>
      </c>
      <c r="P701" s="140">
        <f>+P350+P352+P354+P397</f>
        <v>0</v>
      </c>
      <c r="Q701" s="207">
        <f t="shared" si="100"/>
        <v>0</v>
      </c>
      <c r="R701" s="207">
        <f t="shared" si="101"/>
        <v>0</v>
      </c>
    </row>
    <row r="702" spans="1:18" ht="15.75" customHeight="1" thickBot="1" x14ac:dyDescent="0.4">
      <c r="A702" s="209" t="s">
        <v>71</v>
      </c>
      <c r="B702" s="276">
        <f>SUM(B699:B701)</f>
        <v>800</v>
      </c>
      <c r="C702" s="276">
        <f>SUM(C699:C701)</f>
        <v>0</v>
      </c>
      <c r="D702" s="276">
        <f>SUM(D699:D701)</f>
        <v>2500</v>
      </c>
      <c r="E702" s="212">
        <f t="shared" si="97"/>
        <v>3300</v>
      </c>
      <c r="F702" s="276">
        <f>SUM(F699:F701)</f>
        <v>5632</v>
      </c>
      <c r="G702" s="276">
        <f>SUM(G699:G701)</f>
        <v>5284</v>
      </c>
      <c r="H702" s="276">
        <f>SUM(H699:H701)</f>
        <v>20632</v>
      </c>
      <c r="I702" s="212">
        <f t="shared" si="98"/>
        <v>31548</v>
      </c>
      <c r="J702" s="276">
        <f>SUM(J699:J701)</f>
        <v>23445</v>
      </c>
      <c r="K702" s="276">
        <f>SUM(K699:K701)</f>
        <v>28569</v>
      </c>
      <c r="L702" s="276">
        <f>SUM(L699:L701)</f>
        <v>13066</v>
      </c>
      <c r="M702" s="212">
        <f t="shared" si="99"/>
        <v>65080</v>
      </c>
      <c r="N702" s="276">
        <f>SUM(N699:N701)</f>
        <v>9858</v>
      </c>
      <c r="O702" s="276">
        <f>SUM(O699:O701)</f>
        <v>4670</v>
      </c>
      <c r="P702" s="276">
        <f>SUM(P699:P701)</f>
        <v>8265</v>
      </c>
      <c r="Q702" s="212">
        <f t="shared" si="100"/>
        <v>22793</v>
      </c>
      <c r="R702" s="211">
        <f t="shared" si="101"/>
        <v>122721</v>
      </c>
    </row>
    <row r="703" spans="1:18" ht="15.75" customHeight="1" thickBot="1" x14ac:dyDescent="0.4">
      <c r="A703" s="259" t="s">
        <v>72</v>
      </c>
      <c r="B703" s="237">
        <f>SUM(B695:B701)</f>
        <v>11507</v>
      </c>
      <c r="C703" s="238">
        <f>SUM(C695:C701)</f>
        <v>14339</v>
      </c>
      <c r="D703" s="260">
        <f>SUM(D695:D701)</f>
        <v>21906</v>
      </c>
      <c r="E703" s="277">
        <f t="shared" si="97"/>
        <v>47752</v>
      </c>
      <c r="F703" s="237">
        <f>SUM(F695:F701)</f>
        <v>22402</v>
      </c>
      <c r="G703" s="238">
        <f>SUM(G695:G701)</f>
        <v>36339</v>
      </c>
      <c r="H703" s="260">
        <f>SUM(H695:H701)</f>
        <v>49431</v>
      </c>
      <c r="I703" s="212">
        <f t="shared" si="98"/>
        <v>108172</v>
      </c>
      <c r="J703" s="237">
        <f>SUM(J695:J701)</f>
        <v>52942</v>
      </c>
      <c r="K703" s="238">
        <f>SUM(K695:K701)</f>
        <v>60760</v>
      </c>
      <c r="L703" s="260">
        <f>SUM(L695:L701)</f>
        <v>49239</v>
      </c>
      <c r="M703" s="212">
        <f t="shared" si="99"/>
        <v>162941</v>
      </c>
      <c r="N703" s="237">
        <f>SUM(N695:N701)</f>
        <v>42865</v>
      </c>
      <c r="O703" s="238">
        <f>SUM(O695:O701)</f>
        <v>33410</v>
      </c>
      <c r="P703" s="260">
        <f>SUM(P695:P701)</f>
        <v>38991</v>
      </c>
      <c r="Q703" s="212">
        <f t="shared" si="100"/>
        <v>115266</v>
      </c>
      <c r="R703" s="211">
        <f t="shared" si="101"/>
        <v>434131</v>
      </c>
    </row>
    <row r="704" spans="1:18" ht="15.75" customHeight="1" thickBot="1" x14ac:dyDescent="0.4">
      <c r="A704" s="209" t="s">
        <v>73</v>
      </c>
      <c r="B704" s="278">
        <f>+B685+B690+B694+B703</f>
        <v>56674</v>
      </c>
      <c r="C704" s="279">
        <f>+C685+C690+C694+C703</f>
        <v>56869</v>
      </c>
      <c r="D704" s="279">
        <f>+D685+D690+D694+D703</f>
        <v>103819</v>
      </c>
      <c r="E704" s="211">
        <f t="shared" si="97"/>
        <v>217362</v>
      </c>
      <c r="F704" s="210">
        <f>+F685+F690+F694+F703</f>
        <v>153932</v>
      </c>
      <c r="G704" s="210">
        <f>+G685+G690+G694+G703</f>
        <v>165117</v>
      </c>
      <c r="H704" s="210">
        <f>+H685+H690+H694+H703</f>
        <v>206179</v>
      </c>
      <c r="I704" s="211">
        <f t="shared" si="98"/>
        <v>525228</v>
      </c>
      <c r="J704" s="210">
        <f>+J685+J690+J694+J703</f>
        <v>216826</v>
      </c>
      <c r="K704" s="210">
        <f>+K685+K690+K694+K703</f>
        <v>191448</v>
      </c>
      <c r="L704" s="210">
        <f>+L685+L690+L694+L703</f>
        <v>167554</v>
      </c>
      <c r="M704" s="211">
        <f t="shared" si="99"/>
        <v>575828</v>
      </c>
      <c r="N704" s="210">
        <f>+N685+N690+N694+N703</f>
        <v>106439</v>
      </c>
      <c r="O704" s="210">
        <f>+O685+O690+O694+O703</f>
        <v>82263</v>
      </c>
      <c r="P704" s="210">
        <f>+P685+P690+P694+P703</f>
        <v>83779</v>
      </c>
      <c r="Q704" s="211">
        <f t="shared" si="100"/>
        <v>272481</v>
      </c>
      <c r="R704" s="231">
        <f t="shared" si="101"/>
        <v>1590899</v>
      </c>
    </row>
    <row r="705" spans="1:18" ht="15.75" customHeight="1" x14ac:dyDescent="0.35">
      <c r="A705" s="140"/>
      <c r="B705" s="140"/>
      <c r="C705" s="140"/>
      <c r="D705" s="140"/>
      <c r="E705" s="140"/>
      <c r="F705" s="140"/>
      <c r="G705" s="140"/>
      <c r="H705" s="140"/>
      <c r="I705" s="140"/>
      <c r="J705" s="140"/>
      <c r="K705" s="140"/>
      <c r="L705" s="140"/>
      <c r="M705" s="140"/>
      <c r="N705" s="140"/>
      <c r="O705" s="150"/>
      <c r="P705" s="140"/>
      <c r="Q705" s="140"/>
      <c r="R705" s="141"/>
    </row>
    <row r="706" spans="1:18" ht="15.75" customHeight="1" x14ac:dyDescent="0.35">
      <c r="A706" s="140"/>
      <c r="B706" s="140"/>
      <c r="C706" s="140"/>
      <c r="D706" s="140"/>
      <c r="E706" s="140"/>
      <c r="F706" s="140"/>
      <c r="G706" s="140"/>
      <c r="H706" s="140"/>
      <c r="I706" s="140"/>
      <c r="J706" s="140"/>
      <c r="K706" s="140"/>
      <c r="L706" s="140"/>
      <c r="M706" s="140"/>
      <c r="N706" s="140"/>
      <c r="O706" s="150"/>
      <c r="P706" s="140"/>
      <c r="Q706" s="141" t="str">
        <f>+Q1</f>
        <v>PRINTED:</v>
      </c>
      <c r="R706" s="142">
        <f ca="1">+R1</f>
        <v>44909.46975358796</v>
      </c>
    </row>
    <row r="707" spans="1:18" ht="15.75" customHeight="1" x14ac:dyDescent="0.35">
      <c r="A707" s="565" t="s">
        <v>1</v>
      </c>
      <c r="B707" s="565"/>
      <c r="C707" s="565"/>
      <c r="D707" s="565"/>
      <c r="E707" s="565"/>
      <c r="F707" s="565"/>
      <c r="G707" s="565"/>
      <c r="H707" s="565"/>
      <c r="I707" s="565"/>
      <c r="J707" s="565"/>
      <c r="K707" s="565"/>
      <c r="L707" s="565"/>
      <c r="M707" s="565"/>
      <c r="N707" s="565"/>
      <c r="O707" s="565"/>
      <c r="P707" s="565"/>
      <c r="Q707" s="565"/>
      <c r="R707" s="565"/>
    </row>
    <row r="708" spans="1:18" ht="15.75" customHeight="1" x14ac:dyDescent="0.35">
      <c r="A708" s="565" t="s">
        <v>2</v>
      </c>
      <c r="B708" s="565"/>
      <c r="C708" s="565"/>
      <c r="D708" s="565"/>
      <c r="E708" s="565"/>
      <c r="F708" s="565"/>
      <c r="G708" s="565"/>
      <c r="H708" s="565"/>
      <c r="I708" s="565"/>
      <c r="J708" s="565"/>
      <c r="K708" s="565"/>
      <c r="L708" s="565"/>
      <c r="M708" s="565"/>
      <c r="N708" s="565"/>
      <c r="O708" s="565"/>
      <c r="P708" s="565"/>
      <c r="Q708" s="565"/>
      <c r="R708" s="565"/>
    </row>
    <row r="709" spans="1:18" ht="15.75" customHeight="1" x14ac:dyDescent="0.35">
      <c r="A709" s="565" t="s">
        <v>3</v>
      </c>
      <c r="B709" s="565"/>
      <c r="C709" s="565"/>
      <c r="D709" s="565"/>
      <c r="E709" s="565"/>
      <c r="F709" s="565"/>
      <c r="G709" s="565"/>
      <c r="H709" s="565"/>
      <c r="I709" s="565"/>
      <c r="J709" s="565"/>
      <c r="K709" s="565"/>
      <c r="L709" s="565"/>
      <c r="M709" s="565"/>
      <c r="N709" s="565"/>
      <c r="O709" s="565"/>
      <c r="P709" s="565"/>
      <c r="Q709" s="565"/>
      <c r="R709" s="565"/>
    </row>
    <row r="710" spans="1:18" ht="15.75" customHeight="1" x14ac:dyDescent="0.35">
      <c r="A710" s="565" t="str">
        <f>+A5</f>
        <v>Calendar Year 2010</v>
      </c>
      <c r="B710" s="565"/>
      <c r="C710" s="565"/>
      <c r="D710" s="565"/>
      <c r="E710" s="565"/>
      <c r="F710" s="565"/>
      <c r="G710" s="565"/>
      <c r="H710" s="565"/>
      <c r="I710" s="565"/>
      <c r="J710" s="565"/>
      <c r="K710" s="565"/>
      <c r="L710" s="565"/>
      <c r="M710" s="565"/>
      <c r="N710" s="565"/>
      <c r="O710" s="565"/>
      <c r="P710" s="565"/>
      <c r="Q710" s="565"/>
      <c r="R710" s="565"/>
    </row>
    <row r="711" spans="1:18" ht="15.75" customHeight="1" x14ac:dyDescent="0.35">
      <c r="A711" s="140"/>
      <c r="B711" s="140"/>
      <c r="C711" s="140"/>
      <c r="D711" s="143"/>
      <c r="E711" s="143"/>
      <c r="F711" s="143"/>
      <c r="G711" s="144"/>
      <c r="H711" s="143"/>
      <c r="I711" s="143"/>
      <c r="J711" s="144"/>
      <c r="K711" s="144"/>
      <c r="L711" s="144"/>
      <c r="M711" s="144"/>
      <c r="N711" s="140"/>
      <c r="O711" s="144"/>
      <c r="P711" s="144"/>
      <c r="Q711" s="144"/>
      <c r="R711" s="144"/>
    </row>
    <row r="712" spans="1:18" ht="15.75" customHeight="1" x14ac:dyDescent="0.35">
      <c r="A712" s="565" t="str">
        <f>+A9</f>
        <v>Revised:  1/24/11</v>
      </c>
      <c r="B712" s="565"/>
      <c r="C712" s="565"/>
      <c r="D712" s="565"/>
      <c r="E712" s="565"/>
      <c r="F712" s="565"/>
      <c r="G712" s="565"/>
      <c r="H712" s="565"/>
      <c r="I712" s="565"/>
      <c r="J712" s="565"/>
      <c r="K712" s="565"/>
      <c r="L712" s="565"/>
      <c r="M712" s="565"/>
      <c r="N712" s="565"/>
      <c r="O712" s="565"/>
      <c r="P712" s="565"/>
      <c r="Q712" s="565"/>
      <c r="R712" s="565"/>
    </row>
    <row r="713" spans="1:18" ht="15.75" customHeight="1" x14ac:dyDescent="0.35">
      <c r="A713" s="145"/>
      <c r="B713" s="145"/>
      <c r="C713" s="145"/>
      <c r="D713" s="145"/>
      <c r="E713" s="145"/>
      <c r="F713" s="145"/>
      <c r="G713" s="145"/>
      <c r="H713" s="145"/>
      <c r="I713" s="145"/>
      <c r="J713" s="145"/>
      <c r="K713" s="145"/>
      <c r="L713" s="145"/>
      <c r="M713" s="145"/>
      <c r="N713" s="145"/>
      <c r="O713" s="145"/>
      <c r="P713" s="145"/>
      <c r="Q713" s="145"/>
      <c r="R713" s="145"/>
    </row>
    <row r="714" spans="1:18" ht="15.75" customHeight="1" x14ac:dyDescent="0.35">
      <c r="A714" s="139"/>
      <c r="B714" s="140"/>
      <c r="C714" s="140"/>
      <c r="D714" s="140"/>
      <c r="E714" s="140"/>
      <c r="F714" s="140"/>
      <c r="G714" s="140"/>
      <c r="H714" s="140"/>
      <c r="I714" s="140"/>
      <c r="J714" s="140"/>
      <c r="K714" s="140"/>
      <c r="L714" s="140"/>
      <c r="M714" s="140"/>
      <c r="N714" s="140"/>
      <c r="O714" s="140"/>
      <c r="P714" s="140"/>
      <c r="Q714" s="140"/>
      <c r="R714" s="141"/>
    </row>
    <row r="715" spans="1:18" ht="15.75" customHeight="1" thickBot="1" x14ac:dyDescent="0.4">
      <c r="A715" s="140"/>
      <c r="B715" s="140"/>
      <c r="C715" s="140"/>
      <c r="D715" s="140"/>
      <c r="E715" s="140"/>
      <c r="F715" s="140"/>
      <c r="G715" s="140"/>
      <c r="H715" s="140"/>
      <c r="I715" s="140"/>
      <c r="J715" s="140"/>
      <c r="K715" s="140"/>
      <c r="L715" s="140"/>
      <c r="M715" s="140"/>
      <c r="N715" s="140"/>
      <c r="O715" s="150"/>
      <c r="P715" s="140"/>
      <c r="Q715" s="140"/>
      <c r="R715" s="141"/>
    </row>
    <row r="716" spans="1:18" ht="15.75" customHeight="1" thickBot="1" x14ac:dyDescent="0.4">
      <c r="A716" s="256" t="s">
        <v>380</v>
      </c>
      <c r="B716" s="203" t="s">
        <v>8</v>
      </c>
      <c r="C716" s="9" t="s">
        <v>9</v>
      </c>
      <c r="D716" s="9" t="s">
        <v>10</v>
      </c>
      <c r="E716" s="10" t="s">
        <v>11</v>
      </c>
      <c r="F716" s="9" t="s">
        <v>12</v>
      </c>
      <c r="G716" s="9" t="s">
        <v>13</v>
      </c>
      <c r="H716" s="9" t="s">
        <v>14</v>
      </c>
      <c r="I716" s="10" t="s">
        <v>15</v>
      </c>
      <c r="J716" s="9" t="s">
        <v>16</v>
      </c>
      <c r="K716" s="9" t="s">
        <v>17</v>
      </c>
      <c r="L716" s="9" t="s">
        <v>18</v>
      </c>
      <c r="M716" s="10" t="s">
        <v>19</v>
      </c>
      <c r="N716" s="9" t="s">
        <v>20</v>
      </c>
      <c r="O716" s="9" t="s">
        <v>21</v>
      </c>
      <c r="P716" s="9" t="s">
        <v>22</v>
      </c>
      <c r="Q716" s="10" t="s">
        <v>23</v>
      </c>
      <c r="R716" s="280" t="s">
        <v>24</v>
      </c>
    </row>
    <row r="717" spans="1:18" ht="15.75" customHeight="1" thickBot="1" x14ac:dyDescent="0.4">
      <c r="A717" s="281"/>
      <c r="B717" s="282"/>
      <c r="C717" s="282"/>
      <c r="D717" s="282"/>
      <c r="E717" s="14"/>
      <c r="F717" s="282"/>
      <c r="G717" s="282"/>
      <c r="H717" s="282"/>
      <c r="I717" s="194"/>
      <c r="J717" s="282"/>
      <c r="K717" s="282"/>
      <c r="L717" s="282"/>
      <c r="M717" s="194"/>
      <c r="N717" s="282"/>
      <c r="O717" s="282"/>
      <c r="P717" s="282"/>
      <c r="Q717" s="264"/>
      <c r="R717" s="283"/>
    </row>
    <row r="718" spans="1:18" ht="15.75" customHeight="1" thickBot="1" x14ac:dyDescent="0.4">
      <c r="A718" s="284" t="s">
        <v>381</v>
      </c>
      <c r="B718" s="285">
        <f>+B685</f>
        <v>26175</v>
      </c>
      <c r="C718" s="285">
        <f>+C685</f>
        <v>22268</v>
      </c>
      <c r="D718" s="285">
        <f>+D685</f>
        <v>31763</v>
      </c>
      <c r="E718" s="237">
        <f>+SUM(B718:D718)</f>
        <v>80206</v>
      </c>
      <c r="F718" s="285">
        <f>+F685</f>
        <v>32342</v>
      </c>
      <c r="G718" s="285">
        <f>+G685</f>
        <v>32854</v>
      </c>
      <c r="H718" s="285">
        <f>+H685</f>
        <v>37262</v>
      </c>
      <c r="I718" s="237">
        <f>+SUM(F718:H718)</f>
        <v>102458</v>
      </c>
      <c r="J718" s="285">
        <f>+J685</f>
        <v>49950</v>
      </c>
      <c r="K718" s="285">
        <f>+K685</f>
        <v>50760</v>
      </c>
      <c r="L718" s="285">
        <f>+L685</f>
        <v>50791</v>
      </c>
      <c r="M718" s="237">
        <f>+SUM(J718:L718)</f>
        <v>151501</v>
      </c>
      <c r="N718" s="285">
        <f>+N685</f>
        <v>39648</v>
      </c>
      <c r="O718" s="285">
        <f>+O685</f>
        <v>30495</v>
      </c>
      <c r="P718" s="285">
        <f>+P685</f>
        <v>27853</v>
      </c>
      <c r="Q718" s="237">
        <f>+SUM(N718:P718)</f>
        <v>97996</v>
      </c>
      <c r="R718" s="211">
        <f>+E718+I718+M718+Q718</f>
        <v>432161</v>
      </c>
    </row>
    <row r="719" spans="1:18" ht="15.75" customHeight="1" thickBot="1" x14ac:dyDescent="0.4">
      <c r="A719" s="190"/>
      <c r="B719" s="237"/>
      <c r="C719" s="237"/>
      <c r="D719" s="237"/>
      <c r="E719" s="237"/>
      <c r="F719" s="237"/>
      <c r="G719" s="237"/>
      <c r="H719" s="237"/>
      <c r="I719" s="237"/>
      <c r="J719" s="237"/>
      <c r="K719" s="237"/>
      <c r="L719" s="237"/>
      <c r="M719" s="237"/>
      <c r="N719" s="237"/>
      <c r="O719" s="237"/>
      <c r="P719" s="237"/>
      <c r="Q719" s="237"/>
      <c r="R719" s="211"/>
    </row>
    <row r="720" spans="1:18" ht="15.75" customHeight="1" thickBot="1" x14ac:dyDescent="0.4">
      <c r="A720" s="284" t="s">
        <v>382</v>
      </c>
      <c r="B720" s="285">
        <f>+B690</f>
        <v>4329</v>
      </c>
      <c r="C720" s="285">
        <f>+C690</f>
        <v>4392</v>
      </c>
      <c r="D720" s="285">
        <f>+D690</f>
        <v>18848</v>
      </c>
      <c r="E720" s="237">
        <f>+SUM(B720:D720)</f>
        <v>27569</v>
      </c>
      <c r="F720" s="285">
        <f>+F690</f>
        <v>62858</v>
      </c>
      <c r="G720" s="285">
        <f>+G690</f>
        <v>42955</v>
      </c>
      <c r="H720" s="285">
        <f>+H690</f>
        <v>68589</v>
      </c>
      <c r="I720" s="237">
        <f>+SUM(F720:H720)</f>
        <v>174402</v>
      </c>
      <c r="J720" s="285">
        <f>+J690</f>
        <v>74617</v>
      </c>
      <c r="K720" s="285">
        <f>+K690</f>
        <v>44432</v>
      </c>
      <c r="L720" s="285">
        <f>+L690</f>
        <v>36922</v>
      </c>
      <c r="M720" s="237">
        <f>+SUM(J720:L720)</f>
        <v>155971</v>
      </c>
      <c r="N720" s="285">
        <f>+N690</f>
        <v>13317</v>
      </c>
      <c r="O720" s="285">
        <f>+O690</f>
        <v>10818</v>
      </c>
      <c r="P720" s="285">
        <f>+P690</f>
        <v>9711</v>
      </c>
      <c r="Q720" s="237">
        <f>+SUM(N720:P720)</f>
        <v>33846</v>
      </c>
      <c r="R720" s="211">
        <f>+E720+I720+M720+Q720</f>
        <v>391788</v>
      </c>
    </row>
    <row r="721" spans="1:18" ht="15.75" customHeight="1" thickBot="1" x14ac:dyDescent="0.4">
      <c r="A721" s="190"/>
      <c r="B721" s="237"/>
      <c r="C721" s="237"/>
      <c r="D721" s="237"/>
      <c r="E721" s="237"/>
      <c r="F721" s="237"/>
      <c r="G721" s="237"/>
      <c r="H721" s="237"/>
      <c r="I721" s="237"/>
      <c r="J721" s="237"/>
      <c r="K721" s="237"/>
      <c r="L721" s="237"/>
      <c r="M721" s="237"/>
      <c r="N721" s="237"/>
      <c r="O721" s="237"/>
      <c r="P721" s="237"/>
      <c r="Q721" s="237"/>
      <c r="R721" s="211"/>
    </row>
    <row r="722" spans="1:18" ht="15.75" customHeight="1" thickBot="1" x14ac:dyDescent="0.4">
      <c r="A722" s="284" t="s">
        <v>383</v>
      </c>
      <c r="B722" s="285">
        <f>+B694</f>
        <v>14663</v>
      </c>
      <c r="C722" s="285">
        <f>+C694</f>
        <v>15870</v>
      </c>
      <c r="D722" s="285">
        <f>+D694</f>
        <v>31302</v>
      </c>
      <c r="E722" s="237">
        <f>+SUM(B722:D722)</f>
        <v>61835</v>
      </c>
      <c r="F722" s="285">
        <f>+F694</f>
        <v>36330</v>
      </c>
      <c r="G722" s="285">
        <f>+G694</f>
        <v>52969</v>
      </c>
      <c r="H722" s="285">
        <f>+H694</f>
        <v>50897</v>
      </c>
      <c r="I722" s="237">
        <f>+SUM(F722:H722)</f>
        <v>140196</v>
      </c>
      <c r="J722" s="285">
        <f>+J694</f>
        <v>39317</v>
      </c>
      <c r="K722" s="285">
        <f>+K694</f>
        <v>35496</v>
      </c>
      <c r="L722" s="285">
        <f>+L694</f>
        <v>30602</v>
      </c>
      <c r="M722" s="237">
        <f>+SUM(J722:L722)</f>
        <v>105415</v>
      </c>
      <c r="N722" s="285">
        <f>+N694</f>
        <v>10609</v>
      </c>
      <c r="O722" s="285">
        <f>+O694</f>
        <v>7540</v>
      </c>
      <c r="P722" s="285">
        <f>+P694</f>
        <v>7224</v>
      </c>
      <c r="Q722" s="237">
        <f>+SUM(N722:P722)</f>
        <v>25373</v>
      </c>
      <c r="R722" s="211">
        <f>+E722+I722+M722+Q722</f>
        <v>332819</v>
      </c>
    </row>
    <row r="723" spans="1:18" ht="15.75" customHeight="1" thickBot="1" x14ac:dyDescent="0.4">
      <c r="A723" s="190"/>
      <c r="B723" s="237"/>
      <c r="C723" s="237"/>
      <c r="D723" s="237"/>
      <c r="E723" s="237"/>
      <c r="F723" s="237"/>
      <c r="G723" s="237"/>
      <c r="H723" s="237"/>
      <c r="I723" s="237"/>
      <c r="J723" s="237"/>
      <c r="K723" s="237"/>
      <c r="L723" s="237"/>
      <c r="M723" s="237"/>
      <c r="N723" s="237"/>
      <c r="O723" s="237"/>
      <c r="P723" s="237"/>
      <c r="Q723" s="237"/>
      <c r="R723" s="211"/>
    </row>
    <row r="724" spans="1:18" ht="15.75" customHeight="1" thickBot="1" x14ac:dyDescent="0.4">
      <c r="A724" s="284" t="s">
        <v>384</v>
      </c>
      <c r="B724" s="285">
        <f>+B703</f>
        <v>11507</v>
      </c>
      <c r="C724" s="285">
        <f>+C703</f>
        <v>14339</v>
      </c>
      <c r="D724" s="285">
        <f>+D703</f>
        <v>21906</v>
      </c>
      <c r="E724" s="237">
        <f>+SUM(B724:D724)</f>
        <v>47752</v>
      </c>
      <c r="F724" s="285">
        <f>+F703</f>
        <v>22402</v>
      </c>
      <c r="G724" s="285">
        <f>+G703</f>
        <v>36339</v>
      </c>
      <c r="H724" s="285">
        <f>+H703</f>
        <v>49431</v>
      </c>
      <c r="I724" s="237">
        <f>+SUM(F724:H724)</f>
        <v>108172</v>
      </c>
      <c r="J724" s="285">
        <f>+J703</f>
        <v>52942</v>
      </c>
      <c r="K724" s="285">
        <f>+K703</f>
        <v>60760</v>
      </c>
      <c r="L724" s="285">
        <f>+L703</f>
        <v>49239</v>
      </c>
      <c r="M724" s="237">
        <f>+SUM(J724:L724)</f>
        <v>162941</v>
      </c>
      <c r="N724" s="285">
        <f>+N703</f>
        <v>42865</v>
      </c>
      <c r="O724" s="285">
        <f>+O703</f>
        <v>33410</v>
      </c>
      <c r="P724" s="285">
        <f>+P703</f>
        <v>38991</v>
      </c>
      <c r="Q724" s="237">
        <f>+SUM(N724:P724)</f>
        <v>115266</v>
      </c>
      <c r="R724" s="211">
        <f>+E724+I724+M724+Q724</f>
        <v>434131</v>
      </c>
    </row>
    <row r="725" spans="1:18" ht="15.75" customHeight="1" thickBot="1" x14ac:dyDescent="0.4">
      <c r="A725" s="190"/>
      <c r="B725" s="237"/>
      <c r="C725" s="237"/>
      <c r="D725" s="237"/>
      <c r="E725" s="237"/>
      <c r="F725" s="237"/>
      <c r="G725" s="237"/>
      <c r="H725" s="237"/>
      <c r="I725" s="237"/>
      <c r="J725" s="237"/>
      <c r="K725" s="237"/>
      <c r="L725" s="237"/>
      <c r="M725" s="237"/>
      <c r="N725" s="237"/>
      <c r="O725" s="237"/>
      <c r="P725" s="237"/>
      <c r="Q725" s="237"/>
      <c r="R725" s="211"/>
    </row>
    <row r="726" spans="1:18" ht="15.75" customHeight="1" thickBot="1" x14ac:dyDescent="0.4">
      <c r="A726" s="190" t="s">
        <v>385</v>
      </c>
      <c r="B726" s="240">
        <f t="shared" ref="B726:R726" si="102">+SUM(B718:B724)</f>
        <v>56674</v>
      </c>
      <c r="C726" s="240">
        <f t="shared" si="102"/>
        <v>56869</v>
      </c>
      <c r="D726" s="240">
        <f t="shared" si="102"/>
        <v>103819</v>
      </c>
      <c r="E726" s="240">
        <f t="shared" si="102"/>
        <v>217362</v>
      </c>
      <c r="F726" s="240">
        <f t="shared" si="102"/>
        <v>153932</v>
      </c>
      <c r="G726" s="240">
        <f t="shared" si="102"/>
        <v>165117</v>
      </c>
      <c r="H726" s="240">
        <f t="shared" si="102"/>
        <v>206179</v>
      </c>
      <c r="I726" s="240">
        <f t="shared" si="102"/>
        <v>525228</v>
      </c>
      <c r="J726" s="240">
        <f t="shared" si="102"/>
        <v>216826</v>
      </c>
      <c r="K726" s="240">
        <f t="shared" si="102"/>
        <v>191448</v>
      </c>
      <c r="L726" s="240">
        <f t="shared" si="102"/>
        <v>167554</v>
      </c>
      <c r="M726" s="240">
        <f t="shared" si="102"/>
        <v>575828</v>
      </c>
      <c r="N726" s="240">
        <f t="shared" si="102"/>
        <v>106439</v>
      </c>
      <c r="O726" s="240">
        <f t="shared" si="102"/>
        <v>82263</v>
      </c>
      <c r="P726" s="240">
        <f t="shared" si="102"/>
        <v>83779</v>
      </c>
      <c r="Q726" s="240">
        <f t="shared" si="102"/>
        <v>272481</v>
      </c>
      <c r="R726" s="286">
        <f t="shared" si="102"/>
        <v>1590899</v>
      </c>
    </row>
    <row r="727" spans="1:18" ht="15.75" customHeight="1" x14ac:dyDescent="0.35">
      <c r="A727" s="145"/>
      <c r="B727" s="158"/>
      <c r="C727" s="158"/>
      <c r="D727" s="158"/>
      <c r="E727" s="158"/>
      <c r="F727" s="158"/>
      <c r="G727" s="158"/>
      <c r="H727" s="158"/>
      <c r="I727" s="158"/>
      <c r="J727" s="158"/>
      <c r="K727" s="158"/>
      <c r="L727" s="158"/>
      <c r="M727" s="158"/>
      <c r="N727" s="158"/>
      <c r="O727" s="158"/>
      <c r="P727" s="158"/>
      <c r="Q727" s="158"/>
      <c r="R727" s="158"/>
    </row>
    <row r="728" spans="1:18" ht="15.75" customHeight="1" x14ac:dyDescent="0.3">
      <c r="A728" s="159"/>
      <c r="B728" s="159"/>
      <c r="C728" s="160" t="s">
        <v>386</v>
      </c>
      <c r="D728" s="159"/>
      <c r="E728" s="159"/>
      <c r="F728" s="159"/>
      <c r="G728" s="159"/>
      <c r="H728" s="159"/>
      <c r="I728" s="159"/>
      <c r="J728" s="159"/>
      <c r="K728" s="159"/>
      <c r="L728" s="159"/>
      <c r="M728" s="159"/>
      <c r="N728" s="159"/>
      <c r="O728" s="159"/>
      <c r="P728" s="159"/>
      <c r="Q728" s="161" t="str">
        <f>+Q1</f>
        <v>PRINTED:</v>
      </c>
      <c r="R728" s="162">
        <f ca="1">+R1</f>
        <v>44909.46975358796</v>
      </c>
    </row>
    <row r="729" spans="1:18" ht="15.75" customHeight="1" x14ac:dyDescent="0.3">
      <c r="A729" s="159"/>
      <c r="B729" s="159"/>
      <c r="C729" s="159"/>
      <c r="D729" s="159"/>
      <c r="E729" s="159" t="s">
        <v>7</v>
      </c>
      <c r="F729" s="163" t="str">
        <f>+A9</f>
        <v>Revised:  1/24/11</v>
      </c>
      <c r="G729" s="159"/>
      <c r="H729" s="159"/>
      <c r="I729" s="159"/>
      <c r="J729" s="159"/>
      <c r="K729" s="159"/>
      <c r="L729" s="159"/>
      <c r="M729" s="159"/>
      <c r="N729" s="159"/>
      <c r="O729" s="159"/>
      <c r="P729" s="159"/>
      <c r="Q729" s="159"/>
      <c r="R729" s="159"/>
    </row>
    <row r="730" spans="1:18" ht="15.75" customHeight="1" x14ac:dyDescent="0.3">
      <c r="A730" s="159"/>
      <c r="B730" s="159"/>
      <c r="C730" s="159"/>
      <c r="D730" s="159" t="s">
        <v>387</v>
      </c>
      <c r="E730" s="159"/>
      <c r="F730" s="159"/>
      <c r="G730" s="159"/>
      <c r="H730" s="159"/>
      <c r="I730" s="159"/>
      <c r="J730" s="159"/>
      <c r="K730" s="159"/>
      <c r="L730" s="159"/>
      <c r="M730" s="159"/>
      <c r="N730" s="159"/>
      <c r="O730" s="159"/>
      <c r="P730" s="159"/>
      <c r="Q730" s="159"/>
      <c r="R730" s="159"/>
    </row>
    <row r="731" spans="1:18" ht="15.75" customHeight="1" x14ac:dyDescent="0.3">
      <c r="A731" s="159"/>
      <c r="B731" s="159"/>
      <c r="C731" s="159"/>
      <c r="D731" s="159"/>
      <c r="E731" s="159"/>
      <c r="F731" s="159"/>
      <c r="G731" s="159"/>
      <c r="H731" s="159"/>
      <c r="I731" s="159"/>
      <c r="J731" s="159"/>
      <c r="K731" s="159"/>
      <c r="L731" s="159"/>
      <c r="M731" s="159"/>
      <c r="N731" s="159"/>
      <c r="O731" s="159"/>
      <c r="P731" s="159"/>
      <c r="Q731" s="159"/>
      <c r="R731" s="159"/>
    </row>
    <row r="732" spans="1:18" ht="15.75" customHeight="1" x14ac:dyDescent="0.3">
      <c r="A732" s="159"/>
      <c r="B732" s="159"/>
      <c r="C732" s="159"/>
      <c r="D732" s="159"/>
      <c r="E732" s="159" t="str">
        <f>+A5</f>
        <v>Calendar Year 2010</v>
      </c>
      <c r="F732" s="159"/>
      <c r="G732" s="159"/>
      <c r="H732" s="159"/>
      <c r="I732" s="159"/>
      <c r="J732" s="159"/>
      <c r="K732" s="159"/>
      <c r="L732" s="159"/>
      <c r="M732" s="159"/>
      <c r="N732" s="159"/>
      <c r="O732" s="159"/>
      <c r="P732" s="159"/>
      <c r="Q732" s="159"/>
      <c r="R732" s="159"/>
    </row>
    <row r="733" spans="1:18" ht="15.75" customHeight="1" x14ac:dyDescent="0.3">
      <c r="A733" s="159"/>
      <c r="B733" s="159"/>
      <c r="C733" s="159"/>
      <c r="D733" s="159"/>
      <c r="E733" s="159" t="s">
        <v>388</v>
      </c>
      <c r="F733" s="159"/>
      <c r="G733" s="159"/>
      <c r="H733" s="159"/>
      <c r="I733" s="159"/>
      <c r="J733" s="159"/>
      <c r="K733" s="159"/>
      <c r="L733" s="159"/>
      <c r="M733" s="159"/>
      <c r="N733" s="159"/>
      <c r="O733" s="159"/>
      <c r="P733" s="159"/>
      <c r="Q733" s="159"/>
      <c r="R733" s="159"/>
    </row>
    <row r="734" spans="1:18" ht="15.75" customHeight="1" x14ac:dyDescent="0.3">
      <c r="A734" s="159"/>
      <c r="B734" s="159"/>
      <c r="C734" s="159"/>
      <c r="D734" s="159"/>
      <c r="E734" s="159"/>
      <c r="F734" s="159"/>
      <c r="G734" s="159"/>
      <c r="H734" s="159"/>
      <c r="I734" s="159"/>
      <c r="J734" s="159"/>
      <c r="K734" s="159"/>
      <c r="L734" s="159"/>
      <c r="M734" s="159"/>
      <c r="N734" s="159"/>
      <c r="O734" s="159"/>
      <c r="P734" s="159"/>
      <c r="Q734" s="159"/>
      <c r="R734" s="159"/>
    </row>
    <row r="735" spans="1:18" ht="15.75" customHeight="1" x14ac:dyDescent="0.3">
      <c r="A735" s="159" t="s">
        <v>389</v>
      </c>
      <c r="B735" s="164" t="s">
        <v>390</v>
      </c>
      <c r="C735" s="164" t="s">
        <v>391</v>
      </c>
      <c r="D735" s="164" t="s">
        <v>392</v>
      </c>
      <c r="E735" s="164" t="s">
        <v>393</v>
      </c>
      <c r="F735" s="164" t="s">
        <v>394</v>
      </c>
      <c r="G735" s="164" t="s">
        <v>394</v>
      </c>
      <c r="H735" s="164" t="s">
        <v>395</v>
      </c>
      <c r="I735" s="164" t="s">
        <v>396</v>
      </c>
      <c r="J735" s="164" t="s">
        <v>397</v>
      </c>
      <c r="K735" s="164" t="s">
        <v>398</v>
      </c>
      <c r="L735" s="164" t="s">
        <v>399</v>
      </c>
      <c r="M735" s="164" t="s">
        <v>400</v>
      </c>
      <c r="N735" s="164" t="s">
        <v>401</v>
      </c>
      <c r="O735" s="164" t="s">
        <v>402</v>
      </c>
      <c r="P735" s="164" t="s">
        <v>403</v>
      </c>
      <c r="Q735" s="164" t="s">
        <v>404</v>
      </c>
      <c r="R735" s="159"/>
    </row>
    <row r="736" spans="1:18" ht="15.75" customHeight="1" x14ac:dyDescent="0.3">
      <c r="A736" s="159" t="s">
        <v>405</v>
      </c>
      <c r="B736" s="159"/>
      <c r="C736" s="159"/>
      <c r="D736" s="159"/>
      <c r="E736" s="159"/>
      <c r="F736" s="164" t="s">
        <v>406</v>
      </c>
      <c r="G736" s="164" t="s">
        <v>407</v>
      </c>
      <c r="H736" s="159"/>
      <c r="I736" s="159"/>
      <c r="J736" s="159"/>
      <c r="K736" s="159"/>
      <c r="L736" s="159"/>
      <c r="M736" s="159"/>
      <c r="N736" s="159"/>
      <c r="O736" s="159"/>
      <c r="P736" s="159"/>
      <c r="Q736" s="159"/>
      <c r="R736" s="159"/>
    </row>
    <row r="737" spans="1:18" ht="15.75" customHeight="1" x14ac:dyDescent="0.3">
      <c r="A737" s="159" t="s">
        <v>408</v>
      </c>
      <c r="B737" s="159">
        <v>953</v>
      </c>
      <c r="C737" s="159">
        <v>128</v>
      </c>
      <c r="D737" s="159">
        <v>128</v>
      </c>
      <c r="E737" s="159">
        <v>219</v>
      </c>
      <c r="F737" s="159">
        <v>179</v>
      </c>
      <c r="G737" s="159">
        <v>121</v>
      </c>
      <c r="H737" s="159">
        <v>92</v>
      </c>
      <c r="I737" s="159">
        <v>150</v>
      </c>
      <c r="J737" s="159">
        <v>237</v>
      </c>
      <c r="K737" s="159">
        <v>226</v>
      </c>
      <c r="L737" s="159">
        <v>99</v>
      </c>
      <c r="M737" s="159">
        <v>102</v>
      </c>
      <c r="N737" s="159">
        <v>249</v>
      </c>
      <c r="O737" s="159">
        <v>189</v>
      </c>
      <c r="P737" s="159">
        <v>333</v>
      </c>
      <c r="Q737" s="159">
        <v>411</v>
      </c>
      <c r="R737" s="159"/>
    </row>
    <row r="738" spans="1:18" ht="15.75" customHeight="1" x14ac:dyDescent="0.3">
      <c r="A738" s="159"/>
      <c r="B738" s="159" t="s">
        <v>409</v>
      </c>
      <c r="C738" s="159" t="s">
        <v>409</v>
      </c>
      <c r="D738" s="159" t="s">
        <v>409</v>
      </c>
      <c r="E738" s="159" t="s">
        <v>409</v>
      </c>
      <c r="F738" s="159" t="s">
        <v>409</v>
      </c>
      <c r="G738" s="159" t="s">
        <v>409</v>
      </c>
      <c r="H738" s="159" t="s">
        <v>409</v>
      </c>
      <c r="I738" s="159" t="s">
        <v>409</v>
      </c>
      <c r="J738" s="159" t="s">
        <v>409</v>
      </c>
      <c r="K738" s="159" t="s">
        <v>409</v>
      </c>
      <c r="L738" s="159" t="s">
        <v>409</v>
      </c>
      <c r="M738" s="159" t="s">
        <v>409</v>
      </c>
      <c r="N738" s="159" t="s">
        <v>409</v>
      </c>
      <c r="O738" s="159" t="s">
        <v>409</v>
      </c>
      <c r="P738" s="159" t="s">
        <v>409</v>
      </c>
      <c r="Q738" s="159" t="s">
        <v>409</v>
      </c>
      <c r="R738" s="159"/>
    </row>
    <row r="739" spans="1:18" ht="15.75" customHeight="1" x14ac:dyDescent="0.3">
      <c r="A739" s="164" t="s">
        <v>410</v>
      </c>
      <c r="B739" s="159">
        <f>+B32</f>
        <v>126667</v>
      </c>
      <c r="C739" s="159">
        <f>+B67</f>
        <v>126570</v>
      </c>
      <c r="D739" s="159">
        <f>+B128</f>
        <v>126474</v>
      </c>
      <c r="E739" s="159">
        <f>+B245</f>
        <v>119763</v>
      </c>
      <c r="F739" s="159">
        <f>+B240</f>
        <v>69254</v>
      </c>
      <c r="G739" s="159">
        <f>+B252</f>
        <v>0</v>
      </c>
      <c r="H739" s="159">
        <f>+B364</f>
        <v>28826</v>
      </c>
      <c r="I739" s="159">
        <f>+B405</f>
        <v>18006</v>
      </c>
      <c r="J739" s="159">
        <f>+B446</f>
        <v>17996</v>
      </c>
      <c r="K739" s="159">
        <f>+B495</f>
        <v>17814</v>
      </c>
      <c r="L739" s="159">
        <f>+B505</f>
        <v>12843</v>
      </c>
      <c r="M739" s="159">
        <f>+B540</f>
        <v>12823</v>
      </c>
      <c r="N739" s="159">
        <f>+B579</f>
        <v>12813</v>
      </c>
      <c r="O739" s="159">
        <f>+B589</f>
        <v>1302</v>
      </c>
      <c r="P739" s="159">
        <f>+B623</f>
        <v>4007</v>
      </c>
      <c r="Q739" s="159">
        <f>+B664</f>
        <v>1209</v>
      </c>
      <c r="R739" s="159"/>
    </row>
    <row r="740" spans="1:18" ht="15.75" customHeight="1" x14ac:dyDescent="0.3">
      <c r="A740" s="164" t="s">
        <v>411</v>
      </c>
      <c r="B740" s="159">
        <f>+C32</f>
        <v>91280</v>
      </c>
      <c r="C740" s="159">
        <f>+C67</f>
        <v>91132</v>
      </c>
      <c r="D740" s="159">
        <f>+C128</f>
        <v>90987</v>
      </c>
      <c r="E740" s="159">
        <f>+C245</f>
        <v>78155</v>
      </c>
      <c r="F740" s="159">
        <f>+C240</f>
        <v>32024</v>
      </c>
      <c r="G740" s="159">
        <f>+C252</f>
        <v>0</v>
      </c>
      <c r="H740" s="159">
        <f>+C364</f>
        <v>26435</v>
      </c>
      <c r="I740" s="159">
        <f>+C405</f>
        <v>16595</v>
      </c>
      <c r="J740" s="159">
        <f>+C446</f>
        <v>16579</v>
      </c>
      <c r="K740" s="159">
        <f>+C495</f>
        <v>16536</v>
      </c>
      <c r="L740" s="159">
        <f>+C505</f>
        <v>12857</v>
      </c>
      <c r="M740" s="159">
        <f>+C540</f>
        <v>12835</v>
      </c>
      <c r="N740" s="159">
        <f>+C579</f>
        <v>12824</v>
      </c>
      <c r="O740" s="159">
        <f>+C589</f>
        <v>1853</v>
      </c>
      <c r="P740" s="159">
        <f>+C623</f>
        <v>4791</v>
      </c>
      <c r="Q740" s="159">
        <f>+C664</f>
        <v>1765</v>
      </c>
      <c r="R740" s="159"/>
    </row>
    <row r="741" spans="1:18" ht="15.75" customHeight="1" x14ac:dyDescent="0.3">
      <c r="A741" s="164" t="s">
        <v>412</v>
      </c>
      <c r="B741" s="159">
        <f>+D32</f>
        <v>130042</v>
      </c>
      <c r="C741" s="159">
        <f>+D67</f>
        <v>129768</v>
      </c>
      <c r="D741" s="159">
        <f>+D128</f>
        <v>129507</v>
      </c>
      <c r="E741" s="159">
        <f>+D245</f>
        <v>111234</v>
      </c>
      <c r="F741" s="159">
        <f>+D240</f>
        <v>23237</v>
      </c>
      <c r="G741" s="159">
        <f>+D252</f>
        <v>0</v>
      </c>
      <c r="H741" s="159">
        <f>+D364</f>
        <v>64632</v>
      </c>
      <c r="I741" s="159">
        <f>+D405</f>
        <v>28997</v>
      </c>
      <c r="J741" s="159">
        <f>+D446</f>
        <v>26686</v>
      </c>
      <c r="K741" s="159">
        <f>+D495</f>
        <v>25877</v>
      </c>
      <c r="L741" s="159">
        <f>+D505</f>
        <v>19992</v>
      </c>
      <c r="M741" s="159">
        <f>+D540</f>
        <v>19964</v>
      </c>
      <c r="N741" s="159">
        <f>+D579</f>
        <v>19950</v>
      </c>
      <c r="O741" s="159">
        <f>+D589</f>
        <v>3792</v>
      </c>
      <c r="P741" s="159">
        <f>+D623</f>
        <v>5290</v>
      </c>
      <c r="Q741" s="159">
        <f>+D664</f>
        <v>3776</v>
      </c>
      <c r="R741" s="159"/>
    </row>
    <row r="742" spans="1:18" ht="15.75" customHeight="1" x14ac:dyDescent="0.3">
      <c r="A742" s="164" t="s">
        <v>413</v>
      </c>
      <c r="B742" s="159">
        <f>+F32</f>
        <v>153814</v>
      </c>
      <c r="C742" s="159">
        <f>+F67</f>
        <v>153447</v>
      </c>
      <c r="D742" s="159">
        <f>+F128</f>
        <v>153097</v>
      </c>
      <c r="E742" s="159">
        <f>+F245</f>
        <v>140733</v>
      </c>
      <c r="F742" s="159">
        <f>+F240</f>
        <v>0</v>
      </c>
      <c r="G742" s="159">
        <f>+F252</f>
        <v>-5265</v>
      </c>
      <c r="H742" s="159">
        <f>+F364</f>
        <v>118772</v>
      </c>
      <c r="I742" s="159">
        <f>+F405</f>
        <v>52079</v>
      </c>
      <c r="J742" s="159">
        <f>+F446</f>
        <v>37481</v>
      </c>
      <c r="K742" s="159">
        <f>+F495</f>
        <v>29641</v>
      </c>
      <c r="L742" s="159">
        <f>+F505</f>
        <v>20893</v>
      </c>
      <c r="M742" s="159">
        <f>+F540</f>
        <v>20856</v>
      </c>
      <c r="N742" s="159">
        <f>+F579</f>
        <v>20353</v>
      </c>
      <c r="O742" s="159">
        <f>+F589</f>
        <v>3499</v>
      </c>
      <c r="P742" s="159">
        <f>+F623</f>
        <v>4390</v>
      </c>
      <c r="Q742" s="159">
        <f>+F664</f>
        <v>3326</v>
      </c>
      <c r="R742" s="159"/>
    </row>
    <row r="743" spans="1:18" ht="15.75" customHeight="1" x14ac:dyDescent="0.3">
      <c r="A743" s="164" t="s">
        <v>414</v>
      </c>
      <c r="B743" s="159">
        <f>+G32</f>
        <v>170685</v>
      </c>
      <c r="C743" s="159">
        <f>+G67</f>
        <v>170260</v>
      </c>
      <c r="D743" s="159">
        <f>+G128</f>
        <v>169858</v>
      </c>
      <c r="E743" s="159">
        <f>+G245</f>
        <v>141564</v>
      </c>
      <c r="F743" s="159">
        <f>+G240</f>
        <v>794</v>
      </c>
      <c r="G743" s="159">
        <f>+G252</f>
        <v>-2361</v>
      </c>
      <c r="H743" s="159">
        <f>+G364</f>
        <v>108126</v>
      </c>
      <c r="I743" s="159">
        <f>+G405</f>
        <v>38678</v>
      </c>
      <c r="J743" s="159">
        <f>+G446</f>
        <v>31627</v>
      </c>
      <c r="K743" s="159">
        <f>+G495</f>
        <v>27868</v>
      </c>
      <c r="L743" s="159">
        <f>+G505</f>
        <v>20611</v>
      </c>
      <c r="M743" s="159">
        <f>+G540</f>
        <v>20569</v>
      </c>
      <c r="N743" s="159">
        <f>+G579</f>
        <v>19999</v>
      </c>
      <c r="O743" s="159">
        <f>+G589</f>
        <v>4287</v>
      </c>
      <c r="P743" s="159">
        <f>+G623</f>
        <v>4737</v>
      </c>
      <c r="Q743" s="159">
        <f>+G664</f>
        <v>4147</v>
      </c>
      <c r="R743" s="159"/>
    </row>
    <row r="744" spans="1:18" ht="15.75" customHeight="1" x14ac:dyDescent="0.3">
      <c r="A744" s="164" t="s">
        <v>415</v>
      </c>
      <c r="B744" s="159">
        <f>+H32</f>
        <v>172283</v>
      </c>
      <c r="C744" s="159">
        <f>+H67</f>
        <v>171866</v>
      </c>
      <c r="D744" s="159">
        <f>+H128</f>
        <v>171470</v>
      </c>
      <c r="E744" s="159">
        <f>+H245</f>
        <v>142703</v>
      </c>
      <c r="F744" s="159">
        <f>+H240</f>
        <v>0</v>
      </c>
      <c r="G744" s="159">
        <f>+H252</f>
        <v>-39965</v>
      </c>
      <c r="H744" s="159">
        <f>+H364</f>
        <v>145255</v>
      </c>
      <c r="I744" s="159">
        <f>+H405</f>
        <v>47924</v>
      </c>
      <c r="J744" s="159">
        <f>+H446</f>
        <v>32269</v>
      </c>
      <c r="K744" s="159">
        <f>+H495</f>
        <v>23989</v>
      </c>
      <c r="L744" s="159">
        <f>+H505</f>
        <v>17439</v>
      </c>
      <c r="M744" s="159">
        <f>+H540</f>
        <v>17395</v>
      </c>
      <c r="N744" s="159">
        <f>+H579</f>
        <v>16650</v>
      </c>
      <c r="O744" s="159">
        <f>+H589</f>
        <v>3925</v>
      </c>
      <c r="P744" s="159">
        <f>+H623</f>
        <v>5042</v>
      </c>
      <c r="Q744" s="159">
        <f>+H664</f>
        <v>3867</v>
      </c>
      <c r="R744" s="159"/>
    </row>
    <row r="745" spans="1:18" ht="15.75" customHeight="1" x14ac:dyDescent="0.3">
      <c r="A745" s="164" t="s">
        <v>416</v>
      </c>
      <c r="B745" s="159">
        <f>+J32</f>
        <v>54228</v>
      </c>
      <c r="C745" s="159">
        <f>+J67</f>
        <v>53812</v>
      </c>
      <c r="D745" s="159">
        <f>+J128</f>
        <v>53418</v>
      </c>
      <c r="E745" s="159">
        <f>+J245</f>
        <v>20446</v>
      </c>
      <c r="F745" s="159">
        <f>+J240</f>
        <v>0</v>
      </c>
      <c r="G745" s="159">
        <f>+J252</f>
        <v>-167728</v>
      </c>
      <c r="H745" s="159">
        <f>+J364</f>
        <v>150643</v>
      </c>
      <c r="I745" s="159">
        <f>+J405</f>
        <v>53649</v>
      </c>
      <c r="J745" s="159">
        <f>+J446</f>
        <v>32712</v>
      </c>
      <c r="K745" s="159">
        <f>+J495</f>
        <v>23878</v>
      </c>
      <c r="L745" s="159">
        <f>+J505</f>
        <v>17053</v>
      </c>
      <c r="M745" s="159">
        <f>+J540</f>
        <v>17014</v>
      </c>
      <c r="N745" s="159">
        <f>+J579</f>
        <v>16780</v>
      </c>
      <c r="O745" s="159">
        <f>+J589</f>
        <v>2132</v>
      </c>
      <c r="P745" s="159">
        <f>+J623</f>
        <v>5195</v>
      </c>
      <c r="Q745" s="159">
        <f>+J664</f>
        <v>2024</v>
      </c>
      <c r="R745" s="159"/>
    </row>
    <row r="746" spans="1:18" ht="15.75" customHeight="1" x14ac:dyDescent="0.3">
      <c r="A746" s="164" t="s">
        <v>417</v>
      </c>
      <c r="B746" s="159">
        <f>+K32</f>
        <v>87819</v>
      </c>
      <c r="C746" s="159">
        <f>+K67</f>
        <v>87485</v>
      </c>
      <c r="D746" s="159">
        <f>+K128</f>
        <v>87167</v>
      </c>
      <c r="E746" s="159">
        <f>+K245</f>
        <v>51578</v>
      </c>
      <c r="F746" s="159">
        <f>+K240</f>
        <v>0</v>
      </c>
      <c r="G746" s="159">
        <f>+K252</f>
        <v>-106895</v>
      </c>
      <c r="H746" s="159">
        <f>+K364</f>
        <v>124609</v>
      </c>
      <c r="I746" s="159">
        <f>+K405</f>
        <v>44724</v>
      </c>
      <c r="J746" s="159">
        <f>+K446</f>
        <v>32919</v>
      </c>
      <c r="K746" s="159">
        <f>+K495</f>
        <v>24376</v>
      </c>
      <c r="L746" s="159">
        <f>+K505</f>
        <v>19508</v>
      </c>
      <c r="M746" s="159">
        <f>+K540</f>
        <v>19472</v>
      </c>
      <c r="N746" s="159">
        <f>+K579</f>
        <v>19312</v>
      </c>
      <c r="O746" s="159">
        <f>+K589</f>
        <v>4196</v>
      </c>
      <c r="P746" s="159">
        <f>+K623</f>
        <v>5576</v>
      </c>
      <c r="Q746" s="159">
        <f>+K664</f>
        <v>4143</v>
      </c>
      <c r="R746" s="159"/>
    </row>
    <row r="747" spans="1:18" ht="15.75" customHeight="1" x14ac:dyDescent="0.3">
      <c r="A747" s="164" t="s">
        <v>418</v>
      </c>
      <c r="B747" s="159">
        <f>+L32</f>
        <v>168372</v>
      </c>
      <c r="C747" s="159">
        <f>+L67</f>
        <v>168056</v>
      </c>
      <c r="D747" s="159">
        <f>+L128</f>
        <v>167755</v>
      </c>
      <c r="E747" s="159">
        <f>+L245</f>
        <v>133290</v>
      </c>
      <c r="F747" s="159">
        <f>+L240</f>
        <v>15215</v>
      </c>
      <c r="G747" s="159">
        <f>+L252</f>
        <v>-18499</v>
      </c>
      <c r="H747" s="159">
        <f>+L364</f>
        <v>95573</v>
      </c>
      <c r="I747" s="159">
        <f>+L405</f>
        <v>24685</v>
      </c>
      <c r="J747" s="159">
        <f>+L446</f>
        <v>24647</v>
      </c>
      <c r="K747" s="159">
        <f>+L495</f>
        <v>20903</v>
      </c>
      <c r="L747" s="159">
        <f>+L505</f>
        <v>16507</v>
      </c>
      <c r="M747" s="159">
        <f>+L540</f>
        <v>16473</v>
      </c>
      <c r="N747" s="159">
        <f>+L579</f>
        <v>16456</v>
      </c>
      <c r="O747" s="159">
        <f>+L589</f>
        <v>3962</v>
      </c>
      <c r="P747" s="159">
        <f>+L623</f>
        <v>5463</v>
      </c>
      <c r="Q747" s="159">
        <f>+L664</f>
        <v>3865</v>
      </c>
      <c r="R747" s="159"/>
    </row>
    <row r="748" spans="1:18" ht="15.75" customHeight="1" x14ac:dyDescent="0.3">
      <c r="A748" s="164" t="s">
        <v>419</v>
      </c>
      <c r="B748" s="159">
        <f>+N32</f>
        <v>165231</v>
      </c>
      <c r="C748" s="159">
        <f>+N67</f>
        <v>164946</v>
      </c>
      <c r="D748" s="159">
        <f>+N128</f>
        <v>164674</v>
      </c>
      <c r="E748" s="159">
        <f>+N245</f>
        <v>134660</v>
      </c>
      <c r="F748" s="159">
        <f>+N240</f>
        <v>55015</v>
      </c>
      <c r="G748" s="159">
        <f>+N252</f>
        <v>0</v>
      </c>
      <c r="H748" s="159">
        <f>+N364</f>
        <v>42399</v>
      </c>
      <c r="I748" s="159">
        <f>+N405</f>
        <v>7967</v>
      </c>
      <c r="J748" s="159">
        <f>+N446</f>
        <v>7894</v>
      </c>
      <c r="K748" s="159">
        <f>+N495</f>
        <v>7170</v>
      </c>
      <c r="L748" s="159">
        <f>+N505</f>
        <v>5234</v>
      </c>
      <c r="M748" s="159">
        <f>+N540</f>
        <v>5205</v>
      </c>
      <c r="N748" s="159">
        <f>+N579</f>
        <v>5191</v>
      </c>
      <c r="O748" s="159">
        <f>+N589</f>
        <v>1963</v>
      </c>
      <c r="P748" s="159">
        <f>+N623</f>
        <v>5086</v>
      </c>
      <c r="Q748" s="159">
        <f>+N664</f>
        <v>1904</v>
      </c>
      <c r="R748" s="159"/>
    </row>
    <row r="749" spans="1:18" ht="15.75" customHeight="1" x14ac:dyDescent="0.3">
      <c r="A749" s="164" t="s">
        <v>420</v>
      </c>
      <c r="B749" s="159">
        <f>+O32</f>
        <v>151638</v>
      </c>
      <c r="C749" s="159">
        <f>+O67</f>
        <v>151403</v>
      </c>
      <c r="D749" s="159">
        <f>+O128</f>
        <v>151177</v>
      </c>
      <c r="E749" s="159">
        <f>+O245</f>
        <v>133561</v>
      </c>
      <c r="F749" s="159">
        <f>+O240</f>
        <v>64395</v>
      </c>
      <c r="G749" s="159">
        <f>+O252</f>
        <v>0</v>
      </c>
      <c r="H749" s="159">
        <f>+O364</f>
        <v>37855</v>
      </c>
      <c r="I749" s="159">
        <f>+O405</f>
        <v>14384</v>
      </c>
      <c r="J749" s="159">
        <f>+O446</f>
        <v>14179</v>
      </c>
      <c r="K749" s="159">
        <f>+O495</f>
        <v>13555</v>
      </c>
      <c r="L749" s="159">
        <f>+O505</f>
        <v>11422</v>
      </c>
      <c r="M749" s="159">
        <f>+O540</f>
        <v>11399</v>
      </c>
      <c r="N749" s="159">
        <f>+O579</f>
        <v>11388</v>
      </c>
      <c r="O749" s="159">
        <f>+O589</f>
        <v>2648</v>
      </c>
      <c r="P749" s="159">
        <f>+O623</f>
        <v>4775</v>
      </c>
      <c r="Q749" s="159">
        <f>+O664</f>
        <v>2577</v>
      </c>
      <c r="R749" s="159"/>
    </row>
    <row r="750" spans="1:18" ht="15.75" customHeight="1" x14ac:dyDescent="0.3">
      <c r="A750" s="164" t="s">
        <v>421</v>
      </c>
      <c r="B750" s="159">
        <f>+P32</f>
        <v>189514</v>
      </c>
      <c r="C750" s="159">
        <f>+P67</f>
        <v>189328</v>
      </c>
      <c r="D750" s="159">
        <f>+P128</f>
        <v>189149</v>
      </c>
      <c r="E750" s="159">
        <f>+P245</f>
        <v>157429</v>
      </c>
      <c r="F750" s="159">
        <f>+P240</f>
        <v>104913</v>
      </c>
      <c r="G750" s="159">
        <f>+P252</f>
        <v>0</v>
      </c>
      <c r="H750" s="159">
        <f>+P364</f>
        <v>30410</v>
      </c>
      <c r="I750" s="159">
        <f>+P405</f>
        <v>7758</v>
      </c>
      <c r="J750" s="159">
        <f>+P446</f>
        <v>7328</v>
      </c>
      <c r="K750" s="159">
        <f>+P495</f>
        <v>6962</v>
      </c>
      <c r="L750" s="159">
        <f>+P505</f>
        <v>5043</v>
      </c>
      <c r="M750" s="159">
        <f>+P540</f>
        <v>5024</v>
      </c>
      <c r="N750" s="159">
        <f>+P579</f>
        <v>5015</v>
      </c>
      <c r="O750" s="159">
        <f>+P589</f>
        <v>2317</v>
      </c>
      <c r="P750" s="159">
        <f>+P623</f>
        <v>5081</v>
      </c>
      <c r="Q750" s="159">
        <f>+P664</f>
        <v>2255</v>
      </c>
      <c r="R750" s="159"/>
    </row>
    <row r="751" spans="1:18" ht="15.75" customHeight="1" x14ac:dyDescent="0.3">
      <c r="A751" s="159"/>
      <c r="B751" s="159"/>
      <c r="C751" s="159"/>
      <c r="D751" s="159"/>
      <c r="E751" s="159"/>
      <c r="F751" s="159"/>
      <c r="G751" s="159"/>
      <c r="H751" s="159"/>
      <c r="I751" s="159"/>
      <c r="J751" s="159"/>
      <c r="K751" s="159"/>
      <c r="L751" s="159"/>
      <c r="M751" s="159"/>
      <c r="N751" s="159"/>
      <c r="O751" s="159"/>
      <c r="P751" s="159"/>
      <c r="Q751" s="159"/>
      <c r="R751" s="159"/>
    </row>
    <row r="752" spans="1:18" ht="15.75" customHeight="1" x14ac:dyDescent="0.3">
      <c r="A752" s="164" t="s">
        <v>422</v>
      </c>
      <c r="B752" s="159">
        <f t="shared" ref="B752:Q752" si="103">SUM(B739:B750)</f>
        <v>1661573</v>
      </c>
      <c r="C752" s="159">
        <f t="shared" si="103"/>
        <v>1658073</v>
      </c>
      <c r="D752" s="159">
        <f t="shared" si="103"/>
        <v>1654733</v>
      </c>
      <c r="E752" s="159">
        <f t="shared" si="103"/>
        <v>1365116</v>
      </c>
      <c r="F752" s="159">
        <f t="shared" si="103"/>
        <v>364847</v>
      </c>
      <c r="G752" s="159">
        <f t="shared" si="103"/>
        <v>-340713</v>
      </c>
      <c r="H752" s="159">
        <f t="shared" si="103"/>
        <v>973535</v>
      </c>
      <c r="I752" s="159">
        <f t="shared" si="103"/>
        <v>355446</v>
      </c>
      <c r="J752" s="159">
        <f t="shared" si="103"/>
        <v>282317</v>
      </c>
      <c r="K752" s="159">
        <f t="shared" si="103"/>
        <v>238569</v>
      </c>
      <c r="L752" s="159">
        <f t="shared" si="103"/>
        <v>179402</v>
      </c>
      <c r="M752" s="159">
        <f t="shared" si="103"/>
        <v>179029</v>
      </c>
      <c r="N752" s="159">
        <f t="shared" si="103"/>
        <v>176731</v>
      </c>
      <c r="O752" s="159">
        <f t="shared" si="103"/>
        <v>35876</v>
      </c>
      <c r="P752" s="159">
        <f t="shared" si="103"/>
        <v>59433</v>
      </c>
      <c r="Q752" s="159">
        <f t="shared" si="103"/>
        <v>34858</v>
      </c>
      <c r="R752" s="159"/>
    </row>
    <row r="753" spans="1:18" ht="15.75" customHeight="1" x14ac:dyDescent="0.3">
      <c r="A753" s="159" t="s">
        <v>7</v>
      </c>
      <c r="B753" s="159"/>
      <c r="C753" s="159"/>
      <c r="D753" s="159"/>
      <c r="E753" s="159"/>
      <c r="F753" s="159"/>
      <c r="G753" s="159"/>
      <c r="H753" s="159"/>
      <c r="I753" s="159"/>
      <c r="J753" s="159"/>
      <c r="K753" s="159"/>
      <c r="L753" s="159"/>
      <c r="M753" s="159"/>
      <c r="N753" s="159"/>
      <c r="O753" s="159"/>
      <c r="P753" s="159"/>
      <c r="Q753" s="159"/>
      <c r="R753" s="159"/>
    </row>
    <row r="754" spans="1:18" ht="15.75" customHeight="1" x14ac:dyDescent="0.3">
      <c r="A754" s="159"/>
      <c r="B754" s="159"/>
      <c r="C754" s="159"/>
      <c r="D754" s="159"/>
      <c r="E754" s="159"/>
      <c r="F754" s="159"/>
      <c r="G754" s="159"/>
      <c r="H754" s="159"/>
      <c r="I754" s="159"/>
      <c r="J754" s="159"/>
      <c r="K754" s="159"/>
      <c r="L754" s="159"/>
      <c r="M754" s="159"/>
      <c r="N754" s="159"/>
      <c r="O754" s="159"/>
      <c r="P754" s="159"/>
      <c r="Q754" s="159"/>
      <c r="R754" s="159"/>
    </row>
    <row r="755" spans="1:18" ht="15.75" customHeight="1" x14ac:dyDescent="0.3">
      <c r="A755" s="159"/>
      <c r="B755" s="159"/>
      <c r="C755" s="161" t="s">
        <v>423</v>
      </c>
      <c r="D755" s="159"/>
      <c r="E755" s="159"/>
      <c r="F755" s="159"/>
      <c r="G755" s="159"/>
      <c r="H755" s="159"/>
      <c r="I755" s="159" t="s">
        <v>424</v>
      </c>
      <c r="J755" s="159"/>
      <c r="K755" s="159" t="s">
        <v>7</v>
      </c>
      <c r="L755" s="163" t="str">
        <f>+A9</f>
        <v>Revised:  1/24/11</v>
      </c>
      <c r="M755" s="159"/>
      <c r="N755" s="159"/>
      <c r="O755" s="159"/>
      <c r="P755" s="159"/>
      <c r="Q755" s="161" t="str">
        <f>+Q1</f>
        <v>PRINTED:</v>
      </c>
      <c r="R755" s="162">
        <f ca="1">+R1</f>
        <v>44909.46975358796</v>
      </c>
    </row>
    <row r="756" spans="1:18" ht="15.75" customHeight="1" x14ac:dyDescent="0.3">
      <c r="A756" s="159"/>
      <c r="B756" s="159"/>
      <c r="C756" s="159"/>
      <c r="D756" s="159" t="str">
        <f>++A5</f>
        <v>Calendar Year 2010</v>
      </c>
      <c r="E756" s="159"/>
      <c r="F756" s="159"/>
      <c r="G756" s="159"/>
      <c r="H756" s="159"/>
      <c r="I756" s="159"/>
      <c r="J756" s="159"/>
      <c r="K756" s="159"/>
      <c r="L756" s="159"/>
      <c r="M756" s="159"/>
      <c r="N756" s="159"/>
      <c r="O756" s="159"/>
      <c r="P756" s="159"/>
      <c r="Q756" s="159"/>
      <c r="R756" s="159"/>
    </row>
    <row r="757" spans="1:18" ht="15.75" customHeight="1" x14ac:dyDescent="0.3">
      <c r="A757" s="159"/>
      <c r="B757" s="159"/>
      <c r="C757" s="159"/>
      <c r="D757" s="159"/>
      <c r="E757" s="159"/>
      <c r="F757" s="159"/>
      <c r="G757" s="159"/>
      <c r="H757" s="159"/>
      <c r="I757" s="159"/>
      <c r="J757" s="159"/>
      <c r="K757" s="159"/>
      <c r="L757" s="159"/>
      <c r="M757" s="159"/>
      <c r="N757" s="159"/>
      <c r="O757" s="159"/>
      <c r="P757" s="159"/>
      <c r="Q757" s="159"/>
      <c r="R757" s="159"/>
    </row>
    <row r="758" spans="1:18" ht="15.75" customHeight="1" x14ac:dyDescent="0.3">
      <c r="A758" s="159"/>
      <c r="B758" s="159"/>
      <c r="C758" s="159"/>
      <c r="D758" s="159"/>
      <c r="E758" s="159"/>
      <c r="F758" s="159"/>
      <c r="G758" s="164" t="s">
        <v>425</v>
      </c>
      <c r="H758" s="159"/>
      <c r="I758" s="159"/>
      <c r="J758" s="159"/>
      <c r="K758" s="159"/>
      <c r="L758" s="159"/>
      <c r="M758" s="159"/>
      <c r="N758" s="159"/>
      <c r="O758" s="159"/>
      <c r="P758" s="159"/>
      <c r="Q758" s="159"/>
      <c r="R758" s="159"/>
    </row>
    <row r="759" spans="1:18" ht="15.75" customHeight="1" x14ac:dyDescent="0.3">
      <c r="A759" s="159"/>
      <c r="B759" s="159" t="s">
        <v>424</v>
      </c>
      <c r="C759" s="159"/>
      <c r="D759" s="164" t="s">
        <v>426</v>
      </c>
      <c r="E759" s="164" t="s">
        <v>426</v>
      </c>
      <c r="F759" s="164" t="s">
        <v>427</v>
      </c>
      <c r="G759" s="164" t="s">
        <v>404</v>
      </c>
      <c r="H759" s="164" t="s">
        <v>428</v>
      </c>
      <c r="I759" s="164" t="s">
        <v>429</v>
      </c>
      <c r="J759" s="164" t="s">
        <v>422</v>
      </c>
      <c r="K759" s="159" t="s">
        <v>424</v>
      </c>
      <c r="L759" s="164" t="s">
        <v>430</v>
      </c>
      <c r="M759" s="164" t="s">
        <v>430</v>
      </c>
      <c r="N759" s="164" t="s">
        <v>430</v>
      </c>
      <c r="O759" s="159"/>
      <c r="P759" s="159"/>
      <c r="Q759" s="159"/>
      <c r="R759" s="159"/>
    </row>
    <row r="760" spans="1:18" ht="15.75" customHeight="1" x14ac:dyDescent="0.35">
      <c r="A760" s="159"/>
      <c r="B760" s="164" t="s">
        <v>394</v>
      </c>
      <c r="C760" s="164" t="s">
        <v>431</v>
      </c>
      <c r="D760" s="164" t="s">
        <v>432</v>
      </c>
      <c r="E760" s="164" t="s">
        <v>432</v>
      </c>
      <c r="F760" s="164" t="s">
        <v>433</v>
      </c>
      <c r="G760" s="165" t="s">
        <v>434</v>
      </c>
      <c r="H760" s="164" t="s">
        <v>435</v>
      </c>
      <c r="I760" s="164" t="s">
        <v>436</v>
      </c>
      <c r="J760" s="164" t="s">
        <v>437</v>
      </c>
      <c r="K760" s="159" t="s">
        <v>424</v>
      </c>
      <c r="L760" s="164" t="s">
        <v>438</v>
      </c>
      <c r="M760" s="164" t="s">
        <v>434</v>
      </c>
      <c r="N760" s="164" t="s">
        <v>407</v>
      </c>
      <c r="O760" s="159"/>
      <c r="P760" s="159"/>
      <c r="Q760" s="159"/>
      <c r="R760" s="159"/>
    </row>
    <row r="761" spans="1:18" ht="15.75" customHeight="1" x14ac:dyDescent="0.3">
      <c r="A761" s="159"/>
      <c r="B761" s="164" t="s">
        <v>406</v>
      </c>
      <c r="C761" s="164" t="s">
        <v>439</v>
      </c>
      <c r="D761" s="164" t="s">
        <v>440</v>
      </c>
      <c r="E761" s="164" t="s">
        <v>441</v>
      </c>
      <c r="F761" s="164" t="s">
        <v>442</v>
      </c>
      <c r="G761" s="164" t="s">
        <v>442</v>
      </c>
      <c r="H761" s="164" t="s">
        <v>442</v>
      </c>
      <c r="I761" s="164" t="s">
        <v>442</v>
      </c>
      <c r="J761" s="164" t="s">
        <v>443</v>
      </c>
      <c r="K761" s="159" t="s">
        <v>424</v>
      </c>
      <c r="L761" s="164" t="s">
        <v>444</v>
      </c>
      <c r="M761" s="164" t="s">
        <v>445</v>
      </c>
      <c r="N761" s="164" t="s">
        <v>445</v>
      </c>
      <c r="O761" s="159"/>
      <c r="P761" s="159"/>
      <c r="Q761" s="159"/>
      <c r="R761" s="159"/>
    </row>
    <row r="762" spans="1:18" ht="15.75" customHeight="1" x14ac:dyDescent="0.3">
      <c r="A762" s="159"/>
      <c r="B762" s="164" t="s">
        <v>446</v>
      </c>
      <c r="C762" s="164" t="s">
        <v>447</v>
      </c>
      <c r="D762" s="164" t="s">
        <v>448</v>
      </c>
      <c r="E762" s="164" t="s">
        <v>448</v>
      </c>
      <c r="F762" s="164" t="s">
        <v>448</v>
      </c>
      <c r="G762" s="164" t="s">
        <v>448</v>
      </c>
      <c r="H762" s="164" t="s">
        <v>448</v>
      </c>
      <c r="I762" s="164" t="s">
        <v>448</v>
      </c>
      <c r="J762" s="164" t="s">
        <v>448</v>
      </c>
      <c r="K762" s="159" t="s">
        <v>424</v>
      </c>
      <c r="L762" s="164" t="s">
        <v>449</v>
      </c>
      <c r="M762" s="164" t="s">
        <v>449</v>
      </c>
      <c r="N762" s="164" t="s">
        <v>449</v>
      </c>
      <c r="O762" s="159"/>
      <c r="P762" s="159"/>
      <c r="Q762" s="159"/>
      <c r="R762" s="159"/>
    </row>
    <row r="763" spans="1:18" ht="15.75" customHeight="1" x14ac:dyDescent="0.3">
      <c r="A763" s="159"/>
      <c r="B763" s="159" t="s">
        <v>409</v>
      </c>
      <c r="C763" s="159" t="s">
        <v>409</v>
      </c>
      <c r="D763" s="159" t="s">
        <v>409</v>
      </c>
      <c r="E763" s="159" t="s">
        <v>409</v>
      </c>
      <c r="F763" s="159" t="s">
        <v>409</v>
      </c>
      <c r="G763" s="159" t="s">
        <v>409</v>
      </c>
      <c r="H763" s="159" t="s">
        <v>409</v>
      </c>
      <c r="I763" s="159" t="s">
        <v>409</v>
      </c>
      <c r="J763" s="159" t="s">
        <v>409</v>
      </c>
      <c r="K763" s="159" t="s">
        <v>424</v>
      </c>
      <c r="L763" s="159" t="s">
        <v>409</v>
      </c>
      <c r="M763" s="159" t="s">
        <v>409</v>
      </c>
      <c r="N763" s="159" t="s">
        <v>409</v>
      </c>
      <c r="O763" s="159"/>
      <c r="P763" s="159"/>
      <c r="Q763" s="159"/>
      <c r="R763" s="159"/>
    </row>
    <row r="764" spans="1:18" ht="15.75" customHeight="1" x14ac:dyDescent="0.3">
      <c r="A764" s="164" t="s">
        <v>410</v>
      </c>
      <c r="B764" s="159">
        <f t="shared" ref="B764:B775" si="104">(F739)</f>
        <v>69254</v>
      </c>
      <c r="C764" s="159">
        <f t="shared" ref="C764:C775" si="105">(SUM($B$737:$F$737))</f>
        <v>1607</v>
      </c>
      <c r="D764" s="159">
        <f t="shared" ref="D764:D775" si="106">(B764*C764/1000)</f>
        <v>111291.178</v>
      </c>
      <c r="E764" s="159">
        <f t="shared" ref="E764:E775" si="107">(((B739-F739)*B$737)+((C739-F739)*C$737)+((D739-F739)*D$737)+((E739-F739)*E$737))/1000</f>
        <v>80436.668000000005</v>
      </c>
      <c r="F764" s="159">
        <f t="shared" ref="F764:F775" si="108">(D764+E764)</f>
        <v>191727.84600000002</v>
      </c>
      <c r="G764" s="159">
        <f t="shared" ref="G764:G775" si="109">SUM(H821:Q821)</f>
        <v>21491.056</v>
      </c>
      <c r="H764" s="159">
        <f t="shared" ref="H764:H775" si="110">+F764+G764</f>
        <v>213218.90200000003</v>
      </c>
      <c r="I764" s="159">
        <f t="shared" ref="I764:I771" si="111">(E875)</f>
        <v>0</v>
      </c>
      <c r="J764" s="159">
        <f t="shared" ref="J764:J775" si="112">(H764-I764)</f>
        <v>213218.90200000003</v>
      </c>
      <c r="K764" s="159" t="s">
        <v>424</v>
      </c>
      <c r="L764" s="159">
        <f>+B739/31/1.98</f>
        <v>2063.6526555881396</v>
      </c>
      <c r="M764" s="159">
        <f>(B764*43560/31/24/3600)</f>
        <v>1126.3083333333334</v>
      </c>
      <c r="N764" s="159">
        <f>+B255</f>
        <v>0</v>
      </c>
      <c r="O764" s="159"/>
      <c r="P764" s="159"/>
      <c r="Q764" s="159"/>
      <c r="R764" s="159"/>
    </row>
    <row r="765" spans="1:18" ht="15.75" customHeight="1" x14ac:dyDescent="0.3">
      <c r="A765" s="164" t="s">
        <v>411</v>
      </c>
      <c r="B765" s="159">
        <f t="shared" si="104"/>
        <v>32024</v>
      </c>
      <c r="C765" s="159">
        <f t="shared" si="105"/>
        <v>1607</v>
      </c>
      <c r="D765" s="159">
        <f t="shared" si="106"/>
        <v>51462.567999999999</v>
      </c>
      <c r="E765" s="159">
        <f t="shared" si="107"/>
        <v>81686.744999999995</v>
      </c>
      <c r="F765" s="159">
        <f t="shared" si="108"/>
        <v>133149.31299999999</v>
      </c>
      <c r="G765" s="159">
        <f t="shared" si="109"/>
        <v>21033.853000000003</v>
      </c>
      <c r="H765" s="159">
        <f t="shared" si="110"/>
        <v>154183.166</v>
      </c>
      <c r="I765" s="159">
        <f t="shared" si="111"/>
        <v>0</v>
      </c>
      <c r="J765" s="159">
        <f t="shared" si="112"/>
        <v>154183.166</v>
      </c>
      <c r="K765" s="159" t="s">
        <v>424</v>
      </c>
      <c r="L765" s="159">
        <f>+B740/28/1.98</f>
        <v>1646.4646464646464</v>
      </c>
      <c r="M765" s="159">
        <f>(B765*43560/29/24/3600)</f>
        <v>556.73908045977009</v>
      </c>
      <c r="N765" s="159">
        <f>+C255</f>
        <v>0</v>
      </c>
      <c r="O765" s="159"/>
      <c r="P765" s="159"/>
      <c r="Q765" s="159"/>
      <c r="R765" s="159"/>
    </row>
    <row r="766" spans="1:18" ht="15.75" customHeight="1" x14ac:dyDescent="0.3">
      <c r="A766" s="164" t="s">
        <v>412</v>
      </c>
      <c r="B766" s="159">
        <f t="shared" si="104"/>
        <v>23237</v>
      </c>
      <c r="C766" s="159">
        <f t="shared" si="105"/>
        <v>1607</v>
      </c>
      <c r="D766" s="159">
        <f t="shared" si="106"/>
        <v>37341.858999999997</v>
      </c>
      <c r="E766" s="159">
        <f t="shared" si="107"/>
        <v>148295.03599999999</v>
      </c>
      <c r="F766" s="159">
        <f t="shared" si="108"/>
        <v>185636.89499999999</v>
      </c>
      <c r="G766" s="159">
        <f t="shared" si="109"/>
        <v>35481.758000000002</v>
      </c>
      <c r="H766" s="159">
        <f t="shared" si="110"/>
        <v>221118.65299999999</v>
      </c>
      <c r="I766" s="159">
        <f t="shared" si="111"/>
        <v>0</v>
      </c>
      <c r="J766" s="159">
        <f t="shared" si="112"/>
        <v>221118.65299999999</v>
      </c>
      <c r="K766" s="159" t="s">
        <v>424</v>
      </c>
      <c r="L766" s="159">
        <f>+B741/31/1.98</f>
        <v>2118.6379928315414</v>
      </c>
      <c r="M766" s="159">
        <f>(B766*43560/31/24/3600)</f>
        <v>377.91357526881717</v>
      </c>
      <c r="N766" s="159">
        <f>+D255</f>
        <v>0</v>
      </c>
      <c r="O766" s="159"/>
      <c r="P766" s="159"/>
      <c r="Q766" s="159"/>
      <c r="R766" s="159"/>
    </row>
    <row r="767" spans="1:18" ht="15.75" customHeight="1" x14ac:dyDescent="0.3">
      <c r="A767" s="164" t="s">
        <v>413</v>
      </c>
      <c r="B767" s="159">
        <f t="shared" si="104"/>
        <v>0</v>
      </c>
      <c r="C767" s="159">
        <f t="shared" si="105"/>
        <v>1607</v>
      </c>
      <c r="D767" s="159">
        <f t="shared" si="106"/>
        <v>0</v>
      </c>
      <c r="E767" s="159">
        <f t="shared" si="107"/>
        <v>216642.90100000001</v>
      </c>
      <c r="F767" s="159">
        <f t="shared" si="108"/>
        <v>216642.90100000001</v>
      </c>
      <c r="G767" s="159">
        <f t="shared" si="109"/>
        <v>47074.52</v>
      </c>
      <c r="H767" s="159">
        <f t="shared" si="110"/>
        <v>263717.42100000003</v>
      </c>
      <c r="I767" s="159">
        <f t="shared" si="111"/>
        <v>637.06500000000005</v>
      </c>
      <c r="J767" s="159">
        <f t="shared" si="112"/>
        <v>263080.35600000003</v>
      </c>
      <c r="K767" s="159" t="s">
        <v>424</v>
      </c>
      <c r="L767" s="159">
        <f>+B742/30/1.98</f>
        <v>2589.4612794612794</v>
      </c>
      <c r="M767" s="159">
        <f>(B767*43560/30/24/3600)</f>
        <v>0</v>
      </c>
      <c r="N767" s="159">
        <f>+F255</f>
        <v>-88.502269288956128</v>
      </c>
      <c r="O767" s="159"/>
      <c r="P767" s="159"/>
      <c r="Q767" s="159"/>
      <c r="R767" s="159"/>
    </row>
    <row r="768" spans="1:18" ht="15.75" customHeight="1" x14ac:dyDescent="0.3">
      <c r="A768" s="164" t="s">
        <v>414</v>
      </c>
      <c r="B768" s="159">
        <f t="shared" si="104"/>
        <v>794</v>
      </c>
      <c r="C768" s="159">
        <f t="shared" si="105"/>
        <v>1607</v>
      </c>
      <c r="D768" s="159">
        <f t="shared" si="106"/>
        <v>1275.9580000000001</v>
      </c>
      <c r="E768" s="159">
        <f t="shared" si="107"/>
        <v>236066.59299999999</v>
      </c>
      <c r="F768" s="159">
        <f t="shared" si="108"/>
        <v>237342.55100000001</v>
      </c>
      <c r="G768" s="159">
        <f t="shared" si="109"/>
        <v>42753.418000000005</v>
      </c>
      <c r="H768" s="159">
        <f t="shared" si="110"/>
        <v>280095.96900000004</v>
      </c>
      <c r="I768" s="159">
        <f t="shared" si="111"/>
        <v>285.68099999999998</v>
      </c>
      <c r="J768" s="159">
        <f t="shared" si="112"/>
        <v>279810.28800000006</v>
      </c>
      <c r="K768" s="159" t="s">
        <v>424</v>
      </c>
      <c r="L768" s="159">
        <f>+B743/31/1.98</f>
        <v>2780.7917888563052</v>
      </c>
      <c r="M768" s="159">
        <f>(B768*43560/31/24/3600)</f>
        <v>12.913172043010752</v>
      </c>
      <c r="N768" s="159">
        <f>+G255</f>
        <v>-38.407105558537893</v>
      </c>
      <c r="O768" s="159"/>
      <c r="P768" s="159"/>
      <c r="Q768" s="159"/>
      <c r="R768" s="159"/>
    </row>
    <row r="769" spans="1:18" ht="15.75" customHeight="1" x14ac:dyDescent="0.3">
      <c r="A769" s="164" t="s">
        <v>415</v>
      </c>
      <c r="B769" s="159">
        <f t="shared" si="104"/>
        <v>0</v>
      </c>
      <c r="C769" s="159">
        <f t="shared" si="105"/>
        <v>1607</v>
      </c>
      <c r="D769" s="159">
        <f t="shared" si="106"/>
        <v>0</v>
      </c>
      <c r="E769" s="159">
        <f t="shared" si="107"/>
        <v>239384.66399999999</v>
      </c>
      <c r="F769" s="159">
        <f t="shared" si="108"/>
        <v>239384.66399999999</v>
      </c>
      <c r="G769" s="159">
        <f t="shared" si="109"/>
        <v>45278.075999999994</v>
      </c>
      <c r="H769" s="159">
        <f t="shared" si="110"/>
        <v>284662.74</v>
      </c>
      <c r="I769" s="159">
        <f t="shared" si="111"/>
        <v>4835.7650000000003</v>
      </c>
      <c r="J769" s="159">
        <f t="shared" si="112"/>
        <v>279826.97499999998</v>
      </c>
      <c r="K769" s="159" t="s">
        <v>424</v>
      </c>
      <c r="L769" s="159">
        <f>+B744/30/1.98</f>
        <v>2900.3872053872051</v>
      </c>
      <c r="M769" s="159">
        <f t="shared" ref="M769:M774" si="113">(B769*43560/30/24/3600)</f>
        <v>0</v>
      </c>
      <c r="N769" s="159">
        <f>+H255</f>
        <v>-671.79357875273161</v>
      </c>
      <c r="O769" s="159"/>
      <c r="P769" s="159"/>
      <c r="Q769" s="159"/>
      <c r="R769" s="159"/>
    </row>
    <row r="770" spans="1:18" ht="15.75" customHeight="1" x14ac:dyDescent="0.3">
      <c r="A770" s="164" t="s">
        <v>416</v>
      </c>
      <c r="B770" s="159">
        <f t="shared" si="104"/>
        <v>0</v>
      </c>
      <c r="C770" s="159">
        <f t="shared" si="105"/>
        <v>1607</v>
      </c>
      <c r="D770" s="159">
        <f t="shared" si="106"/>
        <v>0</v>
      </c>
      <c r="E770" s="159">
        <f t="shared" si="107"/>
        <v>69882.398000000001</v>
      </c>
      <c r="F770" s="159">
        <f t="shared" si="108"/>
        <v>69882.398000000001</v>
      </c>
      <c r="G770" s="159">
        <f t="shared" si="109"/>
        <v>45622.32</v>
      </c>
      <c r="H770" s="159">
        <f t="shared" si="110"/>
        <v>115504.71799999999</v>
      </c>
      <c r="I770" s="159">
        <f t="shared" si="111"/>
        <v>20295.088</v>
      </c>
      <c r="J770" s="159">
        <f t="shared" si="112"/>
        <v>95209.62999999999</v>
      </c>
      <c r="K770" s="159" t="s">
        <v>424</v>
      </c>
      <c r="L770" s="159">
        <f>+B745/31/1.98</f>
        <v>883.47996089931576</v>
      </c>
      <c r="M770" s="159">
        <f t="shared" si="113"/>
        <v>0</v>
      </c>
      <c r="N770" s="159">
        <f>+J255</f>
        <v>-2728.4824231776552</v>
      </c>
      <c r="O770" s="159"/>
      <c r="P770" s="159"/>
      <c r="Q770" s="159"/>
      <c r="R770" s="159"/>
    </row>
    <row r="771" spans="1:18" ht="15.75" customHeight="1" x14ac:dyDescent="0.3">
      <c r="A771" s="164" t="s">
        <v>417</v>
      </c>
      <c r="B771" s="159">
        <f t="shared" si="104"/>
        <v>0</v>
      </c>
      <c r="C771" s="159">
        <f t="shared" si="105"/>
        <v>1607</v>
      </c>
      <c r="D771" s="159">
        <f t="shared" si="106"/>
        <v>0</v>
      </c>
      <c r="E771" s="159">
        <f t="shared" si="107"/>
        <v>117342.545</v>
      </c>
      <c r="F771" s="159">
        <f t="shared" si="108"/>
        <v>117342.545</v>
      </c>
      <c r="G771" s="159">
        <f t="shared" si="109"/>
        <v>44562.156000000003</v>
      </c>
      <c r="H771" s="159">
        <f t="shared" si="110"/>
        <v>161904.701</v>
      </c>
      <c r="I771" s="159">
        <f t="shared" si="111"/>
        <v>12934.295</v>
      </c>
      <c r="J771" s="159">
        <f t="shared" si="112"/>
        <v>148970.40599999999</v>
      </c>
      <c r="K771" s="159" t="s">
        <v>424</v>
      </c>
      <c r="L771" s="159">
        <f>+B746/31/1.98</f>
        <v>1430.7429130009775</v>
      </c>
      <c r="M771" s="159">
        <f t="shared" si="113"/>
        <v>0</v>
      </c>
      <c r="N771" s="159">
        <f>+K255</f>
        <v>-1738.8934979584531</v>
      </c>
      <c r="O771" s="159"/>
      <c r="P771" s="159"/>
      <c r="Q771" s="159"/>
      <c r="R771" s="159"/>
    </row>
    <row r="772" spans="1:18" ht="15.75" customHeight="1" x14ac:dyDescent="0.3">
      <c r="A772" s="164" t="s">
        <v>418</v>
      </c>
      <c r="B772" s="159">
        <f t="shared" si="104"/>
        <v>15215</v>
      </c>
      <c r="C772" s="159">
        <f t="shared" si="105"/>
        <v>1607</v>
      </c>
      <c r="D772" s="159">
        <f t="shared" si="106"/>
        <v>24450.505000000001</v>
      </c>
      <c r="E772" s="159">
        <f t="shared" si="107"/>
        <v>210905.81400000001</v>
      </c>
      <c r="F772" s="159">
        <f t="shared" si="108"/>
        <v>235356.31900000002</v>
      </c>
      <c r="G772" s="159">
        <f t="shared" si="109"/>
        <v>34629.377999999997</v>
      </c>
      <c r="H772" s="159">
        <f t="shared" si="110"/>
        <v>269985.69700000004</v>
      </c>
      <c r="I772" s="159">
        <v>0</v>
      </c>
      <c r="J772" s="159">
        <f t="shared" si="112"/>
        <v>269985.69700000004</v>
      </c>
      <c r="K772" s="159" t="s">
        <v>424</v>
      </c>
      <c r="L772" s="159">
        <f>+B747/30/1.98</f>
        <v>2834.5454545454545</v>
      </c>
      <c r="M772" s="159">
        <f t="shared" si="113"/>
        <v>255.69652777777779</v>
      </c>
      <c r="N772" s="159">
        <f>+L255</f>
        <v>-310.95982518070264</v>
      </c>
      <c r="O772" s="159"/>
      <c r="P772" s="159"/>
      <c r="Q772" s="159"/>
      <c r="R772" s="159"/>
    </row>
    <row r="773" spans="1:18" ht="15.75" customHeight="1" x14ac:dyDescent="0.3">
      <c r="A773" s="164" t="s">
        <v>419</v>
      </c>
      <c r="B773" s="159">
        <f t="shared" si="104"/>
        <v>55015</v>
      </c>
      <c r="C773" s="159">
        <f t="shared" si="105"/>
        <v>1607</v>
      </c>
      <c r="D773" s="159">
        <f t="shared" si="106"/>
        <v>88409.104999999996</v>
      </c>
      <c r="E773" s="159">
        <f t="shared" si="107"/>
        <v>150585.62299999999</v>
      </c>
      <c r="F773" s="159">
        <f t="shared" si="108"/>
        <v>238994.728</v>
      </c>
      <c r="G773" s="159">
        <f t="shared" si="109"/>
        <v>13775.88</v>
      </c>
      <c r="H773" s="159">
        <f t="shared" si="110"/>
        <v>252770.60800000001</v>
      </c>
      <c r="I773" s="159">
        <v>0</v>
      </c>
      <c r="J773" s="159">
        <f t="shared" si="112"/>
        <v>252770.60800000001</v>
      </c>
      <c r="K773" s="159" t="s">
        <v>424</v>
      </c>
      <c r="L773" s="159">
        <f>+B748/31/1.98</f>
        <v>2691.9354838709678</v>
      </c>
      <c r="M773" s="159">
        <f t="shared" si="113"/>
        <v>924.55763888888885</v>
      </c>
      <c r="N773" s="159">
        <f>+N255</f>
        <v>0</v>
      </c>
      <c r="O773" s="159"/>
      <c r="P773" s="159"/>
      <c r="Q773" s="159"/>
      <c r="R773" s="159"/>
    </row>
    <row r="774" spans="1:18" ht="15.75" customHeight="1" x14ac:dyDescent="0.3">
      <c r="A774" s="164" t="s">
        <v>420</v>
      </c>
      <c r="B774" s="159">
        <f t="shared" si="104"/>
        <v>64395</v>
      </c>
      <c r="C774" s="159">
        <f t="shared" si="105"/>
        <v>1607</v>
      </c>
      <c r="D774" s="159">
        <f t="shared" si="106"/>
        <v>103482.765</v>
      </c>
      <c r="E774" s="159">
        <f t="shared" si="107"/>
        <v>120535.053</v>
      </c>
      <c r="F774" s="159">
        <f t="shared" si="108"/>
        <v>224017.818</v>
      </c>
      <c r="G774" s="159">
        <f t="shared" si="109"/>
        <v>20342.895000000004</v>
      </c>
      <c r="H774" s="159">
        <f t="shared" si="110"/>
        <v>244360.71299999999</v>
      </c>
      <c r="I774" s="159">
        <f>(E885)</f>
        <v>0</v>
      </c>
      <c r="J774" s="159">
        <f t="shared" si="112"/>
        <v>244360.71299999999</v>
      </c>
      <c r="K774" s="159" t="s">
        <v>424</v>
      </c>
      <c r="L774" s="159">
        <f>+B749/30/1.98</f>
        <v>2552.8282828282831</v>
      </c>
      <c r="M774" s="159">
        <f t="shared" si="113"/>
        <v>1082.1937499999999</v>
      </c>
      <c r="N774" s="159">
        <f>+O255</f>
        <v>0</v>
      </c>
      <c r="O774" s="159"/>
      <c r="P774" s="159"/>
      <c r="Q774" s="159"/>
      <c r="R774" s="159"/>
    </row>
    <row r="775" spans="1:18" ht="15.75" customHeight="1" x14ac:dyDescent="0.3">
      <c r="A775" s="164" t="s">
        <v>421</v>
      </c>
      <c r="B775" s="159">
        <f t="shared" si="104"/>
        <v>104913</v>
      </c>
      <c r="C775" s="159">
        <f t="shared" si="105"/>
        <v>1607</v>
      </c>
      <c r="D775" s="159">
        <f t="shared" si="106"/>
        <v>168595.19099999999</v>
      </c>
      <c r="E775" s="159">
        <f t="shared" si="107"/>
        <v>113713.08500000001</v>
      </c>
      <c r="F775" s="159">
        <f t="shared" si="108"/>
        <v>282308.27600000001</v>
      </c>
      <c r="G775" s="159">
        <f t="shared" si="109"/>
        <v>12588.699000000001</v>
      </c>
      <c r="H775" s="159">
        <f t="shared" si="110"/>
        <v>294896.97500000003</v>
      </c>
      <c r="I775" s="159">
        <f>(E886)</f>
        <v>0</v>
      </c>
      <c r="J775" s="159">
        <f t="shared" si="112"/>
        <v>294896.97500000003</v>
      </c>
      <c r="K775" s="159" t="s">
        <v>424</v>
      </c>
      <c r="L775" s="159">
        <f>+B750/31/1.98</f>
        <v>3087.5529488432712</v>
      </c>
      <c r="M775" s="159">
        <f>(B775*43560/31/24/3600)</f>
        <v>1706.2463709677418</v>
      </c>
      <c r="N775" s="159">
        <f>+P255</f>
        <v>0</v>
      </c>
      <c r="O775" s="159"/>
      <c r="P775" s="159"/>
      <c r="Q775" s="159"/>
      <c r="R775" s="159"/>
    </row>
    <row r="776" spans="1:18" ht="15.75" customHeight="1" x14ac:dyDescent="0.3">
      <c r="A776" s="159"/>
      <c r="B776" s="159"/>
      <c r="C776" s="159"/>
      <c r="D776" s="159"/>
      <c r="E776" s="159"/>
      <c r="F776" s="159"/>
      <c r="G776" s="159"/>
      <c r="H776" s="159"/>
      <c r="I776" s="159"/>
      <c r="J776" s="159"/>
      <c r="K776" s="159" t="s">
        <v>424</v>
      </c>
      <c r="L776" s="159"/>
      <c r="M776" s="159"/>
      <c r="N776" s="159"/>
      <c r="O776" s="159"/>
      <c r="P776" s="159"/>
      <c r="Q776" s="159"/>
      <c r="R776" s="159"/>
    </row>
    <row r="777" spans="1:18" ht="15.75" customHeight="1" x14ac:dyDescent="0.3">
      <c r="A777" s="159" t="s">
        <v>422</v>
      </c>
      <c r="B777" s="159">
        <f>SUM(B764:B775)</f>
        <v>364847</v>
      </c>
      <c r="C777" s="159"/>
      <c r="D777" s="159">
        <f t="shared" ref="D777:J777" si="114">SUM(D764:D775)</f>
        <v>586309.12899999996</v>
      </c>
      <c r="E777" s="159">
        <f t="shared" si="114"/>
        <v>1785477.125</v>
      </c>
      <c r="F777" s="159">
        <f t="shared" si="114"/>
        <v>2371786.2540000002</v>
      </c>
      <c r="G777" s="159">
        <f t="shared" si="114"/>
        <v>384634.00900000008</v>
      </c>
      <c r="H777" s="159">
        <f t="shared" si="114"/>
        <v>2756420.2630000003</v>
      </c>
      <c r="I777" s="159">
        <f t="shared" si="114"/>
        <v>38987.894</v>
      </c>
      <c r="J777" s="159">
        <f t="shared" si="114"/>
        <v>2717432.3690000004</v>
      </c>
      <c r="K777" s="159"/>
      <c r="L777" s="159"/>
      <c r="M777" s="159"/>
      <c r="N777" s="159"/>
      <c r="O777" s="159"/>
      <c r="P777" s="159"/>
      <c r="Q777" s="159"/>
      <c r="R777" s="159"/>
    </row>
    <row r="778" spans="1:18" ht="15.75" customHeight="1" x14ac:dyDescent="0.3">
      <c r="A778" s="159"/>
      <c r="B778" s="159"/>
      <c r="C778" s="159"/>
      <c r="D778" s="159"/>
      <c r="E778" s="159"/>
      <c r="F778" s="159"/>
      <c r="G778" s="159"/>
      <c r="H778" s="159"/>
      <c r="I778" s="159"/>
      <c r="J778" s="159"/>
      <c r="K778" s="159"/>
      <c r="L778" s="159"/>
      <c r="M778" s="159"/>
      <c r="N778" s="159"/>
      <c r="O778" s="159"/>
      <c r="P778" s="159"/>
      <c r="Q778" s="159"/>
      <c r="R778" s="159"/>
    </row>
    <row r="779" spans="1:18" ht="15.75" customHeight="1" x14ac:dyDescent="0.3">
      <c r="A779" s="159" t="s">
        <v>450</v>
      </c>
      <c r="B779" s="159"/>
      <c r="C779" s="159"/>
      <c r="D779" s="159"/>
      <c r="E779" s="159"/>
      <c r="F779" s="159"/>
      <c r="G779" s="159"/>
      <c r="H779" s="159"/>
      <c r="I779" s="159"/>
      <c r="J779" s="159"/>
      <c r="K779" s="159"/>
      <c r="L779" s="159"/>
      <c r="M779" s="159"/>
      <c r="N779" s="159"/>
      <c r="O779" s="159"/>
      <c r="P779" s="159"/>
      <c r="Q779" s="159"/>
      <c r="R779" s="159"/>
    </row>
    <row r="780" spans="1:18" ht="15.75" customHeight="1" x14ac:dyDescent="0.3">
      <c r="A780" s="159" t="s">
        <v>451</v>
      </c>
      <c r="B780" s="159"/>
      <c r="C780" s="159"/>
      <c r="D780" s="159"/>
      <c r="E780" s="159"/>
      <c r="F780" s="159"/>
      <c r="G780" s="159"/>
      <c r="H780" s="159"/>
      <c r="I780" s="159"/>
      <c r="J780" s="159"/>
      <c r="K780" s="159"/>
      <c r="L780" s="159"/>
      <c r="M780" s="159"/>
      <c r="N780" s="159"/>
      <c r="O780" s="159"/>
      <c r="P780" s="159"/>
      <c r="Q780" s="159"/>
      <c r="R780" s="159"/>
    </row>
    <row r="781" spans="1:18" ht="15.75" customHeight="1" x14ac:dyDescent="0.3">
      <c r="A781" s="159"/>
      <c r="B781" s="159"/>
      <c r="C781" s="159"/>
      <c r="D781" s="159"/>
      <c r="E781" s="159"/>
      <c r="F781" s="159"/>
      <c r="G781" s="159"/>
      <c r="H781" s="159"/>
      <c r="I781" s="159"/>
      <c r="J781" s="159"/>
      <c r="K781" s="159"/>
      <c r="L781" s="159"/>
      <c r="M781" s="159"/>
      <c r="N781" s="159"/>
      <c r="O781" s="159"/>
      <c r="P781" s="159"/>
      <c r="Q781" s="159"/>
      <c r="R781" s="159"/>
    </row>
    <row r="782" spans="1:18" ht="15.75" customHeight="1" x14ac:dyDescent="0.3">
      <c r="A782" s="159" t="s">
        <v>452</v>
      </c>
      <c r="B782" s="159"/>
      <c r="C782" s="159"/>
      <c r="D782" s="159"/>
      <c r="E782" s="159"/>
      <c r="F782" s="159"/>
      <c r="G782" s="159"/>
      <c r="H782" s="159"/>
      <c r="I782" s="159"/>
      <c r="J782" s="159"/>
      <c r="K782" s="159"/>
      <c r="L782" s="159"/>
      <c r="M782" s="159"/>
      <c r="N782" s="159"/>
      <c r="O782" s="159"/>
      <c r="P782" s="159"/>
      <c r="Q782" s="159"/>
      <c r="R782" s="159"/>
    </row>
    <row r="783" spans="1:18" ht="15.75" customHeight="1" x14ac:dyDescent="0.3">
      <c r="A783" s="159"/>
      <c r="B783" s="159"/>
      <c r="C783" s="159"/>
      <c r="D783" s="159"/>
      <c r="E783" s="159"/>
      <c r="F783" s="159"/>
      <c r="G783" s="159"/>
      <c r="H783" s="159"/>
      <c r="I783" s="159"/>
      <c r="J783" s="159"/>
      <c r="K783" s="159"/>
      <c r="L783" s="159"/>
      <c r="M783" s="159"/>
      <c r="N783" s="159"/>
      <c r="O783" s="159"/>
      <c r="P783" s="159"/>
      <c r="Q783" s="159"/>
      <c r="R783" s="159"/>
    </row>
    <row r="784" spans="1:18" ht="15.75" customHeight="1" x14ac:dyDescent="0.3">
      <c r="A784" s="159" t="s">
        <v>453</v>
      </c>
      <c r="B784" s="159"/>
      <c r="C784" s="159"/>
      <c r="D784" s="159"/>
      <c r="E784" s="159"/>
      <c r="F784" s="159"/>
      <c r="G784" s="159"/>
      <c r="H784" s="159"/>
      <c r="I784" s="159"/>
      <c r="J784" s="159"/>
      <c r="K784" s="159"/>
      <c r="L784" s="159"/>
      <c r="M784" s="159"/>
      <c r="N784" s="159"/>
      <c r="O784" s="159"/>
      <c r="P784" s="159"/>
      <c r="Q784" s="159"/>
      <c r="R784" s="159"/>
    </row>
    <row r="785" spans="1:18" ht="15.75" customHeight="1" x14ac:dyDescent="0.3">
      <c r="A785" s="159"/>
      <c r="B785" s="159"/>
      <c r="C785" s="159"/>
      <c r="D785" s="159"/>
      <c r="E785" s="159"/>
      <c r="F785" s="159"/>
      <c r="G785" s="159"/>
      <c r="H785" s="159"/>
      <c r="I785" s="159"/>
      <c r="J785" s="159"/>
      <c r="K785" s="159"/>
      <c r="L785" s="159"/>
      <c r="M785" s="159"/>
      <c r="N785" s="159"/>
      <c r="O785" s="159"/>
      <c r="P785" s="159"/>
      <c r="Q785" s="159"/>
      <c r="R785" s="159"/>
    </row>
    <row r="786" spans="1:18" ht="15.75" customHeight="1" x14ac:dyDescent="0.3">
      <c r="A786" s="159"/>
      <c r="B786" s="159"/>
      <c r="C786" s="159"/>
      <c r="D786" s="161" t="s">
        <v>454</v>
      </c>
      <c r="E786" s="159"/>
      <c r="F786" s="159"/>
      <c r="G786" s="159"/>
      <c r="H786" s="159"/>
      <c r="I786" s="159"/>
      <c r="J786" s="159"/>
      <c r="K786" s="159"/>
      <c r="L786" s="159"/>
      <c r="M786" s="159"/>
      <c r="N786" s="159"/>
      <c r="O786" s="159"/>
      <c r="P786" s="159"/>
      <c r="Q786" s="161" t="str">
        <f>+Q1</f>
        <v>PRINTED:</v>
      </c>
      <c r="R786" s="162">
        <f ca="1">+R1</f>
        <v>44909.46975358796</v>
      </c>
    </row>
    <row r="787" spans="1:18" ht="15.75" customHeight="1" x14ac:dyDescent="0.3">
      <c r="A787" s="159"/>
      <c r="B787" s="159"/>
      <c r="C787" s="159"/>
      <c r="D787" s="159"/>
      <c r="E787" s="159" t="s">
        <v>7</v>
      </c>
      <c r="F787" s="163" t="str">
        <f>+A9</f>
        <v>Revised:  1/24/11</v>
      </c>
      <c r="G787" s="159"/>
      <c r="H787" s="159"/>
      <c r="I787" s="159"/>
      <c r="J787" s="159"/>
      <c r="K787" s="159"/>
      <c r="L787" s="159"/>
      <c r="M787" s="159"/>
      <c r="N787" s="159"/>
      <c r="O787" s="159"/>
      <c r="P787" s="159"/>
      <c r="Q787" s="159"/>
      <c r="R787" s="159"/>
    </row>
    <row r="788" spans="1:18" ht="15.75" customHeight="1" x14ac:dyDescent="0.3">
      <c r="A788" s="159"/>
      <c r="C788" s="159"/>
      <c r="D788" s="159" t="s">
        <v>387</v>
      </c>
      <c r="E788" s="159"/>
      <c r="F788" s="159"/>
      <c r="G788" s="159"/>
      <c r="H788" s="159"/>
      <c r="I788" s="159"/>
      <c r="J788" s="159"/>
      <c r="K788" s="159"/>
      <c r="L788" s="159"/>
      <c r="M788" s="159"/>
      <c r="N788" s="159"/>
      <c r="O788" s="159"/>
      <c r="P788" s="159"/>
      <c r="Q788" s="159"/>
      <c r="R788" s="159"/>
    </row>
    <row r="789" spans="1:18" ht="15.75" customHeight="1" x14ac:dyDescent="0.3">
      <c r="A789" s="159"/>
      <c r="B789" s="159"/>
      <c r="C789" s="159"/>
      <c r="D789" s="159"/>
      <c r="E789" s="159"/>
      <c r="F789" s="159"/>
      <c r="G789" s="159"/>
      <c r="H789" s="159"/>
      <c r="I789" s="159"/>
      <c r="J789" s="159"/>
      <c r="K789" s="159"/>
      <c r="L789" s="159"/>
      <c r="M789" s="159"/>
      <c r="N789" s="159"/>
      <c r="O789" s="159"/>
      <c r="P789" s="159"/>
      <c r="Q789" s="159"/>
      <c r="R789" s="159"/>
    </row>
    <row r="790" spans="1:18" ht="15.75" customHeight="1" x14ac:dyDescent="0.3">
      <c r="A790" s="159"/>
      <c r="B790" s="159"/>
      <c r="C790" s="159"/>
      <c r="D790" s="159"/>
      <c r="E790" s="159" t="str">
        <f>+A5</f>
        <v>Calendar Year 2010</v>
      </c>
      <c r="F790" s="159"/>
      <c r="G790" s="159"/>
      <c r="H790" s="159"/>
      <c r="I790" s="159"/>
      <c r="J790" s="159"/>
      <c r="K790" s="159"/>
      <c r="L790" s="159"/>
      <c r="M790" s="159"/>
      <c r="N790" s="159"/>
      <c r="O790" s="159"/>
      <c r="P790" s="159"/>
      <c r="Q790" s="159"/>
      <c r="R790" s="159"/>
    </row>
    <row r="791" spans="1:18" ht="15.75" customHeight="1" x14ac:dyDescent="0.3">
      <c r="A791" s="159"/>
      <c r="B791" s="159"/>
      <c r="C791" s="159"/>
      <c r="D791" s="159"/>
      <c r="E791" s="159" t="s">
        <v>455</v>
      </c>
      <c r="F791" s="159"/>
      <c r="G791" s="159"/>
      <c r="H791" s="159"/>
      <c r="I791" s="159"/>
      <c r="J791" s="159"/>
      <c r="K791" s="159"/>
      <c r="L791" s="159"/>
      <c r="M791" s="159"/>
      <c r="N791" s="159"/>
      <c r="O791" s="159"/>
      <c r="P791" s="159"/>
      <c r="Q791" s="159"/>
      <c r="R791" s="159"/>
    </row>
    <row r="792" spans="1:18" ht="15.75" customHeight="1" x14ac:dyDescent="0.3">
      <c r="A792" s="159"/>
      <c r="B792" s="159"/>
      <c r="C792" s="159"/>
      <c r="D792" s="159"/>
      <c r="E792" s="159"/>
      <c r="F792" s="159"/>
      <c r="G792" s="159"/>
      <c r="H792" s="159"/>
      <c r="I792" s="159"/>
      <c r="J792" s="159"/>
      <c r="K792" s="159"/>
      <c r="L792" s="159"/>
      <c r="M792" s="159"/>
      <c r="N792" s="159"/>
      <c r="O792" s="159"/>
      <c r="P792" s="159"/>
      <c r="Q792" s="159"/>
      <c r="R792" s="159"/>
    </row>
    <row r="793" spans="1:18" ht="15.75" customHeight="1" x14ac:dyDescent="0.3">
      <c r="A793" s="159" t="s">
        <v>389</v>
      </c>
      <c r="B793" s="164" t="s">
        <v>390</v>
      </c>
      <c r="C793" s="164" t="s">
        <v>391</v>
      </c>
      <c r="D793" s="164" t="s">
        <v>392</v>
      </c>
      <c r="E793" s="164" t="s">
        <v>393</v>
      </c>
      <c r="F793" s="164" t="s">
        <v>394</v>
      </c>
      <c r="G793" s="164" t="s">
        <v>394</v>
      </c>
      <c r="H793" s="164" t="s">
        <v>395</v>
      </c>
      <c r="I793" s="164" t="s">
        <v>396</v>
      </c>
      <c r="J793" s="164" t="s">
        <v>397</v>
      </c>
      <c r="K793" s="164" t="s">
        <v>398</v>
      </c>
      <c r="L793" s="164" t="s">
        <v>399</v>
      </c>
      <c r="M793" s="164" t="s">
        <v>400</v>
      </c>
      <c r="N793" s="164" t="s">
        <v>401</v>
      </c>
      <c r="O793" s="164" t="s">
        <v>402</v>
      </c>
      <c r="P793" s="164" t="s">
        <v>403</v>
      </c>
      <c r="Q793" s="164" t="s">
        <v>404</v>
      </c>
      <c r="R793" s="159"/>
    </row>
    <row r="794" spans="1:18" ht="15.75" customHeight="1" x14ac:dyDescent="0.3">
      <c r="A794" s="159" t="s">
        <v>405</v>
      </c>
      <c r="B794" s="159"/>
      <c r="C794" s="159"/>
      <c r="D794" s="159"/>
      <c r="E794" s="159"/>
      <c r="F794" s="164" t="s">
        <v>406</v>
      </c>
      <c r="G794" s="164" t="s">
        <v>407</v>
      </c>
      <c r="H794" s="159"/>
      <c r="I794" s="159"/>
      <c r="J794" s="159"/>
      <c r="K794" s="159"/>
      <c r="L794" s="159"/>
      <c r="M794" s="159"/>
      <c r="N794" s="159"/>
      <c r="O794" s="159"/>
      <c r="P794" s="159"/>
      <c r="Q794" s="159"/>
      <c r="R794" s="159"/>
    </row>
    <row r="795" spans="1:18" ht="15.75" customHeight="1" x14ac:dyDescent="0.3">
      <c r="A795" s="159" t="s">
        <v>408</v>
      </c>
      <c r="B795" s="159">
        <v>953</v>
      </c>
      <c r="C795" s="159">
        <v>128</v>
      </c>
      <c r="D795" s="159">
        <v>128</v>
      </c>
      <c r="E795" s="159">
        <v>219</v>
      </c>
      <c r="F795" s="159">
        <v>179</v>
      </c>
      <c r="G795" s="159">
        <v>121</v>
      </c>
      <c r="H795" s="159">
        <v>92</v>
      </c>
      <c r="I795" s="159">
        <v>150</v>
      </c>
      <c r="J795" s="159">
        <v>237</v>
      </c>
      <c r="K795" s="159">
        <v>226</v>
      </c>
      <c r="L795" s="159">
        <v>99</v>
      </c>
      <c r="M795" s="159">
        <v>102</v>
      </c>
      <c r="N795" s="159">
        <v>249</v>
      </c>
      <c r="O795" s="159">
        <v>189</v>
      </c>
      <c r="P795" s="159">
        <v>333</v>
      </c>
      <c r="Q795" s="159">
        <v>411</v>
      </c>
      <c r="R795" s="159"/>
    </row>
    <row r="796" spans="1:18" ht="15.75" customHeight="1" x14ac:dyDescent="0.3">
      <c r="A796" s="159"/>
      <c r="B796" s="166" t="s">
        <v>409</v>
      </c>
      <c r="C796" s="166" t="s">
        <v>409</v>
      </c>
      <c r="D796" s="166" t="s">
        <v>409</v>
      </c>
      <c r="E796" s="166" t="s">
        <v>409</v>
      </c>
      <c r="F796" s="166" t="s">
        <v>409</v>
      </c>
      <c r="G796" s="166" t="s">
        <v>409</v>
      </c>
      <c r="H796" s="166" t="s">
        <v>409</v>
      </c>
      <c r="I796" s="166" t="s">
        <v>409</v>
      </c>
      <c r="J796" s="166" t="s">
        <v>409</v>
      </c>
      <c r="K796" s="166" t="s">
        <v>409</v>
      </c>
      <c r="L796" s="166" t="s">
        <v>409</v>
      </c>
      <c r="M796" s="166" t="s">
        <v>409</v>
      </c>
      <c r="N796" s="166" t="s">
        <v>409</v>
      </c>
      <c r="O796" s="166" t="s">
        <v>409</v>
      </c>
      <c r="P796" s="166" t="s">
        <v>409</v>
      </c>
      <c r="Q796" s="166" t="s">
        <v>409</v>
      </c>
      <c r="R796" s="159"/>
    </row>
    <row r="797" spans="1:18" ht="15.75" customHeight="1" x14ac:dyDescent="0.3">
      <c r="A797" s="164" t="s">
        <v>410</v>
      </c>
      <c r="B797" s="159">
        <f t="shared" ref="B797:Q797" si="115">(B739/31/1.98)</f>
        <v>2063.6526555881396</v>
      </c>
      <c r="C797" s="159">
        <f t="shared" si="115"/>
        <v>2062.0723362658846</v>
      </c>
      <c r="D797" s="159">
        <f t="shared" si="115"/>
        <v>2060.5083088954057</v>
      </c>
      <c r="E797" s="159">
        <f t="shared" si="115"/>
        <v>1951.1730205278593</v>
      </c>
      <c r="F797" s="159">
        <f t="shared" si="115"/>
        <v>1128.2828282828284</v>
      </c>
      <c r="G797" s="159">
        <f t="shared" si="115"/>
        <v>0</v>
      </c>
      <c r="H797" s="159">
        <f t="shared" si="115"/>
        <v>469.63180188986644</v>
      </c>
      <c r="I797" s="159">
        <f t="shared" si="115"/>
        <v>293.35288367546434</v>
      </c>
      <c r="J797" s="159">
        <f t="shared" si="115"/>
        <v>293.18996415770607</v>
      </c>
      <c r="K797" s="159">
        <f t="shared" si="115"/>
        <v>290.22482893450632</v>
      </c>
      <c r="L797" s="159">
        <f t="shared" si="115"/>
        <v>209.23753665689151</v>
      </c>
      <c r="M797" s="159">
        <f t="shared" si="115"/>
        <v>208.91169762137503</v>
      </c>
      <c r="N797" s="159">
        <f t="shared" si="115"/>
        <v>208.74877810361681</v>
      </c>
      <c r="O797" s="159">
        <f t="shared" si="115"/>
        <v>21.212121212121211</v>
      </c>
      <c r="P797" s="159">
        <f t="shared" si="115"/>
        <v>65.281850765721728</v>
      </c>
      <c r="Q797" s="159">
        <f t="shared" si="115"/>
        <v>19.696969696969695</v>
      </c>
      <c r="R797" s="159"/>
    </row>
    <row r="798" spans="1:18" ht="15.75" customHeight="1" x14ac:dyDescent="0.3">
      <c r="A798" s="164" t="s">
        <v>411</v>
      </c>
      <c r="B798" s="159">
        <f t="shared" ref="B798:Q798" si="116">(B740/28/1.98)</f>
        <v>1646.4646464646464</v>
      </c>
      <c r="C798" s="159">
        <f t="shared" si="116"/>
        <v>1643.7950937950939</v>
      </c>
      <c r="D798" s="159">
        <f t="shared" si="116"/>
        <v>1641.1796536796537</v>
      </c>
      <c r="E798" s="159">
        <f t="shared" si="116"/>
        <v>1409.7222222222222</v>
      </c>
      <c r="F798" s="159">
        <f t="shared" si="116"/>
        <v>577.6334776334777</v>
      </c>
      <c r="G798" s="159">
        <f t="shared" si="116"/>
        <v>0</v>
      </c>
      <c r="H798" s="159">
        <f t="shared" si="116"/>
        <v>476.82178932178937</v>
      </c>
      <c r="I798" s="159">
        <f t="shared" si="116"/>
        <v>299.33261183261186</v>
      </c>
      <c r="J798" s="159">
        <f t="shared" si="116"/>
        <v>299.04401154401154</v>
      </c>
      <c r="K798" s="159">
        <f t="shared" si="116"/>
        <v>298.26839826839824</v>
      </c>
      <c r="L798" s="159">
        <f t="shared" si="116"/>
        <v>231.90836940836942</v>
      </c>
      <c r="M798" s="159">
        <f t="shared" si="116"/>
        <v>231.51154401154403</v>
      </c>
      <c r="N798" s="159">
        <f t="shared" si="116"/>
        <v>231.31313131313132</v>
      </c>
      <c r="O798" s="159">
        <f t="shared" si="116"/>
        <v>33.423520923520925</v>
      </c>
      <c r="P798" s="159">
        <f t="shared" si="116"/>
        <v>86.417748917748924</v>
      </c>
      <c r="Q798" s="159">
        <f t="shared" si="116"/>
        <v>31.836219336219337</v>
      </c>
      <c r="R798" s="159"/>
    </row>
    <row r="799" spans="1:18" ht="15.75" customHeight="1" x14ac:dyDescent="0.3">
      <c r="A799" s="164" t="s">
        <v>412</v>
      </c>
      <c r="B799" s="159">
        <f t="shared" ref="B799:Q799" si="117">(B741/31/1.98)</f>
        <v>2118.6379928315414</v>
      </c>
      <c r="C799" s="159">
        <f t="shared" si="117"/>
        <v>2114.1739980449656</v>
      </c>
      <c r="D799" s="159">
        <f t="shared" si="117"/>
        <v>2109.9217986314761</v>
      </c>
      <c r="E799" s="159">
        <f t="shared" si="117"/>
        <v>1812.2189638318671</v>
      </c>
      <c r="F799" s="159">
        <f t="shared" si="117"/>
        <v>378.57608341479312</v>
      </c>
      <c r="G799" s="159">
        <f t="shared" si="117"/>
        <v>0</v>
      </c>
      <c r="H799" s="159">
        <f t="shared" si="117"/>
        <v>1052.9814271749756</v>
      </c>
      <c r="I799" s="159">
        <f t="shared" si="117"/>
        <v>472.41772564353209</v>
      </c>
      <c r="J799" s="159">
        <f t="shared" si="117"/>
        <v>434.76702508960574</v>
      </c>
      <c r="K799" s="159">
        <f t="shared" si="117"/>
        <v>421.58683610296515</v>
      </c>
      <c r="L799" s="159">
        <f t="shared" si="117"/>
        <v>325.70869990224827</v>
      </c>
      <c r="M799" s="159">
        <f t="shared" si="117"/>
        <v>325.25252525252523</v>
      </c>
      <c r="N799" s="159">
        <f t="shared" si="117"/>
        <v>325.02443792766371</v>
      </c>
      <c r="O799" s="159">
        <f t="shared" si="117"/>
        <v>61.779081133919846</v>
      </c>
      <c r="P799" s="159">
        <f t="shared" si="117"/>
        <v>86.184424894102321</v>
      </c>
      <c r="Q799" s="159">
        <f t="shared" si="117"/>
        <v>61.51840990550668</v>
      </c>
      <c r="R799" s="159"/>
    </row>
    <row r="800" spans="1:18" ht="15.75" customHeight="1" x14ac:dyDescent="0.3">
      <c r="A800" s="164" t="s">
        <v>413</v>
      </c>
      <c r="B800" s="159">
        <f t="shared" ref="B800:Q800" si="118">(B742/30/1.98)</f>
        <v>2589.4612794612794</v>
      </c>
      <c r="C800" s="159">
        <f t="shared" si="118"/>
        <v>2583.2828282828282</v>
      </c>
      <c r="D800" s="159">
        <f t="shared" si="118"/>
        <v>2577.3905723905727</v>
      </c>
      <c r="E800" s="159">
        <f t="shared" si="118"/>
        <v>2369.2424242424245</v>
      </c>
      <c r="F800" s="159">
        <f t="shared" si="118"/>
        <v>0</v>
      </c>
      <c r="G800" s="159">
        <f t="shared" si="118"/>
        <v>-88.63636363636364</v>
      </c>
      <c r="H800" s="159">
        <f t="shared" si="118"/>
        <v>1999.5286195286196</v>
      </c>
      <c r="I800" s="159">
        <f t="shared" si="118"/>
        <v>876.7508417508418</v>
      </c>
      <c r="J800" s="159">
        <f t="shared" si="118"/>
        <v>630.99326599326594</v>
      </c>
      <c r="K800" s="159">
        <f t="shared" si="118"/>
        <v>499.00673400673401</v>
      </c>
      <c r="L800" s="159">
        <f t="shared" si="118"/>
        <v>351.7340067340067</v>
      </c>
      <c r="M800" s="159">
        <f t="shared" si="118"/>
        <v>351.11111111111114</v>
      </c>
      <c r="N800" s="159">
        <f t="shared" si="118"/>
        <v>342.64309764309763</v>
      </c>
      <c r="O800" s="159">
        <f t="shared" si="118"/>
        <v>58.90572390572391</v>
      </c>
      <c r="P800" s="159">
        <f t="shared" si="118"/>
        <v>73.905723905723917</v>
      </c>
      <c r="Q800" s="159">
        <f t="shared" si="118"/>
        <v>55.993265993265993</v>
      </c>
      <c r="R800" s="159"/>
    </row>
    <row r="801" spans="1:18" ht="15.75" customHeight="1" x14ac:dyDescent="0.3">
      <c r="A801" s="164" t="s">
        <v>414</v>
      </c>
      <c r="B801" s="159">
        <f t="shared" ref="B801:Q801" si="119">(B743/31/1.98)</f>
        <v>2780.7917888563052</v>
      </c>
      <c r="C801" s="159">
        <f t="shared" si="119"/>
        <v>2773.8677093515803</v>
      </c>
      <c r="D801" s="159">
        <f t="shared" si="119"/>
        <v>2767.3183447376996</v>
      </c>
      <c r="E801" s="159">
        <f t="shared" si="119"/>
        <v>2306.353861192571</v>
      </c>
      <c r="F801" s="159">
        <f t="shared" si="119"/>
        <v>12.935809710003259</v>
      </c>
      <c r="G801" s="159">
        <f t="shared" si="119"/>
        <v>-38.465298142717494</v>
      </c>
      <c r="H801" s="159">
        <f t="shared" si="119"/>
        <v>1761.5835777126101</v>
      </c>
      <c r="I801" s="159">
        <f t="shared" si="119"/>
        <v>630.1401107852721</v>
      </c>
      <c r="J801" s="159">
        <f t="shared" si="119"/>
        <v>515.26555881394597</v>
      </c>
      <c r="K801" s="159">
        <f t="shared" si="119"/>
        <v>454.02411208862821</v>
      </c>
      <c r="L801" s="159">
        <f t="shared" si="119"/>
        <v>335.79341805148255</v>
      </c>
      <c r="M801" s="159">
        <f t="shared" si="119"/>
        <v>335.10915607689799</v>
      </c>
      <c r="N801" s="159">
        <f t="shared" si="119"/>
        <v>325.82274356467906</v>
      </c>
      <c r="O801" s="159">
        <f t="shared" si="119"/>
        <v>69.843597262952102</v>
      </c>
      <c r="P801" s="159">
        <f t="shared" si="119"/>
        <v>77.174975562072333</v>
      </c>
      <c r="Q801" s="159">
        <f t="shared" si="119"/>
        <v>67.562724014336922</v>
      </c>
      <c r="R801" s="159"/>
    </row>
    <row r="802" spans="1:18" ht="15.75" customHeight="1" x14ac:dyDescent="0.3">
      <c r="A802" s="164" t="s">
        <v>415</v>
      </c>
      <c r="B802" s="159">
        <f t="shared" ref="B802:Q802" si="120">(B744/30/1.98)</f>
        <v>2900.3872053872051</v>
      </c>
      <c r="C802" s="159">
        <f t="shared" si="120"/>
        <v>2893.3670033670032</v>
      </c>
      <c r="D802" s="159">
        <f t="shared" si="120"/>
        <v>2886.7003367003367</v>
      </c>
      <c r="E802" s="159">
        <f t="shared" si="120"/>
        <v>2402.4074074074074</v>
      </c>
      <c r="F802" s="159">
        <f t="shared" si="120"/>
        <v>0</v>
      </c>
      <c r="G802" s="159">
        <f t="shared" si="120"/>
        <v>-672.81144781144781</v>
      </c>
      <c r="H802" s="159">
        <f t="shared" si="120"/>
        <v>2445.3703703703704</v>
      </c>
      <c r="I802" s="159">
        <f t="shared" si="120"/>
        <v>806.80134680134677</v>
      </c>
      <c r="J802" s="159">
        <f t="shared" si="120"/>
        <v>543.24915824915831</v>
      </c>
      <c r="K802" s="159">
        <f t="shared" si="120"/>
        <v>403.85521885521888</v>
      </c>
      <c r="L802" s="159">
        <f t="shared" si="120"/>
        <v>293.58585858585855</v>
      </c>
      <c r="M802" s="159">
        <f t="shared" si="120"/>
        <v>292.84511784511784</v>
      </c>
      <c r="N802" s="159">
        <f t="shared" si="120"/>
        <v>280.30303030303031</v>
      </c>
      <c r="O802" s="159">
        <f t="shared" si="120"/>
        <v>66.07744107744108</v>
      </c>
      <c r="P802" s="159">
        <f t="shared" si="120"/>
        <v>84.882154882154879</v>
      </c>
      <c r="Q802" s="159">
        <f t="shared" si="120"/>
        <v>65.101010101010104</v>
      </c>
      <c r="R802" s="159"/>
    </row>
    <row r="803" spans="1:18" ht="15.75" customHeight="1" x14ac:dyDescent="0.3">
      <c r="A803" s="164" t="s">
        <v>416</v>
      </c>
      <c r="B803" s="159">
        <f t="shared" ref="B803:Q804" si="121">(B745/31/1.98)</f>
        <v>883.47996089931576</v>
      </c>
      <c r="C803" s="159">
        <f t="shared" si="121"/>
        <v>876.70250896057348</v>
      </c>
      <c r="D803" s="159">
        <f t="shared" si="121"/>
        <v>870.2834799608994</v>
      </c>
      <c r="E803" s="159">
        <f t="shared" si="121"/>
        <v>333.10524600847179</v>
      </c>
      <c r="F803" s="159">
        <f t="shared" si="121"/>
        <v>0</v>
      </c>
      <c r="G803" s="159">
        <f t="shared" si="121"/>
        <v>-2732.6164874551973</v>
      </c>
      <c r="H803" s="159">
        <f t="shared" si="121"/>
        <v>2454.2684913652652</v>
      </c>
      <c r="I803" s="159">
        <f t="shared" si="121"/>
        <v>874.04692082111433</v>
      </c>
      <c r="J803" s="159">
        <f t="shared" si="121"/>
        <v>532.94232649071364</v>
      </c>
      <c r="K803" s="159">
        <f t="shared" si="121"/>
        <v>389.01922450309547</v>
      </c>
      <c r="L803" s="159">
        <f t="shared" si="121"/>
        <v>277.82665363310525</v>
      </c>
      <c r="M803" s="159">
        <f t="shared" si="121"/>
        <v>277.19126751384817</v>
      </c>
      <c r="N803" s="159">
        <f t="shared" si="121"/>
        <v>273.3789507983056</v>
      </c>
      <c r="O803" s="159">
        <f t="shared" si="121"/>
        <v>34.734441186054092</v>
      </c>
      <c r="P803" s="159">
        <f t="shared" si="121"/>
        <v>84.636689475399166</v>
      </c>
      <c r="Q803" s="159">
        <f t="shared" si="121"/>
        <v>32.974910394265237</v>
      </c>
      <c r="R803" s="159"/>
    </row>
    <row r="804" spans="1:18" ht="15.75" customHeight="1" x14ac:dyDescent="0.3">
      <c r="A804" s="164" t="s">
        <v>417</v>
      </c>
      <c r="B804" s="159">
        <f t="shared" si="121"/>
        <v>1430.7429130009775</v>
      </c>
      <c r="C804" s="159">
        <f t="shared" si="121"/>
        <v>1425.3014011078526</v>
      </c>
      <c r="D804" s="159">
        <f t="shared" si="121"/>
        <v>1420.1205604431411</v>
      </c>
      <c r="E804" s="159">
        <f t="shared" si="121"/>
        <v>840.30628869338545</v>
      </c>
      <c r="F804" s="159">
        <f t="shared" si="121"/>
        <v>0</v>
      </c>
      <c r="G804" s="159">
        <f t="shared" si="121"/>
        <v>-1741.5281850765721</v>
      </c>
      <c r="H804" s="159">
        <f t="shared" si="121"/>
        <v>2030.1238188334962</v>
      </c>
      <c r="I804" s="159">
        <f t="shared" si="121"/>
        <v>728.64125122189637</v>
      </c>
      <c r="J804" s="159">
        <f t="shared" si="121"/>
        <v>536.31476050830895</v>
      </c>
      <c r="K804" s="159">
        <f t="shared" si="121"/>
        <v>397.13261648745521</v>
      </c>
      <c r="L804" s="159">
        <f t="shared" si="121"/>
        <v>317.82339524275005</v>
      </c>
      <c r="M804" s="159">
        <f t="shared" si="121"/>
        <v>317.23688497882046</v>
      </c>
      <c r="N804" s="159">
        <f t="shared" si="121"/>
        <v>314.63017269468884</v>
      </c>
      <c r="O804" s="159">
        <f t="shared" si="121"/>
        <v>68.361029651352226</v>
      </c>
      <c r="P804" s="159">
        <f t="shared" si="121"/>
        <v>90.843923101987627</v>
      </c>
      <c r="Q804" s="159">
        <f t="shared" si="121"/>
        <v>67.497556207233629</v>
      </c>
      <c r="R804" s="159"/>
    </row>
    <row r="805" spans="1:18" ht="15.75" customHeight="1" x14ac:dyDescent="0.3">
      <c r="A805" s="164" t="s">
        <v>418</v>
      </c>
      <c r="B805" s="159">
        <f>(B747/30/1.98)</f>
        <v>2834.5454545454545</v>
      </c>
      <c r="C805" s="159">
        <f t="shared" ref="C805:Q805" si="122">(C747/30/1.98)</f>
        <v>2829.2255892255894</v>
      </c>
      <c r="D805" s="159">
        <f t="shared" si="122"/>
        <v>2824.158249158249</v>
      </c>
      <c r="E805" s="159">
        <f t="shared" si="122"/>
        <v>2243.939393939394</v>
      </c>
      <c r="F805" s="159">
        <f t="shared" si="122"/>
        <v>256.14478114478118</v>
      </c>
      <c r="G805" s="159">
        <f t="shared" si="122"/>
        <v>-311.43097643097644</v>
      </c>
      <c r="H805" s="159">
        <f t="shared" si="122"/>
        <v>1608.9730639730642</v>
      </c>
      <c r="I805" s="159">
        <f t="shared" si="122"/>
        <v>415.57239057239059</v>
      </c>
      <c r="J805" s="159">
        <f t="shared" si="122"/>
        <v>414.93265993265999</v>
      </c>
      <c r="K805" s="159">
        <f t="shared" si="122"/>
        <v>351.90235690235687</v>
      </c>
      <c r="L805" s="159">
        <f t="shared" si="122"/>
        <v>277.89562289562292</v>
      </c>
      <c r="M805" s="159">
        <f t="shared" si="122"/>
        <v>277.32323232323233</v>
      </c>
      <c r="N805" s="159">
        <f t="shared" si="122"/>
        <v>277.03703703703701</v>
      </c>
      <c r="O805" s="159">
        <f t="shared" si="122"/>
        <v>66.700336700336706</v>
      </c>
      <c r="P805" s="159">
        <f t="shared" si="122"/>
        <v>91.969696969696969</v>
      </c>
      <c r="Q805" s="159">
        <f t="shared" si="122"/>
        <v>65.067340067340069</v>
      </c>
      <c r="R805" s="159"/>
    </row>
    <row r="806" spans="1:18" ht="15.75" customHeight="1" x14ac:dyDescent="0.3">
      <c r="A806" s="164" t="s">
        <v>419</v>
      </c>
      <c r="B806" s="159">
        <f t="shared" ref="B806:Q806" si="123">(B748/31/1.98)</f>
        <v>2691.9354838709678</v>
      </c>
      <c r="C806" s="159">
        <f>(C748/30/1.98)</f>
        <v>2776.8686868686868</v>
      </c>
      <c r="D806" s="159">
        <f t="shared" si="123"/>
        <v>2682.8608667318344</v>
      </c>
      <c r="E806" s="159">
        <f t="shared" si="123"/>
        <v>2193.8742261322909</v>
      </c>
      <c r="F806" s="159">
        <f t="shared" si="123"/>
        <v>896.30172694688827</v>
      </c>
      <c r="G806" s="159">
        <f t="shared" si="123"/>
        <v>0</v>
      </c>
      <c r="H806" s="159">
        <f t="shared" si="123"/>
        <v>690.76246334310849</v>
      </c>
      <c r="I806" s="159">
        <f t="shared" si="123"/>
        <v>129.79797979797979</v>
      </c>
      <c r="J806" s="159">
        <f t="shared" si="123"/>
        <v>128.60866731834474</v>
      </c>
      <c r="K806" s="159">
        <f t="shared" si="123"/>
        <v>116.81329423264907</v>
      </c>
      <c r="L806" s="159">
        <f t="shared" si="123"/>
        <v>85.272075594656243</v>
      </c>
      <c r="M806" s="159">
        <f t="shared" si="123"/>
        <v>84.799608993157378</v>
      </c>
      <c r="N806" s="159">
        <f t="shared" si="123"/>
        <v>84.571521668295858</v>
      </c>
      <c r="O806" s="159">
        <f t="shared" si="123"/>
        <v>31.981101335940046</v>
      </c>
      <c r="P806" s="159">
        <f t="shared" si="123"/>
        <v>82.860866731834477</v>
      </c>
      <c r="Q806" s="159">
        <f t="shared" si="123"/>
        <v>31.019876181166506</v>
      </c>
      <c r="R806" s="159"/>
    </row>
    <row r="807" spans="1:18" ht="15.75" customHeight="1" x14ac:dyDescent="0.3">
      <c r="A807" s="164" t="s">
        <v>420</v>
      </c>
      <c r="B807" s="159">
        <f t="shared" ref="B807:Q807" si="124">(B749/30/1.98)</f>
        <v>2552.8282828282831</v>
      </c>
      <c r="C807" s="159">
        <f t="shared" si="124"/>
        <v>2548.8720538720536</v>
      </c>
      <c r="D807" s="159">
        <f t="shared" si="124"/>
        <v>2545.0673400673404</v>
      </c>
      <c r="E807" s="159">
        <f t="shared" si="124"/>
        <v>2248.5016835016836</v>
      </c>
      <c r="F807" s="159">
        <f t="shared" si="124"/>
        <v>1084.090909090909</v>
      </c>
      <c r="G807" s="159">
        <f t="shared" si="124"/>
        <v>0</v>
      </c>
      <c r="H807" s="159">
        <f t="shared" si="124"/>
        <v>637.28956228956224</v>
      </c>
      <c r="I807" s="159">
        <f t="shared" si="124"/>
        <v>242.15488215488213</v>
      </c>
      <c r="J807" s="159">
        <f t="shared" si="124"/>
        <v>238.7037037037037</v>
      </c>
      <c r="K807" s="159">
        <f t="shared" si="124"/>
        <v>228.1986531986532</v>
      </c>
      <c r="L807" s="159">
        <f t="shared" si="124"/>
        <v>192.2895622895623</v>
      </c>
      <c r="M807" s="159">
        <f t="shared" si="124"/>
        <v>191.9023569023569</v>
      </c>
      <c r="N807" s="159">
        <f t="shared" si="124"/>
        <v>191.71717171717174</v>
      </c>
      <c r="O807" s="159">
        <f t="shared" si="124"/>
        <v>44.579124579124581</v>
      </c>
      <c r="P807" s="159">
        <f t="shared" si="124"/>
        <v>80.387205387205384</v>
      </c>
      <c r="Q807" s="159">
        <f t="shared" si="124"/>
        <v>43.383838383838388</v>
      </c>
      <c r="R807" s="159"/>
    </row>
    <row r="808" spans="1:18" ht="15.75" customHeight="1" x14ac:dyDescent="0.3">
      <c r="A808" s="164" t="s">
        <v>421</v>
      </c>
      <c r="B808" s="159">
        <f t="shared" ref="B808:Q808" si="125">(B750/31/1.98)</f>
        <v>3087.5529488432712</v>
      </c>
      <c r="C808" s="159">
        <f t="shared" si="125"/>
        <v>3084.5226458129682</v>
      </c>
      <c r="D808" s="159">
        <f t="shared" si="125"/>
        <v>3081.6063864450962</v>
      </c>
      <c r="E808" s="159">
        <f t="shared" si="125"/>
        <v>2564.8256761159987</v>
      </c>
      <c r="F808" s="159">
        <f t="shared" si="125"/>
        <v>1709.2375366568915</v>
      </c>
      <c r="G808" s="159">
        <f t="shared" si="125"/>
        <v>0</v>
      </c>
      <c r="H808" s="159">
        <f t="shared" si="125"/>
        <v>495.43825350276967</v>
      </c>
      <c r="I808" s="159">
        <f t="shared" si="125"/>
        <v>126.39296187683284</v>
      </c>
      <c r="J808" s="159">
        <f t="shared" si="125"/>
        <v>119.38742261322906</v>
      </c>
      <c r="K808" s="159">
        <f t="shared" si="125"/>
        <v>113.42456826327795</v>
      </c>
      <c r="L808" s="159">
        <f t="shared" si="125"/>
        <v>82.160312805474106</v>
      </c>
      <c r="M808" s="159">
        <f t="shared" si="125"/>
        <v>81.850765721733467</v>
      </c>
      <c r="N808" s="159">
        <f t="shared" si="125"/>
        <v>81.704138155751068</v>
      </c>
      <c r="O808" s="159">
        <f t="shared" si="125"/>
        <v>37.748452264581296</v>
      </c>
      <c r="P808" s="159">
        <f t="shared" si="125"/>
        <v>82.779406972955357</v>
      </c>
      <c r="Q808" s="159">
        <f t="shared" si="125"/>
        <v>36.738351254480285</v>
      </c>
      <c r="R808" s="159"/>
    </row>
    <row r="809" spans="1:18" ht="15.75" customHeight="1" x14ac:dyDescent="0.3">
      <c r="A809" s="159"/>
      <c r="B809" s="159"/>
      <c r="C809" s="159"/>
      <c r="D809" s="159"/>
      <c r="E809" s="159"/>
      <c r="F809" s="159"/>
      <c r="G809" s="159"/>
      <c r="H809" s="159"/>
      <c r="I809" s="159"/>
      <c r="J809" s="159"/>
      <c r="K809" s="159"/>
      <c r="L809" s="159"/>
      <c r="M809" s="159"/>
      <c r="N809" s="159"/>
      <c r="O809" s="159"/>
      <c r="P809" s="159"/>
      <c r="Q809" s="159"/>
      <c r="R809" s="159"/>
    </row>
    <row r="810" spans="1:18" ht="15.75" customHeight="1" x14ac:dyDescent="0.3">
      <c r="A810" s="159"/>
      <c r="B810" s="159"/>
      <c r="C810" s="159"/>
      <c r="D810" s="161" t="s">
        <v>456</v>
      </c>
      <c r="E810" s="159"/>
      <c r="F810" s="159"/>
      <c r="G810" s="159"/>
      <c r="H810" s="159"/>
      <c r="I810" s="159"/>
      <c r="J810" s="159"/>
      <c r="K810" s="159"/>
      <c r="L810" s="159"/>
      <c r="M810" s="159"/>
      <c r="N810" s="159"/>
      <c r="O810" s="159"/>
      <c r="P810" s="159"/>
      <c r="Q810" s="161" t="str">
        <f>+Q1</f>
        <v>PRINTED:</v>
      </c>
      <c r="R810" s="162">
        <f ca="1">+R1</f>
        <v>44909.46975358796</v>
      </c>
    </row>
    <row r="811" spans="1:18" ht="15.75" customHeight="1" x14ac:dyDescent="0.3">
      <c r="A811" s="159"/>
      <c r="B811" s="159"/>
      <c r="C811" s="159"/>
      <c r="D811" s="159"/>
      <c r="E811" s="159" t="s">
        <v>7</v>
      </c>
      <c r="F811" s="163" t="str">
        <f>+A9</f>
        <v>Revised:  1/24/11</v>
      </c>
      <c r="G811" s="159"/>
      <c r="H811" s="159"/>
      <c r="I811" s="159"/>
      <c r="J811" s="159"/>
      <c r="K811" s="159"/>
      <c r="L811" s="159"/>
      <c r="M811" s="159"/>
      <c r="N811" s="159"/>
      <c r="O811" s="159"/>
      <c r="P811" s="159"/>
      <c r="Q811" s="159"/>
      <c r="R811" s="159"/>
    </row>
    <row r="812" spans="1:18" ht="15.75" customHeight="1" x14ac:dyDescent="0.3">
      <c r="A812" s="159"/>
      <c r="B812" s="159"/>
      <c r="C812" s="159"/>
      <c r="D812" s="159" t="s">
        <v>387</v>
      </c>
      <c r="E812" s="159"/>
      <c r="F812" s="159"/>
      <c r="G812" s="159"/>
      <c r="H812" s="159"/>
      <c r="I812" s="159"/>
      <c r="J812" s="159"/>
      <c r="K812" s="159"/>
      <c r="L812" s="159"/>
      <c r="M812" s="159"/>
      <c r="N812" s="159"/>
      <c r="O812" s="159"/>
      <c r="P812" s="159"/>
      <c r="Q812" s="159"/>
      <c r="R812" s="159"/>
    </row>
    <row r="813" spans="1:18" ht="15.75" customHeight="1" x14ac:dyDescent="0.3">
      <c r="A813" s="159"/>
      <c r="B813" s="159"/>
      <c r="C813" s="159"/>
      <c r="D813" s="159"/>
      <c r="E813" s="159"/>
      <c r="F813" s="159"/>
      <c r="G813" s="159"/>
      <c r="H813" s="159"/>
      <c r="I813" s="159"/>
      <c r="J813" s="159"/>
      <c r="K813" s="159"/>
      <c r="L813" s="159"/>
      <c r="M813" s="159"/>
      <c r="N813" s="159"/>
      <c r="O813" s="159"/>
      <c r="P813" s="159"/>
      <c r="Q813" s="159"/>
      <c r="R813" s="159"/>
    </row>
    <row r="814" spans="1:18" ht="15.75" customHeight="1" x14ac:dyDescent="0.3">
      <c r="A814" s="159"/>
      <c r="B814" s="159"/>
      <c r="C814" s="159"/>
      <c r="D814" s="159"/>
      <c r="E814" s="159" t="str">
        <f>A5</f>
        <v>Calendar Year 2010</v>
      </c>
      <c r="F814" s="159"/>
      <c r="G814" s="159"/>
      <c r="H814" s="159"/>
      <c r="I814" s="159"/>
      <c r="J814" s="159"/>
      <c r="K814" s="159"/>
      <c r="L814" s="159"/>
      <c r="M814" s="159"/>
      <c r="N814" s="159"/>
      <c r="O814" s="159"/>
      <c r="P814" s="159"/>
      <c r="Q814" s="159"/>
      <c r="R814" s="159"/>
    </row>
    <row r="815" spans="1:18" ht="15.75" customHeight="1" x14ac:dyDescent="0.3">
      <c r="A815" s="159"/>
      <c r="B815" s="159"/>
      <c r="C815" s="159"/>
      <c r="D815" s="159"/>
      <c r="E815" s="159" t="s">
        <v>457</v>
      </c>
      <c r="F815" s="159"/>
      <c r="G815" s="159"/>
      <c r="H815" s="159"/>
      <c r="I815" s="159"/>
      <c r="J815" s="159"/>
      <c r="K815" s="159"/>
      <c r="L815" s="159"/>
      <c r="M815" s="159"/>
      <c r="N815" s="159"/>
      <c r="O815" s="159"/>
      <c r="P815" s="159"/>
      <c r="Q815" s="159"/>
      <c r="R815" s="159"/>
    </row>
    <row r="816" spans="1:18" ht="15.75" customHeight="1" x14ac:dyDescent="0.3">
      <c r="A816" s="159"/>
      <c r="B816" s="159"/>
      <c r="C816" s="159"/>
      <c r="D816" s="159"/>
      <c r="E816" s="159"/>
      <c r="F816" s="159"/>
      <c r="G816" s="159"/>
      <c r="H816" s="159"/>
      <c r="I816" s="159"/>
      <c r="J816" s="159"/>
      <c r="K816" s="159"/>
      <c r="L816" s="159"/>
      <c r="M816" s="159"/>
      <c r="N816" s="159"/>
      <c r="O816" s="159"/>
      <c r="P816" s="159"/>
      <c r="Q816" s="159"/>
      <c r="R816" s="159"/>
    </row>
    <row r="817" spans="1:18" ht="15.75" customHeight="1" x14ac:dyDescent="0.3">
      <c r="A817" s="159" t="s">
        <v>389</v>
      </c>
      <c r="B817" s="164" t="s">
        <v>390</v>
      </c>
      <c r="C817" s="164" t="s">
        <v>391</v>
      </c>
      <c r="D817" s="164" t="s">
        <v>392</v>
      </c>
      <c r="E817" s="164" t="s">
        <v>393</v>
      </c>
      <c r="F817" s="164" t="s">
        <v>394</v>
      </c>
      <c r="G817" s="164" t="s">
        <v>394</v>
      </c>
      <c r="H817" s="164" t="s">
        <v>395</v>
      </c>
      <c r="I817" s="164" t="s">
        <v>396</v>
      </c>
      <c r="J817" s="164" t="s">
        <v>397</v>
      </c>
      <c r="K817" s="164" t="s">
        <v>398</v>
      </c>
      <c r="L817" s="164" t="s">
        <v>399</v>
      </c>
      <c r="M817" s="164" t="s">
        <v>400</v>
      </c>
      <c r="N817" s="164" t="s">
        <v>401</v>
      </c>
      <c r="O817" s="164" t="s">
        <v>402</v>
      </c>
      <c r="P817" s="164" t="s">
        <v>403</v>
      </c>
      <c r="Q817" s="164" t="s">
        <v>404</v>
      </c>
      <c r="R817" s="164" t="s">
        <v>422</v>
      </c>
    </row>
    <row r="818" spans="1:18" ht="15.75" customHeight="1" x14ac:dyDescent="0.3">
      <c r="A818" s="159" t="s">
        <v>405</v>
      </c>
      <c r="B818" s="159"/>
      <c r="C818" s="159"/>
      <c r="D818" s="159"/>
      <c r="E818" s="159"/>
      <c r="F818" s="164" t="s">
        <v>406</v>
      </c>
      <c r="G818" s="164" t="s">
        <v>407</v>
      </c>
      <c r="H818" s="159"/>
      <c r="I818" s="159"/>
      <c r="J818" s="159"/>
      <c r="K818" s="159"/>
      <c r="L818" s="159"/>
      <c r="M818" s="159"/>
      <c r="N818" s="159"/>
      <c r="O818" s="159"/>
      <c r="P818" s="159"/>
      <c r="Q818" s="159"/>
      <c r="R818" s="164" t="s">
        <v>458</v>
      </c>
    </row>
    <row r="819" spans="1:18" ht="15.75" customHeight="1" x14ac:dyDescent="0.3">
      <c r="A819" s="159" t="s">
        <v>408</v>
      </c>
      <c r="B819" s="159">
        <v>953</v>
      </c>
      <c r="C819" s="159">
        <v>128</v>
      </c>
      <c r="D819" s="159">
        <v>128</v>
      </c>
      <c r="E819" s="159">
        <v>219</v>
      </c>
      <c r="F819" s="159">
        <v>179</v>
      </c>
      <c r="G819" s="159">
        <v>121</v>
      </c>
      <c r="H819" s="159">
        <v>92</v>
      </c>
      <c r="I819" s="159">
        <v>150</v>
      </c>
      <c r="J819" s="159">
        <v>237</v>
      </c>
      <c r="K819" s="159">
        <v>226</v>
      </c>
      <c r="L819" s="159">
        <v>99</v>
      </c>
      <c r="M819" s="159">
        <v>102</v>
      </c>
      <c r="N819" s="159">
        <v>249</v>
      </c>
      <c r="O819" s="159">
        <v>189</v>
      </c>
      <c r="P819" s="159">
        <v>333</v>
      </c>
      <c r="Q819" s="159">
        <v>411</v>
      </c>
      <c r="R819" s="164" t="s">
        <v>442</v>
      </c>
    </row>
    <row r="820" spans="1:18" ht="15.75" customHeight="1" x14ac:dyDescent="0.3">
      <c r="A820" s="159"/>
      <c r="B820" s="159" t="s">
        <v>409</v>
      </c>
      <c r="C820" s="159" t="s">
        <v>409</v>
      </c>
      <c r="D820" s="159" t="s">
        <v>409</v>
      </c>
      <c r="E820" s="159" t="s">
        <v>409</v>
      </c>
      <c r="F820" s="159" t="s">
        <v>409</v>
      </c>
      <c r="G820" s="159" t="s">
        <v>409</v>
      </c>
      <c r="H820" s="159" t="s">
        <v>409</v>
      </c>
      <c r="I820" s="159" t="s">
        <v>409</v>
      </c>
      <c r="J820" s="159" t="s">
        <v>409</v>
      </c>
      <c r="K820" s="159" t="s">
        <v>409</v>
      </c>
      <c r="L820" s="159" t="s">
        <v>409</v>
      </c>
      <c r="M820" s="159" t="s">
        <v>409</v>
      </c>
      <c r="N820" s="159" t="s">
        <v>409</v>
      </c>
      <c r="O820" s="159" t="s">
        <v>409</v>
      </c>
      <c r="P820" s="159" t="s">
        <v>409</v>
      </c>
      <c r="Q820" s="159" t="s">
        <v>409</v>
      </c>
      <c r="R820" s="159" t="s">
        <v>459</v>
      </c>
    </row>
    <row r="821" spans="1:18" ht="15.75" customHeight="1" x14ac:dyDescent="0.3">
      <c r="A821" s="164" t="s">
        <v>410</v>
      </c>
      <c r="B821" s="159">
        <f t="shared" ref="B821:Q821" si="126">(B739*B737)/1000</f>
        <v>120713.651</v>
      </c>
      <c r="C821" s="159">
        <f t="shared" si="126"/>
        <v>16200.96</v>
      </c>
      <c r="D821" s="159">
        <f t="shared" si="126"/>
        <v>16188.672</v>
      </c>
      <c r="E821" s="159">
        <f t="shared" si="126"/>
        <v>26228.097000000002</v>
      </c>
      <c r="F821" s="159">
        <f t="shared" si="126"/>
        <v>12396.466</v>
      </c>
      <c r="G821" s="159">
        <f t="shared" si="126"/>
        <v>0</v>
      </c>
      <c r="H821" s="159">
        <f t="shared" si="126"/>
        <v>2651.9920000000002</v>
      </c>
      <c r="I821" s="159">
        <f t="shared" si="126"/>
        <v>2700.9</v>
      </c>
      <c r="J821" s="159">
        <f t="shared" si="126"/>
        <v>4265.0519999999997</v>
      </c>
      <c r="K821" s="159">
        <f t="shared" si="126"/>
        <v>4025.9639999999999</v>
      </c>
      <c r="L821" s="159">
        <f t="shared" si="126"/>
        <v>1271.4570000000001</v>
      </c>
      <c r="M821" s="159">
        <f t="shared" si="126"/>
        <v>1307.9459999999999</v>
      </c>
      <c r="N821" s="159">
        <f t="shared" si="126"/>
        <v>3190.4369999999999</v>
      </c>
      <c r="O821" s="159">
        <f t="shared" si="126"/>
        <v>246.078</v>
      </c>
      <c r="P821" s="159">
        <f t="shared" si="126"/>
        <v>1334.3309999999999</v>
      </c>
      <c r="Q821" s="159">
        <f t="shared" si="126"/>
        <v>496.899</v>
      </c>
      <c r="R821" s="159">
        <f t="shared" ref="R821:R832" si="127">(SUM(B821:Q821))</f>
        <v>213218.90200000003</v>
      </c>
    </row>
    <row r="822" spans="1:18" ht="15.75" customHeight="1" x14ac:dyDescent="0.3">
      <c r="A822" s="164" t="s">
        <v>411</v>
      </c>
      <c r="B822" s="159">
        <f t="shared" ref="B822:Q822" si="128">(B740*B737)/1000</f>
        <v>86989.84</v>
      </c>
      <c r="C822" s="159">
        <f t="shared" si="128"/>
        <v>11664.896000000001</v>
      </c>
      <c r="D822" s="159">
        <f t="shared" si="128"/>
        <v>11646.335999999999</v>
      </c>
      <c r="E822" s="159">
        <f t="shared" si="128"/>
        <v>17115.945</v>
      </c>
      <c r="F822" s="159">
        <f t="shared" si="128"/>
        <v>5732.2960000000003</v>
      </c>
      <c r="G822" s="159">
        <f t="shared" si="128"/>
        <v>0</v>
      </c>
      <c r="H822" s="159">
        <f t="shared" si="128"/>
        <v>2432.02</v>
      </c>
      <c r="I822" s="159">
        <f t="shared" si="128"/>
        <v>2489.25</v>
      </c>
      <c r="J822" s="159">
        <f t="shared" si="128"/>
        <v>3929.223</v>
      </c>
      <c r="K822" s="159">
        <f t="shared" si="128"/>
        <v>3737.136</v>
      </c>
      <c r="L822" s="159">
        <f t="shared" si="128"/>
        <v>1272.8430000000001</v>
      </c>
      <c r="M822" s="159">
        <f t="shared" si="128"/>
        <v>1309.17</v>
      </c>
      <c r="N822" s="159">
        <f t="shared" si="128"/>
        <v>3193.1759999999999</v>
      </c>
      <c r="O822" s="159">
        <f t="shared" si="128"/>
        <v>350.21699999999998</v>
      </c>
      <c r="P822" s="159">
        <f t="shared" si="128"/>
        <v>1595.403</v>
      </c>
      <c r="Q822" s="159">
        <f t="shared" si="128"/>
        <v>725.41499999999996</v>
      </c>
      <c r="R822" s="159">
        <f t="shared" si="127"/>
        <v>154183.166</v>
      </c>
    </row>
    <row r="823" spans="1:18" ht="15.75" customHeight="1" x14ac:dyDescent="0.3">
      <c r="A823" s="164" t="s">
        <v>412</v>
      </c>
      <c r="B823" s="159">
        <f t="shared" ref="B823:Q823" si="129">(B741*B737)/1000</f>
        <v>123930.026</v>
      </c>
      <c r="C823" s="159">
        <f t="shared" si="129"/>
        <v>16610.304</v>
      </c>
      <c r="D823" s="159">
        <f t="shared" si="129"/>
        <v>16576.896000000001</v>
      </c>
      <c r="E823" s="159">
        <f t="shared" si="129"/>
        <v>24360.245999999999</v>
      </c>
      <c r="F823" s="159">
        <f t="shared" si="129"/>
        <v>4159.4229999999998</v>
      </c>
      <c r="G823" s="159">
        <f t="shared" si="129"/>
        <v>0</v>
      </c>
      <c r="H823" s="159">
        <f t="shared" si="129"/>
        <v>5946.1440000000002</v>
      </c>
      <c r="I823" s="159">
        <f t="shared" si="129"/>
        <v>4349.55</v>
      </c>
      <c r="J823" s="159">
        <f t="shared" si="129"/>
        <v>6324.5820000000003</v>
      </c>
      <c r="K823" s="159">
        <f t="shared" si="129"/>
        <v>5848.2020000000002</v>
      </c>
      <c r="L823" s="159">
        <f t="shared" si="129"/>
        <v>1979.2080000000001</v>
      </c>
      <c r="M823" s="159">
        <f t="shared" si="129"/>
        <v>2036.328</v>
      </c>
      <c r="N823" s="159">
        <f t="shared" si="129"/>
        <v>4967.55</v>
      </c>
      <c r="O823" s="159">
        <f t="shared" si="129"/>
        <v>716.68799999999999</v>
      </c>
      <c r="P823" s="159">
        <f t="shared" si="129"/>
        <v>1761.57</v>
      </c>
      <c r="Q823" s="159">
        <f t="shared" si="129"/>
        <v>1551.9359999999999</v>
      </c>
      <c r="R823" s="159">
        <f t="shared" si="127"/>
        <v>221118.65299999999</v>
      </c>
    </row>
    <row r="824" spans="1:18" ht="15.75" customHeight="1" x14ac:dyDescent="0.3">
      <c r="A824" s="164" t="s">
        <v>413</v>
      </c>
      <c r="B824" s="159">
        <f t="shared" ref="B824:Q824" si="130">(B742*B737)/1000</f>
        <v>146584.742</v>
      </c>
      <c r="C824" s="159">
        <f t="shared" si="130"/>
        <v>19641.216</v>
      </c>
      <c r="D824" s="159">
        <f t="shared" si="130"/>
        <v>19596.416000000001</v>
      </c>
      <c r="E824" s="159">
        <f t="shared" si="130"/>
        <v>30820.526999999998</v>
      </c>
      <c r="F824" s="159">
        <f t="shared" si="130"/>
        <v>0</v>
      </c>
      <c r="G824" s="159">
        <f t="shared" si="130"/>
        <v>-637.06500000000005</v>
      </c>
      <c r="H824" s="159">
        <f t="shared" si="130"/>
        <v>10927.023999999999</v>
      </c>
      <c r="I824" s="159">
        <f t="shared" si="130"/>
        <v>7811.85</v>
      </c>
      <c r="J824" s="159">
        <f t="shared" si="130"/>
        <v>8882.9969999999994</v>
      </c>
      <c r="K824" s="159">
        <f t="shared" si="130"/>
        <v>6698.866</v>
      </c>
      <c r="L824" s="159">
        <f t="shared" si="130"/>
        <v>2068.4070000000002</v>
      </c>
      <c r="M824" s="159">
        <f t="shared" si="130"/>
        <v>2127.3119999999999</v>
      </c>
      <c r="N824" s="159">
        <f t="shared" si="130"/>
        <v>5067.8969999999999</v>
      </c>
      <c r="O824" s="159">
        <f t="shared" si="130"/>
        <v>661.31100000000004</v>
      </c>
      <c r="P824" s="159">
        <f t="shared" si="130"/>
        <v>1461.87</v>
      </c>
      <c r="Q824" s="159">
        <f t="shared" si="130"/>
        <v>1366.9860000000001</v>
      </c>
      <c r="R824" s="159">
        <f t="shared" si="127"/>
        <v>263080.35599999997</v>
      </c>
    </row>
    <row r="825" spans="1:18" ht="15.75" customHeight="1" x14ac:dyDescent="0.3">
      <c r="A825" s="164" t="s">
        <v>414</v>
      </c>
      <c r="B825" s="159">
        <f t="shared" ref="B825:Q825" si="131">(B743*B737)/1000</f>
        <v>162662.80499999999</v>
      </c>
      <c r="C825" s="159">
        <f t="shared" si="131"/>
        <v>21793.279999999999</v>
      </c>
      <c r="D825" s="159">
        <f t="shared" si="131"/>
        <v>21741.824000000001</v>
      </c>
      <c r="E825" s="159">
        <f t="shared" si="131"/>
        <v>31002.516</v>
      </c>
      <c r="F825" s="159">
        <f t="shared" si="131"/>
        <v>142.126</v>
      </c>
      <c r="G825" s="159">
        <f t="shared" si="131"/>
        <v>-285.68099999999998</v>
      </c>
      <c r="H825" s="159">
        <f t="shared" si="131"/>
        <v>9947.5920000000006</v>
      </c>
      <c r="I825" s="159">
        <f t="shared" si="131"/>
        <v>5801.7</v>
      </c>
      <c r="J825" s="159">
        <f t="shared" si="131"/>
        <v>7495.5990000000002</v>
      </c>
      <c r="K825" s="159">
        <f t="shared" si="131"/>
        <v>6298.1679999999997</v>
      </c>
      <c r="L825" s="159">
        <f t="shared" si="131"/>
        <v>2040.489</v>
      </c>
      <c r="M825" s="159">
        <f t="shared" si="131"/>
        <v>2098.038</v>
      </c>
      <c r="N825" s="159">
        <f t="shared" si="131"/>
        <v>4979.7510000000002</v>
      </c>
      <c r="O825" s="159">
        <f t="shared" si="131"/>
        <v>810.24300000000005</v>
      </c>
      <c r="P825" s="159">
        <f t="shared" si="131"/>
        <v>1577.421</v>
      </c>
      <c r="Q825" s="159">
        <f t="shared" si="131"/>
        <v>1704.4169999999999</v>
      </c>
      <c r="R825" s="159">
        <f t="shared" si="127"/>
        <v>279810.28799999994</v>
      </c>
    </row>
    <row r="826" spans="1:18" ht="15.75" customHeight="1" x14ac:dyDescent="0.3">
      <c r="A826" s="164" t="s">
        <v>415</v>
      </c>
      <c r="B826" s="159">
        <f t="shared" ref="B826:Q826" si="132">(B744*B737)/1000</f>
        <v>164185.69899999999</v>
      </c>
      <c r="C826" s="159">
        <f t="shared" si="132"/>
        <v>21998.848000000002</v>
      </c>
      <c r="D826" s="159">
        <f t="shared" si="132"/>
        <v>21948.16</v>
      </c>
      <c r="E826" s="159">
        <f t="shared" si="132"/>
        <v>31251.956999999999</v>
      </c>
      <c r="F826" s="159">
        <f t="shared" si="132"/>
        <v>0</v>
      </c>
      <c r="G826" s="159">
        <f t="shared" si="132"/>
        <v>-4835.7650000000003</v>
      </c>
      <c r="H826" s="159">
        <f t="shared" si="132"/>
        <v>13363.46</v>
      </c>
      <c r="I826" s="159">
        <f t="shared" si="132"/>
        <v>7188.6</v>
      </c>
      <c r="J826" s="159">
        <f t="shared" si="132"/>
        <v>7647.7529999999997</v>
      </c>
      <c r="K826" s="159">
        <f t="shared" si="132"/>
        <v>5421.5140000000001</v>
      </c>
      <c r="L826" s="159">
        <f t="shared" si="132"/>
        <v>1726.461</v>
      </c>
      <c r="M826" s="159">
        <f t="shared" si="132"/>
        <v>1774.29</v>
      </c>
      <c r="N826" s="159">
        <f t="shared" si="132"/>
        <v>4145.8500000000004</v>
      </c>
      <c r="O826" s="159">
        <f t="shared" si="132"/>
        <v>741.82500000000005</v>
      </c>
      <c r="P826" s="159">
        <f t="shared" si="132"/>
        <v>1678.9860000000001</v>
      </c>
      <c r="Q826" s="159">
        <f t="shared" si="132"/>
        <v>1589.337</v>
      </c>
      <c r="R826" s="159">
        <f t="shared" si="127"/>
        <v>279826.97499999998</v>
      </c>
    </row>
    <row r="827" spans="1:18" ht="15.75" customHeight="1" x14ac:dyDescent="0.3">
      <c r="A827" s="164" t="s">
        <v>416</v>
      </c>
      <c r="B827" s="159">
        <f t="shared" ref="B827:Q827" si="133">(B745*B737)/1000</f>
        <v>51679.284</v>
      </c>
      <c r="C827" s="159">
        <f t="shared" si="133"/>
        <v>6887.9359999999997</v>
      </c>
      <c r="D827" s="159">
        <f t="shared" si="133"/>
        <v>6837.5039999999999</v>
      </c>
      <c r="E827" s="159">
        <f t="shared" si="133"/>
        <v>4477.674</v>
      </c>
      <c r="F827" s="159">
        <f t="shared" si="133"/>
        <v>0</v>
      </c>
      <c r="G827" s="159">
        <f t="shared" si="133"/>
        <v>-20295.088</v>
      </c>
      <c r="H827" s="159">
        <f t="shared" si="133"/>
        <v>13859.156000000001</v>
      </c>
      <c r="I827" s="159">
        <f t="shared" si="133"/>
        <v>8047.35</v>
      </c>
      <c r="J827" s="159">
        <f t="shared" si="133"/>
        <v>7752.7439999999997</v>
      </c>
      <c r="K827" s="159">
        <f t="shared" si="133"/>
        <v>5396.4279999999999</v>
      </c>
      <c r="L827" s="159">
        <f t="shared" si="133"/>
        <v>1688.2470000000001</v>
      </c>
      <c r="M827" s="159">
        <f t="shared" si="133"/>
        <v>1735.4280000000001</v>
      </c>
      <c r="N827" s="159">
        <f t="shared" si="133"/>
        <v>4178.22</v>
      </c>
      <c r="O827" s="159">
        <f t="shared" si="133"/>
        <v>402.94799999999998</v>
      </c>
      <c r="P827" s="159">
        <f t="shared" si="133"/>
        <v>1729.9349999999999</v>
      </c>
      <c r="Q827" s="159">
        <f t="shared" si="133"/>
        <v>831.86400000000003</v>
      </c>
      <c r="R827" s="159">
        <f t="shared" si="127"/>
        <v>95209.630000000019</v>
      </c>
    </row>
    <row r="828" spans="1:18" ht="15.75" customHeight="1" x14ac:dyDescent="0.3">
      <c r="A828" s="164" t="s">
        <v>417</v>
      </c>
      <c r="B828" s="159">
        <f t="shared" ref="B828:Q828" si="134">(B746*B737)/1000</f>
        <v>83691.506999999998</v>
      </c>
      <c r="C828" s="159">
        <f t="shared" si="134"/>
        <v>11198.08</v>
      </c>
      <c r="D828" s="159">
        <f t="shared" si="134"/>
        <v>11157.376</v>
      </c>
      <c r="E828" s="159">
        <f t="shared" si="134"/>
        <v>11295.582</v>
      </c>
      <c r="F828" s="159">
        <f t="shared" si="134"/>
        <v>0</v>
      </c>
      <c r="G828" s="159">
        <f t="shared" si="134"/>
        <v>-12934.295</v>
      </c>
      <c r="H828" s="159">
        <f t="shared" si="134"/>
        <v>11464.028</v>
      </c>
      <c r="I828" s="159">
        <f t="shared" si="134"/>
        <v>6708.6</v>
      </c>
      <c r="J828" s="159">
        <f t="shared" si="134"/>
        <v>7801.8029999999999</v>
      </c>
      <c r="K828" s="159">
        <f t="shared" si="134"/>
        <v>5508.9759999999997</v>
      </c>
      <c r="L828" s="159">
        <f t="shared" si="134"/>
        <v>1931.2919999999999</v>
      </c>
      <c r="M828" s="159">
        <f t="shared" si="134"/>
        <v>1986.144</v>
      </c>
      <c r="N828" s="159">
        <f t="shared" si="134"/>
        <v>4808.6880000000001</v>
      </c>
      <c r="O828" s="159">
        <f t="shared" si="134"/>
        <v>793.04399999999998</v>
      </c>
      <c r="P828" s="159">
        <f t="shared" si="134"/>
        <v>1856.808</v>
      </c>
      <c r="Q828" s="159">
        <f t="shared" si="134"/>
        <v>1702.7729999999999</v>
      </c>
      <c r="R828" s="159">
        <f t="shared" si="127"/>
        <v>148970.40599999996</v>
      </c>
    </row>
    <row r="829" spans="1:18" ht="15.75" customHeight="1" x14ac:dyDescent="0.3">
      <c r="A829" s="164" t="s">
        <v>418</v>
      </c>
      <c r="B829" s="159">
        <f>(B747*B737)/1000</f>
        <v>160458.516</v>
      </c>
      <c r="C829" s="159">
        <f>(C747*C737)/1000</f>
        <v>21511.168000000001</v>
      </c>
      <c r="D829" s="159">
        <f>(D747*D737)/1000</f>
        <v>21472.639999999999</v>
      </c>
      <c r="E829" s="159">
        <f>(E747*E737)/1000</f>
        <v>29190.51</v>
      </c>
      <c r="F829" s="159">
        <f>(F747*F737)/1000</f>
        <v>2723.4850000000001</v>
      </c>
      <c r="G829" s="159">
        <v>0</v>
      </c>
      <c r="H829" s="159">
        <f t="shared" ref="H829:Q829" si="135">(H747*H737)/1000</f>
        <v>8792.7160000000003</v>
      </c>
      <c r="I829" s="159">
        <f t="shared" si="135"/>
        <v>3702.75</v>
      </c>
      <c r="J829" s="159">
        <f t="shared" si="135"/>
        <v>5841.3389999999999</v>
      </c>
      <c r="K829" s="159">
        <f t="shared" si="135"/>
        <v>4724.0780000000004</v>
      </c>
      <c r="L829" s="159">
        <f t="shared" si="135"/>
        <v>1634.193</v>
      </c>
      <c r="M829" s="159">
        <f t="shared" si="135"/>
        <v>1680.2460000000001</v>
      </c>
      <c r="N829" s="159">
        <f t="shared" si="135"/>
        <v>4097.5439999999999</v>
      </c>
      <c r="O829" s="159">
        <f t="shared" si="135"/>
        <v>748.81799999999998</v>
      </c>
      <c r="P829" s="159">
        <f t="shared" si="135"/>
        <v>1819.1790000000001</v>
      </c>
      <c r="Q829" s="159">
        <f t="shared" si="135"/>
        <v>1588.5150000000001</v>
      </c>
      <c r="R829" s="159">
        <f t="shared" si="127"/>
        <v>269985.6970000001</v>
      </c>
    </row>
    <row r="830" spans="1:18" ht="15.75" customHeight="1" x14ac:dyDescent="0.3">
      <c r="A830" s="164" t="s">
        <v>419</v>
      </c>
      <c r="B830" s="159">
        <f>(B748*B737)/1000</f>
        <v>157465.14300000001</v>
      </c>
      <c r="C830" s="159">
        <f>(C748*C737)/1000</f>
        <v>21113.088</v>
      </c>
      <c r="D830" s="159">
        <f>(D748*D737)/1000</f>
        <v>21078.272000000001</v>
      </c>
      <c r="E830" s="159">
        <f>(E748*E737)/1000</f>
        <v>29490.54</v>
      </c>
      <c r="F830" s="159">
        <f>(F748*F737)/1000</f>
        <v>9847.6849999999995</v>
      </c>
      <c r="G830" s="159">
        <v>0</v>
      </c>
      <c r="H830" s="159">
        <f t="shared" ref="H830:Q830" si="136">(H748*H737)/1000</f>
        <v>3900.7080000000001</v>
      </c>
      <c r="I830" s="159">
        <f t="shared" si="136"/>
        <v>1195.05</v>
      </c>
      <c r="J830" s="159">
        <f t="shared" si="136"/>
        <v>1870.8779999999999</v>
      </c>
      <c r="K830" s="159">
        <f t="shared" si="136"/>
        <v>1620.42</v>
      </c>
      <c r="L830" s="159">
        <f t="shared" si="136"/>
        <v>518.16600000000005</v>
      </c>
      <c r="M830" s="159">
        <f t="shared" si="136"/>
        <v>530.91</v>
      </c>
      <c r="N830" s="159">
        <f t="shared" si="136"/>
        <v>1292.559</v>
      </c>
      <c r="O830" s="159">
        <f t="shared" si="136"/>
        <v>371.00700000000001</v>
      </c>
      <c r="P830" s="159">
        <f t="shared" si="136"/>
        <v>1693.6379999999999</v>
      </c>
      <c r="Q830" s="159">
        <f t="shared" si="136"/>
        <v>782.54399999999998</v>
      </c>
      <c r="R830" s="159">
        <f t="shared" si="127"/>
        <v>252770.60800000004</v>
      </c>
    </row>
    <row r="831" spans="1:18" ht="15.75" customHeight="1" x14ac:dyDescent="0.3">
      <c r="A831" s="164" t="s">
        <v>420</v>
      </c>
      <c r="B831" s="159">
        <f t="shared" ref="B831:Q831" si="137">(B749*B737)/1000</f>
        <v>144511.014</v>
      </c>
      <c r="C831" s="159">
        <f t="shared" si="137"/>
        <v>19379.583999999999</v>
      </c>
      <c r="D831" s="159">
        <f t="shared" si="137"/>
        <v>19350.655999999999</v>
      </c>
      <c r="E831" s="159">
        <f t="shared" si="137"/>
        <v>29249.859</v>
      </c>
      <c r="F831" s="159">
        <f t="shared" si="137"/>
        <v>11526.705</v>
      </c>
      <c r="G831" s="159">
        <f t="shared" si="137"/>
        <v>0</v>
      </c>
      <c r="H831" s="159">
        <f t="shared" si="137"/>
        <v>3482.66</v>
      </c>
      <c r="I831" s="159">
        <f t="shared" si="137"/>
        <v>2157.6</v>
      </c>
      <c r="J831" s="159">
        <f t="shared" si="137"/>
        <v>3360.4229999999998</v>
      </c>
      <c r="K831" s="159">
        <f t="shared" si="137"/>
        <v>3063.43</v>
      </c>
      <c r="L831" s="159">
        <f t="shared" si="137"/>
        <v>1130.778</v>
      </c>
      <c r="M831" s="159">
        <f t="shared" si="137"/>
        <v>1162.6980000000001</v>
      </c>
      <c r="N831" s="159">
        <f t="shared" si="137"/>
        <v>2835.6120000000001</v>
      </c>
      <c r="O831" s="159">
        <f t="shared" si="137"/>
        <v>500.47199999999998</v>
      </c>
      <c r="P831" s="159">
        <f t="shared" si="137"/>
        <v>1590.075</v>
      </c>
      <c r="Q831" s="159">
        <f t="shared" si="137"/>
        <v>1059.1469999999999</v>
      </c>
      <c r="R831" s="159">
        <f t="shared" si="127"/>
        <v>244360.71299999999</v>
      </c>
    </row>
    <row r="832" spans="1:18" ht="15.75" customHeight="1" x14ac:dyDescent="0.3">
      <c r="A832" s="164" t="s">
        <v>421</v>
      </c>
      <c r="B832" s="159">
        <f t="shared" ref="B832:Q832" si="138">(B750*B737)/1000</f>
        <v>180606.842</v>
      </c>
      <c r="C832" s="159">
        <f t="shared" si="138"/>
        <v>24233.984</v>
      </c>
      <c r="D832" s="159">
        <f t="shared" si="138"/>
        <v>24211.072</v>
      </c>
      <c r="E832" s="159">
        <f t="shared" si="138"/>
        <v>34476.951000000001</v>
      </c>
      <c r="F832" s="159">
        <f t="shared" si="138"/>
        <v>18779.427</v>
      </c>
      <c r="G832" s="159">
        <f t="shared" si="138"/>
        <v>0</v>
      </c>
      <c r="H832" s="159">
        <f t="shared" si="138"/>
        <v>2797.72</v>
      </c>
      <c r="I832" s="159">
        <f t="shared" si="138"/>
        <v>1163.7</v>
      </c>
      <c r="J832" s="159">
        <f t="shared" si="138"/>
        <v>1736.7360000000001</v>
      </c>
      <c r="K832" s="159">
        <f t="shared" si="138"/>
        <v>1573.412</v>
      </c>
      <c r="L832" s="159">
        <f t="shared" si="138"/>
        <v>499.25700000000001</v>
      </c>
      <c r="M832" s="159">
        <f t="shared" si="138"/>
        <v>512.44799999999998</v>
      </c>
      <c r="N832" s="159">
        <f t="shared" si="138"/>
        <v>1248.7349999999999</v>
      </c>
      <c r="O832" s="159">
        <f t="shared" si="138"/>
        <v>437.91300000000001</v>
      </c>
      <c r="P832" s="159">
        <f t="shared" si="138"/>
        <v>1691.973</v>
      </c>
      <c r="Q832" s="159">
        <f t="shared" si="138"/>
        <v>926.80499999999995</v>
      </c>
      <c r="R832" s="159">
        <f t="shared" si="127"/>
        <v>294896.97499999992</v>
      </c>
    </row>
    <row r="833" spans="1:19" ht="15.75" customHeight="1" x14ac:dyDescent="0.3">
      <c r="A833" s="159"/>
      <c r="B833" s="159"/>
      <c r="C833" s="159"/>
      <c r="D833" s="159"/>
      <c r="E833" s="159"/>
      <c r="F833" s="159"/>
      <c r="G833" s="159"/>
      <c r="H833" s="159"/>
      <c r="I833" s="159"/>
      <c r="J833" s="159"/>
      <c r="K833" s="159"/>
      <c r="L833" s="159"/>
      <c r="M833" s="159"/>
      <c r="N833" s="159"/>
      <c r="O833" s="159"/>
      <c r="P833" s="159"/>
      <c r="Q833" s="159"/>
      <c r="R833" s="159"/>
    </row>
    <row r="834" spans="1:19" ht="15.75" customHeight="1" x14ac:dyDescent="0.3">
      <c r="A834" s="164" t="s">
        <v>422</v>
      </c>
      <c r="B834" s="159">
        <f t="shared" ref="B834:R834" si="139">SUM(B821:B832)</f>
        <v>1583479.0689999999</v>
      </c>
      <c r="C834" s="159">
        <f t="shared" si="139"/>
        <v>212233.34399999998</v>
      </c>
      <c r="D834" s="159">
        <f t="shared" si="139"/>
        <v>211805.82400000002</v>
      </c>
      <c r="E834" s="159">
        <f t="shared" si="139"/>
        <v>298960.40400000004</v>
      </c>
      <c r="F834" s="159">
        <f t="shared" si="139"/>
        <v>65307.612999999998</v>
      </c>
      <c r="G834" s="159">
        <f t="shared" si="139"/>
        <v>-38987.894</v>
      </c>
      <c r="H834" s="159">
        <f t="shared" si="139"/>
        <v>89565.220000000016</v>
      </c>
      <c r="I834" s="159">
        <f t="shared" si="139"/>
        <v>53316.9</v>
      </c>
      <c r="J834" s="159">
        <f t="shared" si="139"/>
        <v>66909.129000000001</v>
      </c>
      <c r="K834" s="159">
        <f t="shared" si="139"/>
        <v>53916.59399999999</v>
      </c>
      <c r="L834" s="159">
        <f t="shared" si="139"/>
        <v>17760.797999999999</v>
      </c>
      <c r="M834" s="159">
        <f t="shared" si="139"/>
        <v>18260.957999999999</v>
      </c>
      <c r="N834" s="159">
        <f t="shared" si="139"/>
        <v>44006.019000000008</v>
      </c>
      <c r="O834" s="159">
        <f t="shared" si="139"/>
        <v>6780.5640000000003</v>
      </c>
      <c r="P834" s="159">
        <f t="shared" si="139"/>
        <v>19791.188999999998</v>
      </c>
      <c r="Q834" s="159">
        <f t="shared" si="139"/>
        <v>14326.637999999999</v>
      </c>
      <c r="R834" s="159">
        <f t="shared" si="139"/>
        <v>2717432.3690000004</v>
      </c>
    </row>
    <row r="835" spans="1:19" ht="15.75" customHeight="1" x14ac:dyDescent="0.3">
      <c r="A835" s="159" t="s">
        <v>7</v>
      </c>
      <c r="B835" s="159"/>
      <c r="C835" s="159"/>
      <c r="D835" s="159"/>
      <c r="E835" s="159"/>
      <c r="F835" s="159"/>
      <c r="G835" s="159"/>
      <c r="H835" s="159"/>
      <c r="I835" s="159"/>
      <c r="J835" s="159"/>
      <c r="K835" s="159"/>
      <c r="L835" s="159"/>
      <c r="M835" s="159"/>
      <c r="N835" s="159"/>
      <c r="O835" s="159"/>
      <c r="P835" s="159"/>
      <c r="Q835" s="159"/>
      <c r="R835" s="159"/>
    </row>
    <row r="836" spans="1:19" ht="15.75" customHeight="1" x14ac:dyDescent="0.3">
      <c r="A836" s="159"/>
      <c r="B836" s="159"/>
      <c r="C836" s="159"/>
      <c r="D836" s="159"/>
      <c r="E836" s="159"/>
      <c r="F836" s="159"/>
      <c r="G836" s="159"/>
      <c r="H836" s="159"/>
      <c r="I836" s="159"/>
      <c r="J836" s="159"/>
      <c r="K836" s="159"/>
      <c r="L836" s="159"/>
      <c r="M836" s="159"/>
      <c r="N836" s="159"/>
      <c r="O836" s="159"/>
      <c r="P836" s="159"/>
      <c r="Q836" s="159"/>
      <c r="R836" s="159"/>
      <c r="S836" s="159"/>
    </row>
    <row r="837" spans="1:19" ht="15.75" customHeight="1" x14ac:dyDescent="0.3">
      <c r="A837" s="159"/>
      <c r="B837" s="159"/>
      <c r="C837" s="159"/>
      <c r="D837" s="159"/>
      <c r="E837" s="159"/>
      <c r="F837" s="159"/>
      <c r="G837" s="159"/>
      <c r="H837" s="159"/>
      <c r="I837" s="159"/>
      <c r="J837" s="159"/>
      <c r="K837" s="159"/>
      <c r="L837" s="159"/>
      <c r="M837" s="159"/>
      <c r="N837" s="159"/>
      <c r="O837" s="159"/>
      <c r="P837" s="159"/>
      <c r="Q837" s="161" t="str">
        <f>+Q1</f>
        <v>PRINTED:</v>
      </c>
      <c r="R837" s="162">
        <f ca="1">+R1</f>
        <v>44909.46975358796</v>
      </c>
      <c r="S837" s="159"/>
    </row>
    <row r="838" spans="1:19" ht="15.75" customHeight="1" x14ac:dyDescent="0.35">
      <c r="A838" s="159"/>
      <c r="B838" s="159"/>
      <c r="C838" s="161" t="s">
        <v>460</v>
      </c>
      <c r="D838" s="159"/>
      <c r="E838" s="159"/>
      <c r="F838" s="159"/>
      <c r="G838" s="159"/>
      <c r="H838" s="159"/>
      <c r="I838" s="159"/>
      <c r="J838" s="159"/>
      <c r="K838" s="159"/>
      <c r="L838" s="167"/>
      <c r="M838" s="161" t="s">
        <v>461</v>
      </c>
      <c r="N838" s="159"/>
      <c r="O838" s="159"/>
      <c r="P838" s="159"/>
      <c r="Q838" s="159"/>
      <c r="R838" s="159"/>
      <c r="S838" s="159"/>
    </row>
    <row r="839" spans="1:19" ht="15.75" customHeight="1" x14ac:dyDescent="0.3">
      <c r="A839" s="159"/>
      <c r="B839" s="159"/>
      <c r="C839" s="159"/>
      <c r="D839" s="159"/>
      <c r="E839" s="159" t="s">
        <v>7</v>
      </c>
      <c r="F839" s="163" t="str">
        <f>+A9</f>
        <v>Revised:  1/24/11</v>
      </c>
      <c r="G839" s="159"/>
      <c r="H839" s="159"/>
      <c r="I839" s="159"/>
      <c r="J839" s="159"/>
      <c r="K839" s="159"/>
      <c r="L839" s="159"/>
      <c r="M839" s="159"/>
      <c r="N839" s="159"/>
      <c r="O839" s="159"/>
      <c r="P839" s="159" t="s">
        <v>7</v>
      </c>
      <c r="Q839" s="163" t="str">
        <f>+A9</f>
        <v>Revised:  1/24/11</v>
      </c>
      <c r="R839" s="159"/>
      <c r="S839" s="164" t="s">
        <v>462</v>
      </c>
    </row>
    <row r="840" spans="1:19" ht="15.75" customHeight="1" x14ac:dyDescent="0.3">
      <c r="A840" s="159"/>
      <c r="B840" s="159"/>
      <c r="C840" s="159"/>
      <c r="D840" s="159" t="s">
        <v>387</v>
      </c>
      <c r="E840" s="159"/>
      <c r="F840" s="159"/>
      <c r="G840" s="159"/>
      <c r="H840" s="159"/>
      <c r="I840" s="159"/>
      <c r="J840" s="159"/>
      <c r="K840" s="159"/>
      <c r="L840" s="159"/>
      <c r="M840" s="159"/>
      <c r="N840" s="159" t="s">
        <v>387</v>
      </c>
      <c r="O840" s="159"/>
      <c r="P840" s="159"/>
      <c r="Q840" s="159"/>
      <c r="R840" s="159"/>
      <c r="S840" s="164" t="s">
        <v>463</v>
      </c>
    </row>
    <row r="841" spans="1:19" ht="15.75" customHeight="1" x14ac:dyDescent="0.3">
      <c r="A841" s="159"/>
      <c r="B841" s="159"/>
      <c r="C841" s="159"/>
      <c r="D841" s="159"/>
      <c r="E841" s="159"/>
      <c r="F841" s="159"/>
      <c r="G841" s="159"/>
      <c r="H841" s="159"/>
      <c r="I841" s="159"/>
      <c r="J841" s="159"/>
      <c r="K841" s="159"/>
      <c r="L841" s="159"/>
      <c r="M841" s="159"/>
      <c r="N841" s="159"/>
      <c r="O841" s="159"/>
      <c r="P841" s="159"/>
      <c r="Q841" s="159"/>
      <c r="R841" s="159"/>
      <c r="S841" s="164" t="s">
        <v>464</v>
      </c>
    </row>
    <row r="842" spans="1:19" ht="15.75" customHeight="1" x14ac:dyDescent="0.3">
      <c r="A842" s="159"/>
      <c r="B842" s="159"/>
      <c r="C842" s="159"/>
      <c r="D842" s="159"/>
      <c r="E842" s="159" t="str">
        <f>+A5</f>
        <v>Calendar Year 2010</v>
      </c>
      <c r="F842" s="159"/>
      <c r="G842" s="159"/>
      <c r="H842" s="159"/>
      <c r="I842" s="159"/>
      <c r="J842" s="159"/>
      <c r="K842" s="159"/>
      <c r="L842" s="159"/>
      <c r="M842" s="159"/>
      <c r="N842" s="159"/>
      <c r="O842" s="159"/>
      <c r="P842" s="159" t="str">
        <f>+A5</f>
        <v>Calendar Year 2010</v>
      </c>
      <c r="Q842" s="159"/>
      <c r="R842" s="159"/>
      <c r="S842" s="164" t="s">
        <v>409</v>
      </c>
    </row>
    <row r="843" spans="1:19" ht="15.75" customHeight="1" x14ac:dyDescent="0.3">
      <c r="A843" s="159"/>
      <c r="B843" s="159"/>
      <c r="C843" s="159"/>
      <c r="D843" s="159"/>
      <c r="E843" s="159" t="s">
        <v>457</v>
      </c>
      <c r="F843" s="159"/>
      <c r="G843" s="159"/>
      <c r="H843" s="159"/>
      <c r="I843" s="159"/>
      <c r="J843" s="159"/>
      <c r="K843" s="159"/>
      <c r="L843" s="159"/>
      <c r="M843" s="159"/>
      <c r="N843" s="159"/>
      <c r="O843" s="159"/>
      <c r="P843" s="159" t="s">
        <v>457</v>
      </c>
      <c r="Q843" s="159"/>
      <c r="R843" s="159"/>
      <c r="S843" s="168">
        <f t="shared" ref="S843:S854" si="140">(Q875*R875)/1000</f>
        <v>19.382455560000007</v>
      </c>
    </row>
    <row r="844" spans="1:19" ht="15.75" customHeight="1" x14ac:dyDescent="0.3">
      <c r="A844" s="159"/>
      <c r="B844" s="159"/>
      <c r="C844" s="159"/>
      <c r="D844" s="159"/>
      <c r="E844" s="159"/>
      <c r="F844" s="159"/>
      <c r="G844" s="159"/>
      <c r="H844" s="159"/>
      <c r="I844" s="159"/>
      <c r="J844" s="159"/>
      <c r="K844" s="159"/>
      <c r="L844" s="159"/>
      <c r="M844" s="159"/>
      <c r="N844" s="159"/>
      <c r="O844" s="159"/>
      <c r="P844" s="159"/>
      <c r="Q844" s="159"/>
      <c r="R844" s="159"/>
      <c r="S844" s="168">
        <f t="shared" si="140"/>
        <v>20.862173280000004</v>
      </c>
    </row>
    <row r="845" spans="1:19" ht="15.75" customHeight="1" x14ac:dyDescent="0.3">
      <c r="A845" s="159" t="s">
        <v>389</v>
      </c>
      <c r="B845" s="164" t="s">
        <v>390</v>
      </c>
      <c r="C845" s="164" t="s">
        <v>391</v>
      </c>
      <c r="D845" s="164" t="s">
        <v>392</v>
      </c>
      <c r="E845" s="164" t="s">
        <v>393</v>
      </c>
      <c r="F845" s="164" t="s">
        <v>394</v>
      </c>
      <c r="G845" s="159"/>
      <c r="H845" s="164" t="s">
        <v>422</v>
      </c>
      <c r="I845" s="159"/>
      <c r="J845" s="159"/>
      <c r="K845" s="159"/>
      <c r="L845" s="159" t="s">
        <v>389</v>
      </c>
      <c r="M845" s="164" t="s">
        <v>390</v>
      </c>
      <c r="N845" s="164" t="s">
        <v>391</v>
      </c>
      <c r="O845" s="164" t="s">
        <v>392</v>
      </c>
      <c r="P845" s="164" t="s">
        <v>393</v>
      </c>
      <c r="Q845" s="164" t="s">
        <v>394</v>
      </c>
      <c r="R845" s="164" t="s">
        <v>422</v>
      </c>
      <c r="S845" s="168">
        <f t="shared" si="140"/>
        <v>32.142801599999999</v>
      </c>
    </row>
    <row r="846" spans="1:19" ht="15.75" customHeight="1" x14ac:dyDescent="0.3">
      <c r="A846" s="159" t="s">
        <v>405</v>
      </c>
      <c r="B846" s="159"/>
      <c r="C846" s="159"/>
      <c r="D846" s="159"/>
      <c r="E846" s="159"/>
      <c r="F846" s="164" t="s">
        <v>406</v>
      </c>
      <c r="G846" s="159"/>
      <c r="H846" s="164" t="s">
        <v>465</v>
      </c>
      <c r="I846" s="159"/>
      <c r="J846" s="159"/>
      <c r="K846" s="159"/>
      <c r="L846" s="159" t="s">
        <v>405</v>
      </c>
      <c r="M846" s="159"/>
      <c r="N846" s="159"/>
      <c r="O846" s="159"/>
      <c r="P846" s="159"/>
      <c r="Q846" s="164" t="s">
        <v>406</v>
      </c>
      <c r="R846" s="164" t="s">
        <v>465</v>
      </c>
      <c r="S846" s="168">
        <f t="shared" si="140"/>
        <v>31.501844009999999</v>
      </c>
    </row>
    <row r="847" spans="1:19" ht="15.75" customHeight="1" x14ac:dyDescent="0.3">
      <c r="A847" s="159" t="s">
        <v>408</v>
      </c>
      <c r="B847" s="159">
        <v>953</v>
      </c>
      <c r="C847" s="159">
        <v>128</v>
      </c>
      <c r="D847" s="159">
        <v>128</v>
      </c>
      <c r="E847" s="159">
        <v>219</v>
      </c>
      <c r="F847" s="159">
        <v>179</v>
      </c>
      <c r="G847" s="159"/>
      <c r="H847" s="164" t="s">
        <v>442</v>
      </c>
      <c r="I847" s="159"/>
      <c r="J847" s="159"/>
      <c r="K847" s="159"/>
      <c r="L847" s="159" t="s">
        <v>408</v>
      </c>
      <c r="M847" s="159">
        <v>953</v>
      </c>
      <c r="N847" s="159">
        <v>128</v>
      </c>
      <c r="O847" s="159">
        <v>128</v>
      </c>
      <c r="P847" s="159">
        <v>219</v>
      </c>
      <c r="Q847" s="159">
        <v>179</v>
      </c>
      <c r="R847" s="164" t="s">
        <v>442</v>
      </c>
      <c r="S847" s="168">
        <f t="shared" si="140"/>
        <v>32.62958673</v>
      </c>
    </row>
    <row r="848" spans="1:19" ht="15.75" customHeight="1" x14ac:dyDescent="0.3">
      <c r="A848" s="159"/>
      <c r="B848" s="159" t="s">
        <v>409</v>
      </c>
      <c r="C848" s="159" t="s">
        <v>409</v>
      </c>
      <c r="D848" s="159" t="s">
        <v>409</v>
      </c>
      <c r="E848" s="159" t="s">
        <v>409</v>
      </c>
      <c r="F848" s="159" t="s">
        <v>409</v>
      </c>
      <c r="G848" s="159"/>
      <c r="H848" s="159" t="s">
        <v>459</v>
      </c>
      <c r="I848" s="159"/>
      <c r="J848" s="159"/>
      <c r="K848" s="159"/>
      <c r="L848" s="159"/>
      <c r="M848" s="159" t="s">
        <v>409</v>
      </c>
      <c r="N848" s="159" t="s">
        <v>409</v>
      </c>
      <c r="O848" s="159" t="s">
        <v>409</v>
      </c>
      <c r="P848" s="159" t="s">
        <v>409</v>
      </c>
      <c r="Q848" s="159" t="s">
        <v>409</v>
      </c>
      <c r="R848" s="159" t="s">
        <v>459</v>
      </c>
      <c r="S848" s="168">
        <f t="shared" si="140"/>
        <v>28.792170030000005</v>
      </c>
    </row>
    <row r="849" spans="1:19" ht="15.75" customHeight="1" x14ac:dyDescent="0.3">
      <c r="A849" s="164" t="s">
        <v>410</v>
      </c>
      <c r="B849" s="159">
        <f t="shared" ref="B849:F860" si="141">($F739)*B$737/1000</f>
        <v>65999.062000000005</v>
      </c>
      <c r="C849" s="159">
        <f t="shared" si="141"/>
        <v>8864.5120000000006</v>
      </c>
      <c r="D849" s="159">
        <f t="shared" si="141"/>
        <v>8864.5120000000006</v>
      </c>
      <c r="E849" s="159">
        <f t="shared" si="141"/>
        <v>15166.626</v>
      </c>
      <c r="F849" s="159">
        <f t="shared" si="141"/>
        <v>12396.466</v>
      </c>
      <c r="G849" s="159"/>
      <c r="H849" s="159">
        <f t="shared" ref="H849:H860" si="142">SUM(B849:F849)</f>
        <v>111291.17800000001</v>
      </c>
      <c r="I849" s="159"/>
      <c r="J849" s="159"/>
      <c r="K849" s="159"/>
      <c r="L849" s="164" t="s">
        <v>410</v>
      </c>
      <c r="M849" s="159">
        <f t="shared" ref="M849:Q860" si="143">(B739-$F739)*B$737/1000</f>
        <v>54714.589</v>
      </c>
      <c r="N849" s="159">
        <f t="shared" si="143"/>
        <v>7336.4480000000003</v>
      </c>
      <c r="O849" s="159">
        <f t="shared" si="143"/>
        <v>7324.16</v>
      </c>
      <c r="P849" s="159">
        <f t="shared" si="143"/>
        <v>11061.471</v>
      </c>
      <c r="Q849" s="159">
        <f t="shared" si="143"/>
        <v>0</v>
      </c>
      <c r="R849" s="159">
        <f t="shared" ref="R849:R860" si="144">SUM(L849:P849)</f>
        <v>80436.668000000005</v>
      </c>
      <c r="S849" s="168">
        <f t="shared" si="140"/>
        <v>26.099605740000001</v>
      </c>
    </row>
    <row r="850" spans="1:19" ht="15.75" customHeight="1" x14ac:dyDescent="0.3">
      <c r="A850" s="164" t="s">
        <v>411</v>
      </c>
      <c r="B850" s="159">
        <f t="shared" si="141"/>
        <v>30518.871999999999</v>
      </c>
      <c r="C850" s="159">
        <f t="shared" si="141"/>
        <v>4099.0720000000001</v>
      </c>
      <c r="D850" s="159">
        <f t="shared" si="141"/>
        <v>4099.0720000000001</v>
      </c>
      <c r="E850" s="159">
        <f t="shared" si="141"/>
        <v>7013.2560000000003</v>
      </c>
      <c r="F850" s="159">
        <f t="shared" si="141"/>
        <v>5732.2960000000003</v>
      </c>
      <c r="G850" s="159"/>
      <c r="H850" s="159">
        <f t="shared" si="142"/>
        <v>51462.568000000007</v>
      </c>
      <c r="I850" s="159"/>
      <c r="J850" s="159"/>
      <c r="K850" s="159"/>
      <c r="L850" s="164" t="s">
        <v>411</v>
      </c>
      <c r="M850" s="159">
        <f t="shared" si="143"/>
        <v>56470.968000000001</v>
      </c>
      <c r="N850" s="159">
        <f t="shared" si="143"/>
        <v>7565.8239999999996</v>
      </c>
      <c r="O850" s="159">
        <f t="shared" si="143"/>
        <v>7547.2640000000001</v>
      </c>
      <c r="P850" s="159">
        <f t="shared" si="143"/>
        <v>10102.689</v>
      </c>
      <c r="Q850" s="159">
        <f t="shared" si="143"/>
        <v>0</v>
      </c>
      <c r="R850" s="159">
        <f t="shared" si="144"/>
        <v>81686.744999999995</v>
      </c>
      <c r="S850" s="168">
        <f t="shared" si="140"/>
        <v>32.304510029999996</v>
      </c>
    </row>
    <row r="851" spans="1:19" ht="15.75" customHeight="1" x14ac:dyDescent="0.3">
      <c r="A851" s="164" t="s">
        <v>412</v>
      </c>
      <c r="B851" s="159">
        <f t="shared" si="141"/>
        <v>22144.861000000001</v>
      </c>
      <c r="C851" s="159">
        <f t="shared" si="141"/>
        <v>2974.3359999999998</v>
      </c>
      <c r="D851" s="159">
        <f t="shared" si="141"/>
        <v>2974.3359999999998</v>
      </c>
      <c r="E851" s="159">
        <f t="shared" si="141"/>
        <v>5088.9030000000002</v>
      </c>
      <c r="F851" s="159">
        <f t="shared" si="141"/>
        <v>4159.4229999999998</v>
      </c>
      <c r="G851" s="159"/>
      <c r="H851" s="159">
        <f t="shared" si="142"/>
        <v>37341.859000000004</v>
      </c>
      <c r="I851" s="159"/>
      <c r="J851" s="159"/>
      <c r="K851" s="159"/>
      <c r="L851" s="164" t="s">
        <v>412</v>
      </c>
      <c r="M851" s="159">
        <f t="shared" si="143"/>
        <v>101785.16499999999</v>
      </c>
      <c r="N851" s="159">
        <f t="shared" si="143"/>
        <v>13635.968000000001</v>
      </c>
      <c r="O851" s="159">
        <f t="shared" si="143"/>
        <v>13602.56</v>
      </c>
      <c r="P851" s="159">
        <f t="shared" si="143"/>
        <v>19271.343000000001</v>
      </c>
      <c r="Q851" s="159">
        <f t="shared" si="143"/>
        <v>0</v>
      </c>
      <c r="R851" s="159">
        <f t="shared" si="144"/>
        <v>148295.03599999999</v>
      </c>
      <c r="S851" s="168">
        <f t="shared" si="140"/>
        <v>28.574182649999997</v>
      </c>
    </row>
    <row r="852" spans="1:19" ht="15.75" customHeight="1" x14ac:dyDescent="0.3">
      <c r="A852" s="164" t="s">
        <v>413</v>
      </c>
      <c r="B852" s="159">
        <f t="shared" si="141"/>
        <v>0</v>
      </c>
      <c r="C852" s="159">
        <f t="shared" si="141"/>
        <v>0</v>
      </c>
      <c r="D852" s="159">
        <f t="shared" si="141"/>
        <v>0</v>
      </c>
      <c r="E852" s="159">
        <f t="shared" si="141"/>
        <v>0</v>
      </c>
      <c r="F852" s="159">
        <f t="shared" si="141"/>
        <v>0</v>
      </c>
      <c r="G852" s="159"/>
      <c r="H852" s="159">
        <f t="shared" si="142"/>
        <v>0</v>
      </c>
      <c r="I852" s="159"/>
      <c r="J852" s="159"/>
      <c r="K852" s="159"/>
      <c r="L852" s="164" t="s">
        <v>413</v>
      </c>
      <c r="M852" s="159">
        <f t="shared" si="143"/>
        <v>146584.742</v>
      </c>
      <c r="N852" s="159">
        <f t="shared" si="143"/>
        <v>19641.216</v>
      </c>
      <c r="O852" s="159">
        <f t="shared" si="143"/>
        <v>19596.416000000001</v>
      </c>
      <c r="P852" s="159">
        <f t="shared" si="143"/>
        <v>30820.526999999998</v>
      </c>
      <c r="Q852" s="159">
        <f t="shared" si="143"/>
        <v>0</v>
      </c>
      <c r="R852" s="159">
        <f t="shared" si="144"/>
        <v>216642.90099999998</v>
      </c>
      <c r="S852" s="168">
        <f t="shared" si="140"/>
        <v>12.816395280000002</v>
      </c>
    </row>
    <row r="853" spans="1:19" ht="15.75" customHeight="1" x14ac:dyDescent="0.3">
      <c r="A853" s="164" t="s">
        <v>414</v>
      </c>
      <c r="B853" s="159">
        <f t="shared" si="141"/>
        <v>756.68200000000002</v>
      </c>
      <c r="C853" s="159">
        <f t="shared" si="141"/>
        <v>101.63200000000001</v>
      </c>
      <c r="D853" s="159">
        <f t="shared" si="141"/>
        <v>101.63200000000001</v>
      </c>
      <c r="E853" s="159">
        <f t="shared" si="141"/>
        <v>173.886</v>
      </c>
      <c r="F853" s="159">
        <f t="shared" si="141"/>
        <v>142.126</v>
      </c>
      <c r="G853" s="159"/>
      <c r="H853" s="159">
        <f t="shared" si="142"/>
        <v>1275.9580000000001</v>
      </c>
      <c r="I853" s="159"/>
      <c r="J853" s="159"/>
      <c r="K853" s="159"/>
      <c r="L853" s="164" t="s">
        <v>414</v>
      </c>
      <c r="M853" s="159">
        <f t="shared" si="143"/>
        <v>161906.12299999999</v>
      </c>
      <c r="N853" s="159">
        <f t="shared" si="143"/>
        <v>21691.648000000001</v>
      </c>
      <c r="O853" s="159">
        <f t="shared" si="143"/>
        <v>21640.191999999999</v>
      </c>
      <c r="P853" s="159">
        <f t="shared" si="143"/>
        <v>30828.63</v>
      </c>
      <c r="Q853" s="159">
        <f t="shared" si="143"/>
        <v>0</v>
      </c>
      <c r="R853" s="159">
        <f t="shared" si="144"/>
        <v>236066.59300000002</v>
      </c>
      <c r="S853" s="168">
        <f t="shared" si="140"/>
        <v>20.448591540000002</v>
      </c>
    </row>
    <row r="854" spans="1:19" ht="15.75" customHeight="1" x14ac:dyDescent="0.3">
      <c r="A854" s="164" t="s">
        <v>415</v>
      </c>
      <c r="B854" s="159">
        <f t="shared" si="141"/>
        <v>0</v>
      </c>
      <c r="C854" s="159">
        <f t="shared" si="141"/>
        <v>0</v>
      </c>
      <c r="D854" s="159">
        <f t="shared" si="141"/>
        <v>0</v>
      </c>
      <c r="E854" s="159">
        <f t="shared" si="141"/>
        <v>0</v>
      </c>
      <c r="F854" s="159">
        <f t="shared" si="141"/>
        <v>0</v>
      </c>
      <c r="G854" s="159"/>
      <c r="H854" s="159">
        <f t="shared" si="142"/>
        <v>0</v>
      </c>
      <c r="I854" s="159"/>
      <c r="J854" s="159"/>
      <c r="K854" s="159"/>
      <c r="L854" s="164" t="s">
        <v>415</v>
      </c>
      <c r="M854" s="159">
        <f t="shared" si="143"/>
        <v>164185.69899999999</v>
      </c>
      <c r="N854" s="159">
        <f t="shared" si="143"/>
        <v>21998.848000000002</v>
      </c>
      <c r="O854" s="159">
        <f t="shared" si="143"/>
        <v>21948.16</v>
      </c>
      <c r="P854" s="159">
        <f t="shared" si="143"/>
        <v>31251.956999999999</v>
      </c>
      <c r="Q854" s="159">
        <f t="shared" si="143"/>
        <v>0</v>
      </c>
      <c r="R854" s="159">
        <f t="shared" si="144"/>
        <v>239384.66399999999</v>
      </c>
      <c r="S854" s="168">
        <f t="shared" si="140"/>
        <v>13.13331357</v>
      </c>
    </row>
    <row r="855" spans="1:19" ht="15.75" customHeight="1" x14ac:dyDescent="0.3">
      <c r="A855" s="164" t="s">
        <v>416</v>
      </c>
      <c r="B855" s="159">
        <f t="shared" si="141"/>
        <v>0</v>
      </c>
      <c r="C855" s="159">
        <f t="shared" si="141"/>
        <v>0</v>
      </c>
      <c r="D855" s="159">
        <f t="shared" si="141"/>
        <v>0</v>
      </c>
      <c r="E855" s="159">
        <f t="shared" si="141"/>
        <v>0</v>
      </c>
      <c r="F855" s="159">
        <f t="shared" si="141"/>
        <v>0</v>
      </c>
      <c r="G855" s="159"/>
      <c r="H855" s="159">
        <f t="shared" si="142"/>
        <v>0</v>
      </c>
      <c r="I855" s="159"/>
      <c r="J855" s="159"/>
      <c r="K855" s="159"/>
      <c r="L855" s="164" t="s">
        <v>416</v>
      </c>
      <c r="M855" s="159">
        <f t="shared" si="143"/>
        <v>51679.284</v>
      </c>
      <c r="N855" s="159">
        <f t="shared" si="143"/>
        <v>6887.9359999999997</v>
      </c>
      <c r="O855" s="159">
        <f t="shared" si="143"/>
        <v>6837.5039999999999</v>
      </c>
      <c r="P855" s="159">
        <f t="shared" si="143"/>
        <v>4477.674</v>
      </c>
      <c r="Q855" s="159">
        <f t="shared" si="143"/>
        <v>0</v>
      </c>
      <c r="R855" s="159">
        <f t="shared" si="144"/>
        <v>69882.398000000001</v>
      </c>
      <c r="S855" s="168"/>
    </row>
    <row r="856" spans="1:19" ht="15.75" customHeight="1" x14ac:dyDescent="0.3">
      <c r="A856" s="164" t="s">
        <v>417</v>
      </c>
      <c r="B856" s="159">
        <f t="shared" si="141"/>
        <v>0</v>
      </c>
      <c r="C856" s="159">
        <f t="shared" si="141"/>
        <v>0</v>
      </c>
      <c r="D856" s="159">
        <f t="shared" si="141"/>
        <v>0</v>
      </c>
      <c r="E856" s="159">
        <f t="shared" si="141"/>
        <v>0</v>
      </c>
      <c r="F856" s="159">
        <f t="shared" si="141"/>
        <v>0</v>
      </c>
      <c r="G856" s="159"/>
      <c r="H856" s="159">
        <f t="shared" si="142"/>
        <v>0</v>
      </c>
      <c r="I856" s="159"/>
      <c r="J856" s="159"/>
      <c r="K856" s="159"/>
      <c r="L856" s="164" t="s">
        <v>417</v>
      </c>
      <c r="M856" s="159">
        <f t="shared" si="143"/>
        <v>83691.506999999998</v>
      </c>
      <c r="N856" s="159">
        <f t="shared" si="143"/>
        <v>11198.08</v>
      </c>
      <c r="O856" s="159">
        <f t="shared" si="143"/>
        <v>11157.376</v>
      </c>
      <c r="P856" s="159">
        <f t="shared" si="143"/>
        <v>11295.582</v>
      </c>
      <c r="Q856" s="159">
        <f t="shared" si="143"/>
        <v>0</v>
      </c>
      <c r="R856" s="159">
        <f t="shared" si="144"/>
        <v>117342.545</v>
      </c>
      <c r="S856" s="168">
        <f>(SUM(S843:S854))</f>
        <v>298.68763001999992</v>
      </c>
    </row>
    <row r="857" spans="1:19" ht="15.75" customHeight="1" x14ac:dyDescent="0.3">
      <c r="A857" s="164" t="s">
        <v>418</v>
      </c>
      <c r="B857" s="159">
        <f t="shared" si="141"/>
        <v>14499.895</v>
      </c>
      <c r="C857" s="159">
        <f t="shared" si="141"/>
        <v>1947.52</v>
      </c>
      <c r="D857" s="159">
        <f t="shared" si="141"/>
        <v>1947.52</v>
      </c>
      <c r="E857" s="159">
        <f t="shared" si="141"/>
        <v>3332.085</v>
      </c>
      <c r="F857" s="159">
        <f t="shared" si="141"/>
        <v>2723.4850000000001</v>
      </c>
      <c r="G857" s="159"/>
      <c r="H857" s="159">
        <f t="shared" si="142"/>
        <v>24450.505000000001</v>
      </c>
      <c r="I857" s="159"/>
      <c r="J857" s="159"/>
      <c r="K857" s="159"/>
      <c r="L857" s="164" t="s">
        <v>418</v>
      </c>
      <c r="M857" s="159">
        <f t="shared" si="143"/>
        <v>145958.62100000001</v>
      </c>
      <c r="N857" s="159">
        <f t="shared" si="143"/>
        <v>19563.648000000001</v>
      </c>
      <c r="O857" s="159">
        <f t="shared" si="143"/>
        <v>19525.12</v>
      </c>
      <c r="P857" s="159">
        <f t="shared" si="143"/>
        <v>25858.424999999999</v>
      </c>
      <c r="Q857" s="159">
        <f t="shared" si="143"/>
        <v>0</v>
      </c>
      <c r="R857" s="159">
        <f t="shared" si="144"/>
        <v>210905.81400000001</v>
      </c>
      <c r="S857" s="159"/>
    </row>
    <row r="858" spans="1:19" ht="15.75" customHeight="1" x14ac:dyDescent="0.3">
      <c r="A858" s="164" t="s">
        <v>419</v>
      </c>
      <c r="B858" s="159">
        <f t="shared" si="141"/>
        <v>52429.294999999998</v>
      </c>
      <c r="C858" s="159">
        <f t="shared" si="141"/>
        <v>7041.92</v>
      </c>
      <c r="D858" s="159">
        <f t="shared" si="141"/>
        <v>7041.92</v>
      </c>
      <c r="E858" s="159">
        <f t="shared" si="141"/>
        <v>12048.285</v>
      </c>
      <c r="F858" s="159">
        <f t="shared" si="141"/>
        <v>9847.6849999999995</v>
      </c>
      <c r="G858" s="159"/>
      <c r="H858" s="159">
        <f t="shared" si="142"/>
        <v>88409.104999999996</v>
      </c>
      <c r="I858" s="159"/>
      <c r="J858" s="159"/>
      <c r="K858" s="159"/>
      <c r="L858" s="164" t="s">
        <v>419</v>
      </c>
      <c r="M858" s="159">
        <f t="shared" si="143"/>
        <v>105035.848</v>
      </c>
      <c r="N858" s="159">
        <f t="shared" si="143"/>
        <v>14071.168</v>
      </c>
      <c r="O858" s="159">
        <f t="shared" si="143"/>
        <v>14036.352000000001</v>
      </c>
      <c r="P858" s="159">
        <f t="shared" si="143"/>
        <v>17442.255000000001</v>
      </c>
      <c r="Q858" s="159">
        <f t="shared" si="143"/>
        <v>0</v>
      </c>
      <c r="R858" s="159">
        <f t="shared" si="144"/>
        <v>150585.62300000002</v>
      </c>
    </row>
    <row r="859" spans="1:19" ht="15.75" customHeight="1" x14ac:dyDescent="0.3">
      <c r="A859" s="164" t="s">
        <v>420</v>
      </c>
      <c r="B859" s="159">
        <f t="shared" si="141"/>
        <v>61368.434999999998</v>
      </c>
      <c r="C859" s="159">
        <f t="shared" si="141"/>
        <v>8242.56</v>
      </c>
      <c r="D859" s="159">
        <f t="shared" si="141"/>
        <v>8242.56</v>
      </c>
      <c r="E859" s="159">
        <f t="shared" si="141"/>
        <v>14102.504999999999</v>
      </c>
      <c r="F859" s="159">
        <f t="shared" si="141"/>
        <v>11526.705</v>
      </c>
      <c r="G859" s="159"/>
      <c r="H859" s="159">
        <f t="shared" si="142"/>
        <v>103482.765</v>
      </c>
      <c r="I859" s="159"/>
      <c r="J859" s="159"/>
      <c r="K859" s="159"/>
      <c r="L859" s="164" t="s">
        <v>420</v>
      </c>
      <c r="M859" s="159">
        <f t="shared" si="143"/>
        <v>83142.578999999998</v>
      </c>
      <c r="N859" s="159">
        <f t="shared" si="143"/>
        <v>11137.023999999999</v>
      </c>
      <c r="O859" s="159">
        <f t="shared" si="143"/>
        <v>11108.096</v>
      </c>
      <c r="P859" s="159">
        <f t="shared" si="143"/>
        <v>15147.353999999999</v>
      </c>
      <c r="Q859" s="159">
        <f t="shared" si="143"/>
        <v>0</v>
      </c>
      <c r="R859" s="159">
        <f t="shared" si="144"/>
        <v>120535.05300000001</v>
      </c>
    </row>
    <row r="860" spans="1:19" ht="15.75" customHeight="1" x14ac:dyDescent="0.3">
      <c r="A860" s="164" t="s">
        <v>421</v>
      </c>
      <c r="B860" s="159">
        <f t="shared" si="141"/>
        <v>99982.089000000007</v>
      </c>
      <c r="C860" s="159">
        <f t="shared" si="141"/>
        <v>13428.864</v>
      </c>
      <c r="D860" s="159">
        <f t="shared" si="141"/>
        <v>13428.864</v>
      </c>
      <c r="E860" s="159">
        <f t="shared" si="141"/>
        <v>22975.947</v>
      </c>
      <c r="F860" s="159">
        <f t="shared" si="141"/>
        <v>18779.427</v>
      </c>
      <c r="G860" s="159"/>
      <c r="H860" s="159">
        <f t="shared" si="142"/>
        <v>168595.19100000002</v>
      </c>
      <c r="I860" s="159"/>
      <c r="J860" s="159"/>
      <c r="K860" s="159"/>
      <c r="L860" s="164" t="s">
        <v>421</v>
      </c>
      <c r="M860" s="159">
        <f t="shared" si="143"/>
        <v>80624.752999999997</v>
      </c>
      <c r="N860" s="159">
        <f t="shared" si="143"/>
        <v>10805.12</v>
      </c>
      <c r="O860" s="159">
        <f t="shared" si="143"/>
        <v>10782.208000000001</v>
      </c>
      <c r="P860" s="159">
        <f t="shared" si="143"/>
        <v>11501.004000000001</v>
      </c>
      <c r="Q860" s="159">
        <f t="shared" si="143"/>
        <v>0</v>
      </c>
      <c r="R860" s="159">
        <f t="shared" si="144"/>
        <v>113713.08499999999</v>
      </c>
    </row>
    <row r="861" spans="1:19" ht="15.75" customHeight="1" x14ac:dyDescent="0.3">
      <c r="A861" s="159"/>
      <c r="B861" s="159"/>
      <c r="C861" s="159"/>
      <c r="D861" s="159"/>
      <c r="E861" s="159"/>
      <c r="F861" s="159"/>
      <c r="G861" s="159"/>
      <c r="H861" s="159"/>
      <c r="I861" s="159"/>
      <c r="J861" s="159"/>
      <c r="K861" s="159"/>
      <c r="L861" s="159"/>
      <c r="M861" s="159"/>
      <c r="N861" s="159"/>
      <c r="O861" s="159"/>
      <c r="P861" s="159"/>
      <c r="Q861" s="159"/>
      <c r="R861" s="159"/>
    </row>
    <row r="862" spans="1:19" ht="15.75" customHeight="1" x14ac:dyDescent="0.3">
      <c r="A862" s="164" t="s">
        <v>422</v>
      </c>
      <c r="B862" s="159">
        <f>SUM(B849:B860)</f>
        <v>347699.19099999999</v>
      </c>
      <c r="C862" s="159">
        <f>SUM(C849:C860)</f>
        <v>46700.415999999997</v>
      </c>
      <c r="D862" s="159">
        <f>SUM(D849:D860)</f>
        <v>46700.415999999997</v>
      </c>
      <c r="E862" s="159">
        <f>SUM(E849:E860)</f>
        <v>79901.492999999988</v>
      </c>
      <c r="F862" s="159">
        <f>SUM(F849:F860)</f>
        <v>65307.612999999998</v>
      </c>
      <c r="G862" s="159"/>
      <c r="H862" s="159">
        <f>SUM(H849:H860)</f>
        <v>586309.12900000007</v>
      </c>
      <c r="I862" s="159"/>
      <c r="J862" s="159"/>
      <c r="K862" s="159"/>
      <c r="L862" s="164" t="s">
        <v>422</v>
      </c>
      <c r="M862" s="159">
        <f t="shared" ref="M862:R862" si="145">SUM(M849:M860)</f>
        <v>1235779.878</v>
      </c>
      <c r="N862" s="159">
        <f t="shared" si="145"/>
        <v>165532.92800000001</v>
      </c>
      <c r="O862" s="159">
        <f t="shared" si="145"/>
        <v>165105.408</v>
      </c>
      <c r="P862" s="159">
        <f t="shared" si="145"/>
        <v>219058.91099999996</v>
      </c>
      <c r="Q862" s="159">
        <f t="shared" si="145"/>
        <v>0</v>
      </c>
      <c r="R862" s="159">
        <f t="shared" si="145"/>
        <v>1785477.1249999998</v>
      </c>
    </row>
    <row r="863" spans="1:19" ht="15.75" customHeight="1" x14ac:dyDescent="0.3">
      <c r="A863" s="159"/>
      <c r="B863" s="159"/>
      <c r="C863" s="159"/>
      <c r="D863" s="159"/>
      <c r="E863" s="159"/>
      <c r="F863" s="159"/>
      <c r="G863" s="159"/>
      <c r="H863" s="159"/>
      <c r="I863" s="159"/>
      <c r="J863" s="159"/>
      <c r="K863" s="159"/>
      <c r="L863" s="159"/>
      <c r="M863" s="159"/>
      <c r="N863" s="159"/>
      <c r="O863" s="159"/>
      <c r="P863" s="159"/>
      <c r="Q863" s="159"/>
      <c r="R863" s="159"/>
    </row>
    <row r="864" spans="1:19" ht="15.75" customHeight="1" x14ac:dyDescent="0.35">
      <c r="A864" s="159"/>
      <c r="B864" s="159" t="s">
        <v>424</v>
      </c>
      <c r="C864" s="167"/>
      <c r="D864" s="167"/>
      <c r="E864" s="167"/>
      <c r="F864" s="167"/>
      <c r="G864" s="161" t="s">
        <v>466</v>
      </c>
      <c r="H864" s="159"/>
      <c r="I864" s="159"/>
      <c r="J864" s="159"/>
      <c r="K864" s="159"/>
      <c r="L864" s="159"/>
      <c r="M864" s="159"/>
      <c r="N864" s="159"/>
      <c r="O864" s="159"/>
      <c r="P864" s="159"/>
      <c r="Q864" s="161" t="str">
        <f>+Q1</f>
        <v>PRINTED:</v>
      </c>
      <c r="R864" s="162">
        <f ca="1">+R1</f>
        <v>44909.46975358796</v>
      </c>
    </row>
    <row r="865" spans="1:18" ht="15.75" customHeight="1" x14ac:dyDescent="0.35">
      <c r="A865" s="159"/>
      <c r="B865" s="159"/>
      <c r="C865" s="167"/>
      <c r="D865" s="167"/>
      <c r="E865" s="167"/>
      <c r="F865" s="167"/>
      <c r="G865" s="159" t="s">
        <v>424</v>
      </c>
      <c r="H865" s="159" t="s">
        <v>7</v>
      </c>
      <c r="I865" s="163" t="str">
        <f>+A9</f>
        <v>Revised:  1/24/11</v>
      </c>
      <c r="J865" s="159"/>
      <c r="K865" s="159"/>
      <c r="L865" s="159"/>
      <c r="M865" s="159"/>
      <c r="N865" s="159"/>
      <c r="O865" s="159"/>
      <c r="P865" s="159"/>
      <c r="Q865" s="159"/>
      <c r="R865" s="159"/>
    </row>
    <row r="866" spans="1:18" ht="15.75" customHeight="1" x14ac:dyDescent="0.35">
      <c r="A866" s="159"/>
      <c r="B866" s="159" t="s">
        <v>424</v>
      </c>
      <c r="C866" s="167"/>
      <c r="D866" s="167"/>
      <c r="E866" s="167"/>
      <c r="F866" s="167"/>
      <c r="G866" s="159" t="s">
        <v>387</v>
      </c>
      <c r="H866" s="159"/>
      <c r="I866" s="159"/>
      <c r="J866" s="159"/>
      <c r="K866" s="159"/>
      <c r="L866" s="159"/>
      <c r="M866" s="159"/>
      <c r="N866" s="159"/>
      <c r="O866" s="159"/>
      <c r="P866" s="159"/>
      <c r="Q866" s="159"/>
      <c r="R866" s="159"/>
    </row>
    <row r="867" spans="1:18" ht="15.75" customHeight="1" x14ac:dyDescent="0.35">
      <c r="A867" s="159"/>
      <c r="B867" s="159"/>
      <c r="C867" s="167"/>
      <c r="D867" s="167"/>
      <c r="E867" s="167"/>
      <c r="F867" s="167"/>
      <c r="G867" s="159"/>
      <c r="H867" s="159"/>
      <c r="I867" s="159"/>
      <c r="J867" s="159"/>
      <c r="K867" s="159"/>
      <c r="L867" s="159" t="s">
        <v>424</v>
      </c>
      <c r="M867" s="159"/>
      <c r="N867" s="159"/>
      <c r="O867" s="159"/>
      <c r="P867" s="159"/>
      <c r="Q867" s="159"/>
      <c r="R867" s="159"/>
    </row>
    <row r="868" spans="1:18" ht="15.75" customHeight="1" x14ac:dyDescent="0.35">
      <c r="A868" s="159"/>
      <c r="B868" s="159"/>
      <c r="C868" s="167"/>
      <c r="D868" s="167"/>
      <c r="E868" s="167"/>
      <c r="F868" s="167"/>
      <c r="G868" s="159" t="s">
        <v>424</v>
      </c>
      <c r="H868" s="159" t="str">
        <f>+A5</f>
        <v>Calendar Year 2010</v>
      </c>
      <c r="I868" s="159"/>
      <c r="K868" s="159"/>
      <c r="L868" s="159"/>
      <c r="N868" s="159" t="s">
        <v>424</v>
      </c>
      <c r="O868" s="159"/>
      <c r="P868" s="159"/>
      <c r="Q868" s="161" t="s">
        <v>467</v>
      </c>
      <c r="R868" s="159"/>
    </row>
    <row r="869" spans="1:18" ht="15.75" customHeight="1" x14ac:dyDescent="0.3">
      <c r="A869" s="159"/>
      <c r="B869" s="159"/>
      <c r="C869" s="159"/>
      <c r="D869" s="159"/>
      <c r="E869" s="159"/>
      <c r="F869" s="159"/>
      <c r="G869" s="159"/>
      <c r="H869" s="159"/>
      <c r="I869" s="159"/>
      <c r="K869" s="159"/>
      <c r="L869" s="159"/>
      <c r="N869" s="159"/>
      <c r="O869" s="159"/>
      <c r="P869" s="159"/>
      <c r="Q869" s="159" t="s">
        <v>468</v>
      </c>
      <c r="R869" s="159"/>
    </row>
    <row r="870" spans="1:18" ht="15.75" customHeight="1" x14ac:dyDescent="0.35">
      <c r="A870" s="159" t="s">
        <v>424</v>
      </c>
      <c r="B870" s="164" t="s">
        <v>428</v>
      </c>
      <c r="C870" s="164" t="s">
        <v>469</v>
      </c>
      <c r="D870" s="164" t="s">
        <v>470</v>
      </c>
      <c r="E870" s="164" t="s">
        <v>471</v>
      </c>
      <c r="F870" s="159"/>
      <c r="G870" s="159"/>
      <c r="H870" s="164" t="s">
        <v>472</v>
      </c>
      <c r="I870" s="164" t="s">
        <v>473</v>
      </c>
      <c r="J870" s="164" t="s">
        <v>474</v>
      </c>
      <c r="K870" s="164" t="s">
        <v>475</v>
      </c>
      <c r="L870" s="164" t="s">
        <v>476</v>
      </c>
      <c r="M870" s="164" t="s">
        <v>474</v>
      </c>
      <c r="N870" s="159" t="s">
        <v>424</v>
      </c>
      <c r="O870" s="159"/>
      <c r="P870" s="159"/>
      <c r="Q870" s="159"/>
      <c r="R870" s="159"/>
    </row>
    <row r="871" spans="1:18" ht="15.75" customHeight="1" x14ac:dyDescent="0.3">
      <c r="A871" s="159" t="s">
        <v>424</v>
      </c>
      <c r="B871" s="164" t="s">
        <v>435</v>
      </c>
      <c r="C871" s="164" t="s">
        <v>477</v>
      </c>
      <c r="D871" s="164" t="s">
        <v>442</v>
      </c>
      <c r="E871" s="164" t="s">
        <v>429</v>
      </c>
      <c r="F871" s="164" t="s">
        <v>478</v>
      </c>
      <c r="G871" s="164" t="s">
        <v>479</v>
      </c>
      <c r="H871" s="164" t="s">
        <v>480</v>
      </c>
      <c r="I871" s="164" t="s">
        <v>481</v>
      </c>
      <c r="J871" s="164" t="s">
        <v>671</v>
      </c>
      <c r="K871" s="164" t="s">
        <v>483</v>
      </c>
      <c r="L871" s="164" t="s">
        <v>422</v>
      </c>
      <c r="M871" s="164" t="s">
        <v>671</v>
      </c>
      <c r="N871" s="159" t="s">
        <v>484</v>
      </c>
      <c r="O871" s="159"/>
      <c r="P871" s="159"/>
      <c r="Q871" s="159" t="s">
        <v>424</v>
      </c>
      <c r="R871" s="164" t="s">
        <v>442</v>
      </c>
    </row>
    <row r="872" spans="1:18" ht="15.75" customHeight="1" x14ac:dyDescent="0.3">
      <c r="A872" s="159" t="s">
        <v>424</v>
      </c>
      <c r="B872" s="164" t="s">
        <v>442</v>
      </c>
      <c r="C872" s="169">
        <v>7.4999999999999997E-2</v>
      </c>
      <c r="D872" s="164" t="s">
        <v>485</v>
      </c>
      <c r="E872" s="164" t="s">
        <v>436</v>
      </c>
      <c r="F872" s="164" t="s">
        <v>442</v>
      </c>
      <c r="G872" s="164" t="s">
        <v>442</v>
      </c>
      <c r="H872" s="164" t="s">
        <v>442</v>
      </c>
      <c r="I872" s="164" t="s">
        <v>486</v>
      </c>
      <c r="J872" s="164" t="s">
        <v>487</v>
      </c>
      <c r="K872" s="164" t="s">
        <v>442</v>
      </c>
      <c r="L872" s="164" t="s">
        <v>488</v>
      </c>
      <c r="M872" s="164" t="s">
        <v>487</v>
      </c>
      <c r="N872" s="164" t="s">
        <v>489</v>
      </c>
      <c r="O872" s="164" t="s">
        <v>490</v>
      </c>
      <c r="P872" s="159"/>
      <c r="Q872" s="164" t="s">
        <v>442</v>
      </c>
      <c r="R872" s="164" t="s">
        <v>439</v>
      </c>
    </row>
    <row r="873" spans="1:18" ht="15.75" customHeight="1" x14ac:dyDescent="0.3">
      <c r="A873" s="159" t="s">
        <v>424</v>
      </c>
      <c r="B873" s="164" t="s">
        <v>448</v>
      </c>
      <c r="C873" s="164" t="s">
        <v>448</v>
      </c>
      <c r="D873" s="164" t="s">
        <v>448</v>
      </c>
      <c r="E873" s="164" t="s">
        <v>448</v>
      </c>
      <c r="F873" s="164" t="s">
        <v>491</v>
      </c>
      <c r="G873" s="164" t="s">
        <v>491</v>
      </c>
      <c r="H873" s="164" t="s">
        <v>448</v>
      </c>
      <c r="I873" s="164" t="s">
        <v>448</v>
      </c>
      <c r="J873" s="164" t="s">
        <v>491</v>
      </c>
      <c r="K873" s="164" t="s">
        <v>448</v>
      </c>
      <c r="L873" s="164" t="s">
        <v>491</v>
      </c>
      <c r="M873" s="164" t="s">
        <v>491</v>
      </c>
      <c r="N873" s="164" t="s">
        <v>491</v>
      </c>
      <c r="O873" s="164" t="s">
        <v>491</v>
      </c>
      <c r="P873" s="159"/>
      <c r="Q873" s="164" t="s">
        <v>491</v>
      </c>
      <c r="R873" s="164" t="s">
        <v>492</v>
      </c>
    </row>
    <row r="874" spans="1:18" ht="15.75" customHeight="1" x14ac:dyDescent="0.3">
      <c r="A874" s="159" t="s">
        <v>409</v>
      </c>
      <c r="B874" s="159" t="s">
        <v>409</v>
      </c>
      <c r="C874" s="159" t="s">
        <v>409</v>
      </c>
      <c r="D874" s="159" t="s">
        <v>493</v>
      </c>
      <c r="E874" s="159" t="s">
        <v>409</v>
      </c>
      <c r="F874" s="164" t="s">
        <v>494</v>
      </c>
      <c r="G874" s="164" t="s">
        <v>494</v>
      </c>
      <c r="H874" s="159" t="s">
        <v>409</v>
      </c>
      <c r="I874" s="159" t="s">
        <v>409</v>
      </c>
      <c r="J874" s="159" t="s">
        <v>409</v>
      </c>
      <c r="K874" s="159" t="s">
        <v>409</v>
      </c>
      <c r="L874" s="164" t="s">
        <v>409</v>
      </c>
      <c r="M874" s="159" t="s">
        <v>409</v>
      </c>
      <c r="N874" s="164" t="s">
        <v>409</v>
      </c>
      <c r="O874" s="164" t="s">
        <v>409</v>
      </c>
      <c r="P874" s="159"/>
      <c r="Q874" s="164" t="s">
        <v>409</v>
      </c>
      <c r="R874" s="164" t="s">
        <v>409</v>
      </c>
    </row>
    <row r="875" spans="1:18" ht="15.75" customHeight="1" x14ac:dyDescent="0.3">
      <c r="A875" s="164" t="s">
        <v>410</v>
      </c>
      <c r="B875" s="159">
        <f t="shared" ref="B875:B886" si="146">+H764</f>
        <v>213218.90200000003</v>
      </c>
      <c r="C875" s="159">
        <f t="shared" ref="C875:C886" si="147">(B875*C$872)</f>
        <v>15991.417650000001</v>
      </c>
      <c r="D875" s="159">
        <f t="shared" ref="D875:D886" si="148">(B875*1.005)</f>
        <v>214284.99651</v>
      </c>
      <c r="E875" s="159">
        <f t="shared" ref="E875:E882" si="149">(G739*G$737)/(-1000)</f>
        <v>0</v>
      </c>
      <c r="F875" s="159">
        <f t="shared" ref="F875:F886" si="150">(K912)</f>
        <v>12800</v>
      </c>
      <c r="G875" s="159">
        <f t="shared" ref="G875:G886" si="151">(O912)</f>
        <v>0</v>
      </c>
      <c r="H875" s="159">
        <f t="shared" ref="H875:H886" si="152">(F875+G875)</f>
        <v>12800</v>
      </c>
      <c r="I875" s="159">
        <f t="shared" ref="I875:I886" si="153">(G912)</f>
        <v>0</v>
      </c>
      <c r="J875" s="4">
        <f>B$238*1.561</f>
        <v>1287.825</v>
      </c>
      <c r="K875" s="159">
        <f t="shared" ref="K875:K886" si="154">(D875+C875-E875-H875-I875-J875)</f>
        <v>216188.58915999997</v>
      </c>
      <c r="L875" s="159">
        <f t="shared" ref="L875:L886" si="155">(C875+D875)</f>
        <v>230276.41415999999</v>
      </c>
      <c r="M875" s="159">
        <f t="shared" ref="M875:M886" si="156">J875</f>
        <v>1287.825</v>
      </c>
      <c r="N875" s="170">
        <v>230221</v>
      </c>
      <c r="O875" s="159">
        <v>0</v>
      </c>
      <c r="P875" s="171" t="s">
        <v>495</v>
      </c>
      <c r="Q875" s="159">
        <f t="shared" ref="Q875:Q886" si="157">SUM(L821:Q821)</f>
        <v>7847.148000000001</v>
      </c>
      <c r="R875" s="172">
        <v>2.4700000000000002</v>
      </c>
    </row>
    <row r="876" spans="1:18" ht="15.75" customHeight="1" x14ac:dyDescent="0.3">
      <c r="A876" s="164" t="s">
        <v>411</v>
      </c>
      <c r="B876" s="159">
        <f t="shared" si="146"/>
        <v>154183.166</v>
      </c>
      <c r="C876" s="159">
        <f t="shared" si="147"/>
        <v>11563.737449999999</v>
      </c>
      <c r="D876" s="159">
        <f t="shared" si="148"/>
        <v>154954.08182999998</v>
      </c>
      <c r="E876" s="159">
        <f t="shared" si="149"/>
        <v>0</v>
      </c>
      <c r="F876" s="159">
        <f t="shared" si="150"/>
        <v>12800</v>
      </c>
      <c r="G876" s="159">
        <f t="shared" si="151"/>
        <v>0</v>
      </c>
      <c r="H876" s="159">
        <f t="shared" si="152"/>
        <v>12800</v>
      </c>
      <c r="I876" s="159">
        <f t="shared" si="153"/>
        <v>0</v>
      </c>
      <c r="J876" s="4">
        <f>C$238*1.561</f>
        <v>1895.0539999999999</v>
      </c>
      <c r="K876" s="159">
        <f t="shared" si="154"/>
        <v>151822.76527999996</v>
      </c>
      <c r="L876" s="159">
        <f t="shared" si="155"/>
        <v>166517.81927999997</v>
      </c>
      <c r="M876" s="159">
        <f t="shared" si="156"/>
        <v>1895.0539999999999</v>
      </c>
      <c r="N876" s="170">
        <v>163742</v>
      </c>
      <c r="O876" s="159">
        <v>0</v>
      </c>
      <c r="P876" s="159"/>
      <c r="Q876" s="159">
        <f t="shared" si="157"/>
        <v>8446.2240000000002</v>
      </c>
      <c r="R876" s="172">
        <v>2.4700000000000002</v>
      </c>
    </row>
    <row r="877" spans="1:18" ht="15.75" customHeight="1" x14ac:dyDescent="0.3">
      <c r="A877" s="164" t="s">
        <v>412</v>
      </c>
      <c r="B877" s="159">
        <f t="shared" si="146"/>
        <v>221118.65299999999</v>
      </c>
      <c r="C877" s="159">
        <f t="shared" si="147"/>
        <v>16583.898975</v>
      </c>
      <c r="D877" s="159">
        <f t="shared" si="148"/>
        <v>222224.24626499997</v>
      </c>
      <c r="E877" s="159">
        <f t="shared" si="149"/>
        <v>0</v>
      </c>
      <c r="F877" s="159">
        <f t="shared" si="150"/>
        <v>12800</v>
      </c>
      <c r="G877" s="159">
        <f t="shared" si="151"/>
        <v>0</v>
      </c>
      <c r="H877" s="159">
        <f t="shared" si="152"/>
        <v>12800</v>
      </c>
      <c r="I877" s="159">
        <f t="shared" si="153"/>
        <v>0</v>
      </c>
      <c r="J877" s="4">
        <f>D$238*1.561</f>
        <v>0</v>
      </c>
      <c r="K877" s="159">
        <f t="shared" si="154"/>
        <v>226008.14523999995</v>
      </c>
      <c r="L877" s="159">
        <f t="shared" si="155"/>
        <v>238808.14523999995</v>
      </c>
      <c r="M877" s="159">
        <f t="shared" si="156"/>
        <v>0</v>
      </c>
      <c r="N877" s="170">
        <v>235599</v>
      </c>
      <c r="O877" s="159">
        <v>0</v>
      </c>
      <c r="P877" s="159"/>
      <c r="Q877" s="159">
        <f t="shared" si="157"/>
        <v>13013.279999999999</v>
      </c>
      <c r="R877" s="172">
        <v>2.4700000000000002</v>
      </c>
    </row>
    <row r="878" spans="1:18" ht="15.75" customHeight="1" x14ac:dyDescent="0.3">
      <c r="A878" s="164" t="s">
        <v>413</v>
      </c>
      <c r="B878" s="159">
        <f t="shared" si="146"/>
        <v>263717.42100000003</v>
      </c>
      <c r="C878" s="159">
        <f t="shared" si="147"/>
        <v>19778.806575000002</v>
      </c>
      <c r="D878" s="159">
        <f t="shared" si="148"/>
        <v>265036.00810500002</v>
      </c>
      <c r="E878" s="159">
        <f t="shared" si="149"/>
        <v>637.06500000000005</v>
      </c>
      <c r="F878" s="159">
        <f t="shared" si="150"/>
        <v>12800</v>
      </c>
      <c r="G878" s="159">
        <f t="shared" si="151"/>
        <v>0</v>
      </c>
      <c r="H878" s="159">
        <f t="shared" si="152"/>
        <v>12800</v>
      </c>
      <c r="I878" s="159">
        <f t="shared" si="153"/>
        <v>0</v>
      </c>
      <c r="J878" s="4">
        <f>F$238*1.561</f>
        <v>0</v>
      </c>
      <c r="K878" s="159">
        <f t="shared" si="154"/>
        <v>271377.74968000001</v>
      </c>
      <c r="L878" s="159">
        <f t="shared" si="155"/>
        <v>284814.81468000001</v>
      </c>
      <c r="M878" s="159">
        <f t="shared" si="156"/>
        <v>0</v>
      </c>
      <c r="N878" s="170">
        <v>282569</v>
      </c>
      <c r="O878" s="159">
        <v>0</v>
      </c>
      <c r="P878" s="159"/>
      <c r="Q878" s="159">
        <f t="shared" si="157"/>
        <v>12753.782999999999</v>
      </c>
      <c r="R878" s="172">
        <v>2.4700000000000002</v>
      </c>
    </row>
    <row r="879" spans="1:18" ht="15.75" customHeight="1" x14ac:dyDescent="0.3">
      <c r="A879" s="164" t="s">
        <v>414</v>
      </c>
      <c r="B879" s="159">
        <f t="shared" si="146"/>
        <v>280095.96900000004</v>
      </c>
      <c r="C879" s="159">
        <f t="shared" si="147"/>
        <v>21007.197675000003</v>
      </c>
      <c r="D879" s="159">
        <f t="shared" si="148"/>
        <v>281496.44884500001</v>
      </c>
      <c r="E879" s="159">
        <f t="shared" si="149"/>
        <v>285.68099999999998</v>
      </c>
      <c r="F879" s="159">
        <f t="shared" si="150"/>
        <v>12800</v>
      </c>
      <c r="G879" s="159">
        <f t="shared" si="151"/>
        <v>0</v>
      </c>
      <c r="H879" s="159">
        <f t="shared" si="152"/>
        <v>12800</v>
      </c>
      <c r="I879" s="159">
        <f t="shared" si="153"/>
        <v>0</v>
      </c>
      <c r="J879" s="4">
        <f>G$238*1.561</f>
        <v>0</v>
      </c>
      <c r="K879" s="159">
        <f t="shared" si="154"/>
        <v>289417.96552000003</v>
      </c>
      <c r="L879" s="159">
        <f t="shared" si="155"/>
        <v>302503.64652000001</v>
      </c>
      <c r="M879" s="159">
        <f t="shared" si="156"/>
        <v>0</v>
      </c>
      <c r="N879" s="170">
        <v>302484</v>
      </c>
      <c r="O879" s="159">
        <v>0</v>
      </c>
      <c r="P879" s="159"/>
      <c r="Q879" s="159">
        <f t="shared" si="157"/>
        <v>13210.359</v>
      </c>
      <c r="R879" s="172">
        <v>2.4700000000000002</v>
      </c>
    </row>
    <row r="880" spans="1:18" ht="15.75" customHeight="1" x14ac:dyDescent="0.3">
      <c r="A880" s="164" t="s">
        <v>415</v>
      </c>
      <c r="B880" s="159">
        <f t="shared" si="146"/>
        <v>284662.74</v>
      </c>
      <c r="C880" s="159">
        <f t="shared" si="147"/>
        <v>21349.7055</v>
      </c>
      <c r="D880" s="159">
        <f t="shared" si="148"/>
        <v>286086.05369999993</v>
      </c>
      <c r="E880" s="159">
        <f t="shared" si="149"/>
        <v>4835.7650000000003</v>
      </c>
      <c r="F880" s="159">
        <f t="shared" si="150"/>
        <v>12800</v>
      </c>
      <c r="G880" s="159">
        <f t="shared" si="151"/>
        <v>0</v>
      </c>
      <c r="H880" s="159">
        <f t="shared" si="152"/>
        <v>12800</v>
      </c>
      <c r="I880" s="159">
        <f t="shared" si="153"/>
        <v>0</v>
      </c>
      <c r="J880" s="4">
        <f>H$238*1.561</f>
        <v>0</v>
      </c>
      <c r="K880" s="159">
        <f t="shared" si="154"/>
        <v>289799.9941999999</v>
      </c>
      <c r="L880" s="159">
        <f t="shared" si="155"/>
        <v>307435.75919999991</v>
      </c>
      <c r="M880" s="159">
        <f t="shared" si="156"/>
        <v>0</v>
      </c>
      <c r="N880" s="170">
        <v>305288</v>
      </c>
      <c r="O880" s="159">
        <v>0</v>
      </c>
      <c r="P880" s="159"/>
      <c r="Q880" s="159">
        <f t="shared" si="157"/>
        <v>11656.749000000002</v>
      </c>
      <c r="R880" s="172">
        <v>2.4700000000000002</v>
      </c>
    </row>
    <row r="881" spans="1:18" ht="15.75" customHeight="1" x14ac:dyDescent="0.3">
      <c r="A881" s="164" t="s">
        <v>416</v>
      </c>
      <c r="B881" s="159">
        <f t="shared" si="146"/>
        <v>115504.71799999999</v>
      </c>
      <c r="C881" s="159">
        <f t="shared" si="147"/>
        <v>8662.8538499999995</v>
      </c>
      <c r="D881" s="159">
        <f t="shared" si="148"/>
        <v>116082.24158999998</v>
      </c>
      <c r="E881" s="159">
        <f t="shared" si="149"/>
        <v>20295.088</v>
      </c>
      <c r="F881" s="159">
        <f t="shared" si="150"/>
        <v>12800</v>
      </c>
      <c r="G881" s="159">
        <f t="shared" si="151"/>
        <v>0</v>
      </c>
      <c r="H881" s="159">
        <f t="shared" si="152"/>
        <v>12800</v>
      </c>
      <c r="I881" s="159">
        <f t="shared" si="153"/>
        <v>0</v>
      </c>
      <c r="J881" s="4">
        <f>J$238*1.561</f>
        <v>0</v>
      </c>
      <c r="K881" s="159">
        <f t="shared" si="154"/>
        <v>91650.007439999972</v>
      </c>
      <c r="L881" s="159">
        <f t="shared" si="155"/>
        <v>124745.09543999998</v>
      </c>
      <c r="M881" s="159">
        <f t="shared" si="156"/>
        <v>0</v>
      </c>
      <c r="N881" s="170">
        <v>120881</v>
      </c>
      <c r="O881" s="159">
        <v>0</v>
      </c>
      <c r="P881" s="159"/>
      <c r="Q881" s="159">
        <f t="shared" si="157"/>
        <v>10566.642</v>
      </c>
      <c r="R881" s="172">
        <v>2.4700000000000002</v>
      </c>
    </row>
    <row r="882" spans="1:18" ht="15.75" customHeight="1" x14ac:dyDescent="0.3">
      <c r="A882" s="164" t="s">
        <v>417</v>
      </c>
      <c r="B882" s="159">
        <f t="shared" si="146"/>
        <v>161904.701</v>
      </c>
      <c r="C882" s="159">
        <f t="shared" si="147"/>
        <v>12142.852574999999</v>
      </c>
      <c r="D882" s="159">
        <f t="shared" si="148"/>
        <v>162714.22450499999</v>
      </c>
      <c r="E882" s="159">
        <f t="shared" si="149"/>
        <v>12934.295</v>
      </c>
      <c r="F882" s="159">
        <f t="shared" si="150"/>
        <v>12800</v>
      </c>
      <c r="G882" s="159">
        <f t="shared" si="151"/>
        <v>0</v>
      </c>
      <c r="H882" s="159">
        <f t="shared" si="152"/>
        <v>12800</v>
      </c>
      <c r="I882" s="159">
        <f t="shared" si="153"/>
        <v>0</v>
      </c>
      <c r="J882" s="4">
        <f>K$238*1.561</f>
        <v>0</v>
      </c>
      <c r="K882" s="159">
        <f t="shared" si="154"/>
        <v>149122.78207999998</v>
      </c>
      <c r="L882" s="159">
        <f t="shared" si="155"/>
        <v>174857.07707999999</v>
      </c>
      <c r="M882" s="159">
        <f t="shared" si="156"/>
        <v>0</v>
      </c>
      <c r="N882" s="170">
        <v>168736</v>
      </c>
      <c r="O882" s="159">
        <v>0</v>
      </c>
      <c r="P882" s="159"/>
      <c r="Q882" s="159">
        <f t="shared" si="157"/>
        <v>13078.748999999998</v>
      </c>
      <c r="R882" s="172">
        <v>2.4700000000000002</v>
      </c>
    </row>
    <row r="883" spans="1:18" ht="15.75" customHeight="1" x14ac:dyDescent="0.3">
      <c r="A883" s="164" t="s">
        <v>418</v>
      </c>
      <c r="B883" s="159">
        <f t="shared" si="146"/>
        <v>269985.69700000004</v>
      </c>
      <c r="C883" s="159">
        <f t="shared" si="147"/>
        <v>20248.927275000002</v>
      </c>
      <c r="D883" s="159">
        <f t="shared" si="148"/>
        <v>271335.62548500003</v>
      </c>
      <c r="E883" s="159">
        <v>0</v>
      </c>
      <c r="F883" s="159">
        <f t="shared" si="150"/>
        <v>13095</v>
      </c>
      <c r="G883" s="159">
        <f t="shared" si="151"/>
        <v>0</v>
      </c>
      <c r="H883" s="159">
        <f t="shared" si="152"/>
        <v>13095</v>
      </c>
      <c r="I883" s="159">
        <f t="shared" si="153"/>
        <v>0</v>
      </c>
      <c r="J883" s="4">
        <f>L$238*1.561</f>
        <v>1295.6299999999999</v>
      </c>
      <c r="K883" s="159">
        <f t="shared" si="154"/>
        <v>277193.92276000004</v>
      </c>
      <c r="L883" s="159">
        <f t="shared" si="155"/>
        <v>291584.55276000005</v>
      </c>
      <c r="M883" s="159">
        <f t="shared" si="156"/>
        <v>1295.6299999999999</v>
      </c>
      <c r="N883" s="170">
        <v>291164</v>
      </c>
      <c r="O883" s="159">
        <v>0</v>
      </c>
      <c r="P883" s="159"/>
      <c r="Q883" s="159">
        <f t="shared" si="157"/>
        <v>11568.494999999999</v>
      </c>
      <c r="R883" s="172">
        <v>2.4700000000000002</v>
      </c>
    </row>
    <row r="884" spans="1:18" ht="15.75" customHeight="1" x14ac:dyDescent="0.3">
      <c r="A884" s="164" t="s">
        <v>419</v>
      </c>
      <c r="B884" s="159">
        <f t="shared" si="146"/>
        <v>252770.60800000001</v>
      </c>
      <c r="C884" s="159">
        <f t="shared" si="147"/>
        <v>18957.795600000001</v>
      </c>
      <c r="D884" s="159">
        <f t="shared" si="148"/>
        <v>254034.46103999999</v>
      </c>
      <c r="E884" s="159">
        <v>0</v>
      </c>
      <c r="F884" s="159">
        <f t="shared" si="150"/>
        <v>4000</v>
      </c>
      <c r="G884" s="159">
        <f t="shared" si="151"/>
        <v>0</v>
      </c>
      <c r="H884" s="159">
        <f t="shared" si="152"/>
        <v>4000</v>
      </c>
      <c r="I884" s="159">
        <f t="shared" si="153"/>
        <v>0</v>
      </c>
      <c r="J884" s="4">
        <f>N$238*1.561</f>
        <v>2357.11</v>
      </c>
      <c r="K884" s="159">
        <f t="shared" si="154"/>
        <v>266635.14663999999</v>
      </c>
      <c r="L884" s="159">
        <f t="shared" si="155"/>
        <v>272992.25663999998</v>
      </c>
      <c r="M884" s="159">
        <f t="shared" si="156"/>
        <v>2357.11</v>
      </c>
      <c r="N884" s="159">
        <f>L884-M884</f>
        <v>270635.14663999999</v>
      </c>
      <c r="O884" s="159">
        <f>(L884-M884-N884)</f>
        <v>0</v>
      </c>
      <c r="Q884" s="159">
        <f t="shared" si="157"/>
        <v>5188.8240000000005</v>
      </c>
      <c r="R884" s="172">
        <v>2.4700000000000002</v>
      </c>
    </row>
    <row r="885" spans="1:18" ht="15.75" customHeight="1" x14ac:dyDescent="0.3">
      <c r="A885" s="164" t="s">
        <v>420</v>
      </c>
      <c r="B885" s="159">
        <f t="shared" si="146"/>
        <v>244360.71299999999</v>
      </c>
      <c r="C885" s="159">
        <f t="shared" si="147"/>
        <v>18327.053474999997</v>
      </c>
      <c r="D885" s="159">
        <f t="shared" si="148"/>
        <v>245582.51656499997</v>
      </c>
      <c r="E885" s="159">
        <f>(G749*G$737)/(-1000)</f>
        <v>0</v>
      </c>
      <c r="F885" s="159">
        <f t="shared" si="150"/>
        <v>4000</v>
      </c>
      <c r="G885" s="159">
        <f t="shared" si="151"/>
        <v>0</v>
      </c>
      <c r="H885" s="159">
        <f t="shared" si="152"/>
        <v>4000</v>
      </c>
      <c r="I885" s="159">
        <f t="shared" si="153"/>
        <v>248928.57003999996</v>
      </c>
      <c r="J885" s="4">
        <f>O$238*1.561</f>
        <v>0</v>
      </c>
      <c r="K885" s="159">
        <f t="shared" si="154"/>
        <v>10981</v>
      </c>
      <c r="L885" s="159">
        <f t="shared" si="155"/>
        <v>263909.57003999996</v>
      </c>
      <c r="M885" s="159">
        <f t="shared" si="156"/>
        <v>0</v>
      </c>
      <c r="N885" s="159">
        <v>14981</v>
      </c>
      <c r="O885" s="159">
        <f>(L885-M885-N885)</f>
        <v>248928.57003999996</v>
      </c>
      <c r="P885" s="173" t="s">
        <v>672</v>
      </c>
      <c r="Q885" s="159">
        <f t="shared" si="157"/>
        <v>8278.7819999999992</v>
      </c>
      <c r="R885" s="172">
        <v>2.4700000000000002</v>
      </c>
    </row>
    <row r="886" spans="1:18" ht="15.75" customHeight="1" x14ac:dyDescent="0.3">
      <c r="A886" s="164" t="s">
        <v>421</v>
      </c>
      <c r="B886" s="159">
        <f t="shared" si="146"/>
        <v>294896.97500000003</v>
      </c>
      <c r="C886" s="159">
        <f t="shared" si="147"/>
        <v>22117.273125000003</v>
      </c>
      <c r="D886" s="159">
        <f t="shared" si="148"/>
        <v>296371.459875</v>
      </c>
      <c r="E886" s="159">
        <f>(G750*G$737)/(-1000)</f>
        <v>0</v>
      </c>
      <c r="F886" s="159">
        <f t="shared" si="150"/>
        <v>4000</v>
      </c>
      <c r="G886" s="159">
        <f t="shared" si="151"/>
        <v>0</v>
      </c>
      <c r="H886" s="159">
        <f t="shared" si="152"/>
        <v>4000</v>
      </c>
      <c r="I886" s="159">
        <f t="shared" si="153"/>
        <v>317987.652</v>
      </c>
      <c r="J886" s="4">
        <f>P$238*1.561</f>
        <v>501.08099999999996</v>
      </c>
      <c r="K886" s="159">
        <f t="shared" si="154"/>
        <v>-3999.9999999999945</v>
      </c>
      <c r="L886" s="159">
        <f t="shared" si="155"/>
        <v>318488.73300000001</v>
      </c>
      <c r="M886" s="159">
        <f t="shared" si="156"/>
        <v>501.08099999999996</v>
      </c>
      <c r="N886" s="159">
        <v>0</v>
      </c>
      <c r="O886" s="159">
        <f>(L886-M886-N886)</f>
        <v>317987.652</v>
      </c>
      <c r="P886" s="159"/>
      <c r="Q886" s="159">
        <f t="shared" si="157"/>
        <v>5317.1309999999994</v>
      </c>
      <c r="R886" s="172">
        <v>2.4700000000000002</v>
      </c>
    </row>
    <row r="887" spans="1:18" ht="15.75" customHeight="1" x14ac:dyDescent="0.3">
      <c r="A887" s="159" t="s">
        <v>424</v>
      </c>
      <c r="B887" s="159" t="s">
        <v>424</v>
      </c>
      <c r="C887" s="159"/>
      <c r="D887" s="159" t="s">
        <v>7</v>
      </c>
      <c r="E887" s="159"/>
      <c r="F887" s="159"/>
      <c r="G887" s="159" t="s">
        <v>7</v>
      </c>
      <c r="H887" s="159" t="s">
        <v>7</v>
      </c>
      <c r="I887" s="168"/>
      <c r="K887" s="159"/>
      <c r="L887" s="159"/>
      <c r="M887" s="159"/>
      <c r="N887" s="159"/>
      <c r="O887" s="164" t="s">
        <v>424</v>
      </c>
      <c r="P887" s="159"/>
      <c r="Q887" s="159"/>
      <c r="R887" s="172"/>
    </row>
    <row r="888" spans="1:18" ht="15.75" customHeight="1" x14ac:dyDescent="0.3">
      <c r="A888" s="159" t="s">
        <v>422</v>
      </c>
      <c r="B888" s="159">
        <f>SUM(B875:B886)</f>
        <v>2756420.2630000003</v>
      </c>
      <c r="C888" s="159">
        <f>SUM(C875:C886)</f>
        <v>206731.51972500002</v>
      </c>
      <c r="D888" s="159">
        <f>(B888*1.005)</f>
        <v>2770202.3643149999</v>
      </c>
      <c r="E888" s="159">
        <f>SUM(E875:E886)</f>
        <v>38987.894</v>
      </c>
      <c r="F888" s="159">
        <f>(K926)</f>
        <v>127495</v>
      </c>
      <c r="G888" s="159">
        <f>(O926)</f>
        <v>0</v>
      </c>
      <c r="H888" s="159">
        <f>(F888+G888)</f>
        <v>127495</v>
      </c>
      <c r="I888" s="159">
        <f t="shared" ref="I888:O888" si="158">SUM(I875:I886)</f>
        <v>566916.22203999991</v>
      </c>
      <c r="J888" s="159">
        <f t="shared" si="158"/>
        <v>7336.7000000000007</v>
      </c>
      <c r="K888" s="159">
        <f t="shared" si="158"/>
        <v>2236198.068</v>
      </c>
      <c r="L888" s="159">
        <f t="shared" si="158"/>
        <v>2976933.8840399999</v>
      </c>
      <c r="M888" s="159">
        <f t="shared" si="158"/>
        <v>7336.7000000000007</v>
      </c>
      <c r="N888" s="159">
        <f t="shared" si="158"/>
        <v>2386300.1466399999</v>
      </c>
      <c r="O888" s="159">
        <f t="shared" si="158"/>
        <v>566916.22203999991</v>
      </c>
      <c r="P888" s="159"/>
      <c r="Q888" s="159">
        <f>(SUM(Q875:Q886))</f>
        <v>120926.166</v>
      </c>
      <c r="R888" s="172"/>
    </row>
    <row r="889" spans="1:18" ht="15.75" customHeight="1" x14ac:dyDescent="0.3">
      <c r="A889" s="159"/>
      <c r="B889" s="159"/>
      <c r="C889" s="159"/>
      <c r="D889" s="159"/>
      <c r="E889" s="159"/>
      <c r="F889" s="159" t="s">
        <v>424</v>
      </c>
      <c r="G889" s="159"/>
      <c r="H889" s="159"/>
      <c r="I889" s="159"/>
      <c r="K889" s="159"/>
      <c r="L889" s="159"/>
      <c r="P889" s="159"/>
      <c r="Q889" s="159"/>
      <c r="R889" s="159"/>
    </row>
    <row r="890" spans="1:18" ht="15.75" customHeight="1" x14ac:dyDescent="0.35">
      <c r="A890" s="159" t="s">
        <v>424</v>
      </c>
      <c r="B890" s="159" t="s">
        <v>497</v>
      </c>
      <c r="C890" s="159"/>
      <c r="D890" s="159"/>
      <c r="E890" s="159"/>
      <c r="F890" s="159"/>
      <c r="G890" s="159"/>
      <c r="H890" s="159"/>
      <c r="I890" s="159"/>
      <c r="J890" s="159"/>
      <c r="K890" s="159"/>
      <c r="L890" s="159"/>
      <c r="M890" s="159"/>
      <c r="N890" s="159"/>
      <c r="O890" s="159"/>
      <c r="P890" s="159"/>
      <c r="Q890" s="159"/>
      <c r="R890" s="159"/>
    </row>
    <row r="891" spans="1:18" ht="15.75" customHeight="1" x14ac:dyDescent="0.3">
      <c r="A891" s="159"/>
      <c r="B891" s="159" t="s">
        <v>498</v>
      </c>
      <c r="C891" s="159"/>
      <c r="D891" s="159"/>
      <c r="E891" s="159"/>
      <c r="F891" s="159"/>
      <c r="G891" s="159"/>
      <c r="H891" s="159"/>
      <c r="I891" s="159"/>
      <c r="J891" s="159"/>
      <c r="K891" s="159"/>
      <c r="L891" s="159"/>
      <c r="M891" s="159"/>
      <c r="N891" s="159"/>
      <c r="O891" s="159"/>
      <c r="P891" s="159"/>
      <c r="Q891" s="159"/>
      <c r="R891" s="159"/>
    </row>
    <row r="892" spans="1:18" ht="15.75" customHeight="1" x14ac:dyDescent="0.3">
      <c r="A892" s="159"/>
      <c r="B892" s="159" t="s">
        <v>499</v>
      </c>
      <c r="C892" s="159"/>
      <c r="D892" s="159"/>
      <c r="E892" s="159"/>
      <c r="F892" s="159"/>
      <c r="G892" s="159"/>
      <c r="H892" s="159"/>
      <c r="I892" s="159"/>
      <c r="J892" s="159"/>
      <c r="K892" s="159"/>
      <c r="L892" s="159"/>
      <c r="M892" s="294" t="s">
        <v>673</v>
      </c>
      <c r="N892" s="295"/>
      <c r="O892" s="159"/>
      <c r="P892" s="159"/>
      <c r="Q892" s="159"/>
      <c r="R892" s="159"/>
    </row>
    <row r="893" spans="1:18" x14ac:dyDescent="0.3">
      <c r="A893" s="159"/>
      <c r="B893" s="159" t="s">
        <v>674</v>
      </c>
      <c r="C893" s="159"/>
      <c r="D893" s="159"/>
      <c r="E893" s="159"/>
      <c r="F893" s="159"/>
      <c r="G893" s="159"/>
      <c r="H893" s="159"/>
      <c r="I893" s="159"/>
      <c r="J893" s="159"/>
      <c r="K893" s="159"/>
      <c r="L893" s="159"/>
      <c r="N893" s="159"/>
      <c r="O893" s="159"/>
      <c r="P893" s="159"/>
      <c r="Q893" s="159"/>
      <c r="R893" s="159"/>
    </row>
    <row r="894" spans="1:18" x14ac:dyDescent="0.3">
      <c r="A894" s="159"/>
      <c r="B894" s="159" t="s">
        <v>675</v>
      </c>
      <c r="C894" s="159"/>
      <c r="D894" s="159"/>
      <c r="E894" s="159"/>
      <c r="F894" s="159"/>
      <c r="G894" s="159"/>
      <c r="H894" s="159"/>
      <c r="I894" s="159"/>
      <c r="J894" s="159"/>
      <c r="K894" s="159"/>
      <c r="L894" s="159"/>
      <c r="M894" s="170" t="s">
        <v>676</v>
      </c>
      <c r="N894" s="170"/>
      <c r="O894" s="159"/>
      <c r="P894" s="159"/>
      <c r="Q894" s="159"/>
      <c r="R894" s="159"/>
    </row>
    <row r="895" spans="1:18" ht="16.2" x14ac:dyDescent="0.35">
      <c r="A895" s="159"/>
      <c r="B895" s="159" t="s">
        <v>504</v>
      </c>
      <c r="C895" s="159"/>
      <c r="D895" s="159"/>
      <c r="E895" s="159"/>
      <c r="F895" s="159"/>
      <c r="G895" s="159"/>
      <c r="H895" s="159"/>
      <c r="I895" s="159"/>
      <c r="J895" s="159"/>
      <c r="K895" s="159"/>
      <c r="L895" s="159"/>
      <c r="M895" s="159"/>
      <c r="N895" s="159"/>
      <c r="O895" s="159"/>
      <c r="P895" s="159"/>
      <c r="Q895" s="159"/>
      <c r="R895" s="159"/>
    </row>
    <row r="896" spans="1:18" ht="16.2" x14ac:dyDescent="0.35">
      <c r="A896" s="159"/>
      <c r="B896" s="159" t="s">
        <v>677</v>
      </c>
      <c r="C896" s="159"/>
      <c r="D896" s="159"/>
      <c r="E896" s="159"/>
      <c r="F896" s="159"/>
      <c r="G896" s="159"/>
      <c r="H896" s="159"/>
      <c r="I896" s="159"/>
      <c r="J896" s="159"/>
      <c r="K896" s="159"/>
      <c r="L896" s="159"/>
      <c r="M896" s="159"/>
      <c r="N896" s="159"/>
      <c r="O896" s="159"/>
      <c r="P896" s="159"/>
      <c r="Q896" s="159"/>
      <c r="R896" s="159"/>
    </row>
    <row r="897" spans="1:18" x14ac:dyDescent="0.3">
      <c r="A897" s="159"/>
      <c r="B897" s="159"/>
      <c r="C897" s="159"/>
      <c r="D897" s="159"/>
      <c r="E897" s="159"/>
      <c r="F897" s="159"/>
      <c r="G897" s="159"/>
      <c r="H897" s="159"/>
      <c r="I897" s="159"/>
      <c r="J897" s="159"/>
      <c r="K897" s="159"/>
      <c r="L897" s="159"/>
      <c r="M897" s="159"/>
      <c r="N897" s="159"/>
      <c r="O897" s="159"/>
      <c r="P897" s="159"/>
      <c r="Q897" s="159"/>
      <c r="R897" s="159"/>
    </row>
    <row r="898" spans="1:18" ht="16.2" x14ac:dyDescent="0.35">
      <c r="A898" s="159"/>
      <c r="B898" s="159"/>
      <c r="C898" s="167"/>
      <c r="D898" s="167"/>
      <c r="E898" s="167"/>
      <c r="F898" s="167"/>
      <c r="G898" s="167"/>
      <c r="H898" s="161" t="s">
        <v>506</v>
      </c>
      <c r="I898" s="159"/>
      <c r="J898" s="159"/>
      <c r="K898" s="159"/>
      <c r="L898" s="159"/>
      <c r="M898" s="159"/>
      <c r="N898" s="159"/>
      <c r="O898" s="159"/>
      <c r="P898" s="159"/>
      <c r="Q898" s="161" t="str">
        <f>+Q1</f>
        <v>PRINTED:</v>
      </c>
      <c r="R898" s="162">
        <f ca="1">+R1</f>
        <v>44909.46975358796</v>
      </c>
    </row>
    <row r="899" spans="1:18" ht="16.2" x14ac:dyDescent="0.35">
      <c r="A899" s="159"/>
      <c r="B899" s="159"/>
      <c r="C899" s="167"/>
      <c r="D899" s="167"/>
      <c r="E899" s="167"/>
      <c r="F899" s="167"/>
      <c r="G899" s="167"/>
      <c r="H899" s="159" t="s">
        <v>424</v>
      </c>
      <c r="I899" s="159" t="s">
        <v>7</v>
      </c>
      <c r="J899" s="163" t="str">
        <f>+A9</f>
        <v>Revised:  1/24/11</v>
      </c>
      <c r="K899" s="159"/>
      <c r="L899" s="159"/>
      <c r="M899" s="159"/>
      <c r="N899" s="159"/>
      <c r="O899" s="159"/>
      <c r="P899" s="159"/>
      <c r="Q899" s="159"/>
      <c r="R899" s="159"/>
    </row>
    <row r="900" spans="1:18" ht="16.2" x14ac:dyDescent="0.35">
      <c r="A900" s="159"/>
      <c r="B900" s="159"/>
      <c r="C900" s="167"/>
      <c r="D900" s="167"/>
      <c r="E900" s="167"/>
      <c r="F900" s="167"/>
      <c r="G900" s="167"/>
      <c r="H900" s="159" t="s">
        <v>387</v>
      </c>
      <c r="I900" s="159"/>
      <c r="J900" s="159"/>
      <c r="K900" s="159"/>
      <c r="L900" s="159"/>
      <c r="M900" s="159"/>
      <c r="N900" s="159"/>
      <c r="O900" s="159"/>
      <c r="P900" s="159"/>
      <c r="Q900" s="159"/>
      <c r="R900" s="159"/>
    </row>
    <row r="901" spans="1:18" ht="16.2" x14ac:dyDescent="0.35">
      <c r="A901" s="159"/>
      <c r="B901" s="159"/>
      <c r="C901" s="167"/>
      <c r="D901" s="167"/>
      <c r="E901" s="167"/>
      <c r="F901" s="167"/>
      <c r="G901" s="167"/>
      <c r="H901" s="159"/>
      <c r="I901" s="159"/>
      <c r="J901" s="159"/>
      <c r="K901" s="159"/>
      <c r="L901" s="159"/>
      <c r="M901" s="159"/>
      <c r="N901" s="159"/>
      <c r="O901" s="159"/>
      <c r="P901" s="159"/>
      <c r="Q901" s="159"/>
      <c r="R901" s="159"/>
    </row>
    <row r="902" spans="1:18" ht="16.2" x14ac:dyDescent="0.35">
      <c r="A902" s="159"/>
      <c r="B902" s="159"/>
      <c r="C902" s="167"/>
      <c r="D902" s="167"/>
      <c r="E902" s="167"/>
      <c r="F902" s="167"/>
      <c r="G902" s="167"/>
      <c r="H902" s="159" t="s">
        <v>424</v>
      </c>
      <c r="I902" s="159" t="str">
        <f>+A5</f>
        <v>Calendar Year 2010</v>
      </c>
      <c r="J902" s="159"/>
      <c r="K902" s="159"/>
      <c r="L902" s="159"/>
      <c r="M902" s="159"/>
      <c r="N902" s="159"/>
      <c r="O902" s="159"/>
      <c r="P902" s="159"/>
      <c r="Q902" s="159"/>
      <c r="R902" s="159"/>
    </row>
    <row r="903" spans="1:18" x14ac:dyDescent="0.3">
      <c r="A903" s="159"/>
      <c r="B903" s="159"/>
      <c r="C903" s="159"/>
      <c r="D903" s="159"/>
      <c r="E903" s="159"/>
      <c r="F903" s="159"/>
      <c r="G903" s="159"/>
      <c r="H903" s="159"/>
      <c r="I903" s="159"/>
      <c r="J903" s="159"/>
      <c r="K903" s="159"/>
      <c r="L903" s="159"/>
      <c r="M903" s="159"/>
      <c r="N903" s="159"/>
      <c r="O903" s="159"/>
      <c r="P903" s="159"/>
      <c r="Q903" s="159"/>
      <c r="R903" s="159"/>
    </row>
    <row r="904" spans="1:18" x14ac:dyDescent="0.3">
      <c r="A904" s="159"/>
      <c r="B904" s="159"/>
      <c r="C904" s="161" t="s">
        <v>507</v>
      </c>
      <c r="D904" s="159"/>
      <c r="E904" s="159"/>
      <c r="F904" s="159"/>
      <c r="G904" s="161" t="s">
        <v>508</v>
      </c>
      <c r="H904" s="159"/>
      <c r="I904" s="159"/>
      <c r="J904" s="159"/>
      <c r="K904" s="160" t="s">
        <v>509</v>
      </c>
      <c r="L904" s="159"/>
      <c r="M904" s="159"/>
      <c r="N904" s="159"/>
      <c r="O904" s="160" t="s">
        <v>510</v>
      </c>
      <c r="P904" s="159"/>
      <c r="Q904" s="159"/>
      <c r="R904" s="159"/>
    </row>
    <row r="905" spans="1:18" x14ac:dyDescent="0.3">
      <c r="A905" s="159"/>
      <c r="B905" s="159"/>
      <c r="C905" s="159" t="str">
        <f>+A5</f>
        <v>Calendar Year 2010</v>
      </c>
      <c r="D905" s="159"/>
      <c r="E905" s="159"/>
      <c r="F905" s="159" t="s">
        <v>511</v>
      </c>
      <c r="G905" s="159"/>
      <c r="H905" s="159"/>
      <c r="I905" s="159"/>
      <c r="J905" s="159"/>
      <c r="K905" s="159" t="str">
        <f>+A5</f>
        <v>Calendar Year 2010</v>
      </c>
      <c r="L905" s="159"/>
      <c r="M905" s="159"/>
      <c r="N905" s="159"/>
      <c r="O905" s="159" t="str">
        <f>+A5</f>
        <v>Calendar Year 2010</v>
      </c>
      <c r="P905" s="159"/>
      <c r="Q905" s="159"/>
      <c r="R905" s="159"/>
    </row>
    <row r="906" spans="1:18" x14ac:dyDescent="0.3">
      <c r="A906" s="159"/>
      <c r="B906" s="159"/>
      <c r="C906" s="159"/>
      <c r="D906" s="159"/>
      <c r="E906" s="159"/>
      <c r="F906" s="159"/>
      <c r="G906" s="159" t="str">
        <f>+A5</f>
        <v>Calendar Year 2010</v>
      </c>
      <c r="H906" s="159"/>
      <c r="I906" s="159"/>
      <c r="J906" s="159"/>
      <c r="K906" s="159"/>
      <c r="L906" s="159"/>
      <c r="M906" s="159"/>
      <c r="N906" s="159"/>
      <c r="O906" s="159"/>
      <c r="P906" s="159"/>
      <c r="Q906" s="159"/>
      <c r="R906" s="159"/>
    </row>
    <row r="907" spans="1:18" x14ac:dyDescent="0.3">
      <c r="A907" s="159"/>
      <c r="B907" s="159"/>
      <c r="C907" s="164" t="s">
        <v>475</v>
      </c>
      <c r="D907" s="164" t="s">
        <v>512</v>
      </c>
      <c r="E907" s="164" t="s">
        <v>513</v>
      </c>
      <c r="F907" s="159"/>
      <c r="G907" s="164" t="s">
        <v>473</v>
      </c>
      <c r="H907" s="164" t="s">
        <v>512</v>
      </c>
      <c r="I907" s="164" t="s">
        <v>514</v>
      </c>
      <c r="J907" s="159"/>
      <c r="K907" s="164" t="s">
        <v>472</v>
      </c>
      <c r="L907" s="164" t="s">
        <v>512</v>
      </c>
      <c r="M907" s="164" t="s">
        <v>515</v>
      </c>
      <c r="N907" s="159"/>
      <c r="O907" s="164" t="s">
        <v>472</v>
      </c>
      <c r="P907" s="164" t="s">
        <v>512</v>
      </c>
      <c r="Q907" s="164" t="s">
        <v>515</v>
      </c>
      <c r="R907" s="159"/>
    </row>
    <row r="908" spans="1:18" x14ac:dyDescent="0.3">
      <c r="A908" s="159"/>
      <c r="B908" s="159"/>
      <c r="C908" s="164" t="s">
        <v>483</v>
      </c>
      <c r="D908" s="164" t="s">
        <v>442</v>
      </c>
      <c r="E908" s="164" t="s">
        <v>462</v>
      </c>
      <c r="F908" s="159"/>
      <c r="G908" s="164" t="s">
        <v>481</v>
      </c>
      <c r="H908" s="164" t="s">
        <v>442</v>
      </c>
      <c r="I908" s="164" t="s">
        <v>462</v>
      </c>
      <c r="J908" s="159"/>
      <c r="K908" s="164" t="s">
        <v>480</v>
      </c>
      <c r="L908" s="164" t="s">
        <v>442</v>
      </c>
      <c r="M908" s="164" t="s">
        <v>462</v>
      </c>
      <c r="N908" s="159"/>
      <c r="O908" s="164" t="s">
        <v>480</v>
      </c>
      <c r="P908" s="164" t="s">
        <v>442</v>
      </c>
      <c r="Q908" s="164" t="s">
        <v>462</v>
      </c>
      <c r="R908" s="159"/>
    </row>
    <row r="909" spans="1:18" x14ac:dyDescent="0.3">
      <c r="A909" s="159"/>
      <c r="B909" s="159"/>
      <c r="C909" s="164" t="s">
        <v>442</v>
      </c>
      <c r="D909" s="164" t="s">
        <v>439</v>
      </c>
      <c r="E909" s="164" t="s">
        <v>463</v>
      </c>
      <c r="F909" s="159"/>
      <c r="G909" s="164" t="s">
        <v>486</v>
      </c>
      <c r="H909" s="164" t="s">
        <v>439</v>
      </c>
      <c r="I909" s="164" t="s">
        <v>463</v>
      </c>
      <c r="J909" s="159"/>
      <c r="K909" s="164" t="s">
        <v>442</v>
      </c>
      <c r="L909" s="164" t="s">
        <v>439</v>
      </c>
      <c r="M909" s="164" t="s">
        <v>463</v>
      </c>
      <c r="N909" s="159"/>
      <c r="O909" s="164" t="s">
        <v>442</v>
      </c>
      <c r="P909" s="164" t="s">
        <v>439</v>
      </c>
      <c r="Q909" s="164" t="s">
        <v>463</v>
      </c>
      <c r="R909" s="159"/>
    </row>
    <row r="910" spans="1:18" x14ac:dyDescent="0.3">
      <c r="A910" s="159"/>
      <c r="B910" s="159"/>
      <c r="C910" s="164" t="s">
        <v>448</v>
      </c>
      <c r="D910" s="164" t="s">
        <v>516</v>
      </c>
      <c r="E910" s="164" t="s">
        <v>464</v>
      </c>
      <c r="F910" s="159"/>
      <c r="G910" s="164" t="s">
        <v>448</v>
      </c>
      <c r="H910" s="164" t="s">
        <v>516</v>
      </c>
      <c r="I910" s="164" t="s">
        <v>464</v>
      </c>
      <c r="J910" s="159"/>
      <c r="K910" s="164" t="s">
        <v>448</v>
      </c>
      <c r="L910" s="164" t="s">
        <v>516</v>
      </c>
      <c r="M910" s="164" t="s">
        <v>464</v>
      </c>
      <c r="N910" s="159"/>
      <c r="O910" s="164" t="s">
        <v>448</v>
      </c>
      <c r="P910" s="164" t="s">
        <v>516</v>
      </c>
      <c r="Q910" s="164" t="s">
        <v>464</v>
      </c>
      <c r="R910" s="159"/>
    </row>
    <row r="911" spans="1:18" x14ac:dyDescent="0.3">
      <c r="A911" s="159"/>
      <c r="B911" s="159"/>
      <c r="C911" s="159" t="s">
        <v>409</v>
      </c>
      <c r="D911" s="159" t="s">
        <v>409</v>
      </c>
      <c r="E911" s="159" t="s">
        <v>409</v>
      </c>
      <c r="F911" s="159"/>
      <c r="G911" s="164" t="s">
        <v>409</v>
      </c>
      <c r="H911" s="164" t="s">
        <v>409</v>
      </c>
      <c r="I911" s="164" t="s">
        <v>409</v>
      </c>
      <c r="J911" s="159"/>
      <c r="K911" s="159" t="s">
        <v>409</v>
      </c>
      <c r="L911" s="159" t="s">
        <v>409</v>
      </c>
      <c r="M911" s="159" t="s">
        <v>409</v>
      </c>
      <c r="N911" s="159"/>
      <c r="O911" s="159" t="s">
        <v>409</v>
      </c>
      <c r="P911" s="159" t="s">
        <v>409</v>
      </c>
      <c r="Q911" s="159" t="s">
        <v>409</v>
      </c>
      <c r="R911" s="159"/>
    </row>
    <row r="912" spans="1:18" x14ac:dyDescent="0.3">
      <c r="A912" s="164" t="s">
        <v>410</v>
      </c>
      <c r="B912" s="159"/>
      <c r="C912" s="159">
        <f t="shared" ref="C912:C923" si="159">(K875)</f>
        <v>216188.58915999997</v>
      </c>
      <c r="D912" s="172">
        <v>18.03</v>
      </c>
      <c r="E912" s="168">
        <f t="shared" ref="E912:E923" si="160">(K875*D912/1000)</f>
        <v>3897.8802625547996</v>
      </c>
      <c r="F912" s="159"/>
      <c r="G912" s="159">
        <v>0</v>
      </c>
      <c r="H912" s="172">
        <v>29</v>
      </c>
      <c r="I912" s="168">
        <f t="shared" ref="I912:I923" si="161">(G912*H912/1000)</f>
        <v>0</v>
      </c>
      <c r="J912" s="159"/>
      <c r="K912" s="159">
        <v>12800</v>
      </c>
      <c r="L912" s="172">
        <v>11.11</v>
      </c>
      <c r="M912" s="168">
        <f t="shared" ref="M912:M923" si="162">(K912*L912/1000)</f>
        <v>142.208</v>
      </c>
      <c r="N912" s="159"/>
      <c r="O912" s="159">
        <v>0</v>
      </c>
      <c r="P912" s="172">
        <v>7.32</v>
      </c>
      <c r="Q912" s="168">
        <f t="shared" ref="Q912:Q923" si="163">(O912*P912/1000)</f>
        <v>0</v>
      </c>
      <c r="R912" s="159"/>
    </row>
    <row r="913" spans="1:18" x14ac:dyDescent="0.3">
      <c r="A913" s="164" t="s">
        <v>411</v>
      </c>
      <c r="B913" s="159"/>
      <c r="C913" s="159">
        <f t="shared" si="159"/>
        <v>151822.76527999996</v>
      </c>
      <c r="D913" s="172">
        <v>18.03</v>
      </c>
      <c r="E913" s="168">
        <f t="shared" si="160"/>
        <v>2737.3644579983998</v>
      </c>
      <c r="F913" s="159"/>
      <c r="G913" s="159">
        <f t="shared" ref="G913:G923" si="164">O876</f>
        <v>0</v>
      </c>
      <c r="H913" s="172">
        <v>29</v>
      </c>
      <c r="I913" s="168">
        <f t="shared" si="161"/>
        <v>0</v>
      </c>
      <c r="J913" s="159"/>
      <c r="K913" s="159">
        <v>12800</v>
      </c>
      <c r="L913" s="172">
        <v>11.11</v>
      </c>
      <c r="M913" s="168">
        <f t="shared" si="162"/>
        <v>142.208</v>
      </c>
      <c r="N913" s="159"/>
      <c r="O913" s="159">
        <v>0</v>
      </c>
      <c r="P913" s="172">
        <v>7.32</v>
      </c>
      <c r="Q913" s="168">
        <f t="shared" si="163"/>
        <v>0</v>
      </c>
      <c r="R913" s="159"/>
    </row>
    <row r="914" spans="1:18" x14ac:dyDescent="0.3">
      <c r="A914" s="164" t="s">
        <v>412</v>
      </c>
      <c r="B914" s="159"/>
      <c r="C914" s="159">
        <f t="shared" si="159"/>
        <v>226008.14523999995</v>
      </c>
      <c r="D914" s="172">
        <v>18.03</v>
      </c>
      <c r="E914" s="168">
        <f t="shared" si="160"/>
        <v>4074.9268586771996</v>
      </c>
      <c r="F914" s="159">
        <f>SUM(E912:E914)</f>
        <v>10710.171579230398</v>
      </c>
      <c r="G914" s="159">
        <f t="shared" si="164"/>
        <v>0</v>
      </c>
      <c r="H914" s="172">
        <v>29</v>
      </c>
      <c r="I914" s="168">
        <f t="shared" si="161"/>
        <v>0</v>
      </c>
      <c r="J914" s="159">
        <f>SUM(I912:I914)</f>
        <v>0</v>
      </c>
      <c r="K914" s="159">
        <v>12800</v>
      </c>
      <c r="L914" s="172">
        <v>11.11</v>
      </c>
      <c r="M914" s="168">
        <f t="shared" si="162"/>
        <v>142.208</v>
      </c>
      <c r="N914" s="159">
        <f>SUM(M912:M914)</f>
        <v>426.62400000000002</v>
      </c>
      <c r="O914" s="159">
        <v>0</v>
      </c>
      <c r="P914" s="172">
        <v>7.32</v>
      </c>
      <c r="Q914" s="168">
        <f t="shared" si="163"/>
        <v>0</v>
      </c>
      <c r="R914" s="159">
        <f>SUM(Q912:Q914)</f>
        <v>0</v>
      </c>
    </row>
    <row r="915" spans="1:18" x14ac:dyDescent="0.3">
      <c r="A915" s="164" t="s">
        <v>413</v>
      </c>
      <c r="B915" s="159"/>
      <c r="C915" s="159">
        <f t="shared" si="159"/>
        <v>271377.74968000001</v>
      </c>
      <c r="D915" s="172">
        <v>18.03</v>
      </c>
      <c r="E915" s="168">
        <f t="shared" si="160"/>
        <v>4892.9408267304007</v>
      </c>
      <c r="F915" s="159"/>
      <c r="G915" s="159">
        <f t="shared" si="164"/>
        <v>0</v>
      </c>
      <c r="H915" s="172">
        <v>29</v>
      </c>
      <c r="I915" s="168">
        <f t="shared" si="161"/>
        <v>0</v>
      </c>
      <c r="J915" s="159"/>
      <c r="K915" s="159">
        <v>12800</v>
      </c>
      <c r="L915" s="172">
        <v>11.11</v>
      </c>
      <c r="M915" s="168">
        <f t="shared" si="162"/>
        <v>142.208</v>
      </c>
      <c r="N915" s="159"/>
      <c r="O915" s="159">
        <v>0</v>
      </c>
      <c r="P915" s="172">
        <v>7.32</v>
      </c>
      <c r="Q915" s="168">
        <f t="shared" si="163"/>
        <v>0</v>
      </c>
      <c r="R915" s="159"/>
    </row>
    <row r="916" spans="1:18" x14ac:dyDescent="0.3">
      <c r="A916" s="164" t="s">
        <v>414</v>
      </c>
      <c r="B916" s="159"/>
      <c r="C916" s="159">
        <f t="shared" si="159"/>
        <v>289417.96552000003</v>
      </c>
      <c r="D916" s="172">
        <v>18.03</v>
      </c>
      <c r="E916" s="168">
        <f t="shared" si="160"/>
        <v>5218.2059183256015</v>
      </c>
      <c r="F916" s="159"/>
      <c r="G916" s="159">
        <f t="shared" si="164"/>
        <v>0</v>
      </c>
      <c r="H916" s="172">
        <v>29</v>
      </c>
      <c r="I916" s="168">
        <f t="shared" si="161"/>
        <v>0</v>
      </c>
      <c r="J916" s="159"/>
      <c r="K916" s="159">
        <v>12800</v>
      </c>
      <c r="L916" s="172">
        <v>11.11</v>
      </c>
      <c r="M916" s="168">
        <f t="shared" si="162"/>
        <v>142.208</v>
      </c>
      <c r="N916" s="159"/>
      <c r="O916" s="159">
        <v>0</v>
      </c>
      <c r="P916" s="172">
        <v>7.32</v>
      </c>
      <c r="Q916" s="168">
        <f t="shared" si="163"/>
        <v>0</v>
      </c>
      <c r="R916" s="159"/>
    </row>
    <row r="917" spans="1:18" x14ac:dyDescent="0.3">
      <c r="A917" s="164" t="s">
        <v>415</v>
      </c>
      <c r="B917" s="159"/>
      <c r="C917" s="159">
        <f t="shared" si="159"/>
        <v>289799.9941999999</v>
      </c>
      <c r="D917" s="172">
        <v>18.03</v>
      </c>
      <c r="E917" s="168">
        <f t="shared" si="160"/>
        <v>5225.0938954259982</v>
      </c>
      <c r="F917" s="159">
        <f>SUM(E915:E917)</f>
        <v>15336.240640481999</v>
      </c>
      <c r="G917" s="159">
        <f t="shared" si="164"/>
        <v>0</v>
      </c>
      <c r="H917" s="172">
        <v>29</v>
      </c>
      <c r="I917" s="168">
        <f t="shared" si="161"/>
        <v>0</v>
      </c>
      <c r="J917" s="159">
        <f>SUM(I915:I917)</f>
        <v>0</v>
      </c>
      <c r="K917" s="159">
        <v>12800</v>
      </c>
      <c r="L917" s="172">
        <v>11.11</v>
      </c>
      <c r="M917" s="168">
        <f t="shared" si="162"/>
        <v>142.208</v>
      </c>
      <c r="N917" s="159">
        <f>SUM(M915:M917)</f>
        <v>426.62400000000002</v>
      </c>
      <c r="O917" s="159">
        <v>0</v>
      </c>
      <c r="P917" s="172">
        <v>7.32</v>
      </c>
      <c r="Q917" s="168">
        <f t="shared" si="163"/>
        <v>0</v>
      </c>
      <c r="R917" s="159">
        <f>SUM(Q915:Q917)</f>
        <v>0</v>
      </c>
    </row>
    <row r="918" spans="1:18" x14ac:dyDescent="0.3">
      <c r="A918" s="164" t="s">
        <v>416</v>
      </c>
      <c r="B918" s="159"/>
      <c r="C918" s="159">
        <f t="shared" si="159"/>
        <v>91650.007439999972</v>
      </c>
      <c r="D918" s="172">
        <v>18.03</v>
      </c>
      <c r="E918" s="168">
        <f t="shared" si="160"/>
        <v>1652.4496341431995</v>
      </c>
      <c r="F918" s="159"/>
      <c r="G918" s="159">
        <f t="shared" si="164"/>
        <v>0</v>
      </c>
      <c r="H918" s="172">
        <v>29</v>
      </c>
      <c r="I918" s="168">
        <f t="shared" si="161"/>
        <v>0</v>
      </c>
      <c r="J918" s="159"/>
      <c r="K918" s="159">
        <v>12800</v>
      </c>
      <c r="L918" s="172">
        <v>11.11</v>
      </c>
      <c r="M918" s="168">
        <f t="shared" si="162"/>
        <v>142.208</v>
      </c>
      <c r="N918" s="159"/>
      <c r="O918" s="159">
        <v>0</v>
      </c>
      <c r="P918" s="172">
        <v>7.32</v>
      </c>
      <c r="Q918" s="168">
        <f t="shared" si="163"/>
        <v>0</v>
      </c>
      <c r="R918" s="159"/>
    </row>
    <row r="919" spans="1:18" x14ac:dyDescent="0.3">
      <c r="A919" s="164" t="s">
        <v>417</v>
      </c>
      <c r="B919" s="159"/>
      <c r="C919" s="159">
        <f t="shared" si="159"/>
        <v>149122.78207999998</v>
      </c>
      <c r="D919" s="172">
        <v>18.03</v>
      </c>
      <c r="E919" s="168">
        <f t="shared" si="160"/>
        <v>2688.6837609023996</v>
      </c>
      <c r="F919" s="159"/>
      <c r="G919" s="159">
        <f t="shared" si="164"/>
        <v>0</v>
      </c>
      <c r="H919" s="172">
        <v>29</v>
      </c>
      <c r="I919" s="168">
        <f t="shared" si="161"/>
        <v>0</v>
      </c>
      <c r="J919" s="159"/>
      <c r="K919" s="159">
        <v>12800</v>
      </c>
      <c r="L919" s="172">
        <v>11.11</v>
      </c>
      <c r="M919" s="168">
        <f t="shared" si="162"/>
        <v>142.208</v>
      </c>
      <c r="N919" s="159"/>
      <c r="O919" s="159">
        <v>0</v>
      </c>
      <c r="P919" s="172">
        <v>7.32</v>
      </c>
      <c r="Q919" s="168">
        <f t="shared" si="163"/>
        <v>0</v>
      </c>
      <c r="R919" s="159"/>
    </row>
    <row r="920" spans="1:18" x14ac:dyDescent="0.3">
      <c r="A920" s="164" t="s">
        <v>418</v>
      </c>
      <c r="B920" s="159"/>
      <c r="C920" s="159">
        <f t="shared" si="159"/>
        <v>277193.92276000004</v>
      </c>
      <c r="D920" s="172">
        <v>18.03</v>
      </c>
      <c r="E920" s="168">
        <f t="shared" si="160"/>
        <v>4997.8064273628015</v>
      </c>
      <c r="F920" s="159">
        <f>SUM(E918:E920)</f>
        <v>9338.9398224083998</v>
      </c>
      <c r="G920" s="159">
        <f t="shared" si="164"/>
        <v>0</v>
      </c>
      <c r="H920" s="172">
        <v>29</v>
      </c>
      <c r="I920" s="168">
        <f t="shared" si="161"/>
        <v>0</v>
      </c>
      <c r="J920" s="159">
        <f>SUM(I918:I920)</f>
        <v>0</v>
      </c>
      <c r="K920" s="159">
        <v>13095</v>
      </c>
      <c r="L920" s="172">
        <v>11.11</v>
      </c>
      <c r="M920" s="168">
        <f t="shared" si="162"/>
        <v>145.48544999999999</v>
      </c>
      <c r="N920" s="159">
        <f>SUM(M918:M920)</f>
        <v>429.90144999999995</v>
      </c>
      <c r="O920" s="159">
        <v>0</v>
      </c>
      <c r="P920" s="172">
        <v>7.32</v>
      </c>
      <c r="Q920" s="168">
        <f t="shared" si="163"/>
        <v>0</v>
      </c>
      <c r="R920" s="159">
        <f>SUM(Q918:Q920)</f>
        <v>0</v>
      </c>
    </row>
    <row r="921" spans="1:18" x14ac:dyDescent="0.3">
      <c r="A921" s="164" t="s">
        <v>419</v>
      </c>
      <c r="B921" s="159"/>
      <c r="C921" s="159">
        <f t="shared" si="159"/>
        <v>266635.14663999999</v>
      </c>
      <c r="D921" s="172">
        <v>18.03</v>
      </c>
      <c r="E921" s="168">
        <f t="shared" si="160"/>
        <v>4807.4316939192004</v>
      </c>
      <c r="F921" s="159"/>
      <c r="G921" s="159">
        <f t="shared" si="164"/>
        <v>0</v>
      </c>
      <c r="H921" s="172">
        <v>29</v>
      </c>
      <c r="I921" s="168">
        <f t="shared" si="161"/>
        <v>0</v>
      </c>
      <c r="J921" s="159"/>
      <c r="K921" s="159">
        <v>4000</v>
      </c>
      <c r="L921" s="172">
        <v>11.11</v>
      </c>
      <c r="M921" s="168">
        <f t="shared" si="162"/>
        <v>44.44</v>
      </c>
      <c r="N921" s="159"/>
      <c r="O921" s="159">
        <v>0</v>
      </c>
      <c r="P921" s="172">
        <v>7.32</v>
      </c>
      <c r="Q921" s="168">
        <f t="shared" si="163"/>
        <v>0</v>
      </c>
      <c r="R921" s="159"/>
    </row>
    <row r="922" spans="1:18" x14ac:dyDescent="0.3">
      <c r="A922" s="164" t="s">
        <v>420</v>
      </c>
      <c r="B922" s="159"/>
      <c r="C922" s="159">
        <f t="shared" si="159"/>
        <v>10981</v>
      </c>
      <c r="D922" s="172">
        <v>18.03</v>
      </c>
      <c r="E922" s="168">
        <f t="shared" si="160"/>
        <v>197.98743000000002</v>
      </c>
      <c r="F922" s="159"/>
      <c r="G922" s="159">
        <f t="shared" si="164"/>
        <v>248928.57003999996</v>
      </c>
      <c r="H922" s="172">
        <v>29</v>
      </c>
      <c r="I922" s="168">
        <f t="shared" si="161"/>
        <v>7218.9285311599988</v>
      </c>
      <c r="J922" s="159"/>
      <c r="K922" s="159">
        <v>4000</v>
      </c>
      <c r="L922" s="172">
        <v>11.11</v>
      </c>
      <c r="M922" s="168">
        <f t="shared" si="162"/>
        <v>44.44</v>
      </c>
      <c r="N922" s="159"/>
      <c r="O922" s="159">
        <v>0</v>
      </c>
      <c r="P922" s="172">
        <v>7.32</v>
      </c>
      <c r="Q922" s="168">
        <f t="shared" si="163"/>
        <v>0</v>
      </c>
      <c r="R922" s="159"/>
    </row>
    <row r="923" spans="1:18" x14ac:dyDescent="0.3">
      <c r="A923" s="164" t="s">
        <v>421</v>
      </c>
      <c r="B923" s="159"/>
      <c r="C923" s="159">
        <f t="shared" si="159"/>
        <v>-3999.9999999999945</v>
      </c>
      <c r="D923" s="172">
        <v>18.03</v>
      </c>
      <c r="E923" s="168">
        <f t="shared" si="160"/>
        <v>-72.119999999999919</v>
      </c>
      <c r="F923" s="159">
        <f>SUM(E921:E923)</f>
        <v>4933.2991239192006</v>
      </c>
      <c r="G923" s="159">
        <f t="shared" si="164"/>
        <v>317987.652</v>
      </c>
      <c r="H923" s="172">
        <v>29</v>
      </c>
      <c r="I923" s="168">
        <f t="shared" si="161"/>
        <v>9221.6419079999996</v>
      </c>
      <c r="J923" s="159">
        <f>SUM(I921:I923)</f>
        <v>16440.570439159997</v>
      </c>
      <c r="K923" s="159">
        <v>4000</v>
      </c>
      <c r="L923" s="172">
        <v>11.11</v>
      </c>
      <c r="M923" s="168">
        <f t="shared" si="162"/>
        <v>44.44</v>
      </c>
      <c r="N923" s="159">
        <f>SUM(M921:M923)</f>
        <v>133.32</v>
      </c>
      <c r="O923" s="159">
        <v>0</v>
      </c>
      <c r="P923" s="172">
        <v>7.32</v>
      </c>
      <c r="Q923" s="168">
        <f t="shared" si="163"/>
        <v>0</v>
      </c>
      <c r="R923" s="159">
        <f>SUM(Q921:Q923)</f>
        <v>0</v>
      </c>
    </row>
    <row r="924" spans="1:18" x14ac:dyDescent="0.3">
      <c r="A924" s="159"/>
      <c r="B924" s="159"/>
      <c r="C924" s="159"/>
      <c r="D924" s="159"/>
      <c r="E924" s="159"/>
      <c r="F924" s="159"/>
      <c r="G924" s="159"/>
      <c r="H924" s="159"/>
      <c r="I924" s="159"/>
      <c r="J924" s="159"/>
      <c r="K924" s="159"/>
      <c r="L924" s="159"/>
      <c r="M924" s="159"/>
      <c r="N924" s="159"/>
      <c r="O924" s="159"/>
      <c r="P924" s="159"/>
      <c r="Q924" s="159"/>
      <c r="R924" s="159"/>
    </row>
    <row r="925" spans="1:18" x14ac:dyDescent="0.3">
      <c r="A925" s="159"/>
      <c r="B925" s="159"/>
      <c r="C925" s="159"/>
      <c r="D925" s="159"/>
      <c r="E925" s="159"/>
      <c r="F925" s="159"/>
      <c r="G925" s="159"/>
      <c r="H925" s="159"/>
      <c r="I925" s="159"/>
      <c r="J925" s="159"/>
      <c r="K925" s="159"/>
      <c r="L925" s="159"/>
      <c r="M925" s="159"/>
      <c r="N925" s="159"/>
      <c r="O925" s="159"/>
      <c r="P925" s="159"/>
      <c r="Q925" s="159"/>
      <c r="R925" s="159"/>
    </row>
    <row r="926" spans="1:18" x14ac:dyDescent="0.3">
      <c r="A926" s="159" t="s">
        <v>422</v>
      </c>
      <c r="B926" s="159"/>
      <c r="C926" s="159">
        <f>SUM(C912:C923)</f>
        <v>2236198.068</v>
      </c>
      <c r="D926" s="159"/>
      <c r="E926" s="168">
        <f>SUM(E912:E923)</f>
        <v>40318.651166039999</v>
      </c>
      <c r="F926" s="159"/>
      <c r="G926" s="159">
        <f>SUM(G912:G923)</f>
        <v>566916.22203999991</v>
      </c>
      <c r="H926" s="159" t="s">
        <v>424</v>
      </c>
      <c r="I926" s="168">
        <f>SUM(I912:I923)</f>
        <v>16440.570439159997</v>
      </c>
      <c r="J926" s="159"/>
      <c r="K926" s="159">
        <f>SUM(K912:K923)</f>
        <v>127495</v>
      </c>
      <c r="L926" s="159" t="s">
        <v>424</v>
      </c>
      <c r="M926" s="168">
        <f>SUM(M912:M923)</f>
        <v>1416.4694500000001</v>
      </c>
      <c r="N926" s="159"/>
      <c r="O926" s="159">
        <f>(SUM(O912:O923))</f>
        <v>0</v>
      </c>
      <c r="P926" s="159" t="s">
        <v>424</v>
      </c>
      <c r="Q926" s="168">
        <f>SUM(Q912:Q923)</f>
        <v>0</v>
      </c>
      <c r="R926" s="159"/>
    </row>
  </sheetData>
  <mergeCells count="17">
    <mergeCell ref="A707:R707"/>
    <mergeCell ref="A708:R708"/>
    <mergeCell ref="A709:R709"/>
    <mergeCell ref="A710:R710"/>
    <mergeCell ref="A712:R712"/>
    <mergeCell ref="A672:R672"/>
    <mergeCell ref="A2:R2"/>
    <mergeCell ref="A3:R3"/>
    <mergeCell ref="A4:R4"/>
    <mergeCell ref="A5:R5"/>
    <mergeCell ref="A7:R7"/>
    <mergeCell ref="A9:R9"/>
    <mergeCell ref="A666:R666"/>
    <mergeCell ref="A667:R667"/>
    <mergeCell ref="A668:R668"/>
    <mergeCell ref="A669:R669"/>
    <mergeCell ref="A670:R670"/>
  </mergeCells>
  <printOptions horizontalCentered="1" verticalCentered="1"/>
  <pageMargins left="0" right="0" top="0.25" bottom="0.25" header="0" footer="0"/>
  <pageSetup paperSize="17" scale="88" fitToHeight="10" orientation="landscape" r:id="rId1"/>
  <headerFooter alignWithMargins="0"/>
  <rowBreaks count="8" manualBreakCount="8">
    <brk id="665" max="17" man="1"/>
    <brk id="704" max="17" man="1"/>
    <brk id="754" max="17" man="1"/>
    <brk id="785" max="17" man="1"/>
    <brk id="809" max="17" man="1"/>
    <brk id="836" max="17" man="1"/>
    <brk id="863" max="17" man="1"/>
    <brk id="897" max="17"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02F02-CB81-4F2C-8AC1-D3EF0CEE8B20}">
  <sheetPr codeName="Sheet114"/>
  <dimension ref="A1:T928"/>
  <sheetViews>
    <sheetView topLeftCell="A824" zoomScale="70" zoomScaleNormal="70" workbookViewId="0">
      <selection activeCell="B128" sqref="B128"/>
    </sheetView>
  </sheetViews>
  <sheetFormatPr defaultColWidth="8.77734375" defaultRowHeight="15.6" x14ac:dyDescent="0.3"/>
  <cols>
    <col min="1" max="1" width="40.77734375" style="4" customWidth="1"/>
    <col min="2" max="6" width="11.6640625" style="4" customWidth="1"/>
    <col min="7" max="8" width="8.77734375" style="4"/>
    <col min="9" max="9" width="13.6640625" style="4" customWidth="1"/>
    <col min="10" max="12" width="8.77734375" style="4"/>
    <col min="13" max="13" width="11.88671875" style="4" customWidth="1"/>
    <col min="14" max="16" width="8.77734375" style="4"/>
    <col min="17" max="17" width="11.88671875" style="4" customWidth="1"/>
    <col min="18" max="18" width="12.33203125" style="4" customWidth="1"/>
    <col min="19" max="16384" width="8.77734375" style="4"/>
  </cols>
  <sheetData>
    <row r="1" spans="1:18" ht="16.2" x14ac:dyDescent="0.35">
      <c r="A1" s="140"/>
      <c r="B1" s="140"/>
      <c r="C1" s="140"/>
      <c r="D1" s="140"/>
      <c r="E1" s="140"/>
      <c r="F1" s="140"/>
      <c r="G1" s="140"/>
      <c r="H1" s="140"/>
      <c r="I1" s="140"/>
      <c r="J1" s="140"/>
      <c r="K1" s="140"/>
      <c r="L1" s="140"/>
      <c r="M1" s="140"/>
      <c r="N1" s="140"/>
      <c r="O1" s="140"/>
      <c r="P1" s="140"/>
      <c r="Q1" s="141" t="s">
        <v>0</v>
      </c>
      <c r="R1" s="142">
        <f ca="1">NOW()</f>
        <v>44909.46975358796</v>
      </c>
    </row>
    <row r="2" spans="1:18" ht="16.2" x14ac:dyDescent="0.35">
      <c r="A2" s="565" t="s">
        <v>1</v>
      </c>
      <c r="B2" s="565"/>
      <c r="C2" s="565"/>
      <c r="D2" s="565"/>
      <c r="E2" s="565"/>
      <c r="F2" s="565"/>
      <c r="G2" s="565"/>
      <c r="H2" s="565"/>
      <c r="I2" s="565"/>
      <c r="J2" s="565"/>
      <c r="K2" s="565"/>
      <c r="L2" s="565"/>
      <c r="M2" s="565"/>
      <c r="N2" s="565"/>
      <c r="O2" s="565"/>
      <c r="P2" s="565"/>
      <c r="Q2" s="565"/>
      <c r="R2" s="565"/>
    </row>
    <row r="3" spans="1:18" ht="16.2" x14ac:dyDescent="0.35">
      <c r="A3" s="565" t="s">
        <v>2</v>
      </c>
      <c r="B3" s="565"/>
      <c r="C3" s="565"/>
      <c r="D3" s="565"/>
      <c r="E3" s="565"/>
      <c r="F3" s="565"/>
      <c r="G3" s="565"/>
      <c r="H3" s="565"/>
      <c r="I3" s="565"/>
      <c r="J3" s="565"/>
      <c r="K3" s="565"/>
      <c r="L3" s="565"/>
      <c r="M3" s="565"/>
      <c r="N3" s="565"/>
      <c r="O3" s="565"/>
      <c r="P3" s="565"/>
      <c r="Q3" s="565"/>
      <c r="R3" s="565"/>
    </row>
    <row r="4" spans="1:18" ht="16.2" x14ac:dyDescent="0.35">
      <c r="A4" s="565" t="s">
        <v>3</v>
      </c>
      <c r="B4" s="565"/>
      <c r="C4" s="565"/>
      <c r="D4" s="565"/>
      <c r="E4" s="565"/>
      <c r="F4" s="565"/>
      <c r="G4" s="565"/>
      <c r="H4" s="565"/>
      <c r="I4" s="565"/>
      <c r="J4" s="565"/>
      <c r="K4" s="565"/>
      <c r="L4" s="565"/>
      <c r="M4" s="565"/>
      <c r="N4" s="565"/>
      <c r="O4" s="565"/>
      <c r="P4" s="565"/>
      <c r="Q4" s="565"/>
      <c r="R4" s="565"/>
    </row>
    <row r="5" spans="1:18" ht="16.2" x14ac:dyDescent="0.35">
      <c r="A5" s="565" t="s">
        <v>517</v>
      </c>
      <c r="B5" s="565"/>
      <c r="C5" s="565"/>
      <c r="D5" s="565"/>
      <c r="E5" s="565"/>
      <c r="F5" s="565"/>
      <c r="G5" s="565"/>
      <c r="H5" s="565"/>
      <c r="I5" s="565"/>
      <c r="J5" s="565"/>
      <c r="K5" s="565"/>
      <c r="L5" s="565"/>
      <c r="M5" s="565"/>
      <c r="N5" s="565"/>
      <c r="O5" s="565"/>
      <c r="P5" s="565"/>
      <c r="Q5" s="565"/>
      <c r="R5" s="565"/>
    </row>
    <row r="6" spans="1:18" ht="16.2" x14ac:dyDescent="0.35">
      <c r="A6" s="140"/>
      <c r="B6" s="140"/>
      <c r="C6" s="140"/>
      <c r="D6" s="143"/>
      <c r="E6" s="143"/>
      <c r="F6" s="143"/>
      <c r="G6" s="144"/>
      <c r="H6" s="143"/>
      <c r="I6" s="143"/>
      <c r="J6" s="144"/>
      <c r="K6" s="144"/>
      <c r="L6" s="144"/>
      <c r="M6" s="144"/>
      <c r="N6" s="140"/>
      <c r="O6" s="144"/>
      <c r="P6" s="144"/>
      <c r="Q6" s="144"/>
      <c r="R6" s="144"/>
    </row>
    <row r="7" spans="1:18" ht="16.2" x14ac:dyDescent="0.35">
      <c r="A7" s="565" t="s">
        <v>5</v>
      </c>
      <c r="B7" s="565"/>
      <c r="C7" s="565"/>
      <c r="D7" s="565"/>
      <c r="E7" s="565"/>
      <c r="F7" s="565"/>
      <c r="G7" s="565"/>
      <c r="H7" s="565"/>
      <c r="I7" s="565"/>
      <c r="J7" s="565"/>
      <c r="K7" s="565"/>
      <c r="L7" s="565"/>
      <c r="M7" s="565"/>
      <c r="N7" s="565"/>
      <c r="O7" s="565"/>
      <c r="P7" s="565"/>
      <c r="Q7" s="565"/>
      <c r="R7" s="565"/>
    </row>
    <row r="8" spans="1:18" ht="16.2" x14ac:dyDescent="0.35">
      <c r="A8" s="565" t="s">
        <v>518</v>
      </c>
      <c r="B8" s="565"/>
      <c r="C8" s="565"/>
      <c r="D8" s="565"/>
      <c r="E8" s="565"/>
      <c r="F8" s="565"/>
      <c r="G8" s="565"/>
      <c r="H8" s="565"/>
      <c r="I8" s="565"/>
      <c r="J8" s="565"/>
      <c r="K8" s="565"/>
      <c r="L8" s="565"/>
      <c r="M8" s="565"/>
      <c r="N8" s="565"/>
      <c r="O8" s="565"/>
      <c r="P8" s="565"/>
      <c r="Q8" s="565"/>
      <c r="R8" s="565"/>
    </row>
    <row r="9" spans="1:18" ht="16.2" x14ac:dyDescent="0.35">
      <c r="A9" s="565"/>
      <c r="B9" s="565"/>
      <c r="C9" s="565"/>
      <c r="D9" s="565"/>
      <c r="E9" s="565"/>
      <c r="F9" s="565"/>
      <c r="G9" s="565"/>
      <c r="H9" s="565"/>
      <c r="I9" s="565"/>
      <c r="J9" s="565"/>
      <c r="K9" s="565"/>
      <c r="L9" s="565"/>
      <c r="M9" s="565"/>
      <c r="N9" s="565"/>
      <c r="O9" s="565"/>
      <c r="P9" s="565"/>
      <c r="Q9" s="565"/>
      <c r="R9" s="565"/>
    </row>
    <row r="10" spans="1:18" ht="16.2" x14ac:dyDescent="0.35">
      <c r="A10" s="140"/>
      <c r="B10" s="140"/>
      <c r="C10" s="140"/>
      <c r="D10" s="140"/>
      <c r="E10" s="140"/>
      <c r="F10" s="140"/>
      <c r="G10" s="140"/>
      <c r="H10" s="140"/>
      <c r="I10" s="140"/>
      <c r="J10" s="140"/>
      <c r="K10" s="140"/>
      <c r="L10" s="140"/>
      <c r="M10" s="140"/>
      <c r="N10" s="140"/>
      <c r="O10" s="140"/>
      <c r="P10" s="140"/>
      <c r="Q10" s="140"/>
      <c r="R10" s="140"/>
    </row>
    <row r="11" spans="1:18" ht="16.8" thickBot="1" x14ac:dyDescent="0.4">
      <c r="A11" s="140"/>
      <c r="B11" s="140"/>
      <c r="C11" s="140"/>
      <c r="D11" s="140"/>
      <c r="E11" s="140"/>
      <c r="F11" s="140"/>
      <c r="G11" s="140"/>
      <c r="H11" s="140"/>
      <c r="I11" s="140"/>
      <c r="J11" s="140"/>
      <c r="K11" s="140"/>
      <c r="L11" s="140"/>
      <c r="M11" s="140"/>
      <c r="N11" s="140"/>
      <c r="O11" s="140"/>
      <c r="P11" s="140"/>
      <c r="Q11" s="140"/>
      <c r="R11" s="140"/>
    </row>
    <row r="12" spans="1:18" ht="15.75" customHeight="1" thickBot="1" x14ac:dyDescent="0.4">
      <c r="A12" s="7" t="s">
        <v>7</v>
      </c>
      <c r="B12" s="8" t="s">
        <v>8</v>
      </c>
      <c r="C12" s="9" t="s">
        <v>9</v>
      </c>
      <c r="D12" s="9" t="s">
        <v>10</v>
      </c>
      <c r="E12" s="10" t="s">
        <v>11</v>
      </c>
      <c r="F12" s="9" t="s">
        <v>12</v>
      </c>
      <c r="G12" s="9" t="s">
        <v>13</v>
      </c>
      <c r="H12" s="9" t="s">
        <v>14</v>
      </c>
      <c r="I12" s="10" t="s">
        <v>15</v>
      </c>
      <c r="J12" s="9" t="s">
        <v>16</v>
      </c>
      <c r="K12" s="9" t="s">
        <v>17</v>
      </c>
      <c r="L12" s="9" t="s">
        <v>18</v>
      </c>
      <c r="M12" s="10" t="s">
        <v>19</v>
      </c>
      <c r="N12" s="9" t="s">
        <v>20</v>
      </c>
      <c r="O12" s="9" t="s">
        <v>21</v>
      </c>
      <c r="P12" s="9" t="s">
        <v>22</v>
      </c>
      <c r="Q12" s="10" t="s">
        <v>23</v>
      </c>
      <c r="R12" s="11" t="s">
        <v>24</v>
      </c>
    </row>
    <row r="13" spans="1:18" ht="15.75" customHeight="1" thickBot="1" x14ac:dyDescent="0.4">
      <c r="A13" s="12"/>
      <c r="B13" s="13"/>
      <c r="C13" s="13"/>
      <c r="D13" s="13"/>
      <c r="E13" s="14"/>
      <c r="F13" s="13"/>
      <c r="G13" s="13"/>
      <c r="H13" s="13"/>
      <c r="I13" s="14"/>
      <c r="J13" s="13"/>
      <c r="K13" s="13"/>
      <c r="L13" s="13"/>
      <c r="M13" s="14"/>
      <c r="N13" s="13"/>
      <c r="O13" s="13"/>
      <c r="P13" s="13"/>
      <c r="Q13" s="14"/>
      <c r="R13" s="14"/>
    </row>
    <row r="14" spans="1:18" ht="15.75" customHeight="1" x14ac:dyDescent="0.35">
      <c r="A14" s="174" t="s">
        <v>25</v>
      </c>
      <c r="B14" s="140">
        <f>+B728</f>
        <v>75118</v>
      </c>
      <c r="C14" s="140">
        <f>+C728</f>
        <v>74798</v>
      </c>
      <c r="D14" s="140">
        <f>+D728</f>
        <v>130852</v>
      </c>
      <c r="E14" s="175">
        <f t="shared" ref="E14:E23" si="0">SUM(B14:D14)</f>
        <v>280768</v>
      </c>
      <c r="F14" s="140">
        <f>+F728</f>
        <v>152838</v>
      </c>
      <c r="G14" s="140">
        <f>+G728</f>
        <v>168705</v>
      </c>
      <c r="H14" s="140">
        <f>+H728</f>
        <v>181604</v>
      </c>
      <c r="I14" s="175">
        <f t="shared" ref="I14:I23" si="1">SUM(F14:H14)</f>
        <v>503147</v>
      </c>
      <c r="J14" s="140">
        <f>+J728</f>
        <v>193066</v>
      </c>
      <c r="K14" s="140">
        <f>+K728</f>
        <v>201282</v>
      </c>
      <c r="L14" s="140">
        <f>+L728</f>
        <v>134258</v>
      </c>
      <c r="M14" s="175">
        <f t="shared" ref="M14:M23" si="2">SUM(J14:L14)</f>
        <v>528606</v>
      </c>
      <c r="N14" s="140">
        <f>+N728</f>
        <v>117993</v>
      </c>
      <c r="O14" s="140">
        <f>+O728</f>
        <v>57939</v>
      </c>
      <c r="P14" s="140">
        <f>+P728</f>
        <v>94280</v>
      </c>
      <c r="Q14" s="176">
        <f t="shared" ref="Q14:Q23" si="3">SUM(N14:P14)</f>
        <v>270212</v>
      </c>
      <c r="R14" s="175">
        <f t="shared" ref="R14:R23" si="4">+E14+I14+M14+Q14</f>
        <v>1582733</v>
      </c>
    </row>
    <row r="15" spans="1:18" ht="15.75" hidden="1" customHeight="1" x14ac:dyDescent="0.35">
      <c r="A15" s="174" t="s">
        <v>26</v>
      </c>
      <c r="B15" s="140">
        <f>+B699+B702</f>
        <v>5720</v>
      </c>
      <c r="C15" s="140">
        <f>+C699+C702</f>
        <v>2000</v>
      </c>
      <c r="D15" s="140">
        <f>+D699+D702</f>
        <v>2500</v>
      </c>
      <c r="E15" s="175">
        <f t="shared" si="0"/>
        <v>10220</v>
      </c>
      <c r="F15" s="140">
        <f>+F699+F702</f>
        <v>10408</v>
      </c>
      <c r="G15" s="140">
        <f>+G699+G702</f>
        <v>14871</v>
      </c>
      <c r="H15" s="140">
        <f>+H699+H702</f>
        <v>21188</v>
      </c>
      <c r="I15" s="175">
        <f t="shared" si="1"/>
        <v>46467</v>
      </c>
      <c r="J15" s="140">
        <f>+J699+J702</f>
        <v>18064</v>
      </c>
      <c r="K15" s="140">
        <f>+K699+K702</f>
        <v>21284</v>
      </c>
      <c r="L15" s="140">
        <f>+L699+L702</f>
        <v>6303</v>
      </c>
      <c r="M15" s="175">
        <f t="shared" si="2"/>
        <v>45651</v>
      </c>
      <c r="N15" s="140">
        <f>+N699+N702</f>
        <v>2378</v>
      </c>
      <c r="O15" s="140">
        <f>+O699+O702</f>
        <v>378</v>
      </c>
      <c r="P15" s="140">
        <f>+P699+P702</f>
        <v>924</v>
      </c>
      <c r="Q15" s="176">
        <f t="shared" si="3"/>
        <v>3680</v>
      </c>
      <c r="R15" s="175">
        <f t="shared" si="4"/>
        <v>106018</v>
      </c>
    </row>
    <row r="16" spans="1:18" ht="15.75" customHeight="1" x14ac:dyDescent="0.35">
      <c r="A16" s="174" t="s">
        <v>27</v>
      </c>
      <c r="B16" s="140">
        <f>B27+B62+B128+B242+B355+B395+B439+B490+B500+B535+B574+B584+B618+B660</f>
        <v>739</v>
      </c>
      <c r="C16" s="140">
        <f>C27+C62+C128+C242+C355+C395+C439+C490+C500+C535+C574+C584+C618+C660</f>
        <v>1283</v>
      </c>
      <c r="D16" s="140">
        <f>D27+D62+D128+D242+D355+D395+D439+D490+D500+D535+D574+D584+D618+D660</f>
        <v>2185</v>
      </c>
      <c r="E16" s="175">
        <f t="shared" si="0"/>
        <v>4207</v>
      </c>
      <c r="F16" s="140">
        <f>F27+F62+F128+F242+F355+F395+F439+F490+F500+F535+F574+F584+F618+F660</f>
        <v>2959</v>
      </c>
      <c r="G16" s="140">
        <f>G27+G62+G128+G242+G355+G395+G439+G490+G500+G535+G574+G584+G618+G660</f>
        <v>3425</v>
      </c>
      <c r="H16" s="140">
        <f>H27+H62+H128+H242+H355+H395+H439+H490+H500+H535+H574+H584+H618+H660</f>
        <v>3464</v>
      </c>
      <c r="I16" s="175">
        <f t="shared" si="1"/>
        <v>9848</v>
      </c>
      <c r="J16" s="140">
        <f>J27+J62+J128+J242+J355+J395+J439+J490+J500+J535+J574+J584+J618+J660</f>
        <v>3382</v>
      </c>
      <c r="K16" s="140">
        <f>K27+K62+K128+K242+K355+K395+K439+K490+K500+K535+K574+K584+K618+K660</f>
        <v>2663</v>
      </c>
      <c r="L16" s="140">
        <f>L27+L62+L128+L242+L355+L395+L439+L490+L500+L535+L574+L584+L618+L660</f>
        <v>2559</v>
      </c>
      <c r="M16" s="175">
        <f t="shared" si="2"/>
        <v>8604</v>
      </c>
      <c r="N16" s="140">
        <f>N27+N62+N128+N242+N355+N395+N439+N490+N500+N535+N574+N584+N618+N660</f>
        <v>2343</v>
      </c>
      <c r="O16" s="140">
        <f>O27+O62+O128+O242+O355+O395+O439+O490+O500+O535+O574+O584+O618+O660</f>
        <v>1892</v>
      </c>
      <c r="P16" s="140">
        <f>P27+P62+P128+P242+P355+P395+P439+P490+P500+P535+P574+P584+P618+P660</f>
        <v>1423</v>
      </c>
      <c r="Q16" s="176">
        <f t="shared" si="3"/>
        <v>5658</v>
      </c>
      <c r="R16" s="175">
        <f t="shared" si="4"/>
        <v>28317</v>
      </c>
    </row>
    <row r="17" spans="1:20" ht="15.75" customHeight="1" x14ac:dyDescent="0.35">
      <c r="A17" s="174" t="s">
        <v>28</v>
      </c>
      <c r="B17" s="140">
        <f>B237</f>
        <v>0</v>
      </c>
      <c r="C17" s="140">
        <f>C237</f>
        <v>637</v>
      </c>
      <c r="D17" s="140">
        <f>D237</f>
        <v>3343</v>
      </c>
      <c r="E17" s="175">
        <f t="shared" si="0"/>
        <v>3980</v>
      </c>
      <c r="F17" s="140">
        <f>F237</f>
        <v>2738</v>
      </c>
      <c r="G17" s="140">
        <f>G237</f>
        <v>3244</v>
      </c>
      <c r="H17" s="140">
        <f>H237</f>
        <v>2609</v>
      </c>
      <c r="I17" s="175">
        <f t="shared" si="1"/>
        <v>8591</v>
      </c>
      <c r="J17" s="140">
        <f>J237</f>
        <v>3010</v>
      </c>
      <c r="K17" s="140">
        <f>K237</f>
        <v>2870</v>
      </c>
      <c r="L17" s="140">
        <f>L237</f>
        <v>2972</v>
      </c>
      <c r="M17" s="175">
        <f t="shared" si="2"/>
        <v>8852</v>
      </c>
      <c r="N17" s="140">
        <f>N237</f>
        <v>4607</v>
      </c>
      <c r="O17" s="140">
        <f>O237</f>
        <v>4045</v>
      </c>
      <c r="P17" s="140">
        <f>P237</f>
        <v>599</v>
      </c>
      <c r="Q17" s="176">
        <f t="shared" si="3"/>
        <v>9251</v>
      </c>
      <c r="R17" s="175">
        <f t="shared" si="4"/>
        <v>30674</v>
      </c>
    </row>
    <row r="18" spans="1:20" ht="15.75" customHeight="1" x14ac:dyDescent="0.35">
      <c r="A18" s="177" t="s">
        <v>29</v>
      </c>
      <c r="B18" s="140">
        <f t="shared" ref="B18:D19" si="5">+B238</f>
        <v>-837</v>
      </c>
      <c r="C18" s="140">
        <f t="shared" si="5"/>
        <v>-1677</v>
      </c>
      <c r="D18" s="140">
        <f t="shared" si="5"/>
        <v>-1246</v>
      </c>
      <c r="E18" s="175">
        <f t="shared" si="0"/>
        <v>-3760</v>
      </c>
      <c r="F18" s="140">
        <f t="shared" ref="F18:H19" si="6">+F238</f>
        <v>-5393</v>
      </c>
      <c r="G18" s="140">
        <f t="shared" si="6"/>
        <v>-2494</v>
      </c>
      <c r="H18" s="140">
        <f t="shared" si="6"/>
        <v>-6596</v>
      </c>
      <c r="I18" s="175">
        <f t="shared" si="1"/>
        <v>-14483</v>
      </c>
      <c r="J18" s="140">
        <f t="shared" ref="J18:L19" si="7">+J238</f>
        <v>-5100</v>
      </c>
      <c r="K18" s="140">
        <f t="shared" si="7"/>
        <v>-9040</v>
      </c>
      <c r="L18" s="140">
        <f t="shared" si="7"/>
        <v>-7990</v>
      </c>
      <c r="M18" s="175">
        <f t="shared" si="2"/>
        <v>-22130</v>
      </c>
      <c r="N18" s="140">
        <f t="shared" ref="N18:P19" si="8">+N238</f>
        <v>-6356</v>
      </c>
      <c r="O18" s="140">
        <f t="shared" si="8"/>
        <v>-2699</v>
      </c>
      <c r="P18" s="140">
        <f t="shared" si="8"/>
        <v>-4384</v>
      </c>
      <c r="Q18" s="176">
        <f t="shared" si="3"/>
        <v>-13439</v>
      </c>
      <c r="R18" s="175">
        <f t="shared" si="4"/>
        <v>-53812</v>
      </c>
    </row>
    <row r="19" spans="1:20" ht="15.75" hidden="1" customHeight="1" x14ac:dyDescent="0.35">
      <c r="A19" s="174" t="s">
        <v>30</v>
      </c>
      <c r="B19" s="140">
        <f t="shared" si="5"/>
        <v>0</v>
      </c>
      <c r="C19" s="140">
        <f t="shared" si="5"/>
        <v>0</v>
      </c>
      <c r="D19" s="140">
        <f t="shared" si="5"/>
        <v>0</v>
      </c>
      <c r="E19" s="175">
        <f t="shared" si="0"/>
        <v>0</v>
      </c>
      <c r="F19" s="140">
        <f t="shared" si="6"/>
        <v>0</v>
      </c>
      <c r="G19" s="140">
        <f t="shared" si="6"/>
        <v>0</v>
      </c>
      <c r="H19" s="140">
        <f t="shared" si="6"/>
        <v>0</v>
      </c>
      <c r="I19" s="175">
        <f t="shared" si="1"/>
        <v>0</v>
      </c>
      <c r="J19" s="140">
        <f t="shared" si="7"/>
        <v>0</v>
      </c>
      <c r="K19" s="140">
        <f t="shared" si="7"/>
        <v>0</v>
      </c>
      <c r="L19" s="140">
        <f t="shared" si="7"/>
        <v>0</v>
      </c>
      <c r="M19" s="175">
        <f t="shared" si="2"/>
        <v>0</v>
      </c>
      <c r="N19" s="140">
        <f t="shared" si="8"/>
        <v>0</v>
      </c>
      <c r="O19" s="140">
        <f t="shared" si="8"/>
        <v>0</v>
      </c>
      <c r="P19" s="140">
        <f t="shared" si="8"/>
        <v>0</v>
      </c>
      <c r="Q19" s="176">
        <f t="shared" si="3"/>
        <v>0</v>
      </c>
      <c r="R19" s="175">
        <f t="shared" si="4"/>
        <v>0</v>
      </c>
    </row>
    <row r="20" spans="1:20" ht="15.75" customHeight="1" x14ac:dyDescent="0.35">
      <c r="A20" s="178" t="s">
        <v>31</v>
      </c>
      <c r="B20" s="140">
        <f>B241</f>
        <v>97686</v>
      </c>
      <c r="C20" s="140">
        <f>C241</f>
        <v>85428</v>
      </c>
      <c r="D20" s="140">
        <f>D241</f>
        <v>45817</v>
      </c>
      <c r="E20" s="175">
        <f t="shared" si="0"/>
        <v>228931</v>
      </c>
      <c r="F20" s="140">
        <f>F241</f>
        <v>20571</v>
      </c>
      <c r="G20" s="140">
        <f>G241</f>
        <v>4193</v>
      </c>
      <c r="H20" s="140">
        <f>H241</f>
        <v>0</v>
      </c>
      <c r="I20" s="175">
        <f t="shared" si="1"/>
        <v>24764</v>
      </c>
      <c r="J20" s="140">
        <f>J241</f>
        <v>0</v>
      </c>
      <c r="K20" s="140">
        <f>K241</f>
        <v>0</v>
      </c>
      <c r="L20" s="140">
        <f>L241</f>
        <v>20940</v>
      </c>
      <c r="M20" s="175">
        <f t="shared" si="2"/>
        <v>20940</v>
      </c>
      <c r="N20" s="140">
        <f>N241</f>
        <v>17280</v>
      </c>
      <c r="O20" s="140">
        <f>O241</f>
        <v>77414</v>
      </c>
      <c r="P20" s="140">
        <f>P241</f>
        <v>58224</v>
      </c>
      <c r="Q20" s="176">
        <f t="shared" si="3"/>
        <v>152918</v>
      </c>
      <c r="R20" s="175">
        <f t="shared" si="4"/>
        <v>427553</v>
      </c>
    </row>
    <row r="21" spans="1:20" ht="15.75" customHeight="1" x14ac:dyDescent="0.35">
      <c r="A21" s="178" t="s">
        <v>32</v>
      </c>
      <c r="B21" s="140">
        <f>B253</f>
        <v>0</v>
      </c>
      <c r="C21" s="140">
        <f>C253</f>
        <v>0</v>
      </c>
      <c r="D21" s="140">
        <f>D253</f>
        <v>0</v>
      </c>
      <c r="E21" s="175">
        <f t="shared" si="0"/>
        <v>0</v>
      </c>
      <c r="F21" s="140">
        <f>F253</f>
        <v>0</v>
      </c>
      <c r="G21" s="140">
        <f>G253</f>
        <v>-12106</v>
      </c>
      <c r="H21" s="140">
        <f>H253</f>
        <v>-84124</v>
      </c>
      <c r="I21" s="175">
        <f t="shared" si="1"/>
        <v>-96230</v>
      </c>
      <c r="J21" s="140">
        <f>J253</f>
        <v>-118289</v>
      </c>
      <c r="K21" s="140">
        <f>K253</f>
        <v>-126218</v>
      </c>
      <c r="L21" s="140">
        <f>L253</f>
        <v>-9314</v>
      </c>
      <c r="M21" s="175">
        <f t="shared" si="2"/>
        <v>-253821</v>
      </c>
      <c r="N21" s="140">
        <f>N253</f>
        <v>0</v>
      </c>
      <c r="O21" s="140">
        <f>O253</f>
        <v>0</v>
      </c>
      <c r="P21" s="140">
        <f>P253</f>
        <v>0</v>
      </c>
      <c r="Q21" s="176">
        <f t="shared" si="3"/>
        <v>0</v>
      </c>
      <c r="R21" s="175">
        <f t="shared" si="4"/>
        <v>-350051</v>
      </c>
    </row>
    <row r="22" spans="1:20" ht="15.75" customHeight="1" thickBot="1" x14ac:dyDescent="0.4">
      <c r="A22" s="179" t="s">
        <v>33</v>
      </c>
      <c r="B22" s="180">
        <f>(B31)</f>
        <v>172706</v>
      </c>
      <c r="C22" s="180">
        <f>(C31)</f>
        <v>160469</v>
      </c>
      <c r="D22" s="180">
        <f>(D31)</f>
        <v>180951</v>
      </c>
      <c r="E22" s="181">
        <f t="shared" si="0"/>
        <v>514126</v>
      </c>
      <c r="F22" s="180">
        <f>(F31)</f>
        <v>173713</v>
      </c>
      <c r="G22" s="180">
        <f>(G31)</f>
        <v>164967</v>
      </c>
      <c r="H22" s="180">
        <f>(H31)</f>
        <v>96957</v>
      </c>
      <c r="I22" s="181">
        <f t="shared" si="1"/>
        <v>435637</v>
      </c>
      <c r="J22" s="180">
        <f>(J31)</f>
        <v>76069</v>
      </c>
      <c r="K22" s="180">
        <f>(K31)</f>
        <v>71557</v>
      </c>
      <c r="L22" s="180">
        <f>(L31)</f>
        <v>143425</v>
      </c>
      <c r="M22" s="181">
        <f t="shared" si="2"/>
        <v>291051</v>
      </c>
      <c r="N22" s="180">
        <f>(N31)</f>
        <v>135867</v>
      </c>
      <c r="O22" s="180">
        <f>(O31)</f>
        <v>138591</v>
      </c>
      <c r="P22" s="180">
        <f>(P31)</f>
        <v>150142</v>
      </c>
      <c r="Q22" s="182">
        <f t="shared" si="3"/>
        <v>424600</v>
      </c>
      <c r="R22" s="181">
        <f t="shared" si="4"/>
        <v>1665414</v>
      </c>
      <c r="S22" s="4" t="s">
        <v>519</v>
      </c>
      <c r="T22" s="4" t="s">
        <v>520</v>
      </c>
    </row>
    <row r="23" spans="1:20" ht="15.75" customHeight="1" thickBot="1" x14ac:dyDescent="0.4">
      <c r="A23" s="183" t="s">
        <v>36</v>
      </c>
      <c r="B23" s="184">
        <v>171343</v>
      </c>
      <c r="C23" s="184">
        <v>162340</v>
      </c>
      <c r="D23" s="184">
        <v>180297</v>
      </c>
      <c r="E23" s="181">
        <f t="shared" si="0"/>
        <v>513980</v>
      </c>
      <c r="F23" s="184">
        <v>172325</v>
      </c>
      <c r="G23" s="184">
        <v>164730</v>
      </c>
      <c r="H23" s="184">
        <v>93568</v>
      </c>
      <c r="I23" s="181">
        <f t="shared" si="1"/>
        <v>430623</v>
      </c>
      <c r="J23" s="184">
        <v>74956</v>
      </c>
      <c r="K23" s="184">
        <v>70375</v>
      </c>
      <c r="L23" s="184">
        <v>143343</v>
      </c>
      <c r="M23" s="181">
        <f t="shared" si="2"/>
        <v>288674</v>
      </c>
      <c r="N23" s="184">
        <v>133109</v>
      </c>
      <c r="O23" s="184">
        <v>143938</v>
      </c>
      <c r="P23" s="185">
        <v>149484</v>
      </c>
      <c r="Q23" s="182">
        <f t="shared" si="3"/>
        <v>426531</v>
      </c>
      <c r="R23" s="181">
        <f t="shared" si="4"/>
        <v>1659808</v>
      </c>
      <c r="T23" s="4" t="s">
        <v>521</v>
      </c>
    </row>
    <row r="24" spans="1:20" ht="15.75" customHeight="1" thickBot="1" x14ac:dyDescent="0.4">
      <c r="A24" s="140"/>
      <c r="B24" s="140"/>
      <c r="C24" s="140"/>
      <c r="D24" s="140"/>
      <c r="E24" s="140"/>
      <c r="F24" s="186" t="s">
        <v>7</v>
      </c>
      <c r="G24" s="186" t="s">
        <v>7</v>
      </c>
      <c r="H24" s="140"/>
      <c r="I24" s="140"/>
      <c r="J24" s="140"/>
      <c r="K24" s="140"/>
      <c r="L24" s="140"/>
      <c r="M24" s="140"/>
      <c r="N24" s="186" t="s">
        <v>7</v>
      </c>
      <c r="O24" s="186" t="s">
        <v>7</v>
      </c>
      <c r="P24" s="186" t="s">
        <v>7</v>
      </c>
      <c r="Q24" s="186"/>
      <c r="R24" s="139" t="s">
        <v>7</v>
      </c>
    </row>
    <row r="25" spans="1:20" ht="15.75" customHeight="1" thickBot="1" x14ac:dyDescent="0.4">
      <c r="A25" s="187" t="s">
        <v>39</v>
      </c>
      <c r="B25" s="188" t="s">
        <v>8</v>
      </c>
      <c r="C25" s="189" t="s">
        <v>9</v>
      </c>
      <c r="D25" s="189" t="s">
        <v>10</v>
      </c>
      <c r="E25" s="10" t="s">
        <v>11</v>
      </c>
      <c r="F25" s="189" t="s">
        <v>12</v>
      </c>
      <c r="G25" s="189" t="s">
        <v>13</v>
      </c>
      <c r="H25" s="189" t="s">
        <v>14</v>
      </c>
      <c r="I25" s="190" t="s">
        <v>15</v>
      </c>
      <c r="J25" s="189" t="s">
        <v>16</v>
      </c>
      <c r="K25" s="189" t="s">
        <v>17</v>
      </c>
      <c r="L25" s="189" t="s">
        <v>18</v>
      </c>
      <c r="M25" s="190" t="s">
        <v>19</v>
      </c>
      <c r="N25" s="189" t="s">
        <v>20</v>
      </c>
      <c r="O25" s="189" t="s">
        <v>21</v>
      </c>
      <c r="P25" s="189" t="s">
        <v>22</v>
      </c>
      <c r="Q25" s="190" t="s">
        <v>23</v>
      </c>
      <c r="R25" s="191" t="s">
        <v>24</v>
      </c>
    </row>
    <row r="26" spans="1:20" ht="15.75" customHeight="1" thickBot="1" x14ac:dyDescent="0.4">
      <c r="A26" s="192"/>
      <c r="B26" s="193"/>
      <c r="C26" s="193"/>
      <c r="D26" s="193"/>
      <c r="E26" s="194"/>
      <c r="F26" s="193"/>
      <c r="G26" s="193"/>
      <c r="H26" s="193"/>
      <c r="I26" s="194"/>
      <c r="J26" s="193"/>
      <c r="K26" s="193"/>
      <c r="L26" s="193"/>
      <c r="M26" s="194"/>
      <c r="N26" s="193"/>
      <c r="O26" s="193"/>
      <c r="P26" s="193"/>
      <c r="Q26" s="194"/>
      <c r="R26" s="195"/>
    </row>
    <row r="27" spans="1:20" ht="15.75" customHeight="1" thickBot="1" x14ac:dyDescent="0.4">
      <c r="A27" s="196" t="s">
        <v>40</v>
      </c>
      <c r="B27" s="180">
        <v>97</v>
      </c>
      <c r="C27" s="180">
        <v>148</v>
      </c>
      <c r="D27" s="180">
        <v>274</v>
      </c>
      <c r="E27" s="197">
        <f>SUM(B27:D27)</f>
        <v>519</v>
      </c>
      <c r="F27" s="180">
        <v>367</v>
      </c>
      <c r="G27" s="180">
        <v>425</v>
      </c>
      <c r="H27" s="180">
        <v>417</v>
      </c>
      <c r="I27" s="197">
        <f>SUM(F27:H27)</f>
        <v>1209</v>
      </c>
      <c r="J27" s="180">
        <v>416</v>
      </c>
      <c r="K27" s="180">
        <v>334</v>
      </c>
      <c r="L27" s="180">
        <v>316</v>
      </c>
      <c r="M27" s="197">
        <f>SUM(J27:L27)</f>
        <v>1066</v>
      </c>
      <c r="N27" s="180">
        <v>285</v>
      </c>
      <c r="O27" s="180">
        <v>235</v>
      </c>
      <c r="P27" s="180">
        <v>186</v>
      </c>
      <c r="Q27" s="197">
        <f>SUM(N27:P27)</f>
        <v>706</v>
      </c>
      <c r="R27" s="181">
        <f>+E27+I27+M27+Q27</f>
        <v>3500</v>
      </c>
    </row>
    <row r="28" spans="1:20" ht="15.75" customHeight="1" thickBot="1" x14ac:dyDescent="0.4">
      <c r="A28" s="198"/>
      <c r="B28" s="193"/>
      <c r="C28" s="193"/>
      <c r="D28" s="193"/>
      <c r="E28" s="199"/>
      <c r="F28" s="193"/>
      <c r="G28" s="193"/>
      <c r="H28" s="193"/>
      <c r="I28" s="199"/>
      <c r="J28" s="193"/>
      <c r="K28" s="193"/>
      <c r="L28" s="193"/>
      <c r="M28" s="199"/>
      <c r="N28" s="193"/>
      <c r="O28" s="193"/>
      <c r="P28" s="193"/>
      <c r="Q28" s="199"/>
      <c r="R28" s="200"/>
    </row>
    <row r="29" spans="1:20" ht="15.75" customHeight="1" x14ac:dyDescent="0.35">
      <c r="A29" s="174" t="s">
        <v>41</v>
      </c>
      <c r="B29" s="140">
        <f>B27</f>
        <v>97</v>
      </c>
      <c r="C29" s="140">
        <f>C27</f>
        <v>148</v>
      </c>
      <c r="D29" s="140">
        <f>D27</f>
        <v>274</v>
      </c>
      <c r="E29" s="197">
        <f>SUM(B29:D29)</f>
        <v>519</v>
      </c>
      <c r="F29" s="140">
        <f>F27</f>
        <v>367</v>
      </c>
      <c r="G29" s="140">
        <f>G27</f>
        <v>425</v>
      </c>
      <c r="H29" s="140">
        <f>H27</f>
        <v>417</v>
      </c>
      <c r="I29" s="197">
        <f>SUM(F29:H29)</f>
        <v>1209</v>
      </c>
      <c r="J29" s="140">
        <f>J27</f>
        <v>416</v>
      </c>
      <c r="K29" s="140">
        <f>K27</f>
        <v>334</v>
      </c>
      <c r="L29" s="140">
        <f>L27</f>
        <v>316</v>
      </c>
      <c r="M29" s="197">
        <f>SUM(J29:L29)</f>
        <v>1066</v>
      </c>
      <c r="N29" s="140">
        <f>N27</f>
        <v>285</v>
      </c>
      <c r="O29" s="140">
        <f>O27</f>
        <v>235</v>
      </c>
      <c r="P29" s="140">
        <f>P27</f>
        <v>186</v>
      </c>
      <c r="Q29" s="201">
        <f>SUM(N29:P29)</f>
        <v>706</v>
      </c>
      <c r="R29" s="197">
        <f>+E29+I29+M29+Q29</f>
        <v>3500</v>
      </c>
    </row>
    <row r="30" spans="1:20" ht="15.75" customHeight="1" x14ac:dyDescent="0.35">
      <c r="A30" s="174" t="s">
        <v>42</v>
      </c>
      <c r="B30" s="140">
        <f>(B29/31)/1.983</f>
        <v>1.5779285214647079</v>
      </c>
      <c r="C30" s="140">
        <f>(C29/28)/1.983</f>
        <v>2.6655140119587926</v>
      </c>
      <c r="D30" s="140">
        <f>(D29/31)/1.983</f>
        <v>4.457241390529175</v>
      </c>
      <c r="E30" s="175"/>
      <c r="F30" s="140">
        <f>(F29/30)/1.983</f>
        <v>6.1691040511010247</v>
      </c>
      <c r="G30" s="140">
        <f>(G29/31)/1.983</f>
        <v>6.9136043466237203</v>
      </c>
      <c r="H30" s="140">
        <f>(H29/30)/1.983</f>
        <v>7.0095814422592033</v>
      </c>
      <c r="I30" s="175"/>
      <c r="J30" s="140">
        <f>(J29/31)/1.983</f>
        <v>6.7671986075187478</v>
      </c>
      <c r="K30" s="140">
        <f>(K29/31)/1.983</f>
        <v>5.433279651228994</v>
      </c>
      <c r="L30" s="140">
        <f>(L29/30)/1.983</f>
        <v>5.3118171121196838</v>
      </c>
      <c r="M30" s="175"/>
      <c r="N30" s="140">
        <f>(N29/31)/1.983</f>
        <v>4.6361817383241419</v>
      </c>
      <c r="O30" s="140">
        <f>(O29/30)/1.983</f>
        <v>3.9502437384434357</v>
      </c>
      <c r="P30" s="140">
        <f>(P29/31)/1.983</f>
        <v>3.02571860816944</v>
      </c>
      <c r="Q30" s="176"/>
      <c r="R30" s="175"/>
    </row>
    <row r="31" spans="1:20" ht="15.75" customHeight="1" x14ac:dyDescent="0.35">
      <c r="A31" s="174" t="s">
        <v>43</v>
      </c>
      <c r="B31" s="140">
        <f>B29+B66</f>
        <v>172706</v>
      </c>
      <c r="C31" s="140">
        <f>C29+C66</f>
        <v>160469</v>
      </c>
      <c r="D31" s="140">
        <f>D29+D66</f>
        <v>180951</v>
      </c>
      <c r="E31" s="175">
        <f>SUM(B31:D31)</f>
        <v>514126</v>
      </c>
      <c r="F31" s="140">
        <f>F29+F66</f>
        <v>173713</v>
      </c>
      <c r="G31" s="140">
        <f>G29+G66</f>
        <v>164967</v>
      </c>
      <c r="H31" s="140">
        <f>H29+H66</f>
        <v>96957</v>
      </c>
      <c r="I31" s="175">
        <f>SUM(F31:H31)</f>
        <v>435637</v>
      </c>
      <c r="J31" s="140">
        <f>J29+J66</f>
        <v>76069</v>
      </c>
      <c r="K31" s="140">
        <f>K29+K66</f>
        <v>71557</v>
      </c>
      <c r="L31" s="140">
        <f>L29+L66</f>
        <v>143425</v>
      </c>
      <c r="M31" s="175">
        <f>SUM(J31:L31)</f>
        <v>291051</v>
      </c>
      <c r="N31" s="140">
        <f>N29+N66</f>
        <v>135867</v>
      </c>
      <c r="O31" s="140">
        <f>O29+O66</f>
        <v>138591</v>
      </c>
      <c r="P31" s="140">
        <f>P29+P66</f>
        <v>150142</v>
      </c>
      <c r="Q31" s="176">
        <f>SUM(N31:P31)</f>
        <v>424600</v>
      </c>
      <c r="R31" s="175">
        <f>+E31+I31+M31+Q31</f>
        <v>1665414</v>
      </c>
    </row>
    <row r="32" spans="1:20" ht="15.75" customHeight="1" thickBot="1" x14ac:dyDescent="0.4">
      <c r="A32" s="179" t="s">
        <v>44</v>
      </c>
      <c r="B32" s="180">
        <f>(B31/31)/1.983</f>
        <v>2809.4610642070502</v>
      </c>
      <c r="C32" s="180">
        <f>(C31/28)/1.983</f>
        <v>2890.0835674663208</v>
      </c>
      <c r="D32" s="180">
        <f>(D31/31)/1.983</f>
        <v>2943.5849885315502</v>
      </c>
      <c r="E32" s="181"/>
      <c r="F32" s="180">
        <f>(F31/30)/1.983</f>
        <v>2920.0369810052107</v>
      </c>
      <c r="G32" s="180">
        <f>(G31/31)/1.983</f>
        <v>2683.5683958811187</v>
      </c>
      <c r="H32" s="180">
        <f>(H31/30)/1.983</f>
        <v>1629.8033282904689</v>
      </c>
      <c r="I32" s="181"/>
      <c r="J32" s="180">
        <f>(J31/31)/1.983</f>
        <v>1237.4375742195762</v>
      </c>
      <c r="K32" s="180">
        <f>(K31/31)/1.983</f>
        <v>1164.0394970149498</v>
      </c>
      <c r="L32" s="180">
        <f>(L31/30)/1.983</f>
        <v>2410.9093965372331</v>
      </c>
      <c r="M32" s="181"/>
      <c r="N32" s="180">
        <f>(N31/31)/1.983</f>
        <v>2210.1898394417062</v>
      </c>
      <c r="O32" s="180">
        <f>(O31/30)/1.983</f>
        <v>2329.6520423600605</v>
      </c>
      <c r="P32" s="180">
        <f>(P31/31)/1.983</f>
        <v>2442.4056089665378</v>
      </c>
      <c r="Q32" s="182"/>
      <c r="R32" s="181"/>
    </row>
    <row r="33" spans="1:18" ht="15.75" customHeight="1" x14ac:dyDescent="0.35">
      <c r="A33" s="141"/>
      <c r="B33" s="140"/>
      <c r="C33" s="140"/>
      <c r="D33" s="140"/>
      <c r="E33" s="140"/>
      <c r="F33" s="140"/>
      <c r="G33" s="140"/>
      <c r="H33" s="140"/>
      <c r="I33" s="140"/>
      <c r="J33" s="140"/>
      <c r="K33" s="140"/>
      <c r="L33" s="140"/>
      <c r="M33" s="140"/>
      <c r="N33" s="140"/>
      <c r="O33" s="140"/>
      <c r="P33" s="140"/>
      <c r="Q33" s="140"/>
      <c r="R33" s="141"/>
    </row>
    <row r="34" spans="1:18" ht="15.75" customHeight="1" thickBot="1" x14ac:dyDescent="0.4">
      <c r="A34" s="141"/>
      <c r="B34" s="140"/>
      <c r="C34" s="140"/>
      <c r="D34" s="140"/>
      <c r="E34" s="140"/>
      <c r="F34" s="140"/>
      <c r="G34" s="140"/>
      <c r="H34" s="140"/>
      <c r="I34" s="140"/>
      <c r="J34" s="140"/>
      <c r="K34" s="140"/>
      <c r="L34" s="140"/>
      <c r="M34" s="140"/>
      <c r="N34" s="140"/>
      <c r="O34" s="140"/>
      <c r="P34" s="140"/>
      <c r="Q34" s="140"/>
      <c r="R34" s="141"/>
    </row>
    <row r="35" spans="1:18" ht="15.75" customHeight="1" thickBot="1" x14ac:dyDescent="0.4">
      <c r="A35" s="202" t="s">
        <v>47</v>
      </c>
      <c r="B35" s="203" t="s">
        <v>8</v>
      </c>
      <c r="C35" s="9" t="s">
        <v>9</v>
      </c>
      <c r="D35" s="9" t="s">
        <v>10</v>
      </c>
      <c r="E35" s="10" t="s">
        <v>11</v>
      </c>
      <c r="F35" s="9" t="s">
        <v>12</v>
      </c>
      <c r="G35" s="9" t="s">
        <v>13</v>
      </c>
      <c r="H35" s="9" t="s">
        <v>14</v>
      </c>
      <c r="I35" s="10" t="s">
        <v>15</v>
      </c>
      <c r="J35" s="9" t="s">
        <v>16</v>
      </c>
      <c r="K35" s="9" t="s">
        <v>17</v>
      </c>
      <c r="L35" s="9" t="s">
        <v>18</v>
      </c>
      <c r="M35" s="10" t="s">
        <v>19</v>
      </c>
      <c r="N35" s="9" t="s">
        <v>20</v>
      </c>
      <c r="O35" s="9" t="s">
        <v>21</v>
      </c>
      <c r="P35" s="9" t="s">
        <v>22</v>
      </c>
      <c r="Q35" s="10" t="s">
        <v>23</v>
      </c>
      <c r="R35" s="11" t="s">
        <v>24</v>
      </c>
    </row>
    <row r="36" spans="1:18" ht="15.75" customHeight="1" thickBot="1" x14ac:dyDescent="0.4">
      <c r="A36" s="199"/>
      <c r="B36" s="204"/>
      <c r="C36" s="13"/>
      <c r="D36" s="13"/>
      <c r="E36" s="14"/>
      <c r="F36" s="13"/>
      <c r="G36" s="13"/>
      <c r="H36" s="13"/>
      <c r="I36" s="14"/>
      <c r="J36" s="13"/>
      <c r="K36" s="13"/>
      <c r="L36" s="13"/>
      <c r="M36" s="14"/>
      <c r="N36" s="13"/>
      <c r="O36" s="13"/>
      <c r="P36" s="13"/>
      <c r="Q36" s="14"/>
      <c r="R36" s="205"/>
    </row>
    <row r="37" spans="1:18" ht="15.75" customHeight="1" x14ac:dyDescent="0.35">
      <c r="A37" s="206" t="s">
        <v>48</v>
      </c>
      <c r="B37" s="139"/>
      <c r="C37" s="139"/>
      <c r="D37" s="139"/>
      <c r="E37" s="207" t="s">
        <v>7</v>
      </c>
      <c r="F37" s="139"/>
      <c r="G37" s="139"/>
      <c r="H37" s="139"/>
      <c r="I37" s="207" t="s">
        <v>7</v>
      </c>
      <c r="J37" s="139"/>
      <c r="K37" s="139"/>
      <c r="L37" s="139"/>
      <c r="M37" s="207" t="s">
        <v>7</v>
      </c>
      <c r="N37" s="139"/>
      <c r="O37" s="139"/>
      <c r="P37" s="139"/>
      <c r="Q37" s="207" t="s">
        <v>7</v>
      </c>
      <c r="R37" s="207" t="s">
        <v>7</v>
      </c>
    </row>
    <row r="38" spans="1:18" ht="15.75" customHeight="1" x14ac:dyDescent="0.35">
      <c r="A38" s="177" t="s">
        <v>49</v>
      </c>
      <c r="B38" s="139" t="s">
        <v>7</v>
      </c>
      <c r="C38" s="208"/>
      <c r="D38" s="208"/>
      <c r="E38" s="207" t="s">
        <v>7</v>
      </c>
      <c r="F38" s="208"/>
      <c r="G38" s="208"/>
      <c r="H38" s="208"/>
      <c r="I38" s="207" t="s">
        <v>7</v>
      </c>
      <c r="J38" s="208"/>
      <c r="K38" s="208"/>
      <c r="L38" s="208"/>
      <c r="M38" s="207" t="s">
        <v>7</v>
      </c>
      <c r="N38" s="208"/>
      <c r="O38" s="208"/>
      <c r="P38" s="208"/>
      <c r="Q38" s="207" t="s">
        <v>7</v>
      </c>
      <c r="R38" s="207" t="s">
        <v>7</v>
      </c>
    </row>
    <row r="39" spans="1:18" ht="15.75" customHeight="1" x14ac:dyDescent="0.35">
      <c r="A39" s="177" t="s">
        <v>50</v>
      </c>
      <c r="B39" s="139"/>
      <c r="C39" s="139"/>
      <c r="D39" s="139"/>
      <c r="E39" s="207" t="s">
        <v>7</v>
      </c>
      <c r="F39" s="139"/>
      <c r="G39" s="139"/>
      <c r="H39" s="139"/>
      <c r="I39" s="207" t="s">
        <v>7</v>
      </c>
      <c r="J39" s="139"/>
      <c r="K39" s="139"/>
      <c r="L39" s="139"/>
      <c r="M39" s="207" t="s">
        <v>7</v>
      </c>
      <c r="N39" s="139"/>
      <c r="O39" s="139"/>
      <c r="P39" s="139"/>
      <c r="Q39" s="207" t="s">
        <v>7</v>
      </c>
      <c r="R39" s="207" t="s">
        <v>7</v>
      </c>
    </row>
    <row r="40" spans="1:18" ht="15.75" customHeight="1" x14ac:dyDescent="0.35">
      <c r="A40" s="177" t="s">
        <v>51</v>
      </c>
      <c r="B40" s="139"/>
      <c r="C40" s="139"/>
      <c r="D40" s="139"/>
      <c r="E40" s="207" t="s">
        <v>52</v>
      </c>
      <c r="F40" s="139"/>
      <c r="G40" s="139"/>
      <c r="H40" s="139"/>
      <c r="I40" s="207" t="s">
        <v>52</v>
      </c>
      <c r="J40" s="139"/>
      <c r="K40" s="139"/>
      <c r="L40" s="139"/>
      <c r="M40" s="207" t="s">
        <v>52</v>
      </c>
      <c r="N40" s="139"/>
      <c r="O40" s="139"/>
      <c r="P40" s="139"/>
      <c r="Q40" s="207" t="s">
        <v>52</v>
      </c>
      <c r="R40" s="207" t="s">
        <v>52</v>
      </c>
    </row>
    <row r="41" spans="1:18" ht="15.75" customHeight="1" thickBot="1" x14ac:dyDescent="0.4">
      <c r="A41" s="177" t="s">
        <v>53</v>
      </c>
      <c r="B41" s="208"/>
      <c r="C41" s="208"/>
      <c r="D41" s="208"/>
      <c r="E41" s="207" t="s">
        <v>7</v>
      </c>
      <c r="F41" s="208"/>
      <c r="G41" s="208"/>
      <c r="H41" s="208"/>
      <c r="I41" s="207" t="s">
        <v>7</v>
      </c>
      <c r="J41" s="208"/>
      <c r="K41" s="208"/>
      <c r="L41" s="208"/>
      <c r="M41" s="207" t="s">
        <v>7</v>
      </c>
      <c r="N41" s="208"/>
      <c r="O41" s="208"/>
      <c r="P41" s="208"/>
      <c r="Q41" s="207" t="s">
        <v>7</v>
      </c>
      <c r="R41" s="207" t="s">
        <v>7</v>
      </c>
    </row>
    <row r="42" spans="1:18" ht="15.75" customHeight="1" thickBot="1" x14ac:dyDescent="0.4">
      <c r="A42" s="209" t="s">
        <v>54</v>
      </c>
      <c r="B42" s="210">
        <f>SUM(B37:B41)</f>
        <v>0</v>
      </c>
      <c r="C42" s="210">
        <f>SUM(C37:C41)</f>
        <v>0</v>
      </c>
      <c r="D42" s="210">
        <f>SUM(D37:D41)</f>
        <v>0</v>
      </c>
      <c r="E42" s="211">
        <f>SUM(B42:D42)</f>
        <v>0</v>
      </c>
      <c r="F42" s="210">
        <f>SUM(F37:F41)</f>
        <v>0</v>
      </c>
      <c r="G42" s="210">
        <f>SUM(G37:G41)</f>
        <v>0</v>
      </c>
      <c r="H42" s="210">
        <f>SUM(H37:H41)</f>
        <v>0</v>
      </c>
      <c r="I42" s="211">
        <f>SUM(F42:H42)</f>
        <v>0</v>
      </c>
      <c r="J42" s="210">
        <f>SUM(J37:J41)</f>
        <v>0</v>
      </c>
      <c r="K42" s="210">
        <f>SUM(K37:K41)</f>
        <v>0</v>
      </c>
      <c r="L42" s="210">
        <f>SUM(L37:L41)</f>
        <v>0</v>
      </c>
      <c r="M42" s="211">
        <f>SUM(J42:L42)</f>
        <v>0</v>
      </c>
      <c r="N42" s="210">
        <f>SUM(N37:N41)</f>
        <v>0</v>
      </c>
      <c r="O42" s="210">
        <f>SUM(O37:O41)</f>
        <v>0</v>
      </c>
      <c r="P42" s="210">
        <f>SUM(P37:P41)</f>
        <v>0</v>
      </c>
      <c r="Q42" s="211">
        <f>SUM(N42:P42)</f>
        <v>0</v>
      </c>
      <c r="R42" s="211">
        <f>+E42+I42+M42+Q42</f>
        <v>0</v>
      </c>
    </row>
    <row r="43" spans="1:18" ht="15.75" customHeight="1" x14ac:dyDescent="0.35">
      <c r="A43" s="177" t="s">
        <v>55</v>
      </c>
      <c r="B43" s="208"/>
      <c r="C43" s="208"/>
      <c r="D43" s="208"/>
      <c r="E43" s="207" t="s">
        <v>7</v>
      </c>
      <c r="F43" s="208"/>
      <c r="G43" s="208"/>
      <c r="H43" s="208"/>
      <c r="I43" s="207" t="s">
        <v>7</v>
      </c>
      <c r="J43" s="208"/>
      <c r="K43" s="208"/>
      <c r="L43" s="208"/>
      <c r="M43" s="207" t="s">
        <v>7</v>
      </c>
      <c r="N43" s="208"/>
      <c r="O43" s="208"/>
      <c r="P43" s="208"/>
      <c r="Q43" s="207" t="s">
        <v>7</v>
      </c>
      <c r="R43" s="212" t="s">
        <v>7</v>
      </c>
    </row>
    <row r="44" spans="1:18" ht="15.75" customHeight="1" x14ac:dyDescent="0.35">
      <c r="A44" s="177" t="s">
        <v>56</v>
      </c>
      <c r="B44" s="208"/>
      <c r="C44" s="208"/>
      <c r="D44" s="208"/>
      <c r="E44" s="207"/>
      <c r="F44" s="208"/>
      <c r="G44" s="208"/>
      <c r="H44" s="208"/>
      <c r="I44" s="207"/>
      <c r="J44" s="208"/>
      <c r="K44" s="208"/>
      <c r="L44" s="208"/>
      <c r="M44" s="207"/>
      <c r="N44" s="208"/>
      <c r="O44" s="208"/>
      <c r="P44" s="208"/>
      <c r="Q44" s="207"/>
      <c r="R44" s="207"/>
    </row>
    <row r="45" spans="1:18" ht="15.75" customHeight="1" x14ac:dyDescent="0.35">
      <c r="A45" s="177" t="s">
        <v>57</v>
      </c>
      <c r="B45" s="208"/>
      <c r="C45" s="208"/>
      <c r="D45" s="208"/>
      <c r="E45" s="207" t="s">
        <v>7</v>
      </c>
      <c r="F45" s="208"/>
      <c r="G45" s="208"/>
      <c r="H45" s="208"/>
      <c r="I45" s="207" t="s">
        <v>7</v>
      </c>
      <c r="J45" s="208"/>
      <c r="K45" s="208"/>
      <c r="L45" s="208"/>
      <c r="M45" s="207" t="s">
        <v>7</v>
      </c>
      <c r="N45" s="208"/>
      <c r="O45" s="208"/>
      <c r="P45" s="208"/>
      <c r="Q45" s="207" t="s">
        <v>7</v>
      </c>
      <c r="R45" s="207" t="s">
        <v>7</v>
      </c>
    </row>
    <row r="46" spans="1:18" ht="15.75" customHeight="1" thickBot="1" x14ac:dyDescent="0.4">
      <c r="A46" s="177" t="s">
        <v>58</v>
      </c>
      <c r="B46" s="208"/>
      <c r="C46" s="208"/>
      <c r="D46" s="208"/>
      <c r="E46" s="207" t="s">
        <v>7</v>
      </c>
      <c r="F46" s="208"/>
      <c r="G46" s="208"/>
      <c r="H46" s="208"/>
      <c r="I46" s="207" t="s">
        <v>7</v>
      </c>
      <c r="J46" s="208"/>
      <c r="K46" s="208"/>
      <c r="L46" s="208"/>
      <c r="M46" s="207" t="s">
        <v>7</v>
      </c>
      <c r="N46" s="208"/>
      <c r="O46" s="208"/>
      <c r="P46" s="208"/>
      <c r="Q46" s="207" t="s">
        <v>7</v>
      </c>
      <c r="R46" s="207" t="s">
        <v>7</v>
      </c>
    </row>
    <row r="47" spans="1:18" ht="15.75" customHeight="1" thickBot="1" x14ac:dyDescent="0.4">
      <c r="A47" s="209" t="s">
        <v>59</v>
      </c>
      <c r="B47" s="210">
        <f>SUM(B43:B46)</f>
        <v>0</v>
      </c>
      <c r="C47" s="210">
        <f>SUM(C43:C46)</f>
        <v>0</v>
      </c>
      <c r="D47" s="210">
        <f>SUM(D43:D46)</f>
        <v>0</v>
      </c>
      <c r="E47" s="211">
        <f>SUM(B47:D47)</f>
        <v>0</v>
      </c>
      <c r="F47" s="210">
        <f>SUM(F43:F46)</f>
        <v>0</v>
      </c>
      <c r="G47" s="210">
        <f>SUM(G43:G46)</f>
        <v>0</v>
      </c>
      <c r="H47" s="210">
        <f>SUM(H43:H46)</f>
        <v>0</v>
      </c>
      <c r="I47" s="211">
        <f>SUM(F47:H47)</f>
        <v>0</v>
      </c>
      <c r="J47" s="210">
        <f>SUM(J43:J46)</f>
        <v>0</v>
      </c>
      <c r="K47" s="210">
        <f>SUM(K43:K46)</f>
        <v>0</v>
      </c>
      <c r="L47" s="210">
        <f>SUM(L43:L46)</f>
        <v>0</v>
      </c>
      <c r="M47" s="211">
        <f>SUM(J47:L47)</f>
        <v>0</v>
      </c>
      <c r="N47" s="210">
        <f>SUM(N43:N46)</f>
        <v>0</v>
      </c>
      <c r="O47" s="210">
        <f>SUM(O43:O46)</f>
        <v>0</v>
      </c>
      <c r="P47" s="210">
        <f>SUM(P43:P46)</f>
        <v>0</v>
      </c>
      <c r="Q47" s="211">
        <f>SUM(N47:P47)</f>
        <v>0</v>
      </c>
      <c r="R47" s="211">
        <f>+E47+I47+M47+Q47</f>
        <v>0</v>
      </c>
    </row>
    <row r="48" spans="1:18" ht="15.75" customHeight="1" x14ac:dyDescent="0.35">
      <c r="A48" s="177" t="s">
        <v>60</v>
      </c>
      <c r="B48" s="208"/>
      <c r="C48" s="208"/>
      <c r="D48" s="208"/>
      <c r="E48" s="207" t="s">
        <v>7</v>
      </c>
      <c r="F48" s="208"/>
      <c r="G48" s="208"/>
      <c r="H48" s="208"/>
      <c r="I48" s="207" t="s">
        <v>7</v>
      </c>
      <c r="J48" s="208"/>
      <c r="K48" s="208"/>
      <c r="L48" s="208"/>
      <c r="M48" s="207" t="s">
        <v>7</v>
      </c>
      <c r="N48" s="208"/>
      <c r="O48" s="208"/>
      <c r="P48" s="208"/>
      <c r="Q48" s="207" t="s">
        <v>7</v>
      </c>
      <c r="R48" s="207" t="s">
        <v>7</v>
      </c>
    </row>
    <row r="49" spans="1:18" ht="15.75" customHeight="1" x14ac:dyDescent="0.35">
      <c r="A49" s="177" t="s">
        <v>61</v>
      </c>
      <c r="B49" s="208"/>
      <c r="C49" s="208"/>
      <c r="D49" s="208"/>
      <c r="E49" s="207" t="s">
        <v>7</v>
      </c>
      <c r="F49" s="208"/>
      <c r="G49" s="208"/>
      <c r="H49" s="208"/>
      <c r="I49" s="207" t="s">
        <v>7</v>
      </c>
      <c r="J49" s="208"/>
      <c r="K49" s="208"/>
      <c r="L49" s="208"/>
      <c r="M49" s="207" t="s">
        <v>7</v>
      </c>
      <c r="N49" s="208"/>
      <c r="O49" s="208"/>
      <c r="P49" s="208"/>
      <c r="Q49" s="207" t="s">
        <v>7</v>
      </c>
      <c r="R49" s="207" t="s">
        <v>7</v>
      </c>
    </row>
    <row r="50" spans="1:18" ht="15.75" customHeight="1" thickBot="1" x14ac:dyDescent="0.4">
      <c r="A50" s="177" t="s">
        <v>62</v>
      </c>
      <c r="B50" s="208"/>
      <c r="C50" s="208"/>
      <c r="D50" s="208"/>
      <c r="E50" s="207"/>
      <c r="F50" s="208"/>
      <c r="G50" s="208"/>
      <c r="H50" s="208"/>
      <c r="I50" s="207"/>
      <c r="J50" s="208"/>
      <c r="K50" s="208"/>
      <c r="L50" s="208"/>
      <c r="M50" s="207"/>
      <c r="N50" s="208"/>
      <c r="O50" s="208"/>
      <c r="P50" s="208"/>
      <c r="Q50" s="207"/>
      <c r="R50" s="207"/>
    </row>
    <row r="51" spans="1:18" ht="15.75" customHeight="1" thickBot="1" x14ac:dyDescent="0.4">
      <c r="A51" s="209" t="s">
        <v>63</v>
      </c>
      <c r="B51" s="210">
        <f>SUM(B48:B50)</f>
        <v>0</v>
      </c>
      <c r="C51" s="210">
        <f>SUM(C48:C50)</f>
        <v>0</v>
      </c>
      <c r="D51" s="210">
        <f>SUM(D48:D50)</f>
        <v>0</v>
      </c>
      <c r="E51" s="211">
        <f>SUM(B51:D51)</f>
        <v>0</v>
      </c>
      <c r="F51" s="210">
        <f>SUM(F48:F50)</f>
        <v>0</v>
      </c>
      <c r="G51" s="210">
        <f>SUM(G48:G50)</f>
        <v>0</v>
      </c>
      <c r="H51" s="210">
        <f>SUM(H48:H50)</f>
        <v>0</v>
      </c>
      <c r="I51" s="211">
        <f>SUM(F51:H51)</f>
        <v>0</v>
      </c>
      <c r="J51" s="210">
        <f>SUM(J48:J50)</f>
        <v>0</v>
      </c>
      <c r="K51" s="210">
        <f>SUM(K48:K50)</f>
        <v>0</v>
      </c>
      <c r="L51" s="210">
        <f>SUM(L48:L50)</f>
        <v>0</v>
      </c>
      <c r="M51" s="211">
        <f>SUM(J51:L51)</f>
        <v>0</v>
      </c>
      <c r="N51" s="210">
        <f>SUM(N48:N50)</f>
        <v>0</v>
      </c>
      <c r="O51" s="210">
        <f>SUM(O48:O50)</f>
        <v>0</v>
      </c>
      <c r="P51" s="210">
        <f>SUM(P48:P50)</f>
        <v>0</v>
      </c>
      <c r="Q51" s="211">
        <f>SUM(N51:P51)</f>
        <v>0</v>
      </c>
      <c r="R51" s="211">
        <f>+E51+I51+M51+Q51</f>
        <v>0</v>
      </c>
    </row>
    <row r="52" spans="1:18" ht="15.75" customHeight="1" x14ac:dyDescent="0.35">
      <c r="A52" s="177" t="s">
        <v>64</v>
      </c>
      <c r="B52" s="208"/>
      <c r="C52" s="208"/>
      <c r="D52" s="208"/>
      <c r="E52" s="207" t="s">
        <v>7</v>
      </c>
      <c r="F52" s="208"/>
      <c r="G52" s="208"/>
      <c r="H52" s="208"/>
      <c r="I52" s="207" t="s">
        <v>7</v>
      </c>
      <c r="J52" s="208"/>
      <c r="K52" s="208"/>
      <c r="L52" s="208"/>
      <c r="M52" s="207" t="s">
        <v>7</v>
      </c>
      <c r="N52" s="208"/>
      <c r="O52" s="208"/>
      <c r="P52" s="208"/>
      <c r="Q52" s="207" t="s">
        <v>7</v>
      </c>
      <c r="R52" s="207" t="s">
        <v>7</v>
      </c>
    </row>
    <row r="53" spans="1:18" ht="15.75" customHeight="1" x14ac:dyDescent="0.35">
      <c r="A53" s="177" t="s">
        <v>65</v>
      </c>
      <c r="B53" s="208"/>
      <c r="C53" s="208"/>
      <c r="D53" s="208"/>
      <c r="E53" s="207" t="s">
        <v>7</v>
      </c>
      <c r="F53" s="208"/>
      <c r="G53" s="208"/>
      <c r="H53" s="208"/>
      <c r="I53" s="207" t="s">
        <v>7</v>
      </c>
      <c r="J53" s="208"/>
      <c r="K53" s="208"/>
      <c r="L53" s="208"/>
      <c r="M53" s="207" t="s">
        <v>7</v>
      </c>
      <c r="N53" s="208"/>
      <c r="O53" s="208"/>
      <c r="P53" s="208"/>
      <c r="Q53" s="207" t="s">
        <v>7</v>
      </c>
      <c r="R53" s="207" t="s">
        <v>7</v>
      </c>
    </row>
    <row r="54" spans="1:18" ht="15.75" customHeight="1" x14ac:dyDescent="0.35">
      <c r="A54" s="213" t="s">
        <v>66</v>
      </c>
      <c r="B54" s="140">
        <v>0</v>
      </c>
      <c r="C54" s="140">
        <v>0</v>
      </c>
      <c r="D54" s="140">
        <v>0</v>
      </c>
      <c r="E54" s="207">
        <f>SUM(B54:D54)</f>
        <v>0</v>
      </c>
      <c r="F54" s="140">
        <v>0</v>
      </c>
      <c r="G54" s="140">
        <v>0</v>
      </c>
      <c r="H54" s="140">
        <v>0</v>
      </c>
      <c r="I54" s="207">
        <f>SUM(F54:H54)</f>
        <v>0</v>
      </c>
      <c r="J54" s="140">
        <v>0</v>
      </c>
      <c r="K54" s="140">
        <v>0</v>
      </c>
      <c r="L54" s="140">
        <v>0</v>
      </c>
      <c r="M54" s="207">
        <f>SUM(J54:L54)</f>
        <v>0</v>
      </c>
      <c r="N54" s="140">
        <v>0</v>
      </c>
      <c r="O54" s="140">
        <v>0</v>
      </c>
      <c r="P54" s="140">
        <v>0</v>
      </c>
      <c r="Q54" s="207">
        <f>SUM(N54:P54)</f>
        <v>0</v>
      </c>
      <c r="R54" s="207">
        <f>+E54+I54+M54+Q54</f>
        <v>0</v>
      </c>
    </row>
    <row r="55" spans="1:18" ht="15.75" customHeight="1" x14ac:dyDescent="0.35">
      <c r="A55" s="177" t="s">
        <v>67</v>
      </c>
      <c r="B55" s="208"/>
      <c r="C55" s="208"/>
      <c r="D55" s="208"/>
      <c r="E55" s="207" t="s">
        <v>7</v>
      </c>
      <c r="F55" s="208"/>
      <c r="G55" s="208"/>
      <c r="H55" s="208"/>
      <c r="I55" s="207" t="s">
        <v>7</v>
      </c>
      <c r="J55" s="208"/>
      <c r="K55" s="208"/>
      <c r="L55" s="208"/>
      <c r="M55" s="207" t="s">
        <v>7</v>
      </c>
      <c r="N55" s="208"/>
      <c r="O55" s="208"/>
      <c r="P55" s="208"/>
      <c r="Q55" s="207" t="s">
        <v>7</v>
      </c>
      <c r="R55" s="207" t="s">
        <v>7</v>
      </c>
    </row>
    <row r="56" spans="1:18" ht="15.75" customHeight="1" x14ac:dyDescent="0.35">
      <c r="A56" s="213" t="s">
        <v>68</v>
      </c>
      <c r="B56" s="140">
        <v>0</v>
      </c>
      <c r="C56" s="140">
        <v>0</v>
      </c>
      <c r="D56" s="140">
        <v>0</v>
      </c>
      <c r="E56" s="207">
        <f>SUM(B56:D56)</f>
        <v>0</v>
      </c>
      <c r="F56" s="140">
        <v>0</v>
      </c>
      <c r="G56" s="140">
        <v>0</v>
      </c>
      <c r="H56" s="140">
        <v>0</v>
      </c>
      <c r="I56" s="207">
        <f>SUM(F56:H56)</f>
        <v>0</v>
      </c>
      <c r="J56" s="140">
        <v>0</v>
      </c>
      <c r="K56" s="140">
        <v>0</v>
      </c>
      <c r="L56" s="140">
        <v>0</v>
      </c>
      <c r="M56" s="207">
        <f>SUM(J56:L56)</f>
        <v>0</v>
      </c>
      <c r="N56" s="140">
        <v>0</v>
      </c>
      <c r="O56" s="140">
        <v>0</v>
      </c>
      <c r="P56" s="140">
        <v>0</v>
      </c>
      <c r="Q56" s="207">
        <f>SUM(N56:P56)</f>
        <v>0</v>
      </c>
      <c r="R56" s="207">
        <f>+E56+I56+M56+Q56</f>
        <v>0</v>
      </c>
    </row>
    <row r="57" spans="1:18" ht="15.75" customHeight="1" x14ac:dyDescent="0.35">
      <c r="A57" s="177" t="s">
        <v>69</v>
      </c>
      <c r="B57" s="208"/>
      <c r="C57" s="208"/>
      <c r="D57" s="208"/>
      <c r="E57" s="207" t="s">
        <v>7</v>
      </c>
      <c r="F57" s="208"/>
      <c r="G57" s="208"/>
      <c r="H57" s="208"/>
      <c r="I57" s="207" t="s">
        <v>7</v>
      </c>
      <c r="J57" s="208"/>
      <c r="K57" s="208"/>
      <c r="L57" s="208"/>
      <c r="M57" s="207" t="s">
        <v>7</v>
      </c>
      <c r="N57" s="208"/>
      <c r="O57" s="208"/>
      <c r="P57" s="208"/>
      <c r="Q57" s="207" t="s">
        <v>7</v>
      </c>
      <c r="R57" s="207" t="s">
        <v>7</v>
      </c>
    </row>
    <row r="58" spans="1:18" ht="15.75" customHeight="1" thickBot="1" x14ac:dyDescent="0.4">
      <c r="A58" s="177" t="s">
        <v>70</v>
      </c>
      <c r="B58" s="208"/>
      <c r="C58" s="208"/>
      <c r="D58" s="208"/>
      <c r="E58" s="207" t="s">
        <v>7</v>
      </c>
      <c r="F58" s="208"/>
      <c r="G58" s="208"/>
      <c r="H58" s="208"/>
      <c r="I58" s="207" t="s">
        <v>7</v>
      </c>
      <c r="J58" s="208"/>
      <c r="K58" s="208"/>
      <c r="L58" s="208"/>
      <c r="M58" s="207" t="s">
        <v>7</v>
      </c>
      <c r="N58" s="208"/>
      <c r="O58" s="208"/>
      <c r="P58" s="208"/>
      <c r="Q58" s="207" t="s">
        <v>7</v>
      </c>
      <c r="R58" s="207" t="s">
        <v>7</v>
      </c>
    </row>
    <row r="59" spans="1:18" ht="15.75" customHeight="1" thickBot="1" x14ac:dyDescent="0.4">
      <c r="A59" s="209" t="s">
        <v>71</v>
      </c>
      <c r="B59" s="210">
        <f>SUM(B57:B58)</f>
        <v>0</v>
      </c>
      <c r="C59" s="210">
        <f>SUM(C57:C58)</f>
        <v>0</v>
      </c>
      <c r="D59" s="210">
        <f>SUM(D57:D58)</f>
        <v>0</v>
      </c>
      <c r="E59" s="212">
        <f>SUM(B59:D59)</f>
        <v>0</v>
      </c>
      <c r="F59" s="210">
        <f>SUM(F57:F58)</f>
        <v>0</v>
      </c>
      <c r="G59" s="210">
        <f>SUM(G57:G58)</f>
        <v>0</v>
      </c>
      <c r="H59" s="210">
        <f>SUM(H57:H58)</f>
        <v>0</v>
      </c>
      <c r="I59" s="212">
        <f>SUM(F59:H59)</f>
        <v>0</v>
      </c>
      <c r="J59" s="210">
        <f>SUM(J57:J58)</f>
        <v>0</v>
      </c>
      <c r="K59" s="210">
        <f>SUM(K57:K58)</f>
        <v>0</v>
      </c>
      <c r="L59" s="210">
        <f>SUM(L57:L58)</f>
        <v>0</v>
      </c>
      <c r="M59" s="212">
        <f>SUM(J59:L59)</f>
        <v>0</v>
      </c>
      <c r="N59" s="210">
        <f>SUM(N57:N58)</f>
        <v>0</v>
      </c>
      <c r="O59" s="210">
        <f>SUM(O57:O58)</f>
        <v>0</v>
      </c>
      <c r="P59" s="210">
        <f>SUM(P57:P58)</f>
        <v>0</v>
      </c>
      <c r="Q59" s="212">
        <f>SUM(N59:P59)</f>
        <v>0</v>
      </c>
      <c r="R59" s="211">
        <f>+E59+I59+M59+Q59</f>
        <v>0</v>
      </c>
    </row>
    <row r="60" spans="1:18" ht="15.75" customHeight="1" thickBot="1" x14ac:dyDescent="0.4">
      <c r="A60" s="209" t="s">
        <v>72</v>
      </c>
      <c r="B60" s="210">
        <f>SUM(B52:B58)</f>
        <v>0</v>
      </c>
      <c r="C60" s="210">
        <f>SUM(C52:C58)</f>
        <v>0</v>
      </c>
      <c r="D60" s="210">
        <f>SUM(D52:D58)</f>
        <v>0</v>
      </c>
      <c r="E60" s="212">
        <f>SUM(B60:D60)</f>
        <v>0</v>
      </c>
      <c r="F60" s="210">
        <f>SUM(F52:F58)</f>
        <v>0</v>
      </c>
      <c r="G60" s="210">
        <f>SUM(G52:G58)</f>
        <v>0</v>
      </c>
      <c r="H60" s="210">
        <f>SUM(H52:H58)</f>
        <v>0</v>
      </c>
      <c r="I60" s="212">
        <f>SUM(F60:H60)</f>
        <v>0</v>
      </c>
      <c r="J60" s="210">
        <f>SUM(J52:J58)</f>
        <v>0</v>
      </c>
      <c r="K60" s="210">
        <f>SUM(K52:K58)</f>
        <v>0</v>
      </c>
      <c r="L60" s="210">
        <f>SUM(L52:L58)</f>
        <v>0</v>
      </c>
      <c r="M60" s="212">
        <f>SUM(J60:L60)</f>
        <v>0</v>
      </c>
      <c r="N60" s="210">
        <f>SUM(N52:N58)</f>
        <v>0</v>
      </c>
      <c r="O60" s="210">
        <f>SUM(O52:O58)</f>
        <v>0</v>
      </c>
      <c r="P60" s="210">
        <f>SUM(P52:P58)</f>
        <v>0</v>
      </c>
      <c r="Q60" s="212">
        <f>SUM(N60:P60)</f>
        <v>0</v>
      </c>
      <c r="R60" s="211">
        <f>+E60+I60+M60+Q60</f>
        <v>0</v>
      </c>
    </row>
    <row r="61" spans="1:18" ht="15.75" customHeight="1" thickBot="1" x14ac:dyDescent="0.4">
      <c r="A61" s="209" t="s">
        <v>73</v>
      </c>
      <c r="B61" s="210">
        <f>+B42+B47+B51+B60</f>
        <v>0</v>
      </c>
      <c r="C61" s="210">
        <f>+C42+C47+C51+C60</f>
        <v>0</v>
      </c>
      <c r="D61" s="210">
        <f>+D42+D47+D51+D60</f>
        <v>0</v>
      </c>
      <c r="E61" s="211">
        <f>SUM(B61:D61)</f>
        <v>0</v>
      </c>
      <c r="F61" s="210">
        <f>+F42+F47+F51+F60</f>
        <v>0</v>
      </c>
      <c r="G61" s="210">
        <f>+G42+G47+G51+G60</f>
        <v>0</v>
      </c>
      <c r="H61" s="210">
        <f>+H42+H47+H51+H60</f>
        <v>0</v>
      </c>
      <c r="I61" s="211">
        <f>SUM(F61:H61)</f>
        <v>0</v>
      </c>
      <c r="J61" s="210">
        <f>+J42+J47+J51+J60</f>
        <v>0</v>
      </c>
      <c r="K61" s="210">
        <f>+K42+K47+K51+K60</f>
        <v>0</v>
      </c>
      <c r="L61" s="210">
        <f>+L42+L47+L51+L60</f>
        <v>0</v>
      </c>
      <c r="M61" s="211">
        <f>SUM(J61:L61)</f>
        <v>0</v>
      </c>
      <c r="N61" s="210">
        <f>+N42+N47+N51+N60</f>
        <v>0</v>
      </c>
      <c r="O61" s="210">
        <f>+O42+O47+O51+O60</f>
        <v>0</v>
      </c>
      <c r="P61" s="210">
        <f>+P42+P47+P51+P60</f>
        <v>0</v>
      </c>
      <c r="Q61" s="211">
        <f>SUM(N61:P61)</f>
        <v>0</v>
      </c>
      <c r="R61" s="211">
        <f>+E61+I61+M61+Q61</f>
        <v>0</v>
      </c>
    </row>
    <row r="62" spans="1:18" ht="15.75" customHeight="1" thickBot="1" x14ac:dyDescent="0.4">
      <c r="A62" s="214" t="s">
        <v>40</v>
      </c>
      <c r="B62" s="215">
        <v>96</v>
      </c>
      <c r="C62" s="215">
        <v>145</v>
      </c>
      <c r="D62" s="215">
        <v>261</v>
      </c>
      <c r="E62" s="199">
        <f>SUM(B62:D62)</f>
        <v>502</v>
      </c>
      <c r="F62" s="215">
        <v>350</v>
      </c>
      <c r="G62" s="215">
        <v>402</v>
      </c>
      <c r="H62" s="215">
        <v>396</v>
      </c>
      <c r="I62" s="199">
        <f>SUM(F62:H62)</f>
        <v>1148</v>
      </c>
      <c r="J62" s="215">
        <v>394</v>
      </c>
      <c r="K62" s="215">
        <v>318</v>
      </c>
      <c r="L62" s="215">
        <v>301</v>
      </c>
      <c r="M62" s="199">
        <f>SUM(J62:L62)</f>
        <v>1013</v>
      </c>
      <c r="N62" s="215">
        <v>272</v>
      </c>
      <c r="O62" s="215">
        <v>226</v>
      </c>
      <c r="P62" s="215">
        <v>179</v>
      </c>
      <c r="Q62" s="199">
        <f>SUM(N62:P62)</f>
        <v>677</v>
      </c>
      <c r="R62" s="199">
        <f>+E62+I62+M62+Q62</f>
        <v>3340</v>
      </c>
    </row>
    <row r="63" spans="1:18" ht="15.75" customHeight="1" thickBot="1" x14ac:dyDescent="0.4">
      <c r="A63" s="198"/>
      <c r="B63" s="193"/>
      <c r="C63" s="193"/>
      <c r="D63" s="193"/>
      <c r="E63" s="181"/>
      <c r="F63" s="193"/>
      <c r="G63" s="193"/>
      <c r="H63" s="193"/>
      <c r="I63" s="181"/>
      <c r="J63" s="193"/>
      <c r="K63" s="193"/>
      <c r="L63" s="193"/>
      <c r="M63" s="181"/>
      <c r="N63" s="193"/>
      <c r="O63" s="193"/>
      <c r="P63" s="193"/>
      <c r="Q63" s="181"/>
      <c r="R63" s="198"/>
    </row>
    <row r="64" spans="1:18" ht="15.75" customHeight="1" x14ac:dyDescent="0.35">
      <c r="A64" s="174" t="s">
        <v>41</v>
      </c>
      <c r="B64" s="140">
        <f>+B61+B62</f>
        <v>96</v>
      </c>
      <c r="C64" s="140">
        <f>+C61+C62</f>
        <v>145</v>
      </c>
      <c r="D64" s="140">
        <f>+D61+D62</f>
        <v>261</v>
      </c>
      <c r="E64" s="197">
        <f>SUM(B64:D64)</f>
        <v>502</v>
      </c>
      <c r="F64" s="140">
        <f>+F61+F62</f>
        <v>350</v>
      </c>
      <c r="G64" s="140">
        <f>+G61+G62</f>
        <v>402</v>
      </c>
      <c r="H64" s="140">
        <f>+H61+H62</f>
        <v>396</v>
      </c>
      <c r="I64" s="197">
        <f>SUM(F64:H64)</f>
        <v>1148</v>
      </c>
      <c r="J64" s="140">
        <f>+J61+J62</f>
        <v>394</v>
      </c>
      <c r="K64" s="140">
        <f>+K61+K62</f>
        <v>318</v>
      </c>
      <c r="L64" s="140">
        <f>+L61+L62</f>
        <v>301</v>
      </c>
      <c r="M64" s="197">
        <f>SUM(J64:L64)</f>
        <v>1013</v>
      </c>
      <c r="N64" s="140">
        <f>+N61+N62</f>
        <v>272</v>
      </c>
      <c r="O64" s="140">
        <f>+O61+O62</f>
        <v>226</v>
      </c>
      <c r="P64" s="140">
        <f>+P61+P62</f>
        <v>179</v>
      </c>
      <c r="Q64" s="201">
        <f>SUM(N64:P64)</f>
        <v>677</v>
      </c>
      <c r="R64" s="175">
        <f>+E64+I64+M64+Q64</f>
        <v>3340</v>
      </c>
    </row>
    <row r="65" spans="1:18" ht="15.75" customHeight="1" x14ac:dyDescent="0.35">
      <c r="A65" s="174" t="s">
        <v>42</v>
      </c>
      <c r="B65" s="140">
        <f>(B64/31)/1.983</f>
        <v>1.5616612171197111</v>
      </c>
      <c r="C65" s="140">
        <f>(C64/28)/1.983</f>
        <v>2.6114833225271954</v>
      </c>
      <c r="D65" s="140">
        <f>(D64/31)/1.983</f>
        <v>4.2457664340442145</v>
      </c>
      <c r="E65" s="175"/>
      <c r="F65" s="140">
        <f>(F64/30)/1.983</f>
        <v>5.8833417381072444</v>
      </c>
      <c r="G65" s="140">
        <f>(G64/31)/1.983</f>
        <v>6.5394563466887892</v>
      </c>
      <c r="H65" s="140">
        <f>(H64/30)/1.983</f>
        <v>6.6565809379727678</v>
      </c>
      <c r="I65" s="175"/>
      <c r="J65" s="140">
        <f>(J64/31)/1.983</f>
        <v>6.4093179119288139</v>
      </c>
      <c r="K65" s="140">
        <f>(K64/31)/1.983</f>
        <v>5.1730027817090427</v>
      </c>
      <c r="L65" s="140">
        <f>(L64/30)/1.983</f>
        <v>5.0596738947722306</v>
      </c>
      <c r="M65" s="175"/>
      <c r="N65" s="140">
        <f>(N64/31)/1.983</f>
        <v>4.4247067818391805</v>
      </c>
      <c r="O65" s="140">
        <f>(O64/30)/1.983</f>
        <v>3.7989578080349635</v>
      </c>
      <c r="P65" s="140">
        <f>(P64/31)/1.983</f>
        <v>2.9118474777544612</v>
      </c>
      <c r="Q65" s="176"/>
      <c r="R65" s="216"/>
    </row>
    <row r="66" spans="1:18" ht="15.75" customHeight="1" x14ac:dyDescent="0.35">
      <c r="A66" s="174" t="s">
        <v>74</v>
      </c>
      <c r="B66" s="140">
        <f>B64+B132</f>
        <v>172609</v>
      </c>
      <c r="C66" s="140">
        <f>C64+C132</f>
        <v>160321</v>
      </c>
      <c r="D66" s="140">
        <f>D64+D132</f>
        <v>180677</v>
      </c>
      <c r="E66" s="175">
        <f>SUM(B66:D66)</f>
        <v>513607</v>
      </c>
      <c r="F66" s="140">
        <f>F64+F132</f>
        <v>173346</v>
      </c>
      <c r="G66" s="140">
        <f>G64+G132</f>
        <v>164542</v>
      </c>
      <c r="H66" s="140">
        <f>H64+H132</f>
        <v>96540</v>
      </c>
      <c r="I66" s="175">
        <f>SUM(F66:H66)</f>
        <v>434428</v>
      </c>
      <c r="J66" s="140">
        <f>J64+J132</f>
        <v>75653</v>
      </c>
      <c r="K66" s="140">
        <f>K64+K132</f>
        <v>71223</v>
      </c>
      <c r="L66" s="140">
        <f>L64+L132</f>
        <v>143109</v>
      </c>
      <c r="M66" s="175">
        <f>SUM(J66:L66)</f>
        <v>289985</v>
      </c>
      <c r="N66" s="140">
        <f>N64+N132</f>
        <v>135582</v>
      </c>
      <c r="O66" s="140">
        <f>O64+O132</f>
        <v>138356</v>
      </c>
      <c r="P66" s="140">
        <f>P64+P132</f>
        <v>149956</v>
      </c>
      <c r="Q66" s="176">
        <f>SUM(N66:P66)</f>
        <v>423894</v>
      </c>
      <c r="R66" s="175">
        <f>+E66+I66+M66+Q66</f>
        <v>1661914</v>
      </c>
    </row>
    <row r="67" spans="1:18" ht="15.75" customHeight="1" thickBot="1" x14ac:dyDescent="0.4">
      <c r="A67" s="179" t="s">
        <v>75</v>
      </c>
      <c r="B67" s="180">
        <f>(B66/31)/1.983</f>
        <v>2807.8831356855853</v>
      </c>
      <c r="C67" s="180">
        <f>(C66/28)/1.983</f>
        <v>2887.4180534543621</v>
      </c>
      <c r="D67" s="180">
        <f>(D66/31)/1.983</f>
        <v>2939.1277471410208</v>
      </c>
      <c r="E67" s="181"/>
      <c r="F67" s="180">
        <f>(F66/30)/1.983</f>
        <v>2913.8678769541098</v>
      </c>
      <c r="G67" s="180">
        <f>(G66/31)/1.983</f>
        <v>2676.654791534495</v>
      </c>
      <c r="H67" s="180">
        <f>(H66/30)/1.983</f>
        <v>1622.7937468482096</v>
      </c>
      <c r="I67" s="181"/>
      <c r="J67" s="180">
        <f>(J66/31)/1.983</f>
        <v>1230.6703756120573</v>
      </c>
      <c r="K67" s="180">
        <f>(K66/31)/1.983</f>
        <v>1158.6062173637206</v>
      </c>
      <c r="L67" s="180">
        <f>(L66/30)/1.983</f>
        <v>2405.5975794251135</v>
      </c>
      <c r="M67" s="181"/>
      <c r="N67" s="180">
        <f>(N66/31)/1.983</f>
        <v>2205.5536577033822</v>
      </c>
      <c r="O67" s="180">
        <f>(O66/30)/1.983</f>
        <v>2325.7017986216169</v>
      </c>
      <c r="P67" s="180">
        <f>(P66/31)/1.983</f>
        <v>2439.3798903583684</v>
      </c>
      <c r="Q67" s="182"/>
      <c r="R67" s="217" t="s">
        <v>7</v>
      </c>
    </row>
    <row r="68" spans="1:18" ht="15.75" customHeight="1" x14ac:dyDescent="0.35">
      <c r="A68" s="141"/>
      <c r="B68" s="140"/>
      <c r="C68" s="140"/>
      <c r="D68" s="140"/>
      <c r="E68" s="140"/>
      <c r="F68" s="140"/>
      <c r="G68" s="140"/>
      <c r="H68" s="140"/>
      <c r="I68" s="140"/>
      <c r="J68" s="140"/>
      <c r="K68" s="140"/>
      <c r="L68" s="140"/>
      <c r="M68" s="140"/>
      <c r="N68" s="140"/>
      <c r="O68" s="140"/>
      <c r="P68" s="140"/>
      <c r="Q68" s="140"/>
      <c r="R68" s="141"/>
    </row>
    <row r="69" spans="1:18" ht="15.75" customHeight="1" thickBot="1" x14ac:dyDescent="0.4">
      <c r="A69" s="141"/>
      <c r="B69" s="140"/>
      <c r="C69" s="140"/>
      <c r="D69" s="140"/>
      <c r="E69" s="140"/>
      <c r="F69" s="140"/>
      <c r="G69" s="140"/>
      <c r="H69" s="140"/>
      <c r="I69" s="140"/>
      <c r="J69" s="140"/>
      <c r="K69" s="140"/>
      <c r="L69" s="140"/>
      <c r="M69" s="140"/>
      <c r="N69" s="140"/>
      <c r="O69" s="140"/>
      <c r="P69" s="140"/>
      <c r="Q69" s="140"/>
      <c r="R69" s="141"/>
    </row>
    <row r="70" spans="1:18" ht="15.75" customHeight="1" thickBot="1" x14ac:dyDescent="0.4">
      <c r="A70" s="187" t="s">
        <v>76</v>
      </c>
      <c r="B70" s="188" t="s">
        <v>8</v>
      </c>
      <c r="C70" s="189" t="s">
        <v>9</v>
      </c>
      <c r="D70" s="189" t="s">
        <v>10</v>
      </c>
      <c r="E70" s="10" t="s">
        <v>11</v>
      </c>
      <c r="F70" s="189" t="s">
        <v>12</v>
      </c>
      <c r="G70" s="189" t="s">
        <v>13</v>
      </c>
      <c r="H70" s="189" t="s">
        <v>14</v>
      </c>
      <c r="I70" s="190" t="s">
        <v>15</v>
      </c>
      <c r="J70" s="189" t="s">
        <v>16</v>
      </c>
      <c r="K70" s="189" t="s">
        <v>17</v>
      </c>
      <c r="L70" s="189" t="s">
        <v>18</v>
      </c>
      <c r="M70" s="190" t="s">
        <v>19</v>
      </c>
      <c r="N70" s="189" t="s">
        <v>20</v>
      </c>
      <c r="O70" s="189" t="s">
        <v>21</v>
      </c>
      <c r="P70" s="189" t="s">
        <v>22</v>
      </c>
      <c r="Q70" s="190" t="s">
        <v>23</v>
      </c>
      <c r="R70" s="191" t="s">
        <v>24</v>
      </c>
    </row>
    <row r="71" spans="1:18" ht="15.75" customHeight="1" thickBot="1" x14ac:dyDescent="0.4">
      <c r="A71" s="218"/>
      <c r="B71" s="12"/>
      <c r="C71" s="219"/>
      <c r="D71" s="219"/>
      <c r="E71" s="220"/>
      <c r="F71" s="219"/>
      <c r="G71" s="219"/>
      <c r="H71" s="219"/>
      <c r="I71" s="220"/>
      <c r="J71" s="219"/>
      <c r="K71" s="219"/>
      <c r="L71" s="219"/>
      <c r="M71" s="220"/>
      <c r="N71" s="219"/>
      <c r="O71" s="219"/>
      <c r="P71" s="221"/>
      <c r="Q71" s="220"/>
      <c r="R71" s="211"/>
    </row>
    <row r="72" spans="1:18" ht="15.75" customHeight="1" x14ac:dyDescent="0.35">
      <c r="A72" s="206" t="s">
        <v>48</v>
      </c>
      <c r="B72" s="139"/>
      <c r="C72" s="139"/>
      <c r="D72" s="139"/>
      <c r="E72" s="207" t="s">
        <v>7</v>
      </c>
      <c r="F72" s="139"/>
      <c r="G72" s="139"/>
      <c r="H72" s="139"/>
      <c r="I72" s="207" t="s">
        <v>7</v>
      </c>
      <c r="J72" s="139"/>
      <c r="K72" s="139"/>
      <c r="L72" s="139"/>
      <c r="M72" s="207" t="s">
        <v>7</v>
      </c>
      <c r="N72" s="139"/>
      <c r="O72" s="139"/>
      <c r="P72" s="139"/>
      <c r="Q72" s="207" t="s">
        <v>7</v>
      </c>
      <c r="R72" s="207" t="s">
        <v>7</v>
      </c>
    </row>
    <row r="73" spans="1:18" ht="15.75" customHeight="1" x14ac:dyDescent="0.35">
      <c r="A73" s="177" t="s">
        <v>49</v>
      </c>
      <c r="B73" s="139"/>
      <c r="C73" s="208"/>
      <c r="D73" s="208"/>
      <c r="E73" s="207" t="s">
        <v>7</v>
      </c>
      <c r="F73" s="208"/>
      <c r="G73" s="208"/>
      <c r="H73" s="208"/>
      <c r="I73" s="207" t="s">
        <v>7</v>
      </c>
      <c r="J73" s="208"/>
      <c r="K73" s="208"/>
      <c r="L73" s="208"/>
      <c r="M73" s="207" t="s">
        <v>7</v>
      </c>
      <c r="N73" s="208"/>
      <c r="O73" s="208"/>
      <c r="P73" s="208"/>
      <c r="Q73" s="207" t="s">
        <v>7</v>
      </c>
      <c r="R73" s="207" t="s">
        <v>7</v>
      </c>
    </row>
    <row r="74" spans="1:18" ht="15.75" customHeight="1" x14ac:dyDescent="0.35">
      <c r="A74" s="222" t="s">
        <v>522</v>
      </c>
      <c r="B74" s="140">
        <v>0</v>
      </c>
      <c r="C74" s="140">
        <v>0</v>
      </c>
      <c r="D74" s="140">
        <v>1800</v>
      </c>
      <c r="E74" s="207">
        <f t="shared" ref="E74:E79" si="9">SUM(B74:D74)</f>
        <v>1800</v>
      </c>
      <c r="F74" s="140">
        <v>1431</v>
      </c>
      <c r="G74" s="140">
        <v>0</v>
      </c>
      <c r="H74" s="140">
        <v>0</v>
      </c>
      <c r="I74" s="207">
        <f t="shared" ref="I74:I79" si="10">SUM(F74:H74)</f>
        <v>1431</v>
      </c>
      <c r="J74" s="140">
        <v>0</v>
      </c>
      <c r="K74" s="140">
        <v>0</v>
      </c>
      <c r="L74" s="140">
        <v>0</v>
      </c>
      <c r="M74" s="207">
        <f t="shared" ref="M74:M79" si="11">SUM(J74:L74)</f>
        <v>0</v>
      </c>
      <c r="N74" s="140">
        <v>0</v>
      </c>
      <c r="O74" s="140">
        <v>0</v>
      </c>
      <c r="P74" s="140">
        <v>0</v>
      </c>
      <c r="Q74" s="207">
        <f t="shared" ref="Q74:Q79" si="12">SUM(N74:P74)</f>
        <v>0</v>
      </c>
      <c r="R74" s="207">
        <f t="shared" ref="R74:R79" si="13">+E74+I74+M74+Q74</f>
        <v>3231</v>
      </c>
    </row>
    <row r="75" spans="1:18" ht="15.75" customHeight="1" x14ac:dyDescent="0.35">
      <c r="A75" s="222" t="s">
        <v>523</v>
      </c>
      <c r="B75" s="140">
        <v>0</v>
      </c>
      <c r="C75" s="140">
        <v>0</v>
      </c>
      <c r="D75" s="140">
        <v>0</v>
      </c>
      <c r="E75" s="207">
        <f t="shared" si="9"/>
        <v>0</v>
      </c>
      <c r="F75" s="140">
        <v>441</v>
      </c>
      <c r="G75" s="140">
        <v>0</v>
      </c>
      <c r="H75" s="140">
        <v>0</v>
      </c>
      <c r="I75" s="207">
        <f t="shared" si="10"/>
        <v>441</v>
      </c>
      <c r="J75" s="140">
        <v>0</v>
      </c>
      <c r="K75" s="140">
        <v>0</v>
      </c>
      <c r="L75" s="140">
        <v>0</v>
      </c>
      <c r="M75" s="207">
        <f t="shared" si="11"/>
        <v>0</v>
      </c>
      <c r="N75" s="140">
        <v>0</v>
      </c>
      <c r="O75" s="140">
        <v>0</v>
      </c>
      <c r="P75" s="140">
        <v>0</v>
      </c>
      <c r="Q75" s="207">
        <f t="shared" si="12"/>
        <v>0</v>
      </c>
      <c r="R75" s="207">
        <f t="shared" si="13"/>
        <v>441</v>
      </c>
    </row>
    <row r="76" spans="1:18" ht="15.75" customHeight="1" x14ac:dyDescent="0.35">
      <c r="A76" s="222" t="s">
        <v>524</v>
      </c>
      <c r="B76" s="140">
        <v>0</v>
      </c>
      <c r="C76" s="140">
        <v>0</v>
      </c>
      <c r="D76" s="140">
        <v>0</v>
      </c>
      <c r="E76" s="207">
        <f t="shared" si="9"/>
        <v>0</v>
      </c>
      <c r="F76" s="140">
        <v>0</v>
      </c>
      <c r="G76" s="140">
        <v>0</v>
      </c>
      <c r="H76" s="140">
        <v>0</v>
      </c>
      <c r="I76" s="207">
        <f t="shared" si="10"/>
        <v>0</v>
      </c>
      <c r="J76" s="140">
        <v>0</v>
      </c>
      <c r="K76" s="140">
        <v>0</v>
      </c>
      <c r="L76" s="140">
        <v>0</v>
      </c>
      <c r="M76" s="207">
        <f t="shared" si="11"/>
        <v>0</v>
      </c>
      <c r="N76" s="140">
        <v>0</v>
      </c>
      <c r="O76" s="140">
        <v>0</v>
      </c>
      <c r="P76" s="140">
        <v>0</v>
      </c>
      <c r="Q76" s="207">
        <f t="shared" si="12"/>
        <v>0</v>
      </c>
      <c r="R76" s="207">
        <f t="shared" si="13"/>
        <v>0</v>
      </c>
    </row>
    <row r="77" spans="1:18" ht="15.75" customHeight="1" x14ac:dyDescent="0.35">
      <c r="A77" s="222" t="s">
        <v>525</v>
      </c>
      <c r="B77" s="140">
        <v>0</v>
      </c>
      <c r="C77" s="140">
        <v>0</v>
      </c>
      <c r="D77" s="140">
        <v>0</v>
      </c>
      <c r="E77" s="207">
        <f t="shared" si="9"/>
        <v>0</v>
      </c>
      <c r="F77" s="140">
        <v>0</v>
      </c>
      <c r="G77" s="140">
        <v>0</v>
      </c>
      <c r="H77" s="140">
        <v>0</v>
      </c>
      <c r="I77" s="207">
        <f t="shared" si="10"/>
        <v>0</v>
      </c>
      <c r="J77" s="140">
        <v>0</v>
      </c>
      <c r="K77" s="140">
        <v>0</v>
      </c>
      <c r="L77" s="140">
        <v>0</v>
      </c>
      <c r="M77" s="207">
        <f t="shared" si="11"/>
        <v>0</v>
      </c>
      <c r="N77" s="140">
        <v>0</v>
      </c>
      <c r="O77" s="140">
        <v>0</v>
      </c>
      <c r="P77" s="140">
        <v>0</v>
      </c>
      <c r="Q77" s="207">
        <f t="shared" si="12"/>
        <v>0</v>
      </c>
      <c r="R77" s="207">
        <f t="shared" si="13"/>
        <v>0</v>
      </c>
    </row>
    <row r="78" spans="1:18" ht="15.75" customHeight="1" x14ac:dyDescent="0.35">
      <c r="A78" s="222" t="s">
        <v>79</v>
      </c>
      <c r="B78" s="140">
        <v>0</v>
      </c>
      <c r="C78" s="140">
        <v>0</v>
      </c>
      <c r="D78" s="140">
        <v>0</v>
      </c>
      <c r="E78" s="207">
        <f t="shared" si="9"/>
        <v>0</v>
      </c>
      <c r="F78" s="140">
        <v>0</v>
      </c>
      <c r="G78" s="140">
        <v>0</v>
      </c>
      <c r="H78" s="140">
        <v>0</v>
      </c>
      <c r="I78" s="207">
        <f t="shared" si="10"/>
        <v>0</v>
      </c>
      <c r="J78" s="140">
        <v>0</v>
      </c>
      <c r="K78" s="140">
        <v>0</v>
      </c>
      <c r="L78" s="140">
        <v>0</v>
      </c>
      <c r="M78" s="207">
        <f t="shared" si="11"/>
        <v>0</v>
      </c>
      <c r="N78" s="140">
        <v>0</v>
      </c>
      <c r="O78" s="140">
        <v>0</v>
      </c>
      <c r="P78" s="140">
        <v>0</v>
      </c>
      <c r="Q78" s="207">
        <f t="shared" si="12"/>
        <v>0</v>
      </c>
      <c r="R78" s="207">
        <f t="shared" si="13"/>
        <v>0</v>
      </c>
    </row>
    <row r="79" spans="1:18" ht="15.75" customHeight="1" x14ac:dyDescent="0.35">
      <c r="A79" s="222" t="s">
        <v>78</v>
      </c>
      <c r="B79" s="140">
        <v>28</v>
      </c>
      <c r="C79" s="140">
        <v>2924</v>
      </c>
      <c r="D79" s="140">
        <v>0</v>
      </c>
      <c r="E79" s="207">
        <f t="shared" si="9"/>
        <v>2952</v>
      </c>
      <c r="F79" s="140">
        <v>0</v>
      </c>
      <c r="G79" s="140">
        <v>0</v>
      </c>
      <c r="H79" s="140">
        <v>0</v>
      </c>
      <c r="I79" s="207">
        <f t="shared" si="10"/>
        <v>0</v>
      </c>
      <c r="J79" s="140">
        <v>0</v>
      </c>
      <c r="K79" s="140">
        <v>0</v>
      </c>
      <c r="L79" s="140">
        <v>0</v>
      </c>
      <c r="M79" s="207">
        <f t="shared" si="11"/>
        <v>0</v>
      </c>
      <c r="N79" s="140">
        <v>0</v>
      </c>
      <c r="O79" s="140">
        <v>0</v>
      </c>
      <c r="P79" s="140">
        <v>0</v>
      </c>
      <c r="Q79" s="207">
        <f t="shared" si="12"/>
        <v>0</v>
      </c>
      <c r="R79" s="207">
        <f t="shared" si="13"/>
        <v>2952</v>
      </c>
    </row>
    <row r="80" spans="1:18" ht="15.75" customHeight="1" x14ac:dyDescent="0.35">
      <c r="A80" s="177" t="s">
        <v>50</v>
      </c>
      <c r="B80" s="139"/>
      <c r="C80" s="139"/>
      <c r="D80" s="139"/>
      <c r="E80" s="207" t="s">
        <v>7</v>
      </c>
      <c r="F80" s="139"/>
      <c r="G80" s="139"/>
      <c r="H80" s="139"/>
      <c r="I80" s="207" t="s">
        <v>7</v>
      </c>
      <c r="J80" s="139"/>
      <c r="K80" s="139"/>
      <c r="L80" s="139"/>
      <c r="M80" s="207" t="s">
        <v>7</v>
      </c>
      <c r="N80" s="139"/>
      <c r="O80" s="139"/>
      <c r="P80" s="139"/>
      <c r="Q80" s="207" t="s">
        <v>7</v>
      </c>
      <c r="R80" s="207" t="s">
        <v>7</v>
      </c>
    </row>
    <row r="81" spans="1:18" ht="15.75" customHeight="1" x14ac:dyDescent="0.35">
      <c r="A81" s="110" t="s">
        <v>526</v>
      </c>
      <c r="B81" s="140">
        <v>0</v>
      </c>
      <c r="C81" s="140">
        <v>0</v>
      </c>
      <c r="D81" s="140">
        <v>12056</v>
      </c>
      <c r="E81" s="207">
        <f>SUM(B81:D81)</f>
        <v>12056</v>
      </c>
      <c r="F81" s="140">
        <v>10580</v>
      </c>
      <c r="G81" s="140">
        <v>2364</v>
      </c>
      <c r="H81" s="140">
        <v>160</v>
      </c>
      <c r="I81" s="207">
        <f>SUM(F81:H81)</f>
        <v>13104</v>
      </c>
      <c r="J81" s="140">
        <v>0</v>
      </c>
      <c r="K81" s="140">
        <v>0</v>
      </c>
      <c r="L81" s="140">
        <v>0</v>
      </c>
      <c r="M81" s="207">
        <f>SUM(J81:L81)</f>
        <v>0</v>
      </c>
      <c r="N81" s="140">
        <v>846</v>
      </c>
      <c r="O81" s="140">
        <v>0</v>
      </c>
      <c r="P81" s="140">
        <v>0</v>
      </c>
      <c r="Q81" s="207">
        <f>SUM(N81:P81)</f>
        <v>846</v>
      </c>
      <c r="R81" s="207">
        <f>+E81+I81+M81+Q81</f>
        <v>26006</v>
      </c>
    </row>
    <row r="82" spans="1:18" ht="15.75" customHeight="1" x14ac:dyDescent="0.35">
      <c r="A82" s="110" t="s">
        <v>81</v>
      </c>
      <c r="B82" s="140">
        <v>0</v>
      </c>
      <c r="C82" s="140">
        <v>0</v>
      </c>
      <c r="D82" s="140">
        <v>0</v>
      </c>
      <c r="E82" s="207">
        <f>SUM(B82:D82)</f>
        <v>0</v>
      </c>
      <c r="F82" s="140">
        <v>0</v>
      </c>
      <c r="G82" s="140">
        <v>0</v>
      </c>
      <c r="H82" s="140">
        <v>0</v>
      </c>
      <c r="I82" s="207">
        <f>SUM(F82:H82)</f>
        <v>0</v>
      </c>
      <c r="J82" s="140">
        <v>0</v>
      </c>
      <c r="K82" s="140">
        <v>0</v>
      </c>
      <c r="L82" s="140">
        <v>0</v>
      </c>
      <c r="M82" s="207">
        <f>SUM(J82:L82)</f>
        <v>0</v>
      </c>
      <c r="N82" s="140">
        <v>0</v>
      </c>
      <c r="O82" s="140">
        <v>0</v>
      </c>
      <c r="P82" s="140">
        <v>501</v>
      </c>
      <c r="Q82" s="207">
        <f>SUM(N82:P82)</f>
        <v>501</v>
      </c>
      <c r="R82" s="207">
        <f>+E82+I82+M82+Q82</f>
        <v>501</v>
      </c>
    </row>
    <row r="83" spans="1:18" ht="15.75" customHeight="1" x14ac:dyDescent="0.35">
      <c r="A83" s="110" t="s">
        <v>83</v>
      </c>
      <c r="B83" s="140">
        <v>0</v>
      </c>
      <c r="C83" s="140">
        <v>0</v>
      </c>
      <c r="D83" s="140">
        <v>0</v>
      </c>
      <c r="E83" s="207">
        <f>SUM(B83:D83)</f>
        <v>0</v>
      </c>
      <c r="F83" s="140">
        <v>0</v>
      </c>
      <c r="G83" s="140">
        <v>83</v>
      </c>
      <c r="H83" s="140">
        <v>0</v>
      </c>
      <c r="I83" s="207">
        <f>SUM(F83:H83)</f>
        <v>83</v>
      </c>
      <c r="J83" s="140">
        <v>307</v>
      </c>
      <c r="K83" s="140">
        <v>307</v>
      </c>
      <c r="L83" s="140">
        <v>227</v>
      </c>
      <c r="M83" s="207">
        <f>SUM(J83:L83)</f>
        <v>841</v>
      </c>
      <c r="N83" s="140">
        <v>123</v>
      </c>
      <c r="O83" s="140">
        <v>83</v>
      </c>
      <c r="P83" s="140">
        <v>0</v>
      </c>
      <c r="Q83" s="207">
        <f>SUM(N83:P83)</f>
        <v>206</v>
      </c>
      <c r="R83" s="207">
        <f>+E83+I83+M83+Q83</f>
        <v>1130</v>
      </c>
    </row>
    <row r="84" spans="1:18" ht="15.75" customHeight="1" x14ac:dyDescent="0.35">
      <c r="A84" s="110" t="s">
        <v>527</v>
      </c>
      <c r="B84" s="140">
        <v>0</v>
      </c>
      <c r="C84" s="140">
        <v>0</v>
      </c>
      <c r="D84" s="140">
        <v>0</v>
      </c>
      <c r="E84" s="207">
        <f>SUM(B84:D84)</f>
        <v>0</v>
      </c>
      <c r="F84" s="140">
        <v>0</v>
      </c>
      <c r="G84" s="140">
        <v>0</v>
      </c>
      <c r="H84" s="140">
        <v>0</v>
      </c>
      <c r="I84" s="207">
        <f>SUM(F84:H84)</f>
        <v>0</v>
      </c>
      <c r="J84" s="140">
        <v>0</v>
      </c>
      <c r="K84" s="140">
        <v>0</v>
      </c>
      <c r="L84" s="140">
        <v>0</v>
      </c>
      <c r="M84" s="207">
        <f>SUM(J84:L84)</f>
        <v>0</v>
      </c>
      <c r="N84" s="140">
        <v>115</v>
      </c>
      <c r="O84" s="140">
        <v>0</v>
      </c>
      <c r="P84" s="140">
        <v>0</v>
      </c>
      <c r="Q84" s="207">
        <f>SUM(N84:P84)</f>
        <v>115</v>
      </c>
      <c r="R84" s="207">
        <f>+E84+I84+M84+Q84</f>
        <v>115</v>
      </c>
    </row>
    <row r="85" spans="1:18" ht="15.75" customHeight="1" x14ac:dyDescent="0.35">
      <c r="A85" s="177" t="s">
        <v>51</v>
      </c>
      <c r="B85" s="139"/>
      <c r="C85" s="139"/>
      <c r="D85" s="139"/>
      <c r="E85" s="207" t="s">
        <v>52</v>
      </c>
      <c r="F85" s="139"/>
      <c r="G85" s="139"/>
      <c r="H85" s="139"/>
      <c r="I85" s="207" t="s">
        <v>52</v>
      </c>
      <c r="J85" s="139"/>
      <c r="K85" s="139"/>
      <c r="L85" s="139"/>
      <c r="M85" s="207" t="s">
        <v>52</v>
      </c>
      <c r="N85" s="139"/>
      <c r="O85" s="139"/>
      <c r="P85" s="139"/>
      <c r="Q85" s="207" t="s">
        <v>52</v>
      </c>
      <c r="R85" s="207" t="s">
        <v>52</v>
      </c>
    </row>
    <row r="86" spans="1:18" ht="15.75" customHeight="1" x14ac:dyDescent="0.35">
      <c r="A86" s="213" t="s">
        <v>86</v>
      </c>
      <c r="B86" s="140">
        <v>0</v>
      </c>
      <c r="C86" s="140">
        <v>0</v>
      </c>
      <c r="D86" s="140">
        <v>0</v>
      </c>
      <c r="E86" s="207">
        <f>SUM(B86:D86)</f>
        <v>0</v>
      </c>
      <c r="F86" s="140">
        <v>0</v>
      </c>
      <c r="G86" s="140">
        <v>0</v>
      </c>
      <c r="H86" s="140">
        <v>0</v>
      </c>
      <c r="I86" s="207">
        <f>SUM(F86:H86)</f>
        <v>0</v>
      </c>
      <c r="J86" s="140">
        <v>0</v>
      </c>
      <c r="K86" s="140">
        <v>2725</v>
      </c>
      <c r="L86" s="140">
        <v>824</v>
      </c>
      <c r="M86" s="207">
        <f>SUM(J86:L86)</f>
        <v>3549</v>
      </c>
      <c r="N86" s="140">
        <v>0</v>
      </c>
      <c r="O86" s="140">
        <v>3000</v>
      </c>
      <c r="P86" s="140">
        <v>1341</v>
      </c>
      <c r="Q86" s="207">
        <f>SUM(N86:P86)</f>
        <v>4341</v>
      </c>
      <c r="R86" s="207">
        <f>+E86+I86+M86+Q86</f>
        <v>7890</v>
      </c>
    </row>
    <row r="87" spans="1:18" ht="15.75" customHeight="1" x14ac:dyDescent="0.35">
      <c r="A87" s="213" t="s">
        <v>87</v>
      </c>
      <c r="B87" s="140">
        <v>518</v>
      </c>
      <c r="C87" s="140">
        <v>429</v>
      </c>
      <c r="D87" s="140">
        <v>1625</v>
      </c>
      <c r="E87" s="207">
        <f>SUM(B87:D87)</f>
        <v>2572</v>
      </c>
      <c r="F87" s="140">
        <v>935</v>
      </c>
      <c r="G87" s="140">
        <v>293</v>
      </c>
      <c r="H87" s="140">
        <v>0</v>
      </c>
      <c r="I87" s="207">
        <f>SUM(F87:H87)</f>
        <v>1228</v>
      </c>
      <c r="J87" s="140">
        <v>0</v>
      </c>
      <c r="K87" s="140">
        <v>0</v>
      </c>
      <c r="L87" s="140">
        <v>500</v>
      </c>
      <c r="M87" s="207">
        <f>SUM(J87:L87)</f>
        <v>500</v>
      </c>
      <c r="N87" s="140">
        <v>250</v>
      </c>
      <c r="O87" s="140">
        <v>149</v>
      </c>
      <c r="P87" s="140">
        <v>51</v>
      </c>
      <c r="Q87" s="207">
        <f>SUM(N87:P87)</f>
        <v>450</v>
      </c>
      <c r="R87" s="207">
        <f>+E87+I87+M87+Q87</f>
        <v>4750</v>
      </c>
    </row>
    <row r="88" spans="1:18" ht="15.75" customHeight="1" thickBot="1" x14ac:dyDescent="0.4">
      <c r="A88" s="177" t="s">
        <v>53</v>
      </c>
      <c r="B88" s="208"/>
      <c r="C88" s="208"/>
      <c r="D88" s="208"/>
      <c r="E88" s="207" t="s">
        <v>7</v>
      </c>
      <c r="F88" s="208"/>
      <c r="G88" s="208"/>
      <c r="H88" s="208"/>
      <c r="I88" s="207" t="s">
        <v>7</v>
      </c>
      <c r="J88" s="208"/>
      <c r="K88" s="208"/>
      <c r="L88" s="208"/>
      <c r="M88" s="207" t="s">
        <v>7</v>
      </c>
      <c r="N88" s="208"/>
      <c r="O88" s="208"/>
      <c r="P88" s="208"/>
      <c r="Q88" s="207" t="s">
        <v>7</v>
      </c>
      <c r="R88" s="207" t="s">
        <v>7</v>
      </c>
    </row>
    <row r="89" spans="1:18" ht="15.75" customHeight="1" thickBot="1" x14ac:dyDescent="0.4">
      <c r="A89" s="209" t="s">
        <v>54</v>
      </c>
      <c r="B89" s="210">
        <f>SUM(B72:B88)</f>
        <v>546</v>
      </c>
      <c r="C89" s="210">
        <f>SUM(C72:C88)</f>
        <v>3353</v>
      </c>
      <c r="D89" s="210">
        <f>SUM(D72:D88)</f>
        <v>15481</v>
      </c>
      <c r="E89" s="211">
        <f>SUM(B89:D89)</f>
        <v>19380</v>
      </c>
      <c r="F89" s="210">
        <f>SUM(F72:F88)</f>
        <v>13387</v>
      </c>
      <c r="G89" s="210">
        <f>SUM(G72:G88)</f>
        <v>2740</v>
      </c>
      <c r="H89" s="210">
        <f>SUM(H72:H88)</f>
        <v>160</v>
      </c>
      <c r="I89" s="211">
        <f>SUM(F89:H89)</f>
        <v>16287</v>
      </c>
      <c r="J89" s="210">
        <f>SUM(J72:J88)</f>
        <v>307</v>
      </c>
      <c r="K89" s="210">
        <f>SUM(K72:K88)</f>
        <v>3032</v>
      </c>
      <c r="L89" s="210">
        <f>SUM(L72:L88)</f>
        <v>1551</v>
      </c>
      <c r="M89" s="211">
        <f>SUM(J89:L89)</f>
        <v>4890</v>
      </c>
      <c r="N89" s="210">
        <f>SUM(N72:N88)</f>
        <v>1334</v>
      </c>
      <c r="O89" s="210">
        <f>SUM(O72:O88)</f>
        <v>3232</v>
      </c>
      <c r="P89" s="210">
        <f>SUM(P72:P88)</f>
        <v>1893</v>
      </c>
      <c r="Q89" s="211">
        <f>SUM(N89:P89)</f>
        <v>6459</v>
      </c>
      <c r="R89" s="211">
        <f>+E89+I89+M89+Q89</f>
        <v>47016</v>
      </c>
    </row>
    <row r="90" spans="1:18" ht="15.75" customHeight="1" x14ac:dyDescent="0.35">
      <c r="A90" s="177" t="s">
        <v>55</v>
      </c>
      <c r="B90" s="208"/>
      <c r="C90" s="208"/>
      <c r="D90" s="208"/>
      <c r="E90" s="207" t="s">
        <v>7</v>
      </c>
      <c r="F90" s="208"/>
      <c r="G90" s="208"/>
      <c r="H90" s="208"/>
      <c r="I90" s="207" t="s">
        <v>7</v>
      </c>
      <c r="J90" s="208"/>
      <c r="K90" s="208"/>
      <c r="L90" s="208"/>
      <c r="M90" s="207" t="s">
        <v>7</v>
      </c>
      <c r="N90" s="208"/>
      <c r="O90" s="208"/>
      <c r="P90" s="208"/>
      <c r="Q90" s="207" t="s">
        <v>7</v>
      </c>
      <c r="R90" s="212" t="s">
        <v>7</v>
      </c>
    </row>
    <row r="91" spans="1:18" ht="15.75" customHeight="1" x14ac:dyDescent="0.35">
      <c r="A91" s="177" t="s">
        <v>56</v>
      </c>
      <c r="B91" s="208"/>
      <c r="C91" s="208"/>
      <c r="D91" s="208"/>
      <c r="E91" s="207" t="s">
        <v>7</v>
      </c>
      <c r="F91" s="208"/>
      <c r="G91" s="208"/>
      <c r="H91" s="208"/>
      <c r="I91" s="207" t="s">
        <v>7</v>
      </c>
      <c r="J91" s="208"/>
      <c r="K91" s="208"/>
      <c r="L91" s="208"/>
      <c r="M91" s="207" t="s">
        <v>7</v>
      </c>
      <c r="N91" s="208"/>
      <c r="O91" s="208"/>
      <c r="P91" s="208"/>
      <c r="Q91" s="207" t="s">
        <v>7</v>
      </c>
      <c r="R91" s="207" t="s">
        <v>7</v>
      </c>
    </row>
    <row r="92" spans="1:18" ht="15.75" customHeight="1" x14ac:dyDescent="0.35">
      <c r="A92" s="177" t="s">
        <v>57</v>
      </c>
      <c r="B92" s="208"/>
      <c r="C92" s="208"/>
      <c r="D92" s="208"/>
      <c r="E92" s="207" t="s">
        <v>7</v>
      </c>
      <c r="F92" s="208"/>
      <c r="G92" s="208"/>
      <c r="H92" s="208"/>
      <c r="I92" s="207" t="s">
        <v>7</v>
      </c>
      <c r="J92" s="208"/>
      <c r="K92" s="208"/>
      <c r="L92" s="208"/>
      <c r="M92" s="207" t="s">
        <v>7</v>
      </c>
      <c r="N92" s="208"/>
      <c r="O92" s="208"/>
      <c r="P92" s="208"/>
      <c r="Q92" s="207" t="s">
        <v>7</v>
      </c>
      <c r="R92" s="207" t="s">
        <v>7</v>
      </c>
    </row>
    <row r="93" spans="1:18" ht="15.75" customHeight="1" x14ac:dyDescent="0.35">
      <c r="A93" s="110" t="s">
        <v>81</v>
      </c>
      <c r="B93" s="140">
        <v>791</v>
      </c>
      <c r="C93" s="140">
        <v>902</v>
      </c>
      <c r="D93" s="140">
        <v>2364</v>
      </c>
      <c r="E93" s="207">
        <f>SUM(B93:D93)</f>
        <v>4057</v>
      </c>
      <c r="F93" s="140">
        <v>5330</v>
      </c>
      <c r="G93" s="140">
        <v>5698</v>
      </c>
      <c r="H93" s="140">
        <v>3226</v>
      </c>
      <c r="I93" s="207">
        <f>SUM(F93:H93)</f>
        <v>14254</v>
      </c>
      <c r="J93" s="140">
        <v>6205</v>
      </c>
      <c r="K93" s="140">
        <v>5682</v>
      </c>
      <c r="L93" s="140">
        <v>3302</v>
      </c>
      <c r="M93" s="207">
        <f>SUM(J93:L93)</f>
        <v>15189</v>
      </c>
      <c r="N93" s="140">
        <v>1448</v>
      </c>
      <c r="O93" s="140">
        <v>604</v>
      </c>
      <c r="P93" s="140">
        <v>1074</v>
      </c>
      <c r="Q93" s="207">
        <f>SUM(N93:P93)</f>
        <v>3126</v>
      </c>
      <c r="R93" s="207">
        <f>+E93+I93+M93+Q93</f>
        <v>36626</v>
      </c>
    </row>
    <row r="94" spans="1:18" ht="15.75" customHeight="1" x14ac:dyDescent="0.35">
      <c r="A94" s="110" t="s">
        <v>87</v>
      </c>
      <c r="B94" s="140">
        <v>0</v>
      </c>
      <c r="C94" s="140">
        <v>0</v>
      </c>
      <c r="D94" s="140">
        <v>0</v>
      </c>
      <c r="E94" s="207">
        <f>SUM(B94:D94)</f>
        <v>0</v>
      </c>
      <c r="F94" s="140">
        <v>1000</v>
      </c>
      <c r="G94" s="140">
        <v>1000</v>
      </c>
      <c r="H94" s="140">
        <v>1460</v>
      </c>
      <c r="I94" s="207">
        <f>SUM(F94:H94)</f>
        <v>3460</v>
      </c>
      <c r="J94" s="140">
        <v>0</v>
      </c>
      <c r="K94" s="140">
        <v>0</v>
      </c>
      <c r="L94" s="140">
        <v>0</v>
      </c>
      <c r="M94" s="207">
        <f>SUM(J94:L94)</f>
        <v>0</v>
      </c>
      <c r="N94" s="140">
        <v>0</v>
      </c>
      <c r="O94" s="140">
        <v>0</v>
      </c>
      <c r="P94" s="140">
        <v>0</v>
      </c>
      <c r="Q94" s="207">
        <f>SUM(N94:P94)</f>
        <v>0</v>
      </c>
      <c r="R94" s="207">
        <f>+E94+I94+M94+Q94</f>
        <v>3460</v>
      </c>
    </row>
    <row r="95" spans="1:18" ht="15.75" customHeight="1" thickBot="1" x14ac:dyDescent="0.4">
      <c r="A95" s="177" t="s">
        <v>58</v>
      </c>
      <c r="B95" s="208"/>
      <c r="C95" s="208"/>
      <c r="D95" s="208"/>
      <c r="E95" s="207" t="s">
        <v>7</v>
      </c>
      <c r="F95" s="208"/>
      <c r="G95" s="208"/>
      <c r="H95" s="208"/>
      <c r="I95" s="207" t="s">
        <v>7</v>
      </c>
      <c r="J95" s="208"/>
      <c r="K95" s="208"/>
      <c r="L95" s="208"/>
      <c r="M95" s="207" t="s">
        <v>7</v>
      </c>
      <c r="N95" s="208"/>
      <c r="O95" s="208"/>
      <c r="P95" s="208"/>
      <c r="Q95" s="207" t="s">
        <v>7</v>
      </c>
      <c r="R95" s="207" t="s">
        <v>7</v>
      </c>
    </row>
    <row r="96" spans="1:18" ht="15.75" customHeight="1" thickBot="1" x14ac:dyDescent="0.4">
      <c r="A96" s="209" t="s">
        <v>59</v>
      </c>
      <c r="B96" s="210">
        <f>SUM(B90:B95)</f>
        <v>791</v>
      </c>
      <c r="C96" s="210">
        <f>SUM(C90:C95)</f>
        <v>902</v>
      </c>
      <c r="D96" s="210">
        <f>SUM(D90:D95)</f>
        <v>2364</v>
      </c>
      <c r="E96" s="211">
        <f>SUM(B96:D96)</f>
        <v>4057</v>
      </c>
      <c r="F96" s="210">
        <f>SUM(F90:F95)</f>
        <v>6330</v>
      </c>
      <c r="G96" s="210">
        <f>SUM(G90:G95)</f>
        <v>6698</v>
      </c>
      <c r="H96" s="210">
        <f>SUM(H90:H95)</f>
        <v>4686</v>
      </c>
      <c r="I96" s="211">
        <f>SUM(F96:H96)</f>
        <v>17714</v>
      </c>
      <c r="J96" s="210">
        <f>SUM(J90:J95)</f>
        <v>6205</v>
      </c>
      <c r="K96" s="210">
        <f>SUM(K90:K95)</f>
        <v>5682</v>
      </c>
      <c r="L96" s="210">
        <f>SUM(L90:L95)</f>
        <v>3302</v>
      </c>
      <c r="M96" s="211">
        <f>SUM(J96:L96)</f>
        <v>15189</v>
      </c>
      <c r="N96" s="210">
        <f>SUM(N90:N95)</f>
        <v>1448</v>
      </c>
      <c r="O96" s="210">
        <f>SUM(O90:O95)</f>
        <v>604</v>
      </c>
      <c r="P96" s="210">
        <f>SUM(P90:P95)</f>
        <v>1074</v>
      </c>
      <c r="Q96" s="211">
        <f>SUM(N96:P96)</f>
        <v>3126</v>
      </c>
      <c r="R96" s="211">
        <f>+E96+I96+M96+Q96</f>
        <v>40086</v>
      </c>
    </row>
    <row r="97" spans="1:18" ht="15.75" customHeight="1" x14ac:dyDescent="0.35">
      <c r="A97" s="177" t="s">
        <v>60</v>
      </c>
      <c r="B97" s="208"/>
      <c r="C97" s="208"/>
      <c r="D97" s="208"/>
      <c r="E97" s="207" t="s">
        <v>7</v>
      </c>
      <c r="F97" s="208"/>
      <c r="G97" s="208"/>
      <c r="H97" s="208"/>
      <c r="I97" s="207" t="s">
        <v>7</v>
      </c>
      <c r="J97" s="208"/>
      <c r="K97" s="208"/>
      <c r="L97" s="208"/>
      <c r="M97" s="207" t="s">
        <v>7</v>
      </c>
      <c r="N97" s="208"/>
      <c r="O97" s="208"/>
      <c r="P97" s="208"/>
      <c r="Q97" s="207" t="s">
        <v>7</v>
      </c>
      <c r="R97" s="207" t="s">
        <v>7</v>
      </c>
    </row>
    <row r="98" spans="1:18" ht="15.75" customHeight="1" x14ac:dyDescent="0.35">
      <c r="A98" s="177" t="s">
        <v>61</v>
      </c>
      <c r="B98" s="208"/>
      <c r="C98" s="208"/>
      <c r="D98" s="208"/>
      <c r="E98" s="207" t="s">
        <v>7</v>
      </c>
      <c r="F98" s="208"/>
      <c r="G98" s="208"/>
      <c r="H98" s="208"/>
      <c r="I98" s="207" t="s">
        <v>7</v>
      </c>
      <c r="J98" s="208"/>
      <c r="K98" s="208"/>
      <c r="L98" s="208"/>
      <c r="M98" s="207" t="s">
        <v>7</v>
      </c>
      <c r="N98" s="208"/>
      <c r="O98" s="208"/>
      <c r="P98" s="208"/>
      <c r="Q98" s="207" t="s">
        <v>7</v>
      </c>
      <c r="R98" s="207" t="s">
        <v>7</v>
      </c>
    </row>
    <row r="99" spans="1:18" ht="15.75" customHeight="1" x14ac:dyDescent="0.35">
      <c r="A99" s="177" t="s">
        <v>62</v>
      </c>
      <c r="B99" s="208"/>
      <c r="C99" s="208"/>
      <c r="D99" s="208"/>
      <c r="E99" s="207"/>
      <c r="F99" s="208"/>
      <c r="G99" s="208"/>
      <c r="H99" s="208"/>
      <c r="I99" s="207"/>
      <c r="J99" s="208"/>
      <c r="K99" s="208"/>
      <c r="L99" s="208"/>
      <c r="M99" s="207"/>
      <c r="N99" s="208"/>
      <c r="O99" s="208"/>
      <c r="P99" s="208"/>
      <c r="Q99" s="207"/>
      <c r="R99" s="207"/>
    </row>
    <row r="100" spans="1:18" ht="15.75" customHeight="1" x14ac:dyDescent="0.35">
      <c r="A100" s="110" t="s">
        <v>88</v>
      </c>
      <c r="B100" s="140">
        <v>972</v>
      </c>
      <c r="C100" s="140">
        <v>0</v>
      </c>
      <c r="D100" s="140">
        <v>0</v>
      </c>
      <c r="E100" s="207">
        <f t="shared" ref="E100:E107" si="14">SUM(B100:D100)</f>
        <v>972</v>
      </c>
      <c r="F100" s="140">
        <v>0</v>
      </c>
      <c r="G100" s="140">
        <v>0</v>
      </c>
      <c r="H100" s="140">
        <v>0</v>
      </c>
      <c r="I100" s="207">
        <f t="shared" ref="I100:I107" si="15">SUM(F100:H100)</f>
        <v>0</v>
      </c>
      <c r="J100" s="140">
        <v>0</v>
      </c>
      <c r="K100" s="140">
        <v>0</v>
      </c>
      <c r="L100" s="140">
        <v>0</v>
      </c>
      <c r="M100" s="207">
        <f t="shared" ref="M100:M107" si="16">SUM(J100:L100)</f>
        <v>0</v>
      </c>
      <c r="N100" s="140">
        <v>0</v>
      </c>
      <c r="O100" s="140">
        <v>0</v>
      </c>
      <c r="P100" s="140">
        <v>0</v>
      </c>
      <c r="Q100" s="207">
        <f t="shared" ref="Q100:Q107" si="17">SUM(N100:P100)</f>
        <v>0</v>
      </c>
      <c r="R100" s="207">
        <f t="shared" ref="R100:R107" si="18">+E100+I100+M100+Q100</f>
        <v>972</v>
      </c>
    </row>
    <row r="101" spans="1:18" ht="15.75" customHeight="1" x14ac:dyDescent="0.35">
      <c r="A101" s="110" t="s">
        <v>92</v>
      </c>
      <c r="B101" s="140">
        <v>1513</v>
      </c>
      <c r="C101" s="140">
        <v>9</v>
      </c>
      <c r="D101" s="140">
        <v>0</v>
      </c>
      <c r="E101" s="207">
        <f>SUM(B101:D101)</f>
        <v>1522</v>
      </c>
      <c r="F101" s="140">
        <v>0</v>
      </c>
      <c r="G101" s="140">
        <v>0</v>
      </c>
      <c r="H101" s="140">
        <v>0</v>
      </c>
      <c r="I101" s="207">
        <f>SUM(F101:H101)</f>
        <v>0</v>
      </c>
      <c r="J101" s="140">
        <v>0</v>
      </c>
      <c r="K101" s="140">
        <v>0</v>
      </c>
      <c r="L101" s="140">
        <v>0</v>
      </c>
      <c r="M101" s="207">
        <f>SUM(J101:L101)</f>
        <v>0</v>
      </c>
      <c r="N101" s="140">
        <v>0</v>
      </c>
      <c r="O101" s="140">
        <v>0</v>
      </c>
      <c r="P101" s="140">
        <v>0</v>
      </c>
      <c r="Q101" s="207">
        <f>SUM(N101:P101)</f>
        <v>0</v>
      </c>
      <c r="R101" s="207">
        <f>+E101+I101+M101+Q101</f>
        <v>1522</v>
      </c>
    </row>
    <row r="102" spans="1:18" ht="15.75" customHeight="1" x14ac:dyDescent="0.35">
      <c r="A102" s="110" t="s">
        <v>89</v>
      </c>
      <c r="B102" s="140">
        <v>0</v>
      </c>
      <c r="C102" s="140">
        <v>2076</v>
      </c>
      <c r="D102" s="140">
        <v>510</v>
      </c>
      <c r="E102" s="207">
        <f t="shared" si="14"/>
        <v>2586</v>
      </c>
      <c r="F102" s="140">
        <v>0</v>
      </c>
      <c r="G102" s="140">
        <v>0</v>
      </c>
      <c r="H102" s="140">
        <v>0</v>
      </c>
      <c r="I102" s="207">
        <f t="shared" si="15"/>
        <v>0</v>
      </c>
      <c r="J102" s="140">
        <v>0</v>
      </c>
      <c r="K102" s="140">
        <v>0</v>
      </c>
      <c r="L102" s="140">
        <v>0</v>
      </c>
      <c r="M102" s="207">
        <f t="shared" si="16"/>
        <v>0</v>
      </c>
      <c r="N102" s="140">
        <v>0</v>
      </c>
      <c r="O102" s="140">
        <v>0</v>
      </c>
      <c r="P102" s="140">
        <v>0</v>
      </c>
      <c r="Q102" s="207">
        <f t="shared" si="17"/>
        <v>0</v>
      </c>
      <c r="R102" s="207">
        <f t="shared" si="18"/>
        <v>2586</v>
      </c>
    </row>
    <row r="103" spans="1:18" ht="15.75" customHeight="1" x14ac:dyDescent="0.35">
      <c r="A103" s="110" t="s">
        <v>528</v>
      </c>
      <c r="B103" s="140">
        <v>0</v>
      </c>
      <c r="C103" s="140">
        <v>4088</v>
      </c>
      <c r="D103" s="140">
        <v>0</v>
      </c>
      <c r="E103" s="207">
        <f>SUM(B103:D103)</f>
        <v>4088</v>
      </c>
      <c r="F103" s="140">
        <v>0</v>
      </c>
      <c r="G103" s="140">
        <v>0</v>
      </c>
      <c r="H103" s="140">
        <v>0</v>
      </c>
      <c r="I103" s="207">
        <f>SUM(F103:H103)</f>
        <v>0</v>
      </c>
      <c r="J103" s="140">
        <v>0</v>
      </c>
      <c r="K103" s="140">
        <v>0</v>
      </c>
      <c r="L103" s="140">
        <v>0</v>
      </c>
      <c r="M103" s="207">
        <f>SUM(J103:L103)</f>
        <v>0</v>
      </c>
      <c r="N103" s="140">
        <v>0</v>
      </c>
      <c r="O103" s="140">
        <v>0</v>
      </c>
      <c r="P103" s="140">
        <v>0</v>
      </c>
      <c r="Q103" s="207">
        <f>SUM(N103:P103)</f>
        <v>0</v>
      </c>
      <c r="R103" s="207">
        <f>+E103+I103+M103+Q103</f>
        <v>4088</v>
      </c>
    </row>
    <row r="104" spans="1:18" ht="15.75" customHeight="1" x14ac:dyDescent="0.35">
      <c r="A104" s="110" t="s">
        <v>90</v>
      </c>
      <c r="B104" s="140">
        <v>0</v>
      </c>
      <c r="C104" s="140">
        <v>0</v>
      </c>
      <c r="D104" s="140">
        <v>771</v>
      </c>
      <c r="E104" s="207">
        <f t="shared" si="14"/>
        <v>771</v>
      </c>
      <c r="F104" s="140">
        <v>82</v>
      </c>
      <c r="G104" s="140">
        <v>0</v>
      </c>
      <c r="H104" s="140">
        <v>0</v>
      </c>
      <c r="I104" s="207">
        <f t="shared" si="15"/>
        <v>82</v>
      </c>
      <c r="J104" s="140">
        <v>0</v>
      </c>
      <c r="K104" s="140">
        <v>0</v>
      </c>
      <c r="L104" s="140">
        <v>0</v>
      </c>
      <c r="M104" s="207">
        <f t="shared" si="16"/>
        <v>0</v>
      </c>
      <c r="N104" s="140">
        <v>0</v>
      </c>
      <c r="O104" s="140">
        <v>0</v>
      </c>
      <c r="P104" s="140">
        <v>0</v>
      </c>
      <c r="Q104" s="207">
        <f t="shared" si="17"/>
        <v>0</v>
      </c>
      <c r="R104" s="207">
        <f t="shared" si="18"/>
        <v>853</v>
      </c>
    </row>
    <row r="105" spans="1:18" ht="15.75" customHeight="1" x14ac:dyDescent="0.35">
      <c r="A105" s="110" t="s">
        <v>94</v>
      </c>
      <c r="B105" s="140">
        <v>0</v>
      </c>
      <c r="C105" s="140">
        <v>2427</v>
      </c>
      <c r="D105" s="140">
        <v>1347</v>
      </c>
      <c r="E105" s="207">
        <f t="shared" si="14"/>
        <v>3774</v>
      </c>
      <c r="F105" s="140">
        <v>0</v>
      </c>
      <c r="G105" s="140">
        <v>0</v>
      </c>
      <c r="H105" s="140">
        <v>0</v>
      </c>
      <c r="I105" s="207">
        <f t="shared" si="15"/>
        <v>0</v>
      </c>
      <c r="J105" s="140">
        <v>0</v>
      </c>
      <c r="K105" s="140">
        <v>0</v>
      </c>
      <c r="L105" s="140">
        <v>0</v>
      </c>
      <c r="M105" s="207">
        <f t="shared" si="16"/>
        <v>0</v>
      </c>
      <c r="N105" s="140">
        <v>0</v>
      </c>
      <c r="O105" s="140">
        <v>0</v>
      </c>
      <c r="P105" s="140">
        <v>0</v>
      </c>
      <c r="Q105" s="207">
        <f t="shared" si="17"/>
        <v>0</v>
      </c>
      <c r="R105" s="207">
        <f t="shared" si="18"/>
        <v>3774</v>
      </c>
    </row>
    <row r="106" spans="1:18" ht="15.75" customHeight="1" thickBot="1" x14ac:dyDescent="0.4">
      <c r="A106" s="110" t="s">
        <v>95</v>
      </c>
      <c r="B106" s="140">
        <v>0</v>
      </c>
      <c r="C106" s="140">
        <v>0</v>
      </c>
      <c r="D106" s="140">
        <v>0</v>
      </c>
      <c r="E106" s="207">
        <f t="shared" si="14"/>
        <v>0</v>
      </c>
      <c r="F106" s="140">
        <v>0</v>
      </c>
      <c r="G106" s="140">
        <v>0</v>
      </c>
      <c r="H106" s="140">
        <v>0</v>
      </c>
      <c r="I106" s="207">
        <f t="shared" si="15"/>
        <v>0</v>
      </c>
      <c r="J106" s="140">
        <v>0</v>
      </c>
      <c r="K106" s="140">
        <v>0</v>
      </c>
      <c r="L106" s="140">
        <v>0</v>
      </c>
      <c r="M106" s="207">
        <f t="shared" si="16"/>
        <v>0</v>
      </c>
      <c r="N106" s="140">
        <v>0</v>
      </c>
      <c r="O106" s="140">
        <v>0</v>
      </c>
      <c r="P106" s="140">
        <v>0</v>
      </c>
      <c r="Q106" s="207">
        <f t="shared" si="17"/>
        <v>0</v>
      </c>
      <c r="R106" s="207">
        <f t="shared" si="18"/>
        <v>0</v>
      </c>
    </row>
    <row r="107" spans="1:18" ht="15.75" customHeight="1" thickBot="1" x14ac:dyDescent="0.4">
      <c r="A107" s="209" t="s">
        <v>63</v>
      </c>
      <c r="B107" s="210">
        <f>SUM(B97:B106)</f>
        <v>2485</v>
      </c>
      <c r="C107" s="210">
        <f>SUM(C97:C106)</f>
        <v>8600</v>
      </c>
      <c r="D107" s="210">
        <f>SUM(D97:D106)</f>
        <v>2628</v>
      </c>
      <c r="E107" s="211">
        <f t="shared" si="14"/>
        <v>13713</v>
      </c>
      <c r="F107" s="210">
        <f>SUM(F97:F106)</f>
        <v>82</v>
      </c>
      <c r="G107" s="210">
        <f>SUM(G97:G106)</f>
        <v>0</v>
      </c>
      <c r="H107" s="210">
        <f>SUM(H97:H106)</f>
        <v>0</v>
      </c>
      <c r="I107" s="211">
        <f t="shared" si="15"/>
        <v>82</v>
      </c>
      <c r="J107" s="210">
        <f>SUM(J97:J106)</f>
        <v>0</v>
      </c>
      <c r="K107" s="210">
        <f>SUM(K97:K106)</f>
        <v>0</v>
      </c>
      <c r="L107" s="210">
        <f>SUM(L97:L106)</f>
        <v>0</v>
      </c>
      <c r="M107" s="211">
        <f t="shared" si="16"/>
        <v>0</v>
      </c>
      <c r="N107" s="210">
        <f>SUM(N97:N106)</f>
        <v>0</v>
      </c>
      <c r="O107" s="210">
        <f>SUM(O97:O106)</f>
        <v>0</v>
      </c>
      <c r="P107" s="210">
        <f>SUM(P97:P106)</f>
        <v>0</v>
      </c>
      <c r="Q107" s="211">
        <f t="shared" si="17"/>
        <v>0</v>
      </c>
      <c r="R107" s="211">
        <f t="shared" si="18"/>
        <v>13795</v>
      </c>
    </row>
    <row r="108" spans="1:18" ht="15.75" customHeight="1" x14ac:dyDescent="0.35">
      <c r="A108" s="177" t="s">
        <v>64</v>
      </c>
      <c r="B108" s="208"/>
      <c r="C108" s="208"/>
      <c r="D108" s="208"/>
      <c r="E108" s="207" t="s">
        <v>7</v>
      </c>
      <c r="F108" s="208"/>
      <c r="G108" s="208"/>
      <c r="H108" s="208"/>
      <c r="I108" s="207" t="s">
        <v>7</v>
      </c>
      <c r="J108" s="208"/>
      <c r="K108" s="208"/>
      <c r="L108" s="208"/>
      <c r="M108" s="207" t="s">
        <v>7</v>
      </c>
      <c r="N108" s="208"/>
      <c r="O108" s="208"/>
      <c r="P108" s="208"/>
      <c r="Q108" s="207" t="s">
        <v>7</v>
      </c>
      <c r="R108" s="207" t="s">
        <v>7</v>
      </c>
    </row>
    <row r="109" spans="1:18" ht="15.75" customHeight="1" x14ac:dyDescent="0.35">
      <c r="A109" s="177" t="s">
        <v>65</v>
      </c>
      <c r="B109" s="208"/>
      <c r="C109" s="208"/>
      <c r="D109" s="208"/>
      <c r="E109" s="207" t="s">
        <v>7</v>
      </c>
      <c r="F109" s="208"/>
      <c r="G109" s="208"/>
      <c r="H109" s="208"/>
      <c r="I109" s="207" t="s">
        <v>7</v>
      </c>
      <c r="J109" s="208"/>
      <c r="K109" s="208"/>
      <c r="L109" s="208"/>
      <c r="M109" s="207" t="s">
        <v>7</v>
      </c>
      <c r="N109" s="208"/>
      <c r="O109" s="208"/>
      <c r="P109" s="208"/>
      <c r="Q109" s="207" t="s">
        <v>7</v>
      </c>
      <c r="R109" s="207" t="s">
        <v>7</v>
      </c>
    </row>
    <row r="110" spans="1:18" ht="15.75" customHeight="1" x14ac:dyDescent="0.35">
      <c r="A110" s="213" t="s">
        <v>529</v>
      </c>
      <c r="B110" s="140">
        <v>0</v>
      </c>
      <c r="C110" s="140">
        <v>0</v>
      </c>
      <c r="D110" s="140">
        <v>0</v>
      </c>
      <c r="E110" s="207">
        <f t="shared" ref="E110:E117" si="19">SUM(B110:D110)</f>
        <v>0</v>
      </c>
      <c r="F110" s="140">
        <v>0</v>
      </c>
      <c r="G110" s="140">
        <v>0</v>
      </c>
      <c r="H110" s="140">
        <v>93</v>
      </c>
      <c r="I110" s="207">
        <f t="shared" ref="I110:I117" si="20">SUM(F110:H110)</f>
        <v>93</v>
      </c>
      <c r="J110" s="140">
        <v>0</v>
      </c>
      <c r="K110" s="140">
        <v>0</v>
      </c>
      <c r="L110" s="140">
        <v>0</v>
      </c>
      <c r="M110" s="207">
        <f t="shared" ref="M110:M117" si="21">SUM(J110:L110)</f>
        <v>0</v>
      </c>
      <c r="N110" s="140">
        <v>0</v>
      </c>
      <c r="O110" s="140">
        <v>0</v>
      </c>
      <c r="P110" s="140">
        <v>0</v>
      </c>
      <c r="Q110" s="207">
        <f t="shared" ref="Q110:Q117" si="22">SUM(N110:P110)</f>
        <v>0</v>
      </c>
      <c r="R110" s="207">
        <f t="shared" ref="R110:R117" si="23">+E110+I110+M110+Q110</f>
        <v>93</v>
      </c>
    </row>
    <row r="111" spans="1:18" ht="15.75" customHeight="1" x14ac:dyDescent="0.35">
      <c r="A111" s="213" t="s">
        <v>97</v>
      </c>
      <c r="B111" s="140">
        <v>0</v>
      </c>
      <c r="C111" s="140">
        <v>0</v>
      </c>
      <c r="D111" s="140">
        <v>0</v>
      </c>
      <c r="E111" s="207">
        <f t="shared" si="19"/>
        <v>0</v>
      </c>
      <c r="F111" s="140">
        <v>0</v>
      </c>
      <c r="G111" s="140">
        <v>0</v>
      </c>
      <c r="H111" s="140">
        <v>0</v>
      </c>
      <c r="I111" s="207">
        <f t="shared" si="20"/>
        <v>0</v>
      </c>
      <c r="J111" s="140">
        <v>0</v>
      </c>
      <c r="K111" s="140">
        <v>0</v>
      </c>
      <c r="L111" s="140">
        <v>0</v>
      </c>
      <c r="M111" s="207">
        <f t="shared" si="21"/>
        <v>0</v>
      </c>
      <c r="N111" s="140">
        <v>0</v>
      </c>
      <c r="O111" s="140">
        <v>0</v>
      </c>
      <c r="P111" s="140">
        <v>244</v>
      </c>
      <c r="Q111" s="207">
        <f t="shared" si="22"/>
        <v>244</v>
      </c>
      <c r="R111" s="207">
        <f t="shared" si="23"/>
        <v>244</v>
      </c>
    </row>
    <row r="112" spans="1:18" ht="15.75" customHeight="1" x14ac:dyDescent="0.35">
      <c r="A112" s="213" t="s">
        <v>99</v>
      </c>
      <c r="B112" s="140">
        <v>0</v>
      </c>
      <c r="C112" s="140">
        <v>0</v>
      </c>
      <c r="D112" s="140">
        <v>751</v>
      </c>
      <c r="E112" s="207">
        <f t="shared" si="19"/>
        <v>751</v>
      </c>
      <c r="F112" s="140">
        <v>0</v>
      </c>
      <c r="G112" s="140">
        <v>10562</v>
      </c>
      <c r="H112" s="140">
        <v>9316</v>
      </c>
      <c r="I112" s="207">
        <f t="shared" si="20"/>
        <v>19878</v>
      </c>
      <c r="J112" s="140">
        <v>16109</v>
      </c>
      <c r="K112" s="140">
        <v>11390</v>
      </c>
      <c r="L112" s="140">
        <v>387</v>
      </c>
      <c r="M112" s="207">
        <f t="shared" si="21"/>
        <v>27886</v>
      </c>
      <c r="N112" s="140">
        <v>13660</v>
      </c>
      <c r="O112" s="140">
        <v>988</v>
      </c>
      <c r="P112" s="140">
        <v>0</v>
      </c>
      <c r="Q112" s="207">
        <f t="shared" si="22"/>
        <v>14648</v>
      </c>
      <c r="R112" s="207">
        <f t="shared" si="23"/>
        <v>63163</v>
      </c>
    </row>
    <row r="113" spans="1:18" ht="15.75" customHeight="1" x14ac:dyDescent="0.35">
      <c r="A113" s="213" t="s">
        <v>530</v>
      </c>
      <c r="B113" s="140">
        <v>0</v>
      </c>
      <c r="C113" s="140">
        <v>0</v>
      </c>
      <c r="D113" s="140">
        <v>0</v>
      </c>
      <c r="E113" s="207">
        <f t="shared" si="19"/>
        <v>0</v>
      </c>
      <c r="F113" s="140">
        <v>0</v>
      </c>
      <c r="G113" s="140">
        <v>0</v>
      </c>
      <c r="H113" s="140">
        <v>0</v>
      </c>
      <c r="I113" s="207">
        <f t="shared" si="20"/>
        <v>0</v>
      </c>
      <c r="J113" s="140">
        <v>0</v>
      </c>
      <c r="K113" s="140">
        <v>2000</v>
      </c>
      <c r="L113" s="140">
        <v>0</v>
      </c>
      <c r="M113" s="207">
        <f t="shared" si="21"/>
        <v>2000</v>
      </c>
      <c r="N113" s="140">
        <v>0</v>
      </c>
      <c r="O113" s="140">
        <v>0</v>
      </c>
      <c r="P113" s="140">
        <v>0</v>
      </c>
      <c r="Q113" s="207">
        <f t="shared" si="22"/>
        <v>0</v>
      </c>
      <c r="R113" s="207">
        <f t="shared" si="23"/>
        <v>2000</v>
      </c>
    </row>
    <row r="114" spans="1:18" ht="15.75" customHeight="1" x14ac:dyDescent="0.35">
      <c r="A114" s="213" t="s">
        <v>101</v>
      </c>
      <c r="B114" s="140">
        <v>0</v>
      </c>
      <c r="C114" s="140">
        <v>0</v>
      </c>
      <c r="D114" s="140">
        <v>0</v>
      </c>
      <c r="E114" s="207">
        <f t="shared" si="19"/>
        <v>0</v>
      </c>
      <c r="F114" s="140">
        <v>0</v>
      </c>
      <c r="G114" s="140">
        <v>0</v>
      </c>
      <c r="H114" s="140">
        <v>0</v>
      </c>
      <c r="I114" s="207">
        <f t="shared" si="20"/>
        <v>0</v>
      </c>
      <c r="J114" s="140">
        <v>0</v>
      </c>
      <c r="K114" s="140">
        <v>0</v>
      </c>
      <c r="L114" s="140">
        <v>0</v>
      </c>
      <c r="M114" s="207">
        <f t="shared" si="21"/>
        <v>0</v>
      </c>
      <c r="N114" s="140">
        <v>0</v>
      </c>
      <c r="O114" s="140">
        <v>0</v>
      </c>
      <c r="P114" s="140">
        <v>0</v>
      </c>
      <c r="Q114" s="207">
        <f t="shared" si="22"/>
        <v>0</v>
      </c>
      <c r="R114" s="207">
        <f t="shared" si="23"/>
        <v>0</v>
      </c>
    </row>
    <row r="115" spans="1:18" ht="15.75" customHeight="1" x14ac:dyDescent="0.35">
      <c r="A115" s="213" t="s">
        <v>531</v>
      </c>
      <c r="B115" s="140">
        <v>4824</v>
      </c>
      <c r="C115" s="140">
        <v>3902</v>
      </c>
      <c r="D115" s="140">
        <v>4412</v>
      </c>
      <c r="E115" s="207">
        <f t="shared" si="19"/>
        <v>13138</v>
      </c>
      <c r="F115" s="140">
        <v>3974</v>
      </c>
      <c r="G115" s="140">
        <v>4497</v>
      </c>
      <c r="H115" s="140">
        <v>72</v>
      </c>
      <c r="I115" s="207">
        <f t="shared" si="20"/>
        <v>8543</v>
      </c>
      <c r="J115" s="140">
        <v>25</v>
      </c>
      <c r="K115" s="140">
        <v>5115</v>
      </c>
      <c r="L115" s="140">
        <v>5207</v>
      </c>
      <c r="M115" s="207">
        <f t="shared" si="21"/>
        <v>10347</v>
      </c>
      <c r="N115" s="140">
        <v>5778</v>
      </c>
      <c r="O115" s="140">
        <v>244</v>
      </c>
      <c r="P115" s="140">
        <v>4216</v>
      </c>
      <c r="Q115" s="207">
        <f t="shared" si="22"/>
        <v>10238</v>
      </c>
      <c r="R115" s="207">
        <f t="shared" si="23"/>
        <v>42266</v>
      </c>
    </row>
    <row r="116" spans="1:18" ht="15.75" customHeight="1" x14ac:dyDescent="0.35">
      <c r="A116" s="213" t="s">
        <v>532</v>
      </c>
      <c r="B116" s="140">
        <v>0</v>
      </c>
      <c r="C116" s="140">
        <v>0</v>
      </c>
      <c r="D116" s="140">
        <v>0</v>
      </c>
      <c r="E116" s="207">
        <f t="shared" si="19"/>
        <v>0</v>
      </c>
      <c r="F116" s="140">
        <v>0</v>
      </c>
      <c r="G116" s="140">
        <v>0</v>
      </c>
      <c r="H116" s="140">
        <v>0</v>
      </c>
      <c r="I116" s="207">
        <f t="shared" si="20"/>
        <v>0</v>
      </c>
      <c r="J116" s="140">
        <v>0</v>
      </c>
      <c r="K116" s="140">
        <v>0</v>
      </c>
      <c r="L116" s="140">
        <v>0</v>
      </c>
      <c r="M116" s="207">
        <f t="shared" si="21"/>
        <v>0</v>
      </c>
      <c r="N116" s="140">
        <v>0</v>
      </c>
      <c r="O116" s="140">
        <v>0</v>
      </c>
      <c r="P116" s="140">
        <v>6434</v>
      </c>
      <c r="Q116" s="207">
        <f t="shared" si="22"/>
        <v>6434</v>
      </c>
      <c r="R116" s="207">
        <f t="shared" si="23"/>
        <v>6434</v>
      </c>
    </row>
    <row r="117" spans="1:18" ht="15.75" customHeight="1" x14ac:dyDescent="0.35">
      <c r="A117" s="213" t="s">
        <v>102</v>
      </c>
      <c r="B117" s="140">
        <v>1386</v>
      </c>
      <c r="C117" s="140">
        <v>2672</v>
      </c>
      <c r="D117" s="140">
        <v>2644</v>
      </c>
      <c r="E117" s="207">
        <f t="shared" si="19"/>
        <v>6702</v>
      </c>
      <c r="F117" s="140">
        <v>1913</v>
      </c>
      <c r="G117" s="140">
        <v>2059</v>
      </c>
      <c r="H117" s="140">
        <v>2689</v>
      </c>
      <c r="I117" s="207">
        <f t="shared" si="20"/>
        <v>6661</v>
      </c>
      <c r="J117" s="140">
        <v>3</v>
      </c>
      <c r="K117" s="140">
        <v>0</v>
      </c>
      <c r="L117" s="140">
        <v>674</v>
      </c>
      <c r="M117" s="207">
        <f t="shared" si="21"/>
        <v>677</v>
      </c>
      <c r="N117" s="140">
        <v>3544</v>
      </c>
      <c r="O117" s="140">
        <v>3299</v>
      </c>
      <c r="P117" s="140">
        <v>2034</v>
      </c>
      <c r="Q117" s="207">
        <f t="shared" si="22"/>
        <v>8877</v>
      </c>
      <c r="R117" s="207">
        <f t="shared" si="23"/>
        <v>22917</v>
      </c>
    </row>
    <row r="118" spans="1:18" ht="15.75" customHeight="1" x14ac:dyDescent="0.35">
      <c r="A118" s="177" t="s">
        <v>67</v>
      </c>
      <c r="B118" s="208"/>
      <c r="C118" s="208"/>
      <c r="D118" s="208"/>
      <c r="E118" s="207" t="s">
        <v>7</v>
      </c>
      <c r="F118" s="208"/>
      <c r="G118" s="208"/>
      <c r="H118" s="208"/>
      <c r="I118" s="207" t="s">
        <v>7</v>
      </c>
      <c r="J118" s="208"/>
      <c r="K118" s="208"/>
      <c r="L118" s="208"/>
      <c r="M118" s="207" t="s">
        <v>7</v>
      </c>
      <c r="N118" s="208"/>
      <c r="O118" s="208"/>
      <c r="P118" s="208"/>
      <c r="Q118" s="207" t="s">
        <v>7</v>
      </c>
      <c r="R118" s="207" t="s">
        <v>7</v>
      </c>
    </row>
    <row r="119" spans="1:18" ht="15.75" customHeight="1" x14ac:dyDescent="0.35">
      <c r="A119" s="213" t="s">
        <v>103</v>
      </c>
      <c r="B119" s="140">
        <v>0</v>
      </c>
      <c r="C119" s="140">
        <v>0</v>
      </c>
      <c r="D119" s="140">
        <v>0</v>
      </c>
      <c r="E119" s="207">
        <f>SUM(B119:D119)</f>
        <v>0</v>
      </c>
      <c r="F119" s="140">
        <v>0</v>
      </c>
      <c r="G119" s="140">
        <v>0</v>
      </c>
      <c r="H119" s="140">
        <v>0</v>
      </c>
      <c r="I119" s="207">
        <f>SUM(F119:H119)</f>
        <v>0</v>
      </c>
      <c r="J119" s="140">
        <v>0</v>
      </c>
      <c r="K119" s="140">
        <v>0</v>
      </c>
      <c r="L119" s="140">
        <v>0</v>
      </c>
      <c r="M119" s="207">
        <f>SUM(J119:L119)</f>
        <v>0</v>
      </c>
      <c r="N119" s="140">
        <v>0</v>
      </c>
      <c r="O119" s="140">
        <v>0</v>
      </c>
      <c r="P119" s="140">
        <v>0</v>
      </c>
      <c r="Q119" s="207">
        <f>SUM(N119:P119)</f>
        <v>0</v>
      </c>
      <c r="R119" s="207">
        <f>+E119+I119+M119+Q119</f>
        <v>0</v>
      </c>
    </row>
    <row r="120" spans="1:18" ht="15.75" customHeight="1" x14ac:dyDescent="0.35">
      <c r="A120" s="213" t="s">
        <v>104</v>
      </c>
      <c r="B120" s="140">
        <v>0</v>
      </c>
      <c r="C120" s="140">
        <v>0</v>
      </c>
      <c r="D120" s="140">
        <v>0</v>
      </c>
      <c r="E120" s="207">
        <f>SUM(B120:D120)</f>
        <v>0</v>
      </c>
      <c r="F120" s="140">
        <v>0</v>
      </c>
      <c r="G120" s="140">
        <v>0</v>
      </c>
      <c r="H120" s="140">
        <v>0</v>
      </c>
      <c r="I120" s="207">
        <f>SUM(F120:H120)</f>
        <v>0</v>
      </c>
      <c r="J120" s="140">
        <v>0</v>
      </c>
      <c r="K120" s="140">
        <v>0</v>
      </c>
      <c r="L120" s="140">
        <v>0</v>
      </c>
      <c r="M120" s="207">
        <f>SUM(J120:L120)</f>
        <v>0</v>
      </c>
      <c r="N120" s="140">
        <v>0</v>
      </c>
      <c r="O120" s="140">
        <v>13446</v>
      </c>
      <c r="P120" s="140">
        <v>10335</v>
      </c>
      <c r="Q120" s="207">
        <f>SUM(N120:P120)</f>
        <v>23781</v>
      </c>
      <c r="R120" s="207">
        <f>+E120+I120+M120+Q120</f>
        <v>23781</v>
      </c>
    </row>
    <row r="121" spans="1:18" ht="15.75" customHeight="1" x14ac:dyDescent="0.35">
      <c r="A121" s="177" t="s">
        <v>69</v>
      </c>
      <c r="B121" s="208"/>
      <c r="C121" s="208"/>
      <c r="D121" s="208"/>
      <c r="E121" s="207" t="s">
        <v>7</v>
      </c>
      <c r="F121" s="208"/>
      <c r="G121" s="208"/>
      <c r="H121" s="208"/>
      <c r="I121" s="207" t="s">
        <v>7</v>
      </c>
      <c r="J121" s="208"/>
      <c r="K121" s="208"/>
      <c r="L121" s="208"/>
      <c r="M121" s="207" t="s">
        <v>7</v>
      </c>
      <c r="N121" s="208"/>
      <c r="O121" s="208"/>
      <c r="P121" s="208"/>
      <c r="Q121" s="207" t="s">
        <v>7</v>
      </c>
      <c r="R121" s="207" t="s">
        <v>7</v>
      </c>
    </row>
    <row r="122" spans="1:18" ht="15.75" customHeight="1" x14ac:dyDescent="0.35">
      <c r="A122" s="213" t="s">
        <v>105</v>
      </c>
      <c r="B122" s="140">
        <v>0</v>
      </c>
      <c r="C122" s="140">
        <v>0</v>
      </c>
      <c r="D122" s="140">
        <v>0</v>
      </c>
      <c r="E122" s="207">
        <f>SUM(B122:D122)</f>
        <v>0</v>
      </c>
      <c r="F122" s="140">
        <v>0</v>
      </c>
      <c r="G122" s="140">
        <v>764</v>
      </c>
      <c r="H122" s="140">
        <v>825</v>
      </c>
      <c r="I122" s="207">
        <f>SUM(F122:H122)</f>
        <v>1589</v>
      </c>
      <c r="J122" s="140">
        <v>2193</v>
      </c>
      <c r="K122" s="140">
        <v>2078</v>
      </c>
      <c r="L122" s="140">
        <v>914</v>
      </c>
      <c r="M122" s="207">
        <f>SUM(J122:L122)</f>
        <v>5185</v>
      </c>
      <c r="N122" s="140">
        <v>152</v>
      </c>
      <c r="O122" s="140">
        <v>0</v>
      </c>
      <c r="P122" s="140">
        <v>31</v>
      </c>
      <c r="Q122" s="207">
        <f>SUM(N122:P122)</f>
        <v>183</v>
      </c>
      <c r="R122" s="207">
        <f>+E122+I122+M122+Q122</f>
        <v>6957</v>
      </c>
    </row>
    <row r="123" spans="1:18" ht="15.75" customHeight="1" x14ac:dyDescent="0.35">
      <c r="A123" s="177" t="s">
        <v>70</v>
      </c>
      <c r="B123" s="208"/>
      <c r="C123" s="208"/>
      <c r="D123" s="208"/>
      <c r="E123" s="207" t="s">
        <v>7</v>
      </c>
      <c r="F123" s="208"/>
      <c r="G123" s="208"/>
      <c r="H123" s="208"/>
      <c r="I123" s="207" t="s">
        <v>7</v>
      </c>
      <c r="J123" s="208"/>
      <c r="K123" s="208"/>
      <c r="L123" s="208"/>
      <c r="M123" s="207" t="s">
        <v>7</v>
      </c>
      <c r="N123" s="208"/>
      <c r="O123" s="208"/>
      <c r="P123" s="208"/>
      <c r="Q123" s="207" t="s">
        <v>7</v>
      </c>
      <c r="R123" s="207" t="s">
        <v>7</v>
      </c>
    </row>
    <row r="124" spans="1:18" ht="15.75" customHeight="1" thickBot="1" x14ac:dyDescent="0.4">
      <c r="A124" s="213" t="s">
        <v>533</v>
      </c>
      <c r="B124" s="140">
        <v>0</v>
      </c>
      <c r="C124" s="140">
        <v>0</v>
      </c>
      <c r="D124" s="140">
        <v>0</v>
      </c>
      <c r="E124" s="207">
        <f>SUM(B124:D124)</f>
        <v>0</v>
      </c>
      <c r="F124" s="140">
        <v>0</v>
      </c>
      <c r="G124" s="140">
        <v>0</v>
      </c>
      <c r="H124" s="140">
        <v>0</v>
      </c>
      <c r="I124" s="207">
        <f>SUM(F124:H124)</f>
        <v>0</v>
      </c>
      <c r="J124" s="140">
        <v>0</v>
      </c>
      <c r="K124" s="140">
        <v>0</v>
      </c>
      <c r="L124" s="140">
        <v>0</v>
      </c>
      <c r="M124" s="207">
        <f>SUM(J124:L124)</f>
        <v>0</v>
      </c>
      <c r="N124" s="140">
        <v>0</v>
      </c>
      <c r="O124" s="140">
        <v>0</v>
      </c>
      <c r="P124" s="140">
        <v>0</v>
      </c>
      <c r="Q124" s="207">
        <f>SUM(N124:P124)</f>
        <v>0</v>
      </c>
      <c r="R124" s="207">
        <f>+E124+I124+M124+Q124</f>
        <v>0</v>
      </c>
    </row>
    <row r="125" spans="1:18" ht="15.75" customHeight="1" thickBot="1" x14ac:dyDescent="0.4">
      <c r="A125" s="209" t="s">
        <v>71</v>
      </c>
      <c r="B125" s="210">
        <f>SUM(B122:B124)</f>
        <v>0</v>
      </c>
      <c r="C125" s="210">
        <f>SUM(C122:C124)</f>
        <v>0</v>
      </c>
      <c r="D125" s="210">
        <f>SUM(D122:D124)</f>
        <v>0</v>
      </c>
      <c r="E125" s="212">
        <f>SUM(B125:D125)</f>
        <v>0</v>
      </c>
      <c r="F125" s="210">
        <f>SUM(F122:F124)</f>
        <v>0</v>
      </c>
      <c r="G125" s="210">
        <f>SUM(G122:G124)</f>
        <v>764</v>
      </c>
      <c r="H125" s="210">
        <f>SUM(H122:H124)</f>
        <v>825</v>
      </c>
      <c r="I125" s="212">
        <f>SUM(F125:H125)</f>
        <v>1589</v>
      </c>
      <c r="J125" s="210">
        <f>SUM(J122:J124)</f>
        <v>2193</v>
      </c>
      <c r="K125" s="210">
        <f>SUM(K122:K124)</f>
        <v>2078</v>
      </c>
      <c r="L125" s="210">
        <f>SUM(L122:L124)</f>
        <v>914</v>
      </c>
      <c r="M125" s="212">
        <f>SUM(J125:L125)</f>
        <v>5185</v>
      </c>
      <c r="N125" s="210">
        <f>SUM(N122:N124)</f>
        <v>152</v>
      </c>
      <c r="O125" s="210">
        <f>SUM(O122:O124)</f>
        <v>0</v>
      </c>
      <c r="P125" s="210">
        <f>SUM(P122:P124)</f>
        <v>31</v>
      </c>
      <c r="Q125" s="212">
        <f>SUM(N125:P125)</f>
        <v>183</v>
      </c>
      <c r="R125" s="211">
        <f>+E125+I125+M125+Q125</f>
        <v>6957</v>
      </c>
    </row>
    <row r="126" spans="1:18" ht="15.75" customHeight="1" thickBot="1" x14ac:dyDescent="0.4">
      <c r="A126" s="209" t="s">
        <v>72</v>
      </c>
      <c r="B126" s="210">
        <f>SUM(B108:B124)</f>
        <v>6210</v>
      </c>
      <c r="C126" s="210">
        <f>SUM(C108:C124)</f>
        <v>6574</v>
      </c>
      <c r="D126" s="210">
        <f>SUM(D108:D124)</f>
        <v>7807</v>
      </c>
      <c r="E126" s="212">
        <f>SUM(B126:D126)</f>
        <v>20591</v>
      </c>
      <c r="F126" s="210">
        <f>SUM(F108:F124)</f>
        <v>5887</v>
      </c>
      <c r="G126" s="210">
        <f>SUM(G108:G124)</f>
        <v>17882</v>
      </c>
      <c r="H126" s="210">
        <f>SUM(H108:H124)</f>
        <v>12995</v>
      </c>
      <c r="I126" s="212">
        <f>SUM(F126:H126)</f>
        <v>36764</v>
      </c>
      <c r="J126" s="210">
        <f>SUM(J108:J124)</f>
        <v>18330</v>
      </c>
      <c r="K126" s="210">
        <f>SUM(K108:K124)</f>
        <v>20583</v>
      </c>
      <c r="L126" s="210">
        <f>SUM(L108:L124)</f>
        <v>7182</v>
      </c>
      <c r="M126" s="212">
        <f>SUM(J126:L126)</f>
        <v>46095</v>
      </c>
      <c r="N126" s="210">
        <f>SUM(N108:N124)</f>
        <v>23134</v>
      </c>
      <c r="O126" s="210">
        <f>SUM(O108:O124)</f>
        <v>17977</v>
      </c>
      <c r="P126" s="210">
        <f>SUM(P108:P124)</f>
        <v>23294</v>
      </c>
      <c r="Q126" s="212">
        <f>SUM(N126:P126)</f>
        <v>64405</v>
      </c>
      <c r="R126" s="211">
        <f>+E126+I126+M126+Q126</f>
        <v>167855</v>
      </c>
    </row>
    <row r="127" spans="1:18" ht="15.75" customHeight="1" thickBot="1" x14ac:dyDescent="0.4">
      <c r="A127" s="209" t="s">
        <v>73</v>
      </c>
      <c r="B127" s="210">
        <f>+B89+B96+B107+B126</f>
        <v>10032</v>
      </c>
      <c r="C127" s="210">
        <f>+C89+C96+C107+C126</f>
        <v>19429</v>
      </c>
      <c r="D127" s="210">
        <f>+D89+D96+D107+D126</f>
        <v>28280</v>
      </c>
      <c r="E127" s="211">
        <f>SUM(B127:D127)</f>
        <v>57741</v>
      </c>
      <c r="F127" s="210">
        <f>+F89+F96+F107+F126</f>
        <v>25686</v>
      </c>
      <c r="G127" s="210">
        <f>+G89+G96+G107+G126</f>
        <v>27320</v>
      </c>
      <c r="H127" s="210">
        <f>+H89+H96+H107+H126</f>
        <v>17841</v>
      </c>
      <c r="I127" s="211">
        <f>SUM(F127:H127)</f>
        <v>70847</v>
      </c>
      <c r="J127" s="210">
        <f>+J89+J96+J107+J126</f>
        <v>24842</v>
      </c>
      <c r="K127" s="210">
        <f>+K89+K96+K107+K126</f>
        <v>29297</v>
      </c>
      <c r="L127" s="210">
        <f>+L89+L96+L107+L126</f>
        <v>12035</v>
      </c>
      <c r="M127" s="211">
        <f>SUM(J127:L127)</f>
        <v>66174</v>
      </c>
      <c r="N127" s="210">
        <f>+N89+N96+N107+N126</f>
        <v>25916</v>
      </c>
      <c r="O127" s="210">
        <f>+O89+O96+O107+O126</f>
        <v>21813</v>
      </c>
      <c r="P127" s="210">
        <f>+P89+P96+P107+P126</f>
        <v>26261</v>
      </c>
      <c r="Q127" s="211">
        <f>SUM(N127:P127)</f>
        <v>73990</v>
      </c>
      <c r="R127" s="211">
        <f>+E127+I127+M127+Q127</f>
        <v>268752</v>
      </c>
    </row>
    <row r="128" spans="1:18" ht="15.75" customHeight="1" thickBot="1" x14ac:dyDescent="0.4">
      <c r="A128" s="223" t="s">
        <v>40</v>
      </c>
      <c r="B128" s="180">
        <v>173</v>
      </c>
      <c r="C128" s="180">
        <v>260</v>
      </c>
      <c r="D128" s="180">
        <v>471</v>
      </c>
      <c r="E128" s="207">
        <f>SUM(B128:D128)</f>
        <v>904</v>
      </c>
      <c r="F128" s="180">
        <v>629</v>
      </c>
      <c r="G128" s="180">
        <v>725</v>
      </c>
      <c r="H128" s="180">
        <v>712</v>
      </c>
      <c r="I128" s="207">
        <f>SUM(F128:H128)</f>
        <v>2066</v>
      </c>
      <c r="J128" s="180">
        <v>711</v>
      </c>
      <c r="K128" s="180">
        <v>573</v>
      </c>
      <c r="L128" s="180">
        <v>542</v>
      </c>
      <c r="M128" s="207">
        <f>SUM(J128:L128)</f>
        <v>1826</v>
      </c>
      <c r="N128" s="180">
        <v>490</v>
      </c>
      <c r="O128" s="180">
        <v>407</v>
      </c>
      <c r="P128" s="180">
        <v>323</v>
      </c>
      <c r="Q128" s="207">
        <f>SUM(N128:P128)</f>
        <v>1220</v>
      </c>
      <c r="R128" s="207">
        <f>+E128+I128+M128+Q128</f>
        <v>6016</v>
      </c>
    </row>
    <row r="129" spans="1:18" ht="15.75" customHeight="1" thickBot="1" x14ac:dyDescent="0.4">
      <c r="A129" s="224"/>
      <c r="B129" s="225"/>
      <c r="C129" s="225"/>
      <c r="D129" s="225"/>
      <c r="E129" s="211" t="s">
        <v>7</v>
      </c>
      <c r="F129" s="225"/>
      <c r="G129" s="225"/>
      <c r="H129" s="225"/>
      <c r="I129" s="211" t="s">
        <v>7</v>
      </c>
      <c r="J129" s="225"/>
      <c r="K129" s="225"/>
      <c r="L129" s="225"/>
      <c r="M129" s="211" t="s">
        <v>7</v>
      </c>
      <c r="N129" s="225"/>
      <c r="O129" s="225"/>
      <c r="P129" s="225"/>
      <c r="Q129" s="211" t="s">
        <v>7</v>
      </c>
      <c r="R129" s="211" t="s">
        <v>7</v>
      </c>
    </row>
    <row r="130" spans="1:18" ht="15.75" customHeight="1" x14ac:dyDescent="0.35">
      <c r="A130" s="226" t="s">
        <v>41</v>
      </c>
      <c r="B130" s="227">
        <f>+B127+B128</f>
        <v>10205</v>
      </c>
      <c r="C130" s="227">
        <f>+C127+C128</f>
        <v>19689</v>
      </c>
      <c r="D130" s="227">
        <f>+D127+D128</f>
        <v>28751</v>
      </c>
      <c r="E130" s="207">
        <f>SUM(B130:D130)</f>
        <v>58645</v>
      </c>
      <c r="F130" s="227">
        <f>+F127+F128</f>
        <v>26315</v>
      </c>
      <c r="G130" s="227">
        <f>+G127+G128</f>
        <v>28045</v>
      </c>
      <c r="H130" s="227">
        <f>+H127+H128</f>
        <v>18553</v>
      </c>
      <c r="I130" s="207">
        <f>SUM(F130:H130)</f>
        <v>72913</v>
      </c>
      <c r="J130" s="227">
        <f>+J127+J128</f>
        <v>25553</v>
      </c>
      <c r="K130" s="227">
        <f>+K127+K128</f>
        <v>29870</v>
      </c>
      <c r="L130" s="227">
        <f>+L127+L128</f>
        <v>12577</v>
      </c>
      <c r="M130" s="207">
        <f>SUM(J130:L130)</f>
        <v>68000</v>
      </c>
      <c r="N130" s="227">
        <f>+N127+N128</f>
        <v>26406</v>
      </c>
      <c r="O130" s="227">
        <f>+O127+O128</f>
        <v>22220</v>
      </c>
      <c r="P130" s="227">
        <f>+P127+P128</f>
        <v>26584</v>
      </c>
      <c r="Q130" s="207">
        <f>SUM(N130:P130)</f>
        <v>75210</v>
      </c>
      <c r="R130" s="207">
        <f>+E130+I130+M130+Q130</f>
        <v>274768</v>
      </c>
    </row>
    <row r="131" spans="1:18" ht="15.75" customHeight="1" x14ac:dyDescent="0.35">
      <c r="A131" s="228" t="s">
        <v>42</v>
      </c>
      <c r="B131" s="140">
        <f>(B130/31)/1.983</f>
        <v>166.00784084069429</v>
      </c>
      <c r="C131" s="140">
        <f>(C130/28)/1.983</f>
        <v>354.60341473957209</v>
      </c>
      <c r="D131" s="140">
        <f>(D130/31)/1.983</f>
        <v>467.70126722300847</v>
      </c>
      <c r="E131" s="207" t="s">
        <v>7</v>
      </c>
      <c r="F131" s="140">
        <f>(F130/30)/1.983</f>
        <v>442.34325096654896</v>
      </c>
      <c r="G131" s="140">
        <f>(G130/31)/1.983</f>
        <v>456.21655035544057</v>
      </c>
      <c r="H131" s="140">
        <f>(H130/30)/1.983</f>
        <v>311.86754076315344</v>
      </c>
      <c r="I131" s="207" t="s">
        <v>7</v>
      </c>
      <c r="J131" s="140">
        <f>(J130/31)/1.983</f>
        <v>415.67842792770807</v>
      </c>
      <c r="K131" s="140">
        <f>(K130/31)/1.983</f>
        <v>485.90438078506008</v>
      </c>
      <c r="L131" s="140">
        <f>(L130/30)/1.983</f>
        <v>211.41368297192804</v>
      </c>
      <c r="M131" s="207" t="s">
        <v>7</v>
      </c>
      <c r="N131" s="140">
        <f>(N130/31)/1.983</f>
        <v>429.55443853399049</v>
      </c>
      <c r="O131" s="140">
        <f>(O130/30)/1.983</f>
        <v>373.50815263069421</v>
      </c>
      <c r="P131" s="140">
        <f>(P130/31)/1.983</f>
        <v>432.45001870739998</v>
      </c>
      <c r="Q131" s="207" t="s">
        <v>7</v>
      </c>
      <c r="R131" s="207" t="s">
        <v>7</v>
      </c>
    </row>
    <row r="132" spans="1:18" ht="15.75" customHeight="1" x14ac:dyDescent="0.35">
      <c r="A132" s="229" t="s">
        <v>106</v>
      </c>
      <c r="B132" s="140">
        <f>B130+B246</f>
        <v>172513</v>
      </c>
      <c r="C132" s="140">
        <f>C130+C246</f>
        <v>160176</v>
      </c>
      <c r="D132" s="140">
        <f>D130+D246</f>
        <v>180416</v>
      </c>
      <c r="E132" s="207">
        <f>SUM(B132:D132)</f>
        <v>513105</v>
      </c>
      <c r="F132" s="140">
        <f>F130+F246</f>
        <v>172996</v>
      </c>
      <c r="G132" s="140">
        <f>G130+G246</f>
        <v>164140</v>
      </c>
      <c r="H132" s="140">
        <f>H130+H246</f>
        <v>96144</v>
      </c>
      <c r="I132" s="207">
        <f>SUM(F132:H132)</f>
        <v>433280</v>
      </c>
      <c r="J132" s="140">
        <f>J130+J246</f>
        <v>75259</v>
      </c>
      <c r="K132" s="140">
        <f>K130+K246</f>
        <v>70905</v>
      </c>
      <c r="L132" s="140">
        <f>L130+L246</f>
        <v>142808</v>
      </c>
      <c r="M132" s="207">
        <f>SUM(J132:L132)</f>
        <v>288972</v>
      </c>
      <c r="N132" s="140">
        <f>N130+N246</f>
        <v>135310</v>
      </c>
      <c r="O132" s="140">
        <f>O130+O246</f>
        <v>138130</v>
      </c>
      <c r="P132" s="140">
        <f>P130+P246</f>
        <v>149777</v>
      </c>
      <c r="Q132" s="207">
        <f>SUM(N132:P132)</f>
        <v>423217</v>
      </c>
      <c r="R132" s="207">
        <f>+E132+I132+M132+Q132</f>
        <v>1658574</v>
      </c>
    </row>
    <row r="133" spans="1:18" ht="15.75" customHeight="1" thickBot="1" x14ac:dyDescent="0.4">
      <c r="A133" s="230" t="s">
        <v>107</v>
      </c>
      <c r="B133" s="184">
        <f>(B132/31)/1.983</f>
        <v>2806.3214744684656</v>
      </c>
      <c r="C133" s="184">
        <f>(C132/28)/1.983</f>
        <v>2884.8065701318346</v>
      </c>
      <c r="D133" s="184">
        <f>(D132/31)/1.983</f>
        <v>2934.8819807069772</v>
      </c>
      <c r="E133" s="231" t="s">
        <v>7</v>
      </c>
      <c r="F133" s="184">
        <f>(F132/30)/1.983</f>
        <v>2907.9845352160028</v>
      </c>
      <c r="G133" s="184">
        <f>(G132/31)/1.983</f>
        <v>2670.1153351878061</v>
      </c>
      <c r="H133" s="184">
        <f>(H132/30)/1.983</f>
        <v>1616.1371659102369</v>
      </c>
      <c r="I133" s="231" t="s">
        <v>7</v>
      </c>
      <c r="J133" s="184">
        <f>(J132/31)/1.983</f>
        <v>1224.2610577001283</v>
      </c>
      <c r="K133" s="184">
        <f>(K132/31)/1.983</f>
        <v>1153.4332145820117</v>
      </c>
      <c r="L133" s="184">
        <f>(L132/30)/1.983</f>
        <v>2400.537905530341</v>
      </c>
      <c r="M133" s="231" t="s">
        <v>7</v>
      </c>
      <c r="N133" s="184">
        <f>(N132/31)/1.983</f>
        <v>2201.1289509215426</v>
      </c>
      <c r="O133" s="184">
        <f>(O132/30)/1.983</f>
        <v>2321.9028408135819</v>
      </c>
      <c r="P133" s="184">
        <f>(P132/31)/1.983</f>
        <v>2436.4680428806146</v>
      </c>
      <c r="Q133" s="231" t="s">
        <v>7</v>
      </c>
      <c r="R133" s="231" t="s">
        <v>7</v>
      </c>
    </row>
    <row r="134" spans="1:18" ht="15.75" customHeight="1" x14ac:dyDescent="0.35">
      <c r="A134" s="139"/>
      <c r="B134" s="140"/>
      <c r="C134" s="140"/>
      <c r="D134" s="140"/>
      <c r="E134" s="140"/>
      <c r="F134" s="140"/>
      <c r="G134" s="140"/>
      <c r="H134" s="140"/>
      <c r="I134" s="140"/>
      <c r="J134" s="140"/>
      <c r="K134" s="140"/>
      <c r="L134" s="140"/>
      <c r="M134" s="140"/>
      <c r="N134" s="140"/>
      <c r="O134" s="140"/>
      <c r="P134" s="140"/>
      <c r="Q134" s="140"/>
      <c r="R134" s="141"/>
    </row>
    <row r="135" spans="1:18" ht="15.75" customHeight="1" thickBot="1" x14ac:dyDescent="0.4">
      <c r="A135" s="139" t="s">
        <v>7</v>
      </c>
      <c r="B135" s="140"/>
      <c r="C135" s="140"/>
      <c r="D135" s="140"/>
      <c r="E135" s="140"/>
      <c r="F135" s="140"/>
      <c r="G135" s="140"/>
      <c r="H135" s="140"/>
      <c r="I135" s="140"/>
      <c r="J135" s="140"/>
      <c r="K135" s="140"/>
      <c r="L135" s="140"/>
      <c r="M135" s="140"/>
      <c r="N135" s="140"/>
      <c r="O135" s="140"/>
      <c r="P135" s="140"/>
      <c r="Q135" s="140"/>
      <c r="R135" s="141"/>
    </row>
    <row r="136" spans="1:18" ht="15.75" customHeight="1" thickBot="1" x14ac:dyDescent="0.4">
      <c r="A136" s="187" t="s">
        <v>108</v>
      </c>
      <c r="B136" s="188" t="s">
        <v>8</v>
      </c>
      <c r="C136" s="189" t="s">
        <v>9</v>
      </c>
      <c r="D136" s="189" t="s">
        <v>10</v>
      </c>
      <c r="E136" s="10" t="s">
        <v>11</v>
      </c>
      <c r="F136" s="189" t="s">
        <v>12</v>
      </c>
      <c r="G136" s="189" t="s">
        <v>13</v>
      </c>
      <c r="H136" s="189" t="s">
        <v>14</v>
      </c>
      <c r="I136" s="190" t="s">
        <v>15</v>
      </c>
      <c r="J136" s="189" t="s">
        <v>16</v>
      </c>
      <c r="K136" s="189" t="s">
        <v>17</v>
      </c>
      <c r="L136" s="189" t="s">
        <v>18</v>
      </c>
      <c r="M136" s="190" t="s">
        <v>19</v>
      </c>
      <c r="N136" s="189" t="s">
        <v>20</v>
      </c>
      <c r="O136" s="189" t="s">
        <v>21</v>
      </c>
      <c r="P136" s="189" t="s">
        <v>22</v>
      </c>
      <c r="Q136" s="190" t="s">
        <v>23</v>
      </c>
      <c r="R136" s="191" t="s">
        <v>24</v>
      </c>
    </row>
    <row r="137" spans="1:18" ht="15.75" customHeight="1" thickBot="1" x14ac:dyDescent="0.4">
      <c r="A137" s="224"/>
      <c r="B137" s="225"/>
      <c r="C137" s="225"/>
      <c r="D137" s="225"/>
      <c r="E137" s="232"/>
      <c r="F137" s="225"/>
      <c r="G137" s="225"/>
      <c r="H137" s="225"/>
      <c r="I137" s="232"/>
      <c r="J137" s="225"/>
      <c r="K137" s="225"/>
      <c r="L137" s="225"/>
      <c r="M137" s="232"/>
      <c r="N137" s="225"/>
      <c r="O137" s="225"/>
      <c r="P137" s="225"/>
      <c r="Q137" s="232"/>
      <c r="R137" s="224"/>
    </row>
    <row r="138" spans="1:18" ht="15.75" customHeight="1" x14ac:dyDescent="0.35">
      <c r="A138" s="174" t="s">
        <v>48</v>
      </c>
      <c r="B138" s="140" t="s">
        <v>7</v>
      </c>
      <c r="C138" s="140" t="s">
        <v>7</v>
      </c>
      <c r="D138" s="140" t="s">
        <v>7</v>
      </c>
      <c r="E138" s="207" t="s">
        <v>7</v>
      </c>
      <c r="F138" s="140" t="s">
        <v>7</v>
      </c>
      <c r="G138" s="140" t="s">
        <v>7</v>
      </c>
      <c r="H138" s="140" t="s">
        <v>7</v>
      </c>
      <c r="I138" s="207" t="s">
        <v>7</v>
      </c>
      <c r="J138" s="140" t="s">
        <v>7</v>
      </c>
      <c r="K138" s="140" t="s">
        <v>7</v>
      </c>
      <c r="L138" s="140" t="s">
        <v>7</v>
      </c>
      <c r="M138" s="207" t="s">
        <v>7</v>
      </c>
      <c r="N138" s="140" t="s">
        <v>7</v>
      </c>
      <c r="O138" s="140" t="s">
        <v>7</v>
      </c>
      <c r="P138" s="140" t="s">
        <v>7</v>
      </c>
      <c r="Q138" s="207" t="s">
        <v>7</v>
      </c>
      <c r="R138" s="233" t="s">
        <v>7</v>
      </c>
    </row>
    <row r="139" spans="1:18" ht="15.75" customHeight="1" x14ac:dyDescent="0.35">
      <c r="A139" s="174" t="s">
        <v>49</v>
      </c>
      <c r="B139" s="140"/>
      <c r="C139" s="140"/>
      <c r="D139" s="140"/>
      <c r="E139" s="207" t="s">
        <v>7</v>
      </c>
      <c r="F139" s="140"/>
      <c r="G139" s="140"/>
      <c r="H139" s="140"/>
      <c r="I139" s="207" t="s">
        <v>7</v>
      </c>
      <c r="J139" s="140"/>
      <c r="K139" s="140"/>
      <c r="L139" s="140"/>
      <c r="M139" s="207" t="s">
        <v>7</v>
      </c>
      <c r="N139" s="140"/>
      <c r="O139" s="140"/>
      <c r="P139" s="140"/>
      <c r="Q139" s="207" t="s">
        <v>7</v>
      </c>
      <c r="R139" s="233"/>
    </row>
    <row r="140" spans="1:18" ht="15.75" customHeight="1" x14ac:dyDescent="0.35">
      <c r="A140" s="222" t="s">
        <v>534</v>
      </c>
      <c r="B140" s="140">
        <v>0</v>
      </c>
      <c r="C140" s="140">
        <v>0</v>
      </c>
      <c r="D140" s="140">
        <v>0</v>
      </c>
      <c r="E140" s="207">
        <f>SUM(B140:D140)</f>
        <v>0</v>
      </c>
      <c r="F140" s="140">
        <v>0</v>
      </c>
      <c r="G140" s="140">
        <v>0</v>
      </c>
      <c r="H140" s="140">
        <v>0</v>
      </c>
      <c r="I140" s="207">
        <f>SUM(F140:H140)</f>
        <v>0</v>
      </c>
      <c r="J140" s="140">
        <v>0</v>
      </c>
      <c r="K140" s="140">
        <v>0</v>
      </c>
      <c r="L140" s="140">
        <v>0</v>
      </c>
      <c r="M140" s="207">
        <f>SUM(J140:L140)</f>
        <v>0</v>
      </c>
      <c r="N140" s="140">
        <v>0</v>
      </c>
      <c r="O140" s="140">
        <v>0</v>
      </c>
      <c r="P140" s="140">
        <v>0</v>
      </c>
      <c r="Q140" s="207">
        <f>SUM(N140:P140)</f>
        <v>0</v>
      </c>
      <c r="R140" s="207">
        <f>+E140+I140+M140+Q140</f>
        <v>0</v>
      </c>
    </row>
    <row r="141" spans="1:18" ht="15.75" customHeight="1" x14ac:dyDescent="0.35">
      <c r="A141" s="234" t="s">
        <v>535</v>
      </c>
      <c r="B141" s="140">
        <v>0</v>
      </c>
      <c r="C141" s="140">
        <v>0</v>
      </c>
      <c r="D141" s="140">
        <v>1725</v>
      </c>
      <c r="E141" s="207">
        <f>SUM(B141:D141)</f>
        <v>1725</v>
      </c>
      <c r="F141" s="140">
        <v>2658</v>
      </c>
      <c r="G141" s="140">
        <v>2801</v>
      </c>
      <c r="H141" s="140">
        <v>2905</v>
      </c>
      <c r="I141" s="207">
        <f>SUM(F141:H141)</f>
        <v>8364</v>
      </c>
      <c r="J141" s="140">
        <v>2325</v>
      </c>
      <c r="K141" s="140">
        <v>2215</v>
      </c>
      <c r="L141" s="140">
        <v>1534</v>
      </c>
      <c r="M141" s="207">
        <f>SUM(J141:L141)</f>
        <v>6074</v>
      </c>
      <c r="N141" s="140">
        <v>17</v>
      </c>
      <c r="O141" s="140">
        <v>0</v>
      </c>
      <c r="P141" s="140">
        <v>241</v>
      </c>
      <c r="Q141" s="207">
        <f>SUM(N141:P141)</f>
        <v>258</v>
      </c>
      <c r="R141" s="207">
        <f>+E141+I141+M141+Q141</f>
        <v>16421</v>
      </c>
    </row>
    <row r="142" spans="1:18" ht="15.75" customHeight="1" x14ac:dyDescent="0.35">
      <c r="A142" s="222" t="s">
        <v>111</v>
      </c>
      <c r="B142" s="140">
        <v>8</v>
      </c>
      <c r="C142" s="140">
        <v>8</v>
      </c>
      <c r="D142" s="140">
        <v>12</v>
      </c>
      <c r="E142" s="207">
        <f t="shared" ref="E142:E156" si="24">SUM(B142:D142)</f>
        <v>28</v>
      </c>
      <c r="F142" s="140">
        <v>10</v>
      </c>
      <c r="G142" s="140">
        <v>14</v>
      </c>
      <c r="H142" s="140">
        <v>12</v>
      </c>
      <c r="I142" s="207">
        <f t="shared" ref="I142:I156" si="25">SUM(F142:H142)</f>
        <v>36</v>
      </c>
      <c r="J142" s="140">
        <v>19</v>
      </c>
      <c r="K142" s="140">
        <v>20</v>
      </c>
      <c r="L142" s="140">
        <v>19</v>
      </c>
      <c r="M142" s="207">
        <f t="shared" ref="M142:M156" si="26">SUM(J142:L142)</f>
        <v>58</v>
      </c>
      <c r="N142" s="140">
        <v>26</v>
      </c>
      <c r="O142" s="140">
        <v>18</v>
      </c>
      <c r="P142" s="140">
        <v>6</v>
      </c>
      <c r="Q142" s="207">
        <f t="shared" ref="Q142:Q156" si="27">SUM(N142:P142)</f>
        <v>50</v>
      </c>
      <c r="R142" s="207">
        <f t="shared" ref="R142:R156" si="28">+E142+I142+M142+Q142</f>
        <v>172</v>
      </c>
    </row>
    <row r="143" spans="1:18" ht="15.75" customHeight="1" x14ac:dyDescent="0.35">
      <c r="A143" s="234" t="s">
        <v>536</v>
      </c>
      <c r="B143" s="140">
        <v>1000</v>
      </c>
      <c r="C143" s="140">
        <v>2194</v>
      </c>
      <c r="D143" s="140">
        <v>1762</v>
      </c>
      <c r="E143" s="207">
        <f t="shared" si="24"/>
        <v>4956</v>
      </c>
      <c r="F143" s="140">
        <v>460</v>
      </c>
      <c r="G143" s="140">
        <v>0</v>
      </c>
      <c r="H143" s="140">
        <v>0</v>
      </c>
      <c r="I143" s="207">
        <f t="shared" si="25"/>
        <v>460</v>
      </c>
      <c r="J143" s="140">
        <v>0</v>
      </c>
      <c r="K143" s="140">
        <v>0</v>
      </c>
      <c r="L143" s="140">
        <v>0</v>
      </c>
      <c r="M143" s="207">
        <f t="shared" si="26"/>
        <v>0</v>
      </c>
      <c r="N143" s="140">
        <v>0</v>
      </c>
      <c r="O143" s="140">
        <v>0</v>
      </c>
      <c r="P143" s="140">
        <v>0</v>
      </c>
      <c r="Q143" s="207">
        <f t="shared" si="27"/>
        <v>0</v>
      </c>
      <c r="R143" s="207">
        <f t="shared" si="28"/>
        <v>5416</v>
      </c>
    </row>
    <row r="144" spans="1:18" ht="15.75" customHeight="1" x14ac:dyDescent="0.35">
      <c r="A144" s="234" t="s">
        <v>113</v>
      </c>
      <c r="B144" s="140">
        <v>2266</v>
      </c>
      <c r="C144" s="140">
        <v>1418</v>
      </c>
      <c r="D144" s="140">
        <v>1859</v>
      </c>
      <c r="E144" s="207">
        <f t="shared" si="24"/>
        <v>5543</v>
      </c>
      <c r="F144" s="140">
        <v>1161</v>
      </c>
      <c r="G144" s="140">
        <v>406</v>
      </c>
      <c r="H144" s="140">
        <v>636</v>
      </c>
      <c r="I144" s="207">
        <f t="shared" si="25"/>
        <v>2203</v>
      </c>
      <c r="J144" s="140">
        <v>0</v>
      </c>
      <c r="K144" s="140">
        <v>0</v>
      </c>
      <c r="L144" s="140">
        <v>0</v>
      </c>
      <c r="M144" s="207">
        <f t="shared" si="26"/>
        <v>0</v>
      </c>
      <c r="N144" s="140">
        <v>0</v>
      </c>
      <c r="O144" s="140">
        <v>0</v>
      </c>
      <c r="P144" s="140">
        <v>0</v>
      </c>
      <c r="Q144" s="207">
        <f t="shared" si="27"/>
        <v>0</v>
      </c>
      <c r="R144" s="207">
        <f t="shared" si="28"/>
        <v>7746</v>
      </c>
    </row>
    <row r="145" spans="1:18" ht="15.75" customHeight="1" x14ac:dyDescent="0.35">
      <c r="A145" s="222" t="s">
        <v>114</v>
      </c>
      <c r="B145" s="140">
        <v>20</v>
      </c>
      <c r="C145" s="140">
        <v>20</v>
      </c>
      <c r="D145" s="140">
        <v>30</v>
      </c>
      <c r="E145" s="207">
        <f t="shared" si="24"/>
        <v>70</v>
      </c>
      <c r="F145" s="140">
        <v>40</v>
      </c>
      <c r="G145" s="140">
        <v>45</v>
      </c>
      <c r="H145" s="140">
        <v>55</v>
      </c>
      <c r="I145" s="207">
        <f t="shared" si="25"/>
        <v>140</v>
      </c>
      <c r="J145" s="140">
        <v>56</v>
      </c>
      <c r="K145" s="140">
        <v>54</v>
      </c>
      <c r="L145" s="140">
        <v>52</v>
      </c>
      <c r="M145" s="207">
        <f t="shared" si="26"/>
        <v>162</v>
      </c>
      <c r="N145" s="140">
        <v>53</v>
      </c>
      <c r="O145" s="140">
        <v>72</v>
      </c>
      <c r="P145" s="140">
        <v>44</v>
      </c>
      <c r="Q145" s="207">
        <f t="shared" si="27"/>
        <v>169</v>
      </c>
      <c r="R145" s="207">
        <f t="shared" si="28"/>
        <v>541</v>
      </c>
    </row>
    <row r="146" spans="1:18" ht="15.75" customHeight="1" x14ac:dyDescent="0.35">
      <c r="A146" s="222" t="s">
        <v>115</v>
      </c>
      <c r="B146" s="140">
        <v>126</v>
      </c>
      <c r="C146" s="140">
        <v>112</v>
      </c>
      <c r="D146" s="140">
        <v>146</v>
      </c>
      <c r="E146" s="207">
        <f t="shared" si="24"/>
        <v>384</v>
      </c>
      <c r="F146" s="140">
        <v>143</v>
      </c>
      <c r="G146" s="140">
        <v>182</v>
      </c>
      <c r="H146" s="140">
        <v>179</v>
      </c>
      <c r="I146" s="207">
        <f t="shared" si="25"/>
        <v>504</v>
      </c>
      <c r="J146" s="140">
        <v>210</v>
      </c>
      <c r="K146" s="140">
        <v>202</v>
      </c>
      <c r="L146" s="140">
        <v>187</v>
      </c>
      <c r="M146" s="207">
        <f t="shared" si="26"/>
        <v>599</v>
      </c>
      <c r="N146" s="140">
        <v>170</v>
      </c>
      <c r="O146" s="140">
        <v>148</v>
      </c>
      <c r="P146" s="140">
        <v>132</v>
      </c>
      <c r="Q146" s="207">
        <f t="shared" si="27"/>
        <v>450</v>
      </c>
      <c r="R146" s="207">
        <f t="shared" si="28"/>
        <v>1937</v>
      </c>
    </row>
    <row r="147" spans="1:18" ht="15.75" customHeight="1" x14ac:dyDescent="0.35">
      <c r="A147" s="222" t="s">
        <v>116</v>
      </c>
      <c r="B147" s="140">
        <v>0</v>
      </c>
      <c r="C147" s="140">
        <v>0</v>
      </c>
      <c r="D147" s="140">
        <v>0</v>
      </c>
      <c r="E147" s="207">
        <f t="shared" si="24"/>
        <v>0</v>
      </c>
      <c r="F147" s="140">
        <v>0</v>
      </c>
      <c r="G147" s="140">
        <v>0</v>
      </c>
      <c r="H147" s="140">
        <v>0</v>
      </c>
      <c r="I147" s="207">
        <f t="shared" si="25"/>
        <v>0</v>
      </c>
      <c r="J147" s="140">
        <v>0</v>
      </c>
      <c r="K147" s="140">
        <v>0</v>
      </c>
      <c r="L147" s="140">
        <v>0</v>
      </c>
      <c r="M147" s="207">
        <f t="shared" si="26"/>
        <v>0</v>
      </c>
      <c r="N147" s="140">
        <v>0</v>
      </c>
      <c r="O147" s="140">
        <v>0</v>
      </c>
      <c r="P147" s="140">
        <v>0</v>
      </c>
      <c r="Q147" s="207">
        <f t="shared" si="27"/>
        <v>0</v>
      </c>
      <c r="R147" s="207">
        <f t="shared" si="28"/>
        <v>0</v>
      </c>
    </row>
    <row r="148" spans="1:18" ht="15.75" customHeight="1" x14ac:dyDescent="0.35">
      <c r="A148" s="222" t="s">
        <v>117</v>
      </c>
      <c r="B148" s="140">
        <v>407</v>
      </c>
      <c r="C148" s="140">
        <v>375</v>
      </c>
      <c r="D148" s="140">
        <v>479</v>
      </c>
      <c r="E148" s="207">
        <f t="shared" si="24"/>
        <v>1261</v>
      </c>
      <c r="F148" s="140">
        <v>504</v>
      </c>
      <c r="G148" s="140">
        <v>582</v>
      </c>
      <c r="H148" s="140">
        <v>594</v>
      </c>
      <c r="I148" s="207">
        <f t="shared" si="25"/>
        <v>1680</v>
      </c>
      <c r="J148" s="140">
        <v>678</v>
      </c>
      <c r="K148" s="140">
        <v>715</v>
      </c>
      <c r="L148" s="140">
        <v>621</v>
      </c>
      <c r="M148" s="207">
        <f t="shared" si="26"/>
        <v>2014</v>
      </c>
      <c r="N148" s="140">
        <v>665</v>
      </c>
      <c r="O148" s="140">
        <v>524</v>
      </c>
      <c r="P148" s="140">
        <v>442</v>
      </c>
      <c r="Q148" s="207">
        <f t="shared" si="27"/>
        <v>1631</v>
      </c>
      <c r="R148" s="207">
        <f t="shared" si="28"/>
        <v>6586</v>
      </c>
    </row>
    <row r="149" spans="1:18" ht="15.75" customHeight="1" x14ac:dyDescent="0.35">
      <c r="A149" s="222" t="s">
        <v>537</v>
      </c>
      <c r="B149" s="140">
        <v>0</v>
      </c>
      <c r="C149" s="140">
        <v>0</v>
      </c>
      <c r="D149" s="140">
        <v>0</v>
      </c>
      <c r="E149" s="207">
        <f>SUM(B149:D149)</f>
        <v>0</v>
      </c>
      <c r="F149" s="140">
        <v>0</v>
      </c>
      <c r="G149" s="140">
        <v>508</v>
      </c>
      <c r="H149" s="140">
        <v>0</v>
      </c>
      <c r="I149" s="207">
        <f>SUM(F149:H149)</f>
        <v>508</v>
      </c>
      <c r="J149" s="140">
        <v>0</v>
      </c>
      <c r="K149" s="140">
        <v>0</v>
      </c>
      <c r="L149" s="140">
        <v>0</v>
      </c>
      <c r="M149" s="207">
        <f>SUM(J149:L149)</f>
        <v>0</v>
      </c>
      <c r="N149" s="140">
        <v>0</v>
      </c>
      <c r="O149" s="140">
        <v>0</v>
      </c>
      <c r="P149" s="140">
        <v>0</v>
      </c>
      <c r="Q149" s="207">
        <f>SUM(N149:P149)</f>
        <v>0</v>
      </c>
      <c r="R149" s="207">
        <f>+E149+I149+M149+Q149</f>
        <v>508</v>
      </c>
    </row>
    <row r="150" spans="1:18" ht="15.75" customHeight="1" x14ac:dyDescent="0.35">
      <c r="A150" s="222" t="s">
        <v>118</v>
      </c>
      <c r="B150" s="140">
        <v>0</v>
      </c>
      <c r="C150" s="140">
        <v>0</v>
      </c>
      <c r="D150" s="140">
        <v>0</v>
      </c>
      <c r="E150" s="207">
        <f>SUM(B150:D150)</f>
        <v>0</v>
      </c>
      <c r="F150" s="140">
        <v>0</v>
      </c>
      <c r="G150" s="140">
        <v>0</v>
      </c>
      <c r="H150" s="140">
        <v>0</v>
      </c>
      <c r="I150" s="207">
        <f>SUM(F150:H150)</f>
        <v>0</v>
      </c>
      <c r="J150" s="140">
        <v>35</v>
      </c>
      <c r="K150" s="140">
        <v>77</v>
      </c>
      <c r="L150" s="140">
        <v>0</v>
      </c>
      <c r="M150" s="207">
        <f>SUM(J150:L150)</f>
        <v>112</v>
      </c>
      <c r="N150" s="140">
        <v>0</v>
      </c>
      <c r="O150" s="140">
        <v>0</v>
      </c>
      <c r="P150" s="140">
        <v>0</v>
      </c>
      <c r="Q150" s="207">
        <f>SUM(N150:P150)</f>
        <v>0</v>
      </c>
      <c r="R150" s="207">
        <f>+E150+I150+M150+Q150</f>
        <v>112</v>
      </c>
    </row>
    <row r="151" spans="1:18" ht="15.75" customHeight="1" x14ac:dyDescent="0.35">
      <c r="A151" s="222" t="s">
        <v>119</v>
      </c>
      <c r="B151" s="140">
        <v>0</v>
      </c>
      <c r="C151" s="140">
        <v>0</v>
      </c>
      <c r="D151" s="140">
        <v>0</v>
      </c>
      <c r="E151" s="207">
        <f>SUM(B151:D151)</f>
        <v>0</v>
      </c>
      <c r="F151" s="140">
        <v>2289</v>
      </c>
      <c r="G151" s="140">
        <v>2425</v>
      </c>
      <c r="H151" s="140">
        <v>2330</v>
      </c>
      <c r="I151" s="207">
        <f>SUM(F151:H151)</f>
        <v>7044</v>
      </c>
      <c r="J151" s="140">
        <v>2103</v>
      </c>
      <c r="K151" s="140">
        <v>1928</v>
      </c>
      <c r="L151" s="140">
        <v>1511</v>
      </c>
      <c r="M151" s="207">
        <f>SUM(J151:L151)</f>
        <v>5542</v>
      </c>
      <c r="N151" s="140">
        <v>1406</v>
      </c>
      <c r="O151" s="140">
        <v>1301</v>
      </c>
      <c r="P151" s="140">
        <v>1507</v>
      </c>
      <c r="Q151" s="207">
        <f>SUM(N151:P151)</f>
        <v>4214</v>
      </c>
      <c r="R151" s="207">
        <f>+E151+I151+M151+Q151</f>
        <v>16800</v>
      </c>
    </row>
    <row r="152" spans="1:18" ht="15.75" customHeight="1" x14ac:dyDescent="0.35">
      <c r="A152" s="222" t="s">
        <v>120</v>
      </c>
      <c r="B152" s="140">
        <v>21</v>
      </c>
      <c r="C152" s="140">
        <v>32</v>
      </c>
      <c r="D152" s="140">
        <v>60</v>
      </c>
      <c r="E152" s="207">
        <f>SUM(B152:D152)</f>
        <v>113</v>
      </c>
      <c r="F152" s="140">
        <v>64</v>
      </c>
      <c r="G152" s="140">
        <v>86</v>
      </c>
      <c r="H152" s="140">
        <v>85</v>
      </c>
      <c r="I152" s="207">
        <f>SUM(F152:H152)</f>
        <v>235</v>
      </c>
      <c r="J152" s="140">
        <v>112</v>
      </c>
      <c r="K152" s="140">
        <v>108</v>
      </c>
      <c r="L152" s="140">
        <v>82</v>
      </c>
      <c r="M152" s="207">
        <f>SUM(J152:L152)</f>
        <v>302</v>
      </c>
      <c r="N152" s="140">
        <v>15</v>
      </c>
      <c r="O152" s="140">
        <v>0</v>
      </c>
      <c r="P152" s="140">
        <v>0</v>
      </c>
      <c r="Q152" s="207">
        <f>SUM(N152:P152)</f>
        <v>15</v>
      </c>
      <c r="R152" s="207">
        <f>+E152+I152+M152+Q152</f>
        <v>665</v>
      </c>
    </row>
    <row r="153" spans="1:18" ht="15.75" customHeight="1" x14ac:dyDescent="0.35">
      <c r="A153" s="234" t="s">
        <v>538</v>
      </c>
      <c r="B153" s="140">
        <v>1970</v>
      </c>
      <c r="C153" s="140">
        <v>2034</v>
      </c>
      <c r="D153" s="140">
        <v>1948</v>
      </c>
      <c r="E153" s="207">
        <f>SUM(B153:D153)</f>
        <v>5952</v>
      </c>
      <c r="F153" s="140">
        <v>634</v>
      </c>
      <c r="G153" s="140">
        <v>2707</v>
      </c>
      <c r="H153" s="140">
        <v>854</v>
      </c>
      <c r="I153" s="207">
        <f>SUM(F153:H153)</f>
        <v>4195</v>
      </c>
      <c r="J153" s="140">
        <v>1033</v>
      </c>
      <c r="K153" s="140">
        <v>1040</v>
      </c>
      <c r="L153" s="140">
        <v>998</v>
      </c>
      <c r="M153" s="207">
        <f>SUM(J153:L153)</f>
        <v>3071</v>
      </c>
      <c r="N153" s="140">
        <v>1022</v>
      </c>
      <c r="O153" s="140">
        <v>788</v>
      </c>
      <c r="P153" s="140">
        <v>616</v>
      </c>
      <c r="Q153" s="207">
        <f>SUM(N153:P153)</f>
        <v>2426</v>
      </c>
      <c r="R153" s="207">
        <f>+E153+I153+M153+Q153</f>
        <v>15644</v>
      </c>
    </row>
    <row r="154" spans="1:18" ht="15.75" customHeight="1" x14ac:dyDescent="0.35">
      <c r="A154" s="222" t="s">
        <v>122</v>
      </c>
      <c r="B154" s="140">
        <v>7939</v>
      </c>
      <c r="C154" s="140">
        <v>7264</v>
      </c>
      <c r="D154" s="140">
        <v>9634</v>
      </c>
      <c r="E154" s="207">
        <f t="shared" si="24"/>
        <v>24837</v>
      </c>
      <c r="F154" s="140">
        <v>10357</v>
      </c>
      <c r="G154" s="140">
        <v>950</v>
      </c>
      <c r="H154" s="140">
        <v>0</v>
      </c>
      <c r="I154" s="207">
        <f t="shared" si="25"/>
        <v>11307</v>
      </c>
      <c r="J154" s="140">
        <v>16125</v>
      </c>
      <c r="K154" s="140">
        <v>15854</v>
      </c>
      <c r="L154" s="140">
        <v>12925</v>
      </c>
      <c r="M154" s="207">
        <f t="shared" si="26"/>
        <v>44904</v>
      </c>
      <c r="N154" s="140">
        <v>15494</v>
      </c>
      <c r="O154" s="140">
        <v>8401</v>
      </c>
      <c r="P154" s="140">
        <v>8429</v>
      </c>
      <c r="Q154" s="207">
        <f t="shared" si="27"/>
        <v>32324</v>
      </c>
      <c r="R154" s="207">
        <f t="shared" si="28"/>
        <v>113372</v>
      </c>
    </row>
    <row r="155" spans="1:18" ht="15.75" customHeight="1" x14ac:dyDescent="0.35">
      <c r="A155" s="222" t="s">
        <v>123</v>
      </c>
      <c r="B155" s="140">
        <v>15</v>
      </c>
      <c r="C155" s="140">
        <v>15</v>
      </c>
      <c r="D155" s="140">
        <v>24</v>
      </c>
      <c r="E155" s="207">
        <f t="shared" si="24"/>
        <v>54</v>
      </c>
      <c r="F155" s="140">
        <v>24</v>
      </c>
      <c r="G155" s="140">
        <v>25</v>
      </c>
      <c r="H155" s="140">
        <v>25</v>
      </c>
      <c r="I155" s="207">
        <f t="shared" si="25"/>
        <v>74</v>
      </c>
      <c r="J155" s="140">
        <v>25</v>
      </c>
      <c r="K155" s="140">
        <v>25</v>
      </c>
      <c r="L155" s="140">
        <v>25</v>
      </c>
      <c r="M155" s="207">
        <f t="shared" si="26"/>
        <v>75</v>
      </c>
      <c r="N155" s="140">
        <v>18</v>
      </c>
      <c r="O155" s="140">
        <v>18</v>
      </c>
      <c r="P155" s="140">
        <v>18</v>
      </c>
      <c r="Q155" s="207">
        <f t="shared" si="27"/>
        <v>54</v>
      </c>
      <c r="R155" s="207">
        <f t="shared" si="28"/>
        <v>257</v>
      </c>
    </row>
    <row r="156" spans="1:18" ht="15.75" customHeight="1" x14ac:dyDescent="0.35">
      <c r="A156" s="222" t="s">
        <v>124</v>
      </c>
      <c r="B156" s="140">
        <v>3283</v>
      </c>
      <c r="C156" s="140">
        <v>2005</v>
      </c>
      <c r="D156" s="140">
        <v>4085</v>
      </c>
      <c r="E156" s="207">
        <f t="shared" si="24"/>
        <v>9373</v>
      </c>
      <c r="F156" s="140">
        <v>4356</v>
      </c>
      <c r="G156" s="140">
        <v>5129</v>
      </c>
      <c r="H156" s="140">
        <v>5243</v>
      </c>
      <c r="I156" s="207">
        <f t="shared" si="25"/>
        <v>14728</v>
      </c>
      <c r="J156" s="140">
        <v>5635</v>
      </c>
      <c r="K156" s="140">
        <v>5349</v>
      </c>
      <c r="L156" s="140">
        <v>4556</v>
      </c>
      <c r="M156" s="207">
        <f t="shared" si="26"/>
        <v>15540</v>
      </c>
      <c r="N156" s="140">
        <v>5208</v>
      </c>
      <c r="O156" s="140">
        <v>4379</v>
      </c>
      <c r="P156" s="140">
        <v>3866</v>
      </c>
      <c r="Q156" s="207">
        <f t="shared" si="27"/>
        <v>13453</v>
      </c>
      <c r="R156" s="207">
        <f t="shared" si="28"/>
        <v>53094</v>
      </c>
    </row>
    <row r="157" spans="1:18" ht="15.75" customHeight="1" x14ac:dyDescent="0.35">
      <c r="A157" s="234" t="s">
        <v>539</v>
      </c>
      <c r="B157" s="140">
        <v>0</v>
      </c>
      <c r="C157" s="140">
        <v>0</v>
      </c>
      <c r="D157" s="140">
        <v>0</v>
      </c>
      <c r="E157" s="207">
        <f>SUM(B157:D157)</f>
        <v>0</v>
      </c>
      <c r="F157" s="140">
        <v>0</v>
      </c>
      <c r="G157" s="140">
        <v>0</v>
      </c>
      <c r="H157" s="140">
        <v>1626</v>
      </c>
      <c r="I157" s="207">
        <f>SUM(F157:H157)</f>
        <v>1626</v>
      </c>
      <c r="J157" s="140">
        <v>2189</v>
      </c>
      <c r="K157" s="140">
        <v>1966</v>
      </c>
      <c r="L157" s="140">
        <v>0</v>
      </c>
      <c r="M157" s="207">
        <f>SUM(J157:L157)</f>
        <v>4155</v>
      </c>
      <c r="N157" s="140">
        <v>990</v>
      </c>
      <c r="O157" s="140">
        <v>1689</v>
      </c>
      <c r="P157" s="140">
        <v>1789</v>
      </c>
      <c r="Q157" s="207">
        <f>SUM(N157:P157)</f>
        <v>4468</v>
      </c>
      <c r="R157" s="207">
        <f>+E157+I157+M157+Q157</f>
        <v>10249</v>
      </c>
    </row>
    <row r="158" spans="1:18" ht="15.75" customHeight="1" x14ac:dyDescent="0.35">
      <c r="A158" s="222" t="s">
        <v>125</v>
      </c>
      <c r="B158" s="140">
        <v>0</v>
      </c>
      <c r="C158" s="140">
        <v>0</v>
      </c>
      <c r="D158" s="140">
        <v>0</v>
      </c>
      <c r="E158" s="207">
        <f>SUM(B158:D158)</f>
        <v>0</v>
      </c>
      <c r="F158" s="140">
        <v>22</v>
      </c>
      <c r="G158" s="140">
        <v>350</v>
      </c>
      <c r="H158" s="140">
        <v>400</v>
      </c>
      <c r="I158" s="207">
        <f>SUM(F158:H158)</f>
        <v>772</v>
      </c>
      <c r="J158" s="140">
        <v>503</v>
      </c>
      <c r="K158" s="140">
        <v>471</v>
      </c>
      <c r="L158" s="140">
        <v>456</v>
      </c>
      <c r="M158" s="207">
        <f>SUM(J158:L158)</f>
        <v>1430</v>
      </c>
      <c r="N158" s="140">
        <v>613</v>
      </c>
      <c r="O158" s="140">
        <v>366</v>
      </c>
      <c r="P158" s="140">
        <v>250</v>
      </c>
      <c r="Q158" s="207">
        <f>SUM(N158:P158)</f>
        <v>1229</v>
      </c>
      <c r="R158" s="207">
        <f>+E158+I158+M158+Q158</f>
        <v>3431</v>
      </c>
    </row>
    <row r="159" spans="1:18" ht="15.75" customHeight="1" x14ac:dyDescent="0.35">
      <c r="A159" s="222" t="s">
        <v>126</v>
      </c>
      <c r="B159" s="140">
        <v>2</v>
      </c>
      <c r="C159" s="140">
        <v>2</v>
      </c>
      <c r="D159" s="140">
        <v>2</v>
      </c>
      <c r="E159" s="207">
        <f>SUM(B159:D159)</f>
        <v>6</v>
      </c>
      <c r="F159" s="140">
        <v>3</v>
      </c>
      <c r="G159" s="140">
        <v>3</v>
      </c>
      <c r="H159" s="140">
        <v>3</v>
      </c>
      <c r="I159" s="207">
        <f>SUM(F159:H159)</f>
        <v>9</v>
      </c>
      <c r="J159" s="140">
        <v>3</v>
      </c>
      <c r="K159" s="140">
        <v>3</v>
      </c>
      <c r="L159" s="140">
        <v>3</v>
      </c>
      <c r="M159" s="207">
        <f>SUM(J159:L159)</f>
        <v>9</v>
      </c>
      <c r="N159" s="140">
        <v>3</v>
      </c>
      <c r="O159" s="140">
        <v>3</v>
      </c>
      <c r="P159" s="140">
        <v>2</v>
      </c>
      <c r="Q159" s="207">
        <f>SUM(N159:P159)</f>
        <v>8</v>
      </c>
      <c r="R159" s="207">
        <f>+E159+I159+M159+Q159</f>
        <v>32</v>
      </c>
    </row>
    <row r="160" spans="1:18" ht="15.75" customHeight="1" x14ac:dyDescent="0.35">
      <c r="A160" s="174" t="s">
        <v>50</v>
      </c>
      <c r="B160" s="140"/>
      <c r="C160" s="140"/>
      <c r="D160" s="140"/>
      <c r="E160" s="207" t="s">
        <v>7</v>
      </c>
      <c r="F160" s="140"/>
      <c r="G160" s="140"/>
      <c r="H160" s="140"/>
      <c r="I160" s="207" t="s">
        <v>7</v>
      </c>
      <c r="J160" s="140"/>
      <c r="K160" s="140"/>
      <c r="L160" s="140"/>
      <c r="M160" s="207" t="s">
        <v>7</v>
      </c>
      <c r="N160" s="140"/>
      <c r="O160" s="140"/>
      <c r="P160" s="140"/>
      <c r="Q160" s="207" t="s">
        <v>7</v>
      </c>
      <c r="R160" s="207" t="s">
        <v>7</v>
      </c>
    </row>
    <row r="161" spans="1:18" ht="15.75" customHeight="1" x14ac:dyDescent="0.35">
      <c r="A161" s="222" t="s">
        <v>127</v>
      </c>
      <c r="B161" s="140">
        <v>20</v>
      </c>
      <c r="C161" s="140">
        <v>22</v>
      </c>
      <c r="D161" s="140">
        <v>36</v>
      </c>
      <c r="E161" s="207">
        <f t="shared" ref="E161:E169" si="29">SUM(B161:D161)</f>
        <v>78</v>
      </c>
      <c r="F161" s="140">
        <v>44</v>
      </c>
      <c r="G161" s="140">
        <v>49</v>
      </c>
      <c r="H161" s="140">
        <v>52</v>
      </c>
      <c r="I161" s="207">
        <f t="shared" ref="I161:I169" si="30">SUM(F161:H161)</f>
        <v>145</v>
      </c>
      <c r="J161" s="140">
        <v>79</v>
      </c>
      <c r="K161" s="140">
        <v>33</v>
      </c>
      <c r="L161" s="140">
        <v>37</v>
      </c>
      <c r="M161" s="207">
        <f t="shared" ref="M161:M169" si="31">SUM(J161:L161)</f>
        <v>149</v>
      </c>
      <c r="N161" s="140">
        <v>63</v>
      </c>
      <c r="O161" s="140">
        <v>35</v>
      </c>
      <c r="P161" s="140">
        <v>18</v>
      </c>
      <c r="Q161" s="207">
        <f t="shared" ref="Q161:Q169" si="32">SUM(N161:P161)</f>
        <v>116</v>
      </c>
      <c r="R161" s="207">
        <f t="shared" ref="R161:R169" si="33">+E161+I161+M161+Q161</f>
        <v>488</v>
      </c>
    </row>
    <row r="162" spans="1:18" ht="15.75" customHeight="1" x14ac:dyDescent="0.35">
      <c r="A162" s="222" t="s">
        <v>128</v>
      </c>
      <c r="B162" s="140">
        <v>3</v>
      </c>
      <c r="C162" s="140">
        <v>4</v>
      </c>
      <c r="D162" s="140">
        <v>19</v>
      </c>
      <c r="E162" s="207">
        <f t="shared" si="29"/>
        <v>26</v>
      </c>
      <c r="F162" s="140">
        <v>9</v>
      </c>
      <c r="G162" s="140">
        <v>22</v>
      </c>
      <c r="H162" s="140">
        <v>21</v>
      </c>
      <c r="I162" s="207">
        <f t="shared" si="30"/>
        <v>52</v>
      </c>
      <c r="J162" s="140">
        <v>24</v>
      </c>
      <c r="K162" s="140">
        <v>19</v>
      </c>
      <c r="L162" s="140">
        <v>21</v>
      </c>
      <c r="M162" s="207">
        <f t="shared" si="31"/>
        <v>64</v>
      </c>
      <c r="N162" s="140">
        <v>15</v>
      </c>
      <c r="O162" s="140">
        <v>9</v>
      </c>
      <c r="P162" s="140">
        <v>1</v>
      </c>
      <c r="Q162" s="207">
        <f t="shared" si="32"/>
        <v>25</v>
      </c>
      <c r="R162" s="207">
        <f t="shared" si="33"/>
        <v>167</v>
      </c>
    </row>
    <row r="163" spans="1:18" ht="15.75" customHeight="1" x14ac:dyDescent="0.35">
      <c r="A163" s="222" t="s">
        <v>129</v>
      </c>
      <c r="B163" s="140">
        <v>30</v>
      </c>
      <c r="C163" s="140">
        <v>30</v>
      </c>
      <c r="D163" s="140">
        <v>30</v>
      </c>
      <c r="E163" s="207">
        <f>SUM(B163:D163)</f>
        <v>90</v>
      </c>
      <c r="F163" s="140">
        <v>30</v>
      </c>
      <c r="G163" s="140">
        <v>30</v>
      </c>
      <c r="H163" s="140">
        <v>30</v>
      </c>
      <c r="I163" s="207">
        <f>SUM(F163:H163)</f>
        <v>90</v>
      </c>
      <c r="J163" s="140">
        <v>30</v>
      </c>
      <c r="K163" s="140">
        <v>30</v>
      </c>
      <c r="L163" s="140">
        <v>30</v>
      </c>
      <c r="M163" s="207">
        <f>SUM(J163:L163)</f>
        <v>90</v>
      </c>
      <c r="N163" s="140">
        <v>30</v>
      </c>
      <c r="O163" s="140">
        <v>30</v>
      </c>
      <c r="P163" s="140">
        <v>30</v>
      </c>
      <c r="Q163" s="207">
        <f>SUM(N163:P163)</f>
        <v>90</v>
      </c>
      <c r="R163" s="207">
        <f>+E163+I163+M163+Q163</f>
        <v>360</v>
      </c>
    </row>
    <row r="164" spans="1:18" ht="15.75" customHeight="1" x14ac:dyDescent="0.35">
      <c r="A164" s="235" t="s">
        <v>537</v>
      </c>
      <c r="B164" s="140">
        <v>0</v>
      </c>
      <c r="C164" s="140">
        <v>0</v>
      </c>
      <c r="D164" s="140">
        <v>0</v>
      </c>
      <c r="E164" s="207">
        <f>SUM(B164:D164)</f>
        <v>0</v>
      </c>
      <c r="F164" s="140">
        <v>0</v>
      </c>
      <c r="G164" s="140">
        <v>1792</v>
      </c>
      <c r="H164" s="140">
        <v>208</v>
      </c>
      <c r="I164" s="207">
        <f>SUM(F164:H164)</f>
        <v>2000</v>
      </c>
      <c r="J164" s="140">
        <v>0</v>
      </c>
      <c r="K164" s="140">
        <v>0</v>
      </c>
      <c r="L164" s="140">
        <v>0</v>
      </c>
      <c r="M164" s="207">
        <f>SUM(J164:L164)</f>
        <v>0</v>
      </c>
      <c r="N164" s="140">
        <v>0</v>
      </c>
      <c r="O164" s="140">
        <v>0</v>
      </c>
      <c r="P164" s="140">
        <v>0</v>
      </c>
      <c r="Q164" s="207">
        <f>SUM(N164:P164)</f>
        <v>0</v>
      </c>
      <c r="R164" s="207">
        <f>+E164+I164+M164+Q164</f>
        <v>2000</v>
      </c>
    </row>
    <row r="165" spans="1:18" ht="15.75" customHeight="1" x14ac:dyDescent="0.35">
      <c r="A165" s="222" t="s">
        <v>540</v>
      </c>
      <c r="B165" s="140">
        <v>1</v>
      </c>
      <c r="C165" s="140">
        <v>3</v>
      </c>
      <c r="D165" s="140">
        <v>4</v>
      </c>
      <c r="E165" s="207">
        <f t="shared" si="29"/>
        <v>8</v>
      </c>
      <c r="F165" s="140">
        <v>4</v>
      </c>
      <c r="G165" s="140">
        <v>3</v>
      </c>
      <c r="H165" s="140">
        <v>4</v>
      </c>
      <c r="I165" s="207">
        <f t="shared" si="30"/>
        <v>11</v>
      </c>
      <c r="J165" s="140">
        <v>4</v>
      </c>
      <c r="K165" s="140">
        <v>2</v>
      </c>
      <c r="L165" s="140">
        <v>3</v>
      </c>
      <c r="M165" s="207">
        <f t="shared" si="31"/>
        <v>9</v>
      </c>
      <c r="N165" s="140">
        <v>2</v>
      </c>
      <c r="O165" s="140">
        <v>2</v>
      </c>
      <c r="P165" s="140">
        <v>1</v>
      </c>
      <c r="Q165" s="207">
        <f t="shared" si="32"/>
        <v>5</v>
      </c>
      <c r="R165" s="207">
        <f t="shared" si="33"/>
        <v>33</v>
      </c>
    </row>
    <row r="166" spans="1:18" ht="15.75" customHeight="1" x14ac:dyDescent="0.35">
      <c r="A166" s="222" t="s">
        <v>120</v>
      </c>
      <c r="B166" s="140">
        <v>0</v>
      </c>
      <c r="C166" s="140">
        <v>0</v>
      </c>
      <c r="D166" s="140">
        <v>0</v>
      </c>
      <c r="E166" s="207">
        <f>SUM(B166:D166)</f>
        <v>0</v>
      </c>
      <c r="F166" s="140">
        <v>0</v>
      </c>
      <c r="G166" s="140">
        <v>0</v>
      </c>
      <c r="H166" s="140">
        <v>0</v>
      </c>
      <c r="I166" s="207">
        <f>SUM(F166:H166)</f>
        <v>0</v>
      </c>
      <c r="J166" s="140">
        <v>0</v>
      </c>
      <c r="K166" s="140">
        <v>0</v>
      </c>
      <c r="L166" s="140">
        <v>0</v>
      </c>
      <c r="M166" s="207">
        <f>SUM(J166:L166)</f>
        <v>0</v>
      </c>
      <c r="N166" s="140">
        <v>42</v>
      </c>
      <c r="O166" s="140">
        <v>48</v>
      </c>
      <c r="P166" s="140">
        <v>22</v>
      </c>
      <c r="Q166" s="207">
        <f>SUM(N166:P166)</f>
        <v>112</v>
      </c>
      <c r="R166" s="207">
        <f>+E166+I166+M166+Q166</f>
        <v>112</v>
      </c>
    </row>
    <row r="167" spans="1:18" ht="15.75" customHeight="1" x14ac:dyDescent="0.35">
      <c r="A167" s="222" t="s">
        <v>132</v>
      </c>
      <c r="B167" s="140">
        <v>1</v>
      </c>
      <c r="C167" s="140">
        <v>0</v>
      </c>
      <c r="D167" s="140">
        <v>1</v>
      </c>
      <c r="E167" s="207">
        <f t="shared" si="29"/>
        <v>2</v>
      </c>
      <c r="F167" s="140">
        <v>1</v>
      </c>
      <c r="G167" s="140">
        <v>1</v>
      </c>
      <c r="H167" s="140">
        <v>2</v>
      </c>
      <c r="I167" s="207">
        <f t="shared" si="30"/>
        <v>4</v>
      </c>
      <c r="J167" s="140">
        <v>2</v>
      </c>
      <c r="K167" s="140">
        <v>2</v>
      </c>
      <c r="L167" s="140">
        <v>1</v>
      </c>
      <c r="M167" s="207">
        <f t="shared" si="31"/>
        <v>5</v>
      </c>
      <c r="N167" s="140">
        <v>4</v>
      </c>
      <c r="O167" s="140">
        <v>1</v>
      </c>
      <c r="P167" s="140">
        <v>1</v>
      </c>
      <c r="Q167" s="207">
        <f t="shared" si="32"/>
        <v>6</v>
      </c>
      <c r="R167" s="207">
        <f t="shared" si="33"/>
        <v>17</v>
      </c>
    </row>
    <row r="168" spans="1:18" ht="15.75" customHeight="1" x14ac:dyDescent="0.35">
      <c r="A168" s="222" t="s">
        <v>133</v>
      </c>
      <c r="B168" s="140">
        <v>33</v>
      </c>
      <c r="C168" s="140">
        <v>53</v>
      </c>
      <c r="D168" s="140">
        <v>82</v>
      </c>
      <c r="E168" s="207">
        <f t="shared" si="29"/>
        <v>168</v>
      </c>
      <c r="F168" s="140">
        <v>116</v>
      </c>
      <c r="G168" s="140">
        <v>221</v>
      </c>
      <c r="H168" s="140">
        <v>234</v>
      </c>
      <c r="I168" s="207">
        <f t="shared" si="30"/>
        <v>571</v>
      </c>
      <c r="J168" s="140">
        <v>284</v>
      </c>
      <c r="K168" s="140">
        <v>231</v>
      </c>
      <c r="L168" s="140">
        <v>220</v>
      </c>
      <c r="M168" s="207">
        <f t="shared" si="31"/>
        <v>735</v>
      </c>
      <c r="N168" s="140">
        <v>230</v>
      </c>
      <c r="O168" s="140">
        <v>165</v>
      </c>
      <c r="P168" s="140">
        <v>35</v>
      </c>
      <c r="Q168" s="207">
        <f t="shared" si="32"/>
        <v>430</v>
      </c>
      <c r="R168" s="207">
        <f t="shared" si="33"/>
        <v>1904</v>
      </c>
    </row>
    <row r="169" spans="1:18" ht="15.75" customHeight="1" x14ac:dyDescent="0.35">
      <c r="A169" s="222" t="s">
        <v>134</v>
      </c>
      <c r="B169" s="140">
        <v>0</v>
      </c>
      <c r="C169" s="140">
        <v>0</v>
      </c>
      <c r="D169" s="140">
        <v>0</v>
      </c>
      <c r="E169" s="207">
        <f t="shared" si="29"/>
        <v>0</v>
      </c>
      <c r="F169" s="140">
        <v>0</v>
      </c>
      <c r="G169" s="140">
        <v>0</v>
      </c>
      <c r="H169" s="140">
        <v>0</v>
      </c>
      <c r="I169" s="207">
        <f t="shared" si="30"/>
        <v>0</v>
      </c>
      <c r="J169" s="140">
        <v>0</v>
      </c>
      <c r="K169" s="140">
        <v>0</v>
      </c>
      <c r="L169" s="140">
        <v>0</v>
      </c>
      <c r="M169" s="207">
        <f t="shared" si="31"/>
        <v>0</v>
      </c>
      <c r="N169" s="140">
        <v>0</v>
      </c>
      <c r="O169" s="140">
        <v>0</v>
      </c>
      <c r="P169" s="140">
        <v>0</v>
      </c>
      <c r="Q169" s="207">
        <f t="shared" si="32"/>
        <v>0</v>
      </c>
      <c r="R169" s="207">
        <f t="shared" si="33"/>
        <v>0</v>
      </c>
    </row>
    <row r="170" spans="1:18" ht="15.75" customHeight="1" x14ac:dyDescent="0.35">
      <c r="A170" s="222" t="s">
        <v>135</v>
      </c>
      <c r="B170" s="140">
        <v>0</v>
      </c>
      <c r="C170" s="140">
        <v>0</v>
      </c>
      <c r="D170" s="140">
        <v>0</v>
      </c>
      <c r="E170" s="207">
        <f>SUM(B170:D170)</f>
        <v>0</v>
      </c>
      <c r="F170" s="140">
        <v>0</v>
      </c>
      <c r="G170" s="140">
        <v>0</v>
      </c>
      <c r="H170" s="140">
        <v>0</v>
      </c>
      <c r="I170" s="207">
        <f>SUM(F170:H170)</f>
        <v>0</v>
      </c>
      <c r="J170" s="140">
        <v>0</v>
      </c>
      <c r="K170" s="140">
        <v>0</v>
      </c>
      <c r="L170" s="140">
        <v>0</v>
      </c>
      <c r="M170" s="207">
        <f>SUM(J170:L170)</f>
        <v>0</v>
      </c>
      <c r="N170" s="140">
        <v>0</v>
      </c>
      <c r="O170" s="140">
        <v>0</v>
      </c>
      <c r="P170" s="140">
        <v>0</v>
      </c>
      <c r="Q170" s="207">
        <f>SUM(N170:P170)</f>
        <v>0</v>
      </c>
      <c r="R170" s="207">
        <f>+E170+I170+M170+Q170</f>
        <v>0</v>
      </c>
    </row>
    <row r="171" spans="1:18" ht="15.75" customHeight="1" x14ac:dyDescent="0.35">
      <c r="A171" s="222" t="s">
        <v>136</v>
      </c>
      <c r="B171" s="140">
        <v>0</v>
      </c>
      <c r="C171" s="140">
        <v>0</v>
      </c>
      <c r="D171" s="140">
        <v>0</v>
      </c>
      <c r="E171" s="207">
        <f>SUM(B171:D171)</f>
        <v>0</v>
      </c>
      <c r="F171" s="140">
        <v>0</v>
      </c>
      <c r="G171" s="140">
        <v>0</v>
      </c>
      <c r="H171" s="140">
        <v>50</v>
      </c>
      <c r="I171" s="207">
        <f>SUM(F171:H171)</f>
        <v>50</v>
      </c>
      <c r="J171" s="140">
        <v>0</v>
      </c>
      <c r="K171" s="140">
        <v>0</v>
      </c>
      <c r="L171" s="140">
        <v>0</v>
      </c>
      <c r="M171" s="207">
        <f>SUM(J171:L171)</f>
        <v>0</v>
      </c>
      <c r="N171" s="140">
        <v>0</v>
      </c>
      <c r="O171" s="140">
        <v>0</v>
      </c>
      <c r="P171" s="140">
        <v>0</v>
      </c>
      <c r="Q171" s="207">
        <f>SUM(N171:P171)</f>
        <v>0</v>
      </c>
      <c r="R171" s="207">
        <f>+E171+I171+M171+Q171</f>
        <v>50</v>
      </c>
    </row>
    <row r="172" spans="1:18" ht="15.75" customHeight="1" x14ac:dyDescent="0.35">
      <c r="A172" s="174" t="s">
        <v>51</v>
      </c>
      <c r="B172" s="140"/>
      <c r="C172" s="140"/>
      <c r="D172" s="140"/>
      <c r="E172" s="207" t="s">
        <v>7</v>
      </c>
      <c r="F172" s="140"/>
      <c r="G172" s="140"/>
      <c r="H172" s="140"/>
      <c r="I172" s="207" t="s">
        <v>7</v>
      </c>
      <c r="J172" s="140"/>
      <c r="K172" s="140"/>
      <c r="L172" s="140"/>
      <c r="M172" s="207" t="s">
        <v>7</v>
      </c>
      <c r="N172" s="140"/>
      <c r="O172" s="140"/>
      <c r="P172" s="140"/>
      <c r="Q172" s="207" t="s">
        <v>7</v>
      </c>
      <c r="R172" s="207" t="s">
        <v>7</v>
      </c>
    </row>
    <row r="173" spans="1:18" ht="15.75" customHeight="1" x14ac:dyDescent="0.35">
      <c r="A173" s="236" t="s">
        <v>137</v>
      </c>
      <c r="B173" s="140">
        <v>0</v>
      </c>
      <c r="C173" s="140">
        <v>0</v>
      </c>
      <c r="D173" s="140">
        <v>0</v>
      </c>
      <c r="E173" s="207">
        <f>SUM(B173:D173)</f>
        <v>0</v>
      </c>
      <c r="F173" s="140">
        <v>0</v>
      </c>
      <c r="G173" s="140">
        <v>0</v>
      </c>
      <c r="H173" s="140">
        <v>106</v>
      </c>
      <c r="I173" s="207">
        <f>SUM(F173:H173)</f>
        <v>106</v>
      </c>
      <c r="J173" s="140">
        <v>0</v>
      </c>
      <c r="K173" s="140">
        <v>1057</v>
      </c>
      <c r="L173" s="140">
        <v>1717</v>
      </c>
      <c r="M173" s="207">
        <f>SUM(J173:L173)</f>
        <v>2774</v>
      </c>
      <c r="N173" s="140">
        <v>1600</v>
      </c>
      <c r="O173" s="140">
        <v>70</v>
      </c>
      <c r="P173" s="140">
        <v>2747</v>
      </c>
      <c r="Q173" s="207">
        <f>SUM(N173:P173)</f>
        <v>4417</v>
      </c>
      <c r="R173" s="207">
        <f>+E173+I173+M173+Q173</f>
        <v>7297</v>
      </c>
    </row>
    <row r="174" spans="1:18" ht="15.75" customHeight="1" x14ac:dyDescent="0.35">
      <c r="A174" s="236" t="s">
        <v>138</v>
      </c>
      <c r="B174" s="140">
        <v>0</v>
      </c>
      <c r="C174" s="140">
        <v>0</v>
      </c>
      <c r="D174" s="140">
        <v>0</v>
      </c>
      <c r="E174" s="207">
        <f>SUM(B174:D174)</f>
        <v>0</v>
      </c>
      <c r="F174" s="140">
        <v>0</v>
      </c>
      <c r="G174" s="140">
        <v>1000</v>
      </c>
      <c r="H174" s="140">
        <v>1227</v>
      </c>
      <c r="I174" s="207">
        <f>SUM(F174:H174)</f>
        <v>2227</v>
      </c>
      <c r="J174" s="140">
        <v>0</v>
      </c>
      <c r="K174" s="140">
        <v>1000</v>
      </c>
      <c r="L174" s="140">
        <v>0</v>
      </c>
      <c r="M174" s="207">
        <f>SUM(J174:L174)</f>
        <v>1000</v>
      </c>
      <c r="N174" s="140">
        <v>0</v>
      </c>
      <c r="O174" s="140">
        <v>0</v>
      </c>
      <c r="P174" s="140">
        <v>1968</v>
      </c>
      <c r="Q174" s="207">
        <f>SUM(N174:P174)</f>
        <v>1968</v>
      </c>
      <c r="R174" s="207">
        <f>+E174+I174+M174+Q174</f>
        <v>5195</v>
      </c>
    </row>
    <row r="175" spans="1:18" ht="15.75" customHeight="1" x14ac:dyDescent="0.35">
      <c r="A175" s="213" t="s">
        <v>139</v>
      </c>
      <c r="B175" s="140">
        <v>7</v>
      </c>
      <c r="C175" s="140">
        <v>8</v>
      </c>
      <c r="D175" s="140">
        <v>25</v>
      </c>
      <c r="E175" s="207">
        <f>SUM(B175:D175)</f>
        <v>40</v>
      </c>
      <c r="F175" s="140">
        <v>25</v>
      </c>
      <c r="G175" s="140">
        <v>74</v>
      </c>
      <c r="H175" s="140">
        <v>73</v>
      </c>
      <c r="I175" s="207">
        <f>SUM(F175:H175)</f>
        <v>172</v>
      </c>
      <c r="J175" s="140">
        <v>121</v>
      </c>
      <c r="K175" s="140">
        <v>75</v>
      </c>
      <c r="L175" s="140">
        <v>27</v>
      </c>
      <c r="M175" s="207">
        <f>SUM(J175:L175)</f>
        <v>223</v>
      </c>
      <c r="N175" s="140">
        <v>71</v>
      </c>
      <c r="O175" s="140">
        <v>27</v>
      </c>
      <c r="P175" s="140">
        <v>9</v>
      </c>
      <c r="Q175" s="207">
        <f>SUM(N175:P175)</f>
        <v>107</v>
      </c>
      <c r="R175" s="207">
        <f>+E175+I175+M175+Q175</f>
        <v>542</v>
      </c>
    </row>
    <row r="176" spans="1:18" ht="15.75" customHeight="1" thickBot="1" x14ac:dyDescent="0.4">
      <c r="A176" s="174" t="s">
        <v>53</v>
      </c>
      <c r="B176" s="140"/>
      <c r="C176" s="140"/>
      <c r="D176" s="140"/>
      <c r="E176" s="207" t="s">
        <v>7</v>
      </c>
      <c r="F176" s="140"/>
      <c r="G176" s="140"/>
      <c r="H176" s="140"/>
      <c r="I176" s="207" t="s">
        <v>7</v>
      </c>
      <c r="J176" s="140"/>
      <c r="K176" s="140"/>
      <c r="L176" s="140"/>
      <c r="M176" s="207" t="s">
        <v>7</v>
      </c>
      <c r="N176" s="140"/>
      <c r="O176" s="140"/>
      <c r="P176" s="140"/>
      <c r="Q176" s="207" t="s">
        <v>7</v>
      </c>
      <c r="R176" s="207" t="s">
        <v>7</v>
      </c>
    </row>
    <row r="177" spans="1:18" ht="15.75" customHeight="1" thickBot="1" x14ac:dyDescent="0.4">
      <c r="A177" s="209" t="s">
        <v>54</v>
      </c>
      <c r="B177" s="237">
        <f>SUM(B138:B176)</f>
        <v>17152</v>
      </c>
      <c r="C177" s="238">
        <f>SUM(C138:C176)</f>
        <v>15599</v>
      </c>
      <c r="D177" s="238">
        <f>SUM(D138:D176)</f>
        <v>21963</v>
      </c>
      <c r="E177" s="211">
        <f>SUM(B177:D177)</f>
        <v>54714</v>
      </c>
      <c r="F177" s="238">
        <f>SUM(F138:F176)</f>
        <v>22954</v>
      </c>
      <c r="G177" s="238">
        <f>SUM(G138:G176)</f>
        <v>19405</v>
      </c>
      <c r="H177" s="238">
        <f>SUM(H138:H176)</f>
        <v>16954</v>
      </c>
      <c r="I177" s="211">
        <f>SUM(F177:H177)</f>
        <v>59313</v>
      </c>
      <c r="J177" s="238">
        <f>SUM(J138:J176)</f>
        <v>31595</v>
      </c>
      <c r="K177" s="238">
        <f>SUM(K138:K176)</f>
        <v>32476</v>
      </c>
      <c r="L177" s="238">
        <f>SUM(L138:L176)</f>
        <v>25025</v>
      </c>
      <c r="M177" s="211">
        <f>SUM(J177:L177)</f>
        <v>89096</v>
      </c>
      <c r="N177" s="238">
        <f>SUM(N138:N176)</f>
        <v>27757</v>
      </c>
      <c r="O177" s="238">
        <f>SUM(O138:O176)</f>
        <v>18094</v>
      </c>
      <c r="P177" s="238">
        <f>SUM(P138:P176)</f>
        <v>22174</v>
      </c>
      <c r="Q177" s="211">
        <f>SUM(N177:P177)</f>
        <v>68025</v>
      </c>
      <c r="R177" s="211">
        <f>+E177+I177+M177+Q177</f>
        <v>271148</v>
      </c>
    </row>
    <row r="178" spans="1:18" ht="15.75" customHeight="1" x14ac:dyDescent="0.35">
      <c r="A178" s="174" t="s">
        <v>55</v>
      </c>
      <c r="B178" s="140"/>
      <c r="C178" s="140"/>
      <c r="D178" s="140"/>
      <c r="E178" s="207" t="s">
        <v>7</v>
      </c>
      <c r="F178" s="140"/>
      <c r="G178" s="140"/>
      <c r="H178" s="140"/>
      <c r="I178" s="207" t="s">
        <v>7</v>
      </c>
      <c r="J178" s="140"/>
      <c r="K178" s="140"/>
      <c r="L178" s="140"/>
      <c r="M178" s="207" t="s">
        <v>7</v>
      </c>
      <c r="N178" s="140"/>
      <c r="O178" s="140"/>
      <c r="P178" s="140"/>
      <c r="Q178" s="207" t="s">
        <v>7</v>
      </c>
      <c r="R178" s="207" t="s">
        <v>7</v>
      </c>
    </row>
    <row r="179" spans="1:18" ht="15.75" customHeight="1" x14ac:dyDescent="0.35">
      <c r="A179" s="174" t="s">
        <v>56</v>
      </c>
      <c r="B179" s="140"/>
      <c r="C179" s="140"/>
      <c r="D179" s="140"/>
      <c r="E179" s="207" t="s">
        <v>7</v>
      </c>
      <c r="F179" s="140"/>
      <c r="G179" s="140"/>
      <c r="H179" s="140"/>
      <c r="I179" s="207" t="s">
        <v>7</v>
      </c>
      <c r="J179" s="140"/>
      <c r="K179" s="140"/>
      <c r="L179" s="140"/>
      <c r="M179" s="207" t="s">
        <v>7</v>
      </c>
      <c r="N179" s="140"/>
      <c r="O179" s="140"/>
      <c r="P179" s="140"/>
      <c r="Q179" s="207" t="s">
        <v>7</v>
      </c>
      <c r="R179" s="207" t="s">
        <v>7</v>
      </c>
    </row>
    <row r="180" spans="1:18" ht="15.75" customHeight="1" x14ac:dyDescent="0.35">
      <c r="A180" s="174" t="s">
        <v>57</v>
      </c>
      <c r="B180" s="140"/>
      <c r="C180" s="140"/>
      <c r="D180" s="140"/>
      <c r="E180" s="207" t="s">
        <v>7</v>
      </c>
      <c r="F180" s="140"/>
      <c r="G180" s="140"/>
      <c r="H180" s="140"/>
      <c r="I180" s="207" t="s">
        <v>7</v>
      </c>
      <c r="J180" s="140"/>
      <c r="K180" s="140"/>
      <c r="L180" s="140"/>
      <c r="M180" s="207" t="s">
        <v>7</v>
      </c>
      <c r="N180" s="140"/>
      <c r="O180" s="140"/>
      <c r="P180" s="140"/>
      <c r="Q180" s="207" t="s">
        <v>7</v>
      </c>
      <c r="R180" s="207" t="s">
        <v>7</v>
      </c>
    </row>
    <row r="181" spans="1:18" ht="15.75" customHeight="1" thickBot="1" x14ac:dyDescent="0.4">
      <c r="A181" s="174" t="s">
        <v>58</v>
      </c>
      <c r="B181" s="140"/>
      <c r="C181" s="140"/>
      <c r="D181" s="140"/>
      <c r="E181" s="207" t="s">
        <v>7</v>
      </c>
      <c r="F181" s="140"/>
      <c r="G181" s="140"/>
      <c r="H181" s="140"/>
      <c r="I181" s="207" t="s">
        <v>7</v>
      </c>
      <c r="J181" s="140"/>
      <c r="K181" s="140"/>
      <c r="L181" s="140"/>
      <c r="M181" s="207" t="s">
        <v>7</v>
      </c>
      <c r="N181" s="140"/>
      <c r="O181" s="140"/>
      <c r="P181" s="140"/>
      <c r="Q181" s="207" t="s">
        <v>7</v>
      </c>
      <c r="R181" s="207" t="s">
        <v>7</v>
      </c>
    </row>
    <row r="182" spans="1:18" ht="15.75" customHeight="1" thickBot="1" x14ac:dyDescent="0.4">
      <c r="A182" s="209" t="s">
        <v>59</v>
      </c>
      <c r="B182" s="237">
        <f>SUM(B178:B181)</f>
        <v>0</v>
      </c>
      <c r="C182" s="238">
        <f>SUM(C178:C181)</f>
        <v>0</v>
      </c>
      <c r="D182" s="238">
        <f>SUM(D178:D181)</f>
        <v>0</v>
      </c>
      <c r="E182" s="211">
        <f>SUM(B182:D182)</f>
        <v>0</v>
      </c>
      <c r="F182" s="238">
        <f>SUM(F178:F181)</f>
        <v>0</v>
      </c>
      <c r="G182" s="238">
        <f>SUM(G178:G181)</f>
        <v>0</v>
      </c>
      <c r="H182" s="238">
        <f>SUM(H178:H181)</f>
        <v>0</v>
      </c>
      <c r="I182" s="211">
        <f>SUM(F182:H182)</f>
        <v>0</v>
      </c>
      <c r="J182" s="238">
        <f>SUM(J178:J181)</f>
        <v>0</v>
      </c>
      <c r="K182" s="238">
        <f>SUM(K178:K181)</f>
        <v>0</v>
      </c>
      <c r="L182" s="238">
        <f>SUM(L178:L181)</f>
        <v>0</v>
      </c>
      <c r="M182" s="211">
        <f>SUM(J182:L182)</f>
        <v>0</v>
      </c>
      <c r="N182" s="238">
        <f>SUM(N178:N181)</f>
        <v>0</v>
      </c>
      <c r="O182" s="238">
        <f>SUM(O178:O181)</f>
        <v>0</v>
      </c>
      <c r="P182" s="238">
        <f>SUM(P178:P181)</f>
        <v>0</v>
      </c>
      <c r="Q182" s="211">
        <f>SUM(N182:P182)</f>
        <v>0</v>
      </c>
      <c r="R182" s="211">
        <f>+E182+I182+M182+Q182</f>
        <v>0</v>
      </c>
    </row>
    <row r="183" spans="1:18" ht="15.75" customHeight="1" x14ac:dyDescent="0.35">
      <c r="A183" s="174" t="s">
        <v>60</v>
      </c>
      <c r="B183" s="140"/>
      <c r="C183" s="140"/>
      <c r="D183" s="140"/>
      <c r="E183" s="207" t="s">
        <v>7</v>
      </c>
      <c r="F183" s="140"/>
      <c r="G183" s="140"/>
      <c r="H183" s="140"/>
      <c r="I183" s="207" t="s">
        <v>7</v>
      </c>
      <c r="J183" s="140"/>
      <c r="K183" s="140"/>
      <c r="L183" s="140"/>
      <c r="M183" s="207" t="s">
        <v>7</v>
      </c>
      <c r="N183" s="140"/>
      <c r="O183" s="140"/>
      <c r="P183" s="140"/>
      <c r="Q183" s="207" t="s">
        <v>7</v>
      </c>
      <c r="R183" s="207" t="s">
        <v>7</v>
      </c>
    </row>
    <row r="184" spans="1:18" ht="15.75" customHeight="1" x14ac:dyDescent="0.35">
      <c r="A184" s="174" t="s">
        <v>61</v>
      </c>
      <c r="B184" s="140"/>
      <c r="C184" s="140"/>
      <c r="D184" s="140"/>
      <c r="E184" s="207" t="s">
        <v>7</v>
      </c>
      <c r="F184" s="140"/>
      <c r="G184" s="140"/>
      <c r="H184" s="140"/>
      <c r="I184" s="207" t="s">
        <v>7</v>
      </c>
      <c r="J184" s="140"/>
      <c r="K184" s="140"/>
      <c r="L184" s="140"/>
      <c r="M184" s="207" t="s">
        <v>7</v>
      </c>
      <c r="N184" s="140"/>
      <c r="O184" s="140"/>
      <c r="P184" s="140"/>
      <c r="Q184" s="207" t="s">
        <v>7</v>
      </c>
      <c r="R184" s="207" t="s">
        <v>7</v>
      </c>
    </row>
    <row r="185" spans="1:18" ht="15.75" customHeight="1" x14ac:dyDescent="0.35">
      <c r="A185" s="174" t="s">
        <v>62</v>
      </c>
      <c r="B185" s="140"/>
      <c r="C185" s="140"/>
      <c r="D185" s="140"/>
      <c r="E185" s="207" t="s">
        <v>7</v>
      </c>
      <c r="F185" s="140"/>
      <c r="G185" s="140"/>
      <c r="H185" s="140"/>
      <c r="I185" s="207" t="s">
        <v>7</v>
      </c>
      <c r="J185" s="140"/>
      <c r="K185" s="140"/>
      <c r="L185" s="140"/>
      <c r="M185" s="207" t="s">
        <v>7</v>
      </c>
      <c r="N185" s="140"/>
      <c r="O185" s="140"/>
      <c r="P185" s="140"/>
      <c r="Q185" s="207" t="s">
        <v>7</v>
      </c>
      <c r="R185" s="207" t="s">
        <v>7</v>
      </c>
    </row>
    <row r="186" spans="1:18" ht="15.75" customHeight="1" x14ac:dyDescent="0.35">
      <c r="A186" s="239" t="s">
        <v>142</v>
      </c>
      <c r="B186" s="140">
        <v>310</v>
      </c>
      <c r="C186" s="140">
        <v>280</v>
      </c>
      <c r="D186" s="140">
        <v>368</v>
      </c>
      <c r="E186" s="207">
        <f>SUM(B186:D186)</f>
        <v>958</v>
      </c>
      <c r="F186" s="140">
        <v>393</v>
      </c>
      <c r="G186" s="140">
        <v>490</v>
      </c>
      <c r="H186" s="140">
        <v>497</v>
      </c>
      <c r="I186" s="207">
        <f>SUM(F186:H186)</f>
        <v>1380</v>
      </c>
      <c r="J186" s="140">
        <v>587</v>
      </c>
      <c r="K186" s="140">
        <v>580</v>
      </c>
      <c r="L186" s="140">
        <v>508</v>
      </c>
      <c r="M186" s="207">
        <f>SUM(J186:L186)</f>
        <v>1675</v>
      </c>
      <c r="N186" s="140">
        <v>487</v>
      </c>
      <c r="O186" s="140">
        <v>432</v>
      </c>
      <c r="P186" s="140">
        <v>350</v>
      </c>
      <c r="Q186" s="207">
        <f>SUM(N186:P186)</f>
        <v>1269</v>
      </c>
      <c r="R186" s="207">
        <f>+E186+I186+M186+Q186</f>
        <v>5282</v>
      </c>
    </row>
    <row r="187" spans="1:18" ht="15.75" customHeight="1" x14ac:dyDescent="0.35">
      <c r="A187" s="239" t="s">
        <v>143</v>
      </c>
      <c r="B187" s="140">
        <v>0</v>
      </c>
      <c r="C187" s="140">
        <v>0</v>
      </c>
      <c r="D187" s="140">
        <v>357</v>
      </c>
      <c r="E187" s="207">
        <f>SUM(B187:D187)</f>
        <v>357</v>
      </c>
      <c r="F187" s="140">
        <v>0</v>
      </c>
      <c r="G187" s="140">
        <v>0</v>
      </c>
      <c r="H187" s="140">
        <v>0</v>
      </c>
      <c r="I187" s="207">
        <f>SUM(F187:H187)</f>
        <v>0</v>
      </c>
      <c r="J187" s="140">
        <v>0</v>
      </c>
      <c r="K187" s="140">
        <v>0</v>
      </c>
      <c r="L187" s="140">
        <v>0</v>
      </c>
      <c r="M187" s="207">
        <f>SUM(J187:L187)</f>
        <v>0</v>
      </c>
      <c r="N187" s="140">
        <v>0</v>
      </c>
      <c r="O187" s="140">
        <v>0</v>
      </c>
      <c r="P187" s="140">
        <v>0</v>
      </c>
      <c r="Q187" s="207">
        <f>SUM(N187:P187)</f>
        <v>0</v>
      </c>
      <c r="R187" s="207">
        <f>+E187+I187+M187+Q187</f>
        <v>357</v>
      </c>
    </row>
    <row r="188" spans="1:18" ht="15.75" customHeight="1" x14ac:dyDescent="0.35">
      <c r="A188" s="239" t="s">
        <v>145</v>
      </c>
      <c r="B188" s="140">
        <v>18</v>
      </c>
      <c r="C188" s="140">
        <v>20</v>
      </c>
      <c r="D188" s="140">
        <v>53</v>
      </c>
      <c r="E188" s="207">
        <f>SUM(B188:D188)</f>
        <v>91</v>
      </c>
      <c r="F188" s="140">
        <v>65</v>
      </c>
      <c r="G188" s="140">
        <v>99</v>
      </c>
      <c r="H188" s="140">
        <v>77</v>
      </c>
      <c r="I188" s="207">
        <f>SUM(F188:H188)</f>
        <v>241</v>
      </c>
      <c r="J188" s="140">
        <v>114</v>
      </c>
      <c r="K188" s="140">
        <v>79</v>
      </c>
      <c r="L188" s="140">
        <v>19</v>
      </c>
      <c r="M188" s="207">
        <f>SUM(J188:L188)</f>
        <v>212</v>
      </c>
      <c r="N188" s="140">
        <v>70</v>
      </c>
      <c r="O188" s="140">
        <v>51</v>
      </c>
      <c r="P188" s="140">
        <v>16</v>
      </c>
      <c r="Q188" s="207">
        <f>SUM(N188:P188)</f>
        <v>137</v>
      </c>
      <c r="R188" s="207">
        <f>+E188+I188+M188+Q188</f>
        <v>681</v>
      </c>
    </row>
    <row r="189" spans="1:18" ht="15.75" customHeight="1" x14ac:dyDescent="0.35">
      <c r="A189" s="110" t="s">
        <v>146</v>
      </c>
      <c r="B189" s="140">
        <v>0</v>
      </c>
      <c r="C189" s="140">
        <v>0</v>
      </c>
      <c r="D189" s="140">
        <v>0</v>
      </c>
      <c r="E189" s="207">
        <f t="shared" ref="E189:E215" si="34">SUM(B189:D189)</f>
        <v>0</v>
      </c>
      <c r="F189" s="140">
        <v>0</v>
      </c>
      <c r="G189" s="140">
        <v>0</v>
      </c>
      <c r="H189" s="140">
        <v>0</v>
      </c>
      <c r="I189" s="207">
        <f t="shared" ref="I189:I215" si="35">SUM(F189:H189)</f>
        <v>0</v>
      </c>
      <c r="J189" s="140">
        <v>0</v>
      </c>
      <c r="K189" s="140">
        <v>0</v>
      </c>
      <c r="L189" s="140">
        <v>0</v>
      </c>
      <c r="M189" s="207">
        <f t="shared" ref="M189:M215" si="36">SUM(J189:L189)</f>
        <v>0</v>
      </c>
      <c r="N189" s="140">
        <v>0</v>
      </c>
      <c r="O189" s="140">
        <v>0</v>
      </c>
      <c r="P189" s="140">
        <v>0</v>
      </c>
      <c r="Q189" s="207">
        <f t="shared" ref="Q189:Q215" si="37">SUM(N189:P189)</f>
        <v>0</v>
      </c>
      <c r="R189" s="207">
        <f t="shared" ref="R189:R215" si="38">+E189+I189+M189+Q189</f>
        <v>0</v>
      </c>
    </row>
    <row r="190" spans="1:18" ht="15.75" customHeight="1" x14ac:dyDescent="0.35">
      <c r="A190" s="110" t="s">
        <v>147</v>
      </c>
      <c r="B190" s="140">
        <v>0</v>
      </c>
      <c r="C190" s="140">
        <v>0</v>
      </c>
      <c r="D190" s="140">
        <v>0</v>
      </c>
      <c r="E190" s="207">
        <f>SUM(B190:D190)</f>
        <v>0</v>
      </c>
      <c r="F190" s="140">
        <v>0</v>
      </c>
      <c r="G190" s="140">
        <v>0</v>
      </c>
      <c r="H190" s="140">
        <v>0</v>
      </c>
      <c r="I190" s="207">
        <f>SUM(F190:H190)</f>
        <v>0</v>
      </c>
      <c r="J190" s="140">
        <v>0</v>
      </c>
      <c r="K190" s="140">
        <v>0</v>
      </c>
      <c r="L190" s="140">
        <v>0</v>
      </c>
      <c r="M190" s="207">
        <f>SUM(J190:L190)</f>
        <v>0</v>
      </c>
      <c r="N190" s="140">
        <v>0</v>
      </c>
      <c r="O190" s="140">
        <v>0</v>
      </c>
      <c r="P190" s="140">
        <v>0</v>
      </c>
      <c r="Q190" s="207">
        <f>SUM(N190:P190)</f>
        <v>0</v>
      </c>
      <c r="R190" s="207">
        <f>+E190+I190+M190+Q190</f>
        <v>0</v>
      </c>
    </row>
    <row r="191" spans="1:18" ht="15.75" customHeight="1" x14ac:dyDescent="0.35">
      <c r="A191" s="110" t="s">
        <v>148</v>
      </c>
      <c r="B191" s="140">
        <v>682</v>
      </c>
      <c r="C191" s="140">
        <v>0</v>
      </c>
      <c r="D191" s="140">
        <v>0</v>
      </c>
      <c r="E191" s="207">
        <f t="shared" si="34"/>
        <v>682</v>
      </c>
      <c r="F191" s="140">
        <v>0</v>
      </c>
      <c r="G191" s="140">
        <v>0</v>
      </c>
      <c r="H191" s="140">
        <v>0</v>
      </c>
      <c r="I191" s="207">
        <f t="shared" si="35"/>
        <v>0</v>
      </c>
      <c r="J191" s="140">
        <v>0</v>
      </c>
      <c r="K191" s="140">
        <v>0</v>
      </c>
      <c r="L191" s="140">
        <v>0</v>
      </c>
      <c r="M191" s="207">
        <f t="shared" si="36"/>
        <v>0</v>
      </c>
      <c r="N191" s="140">
        <v>0</v>
      </c>
      <c r="O191" s="140">
        <v>0</v>
      </c>
      <c r="P191" s="140">
        <v>0</v>
      </c>
      <c r="Q191" s="207">
        <f t="shared" si="37"/>
        <v>0</v>
      </c>
      <c r="R191" s="207">
        <f t="shared" si="38"/>
        <v>682</v>
      </c>
    </row>
    <row r="192" spans="1:18" ht="15.75" customHeight="1" x14ac:dyDescent="0.35">
      <c r="A192" s="110" t="s">
        <v>149</v>
      </c>
      <c r="B192" s="140">
        <v>0</v>
      </c>
      <c r="C192" s="140">
        <v>0</v>
      </c>
      <c r="D192" s="140">
        <v>0</v>
      </c>
      <c r="E192" s="207">
        <f t="shared" si="34"/>
        <v>0</v>
      </c>
      <c r="F192" s="140">
        <v>0</v>
      </c>
      <c r="G192" s="140">
        <v>0</v>
      </c>
      <c r="H192" s="140">
        <v>0</v>
      </c>
      <c r="I192" s="207">
        <f t="shared" si="35"/>
        <v>0</v>
      </c>
      <c r="J192" s="140">
        <v>0</v>
      </c>
      <c r="K192" s="140">
        <v>0</v>
      </c>
      <c r="L192" s="140">
        <v>0</v>
      </c>
      <c r="M192" s="207">
        <f t="shared" si="36"/>
        <v>0</v>
      </c>
      <c r="N192" s="140">
        <v>0</v>
      </c>
      <c r="O192" s="140">
        <v>0</v>
      </c>
      <c r="P192" s="140">
        <v>0</v>
      </c>
      <c r="Q192" s="207">
        <f t="shared" si="37"/>
        <v>0</v>
      </c>
      <c r="R192" s="207">
        <f t="shared" si="38"/>
        <v>0</v>
      </c>
    </row>
    <row r="193" spans="1:18" ht="15.75" customHeight="1" x14ac:dyDescent="0.35">
      <c r="A193" s="110" t="s">
        <v>150</v>
      </c>
      <c r="B193" s="140">
        <v>1136</v>
      </c>
      <c r="C193" s="140">
        <v>0</v>
      </c>
      <c r="D193" s="140">
        <v>0</v>
      </c>
      <c r="E193" s="207">
        <f t="shared" si="34"/>
        <v>1136</v>
      </c>
      <c r="F193" s="140">
        <v>0</v>
      </c>
      <c r="G193" s="140">
        <v>0</v>
      </c>
      <c r="H193" s="140">
        <v>0</v>
      </c>
      <c r="I193" s="207">
        <f t="shared" si="35"/>
        <v>0</v>
      </c>
      <c r="J193" s="140">
        <v>0</v>
      </c>
      <c r="K193" s="140">
        <v>0</v>
      </c>
      <c r="L193" s="140">
        <v>0</v>
      </c>
      <c r="M193" s="207">
        <f t="shared" si="36"/>
        <v>0</v>
      </c>
      <c r="N193" s="140">
        <v>0</v>
      </c>
      <c r="O193" s="140">
        <v>0</v>
      </c>
      <c r="P193" s="140">
        <v>0</v>
      </c>
      <c r="Q193" s="207">
        <f t="shared" si="37"/>
        <v>0</v>
      </c>
      <c r="R193" s="207">
        <f t="shared" si="38"/>
        <v>1136</v>
      </c>
    </row>
    <row r="194" spans="1:18" ht="15.75" customHeight="1" x14ac:dyDescent="0.35">
      <c r="A194" s="110" t="s">
        <v>151</v>
      </c>
      <c r="B194" s="140">
        <v>23</v>
      </c>
      <c r="C194" s="140">
        <v>0</v>
      </c>
      <c r="D194" s="140">
        <v>0</v>
      </c>
      <c r="E194" s="207">
        <f t="shared" si="34"/>
        <v>23</v>
      </c>
      <c r="F194" s="140">
        <v>0</v>
      </c>
      <c r="G194" s="140">
        <v>0</v>
      </c>
      <c r="H194" s="140">
        <v>0</v>
      </c>
      <c r="I194" s="207">
        <f t="shared" si="35"/>
        <v>0</v>
      </c>
      <c r="J194" s="140">
        <v>0</v>
      </c>
      <c r="K194" s="140">
        <v>0</v>
      </c>
      <c r="L194" s="140">
        <v>0</v>
      </c>
      <c r="M194" s="207">
        <f t="shared" si="36"/>
        <v>0</v>
      </c>
      <c r="N194" s="140">
        <v>0</v>
      </c>
      <c r="O194" s="140">
        <v>0</v>
      </c>
      <c r="P194" s="140">
        <v>0</v>
      </c>
      <c r="Q194" s="207">
        <f t="shared" si="37"/>
        <v>0</v>
      </c>
      <c r="R194" s="207">
        <f t="shared" si="38"/>
        <v>23</v>
      </c>
    </row>
    <row r="195" spans="1:18" ht="15.75" customHeight="1" x14ac:dyDescent="0.35">
      <c r="A195" s="110" t="s">
        <v>152</v>
      </c>
      <c r="B195" s="140">
        <v>0</v>
      </c>
      <c r="C195" s="140">
        <v>0</v>
      </c>
      <c r="D195" s="140">
        <v>0</v>
      </c>
      <c r="E195" s="207">
        <f t="shared" si="34"/>
        <v>0</v>
      </c>
      <c r="F195" s="140">
        <v>23</v>
      </c>
      <c r="G195" s="140">
        <v>0</v>
      </c>
      <c r="H195" s="140">
        <v>0</v>
      </c>
      <c r="I195" s="207">
        <f t="shared" si="35"/>
        <v>23</v>
      </c>
      <c r="J195" s="140">
        <v>0</v>
      </c>
      <c r="K195" s="140">
        <v>0</v>
      </c>
      <c r="L195" s="140">
        <v>0</v>
      </c>
      <c r="M195" s="207">
        <f t="shared" si="36"/>
        <v>0</v>
      </c>
      <c r="N195" s="140">
        <v>0</v>
      </c>
      <c r="O195" s="140">
        <v>0</v>
      </c>
      <c r="P195" s="140">
        <v>0</v>
      </c>
      <c r="Q195" s="207">
        <f t="shared" si="37"/>
        <v>0</v>
      </c>
      <c r="R195" s="207">
        <f t="shared" si="38"/>
        <v>23</v>
      </c>
    </row>
    <row r="196" spans="1:18" ht="15.75" customHeight="1" x14ac:dyDescent="0.35">
      <c r="A196" s="110" t="s">
        <v>156</v>
      </c>
      <c r="B196" s="140">
        <v>0</v>
      </c>
      <c r="C196" s="140">
        <v>0</v>
      </c>
      <c r="D196" s="140">
        <v>0</v>
      </c>
      <c r="E196" s="207">
        <f t="shared" si="34"/>
        <v>0</v>
      </c>
      <c r="F196" s="140">
        <v>0</v>
      </c>
      <c r="G196" s="140">
        <v>523</v>
      </c>
      <c r="H196" s="140">
        <v>14396</v>
      </c>
      <c r="I196" s="207">
        <f t="shared" si="35"/>
        <v>14919</v>
      </c>
      <c r="J196" s="140">
        <v>81</v>
      </c>
      <c r="K196" s="140">
        <v>0</v>
      </c>
      <c r="L196" s="140">
        <v>0</v>
      </c>
      <c r="M196" s="207">
        <f t="shared" si="36"/>
        <v>81</v>
      </c>
      <c r="N196" s="140">
        <v>0</v>
      </c>
      <c r="O196" s="140">
        <v>0</v>
      </c>
      <c r="P196" s="140">
        <v>0</v>
      </c>
      <c r="Q196" s="207">
        <f t="shared" si="37"/>
        <v>0</v>
      </c>
      <c r="R196" s="207">
        <f t="shared" si="38"/>
        <v>15000</v>
      </c>
    </row>
    <row r="197" spans="1:18" ht="15.75" customHeight="1" x14ac:dyDescent="0.35">
      <c r="A197" s="110" t="s">
        <v>153</v>
      </c>
      <c r="B197" s="140">
        <v>0</v>
      </c>
      <c r="C197" s="140">
        <v>0</v>
      </c>
      <c r="D197" s="140">
        <v>0</v>
      </c>
      <c r="E197" s="207">
        <f t="shared" si="34"/>
        <v>0</v>
      </c>
      <c r="F197" s="140">
        <v>0</v>
      </c>
      <c r="G197" s="140">
        <v>4300</v>
      </c>
      <c r="H197" s="140">
        <v>0</v>
      </c>
      <c r="I197" s="207">
        <f t="shared" si="35"/>
        <v>4300</v>
      </c>
      <c r="J197" s="140">
        <v>0</v>
      </c>
      <c r="K197" s="140">
        <v>0</v>
      </c>
      <c r="L197" s="140">
        <v>0</v>
      </c>
      <c r="M197" s="207">
        <f t="shared" si="36"/>
        <v>0</v>
      </c>
      <c r="N197" s="140">
        <v>0</v>
      </c>
      <c r="O197" s="140">
        <v>0</v>
      </c>
      <c r="P197" s="140">
        <v>0</v>
      </c>
      <c r="Q197" s="207">
        <f t="shared" si="37"/>
        <v>0</v>
      </c>
      <c r="R197" s="207">
        <f t="shared" si="38"/>
        <v>4300</v>
      </c>
    </row>
    <row r="198" spans="1:18" ht="15.75" customHeight="1" x14ac:dyDescent="0.35">
      <c r="A198" s="110" t="s">
        <v>541</v>
      </c>
      <c r="B198" s="140">
        <v>1119</v>
      </c>
      <c r="C198" s="140">
        <v>269</v>
      </c>
      <c r="D198" s="140">
        <v>423</v>
      </c>
      <c r="E198" s="207">
        <f t="shared" si="34"/>
        <v>1811</v>
      </c>
      <c r="F198" s="140">
        <v>431</v>
      </c>
      <c r="G198" s="140">
        <v>876</v>
      </c>
      <c r="H198" s="140">
        <v>1379</v>
      </c>
      <c r="I198" s="207">
        <f t="shared" si="35"/>
        <v>2686</v>
      </c>
      <c r="J198" s="140">
        <v>1241</v>
      </c>
      <c r="K198" s="140">
        <v>2212</v>
      </c>
      <c r="L198" s="140">
        <v>3998</v>
      </c>
      <c r="M198" s="207">
        <f t="shared" si="36"/>
        <v>7451</v>
      </c>
      <c r="N198" s="140">
        <v>3282</v>
      </c>
      <c r="O198" s="140">
        <v>1541</v>
      </c>
      <c r="P198" s="140">
        <v>3555</v>
      </c>
      <c r="Q198" s="207">
        <f t="shared" si="37"/>
        <v>8378</v>
      </c>
      <c r="R198" s="207">
        <f t="shared" si="38"/>
        <v>20326</v>
      </c>
    </row>
    <row r="199" spans="1:18" ht="15.75" customHeight="1" x14ac:dyDescent="0.35">
      <c r="A199" s="110" t="s">
        <v>159</v>
      </c>
      <c r="B199" s="140">
        <v>0</v>
      </c>
      <c r="C199" s="140">
        <v>0</v>
      </c>
      <c r="D199" s="140">
        <v>0</v>
      </c>
      <c r="E199" s="207">
        <f t="shared" si="34"/>
        <v>0</v>
      </c>
      <c r="F199" s="140">
        <v>0</v>
      </c>
      <c r="G199" s="140">
        <v>0</v>
      </c>
      <c r="H199" s="140">
        <v>0</v>
      </c>
      <c r="I199" s="207">
        <f t="shared" si="35"/>
        <v>0</v>
      </c>
      <c r="J199" s="140">
        <v>0</v>
      </c>
      <c r="K199" s="140">
        <v>0</v>
      </c>
      <c r="L199" s="140">
        <v>0</v>
      </c>
      <c r="M199" s="207">
        <f t="shared" si="36"/>
        <v>0</v>
      </c>
      <c r="N199" s="140">
        <v>0</v>
      </c>
      <c r="O199" s="140">
        <v>0</v>
      </c>
      <c r="P199" s="140">
        <v>0</v>
      </c>
      <c r="Q199" s="207">
        <f t="shared" si="37"/>
        <v>0</v>
      </c>
      <c r="R199" s="207">
        <f t="shared" si="38"/>
        <v>0</v>
      </c>
    </row>
    <row r="200" spans="1:18" ht="15.75" customHeight="1" x14ac:dyDescent="0.35">
      <c r="A200" s="110" t="s">
        <v>160</v>
      </c>
      <c r="B200" s="140">
        <v>0</v>
      </c>
      <c r="C200" s="140">
        <v>0</v>
      </c>
      <c r="D200" s="140">
        <v>0</v>
      </c>
      <c r="E200" s="207">
        <f t="shared" si="34"/>
        <v>0</v>
      </c>
      <c r="F200" s="140">
        <v>0</v>
      </c>
      <c r="G200" s="140">
        <v>0</v>
      </c>
      <c r="H200" s="140">
        <v>0</v>
      </c>
      <c r="I200" s="207">
        <f t="shared" si="35"/>
        <v>0</v>
      </c>
      <c r="J200" s="140">
        <v>0</v>
      </c>
      <c r="K200" s="140">
        <v>0</v>
      </c>
      <c r="L200" s="140">
        <v>0</v>
      </c>
      <c r="M200" s="207">
        <f t="shared" si="36"/>
        <v>0</v>
      </c>
      <c r="N200" s="140">
        <v>0</v>
      </c>
      <c r="O200" s="140">
        <v>0</v>
      </c>
      <c r="P200" s="140">
        <v>0</v>
      </c>
      <c r="Q200" s="207">
        <f t="shared" si="37"/>
        <v>0</v>
      </c>
      <c r="R200" s="207">
        <f t="shared" si="38"/>
        <v>0</v>
      </c>
    </row>
    <row r="201" spans="1:18" ht="15.75" customHeight="1" x14ac:dyDescent="0.35">
      <c r="A201" s="110" t="s">
        <v>161</v>
      </c>
      <c r="B201" s="140">
        <v>0</v>
      </c>
      <c r="C201" s="140">
        <v>0</v>
      </c>
      <c r="D201" s="140">
        <v>1713</v>
      </c>
      <c r="E201" s="207">
        <f>SUM(B201:D201)</f>
        <v>1713</v>
      </c>
      <c r="F201" s="140">
        <v>101</v>
      </c>
      <c r="G201" s="140">
        <v>0</v>
      </c>
      <c r="H201" s="140">
        <v>0</v>
      </c>
      <c r="I201" s="207">
        <f>SUM(F201:H201)</f>
        <v>101</v>
      </c>
      <c r="J201" s="140">
        <v>0</v>
      </c>
      <c r="K201" s="140">
        <v>0</v>
      </c>
      <c r="L201" s="140">
        <v>0</v>
      </c>
      <c r="M201" s="207">
        <f>SUM(J201:L201)</f>
        <v>0</v>
      </c>
      <c r="N201" s="140">
        <v>0</v>
      </c>
      <c r="O201" s="140">
        <v>0</v>
      </c>
      <c r="P201" s="140">
        <v>0</v>
      </c>
      <c r="Q201" s="207">
        <f>SUM(N201:P201)</f>
        <v>0</v>
      </c>
      <c r="R201" s="207">
        <f>+E201+I201+M201+Q201</f>
        <v>1814</v>
      </c>
    </row>
    <row r="202" spans="1:18" ht="15.75" customHeight="1" x14ac:dyDescent="0.35">
      <c r="A202" s="110" t="s">
        <v>162</v>
      </c>
      <c r="B202" s="140">
        <v>0</v>
      </c>
      <c r="C202" s="140">
        <v>0</v>
      </c>
      <c r="D202" s="140">
        <v>0</v>
      </c>
      <c r="E202" s="207">
        <f t="shared" si="34"/>
        <v>0</v>
      </c>
      <c r="F202" s="140">
        <v>0</v>
      </c>
      <c r="G202" s="140">
        <v>0</v>
      </c>
      <c r="H202" s="140">
        <v>0</v>
      </c>
      <c r="I202" s="207">
        <f t="shared" si="35"/>
        <v>0</v>
      </c>
      <c r="J202" s="140">
        <v>0</v>
      </c>
      <c r="K202" s="140">
        <v>0</v>
      </c>
      <c r="L202" s="140">
        <v>0</v>
      </c>
      <c r="M202" s="207">
        <f t="shared" si="36"/>
        <v>0</v>
      </c>
      <c r="N202" s="140">
        <v>0</v>
      </c>
      <c r="O202" s="140">
        <v>0</v>
      </c>
      <c r="P202" s="140">
        <v>0</v>
      </c>
      <c r="Q202" s="207">
        <f t="shared" si="37"/>
        <v>0</v>
      </c>
      <c r="R202" s="207">
        <f t="shared" si="38"/>
        <v>0</v>
      </c>
    </row>
    <row r="203" spans="1:18" ht="15.75" customHeight="1" x14ac:dyDescent="0.35">
      <c r="A203" s="110" t="s">
        <v>163</v>
      </c>
      <c r="B203" s="140">
        <v>0</v>
      </c>
      <c r="C203" s="140">
        <v>0</v>
      </c>
      <c r="D203" s="140">
        <v>0</v>
      </c>
      <c r="E203" s="207">
        <f t="shared" si="34"/>
        <v>0</v>
      </c>
      <c r="F203" s="140">
        <v>0</v>
      </c>
      <c r="G203" s="140">
        <v>3023</v>
      </c>
      <c r="H203" s="140">
        <v>0</v>
      </c>
      <c r="I203" s="207">
        <f t="shared" si="35"/>
        <v>3023</v>
      </c>
      <c r="J203" s="140">
        <v>0</v>
      </c>
      <c r="K203" s="140">
        <v>0</v>
      </c>
      <c r="L203" s="140">
        <v>0</v>
      </c>
      <c r="M203" s="207">
        <f t="shared" si="36"/>
        <v>0</v>
      </c>
      <c r="N203" s="140">
        <v>0</v>
      </c>
      <c r="O203" s="140">
        <v>0</v>
      </c>
      <c r="P203" s="140">
        <v>0</v>
      </c>
      <c r="Q203" s="207">
        <f t="shared" si="37"/>
        <v>0</v>
      </c>
      <c r="R203" s="207">
        <f t="shared" si="38"/>
        <v>3023</v>
      </c>
    </row>
    <row r="204" spans="1:18" ht="15.75" customHeight="1" x14ac:dyDescent="0.35">
      <c r="A204" s="110" t="s">
        <v>164</v>
      </c>
      <c r="B204" s="140">
        <v>0</v>
      </c>
      <c r="C204" s="140">
        <v>60</v>
      </c>
      <c r="D204" s="140">
        <v>0</v>
      </c>
      <c r="E204" s="207">
        <f t="shared" si="34"/>
        <v>60</v>
      </c>
      <c r="F204" s="140">
        <v>0</v>
      </c>
      <c r="G204" s="140">
        <v>0</v>
      </c>
      <c r="H204" s="140">
        <v>0</v>
      </c>
      <c r="I204" s="207">
        <f t="shared" si="35"/>
        <v>0</v>
      </c>
      <c r="J204" s="140">
        <v>0</v>
      </c>
      <c r="K204" s="140">
        <v>0</v>
      </c>
      <c r="L204" s="140">
        <v>0</v>
      </c>
      <c r="M204" s="207">
        <f t="shared" si="36"/>
        <v>0</v>
      </c>
      <c r="N204" s="140">
        <v>0</v>
      </c>
      <c r="O204" s="140">
        <v>0</v>
      </c>
      <c r="P204" s="140">
        <v>0</v>
      </c>
      <c r="Q204" s="207">
        <f t="shared" si="37"/>
        <v>0</v>
      </c>
      <c r="R204" s="207">
        <f t="shared" si="38"/>
        <v>60</v>
      </c>
    </row>
    <row r="205" spans="1:18" ht="15.75" customHeight="1" x14ac:dyDescent="0.35">
      <c r="A205" s="110" t="s">
        <v>165</v>
      </c>
      <c r="B205" s="140">
        <v>0</v>
      </c>
      <c r="C205" s="140">
        <v>0</v>
      </c>
      <c r="D205" s="140">
        <v>0</v>
      </c>
      <c r="E205" s="207">
        <f t="shared" si="34"/>
        <v>0</v>
      </c>
      <c r="F205" s="140">
        <v>60</v>
      </c>
      <c r="G205" s="140">
        <v>0</v>
      </c>
      <c r="H205" s="140">
        <v>0</v>
      </c>
      <c r="I205" s="207">
        <f t="shared" si="35"/>
        <v>60</v>
      </c>
      <c r="J205" s="140">
        <v>0</v>
      </c>
      <c r="K205" s="140">
        <v>0</v>
      </c>
      <c r="L205" s="140">
        <v>0</v>
      </c>
      <c r="M205" s="207">
        <f t="shared" si="36"/>
        <v>0</v>
      </c>
      <c r="N205" s="140">
        <v>0</v>
      </c>
      <c r="O205" s="140">
        <v>0</v>
      </c>
      <c r="P205" s="140">
        <v>0</v>
      </c>
      <c r="Q205" s="207">
        <f t="shared" si="37"/>
        <v>0</v>
      </c>
      <c r="R205" s="207">
        <f t="shared" si="38"/>
        <v>60</v>
      </c>
    </row>
    <row r="206" spans="1:18" s="89" customFormat="1" ht="15.75" customHeight="1" x14ac:dyDescent="0.35">
      <c r="A206" s="110" t="s">
        <v>166</v>
      </c>
      <c r="B206" s="140">
        <v>399</v>
      </c>
      <c r="C206" s="140">
        <v>528</v>
      </c>
      <c r="D206" s="140">
        <v>769</v>
      </c>
      <c r="E206" s="207">
        <f t="shared" si="34"/>
        <v>1696</v>
      </c>
      <c r="F206" s="140">
        <v>1071</v>
      </c>
      <c r="G206" s="140">
        <v>943</v>
      </c>
      <c r="H206" s="140">
        <v>565</v>
      </c>
      <c r="I206" s="207">
        <f t="shared" si="35"/>
        <v>2579</v>
      </c>
      <c r="J206" s="140">
        <v>590</v>
      </c>
      <c r="K206" s="140">
        <v>1107</v>
      </c>
      <c r="L206" s="140">
        <v>744</v>
      </c>
      <c r="M206" s="207">
        <f t="shared" si="36"/>
        <v>2441</v>
      </c>
      <c r="N206" s="140">
        <v>769</v>
      </c>
      <c r="O206" s="140">
        <v>744</v>
      </c>
      <c r="P206" s="140">
        <v>399</v>
      </c>
      <c r="Q206" s="207">
        <f t="shared" si="37"/>
        <v>1912</v>
      </c>
      <c r="R206" s="207">
        <f t="shared" si="38"/>
        <v>8628</v>
      </c>
    </row>
    <row r="207" spans="1:18" ht="15.75" customHeight="1" x14ac:dyDescent="0.35">
      <c r="A207" s="110" t="s">
        <v>168</v>
      </c>
      <c r="B207" s="140">
        <v>0</v>
      </c>
      <c r="C207" s="140">
        <v>0</v>
      </c>
      <c r="D207" s="140">
        <v>0</v>
      </c>
      <c r="E207" s="207">
        <f t="shared" si="34"/>
        <v>0</v>
      </c>
      <c r="F207" s="140">
        <v>0</v>
      </c>
      <c r="G207" s="140">
        <v>0</v>
      </c>
      <c r="H207" s="140">
        <v>0</v>
      </c>
      <c r="I207" s="207">
        <f t="shared" si="35"/>
        <v>0</v>
      </c>
      <c r="J207" s="140">
        <v>0</v>
      </c>
      <c r="K207" s="140">
        <v>0</v>
      </c>
      <c r="L207" s="140">
        <v>0</v>
      </c>
      <c r="M207" s="207">
        <f t="shared" si="36"/>
        <v>0</v>
      </c>
      <c r="N207" s="140">
        <v>0</v>
      </c>
      <c r="O207" s="140">
        <v>0</v>
      </c>
      <c r="P207" s="140">
        <v>0</v>
      </c>
      <c r="Q207" s="207">
        <f t="shared" si="37"/>
        <v>0</v>
      </c>
      <c r="R207" s="207">
        <f t="shared" si="38"/>
        <v>0</v>
      </c>
    </row>
    <row r="208" spans="1:18" ht="15.75" customHeight="1" x14ac:dyDescent="0.35">
      <c r="A208" s="110" t="s">
        <v>169</v>
      </c>
      <c r="B208" s="140">
        <v>0</v>
      </c>
      <c r="C208" s="140">
        <v>0</v>
      </c>
      <c r="D208" s="140">
        <v>0</v>
      </c>
      <c r="E208" s="207">
        <f>SUM(B208:D208)</f>
        <v>0</v>
      </c>
      <c r="F208" s="140">
        <v>0</v>
      </c>
      <c r="G208" s="140">
        <v>32</v>
      </c>
      <c r="H208" s="140">
        <v>32</v>
      </c>
      <c r="I208" s="207">
        <f>SUM(F208:H208)</f>
        <v>64</v>
      </c>
      <c r="J208" s="140">
        <v>0</v>
      </c>
      <c r="K208" s="140">
        <v>0</v>
      </c>
      <c r="L208" s="140">
        <v>0</v>
      </c>
      <c r="M208" s="207">
        <f>SUM(J208:L208)</f>
        <v>0</v>
      </c>
      <c r="N208" s="140">
        <v>0</v>
      </c>
      <c r="O208" s="140">
        <v>0</v>
      </c>
      <c r="P208" s="140">
        <v>0</v>
      </c>
      <c r="Q208" s="207">
        <f t="shared" si="37"/>
        <v>0</v>
      </c>
      <c r="R208" s="207">
        <f>+E208+I208+M208+Q208</f>
        <v>64</v>
      </c>
    </row>
    <row r="209" spans="1:18" ht="15.75" customHeight="1" x14ac:dyDescent="0.35">
      <c r="A209" s="110" t="s">
        <v>170</v>
      </c>
      <c r="B209" s="140">
        <v>648</v>
      </c>
      <c r="C209" s="140">
        <v>1470</v>
      </c>
      <c r="D209" s="140">
        <v>732</v>
      </c>
      <c r="E209" s="207">
        <f t="shared" si="34"/>
        <v>2850</v>
      </c>
      <c r="F209" s="140">
        <v>0</v>
      </c>
      <c r="G209" s="140">
        <v>0</v>
      </c>
      <c r="H209" s="140">
        <v>0</v>
      </c>
      <c r="I209" s="207">
        <f t="shared" si="35"/>
        <v>0</v>
      </c>
      <c r="J209" s="140">
        <v>0</v>
      </c>
      <c r="K209" s="140">
        <v>0</v>
      </c>
      <c r="L209" s="140">
        <v>0</v>
      </c>
      <c r="M209" s="207">
        <f t="shared" si="36"/>
        <v>0</v>
      </c>
      <c r="N209" s="140">
        <v>0</v>
      </c>
      <c r="O209" s="140">
        <v>0</v>
      </c>
      <c r="P209" s="140">
        <v>0</v>
      </c>
      <c r="Q209" s="207">
        <f t="shared" si="37"/>
        <v>0</v>
      </c>
      <c r="R209" s="207">
        <f t="shared" si="38"/>
        <v>2850</v>
      </c>
    </row>
    <row r="210" spans="1:18" ht="15.75" customHeight="1" x14ac:dyDescent="0.35">
      <c r="A210" s="110" t="s">
        <v>171</v>
      </c>
      <c r="B210" s="140">
        <v>0</v>
      </c>
      <c r="C210" s="140">
        <v>0</v>
      </c>
      <c r="D210" s="140">
        <v>0</v>
      </c>
      <c r="E210" s="207">
        <f t="shared" si="34"/>
        <v>0</v>
      </c>
      <c r="F210" s="140">
        <v>0</v>
      </c>
      <c r="G210" s="140">
        <v>0</v>
      </c>
      <c r="H210" s="140">
        <v>0</v>
      </c>
      <c r="I210" s="207">
        <f t="shared" si="35"/>
        <v>0</v>
      </c>
      <c r="J210" s="140">
        <v>0</v>
      </c>
      <c r="K210" s="140">
        <v>0</v>
      </c>
      <c r="L210" s="140">
        <v>0</v>
      </c>
      <c r="M210" s="207">
        <f t="shared" si="36"/>
        <v>0</v>
      </c>
      <c r="N210" s="140">
        <v>0</v>
      </c>
      <c r="O210" s="140">
        <v>0</v>
      </c>
      <c r="P210" s="140">
        <v>0</v>
      </c>
      <c r="Q210" s="207">
        <f t="shared" si="37"/>
        <v>0</v>
      </c>
      <c r="R210" s="207">
        <f t="shared" si="38"/>
        <v>0</v>
      </c>
    </row>
    <row r="211" spans="1:18" ht="15.75" customHeight="1" x14ac:dyDescent="0.35">
      <c r="A211" s="110" t="s">
        <v>172</v>
      </c>
      <c r="B211" s="140">
        <v>0</v>
      </c>
      <c r="C211" s="140">
        <v>0</v>
      </c>
      <c r="D211" s="140">
        <v>0</v>
      </c>
      <c r="E211" s="207">
        <f t="shared" si="34"/>
        <v>0</v>
      </c>
      <c r="F211" s="140">
        <v>0</v>
      </c>
      <c r="G211" s="140">
        <v>4750</v>
      </c>
      <c r="H211" s="140">
        <v>0</v>
      </c>
      <c r="I211" s="207">
        <f t="shared" si="35"/>
        <v>4750</v>
      </c>
      <c r="J211" s="140">
        <v>0</v>
      </c>
      <c r="K211" s="140">
        <v>0</v>
      </c>
      <c r="L211" s="140">
        <v>0</v>
      </c>
      <c r="M211" s="207">
        <f t="shared" si="36"/>
        <v>0</v>
      </c>
      <c r="N211" s="140">
        <v>0</v>
      </c>
      <c r="O211" s="140">
        <v>0</v>
      </c>
      <c r="P211" s="140">
        <v>0</v>
      </c>
      <c r="Q211" s="207">
        <f t="shared" si="37"/>
        <v>0</v>
      </c>
      <c r="R211" s="207">
        <f t="shared" si="38"/>
        <v>4750</v>
      </c>
    </row>
    <row r="212" spans="1:18" ht="15.75" customHeight="1" x14ac:dyDescent="0.35">
      <c r="A212" s="110" t="s">
        <v>173</v>
      </c>
      <c r="B212" s="140">
        <v>95</v>
      </c>
      <c r="C212" s="140">
        <v>0</v>
      </c>
      <c r="D212" s="140">
        <v>0</v>
      </c>
      <c r="E212" s="207">
        <f t="shared" si="34"/>
        <v>95</v>
      </c>
      <c r="F212" s="140">
        <v>0</v>
      </c>
      <c r="G212" s="140">
        <v>0</v>
      </c>
      <c r="H212" s="140">
        <v>0</v>
      </c>
      <c r="I212" s="207">
        <f t="shared" si="35"/>
        <v>0</v>
      </c>
      <c r="J212" s="140">
        <v>0</v>
      </c>
      <c r="K212" s="140">
        <v>0</v>
      </c>
      <c r="L212" s="140">
        <v>0</v>
      </c>
      <c r="M212" s="207">
        <f t="shared" si="36"/>
        <v>0</v>
      </c>
      <c r="N212" s="140">
        <v>0</v>
      </c>
      <c r="O212" s="140">
        <v>0</v>
      </c>
      <c r="P212" s="140">
        <v>0</v>
      </c>
      <c r="Q212" s="207">
        <f t="shared" si="37"/>
        <v>0</v>
      </c>
      <c r="R212" s="207">
        <f t="shared" si="38"/>
        <v>95</v>
      </c>
    </row>
    <row r="213" spans="1:18" ht="15.75" customHeight="1" x14ac:dyDescent="0.35">
      <c r="A213" s="110" t="s">
        <v>174</v>
      </c>
      <c r="B213" s="140">
        <v>0</v>
      </c>
      <c r="C213" s="140">
        <v>0</v>
      </c>
      <c r="D213" s="140">
        <v>0</v>
      </c>
      <c r="E213" s="207">
        <f t="shared" si="34"/>
        <v>0</v>
      </c>
      <c r="F213" s="140">
        <v>95</v>
      </c>
      <c r="G213" s="140">
        <v>0</v>
      </c>
      <c r="H213" s="140">
        <v>0</v>
      </c>
      <c r="I213" s="207">
        <f t="shared" si="35"/>
        <v>95</v>
      </c>
      <c r="J213" s="140">
        <v>0</v>
      </c>
      <c r="K213" s="140">
        <v>0</v>
      </c>
      <c r="L213" s="140">
        <v>0</v>
      </c>
      <c r="M213" s="207">
        <f t="shared" si="36"/>
        <v>0</v>
      </c>
      <c r="N213" s="140">
        <v>0</v>
      </c>
      <c r="O213" s="140">
        <v>0</v>
      </c>
      <c r="P213" s="140">
        <v>0</v>
      </c>
      <c r="Q213" s="207">
        <f t="shared" si="37"/>
        <v>0</v>
      </c>
      <c r="R213" s="207">
        <f t="shared" si="38"/>
        <v>95</v>
      </c>
    </row>
    <row r="214" spans="1:18" ht="15.75" customHeight="1" thickBot="1" x14ac:dyDescent="0.4">
      <c r="A214" s="110" t="s">
        <v>175</v>
      </c>
      <c r="B214" s="140">
        <v>115</v>
      </c>
      <c r="C214" s="140">
        <v>385</v>
      </c>
      <c r="D214" s="140">
        <v>0</v>
      </c>
      <c r="E214" s="207">
        <f t="shared" si="34"/>
        <v>500</v>
      </c>
      <c r="F214" s="140">
        <v>0</v>
      </c>
      <c r="G214" s="140">
        <v>0</v>
      </c>
      <c r="H214" s="140">
        <v>0</v>
      </c>
      <c r="I214" s="207">
        <f t="shared" si="35"/>
        <v>0</v>
      </c>
      <c r="J214" s="140">
        <v>0</v>
      </c>
      <c r="K214" s="140">
        <v>0</v>
      </c>
      <c r="L214" s="140">
        <v>0</v>
      </c>
      <c r="M214" s="207">
        <f t="shared" si="36"/>
        <v>0</v>
      </c>
      <c r="N214" s="140">
        <v>0</v>
      </c>
      <c r="O214" s="140">
        <v>0</v>
      </c>
      <c r="P214" s="140">
        <v>0</v>
      </c>
      <c r="Q214" s="207">
        <f t="shared" si="37"/>
        <v>0</v>
      </c>
      <c r="R214" s="207">
        <f t="shared" si="38"/>
        <v>500</v>
      </c>
    </row>
    <row r="215" spans="1:18" ht="15.75" customHeight="1" thickBot="1" x14ac:dyDescent="0.4">
      <c r="A215" s="209" t="s">
        <v>63</v>
      </c>
      <c r="B215" s="237">
        <f>SUM(B183:B214)</f>
        <v>4545</v>
      </c>
      <c r="C215" s="238">
        <f>SUM(C183:C214)</f>
        <v>3012</v>
      </c>
      <c r="D215" s="238">
        <f>SUM(D183:D214)</f>
        <v>4415</v>
      </c>
      <c r="E215" s="211">
        <f t="shared" si="34"/>
        <v>11972</v>
      </c>
      <c r="F215" s="238">
        <f>SUM(F183:F214)</f>
        <v>2239</v>
      </c>
      <c r="G215" s="238">
        <f>SUM(G183:G214)</f>
        <v>15036</v>
      </c>
      <c r="H215" s="238">
        <f>SUM(H183:H214)</f>
        <v>16946</v>
      </c>
      <c r="I215" s="211">
        <f t="shared" si="35"/>
        <v>34221</v>
      </c>
      <c r="J215" s="238">
        <f>SUM(J183:J214)</f>
        <v>2613</v>
      </c>
      <c r="K215" s="238">
        <f>SUM(K183:K214)</f>
        <v>3978</v>
      </c>
      <c r="L215" s="238">
        <f>SUM(L183:L214)</f>
        <v>5269</v>
      </c>
      <c r="M215" s="211">
        <f t="shared" si="36"/>
        <v>11860</v>
      </c>
      <c r="N215" s="238">
        <f>SUM(N183:N214)</f>
        <v>4608</v>
      </c>
      <c r="O215" s="238">
        <f>SUM(O183:O214)</f>
        <v>2768</v>
      </c>
      <c r="P215" s="238">
        <f>SUM(P183:P214)</f>
        <v>4320</v>
      </c>
      <c r="Q215" s="211">
        <f t="shared" si="37"/>
        <v>11696</v>
      </c>
      <c r="R215" s="211">
        <f t="shared" si="38"/>
        <v>69749</v>
      </c>
    </row>
    <row r="216" spans="1:18" ht="15.75" customHeight="1" x14ac:dyDescent="0.35">
      <c r="A216" s="174" t="s">
        <v>64</v>
      </c>
      <c r="B216" s="140"/>
      <c r="C216" s="140"/>
      <c r="D216" s="140"/>
      <c r="E216" s="207" t="s">
        <v>7</v>
      </c>
      <c r="F216" s="140"/>
      <c r="G216" s="140"/>
      <c r="H216" s="140"/>
      <c r="I216" s="207" t="s">
        <v>7</v>
      </c>
      <c r="J216" s="140"/>
      <c r="K216" s="140"/>
      <c r="L216" s="140"/>
      <c r="M216" s="207" t="s">
        <v>7</v>
      </c>
      <c r="N216" s="140"/>
      <c r="O216" s="140"/>
      <c r="P216" s="140"/>
      <c r="Q216" s="207" t="s">
        <v>7</v>
      </c>
      <c r="R216" s="207" t="s">
        <v>7</v>
      </c>
    </row>
    <row r="217" spans="1:18" ht="15.75" customHeight="1" x14ac:dyDescent="0.35">
      <c r="A217" s="174" t="s">
        <v>65</v>
      </c>
      <c r="B217" s="140"/>
      <c r="C217" s="140"/>
      <c r="D217" s="140"/>
      <c r="E217" s="207" t="s">
        <v>7</v>
      </c>
      <c r="F217" s="140"/>
      <c r="G217" s="140"/>
      <c r="H217" s="140"/>
      <c r="I217" s="207" t="s">
        <v>7</v>
      </c>
      <c r="J217" s="140"/>
      <c r="K217" s="140"/>
      <c r="L217" s="140"/>
      <c r="M217" s="207" t="s">
        <v>7</v>
      </c>
      <c r="N217" s="140"/>
      <c r="O217" s="140"/>
      <c r="P217" s="140"/>
      <c r="Q217" s="207" t="s">
        <v>7</v>
      </c>
      <c r="R217" s="207" t="s">
        <v>7</v>
      </c>
    </row>
    <row r="218" spans="1:18" ht="15.75" customHeight="1" x14ac:dyDescent="0.35">
      <c r="A218" s="236" t="s">
        <v>542</v>
      </c>
      <c r="B218" s="140">
        <v>0</v>
      </c>
      <c r="C218" s="140">
        <v>0</v>
      </c>
      <c r="D218" s="140">
        <v>0</v>
      </c>
      <c r="E218" s="207">
        <f>SUM(B218:D218)</f>
        <v>0</v>
      </c>
      <c r="F218" s="140">
        <v>194</v>
      </c>
      <c r="G218" s="140">
        <v>789</v>
      </c>
      <c r="H218" s="140">
        <v>0</v>
      </c>
      <c r="I218" s="207">
        <f>SUM(F218:H218)</f>
        <v>983</v>
      </c>
      <c r="J218" s="140">
        <v>1146</v>
      </c>
      <c r="K218" s="140">
        <v>0</v>
      </c>
      <c r="L218" s="140">
        <v>1114</v>
      </c>
      <c r="M218" s="207">
        <f>SUM(J218:L218)</f>
        <v>2260</v>
      </c>
      <c r="N218" s="140">
        <v>354</v>
      </c>
      <c r="O218" s="140">
        <v>1403</v>
      </c>
      <c r="P218" s="140">
        <v>132</v>
      </c>
      <c r="Q218" s="207">
        <f>SUM(N218:P218)</f>
        <v>1889</v>
      </c>
      <c r="R218" s="207">
        <f>+E218+I218+M218+Q218</f>
        <v>5132</v>
      </c>
    </row>
    <row r="219" spans="1:18" ht="15.75" customHeight="1" x14ac:dyDescent="0.35">
      <c r="A219" s="236" t="s">
        <v>543</v>
      </c>
      <c r="B219" s="140">
        <v>0</v>
      </c>
      <c r="C219" s="140">
        <v>0</v>
      </c>
      <c r="D219" s="140">
        <v>0</v>
      </c>
      <c r="E219" s="207">
        <f>SUM(B219:D219)</f>
        <v>0</v>
      </c>
      <c r="F219" s="140">
        <v>0</v>
      </c>
      <c r="G219" s="140">
        <v>0</v>
      </c>
      <c r="H219" s="140">
        <v>0</v>
      </c>
      <c r="I219" s="207">
        <f>SUM(F219:H219)</f>
        <v>0</v>
      </c>
      <c r="J219" s="140">
        <v>0</v>
      </c>
      <c r="K219" s="140">
        <v>0</v>
      </c>
      <c r="L219" s="140">
        <v>0</v>
      </c>
      <c r="M219" s="207">
        <f>SUM(J219:L219)</f>
        <v>0</v>
      </c>
      <c r="N219" s="140">
        <v>0</v>
      </c>
      <c r="O219" s="140">
        <v>0</v>
      </c>
      <c r="P219" s="140">
        <v>0</v>
      </c>
      <c r="Q219" s="207">
        <f>SUM(N219:P219)</f>
        <v>0</v>
      </c>
      <c r="R219" s="207">
        <f>+E219+I219+M219+Q219</f>
        <v>0</v>
      </c>
    </row>
    <row r="220" spans="1:18" ht="15.75" customHeight="1" x14ac:dyDescent="0.35">
      <c r="A220" s="236" t="s">
        <v>544</v>
      </c>
      <c r="B220" s="140">
        <v>0</v>
      </c>
      <c r="C220" s="140">
        <v>0</v>
      </c>
      <c r="D220" s="140">
        <v>0</v>
      </c>
      <c r="E220" s="207">
        <f>SUM(B220:D220)</f>
        <v>0</v>
      </c>
      <c r="F220" s="140">
        <v>0</v>
      </c>
      <c r="G220" s="140">
        <v>0</v>
      </c>
      <c r="H220" s="140">
        <v>0</v>
      </c>
      <c r="I220" s="207">
        <f>SUM(F220:H220)</f>
        <v>0</v>
      </c>
      <c r="J220" s="140">
        <v>0</v>
      </c>
      <c r="K220" s="140">
        <v>0</v>
      </c>
      <c r="L220" s="140">
        <v>0</v>
      </c>
      <c r="M220" s="207">
        <f>SUM(J220:L220)</f>
        <v>0</v>
      </c>
      <c r="N220" s="140">
        <v>0</v>
      </c>
      <c r="O220" s="140">
        <v>0</v>
      </c>
      <c r="P220" s="140">
        <v>0</v>
      </c>
      <c r="Q220" s="207">
        <f>SUM(N220:P220)</f>
        <v>0</v>
      </c>
      <c r="R220" s="207">
        <f>+E220+I220+M220+Q220</f>
        <v>0</v>
      </c>
    </row>
    <row r="221" spans="1:18" ht="15.75" customHeight="1" x14ac:dyDescent="0.35">
      <c r="A221" s="235" t="s">
        <v>537</v>
      </c>
      <c r="B221" s="140">
        <v>0</v>
      </c>
      <c r="C221" s="140">
        <v>0</v>
      </c>
      <c r="D221" s="140">
        <v>0</v>
      </c>
      <c r="E221" s="207">
        <f>SUM(B221:D221)</f>
        <v>0</v>
      </c>
      <c r="F221" s="140">
        <v>0</v>
      </c>
      <c r="G221" s="140">
        <v>0</v>
      </c>
      <c r="H221" s="140">
        <v>792</v>
      </c>
      <c r="I221" s="207">
        <f>SUM(F221:H221)</f>
        <v>792</v>
      </c>
      <c r="J221" s="140">
        <v>0</v>
      </c>
      <c r="K221" s="140">
        <v>508</v>
      </c>
      <c r="L221" s="140">
        <v>700</v>
      </c>
      <c r="M221" s="207">
        <f>SUM(J221:L221)</f>
        <v>1208</v>
      </c>
      <c r="N221" s="140">
        <v>0</v>
      </c>
      <c r="O221" s="140">
        <v>0</v>
      </c>
      <c r="P221" s="140">
        <v>0</v>
      </c>
      <c r="Q221" s="207">
        <f>SUM(N221:P221)</f>
        <v>0</v>
      </c>
      <c r="R221" s="207">
        <f>+E221+I221+M221+Q221</f>
        <v>2000</v>
      </c>
    </row>
    <row r="222" spans="1:18" ht="15.75" customHeight="1" x14ac:dyDescent="0.35">
      <c r="A222" s="222" t="s">
        <v>181</v>
      </c>
      <c r="B222" s="140">
        <v>296</v>
      </c>
      <c r="C222" s="140">
        <v>200</v>
      </c>
      <c r="D222" s="140">
        <v>197</v>
      </c>
      <c r="E222" s="207">
        <f>SUM(B222:D222)</f>
        <v>693</v>
      </c>
      <c r="F222" s="140">
        <v>447</v>
      </c>
      <c r="G222" s="140">
        <v>370</v>
      </c>
      <c r="H222" s="140">
        <v>187</v>
      </c>
      <c r="I222" s="207">
        <f>SUM(F222:H222)</f>
        <v>1004</v>
      </c>
      <c r="J222" s="140">
        <v>175</v>
      </c>
      <c r="K222" s="140">
        <v>427</v>
      </c>
      <c r="L222" s="140">
        <v>188</v>
      </c>
      <c r="M222" s="207">
        <f>SUM(J222:L222)</f>
        <v>790</v>
      </c>
      <c r="N222" s="140">
        <v>172</v>
      </c>
      <c r="O222" s="140">
        <v>190</v>
      </c>
      <c r="P222" s="140">
        <v>296</v>
      </c>
      <c r="Q222" s="207">
        <f>SUM(N222:P222)</f>
        <v>658</v>
      </c>
      <c r="R222" s="207">
        <f>+E222+I222+M222+Q222</f>
        <v>3145</v>
      </c>
    </row>
    <row r="223" spans="1:18" ht="15.75" customHeight="1" x14ac:dyDescent="0.35">
      <c r="A223" s="174" t="s">
        <v>67</v>
      </c>
      <c r="B223" s="140"/>
      <c r="C223" s="140"/>
      <c r="D223" s="140"/>
      <c r="E223" s="207" t="s">
        <v>7</v>
      </c>
      <c r="F223" s="140"/>
      <c r="G223" s="140"/>
      <c r="H223" s="140"/>
      <c r="I223" s="207" t="s">
        <v>7</v>
      </c>
      <c r="J223" s="140"/>
      <c r="K223" s="140"/>
      <c r="L223" s="140"/>
      <c r="M223" s="207" t="s">
        <v>7</v>
      </c>
      <c r="N223" s="140"/>
      <c r="O223" s="140"/>
      <c r="P223" s="140"/>
      <c r="Q223" s="207" t="s">
        <v>7</v>
      </c>
      <c r="R223" s="207" t="s">
        <v>7</v>
      </c>
    </row>
    <row r="224" spans="1:18" ht="15.75" customHeight="1" x14ac:dyDescent="0.35">
      <c r="A224" s="236" t="s">
        <v>182</v>
      </c>
      <c r="B224" s="140">
        <v>0</v>
      </c>
      <c r="C224" s="140">
        <v>0</v>
      </c>
      <c r="D224" s="140">
        <v>0</v>
      </c>
      <c r="E224" s="207">
        <f t="shared" ref="E224:E229" si="39">SUM(B224:D224)</f>
        <v>0</v>
      </c>
      <c r="F224" s="140">
        <v>0</v>
      </c>
      <c r="G224" s="140">
        <v>0</v>
      </c>
      <c r="H224" s="140">
        <v>0</v>
      </c>
      <c r="I224" s="207">
        <f t="shared" ref="I224:I229" si="40">SUM(F224:H224)</f>
        <v>0</v>
      </c>
      <c r="J224" s="140">
        <v>0</v>
      </c>
      <c r="K224" s="140">
        <v>0</v>
      </c>
      <c r="L224" s="140">
        <v>0</v>
      </c>
      <c r="M224" s="207">
        <f t="shared" ref="M224:M229" si="41">SUM(J224:L224)</f>
        <v>0</v>
      </c>
      <c r="N224" s="140">
        <v>0</v>
      </c>
      <c r="O224" s="140">
        <v>0</v>
      </c>
      <c r="P224" s="140">
        <v>0</v>
      </c>
      <c r="Q224" s="207">
        <f t="shared" ref="Q224:Q229" si="42">SUM(N224:P224)</f>
        <v>0</v>
      </c>
      <c r="R224" s="207">
        <f t="shared" ref="R224:R229" si="43">+E224+I224+M224+Q224</f>
        <v>0</v>
      </c>
    </row>
    <row r="225" spans="1:18" s="89" customFormat="1" ht="15.75" customHeight="1" x14ac:dyDescent="0.35">
      <c r="A225" s="236" t="s">
        <v>183</v>
      </c>
      <c r="B225" s="140">
        <v>0</v>
      </c>
      <c r="C225" s="140">
        <v>0</v>
      </c>
      <c r="D225" s="140">
        <v>0</v>
      </c>
      <c r="E225" s="207">
        <f t="shared" si="39"/>
        <v>0</v>
      </c>
      <c r="F225" s="140">
        <v>0</v>
      </c>
      <c r="G225" s="140">
        <v>0</v>
      </c>
      <c r="H225" s="140">
        <v>0</v>
      </c>
      <c r="I225" s="207">
        <f t="shared" si="40"/>
        <v>0</v>
      </c>
      <c r="J225" s="140">
        <v>0</v>
      </c>
      <c r="K225" s="140">
        <v>0</v>
      </c>
      <c r="L225" s="140">
        <v>0</v>
      </c>
      <c r="M225" s="207">
        <f t="shared" si="41"/>
        <v>0</v>
      </c>
      <c r="N225" s="140">
        <v>0</v>
      </c>
      <c r="O225" s="140">
        <v>0</v>
      </c>
      <c r="P225" s="140">
        <v>0</v>
      </c>
      <c r="Q225" s="207">
        <f t="shared" si="42"/>
        <v>0</v>
      </c>
      <c r="R225" s="207">
        <f t="shared" si="43"/>
        <v>0</v>
      </c>
    </row>
    <row r="226" spans="1:18" ht="15.75" customHeight="1" x14ac:dyDescent="0.35">
      <c r="A226" s="234" t="s">
        <v>186</v>
      </c>
      <c r="B226" s="140">
        <v>0</v>
      </c>
      <c r="C226" s="140">
        <v>0</v>
      </c>
      <c r="D226" s="140">
        <v>0</v>
      </c>
      <c r="E226" s="207">
        <f t="shared" si="39"/>
        <v>0</v>
      </c>
      <c r="F226" s="140">
        <v>0</v>
      </c>
      <c r="G226" s="140">
        <v>0</v>
      </c>
      <c r="H226" s="140">
        <v>0</v>
      </c>
      <c r="I226" s="207">
        <f t="shared" si="40"/>
        <v>0</v>
      </c>
      <c r="J226" s="140">
        <v>0</v>
      </c>
      <c r="K226" s="140">
        <v>0</v>
      </c>
      <c r="L226" s="140">
        <v>0</v>
      </c>
      <c r="M226" s="207">
        <f t="shared" si="41"/>
        <v>0</v>
      </c>
      <c r="N226" s="140">
        <v>0</v>
      </c>
      <c r="O226" s="140">
        <v>0</v>
      </c>
      <c r="P226" s="140">
        <v>0</v>
      </c>
      <c r="Q226" s="207">
        <f t="shared" si="42"/>
        <v>0</v>
      </c>
      <c r="R226" s="207">
        <f t="shared" si="43"/>
        <v>0</v>
      </c>
    </row>
    <row r="227" spans="1:18" ht="15.75" customHeight="1" x14ac:dyDescent="0.35">
      <c r="A227" s="234" t="s">
        <v>187</v>
      </c>
      <c r="B227" s="140">
        <v>0</v>
      </c>
      <c r="C227" s="140">
        <v>0</v>
      </c>
      <c r="D227" s="140">
        <v>0</v>
      </c>
      <c r="E227" s="207">
        <f t="shared" si="39"/>
        <v>0</v>
      </c>
      <c r="F227" s="140">
        <v>0</v>
      </c>
      <c r="G227" s="140">
        <v>0</v>
      </c>
      <c r="H227" s="140">
        <v>0</v>
      </c>
      <c r="I227" s="207">
        <f t="shared" si="40"/>
        <v>0</v>
      </c>
      <c r="J227" s="140">
        <v>0</v>
      </c>
      <c r="K227" s="140">
        <v>0</v>
      </c>
      <c r="L227" s="140">
        <v>0</v>
      </c>
      <c r="M227" s="207">
        <f t="shared" si="41"/>
        <v>0</v>
      </c>
      <c r="N227" s="140">
        <v>0</v>
      </c>
      <c r="O227" s="140">
        <v>0</v>
      </c>
      <c r="P227" s="140">
        <v>0</v>
      </c>
      <c r="Q227" s="207">
        <f t="shared" si="42"/>
        <v>0</v>
      </c>
      <c r="R227" s="207">
        <f t="shared" si="43"/>
        <v>0</v>
      </c>
    </row>
    <row r="228" spans="1:18" ht="15.75" customHeight="1" x14ac:dyDescent="0.35">
      <c r="A228" s="213" t="s">
        <v>188</v>
      </c>
      <c r="B228" s="140">
        <v>0</v>
      </c>
      <c r="C228" s="140">
        <v>0</v>
      </c>
      <c r="D228" s="140">
        <v>0</v>
      </c>
      <c r="E228" s="207">
        <f t="shared" si="39"/>
        <v>0</v>
      </c>
      <c r="F228" s="140">
        <v>0</v>
      </c>
      <c r="G228" s="140">
        <v>0</v>
      </c>
      <c r="H228" s="140">
        <v>0</v>
      </c>
      <c r="I228" s="207">
        <f t="shared" si="40"/>
        <v>0</v>
      </c>
      <c r="J228" s="140">
        <v>0</v>
      </c>
      <c r="K228" s="140">
        <v>0</v>
      </c>
      <c r="L228" s="140">
        <v>0</v>
      </c>
      <c r="M228" s="207">
        <f t="shared" si="41"/>
        <v>0</v>
      </c>
      <c r="N228" s="140">
        <v>0</v>
      </c>
      <c r="O228" s="140">
        <v>0</v>
      </c>
      <c r="P228" s="140">
        <v>0</v>
      </c>
      <c r="Q228" s="207">
        <f t="shared" si="42"/>
        <v>0</v>
      </c>
      <c r="R228" s="207">
        <f t="shared" si="43"/>
        <v>0</v>
      </c>
    </row>
    <row r="229" spans="1:18" ht="15.75" customHeight="1" x14ac:dyDescent="0.35">
      <c r="A229" s="213" t="s">
        <v>189</v>
      </c>
      <c r="B229" s="140">
        <v>0</v>
      </c>
      <c r="C229" s="140">
        <v>0</v>
      </c>
      <c r="D229" s="140">
        <v>0</v>
      </c>
      <c r="E229" s="207">
        <f t="shared" si="39"/>
        <v>0</v>
      </c>
      <c r="F229" s="140">
        <v>0</v>
      </c>
      <c r="G229" s="140">
        <v>0</v>
      </c>
      <c r="H229" s="140">
        <v>0</v>
      </c>
      <c r="I229" s="207">
        <f t="shared" si="40"/>
        <v>0</v>
      </c>
      <c r="J229" s="140">
        <v>0</v>
      </c>
      <c r="K229" s="140">
        <v>0</v>
      </c>
      <c r="L229" s="140">
        <v>0</v>
      </c>
      <c r="M229" s="207">
        <f t="shared" si="41"/>
        <v>0</v>
      </c>
      <c r="N229" s="140">
        <v>0</v>
      </c>
      <c r="O229" s="140">
        <v>0</v>
      </c>
      <c r="P229" s="140">
        <v>0</v>
      </c>
      <c r="Q229" s="207">
        <f t="shared" si="42"/>
        <v>0</v>
      </c>
      <c r="R229" s="207">
        <f t="shared" si="43"/>
        <v>0</v>
      </c>
    </row>
    <row r="230" spans="1:18" ht="15.75" customHeight="1" x14ac:dyDescent="0.35">
      <c r="A230" s="174" t="s">
        <v>69</v>
      </c>
      <c r="B230" s="140"/>
      <c r="C230" s="140"/>
      <c r="D230" s="140"/>
      <c r="E230" s="207" t="s">
        <v>7</v>
      </c>
      <c r="F230" s="140"/>
      <c r="G230" s="140"/>
      <c r="H230" s="140"/>
      <c r="I230" s="207" t="s">
        <v>7</v>
      </c>
      <c r="J230" s="140"/>
      <c r="K230" s="140"/>
      <c r="L230" s="140"/>
      <c r="M230" s="207" t="s">
        <v>7</v>
      </c>
      <c r="N230" s="140"/>
      <c r="O230" s="140"/>
      <c r="P230" s="140"/>
      <c r="Q230" s="207" t="s">
        <v>7</v>
      </c>
      <c r="R230" s="207" t="s">
        <v>7</v>
      </c>
    </row>
    <row r="231" spans="1:18" ht="15.75" customHeight="1" x14ac:dyDescent="0.35">
      <c r="A231" s="222" t="s">
        <v>190</v>
      </c>
      <c r="B231" s="140">
        <v>0</v>
      </c>
      <c r="C231" s="140">
        <v>0</v>
      </c>
      <c r="D231" s="140">
        <v>0</v>
      </c>
      <c r="E231" s="207">
        <f>SUM(B231:D231)</f>
        <v>0</v>
      </c>
      <c r="F231" s="140">
        <v>0</v>
      </c>
      <c r="G231" s="140">
        <v>0</v>
      </c>
      <c r="H231" s="140">
        <v>0</v>
      </c>
      <c r="I231" s="207">
        <f>SUM(F231:H231)</f>
        <v>0</v>
      </c>
      <c r="J231" s="140">
        <v>0</v>
      </c>
      <c r="K231" s="140">
        <v>0</v>
      </c>
      <c r="L231" s="140">
        <v>0</v>
      </c>
      <c r="M231" s="207">
        <f>SUM(J231:L231)</f>
        <v>0</v>
      </c>
      <c r="N231" s="140">
        <v>0</v>
      </c>
      <c r="O231" s="140">
        <v>0</v>
      </c>
      <c r="P231" s="140">
        <v>0</v>
      </c>
      <c r="Q231" s="207">
        <f>SUM(N231:P231)</f>
        <v>0</v>
      </c>
      <c r="R231" s="207">
        <f>+E231+I231+M231+Q231</f>
        <v>0</v>
      </c>
    </row>
    <row r="232" spans="1:18" ht="15.75" customHeight="1" x14ac:dyDescent="0.35">
      <c r="A232" s="222" t="s">
        <v>545</v>
      </c>
      <c r="B232" s="140">
        <v>0</v>
      </c>
      <c r="C232" s="140">
        <v>0</v>
      </c>
      <c r="D232" s="140">
        <v>0</v>
      </c>
      <c r="E232" s="207">
        <f>SUM(B232:D232)</f>
        <v>0</v>
      </c>
      <c r="F232" s="140">
        <v>0</v>
      </c>
      <c r="G232" s="140">
        <v>0</v>
      </c>
      <c r="H232" s="140">
        <v>0</v>
      </c>
      <c r="I232" s="207">
        <f>SUM(F232:H232)</f>
        <v>0</v>
      </c>
      <c r="J232" s="140">
        <v>0</v>
      </c>
      <c r="K232" s="140">
        <v>0</v>
      </c>
      <c r="L232" s="140">
        <v>0</v>
      </c>
      <c r="M232" s="207">
        <f>SUM(J232:L232)</f>
        <v>0</v>
      </c>
      <c r="N232" s="140">
        <v>0</v>
      </c>
      <c r="O232" s="140">
        <v>0</v>
      </c>
      <c r="P232" s="140">
        <v>0</v>
      </c>
      <c r="Q232" s="207">
        <f>SUM(N232:P232)</f>
        <v>0</v>
      </c>
      <c r="R232" s="207">
        <f>+E232+I232+M232+Q232</f>
        <v>0</v>
      </c>
    </row>
    <row r="233" spans="1:18" ht="15.75" customHeight="1" thickBot="1" x14ac:dyDescent="0.4">
      <c r="A233" s="174" t="s">
        <v>70</v>
      </c>
      <c r="B233" s="140"/>
      <c r="C233" s="140"/>
      <c r="D233" s="140"/>
      <c r="E233" s="207" t="s">
        <v>7</v>
      </c>
      <c r="F233" s="140"/>
      <c r="G233" s="140"/>
      <c r="H233" s="140"/>
      <c r="I233" s="207" t="s">
        <v>7</v>
      </c>
      <c r="J233" s="140"/>
      <c r="K233" s="140"/>
      <c r="L233" s="140"/>
      <c r="M233" s="207" t="s">
        <v>7</v>
      </c>
      <c r="N233" s="140"/>
      <c r="O233" s="140"/>
      <c r="P233" s="140"/>
      <c r="Q233" s="207" t="s">
        <v>7</v>
      </c>
      <c r="R233" s="207" t="s">
        <v>7</v>
      </c>
    </row>
    <row r="234" spans="1:18" ht="15.75" customHeight="1" thickBot="1" x14ac:dyDescent="0.4">
      <c r="A234" s="209" t="s">
        <v>71</v>
      </c>
      <c r="B234" s="210">
        <f>SUM(B230:B233)</f>
        <v>0</v>
      </c>
      <c r="C234" s="210">
        <f>SUM(C230:C233)</f>
        <v>0</v>
      </c>
      <c r="D234" s="210">
        <f>SUM(D230:D233)</f>
        <v>0</v>
      </c>
      <c r="E234" s="212">
        <f t="shared" ref="E234:E242" si="44">SUM(B234:D234)</f>
        <v>0</v>
      </c>
      <c r="F234" s="210">
        <f>SUM(F230:F233)</f>
        <v>0</v>
      </c>
      <c r="G234" s="210">
        <f>SUM(G230:G233)</f>
        <v>0</v>
      </c>
      <c r="H234" s="210">
        <f>SUM(H230:H233)</f>
        <v>0</v>
      </c>
      <c r="I234" s="212">
        <f t="shared" ref="I234:I242" si="45">SUM(F234:H234)</f>
        <v>0</v>
      </c>
      <c r="J234" s="210">
        <f>SUM(J230:J233)</f>
        <v>0</v>
      </c>
      <c r="K234" s="210">
        <f>SUM(K230:K233)</f>
        <v>0</v>
      </c>
      <c r="L234" s="210">
        <f>SUM(L230:L233)</f>
        <v>0</v>
      </c>
      <c r="M234" s="212">
        <f t="shared" ref="M234:M242" si="46">SUM(J234:L234)</f>
        <v>0</v>
      </c>
      <c r="N234" s="210">
        <f>SUM(N230:N233)</f>
        <v>0</v>
      </c>
      <c r="O234" s="210">
        <f>SUM(O230:O233)</f>
        <v>0</v>
      </c>
      <c r="P234" s="210">
        <f>SUM(P230:P233)</f>
        <v>0</v>
      </c>
      <c r="Q234" s="212">
        <f t="shared" ref="Q234:Q242" si="47">SUM(N234:P234)</f>
        <v>0</v>
      </c>
      <c r="R234" s="211">
        <f t="shared" ref="R234:R242" si="48">+E234+I234+M234+Q234</f>
        <v>0</v>
      </c>
    </row>
    <row r="235" spans="1:18" ht="15.75" customHeight="1" thickBot="1" x14ac:dyDescent="0.4">
      <c r="A235" s="209" t="s">
        <v>72</v>
      </c>
      <c r="B235" s="237">
        <f>SUM(B216:B233)</f>
        <v>296</v>
      </c>
      <c r="C235" s="238">
        <f>SUM(C216:C233)</f>
        <v>200</v>
      </c>
      <c r="D235" s="238">
        <f>SUM(D216:D233)</f>
        <v>197</v>
      </c>
      <c r="E235" s="211">
        <f t="shared" si="44"/>
        <v>693</v>
      </c>
      <c r="F235" s="238">
        <f>SUM(F216:F233)</f>
        <v>641</v>
      </c>
      <c r="G235" s="238">
        <f>SUM(G216:G233)</f>
        <v>1159</v>
      </c>
      <c r="H235" s="238">
        <f>SUM(H216:H233)</f>
        <v>979</v>
      </c>
      <c r="I235" s="211">
        <f t="shared" si="45"/>
        <v>2779</v>
      </c>
      <c r="J235" s="238">
        <f>SUM(J216:J233)</f>
        <v>1321</v>
      </c>
      <c r="K235" s="238">
        <f>SUM(K216:K233)</f>
        <v>935</v>
      </c>
      <c r="L235" s="238">
        <f>SUM(L216:L233)</f>
        <v>2002</v>
      </c>
      <c r="M235" s="211">
        <f t="shared" si="46"/>
        <v>4258</v>
      </c>
      <c r="N235" s="238">
        <f>SUM(N216:N233)</f>
        <v>526</v>
      </c>
      <c r="O235" s="238">
        <f>SUM(O216:O233)</f>
        <v>1593</v>
      </c>
      <c r="P235" s="238">
        <f>SUM(P216:P233)</f>
        <v>428</v>
      </c>
      <c r="Q235" s="211">
        <f t="shared" si="47"/>
        <v>2547</v>
      </c>
      <c r="R235" s="211">
        <f t="shared" si="48"/>
        <v>10277</v>
      </c>
    </row>
    <row r="236" spans="1:18" ht="15.75" customHeight="1" thickBot="1" x14ac:dyDescent="0.4">
      <c r="A236" s="209" t="s">
        <v>73</v>
      </c>
      <c r="B236" s="240">
        <f>+B177+B182+B215+B235</f>
        <v>21993</v>
      </c>
      <c r="C236" s="210">
        <f>+C177+C182+C215+C235</f>
        <v>18811</v>
      </c>
      <c r="D236" s="210">
        <f>+D177+D182+D215+D235</f>
        <v>26575</v>
      </c>
      <c r="E236" s="231">
        <f t="shared" si="44"/>
        <v>67379</v>
      </c>
      <c r="F236" s="210">
        <f>+F177+F182+F215+F235</f>
        <v>25834</v>
      </c>
      <c r="G236" s="210">
        <f>+G177+G182+G215+G235</f>
        <v>35600</v>
      </c>
      <c r="H236" s="210">
        <f>+H177+H182+H215+H235</f>
        <v>34879</v>
      </c>
      <c r="I236" s="231">
        <f t="shared" si="45"/>
        <v>96313</v>
      </c>
      <c r="J236" s="210">
        <f>+J177+J182+J215+J235</f>
        <v>35529</v>
      </c>
      <c r="K236" s="210">
        <f>+K177+K182+K215+K235</f>
        <v>37389</v>
      </c>
      <c r="L236" s="210">
        <f>+L177+L182+L215+L235</f>
        <v>32296</v>
      </c>
      <c r="M236" s="231">
        <f t="shared" si="46"/>
        <v>105214</v>
      </c>
      <c r="N236" s="210">
        <f>+N177+N182+N215+N235</f>
        <v>32891</v>
      </c>
      <c r="O236" s="210">
        <f>+O177+O182+O215+O235</f>
        <v>22455</v>
      </c>
      <c r="P236" s="210">
        <f>+P177+P182+P215+P235</f>
        <v>26922</v>
      </c>
      <c r="Q236" s="231">
        <f t="shared" si="47"/>
        <v>82268</v>
      </c>
      <c r="R236" s="231">
        <f t="shared" si="48"/>
        <v>351174</v>
      </c>
    </row>
    <row r="237" spans="1:18" ht="15.75" customHeight="1" x14ac:dyDescent="0.35">
      <c r="A237" s="239" t="s">
        <v>192</v>
      </c>
      <c r="B237" s="140">
        <v>0</v>
      </c>
      <c r="C237" s="140">
        <v>637</v>
      </c>
      <c r="D237" s="140">
        <v>3343</v>
      </c>
      <c r="E237" s="207">
        <f t="shared" si="44"/>
        <v>3980</v>
      </c>
      <c r="F237" s="140">
        <v>2738</v>
      </c>
      <c r="G237" s="140">
        <v>3244</v>
      </c>
      <c r="H237" s="140">
        <v>2609</v>
      </c>
      <c r="I237" s="207">
        <f t="shared" si="45"/>
        <v>8591</v>
      </c>
      <c r="J237" s="140">
        <v>3010</v>
      </c>
      <c r="K237" s="140">
        <v>2870</v>
      </c>
      <c r="L237" s="140">
        <v>2972</v>
      </c>
      <c r="M237" s="207">
        <f t="shared" si="46"/>
        <v>8852</v>
      </c>
      <c r="N237" s="140">
        <v>4607</v>
      </c>
      <c r="O237" s="140">
        <v>4045</v>
      </c>
      <c r="P237" s="140">
        <v>599</v>
      </c>
      <c r="Q237" s="207">
        <f t="shared" si="47"/>
        <v>9251</v>
      </c>
      <c r="R237" s="207">
        <f t="shared" si="48"/>
        <v>30674</v>
      </c>
    </row>
    <row r="238" spans="1:18" ht="15.75" customHeight="1" x14ac:dyDescent="0.35">
      <c r="A238" s="241" t="s">
        <v>193</v>
      </c>
      <c r="B238" s="140">
        <v>-837</v>
      </c>
      <c r="C238" s="140">
        <v>-1677</v>
      </c>
      <c r="D238" s="140">
        <v>-1246</v>
      </c>
      <c r="E238" s="207">
        <f t="shared" si="44"/>
        <v>-3760</v>
      </c>
      <c r="F238" s="140">
        <v>-5393</v>
      </c>
      <c r="G238" s="140">
        <v>-2494</v>
      </c>
      <c r="H238" s="140">
        <v>-6596</v>
      </c>
      <c r="I238" s="207">
        <f t="shared" si="45"/>
        <v>-14483</v>
      </c>
      <c r="J238" s="140">
        <v>-5100</v>
      </c>
      <c r="K238" s="140">
        <v>-9040</v>
      </c>
      <c r="L238" s="140">
        <v>-7990</v>
      </c>
      <c r="M238" s="207">
        <f t="shared" si="46"/>
        <v>-22130</v>
      </c>
      <c r="N238" s="140">
        <v>-6356</v>
      </c>
      <c r="O238" s="140">
        <v>-2699</v>
      </c>
      <c r="P238" s="140">
        <v>-4384</v>
      </c>
      <c r="Q238" s="207">
        <f t="shared" si="47"/>
        <v>-13439</v>
      </c>
      <c r="R238" s="207">
        <f t="shared" si="48"/>
        <v>-53812</v>
      </c>
    </row>
    <row r="239" spans="1:18" ht="15.75" customHeight="1" x14ac:dyDescent="0.35">
      <c r="A239" s="222" t="s">
        <v>546</v>
      </c>
      <c r="B239" s="140">
        <v>0</v>
      </c>
      <c r="C239" s="140">
        <v>0</v>
      </c>
      <c r="D239" s="140">
        <v>0</v>
      </c>
      <c r="E239" s="207">
        <f t="shared" si="44"/>
        <v>0</v>
      </c>
      <c r="F239" s="140">
        <v>0</v>
      </c>
      <c r="G239" s="140">
        <v>0</v>
      </c>
      <c r="H239" s="140">
        <v>0</v>
      </c>
      <c r="I239" s="207">
        <f t="shared" si="45"/>
        <v>0</v>
      </c>
      <c r="J239" s="140">
        <v>0</v>
      </c>
      <c r="K239" s="140">
        <v>0</v>
      </c>
      <c r="L239" s="140">
        <v>0</v>
      </c>
      <c r="M239" s="207">
        <f t="shared" si="46"/>
        <v>0</v>
      </c>
      <c r="N239" s="140">
        <v>0</v>
      </c>
      <c r="O239" s="140">
        <v>0</v>
      </c>
      <c r="P239" s="140">
        <v>0</v>
      </c>
      <c r="Q239" s="207">
        <f>SUM(N239:P239)</f>
        <v>0</v>
      </c>
      <c r="R239" s="207">
        <f>+E239+I239+M239+Q239</f>
        <v>0</v>
      </c>
    </row>
    <row r="240" spans="1:18" ht="15.75" customHeight="1" x14ac:dyDescent="0.35">
      <c r="A240" s="241" t="s">
        <v>547</v>
      </c>
      <c r="B240" s="140">
        <v>56</v>
      </c>
      <c r="C240" s="140">
        <v>54</v>
      </c>
      <c r="D240" s="140">
        <v>90</v>
      </c>
      <c r="E240" s="207">
        <f t="shared" si="44"/>
        <v>200</v>
      </c>
      <c r="F240" s="140">
        <v>99</v>
      </c>
      <c r="G240" s="140">
        <v>179</v>
      </c>
      <c r="H240" s="140">
        <v>150</v>
      </c>
      <c r="I240" s="207">
        <f t="shared" si="45"/>
        <v>428</v>
      </c>
      <c r="J240" s="140">
        <v>137</v>
      </c>
      <c r="K240" s="140">
        <v>192</v>
      </c>
      <c r="L240" s="140">
        <v>186</v>
      </c>
      <c r="M240" s="207">
        <f t="shared" si="46"/>
        <v>515</v>
      </c>
      <c r="N240" s="140">
        <v>143</v>
      </c>
      <c r="O240" s="140">
        <v>106</v>
      </c>
      <c r="P240" s="140">
        <v>40</v>
      </c>
      <c r="Q240" s="207">
        <f t="shared" si="47"/>
        <v>289</v>
      </c>
      <c r="R240" s="207">
        <f t="shared" si="48"/>
        <v>1432</v>
      </c>
    </row>
    <row r="241" spans="1:18" ht="15.75" customHeight="1" x14ac:dyDescent="0.35">
      <c r="A241" s="234" t="s">
        <v>196</v>
      </c>
      <c r="B241" s="140">
        <v>97686</v>
      </c>
      <c r="C241" s="140">
        <v>85428</v>
      </c>
      <c r="D241" s="140">
        <v>45817</v>
      </c>
      <c r="E241" s="207">
        <f t="shared" si="44"/>
        <v>228931</v>
      </c>
      <c r="F241" s="140">
        <v>20571</v>
      </c>
      <c r="G241" s="140">
        <v>4193</v>
      </c>
      <c r="H241" s="140">
        <v>0</v>
      </c>
      <c r="I241" s="207">
        <f t="shared" si="45"/>
        <v>24764</v>
      </c>
      <c r="J241" s="140">
        <v>0</v>
      </c>
      <c r="K241" s="140">
        <v>0</v>
      </c>
      <c r="L241" s="140">
        <v>20940</v>
      </c>
      <c r="M241" s="207">
        <f t="shared" si="46"/>
        <v>20940</v>
      </c>
      <c r="N241" s="140">
        <v>17280</v>
      </c>
      <c r="O241" s="140">
        <v>77414</v>
      </c>
      <c r="P241" s="140">
        <v>58224</v>
      </c>
      <c r="Q241" s="207">
        <f t="shared" si="47"/>
        <v>152918</v>
      </c>
      <c r="R241" s="207">
        <f t="shared" si="48"/>
        <v>427553</v>
      </c>
    </row>
    <row r="242" spans="1:18" ht="15.75" customHeight="1" thickBot="1" x14ac:dyDescent="0.4">
      <c r="A242" s="196" t="s">
        <v>40</v>
      </c>
      <c r="B242" s="180">
        <v>104</v>
      </c>
      <c r="C242" s="180">
        <v>268</v>
      </c>
      <c r="D242" s="180">
        <v>474</v>
      </c>
      <c r="E242" s="207">
        <f t="shared" si="44"/>
        <v>846</v>
      </c>
      <c r="F242" s="180">
        <v>647</v>
      </c>
      <c r="G242" s="180">
        <v>742</v>
      </c>
      <c r="H242" s="180">
        <v>781</v>
      </c>
      <c r="I242" s="207">
        <f t="shared" si="45"/>
        <v>2170</v>
      </c>
      <c r="J242" s="180">
        <v>774</v>
      </c>
      <c r="K242" s="180">
        <v>596</v>
      </c>
      <c r="L242" s="180">
        <v>546</v>
      </c>
      <c r="M242" s="207">
        <f t="shared" si="46"/>
        <v>1916</v>
      </c>
      <c r="N242" s="180">
        <v>517</v>
      </c>
      <c r="O242" s="180">
        <v>413</v>
      </c>
      <c r="P242" s="180">
        <v>302</v>
      </c>
      <c r="Q242" s="207">
        <f t="shared" si="47"/>
        <v>1232</v>
      </c>
      <c r="R242" s="207">
        <f t="shared" si="48"/>
        <v>6164</v>
      </c>
    </row>
    <row r="243" spans="1:18" ht="15.75" customHeight="1" thickBot="1" x14ac:dyDescent="0.4">
      <c r="A243" s="224"/>
      <c r="B243" s="225"/>
      <c r="C243" s="225"/>
      <c r="D243" s="225"/>
      <c r="E243" s="212"/>
      <c r="F243" s="225"/>
      <c r="G243" s="225"/>
      <c r="H243" s="225"/>
      <c r="I243" s="211"/>
      <c r="J243" s="225"/>
      <c r="K243" s="225"/>
      <c r="L243" s="225"/>
      <c r="M243" s="211"/>
      <c r="N243" s="225"/>
      <c r="O243" s="225"/>
      <c r="P243" s="225"/>
      <c r="Q243" s="211"/>
      <c r="R243" s="211" t="s">
        <v>7</v>
      </c>
    </row>
    <row r="244" spans="1:18" ht="15.75" customHeight="1" x14ac:dyDescent="0.35">
      <c r="A244" s="226" t="s">
        <v>41</v>
      </c>
      <c r="B244" s="227">
        <f>SUM(B236:B242)</f>
        <v>119002</v>
      </c>
      <c r="C244" s="227">
        <f>SUM(C236:C242)</f>
        <v>103521</v>
      </c>
      <c r="D244" s="227">
        <f>SUM(D236:D242)</f>
        <v>75053</v>
      </c>
      <c r="E244" s="212">
        <f>SUM(B244:D244)</f>
        <v>297576</v>
      </c>
      <c r="F244" s="227">
        <f>SUM(F236:F242)</f>
        <v>44496</v>
      </c>
      <c r="G244" s="227">
        <f>SUM(G236:G242)</f>
        <v>41464</v>
      </c>
      <c r="H244" s="227">
        <f>SUM(H236:H242)</f>
        <v>31823</v>
      </c>
      <c r="I244" s="212">
        <f>SUM(F244:H244)</f>
        <v>117783</v>
      </c>
      <c r="J244" s="227">
        <f>SUM(J236:J242)</f>
        <v>34350</v>
      </c>
      <c r="K244" s="227">
        <f>SUM(K236:K242)</f>
        <v>32007</v>
      </c>
      <c r="L244" s="227">
        <f>SUM(L236:L242)</f>
        <v>48950</v>
      </c>
      <c r="M244" s="212">
        <f>SUM(J244:L244)</f>
        <v>115307</v>
      </c>
      <c r="N244" s="227">
        <f>SUM(N236:N242)</f>
        <v>49082</v>
      </c>
      <c r="O244" s="227">
        <f>SUM(O236:O242)</f>
        <v>101734</v>
      </c>
      <c r="P244" s="227">
        <f>SUM(P236:P242)</f>
        <v>81703</v>
      </c>
      <c r="Q244" s="242">
        <f>SUM(N244:P244)</f>
        <v>232519</v>
      </c>
      <c r="R244" s="212">
        <f>+E244+I244+M244+Q244</f>
        <v>763185</v>
      </c>
    </row>
    <row r="245" spans="1:18" ht="15.75" customHeight="1" x14ac:dyDescent="0.35">
      <c r="A245" s="229" t="s">
        <v>42</v>
      </c>
      <c r="B245" s="140">
        <f>(B244/31)/1.983</f>
        <v>1935.8417516633319</v>
      </c>
      <c r="C245" s="140">
        <f>(C244/28)/1.983</f>
        <v>1864.4370002161227</v>
      </c>
      <c r="D245" s="140">
        <f>(D244/31)/1.983</f>
        <v>1220.9099930050591</v>
      </c>
      <c r="E245" s="207" t="s">
        <v>7</v>
      </c>
      <c r="F245" s="140">
        <f>(F244/30)/1.983</f>
        <v>747.9576399394856</v>
      </c>
      <c r="G245" s="140">
        <f>(G244/31)/1.983</f>
        <v>674.50750736095517</v>
      </c>
      <c r="H245" s="140">
        <f>(H244/30)/1.983</f>
        <v>534.93024037653379</v>
      </c>
      <c r="I245" s="207" t="s">
        <v>7</v>
      </c>
      <c r="J245" s="140">
        <f>(J244/31)/1.983</f>
        <v>558.78190425064656</v>
      </c>
      <c r="K245" s="140">
        <f>(K244/31)/1.983</f>
        <v>520.66761017031865</v>
      </c>
      <c r="L245" s="140">
        <f>(L244/30)/1.983</f>
        <v>822.82736594385608</v>
      </c>
      <c r="M245" s="207" t="s">
        <v>7</v>
      </c>
      <c r="N245" s="140">
        <f>(N244/31)/1.983</f>
        <v>798.4318318611422</v>
      </c>
      <c r="O245" s="140">
        <f>(O244/30)/1.983</f>
        <v>1710.102538241721</v>
      </c>
      <c r="P245" s="140">
        <f>(P244/31)/1.983</f>
        <v>1329.087566899289</v>
      </c>
      <c r="Q245" s="243" t="s">
        <v>7</v>
      </c>
      <c r="R245" s="207" t="s">
        <v>7</v>
      </c>
    </row>
    <row r="246" spans="1:18" ht="15.75" customHeight="1" x14ac:dyDescent="0.35">
      <c r="A246" s="229" t="s">
        <v>197</v>
      </c>
      <c r="B246" s="140">
        <f>(+B244+B359)+B253</f>
        <v>162308</v>
      </c>
      <c r="C246" s="140">
        <f>(+C244+C359)+C253</f>
        <v>140487</v>
      </c>
      <c r="D246" s="140">
        <f>(+D244+D359)+D253</f>
        <v>151665</v>
      </c>
      <c r="E246" s="207">
        <f>SUM(B246:D246)</f>
        <v>454460</v>
      </c>
      <c r="F246" s="140">
        <f>(+F244+F359)+F253</f>
        <v>146681</v>
      </c>
      <c r="G246" s="140">
        <f>(+G244+G359)+G253</f>
        <v>136095</v>
      </c>
      <c r="H246" s="140">
        <f>(+H244+H359)+H253</f>
        <v>77591</v>
      </c>
      <c r="I246" s="207">
        <f>SUM(F246:H246)</f>
        <v>360367</v>
      </c>
      <c r="J246" s="140">
        <f>(+J244+J359)+J253</f>
        <v>49706</v>
      </c>
      <c r="K246" s="140">
        <f>(+K244+K359)+K253</f>
        <v>41035</v>
      </c>
      <c r="L246" s="140">
        <f>(+L244+L359)+L253</f>
        <v>130231</v>
      </c>
      <c r="M246" s="207">
        <f>SUM(J246:L246)</f>
        <v>220972</v>
      </c>
      <c r="N246" s="140">
        <f>(+N244+N359)+N253</f>
        <v>108904</v>
      </c>
      <c r="O246" s="140">
        <f>(+O244+O359)+O253</f>
        <v>115910</v>
      </c>
      <c r="P246" s="140">
        <f>(+P244+P359)+P253</f>
        <v>123193</v>
      </c>
      <c r="Q246" s="243">
        <f>SUM(N246:P246)</f>
        <v>348007</v>
      </c>
      <c r="R246" s="207">
        <f>+E246+I246+M246+Q246</f>
        <v>1383806</v>
      </c>
    </row>
    <row r="247" spans="1:18" ht="15.75" customHeight="1" thickBot="1" x14ac:dyDescent="0.4">
      <c r="A247" s="230" t="s">
        <v>198</v>
      </c>
      <c r="B247" s="184">
        <f>(B246/31)/1.983</f>
        <v>2640.3136336277717</v>
      </c>
      <c r="C247" s="184">
        <f>(C246/28)/1.983</f>
        <v>2530.2031553922625</v>
      </c>
      <c r="D247" s="184">
        <f>(D246/31)/1.983</f>
        <v>2467.1807134839682</v>
      </c>
      <c r="E247" s="231" t="s">
        <v>7</v>
      </c>
      <c r="F247" s="184">
        <f>(F246/30)/1.983</f>
        <v>2465.6412842494537</v>
      </c>
      <c r="G247" s="184">
        <f>(G246/31)/1.983</f>
        <v>2213.8987848323654</v>
      </c>
      <c r="H247" s="184">
        <f>(H246/30)/1.983</f>
        <v>1304.2696251470836</v>
      </c>
      <c r="I247" s="231" t="s">
        <v>7</v>
      </c>
      <c r="J247" s="184">
        <f>(J246/31)/1.983</f>
        <v>808.58262977242043</v>
      </c>
      <c r="K247" s="184">
        <f>(K246/31)/1.983</f>
        <v>667.52883379695152</v>
      </c>
      <c r="L247" s="184">
        <f>(L246/30)/1.983</f>
        <v>2189.1242225584133</v>
      </c>
      <c r="M247" s="231" t="s">
        <v>7</v>
      </c>
      <c r="N247" s="184">
        <f>(N246/30)/1.983</f>
        <v>1830.6269961338039</v>
      </c>
      <c r="O247" s="184">
        <f>(O246/30)/1.983</f>
        <v>1948.3946881828876</v>
      </c>
      <c r="P247" s="184">
        <f>(P246/31)/1.983</f>
        <v>2004.0180241732141</v>
      </c>
      <c r="Q247" s="244" t="s">
        <v>7</v>
      </c>
      <c r="R247" s="231" t="s">
        <v>7</v>
      </c>
    </row>
    <row r="248" spans="1:18" ht="15.75" customHeight="1" thickBot="1" x14ac:dyDescent="0.4">
      <c r="A248" s="245" t="s">
        <v>199</v>
      </c>
      <c r="B248" s="246">
        <f>+(B246-(B141+B143+B144+B153+B157+B164+B173+B174+B186+B187+B188+B218+B219+B220+B221+B224+B225+B226+B227+B237+B241)-B253-B249)/(31*1.983)</f>
        <v>898.81736697411861</v>
      </c>
      <c r="C248" s="246">
        <f>+(C246-(C141+C143+C144+C153+C157+C164+C173+C174+C186+C187+C188+C218+C219+C220+C221+C224+C225+C226+C227+C237+C241)-C253-C249)/(31*1.983)</f>
        <v>733.91570282888415</v>
      </c>
      <c r="D248" s="246">
        <f>+(D246-(D141+D143+D144+D153+D157+D164+D173+D174+D186+D187+D188+D218+D219+D220+D221+D224+D225+D226+D227+D237+D241)-D253-D249)/(31*1.983)</f>
        <v>1475.6559790477118</v>
      </c>
      <c r="E248" s="247"/>
      <c r="F248" s="246">
        <f>+(F246-(F141+F143+F144+F153+F157+F164+F173+F174+F186+F187+F188+F218+F219+F220+F221+F224+F225+F226+F227+F237+F241)-F253-F249)/(31*1.983)</f>
        <v>1857.8400273290711</v>
      </c>
      <c r="G248" s="246">
        <f>+(G246-(G141+G143+G144+G153+G157+G164+G173+G174+G186+G187+G188+G218+G219+G220+G221+G224+G225+G226+G227+G237+G241)-G253-G249)/(31*1.983)</f>
        <v>2065.2969596408179</v>
      </c>
      <c r="H248" s="246">
        <f>+(H246-(H141+H143+H144+H153+H157+H164+H173+H174+H186+H187+H188+H218+H219+H220+H221+H224+H225+H226+H227+H237+H241)-H253-H249)/(31*1.983)</f>
        <v>2384.4289362809686</v>
      </c>
      <c r="I248" s="247"/>
      <c r="J248" s="246">
        <f>+(J246-(J141+J143+J144+J153+J157+J164+J173+J174+J186+J187+J188+J218+J219+J220+J221+J224+J225+J226+J227+J237+J241)-J253-J249)/(31*1.983)</f>
        <v>2503.0663868690317</v>
      </c>
      <c r="K248" s="246">
        <f>+(K246-(K141+K143+K144+K153+K157+K164+K173+K174+K186+K187+K188+K218+K219+K220+K221+K224+K225+K226+K227+K237+K241)-K253-K249)/(31*1.983)</f>
        <v>2474.7938119174269</v>
      </c>
      <c r="L248" s="246">
        <f>+(L246-(L141+L143+L144+L153+L157+L164+L173+L174+L186+L187+L188+L218+L219+L220+L221+L224+L225+L226+L227+L237+L241)-L253-L249)/(31*1.983)</f>
        <v>1713.9231857888828</v>
      </c>
      <c r="M248" s="247"/>
      <c r="N248" s="246">
        <f>+(N246-(N141+N143+N144+N153+N157+N164+N173+N174+N186+N187+N188+N218+N219+N220+N221+N224+N225+N226+N227+N237+N241)-N253-N249)/(31*1.983)</f>
        <v>1279.7813674296031</v>
      </c>
      <c r="O248" s="246">
        <f>+(O246-(O141+O143+O144+O153+O157+O164+O173+O174+O186+O187+O188+O218+O219+O220+O221+O224+O225+O226+O227+O237+O241)-O253-O249)/(31*1.983)</f>
        <v>428.39945992549571</v>
      </c>
      <c r="P248" s="246">
        <f>+(P246-(P141+P143+P144+P153+P157+P164+P173+P174+P186+P187+P188+P218+P219+P220+P221+P224+P225+P226+P227+P237+P241)-P253-P249)/(31*1.983)</f>
        <v>857.38454280741132</v>
      </c>
      <c r="Q248" s="248"/>
      <c r="R248" s="247"/>
    </row>
    <row r="249" spans="1:18" ht="15.75" customHeight="1" x14ac:dyDescent="0.35">
      <c r="A249" s="99" t="s">
        <v>200</v>
      </c>
      <c r="B249" s="140">
        <v>3805</v>
      </c>
      <c r="C249" s="140">
        <v>3360</v>
      </c>
      <c r="D249" s="140">
        <v>3720</v>
      </c>
      <c r="E249" s="140"/>
      <c r="F249" s="140">
        <v>3600</v>
      </c>
      <c r="G249" s="140">
        <v>3720</v>
      </c>
      <c r="H249" s="140">
        <v>3600</v>
      </c>
      <c r="I249" s="140"/>
      <c r="J249" s="140">
        <v>3720</v>
      </c>
      <c r="K249" s="140">
        <v>3805</v>
      </c>
      <c r="L249" s="140">
        <v>3683</v>
      </c>
      <c r="M249" s="140"/>
      <c r="N249" s="140">
        <v>3805</v>
      </c>
      <c r="O249" s="140">
        <v>3683</v>
      </c>
      <c r="P249" s="140">
        <v>3805</v>
      </c>
      <c r="Q249" s="140"/>
      <c r="R249" s="141"/>
    </row>
    <row r="250" spans="1:18" ht="15.75" customHeight="1" thickBot="1" x14ac:dyDescent="0.4">
      <c r="A250" s="139"/>
      <c r="B250" s="140"/>
      <c r="C250" s="140"/>
      <c r="D250" s="140"/>
      <c r="E250" s="140"/>
      <c r="F250" s="140"/>
      <c r="G250" s="140"/>
      <c r="H250" s="140"/>
      <c r="I250" s="140"/>
      <c r="J250" s="140"/>
      <c r="K250" s="140"/>
      <c r="L250" s="140"/>
      <c r="M250" s="140"/>
      <c r="N250" s="140"/>
      <c r="O250" s="140"/>
      <c r="P250" s="140"/>
      <c r="Q250" s="140"/>
      <c r="R250" s="141"/>
    </row>
    <row r="251" spans="1:18" ht="15.75" customHeight="1" thickBot="1" x14ac:dyDescent="0.4">
      <c r="A251" s="187" t="s">
        <v>201</v>
      </c>
      <c r="B251" s="188" t="s">
        <v>8</v>
      </c>
      <c r="C251" s="189" t="s">
        <v>9</v>
      </c>
      <c r="D251" s="189" t="s">
        <v>10</v>
      </c>
      <c r="E251" s="10" t="s">
        <v>11</v>
      </c>
      <c r="F251" s="189" t="s">
        <v>12</v>
      </c>
      <c r="G251" s="189" t="s">
        <v>13</v>
      </c>
      <c r="H251" s="189" t="s">
        <v>14</v>
      </c>
      <c r="I251" s="190" t="s">
        <v>15</v>
      </c>
      <c r="J251" s="189" t="s">
        <v>16</v>
      </c>
      <c r="K251" s="189" t="s">
        <v>17</v>
      </c>
      <c r="L251" s="189" t="s">
        <v>18</v>
      </c>
      <c r="M251" s="190" t="s">
        <v>19</v>
      </c>
      <c r="N251" s="189" t="s">
        <v>20</v>
      </c>
      <c r="O251" s="189" t="s">
        <v>21</v>
      </c>
      <c r="P251" s="189" t="s">
        <v>22</v>
      </c>
      <c r="Q251" s="190" t="s">
        <v>23</v>
      </c>
      <c r="R251" s="191" t="s">
        <v>24</v>
      </c>
    </row>
    <row r="252" spans="1:18" ht="15.75" customHeight="1" thickBot="1" x14ac:dyDescent="0.4">
      <c r="A252" s="224"/>
      <c r="B252" s="225"/>
      <c r="C252" s="225"/>
      <c r="D252" s="225"/>
      <c r="E252" s="232"/>
      <c r="F252" s="225"/>
      <c r="G252" s="225"/>
      <c r="H252" s="225"/>
      <c r="I252" s="232"/>
      <c r="J252" s="225"/>
      <c r="K252" s="225"/>
      <c r="L252" s="225"/>
      <c r="M252" s="232"/>
      <c r="N252" s="225"/>
      <c r="O252" s="225"/>
      <c r="P252" s="225"/>
      <c r="Q252" s="232"/>
      <c r="R252" s="249"/>
    </row>
    <row r="253" spans="1:18" ht="15.75" customHeight="1" thickBot="1" x14ac:dyDescent="0.4">
      <c r="A253" s="222" t="s">
        <v>202</v>
      </c>
      <c r="B253" s="140">
        <v>0</v>
      </c>
      <c r="C253" s="140">
        <v>0</v>
      </c>
      <c r="D253" s="140">
        <v>0</v>
      </c>
      <c r="E253" s="207">
        <f>SUM(B253:D253)</f>
        <v>0</v>
      </c>
      <c r="F253" s="140">
        <v>0</v>
      </c>
      <c r="G253" s="140">
        <v>-12106</v>
      </c>
      <c r="H253" s="140">
        <v>-84124</v>
      </c>
      <c r="I253" s="207">
        <f>SUM(F253:H253)</f>
        <v>-96230</v>
      </c>
      <c r="J253" s="140">
        <v>-118289</v>
      </c>
      <c r="K253" s="140">
        <v>-126218</v>
      </c>
      <c r="L253" s="140">
        <v>-9314</v>
      </c>
      <c r="M253" s="207">
        <f>SUM(J253:L253)</f>
        <v>-253821</v>
      </c>
      <c r="N253" s="140">
        <v>0</v>
      </c>
      <c r="O253" s="140">
        <v>0</v>
      </c>
      <c r="P253" s="140">
        <v>0</v>
      </c>
      <c r="Q253" s="207">
        <f>SUM(N253:P253)</f>
        <v>0</v>
      </c>
      <c r="R253" s="207">
        <f>+E253+I253+M253+Q253</f>
        <v>-350051</v>
      </c>
    </row>
    <row r="254" spans="1:18" ht="15.75" customHeight="1" thickBot="1" x14ac:dyDescent="0.4">
      <c r="A254" s="250"/>
      <c r="B254" s="251"/>
      <c r="C254" s="251"/>
      <c r="D254" s="251"/>
      <c r="E254" s="252"/>
      <c r="F254" s="251"/>
      <c r="G254" s="251"/>
      <c r="H254" s="251"/>
      <c r="I254" s="252"/>
      <c r="J254" s="251"/>
      <c r="K254" s="251"/>
      <c r="L254" s="251"/>
      <c r="M254" s="252"/>
      <c r="N254" s="251"/>
      <c r="O254" s="251"/>
      <c r="P254" s="251"/>
      <c r="Q254" s="252"/>
      <c r="R254" s="253"/>
    </row>
    <row r="255" spans="1:18" ht="15.75" customHeight="1" x14ac:dyDescent="0.35">
      <c r="A255" s="174" t="s">
        <v>32</v>
      </c>
      <c r="B255" s="140">
        <f>B253</f>
        <v>0</v>
      </c>
      <c r="C255" s="140">
        <f>C253</f>
        <v>0</v>
      </c>
      <c r="D255" s="140">
        <f>D253</f>
        <v>0</v>
      </c>
      <c r="E255" s="207">
        <f>SUM(B255:D255)</f>
        <v>0</v>
      </c>
      <c r="F255" s="140">
        <f>F253</f>
        <v>0</v>
      </c>
      <c r="G255" s="140">
        <f>G253</f>
        <v>-12106</v>
      </c>
      <c r="H255" s="140">
        <f>H253</f>
        <v>-84124</v>
      </c>
      <c r="I255" s="207">
        <f>SUM(F255:H255)</f>
        <v>-96230</v>
      </c>
      <c r="J255" s="140">
        <f>J253</f>
        <v>-118289</v>
      </c>
      <c r="K255" s="140">
        <f>K253</f>
        <v>-126218</v>
      </c>
      <c r="L255" s="140">
        <f>L253</f>
        <v>-9314</v>
      </c>
      <c r="M255" s="207">
        <f>SUM(J255:L255)</f>
        <v>-253821</v>
      </c>
      <c r="N255" s="140">
        <f>N253</f>
        <v>0</v>
      </c>
      <c r="O255" s="140">
        <f>O253</f>
        <v>0</v>
      </c>
      <c r="P255" s="140">
        <f>P253</f>
        <v>0</v>
      </c>
      <c r="Q255" s="207">
        <f>SUM(N255:P255)</f>
        <v>0</v>
      </c>
      <c r="R255" s="254">
        <f>R253</f>
        <v>-350051</v>
      </c>
    </row>
    <row r="256" spans="1:18" ht="15.75" customHeight="1" thickBot="1" x14ac:dyDescent="0.4">
      <c r="A256" s="179" t="s">
        <v>42</v>
      </c>
      <c r="B256" s="180">
        <f>(B255/31)/1.983</f>
        <v>0</v>
      </c>
      <c r="C256" s="180">
        <f>(C255/28)/1.983</f>
        <v>0</v>
      </c>
      <c r="D256" s="180">
        <f>(D255/31)/1.983</f>
        <v>0</v>
      </c>
      <c r="E256" s="231"/>
      <c r="F256" s="180">
        <f>(F255/30)/1.983</f>
        <v>0</v>
      </c>
      <c r="G256" s="180">
        <f>(G255/31)/1.983</f>
        <v>-196.93198640053356</v>
      </c>
      <c r="H256" s="180">
        <f>(H255/30)/1.983</f>
        <v>-1414.086401075811</v>
      </c>
      <c r="I256" s="231"/>
      <c r="J256" s="180">
        <f>(J255/31)/1.983</f>
        <v>-1924.2431636653491</v>
      </c>
      <c r="K256" s="180">
        <f>(K255/31)/1.983</f>
        <v>-2053.22661981683</v>
      </c>
      <c r="L256" s="180">
        <f>(L255/30)/1.983</f>
        <v>-156.56412842494535</v>
      </c>
      <c r="M256" s="231"/>
      <c r="N256" s="180">
        <f>(N255/31)/1.983</f>
        <v>0</v>
      </c>
      <c r="O256" s="180">
        <f>(O255/30)/1.983</f>
        <v>0</v>
      </c>
      <c r="P256" s="180">
        <f>(P255/31)/1.983</f>
        <v>0</v>
      </c>
      <c r="Q256" s="231"/>
      <c r="R256" s="249" t="s">
        <v>7</v>
      </c>
    </row>
    <row r="257" spans="1:18" ht="15.75" customHeight="1" x14ac:dyDescent="0.35">
      <c r="A257" s="141"/>
      <c r="B257" s="140"/>
      <c r="C257" s="140"/>
      <c r="D257" s="140"/>
      <c r="E257" s="140"/>
      <c r="F257" s="140"/>
      <c r="G257" s="140"/>
      <c r="H257" s="140"/>
      <c r="I257" s="140"/>
      <c r="J257" s="140"/>
      <c r="K257" s="140"/>
      <c r="L257" s="140"/>
      <c r="M257" s="140"/>
      <c r="N257" s="140"/>
      <c r="O257" s="140"/>
      <c r="P257" s="140"/>
      <c r="Q257" s="140"/>
      <c r="R257" s="141"/>
    </row>
    <row r="258" spans="1:18" ht="15.75" customHeight="1" thickBot="1" x14ac:dyDescent="0.4">
      <c r="A258" s="255"/>
      <c r="B258" s="180"/>
      <c r="C258" s="180"/>
      <c r="D258" s="180"/>
      <c r="E258" s="180"/>
      <c r="F258" s="180"/>
      <c r="G258" s="180"/>
      <c r="H258" s="180"/>
      <c r="I258" s="180"/>
      <c r="J258" s="180"/>
      <c r="K258" s="180"/>
      <c r="L258" s="180"/>
      <c r="M258" s="180"/>
      <c r="N258" s="180"/>
      <c r="O258" s="180"/>
      <c r="P258" s="180"/>
      <c r="Q258" s="180"/>
      <c r="R258" s="255"/>
    </row>
    <row r="259" spans="1:18" ht="15.75" customHeight="1" thickBot="1" x14ac:dyDescent="0.4">
      <c r="A259" s="256" t="s">
        <v>203</v>
      </c>
      <c r="B259" s="188" t="s">
        <v>8</v>
      </c>
      <c r="C259" s="189" t="s">
        <v>9</v>
      </c>
      <c r="D259" s="189" t="s">
        <v>10</v>
      </c>
      <c r="E259" s="10" t="s">
        <v>11</v>
      </c>
      <c r="F259" s="189" t="s">
        <v>12</v>
      </c>
      <c r="G259" s="189" t="s">
        <v>13</v>
      </c>
      <c r="H259" s="189" t="s">
        <v>14</v>
      </c>
      <c r="I259" s="190" t="s">
        <v>15</v>
      </c>
      <c r="J259" s="189" t="s">
        <v>16</v>
      </c>
      <c r="K259" s="189" t="s">
        <v>17</v>
      </c>
      <c r="L259" s="189" t="s">
        <v>18</v>
      </c>
      <c r="M259" s="190" t="s">
        <v>19</v>
      </c>
      <c r="N259" s="189" t="s">
        <v>20</v>
      </c>
      <c r="O259" s="189" t="s">
        <v>21</v>
      </c>
      <c r="P259" s="189" t="s">
        <v>22</v>
      </c>
      <c r="Q259" s="190" t="s">
        <v>23</v>
      </c>
      <c r="R259" s="191" t="s">
        <v>24</v>
      </c>
    </row>
    <row r="260" spans="1:18" ht="15.75" customHeight="1" thickBot="1" x14ac:dyDescent="0.4">
      <c r="A260" s="211"/>
      <c r="B260" s="225"/>
      <c r="C260" s="225"/>
      <c r="D260" s="225"/>
      <c r="E260" s="220"/>
      <c r="F260" s="225"/>
      <c r="G260" s="225"/>
      <c r="H260" s="225"/>
      <c r="I260" s="232"/>
      <c r="J260" s="225"/>
      <c r="K260" s="225"/>
      <c r="L260" s="225"/>
      <c r="M260" s="232"/>
      <c r="N260" s="225"/>
      <c r="O260" s="225"/>
      <c r="P260" s="225"/>
      <c r="Q260" s="232"/>
      <c r="R260" s="249"/>
    </row>
    <row r="261" spans="1:18" ht="15.75" customHeight="1" x14ac:dyDescent="0.35">
      <c r="A261" s="174" t="s">
        <v>48</v>
      </c>
      <c r="B261" s="140" t="s">
        <v>7</v>
      </c>
      <c r="C261" s="140" t="s">
        <v>7</v>
      </c>
      <c r="D261" s="140" t="s">
        <v>7</v>
      </c>
      <c r="E261" s="207" t="s">
        <v>7</v>
      </c>
      <c r="F261" s="140" t="s">
        <v>7</v>
      </c>
      <c r="G261" s="140" t="s">
        <v>7</v>
      </c>
      <c r="H261" s="140" t="s">
        <v>7</v>
      </c>
      <c r="I261" s="207" t="s">
        <v>7</v>
      </c>
      <c r="J261" s="140" t="s">
        <v>7</v>
      </c>
      <c r="K261" s="140" t="s">
        <v>7</v>
      </c>
      <c r="L261" s="140" t="s">
        <v>7</v>
      </c>
      <c r="M261" s="207" t="s">
        <v>7</v>
      </c>
      <c r="N261" s="140" t="s">
        <v>7</v>
      </c>
      <c r="O261" s="140" t="s">
        <v>7</v>
      </c>
      <c r="P261" s="140" t="s">
        <v>7</v>
      </c>
      <c r="Q261" s="207" t="s">
        <v>7</v>
      </c>
      <c r="R261" s="207" t="s">
        <v>7</v>
      </c>
    </row>
    <row r="262" spans="1:18" ht="15.75" customHeight="1" x14ac:dyDescent="0.35">
      <c r="A262" s="174" t="s">
        <v>49</v>
      </c>
      <c r="B262" s="140"/>
      <c r="C262" s="140"/>
      <c r="D262" s="140"/>
      <c r="E262" s="207" t="s">
        <v>7</v>
      </c>
      <c r="F262" s="140"/>
      <c r="G262" s="140"/>
      <c r="H262" s="140"/>
      <c r="I262" s="207" t="s">
        <v>7</v>
      </c>
      <c r="J262" s="140"/>
      <c r="K262" s="140"/>
      <c r="L262" s="140"/>
      <c r="M262" s="207" t="s">
        <v>7</v>
      </c>
      <c r="N262" s="140"/>
      <c r="O262" s="140"/>
      <c r="P262" s="140"/>
      <c r="Q262" s="207" t="s">
        <v>7</v>
      </c>
      <c r="R262" s="207" t="s">
        <v>7</v>
      </c>
    </row>
    <row r="263" spans="1:18" ht="15.75" customHeight="1" x14ac:dyDescent="0.35">
      <c r="A263" s="110" t="s">
        <v>204</v>
      </c>
      <c r="B263" s="140">
        <v>49</v>
      </c>
      <c r="C263" s="257">
        <v>42</v>
      </c>
      <c r="D263" s="140">
        <v>40</v>
      </c>
      <c r="E263" s="207">
        <f>SUM(B263:D263)</f>
        <v>131</v>
      </c>
      <c r="F263" s="140">
        <v>36</v>
      </c>
      <c r="G263" s="140">
        <v>35</v>
      </c>
      <c r="H263" s="140">
        <v>42</v>
      </c>
      <c r="I263" s="207">
        <f>SUM(F263:H263)</f>
        <v>113</v>
      </c>
      <c r="J263" s="140">
        <v>43</v>
      </c>
      <c r="K263" s="140">
        <v>35</v>
      </c>
      <c r="L263" s="140">
        <v>37</v>
      </c>
      <c r="M263" s="207">
        <f>SUM(J263:L263)</f>
        <v>115</v>
      </c>
      <c r="N263" s="140">
        <v>36</v>
      </c>
      <c r="O263" s="140">
        <v>1</v>
      </c>
      <c r="P263" s="140">
        <v>29</v>
      </c>
      <c r="Q263" s="207">
        <f>SUM(N263:P263)</f>
        <v>66</v>
      </c>
      <c r="R263" s="207">
        <f>+E263+I263+M263+Q263</f>
        <v>425</v>
      </c>
    </row>
    <row r="264" spans="1:18" ht="15.75" customHeight="1" x14ac:dyDescent="0.35">
      <c r="A264" s="222" t="s">
        <v>111</v>
      </c>
      <c r="B264" s="140">
        <v>0</v>
      </c>
      <c r="C264" s="140">
        <v>0</v>
      </c>
      <c r="D264" s="140">
        <v>0</v>
      </c>
      <c r="E264" s="207">
        <f>SUM(B264:D264)</f>
        <v>0</v>
      </c>
      <c r="F264" s="140">
        <v>0</v>
      </c>
      <c r="G264" s="140">
        <v>0</v>
      </c>
      <c r="H264" s="140">
        <v>0</v>
      </c>
      <c r="I264" s="207">
        <f>SUM(F264:H264)</f>
        <v>0</v>
      </c>
      <c r="J264" s="140">
        <v>0</v>
      </c>
      <c r="K264" s="140">
        <v>0</v>
      </c>
      <c r="L264" s="140">
        <v>0</v>
      </c>
      <c r="M264" s="207">
        <f>SUM(J264:L264)</f>
        <v>0</v>
      </c>
      <c r="N264" s="140">
        <v>0</v>
      </c>
      <c r="O264" s="140">
        <v>0</v>
      </c>
      <c r="P264" s="140">
        <v>0</v>
      </c>
      <c r="Q264" s="207">
        <f>SUM(N264:P264)</f>
        <v>0</v>
      </c>
      <c r="R264" s="207">
        <f>+E264+I264+M264+Q264</f>
        <v>0</v>
      </c>
    </row>
    <row r="265" spans="1:18" ht="15.75" customHeight="1" x14ac:dyDescent="0.35">
      <c r="A265" s="110" t="s">
        <v>548</v>
      </c>
      <c r="B265" s="140">
        <v>271</v>
      </c>
      <c r="C265" s="140">
        <v>360</v>
      </c>
      <c r="D265" s="140">
        <v>542</v>
      </c>
      <c r="E265" s="207">
        <f>SUM(B265:D265)</f>
        <v>1173</v>
      </c>
      <c r="F265" s="140">
        <v>578</v>
      </c>
      <c r="G265" s="140">
        <v>470</v>
      </c>
      <c r="H265" s="140">
        <v>408</v>
      </c>
      <c r="I265" s="207">
        <f>SUM(F265:H265)</f>
        <v>1456</v>
      </c>
      <c r="J265" s="140">
        <v>450</v>
      </c>
      <c r="K265" s="140">
        <v>519</v>
      </c>
      <c r="L265" s="140">
        <v>477</v>
      </c>
      <c r="M265" s="207">
        <f>SUM(J265:L265)</f>
        <v>1446</v>
      </c>
      <c r="N265" s="140">
        <v>762</v>
      </c>
      <c r="O265" s="140">
        <v>255</v>
      </c>
      <c r="P265" s="140">
        <v>443</v>
      </c>
      <c r="Q265" s="207">
        <f>SUM(N265:P265)</f>
        <v>1460</v>
      </c>
      <c r="R265" s="207">
        <f>+E265+I265+M265+Q265</f>
        <v>5535</v>
      </c>
    </row>
    <row r="266" spans="1:18" ht="15.75" customHeight="1" x14ac:dyDescent="0.35">
      <c r="A266" s="110" t="s">
        <v>208</v>
      </c>
      <c r="B266" s="140">
        <v>54</v>
      </c>
      <c r="C266" s="140">
        <v>49</v>
      </c>
      <c r="D266" s="140">
        <v>147</v>
      </c>
      <c r="E266" s="207">
        <f>SUM(B266:D266)</f>
        <v>250</v>
      </c>
      <c r="F266" s="140">
        <v>123</v>
      </c>
      <c r="G266" s="140">
        <v>221</v>
      </c>
      <c r="H266" s="140">
        <v>168</v>
      </c>
      <c r="I266" s="207">
        <f>SUM(F266:H266)</f>
        <v>512</v>
      </c>
      <c r="J266" s="140">
        <v>256</v>
      </c>
      <c r="K266" s="140">
        <v>210</v>
      </c>
      <c r="L266" s="140">
        <v>183</v>
      </c>
      <c r="M266" s="207">
        <f>SUM(J266:L266)</f>
        <v>649</v>
      </c>
      <c r="N266" s="140">
        <v>211</v>
      </c>
      <c r="O266" s="140">
        <v>106</v>
      </c>
      <c r="P266" s="140">
        <v>62</v>
      </c>
      <c r="Q266" s="207">
        <f>SUM(N266:P266)</f>
        <v>379</v>
      </c>
      <c r="R266" s="207">
        <f>+E266+I266+M266+Q266</f>
        <v>1790</v>
      </c>
    </row>
    <row r="267" spans="1:18" ht="15.75" customHeight="1" x14ac:dyDescent="0.35">
      <c r="A267" s="110" t="s">
        <v>549</v>
      </c>
      <c r="B267" s="140">
        <v>0</v>
      </c>
      <c r="C267" s="140">
        <v>0</v>
      </c>
      <c r="D267" s="140">
        <v>0</v>
      </c>
      <c r="E267" s="207">
        <f t="shared" ref="E267:E273" si="49">SUM(B267:D267)</f>
        <v>0</v>
      </c>
      <c r="F267" s="140">
        <v>0</v>
      </c>
      <c r="G267" s="140">
        <v>0</v>
      </c>
      <c r="H267" s="140">
        <v>0</v>
      </c>
      <c r="I267" s="207">
        <f t="shared" ref="I267:I273" si="50">SUM(F267:H267)</f>
        <v>0</v>
      </c>
      <c r="J267" s="140">
        <v>0</v>
      </c>
      <c r="K267" s="140">
        <v>0</v>
      </c>
      <c r="L267" s="140">
        <v>0</v>
      </c>
      <c r="M267" s="207">
        <f t="shared" ref="M267:M273" si="51">SUM(J267:L267)</f>
        <v>0</v>
      </c>
      <c r="N267" s="140">
        <v>0</v>
      </c>
      <c r="O267" s="140">
        <v>0</v>
      </c>
      <c r="P267" s="140">
        <v>712</v>
      </c>
      <c r="Q267" s="207">
        <f t="shared" ref="Q267:Q273" si="52">SUM(N267:P267)</f>
        <v>712</v>
      </c>
      <c r="R267" s="207">
        <f t="shared" ref="R267:R273" si="53">+E267+I267+M267+Q267</f>
        <v>712</v>
      </c>
    </row>
    <row r="268" spans="1:18" ht="15.75" customHeight="1" x14ac:dyDescent="0.35">
      <c r="A268" s="110" t="s">
        <v>211</v>
      </c>
      <c r="B268" s="140">
        <v>17</v>
      </c>
      <c r="C268" s="140">
        <v>16</v>
      </c>
      <c r="D268" s="140">
        <v>34</v>
      </c>
      <c r="E268" s="207">
        <f t="shared" si="49"/>
        <v>67</v>
      </c>
      <c r="F268" s="140">
        <v>43</v>
      </c>
      <c r="G268" s="140">
        <v>60</v>
      </c>
      <c r="H268" s="140">
        <v>54</v>
      </c>
      <c r="I268" s="207">
        <f t="shared" si="50"/>
        <v>157</v>
      </c>
      <c r="J268" s="140">
        <v>41</v>
      </c>
      <c r="K268" s="140">
        <v>58</v>
      </c>
      <c r="L268" s="140">
        <v>29</v>
      </c>
      <c r="M268" s="207">
        <f t="shared" si="51"/>
        <v>128</v>
      </c>
      <c r="N268" s="140">
        <v>87</v>
      </c>
      <c r="O268" s="140">
        <v>31</v>
      </c>
      <c r="P268" s="140">
        <v>22</v>
      </c>
      <c r="Q268" s="207">
        <f t="shared" si="52"/>
        <v>140</v>
      </c>
      <c r="R268" s="207">
        <f t="shared" si="53"/>
        <v>492</v>
      </c>
    </row>
    <row r="269" spans="1:18" ht="15.75" customHeight="1" x14ac:dyDescent="0.35">
      <c r="A269" s="110" t="s">
        <v>212</v>
      </c>
      <c r="B269" s="140">
        <v>0</v>
      </c>
      <c r="C269" s="140">
        <v>0</v>
      </c>
      <c r="D269" s="140">
        <v>0</v>
      </c>
      <c r="E269" s="207">
        <f t="shared" si="49"/>
        <v>0</v>
      </c>
      <c r="F269" s="140">
        <v>0</v>
      </c>
      <c r="G269" s="140">
        <v>0</v>
      </c>
      <c r="H269" s="140">
        <v>0</v>
      </c>
      <c r="I269" s="207">
        <f t="shared" si="50"/>
        <v>0</v>
      </c>
      <c r="J269" s="140">
        <v>0</v>
      </c>
      <c r="K269" s="140">
        <v>0</v>
      </c>
      <c r="L269" s="140">
        <v>0</v>
      </c>
      <c r="M269" s="207">
        <f t="shared" si="51"/>
        <v>0</v>
      </c>
      <c r="N269" s="140">
        <v>0</v>
      </c>
      <c r="O269" s="140">
        <v>0</v>
      </c>
      <c r="P269" s="140">
        <v>0</v>
      </c>
      <c r="Q269" s="207">
        <f t="shared" si="52"/>
        <v>0</v>
      </c>
      <c r="R269" s="207">
        <f t="shared" si="53"/>
        <v>0</v>
      </c>
    </row>
    <row r="270" spans="1:18" ht="15.75" customHeight="1" x14ac:dyDescent="0.35">
      <c r="A270" s="110" t="s">
        <v>118</v>
      </c>
      <c r="B270" s="140">
        <v>0</v>
      </c>
      <c r="C270" s="140">
        <v>0</v>
      </c>
      <c r="D270" s="140">
        <v>0</v>
      </c>
      <c r="E270" s="207">
        <f t="shared" si="49"/>
        <v>0</v>
      </c>
      <c r="F270" s="140">
        <v>0</v>
      </c>
      <c r="G270" s="140">
        <v>0</v>
      </c>
      <c r="H270" s="140">
        <v>0</v>
      </c>
      <c r="I270" s="207">
        <f t="shared" si="50"/>
        <v>0</v>
      </c>
      <c r="J270" s="140">
        <v>344</v>
      </c>
      <c r="K270" s="140">
        <v>1134</v>
      </c>
      <c r="L270" s="140">
        <v>1031</v>
      </c>
      <c r="M270" s="207">
        <f t="shared" si="51"/>
        <v>2509</v>
      </c>
      <c r="N270" s="140">
        <v>1209</v>
      </c>
      <c r="O270" s="140">
        <v>447</v>
      </c>
      <c r="P270" s="140">
        <v>1112</v>
      </c>
      <c r="Q270" s="207">
        <f t="shared" si="52"/>
        <v>2768</v>
      </c>
      <c r="R270" s="207">
        <f t="shared" si="53"/>
        <v>5277</v>
      </c>
    </row>
    <row r="271" spans="1:18" ht="15.75" customHeight="1" x14ac:dyDescent="0.35">
      <c r="A271" s="110" t="s">
        <v>213</v>
      </c>
      <c r="B271" s="140">
        <v>15</v>
      </c>
      <c r="C271" s="140">
        <v>22</v>
      </c>
      <c r="D271" s="140">
        <v>32</v>
      </c>
      <c r="E271" s="207">
        <f t="shared" si="49"/>
        <v>69</v>
      </c>
      <c r="F271" s="140">
        <v>49</v>
      </c>
      <c r="G271" s="140">
        <v>19</v>
      </c>
      <c r="H271" s="140">
        <v>10</v>
      </c>
      <c r="I271" s="207">
        <f t="shared" si="50"/>
        <v>78</v>
      </c>
      <c r="J271" s="140">
        <v>0</v>
      </c>
      <c r="K271" s="140">
        <v>0</v>
      </c>
      <c r="L271" s="140">
        <v>0</v>
      </c>
      <c r="M271" s="207">
        <f t="shared" si="51"/>
        <v>0</v>
      </c>
      <c r="N271" s="140">
        <v>0</v>
      </c>
      <c r="O271" s="140">
        <v>0</v>
      </c>
      <c r="P271" s="140">
        <v>0</v>
      </c>
      <c r="Q271" s="207">
        <f t="shared" si="52"/>
        <v>0</v>
      </c>
      <c r="R271" s="207">
        <f t="shared" si="53"/>
        <v>147</v>
      </c>
    </row>
    <row r="272" spans="1:18" ht="15.75" customHeight="1" x14ac:dyDescent="0.35">
      <c r="A272" s="110" t="s">
        <v>215</v>
      </c>
      <c r="B272" s="140">
        <v>3368</v>
      </c>
      <c r="C272" s="140">
        <v>1556</v>
      </c>
      <c r="D272" s="140">
        <v>510</v>
      </c>
      <c r="E272" s="207">
        <f t="shared" si="49"/>
        <v>5434</v>
      </c>
      <c r="F272" s="140">
        <v>4905</v>
      </c>
      <c r="G272" s="140">
        <v>4178</v>
      </c>
      <c r="H272" s="140">
        <v>4015</v>
      </c>
      <c r="I272" s="207">
        <f t="shared" si="50"/>
        <v>13098</v>
      </c>
      <c r="J272" s="140">
        <v>4316</v>
      </c>
      <c r="K272" s="140">
        <v>3684</v>
      </c>
      <c r="L272" s="140">
        <v>2919</v>
      </c>
      <c r="M272" s="207">
        <f t="shared" si="51"/>
        <v>10919</v>
      </c>
      <c r="N272" s="140">
        <v>2697</v>
      </c>
      <c r="O272" s="140">
        <v>821</v>
      </c>
      <c r="P272" s="140">
        <v>3567</v>
      </c>
      <c r="Q272" s="207">
        <f t="shared" si="52"/>
        <v>7085</v>
      </c>
      <c r="R272" s="207">
        <f t="shared" si="53"/>
        <v>36536</v>
      </c>
    </row>
    <row r="273" spans="1:18" ht="15.75" customHeight="1" x14ac:dyDescent="0.35">
      <c r="A273" s="110" t="s">
        <v>216</v>
      </c>
      <c r="B273" s="140">
        <v>0</v>
      </c>
      <c r="C273" s="140">
        <v>7</v>
      </c>
      <c r="D273" s="140">
        <v>0</v>
      </c>
      <c r="E273" s="207">
        <f t="shared" si="49"/>
        <v>7</v>
      </c>
      <c r="F273" s="140">
        <v>0</v>
      </c>
      <c r="G273" s="140">
        <v>66</v>
      </c>
      <c r="H273" s="140">
        <v>57</v>
      </c>
      <c r="I273" s="207">
        <f t="shared" si="50"/>
        <v>123</v>
      </c>
      <c r="J273" s="140">
        <v>29</v>
      </c>
      <c r="K273" s="140">
        <v>98</v>
      </c>
      <c r="L273" s="140">
        <v>67</v>
      </c>
      <c r="M273" s="207">
        <f t="shared" si="51"/>
        <v>194</v>
      </c>
      <c r="N273" s="140">
        <v>24</v>
      </c>
      <c r="O273" s="140">
        <v>0</v>
      </c>
      <c r="P273" s="140">
        <v>0</v>
      </c>
      <c r="Q273" s="207">
        <f t="shared" si="52"/>
        <v>24</v>
      </c>
      <c r="R273" s="207">
        <f t="shared" si="53"/>
        <v>348</v>
      </c>
    </row>
    <row r="274" spans="1:18" ht="15.75" customHeight="1" x14ac:dyDescent="0.35">
      <c r="A274" s="174" t="s">
        <v>50</v>
      </c>
      <c r="B274" s="140"/>
      <c r="C274" s="140"/>
      <c r="D274" s="140"/>
      <c r="E274" s="207" t="s">
        <v>7</v>
      </c>
      <c r="F274" s="140"/>
      <c r="G274" s="140"/>
      <c r="H274" s="140"/>
      <c r="I274" s="207" t="s">
        <v>7</v>
      </c>
      <c r="J274" s="140"/>
      <c r="K274" s="140"/>
      <c r="L274" s="140"/>
      <c r="M274" s="207" t="s">
        <v>7</v>
      </c>
      <c r="N274" s="140"/>
      <c r="O274" s="140"/>
      <c r="P274" s="140"/>
      <c r="Q274" s="207" t="s">
        <v>7</v>
      </c>
      <c r="R274" s="207" t="s">
        <v>7</v>
      </c>
    </row>
    <row r="275" spans="1:18" ht="15.75" customHeight="1" x14ac:dyDescent="0.35">
      <c r="A275" s="110" t="s">
        <v>217</v>
      </c>
      <c r="B275" s="140">
        <v>5</v>
      </c>
      <c r="C275" s="140">
        <v>5</v>
      </c>
      <c r="D275" s="140">
        <v>8</v>
      </c>
      <c r="E275" s="207">
        <f t="shared" ref="E275:E291" si="54">SUM(B275:D275)</f>
        <v>18</v>
      </c>
      <c r="F275" s="140">
        <v>3</v>
      </c>
      <c r="G275" s="140">
        <v>5</v>
      </c>
      <c r="H275" s="140">
        <v>10</v>
      </c>
      <c r="I275" s="207">
        <f t="shared" ref="I275:I291" si="55">SUM(F275:H275)</f>
        <v>18</v>
      </c>
      <c r="J275" s="140">
        <v>14</v>
      </c>
      <c r="K275" s="140">
        <v>13</v>
      </c>
      <c r="L275" s="140">
        <v>12</v>
      </c>
      <c r="M275" s="207">
        <f t="shared" ref="M275:M291" si="56">SUM(J275:L275)</f>
        <v>39</v>
      </c>
      <c r="N275" s="140">
        <v>15</v>
      </c>
      <c r="O275" s="140">
        <v>8</v>
      </c>
      <c r="P275" s="140">
        <v>3</v>
      </c>
      <c r="Q275" s="207">
        <f t="shared" ref="Q275:Q291" si="57">SUM(N275:P275)</f>
        <v>26</v>
      </c>
      <c r="R275" s="207">
        <f t="shared" ref="R275:R291" si="58">+E275+I275+M275+Q275</f>
        <v>101</v>
      </c>
    </row>
    <row r="276" spans="1:18" ht="15.75" customHeight="1" x14ac:dyDescent="0.35">
      <c r="A276" s="110" t="s">
        <v>219</v>
      </c>
      <c r="B276" s="140">
        <v>0</v>
      </c>
      <c r="C276" s="140">
        <v>0</v>
      </c>
      <c r="D276" s="140">
        <v>11</v>
      </c>
      <c r="E276" s="207">
        <f>SUM(B276:D276)</f>
        <v>11</v>
      </c>
      <c r="F276" s="140">
        <v>12</v>
      </c>
      <c r="G276" s="140">
        <v>21</v>
      </c>
      <c r="H276" s="140">
        <v>6</v>
      </c>
      <c r="I276" s="207">
        <f>SUM(F276:H276)</f>
        <v>39</v>
      </c>
      <c r="J276" s="140">
        <v>22</v>
      </c>
      <c r="K276" s="140">
        <v>16</v>
      </c>
      <c r="L276" s="140">
        <v>18</v>
      </c>
      <c r="M276" s="207">
        <f>SUM(J276:L276)</f>
        <v>56</v>
      </c>
      <c r="N276" s="140">
        <v>20</v>
      </c>
      <c r="O276" s="140">
        <v>0</v>
      </c>
      <c r="P276" s="140">
        <v>0</v>
      </c>
      <c r="Q276" s="207">
        <f>SUM(N276:P276)</f>
        <v>20</v>
      </c>
      <c r="R276" s="207">
        <f>+E276+I276+M276+Q276</f>
        <v>126</v>
      </c>
    </row>
    <row r="277" spans="1:18" ht="15.75" customHeight="1" x14ac:dyDescent="0.35">
      <c r="A277" s="110" t="s">
        <v>274</v>
      </c>
      <c r="B277" s="140">
        <v>0</v>
      </c>
      <c r="C277" s="140">
        <v>0</v>
      </c>
      <c r="D277" s="140">
        <v>0</v>
      </c>
      <c r="E277" s="207">
        <f>SUM(B277:D277)</f>
        <v>0</v>
      </c>
      <c r="F277" s="140">
        <v>0</v>
      </c>
      <c r="G277" s="140">
        <v>0</v>
      </c>
      <c r="H277" s="140">
        <v>3861</v>
      </c>
      <c r="I277" s="207">
        <f>SUM(F277:H277)</f>
        <v>3861</v>
      </c>
      <c r="J277" s="140">
        <v>3739</v>
      </c>
      <c r="K277" s="140">
        <v>3242</v>
      </c>
      <c r="L277" s="140">
        <v>158</v>
      </c>
      <c r="M277" s="207">
        <f>SUM(J277:L277)</f>
        <v>7139</v>
      </c>
      <c r="N277" s="140">
        <v>0</v>
      </c>
      <c r="O277" s="140">
        <v>0</v>
      </c>
      <c r="P277" s="140">
        <v>0</v>
      </c>
      <c r="Q277" s="207">
        <f>SUM(N277:P277)</f>
        <v>0</v>
      </c>
      <c r="R277" s="207">
        <f>+E277+I277+M277+Q277</f>
        <v>11000</v>
      </c>
    </row>
    <row r="278" spans="1:18" ht="15.75" customHeight="1" x14ac:dyDescent="0.35">
      <c r="A278" s="110" t="s">
        <v>221</v>
      </c>
      <c r="B278" s="140">
        <v>0</v>
      </c>
      <c r="C278" s="140">
        <v>0</v>
      </c>
      <c r="D278" s="140">
        <v>0</v>
      </c>
      <c r="E278" s="207">
        <f>SUM(B278:D278)</f>
        <v>0</v>
      </c>
      <c r="F278" s="140">
        <v>0</v>
      </c>
      <c r="G278" s="140">
        <v>0</v>
      </c>
      <c r="H278" s="140">
        <v>3</v>
      </c>
      <c r="I278" s="207">
        <f>SUM(F278:H278)</f>
        <v>3</v>
      </c>
      <c r="J278" s="140">
        <v>16</v>
      </c>
      <c r="K278" s="140">
        <v>11</v>
      </c>
      <c r="L278" s="140">
        <v>3</v>
      </c>
      <c r="M278" s="207">
        <f>SUM(J278:L278)</f>
        <v>30</v>
      </c>
      <c r="N278" s="140">
        <v>57</v>
      </c>
      <c r="O278" s="140">
        <v>10</v>
      </c>
      <c r="P278" s="140">
        <v>14</v>
      </c>
      <c r="Q278" s="207">
        <f>SUM(N278:P278)</f>
        <v>81</v>
      </c>
      <c r="R278" s="207">
        <f>+E278+I278+M278+Q278</f>
        <v>114</v>
      </c>
    </row>
    <row r="279" spans="1:18" ht="15.75" customHeight="1" x14ac:dyDescent="0.35">
      <c r="A279" s="110" t="s">
        <v>222</v>
      </c>
      <c r="B279" s="140">
        <v>0</v>
      </c>
      <c r="C279" s="140">
        <v>0</v>
      </c>
      <c r="D279" s="140">
        <v>1</v>
      </c>
      <c r="E279" s="207">
        <f t="shared" si="54"/>
        <v>1</v>
      </c>
      <c r="F279" s="140">
        <v>1</v>
      </c>
      <c r="G279" s="140">
        <v>0</v>
      </c>
      <c r="H279" s="140">
        <v>1</v>
      </c>
      <c r="I279" s="207">
        <f t="shared" si="55"/>
        <v>2</v>
      </c>
      <c r="J279" s="140">
        <v>0</v>
      </c>
      <c r="K279" s="140">
        <v>1</v>
      </c>
      <c r="L279" s="140">
        <v>0</v>
      </c>
      <c r="M279" s="207">
        <f t="shared" si="56"/>
        <v>1</v>
      </c>
      <c r="N279" s="140">
        <v>0</v>
      </c>
      <c r="O279" s="140">
        <v>0</v>
      </c>
      <c r="P279" s="140">
        <v>0</v>
      </c>
      <c r="Q279" s="207">
        <f t="shared" si="57"/>
        <v>0</v>
      </c>
      <c r="R279" s="207">
        <f t="shared" si="58"/>
        <v>4</v>
      </c>
    </row>
    <row r="280" spans="1:18" ht="15.75" customHeight="1" x14ac:dyDescent="0.35">
      <c r="A280" s="110" t="s">
        <v>223</v>
      </c>
      <c r="B280" s="140">
        <v>4</v>
      </c>
      <c r="C280" s="140">
        <v>0</v>
      </c>
      <c r="D280" s="140">
        <v>0</v>
      </c>
      <c r="E280" s="207">
        <f t="shared" si="54"/>
        <v>4</v>
      </c>
      <c r="F280" s="140">
        <v>0</v>
      </c>
      <c r="G280" s="140">
        <v>2</v>
      </c>
      <c r="H280" s="140">
        <v>2</v>
      </c>
      <c r="I280" s="207">
        <f t="shared" si="55"/>
        <v>4</v>
      </c>
      <c r="J280" s="140">
        <v>4</v>
      </c>
      <c r="K280" s="140">
        <v>4</v>
      </c>
      <c r="L280" s="140">
        <v>4</v>
      </c>
      <c r="M280" s="207">
        <f t="shared" si="56"/>
        <v>12</v>
      </c>
      <c r="N280" s="140">
        <v>9</v>
      </c>
      <c r="O280" s="140">
        <v>8</v>
      </c>
      <c r="P280" s="140">
        <v>3</v>
      </c>
      <c r="Q280" s="207">
        <f t="shared" si="57"/>
        <v>20</v>
      </c>
      <c r="R280" s="207">
        <f t="shared" si="58"/>
        <v>40</v>
      </c>
    </row>
    <row r="281" spans="1:18" ht="15.75" customHeight="1" x14ac:dyDescent="0.35">
      <c r="A281" s="110" t="s">
        <v>225</v>
      </c>
      <c r="B281" s="140">
        <v>1</v>
      </c>
      <c r="C281" s="140">
        <v>7</v>
      </c>
      <c r="D281" s="140">
        <v>13</v>
      </c>
      <c r="E281" s="207">
        <f t="shared" si="54"/>
        <v>21</v>
      </c>
      <c r="F281" s="140">
        <v>79</v>
      </c>
      <c r="G281" s="140">
        <v>64</v>
      </c>
      <c r="H281" s="140">
        <v>67</v>
      </c>
      <c r="I281" s="207">
        <f t="shared" si="55"/>
        <v>210</v>
      </c>
      <c r="J281" s="140">
        <v>74</v>
      </c>
      <c r="K281" s="140">
        <v>135</v>
      </c>
      <c r="L281" s="140">
        <v>106</v>
      </c>
      <c r="M281" s="207">
        <f t="shared" si="56"/>
        <v>315</v>
      </c>
      <c r="N281" s="140">
        <v>24</v>
      </c>
      <c r="O281" s="140">
        <v>33</v>
      </c>
      <c r="P281" s="140">
        <v>5</v>
      </c>
      <c r="Q281" s="207">
        <f t="shared" si="57"/>
        <v>62</v>
      </c>
      <c r="R281" s="207">
        <f t="shared" si="58"/>
        <v>608</v>
      </c>
    </row>
    <row r="282" spans="1:18" ht="15.75" customHeight="1" x14ac:dyDescent="0.35">
      <c r="A282" s="110" t="s">
        <v>227</v>
      </c>
      <c r="B282" s="140">
        <v>0</v>
      </c>
      <c r="C282" s="140">
        <v>1</v>
      </c>
      <c r="D282" s="140">
        <v>2</v>
      </c>
      <c r="E282" s="207">
        <f t="shared" si="54"/>
        <v>3</v>
      </c>
      <c r="F282" s="140">
        <v>3</v>
      </c>
      <c r="G282" s="140">
        <v>2</v>
      </c>
      <c r="H282" s="140">
        <v>1</v>
      </c>
      <c r="I282" s="207">
        <f t="shared" si="55"/>
        <v>6</v>
      </c>
      <c r="J282" s="140">
        <v>2</v>
      </c>
      <c r="K282" s="140">
        <v>1</v>
      </c>
      <c r="L282" s="140">
        <v>2</v>
      </c>
      <c r="M282" s="207">
        <f t="shared" si="56"/>
        <v>5</v>
      </c>
      <c r="N282" s="140">
        <v>1</v>
      </c>
      <c r="O282" s="140">
        <v>2</v>
      </c>
      <c r="P282" s="140">
        <v>2</v>
      </c>
      <c r="Q282" s="207">
        <f t="shared" si="57"/>
        <v>5</v>
      </c>
      <c r="R282" s="207">
        <f t="shared" si="58"/>
        <v>19</v>
      </c>
    </row>
    <row r="283" spans="1:18" ht="15.75" customHeight="1" x14ac:dyDescent="0.35">
      <c r="A283" s="110" t="s">
        <v>216</v>
      </c>
      <c r="B283" s="140">
        <v>0</v>
      </c>
      <c r="C283" s="140">
        <v>0</v>
      </c>
      <c r="D283" s="140">
        <v>0</v>
      </c>
      <c r="E283" s="207">
        <f t="shared" si="54"/>
        <v>0</v>
      </c>
      <c r="F283" s="140">
        <v>0</v>
      </c>
      <c r="G283" s="140">
        <v>0</v>
      </c>
      <c r="H283" s="140">
        <v>0</v>
      </c>
      <c r="I283" s="207">
        <f t="shared" si="55"/>
        <v>0</v>
      </c>
      <c r="J283" s="140">
        <v>0</v>
      </c>
      <c r="K283" s="140">
        <v>0</v>
      </c>
      <c r="L283" s="140">
        <v>0</v>
      </c>
      <c r="M283" s="207">
        <f t="shared" si="56"/>
        <v>0</v>
      </c>
      <c r="N283" s="140">
        <v>0</v>
      </c>
      <c r="O283" s="140">
        <v>0</v>
      </c>
      <c r="P283" s="140">
        <v>0</v>
      </c>
      <c r="Q283" s="207">
        <f t="shared" si="57"/>
        <v>0</v>
      </c>
      <c r="R283" s="207">
        <f t="shared" si="58"/>
        <v>0</v>
      </c>
    </row>
    <row r="284" spans="1:18" ht="15.75" customHeight="1" x14ac:dyDescent="0.35">
      <c r="A284" s="110" t="s">
        <v>228</v>
      </c>
      <c r="B284" s="140">
        <v>27</v>
      </c>
      <c r="C284" s="140">
        <v>31</v>
      </c>
      <c r="D284" s="140">
        <v>56</v>
      </c>
      <c r="E284" s="207">
        <f t="shared" si="54"/>
        <v>114</v>
      </c>
      <c r="F284" s="140">
        <v>53</v>
      </c>
      <c r="G284" s="140">
        <v>72</v>
      </c>
      <c r="H284" s="140">
        <v>67</v>
      </c>
      <c r="I284" s="207">
        <f t="shared" si="55"/>
        <v>192</v>
      </c>
      <c r="J284" s="140">
        <v>82</v>
      </c>
      <c r="K284" s="140">
        <v>77</v>
      </c>
      <c r="L284" s="140">
        <v>46</v>
      </c>
      <c r="M284" s="207">
        <f t="shared" si="56"/>
        <v>205</v>
      </c>
      <c r="N284" s="140">
        <v>77</v>
      </c>
      <c r="O284" s="140">
        <v>59</v>
      </c>
      <c r="P284" s="140">
        <v>43</v>
      </c>
      <c r="Q284" s="207">
        <f t="shared" si="57"/>
        <v>179</v>
      </c>
      <c r="R284" s="207">
        <f t="shared" si="58"/>
        <v>690</v>
      </c>
    </row>
    <row r="285" spans="1:18" ht="15.75" customHeight="1" x14ac:dyDescent="0.35">
      <c r="A285" s="110" t="s">
        <v>229</v>
      </c>
      <c r="B285" s="140">
        <v>1</v>
      </c>
      <c r="C285" s="140">
        <v>1</v>
      </c>
      <c r="D285" s="140">
        <v>1</v>
      </c>
      <c r="E285" s="207">
        <f t="shared" si="54"/>
        <v>3</v>
      </c>
      <c r="F285" s="140">
        <v>2</v>
      </c>
      <c r="G285" s="140">
        <v>2</v>
      </c>
      <c r="H285" s="140">
        <v>2</v>
      </c>
      <c r="I285" s="207">
        <f t="shared" si="55"/>
        <v>6</v>
      </c>
      <c r="J285" s="140">
        <v>2</v>
      </c>
      <c r="K285" s="140">
        <v>2</v>
      </c>
      <c r="L285" s="140">
        <v>2</v>
      </c>
      <c r="M285" s="207">
        <f t="shared" si="56"/>
        <v>6</v>
      </c>
      <c r="N285" s="140">
        <v>1</v>
      </c>
      <c r="O285" s="140">
        <v>1</v>
      </c>
      <c r="P285" s="140">
        <v>1</v>
      </c>
      <c r="Q285" s="207">
        <f t="shared" si="57"/>
        <v>3</v>
      </c>
      <c r="R285" s="207">
        <f t="shared" si="58"/>
        <v>18</v>
      </c>
    </row>
    <row r="286" spans="1:18" ht="15.75" customHeight="1" x14ac:dyDescent="0.35">
      <c r="A286" s="110" t="s">
        <v>550</v>
      </c>
      <c r="B286" s="140">
        <v>0</v>
      </c>
      <c r="C286" s="140">
        <v>0</v>
      </c>
      <c r="D286" s="140">
        <v>0</v>
      </c>
      <c r="E286" s="207">
        <f>SUM(B286:D286)</f>
        <v>0</v>
      </c>
      <c r="F286" s="140">
        <v>0</v>
      </c>
      <c r="G286" s="140">
        <v>0</v>
      </c>
      <c r="H286" s="140">
        <v>0</v>
      </c>
      <c r="I286" s="207">
        <f>SUM(F286:H286)</f>
        <v>0</v>
      </c>
      <c r="J286" s="140">
        <v>0</v>
      </c>
      <c r="K286" s="140">
        <v>0</v>
      </c>
      <c r="L286" s="140">
        <v>0</v>
      </c>
      <c r="M286" s="207">
        <f>SUM(J286:L286)</f>
        <v>0</v>
      </c>
      <c r="N286" s="140">
        <v>0</v>
      </c>
      <c r="O286" s="140">
        <v>0</v>
      </c>
      <c r="P286" s="140">
        <v>4</v>
      </c>
      <c r="Q286" s="207">
        <f>SUM(N286:P286)</f>
        <v>4</v>
      </c>
      <c r="R286" s="207">
        <f>+E286+I286+M286+Q286</f>
        <v>4</v>
      </c>
    </row>
    <row r="287" spans="1:18" ht="15.75" customHeight="1" x14ac:dyDescent="0.35">
      <c r="A287" s="110" t="s">
        <v>551</v>
      </c>
      <c r="B287" s="140">
        <v>0</v>
      </c>
      <c r="C287" s="140">
        <v>0</v>
      </c>
      <c r="D287" s="140">
        <v>0</v>
      </c>
      <c r="E287" s="207">
        <f>SUM(B287:D287)</f>
        <v>0</v>
      </c>
      <c r="F287" s="140">
        <v>2</v>
      </c>
      <c r="G287" s="140">
        <v>10</v>
      </c>
      <c r="H287" s="140">
        <v>0</v>
      </c>
      <c r="I287" s="207">
        <f>SUM(F287:H287)</f>
        <v>12</v>
      </c>
      <c r="J287" s="140">
        <v>27</v>
      </c>
      <c r="K287" s="140">
        <v>6</v>
      </c>
      <c r="L287" s="140">
        <v>0</v>
      </c>
      <c r="M287" s="207">
        <f>SUM(J287:L287)</f>
        <v>33</v>
      </c>
      <c r="N287" s="140">
        <v>34</v>
      </c>
      <c r="O287" s="140">
        <v>3</v>
      </c>
      <c r="P287" s="140">
        <v>0</v>
      </c>
      <c r="Q287" s="207">
        <f>SUM(N287:P287)</f>
        <v>37</v>
      </c>
      <c r="R287" s="207">
        <f>+E287+I287+M287+Q287</f>
        <v>82</v>
      </c>
    </row>
    <row r="288" spans="1:18" ht="15.75" customHeight="1" x14ac:dyDescent="0.35">
      <c r="A288" s="110" t="s">
        <v>233</v>
      </c>
      <c r="B288" s="140">
        <v>18</v>
      </c>
      <c r="C288" s="140">
        <v>21</v>
      </c>
      <c r="D288" s="140">
        <v>46</v>
      </c>
      <c r="E288" s="207">
        <f>SUM(B288:D288)</f>
        <v>85</v>
      </c>
      <c r="F288" s="140">
        <v>45</v>
      </c>
      <c r="G288" s="140">
        <v>61</v>
      </c>
      <c r="H288" s="140">
        <v>58</v>
      </c>
      <c r="I288" s="207">
        <f>SUM(F288:H288)</f>
        <v>164</v>
      </c>
      <c r="J288" s="140">
        <v>72</v>
      </c>
      <c r="K288" s="140">
        <v>67</v>
      </c>
      <c r="L288" s="140">
        <v>32</v>
      </c>
      <c r="M288" s="207">
        <f>SUM(J288:L288)</f>
        <v>171</v>
      </c>
      <c r="N288" s="140">
        <v>71</v>
      </c>
      <c r="O288" s="140">
        <v>39</v>
      </c>
      <c r="P288" s="140">
        <v>12</v>
      </c>
      <c r="Q288" s="207">
        <f>SUM(N288:P288)</f>
        <v>122</v>
      </c>
      <c r="R288" s="207">
        <f>+E288+I288+M288+Q288</f>
        <v>542</v>
      </c>
    </row>
    <row r="289" spans="1:18" ht="15.75" customHeight="1" x14ac:dyDescent="0.35">
      <c r="A289" s="110" t="s">
        <v>552</v>
      </c>
      <c r="B289" s="140">
        <v>25</v>
      </c>
      <c r="C289" s="140">
        <v>8</v>
      </c>
      <c r="D289" s="140">
        <v>38</v>
      </c>
      <c r="E289" s="207">
        <f>SUM(B289:D289)</f>
        <v>71</v>
      </c>
      <c r="F289" s="140">
        <v>54</v>
      </c>
      <c r="G289" s="140">
        <v>72</v>
      </c>
      <c r="H289" s="140">
        <v>74</v>
      </c>
      <c r="I289" s="207">
        <f>SUM(F289:H289)</f>
        <v>200</v>
      </c>
      <c r="J289" s="140">
        <v>110</v>
      </c>
      <c r="K289" s="140">
        <v>105</v>
      </c>
      <c r="L289" s="140">
        <v>64</v>
      </c>
      <c r="M289" s="207">
        <f>SUM(J289:L289)</f>
        <v>279</v>
      </c>
      <c r="N289" s="140">
        <v>53</v>
      </c>
      <c r="O289" s="140">
        <v>23</v>
      </c>
      <c r="P289" s="140">
        <v>21</v>
      </c>
      <c r="Q289" s="207">
        <f>SUM(N289:P289)</f>
        <v>97</v>
      </c>
      <c r="R289" s="207">
        <f>+E289+I289+M289+Q289</f>
        <v>647</v>
      </c>
    </row>
    <row r="290" spans="1:18" ht="15.75" customHeight="1" x14ac:dyDescent="0.35">
      <c r="A290" s="110" t="s">
        <v>234</v>
      </c>
      <c r="B290" s="140">
        <v>0</v>
      </c>
      <c r="C290" s="140">
        <v>0</v>
      </c>
      <c r="D290" s="140">
        <v>0</v>
      </c>
      <c r="E290" s="207">
        <f>SUM(B290:D290)</f>
        <v>0</v>
      </c>
      <c r="F290" s="140">
        <v>0</v>
      </c>
      <c r="G290" s="140">
        <v>0</v>
      </c>
      <c r="H290" s="140">
        <v>0</v>
      </c>
      <c r="I290" s="207">
        <f>SUM(F290:H290)</f>
        <v>0</v>
      </c>
      <c r="J290" s="140">
        <v>0</v>
      </c>
      <c r="K290" s="140">
        <v>0</v>
      </c>
      <c r="L290" s="140">
        <v>0</v>
      </c>
      <c r="M290" s="207">
        <f>SUM(J290:L290)</f>
        <v>0</v>
      </c>
      <c r="N290" s="140">
        <v>0</v>
      </c>
      <c r="O290" s="140">
        <v>0</v>
      </c>
      <c r="P290" s="140">
        <v>0</v>
      </c>
      <c r="Q290" s="207">
        <f>SUM(N290:P290)</f>
        <v>0</v>
      </c>
      <c r="R290" s="207">
        <f>+E290+I290+M290+Q290</f>
        <v>0</v>
      </c>
    </row>
    <row r="291" spans="1:18" ht="15.75" customHeight="1" x14ac:dyDescent="0.35">
      <c r="A291" s="110" t="s">
        <v>237</v>
      </c>
      <c r="B291" s="140">
        <v>9</v>
      </c>
      <c r="C291" s="140">
        <v>9</v>
      </c>
      <c r="D291" s="140">
        <v>23</v>
      </c>
      <c r="E291" s="207">
        <f t="shared" si="54"/>
        <v>41</v>
      </c>
      <c r="F291" s="140">
        <v>27</v>
      </c>
      <c r="G291" s="140">
        <v>28</v>
      </c>
      <c r="H291" s="140">
        <v>36</v>
      </c>
      <c r="I291" s="207">
        <f t="shared" si="55"/>
        <v>91</v>
      </c>
      <c r="J291" s="140">
        <v>43</v>
      </c>
      <c r="K291" s="140">
        <v>44</v>
      </c>
      <c r="L291" s="140">
        <v>8</v>
      </c>
      <c r="M291" s="207">
        <f t="shared" si="56"/>
        <v>95</v>
      </c>
      <c r="N291" s="140">
        <v>62</v>
      </c>
      <c r="O291" s="140">
        <v>30</v>
      </c>
      <c r="P291" s="140">
        <v>14</v>
      </c>
      <c r="Q291" s="207">
        <f t="shared" si="57"/>
        <v>106</v>
      </c>
      <c r="R291" s="207">
        <f t="shared" si="58"/>
        <v>333</v>
      </c>
    </row>
    <row r="292" spans="1:18" ht="15.75" customHeight="1" x14ac:dyDescent="0.35">
      <c r="A292" s="174" t="s">
        <v>51</v>
      </c>
      <c r="B292" s="140"/>
      <c r="C292" s="140"/>
      <c r="D292" s="140"/>
      <c r="E292" s="207" t="s">
        <v>7</v>
      </c>
      <c r="F292" s="140"/>
      <c r="G292" s="140"/>
      <c r="H292" s="140"/>
      <c r="I292" s="207" t="s">
        <v>7</v>
      </c>
      <c r="J292" s="140"/>
      <c r="K292" s="140"/>
      <c r="L292" s="140"/>
      <c r="M292" s="207" t="s">
        <v>7</v>
      </c>
      <c r="N292" s="140"/>
      <c r="O292" s="140"/>
      <c r="P292" s="140"/>
      <c r="Q292" s="207" t="s">
        <v>7</v>
      </c>
      <c r="R292" s="207" t="s">
        <v>7</v>
      </c>
    </row>
    <row r="293" spans="1:18" ht="15.75" customHeight="1" x14ac:dyDescent="0.35">
      <c r="A293" s="110" t="s">
        <v>238</v>
      </c>
      <c r="B293" s="140">
        <v>0</v>
      </c>
      <c r="C293" s="140">
        <v>0</v>
      </c>
      <c r="D293" s="140">
        <v>0</v>
      </c>
      <c r="E293" s="207">
        <f>SUM(B293:D293)</f>
        <v>0</v>
      </c>
      <c r="F293" s="140">
        <v>0</v>
      </c>
      <c r="G293" s="140">
        <v>0</v>
      </c>
      <c r="H293" s="140">
        <v>391</v>
      </c>
      <c r="I293" s="207">
        <f>SUM(F293:H293)</f>
        <v>391</v>
      </c>
      <c r="J293" s="140">
        <v>0</v>
      </c>
      <c r="K293" s="140">
        <v>0</v>
      </c>
      <c r="L293" s="140">
        <v>0</v>
      </c>
      <c r="M293" s="207">
        <f>SUM(J293:L293)</f>
        <v>0</v>
      </c>
      <c r="N293" s="140">
        <v>0</v>
      </c>
      <c r="O293" s="140">
        <v>0</v>
      </c>
      <c r="P293" s="140">
        <v>0</v>
      </c>
      <c r="Q293" s="207">
        <f>SUM(N293:P293)</f>
        <v>0</v>
      </c>
      <c r="R293" s="207">
        <f>+E293+I293+M293+Q293</f>
        <v>391</v>
      </c>
    </row>
    <row r="294" spans="1:18" ht="15.75" customHeight="1" x14ac:dyDescent="0.35">
      <c r="A294" s="110" t="s">
        <v>239</v>
      </c>
      <c r="B294" s="140">
        <v>0</v>
      </c>
      <c r="C294" s="140">
        <v>0</v>
      </c>
      <c r="D294" s="140">
        <v>0</v>
      </c>
      <c r="E294" s="207">
        <f>SUM(B294:D294)</f>
        <v>0</v>
      </c>
      <c r="F294" s="140">
        <v>0</v>
      </c>
      <c r="G294" s="140">
        <v>2258</v>
      </c>
      <c r="H294" s="140">
        <v>742</v>
      </c>
      <c r="I294" s="207">
        <f>SUM(F294:H294)</f>
        <v>3000</v>
      </c>
      <c r="J294" s="140">
        <v>0</v>
      </c>
      <c r="K294" s="140">
        <v>0</v>
      </c>
      <c r="L294" s="140">
        <v>0</v>
      </c>
      <c r="M294" s="207">
        <f>SUM(J294:L294)</f>
        <v>0</v>
      </c>
      <c r="N294" s="140">
        <v>0</v>
      </c>
      <c r="O294" s="140">
        <v>0</v>
      </c>
      <c r="P294" s="140">
        <v>0</v>
      </c>
      <c r="Q294" s="207">
        <f>SUM(N294:P294)</f>
        <v>0</v>
      </c>
      <c r="R294" s="207">
        <f>+E294+I294+M294+Q294</f>
        <v>3000</v>
      </c>
    </row>
    <row r="295" spans="1:18" ht="15.75" customHeight="1" x14ac:dyDescent="0.35">
      <c r="A295" s="110" t="s">
        <v>240</v>
      </c>
      <c r="B295" s="140">
        <v>0</v>
      </c>
      <c r="C295" s="140">
        <v>0</v>
      </c>
      <c r="D295" s="140">
        <v>0</v>
      </c>
      <c r="E295" s="207">
        <f>SUM(B295:D295)</f>
        <v>0</v>
      </c>
      <c r="F295" s="140">
        <v>0</v>
      </c>
      <c r="G295" s="140">
        <v>0</v>
      </c>
      <c r="H295" s="140">
        <v>0</v>
      </c>
      <c r="I295" s="207">
        <f>SUM(F295:H295)</f>
        <v>0</v>
      </c>
      <c r="J295" s="140">
        <v>0</v>
      </c>
      <c r="K295" s="140">
        <v>0</v>
      </c>
      <c r="L295" s="140">
        <v>0</v>
      </c>
      <c r="M295" s="207">
        <f>SUM(J295:L295)</f>
        <v>0</v>
      </c>
      <c r="N295" s="140">
        <v>0</v>
      </c>
      <c r="O295" s="140">
        <v>0</v>
      </c>
      <c r="P295" s="140">
        <v>0</v>
      </c>
      <c r="Q295" s="207">
        <f>SUM(N295:P295)</f>
        <v>0</v>
      </c>
      <c r="R295" s="207">
        <f>+E295+I295+M295+Q295</f>
        <v>0</v>
      </c>
    </row>
    <row r="296" spans="1:18" ht="15.75" customHeight="1" thickBot="1" x14ac:dyDescent="0.4">
      <c r="A296" s="174" t="s">
        <v>53</v>
      </c>
      <c r="B296" s="140"/>
      <c r="C296" s="140"/>
      <c r="D296" s="140"/>
      <c r="E296" s="207" t="s">
        <v>7</v>
      </c>
      <c r="F296" s="140"/>
      <c r="G296" s="140"/>
      <c r="H296" s="140"/>
      <c r="I296" s="207" t="s">
        <v>7</v>
      </c>
      <c r="J296" s="140"/>
      <c r="K296" s="140"/>
      <c r="L296" s="140"/>
      <c r="M296" s="207" t="s">
        <v>7</v>
      </c>
      <c r="N296" s="140"/>
      <c r="O296" s="140"/>
      <c r="P296" s="140"/>
      <c r="Q296" s="207" t="s">
        <v>7</v>
      </c>
      <c r="R296" s="207" t="s">
        <v>7</v>
      </c>
    </row>
    <row r="297" spans="1:18" ht="15.75" customHeight="1" thickBot="1" x14ac:dyDescent="0.4">
      <c r="A297" s="258" t="s">
        <v>54</v>
      </c>
      <c r="B297" s="237">
        <f>SUM(B261:B296)</f>
        <v>3864</v>
      </c>
      <c r="C297" s="238">
        <f>SUM(C261:C296)</f>
        <v>2135</v>
      </c>
      <c r="D297" s="238">
        <f>SUM(D261:D296)</f>
        <v>1504</v>
      </c>
      <c r="E297" s="211">
        <f>SUM(B297:D297)</f>
        <v>7503</v>
      </c>
      <c r="F297" s="238">
        <f>SUM(F261:F296)</f>
        <v>6015</v>
      </c>
      <c r="G297" s="238">
        <f>SUM(G261:G296)</f>
        <v>7646</v>
      </c>
      <c r="H297" s="238">
        <f>SUM(H261:H296)</f>
        <v>10075</v>
      </c>
      <c r="I297" s="211">
        <f>SUM(F297:H297)</f>
        <v>23736</v>
      </c>
      <c r="J297" s="238">
        <f>SUM(J261:J296)</f>
        <v>9686</v>
      </c>
      <c r="K297" s="238">
        <f>SUM(K261:K296)</f>
        <v>9462</v>
      </c>
      <c r="L297" s="238">
        <f>SUM(L261:L296)</f>
        <v>5198</v>
      </c>
      <c r="M297" s="211">
        <f>SUM(J297:L297)</f>
        <v>24346</v>
      </c>
      <c r="N297" s="238">
        <f>SUM(N261:N296)</f>
        <v>5450</v>
      </c>
      <c r="O297" s="238">
        <f>SUM(O261:O296)</f>
        <v>1877</v>
      </c>
      <c r="P297" s="238">
        <f>SUM(P261:P296)</f>
        <v>6069</v>
      </c>
      <c r="Q297" s="211">
        <f>SUM(N297:P297)</f>
        <v>13396</v>
      </c>
      <c r="R297" s="211">
        <f>+E297+I297+M297+Q297</f>
        <v>68981</v>
      </c>
    </row>
    <row r="298" spans="1:18" ht="15.75" customHeight="1" x14ac:dyDescent="0.35">
      <c r="A298" s="174" t="s">
        <v>55</v>
      </c>
      <c r="B298" s="140"/>
      <c r="C298" s="140"/>
      <c r="D298" s="140"/>
      <c r="E298" s="207" t="s">
        <v>7</v>
      </c>
      <c r="F298" s="140"/>
      <c r="G298" s="140"/>
      <c r="H298" s="140"/>
      <c r="I298" s="207" t="s">
        <v>7</v>
      </c>
      <c r="J298" s="140"/>
      <c r="K298" s="140"/>
      <c r="L298" s="140"/>
      <c r="M298" s="207" t="s">
        <v>7</v>
      </c>
      <c r="N298" s="140"/>
      <c r="O298" s="140"/>
      <c r="P298" s="140"/>
      <c r="Q298" s="207" t="s">
        <v>7</v>
      </c>
      <c r="R298" s="207" t="s">
        <v>7</v>
      </c>
    </row>
    <row r="299" spans="1:18" ht="15.75" customHeight="1" x14ac:dyDescent="0.35">
      <c r="A299" s="174" t="s">
        <v>242</v>
      </c>
      <c r="B299" s="140"/>
      <c r="C299" s="140"/>
      <c r="D299" s="140"/>
      <c r="E299" s="207"/>
      <c r="F299" s="140"/>
      <c r="G299" s="140"/>
      <c r="H299" s="140"/>
      <c r="I299" s="207"/>
      <c r="J299" s="140"/>
      <c r="K299" s="140"/>
      <c r="L299" s="140"/>
      <c r="M299" s="207"/>
      <c r="N299" s="140"/>
      <c r="O299" s="140"/>
      <c r="P299" s="140"/>
      <c r="Q299" s="207"/>
      <c r="R299" s="207"/>
    </row>
    <row r="300" spans="1:18" ht="15.75" customHeight="1" x14ac:dyDescent="0.35">
      <c r="A300" s="174" t="s">
        <v>57</v>
      </c>
      <c r="B300" s="140"/>
      <c r="C300" s="140"/>
      <c r="D300" s="140"/>
      <c r="E300" s="207" t="s">
        <v>7</v>
      </c>
      <c r="F300" s="140"/>
      <c r="G300" s="140"/>
      <c r="H300" s="140"/>
      <c r="I300" s="207" t="s">
        <v>7</v>
      </c>
      <c r="J300" s="140"/>
      <c r="K300" s="140"/>
      <c r="L300" s="140"/>
      <c r="M300" s="207" t="s">
        <v>7</v>
      </c>
      <c r="N300" s="140"/>
      <c r="O300" s="140"/>
      <c r="P300" s="140"/>
      <c r="Q300" s="207" t="s">
        <v>7</v>
      </c>
      <c r="R300" s="207" t="s">
        <v>7</v>
      </c>
    </row>
    <row r="301" spans="1:18" ht="15.75" customHeight="1" x14ac:dyDescent="0.35">
      <c r="A301" s="110" t="s">
        <v>553</v>
      </c>
      <c r="B301" s="140">
        <v>147</v>
      </c>
      <c r="C301" s="140">
        <v>205</v>
      </c>
      <c r="D301" s="140">
        <v>1072</v>
      </c>
      <c r="E301" s="207">
        <f t="shared" ref="E301:E308" si="59">SUM(B301:D301)</f>
        <v>1424</v>
      </c>
      <c r="F301" s="140">
        <v>2552</v>
      </c>
      <c r="G301" s="140">
        <v>1710</v>
      </c>
      <c r="H301" s="140">
        <v>1911</v>
      </c>
      <c r="I301" s="207">
        <f t="shared" ref="I301:I308" si="60">SUM(F301:H301)</f>
        <v>6173</v>
      </c>
      <c r="J301" s="140">
        <v>3479</v>
      </c>
      <c r="K301" s="140">
        <v>0</v>
      </c>
      <c r="L301" s="140">
        <v>0</v>
      </c>
      <c r="M301" s="207">
        <f t="shared" ref="M301:M308" si="61">SUM(J301:L301)</f>
        <v>3479</v>
      </c>
      <c r="N301" s="140">
        <v>418</v>
      </c>
      <c r="O301" s="140">
        <v>136</v>
      </c>
      <c r="P301" s="140">
        <v>1203</v>
      </c>
      <c r="Q301" s="207">
        <f t="shared" ref="Q301:Q308" si="62">SUM(N301:P301)</f>
        <v>1757</v>
      </c>
      <c r="R301" s="207">
        <f t="shared" ref="R301:R308" si="63">+E301+I301+M301+Q301</f>
        <v>12833</v>
      </c>
    </row>
    <row r="302" spans="1:18" ht="15.75" customHeight="1" x14ac:dyDescent="0.35">
      <c r="A302" s="110" t="s">
        <v>244</v>
      </c>
      <c r="B302" s="140">
        <v>0</v>
      </c>
      <c r="C302" s="140">
        <v>28</v>
      </c>
      <c r="D302" s="140">
        <v>31</v>
      </c>
      <c r="E302" s="207">
        <f t="shared" si="59"/>
        <v>59</v>
      </c>
      <c r="F302" s="140">
        <v>72</v>
      </c>
      <c r="G302" s="140">
        <v>80</v>
      </c>
      <c r="H302" s="140">
        <v>85</v>
      </c>
      <c r="I302" s="207">
        <f t="shared" si="60"/>
        <v>237</v>
      </c>
      <c r="J302" s="140">
        <v>129</v>
      </c>
      <c r="K302" s="140">
        <v>64</v>
      </c>
      <c r="L302" s="140">
        <v>27</v>
      </c>
      <c r="M302" s="207">
        <f t="shared" si="61"/>
        <v>220</v>
      </c>
      <c r="N302" s="140">
        <v>0</v>
      </c>
      <c r="O302" s="140">
        <v>0</v>
      </c>
      <c r="P302" s="140">
        <v>0</v>
      </c>
      <c r="Q302" s="207">
        <f t="shared" si="62"/>
        <v>0</v>
      </c>
      <c r="R302" s="207">
        <f t="shared" si="63"/>
        <v>516</v>
      </c>
    </row>
    <row r="303" spans="1:18" ht="15.75" customHeight="1" x14ac:dyDescent="0.35">
      <c r="A303" s="110" t="s">
        <v>245</v>
      </c>
      <c r="B303" s="140">
        <v>200</v>
      </c>
      <c r="C303" s="140">
        <v>0</v>
      </c>
      <c r="D303" s="140">
        <v>5919</v>
      </c>
      <c r="E303" s="207">
        <f t="shared" si="59"/>
        <v>6119</v>
      </c>
      <c r="F303" s="140">
        <v>8848</v>
      </c>
      <c r="G303" s="140">
        <v>9370</v>
      </c>
      <c r="H303" s="140">
        <v>2130</v>
      </c>
      <c r="I303" s="207">
        <f t="shared" si="60"/>
        <v>20348</v>
      </c>
      <c r="J303" s="140">
        <v>10000</v>
      </c>
      <c r="K303" s="140">
        <v>0</v>
      </c>
      <c r="L303" s="140">
        <v>500</v>
      </c>
      <c r="M303" s="207">
        <f t="shared" si="61"/>
        <v>10500</v>
      </c>
      <c r="N303" s="140">
        <v>500</v>
      </c>
      <c r="O303" s="140">
        <v>526</v>
      </c>
      <c r="P303" s="140">
        <v>474</v>
      </c>
      <c r="Q303" s="207">
        <f t="shared" si="62"/>
        <v>1500</v>
      </c>
      <c r="R303" s="207">
        <f t="shared" si="63"/>
        <v>38467</v>
      </c>
    </row>
    <row r="304" spans="1:18" ht="15.75" customHeight="1" x14ac:dyDescent="0.35">
      <c r="A304" s="110" t="s">
        <v>247</v>
      </c>
      <c r="B304" s="140">
        <v>2882</v>
      </c>
      <c r="C304" s="140">
        <v>5608</v>
      </c>
      <c r="D304" s="140">
        <v>10595</v>
      </c>
      <c r="E304" s="207">
        <f t="shared" si="59"/>
        <v>19085</v>
      </c>
      <c r="F304" s="140">
        <v>10699</v>
      </c>
      <c r="G304" s="140">
        <v>19235</v>
      </c>
      <c r="H304" s="140">
        <v>19000</v>
      </c>
      <c r="I304" s="207">
        <f t="shared" si="60"/>
        <v>48934</v>
      </c>
      <c r="J304" s="140">
        <v>10649</v>
      </c>
      <c r="K304" s="140">
        <v>15346</v>
      </c>
      <c r="L304" s="140">
        <v>11844</v>
      </c>
      <c r="M304" s="207">
        <f t="shared" si="61"/>
        <v>37839</v>
      </c>
      <c r="N304" s="140">
        <v>8362</v>
      </c>
      <c r="O304" s="140">
        <v>549</v>
      </c>
      <c r="P304" s="140">
        <v>3386</v>
      </c>
      <c r="Q304" s="207">
        <f t="shared" si="62"/>
        <v>12297</v>
      </c>
      <c r="R304" s="207">
        <f t="shared" si="63"/>
        <v>118155</v>
      </c>
    </row>
    <row r="305" spans="1:18" ht="15.75" customHeight="1" x14ac:dyDescent="0.35">
      <c r="A305" s="110" t="s">
        <v>248</v>
      </c>
      <c r="B305" s="140">
        <v>1802</v>
      </c>
      <c r="C305" s="140">
        <v>3017</v>
      </c>
      <c r="D305" s="140">
        <v>1124</v>
      </c>
      <c r="E305" s="207">
        <f t="shared" si="59"/>
        <v>5943</v>
      </c>
      <c r="F305" s="140">
        <v>6421</v>
      </c>
      <c r="G305" s="140">
        <v>3292</v>
      </c>
      <c r="H305" s="140">
        <v>3265</v>
      </c>
      <c r="I305" s="207">
        <f t="shared" si="60"/>
        <v>12978</v>
      </c>
      <c r="J305" s="140">
        <v>3733</v>
      </c>
      <c r="K305" s="140">
        <v>7671</v>
      </c>
      <c r="L305" s="140">
        <v>0</v>
      </c>
      <c r="M305" s="207">
        <f t="shared" si="61"/>
        <v>11404</v>
      </c>
      <c r="N305" s="140">
        <v>0</v>
      </c>
      <c r="O305" s="140">
        <v>0</v>
      </c>
      <c r="P305" s="140">
        <v>0</v>
      </c>
      <c r="Q305" s="207">
        <f t="shared" si="62"/>
        <v>0</v>
      </c>
      <c r="R305" s="207">
        <f t="shared" si="63"/>
        <v>30325</v>
      </c>
    </row>
    <row r="306" spans="1:18" ht="15.75" customHeight="1" x14ac:dyDescent="0.35">
      <c r="A306" s="110" t="s">
        <v>250</v>
      </c>
      <c r="B306" s="140">
        <v>928</v>
      </c>
      <c r="C306" s="140">
        <v>1552</v>
      </c>
      <c r="D306" s="140">
        <v>2927</v>
      </c>
      <c r="E306" s="207">
        <f t="shared" si="59"/>
        <v>5407</v>
      </c>
      <c r="F306" s="140">
        <v>4174</v>
      </c>
      <c r="G306" s="140">
        <v>2419</v>
      </c>
      <c r="H306" s="140">
        <v>0</v>
      </c>
      <c r="I306" s="207">
        <f t="shared" si="60"/>
        <v>6593</v>
      </c>
      <c r="J306" s="140">
        <v>0</v>
      </c>
      <c r="K306" s="140">
        <v>0</v>
      </c>
      <c r="L306" s="140">
        <v>0</v>
      </c>
      <c r="M306" s="207">
        <f t="shared" si="61"/>
        <v>0</v>
      </c>
      <c r="N306" s="140">
        <v>0</v>
      </c>
      <c r="O306" s="140">
        <v>0</v>
      </c>
      <c r="P306" s="140">
        <v>0</v>
      </c>
      <c r="Q306" s="207">
        <f t="shared" si="62"/>
        <v>0</v>
      </c>
      <c r="R306" s="207">
        <f t="shared" si="63"/>
        <v>12000</v>
      </c>
    </row>
    <row r="307" spans="1:18" ht="15.75" customHeight="1" x14ac:dyDescent="0.35">
      <c r="A307" s="110" t="s">
        <v>251</v>
      </c>
      <c r="B307" s="140">
        <v>1020</v>
      </c>
      <c r="C307" s="140">
        <v>1585</v>
      </c>
      <c r="D307" s="140">
        <v>8</v>
      </c>
      <c r="E307" s="207">
        <f t="shared" si="59"/>
        <v>2613</v>
      </c>
      <c r="F307" s="140">
        <v>2387</v>
      </c>
      <c r="G307" s="140">
        <v>0</v>
      </c>
      <c r="H307" s="140">
        <v>0</v>
      </c>
      <c r="I307" s="207">
        <f t="shared" si="60"/>
        <v>2387</v>
      </c>
      <c r="J307" s="140">
        <v>0</v>
      </c>
      <c r="K307" s="140">
        <v>0</v>
      </c>
      <c r="L307" s="140">
        <v>0</v>
      </c>
      <c r="M307" s="207">
        <f t="shared" si="61"/>
        <v>0</v>
      </c>
      <c r="N307" s="140">
        <v>0</v>
      </c>
      <c r="O307" s="140">
        <v>0</v>
      </c>
      <c r="P307" s="140">
        <v>0</v>
      </c>
      <c r="Q307" s="207">
        <f t="shared" si="62"/>
        <v>0</v>
      </c>
      <c r="R307" s="207">
        <f t="shared" si="63"/>
        <v>5000</v>
      </c>
    </row>
    <row r="308" spans="1:18" ht="15.75" customHeight="1" x14ac:dyDescent="0.35">
      <c r="A308" s="110" t="s">
        <v>252</v>
      </c>
      <c r="B308" s="140">
        <v>0</v>
      </c>
      <c r="C308" s="140">
        <v>0</v>
      </c>
      <c r="D308" s="140">
        <v>0</v>
      </c>
      <c r="E308" s="207">
        <f t="shared" si="59"/>
        <v>0</v>
      </c>
      <c r="F308" s="140">
        <v>0</v>
      </c>
      <c r="G308" s="140">
        <v>0</v>
      </c>
      <c r="H308" s="140">
        <v>0</v>
      </c>
      <c r="I308" s="207">
        <f t="shared" si="60"/>
        <v>0</v>
      </c>
      <c r="J308" s="140">
        <v>0</v>
      </c>
      <c r="K308" s="140">
        <v>2337</v>
      </c>
      <c r="L308" s="140">
        <v>1891</v>
      </c>
      <c r="M308" s="207">
        <f t="shared" si="61"/>
        <v>4228</v>
      </c>
      <c r="N308" s="140">
        <v>0</v>
      </c>
      <c r="O308" s="140">
        <v>0</v>
      </c>
      <c r="P308" s="140">
        <v>0</v>
      </c>
      <c r="Q308" s="207">
        <f t="shared" si="62"/>
        <v>0</v>
      </c>
      <c r="R308" s="207">
        <f t="shared" si="63"/>
        <v>4228</v>
      </c>
    </row>
    <row r="309" spans="1:18" ht="15.75" customHeight="1" x14ac:dyDescent="0.35">
      <c r="A309" s="174" t="s">
        <v>58</v>
      </c>
      <c r="B309" s="140"/>
      <c r="C309" s="140"/>
      <c r="D309" s="140"/>
      <c r="E309" s="207" t="s">
        <v>7</v>
      </c>
      <c r="F309" s="140"/>
      <c r="G309" s="140"/>
      <c r="H309" s="140"/>
      <c r="I309" s="207" t="s">
        <v>7</v>
      </c>
      <c r="J309" s="140"/>
      <c r="K309" s="140"/>
      <c r="L309" s="140"/>
      <c r="M309" s="207" t="s">
        <v>7</v>
      </c>
      <c r="N309" s="140"/>
      <c r="O309" s="140"/>
      <c r="P309" s="140"/>
      <c r="Q309" s="207" t="s">
        <v>7</v>
      </c>
      <c r="R309" s="207" t="s">
        <v>7</v>
      </c>
    </row>
    <row r="310" spans="1:18" ht="15.75" customHeight="1" x14ac:dyDescent="0.35">
      <c r="A310" s="174" t="s">
        <v>49</v>
      </c>
      <c r="B310" s="140"/>
      <c r="C310" s="140"/>
      <c r="D310" s="140"/>
      <c r="E310" s="207" t="s">
        <v>7</v>
      </c>
      <c r="F310" s="140"/>
      <c r="G310" s="140"/>
      <c r="H310" s="140"/>
      <c r="I310" s="207" t="s">
        <v>7</v>
      </c>
      <c r="J310" s="140"/>
      <c r="K310" s="140"/>
      <c r="L310" s="140"/>
      <c r="M310" s="207" t="s">
        <v>7</v>
      </c>
      <c r="N310" s="140"/>
      <c r="O310" s="140"/>
      <c r="P310" s="140"/>
      <c r="Q310" s="207" t="s">
        <v>7</v>
      </c>
      <c r="R310" s="207" t="s">
        <v>7</v>
      </c>
    </row>
    <row r="311" spans="1:18" ht="15.75" customHeight="1" thickBot="1" x14ac:dyDescent="0.4">
      <c r="A311" s="110" t="s">
        <v>247</v>
      </c>
      <c r="B311" s="140">
        <v>0</v>
      </c>
      <c r="C311" s="140">
        <v>0</v>
      </c>
      <c r="D311" s="140">
        <v>0</v>
      </c>
      <c r="E311" s="207">
        <f>SUM(B311:D311)</f>
        <v>0</v>
      </c>
      <c r="F311" s="140">
        <v>0</v>
      </c>
      <c r="G311" s="140">
        <v>0</v>
      </c>
      <c r="H311" s="140">
        <v>0</v>
      </c>
      <c r="I311" s="207">
        <f>SUM(F311:H311)</f>
        <v>0</v>
      </c>
      <c r="J311" s="140">
        <v>0</v>
      </c>
      <c r="K311" s="140">
        <v>0</v>
      </c>
      <c r="L311" s="140">
        <v>0</v>
      </c>
      <c r="M311" s="207">
        <f>SUM(J311:L311)</f>
        <v>0</v>
      </c>
      <c r="N311" s="140">
        <v>0</v>
      </c>
      <c r="O311" s="140">
        <v>0</v>
      </c>
      <c r="P311" s="140">
        <v>0</v>
      </c>
      <c r="Q311" s="207">
        <f>SUM(N311:P311)</f>
        <v>0</v>
      </c>
      <c r="R311" s="207">
        <f>+E311+I311+M311+Q311</f>
        <v>0</v>
      </c>
    </row>
    <row r="312" spans="1:18" ht="15.75" customHeight="1" thickBot="1" x14ac:dyDescent="0.4">
      <c r="A312" s="209" t="s">
        <v>59</v>
      </c>
      <c r="B312" s="237">
        <f>SUM(B298:B311)</f>
        <v>6979</v>
      </c>
      <c r="C312" s="238">
        <f>SUM(C298:C311)</f>
        <v>11995</v>
      </c>
      <c r="D312" s="238">
        <f>SUM(D298:D311)</f>
        <v>21676</v>
      </c>
      <c r="E312" s="211">
        <f>SUM(B312:D312)</f>
        <v>40650</v>
      </c>
      <c r="F312" s="238">
        <f>SUM(F298:F311)</f>
        <v>35153</v>
      </c>
      <c r="G312" s="238">
        <f>SUM(G298:G311)</f>
        <v>36106</v>
      </c>
      <c r="H312" s="238">
        <f>SUM(H298:H311)</f>
        <v>26391</v>
      </c>
      <c r="I312" s="211">
        <f>SUM(F312:H312)</f>
        <v>97650</v>
      </c>
      <c r="J312" s="238">
        <f>SUM(J298:J311)</f>
        <v>27990</v>
      </c>
      <c r="K312" s="238">
        <f>SUM(K298:K311)</f>
        <v>25418</v>
      </c>
      <c r="L312" s="238">
        <f>SUM(L298:L311)</f>
        <v>14262</v>
      </c>
      <c r="M312" s="211">
        <f>SUM(J312:L312)</f>
        <v>67670</v>
      </c>
      <c r="N312" s="238">
        <f>SUM(N298:N311)</f>
        <v>9280</v>
      </c>
      <c r="O312" s="238">
        <f>SUM(O298:O311)</f>
        <v>1211</v>
      </c>
      <c r="P312" s="238">
        <f>SUM(P298:P311)</f>
        <v>5063</v>
      </c>
      <c r="Q312" s="211">
        <f>SUM(N312:P312)</f>
        <v>15554</v>
      </c>
      <c r="R312" s="211">
        <f>+E312+I312+M312+Q312</f>
        <v>221524</v>
      </c>
    </row>
    <row r="313" spans="1:18" ht="15.75" customHeight="1" x14ac:dyDescent="0.35">
      <c r="A313" s="174" t="s">
        <v>60</v>
      </c>
      <c r="B313" s="140"/>
      <c r="C313" s="140"/>
      <c r="D313" s="140"/>
      <c r="E313" s="207" t="s">
        <v>7</v>
      </c>
      <c r="F313" s="140"/>
      <c r="G313" s="140"/>
      <c r="H313" s="140"/>
      <c r="I313" s="207" t="s">
        <v>7</v>
      </c>
      <c r="J313" s="140"/>
      <c r="K313" s="140"/>
      <c r="L313" s="140"/>
      <c r="M313" s="207" t="s">
        <v>7</v>
      </c>
      <c r="N313" s="140"/>
      <c r="O313" s="140"/>
      <c r="P313" s="140"/>
      <c r="Q313" s="207" t="s">
        <v>7</v>
      </c>
      <c r="R313" s="207" t="s">
        <v>7</v>
      </c>
    </row>
    <row r="314" spans="1:18" ht="15.75" customHeight="1" x14ac:dyDescent="0.35">
      <c r="A314" s="174" t="s">
        <v>61</v>
      </c>
      <c r="B314" s="140"/>
      <c r="C314" s="140"/>
      <c r="D314" s="140"/>
      <c r="E314" s="207" t="s">
        <v>7</v>
      </c>
      <c r="F314" s="140"/>
      <c r="G314" s="140"/>
      <c r="H314" s="140"/>
      <c r="I314" s="207" t="s">
        <v>7</v>
      </c>
      <c r="J314" s="140"/>
      <c r="K314" s="140"/>
      <c r="L314" s="140"/>
      <c r="M314" s="207" t="s">
        <v>7</v>
      </c>
      <c r="N314" s="140"/>
      <c r="O314" s="140"/>
      <c r="P314" s="140"/>
      <c r="Q314" s="207" t="s">
        <v>7</v>
      </c>
      <c r="R314" s="207" t="s">
        <v>7</v>
      </c>
    </row>
    <row r="315" spans="1:18" ht="15.75" customHeight="1" x14ac:dyDescent="0.35">
      <c r="A315" s="110" t="s">
        <v>254</v>
      </c>
      <c r="B315" s="140">
        <v>3408</v>
      </c>
      <c r="C315" s="140">
        <v>5687</v>
      </c>
      <c r="D315" s="140">
        <v>11178</v>
      </c>
      <c r="E315" s="207">
        <f>SUM(B315:D315)</f>
        <v>20273</v>
      </c>
      <c r="F315" s="140">
        <v>10108</v>
      </c>
      <c r="G315" s="140">
        <v>12091</v>
      </c>
      <c r="H315" s="140">
        <v>11507</v>
      </c>
      <c r="I315" s="207">
        <f>SUM(F315:H315)</f>
        <v>33706</v>
      </c>
      <c r="J315" s="140">
        <v>9047</v>
      </c>
      <c r="K315" s="140">
        <v>9108</v>
      </c>
      <c r="L315" s="140">
        <v>5825</v>
      </c>
      <c r="M315" s="207">
        <f>SUM(J315:L315)</f>
        <v>23980</v>
      </c>
      <c r="N315" s="140">
        <v>2476</v>
      </c>
      <c r="O315" s="140">
        <v>845</v>
      </c>
      <c r="P315" s="140">
        <v>2399</v>
      </c>
      <c r="Q315" s="207">
        <f>SUM(N315:P315)</f>
        <v>5720</v>
      </c>
      <c r="R315" s="207">
        <f>+E315+I315+M315+Q315</f>
        <v>83679</v>
      </c>
    </row>
    <row r="316" spans="1:18" ht="15.75" customHeight="1" x14ac:dyDescent="0.35">
      <c r="A316" s="110" t="s">
        <v>255</v>
      </c>
      <c r="B316" s="140">
        <v>0</v>
      </c>
      <c r="C316" s="140">
        <v>0</v>
      </c>
      <c r="D316" s="140">
        <v>0</v>
      </c>
      <c r="E316" s="207">
        <f>SUM(B316:D316)</f>
        <v>0</v>
      </c>
      <c r="F316" s="140">
        <v>0</v>
      </c>
      <c r="G316" s="140">
        <v>0</v>
      </c>
      <c r="H316" s="140">
        <v>0</v>
      </c>
      <c r="I316" s="207">
        <f>SUM(F316:H316)</f>
        <v>0</v>
      </c>
      <c r="J316" s="140">
        <v>0</v>
      </c>
      <c r="K316" s="140">
        <v>0</v>
      </c>
      <c r="L316" s="140">
        <v>0</v>
      </c>
      <c r="M316" s="207">
        <f>SUM(J316:L316)</f>
        <v>0</v>
      </c>
      <c r="N316" s="140">
        <v>0</v>
      </c>
      <c r="O316" s="140">
        <v>0</v>
      </c>
      <c r="P316" s="140">
        <v>0</v>
      </c>
      <c r="Q316" s="207">
        <f>SUM(N316:P316)</f>
        <v>0</v>
      </c>
      <c r="R316" s="207">
        <f>+E316+I316+M316+Q316</f>
        <v>0</v>
      </c>
    </row>
    <row r="317" spans="1:18" ht="15.75" customHeight="1" x14ac:dyDescent="0.35">
      <c r="A317" s="174" t="s">
        <v>62</v>
      </c>
      <c r="B317" s="140"/>
      <c r="C317" s="140"/>
      <c r="D317" s="140"/>
      <c r="E317" s="207" t="s">
        <v>7</v>
      </c>
      <c r="F317" s="140"/>
      <c r="G317" s="140"/>
      <c r="H317" s="140"/>
      <c r="I317" s="207" t="s">
        <v>7</v>
      </c>
      <c r="J317" s="140"/>
      <c r="K317" s="140"/>
      <c r="L317" s="140"/>
      <c r="M317" s="207" t="s">
        <v>7</v>
      </c>
      <c r="N317" s="140"/>
      <c r="O317" s="140"/>
      <c r="P317" s="140"/>
      <c r="Q317" s="207" t="s">
        <v>7</v>
      </c>
      <c r="R317" s="207" t="s">
        <v>7</v>
      </c>
    </row>
    <row r="318" spans="1:18" ht="15.75" customHeight="1" x14ac:dyDescent="0.35">
      <c r="A318" s="110" t="s">
        <v>146</v>
      </c>
      <c r="B318" s="140">
        <v>0</v>
      </c>
      <c r="C318" s="140">
        <v>0</v>
      </c>
      <c r="D318" s="140">
        <v>0</v>
      </c>
      <c r="E318" s="207">
        <f t="shared" ref="E318:E330" si="64">SUM(B318:D318)</f>
        <v>0</v>
      </c>
      <c r="F318" s="140">
        <v>0</v>
      </c>
      <c r="G318" s="140">
        <v>0</v>
      </c>
      <c r="H318" s="140">
        <v>0</v>
      </c>
      <c r="I318" s="207">
        <f t="shared" ref="I318:I330" si="65">SUM(F318:H318)</f>
        <v>0</v>
      </c>
      <c r="J318" s="140">
        <v>0</v>
      </c>
      <c r="K318" s="140">
        <v>0</v>
      </c>
      <c r="L318" s="140">
        <v>0</v>
      </c>
      <c r="M318" s="207">
        <f t="shared" ref="M318:M330" si="66">SUM(J318:L318)</f>
        <v>0</v>
      </c>
      <c r="N318" s="140">
        <v>0</v>
      </c>
      <c r="O318" s="140">
        <v>0</v>
      </c>
      <c r="P318" s="140">
        <v>0</v>
      </c>
      <c r="Q318" s="207">
        <f t="shared" ref="Q318:Q330" si="67">SUM(N318:P318)</f>
        <v>0</v>
      </c>
      <c r="R318" s="207">
        <f t="shared" ref="R318:R330" si="68">+E318+I318+M318+Q318</f>
        <v>0</v>
      </c>
    </row>
    <row r="319" spans="1:18" ht="15.75" customHeight="1" x14ac:dyDescent="0.35">
      <c r="A319" s="110" t="s">
        <v>147</v>
      </c>
      <c r="B319" s="140">
        <v>0</v>
      </c>
      <c r="C319" s="140">
        <v>0</v>
      </c>
      <c r="D319" s="140">
        <v>0</v>
      </c>
      <c r="E319" s="207">
        <f t="shared" si="64"/>
        <v>0</v>
      </c>
      <c r="F319" s="140">
        <v>0</v>
      </c>
      <c r="G319" s="140">
        <v>0</v>
      </c>
      <c r="H319" s="140">
        <v>0</v>
      </c>
      <c r="I319" s="207">
        <f t="shared" si="65"/>
        <v>0</v>
      </c>
      <c r="J319" s="140">
        <v>0</v>
      </c>
      <c r="K319" s="140">
        <v>0</v>
      </c>
      <c r="L319" s="140">
        <v>0</v>
      </c>
      <c r="M319" s="207">
        <f t="shared" si="66"/>
        <v>0</v>
      </c>
      <c r="N319" s="140">
        <v>0</v>
      </c>
      <c r="O319" s="140">
        <v>0</v>
      </c>
      <c r="P319" s="140">
        <v>0</v>
      </c>
      <c r="Q319" s="207">
        <f t="shared" si="67"/>
        <v>0</v>
      </c>
      <c r="R319" s="207">
        <f t="shared" si="68"/>
        <v>0</v>
      </c>
    </row>
    <row r="320" spans="1:18" ht="15.75" customHeight="1" x14ac:dyDescent="0.35">
      <c r="A320" s="110" t="s">
        <v>149</v>
      </c>
      <c r="B320" s="140">
        <v>0</v>
      </c>
      <c r="C320" s="140">
        <v>627</v>
      </c>
      <c r="D320" s="140">
        <v>0</v>
      </c>
      <c r="E320" s="207">
        <f t="shared" si="64"/>
        <v>627</v>
      </c>
      <c r="F320" s="140">
        <v>0</v>
      </c>
      <c r="G320" s="140">
        <v>0</v>
      </c>
      <c r="H320" s="140">
        <v>0</v>
      </c>
      <c r="I320" s="207">
        <f t="shared" si="65"/>
        <v>0</v>
      </c>
      <c r="J320" s="140">
        <v>0</v>
      </c>
      <c r="K320" s="140">
        <v>0</v>
      </c>
      <c r="L320" s="140">
        <v>0</v>
      </c>
      <c r="M320" s="207">
        <f t="shared" si="66"/>
        <v>0</v>
      </c>
      <c r="N320" s="140">
        <v>0</v>
      </c>
      <c r="O320" s="140">
        <v>0</v>
      </c>
      <c r="P320" s="140">
        <v>0</v>
      </c>
      <c r="Q320" s="207">
        <f t="shared" si="67"/>
        <v>0</v>
      </c>
      <c r="R320" s="207">
        <f t="shared" si="68"/>
        <v>627</v>
      </c>
    </row>
    <row r="321" spans="1:18" ht="15.75" customHeight="1" x14ac:dyDescent="0.35">
      <c r="A321" s="110" t="s">
        <v>159</v>
      </c>
      <c r="B321" s="140">
        <v>0</v>
      </c>
      <c r="C321" s="140">
        <v>0</v>
      </c>
      <c r="D321" s="140">
        <v>0</v>
      </c>
      <c r="E321" s="207">
        <f t="shared" si="64"/>
        <v>0</v>
      </c>
      <c r="F321" s="140">
        <v>0</v>
      </c>
      <c r="G321" s="140">
        <v>0</v>
      </c>
      <c r="H321" s="140">
        <v>0</v>
      </c>
      <c r="I321" s="207">
        <f t="shared" si="65"/>
        <v>0</v>
      </c>
      <c r="J321" s="140">
        <v>0</v>
      </c>
      <c r="K321" s="140">
        <v>0</v>
      </c>
      <c r="L321" s="140">
        <v>0</v>
      </c>
      <c r="M321" s="207">
        <f t="shared" si="66"/>
        <v>0</v>
      </c>
      <c r="N321" s="140">
        <v>0</v>
      </c>
      <c r="O321" s="140">
        <v>0</v>
      </c>
      <c r="P321" s="140">
        <v>0</v>
      </c>
      <c r="Q321" s="207">
        <f t="shared" si="67"/>
        <v>0</v>
      </c>
      <c r="R321" s="207">
        <f t="shared" si="68"/>
        <v>0</v>
      </c>
    </row>
    <row r="322" spans="1:18" ht="15.75" customHeight="1" x14ac:dyDescent="0.35">
      <c r="A322" s="110" t="s">
        <v>160</v>
      </c>
      <c r="B322" s="140">
        <v>0</v>
      </c>
      <c r="C322" s="140">
        <v>0</v>
      </c>
      <c r="D322" s="140">
        <v>0</v>
      </c>
      <c r="E322" s="207">
        <f t="shared" si="64"/>
        <v>0</v>
      </c>
      <c r="F322" s="140">
        <v>0</v>
      </c>
      <c r="G322" s="140">
        <v>0</v>
      </c>
      <c r="H322" s="140">
        <v>0</v>
      </c>
      <c r="I322" s="207">
        <f t="shared" si="65"/>
        <v>0</v>
      </c>
      <c r="J322" s="140">
        <v>0</v>
      </c>
      <c r="K322" s="140">
        <v>0</v>
      </c>
      <c r="L322" s="140">
        <v>0</v>
      </c>
      <c r="M322" s="207">
        <f t="shared" si="66"/>
        <v>0</v>
      </c>
      <c r="N322" s="140">
        <v>0</v>
      </c>
      <c r="O322" s="140">
        <v>0</v>
      </c>
      <c r="P322" s="140">
        <v>0</v>
      </c>
      <c r="Q322" s="207">
        <f t="shared" si="67"/>
        <v>0</v>
      </c>
      <c r="R322" s="207">
        <f t="shared" si="68"/>
        <v>0</v>
      </c>
    </row>
    <row r="323" spans="1:18" ht="15.75" customHeight="1" x14ac:dyDescent="0.35">
      <c r="A323" s="110" t="s">
        <v>162</v>
      </c>
      <c r="B323" s="140">
        <v>0</v>
      </c>
      <c r="C323" s="140">
        <v>826</v>
      </c>
      <c r="D323" s="140">
        <v>843</v>
      </c>
      <c r="E323" s="207">
        <f t="shared" si="64"/>
        <v>1669</v>
      </c>
      <c r="F323" s="140">
        <v>0</v>
      </c>
      <c r="G323" s="140">
        <v>0</v>
      </c>
      <c r="H323" s="140">
        <v>0</v>
      </c>
      <c r="I323" s="207">
        <f t="shared" si="65"/>
        <v>0</v>
      </c>
      <c r="J323" s="140">
        <v>0</v>
      </c>
      <c r="K323" s="140">
        <v>0</v>
      </c>
      <c r="L323" s="140">
        <v>0</v>
      </c>
      <c r="M323" s="207">
        <f t="shared" si="66"/>
        <v>0</v>
      </c>
      <c r="N323" s="140">
        <v>0</v>
      </c>
      <c r="O323" s="140">
        <v>0</v>
      </c>
      <c r="P323" s="140">
        <v>0</v>
      </c>
      <c r="Q323" s="207">
        <f t="shared" si="67"/>
        <v>0</v>
      </c>
      <c r="R323" s="207">
        <f t="shared" si="68"/>
        <v>1669</v>
      </c>
    </row>
    <row r="324" spans="1:18" ht="15.75" customHeight="1" x14ac:dyDescent="0.35">
      <c r="A324" s="110" t="s">
        <v>554</v>
      </c>
      <c r="B324" s="140">
        <v>15</v>
      </c>
      <c r="C324" s="140">
        <v>2</v>
      </c>
      <c r="D324" s="140">
        <v>0</v>
      </c>
      <c r="E324" s="207">
        <f t="shared" si="64"/>
        <v>17</v>
      </c>
      <c r="F324" s="140">
        <v>25</v>
      </c>
      <c r="G324" s="140">
        <v>25</v>
      </c>
      <c r="H324" s="140">
        <v>212</v>
      </c>
      <c r="I324" s="207">
        <f t="shared" si="65"/>
        <v>262</v>
      </c>
      <c r="J324" s="140">
        <v>412</v>
      </c>
      <c r="K324" s="140">
        <v>335</v>
      </c>
      <c r="L324" s="140">
        <v>0</v>
      </c>
      <c r="M324" s="207">
        <f t="shared" si="66"/>
        <v>747</v>
      </c>
      <c r="N324" s="140">
        <v>0</v>
      </c>
      <c r="O324" s="140">
        <v>0</v>
      </c>
      <c r="P324" s="140">
        <v>0</v>
      </c>
      <c r="Q324" s="207">
        <f t="shared" si="67"/>
        <v>0</v>
      </c>
      <c r="R324" s="207">
        <f t="shared" si="68"/>
        <v>1026</v>
      </c>
    </row>
    <row r="325" spans="1:18" ht="15.75" customHeight="1" x14ac:dyDescent="0.35">
      <c r="A325" s="110" t="s">
        <v>555</v>
      </c>
      <c r="B325" s="140">
        <v>1000</v>
      </c>
      <c r="C325" s="140">
        <v>1000</v>
      </c>
      <c r="D325" s="140">
        <v>920</v>
      </c>
      <c r="E325" s="207">
        <f>SUM(B325:D325)</f>
        <v>2920</v>
      </c>
      <c r="F325" s="140">
        <v>0</v>
      </c>
      <c r="G325" s="140">
        <v>0</v>
      </c>
      <c r="H325" s="140">
        <v>0</v>
      </c>
      <c r="I325" s="207">
        <f>SUM(F325:H325)</f>
        <v>0</v>
      </c>
      <c r="J325" s="140">
        <v>0</v>
      </c>
      <c r="K325" s="140">
        <v>0</v>
      </c>
      <c r="L325" s="140">
        <v>0</v>
      </c>
      <c r="M325" s="207">
        <f>SUM(J325:L325)</f>
        <v>0</v>
      </c>
      <c r="N325" s="140">
        <v>0</v>
      </c>
      <c r="O325" s="140">
        <v>0</v>
      </c>
      <c r="P325" s="140">
        <v>0</v>
      </c>
      <c r="Q325" s="207">
        <f>SUM(N325:P325)</f>
        <v>0</v>
      </c>
      <c r="R325" s="207">
        <f>+E325+I325+M325+Q325</f>
        <v>2920</v>
      </c>
    </row>
    <row r="326" spans="1:18" ht="15.75" customHeight="1" x14ac:dyDescent="0.3">
      <c r="A326" s="72" t="s">
        <v>556</v>
      </c>
      <c r="B326" s="1">
        <v>0</v>
      </c>
      <c r="C326" s="1">
        <v>0</v>
      </c>
      <c r="D326" s="1">
        <v>0</v>
      </c>
      <c r="E326" s="55">
        <f>SUM(B326:D326)</f>
        <v>0</v>
      </c>
      <c r="F326" s="1">
        <v>0</v>
      </c>
      <c r="G326" s="1">
        <v>0</v>
      </c>
      <c r="H326" s="1">
        <v>0</v>
      </c>
      <c r="I326" s="55">
        <f>SUM(F326:H326)</f>
        <v>0</v>
      </c>
      <c r="J326" s="1">
        <v>0</v>
      </c>
      <c r="K326" s="1">
        <v>0</v>
      </c>
      <c r="L326" s="1">
        <v>1000</v>
      </c>
      <c r="M326" s="55">
        <f>SUM(J326:L326)</f>
        <v>1000</v>
      </c>
      <c r="N326" s="1">
        <v>0</v>
      </c>
      <c r="O326" s="1">
        <v>0</v>
      </c>
      <c r="P326" s="1">
        <v>0</v>
      </c>
      <c r="Q326" s="55">
        <f>SUM(N326:P326)</f>
        <v>0</v>
      </c>
      <c r="R326" s="55">
        <f>+E326+I326+M326+Q326</f>
        <v>1000</v>
      </c>
    </row>
    <row r="327" spans="1:18" ht="15.75" customHeight="1" x14ac:dyDescent="0.35">
      <c r="A327" s="110" t="s">
        <v>168</v>
      </c>
      <c r="B327" s="140">
        <v>0</v>
      </c>
      <c r="C327" s="140">
        <v>0</v>
      </c>
      <c r="D327" s="140">
        <v>0</v>
      </c>
      <c r="E327" s="207">
        <f t="shared" si="64"/>
        <v>0</v>
      </c>
      <c r="F327" s="140">
        <v>0</v>
      </c>
      <c r="G327" s="140">
        <v>0</v>
      </c>
      <c r="H327" s="140">
        <v>0</v>
      </c>
      <c r="I327" s="207">
        <f t="shared" si="65"/>
        <v>0</v>
      </c>
      <c r="J327" s="140">
        <v>0</v>
      </c>
      <c r="K327" s="140">
        <v>629</v>
      </c>
      <c r="L327" s="140">
        <v>1074</v>
      </c>
      <c r="M327" s="207">
        <f t="shared" si="66"/>
        <v>1703</v>
      </c>
      <c r="N327" s="140">
        <v>1162</v>
      </c>
      <c r="O327" s="140">
        <v>252</v>
      </c>
      <c r="P327" s="140">
        <v>94</v>
      </c>
      <c r="Q327" s="207">
        <f t="shared" si="67"/>
        <v>1508</v>
      </c>
      <c r="R327" s="207">
        <f t="shared" si="68"/>
        <v>3211</v>
      </c>
    </row>
    <row r="328" spans="1:18" ht="15.75" customHeight="1" x14ac:dyDescent="0.35">
      <c r="A328" s="110" t="s">
        <v>169</v>
      </c>
      <c r="B328" s="140">
        <v>15</v>
      </c>
      <c r="C328" s="140">
        <v>0</v>
      </c>
      <c r="D328" s="140">
        <v>0</v>
      </c>
      <c r="E328" s="207">
        <f t="shared" si="64"/>
        <v>15</v>
      </c>
      <c r="F328" s="140">
        <v>25</v>
      </c>
      <c r="G328" s="140">
        <v>700</v>
      </c>
      <c r="H328" s="140">
        <v>1031</v>
      </c>
      <c r="I328" s="207">
        <f t="shared" si="65"/>
        <v>1756</v>
      </c>
      <c r="J328" s="140">
        <v>830</v>
      </c>
      <c r="K328" s="140">
        <v>0</v>
      </c>
      <c r="L328" s="140">
        <v>0</v>
      </c>
      <c r="M328" s="207">
        <f t="shared" si="66"/>
        <v>830</v>
      </c>
      <c r="N328" s="140">
        <v>0</v>
      </c>
      <c r="O328" s="140">
        <v>0</v>
      </c>
      <c r="P328" s="140">
        <v>0</v>
      </c>
      <c r="Q328" s="207">
        <f t="shared" si="67"/>
        <v>0</v>
      </c>
      <c r="R328" s="207">
        <f t="shared" si="68"/>
        <v>2601</v>
      </c>
    </row>
    <row r="329" spans="1:18" ht="15.75" customHeight="1" thickBot="1" x14ac:dyDescent="0.4">
      <c r="A329" s="110" t="s">
        <v>171</v>
      </c>
      <c r="B329" s="140">
        <v>0</v>
      </c>
      <c r="C329" s="140">
        <v>0</v>
      </c>
      <c r="D329" s="140">
        <v>2622</v>
      </c>
      <c r="E329" s="207">
        <f t="shared" si="64"/>
        <v>2622</v>
      </c>
      <c r="F329" s="140">
        <v>0</v>
      </c>
      <c r="G329" s="140">
        <v>0</v>
      </c>
      <c r="H329" s="140">
        <v>0</v>
      </c>
      <c r="I329" s="207">
        <f t="shared" si="65"/>
        <v>0</v>
      </c>
      <c r="J329" s="140">
        <v>0</v>
      </c>
      <c r="K329" s="140">
        <v>0</v>
      </c>
      <c r="L329" s="140">
        <v>0</v>
      </c>
      <c r="M329" s="207">
        <f t="shared" si="66"/>
        <v>0</v>
      </c>
      <c r="N329" s="140">
        <v>0</v>
      </c>
      <c r="O329" s="140">
        <v>0</v>
      </c>
      <c r="P329" s="140">
        <v>0</v>
      </c>
      <c r="Q329" s="207">
        <f t="shared" si="67"/>
        <v>0</v>
      </c>
      <c r="R329" s="207">
        <f t="shared" si="68"/>
        <v>2622</v>
      </c>
    </row>
    <row r="330" spans="1:18" ht="15.75" customHeight="1" thickBot="1" x14ac:dyDescent="0.4">
      <c r="A330" s="259" t="s">
        <v>63</v>
      </c>
      <c r="B330" s="237">
        <f>SUM(B313:B329)</f>
        <v>4438</v>
      </c>
      <c r="C330" s="238">
        <f>SUM(C313:C329)</f>
        <v>8142</v>
      </c>
      <c r="D330" s="238">
        <f>SUM(D313:D329)</f>
        <v>15563</v>
      </c>
      <c r="E330" s="211">
        <f t="shared" si="64"/>
        <v>28143</v>
      </c>
      <c r="F330" s="238">
        <f>SUM(F313:F329)</f>
        <v>10158</v>
      </c>
      <c r="G330" s="238">
        <f>SUM(G313:G329)</f>
        <v>12816</v>
      </c>
      <c r="H330" s="238">
        <f>SUM(H313:H329)</f>
        <v>12750</v>
      </c>
      <c r="I330" s="211">
        <f t="shared" si="65"/>
        <v>35724</v>
      </c>
      <c r="J330" s="238">
        <f>SUM(J313:J329)</f>
        <v>10289</v>
      </c>
      <c r="K330" s="238">
        <f>SUM(K313:K329)</f>
        <v>10072</v>
      </c>
      <c r="L330" s="238">
        <f>SUM(L313:L329)</f>
        <v>7899</v>
      </c>
      <c r="M330" s="211">
        <f t="shared" si="66"/>
        <v>28260</v>
      </c>
      <c r="N330" s="238">
        <f>SUM(N313:N329)</f>
        <v>3638</v>
      </c>
      <c r="O330" s="238">
        <f>SUM(O313:O329)</f>
        <v>1097</v>
      </c>
      <c r="P330" s="238">
        <f>SUM(P313:P329)</f>
        <v>2493</v>
      </c>
      <c r="Q330" s="211">
        <f t="shared" si="67"/>
        <v>7228</v>
      </c>
      <c r="R330" s="211">
        <f t="shared" si="68"/>
        <v>99355</v>
      </c>
    </row>
    <row r="331" spans="1:18" ht="15.75" customHeight="1" x14ac:dyDescent="0.35">
      <c r="A331" s="174" t="s">
        <v>64</v>
      </c>
      <c r="B331" s="140"/>
      <c r="C331" s="140"/>
      <c r="D331" s="140"/>
      <c r="E331" s="207" t="s">
        <v>7</v>
      </c>
      <c r="F331" s="140"/>
      <c r="G331" s="140"/>
      <c r="H331" s="140"/>
      <c r="I331" s="207" t="s">
        <v>7</v>
      </c>
      <c r="J331" s="140"/>
      <c r="K331" s="140"/>
      <c r="L331" s="140"/>
      <c r="M331" s="207" t="s">
        <v>7</v>
      </c>
      <c r="N331" s="140"/>
      <c r="O331" s="140"/>
      <c r="P331" s="140"/>
      <c r="Q331" s="207" t="s">
        <v>7</v>
      </c>
      <c r="R331" s="207" t="s">
        <v>7</v>
      </c>
    </row>
    <row r="332" spans="1:18" ht="15.75" customHeight="1" x14ac:dyDescent="0.35">
      <c r="A332" s="174" t="s">
        <v>65</v>
      </c>
      <c r="B332" s="140"/>
      <c r="C332" s="140"/>
      <c r="D332" s="140"/>
      <c r="E332" s="207" t="s">
        <v>7</v>
      </c>
      <c r="F332" s="140"/>
      <c r="G332" s="140"/>
      <c r="H332" s="140"/>
      <c r="I332" s="207" t="s">
        <v>7</v>
      </c>
      <c r="J332" s="140"/>
      <c r="K332" s="140"/>
      <c r="L332" s="140"/>
      <c r="M332" s="207" t="s">
        <v>7</v>
      </c>
      <c r="N332" s="140"/>
      <c r="O332" s="140"/>
      <c r="P332" s="140"/>
      <c r="Q332" s="207" t="s">
        <v>7</v>
      </c>
      <c r="R332" s="207" t="s">
        <v>7</v>
      </c>
    </row>
    <row r="333" spans="1:18" ht="15.75" customHeight="1" x14ac:dyDescent="0.35">
      <c r="A333" s="110" t="s">
        <v>557</v>
      </c>
      <c r="B333" s="140">
        <v>0</v>
      </c>
      <c r="C333" s="140">
        <v>0</v>
      </c>
      <c r="D333" s="140">
        <v>0</v>
      </c>
      <c r="E333" s="207">
        <f>SUM(B333:D333)</f>
        <v>0</v>
      </c>
      <c r="F333" s="140">
        <v>0</v>
      </c>
      <c r="G333" s="140">
        <v>0</v>
      </c>
      <c r="H333" s="140">
        <v>0</v>
      </c>
      <c r="I333" s="207">
        <f>SUM(F333:H333)</f>
        <v>0</v>
      </c>
      <c r="J333" s="140">
        <v>0</v>
      </c>
      <c r="K333" s="140">
        <v>0</v>
      </c>
      <c r="L333" s="140">
        <v>0</v>
      </c>
      <c r="M333" s="207">
        <f>SUM(J333:L333)</f>
        <v>0</v>
      </c>
      <c r="N333" s="140">
        <v>0</v>
      </c>
      <c r="O333" s="140">
        <v>0</v>
      </c>
      <c r="P333" s="140">
        <v>0</v>
      </c>
      <c r="Q333" s="207">
        <f>SUM(N333:P333)</f>
        <v>0</v>
      </c>
      <c r="R333" s="207">
        <f>+E333+I333+M333+Q333</f>
        <v>0</v>
      </c>
    </row>
    <row r="334" spans="1:18" ht="15.75" customHeight="1" x14ac:dyDescent="0.35">
      <c r="A334" s="174" t="s">
        <v>67</v>
      </c>
      <c r="B334" s="140"/>
      <c r="C334" s="140"/>
      <c r="D334" s="140"/>
      <c r="E334" s="207" t="s">
        <v>7</v>
      </c>
      <c r="F334" s="140"/>
      <c r="G334" s="140"/>
      <c r="H334" s="140"/>
      <c r="I334" s="207" t="s">
        <v>7</v>
      </c>
      <c r="J334" s="140"/>
      <c r="K334" s="140"/>
      <c r="L334" s="140"/>
      <c r="M334" s="207" t="s">
        <v>7</v>
      </c>
      <c r="N334" s="140"/>
      <c r="O334" s="140"/>
      <c r="P334" s="140"/>
      <c r="Q334" s="207" t="s">
        <v>7</v>
      </c>
      <c r="R334" s="207" t="s">
        <v>7</v>
      </c>
    </row>
    <row r="335" spans="1:18" ht="15.75" customHeight="1" x14ac:dyDescent="0.35">
      <c r="A335" s="110" t="s">
        <v>267</v>
      </c>
      <c r="B335" s="140">
        <v>0</v>
      </c>
      <c r="C335" s="140">
        <v>0</v>
      </c>
      <c r="D335" s="140">
        <v>0</v>
      </c>
      <c r="E335" s="207">
        <f>SUM(B335:D335)</f>
        <v>0</v>
      </c>
      <c r="F335" s="140">
        <v>0</v>
      </c>
      <c r="G335" s="140">
        <v>0</v>
      </c>
      <c r="H335" s="140">
        <v>0</v>
      </c>
      <c r="I335" s="207">
        <f>SUM(F335:H335)</f>
        <v>0</v>
      </c>
      <c r="J335" s="140">
        <v>0</v>
      </c>
      <c r="K335" s="140">
        <v>0</v>
      </c>
      <c r="L335" s="140">
        <v>0</v>
      </c>
      <c r="M335" s="207">
        <f>SUM(J335:L335)</f>
        <v>0</v>
      </c>
      <c r="N335" s="140">
        <v>0</v>
      </c>
      <c r="O335" s="140">
        <v>0</v>
      </c>
      <c r="P335" s="140">
        <v>0</v>
      </c>
      <c r="Q335" s="207">
        <f>SUM(N335:P335)</f>
        <v>0</v>
      </c>
      <c r="R335" s="207">
        <f>+E335+I335+M335+Q335</f>
        <v>0</v>
      </c>
    </row>
    <row r="336" spans="1:18" ht="15.75" customHeight="1" x14ac:dyDescent="0.35">
      <c r="A336" s="110" t="s">
        <v>558</v>
      </c>
      <c r="B336" s="140">
        <v>0</v>
      </c>
      <c r="C336" s="140">
        <v>0</v>
      </c>
      <c r="D336" s="140">
        <v>0</v>
      </c>
      <c r="E336" s="207">
        <f>SUM(B336:D336)</f>
        <v>0</v>
      </c>
      <c r="F336" s="140">
        <v>0</v>
      </c>
      <c r="G336" s="140">
        <v>0</v>
      </c>
      <c r="H336" s="140">
        <v>0</v>
      </c>
      <c r="I336" s="207">
        <f>SUM(F336:H336)</f>
        <v>0</v>
      </c>
      <c r="J336" s="140">
        <v>0</v>
      </c>
      <c r="K336" s="140">
        <v>0</v>
      </c>
      <c r="L336" s="140">
        <v>0</v>
      </c>
      <c r="M336" s="207">
        <f>SUM(J336:L336)</f>
        <v>0</v>
      </c>
      <c r="N336" s="140">
        <v>0</v>
      </c>
      <c r="O336" s="140">
        <v>0</v>
      </c>
      <c r="P336" s="140">
        <v>0</v>
      </c>
      <c r="Q336" s="207">
        <f>SUM(N336:P336)</f>
        <v>0</v>
      </c>
      <c r="R336" s="207">
        <f>+E336+I336+M336+Q336</f>
        <v>0</v>
      </c>
    </row>
    <row r="337" spans="1:18" ht="15.75" customHeight="1" x14ac:dyDescent="0.35">
      <c r="A337" s="174" t="s">
        <v>69</v>
      </c>
      <c r="B337" s="140"/>
      <c r="C337" s="140"/>
      <c r="D337" s="140"/>
      <c r="E337" s="207" t="s">
        <v>7</v>
      </c>
      <c r="F337" s="140"/>
      <c r="G337" s="140"/>
      <c r="H337" s="140"/>
      <c r="I337" s="207" t="s">
        <v>7</v>
      </c>
      <c r="J337" s="140"/>
      <c r="K337" s="140"/>
      <c r="L337" s="140"/>
      <c r="M337" s="207" t="s">
        <v>7</v>
      </c>
      <c r="N337" s="140"/>
      <c r="O337" s="140"/>
      <c r="P337" s="140"/>
      <c r="Q337" s="207" t="s">
        <v>7</v>
      </c>
      <c r="R337" s="207" t="s">
        <v>7</v>
      </c>
    </row>
    <row r="338" spans="1:18" ht="15.75" customHeight="1" x14ac:dyDescent="0.35">
      <c r="A338" s="110" t="s">
        <v>270</v>
      </c>
      <c r="B338" s="140">
        <v>0</v>
      </c>
      <c r="C338" s="140">
        <v>0</v>
      </c>
      <c r="D338" s="140">
        <v>0</v>
      </c>
      <c r="E338" s="207">
        <f>SUM(B338:D338)</f>
        <v>0</v>
      </c>
      <c r="F338" s="140">
        <v>878</v>
      </c>
      <c r="G338" s="140">
        <v>1799</v>
      </c>
      <c r="H338" s="140">
        <v>4199</v>
      </c>
      <c r="I338" s="207">
        <f>SUM(F338:H338)</f>
        <v>6876</v>
      </c>
      <c r="J338" s="140">
        <v>3754</v>
      </c>
      <c r="K338" s="140">
        <v>2288</v>
      </c>
      <c r="L338" s="140">
        <v>3349</v>
      </c>
      <c r="M338" s="207">
        <f>SUM(J338:L338)</f>
        <v>9391</v>
      </c>
      <c r="N338" s="140">
        <v>2978</v>
      </c>
      <c r="O338" s="140">
        <v>383</v>
      </c>
      <c r="P338" s="140">
        <v>372</v>
      </c>
      <c r="Q338" s="207">
        <f>SUM(N338:P338)</f>
        <v>3733</v>
      </c>
      <c r="R338" s="207">
        <f>+E338+I338+M338+Q338</f>
        <v>20000</v>
      </c>
    </row>
    <row r="339" spans="1:18" ht="15.75" customHeight="1" x14ac:dyDescent="0.35">
      <c r="A339" s="110" t="s">
        <v>271</v>
      </c>
      <c r="B339" s="140">
        <v>0</v>
      </c>
      <c r="C339" s="140">
        <v>0</v>
      </c>
      <c r="D339" s="140">
        <v>0</v>
      </c>
      <c r="E339" s="207">
        <f>SUM(B339:D339)</f>
        <v>0</v>
      </c>
      <c r="F339" s="140">
        <v>0</v>
      </c>
      <c r="G339" s="140">
        <v>0</v>
      </c>
      <c r="H339" s="140">
        <v>0</v>
      </c>
      <c r="I339" s="207">
        <f>SUM(F339:H339)</f>
        <v>0</v>
      </c>
      <c r="J339" s="140">
        <v>0</v>
      </c>
      <c r="K339" s="140">
        <v>0</v>
      </c>
      <c r="L339" s="140">
        <v>1000</v>
      </c>
      <c r="M339" s="207">
        <f>SUM(J339:L339)</f>
        <v>1000</v>
      </c>
      <c r="N339" s="140">
        <v>0</v>
      </c>
      <c r="O339" s="140">
        <v>0</v>
      </c>
      <c r="P339" s="140">
        <v>0</v>
      </c>
      <c r="Q339" s="207">
        <f>SUM(N339:P339)</f>
        <v>0</v>
      </c>
      <c r="R339" s="207">
        <f>+E339+I339+M339+Q339</f>
        <v>1000</v>
      </c>
    </row>
    <row r="340" spans="1:18" ht="15.75" customHeight="1" x14ac:dyDescent="0.35">
      <c r="A340" s="222" t="s">
        <v>272</v>
      </c>
      <c r="B340" s="140">
        <v>0</v>
      </c>
      <c r="C340" s="140">
        <v>215</v>
      </c>
      <c r="D340" s="140">
        <v>3359</v>
      </c>
      <c r="E340" s="207">
        <f>SUM(B340:D340)</f>
        <v>3574</v>
      </c>
      <c r="F340" s="140">
        <v>1412</v>
      </c>
      <c r="G340" s="140">
        <v>3612</v>
      </c>
      <c r="H340" s="140">
        <v>5547</v>
      </c>
      <c r="I340" s="207">
        <f>SUM(F340:H340)</f>
        <v>10571</v>
      </c>
      <c r="J340" s="140">
        <v>0</v>
      </c>
      <c r="K340" s="140">
        <v>0</v>
      </c>
      <c r="L340" s="140">
        <v>0</v>
      </c>
      <c r="M340" s="207">
        <f>SUM(J340:L340)</f>
        <v>0</v>
      </c>
      <c r="N340" s="140">
        <v>0</v>
      </c>
      <c r="O340" s="140">
        <v>0</v>
      </c>
      <c r="P340" s="140">
        <v>0</v>
      </c>
      <c r="Q340" s="207">
        <f>SUM(N340:P340)</f>
        <v>0</v>
      </c>
      <c r="R340" s="207">
        <f>+E340+I340+M340+Q340</f>
        <v>14145</v>
      </c>
    </row>
    <row r="341" spans="1:18" ht="15.75" customHeight="1" x14ac:dyDescent="0.35">
      <c r="A341" s="110" t="s">
        <v>275</v>
      </c>
      <c r="B341" s="140">
        <v>0</v>
      </c>
      <c r="C341" s="140">
        <v>0</v>
      </c>
      <c r="D341" s="140">
        <v>0</v>
      </c>
      <c r="E341" s="207">
        <f>SUM(B341:D341)</f>
        <v>0</v>
      </c>
      <c r="F341" s="140">
        <v>1250</v>
      </c>
      <c r="G341" s="140">
        <v>238</v>
      </c>
      <c r="H341" s="140">
        <v>4115</v>
      </c>
      <c r="I341" s="207">
        <f>SUM(F341:H341)</f>
        <v>5603</v>
      </c>
      <c r="J341" s="140">
        <v>2676</v>
      </c>
      <c r="K341" s="140">
        <v>5118</v>
      </c>
      <c r="L341" s="140">
        <v>2603</v>
      </c>
      <c r="M341" s="207">
        <f>SUM(J341:L341)</f>
        <v>10397</v>
      </c>
      <c r="N341" s="140">
        <v>0</v>
      </c>
      <c r="O341" s="140">
        <v>0</v>
      </c>
      <c r="P341" s="140">
        <v>0</v>
      </c>
      <c r="Q341" s="207">
        <f>SUM(N341:P341)</f>
        <v>0</v>
      </c>
      <c r="R341" s="207">
        <f>+E341+I341+M341+Q341</f>
        <v>16000</v>
      </c>
    </row>
    <row r="342" spans="1:18" ht="15.75" customHeight="1" x14ac:dyDescent="0.35">
      <c r="A342" s="110" t="s">
        <v>559</v>
      </c>
      <c r="B342" s="140">
        <v>1755</v>
      </c>
      <c r="C342" s="140">
        <v>2957</v>
      </c>
      <c r="D342" s="140">
        <v>5253</v>
      </c>
      <c r="E342" s="207">
        <f>SUM(B342:D342)</f>
        <v>9965</v>
      </c>
      <c r="F342" s="140">
        <v>2549</v>
      </c>
      <c r="G342" s="140">
        <v>3612</v>
      </c>
      <c r="H342" s="140">
        <v>9822</v>
      </c>
      <c r="I342" s="207">
        <f>SUM(F342:H342)</f>
        <v>15983</v>
      </c>
      <c r="J342" s="140">
        <v>8780</v>
      </c>
      <c r="K342" s="140">
        <v>14813</v>
      </c>
      <c r="L342" s="140">
        <v>12658</v>
      </c>
      <c r="M342" s="207">
        <f>SUM(J342:L342)</f>
        <v>36251</v>
      </c>
      <c r="N342" s="140">
        <v>9090</v>
      </c>
      <c r="O342" s="140">
        <v>1792</v>
      </c>
      <c r="P342" s="140">
        <v>2953</v>
      </c>
      <c r="Q342" s="207">
        <f>SUM(N342:P342)</f>
        <v>13835</v>
      </c>
      <c r="R342" s="207">
        <f>+E342+I342+M342+Q342</f>
        <v>76034</v>
      </c>
    </row>
    <row r="343" spans="1:18" ht="15.75" customHeight="1" x14ac:dyDescent="0.35">
      <c r="A343" s="174" t="s">
        <v>70</v>
      </c>
      <c r="B343" s="140"/>
      <c r="C343" s="140"/>
      <c r="D343" s="140"/>
      <c r="E343" s="207" t="s">
        <v>7</v>
      </c>
      <c r="F343" s="140"/>
      <c r="G343" s="140"/>
      <c r="H343" s="140"/>
      <c r="I343" s="207" t="s">
        <v>7</v>
      </c>
      <c r="J343" s="140"/>
      <c r="K343" s="140"/>
      <c r="L343" s="140"/>
      <c r="M343" s="207" t="s">
        <v>7</v>
      </c>
      <c r="N343" s="140"/>
      <c r="O343" s="140"/>
      <c r="P343" s="140"/>
      <c r="Q343" s="207" t="s">
        <v>7</v>
      </c>
      <c r="R343" s="207" t="s">
        <v>7</v>
      </c>
    </row>
    <row r="344" spans="1:18" ht="15.75" customHeight="1" x14ac:dyDescent="0.35">
      <c r="A344" s="110" t="s">
        <v>560</v>
      </c>
      <c r="B344" s="140">
        <v>0</v>
      </c>
      <c r="C344" s="140">
        <v>0</v>
      </c>
      <c r="D344" s="140">
        <v>0</v>
      </c>
      <c r="E344" s="207">
        <f t="shared" ref="E344:E355" si="69">SUM(B344:D344)</f>
        <v>0</v>
      </c>
      <c r="F344" s="140">
        <v>0</v>
      </c>
      <c r="G344" s="140">
        <v>0</v>
      </c>
      <c r="H344" s="140">
        <v>0</v>
      </c>
      <c r="I344" s="207">
        <f t="shared" ref="I344:I355" si="70">SUM(F344:H344)</f>
        <v>0</v>
      </c>
      <c r="J344" s="140">
        <v>0</v>
      </c>
      <c r="K344" s="140">
        <v>1215</v>
      </c>
      <c r="L344" s="140">
        <v>0</v>
      </c>
      <c r="M344" s="207">
        <f t="shared" ref="M344:M355" si="71">SUM(J344:L344)</f>
        <v>1215</v>
      </c>
      <c r="N344" s="140">
        <v>0</v>
      </c>
      <c r="O344" s="140">
        <v>0</v>
      </c>
      <c r="P344" s="140">
        <v>0</v>
      </c>
      <c r="Q344" s="207">
        <f t="shared" ref="Q344:Q349" si="72">SUM(N344:P344)</f>
        <v>0</v>
      </c>
      <c r="R344" s="207">
        <f t="shared" ref="R344:R355" si="73">+E344+I344+M344+Q344</f>
        <v>1215</v>
      </c>
    </row>
    <row r="345" spans="1:18" ht="15.75" customHeight="1" x14ac:dyDescent="0.35">
      <c r="A345" s="110" t="s">
        <v>561</v>
      </c>
      <c r="B345" s="140">
        <v>0</v>
      </c>
      <c r="C345" s="140">
        <v>0</v>
      </c>
      <c r="D345" s="140">
        <v>0</v>
      </c>
      <c r="E345" s="207">
        <f t="shared" si="69"/>
        <v>0</v>
      </c>
      <c r="F345" s="140">
        <v>0</v>
      </c>
      <c r="G345" s="140">
        <v>0</v>
      </c>
      <c r="H345" s="140">
        <v>0</v>
      </c>
      <c r="I345" s="207">
        <f t="shared" si="70"/>
        <v>0</v>
      </c>
      <c r="J345" s="140">
        <v>0</v>
      </c>
      <c r="K345" s="140">
        <v>2117</v>
      </c>
      <c r="L345" s="140">
        <v>901</v>
      </c>
      <c r="M345" s="207">
        <f t="shared" si="71"/>
        <v>3018</v>
      </c>
      <c r="N345" s="140">
        <v>0</v>
      </c>
      <c r="O345" s="140">
        <v>0</v>
      </c>
      <c r="P345" s="140">
        <v>0</v>
      </c>
      <c r="Q345" s="207">
        <f t="shared" si="72"/>
        <v>0</v>
      </c>
      <c r="R345" s="207">
        <f t="shared" si="73"/>
        <v>3018</v>
      </c>
    </row>
    <row r="346" spans="1:18" ht="15.75" customHeight="1" x14ac:dyDescent="0.35">
      <c r="A346" s="110" t="s">
        <v>562</v>
      </c>
      <c r="B346" s="140">
        <v>0</v>
      </c>
      <c r="C346" s="140">
        <v>0</v>
      </c>
      <c r="D346" s="140">
        <v>0</v>
      </c>
      <c r="E346" s="207">
        <f>SUM(B346:D346)</f>
        <v>0</v>
      </c>
      <c r="F346" s="140">
        <v>0</v>
      </c>
      <c r="G346" s="140">
        <v>403</v>
      </c>
      <c r="H346" s="140">
        <v>11702</v>
      </c>
      <c r="I346" s="207">
        <f>SUM(F346:H346)</f>
        <v>12105</v>
      </c>
      <c r="J346" s="140">
        <v>13458</v>
      </c>
      <c r="K346" s="140">
        <v>5369</v>
      </c>
      <c r="L346" s="140">
        <v>4356</v>
      </c>
      <c r="M346" s="207">
        <f>SUM(J346:L346)</f>
        <v>23183</v>
      </c>
      <c r="N346" s="140">
        <v>0</v>
      </c>
      <c r="O346" s="140">
        <v>0</v>
      </c>
      <c r="P346" s="140">
        <v>0</v>
      </c>
      <c r="Q346" s="207">
        <f t="shared" si="72"/>
        <v>0</v>
      </c>
      <c r="R346" s="207">
        <f t="shared" si="73"/>
        <v>35288</v>
      </c>
    </row>
    <row r="347" spans="1:18" ht="15.75" customHeight="1" x14ac:dyDescent="0.35">
      <c r="A347" s="110" t="s">
        <v>284</v>
      </c>
      <c r="B347" s="140">
        <v>3240</v>
      </c>
      <c r="C347" s="140">
        <v>2000</v>
      </c>
      <c r="D347" s="140">
        <v>2500</v>
      </c>
      <c r="E347" s="207">
        <f>SUM(B347:D347)</f>
        <v>7740</v>
      </c>
      <c r="F347" s="140">
        <v>3600</v>
      </c>
      <c r="G347" s="140">
        <v>6650</v>
      </c>
      <c r="H347" s="140">
        <v>2010</v>
      </c>
      <c r="I347" s="207">
        <f>SUM(F347:H347)</f>
        <v>12260</v>
      </c>
      <c r="J347" s="140">
        <v>0</v>
      </c>
      <c r="K347" s="140">
        <v>0</v>
      </c>
      <c r="L347" s="140">
        <v>0</v>
      </c>
      <c r="M347" s="207">
        <f>SUM(J347:L347)</f>
        <v>0</v>
      </c>
      <c r="N347" s="140">
        <v>0</v>
      </c>
      <c r="O347" s="140">
        <v>0</v>
      </c>
      <c r="P347" s="140">
        <v>0</v>
      </c>
      <c r="Q347" s="207">
        <f t="shared" si="72"/>
        <v>0</v>
      </c>
      <c r="R347" s="207">
        <f t="shared" si="73"/>
        <v>20000</v>
      </c>
    </row>
    <row r="348" spans="1:18" ht="15.75" customHeight="1" x14ac:dyDescent="0.35">
      <c r="A348" s="110" t="s">
        <v>285</v>
      </c>
      <c r="B348" s="140">
        <v>0</v>
      </c>
      <c r="C348" s="140">
        <v>0</v>
      </c>
      <c r="D348" s="140">
        <v>5000</v>
      </c>
      <c r="E348" s="207">
        <f>SUM(B348:D348)</f>
        <v>5000</v>
      </c>
      <c r="F348" s="140">
        <v>4026</v>
      </c>
      <c r="G348" s="140">
        <v>0</v>
      </c>
      <c r="H348" s="140">
        <v>1290</v>
      </c>
      <c r="I348" s="207">
        <f>SUM(F348:H348)</f>
        <v>5316</v>
      </c>
      <c r="J348" s="140">
        <v>2990</v>
      </c>
      <c r="K348" s="140">
        <v>2800</v>
      </c>
      <c r="L348" s="140">
        <v>2560</v>
      </c>
      <c r="M348" s="207">
        <f>SUM(J348:L348)</f>
        <v>8350</v>
      </c>
      <c r="N348" s="140">
        <v>1890</v>
      </c>
      <c r="O348" s="140">
        <v>0</v>
      </c>
      <c r="P348" s="140">
        <v>375</v>
      </c>
      <c r="Q348" s="207">
        <f t="shared" si="72"/>
        <v>2265</v>
      </c>
      <c r="R348" s="207">
        <f t="shared" si="73"/>
        <v>20931</v>
      </c>
    </row>
    <row r="349" spans="1:18" ht="15.75" customHeight="1" thickBot="1" x14ac:dyDescent="0.4">
      <c r="A349" s="110" t="s">
        <v>286</v>
      </c>
      <c r="B349" s="140">
        <v>0</v>
      </c>
      <c r="C349" s="140">
        <v>0</v>
      </c>
      <c r="D349" s="140">
        <v>0</v>
      </c>
      <c r="E349" s="207">
        <f>SUM(B349:D349)</f>
        <v>0</v>
      </c>
      <c r="F349" s="140">
        <v>0</v>
      </c>
      <c r="G349" s="140">
        <v>0</v>
      </c>
      <c r="H349" s="140">
        <v>0</v>
      </c>
      <c r="I349" s="207">
        <f>SUM(F349:H349)</f>
        <v>0</v>
      </c>
      <c r="J349" s="140">
        <v>0</v>
      </c>
      <c r="K349" s="140">
        <v>0</v>
      </c>
      <c r="L349" s="140">
        <v>599</v>
      </c>
      <c r="M349" s="207">
        <f>SUM(J349:L349)</f>
        <v>599</v>
      </c>
      <c r="N349" s="140">
        <v>1767</v>
      </c>
      <c r="O349" s="140">
        <v>332</v>
      </c>
      <c r="P349" s="140">
        <v>924</v>
      </c>
      <c r="Q349" s="207">
        <f t="shared" si="72"/>
        <v>3023</v>
      </c>
      <c r="R349" s="207">
        <f t="shared" si="73"/>
        <v>3622</v>
      </c>
    </row>
    <row r="350" spans="1:18" ht="15.75" customHeight="1" thickBot="1" x14ac:dyDescent="0.4">
      <c r="A350" s="209" t="s">
        <v>71</v>
      </c>
      <c r="B350" s="210">
        <f>SUM(B338:B349)</f>
        <v>4995</v>
      </c>
      <c r="C350" s="210">
        <f>SUM(C338:C349)</f>
        <v>5172</v>
      </c>
      <c r="D350" s="210">
        <f>SUM(D338:D349)</f>
        <v>16112</v>
      </c>
      <c r="E350" s="212">
        <f t="shared" si="69"/>
        <v>26279</v>
      </c>
      <c r="F350" s="210">
        <f>SUM(F338:F349)</f>
        <v>13715</v>
      </c>
      <c r="G350" s="210">
        <f>SUM(G338:G349)</f>
        <v>16314</v>
      </c>
      <c r="H350" s="210">
        <f>SUM(H338:H349)</f>
        <v>38685</v>
      </c>
      <c r="I350" s="212">
        <f t="shared" si="70"/>
        <v>68714</v>
      </c>
      <c r="J350" s="210">
        <f>SUM(J338:J349)</f>
        <v>31658</v>
      </c>
      <c r="K350" s="210">
        <f>SUM(K338:K349)</f>
        <v>33720</v>
      </c>
      <c r="L350" s="210">
        <f>SUM(L338:L349)</f>
        <v>28026</v>
      </c>
      <c r="M350" s="212">
        <f t="shared" si="71"/>
        <v>93404</v>
      </c>
      <c r="N350" s="210">
        <f>SUM(N338:N349)</f>
        <v>15725</v>
      </c>
      <c r="O350" s="210">
        <f>SUM(O338:O349)</f>
        <v>2507</v>
      </c>
      <c r="P350" s="210">
        <f>SUM(P338:P349)</f>
        <v>4624</v>
      </c>
      <c r="Q350" s="212">
        <f t="shared" ref="Q350:Q355" si="74">SUM(N350:P350)</f>
        <v>22856</v>
      </c>
      <c r="R350" s="211">
        <f t="shared" si="73"/>
        <v>211253</v>
      </c>
    </row>
    <row r="351" spans="1:18" ht="15.75" customHeight="1" thickBot="1" x14ac:dyDescent="0.4">
      <c r="A351" s="259" t="s">
        <v>72</v>
      </c>
      <c r="B351" s="237">
        <f>SUM(B331:B349)</f>
        <v>4995</v>
      </c>
      <c r="C351" s="238">
        <f>SUM(C331:C349)</f>
        <v>5172</v>
      </c>
      <c r="D351" s="260">
        <f>SUM(D331:D349)</f>
        <v>16112</v>
      </c>
      <c r="E351" s="212">
        <f t="shared" si="69"/>
        <v>26279</v>
      </c>
      <c r="F351" s="238">
        <f>SUM(F331:F349)</f>
        <v>13715</v>
      </c>
      <c r="G351" s="238">
        <f>SUM(G331:G349)</f>
        <v>16314</v>
      </c>
      <c r="H351" s="238">
        <f>SUM(H331:H349)</f>
        <v>38685</v>
      </c>
      <c r="I351" s="212">
        <f t="shared" si="70"/>
        <v>68714</v>
      </c>
      <c r="J351" s="238">
        <f>SUM(J331:J349)</f>
        <v>31658</v>
      </c>
      <c r="K351" s="238">
        <f>SUM(K331:K349)</f>
        <v>33720</v>
      </c>
      <c r="L351" s="238">
        <f>SUM(L331:L349)</f>
        <v>28026</v>
      </c>
      <c r="M351" s="212">
        <f t="shared" si="71"/>
        <v>93404</v>
      </c>
      <c r="N351" s="238">
        <f>SUM(N331:N349)</f>
        <v>15725</v>
      </c>
      <c r="O351" s="238">
        <f>SUM(O331:O349)</f>
        <v>2507</v>
      </c>
      <c r="P351" s="238">
        <f>SUM(P331:P349)</f>
        <v>4624</v>
      </c>
      <c r="Q351" s="212">
        <f t="shared" si="74"/>
        <v>22856</v>
      </c>
      <c r="R351" s="211">
        <f t="shared" si="73"/>
        <v>211253</v>
      </c>
    </row>
    <row r="352" spans="1:18" ht="15.75" customHeight="1" thickBot="1" x14ac:dyDescent="0.4">
      <c r="A352" s="209" t="s">
        <v>73</v>
      </c>
      <c r="B352" s="240">
        <f>+B297+B312+B330+B351</f>
        <v>20276</v>
      </c>
      <c r="C352" s="210">
        <f>+C297+C312+C330+C351</f>
        <v>27444</v>
      </c>
      <c r="D352" s="210">
        <f>+D297+D312+D330+D351</f>
        <v>54855</v>
      </c>
      <c r="E352" s="211">
        <f t="shared" si="69"/>
        <v>102575</v>
      </c>
      <c r="F352" s="210">
        <f>+F297+F312+F330+F351</f>
        <v>65041</v>
      </c>
      <c r="G352" s="210">
        <f>+G297+G312+G330+G351</f>
        <v>72882</v>
      </c>
      <c r="H352" s="210">
        <f>+H297+H312+H330+H351</f>
        <v>87901</v>
      </c>
      <c r="I352" s="211">
        <f t="shared" si="70"/>
        <v>225824</v>
      </c>
      <c r="J352" s="210">
        <f>+J297+J312+J330+J351</f>
        <v>79623</v>
      </c>
      <c r="K352" s="210">
        <f>+K297+K312+K330+K351</f>
        <v>78672</v>
      </c>
      <c r="L352" s="210">
        <f>+L297+L312+L330+L351</f>
        <v>55385</v>
      </c>
      <c r="M352" s="211">
        <f t="shared" si="71"/>
        <v>213680</v>
      </c>
      <c r="N352" s="210">
        <f>+N297+N312+N330+N351</f>
        <v>34093</v>
      </c>
      <c r="O352" s="210">
        <f>+O297+O312+O330+O351</f>
        <v>6692</v>
      </c>
      <c r="P352" s="210">
        <f>+P297+P312+P330+P351</f>
        <v>18249</v>
      </c>
      <c r="Q352" s="211">
        <f t="shared" si="74"/>
        <v>59034</v>
      </c>
      <c r="R352" s="231">
        <f t="shared" si="73"/>
        <v>601113</v>
      </c>
    </row>
    <row r="353" spans="1:18" ht="15.75" customHeight="1" x14ac:dyDescent="0.35">
      <c r="A353" s="110" t="s">
        <v>563</v>
      </c>
      <c r="B353" s="140">
        <v>0</v>
      </c>
      <c r="C353" s="140">
        <v>0</v>
      </c>
      <c r="D353" s="140">
        <v>0</v>
      </c>
      <c r="E353" s="207">
        <f t="shared" si="69"/>
        <v>0</v>
      </c>
      <c r="F353" s="140">
        <v>0</v>
      </c>
      <c r="G353" s="140">
        <v>0</v>
      </c>
      <c r="H353" s="140">
        <v>0</v>
      </c>
      <c r="I353" s="207">
        <f t="shared" si="70"/>
        <v>0</v>
      </c>
      <c r="J353" s="140">
        <v>0</v>
      </c>
      <c r="K353" s="140">
        <v>0</v>
      </c>
      <c r="L353" s="140">
        <v>0</v>
      </c>
      <c r="M353" s="207">
        <f t="shared" si="71"/>
        <v>0</v>
      </c>
      <c r="N353" s="140">
        <v>0</v>
      </c>
      <c r="O353" s="140">
        <v>0</v>
      </c>
      <c r="P353" s="140">
        <v>0</v>
      </c>
      <c r="Q353" s="207">
        <f t="shared" si="74"/>
        <v>0</v>
      </c>
      <c r="R353" s="207">
        <f t="shared" si="73"/>
        <v>0</v>
      </c>
    </row>
    <row r="354" spans="1:18" ht="15.75" customHeight="1" x14ac:dyDescent="0.35">
      <c r="A354" s="110" t="s">
        <v>564</v>
      </c>
      <c r="B354" s="140">
        <v>0</v>
      </c>
      <c r="C354" s="140">
        <v>0</v>
      </c>
      <c r="D354" s="140">
        <v>0</v>
      </c>
      <c r="E354" s="207">
        <f t="shared" si="69"/>
        <v>0</v>
      </c>
      <c r="F354" s="140">
        <v>500</v>
      </c>
      <c r="G354" s="140">
        <v>1000</v>
      </c>
      <c r="H354" s="140">
        <v>0</v>
      </c>
      <c r="I354" s="207">
        <f t="shared" si="70"/>
        <v>1500</v>
      </c>
      <c r="J354" s="140">
        <v>0</v>
      </c>
      <c r="K354" s="140">
        <v>1000</v>
      </c>
      <c r="L354" s="140">
        <v>2000</v>
      </c>
      <c r="M354" s="207">
        <f t="shared" si="71"/>
        <v>3000</v>
      </c>
      <c r="N354" s="140">
        <v>1000</v>
      </c>
      <c r="O354" s="140">
        <v>810</v>
      </c>
      <c r="P354" s="140">
        <v>0</v>
      </c>
      <c r="Q354" s="207">
        <f t="shared" si="74"/>
        <v>1810</v>
      </c>
      <c r="R354" s="207">
        <f t="shared" si="73"/>
        <v>6310</v>
      </c>
    </row>
    <row r="355" spans="1:18" ht="15.75" customHeight="1" thickBot="1" x14ac:dyDescent="0.4">
      <c r="A355" s="223" t="s">
        <v>40</v>
      </c>
      <c r="B355" s="180">
        <v>155</v>
      </c>
      <c r="C355" s="180">
        <v>283</v>
      </c>
      <c r="D355" s="180">
        <v>435</v>
      </c>
      <c r="E355" s="231">
        <f t="shared" si="69"/>
        <v>873</v>
      </c>
      <c r="F355" s="180">
        <v>602</v>
      </c>
      <c r="G355" s="180">
        <v>711</v>
      </c>
      <c r="H355" s="180">
        <v>722</v>
      </c>
      <c r="I355" s="231">
        <f t="shared" si="70"/>
        <v>2035</v>
      </c>
      <c r="J355" s="180">
        <v>686</v>
      </c>
      <c r="K355" s="180">
        <v>519</v>
      </c>
      <c r="L355" s="180">
        <v>531</v>
      </c>
      <c r="M355" s="231">
        <f t="shared" si="71"/>
        <v>1736</v>
      </c>
      <c r="N355" s="180">
        <v>489</v>
      </c>
      <c r="O355" s="180">
        <v>389</v>
      </c>
      <c r="P355" s="180">
        <v>275</v>
      </c>
      <c r="Q355" s="231">
        <f t="shared" si="74"/>
        <v>1153</v>
      </c>
      <c r="R355" s="207">
        <f t="shared" si="73"/>
        <v>5797</v>
      </c>
    </row>
    <row r="356" spans="1:18" ht="15.75" customHeight="1" thickBot="1" x14ac:dyDescent="0.4">
      <c r="A356" s="224"/>
      <c r="B356" s="225"/>
      <c r="C356" s="225"/>
      <c r="D356" s="225"/>
      <c r="E356" s="211"/>
      <c r="F356" s="225"/>
      <c r="G356" s="225"/>
      <c r="H356" s="225"/>
      <c r="I356" s="211"/>
      <c r="J356" s="225"/>
      <c r="K356" s="225"/>
      <c r="L356" s="225"/>
      <c r="M356" s="211"/>
      <c r="N356" s="225"/>
      <c r="O356" s="225"/>
      <c r="P356" s="225"/>
      <c r="Q356" s="211"/>
      <c r="R356" s="211" t="s">
        <v>7</v>
      </c>
    </row>
    <row r="357" spans="1:18" ht="15.75" customHeight="1" x14ac:dyDescent="0.35">
      <c r="A357" s="226" t="s">
        <v>41</v>
      </c>
      <c r="B357" s="227">
        <f>SUM(B352:B355)</f>
        <v>20431</v>
      </c>
      <c r="C357" s="227">
        <f>SUM(C352:C355)</f>
        <v>27727</v>
      </c>
      <c r="D357" s="227">
        <f>SUM(D352:D355)</f>
        <v>55290</v>
      </c>
      <c r="E357" s="212">
        <f>SUM(B357:D357)</f>
        <v>103448</v>
      </c>
      <c r="F357" s="227">
        <f>SUM(F352:F355)</f>
        <v>66143</v>
      </c>
      <c r="G357" s="227">
        <f>SUM(G352:G355)</f>
        <v>74593</v>
      </c>
      <c r="H357" s="227">
        <f>SUM(H352:H355)</f>
        <v>88623</v>
      </c>
      <c r="I357" s="212">
        <f>SUM(F357:H357)</f>
        <v>229359</v>
      </c>
      <c r="J357" s="227">
        <f>SUM(J352:J355)</f>
        <v>80309</v>
      </c>
      <c r="K357" s="227">
        <f>SUM(K352:K355)</f>
        <v>80191</v>
      </c>
      <c r="L357" s="227">
        <f>SUM(L352:L355)</f>
        <v>57916</v>
      </c>
      <c r="M357" s="212">
        <f>SUM(J357:L357)</f>
        <v>218416</v>
      </c>
      <c r="N357" s="227">
        <f>SUM(N352:N355)</f>
        <v>35582</v>
      </c>
      <c r="O357" s="227">
        <f>SUM(O352:O355)</f>
        <v>7891</v>
      </c>
      <c r="P357" s="227">
        <f>SUM(P352:P355)</f>
        <v>18524</v>
      </c>
      <c r="Q357" s="212">
        <f>SUM(N357:P357)</f>
        <v>61997</v>
      </c>
      <c r="R357" s="212">
        <f>+E357+I357+M357+Q357</f>
        <v>613220</v>
      </c>
    </row>
    <row r="358" spans="1:18" ht="15.75" customHeight="1" x14ac:dyDescent="0.35">
      <c r="A358" s="229" t="s">
        <v>42</v>
      </c>
      <c r="B358" s="140">
        <f>(B357/31)/1.983</f>
        <v>332.35729507263352</v>
      </c>
      <c r="C358" s="140">
        <f>(C357/28)/1.983</f>
        <v>499.36964195663137</v>
      </c>
      <c r="D358" s="140">
        <f>(D357/31)/1.983</f>
        <v>899.4192572348835</v>
      </c>
      <c r="E358" s="207" t="s">
        <v>7</v>
      </c>
      <c r="F358" s="140">
        <f>(F357/30)/1.983</f>
        <v>1111.8339216675072</v>
      </c>
      <c r="G358" s="140">
        <f>(G357/31)/1.983</f>
        <v>1213.4270330063603</v>
      </c>
      <c r="H358" s="140">
        <f>(H357/30)/1.983</f>
        <v>1489.7125567322237</v>
      </c>
      <c r="I358" s="207" t="s">
        <v>7</v>
      </c>
      <c r="J358" s="140">
        <f>(J357/31)/1.983</f>
        <v>1306.4109446423631</v>
      </c>
      <c r="K358" s="140">
        <f>(K357/31)/1.983</f>
        <v>1304.4914027296536</v>
      </c>
      <c r="L358" s="140">
        <f>(L357/30)/1.983</f>
        <v>973.54177172634047</v>
      </c>
      <c r="M358" s="207" t="s">
        <v>7</v>
      </c>
      <c r="N358" s="140">
        <f>(N357/31)/1.983</f>
        <v>578.82322320368291</v>
      </c>
      <c r="O358" s="140">
        <f>(O357/30)/1.983</f>
        <v>132.64414187258365</v>
      </c>
      <c r="P358" s="140">
        <f>(P357/31)/1.983</f>
        <v>301.33554568672423</v>
      </c>
      <c r="Q358" s="207" t="s">
        <v>7</v>
      </c>
      <c r="R358" s="207" t="s">
        <v>7</v>
      </c>
    </row>
    <row r="359" spans="1:18" ht="15.75" customHeight="1" x14ac:dyDescent="0.35">
      <c r="A359" s="229" t="s">
        <v>289</v>
      </c>
      <c r="B359" s="140">
        <f>B357+B399</f>
        <v>43306</v>
      </c>
      <c r="C359" s="140">
        <f>C357+C399</f>
        <v>36966</v>
      </c>
      <c r="D359" s="140">
        <f>D357+D399</f>
        <v>76612</v>
      </c>
      <c r="E359" s="207">
        <f>SUM(B359:D359)</f>
        <v>156884</v>
      </c>
      <c r="F359" s="140">
        <f>F357+F399</f>
        <v>102185</v>
      </c>
      <c r="G359" s="140">
        <f>G357+G399</f>
        <v>106737</v>
      </c>
      <c r="H359" s="140">
        <f>H357+H399</f>
        <v>129892</v>
      </c>
      <c r="I359" s="207">
        <f>SUM(F359:H359)</f>
        <v>338814</v>
      </c>
      <c r="J359" s="140">
        <f>J357+J399</f>
        <v>133645</v>
      </c>
      <c r="K359" s="140">
        <f>K357+K399</f>
        <v>135246</v>
      </c>
      <c r="L359" s="140">
        <f>L357+L399</f>
        <v>90595</v>
      </c>
      <c r="M359" s="207">
        <f>SUM(J359:L359)</f>
        <v>359486</v>
      </c>
      <c r="N359" s="140">
        <f>N357+N399</f>
        <v>59822</v>
      </c>
      <c r="O359" s="140">
        <f>O357+O399</f>
        <v>14176</v>
      </c>
      <c r="P359" s="140">
        <f>P357+P399</f>
        <v>41490</v>
      </c>
      <c r="Q359" s="207">
        <f>SUM(N359:P359)</f>
        <v>115488</v>
      </c>
      <c r="R359" s="207">
        <f>+E359+I359+M359+Q359</f>
        <v>970672</v>
      </c>
    </row>
    <row r="360" spans="1:18" ht="15.75" customHeight="1" thickBot="1" x14ac:dyDescent="0.4">
      <c r="A360" s="230" t="s">
        <v>290</v>
      </c>
      <c r="B360" s="184">
        <f>(B359/31)/1.983</f>
        <v>704.4718819644396</v>
      </c>
      <c r="C360" s="184">
        <f>(C359/28)/1.983</f>
        <v>665.76615517614005</v>
      </c>
      <c r="D360" s="184">
        <f>(D359/31)/1.983</f>
        <v>1246.2707204789094</v>
      </c>
      <c r="E360" s="231" t="s">
        <v>7</v>
      </c>
      <c r="F360" s="184">
        <f>(F359/30)/1.983</f>
        <v>1717.6836443099678</v>
      </c>
      <c r="G360" s="184">
        <f>(G359/31)/1.983</f>
        <v>1736.3232638719437</v>
      </c>
      <c r="H360" s="184">
        <f>(H359/30)/1.983</f>
        <v>2183.4257858463607</v>
      </c>
      <c r="I360" s="231" t="s">
        <v>7</v>
      </c>
      <c r="J360" s="184">
        <f>(J359/31)/1.983</f>
        <v>2174.0438891871227</v>
      </c>
      <c r="K360" s="184">
        <f>(K359/31)/1.983</f>
        <v>2200.087843443463</v>
      </c>
      <c r="L360" s="184">
        <f>(L359/30)/1.983</f>
        <v>1522.8609850395023</v>
      </c>
      <c r="M360" s="231" t="s">
        <v>7</v>
      </c>
      <c r="N360" s="184">
        <f>(N359/31)/1.983</f>
        <v>973.14268052640989</v>
      </c>
      <c r="O360" s="184">
        <f>(O359/30)/1.983</f>
        <v>238.29214994116657</v>
      </c>
      <c r="P360" s="184">
        <f>(P359/31)/1.983</f>
        <v>674.93045727392519</v>
      </c>
      <c r="Q360" s="231" t="s">
        <v>7</v>
      </c>
      <c r="R360" s="231" t="s">
        <v>7</v>
      </c>
    </row>
    <row r="361" spans="1:18" ht="15.75" customHeight="1" x14ac:dyDescent="0.35">
      <c r="A361" s="139"/>
      <c r="B361" s="140"/>
      <c r="C361" s="140"/>
      <c r="D361" s="140"/>
      <c r="E361" s="140"/>
      <c r="F361" s="140"/>
      <c r="G361" s="140"/>
      <c r="H361" s="140"/>
      <c r="I361" s="140"/>
      <c r="J361" s="140"/>
      <c r="K361" s="140"/>
      <c r="L361" s="140"/>
      <c r="M361" s="140"/>
      <c r="N361" s="140"/>
      <c r="O361" s="140"/>
      <c r="P361" s="140"/>
      <c r="Q361" s="140"/>
      <c r="R361" s="141"/>
    </row>
    <row r="362" spans="1:18" ht="15.75" customHeight="1" thickBot="1" x14ac:dyDescent="0.4">
      <c r="A362" s="139"/>
      <c r="B362" s="140"/>
      <c r="C362" s="140"/>
      <c r="D362" s="140"/>
      <c r="E362" s="140"/>
      <c r="F362" s="140"/>
      <c r="G362" s="140"/>
      <c r="H362" s="140"/>
      <c r="I362" s="140"/>
      <c r="J362" s="140"/>
      <c r="K362" s="140"/>
      <c r="L362" s="140"/>
      <c r="M362" s="140"/>
      <c r="N362" s="140"/>
      <c r="O362" s="140"/>
      <c r="P362" s="140"/>
      <c r="Q362" s="140"/>
      <c r="R362" s="141"/>
    </row>
    <row r="363" spans="1:18" ht="15.75" customHeight="1" thickBot="1" x14ac:dyDescent="0.4">
      <c r="A363" s="187" t="s">
        <v>297</v>
      </c>
      <c r="B363" s="188" t="s">
        <v>8</v>
      </c>
      <c r="C363" s="189" t="s">
        <v>9</v>
      </c>
      <c r="D363" s="189" t="s">
        <v>10</v>
      </c>
      <c r="E363" s="10" t="s">
        <v>11</v>
      </c>
      <c r="F363" s="189" t="s">
        <v>12</v>
      </c>
      <c r="G363" s="189" t="s">
        <v>13</v>
      </c>
      <c r="H363" s="189" t="s">
        <v>14</v>
      </c>
      <c r="I363" s="190" t="s">
        <v>15</v>
      </c>
      <c r="J363" s="189" t="s">
        <v>16</v>
      </c>
      <c r="K363" s="189" t="s">
        <v>17</v>
      </c>
      <c r="L363" s="189" t="s">
        <v>18</v>
      </c>
      <c r="M363" s="190" t="s">
        <v>19</v>
      </c>
      <c r="N363" s="189" t="s">
        <v>20</v>
      </c>
      <c r="O363" s="189" t="s">
        <v>21</v>
      </c>
      <c r="P363" s="189" t="s">
        <v>22</v>
      </c>
      <c r="Q363" s="190" t="s">
        <v>23</v>
      </c>
      <c r="R363" s="191" t="s">
        <v>24</v>
      </c>
    </row>
    <row r="364" spans="1:18" ht="15.75" customHeight="1" thickBot="1" x14ac:dyDescent="0.4">
      <c r="A364" s="211"/>
      <c r="B364" s="225"/>
      <c r="C364" s="225"/>
      <c r="D364" s="225"/>
      <c r="E364" s="220"/>
      <c r="F364" s="225"/>
      <c r="G364" s="225"/>
      <c r="H364" s="225"/>
      <c r="I364" s="232"/>
      <c r="J364" s="225"/>
      <c r="K364" s="225"/>
      <c r="L364" s="225"/>
      <c r="M364" s="232"/>
      <c r="N364" s="225"/>
      <c r="O364" s="225"/>
      <c r="P364" s="225"/>
      <c r="Q364" s="232"/>
      <c r="R364" s="249"/>
    </row>
    <row r="365" spans="1:18" ht="15.75" customHeight="1" x14ac:dyDescent="0.35">
      <c r="A365" s="174" t="s">
        <v>48</v>
      </c>
      <c r="B365" s="140" t="s">
        <v>7</v>
      </c>
      <c r="C365" s="140" t="s">
        <v>7</v>
      </c>
      <c r="D365" s="140" t="s">
        <v>7</v>
      </c>
      <c r="E365" s="207" t="s">
        <v>7</v>
      </c>
      <c r="F365" s="140" t="s">
        <v>7</v>
      </c>
      <c r="G365" s="140" t="s">
        <v>7</v>
      </c>
      <c r="H365" s="140" t="s">
        <v>7</v>
      </c>
      <c r="I365" s="207" t="s">
        <v>7</v>
      </c>
      <c r="J365" s="140" t="s">
        <v>7</v>
      </c>
      <c r="K365" s="140" t="s">
        <v>7</v>
      </c>
      <c r="L365" s="140" t="s">
        <v>7</v>
      </c>
      <c r="M365" s="207" t="s">
        <v>7</v>
      </c>
      <c r="N365" s="140" t="s">
        <v>7</v>
      </c>
      <c r="O365" s="140" t="s">
        <v>7</v>
      </c>
      <c r="P365" s="140" t="s">
        <v>7</v>
      </c>
      <c r="Q365" s="207" t="s">
        <v>7</v>
      </c>
      <c r="R365" s="207" t="s">
        <v>7</v>
      </c>
    </row>
    <row r="366" spans="1:18" ht="15.75" customHeight="1" x14ac:dyDescent="0.35">
      <c r="A366" s="174" t="s">
        <v>49</v>
      </c>
      <c r="B366" s="140"/>
      <c r="C366" s="140"/>
      <c r="D366" s="140"/>
      <c r="E366" s="207" t="s">
        <v>7</v>
      </c>
      <c r="F366" s="140"/>
      <c r="G366" s="140"/>
      <c r="H366" s="140"/>
      <c r="I366" s="207" t="s">
        <v>7</v>
      </c>
      <c r="J366" s="140"/>
      <c r="K366" s="140"/>
      <c r="L366" s="140"/>
      <c r="M366" s="207" t="s">
        <v>7</v>
      </c>
      <c r="N366" s="140"/>
      <c r="O366" s="140"/>
      <c r="P366" s="140"/>
      <c r="Q366" s="207" t="s">
        <v>7</v>
      </c>
      <c r="R366" s="207" t="s">
        <v>7</v>
      </c>
    </row>
    <row r="367" spans="1:18" ht="15.75" customHeight="1" x14ac:dyDescent="0.35">
      <c r="A367" s="222" t="s">
        <v>211</v>
      </c>
      <c r="B367" s="140">
        <v>0</v>
      </c>
      <c r="C367" s="140">
        <v>0</v>
      </c>
      <c r="D367" s="140">
        <v>1</v>
      </c>
      <c r="E367" s="207">
        <f>SUM(B367:D367)</f>
        <v>1</v>
      </c>
      <c r="F367" s="140">
        <v>6</v>
      </c>
      <c r="G367" s="140">
        <v>1581</v>
      </c>
      <c r="H367" s="140">
        <v>3</v>
      </c>
      <c r="I367" s="207">
        <f>SUM(F367:H367)</f>
        <v>1590</v>
      </c>
      <c r="J367" s="140">
        <v>9</v>
      </c>
      <c r="K367" s="140">
        <v>4</v>
      </c>
      <c r="L367" s="140">
        <v>2</v>
      </c>
      <c r="M367" s="207">
        <f>SUM(J367:L367)</f>
        <v>15</v>
      </c>
      <c r="N367" s="140">
        <v>3</v>
      </c>
      <c r="O367" s="140">
        <v>0</v>
      </c>
      <c r="P367" s="140">
        <v>0</v>
      </c>
      <c r="Q367" s="207">
        <f>SUM(N367:P367)</f>
        <v>3</v>
      </c>
      <c r="R367" s="207">
        <f>+E367+I367+M367+Q367</f>
        <v>1609</v>
      </c>
    </row>
    <row r="368" spans="1:18" ht="15.75" customHeight="1" x14ac:dyDescent="0.35">
      <c r="A368" s="110" t="s">
        <v>212</v>
      </c>
      <c r="B368" s="140">
        <v>0</v>
      </c>
      <c r="C368" s="140">
        <v>0</v>
      </c>
      <c r="D368" s="140">
        <v>0</v>
      </c>
      <c r="E368" s="207">
        <f>SUM(B368:D368)</f>
        <v>0</v>
      </c>
      <c r="F368" s="140">
        <v>0</v>
      </c>
      <c r="G368" s="140">
        <v>2048</v>
      </c>
      <c r="H368" s="140">
        <v>0</v>
      </c>
      <c r="I368" s="207">
        <f>SUM(F368:H368)</f>
        <v>2048</v>
      </c>
      <c r="J368" s="140">
        <v>0</v>
      </c>
      <c r="K368" s="140">
        <v>0</v>
      </c>
      <c r="L368" s="140">
        <v>0</v>
      </c>
      <c r="M368" s="207">
        <f>SUM(J368:L368)</f>
        <v>0</v>
      </c>
      <c r="N368" s="140">
        <v>0</v>
      </c>
      <c r="O368" s="140">
        <v>0</v>
      </c>
      <c r="P368" s="140">
        <v>0</v>
      </c>
      <c r="Q368" s="207">
        <f>SUM(N368:P368)</f>
        <v>0</v>
      </c>
      <c r="R368" s="207">
        <f>+E368+I368+M368+Q368</f>
        <v>2048</v>
      </c>
    </row>
    <row r="369" spans="1:18" ht="15.75" customHeight="1" x14ac:dyDescent="0.35">
      <c r="A369" s="174" t="s">
        <v>50</v>
      </c>
      <c r="B369" s="140"/>
      <c r="C369" s="140"/>
      <c r="D369" s="140"/>
      <c r="E369" s="207" t="s">
        <v>7</v>
      </c>
      <c r="F369" s="140"/>
      <c r="G369" s="140"/>
      <c r="H369" s="140"/>
      <c r="I369" s="207" t="s">
        <v>7</v>
      </c>
      <c r="J369" s="140"/>
      <c r="K369" s="140"/>
      <c r="L369" s="140"/>
      <c r="M369" s="207" t="s">
        <v>7</v>
      </c>
      <c r="N369" s="140"/>
      <c r="O369" s="140"/>
      <c r="P369" s="140"/>
      <c r="Q369" s="207" t="s">
        <v>7</v>
      </c>
      <c r="R369" s="207" t="s">
        <v>7</v>
      </c>
    </row>
    <row r="370" spans="1:18" ht="15.75" customHeight="1" x14ac:dyDescent="0.35">
      <c r="A370" s="222" t="s">
        <v>211</v>
      </c>
      <c r="B370" s="140">
        <v>0</v>
      </c>
      <c r="C370" s="140">
        <v>0</v>
      </c>
      <c r="D370" s="140">
        <v>0</v>
      </c>
      <c r="E370" s="207">
        <f>SUM(B370:D370)</f>
        <v>0</v>
      </c>
      <c r="F370" s="140">
        <v>0</v>
      </c>
      <c r="G370" s="140">
        <v>0</v>
      </c>
      <c r="H370" s="140">
        <v>0</v>
      </c>
      <c r="I370" s="207">
        <f>SUM(F370:H370)</f>
        <v>0</v>
      </c>
      <c r="J370" s="140">
        <v>0</v>
      </c>
      <c r="K370" s="140">
        <v>0</v>
      </c>
      <c r="L370" s="140">
        <v>0</v>
      </c>
      <c r="M370" s="207">
        <f>SUM(J370:L370)</f>
        <v>0</v>
      </c>
      <c r="N370" s="140">
        <v>0</v>
      </c>
      <c r="O370" s="140">
        <v>0</v>
      </c>
      <c r="P370" s="140">
        <v>0</v>
      </c>
      <c r="Q370" s="207">
        <f>SUM(N370:P370)</f>
        <v>0</v>
      </c>
      <c r="R370" s="207">
        <f>+E370+I370+M370+Q370</f>
        <v>0</v>
      </c>
    </row>
    <row r="371" spans="1:18" ht="15.75" customHeight="1" x14ac:dyDescent="0.35">
      <c r="A371" s="222" t="s">
        <v>298</v>
      </c>
      <c r="B371" s="140">
        <v>0</v>
      </c>
      <c r="C371" s="140">
        <v>0</v>
      </c>
      <c r="D371" s="140">
        <v>0</v>
      </c>
      <c r="E371" s="207">
        <f>SUM(B371:D371)</f>
        <v>0</v>
      </c>
      <c r="F371" s="140">
        <v>0</v>
      </c>
      <c r="G371" s="140">
        <v>1</v>
      </c>
      <c r="H371" s="140">
        <v>3</v>
      </c>
      <c r="I371" s="207">
        <f>SUM(F371:H371)</f>
        <v>4</v>
      </c>
      <c r="J371" s="140">
        <v>6</v>
      </c>
      <c r="K371" s="140">
        <v>2</v>
      </c>
      <c r="L371" s="140">
        <v>0</v>
      </c>
      <c r="M371" s="207">
        <f>SUM(J371:L371)</f>
        <v>8</v>
      </c>
      <c r="N371" s="140">
        <v>0</v>
      </c>
      <c r="O371" s="140">
        <v>0</v>
      </c>
      <c r="P371" s="140">
        <v>0</v>
      </c>
      <c r="Q371" s="207">
        <f>SUM(N371:P371)</f>
        <v>0</v>
      </c>
      <c r="R371" s="207">
        <f>+E371+I371+M371+Q371</f>
        <v>12</v>
      </c>
    </row>
    <row r="372" spans="1:18" ht="15.75" customHeight="1" x14ac:dyDescent="0.35">
      <c r="A372" s="174" t="s">
        <v>51</v>
      </c>
      <c r="B372" s="140"/>
      <c r="C372" s="140"/>
      <c r="D372" s="140"/>
      <c r="E372" s="207" t="s">
        <v>7</v>
      </c>
      <c r="F372" s="140"/>
      <c r="G372" s="140"/>
      <c r="H372" s="140"/>
      <c r="I372" s="207" t="s">
        <v>7</v>
      </c>
      <c r="J372" s="140"/>
      <c r="K372" s="140"/>
      <c r="L372" s="140"/>
      <c r="M372" s="207" t="s">
        <v>7</v>
      </c>
      <c r="N372" s="140"/>
      <c r="O372" s="140"/>
      <c r="P372" s="140"/>
      <c r="Q372" s="207" t="s">
        <v>7</v>
      </c>
      <c r="R372" s="207" t="s">
        <v>7</v>
      </c>
    </row>
    <row r="373" spans="1:18" ht="15.75" customHeight="1" thickBot="1" x14ac:dyDescent="0.4">
      <c r="A373" s="174" t="s">
        <v>53</v>
      </c>
      <c r="B373" s="140"/>
      <c r="C373" s="140"/>
      <c r="D373" s="140"/>
      <c r="E373" s="207" t="s">
        <v>7</v>
      </c>
      <c r="F373" s="140"/>
      <c r="G373" s="140"/>
      <c r="H373" s="140"/>
      <c r="I373" s="207" t="s">
        <v>7</v>
      </c>
      <c r="J373" s="140"/>
      <c r="K373" s="140"/>
      <c r="L373" s="140"/>
      <c r="M373" s="207" t="s">
        <v>7</v>
      </c>
      <c r="N373" s="140"/>
      <c r="O373" s="140"/>
      <c r="P373" s="140"/>
      <c r="Q373" s="207" t="s">
        <v>7</v>
      </c>
      <c r="R373" s="207" t="s">
        <v>7</v>
      </c>
    </row>
    <row r="374" spans="1:18" ht="15.75" customHeight="1" thickBot="1" x14ac:dyDescent="0.4">
      <c r="A374" s="258" t="s">
        <v>54</v>
      </c>
      <c r="B374" s="237">
        <f>SUM(B365:B373)</f>
        <v>0</v>
      </c>
      <c r="C374" s="238">
        <f>SUM(C365:C373)</f>
        <v>0</v>
      </c>
      <c r="D374" s="238">
        <f>SUM(D365:D373)</f>
        <v>1</v>
      </c>
      <c r="E374" s="211">
        <f>SUM(B374:D374)</f>
        <v>1</v>
      </c>
      <c r="F374" s="238">
        <f>SUM(F365:F373)</f>
        <v>6</v>
      </c>
      <c r="G374" s="238">
        <f>SUM(G365:G373)</f>
        <v>3630</v>
      </c>
      <c r="H374" s="238">
        <f>SUM(H365:H373)</f>
        <v>6</v>
      </c>
      <c r="I374" s="211">
        <f>SUM(F374:H374)</f>
        <v>3642</v>
      </c>
      <c r="J374" s="238">
        <f>SUM(J365:J373)</f>
        <v>15</v>
      </c>
      <c r="K374" s="238">
        <f>SUM(K365:K373)</f>
        <v>6</v>
      </c>
      <c r="L374" s="238">
        <f>SUM(L365:L373)</f>
        <v>2</v>
      </c>
      <c r="M374" s="211">
        <f>SUM(J374:L374)</f>
        <v>23</v>
      </c>
      <c r="N374" s="238">
        <f>SUM(N365:N373)</f>
        <v>3</v>
      </c>
      <c r="O374" s="238">
        <f>SUM(O365:O373)</f>
        <v>0</v>
      </c>
      <c r="P374" s="238">
        <f>SUM(P365:P373)</f>
        <v>0</v>
      </c>
      <c r="Q374" s="211">
        <f>SUM(N374:P374)</f>
        <v>3</v>
      </c>
      <c r="R374" s="211">
        <f>+E374+I374+M374+Q374</f>
        <v>3669</v>
      </c>
    </row>
    <row r="375" spans="1:18" ht="15.75" customHeight="1" x14ac:dyDescent="0.35">
      <c r="A375" s="174" t="s">
        <v>55</v>
      </c>
      <c r="B375" s="140"/>
      <c r="C375" s="140"/>
      <c r="D375" s="140"/>
      <c r="E375" s="207" t="s">
        <v>7</v>
      </c>
      <c r="F375" s="140"/>
      <c r="G375" s="140"/>
      <c r="H375" s="140"/>
      <c r="I375" s="207" t="s">
        <v>7</v>
      </c>
      <c r="J375" s="140"/>
      <c r="K375" s="140"/>
      <c r="L375" s="140"/>
      <c r="M375" s="207" t="s">
        <v>7</v>
      </c>
      <c r="N375" s="140" t="s">
        <v>7</v>
      </c>
      <c r="O375" s="140"/>
      <c r="P375" s="140"/>
      <c r="Q375" s="207" t="s">
        <v>7</v>
      </c>
      <c r="R375" s="207" t="s">
        <v>7</v>
      </c>
    </row>
    <row r="376" spans="1:18" ht="15.75" customHeight="1" x14ac:dyDescent="0.35">
      <c r="A376" s="174" t="s">
        <v>57</v>
      </c>
      <c r="B376" s="140"/>
      <c r="C376" s="140"/>
      <c r="D376" s="140"/>
      <c r="E376" s="207" t="s">
        <v>7</v>
      </c>
      <c r="F376" s="140"/>
      <c r="G376" s="140"/>
      <c r="H376" s="140"/>
      <c r="I376" s="207" t="s">
        <v>7</v>
      </c>
      <c r="J376" s="140"/>
      <c r="K376" s="140"/>
      <c r="L376" s="140"/>
      <c r="M376" s="207" t="s">
        <v>7</v>
      </c>
      <c r="N376" s="140"/>
      <c r="O376" s="140"/>
      <c r="P376" s="140"/>
      <c r="Q376" s="207" t="s">
        <v>7</v>
      </c>
      <c r="R376" s="207" t="s">
        <v>7</v>
      </c>
    </row>
    <row r="377" spans="1:18" ht="15.75" customHeight="1" x14ac:dyDescent="0.35">
      <c r="A377" s="222" t="s">
        <v>565</v>
      </c>
      <c r="B377" s="140">
        <v>795</v>
      </c>
      <c r="C377" s="140">
        <v>1114</v>
      </c>
      <c r="D377" s="140">
        <v>8674</v>
      </c>
      <c r="E377" s="207">
        <f>SUM(B377:D377)</f>
        <v>10583</v>
      </c>
      <c r="F377" s="140">
        <v>12488</v>
      </c>
      <c r="G377" s="140">
        <v>6612</v>
      </c>
      <c r="H377" s="140">
        <v>15621</v>
      </c>
      <c r="I377" s="207">
        <f>SUM(F377:H377)</f>
        <v>34721</v>
      </c>
      <c r="J377" s="140">
        <v>17891</v>
      </c>
      <c r="K377" s="140">
        <v>3764</v>
      </c>
      <c r="L377" s="140">
        <v>4366</v>
      </c>
      <c r="M377" s="207">
        <f>SUM(J377:L377)</f>
        <v>26021</v>
      </c>
      <c r="N377" s="140">
        <v>2074</v>
      </c>
      <c r="O377" s="140">
        <v>0</v>
      </c>
      <c r="P377" s="140">
        <v>746</v>
      </c>
      <c r="Q377" s="207">
        <f>SUM(N377:P377)</f>
        <v>2820</v>
      </c>
      <c r="R377" s="207">
        <f>+E377+I377+M377+Q377</f>
        <v>74145</v>
      </c>
    </row>
    <row r="378" spans="1:18" ht="15.75" customHeight="1" thickBot="1" x14ac:dyDescent="0.4">
      <c r="A378" s="174" t="s">
        <v>58</v>
      </c>
      <c r="B378" s="140"/>
      <c r="C378" s="140"/>
      <c r="D378" s="140"/>
      <c r="E378" s="207" t="s">
        <v>7</v>
      </c>
      <c r="F378" s="140"/>
      <c r="G378" s="140"/>
      <c r="H378" s="140"/>
      <c r="I378" s="207" t="s">
        <v>7</v>
      </c>
      <c r="J378" s="140"/>
      <c r="K378" s="140"/>
      <c r="L378" s="140"/>
      <c r="M378" s="207" t="s">
        <v>7</v>
      </c>
      <c r="N378" s="140"/>
      <c r="O378" s="140"/>
      <c r="P378" s="140"/>
      <c r="Q378" s="207" t="s">
        <v>7</v>
      </c>
      <c r="R378" s="207" t="s">
        <v>7</v>
      </c>
    </row>
    <row r="379" spans="1:18" ht="15.75" customHeight="1" thickBot="1" x14ac:dyDescent="0.4">
      <c r="A379" s="209" t="s">
        <v>59</v>
      </c>
      <c r="B379" s="237">
        <f>SUM(B375:B378)</f>
        <v>795</v>
      </c>
      <c r="C379" s="238">
        <f>SUM(C375:C378)</f>
        <v>1114</v>
      </c>
      <c r="D379" s="238">
        <f>SUM(D375:D378)</f>
        <v>8674</v>
      </c>
      <c r="E379" s="211">
        <f>SUM(B379:D379)</f>
        <v>10583</v>
      </c>
      <c r="F379" s="238">
        <f>SUM(F375:F378)</f>
        <v>12488</v>
      </c>
      <c r="G379" s="238">
        <f>SUM(G375:G378)</f>
        <v>6612</v>
      </c>
      <c r="H379" s="238">
        <f>SUM(H375:H378)</f>
        <v>15621</v>
      </c>
      <c r="I379" s="211">
        <f>SUM(F379:H379)</f>
        <v>34721</v>
      </c>
      <c r="J379" s="238">
        <f>SUM(J375:J378)</f>
        <v>17891</v>
      </c>
      <c r="K379" s="238">
        <f>SUM(K375:K378)</f>
        <v>3764</v>
      </c>
      <c r="L379" s="238">
        <f>SUM(L375:L378)</f>
        <v>4366</v>
      </c>
      <c r="M379" s="211">
        <f>SUM(J379:L379)</f>
        <v>26021</v>
      </c>
      <c r="N379" s="238">
        <f>SUM(N375:N378)</f>
        <v>2074</v>
      </c>
      <c r="O379" s="238">
        <f>SUM(O375:O378)</f>
        <v>0</v>
      </c>
      <c r="P379" s="238">
        <f>SUM(P375:P378)</f>
        <v>746</v>
      </c>
      <c r="Q379" s="211">
        <f>SUM(N379:P379)</f>
        <v>2820</v>
      </c>
      <c r="R379" s="211">
        <f>+E379+I379+M379+Q379</f>
        <v>74145</v>
      </c>
    </row>
    <row r="380" spans="1:18" ht="15.75" customHeight="1" x14ac:dyDescent="0.35">
      <c r="A380" s="174" t="s">
        <v>60</v>
      </c>
      <c r="B380" s="140"/>
      <c r="C380" s="140"/>
      <c r="D380" s="140"/>
      <c r="E380" s="207" t="s">
        <v>7</v>
      </c>
      <c r="F380" s="140"/>
      <c r="G380" s="140"/>
      <c r="H380" s="140"/>
      <c r="I380" s="207" t="s">
        <v>7</v>
      </c>
      <c r="J380" s="140"/>
      <c r="K380" s="140"/>
      <c r="L380" s="140"/>
      <c r="M380" s="207" t="s">
        <v>7</v>
      </c>
      <c r="N380" s="140"/>
      <c r="O380" s="140"/>
      <c r="P380" s="140"/>
      <c r="Q380" s="207" t="s">
        <v>7</v>
      </c>
      <c r="R380" s="207" t="s">
        <v>7</v>
      </c>
    </row>
    <row r="381" spans="1:18" ht="15.75" customHeight="1" x14ac:dyDescent="0.35">
      <c r="A381" s="174" t="s">
        <v>61</v>
      </c>
      <c r="B381" s="140"/>
      <c r="C381" s="140"/>
      <c r="D381" s="140"/>
      <c r="E381" s="207" t="s">
        <v>7</v>
      </c>
      <c r="F381" s="140"/>
      <c r="G381" s="140"/>
      <c r="H381" s="140"/>
      <c r="I381" s="207" t="s">
        <v>7</v>
      </c>
      <c r="J381" s="140"/>
      <c r="K381" s="140"/>
      <c r="L381" s="140"/>
      <c r="M381" s="207" t="s">
        <v>7</v>
      </c>
      <c r="N381" s="140"/>
      <c r="O381" s="140"/>
      <c r="P381" s="140"/>
      <c r="Q381" s="207" t="s">
        <v>7</v>
      </c>
      <c r="R381" s="207" t="s">
        <v>7</v>
      </c>
    </row>
    <row r="382" spans="1:18" ht="15.75" customHeight="1" thickBot="1" x14ac:dyDescent="0.4">
      <c r="A382" s="174" t="s">
        <v>62</v>
      </c>
      <c r="B382" s="140"/>
      <c r="C382" s="140"/>
      <c r="D382" s="140"/>
      <c r="E382" s="207" t="s">
        <v>7</v>
      </c>
      <c r="F382" s="140"/>
      <c r="G382" s="140"/>
      <c r="H382" s="140"/>
      <c r="I382" s="207" t="s">
        <v>7</v>
      </c>
      <c r="J382" s="140"/>
      <c r="K382" s="140"/>
      <c r="L382" s="140"/>
      <c r="M382" s="207" t="s">
        <v>7</v>
      </c>
      <c r="N382" s="140"/>
      <c r="O382" s="140"/>
      <c r="P382" s="140"/>
      <c r="Q382" s="207" t="s">
        <v>7</v>
      </c>
      <c r="R382" s="207" t="s">
        <v>7</v>
      </c>
    </row>
    <row r="383" spans="1:18" ht="15.75" customHeight="1" thickBot="1" x14ac:dyDescent="0.4">
      <c r="A383" s="259" t="s">
        <v>63</v>
      </c>
      <c r="B383" s="237">
        <f>SUM(B380:B382)</f>
        <v>0</v>
      </c>
      <c r="C383" s="238">
        <f>SUM(C380:C382)</f>
        <v>0</v>
      </c>
      <c r="D383" s="238">
        <f>SUM(D380:D382)</f>
        <v>0</v>
      </c>
      <c r="E383" s="211">
        <f>SUM(B383:D383)</f>
        <v>0</v>
      </c>
      <c r="F383" s="238">
        <f>SUM(F380:F382)</f>
        <v>0</v>
      </c>
      <c r="G383" s="238">
        <f>SUM(G380:G382)</f>
        <v>0</v>
      </c>
      <c r="H383" s="238">
        <f>SUM(H380:H382)</f>
        <v>0</v>
      </c>
      <c r="I383" s="211">
        <f>SUM(F383:H383)</f>
        <v>0</v>
      </c>
      <c r="J383" s="238">
        <f>SUM(J380:J382)</f>
        <v>0</v>
      </c>
      <c r="K383" s="238">
        <f>SUM(K380:K382)</f>
        <v>0</v>
      </c>
      <c r="L383" s="238">
        <f>SUM(L380:L382)</f>
        <v>0</v>
      </c>
      <c r="M383" s="211">
        <f>SUM(J383:L383)</f>
        <v>0</v>
      </c>
      <c r="N383" s="238">
        <f>SUM(N380:N382)</f>
        <v>0</v>
      </c>
      <c r="O383" s="238">
        <f>SUM(O380:O382)</f>
        <v>0</v>
      </c>
      <c r="P383" s="238">
        <f>SUM(P380:P382)</f>
        <v>0</v>
      </c>
      <c r="Q383" s="211">
        <f>SUM(N383:P383)</f>
        <v>0</v>
      </c>
      <c r="R383" s="211">
        <f>+E383+I383+M383+Q383</f>
        <v>0</v>
      </c>
    </row>
    <row r="384" spans="1:18" ht="15.75" customHeight="1" x14ac:dyDescent="0.35">
      <c r="A384" s="174" t="s">
        <v>64</v>
      </c>
      <c r="B384" s="140"/>
      <c r="C384" s="140"/>
      <c r="D384" s="140"/>
      <c r="E384" s="207" t="s">
        <v>7</v>
      </c>
      <c r="F384" s="140"/>
      <c r="G384" s="140"/>
      <c r="H384" s="140"/>
      <c r="I384" s="207" t="s">
        <v>7</v>
      </c>
      <c r="J384" s="140"/>
      <c r="K384" s="140"/>
      <c r="L384" s="140"/>
      <c r="M384" s="207" t="s">
        <v>7</v>
      </c>
      <c r="N384" s="140"/>
      <c r="O384" s="140"/>
      <c r="P384" s="140"/>
      <c r="Q384" s="207" t="s">
        <v>7</v>
      </c>
      <c r="R384" s="207" t="s">
        <v>7</v>
      </c>
    </row>
    <row r="385" spans="1:18" ht="15.75" customHeight="1" x14ac:dyDescent="0.35">
      <c r="A385" s="174" t="s">
        <v>65</v>
      </c>
      <c r="B385" s="140"/>
      <c r="C385" s="140"/>
      <c r="D385" s="140"/>
      <c r="E385" s="207" t="s">
        <v>7</v>
      </c>
      <c r="F385" s="140"/>
      <c r="G385" s="140"/>
      <c r="H385" s="140"/>
      <c r="I385" s="207" t="s">
        <v>7</v>
      </c>
      <c r="J385" s="140"/>
      <c r="K385" s="140"/>
      <c r="L385" s="140"/>
      <c r="M385" s="207" t="s">
        <v>7</v>
      </c>
      <c r="N385" s="140"/>
      <c r="O385" s="140"/>
      <c r="P385" s="140"/>
      <c r="Q385" s="207" t="s">
        <v>7</v>
      </c>
      <c r="R385" s="207" t="s">
        <v>7</v>
      </c>
    </row>
    <row r="386" spans="1:18" ht="15.75" customHeight="1" x14ac:dyDescent="0.35">
      <c r="A386" s="222" t="s">
        <v>300</v>
      </c>
      <c r="B386" s="140">
        <v>0</v>
      </c>
      <c r="C386" s="140">
        <v>0</v>
      </c>
      <c r="D386" s="140">
        <v>0</v>
      </c>
      <c r="E386" s="207">
        <f>SUM(B386:D386)</f>
        <v>0</v>
      </c>
      <c r="F386" s="140">
        <v>0</v>
      </c>
      <c r="G386" s="140">
        <v>0</v>
      </c>
      <c r="H386" s="140">
        <v>0</v>
      </c>
      <c r="I386" s="207">
        <f>SUM(F386:H386)</f>
        <v>0</v>
      </c>
      <c r="J386" s="140">
        <v>0</v>
      </c>
      <c r="K386" s="140">
        <v>0</v>
      </c>
      <c r="L386" s="140">
        <v>0</v>
      </c>
      <c r="M386" s="207">
        <f>SUM(J386:L386)</f>
        <v>0</v>
      </c>
      <c r="N386" s="140">
        <v>0</v>
      </c>
      <c r="O386" s="140">
        <v>0</v>
      </c>
      <c r="P386" s="140">
        <v>0</v>
      </c>
      <c r="Q386" s="207">
        <f>SUM(N386:P386)</f>
        <v>0</v>
      </c>
      <c r="R386" s="207">
        <f>+E386+I386+M386+Q386</f>
        <v>0</v>
      </c>
    </row>
    <row r="387" spans="1:18" ht="15.75" customHeight="1" x14ac:dyDescent="0.35">
      <c r="A387" s="174" t="s">
        <v>67</v>
      </c>
      <c r="B387" s="140"/>
      <c r="C387" s="140"/>
      <c r="D387" s="140"/>
      <c r="E387" s="207" t="s">
        <v>7</v>
      </c>
      <c r="F387" s="140"/>
      <c r="G387" s="140"/>
      <c r="H387" s="140"/>
      <c r="I387" s="207" t="s">
        <v>7</v>
      </c>
      <c r="J387" s="140"/>
      <c r="K387" s="140"/>
      <c r="L387" s="140"/>
      <c r="M387" s="207" t="s">
        <v>7</v>
      </c>
      <c r="N387" s="140"/>
      <c r="O387" s="140"/>
      <c r="P387" s="140"/>
      <c r="Q387" s="207" t="s">
        <v>7</v>
      </c>
      <c r="R387" s="207" t="s">
        <v>7</v>
      </c>
    </row>
    <row r="388" spans="1:18" ht="15.75" customHeight="1" x14ac:dyDescent="0.35">
      <c r="A388" s="174" t="s">
        <v>69</v>
      </c>
      <c r="B388" s="140"/>
      <c r="C388" s="140"/>
      <c r="D388" s="140"/>
      <c r="E388" s="207" t="s">
        <v>7</v>
      </c>
      <c r="F388" s="140"/>
      <c r="G388" s="140"/>
      <c r="H388" s="140"/>
      <c r="I388" s="207" t="s">
        <v>7</v>
      </c>
      <c r="J388" s="140"/>
      <c r="K388" s="140"/>
      <c r="L388" s="140"/>
      <c r="M388" s="207" t="s">
        <v>7</v>
      </c>
      <c r="N388" s="140"/>
      <c r="O388" s="140"/>
      <c r="P388" s="140"/>
      <c r="Q388" s="207" t="s">
        <v>7</v>
      </c>
      <c r="R388" s="207" t="s">
        <v>7</v>
      </c>
    </row>
    <row r="389" spans="1:18" ht="15.75" customHeight="1" x14ac:dyDescent="0.35">
      <c r="A389" s="174" t="s">
        <v>70</v>
      </c>
      <c r="B389" s="140"/>
      <c r="C389" s="140"/>
      <c r="D389" s="140"/>
      <c r="E389" s="207" t="s">
        <v>7</v>
      </c>
      <c r="F389" s="140"/>
      <c r="G389" s="140"/>
      <c r="H389" s="140"/>
      <c r="I389" s="207" t="s">
        <v>7</v>
      </c>
      <c r="J389" s="140"/>
      <c r="K389" s="140"/>
      <c r="L389" s="140"/>
      <c r="M389" s="207" t="s">
        <v>7</v>
      </c>
      <c r="N389" s="140"/>
      <c r="O389" s="140"/>
      <c r="P389" s="140"/>
      <c r="Q389" s="207" t="s">
        <v>7</v>
      </c>
      <c r="R389" s="207" t="s">
        <v>7</v>
      </c>
    </row>
    <row r="390" spans="1:18" ht="15.75" customHeight="1" x14ac:dyDescent="0.35">
      <c r="A390" s="222" t="s">
        <v>566</v>
      </c>
      <c r="B390" s="140">
        <v>0</v>
      </c>
      <c r="C390" s="140">
        <v>0</v>
      </c>
      <c r="D390" s="140">
        <v>0</v>
      </c>
      <c r="E390" s="207">
        <f t="shared" ref="E390:E395" si="75">SUM(B390:D390)</f>
        <v>0</v>
      </c>
      <c r="F390" s="140">
        <v>0</v>
      </c>
      <c r="G390" s="140">
        <v>0</v>
      </c>
      <c r="H390" s="140">
        <v>0</v>
      </c>
      <c r="I390" s="207">
        <f t="shared" ref="I390:I395" si="76">SUM(F390:H390)</f>
        <v>0</v>
      </c>
      <c r="J390" s="140">
        <v>0</v>
      </c>
      <c r="K390" s="140">
        <v>14568</v>
      </c>
      <c r="L390" s="140">
        <v>0</v>
      </c>
      <c r="M390" s="207">
        <f t="shared" ref="M390:M395" si="77">SUM(J390:L390)</f>
        <v>14568</v>
      </c>
      <c r="N390" s="140">
        <v>0</v>
      </c>
      <c r="O390" s="140">
        <v>0</v>
      </c>
      <c r="P390" s="140">
        <v>0</v>
      </c>
      <c r="Q390" s="207">
        <f t="shared" ref="Q390:Q395" si="78">SUM(N390:P390)</f>
        <v>0</v>
      </c>
      <c r="R390" s="207">
        <f t="shared" ref="R390:R395" si="79">+E390+I390+M390+Q390</f>
        <v>14568</v>
      </c>
    </row>
    <row r="391" spans="1:18" ht="15.75" customHeight="1" thickBot="1" x14ac:dyDescent="0.4">
      <c r="A391" s="222" t="s">
        <v>567</v>
      </c>
      <c r="B391" s="140">
        <v>0</v>
      </c>
      <c r="C391" s="140">
        <v>0</v>
      </c>
      <c r="D391" s="140">
        <v>0</v>
      </c>
      <c r="E391" s="207">
        <f t="shared" si="75"/>
        <v>0</v>
      </c>
      <c r="F391" s="140">
        <v>0</v>
      </c>
      <c r="G391" s="140">
        <v>0</v>
      </c>
      <c r="H391" s="140">
        <v>0</v>
      </c>
      <c r="I391" s="207">
        <f t="shared" si="76"/>
        <v>0</v>
      </c>
      <c r="J391" s="140">
        <v>0</v>
      </c>
      <c r="K391" s="140">
        <v>0</v>
      </c>
      <c r="L391" s="140">
        <v>0</v>
      </c>
      <c r="M391" s="207">
        <f t="shared" si="77"/>
        <v>0</v>
      </c>
      <c r="N391" s="140">
        <v>0</v>
      </c>
      <c r="O391" s="140">
        <v>0</v>
      </c>
      <c r="P391" s="140">
        <v>0</v>
      </c>
      <c r="Q391" s="207">
        <f t="shared" si="78"/>
        <v>0</v>
      </c>
      <c r="R391" s="207">
        <f t="shared" si="79"/>
        <v>0</v>
      </c>
    </row>
    <row r="392" spans="1:18" ht="15.75" customHeight="1" thickBot="1" x14ac:dyDescent="0.4">
      <c r="A392" s="209" t="s">
        <v>71</v>
      </c>
      <c r="B392" s="210">
        <f>SUM(B388:B391)</f>
        <v>0</v>
      </c>
      <c r="C392" s="210">
        <f>SUM(C388:C391)</f>
        <v>0</v>
      </c>
      <c r="D392" s="210">
        <f>SUM(D388:D391)</f>
        <v>0</v>
      </c>
      <c r="E392" s="212">
        <f t="shared" si="75"/>
        <v>0</v>
      </c>
      <c r="F392" s="210">
        <f>SUM(F388:F391)</f>
        <v>0</v>
      </c>
      <c r="G392" s="210">
        <f>SUM(G388:G391)</f>
        <v>0</v>
      </c>
      <c r="H392" s="210">
        <f>SUM(H388:H391)</f>
        <v>0</v>
      </c>
      <c r="I392" s="212">
        <f t="shared" si="76"/>
        <v>0</v>
      </c>
      <c r="J392" s="210">
        <f>SUM(J388:J391)</f>
        <v>0</v>
      </c>
      <c r="K392" s="210">
        <f>SUM(K388:K391)</f>
        <v>14568</v>
      </c>
      <c r="L392" s="210">
        <f>SUM(L388:L391)</f>
        <v>0</v>
      </c>
      <c r="M392" s="212">
        <f t="shared" si="77"/>
        <v>14568</v>
      </c>
      <c r="N392" s="210">
        <f>SUM(N388:N391)</f>
        <v>0</v>
      </c>
      <c r="O392" s="210">
        <f>SUM(O388:O391)</f>
        <v>0</v>
      </c>
      <c r="P392" s="210">
        <f>SUM(P388:P391)</f>
        <v>0</v>
      </c>
      <c r="Q392" s="212">
        <f t="shared" si="78"/>
        <v>0</v>
      </c>
      <c r="R392" s="211">
        <f t="shared" si="79"/>
        <v>14568</v>
      </c>
    </row>
    <row r="393" spans="1:18" ht="15.75" customHeight="1" thickBot="1" x14ac:dyDescent="0.4">
      <c r="A393" s="259" t="s">
        <v>72</v>
      </c>
      <c r="B393" s="237">
        <f>SUM(B384:B391)</f>
        <v>0</v>
      </c>
      <c r="C393" s="238">
        <f>SUM(C384:C391)</f>
        <v>0</v>
      </c>
      <c r="D393" s="260">
        <f>SUM(D384:D391)</f>
        <v>0</v>
      </c>
      <c r="E393" s="212">
        <f t="shared" si="75"/>
        <v>0</v>
      </c>
      <c r="F393" s="238">
        <f>SUM(F384:F391)</f>
        <v>0</v>
      </c>
      <c r="G393" s="238">
        <f>SUM(G384:G391)</f>
        <v>0</v>
      </c>
      <c r="H393" s="238">
        <f>SUM(H384:H391)</f>
        <v>0</v>
      </c>
      <c r="I393" s="212">
        <f t="shared" si="76"/>
        <v>0</v>
      </c>
      <c r="J393" s="238">
        <f>SUM(J384:J391)</f>
        <v>0</v>
      </c>
      <c r="K393" s="238">
        <f>SUM(K384:K391)</f>
        <v>14568</v>
      </c>
      <c r="L393" s="238">
        <f>SUM(L384:L391)</f>
        <v>0</v>
      </c>
      <c r="M393" s="212">
        <f t="shared" si="77"/>
        <v>14568</v>
      </c>
      <c r="N393" s="238">
        <f>SUM(N384:N391)</f>
        <v>0</v>
      </c>
      <c r="O393" s="238">
        <f>SUM(O384:O391)</f>
        <v>0</v>
      </c>
      <c r="P393" s="238">
        <f>SUM(P384:P391)</f>
        <v>0</v>
      </c>
      <c r="Q393" s="212">
        <f t="shared" si="78"/>
        <v>0</v>
      </c>
      <c r="R393" s="211">
        <f t="shared" si="79"/>
        <v>14568</v>
      </c>
    </row>
    <row r="394" spans="1:18" ht="15.75" customHeight="1" thickBot="1" x14ac:dyDescent="0.4">
      <c r="A394" s="209" t="s">
        <v>73</v>
      </c>
      <c r="B394" s="240">
        <f>+B374+B379+B383+B393</f>
        <v>795</v>
      </c>
      <c r="C394" s="210">
        <f>+C374+C379+C383+C393</f>
        <v>1114</v>
      </c>
      <c r="D394" s="210">
        <f>+D374+D379+D383+D393</f>
        <v>8675</v>
      </c>
      <c r="E394" s="211">
        <f t="shared" si="75"/>
        <v>10584</v>
      </c>
      <c r="F394" s="210">
        <f>+F374+F379+F383+F393</f>
        <v>12494</v>
      </c>
      <c r="G394" s="210">
        <f>+G374+G379+G383+G393</f>
        <v>10242</v>
      </c>
      <c r="H394" s="210">
        <f>+H374+H379+H383+H393</f>
        <v>15627</v>
      </c>
      <c r="I394" s="211">
        <f t="shared" si="76"/>
        <v>38363</v>
      </c>
      <c r="J394" s="210">
        <f>+J374+J379+J383+J393</f>
        <v>17906</v>
      </c>
      <c r="K394" s="210">
        <f>+K374+K379+K383+K393</f>
        <v>18338</v>
      </c>
      <c r="L394" s="210">
        <f>+L374+L379+L383+L393</f>
        <v>4368</v>
      </c>
      <c r="M394" s="211">
        <f t="shared" si="77"/>
        <v>40612</v>
      </c>
      <c r="N394" s="210">
        <f>+N374+N379+N383+N393</f>
        <v>2077</v>
      </c>
      <c r="O394" s="210">
        <f>+O374+O379+O383+O393</f>
        <v>0</v>
      </c>
      <c r="P394" s="210">
        <f>+P374+P379+P383+P393</f>
        <v>746</v>
      </c>
      <c r="Q394" s="211">
        <f t="shared" si="78"/>
        <v>2823</v>
      </c>
      <c r="R394" s="231">
        <f t="shared" si="79"/>
        <v>92382</v>
      </c>
    </row>
    <row r="395" spans="1:18" ht="15.75" customHeight="1" thickBot="1" x14ac:dyDescent="0.4">
      <c r="A395" s="196" t="s">
        <v>40</v>
      </c>
      <c r="B395" s="180">
        <v>9</v>
      </c>
      <c r="C395" s="180">
        <v>16</v>
      </c>
      <c r="D395" s="180">
        <v>25</v>
      </c>
      <c r="E395" s="207">
        <f t="shared" si="75"/>
        <v>50</v>
      </c>
      <c r="F395" s="180">
        <v>34</v>
      </c>
      <c r="G395" s="180">
        <v>41</v>
      </c>
      <c r="H395" s="180">
        <v>41</v>
      </c>
      <c r="I395" s="207">
        <f t="shared" si="76"/>
        <v>116</v>
      </c>
      <c r="J395" s="180">
        <v>39</v>
      </c>
      <c r="K395" s="180">
        <v>30</v>
      </c>
      <c r="L395" s="180">
        <v>30</v>
      </c>
      <c r="M395" s="207">
        <f t="shared" si="77"/>
        <v>99</v>
      </c>
      <c r="N395" s="180">
        <v>28</v>
      </c>
      <c r="O395" s="180">
        <v>22</v>
      </c>
      <c r="P395" s="180">
        <v>16</v>
      </c>
      <c r="Q395" s="207">
        <f t="shared" si="78"/>
        <v>66</v>
      </c>
      <c r="R395" s="207">
        <f t="shared" si="79"/>
        <v>331</v>
      </c>
    </row>
    <row r="396" spans="1:18" ht="15.75" customHeight="1" thickBot="1" x14ac:dyDescent="0.4">
      <c r="A396" s="224"/>
      <c r="B396" s="225"/>
      <c r="C396" s="225"/>
      <c r="D396" s="225"/>
      <c r="E396" s="211"/>
      <c r="F396" s="225"/>
      <c r="G396" s="225"/>
      <c r="H396" s="225"/>
      <c r="I396" s="211"/>
      <c r="J396" s="225"/>
      <c r="K396" s="225"/>
      <c r="L396" s="225"/>
      <c r="M396" s="211"/>
      <c r="N396" s="225"/>
      <c r="O396" s="225"/>
      <c r="P396" s="225"/>
      <c r="Q396" s="211"/>
      <c r="R396" s="211" t="s">
        <v>7</v>
      </c>
    </row>
    <row r="397" spans="1:18" ht="15.75" customHeight="1" x14ac:dyDescent="0.35">
      <c r="A397" s="226" t="s">
        <v>41</v>
      </c>
      <c r="B397" s="227">
        <f>SUM(B394:B395)</f>
        <v>804</v>
      </c>
      <c r="C397" s="227">
        <f>SUM(C394:C395)</f>
        <v>1130</v>
      </c>
      <c r="D397" s="227">
        <f>SUM(D394:D395)</f>
        <v>8700</v>
      </c>
      <c r="E397" s="212">
        <f>SUM(B397:D397)</f>
        <v>10634</v>
      </c>
      <c r="F397" s="227">
        <f>SUM(F394:F395)</f>
        <v>12528</v>
      </c>
      <c r="G397" s="227">
        <f>SUM(G394:G395)</f>
        <v>10283</v>
      </c>
      <c r="H397" s="227">
        <f>SUM(H394:H395)</f>
        <v>15668</v>
      </c>
      <c r="I397" s="212">
        <f>SUM(F397:H397)</f>
        <v>38479</v>
      </c>
      <c r="J397" s="227">
        <f>SUM(J394:J395)</f>
        <v>17945</v>
      </c>
      <c r="K397" s="227">
        <f>SUM(K394:K395)</f>
        <v>18368</v>
      </c>
      <c r="L397" s="227">
        <f>SUM(L394:L395)</f>
        <v>4398</v>
      </c>
      <c r="M397" s="212">
        <f>SUM(J397:L397)</f>
        <v>40711</v>
      </c>
      <c r="N397" s="227">
        <f>SUM(N394:N395)</f>
        <v>2105</v>
      </c>
      <c r="O397" s="227">
        <f>SUM(O394:O395)</f>
        <v>22</v>
      </c>
      <c r="P397" s="227">
        <f>SUM(P394:P395)</f>
        <v>762</v>
      </c>
      <c r="Q397" s="212">
        <f>SUM(N397:P397)</f>
        <v>2889</v>
      </c>
      <c r="R397" s="212">
        <f>+E397+I397+M397+Q397</f>
        <v>92713</v>
      </c>
    </row>
    <row r="398" spans="1:18" ht="15.75" customHeight="1" x14ac:dyDescent="0.35">
      <c r="A398" s="229" t="s">
        <v>42</v>
      </c>
      <c r="B398" s="140">
        <f>(B397/31)/1.983</f>
        <v>13.078912693377578</v>
      </c>
      <c r="C398" s="140">
        <f>(C397/28)/1.983</f>
        <v>20.351559685901588</v>
      </c>
      <c r="D398" s="140">
        <f>(D397/31)/1.983</f>
        <v>141.52554780147381</v>
      </c>
      <c r="E398" s="207" t="s">
        <v>7</v>
      </c>
      <c r="F398" s="140">
        <f>(F397/30)/1.983</f>
        <v>210.59001512859305</v>
      </c>
      <c r="G398" s="140">
        <f>(G397/31)/1.983</f>
        <v>167.27669057960404</v>
      </c>
      <c r="H398" s="140">
        <f>(H397/30)/1.983</f>
        <v>263.37199529332656</v>
      </c>
      <c r="I398" s="207" t="s">
        <v>7</v>
      </c>
      <c r="J398" s="140">
        <f>(J397/31)/1.983</f>
        <v>291.916776470971</v>
      </c>
      <c r="K398" s="140">
        <f>(K397/31)/1.983</f>
        <v>298.79784620890467</v>
      </c>
      <c r="L398" s="140">
        <f>(L397/30)/1.983</f>
        <v>73.928391326273314</v>
      </c>
      <c r="M398" s="207" t="s">
        <v>7</v>
      </c>
      <c r="N398" s="140">
        <f>(N397/31)/1.983</f>
        <v>34.242675646218665</v>
      </c>
      <c r="O398" s="140">
        <f>(O397/30)/1.983</f>
        <v>0.36981005210959822</v>
      </c>
      <c r="P398" s="140">
        <f>(P397/31)/1.983</f>
        <v>12.395685910887707</v>
      </c>
      <c r="Q398" s="207" t="s">
        <v>7</v>
      </c>
      <c r="R398" s="207" t="s">
        <v>7</v>
      </c>
    </row>
    <row r="399" spans="1:18" ht="15.75" customHeight="1" x14ac:dyDescent="0.35">
      <c r="A399" s="229" t="s">
        <v>303</v>
      </c>
      <c r="B399" s="140">
        <f>B397+B443</f>
        <v>22875</v>
      </c>
      <c r="C399" s="140">
        <f>C397+C443</f>
        <v>9239</v>
      </c>
      <c r="D399" s="140">
        <f>D397+D443</f>
        <v>21322</v>
      </c>
      <c r="E399" s="207">
        <f>SUM(B399:D399)</f>
        <v>53436</v>
      </c>
      <c r="F399" s="140">
        <f>F397+F443</f>
        <v>36042</v>
      </c>
      <c r="G399" s="140">
        <f>G397+G443</f>
        <v>32144</v>
      </c>
      <c r="H399" s="140">
        <f>H397+H443</f>
        <v>41269</v>
      </c>
      <c r="I399" s="207">
        <f>SUM(F399:H399)</f>
        <v>109455</v>
      </c>
      <c r="J399" s="140">
        <f>J397+J443</f>
        <v>53336</v>
      </c>
      <c r="K399" s="140">
        <f>K397+K443</f>
        <v>55055</v>
      </c>
      <c r="L399" s="140">
        <f>L397+L443</f>
        <v>32679</v>
      </c>
      <c r="M399" s="207">
        <f>SUM(J399:L399)</f>
        <v>141070</v>
      </c>
      <c r="N399" s="140">
        <f>N397+N443</f>
        <v>24240</v>
      </c>
      <c r="O399" s="140">
        <f>O397+O443</f>
        <v>6285</v>
      </c>
      <c r="P399" s="140">
        <f>P397+P443</f>
        <v>22966</v>
      </c>
      <c r="Q399" s="207">
        <f>SUM(N399:P399)</f>
        <v>53491</v>
      </c>
      <c r="R399" s="207">
        <f>+E399+I399+M399+Q399</f>
        <v>357452</v>
      </c>
    </row>
    <row r="400" spans="1:18" ht="15.75" customHeight="1" thickBot="1" x14ac:dyDescent="0.4">
      <c r="A400" s="230" t="s">
        <v>304</v>
      </c>
      <c r="B400" s="184">
        <f>(B399/31)/1.983</f>
        <v>372.11458689180614</v>
      </c>
      <c r="C400" s="184">
        <f>(C399/28)/1.983</f>
        <v>166.39651321950868</v>
      </c>
      <c r="D400" s="184">
        <f>(D399/31)/1.983</f>
        <v>346.85146324402581</v>
      </c>
      <c r="E400" s="231" t="s">
        <v>7</v>
      </c>
      <c r="F400" s="184">
        <f>(F399/30)/1.983</f>
        <v>605.84972264246096</v>
      </c>
      <c r="G400" s="184">
        <f>(G399/31)/1.983</f>
        <v>522.89623086558333</v>
      </c>
      <c r="H400" s="184">
        <f>(H399/30)/1.983</f>
        <v>693.71322911413688</v>
      </c>
      <c r="I400" s="231" t="s">
        <v>7</v>
      </c>
      <c r="J400" s="184">
        <f>(J399/31)/1.983</f>
        <v>867.63294454475943</v>
      </c>
      <c r="K400" s="184">
        <f>(K399/31)/1.983</f>
        <v>895.59644071380933</v>
      </c>
      <c r="L400" s="184">
        <f>(L399/30)/1.983</f>
        <v>549.31921331316187</v>
      </c>
      <c r="M400" s="231" t="s">
        <v>7</v>
      </c>
      <c r="N400" s="184">
        <f>(N399/31)/1.983</f>
        <v>394.31945732272698</v>
      </c>
      <c r="O400" s="184">
        <f>(O399/30)/1.983</f>
        <v>105.64800806858295</v>
      </c>
      <c r="P400" s="184">
        <f>(P399/31)/1.983</f>
        <v>373.5949115872009</v>
      </c>
      <c r="Q400" s="231" t="s">
        <v>7</v>
      </c>
      <c r="R400" s="231" t="s">
        <v>7</v>
      </c>
    </row>
    <row r="401" spans="1:18" ht="15.75" customHeight="1" x14ac:dyDescent="0.35">
      <c r="A401" s="141"/>
      <c r="B401" s="140"/>
      <c r="C401" s="140"/>
      <c r="D401" s="140"/>
      <c r="E401" s="140"/>
      <c r="F401" s="140"/>
      <c r="G401" s="140"/>
      <c r="H401" s="140"/>
      <c r="I401" s="140"/>
      <c r="J401" s="140"/>
      <c r="K401" s="140"/>
      <c r="L401" s="140"/>
      <c r="M401" s="140"/>
      <c r="N401" s="140"/>
      <c r="O401" s="140"/>
      <c r="P401" s="140"/>
      <c r="Q401" s="140"/>
      <c r="R401" s="141"/>
    </row>
    <row r="402" spans="1:18" ht="15.75" customHeight="1" thickBot="1" x14ac:dyDescent="0.4">
      <c r="A402" s="141"/>
      <c r="B402" s="140"/>
      <c r="C402" s="140"/>
      <c r="D402" s="140"/>
      <c r="E402" s="140"/>
      <c r="F402" s="140"/>
      <c r="G402" s="140"/>
      <c r="H402" s="140"/>
      <c r="I402" s="140"/>
      <c r="J402" s="140"/>
      <c r="K402" s="140"/>
      <c r="L402" s="140"/>
      <c r="M402" s="140"/>
      <c r="N402" s="140"/>
      <c r="O402" s="140"/>
      <c r="P402" s="140"/>
      <c r="Q402" s="140"/>
      <c r="R402" s="141"/>
    </row>
    <row r="403" spans="1:18" ht="15.75" customHeight="1" thickBot="1" x14ac:dyDescent="0.4">
      <c r="A403" s="261" t="s">
        <v>305</v>
      </c>
      <c r="B403" s="188" t="s">
        <v>8</v>
      </c>
      <c r="C403" s="189" t="s">
        <v>9</v>
      </c>
      <c r="D403" s="189" t="s">
        <v>10</v>
      </c>
      <c r="E403" s="10" t="s">
        <v>11</v>
      </c>
      <c r="F403" s="189" t="s">
        <v>12</v>
      </c>
      <c r="G403" s="189" t="s">
        <v>13</v>
      </c>
      <c r="H403" s="189" t="s">
        <v>14</v>
      </c>
      <c r="I403" s="190" t="s">
        <v>15</v>
      </c>
      <c r="J403" s="189" t="s">
        <v>16</v>
      </c>
      <c r="K403" s="189" t="s">
        <v>17</v>
      </c>
      <c r="L403" s="189" t="s">
        <v>18</v>
      </c>
      <c r="M403" s="190" t="s">
        <v>19</v>
      </c>
      <c r="N403" s="189" t="s">
        <v>20</v>
      </c>
      <c r="O403" s="189" t="s">
        <v>21</v>
      </c>
      <c r="P403" s="189" t="s">
        <v>22</v>
      </c>
      <c r="Q403" s="190" t="s">
        <v>23</v>
      </c>
      <c r="R403" s="191" t="s">
        <v>24</v>
      </c>
    </row>
    <row r="404" spans="1:18" ht="15.75" customHeight="1" thickBot="1" x14ac:dyDescent="0.4">
      <c r="A404" s="211"/>
      <c r="B404" s="225"/>
      <c r="C404" s="225"/>
      <c r="D404" s="225"/>
      <c r="E404" s="220"/>
      <c r="F404" s="225"/>
      <c r="G404" s="225"/>
      <c r="H404" s="225"/>
      <c r="I404" s="232"/>
      <c r="J404" s="225"/>
      <c r="K404" s="225"/>
      <c r="L404" s="225"/>
      <c r="M404" s="232"/>
      <c r="N404" s="225"/>
      <c r="O404" s="225"/>
      <c r="P404" s="225"/>
      <c r="Q404" s="232"/>
      <c r="R404" s="249"/>
    </row>
    <row r="405" spans="1:18" ht="15.75" customHeight="1" x14ac:dyDescent="0.35">
      <c r="A405" s="174" t="s">
        <v>48</v>
      </c>
      <c r="B405" s="140" t="s">
        <v>7</v>
      </c>
      <c r="C405" s="140" t="s">
        <v>7</v>
      </c>
      <c r="D405" s="140" t="s">
        <v>7</v>
      </c>
      <c r="E405" s="207" t="s">
        <v>7</v>
      </c>
      <c r="F405" s="140" t="s">
        <v>7</v>
      </c>
      <c r="G405" s="140" t="s">
        <v>7</v>
      </c>
      <c r="H405" s="140" t="s">
        <v>7</v>
      </c>
      <c r="I405" s="207" t="s">
        <v>7</v>
      </c>
      <c r="J405" s="140" t="s">
        <v>7</v>
      </c>
      <c r="K405" s="140" t="s">
        <v>7</v>
      </c>
      <c r="L405" s="140" t="s">
        <v>7</v>
      </c>
      <c r="M405" s="207" t="s">
        <v>7</v>
      </c>
      <c r="N405" s="140" t="s">
        <v>7</v>
      </c>
      <c r="O405" s="140" t="s">
        <v>7</v>
      </c>
      <c r="P405" s="140" t="s">
        <v>7</v>
      </c>
      <c r="Q405" s="207" t="s">
        <v>7</v>
      </c>
      <c r="R405" s="207" t="s">
        <v>7</v>
      </c>
    </row>
    <row r="406" spans="1:18" ht="15.75" customHeight="1" x14ac:dyDescent="0.35">
      <c r="A406" s="174" t="s">
        <v>49</v>
      </c>
      <c r="B406" s="140"/>
      <c r="C406" s="140"/>
      <c r="D406" s="140"/>
      <c r="E406" s="207" t="s">
        <v>7</v>
      </c>
      <c r="F406" s="140"/>
      <c r="G406" s="140"/>
      <c r="H406" s="140"/>
      <c r="I406" s="207" t="s">
        <v>7</v>
      </c>
      <c r="J406" s="140"/>
      <c r="K406" s="140"/>
      <c r="L406" s="140"/>
      <c r="M406" s="207" t="s">
        <v>7</v>
      </c>
      <c r="N406" s="140"/>
      <c r="O406" s="140"/>
      <c r="P406" s="140"/>
      <c r="Q406" s="207" t="s">
        <v>7</v>
      </c>
      <c r="R406" s="207" t="s">
        <v>7</v>
      </c>
    </row>
    <row r="407" spans="1:18" ht="15.75" customHeight="1" x14ac:dyDescent="0.35">
      <c r="A407" s="222" t="s">
        <v>306</v>
      </c>
      <c r="B407" s="140">
        <v>0</v>
      </c>
      <c r="C407" s="140">
        <v>0</v>
      </c>
      <c r="D407" s="140">
        <v>428</v>
      </c>
      <c r="E407" s="207">
        <f>SUM(B407:D407)</f>
        <v>428</v>
      </c>
      <c r="F407" s="140">
        <v>0</v>
      </c>
      <c r="G407" s="140">
        <v>0</v>
      </c>
      <c r="H407" s="140">
        <v>0</v>
      </c>
      <c r="I407" s="207">
        <f>SUM(F407:H407)</f>
        <v>0</v>
      </c>
      <c r="J407" s="140">
        <v>0</v>
      </c>
      <c r="K407" s="140">
        <v>0</v>
      </c>
      <c r="L407" s="140">
        <v>0</v>
      </c>
      <c r="M407" s="207">
        <f>SUM(J407:L407)</f>
        <v>0</v>
      </c>
      <c r="N407" s="140">
        <v>0</v>
      </c>
      <c r="O407" s="140">
        <v>0</v>
      </c>
      <c r="P407" s="140">
        <v>0</v>
      </c>
      <c r="Q407" s="207">
        <f>SUM(N407:P407)</f>
        <v>0</v>
      </c>
      <c r="R407" s="207">
        <f>+E407+I407+M407+Q407</f>
        <v>428</v>
      </c>
    </row>
    <row r="408" spans="1:18" ht="15.75" customHeight="1" x14ac:dyDescent="0.35">
      <c r="A408" s="222" t="s">
        <v>568</v>
      </c>
      <c r="B408" s="140">
        <v>0</v>
      </c>
      <c r="C408" s="140">
        <v>0</v>
      </c>
      <c r="D408" s="140">
        <v>53</v>
      </c>
      <c r="E408" s="207">
        <f>SUM(B408:D408)</f>
        <v>53</v>
      </c>
      <c r="F408" s="140">
        <v>1122</v>
      </c>
      <c r="G408" s="140">
        <v>825</v>
      </c>
      <c r="H408" s="140">
        <v>0</v>
      </c>
      <c r="I408" s="207">
        <f>SUM(F408:H408)</f>
        <v>1947</v>
      </c>
      <c r="J408" s="140">
        <v>0</v>
      </c>
      <c r="K408" s="140">
        <v>0</v>
      </c>
      <c r="L408" s="140">
        <v>0</v>
      </c>
      <c r="M408" s="207">
        <f>SUM(J408:L408)</f>
        <v>0</v>
      </c>
      <c r="N408" s="140">
        <v>0</v>
      </c>
      <c r="O408" s="140">
        <v>0</v>
      </c>
      <c r="P408" s="140">
        <v>0</v>
      </c>
      <c r="Q408" s="207">
        <f>SUM(N408:P408)</f>
        <v>0</v>
      </c>
      <c r="R408" s="207">
        <f>+E408+I408+M408+Q408</f>
        <v>2000</v>
      </c>
    </row>
    <row r="409" spans="1:18" ht="15.75" customHeight="1" x14ac:dyDescent="0.35">
      <c r="A409" s="174" t="s">
        <v>50</v>
      </c>
      <c r="B409" s="140"/>
      <c r="C409" s="140"/>
      <c r="D409" s="140"/>
      <c r="E409" s="207" t="s">
        <v>7</v>
      </c>
      <c r="F409" s="140"/>
      <c r="G409" s="140"/>
      <c r="H409" s="140"/>
      <c r="I409" s="207" t="s">
        <v>7</v>
      </c>
      <c r="J409" s="140"/>
      <c r="K409" s="140"/>
      <c r="L409" s="140"/>
      <c r="M409" s="207" t="s">
        <v>7</v>
      </c>
      <c r="N409" s="140"/>
      <c r="O409" s="140"/>
      <c r="P409" s="140"/>
      <c r="Q409" s="207" t="s">
        <v>7</v>
      </c>
      <c r="R409" s="207" t="s">
        <v>7</v>
      </c>
    </row>
    <row r="410" spans="1:18" ht="15.75" customHeight="1" x14ac:dyDescent="0.35">
      <c r="A410" s="174" t="s">
        <v>51</v>
      </c>
      <c r="B410" s="140"/>
      <c r="C410" s="140"/>
      <c r="D410" s="140"/>
      <c r="E410" s="207" t="s">
        <v>7</v>
      </c>
      <c r="F410" s="140"/>
      <c r="G410" s="140"/>
      <c r="H410" s="140"/>
      <c r="I410" s="207" t="s">
        <v>7</v>
      </c>
      <c r="J410" s="140"/>
      <c r="K410" s="140"/>
      <c r="L410" s="140"/>
      <c r="M410" s="207" t="s">
        <v>7</v>
      </c>
      <c r="N410" s="140"/>
      <c r="O410" s="140"/>
      <c r="P410" s="140"/>
      <c r="Q410" s="207" t="s">
        <v>7</v>
      </c>
      <c r="R410" s="207" t="s">
        <v>7</v>
      </c>
    </row>
    <row r="411" spans="1:18" ht="15.75" customHeight="1" thickBot="1" x14ac:dyDescent="0.4">
      <c r="A411" s="174" t="s">
        <v>53</v>
      </c>
      <c r="B411" s="140"/>
      <c r="C411" s="140"/>
      <c r="D411" s="140"/>
      <c r="E411" s="207" t="s">
        <v>7</v>
      </c>
      <c r="F411" s="140"/>
      <c r="G411" s="140"/>
      <c r="H411" s="140"/>
      <c r="I411" s="207" t="s">
        <v>7</v>
      </c>
      <c r="J411" s="140"/>
      <c r="K411" s="140"/>
      <c r="L411" s="140"/>
      <c r="M411" s="207" t="s">
        <v>7</v>
      </c>
      <c r="N411" s="140"/>
      <c r="O411" s="140"/>
      <c r="P411" s="140"/>
      <c r="Q411" s="207" t="s">
        <v>7</v>
      </c>
      <c r="R411" s="207" t="s">
        <v>7</v>
      </c>
    </row>
    <row r="412" spans="1:18" ht="15.75" customHeight="1" thickBot="1" x14ac:dyDescent="0.4">
      <c r="A412" s="258" t="s">
        <v>54</v>
      </c>
      <c r="B412" s="237">
        <f>SUM(B405:B411)</f>
        <v>0</v>
      </c>
      <c r="C412" s="238">
        <f>SUM(C405:C411)</f>
        <v>0</v>
      </c>
      <c r="D412" s="238">
        <f>SUM(D405:D411)</f>
        <v>481</v>
      </c>
      <c r="E412" s="211">
        <f>SUM(B412:D412)</f>
        <v>481</v>
      </c>
      <c r="F412" s="238">
        <f>SUM(F405:F411)</f>
        <v>1122</v>
      </c>
      <c r="G412" s="238">
        <f>SUM(G405:G411)</f>
        <v>825</v>
      </c>
      <c r="H412" s="238">
        <f>SUM(H405:H411)</f>
        <v>0</v>
      </c>
      <c r="I412" s="211">
        <f>SUM(F412:H412)</f>
        <v>1947</v>
      </c>
      <c r="J412" s="238">
        <f>SUM(J405:J411)</f>
        <v>0</v>
      </c>
      <c r="K412" s="238">
        <f>SUM(K405:K411)</f>
        <v>0</v>
      </c>
      <c r="L412" s="238">
        <f>SUM(L405:L411)</f>
        <v>0</v>
      </c>
      <c r="M412" s="211">
        <f>SUM(J412:L412)</f>
        <v>0</v>
      </c>
      <c r="N412" s="238">
        <f>SUM(N405:N411)</f>
        <v>0</v>
      </c>
      <c r="O412" s="238">
        <f>SUM(O405:O411)</f>
        <v>0</v>
      </c>
      <c r="P412" s="238">
        <f>SUM(P405:P411)</f>
        <v>0</v>
      </c>
      <c r="Q412" s="211">
        <f>SUM(N412:P412)</f>
        <v>0</v>
      </c>
      <c r="R412" s="211">
        <f>+E412+I412+M412+Q412</f>
        <v>2428</v>
      </c>
    </row>
    <row r="413" spans="1:18" ht="15.75" customHeight="1" x14ac:dyDescent="0.35">
      <c r="A413" s="174" t="s">
        <v>55</v>
      </c>
      <c r="B413" s="140"/>
      <c r="C413" s="140"/>
      <c r="D413" s="140"/>
      <c r="E413" s="212" t="s">
        <v>7</v>
      </c>
      <c r="F413" s="140"/>
      <c r="G413" s="140"/>
      <c r="H413" s="140"/>
      <c r="I413" s="212" t="s">
        <v>7</v>
      </c>
      <c r="J413" s="140"/>
      <c r="K413" s="140"/>
      <c r="L413" s="140"/>
      <c r="M413" s="212" t="s">
        <v>7</v>
      </c>
      <c r="N413" s="140"/>
      <c r="O413" s="140"/>
      <c r="P413" s="140"/>
      <c r="Q413" s="212" t="s">
        <v>7</v>
      </c>
      <c r="R413" s="262" t="s">
        <v>7</v>
      </c>
    </row>
    <row r="414" spans="1:18" ht="15.75" customHeight="1" x14ac:dyDescent="0.35">
      <c r="A414" s="174" t="s">
        <v>57</v>
      </c>
      <c r="B414" s="140"/>
      <c r="C414" s="140"/>
      <c r="D414" s="140"/>
      <c r="E414" s="207" t="s">
        <v>7</v>
      </c>
      <c r="F414" s="140"/>
      <c r="G414" s="140"/>
      <c r="H414" s="140"/>
      <c r="I414" s="207" t="s">
        <v>7</v>
      </c>
      <c r="J414" s="140"/>
      <c r="K414" s="140"/>
      <c r="L414" s="140"/>
      <c r="M414" s="207" t="s">
        <v>7</v>
      </c>
      <c r="N414" s="140"/>
      <c r="O414" s="140"/>
      <c r="P414" s="140"/>
      <c r="Q414" s="207" t="s">
        <v>7</v>
      </c>
      <c r="R414" s="262" t="s">
        <v>7</v>
      </c>
    </row>
    <row r="415" spans="1:18" ht="15.75" customHeight="1" x14ac:dyDescent="0.35">
      <c r="A415" s="222" t="s">
        <v>569</v>
      </c>
      <c r="B415" s="140">
        <v>1344</v>
      </c>
      <c r="C415" s="140">
        <v>1155</v>
      </c>
      <c r="D415" s="140">
        <v>4204</v>
      </c>
      <c r="E415" s="207">
        <f>SUM(B415:D415)</f>
        <v>6703</v>
      </c>
      <c r="F415" s="140">
        <v>5365</v>
      </c>
      <c r="G415" s="140">
        <v>3240</v>
      </c>
      <c r="H415" s="140">
        <v>5397</v>
      </c>
      <c r="I415" s="207">
        <f>SUM(F415:H415)</f>
        <v>14002</v>
      </c>
      <c r="J415" s="140">
        <v>2125</v>
      </c>
      <c r="K415" s="140">
        <v>6646</v>
      </c>
      <c r="L415" s="140">
        <v>298</v>
      </c>
      <c r="M415" s="207">
        <f>SUM(J415:L415)</f>
        <v>9069</v>
      </c>
      <c r="N415" s="140">
        <v>1084</v>
      </c>
      <c r="O415" s="140">
        <v>166</v>
      </c>
      <c r="P415" s="140">
        <v>156</v>
      </c>
      <c r="Q415" s="207">
        <f>SUM(N415:P415)</f>
        <v>1406</v>
      </c>
      <c r="R415" s="207">
        <f>+E415+I415+M415+Q415</f>
        <v>31180</v>
      </c>
    </row>
    <row r="416" spans="1:18" ht="15.75" customHeight="1" x14ac:dyDescent="0.35">
      <c r="A416" s="222" t="s">
        <v>309</v>
      </c>
      <c r="B416" s="140">
        <v>181</v>
      </c>
      <c r="C416" s="140">
        <v>666</v>
      </c>
      <c r="D416" s="140">
        <v>153</v>
      </c>
      <c r="E416" s="207">
        <f>SUM(B416:D416)</f>
        <v>1000</v>
      </c>
      <c r="F416" s="140">
        <v>0</v>
      </c>
      <c r="G416" s="140">
        <v>0</v>
      </c>
      <c r="H416" s="140">
        <v>0</v>
      </c>
      <c r="I416" s="207">
        <f>SUM(F416:H416)</f>
        <v>0</v>
      </c>
      <c r="J416" s="140">
        <v>0</v>
      </c>
      <c r="K416" s="140">
        <v>0</v>
      </c>
      <c r="L416" s="140">
        <v>0</v>
      </c>
      <c r="M416" s="207">
        <f>SUM(J416:L416)</f>
        <v>0</v>
      </c>
      <c r="N416" s="140">
        <v>0</v>
      </c>
      <c r="O416" s="140">
        <v>0</v>
      </c>
      <c r="P416" s="140">
        <v>0</v>
      </c>
      <c r="Q416" s="207">
        <f>SUM(N416:P416)</f>
        <v>0</v>
      </c>
      <c r="R416" s="207">
        <f>+E416+I416+M416+Q416</f>
        <v>1000</v>
      </c>
    </row>
    <row r="417" spans="1:18" ht="15.75" customHeight="1" x14ac:dyDescent="0.35">
      <c r="A417" s="174" t="s">
        <v>49</v>
      </c>
      <c r="B417" s="140"/>
      <c r="C417" s="140"/>
      <c r="D417" s="140"/>
      <c r="E417" s="207" t="s">
        <v>7</v>
      </c>
      <c r="F417" s="140"/>
      <c r="G417" s="140"/>
      <c r="H417" s="140"/>
      <c r="I417" s="207" t="s">
        <v>7</v>
      </c>
      <c r="J417" s="140"/>
      <c r="K417" s="140"/>
      <c r="L417" s="140"/>
      <c r="M417" s="207" t="s">
        <v>7</v>
      </c>
      <c r="N417" s="140"/>
      <c r="O417" s="140"/>
      <c r="P417" s="140"/>
      <c r="Q417" s="207" t="s">
        <v>7</v>
      </c>
      <c r="R417" s="262" t="s">
        <v>7</v>
      </c>
    </row>
    <row r="418" spans="1:18" ht="15.75" customHeight="1" thickBot="1" x14ac:dyDescent="0.4">
      <c r="A418" s="174" t="s">
        <v>58</v>
      </c>
      <c r="B418" s="140"/>
      <c r="C418" s="140"/>
      <c r="D418" s="140"/>
      <c r="E418" s="207" t="s">
        <v>7</v>
      </c>
      <c r="F418" s="140"/>
      <c r="G418" s="140"/>
      <c r="H418" s="140"/>
      <c r="I418" s="207" t="s">
        <v>7</v>
      </c>
      <c r="J418" s="140"/>
      <c r="K418" s="140"/>
      <c r="L418" s="140"/>
      <c r="M418" s="207" t="s">
        <v>7</v>
      </c>
      <c r="N418" s="140"/>
      <c r="O418" s="140"/>
      <c r="P418" s="140"/>
      <c r="Q418" s="207" t="s">
        <v>7</v>
      </c>
      <c r="R418" s="262" t="s">
        <v>7</v>
      </c>
    </row>
    <row r="419" spans="1:18" ht="15.75" customHeight="1" thickBot="1" x14ac:dyDescent="0.4">
      <c r="A419" s="209" t="s">
        <v>59</v>
      </c>
      <c r="B419" s="237">
        <f>SUM(B413:B418)</f>
        <v>1525</v>
      </c>
      <c r="C419" s="238">
        <f>SUM(C413:C418)</f>
        <v>1821</v>
      </c>
      <c r="D419" s="238">
        <f>SUM(D413:D418)</f>
        <v>4357</v>
      </c>
      <c r="E419" s="211">
        <f>SUM(B419:D419)</f>
        <v>7703</v>
      </c>
      <c r="F419" s="238">
        <f>SUM(F413:F418)</f>
        <v>5365</v>
      </c>
      <c r="G419" s="238">
        <f>SUM(G413:G418)</f>
        <v>3240</v>
      </c>
      <c r="H419" s="238">
        <f>SUM(H413:H418)</f>
        <v>5397</v>
      </c>
      <c r="I419" s="211">
        <f>SUM(F419:H419)</f>
        <v>14002</v>
      </c>
      <c r="J419" s="238">
        <f>SUM(J413:J418)</f>
        <v>2125</v>
      </c>
      <c r="K419" s="238">
        <f>SUM(K413:K418)</f>
        <v>6646</v>
      </c>
      <c r="L419" s="238">
        <f>SUM(L413:L418)</f>
        <v>298</v>
      </c>
      <c r="M419" s="211">
        <f>SUM(J419:L419)</f>
        <v>9069</v>
      </c>
      <c r="N419" s="238">
        <f>SUM(N413:N418)</f>
        <v>1084</v>
      </c>
      <c r="O419" s="238">
        <f>SUM(O413:O418)</f>
        <v>166</v>
      </c>
      <c r="P419" s="238">
        <f>SUM(P413:P418)</f>
        <v>156</v>
      </c>
      <c r="Q419" s="211">
        <f>SUM(N419:P419)</f>
        <v>1406</v>
      </c>
      <c r="R419" s="211">
        <f>+E419+I419+M419+Q419</f>
        <v>32180</v>
      </c>
    </row>
    <row r="420" spans="1:18" ht="15.75" customHeight="1" x14ac:dyDescent="0.35">
      <c r="A420" s="174" t="s">
        <v>60</v>
      </c>
      <c r="B420" s="140"/>
      <c r="C420" s="140"/>
      <c r="D420" s="140"/>
      <c r="E420" s="207" t="s">
        <v>7</v>
      </c>
      <c r="F420" s="140"/>
      <c r="G420" s="140"/>
      <c r="H420" s="140"/>
      <c r="I420" s="207" t="s">
        <v>7</v>
      </c>
      <c r="J420" s="140"/>
      <c r="K420" s="140"/>
      <c r="L420" s="140"/>
      <c r="M420" s="207" t="s">
        <v>7</v>
      </c>
      <c r="N420" s="140"/>
      <c r="O420" s="140"/>
      <c r="P420" s="140"/>
      <c r="Q420" s="207" t="s">
        <v>7</v>
      </c>
      <c r="R420" s="207" t="s">
        <v>7</v>
      </c>
    </row>
    <row r="421" spans="1:18" ht="15.75" customHeight="1" x14ac:dyDescent="0.35">
      <c r="A421" s="174" t="s">
        <v>61</v>
      </c>
      <c r="B421" s="140"/>
      <c r="C421" s="140"/>
      <c r="D421" s="140"/>
      <c r="E421" s="207" t="s">
        <v>7</v>
      </c>
      <c r="F421" s="140"/>
      <c r="G421" s="140"/>
      <c r="H421" s="140"/>
      <c r="I421" s="207" t="s">
        <v>7</v>
      </c>
      <c r="J421" s="140"/>
      <c r="K421" s="140"/>
      <c r="L421" s="140"/>
      <c r="M421" s="207" t="s">
        <v>7</v>
      </c>
      <c r="N421" s="140"/>
      <c r="O421" s="140"/>
      <c r="P421" s="140"/>
      <c r="Q421" s="207" t="s">
        <v>7</v>
      </c>
      <c r="R421" s="207" t="s">
        <v>7</v>
      </c>
    </row>
    <row r="422" spans="1:18" ht="15.75" customHeight="1" thickBot="1" x14ac:dyDescent="0.4">
      <c r="A422" s="174" t="s">
        <v>62</v>
      </c>
      <c r="B422" s="140"/>
      <c r="C422" s="140"/>
      <c r="D422" s="140"/>
      <c r="E422" s="207" t="s">
        <v>7</v>
      </c>
      <c r="F422" s="140"/>
      <c r="G422" s="140"/>
      <c r="H422" s="140"/>
      <c r="I422" s="207" t="s">
        <v>7</v>
      </c>
      <c r="J422" s="140"/>
      <c r="K422" s="140"/>
      <c r="L422" s="140"/>
      <c r="M422" s="207" t="s">
        <v>7</v>
      </c>
      <c r="N422" s="140"/>
      <c r="O422" s="140"/>
      <c r="P422" s="140"/>
      <c r="Q422" s="207" t="s">
        <v>7</v>
      </c>
      <c r="R422" s="207" t="s">
        <v>7</v>
      </c>
    </row>
    <row r="423" spans="1:18" ht="15.75" customHeight="1" thickBot="1" x14ac:dyDescent="0.4">
      <c r="A423" s="259" t="s">
        <v>63</v>
      </c>
      <c r="B423" s="237">
        <f>SUM(B420:B422)</f>
        <v>0</v>
      </c>
      <c r="C423" s="238">
        <f>SUM(C420:C422)</f>
        <v>0</v>
      </c>
      <c r="D423" s="238">
        <f>SUM(D420:D422)</f>
        <v>0</v>
      </c>
      <c r="E423" s="211">
        <f>SUM(B423:D423)</f>
        <v>0</v>
      </c>
      <c r="F423" s="238">
        <f>SUM(F420:F422)</f>
        <v>0</v>
      </c>
      <c r="G423" s="238">
        <f>SUM(G420:G422)</f>
        <v>0</v>
      </c>
      <c r="H423" s="238">
        <f>SUM(H420:H422)</f>
        <v>0</v>
      </c>
      <c r="I423" s="211">
        <f>SUM(F423:H423)</f>
        <v>0</v>
      </c>
      <c r="J423" s="238">
        <f>SUM(J420:J422)</f>
        <v>0</v>
      </c>
      <c r="K423" s="238">
        <f>SUM(K420:K422)</f>
        <v>0</v>
      </c>
      <c r="L423" s="238">
        <f>SUM(L420:L422)</f>
        <v>0</v>
      </c>
      <c r="M423" s="211">
        <f>SUM(J423:L423)</f>
        <v>0</v>
      </c>
      <c r="N423" s="238">
        <f>SUM(N420:N422)</f>
        <v>0</v>
      </c>
      <c r="O423" s="238">
        <f>SUM(O420:O422)</f>
        <v>0</v>
      </c>
      <c r="P423" s="238">
        <f>SUM(P420:P422)</f>
        <v>0</v>
      </c>
      <c r="Q423" s="211">
        <f>SUM(N423:P423)</f>
        <v>0</v>
      </c>
      <c r="R423" s="211">
        <f>+E423+I423+M423+Q423</f>
        <v>0</v>
      </c>
    </row>
    <row r="424" spans="1:18" ht="15.75" customHeight="1" x14ac:dyDescent="0.35">
      <c r="A424" s="174" t="s">
        <v>64</v>
      </c>
      <c r="B424" s="140"/>
      <c r="C424" s="140"/>
      <c r="D424" s="140"/>
      <c r="E424" s="207" t="s">
        <v>7</v>
      </c>
      <c r="F424" s="140"/>
      <c r="G424" s="140"/>
      <c r="H424" s="140"/>
      <c r="I424" s="207" t="s">
        <v>7</v>
      </c>
      <c r="J424" s="140"/>
      <c r="K424" s="140"/>
      <c r="L424" s="140"/>
      <c r="M424" s="207" t="s">
        <v>7</v>
      </c>
      <c r="N424" s="140"/>
      <c r="O424" s="140"/>
      <c r="P424" s="140"/>
      <c r="Q424" s="207" t="s">
        <v>7</v>
      </c>
      <c r="R424" s="207" t="s">
        <v>7</v>
      </c>
    </row>
    <row r="425" spans="1:18" ht="15.75" customHeight="1" x14ac:dyDescent="0.35">
      <c r="A425" s="174" t="s">
        <v>65</v>
      </c>
      <c r="B425" s="140"/>
      <c r="C425" s="140"/>
      <c r="D425" s="140"/>
      <c r="E425" s="207" t="s">
        <v>7</v>
      </c>
      <c r="F425" s="140"/>
      <c r="G425" s="140"/>
      <c r="H425" s="140"/>
      <c r="I425" s="207" t="s">
        <v>7</v>
      </c>
      <c r="J425" s="140"/>
      <c r="K425" s="140"/>
      <c r="L425" s="140"/>
      <c r="M425" s="207" t="s">
        <v>7</v>
      </c>
      <c r="N425" s="140"/>
      <c r="O425" s="140"/>
      <c r="P425" s="140"/>
      <c r="Q425" s="207" t="s">
        <v>7</v>
      </c>
      <c r="R425" s="207" t="s">
        <v>7</v>
      </c>
    </row>
    <row r="426" spans="1:18" ht="15.75" customHeight="1" x14ac:dyDescent="0.35">
      <c r="A426" s="174" t="s">
        <v>67</v>
      </c>
      <c r="B426" s="140"/>
      <c r="C426" s="140"/>
      <c r="D426" s="140"/>
      <c r="E426" s="207" t="s">
        <v>7</v>
      </c>
      <c r="F426" s="140"/>
      <c r="G426" s="140"/>
      <c r="H426" s="140"/>
      <c r="I426" s="207" t="s">
        <v>7</v>
      </c>
      <c r="J426" s="140"/>
      <c r="K426" s="140"/>
      <c r="L426" s="140"/>
      <c r="M426" s="207" t="s">
        <v>7</v>
      </c>
      <c r="N426" s="140"/>
      <c r="O426" s="140"/>
      <c r="P426" s="140"/>
      <c r="Q426" s="207" t="s">
        <v>7</v>
      </c>
      <c r="R426" s="207" t="s">
        <v>7</v>
      </c>
    </row>
    <row r="427" spans="1:18" ht="15.75" customHeight="1" x14ac:dyDescent="0.35">
      <c r="A427" s="174" t="s">
        <v>69</v>
      </c>
      <c r="B427" s="140"/>
      <c r="C427" s="140"/>
      <c r="D427" s="140"/>
      <c r="E427" s="207" t="s">
        <v>7</v>
      </c>
      <c r="F427" s="140"/>
      <c r="G427" s="140"/>
      <c r="H427" s="140"/>
      <c r="I427" s="207" t="s">
        <v>7</v>
      </c>
      <c r="J427" s="140"/>
      <c r="K427" s="140"/>
      <c r="L427" s="140"/>
      <c r="M427" s="207" t="s">
        <v>7</v>
      </c>
      <c r="N427" s="140"/>
      <c r="O427" s="140"/>
      <c r="P427" s="140"/>
      <c r="Q427" s="207" t="s">
        <v>7</v>
      </c>
      <c r="R427" s="207" t="s">
        <v>7</v>
      </c>
    </row>
    <row r="428" spans="1:18" ht="15.75" customHeight="1" x14ac:dyDescent="0.35">
      <c r="A428" s="222" t="s">
        <v>570</v>
      </c>
      <c r="B428" s="140">
        <v>0</v>
      </c>
      <c r="C428" s="140">
        <v>0</v>
      </c>
      <c r="D428" s="140">
        <v>500</v>
      </c>
      <c r="E428" s="207">
        <f>SUM(B428:D428)</f>
        <v>500</v>
      </c>
      <c r="F428" s="140">
        <v>0</v>
      </c>
      <c r="G428" s="140">
        <v>0</v>
      </c>
      <c r="H428" s="140">
        <v>0</v>
      </c>
      <c r="I428" s="207">
        <f>SUM(F428:H428)</f>
        <v>0</v>
      </c>
      <c r="J428" s="140">
        <v>0</v>
      </c>
      <c r="K428" s="140">
        <v>0</v>
      </c>
      <c r="L428" s="140">
        <v>0</v>
      </c>
      <c r="M428" s="207">
        <f>SUM(J428:L428)</f>
        <v>0</v>
      </c>
      <c r="N428" s="140">
        <v>0</v>
      </c>
      <c r="O428" s="140">
        <v>0</v>
      </c>
      <c r="P428" s="140">
        <v>0</v>
      </c>
      <c r="Q428" s="207">
        <f>SUM(N428:P428)</f>
        <v>0</v>
      </c>
      <c r="R428" s="207">
        <f>+E428+I428+M428+Q428</f>
        <v>500</v>
      </c>
    </row>
    <row r="429" spans="1:18" ht="15.75" customHeight="1" x14ac:dyDescent="0.35">
      <c r="A429" s="222" t="s">
        <v>571</v>
      </c>
      <c r="B429" s="140">
        <v>0</v>
      </c>
      <c r="C429" s="140">
        <v>0</v>
      </c>
      <c r="D429" s="140">
        <v>0</v>
      </c>
      <c r="E429" s="207">
        <f>SUM(B429:D429)</f>
        <v>0</v>
      </c>
      <c r="F429" s="140">
        <v>0</v>
      </c>
      <c r="G429" s="140">
        <v>0</v>
      </c>
      <c r="H429" s="140">
        <v>38</v>
      </c>
      <c r="I429" s="207">
        <f>SUM(F429:H429)</f>
        <v>38</v>
      </c>
      <c r="J429" s="140">
        <v>1343</v>
      </c>
      <c r="K429" s="140">
        <v>1406</v>
      </c>
      <c r="L429" s="140">
        <v>213</v>
      </c>
      <c r="M429" s="207">
        <f>SUM(J429:L429)</f>
        <v>2962</v>
      </c>
      <c r="N429" s="140">
        <v>0</v>
      </c>
      <c r="O429" s="140">
        <v>0</v>
      </c>
      <c r="P429" s="140">
        <v>0</v>
      </c>
      <c r="Q429" s="207">
        <f>SUM(N429:P429)</f>
        <v>0</v>
      </c>
      <c r="R429" s="207">
        <f>+E429+I429+M429+Q429</f>
        <v>3000</v>
      </c>
    </row>
    <row r="430" spans="1:18" ht="15.75" customHeight="1" x14ac:dyDescent="0.35">
      <c r="A430" s="222" t="s">
        <v>306</v>
      </c>
      <c r="B430" s="140">
        <v>0</v>
      </c>
      <c r="C430" s="140">
        <v>0</v>
      </c>
      <c r="D430" s="140">
        <v>72</v>
      </c>
      <c r="E430" s="207">
        <f>SUM(B430:D430)</f>
        <v>72</v>
      </c>
      <c r="F430" s="140">
        <v>0</v>
      </c>
      <c r="G430" s="140">
        <v>0</v>
      </c>
      <c r="H430" s="140">
        <v>0</v>
      </c>
      <c r="I430" s="207">
        <f>SUM(F430:H430)</f>
        <v>0</v>
      </c>
      <c r="J430" s="140">
        <v>0</v>
      </c>
      <c r="K430" s="140">
        <v>0</v>
      </c>
      <c r="L430" s="140">
        <v>0</v>
      </c>
      <c r="M430" s="207">
        <f>SUM(J430:L430)</f>
        <v>0</v>
      </c>
      <c r="N430" s="140">
        <v>0</v>
      </c>
      <c r="O430" s="140">
        <v>0</v>
      </c>
      <c r="P430" s="140">
        <v>0</v>
      </c>
      <c r="Q430" s="207">
        <f>SUM(N430:P430)</f>
        <v>0</v>
      </c>
      <c r="R430" s="207">
        <f>+E430+I430+M430+Q430</f>
        <v>72</v>
      </c>
    </row>
    <row r="431" spans="1:18" ht="15.75" customHeight="1" x14ac:dyDescent="0.35">
      <c r="A431" s="222" t="s">
        <v>311</v>
      </c>
      <c r="B431" s="140">
        <v>0</v>
      </c>
      <c r="C431" s="140">
        <v>0</v>
      </c>
      <c r="D431" s="140">
        <v>0</v>
      </c>
      <c r="E431" s="207">
        <f>SUM(B431:D431)</f>
        <v>0</v>
      </c>
      <c r="F431" s="140">
        <v>0</v>
      </c>
      <c r="G431" s="140">
        <v>624</v>
      </c>
      <c r="H431" s="140">
        <v>1233</v>
      </c>
      <c r="I431" s="207">
        <f>SUM(F431:H431)</f>
        <v>1857</v>
      </c>
      <c r="J431" s="140">
        <v>0</v>
      </c>
      <c r="K431" s="140">
        <v>0</v>
      </c>
      <c r="L431" s="140">
        <v>0</v>
      </c>
      <c r="M431" s="207">
        <f>SUM(J431:L431)</f>
        <v>0</v>
      </c>
      <c r="N431" s="140">
        <v>0</v>
      </c>
      <c r="O431" s="140">
        <v>0</v>
      </c>
      <c r="P431" s="140">
        <v>0</v>
      </c>
      <c r="Q431" s="207">
        <f>SUM(N431:P431)</f>
        <v>0</v>
      </c>
      <c r="R431" s="207">
        <f>+E431+I431+M431+Q431</f>
        <v>1857</v>
      </c>
    </row>
    <row r="432" spans="1:18" ht="15.75" customHeight="1" x14ac:dyDescent="0.35">
      <c r="A432" s="174" t="s">
        <v>70</v>
      </c>
      <c r="B432" s="140"/>
      <c r="C432" s="140"/>
      <c r="D432" s="140"/>
      <c r="E432" s="207"/>
      <c r="F432" s="140"/>
      <c r="G432" s="140"/>
      <c r="H432" s="140"/>
      <c r="I432" s="207"/>
      <c r="J432" s="140"/>
      <c r="K432" s="140"/>
      <c r="L432" s="140"/>
      <c r="M432" s="207"/>
      <c r="N432" s="140"/>
      <c r="O432" s="140"/>
      <c r="P432" s="140"/>
      <c r="Q432" s="207"/>
      <c r="R432" s="207" t="s">
        <v>7</v>
      </c>
    </row>
    <row r="433" spans="1:18" ht="15.75" customHeight="1" x14ac:dyDescent="0.35">
      <c r="A433" s="222" t="s">
        <v>560</v>
      </c>
      <c r="B433" s="140">
        <v>0</v>
      </c>
      <c r="C433" s="140">
        <v>0</v>
      </c>
      <c r="D433" s="140">
        <v>0</v>
      </c>
      <c r="E433" s="207">
        <f t="shared" ref="E433:E439" si="80">SUM(B433:D433)</f>
        <v>0</v>
      </c>
      <c r="F433" s="140">
        <v>0</v>
      </c>
      <c r="G433" s="140">
        <v>0</v>
      </c>
      <c r="H433" s="140">
        <v>0</v>
      </c>
      <c r="I433" s="207">
        <f t="shared" ref="I433:I439" si="81">SUM(F433:H433)</f>
        <v>0</v>
      </c>
      <c r="J433" s="140">
        <v>4217</v>
      </c>
      <c r="K433" s="140">
        <v>0</v>
      </c>
      <c r="L433" s="140">
        <v>0</v>
      </c>
      <c r="M433" s="207">
        <f t="shared" ref="M433:M439" si="82">SUM(J433:L433)</f>
        <v>4217</v>
      </c>
      <c r="N433" s="140">
        <v>0</v>
      </c>
      <c r="O433" s="140">
        <v>0</v>
      </c>
      <c r="P433" s="140">
        <v>0</v>
      </c>
      <c r="Q433" s="207">
        <f t="shared" ref="Q433:Q439" si="83">SUM(N433:P433)</f>
        <v>0</v>
      </c>
      <c r="R433" s="207">
        <f t="shared" ref="R433:R439" si="84">+E433+I433+M433+Q433</f>
        <v>4217</v>
      </c>
    </row>
    <row r="434" spans="1:18" ht="15.75" customHeight="1" x14ac:dyDescent="0.35">
      <c r="A434" s="222" t="s">
        <v>561</v>
      </c>
      <c r="B434" s="140">
        <v>0</v>
      </c>
      <c r="C434" s="140">
        <v>0</v>
      </c>
      <c r="D434" s="140">
        <v>0</v>
      </c>
      <c r="E434" s="207">
        <f t="shared" si="80"/>
        <v>0</v>
      </c>
      <c r="F434" s="140">
        <v>0</v>
      </c>
      <c r="G434" s="140">
        <v>0</v>
      </c>
      <c r="H434" s="140">
        <v>0</v>
      </c>
      <c r="I434" s="207">
        <f t="shared" si="81"/>
        <v>0</v>
      </c>
      <c r="J434" s="140">
        <v>0</v>
      </c>
      <c r="K434" s="140">
        <v>0</v>
      </c>
      <c r="L434" s="140">
        <v>2645</v>
      </c>
      <c r="M434" s="207">
        <f t="shared" si="82"/>
        <v>2645</v>
      </c>
      <c r="N434" s="140">
        <v>0</v>
      </c>
      <c r="O434" s="140">
        <v>0</v>
      </c>
      <c r="P434" s="140">
        <v>0</v>
      </c>
      <c r="Q434" s="207">
        <f t="shared" si="83"/>
        <v>0</v>
      </c>
      <c r="R434" s="207">
        <f t="shared" si="84"/>
        <v>2645</v>
      </c>
    </row>
    <row r="435" spans="1:18" ht="15.75" customHeight="1" thickBot="1" x14ac:dyDescent="0.4">
      <c r="A435" s="222" t="s">
        <v>309</v>
      </c>
      <c r="B435" s="140">
        <v>0</v>
      </c>
      <c r="C435" s="140">
        <v>0</v>
      </c>
      <c r="D435" s="140">
        <v>0</v>
      </c>
      <c r="E435" s="207">
        <f t="shared" si="80"/>
        <v>0</v>
      </c>
      <c r="F435" s="140">
        <v>0</v>
      </c>
      <c r="G435" s="140">
        <v>0</v>
      </c>
      <c r="H435" s="140">
        <v>0</v>
      </c>
      <c r="I435" s="207">
        <f t="shared" si="81"/>
        <v>0</v>
      </c>
      <c r="J435" s="140">
        <v>0</v>
      </c>
      <c r="K435" s="140">
        <v>0</v>
      </c>
      <c r="L435" s="140">
        <v>1326</v>
      </c>
      <c r="M435" s="207">
        <f t="shared" si="82"/>
        <v>1326</v>
      </c>
      <c r="N435" s="140">
        <v>521</v>
      </c>
      <c r="O435" s="140">
        <v>46</v>
      </c>
      <c r="P435" s="140">
        <v>0</v>
      </c>
      <c r="Q435" s="207">
        <f t="shared" si="83"/>
        <v>567</v>
      </c>
      <c r="R435" s="207">
        <f t="shared" si="84"/>
        <v>1893</v>
      </c>
    </row>
    <row r="436" spans="1:18" ht="15.75" customHeight="1" thickBot="1" x14ac:dyDescent="0.4">
      <c r="A436" s="209" t="s">
        <v>71</v>
      </c>
      <c r="B436" s="210">
        <f>SUM(B427:B435)</f>
        <v>0</v>
      </c>
      <c r="C436" s="210">
        <f>SUM(C427:C435)</f>
        <v>0</v>
      </c>
      <c r="D436" s="210">
        <f>SUM(D427:D435)</f>
        <v>572</v>
      </c>
      <c r="E436" s="212">
        <f t="shared" si="80"/>
        <v>572</v>
      </c>
      <c r="F436" s="210">
        <f>SUM(F427:F435)</f>
        <v>0</v>
      </c>
      <c r="G436" s="210">
        <f>SUM(G427:G435)</f>
        <v>624</v>
      </c>
      <c r="H436" s="210">
        <f>SUM(H427:H435)</f>
        <v>1271</v>
      </c>
      <c r="I436" s="212">
        <f t="shared" si="81"/>
        <v>1895</v>
      </c>
      <c r="J436" s="210">
        <f>SUM(J427:J435)</f>
        <v>5560</v>
      </c>
      <c r="K436" s="210">
        <f>SUM(K427:K435)</f>
        <v>1406</v>
      </c>
      <c r="L436" s="210">
        <f>SUM(L427:L435)</f>
        <v>4184</v>
      </c>
      <c r="M436" s="212">
        <f t="shared" si="82"/>
        <v>11150</v>
      </c>
      <c r="N436" s="210">
        <f>SUM(N427:N435)</f>
        <v>521</v>
      </c>
      <c r="O436" s="210">
        <f>SUM(O427:O435)</f>
        <v>46</v>
      </c>
      <c r="P436" s="210">
        <f>SUM(P427:P435)</f>
        <v>0</v>
      </c>
      <c r="Q436" s="212">
        <f t="shared" si="83"/>
        <v>567</v>
      </c>
      <c r="R436" s="211">
        <f t="shared" si="84"/>
        <v>14184</v>
      </c>
    </row>
    <row r="437" spans="1:18" ht="15.75" customHeight="1" thickBot="1" x14ac:dyDescent="0.4">
      <c r="A437" s="259" t="s">
        <v>72</v>
      </c>
      <c r="B437" s="237">
        <f>SUM(B424:B435)</f>
        <v>0</v>
      </c>
      <c r="C437" s="238">
        <f>SUM(C424:C435)</f>
        <v>0</v>
      </c>
      <c r="D437" s="260">
        <f>SUM(D424:D435)</f>
        <v>572</v>
      </c>
      <c r="E437" s="212">
        <f t="shared" si="80"/>
        <v>572</v>
      </c>
      <c r="F437" s="238">
        <f>SUM(F424:F435)</f>
        <v>0</v>
      </c>
      <c r="G437" s="238">
        <f>SUM(G424:G435)</f>
        <v>624</v>
      </c>
      <c r="H437" s="238">
        <f>SUM(H424:H435)</f>
        <v>1271</v>
      </c>
      <c r="I437" s="212">
        <f t="shared" si="81"/>
        <v>1895</v>
      </c>
      <c r="J437" s="238">
        <f>SUM(J424:J435)</f>
        <v>5560</v>
      </c>
      <c r="K437" s="238">
        <f>SUM(K424:K435)</f>
        <v>1406</v>
      </c>
      <c r="L437" s="238">
        <f>SUM(L424:L435)</f>
        <v>4184</v>
      </c>
      <c r="M437" s="212">
        <f t="shared" si="82"/>
        <v>11150</v>
      </c>
      <c r="N437" s="238">
        <f>SUM(N424:N435)</f>
        <v>521</v>
      </c>
      <c r="O437" s="238">
        <f>SUM(O424:O435)</f>
        <v>46</v>
      </c>
      <c r="P437" s="238">
        <f>SUM(P424:P435)</f>
        <v>0</v>
      </c>
      <c r="Q437" s="212">
        <f t="shared" si="83"/>
        <v>567</v>
      </c>
      <c r="R437" s="211">
        <f t="shared" si="84"/>
        <v>14184</v>
      </c>
    </row>
    <row r="438" spans="1:18" ht="15.75" customHeight="1" thickBot="1" x14ac:dyDescent="0.4">
      <c r="A438" s="209" t="s">
        <v>73</v>
      </c>
      <c r="B438" s="240">
        <f>+B412+B419+B423+B437</f>
        <v>1525</v>
      </c>
      <c r="C438" s="210">
        <f>+C412+C419+C423+C437</f>
        <v>1821</v>
      </c>
      <c r="D438" s="210">
        <f>+D412+D419+D423+D437</f>
        <v>5410</v>
      </c>
      <c r="E438" s="211">
        <f t="shared" si="80"/>
        <v>8756</v>
      </c>
      <c r="F438" s="210">
        <f>+F412+F419+F423+F437</f>
        <v>6487</v>
      </c>
      <c r="G438" s="210">
        <f>+G412+G419+G423+G437</f>
        <v>4689</v>
      </c>
      <c r="H438" s="210">
        <f>+H412+H419+H423+H437</f>
        <v>6668</v>
      </c>
      <c r="I438" s="211">
        <f t="shared" si="81"/>
        <v>17844</v>
      </c>
      <c r="J438" s="210">
        <f>+J412+J419+J423+J437</f>
        <v>7685</v>
      </c>
      <c r="K438" s="210">
        <f>+K412+K419+K423+K437</f>
        <v>8052</v>
      </c>
      <c r="L438" s="210">
        <f>+L412+L419+L423+L437</f>
        <v>4482</v>
      </c>
      <c r="M438" s="211">
        <f t="shared" si="82"/>
        <v>20219</v>
      </c>
      <c r="N438" s="210">
        <f>+N412+N419+N423+N437</f>
        <v>1605</v>
      </c>
      <c r="O438" s="210">
        <f>+O412+O419+O423+O437</f>
        <v>212</v>
      </c>
      <c r="P438" s="210">
        <f>+P412+P419+P423+P437</f>
        <v>156</v>
      </c>
      <c r="Q438" s="211">
        <f t="shared" si="83"/>
        <v>1973</v>
      </c>
      <c r="R438" s="231">
        <f t="shared" si="84"/>
        <v>48792</v>
      </c>
    </row>
    <row r="439" spans="1:18" ht="15.75" customHeight="1" thickBot="1" x14ac:dyDescent="0.4">
      <c r="A439" s="196" t="s">
        <v>40</v>
      </c>
      <c r="B439" s="180">
        <v>23</v>
      </c>
      <c r="C439" s="180">
        <v>43</v>
      </c>
      <c r="D439" s="180">
        <v>66</v>
      </c>
      <c r="E439" s="231">
        <f t="shared" si="80"/>
        <v>132</v>
      </c>
      <c r="F439" s="180">
        <v>91</v>
      </c>
      <c r="G439" s="180">
        <v>108</v>
      </c>
      <c r="H439" s="180">
        <v>109</v>
      </c>
      <c r="I439" s="231">
        <f t="shared" si="81"/>
        <v>308</v>
      </c>
      <c r="J439" s="180">
        <v>104</v>
      </c>
      <c r="K439" s="180">
        <v>79</v>
      </c>
      <c r="L439" s="180">
        <v>80</v>
      </c>
      <c r="M439" s="231">
        <f t="shared" si="82"/>
        <v>263</v>
      </c>
      <c r="N439" s="180">
        <v>74</v>
      </c>
      <c r="O439" s="180">
        <v>58</v>
      </c>
      <c r="P439" s="180">
        <v>42</v>
      </c>
      <c r="Q439" s="231">
        <f t="shared" si="83"/>
        <v>174</v>
      </c>
      <c r="R439" s="207">
        <f t="shared" si="84"/>
        <v>877</v>
      </c>
    </row>
    <row r="440" spans="1:18" ht="15.75" customHeight="1" thickBot="1" x14ac:dyDescent="0.4">
      <c r="A440" s="198"/>
      <c r="B440" s="193"/>
      <c r="C440" s="193"/>
      <c r="D440" s="193"/>
      <c r="E440" s="199"/>
      <c r="F440" s="193"/>
      <c r="G440" s="193"/>
      <c r="H440" s="193"/>
      <c r="I440" s="263"/>
      <c r="J440" s="193"/>
      <c r="K440" s="193"/>
      <c r="L440" s="193"/>
      <c r="M440" s="263"/>
      <c r="N440" s="193"/>
      <c r="O440" s="193"/>
      <c r="P440" s="193"/>
      <c r="Q440" s="263"/>
      <c r="R440" s="199"/>
    </row>
    <row r="441" spans="1:18" ht="15.75" customHeight="1" x14ac:dyDescent="0.35">
      <c r="A441" s="174" t="s">
        <v>314</v>
      </c>
      <c r="B441" s="227">
        <f>SUM(B438:B439)</f>
        <v>1548</v>
      </c>
      <c r="C441" s="227">
        <f>SUM(C438:C439)</f>
        <v>1864</v>
      </c>
      <c r="D441" s="227">
        <f>SUM(D438:D439)</f>
        <v>5476</v>
      </c>
      <c r="E441" s="212">
        <f>SUM(B441:D441)</f>
        <v>8888</v>
      </c>
      <c r="F441" s="227">
        <f>SUM(F438:F439)</f>
        <v>6578</v>
      </c>
      <c r="G441" s="227">
        <f>SUM(G438:G439)</f>
        <v>4797</v>
      </c>
      <c r="H441" s="227">
        <f>SUM(H438:H439)</f>
        <v>6777</v>
      </c>
      <c r="I441" s="212">
        <f>SUM(F441:H441)</f>
        <v>18152</v>
      </c>
      <c r="J441" s="227">
        <f>SUM(J438:J439)</f>
        <v>7789</v>
      </c>
      <c r="K441" s="227">
        <f>SUM(K438:K439)</f>
        <v>8131</v>
      </c>
      <c r="L441" s="227">
        <f>SUM(L438:L439)</f>
        <v>4562</v>
      </c>
      <c r="M441" s="212">
        <f>SUM(J441:L441)</f>
        <v>20482</v>
      </c>
      <c r="N441" s="227">
        <f>SUM(N438:N439)</f>
        <v>1679</v>
      </c>
      <c r="O441" s="227">
        <f>SUM(O438:O439)</f>
        <v>270</v>
      </c>
      <c r="P441" s="227">
        <f>SUM(P438:P439)</f>
        <v>198</v>
      </c>
      <c r="Q441" s="212">
        <f>SUM(N441:P441)</f>
        <v>2147</v>
      </c>
      <c r="R441" s="212">
        <f>+E441+I441+M441+Q441</f>
        <v>49669</v>
      </c>
    </row>
    <row r="442" spans="1:18" ht="15.75" customHeight="1" x14ac:dyDescent="0.35">
      <c r="A442" s="174" t="s">
        <v>42</v>
      </c>
      <c r="B442" s="140">
        <f>(B441/31)/1.983</f>
        <v>25.18178712605534</v>
      </c>
      <c r="C442" s="140">
        <f>(C441/28)/1.983</f>
        <v>33.571068366832357</v>
      </c>
      <c r="D442" s="140">
        <f>(D441/31)/1.983</f>
        <v>89.079758593203522</v>
      </c>
      <c r="E442" s="207" t="s">
        <v>7</v>
      </c>
      <c r="F442" s="140">
        <f>(F441/30)/1.983</f>
        <v>110.57320558076988</v>
      </c>
      <c r="G442" s="140">
        <f>(G441/31)/1.983</f>
        <v>78.034258942950558</v>
      </c>
      <c r="H442" s="140">
        <f>(H441/30)/1.983</f>
        <v>113.91830559757942</v>
      </c>
      <c r="I442" s="207" t="s">
        <v>7</v>
      </c>
      <c r="J442" s="140">
        <f>(J441/31)/1.983</f>
        <v>126.70603354318155</v>
      </c>
      <c r="K442" s="140">
        <f>(K441/31)/1.983</f>
        <v>132.26945162917053</v>
      </c>
      <c r="L442" s="140">
        <f>(L441/30)/1.983</f>
        <v>76.685157169272145</v>
      </c>
      <c r="M442" s="207" t="s">
        <v>7</v>
      </c>
      <c r="N442" s="140">
        <f>(N441/31)/1.983</f>
        <v>27.312803995249947</v>
      </c>
      <c r="O442" s="140">
        <f>(O441/30)/1.983</f>
        <v>4.5385779122541603</v>
      </c>
      <c r="P442" s="140">
        <f>(P441/31)/1.983</f>
        <v>3.2209262603094038</v>
      </c>
      <c r="Q442" s="207" t="s">
        <v>7</v>
      </c>
      <c r="R442" s="207" t="s">
        <v>7</v>
      </c>
    </row>
    <row r="443" spans="1:18" ht="15.75" customHeight="1" x14ac:dyDescent="0.35">
      <c r="A443" s="174" t="s">
        <v>315</v>
      </c>
      <c r="B443" s="140">
        <f>B441+B494</f>
        <v>22071</v>
      </c>
      <c r="C443" s="140">
        <f>C441+C494</f>
        <v>8109</v>
      </c>
      <c r="D443" s="140">
        <f>D441+D494</f>
        <v>12622</v>
      </c>
      <c r="E443" s="207">
        <f>SUM(B443:D443)</f>
        <v>42802</v>
      </c>
      <c r="F443" s="140">
        <f>F441+F494</f>
        <v>23514</v>
      </c>
      <c r="G443" s="140">
        <f>G441+G494</f>
        <v>21861</v>
      </c>
      <c r="H443" s="140">
        <f>H441+H494</f>
        <v>25601</v>
      </c>
      <c r="I443" s="207">
        <f>SUM(F443:H443)</f>
        <v>70976</v>
      </c>
      <c r="J443" s="140">
        <f>J441+J494</f>
        <v>35391</v>
      </c>
      <c r="K443" s="140">
        <f>K441+K494</f>
        <v>36687</v>
      </c>
      <c r="L443" s="140">
        <f>L441+L494</f>
        <v>28281</v>
      </c>
      <c r="M443" s="207">
        <f>SUM(J443:L443)</f>
        <v>100359</v>
      </c>
      <c r="N443" s="140">
        <f>N441+N494</f>
        <v>22135</v>
      </c>
      <c r="O443" s="140">
        <f>O441+O494</f>
        <v>6263</v>
      </c>
      <c r="P443" s="140">
        <f>P441+P494</f>
        <v>22204</v>
      </c>
      <c r="Q443" s="207">
        <f>SUM(N443:P443)</f>
        <v>50602</v>
      </c>
      <c r="R443" s="207">
        <f>+E443+I443+M443+Q443</f>
        <v>264739</v>
      </c>
    </row>
    <row r="444" spans="1:18" ht="15.75" customHeight="1" thickBot="1" x14ac:dyDescent="0.4">
      <c r="A444" s="179" t="s">
        <v>316</v>
      </c>
      <c r="B444" s="184">
        <f>(B443/31)/1.983</f>
        <v>359.03567419842858</v>
      </c>
      <c r="C444" s="184">
        <f>(C443/28)/1.983</f>
        <v>146.04495353360707</v>
      </c>
      <c r="D444" s="184">
        <f>(D443/31)/1.983</f>
        <v>205.32591544255203</v>
      </c>
      <c r="E444" s="231" t="s">
        <v>7</v>
      </c>
      <c r="F444" s="184">
        <f>(F443/30)/1.983</f>
        <v>395.25970751386785</v>
      </c>
      <c r="G444" s="184">
        <f>(G443/31)/1.983</f>
        <v>355.61954028597921</v>
      </c>
      <c r="H444" s="184">
        <f>(H443/30)/1.983</f>
        <v>430.3412338208102</v>
      </c>
      <c r="I444" s="231" t="s">
        <v>7</v>
      </c>
      <c r="J444" s="184">
        <f>(J443/31)/1.983</f>
        <v>575.71616807378848</v>
      </c>
      <c r="K444" s="184">
        <f>(K443/31)/1.983</f>
        <v>596.7985945049046</v>
      </c>
      <c r="L444" s="184">
        <f>(L443/30)/1.983</f>
        <v>475.39082198688857</v>
      </c>
      <c r="M444" s="231" t="s">
        <v>7</v>
      </c>
      <c r="N444" s="184">
        <f>(N443/31)/1.983</f>
        <v>360.07678167650835</v>
      </c>
      <c r="O444" s="184">
        <f>(O443/30)/1.983</f>
        <v>105.27819801647335</v>
      </c>
      <c r="P444" s="184">
        <f>(P443/31)/1.983</f>
        <v>361.19922567631318</v>
      </c>
      <c r="Q444" s="231" t="s">
        <v>7</v>
      </c>
      <c r="R444" s="231" t="s">
        <v>7</v>
      </c>
    </row>
    <row r="445" spans="1:18" ht="15.75" customHeight="1" x14ac:dyDescent="0.35">
      <c r="A445" s="141"/>
      <c r="B445" s="140"/>
      <c r="C445" s="140"/>
      <c r="D445" s="140"/>
      <c r="E445" s="140"/>
      <c r="F445" s="140"/>
      <c r="G445" s="140"/>
      <c r="H445" s="140"/>
      <c r="I445" s="140"/>
      <c r="J445" s="140"/>
      <c r="K445" s="140"/>
      <c r="L445" s="140"/>
      <c r="M445" s="140"/>
      <c r="N445" s="140"/>
      <c r="O445" s="140"/>
      <c r="P445" s="140"/>
      <c r="Q445" s="140"/>
      <c r="R445" s="141"/>
    </row>
    <row r="446" spans="1:18" ht="15.75" customHeight="1" thickBot="1" x14ac:dyDescent="0.4">
      <c r="A446" s="141"/>
      <c r="B446" s="140"/>
      <c r="C446" s="140"/>
      <c r="D446" s="140"/>
      <c r="E446" s="140"/>
      <c r="F446" s="140"/>
      <c r="G446" s="140"/>
      <c r="H446" s="140"/>
      <c r="I446" s="140"/>
      <c r="J446" s="140"/>
      <c r="K446" s="140"/>
      <c r="L446" s="140"/>
      <c r="M446" s="140"/>
      <c r="N446" s="140"/>
      <c r="O446" s="140"/>
      <c r="P446" s="140"/>
      <c r="Q446" s="140"/>
      <c r="R446" s="141"/>
    </row>
    <row r="447" spans="1:18" ht="15.75" customHeight="1" thickBot="1" x14ac:dyDescent="0.4">
      <c r="A447" s="261" t="s">
        <v>317</v>
      </c>
      <c r="B447" s="188" t="s">
        <v>8</v>
      </c>
      <c r="C447" s="189" t="s">
        <v>9</v>
      </c>
      <c r="D447" s="189" t="s">
        <v>10</v>
      </c>
      <c r="E447" s="10" t="s">
        <v>11</v>
      </c>
      <c r="F447" s="189" t="s">
        <v>12</v>
      </c>
      <c r="G447" s="189" t="s">
        <v>13</v>
      </c>
      <c r="H447" s="189" t="s">
        <v>14</v>
      </c>
      <c r="I447" s="190" t="s">
        <v>15</v>
      </c>
      <c r="J447" s="189" t="s">
        <v>16</v>
      </c>
      <c r="K447" s="189" t="s">
        <v>17</v>
      </c>
      <c r="L447" s="189" t="s">
        <v>18</v>
      </c>
      <c r="M447" s="190" t="s">
        <v>19</v>
      </c>
      <c r="N447" s="189" t="s">
        <v>20</v>
      </c>
      <c r="O447" s="189" t="s">
        <v>21</v>
      </c>
      <c r="P447" s="189" t="s">
        <v>22</v>
      </c>
      <c r="Q447" s="190" t="s">
        <v>23</v>
      </c>
      <c r="R447" s="191" t="s">
        <v>24</v>
      </c>
    </row>
    <row r="448" spans="1:18" ht="15.75" customHeight="1" thickBot="1" x14ac:dyDescent="0.4">
      <c r="A448" s="211"/>
      <c r="B448" s="225"/>
      <c r="C448" s="225"/>
      <c r="D448" s="225"/>
      <c r="E448" s="220"/>
      <c r="F448" s="225"/>
      <c r="G448" s="225"/>
      <c r="H448" s="225"/>
      <c r="I448" s="232"/>
      <c r="J448" s="225"/>
      <c r="K448" s="225"/>
      <c r="L448" s="225"/>
      <c r="M448" s="232"/>
      <c r="N448" s="225"/>
      <c r="O448" s="225"/>
      <c r="P448" s="225"/>
      <c r="Q448" s="232"/>
      <c r="R448" s="249"/>
    </row>
    <row r="449" spans="1:18" ht="15.75" customHeight="1" x14ac:dyDescent="0.35">
      <c r="A449" s="174" t="s">
        <v>48</v>
      </c>
      <c r="B449" s="140" t="s">
        <v>7</v>
      </c>
      <c r="C449" s="140" t="s">
        <v>7</v>
      </c>
      <c r="D449" s="140" t="s">
        <v>7</v>
      </c>
      <c r="E449" s="207" t="s">
        <v>7</v>
      </c>
      <c r="F449" s="140" t="s">
        <v>7</v>
      </c>
      <c r="G449" s="140" t="s">
        <v>7</v>
      </c>
      <c r="H449" s="140" t="s">
        <v>7</v>
      </c>
      <c r="I449" s="207" t="s">
        <v>7</v>
      </c>
      <c r="J449" s="140" t="s">
        <v>7</v>
      </c>
      <c r="K449" s="140" t="s">
        <v>7</v>
      </c>
      <c r="L449" s="140" t="s">
        <v>7</v>
      </c>
      <c r="M449" s="207" t="s">
        <v>7</v>
      </c>
      <c r="N449" s="140" t="s">
        <v>7</v>
      </c>
      <c r="O449" s="140" t="s">
        <v>7</v>
      </c>
      <c r="P449" s="140" t="s">
        <v>7</v>
      </c>
      <c r="Q449" s="207" t="s">
        <v>7</v>
      </c>
      <c r="R449" s="207" t="s">
        <v>7</v>
      </c>
    </row>
    <row r="450" spans="1:18" ht="15.75" customHeight="1" x14ac:dyDescent="0.35">
      <c r="A450" s="174" t="s">
        <v>49</v>
      </c>
      <c r="B450" s="140"/>
      <c r="C450" s="140"/>
      <c r="D450" s="140"/>
      <c r="E450" s="207" t="s">
        <v>7</v>
      </c>
      <c r="F450" s="140"/>
      <c r="G450" s="140"/>
      <c r="H450" s="140"/>
      <c r="I450" s="207" t="s">
        <v>7</v>
      </c>
      <c r="J450" s="140"/>
      <c r="K450" s="140"/>
      <c r="L450" s="140"/>
      <c r="M450" s="207" t="s">
        <v>7</v>
      </c>
      <c r="N450" s="140"/>
      <c r="O450" s="140"/>
      <c r="P450" s="140"/>
      <c r="Q450" s="207" t="s">
        <v>7</v>
      </c>
      <c r="R450" s="207" t="s">
        <v>7</v>
      </c>
    </row>
    <row r="451" spans="1:18" ht="15.75" customHeight="1" x14ac:dyDescent="0.35">
      <c r="A451" s="222" t="s">
        <v>319</v>
      </c>
      <c r="B451" s="140">
        <v>0</v>
      </c>
      <c r="C451" s="140">
        <v>0</v>
      </c>
      <c r="D451" s="140">
        <v>0</v>
      </c>
      <c r="E451" s="207">
        <f t="shared" ref="E451:E456" si="85">SUM(B451:D451)</f>
        <v>0</v>
      </c>
      <c r="F451" s="140">
        <v>0</v>
      </c>
      <c r="G451" s="140">
        <v>700</v>
      </c>
      <c r="H451" s="140">
        <v>700</v>
      </c>
      <c r="I451" s="207">
        <f t="shared" ref="I451:I456" si="86">SUM(F451:H451)</f>
        <v>1400</v>
      </c>
      <c r="J451" s="140">
        <v>0</v>
      </c>
      <c r="K451" s="140">
        <v>0</v>
      </c>
      <c r="L451" s="140">
        <v>0</v>
      </c>
      <c r="M451" s="207">
        <f t="shared" ref="M451:M456" si="87">SUM(J451:L451)</f>
        <v>0</v>
      </c>
      <c r="N451" s="140">
        <v>0</v>
      </c>
      <c r="O451" s="140">
        <v>0</v>
      </c>
      <c r="P451" s="140">
        <v>0</v>
      </c>
      <c r="Q451" s="207">
        <f t="shared" ref="Q451:Q456" si="88">SUM(N451:P451)</f>
        <v>0</v>
      </c>
      <c r="R451" s="207">
        <f t="shared" ref="R451:R456" si="89">+E451+I451+M451+Q451</f>
        <v>1400</v>
      </c>
    </row>
    <row r="452" spans="1:18" ht="15.75" customHeight="1" x14ac:dyDescent="0.35">
      <c r="A452" s="222" t="s">
        <v>321</v>
      </c>
      <c r="B452" s="140">
        <v>0</v>
      </c>
      <c r="C452" s="140">
        <v>0</v>
      </c>
      <c r="D452" s="140">
        <v>0</v>
      </c>
      <c r="E452" s="207">
        <f>SUM(B452:D452)</f>
        <v>0</v>
      </c>
      <c r="F452" s="140">
        <v>0</v>
      </c>
      <c r="G452" s="140">
        <v>799</v>
      </c>
      <c r="H452" s="140">
        <v>729</v>
      </c>
      <c r="I452" s="207">
        <f>SUM(F452:H452)</f>
        <v>1528</v>
      </c>
      <c r="J452" s="140">
        <v>0</v>
      </c>
      <c r="K452" s="140">
        <v>0</v>
      </c>
      <c r="L452" s="140">
        <v>0</v>
      </c>
      <c r="M452" s="207">
        <f>SUM(J452:L452)</f>
        <v>0</v>
      </c>
      <c r="N452" s="140">
        <v>0</v>
      </c>
      <c r="O452" s="140">
        <v>0</v>
      </c>
      <c r="P452" s="140">
        <v>0</v>
      </c>
      <c r="Q452" s="207">
        <f>SUM(N452:P452)</f>
        <v>0</v>
      </c>
      <c r="R452" s="207">
        <f>+E452+I452+M452+Q452</f>
        <v>1528</v>
      </c>
    </row>
    <row r="453" spans="1:18" ht="15.75" customHeight="1" x14ac:dyDescent="0.35">
      <c r="A453" s="222" t="s">
        <v>320</v>
      </c>
      <c r="B453" s="140">
        <v>0</v>
      </c>
      <c r="C453" s="140">
        <v>0</v>
      </c>
      <c r="D453" s="140">
        <v>363</v>
      </c>
      <c r="E453" s="207">
        <f t="shared" si="85"/>
        <v>363</v>
      </c>
      <c r="F453" s="140">
        <v>137</v>
      </c>
      <c r="G453" s="140">
        <v>0</v>
      </c>
      <c r="H453" s="140">
        <v>0</v>
      </c>
      <c r="I453" s="207">
        <f t="shared" si="86"/>
        <v>137</v>
      </c>
      <c r="J453" s="140">
        <v>0</v>
      </c>
      <c r="K453" s="140">
        <v>0</v>
      </c>
      <c r="L453" s="140">
        <v>0</v>
      </c>
      <c r="M453" s="207">
        <f t="shared" si="87"/>
        <v>0</v>
      </c>
      <c r="N453" s="140">
        <v>0</v>
      </c>
      <c r="O453" s="140">
        <v>0</v>
      </c>
      <c r="P453" s="140">
        <v>0</v>
      </c>
      <c r="Q453" s="207">
        <f t="shared" si="88"/>
        <v>0</v>
      </c>
      <c r="R453" s="207">
        <f t="shared" si="89"/>
        <v>500</v>
      </c>
    </row>
    <row r="454" spans="1:18" ht="15.75" customHeight="1" x14ac:dyDescent="0.35">
      <c r="A454" s="222" t="s">
        <v>318</v>
      </c>
      <c r="B454" s="140">
        <v>251</v>
      </c>
      <c r="C454" s="140">
        <v>239</v>
      </c>
      <c r="D454" s="140">
        <v>827</v>
      </c>
      <c r="E454" s="207">
        <f>SUM(B454:D454)</f>
        <v>1317</v>
      </c>
      <c r="F454" s="140">
        <v>2330</v>
      </c>
      <c r="G454" s="140">
        <v>553</v>
      </c>
      <c r="H454" s="140">
        <v>816</v>
      </c>
      <c r="I454" s="207">
        <f>SUM(F454:H454)</f>
        <v>3699</v>
      </c>
      <c r="J454" s="140">
        <v>2109</v>
      </c>
      <c r="K454" s="140">
        <v>805</v>
      </c>
      <c r="L454" s="140">
        <v>0</v>
      </c>
      <c r="M454" s="207">
        <f>SUM(J454:L454)</f>
        <v>2914</v>
      </c>
      <c r="N454" s="140">
        <v>0</v>
      </c>
      <c r="O454" s="140">
        <v>0</v>
      </c>
      <c r="P454" s="140">
        <v>0</v>
      </c>
      <c r="Q454" s="207">
        <f>SUM(N454:P454)</f>
        <v>0</v>
      </c>
      <c r="R454" s="207">
        <f>+E454+I454+M454+Q454</f>
        <v>7930</v>
      </c>
    </row>
    <row r="455" spans="1:18" ht="15.75" customHeight="1" x14ac:dyDescent="0.35">
      <c r="A455" s="222" t="s">
        <v>572</v>
      </c>
      <c r="B455" s="140">
        <v>500</v>
      </c>
      <c r="C455" s="140">
        <v>0</v>
      </c>
      <c r="D455" s="140">
        <v>0</v>
      </c>
      <c r="E455" s="207">
        <f t="shared" si="85"/>
        <v>500</v>
      </c>
      <c r="F455" s="140">
        <v>0</v>
      </c>
      <c r="G455" s="140">
        <v>0</v>
      </c>
      <c r="H455" s="140">
        <v>0</v>
      </c>
      <c r="I455" s="207">
        <f t="shared" si="86"/>
        <v>0</v>
      </c>
      <c r="J455" s="140">
        <v>0</v>
      </c>
      <c r="K455" s="140">
        <v>0</v>
      </c>
      <c r="L455" s="140">
        <v>0</v>
      </c>
      <c r="M455" s="207">
        <f t="shared" si="87"/>
        <v>0</v>
      </c>
      <c r="N455" s="140">
        <v>0</v>
      </c>
      <c r="O455" s="140">
        <v>0</v>
      </c>
      <c r="P455" s="140">
        <v>0</v>
      </c>
      <c r="Q455" s="207">
        <f t="shared" si="88"/>
        <v>0</v>
      </c>
      <c r="R455" s="207">
        <f t="shared" si="89"/>
        <v>500</v>
      </c>
    </row>
    <row r="456" spans="1:18" ht="15.75" customHeight="1" x14ac:dyDescent="0.35">
      <c r="A456" s="222" t="s">
        <v>322</v>
      </c>
      <c r="B456" s="140">
        <v>0</v>
      </c>
      <c r="C456" s="140">
        <v>0</v>
      </c>
      <c r="D456" s="140">
        <v>0</v>
      </c>
      <c r="E456" s="207">
        <f t="shared" si="85"/>
        <v>0</v>
      </c>
      <c r="F456" s="140">
        <v>1396</v>
      </c>
      <c r="G456" s="140">
        <v>957</v>
      </c>
      <c r="H456" s="140">
        <v>1163</v>
      </c>
      <c r="I456" s="207">
        <f t="shared" si="86"/>
        <v>3516</v>
      </c>
      <c r="J456" s="140">
        <v>1787</v>
      </c>
      <c r="K456" s="140">
        <v>1590</v>
      </c>
      <c r="L456" s="140">
        <v>378</v>
      </c>
      <c r="M456" s="207">
        <f t="shared" si="87"/>
        <v>3755</v>
      </c>
      <c r="N456" s="140">
        <v>169</v>
      </c>
      <c r="O456" s="140">
        <v>226</v>
      </c>
      <c r="P456" s="140">
        <v>0</v>
      </c>
      <c r="Q456" s="207">
        <f t="shared" si="88"/>
        <v>395</v>
      </c>
      <c r="R456" s="207">
        <f t="shared" si="89"/>
        <v>7666</v>
      </c>
    </row>
    <row r="457" spans="1:18" ht="15.75" customHeight="1" x14ac:dyDescent="0.35">
      <c r="A457" s="174" t="s">
        <v>50</v>
      </c>
      <c r="B457" s="140"/>
      <c r="C457" s="140"/>
      <c r="D457" s="140"/>
      <c r="E457" s="207" t="s">
        <v>7</v>
      </c>
      <c r="F457" s="140"/>
      <c r="G457" s="140"/>
      <c r="H457" s="140"/>
      <c r="I457" s="207" t="s">
        <v>7</v>
      </c>
      <c r="J457" s="140"/>
      <c r="K457" s="140"/>
      <c r="L457" s="140"/>
      <c r="M457" s="207" t="s">
        <v>7</v>
      </c>
      <c r="N457" s="140"/>
      <c r="O457" s="140"/>
      <c r="P457" s="140"/>
      <c r="Q457" s="207" t="s">
        <v>7</v>
      </c>
      <c r="R457" s="207" t="s">
        <v>7</v>
      </c>
    </row>
    <row r="458" spans="1:18" ht="15.75" customHeight="1" x14ac:dyDescent="0.35">
      <c r="A458" s="222" t="s">
        <v>321</v>
      </c>
      <c r="B458" s="140">
        <v>0</v>
      </c>
      <c r="C458" s="140">
        <v>0</v>
      </c>
      <c r="D458" s="140">
        <v>0</v>
      </c>
      <c r="E458" s="207">
        <f>SUM(B458:D458)</f>
        <v>0</v>
      </c>
      <c r="F458" s="140">
        <v>0</v>
      </c>
      <c r="G458" s="140">
        <v>0</v>
      </c>
      <c r="H458" s="140">
        <v>0</v>
      </c>
      <c r="I458" s="207">
        <f>SUM(F458:H458)</f>
        <v>0</v>
      </c>
      <c r="J458" s="140">
        <v>0</v>
      </c>
      <c r="K458" s="140">
        <v>0</v>
      </c>
      <c r="L458" s="140">
        <v>0</v>
      </c>
      <c r="M458" s="207">
        <f>SUM(J458:L458)</f>
        <v>0</v>
      </c>
      <c r="N458" s="140">
        <v>0</v>
      </c>
      <c r="O458" s="140">
        <v>0</v>
      </c>
      <c r="P458" s="140">
        <v>0</v>
      </c>
      <c r="Q458" s="207">
        <f>SUM(N458:P458)</f>
        <v>0</v>
      </c>
      <c r="R458" s="207">
        <f>+E458+I458+M458+Q458</f>
        <v>0</v>
      </c>
    </row>
    <row r="459" spans="1:18" ht="15.75" customHeight="1" x14ac:dyDescent="0.35">
      <c r="A459" s="174" t="s">
        <v>51</v>
      </c>
      <c r="B459" s="140"/>
      <c r="C459" s="140"/>
      <c r="D459" s="140"/>
      <c r="E459" s="207" t="s">
        <v>7</v>
      </c>
      <c r="F459" s="140"/>
      <c r="G459" s="140"/>
      <c r="H459" s="140"/>
      <c r="I459" s="207" t="s">
        <v>7</v>
      </c>
      <c r="J459" s="140"/>
      <c r="K459" s="140"/>
      <c r="L459" s="140"/>
      <c r="M459" s="207" t="s">
        <v>7</v>
      </c>
      <c r="N459" s="140"/>
      <c r="O459" s="140"/>
      <c r="P459" s="140"/>
      <c r="Q459" s="207" t="s">
        <v>7</v>
      </c>
      <c r="R459" s="207" t="s">
        <v>7</v>
      </c>
    </row>
    <row r="460" spans="1:18" ht="15.75" customHeight="1" x14ac:dyDescent="0.35">
      <c r="A460" s="174" t="s">
        <v>573</v>
      </c>
      <c r="B460" s="140">
        <v>0</v>
      </c>
      <c r="C460" s="140">
        <v>0</v>
      </c>
      <c r="D460" s="140">
        <v>0</v>
      </c>
      <c r="E460" s="207">
        <f>SUM(B460:D460)</f>
        <v>0</v>
      </c>
      <c r="F460" s="140">
        <v>0</v>
      </c>
      <c r="G460" s="140">
        <v>0</v>
      </c>
      <c r="H460" s="140">
        <v>0</v>
      </c>
      <c r="I460" s="207">
        <f>SUM(F460:H460)</f>
        <v>0</v>
      </c>
      <c r="J460" s="140">
        <v>0</v>
      </c>
      <c r="K460" s="140">
        <v>0</v>
      </c>
      <c r="L460" s="140">
        <v>0</v>
      </c>
      <c r="M460" s="207">
        <f>SUM(J460:L460)</f>
        <v>0</v>
      </c>
      <c r="N460" s="140">
        <v>0</v>
      </c>
      <c r="O460" s="140">
        <v>0</v>
      </c>
      <c r="P460" s="140">
        <v>0</v>
      </c>
      <c r="Q460" s="207">
        <f>SUM(N460:P460)</f>
        <v>0</v>
      </c>
      <c r="R460" s="207">
        <f>+E460+I460+M460+Q460</f>
        <v>0</v>
      </c>
    </row>
    <row r="461" spans="1:18" ht="15.75" customHeight="1" thickBot="1" x14ac:dyDescent="0.4">
      <c r="A461" s="174" t="s">
        <v>53</v>
      </c>
      <c r="B461" s="140"/>
      <c r="C461" s="140"/>
      <c r="D461" s="140"/>
      <c r="E461" s="207" t="s">
        <v>7</v>
      </c>
      <c r="F461" s="140"/>
      <c r="G461" s="140"/>
      <c r="H461" s="140"/>
      <c r="I461" s="207" t="s">
        <v>7</v>
      </c>
      <c r="J461" s="140"/>
      <c r="K461" s="140"/>
      <c r="L461" s="140"/>
      <c r="M461" s="207" t="s">
        <v>7</v>
      </c>
      <c r="N461" s="140"/>
      <c r="O461" s="140"/>
      <c r="P461" s="140"/>
      <c r="Q461" s="207" t="s">
        <v>7</v>
      </c>
      <c r="R461" s="207" t="s">
        <v>7</v>
      </c>
    </row>
    <row r="462" spans="1:18" ht="15.75" customHeight="1" thickBot="1" x14ac:dyDescent="0.4">
      <c r="A462" s="258" t="s">
        <v>54</v>
      </c>
      <c r="B462" s="237">
        <f>SUM(B449:B461)</f>
        <v>751</v>
      </c>
      <c r="C462" s="238">
        <f>SUM(C449:C461)</f>
        <v>239</v>
      </c>
      <c r="D462" s="238">
        <f>SUM(D449:D461)</f>
        <v>1190</v>
      </c>
      <c r="E462" s="211">
        <f>SUM(B462:D462)</f>
        <v>2180</v>
      </c>
      <c r="F462" s="238">
        <f>SUM(F449:F461)</f>
        <v>3863</v>
      </c>
      <c r="G462" s="238">
        <f>SUM(G449:G461)</f>
        <v>3009</v>
      </c>
      <c r="H462" s="238">
        <f>SUM(H449:H461)</f>
        <v>3408</v>
      </c>
      <c r="I462" s="211">
        <f>SUM(F462:H462)</f>
        <v>10280</v>
      </c>
      <c r="J462" s="238">
        <f>SUM(J449:J461)</f>
        <v>3896</v>
      </c>
      <c r="K462" s="238">
        <f>SUM(K449:K461)</f>
        <v>2395</v>
      </c>
      <c r="L462" s="238">
        <f>SUM(L449:L461)</f>
        <v>378</v>
      </c>
      <c r="M462" s="211">
        <f>SUM(J462:L462)</f>
        <v>6669</v>
      </c>
      <c r="N462" s="238">
        <f>SUM(N449:N461)</f>
        <v>169</v>
      </c>
      <c r="O462" s="238">
        <f>SUM(O449:O461)</f>
        <v>226</v>
      </c>
      <c r="P462" s="238">
        <f>SUM(P449:P461)</f>
        <v>0</v>
      </c>
      <c r="Q462" s="211">
        <f>SUM(N462:P462)</f>
        <v>395</v>
      </c>
      <c r="R462" s="211">
        <f>+E462+I462+M462+Q462</f>
        <v>19524</v>
      </c>
    </row>
    <row r="463" spans="1:18" ht="15.75" customHeight="1" x14ac:dyDescent="0.35">
      <c r="A463" s="174" t="s">
        <v>55</v>
      </c>
      <c r="B463" s="140"/>
      <c r="C463" s="140"/>
      <c r="D463" s="140"/>
      <c r="E463" s="207" t="s">
        <v>7</v>
      </c>
      <c r="F463" s="140"/>
      <c r="G463" s="140"/>
      <c r="H463" s="140"/>
      <c r="I463" s="207" t="s">
        <v>7</v>
      </c>
      <c r="J463" s="140"/>
      <c r="K463" s="140"/>
      <c r="L463" s="140"/>
      <c r="M463" s="207" t="s">
        <v>7</v>
      </c>
      <c r="N463" s="140"/>
      <c r="O463" s="140"/>
      <c r="P463" s="140"/>
      <c r="Q463" s="207" t="s">
        <v>7</v>
      </c>
      <c r="R463" s="207" t="s">
        <v>7</v>
      </c>
    </row>
    <row r="464" spans="1:18" ht="15.75" customHeight="1" x14ac:dyDescent="0.35">
      <c r="A464" s="174" t="s">
        <v>57</v>
      </c>
      <c r="B464" s="140"/>
      <c r="C464" s="140"/>
      <c r="D464" s="140"/>
      <c r="E464" s="207" t="s">
        <v>7</v>
      </c>
      <c r="F464" s="140"/>
      <c r="G464" s="140"/>
      <c r="H464" s="140"/>
      <c r="I464" s="207" t="s">
        <v>7</v>
      </c>
      <c r="J464" s="140"/>
      <c r="K464" s="140"/>
      <c r="L464" s="140"/>
      <c r="M464" s="207" t="s">
        <v>7</v>
      </c>
      <c r="N464" s="140"/>
      <c r="O464" s="140"/>
      <c r="P464" s="140"/>
      <c r="Q464" s="207" t="s">
        <v>7</v>
      </c>
      <c r="R464" s="207" t="s">
        <v>7</v>
      </c>
    </row>
    <row r="465" spans="1:18" ht="15.75" customHeight="1" x14ac:dyDescent="0.35">
      <c r="A465" s="222" t="s">
        <v>324</v>
      </c>
      <c r="B465" s="140">
        <v>472</v>
      </c>
      <c r="C465" s="140">
        <v>367</v>
      </c>
      <c r="D465" s="140">
        <v>796</v>
      </c>
      <c r="E465" s="207">
        <f>SUM(B465:D465)</f>
        <v>1635</v>
      </c>
      <c r="F465" s="140">
        <v>0</v>
      </c>
      <c r="G465" s="140">
        <v>0</v>
      </c>
      <c r="H465" s="140">
        <v>0</v>
      </c>
      <c r="I465" s="207">
        <f>SUM(F465:H465)</f>
        <v>0</v>
      </c>
      <c r="J465" s="140">
        <v>0</v>
      </c>
      <c r="K465" s="140">
        <v>0</v>
      </c>
      <c r="L465" s="140">
        <v>0</v>
      </c>
      <c r="M465" s="207">
        <f>SUM(J465:L465)</f>
        <v>0</v>
      </c>
      <c r="N465" s="140">
        <v>0</v>
      </c>
      <c r="O465" s="140">
        <v>0</v>
      </c>
      <c r="P465" s="140">
        <v>0</v>
      </c>
      <c r="Q465" s="207">
        <f>SUM(N465:P465)</f>
        <v>0</v>
      </c>
      <c r="R465" s="207">
        <f>+E465+I465+M465+Q465</f>
        <v>1635</v>
      </c>
    </row>
    <row r="466" spans="1:18" ht="15.75" customHeight="1" thickBot="1" x14ac:dyDescent="0.4">
      <c r="A466" s="174" t="s">
        <v>58</v>
      </c>
      <c r="B466" s="140"/>
      <c r="C466" s="140"/>
      <c r="D466" s="140"/>
      <c r="E466" s="207" t="s">
        <v>7</v>
      </c>
      <c r="F466" s="140"/>
      <c r="G466" s="140"/>
      <c r="H466" s="140"/>
      <c r="I466" s="207" t="s">
        <v>7</v>
      </c>
      <c r="J466" s="140"/>
      <c r="K466" s="140"/>
      <c r="L466" s="140"/>
      <c r="M466" s="207" t="s">
        <v>7</v>
      </c>
      <c r="N466" s="140"/>
      <c r="O466" s="140"/>
      <c r="P466" s="140"/>
      <c r="Q466" s="207" t="s">
        <v>7</v>
      </c>
      <c r="R466" s="207" t="s">
        <v>7</v>
      </c>
    </row>
    <row r="467" spans="1:18" ht="15.75" customHeight="1" thickBot="1" x14ac:dyDescent="0.4">
      <c r="A467" s="209" t="s">
        <v>59</v>
      </c>
      <c r="B467" s="237">
        <f>SUM(B463:B466)</f>
        <v>472</v>
      </c>
      <c r="C467" s="238">
        <f>SUM(C463:C466)</f>
        <v>367</v>
      </c>
      <c r="D467" s="238">
        <f>SUM(D463:D466)</f>
        <v>796</v>
      </c>
      <c r="E467" s="211">
        <f>SUM(B467:D467)</f>
        <v>1635</v>
      </c>
      <c r="F467" s="238">
        <f>SUM(F463:F466)</f>
        <v>0</v>
      </c>
      <c r="G467" s="238">
        <f>SUM(G463:G466)</f>
        <v>0</v>
      </c>
      <c r="H467" s="238">
        <f>SUM(H463:H466)</f>
        <v>0</v>
      </c>
      <c r="I467" s="211">
        <f>SUM(F467:H467)</f>
        <v>0</v>
      </c>
      <c r="J467" s="238">
        <f>SUM(J463:J466)</f>
        <v>0</v>
      </c>
      <c r="K467" s="238">
        <f>SUM(K463:K466)</f>
        <v>0</v>
      </c>
      <c r="L467" s="238">
        <f>SUM(L463:L466)</f>
        <v>0</v>
      </c>
      <c r="M467" s="211">
        <f>SUM(J467:L467)</f>
        <v>0</v>
      </c>
      <c r="N467" s="238">
        <f>SUM(N463:N466)</f>
        <v>0</v>
      </c>
      <c r="O467" s="238">
        <f>SUM(O463:O466)</f>
        <v>0</v>
      </c>
      <c r="P467" s="238">
        <f>SUM(P463:P466)</f>
        <v>0</v>
      </c>
      <c r="Q467" s="211">
        <f>SUM(N467:P467)</f>
        <v>0</v>
      </c>
      <c r="R467" s="211">
        <f>+E467+I467+M467+Q467</f>
        <v>1635</v>
      </c>
    </row>
    <row r="468" spans="1:18" ht="15.75" customHeight="1" x14ac:dyDescent="0.35">
      <c r="A468" s="174" t="s">
        <v>60</v>
      </c>
      <c r="B468" s="140"/>
      <c r="C468" s="140"/>
      <c r="D468" s="140"/>
      <c r="E468" s="207" t="s">
        <v>7</v>
      </c>
      <c r="F468" s="140"/>
      <c r="G468" s="140"/>
      <c r="H468" s="140"/>
      <c r="I468" s="207" t="s">
        <v>7</v>
      </c>
      <c r="J468" s="140"/>
      <c r="K468" s="140"/>
      <c r="L468" s="140"/>
      <c r="M468" s="207" t="s">
        <v>7</v>
      </c>
      <c r="N468" s="140"/>
      <c r="O468" s="140"/>
      <c r="P468" s="140"/>
      <c r="Q468" s="207" t="s">
        <v>7</v>
      </c>
      <c r="R468" s="207" t="s">
        <v>7</v>
      </c>
    </row>
    <row r="469" spans="1:18" ht="15.75" customHeight="1" x14ac:dyDescent="0.35">
      <c r="A469" s="174" t="s">
        <v>61</v>
      </c>
      <c r="B469" s="140"/>
      <c r="C469" s="140"/>
      <c r="D469" s="140"/>
      <c r="E469" s="207" t="s">
        <v>7</v>
      </c>
      <c r="F469" s="140"/>
      <c r="G469" s="140"/>
      <c r="H469" s="140"/>
      <c r="I469" s="207" t="s">
        <v>7</v>
      </c>
      <c r="J469" s="140"/>
      <c r="K469" s="140"/>
      <c r="L469" s="140"/>
      <c r="M469" s="207" t="s">
        <v>7</v>
      </c>
      <c r="N469" s="140"/>
      <c r="O469" s="140"/>
      <c r="P469" s="140"/>
      <c r="Q469" s="207" t="s">
        <v>7</v>
      </c>
      <c r="R469" s="207" t="s">
        <v>7</v>
      </c>
    </row>
    <row r="470" spans="1:18" ht="15.75" customHeight="1" thickBot="1" x14ac:dyDescent="0.4">
      <c r="A470" s="174" t="s">
        <v>62</v>
      </c>
      <c r="B470" s="140"/>
      <c r="C470" s="140"/>
      <c r="D470" s="140"/>
      <c r="E470" s="207" t="s">
        <v>7</v>
      </c>
      <c r="F470" s="140"/>
      <c r="G470" s="140"/>
      <c r="H470" s="140"/>
      <c r="I470" s="207" t="s">
        <v>7</v>
      </c>
      <c r="J470" s="140"/>
      <c r="K470" s="140"/>
      <c r="L470" s="140"/>
      <c r="M470" s="207" t="s">
        <v>7</v>
      </c>
      <c r="N470" s="140"/>
      <c r="O470" s="140"/>
      <c r="P470" s="140"/>
      <c r="Q470" s="207" t="s">
        <v>7</v>
      </c>
      <c r="R470" s="207" t="s">
        <v>7</v>
      </c>
    </row>
    <row r="471" spans="1:18" ht="15.75" customHeight="1" thickBot="1" x14ac:dyDescent="0.4">
      <c r="A471" s="259" t="s">
        <v>63</v>
      </c>
      <c r="B471" s="237">
        <f>SUM(B468:B470)</f>
        <v>0</v>
      </c>
      <c r="C471" s="238">
        <f>SUM(C468:C470)</f>
        <v>0</v>
      </c>
      <c r="D471" s="238">
        <f>SUM(D468:D470)</f>
        <v>0</v>
      </c>
      <c r="E471" s="211">
        <f>SUM(B471:D471)</f>
        <v>0</v>
      </c>
      <c r="F471" s="238">
        <f>SUM(F468:F470)</f>
        <v>0</v>
      </c>
      <c r="G471" s="238">
        <f>SUM(G468:G470)</f>
        <v>0</v>
      </c>
      <c r="H471" s="238">
        <f>SUM(H468:H470)</f>
        <v>0</v>
      </c>
      <c r="I471" s="211">
        <f>SUM(F471:H471)</f>
        <v>0</v>
      </c>
      <c r="J471" s="238">
        <f>SUM(J468:J470)</f>
        <v>0</v>
      </c>
      <c r="K471" s="238">
        <f>SUM(K468:K470)</f>
        <v>0</v>
      </c>
      <c r="L471" s="238">
        <f>SUM(L468:L470)</f>
        <v>0</v>
      </c>
      <c r="M471" s="211">
        <f>SUM(J471:L471)</f>
        <v>0</v>
      </c>
      <c r="N471" s="238">
        <f>SUM(N468:N470)</f>
        <v>0</v>
      </c>
      <c r="O471" s="238">
        <f>SUM(O468:O470)</f>
        <v>0</v>
      </c>
      <c r="P471" s="238">
        <f>SUM(P468:P470)</f>
        <v>0</v>
      </c>
      <c r="Q471" s="211">
        <f>SUM(N471:P471)</f>
        <v>0</v>
      </c>
      <c r="R471" s="211">
        <f>+E471+I471+M471+Q471</f>
        <v>0</v>
      </c>
    </row>
    <row r="472" spans="1:18" ht="15.75" customHeight="1" x14ac:dyDescent="0.35">
      <c r="A472" s="174" t="s">
        <v>64</v>
      </c>
      <c r="B472" s="140"/>
      <c r="C472" s="140"/>
      <c r="D472" s="140"/>
      <c r="E472" s="207" t="s">
        <v>7</v>
      </c>
      <c r="F472" s="140"/>
      <c r="G472" s="140"/>
      <c r="H472" s="140"/>
      <c r="I472" s="207" t="s">
        <v>7</v>
      </c>
      <c r="J472" s="140"/>
      <c r="K472" s="140"/>
      <c r="L472" s="140"/>
      <c r="M472" s="207" t="s">
        <v>7</v>
      </c>
      <c r="N472" s="140"/>
      <c r="O472" s="140"/>
      <c r="P472" s="140"/>
      <c r="Q472" s="207" t="s">
        <v>7</v>
      </c>
      <c r="R472" s="207" t="s">
        <v>7</v>
      </c>
    </row>
    <row r="473" spans="1:18" ht="15.75" customHeight="1" x14ac:dyDescent="0.35">
      <c r="A473" s="174" t="s">
        <v>65</v>
      </c>
      <c r="B473" s="140"/>
      <c r="C473" s="140"/>
      <c r="D473" s="140"/>
      <c r="E473" s="207" t="s">
        <v>7</v>
      </c>
      <c r="F473" s="140"/>
      <c r="G473" s="140"/>
      <c r="H473" s="140"/>
      <c r="I473" s="207" t="s">
        <v>7</v>
      </c>
      <c r="J473" s="140"/>
      <c r="K473" s="140"/>
      <c r="L473" s="140"/>
      <c r="M473" s="207" t="s">
        <v>7</v>
      </c>
      <c r="N473" s="140"/>
      <c r="O473" s="140"/>
      <c r="P473" s="140"/>
      <c r="Q473" s="207" t="s">
        <v>7</v>
      </c>
      <c r="R473" s="207" t="s">
        <v>7</v>
      </c>
    </row>
    <row r="474" spans="1:18" ht="15.75" customHeight="1" x14ac:dyDescent="0.35">
      <c r="A474" s="222" t="s">
        <v>574</v>
      </c>
      <c r="B474" s="140">
        <v>0</v>
      </c>
      <c r="C474" s="140">
        <v>0</v>
      </c>
      <c r="D474" s="140">
        <v>0</v>
      </c>
      <c r="E474" s="207">
        <f>SUM(B474:D474)</f>
        <v>0</v>
      </c>
      <c r="F474" s="140">
        <v>0</v>
      </c>
      <c r="G474" s="140">
        <v>0</v>
      </c>
      <c r="H474" s="140">
        <v>0</v>
      </c>
      <c r="I474" s="207">
        <f>SUM(F474:H474)</f>
        <v>0</v>
      </c>
      <c r="J474" s="140">
        <v>0</v>
      </c>
      <c r="K474" s="140">
        <v>0</v>
      </c>
      <c r="L474" s="140">
        <v>0</v>
      </c>
      <c r="M474" s="207">
        <f>SUM(J474:L474)</f>
        <v>0</v>
      </c>
      <c r="N474" s="140">
        <v>0</v>
      </c>
      <c r="O474" s="140">
        <v>0</v>
      </c>
      <c r="P474" s="140">
        <v>0</v>
      </c>
      <c r="Q474" s="207">
        <f>SUM(N474:P474)</f>
        <v>0</v>
      </c>
      <c r="R474" s="207">
        <f>+E474+I474+M474+Q474</f>
        <v>0</v>
      </c>
    </row>
    <row r="475" spans="1:18" ht="15.75" customHeight="1" x14ac:dyDescent="0.35">
      <c r="A475" s="222" t="s">
        <v>326</v>
      </c>
      <c r="B475" s="140">
        <v>0</v>
      </c>
      <c r="C475" s="140">
        <v>0</v>
      </c>
      <c r="D475" s="140">
        <v>0</v>
      </c>
      <c r="E475" s="207">
        <f>SUM(B475:D475)</f>
        <v>0</v>
      </c>
      <c r="F475" s="140">
        <v>0</v>
      </c>
      <c r="G475" s="140">
        <v>0</v>
      </c>
      <c r="H475" s="140">
        <v>0</v>
      </c>
      <c r="I475" s="207">
        <f>SUM(F475:H475)</f>
        <v>0</v>
      </c>
      <c r="J475" s="140">
        <v>0</v>
      </c>
      <c r="K475" s="140">
        <v>0</v>
      </c>
      <c r="L475" s="140">
        <v>0</v>
      </c>
      <c r="M475" s="207">
        <f>SUM(J475:L475)</f>
        <v>0</v>
      </c>
      <c r="N475" s="140">
        <v>0</v>
      </c>
      <c r="O475" s="140">
        <v>0</v>
      </c>
      <c r="P475" s="140">
        <v>0</v>
      </c>
      <c r="Q475" s="207">
        <f>SUM(N475:P475)</f>
        <v>0</v>
      </c>
      <c r="R475" s="207">
        <f>+E475+I475+M475+Q475</f>
        <v>0</v>
      </c>
    </row>
    <row r="476" spans="1:18" ht="15.75" customHeight="1" x14ac:dyDescent="0.35">
      <c r="A476" s="222" t="s">
        <v>327</v>
      </c>
      <c r="B476" s="140">
        <v>0</v>
      </c>
      <c r="C476" s="140">
        <v>0</v>
      </c>
      <c r="D476" s="140">
        <v>0</v>
      </c>
      <c r="E476" s="207">
        <f>SUM(B476:D476)</f>
        <v>0</v>
      </c>
      <c r="F476" s="140">
        <v>0</v>
      </c>
      <c r="G476" s="140">
        <v>0</v>
      </c>
      <c r="H476" s="140">
        <v>2086</v>
      </c>
      <c r="I476" s="207">
        <f>SUM(F476:H476)</f>
        <v>2086</v>
      </c>
      <c r="J476" s="140">
        <v>3702</v>
      </c>
      <c r="K476" s="140">
        <v>3301</v>
      </c>
      <c r="L476" s="140">
        <v>3778</v>
      </c>
      <c r="M476" s="207">
        <f>SUM(J476:L476)</f>
        <v>10781</v>
      </c>
      <c r="N476" s="140">
        <v>2133</v>
      </c>
      <c r="O476" s="140">
        <v>0</v>
      </c>
      <c r="P476" s="140">
        <v>0</v>
      </c>
      <c r="Q476" s="207">
        <f>SUM(N476:P476)</f>
        <v>2133</v>
      </c>
      <c r="R476" s="207">
        <f>+E476+I476+M476+Q476</f>
        <v>15000</v>
      </c>
    </row>
    <row r="477" spans="1:18" ht="15.75" customHeight="1" x14ac:dyDescent="0.35">
      <c r="A477" s="222" t="s">
        <v>572</v>
      </c>
      <c r="B477" s="140">
        <v>778</v>
      </c>
      <c r="C477" s="140">
        <v>0</v>
      </c>
      <c r="D477" s="140">
        <v>0</v>
      </c>
      <c r="E477" s="207">
        <f>SUM(B477:D477)</f>
        <v>778</v>
      </c>
      <c r="F477" s="140">
        <v>722</v>
      </c>
      <c r="G477" s="140">
        <v>0</v>
      </c>
      <c r="H477" s="140">
        <v>0</v>
      </c>
      <c r="I477" s="207">
        <f>SUM(F477:H477)</f>
        <v>722</v>
      </c>
      <c r="J477" s="140">
        <v>0</v>
      </c>
      <c r="K477" s="140">
        <v>0</v>
      </c>
      <c r="L477" s="140">
        <v>0</v>
      </c>
      <c r="M477" s="207">
        <f>SUM(J477:L477)</f>
        <v>0</v>
      </c>
      <c r="N477" s="140">
        <v>0</v>
      </c>
      <c r="O477" s="140">
        <v>0</v>
      </c>
      <c r="P477" s="140">
        <v>0</v>
      </c>
      <c r="Q477" s="207">
        <f>SUM(N477:P477)</f>
        <v>0</v>
      </c>
      <c r="R477" s="207">
        <f>+E477+I477+M477+Q477</f>
        <v>1500</v>
      </c>
    </row>
    <row r="478" spans="1:18" ht="15.75" customHeight="1" x14ac:dyDescent="0.35">
      <c r="A478" s="174" t="s">
        <v>67</v>
      </c>
      <c r="B478" s="140"/>
      <c r="C478" s="140"/>
      <c r="D478" s="140"/>
      <c r="E478" s="207" t="s">
        <v>7</v>
      </c>
      <c r="F478" s="140"/>
      <c r="G478" s="140"/>
      <c r="H478" s="140"/>
      <c r="I478" s="207" t="s">
        <v>7</v>
      </c>
      <c r="J478" s="140"/>
      <c r="K478" s="140"/>
      <c r="L478" s="140"/>
      <c r="M478" s="207" t="s">
        <v>7</v>
      </c>
      <c r="N478" s="140"/>
      <c r="O478" s="140"/>
      <c r="P478" s="140"/>
      <c r="Q478" s="207" t="s">
        <v>7</v>
      </c>
      <c r="R478" s="207" t="s">
        <v>7</v>
      </c>
    </row>
    <row r="479" spans="1:18" ht="15.75" customHeight="1" x14ac:dyDescent="0.35">
      <c r="A479" s="222" t="s">
        <v>328</v>
      </c>
      <c r="B479" s="140">
        <v>480</v>
      </c>
      <c r="C479" s="140">
        <v>0</v>
      </c>
      <c r="D479" s="140">
        <v>0</v>
      </c>
      <c r="E479" s="207">
        <f>SUM(B479:D479)</f>
        <v>480</v>
      </c>
      <c r="F479" s="140">
        <v>605</v>
      </c>
      <c r="G479" s="140">
        <v>763</v>
      </c>
      <c r="H479" s="140">
        <v>610</v>
      </c>
      <c r="I479" s="207">
        <f>SUM(F479:H479)</f>
        <v>1978</v>
      </c>
      <c r="J479" s="140">
        <v>389</v>
      </c>
      <c r="K479" s="140">
        <v>132</v>
      </c>
      <c r="L479" s="140">
        <v>22</v>
      </c>
      <c r="M479" s="207">
        <f>SUM(J479:L479)</f>
        <v>543</v>
      </c>
      <c r="N479" s="140">
        <v>0</v>
      </c>
      <c r="O479" s="140">
        <v>0</v>
      </c>
      <c r="P479" s="140">
        <v>0</v>
      </c>
      <c r="Q479" s="207">
        <f>SUM(N479:P479)</f>
        <v>0</v>
      </c>
      <c r="R479" s="207">
        <f>+E479+I479+M479+Q479</f>
        <v>3001</v>
      </c>
    </row>
    <row r="480" spans="1:18" ht="15.75" customHeight="1" x14ac:dyDescent="0.35">
      <c r="A480" s="222" t="s">
        <v>329</v>
      </c>
      <c r="B480" s="140">
        <v>0</v>
      </c>
      <c r="C480" s="140">
        <v>0</v>
      </c>
      <c r="D480" s="140">
        <v>0</v>
      </c>
      <c r="E480" s="207">
        <f>SUM(B480:D480)</f>
        <v>0</v>
      </c>
      <c r="F480" s="140">
        <v>0</v>
      </c>
      <c r="G480" s="140">
        <v>0</v>
      </c>
      <c r="H480" s="140">
        <v>0</v>
      </c>
      <c r="I480" s="207">
        <f>SUM(F480:H480)</f>
        <v>0</v>
      </c>
      <c r="J480" s="140">
        <v>0</v>
      </c>
      <c r="K480" s="140">
        <v>0</v>
      </c>
      <c r="L480" s="140">
        <v>0</v>
      </c>
      <c r="M480" s="207">
        <f>SUM(J480:L480)</f>
        <v>0</v>
      </c>
      <c r="N480" s="140">
        <v>0</v>
      </c>
      <c r="O480" s="140">
        <v>3</v>
      </c>
      <c r="P480" s="140">
        <v>567</v>
      </c>
      <c r="Q480" s="207">
        <f>SUM(N480:P480)</f>
        <v>570</v>
      </c>
      <c r="R480" s="207">
        <f>+E480+I480+M480+Q480</f>
        <v>570</v>
      </c>
    </row>
    <row r="481" spans="1:18" ht="15.75" customHeight="1" x14ac:dyDescent="0.35">
      <c r="A481" s="222" t="s">
        <v>330</v>
      </c>
      <c r="B481" s="140">
        <v>2000</v>
      </c>
      <c r="C481" s="140">
        <v>0</v>
      </c>
      <c r="D481" s="140">
        <v>0</v>
      </c>
      <c r="E481" s="207">
        <f>SUM(B481:D481)</f>
        <v>2000</v>
      </c>
      <c r="F481" s="140">
        <v>1855</v>
      </c>
      <c r="G481" s="140">
        <v>2145</v>
      </c>
      <c r="H481" s="140">
        <v>0</v>
      </c>
      <c r="I481" s="207">
        <f>SUM(F481:H481)</f>
        <v>4000</v>
      </c>
      <c r="J481" s="140">
        <v>0</v>
      </c>
      <c r="K481" s="140">
        <v>0</v>
      </c>
      <c r="L481" s="140">
        <v>0</v>
      </c>
      <c r="M481" s="207">
        <f>SUM(J481:L481)</f>
        <v>0</v>
      </c>
      <c r="N481" s="140">
        <v>74</v>
      </c>
      <c r="O481" s="140">
        <v>0</v>
      </c>
      <c r="P481" s="140">
        <v>0</v>
      </c>
      <c r="Q481" s="207">
        <f>SUM(N481:P481)</f>
        <v>74</v>
      </c>
      <c r="R481" s="207">
        <f>+E481+I481+M481+Q481</f>
        <v>6074</v>
      </c>
    </row>
    <row r="482" spans="1:18" ht="15.75" customHeight="1" x14ac:dyDescent="0.35">
      <c r="A482" s="222" t="s">
        <v>331</v>
      </c>
      <c r="B482" s="140">
        <v>0</v>
      </c>
      <c r="C482" s="140">
        <v>0</v>
      </c>
      <c r="D482" s="140">
        <v>0</v>
      </c>
      <c r="E482" s="207">
        <f>SUM(B482:D482)</f>
        <v>0</v>
      </c>
      <c r="F482" s="140">
        <v>0</v>
      </c>
      <c r="G482" s="140">
        <v>0</v>
      </c>
      <c r="H482" s="140">
        <v>0</v>
      </c>
      <c r="I482" s="207">
        <f>SUM(F482:H482)</f>
        <v>0</v>
      </c>
      <c r="J482" s="140">
        <v>0</v>
      </c>
      <c r="K482" s="140">
        <v>0</v>
      </c>
      <c r="L482" s="140">
        <v>0</v>
      </c>
      <c r="M482" s="207">
        <f>SUM(J482:L482)</f>
        <v>0</v>
      </c>
      <c r="N482" s="140">
        <v>0</v>
      </c>
      <c r="O482" s="140">
        <v>178</v>
      </c>
      <c r="P482" s="140">
        <v>3832</v>
      </c>
      <c r="Q482" s="207">
        <f>SUM(N482:P482)</f>
        <v>4010</v>
      </c>
      <c r="R482" s="207">
        <f>+E482+I482+M482+Q482</f>
        <v>4010</v>
      </c>
    </row>
    <row r="483" spans="1:18" ht="15.75" customHeight="1" x14ac:dyDescent="0.35">
      <c r="A483" s="174" t="s">
        <v>69</v>
      </c>
      <c r="B483" s="140"/>
      <c r="C483" s="140"/>
      <c r="D483" s="140"/>
      <c r="E483" s="207" t="s">
        <v>7</v>
      </c>
      <c r="F483" s="140"/>
      <c r="G483" s="140"/>
      <c r="H483" s="140"/>
      <c r="I483" s="207" t="s">
        <v>7</v>
      </c>
      <c r="J483" s="140"/>
      <c r="K483" s="140"/>
      <c r="L483" s="140"/>
      <c r="M483" s="207" t="s">
        <v>7</v>
      </c>
      <c r="N483" s="140"/>
      <c r="O483" s="140"/>
      <c r="P483" s="140"/>
      <c r="Q483" s="207" t="s">
        <v>7</v>
      </c>
      <c r="R483" s="207" t="s">
        <v>7</v>
      </c>
    </row>
    <row r="484" spans="1:18" ht="15.75" customHeight="1" x14ac:dyDescent="0.35">
      <c r="A484" s="222" t="s">
        <v>320</v>
      </c>
      <c r="B484" s="140">
        <v>0</v>
      </c>
      <c r="C484" s="140">
        <v>0</v>
      </c>
      <c r="D484" s="140">
        <v>0</v>
      </c>
      <c r="E484" s="207">
        <f>SUM(B484:D484)</f>
        <v>0</v>
      </c>
      <c r="F484" s="140">
        <v>85</v>
      </c>
      <c r="G484" s="140">
        <v>0</v>
      </c>
      <c r="H484" s="140">
        <v>0</v>
      </c>
      <c r="I484" s="207">
        <f>SUM(F484:H484)</f>
        <v>85</v>
      </c>
      <c r="J484" s="140">
        <v>0</v>
      </c>
      <c r="K484" s="140">
        <v>0</v>
      </c>
      <c r="L484" s="140">
        <v>0</v>
      </c>
      <c r="M484" s="207">
        <f>SUM(J484:L484)</f>
        <v>0</v>
      </c>
      <c r="N484" s="140">
        <v>0</v>
      </c>
      <c r="O484" s="140">
        <v>0</v>
      </c>
      <c r="P484" s="140">
        <v>0</v>
      </c>
      <c r="Q484" s="207">
        <f>SUM(N484:P484)</f>
        <v>0</v>
      </c>
      <c r="R484" s="207">
        <f>+E484+I484+M484+Q484</f>
        <v>85</v>
      </c>
    </row>
    <row r="485" spans="1:18" ht="15.75" customHeight="1" x14ac:dyDescent="0.35">
      <c r="A485" s="222" t="s">
        <v>318</v>
      </c>
      <c r="B485" s="140">
        <v>0</v>
      </c>
      <c r="C485" s="140">
        <v>0</v>
      </c>
      <c r="D485" s="140">
        <v>0</v>
      </c>
      <c r="E485" s="207">
        <f>SUM(B485:D485)</f>
        <v>0</v>
      </c>
      <c r="F485" s="140">
        <v>0</v>
      </c>
      <c r="G485" s="140">
        <v>0</v>
      </c>
      <c r="H485" s="140">
        <v>0</v>
      </c>
      <c r="I485" s="207">
        <f>SUM(F485:H485)</f>
        <v>0</v>
      </c>
      <c r="J485" s="140">
        <v>0</v>
      </c>
      <c r="K485" s="140">
        <v>1331</v>
      </c>
      <c r="L485" s="140">
        <v>12</v>
      </c>
      <c r="M485" s="207">
        <f>SUM(J485:L485)</f>
        <v>1343</v>
      </c>
      <c r="N485" s="140">
        <v>0</v>
      </c>
      <c r="O485" s="140">
        <v>0</v>
      </c>
      <c r="P485" s="140">
        <v>0</v>
      </c>
      <c r="Q485" s="207">
        <f>SUM(N485:P485)</f>
        <v>0</v>
      </c>
      <c r="R485" s="207">
        <f>+E485+I485+M485+Q485</f>
        <v>1343</v>
      </c>
    </row>
    <row r="486" spans="1:18" ht="15.75" customHeight="1" thickBot="1" x14ac:dyDescent="0.4">
      <c r="A486" s="174" t="s">
        <v>70</v>
      </c>
      <c r="B486" s="140"/>
      <c r="C486" s="140"/>
      <c r="D486" s="140"/>
      <c r="E486" s="207" t="s">
        <v>7</v>
      </c>
      <c r="F486" s="140"/>
      <c r="G486" s="140"/>
      <c r="H486" s="140"/>
      <c r="I486" s="207" t="s">
        <v>7</v>
      </c>
      <c r="J486" s="140"/>
      <c r="K486" s="140"/>
      <c r="L486" s="140"/>
      <c r="M486" s="207" t="s">
        <v>7</v>
      </c>
      <c r="N486" s="140"/>
      <c r="O486" s="140"/>
      <c r="P486" s="140"/>
      <c r="Q486" s="207" t="s">
        <v>7</v>
      </c>
      <c r="R486" s="207" t="s">
        <v>7</v>
      </c>
    </row>
    <row r="487" spans="1:18" ht="15.75" customHeight="1" thickBot="1" x14ac:dyDescent="0.4">
      <c r="A487" s="209" t="s">
        <v>71</v>
      </c>
      <c r="B487" s="210">
        <f>SUM(B485:B486)</f>
        <v>0</v>
      </c>
      <c r="C487" s="210">
        <f>SUM(C485:C486)</f>
        <v>0</v>
      </c>
      <c r="D487" s="210">
        <f>SUM(D485:D486)</f>
        <v>0</v>
      </c>
      <c r="E487" s="212">
        <f>SUM(B487:D487)</f>
        <v>0</v>
      </c>
      <c r="F487" s="210">
        <f>SUM(F485:F486)</f>
        <v>0</v>
      </c>
      <c r="G487" s="210">
        <f>SUM(G485:G486)</f>
        <v>0</v>
      </c>
      <c r="H487" s="210">
        <f>SUM(H485:H486)</f>
        <v>0</v>
      </c>
      <c r="I487" s="212">
        <f>SUM(F487:H487)</f>
        <v>0</v>
      </c>
      <c r="J487" s="210">
        <f>SUM(J485:J486)</f>
        <v>0</v>
      </c>
      <c r="K487" s="210">
        <f>SUM(K485:K486)</f>
        <v>1331</v>
      </c>
      <c r="L487" s="210">
        <f>SUM(L485:L486)</f>
        <v>12</v>
      </c>
      <c r="M487" s="212">
        <f>SUM(J487:L487)</f>
        <v>1343</v>
      </c>
      <c r="N487" s="210">
        <f>SUM(N485:N486)</f>
        <v>0</v>
      </c>
      <c r="O487" s="210">
        <f>SUM(O485:O486)</f>
        <v>0</v>
      </c>
      <c r="P487" s="210">
        <f>SUM(P485:P486)</f>
        <v>0</v>
      </c>
      <c r="Q487" s="212">
        <f>SUM(N487:P487)</f>
        <v>0</v>
      </c>
      <c r="R487" s="211">
        <f>+E487+I487+M487+Q487</f>
        <v>1343</v>
      </c>
    </row>
    <row r="488" spans="1:18" ht="15.75" customHeight="1" thickBot="1" x14ac:dyDescent="0.4">
      <c r="A488" s="259" t="s">
        <v>72</v>
      </c>
      <c r="B488" s="237">
        <f>SUM(B472:B486)</f>
        <v>3258</v>
      </c>
      <c r="C488" s="238">
        <f>SUM(C472:C486)</f>
        <v>0</v>
      </c>
      <c r="D488" s="260">
        <f>SUM(D472:D486)</f>
        <v>0</v>
      </c>
      <c r="E488" s="212">
        <f>SUM(B488:D488)</f>
        <v>3258</v>
      </c>
      <c r="F488" s="238">
        <f>SUM(F472:F486)</f>
        <v>3267</v>
      </c>
      <c r="G488" s="238">
        <f>SUM(G472:G486)</f>
        <v>2908</v>
      </c>
      <c r="H488" s="238">
        <f>SUM(H472:H486)</f>
        <v>2696</v>
      </c>
      <c r="I488" s="212">
        <f>SUM(F488:H488)</f>
        <v>8871</v>
      </c>
      <c r="J488" s="238">
        <f>SUM(J472:J486)</f>
        <v>4091</v>
      </c>
      <c r="K488" s="238">
        <f>SUM(K472:K486)</f>
        <v>4764</v>
      </c>
      <c r="L488" s="238">
        <f>SUM(L472:L486)</f>
        <v>3812</v>
      </c>
      <c r="M488" s="212">
        <f>SUM(J488:L488)</f>
        <v>12667</v>
      </c>
      <c r="N488" s="238">
        <f>SUM(N472:N486)</f>
        <v>2207</v>
      </c>
      <c r="O488" s="238">
        <f>SUM(O472:O486)</f>
        <v>181</v>
      </c>
      <c r="P488" s="238">
        <f>SUM(P472:P486)</f>
        <v>4399</v>
      </c>
      <c r="Q488" s="212">
        <f>SUM(N488:P488)</f>
        <v>6787</v>
      </c>
      <c r="R488" s="211">
        <f>+E488+I488+M488+Q488</f>
        <v>31583</v>
      </c>
    </row>
    <row r="489" spans="1:18" ht="15.75" customHeight="1" thickBot="1" x14ac:dyDescent="0.4">
      <c r="A489" s="209" t="s">
        <v>73</v>
      </c>
      <c r="B489" s="240">
        <f>+B462+B467+B471+B488</f>
        <v>4481</v>
      </c>
      <c r="C489" s="210">
        <f>+C462+C467+C471+C488</f>
        <v>606</v>
      </c>
      <c r="D489" s="210">
        <f>+D462+D467+D471+D488</f>
        <v>1986</v>
      </c>
      <c r="E489" s="211">
        <f>SUM(B489:D489)</f>
        <v>7073</v>
      </c>
      <c r="F489" s="210">
        <f>+F462+F467+F471+F488</f>
        <v>7130</v>
      </c>
      <c r="G489" s="210">
        <f>+G462+G467+G471+G488</f>
        <v>5917</v>
      </c>
      <c r="H489" s="210">
        <f>+H462+H467+H471+H488</f>
        <v>6104</v>
      </c>
      <c r="I489" s="211">
        <f>SUM(F489:H489)</f>
        <v>19151</v>
      </c>
      <c r="J489" s="210">
        <f>+J462+J467+J471+J488</f>
        <v>7987</v>
      </c>
      <c r="K489" s="210">
        <f>+K462+K467+K471+K488</f>
        <v>7159</v>
      </c>
      <c r="L489" s="210">
        <f>+L462+L467+L471+L488</f>
        <v>4190</v>
      </c>
      <c r="M489" s="211">
        <f>SUM(J489:L489)</f>
        <v>19336</v>
      </c>
      <c r="N489" s="210">
        <f>+N462+N467+N471+N488</f>
        <v>2376</v>
      </c>
      <c r="O489" s="210">
        <f>+O462+O467+O471+O488</f>
        <v>407</v>
      </c>
      <c r="P489" s="210">
        <f>+P462+P467+P471+P488</f>
        <v>4399</v>
      </c>
      <c r="Q489" s="211">
        <f>SUM(N489:P489)</f>
        <v>7182</v>
      </c>
      <c r="R489" s="231">
        <f>+E489+I489+M489+Q489</f>
        <v>52742</v>
      </c>
    </row>
    <row r="490" spans="1:18" ht="15.75" customHeight="1" thickBot="1" x14ac:dyDescent="0.4">
      <c r="A490" s="196" t="s">
        <v>40</v>
      </c>
      <c r="B490" s="180">
        <v>17</v>
      </c>
      <c r="C490" s="180">
        <v>47</v>
      </c>
      <c r="D490" s="180">
        <v>84</v>
      </c>
      <c r="E490" s="207">
        <f>SUM(B490:D490)</f>
        <v>148</v>
      </c>
      <c r="F490" s="180">
        <v>116</v>
      </c>
      <c r="G490" s="180">
        <v>132</v>
      </c>
      <c r="H490" s="180">
        <v>138</v>
      </c>
      <c r="I490" s="207">
        <f>SUM(F490:H490)</f>
        <v>386</v>
      </c>
      <c r="J490" s="180">
        <v>126</v>
      </c>
      <c r="K490" s="180">
        <v>95</v>
      </c>
      <c r="L490" s="180">
        <v>99</v>
      </c>
      <c r="M490" s="207">
        <f>SUM(J490:L490)</f>
        <v>320</v>
      </c>
      <c r="N490" s="180">
        <v>91</v>
      </c>
      <c r="O490" s="180">
        <v>67</v>
      </c>
      <c r="P490" s="180">
        <v>38</v>
      </c>
      <c r="Q490" s="207">
        <f>SUM(N490:P490)</f>
        <v>196</v>
      </c>
      <c r="R490" s="207">
        <f>+E490+I490+M490+Q490</f>
        <v>1050</v>
      </c>
    </row>
    <row r="491" spans="1:18" ht="15.75" customHeight="1" thickBot="1" x14ac:dyDescent="0.4">
      <c r="A491" s="198"/>
      <c r="B491" s="193"/>
      <c r="C491" s="193"/>
      <c r="D491" s="193"/>
      <c r="E491" s="199"/>
      <c r="F491" s="193"/>
      <c r="G491" s="193"/>
      <c r="H491" s="193"/>
      <c r="I491" s="199"/>
      <c r="J491" s="193"/>
      <c r="K491" s="193"/>
      <c r="L491" s="193"/>
      <c r="M491" s="199"/>
      <c r="N491" s="193"/>
      <c r="O491" s="193"/>
      <c r="P491" s="193"/>
      <c r="Q491" s="199"/>
      <c r="R491" s="199"/>
    </row>
    <row r="492" spans="1:18" ht="15.75" customHeight="1" x14ac:dyDescent="0.35">
      <c r="A492" s="226" t="s">
        <v>314</v>
      </c>
      <c r="B492" s="227">
        <f>SUM(B489:B490)</f>
        <v>4498</v>
      </c>
      <c r="C492" s="227">
        <f>SUM(C489:C490)</f>
        <v>653</v>
      </c>
      <c r="D492" s="227">
        <f>SUM(D489:D490)</f>
        <v>2070</v>
      </c>
      <c r="E492" s="212">
        <f>SUM(B492:D492)</f>
        <v>7221</v>
      </c>
      <c r="F492" s="227">
        <f>SUM(F489:F490)</f>
        <v>7246</v>
      </c>
      <c r="G492" s="227">
        <f>SUM(G489:G490)</f>
        <v>6049</v>
      </c>
      <c r="H492" s="227">
        <f>SUM(H489:H490)</f>
        <v>6242</v>
      </c>
      <c r="I492" s="212">
        <f>SUM(F492:H492)</f>
        <v>19537</v>
      </c>
      <c r="J492" s="227">
        <f>SUM(J489:J490)</f>
        <v>8113</v>
      </c>
      <c r="K492" s="227">
        <f>SUM(K489:K490)</f>
        <v>7254</v>
      </c>
      <c r="L492" s="227">
        <f>SUM(L489:L490)</f>
        <v>4289</v>
      </c>
      <c r="M492" s="212">
        <f>SUM(J492:L492)</f>
        <v>19656</v>
      </c>
      <c r="N492" s="227">
        <f>SUM(N489:N490)</f>
        <v>2467</v>
      </c>
      <c r="O492" s="227">
        <f>SUM(O489:O490)</f>
        <v>474</v>
      </c>
      <c r="P492" s="227">
        <f>SUM(P489:P490)</f>
        <v>4437</v>
      </c>
      <c r="Q492" s="212">
        <f>SUM(N492:P492)</f>
        <v>7378</v>
      </c>
      <c r="R492" s="212">
        <f>+E492+I492+M492+Q492</f>
        <v>53792</v>
      </c>
    </row>
    <row r="493" spans="1:18" ht="15.75" customHeight="1" x14ac:dyDescent="0.35">
      <c r="A493" s="229" t="s">
        <v>42</v>
      </c>
      <c r="B493" s="140">
        <f>(B492/31)/1.983</f>
        <v>73.170334943796462</v>
      </c>
      <c r="C493" s="140">
        <f>(C492/28)/1.983</f>
        <v>11.760680066277645</v>
      </c>
      <c r="D493" s="140">
        <f>(D492/31)/1.983</f>
        <v>33.673319994143775</v>
      </c>
      <c r="E493" s="207" t="s">
        <v>7</v>
      </c>
      <c r="F493" s="140">
        <f>(F492/30)/1.983</f>
        <v>121.80198352664313</v>
      </c>
      <c r="G493" s="140">
        <f>(G492/31)/1.983</f>
        <v>98.400923982886795</v>
      </c>
      <c r="H493" s="140">
        <f>(H492/30)/1.983</f>
        <v>104.92519751218691</v>
      </c>
      <c r="I493" s="207" t="s">
        <v>7</v>
      </c>
      <c r="J493" s="140">
        <f>(J492/31)/1.983</f>
        <v>131.97664015096058</v>
      </c>
      <c r="K493" s="140">
        <f>(K492/31)/1.983</f>
        <v>118.00302571860816</v>
      </c>
      <c r="L493" s="140">
        <f>(L492/30)/1.983</f>
        <v>72.096150613548488</v>
      </c>
      <c r="M493" s="207" t="s">
        <v>7</v>
      </c>
      <c r="N493" s="140">
        <f>(N492/31)/1.983</f>
        <v>40.13143981910757</v>
      </c>
      <c r="O493" s="140">
        <f>(O492/30)/1.983</f>
        <v>7.9677256681795257</v>
      </c>
      <c r="P493" s="140">
        <f>(P492/31)/1.983</f>
        <v>72.178029378751646</v>
      </c>
      <c r="Q493" s="207" t="s">
        <v>7</v>
      </c>
      <c r="R493" s="207" t="s">
        <v>7</v>
      </c>
    </row>
    <row r="494" spans="1:18" ht="15.75" customHeight="1" x14ac:dyDescent="0.35">
      <c r="A494" s="229" t="s">
        <v>332</v>
      </c>
      <c r="B494" s="140">
        <f>B492+B504</f>
        <v>20523</v>
      </c>
      <c r="C494" s="140">
        <f>C492+C504</f>
        <v>6245</v>
      </c>
      <c r="D494" s="140">
        <f>D492+D504</f>
        <v>7146</v>
      </c>
      <c r="E494" s="207">
        <f>SUM(B494:D494)</f>
        <v>33914</v>
      </c>
      <c r="F494" s="140">
        <f>F492+F504</f>
        <v>16936</v>
      </c>
      <c r="G494" s="140">
        <f>G492+G504</f>
        <v>17064</v>
      </c>
      <c r="H494" s="140">
        <f>H492+H504</f>
        <v>18824</v>
      </c>
      <c r="I494" s="207">
        <f>SUM(F494:H494)</f>
        <v>52824</v>
      </c>
      <c r="J494" s="140">
        <f>J492+J504</f>
        <v>27602</v>
      </c>
      <c r="K494" s="140">
        <f>K492+K504</f>
        <v>28556</v>
      </c>
      <c r="L494" s="140">
        <f>L492+L504</f>
        <v>23719</v>
      </c>
      <c r="M494" s="207">
        <f>SUM(J494:L494)</f>
        <v>79877</v>
      </c>
      <c r="N494" s="140">
        <f>N492+N504</f>
        <v>20456</v>
      </c>
      <c r="O494" s="140">
        <f>O492+O504</f>
        <v>5993</v>
      </c>
      <c r="P494" s="140">
        <f>P492+P504</f>
        <v>22006</v>
      </c>
      <c r="Q494" s="207">
        <f>SUM(N494:P494)</f>
        <v>48455</v>
      </c>
      <c r="R494" s="207">
        <f>+E494+I494+M494+Q494</f>
        <v>215070</v>
      </c>
    </row>
    <row r="495" spans="1:18" ht="15.75" customHeight="1" thickBot="1" x14ac:dyDescent="0.4">
      <c r="A495" s="230" t="s">
        <v>333</v>
      </c>
      <c r="B495" s="184">
        <f>(B494/31)/1.983</f>
        <v>333.8538870723732</v>
      </c>
      <c r="C495" s="184">
        <f>(C494/28)/1.983</f>
        <v>112.47388516677472</v>
      </c>
      <c r="D495" s="184">
        <f>(D494/31)/1.983</f>
        <v>116.24615684934849</v>
      </c>
      <c r="E495" s="231" t="s">
        <v>7</v>
      </c>
      <c r="F495" s="184">
        <f>(F494/30)/1.983</f>
        <v>284.68650193309799</v>
      </c>
      <c r="G495" s="184">
        <f>(G494/31)/1.983</f>
        <v>277.58528134302867</v>
      </c>
      <c r="H495" s="184">
        <f>(H494/30)/1.983</f>
        <v>316.42292822323077</v>
      </c>
      <c r="I495" s="231" t="s">
        <v>7</v>
      </c>
      <c r="J495" s="184">
        <f>(J494/31)/1.983</f>
        <v>449.01013453060693</v>
      </c>
      <c r="K495" s="184">
        <f>(K494/31)/1.983</f>
        <v>464.52914287573401</v>
      </c>
      <c r="L495" s="184">
        <f>(L494/30)/1.983</f>
        <v>398.70566481761637</v>
      </c>
      <c r="M495" s="231" t="s">
        <v>7</v>
      </c>
      <c r="N495" s="184">
        <f>(N494/31)/1.983</f>
        <v>332.76397768125844</v>
      </c>
      <c r="O495" s="184">
        <f>(O494/30)/1.983</f>
        <v>100.7396201042192</v>
      </c>
      <c r="P495" s="184">
        <f>(P494/31)/1.983</f>
        <v>357.97829941600378</v>
      </c>
      <c r="Q495" s="231" t="s">
        <v>7</v>
      </c>
      <c r="R495" s="231" t="s">
        <v>7</v>
      </c>
    </row>
    <row r="496" spans="1:18" ht="15.75" customHeight="1" x14ac:dyDescent="0.35">
      <c r="A496" s="141"/>
      <c r="B496" s="140"/>
      <c r="C496" s="140"/>
      <c r="D496" s="140"/>
      <c r="E496" s="140"/>
      <c r="F496" s="140"/>
      <c r="G496" s="140"/>
      <c r="H496" s="140"/>
      <c r="I496" s="140"/>
      <c r="J496" s="140"/>
      <c r="K496" s="140"/>
      <c r="L496" s="140"/>
      <c r="M496" s="140"/>
      <c r="N496" s="140"/>
      <c r="O496" s="140"/>
      <c r="P496" s="140"/>
      <c r="Q496" s="140"/>
      <c r="R496" s="141"/>
    </row>
    <row r="497" spans="1:18" ht="15.75" customHeight="1" thickBot="1" x14ac:dyDescent="0.4">
      <c r="A497" s="255"/>
      <c r="B497" s="180"/>
      <c r="C497" s="180"/>
      <c r="D497" s="180"/>
      <c r="E497" s="180"/>
      <c r="F497" s="180"/>
      <c r="G497" s="180"/>
      <c r="H497" s="180"/>
      <c r="I497" s="180"/>
      <c r="J497" s="180"/>
      <c r="K497" s="180"/>
      <c r="L497" s="180"/>
      <c r="M497" s="180"/>
      <c r="N497" s="180"/>
      <c r="O497" s="180"/>
      <c r="P497" s="180"/>
      <c r="Q497" s="180"/>
      <c r="R497" s="255"/>
    </row>
    <row r="498" spans="1:18" ht="15.75" customHeight="1" thickBot="1" x14ac:dyDescent="0.4">
      <c r="A498" s="261" t="s">
        <v>334</v>
      </c>
      <c r="B498" s="188" t="s">
        <v>8</v>
      </c>
      <c r="C498" s="189" t="s">
        <v>9</v>
      </c>
      <c r="D498" s="189" t="s">
        <v>10</v>
      </c>
      <c r="E498" s="10" t="s">
        <v>11</v>
      </c>
      <c r="F498" s="189" t="s">
        <v>12</v>
      </c>
      <c r="G498" s="189" t="s">
        <v>13</v>
      </c>
      <c r="H498" s="189" t="s">
        <v>14</v>
      </c>
      <c r="I498" s="190" t="s">
        <v>15</v>
      </c>
      <c r="J498" s="189" t="s">
        <v>16</v>
      </c>
      <c r="K498" s="189" t="s">
        <v>17</v>
      </c>
      <c r="L498" s="189" t="s">
        <v>18</v>
      </c>
      <c r="M498" s="190" t="s">
        <v>19</v>
      </c>
      <c r="N498" s="189" t="s">
        <v>20</v>
      </c>
      <c r="O498" s="189" t="s">
        <v>21</v>
      </c>
      <c r="P498" s="189" t="s">
        <v>22</v>
      </c>
      <c r="Q498" s="10" t="s">
        <v>23</v>
      </c>
      <c r="R498" s="11" t="s">
        <v>24</v>
      </c>
    </row>
    <row r="499" spans="1:18" ht="15.75" customHeight="1" thickBot="1" x14ac:dyDescent="0.4">
      <c r="A499" s="198"/>
      <c r="B499" s="193"/>
      <c r="C499" s="193"/>
      <c r="D499" s="193"/>
      <c r="E499" s="194"/>
      <c r="F499" s="193"/>
      <c r="G499" s="193"/>
      <c r="H499" s="193"/>
      <c r="I499" s="194"/>
      <c r="J499" s="193"/>
      <c r="K499" s="193"/>
      <c r="L499" s="193"/>
      <c r="M499" s="194"/>
      <c r="N499" s="193"/>
      <c r="O499" s="193"/>
      <c r="P499" s="193"/>
      <c r="Q499" s="264"/>
      <c r="R499" s="265"/>
    </row>
    <row r="500" spans="1:18" ht="15.75" customHeight="1" thickBot="1" x14ac:dyDescent="0.4">
      <c r="A500" s="196" t="s">
        <v>40</v>
      </c>
      <c r="B500" s="180">
        <v>20</v>
      </c>
      <c r="C500" s="180">
        <v>22</v>
      </c>
      <c r="D500" s="180">
        <v>28</v>
      </c>
      <c r="E500" s="207">
        <f>SUM(B500:D500)</f>
        <v>70</v>
      </c>
      <c r="F500" s="180">
        <v>37</v>
      </c>
      <c r="G500" s="180">
        <v>42</v>
      </c>
      <c r="H500" s="180">
        <v>44</v>
      </c>
      <c r="I500" s="207">
        <f>SUM(F500:H500)</f>
        <v>123</v>
      </c>
      <c r="J500" s="180">
        <v>39</v>
      </c>
      <c r="K500" s="180">
        <v>36</v>
      </c>
      <c r="L500" s="180">
        <v>34</v>
      </c>
      <c r="M500" s="207">
        <f>SUM(J500:L500)</f>
        <v>109</v>
      </c>
      <c r="N500" s="180">
        <v>29</v>
      </c>
      <c r="O500" s="180">
        <v>23</v>
      </c>
      <c r="P500" s="180">
        <v>19</v>
      </c>
      <c r="Q500" s="207">
        <f>SUM(N500:P500)</f>
        <v>71</v>
      </c>
      <c r="R500" s="207">
        <f>+E500+I500+M500+Q500</f>
        <v>373</v>
      </c>
    </row>
    <row r="501" spans="1:18" ht="15.75" customHeight="1" thickBot="1" x14ac:dyDescent="0.4">
      <c r="A501" s="198"/>
      <c r="B501" s="193"/>
      <c r="C501" s="193"/>
      <c r="D501" s="193"/>
      <c r="E501" s="14"/>
      <c r="F501" s="193"/>
      <c r="G501" s="193"/>
      <c r="H501" s="193"/>
      <c r="I501" s="14"/>
      <c r="J501" s="193"/>
      <c r="K501" s="193"/>
      <c r="L501" s="193"/>
      <c r="M501" s="14"/>
      <c r="N501" s="193"/>
      <c r="O501" s="193"/>
      <c r="P501" s="193"/>
      <c r="Q501" s="14"/>
      <c r="R501" s="199"/>
    </row>
    <row r="502" spans="1:18" ht="15.75" customHeight="1" x14ac:dyDescent="0.35">
      <c r="A502" s="226" t="s">
        <v>314</v>
      </c>
      <c r="B502" s="227">
        <f>B500</f>
        <v>20</v>
      </c>
      <c r="C502" s="227">
        <f>C500</f>
        <v>22</v>
      </c>
      <c r="D502" s="227">
        <f>D500</f>
        <v>28</v>
      </c>
      <c r="E502" s="212">
        <f>SUM(B502:D502)</f>
        <v>70</v>
      </c>
      <c r="F502" s="227">
        <f>F500</f>
        <v>37</v>
      </c>
      <c r="G502" s="227">
        <f>G500</f>
        <v>42</v>
      </c>
      <c r="H502" s="227">
        <f>H500</f>
        <v>44</v>
      </c>
      <c r="I502" s="212">
        <f>SUM(F502:H502)</f>
        <v>123</v>
      </c>
      <c r="J502" s="227">
        <f>J500</f>
        <v>39</v>
      </c>
      <c r="K502" s="227">
        <f>K500</f>
        <v>36</v>
      </c>
      <c r="L502" s="227">
        <f>L500</f>
        <v>34</v>
      </c>
      <c r="M502" s="212">
        <f>SUM(J502:L502)</f>
        <v>109</v>
      </c>
      <c r="N502" s="227">
        <f>N500</f>
        <v>29</v>
      </c>
      <c r="O502" s="227">
        <f>O500</f>
        <v>23</v>
      </c>
      <c r="P502" s="227">
        <f>P500</f>
        <v>19</v>
      </c>
      <c r="Q502" s="212">
        <f>SUM(N502:P502)</f>
        <v>71</v>
      </c>
      <c r="R502" s="212">
        <f>+E502+I502+M502+Q502</f>
        <v>373</v>
      </c>
    </row>
    <row r="503" spans="1:18" ht="15.75" customHeight="1" x14ac:dyDescent="0.35">
      <c r="A503" s="229" t="s">
        <v>42</v>
      </c>
      <c r="B503" s="140">
        <f>(B502/31)/1.983</f>
        <v>0.32534608689993977</v>
      </c>
      <c r="C503" s="140">
        <f>(C502/28)/1.983</f>
        <v>0.39622505583171236</v>
      </c>
      <c r="D503" s="140">
        <f>(D502/31)/1.983</f>
        <v>0.45548452165991571</v>
      </c>
      <c r="E503" s="207" t="s">
        <v>7</v>
      </c>
      <c r="F503" s="140">
        <f>(F502/30)/1.983</f>
        <v>0.62195326945705165</v>
      </c>
      <c r="G503" s="140">
        <f>(G502/31)/1.983</f>
        <v>0.68322678248987356</v>
      </c>
      <c r="H503" s="140">
        <f>(H502/30)/1.983</f>
        <v>0.73962010421919644</v>
      </c>
      <c r="I503" s="207" t="s">
        <v>7</v>
      </c>
      <c r="J503" s="140">
        <f>(J502/31)/1.983</f>
        <v>0.63442486945488263</v>
      </c>
      <c r="K503" s="140">
        <f>(K502/31)/1.983</f>
        <v>0.5856229564198917</v>
      </c>
      <c r="L503" s="140">
        <f>(L502/30)/1.983</f>
        <v>0.57152462598756093</v>
      </c>
      <c r="M503" s="207" t="s">
        <v>7</v>
      </c>
      <c r="N503" s="140">
        <f>(N502/31)/1.983</f>
        <v>0.47175182600491267</v>
      </c>
      <c r="O503" s="140">
        <f>(O502/30)/1.983</f>
        <v>0.38661959993276179</v>
      </c>
      <c r="P503" s="140">
        <f>(P502/31)/1.983</f>
        <v>0.30907878255494281</v>
      </c>
      <c r="Q503" s="207" t="s">
        <v>7</v>
      </c>
      <c r="R503" s="207" t="s">
        <v>7</v>
      </c>
    </row>
    <row r="504" spans="1:18" ht="15.75" customHeight="1" x14ac:dyDescent="0.35">
      <c r="A504" s="229" t="s">
        <v>335</v>
      </c>
      <c r="B504" s="140">
        <f>B502+B539</f>
        <v>16025</v>
      </c>
      <c r="C504" s="140">
        <f>C502+C539</f>
        <v>5592</v>
      </c>
      <c r="D504" s="140">
        <f>D502+D539</f>
        <v>5076</v>
      </c>
      <c r="E504" s="207">
        <f>SUM(B504:D504)</f>
        <v>26693</v>
      </c>
      <c r="F504" s="140">
        <f>F502+F539</f>
        <v>9690</v>
      </c>
      <c r="G504" s="140">
        <f>G502+G539</f>
        <v>11015</v>
      </c>
      <c r="H504" s="140">
        <f>H502+H539</f>
        <v>12582</v>
      </c>
      <c r="I504" s="207">
        <f>SUM(F504:H504)</f>
        <v>33287</v>
      </c>
      <c r="J504" s="140">
        <f>J502+J539</f>
        <v>19489</v>
      </c>
      <c r="K504" s="140">
        <f>K502+K539</f>
        <v>21302</v>
      </c>
      <c r="L504" s="140">
        <f>L502+L539</f>
        <v>19430</v>
      </c>
      <c r="M504" s="207">
        <f>SUM(J504:L504)</f>
        <v>60221</v>
      </c>
      <c r="N504" s="140">
        <f>N502+N539</f>
        <v>17989</v>
      </c>
      <c r="O504" s="140">
        <f>O502+O539</f>
        <v>5519</v>
      </c>
      <c r="P504" s="140">
        <f>P502+P539</f>
        <v>17569</v>
      </c>
      <c r="Q504" s="207">
        <f>SUM(N504:P504)</f>
        <v>41077</v>
      </c>
      <c r="R504" s="207">
        <f>+E504+I504+M504+Q504</f>
        <v>161278</v>
      </c>
    </row>
    <row r="505" spans="1:18" ht="15.75" customHeight="1" thickBot="1" x14ac:dyDescent="0.4">
      <c r="A505" s="230" t="s">
        <v>336</v>
      </c>
      <c r="B505" s="184">
        <f>(B504/31)/1.983</f>
        <v>260.68355212857671</v>
      </c>
      <c r="C505" s="184">
        <f>(C504/28)/1.983</f>
        <v>100.71320510049708</v>
      </c>
      <c r="D505" s="184">
        <f>(D504/31)/1.983</f>
        <v>82.572836855204727</v>
      </c>
      <c r="E505" s="231" t="s">
        <v>7</v>
      </c>
      <c r="F505" s="184">
        <f>(F504/30)/1.983</f>
        <v>162.88451840645484</v>
      </c>
      <c r="G505" s="184">
        <f>(G504/31)/1.983</f>
        <v>179.18435736014183</v>
      </c>
      <c r="H505" s="184">
        <f>(H504/30)/1.983</f>
        <v>211.49773071104386</v>
      </c>
      <c r="I505" s="231" t="s">
        <v>7</v>
      </c>
      <c r="J505" s="184">
        <f>(J504/31)/1.983</f>
        <v>317.0334943796463</v>
      </c>
      <c r="K505" s="184">
        <f>(K504/31)/1.983</f>
        <v>346.52611715712584</v>
      </c>
      <c r="L505" s="184">
        <f>(L504/30)/1.983</f>
        <v>326.60951420406786</v>
      </c>
      <c r="M505" s="231" t="s">
        <v>7</v>
      </c>
      <c r="N505" s="184">
        <f>(N504/31)/1.983</f>
        <v>292.63253786215085</v>
      </c>
      <c r="O505" s="184">
        <f>(O504/30)/1.983</f>
        <v>92.771894436039673</v>
      </c>
      <c r="P505" s="184">
        <f>(P504/31)/1.983</f>
        <v>285.80027003725212</v>
      </c>
      <c r="Q505" s="231" t="s">
        <v>7</v>
      </c>
      <c r="R505" s="231" t="s">
        <v>7</v>
      </c>
    </row>
    <row r="506" spans="1:18" ht="15.75" customHeight="1" x14ac:dyDescent="0.35">
      <c r="A506" s="139"/>
      <c r="B506" s="140"/>
      <c r="C506" s="140"/>
      <c r="D506" s="140"/>
      <c r="E506" s="140"/>
      <c r="F506" s="140"/>
      <c r="G506" s="140"/>
      <c r="H506" s="140"/>
      <c r="I506" s="140"/>
      <c r="J506" s="140"/>
      <c r="K506" s="140"/>
      <c r="L506" s="140"/>
      <c r="M506" s="140"/>
      <c r="N506" s="140"/>
      <c r="O506" s="140"/>
      <c r="P506" s="140"/>
      <c r="Q506" s="140"/>
      <c r="R506" s="141"/>
    </row>
    <row r="507" spans="1:18" ht="15.75" customHeight="1" thickBot="1" x14ac:dyDescent="0.4">
      <c r="A507" s="139"/>
      <c r="B507" s="140"/>
      <c r="C507" s="140"/>
      <c r="D507" s="140"/>
      <c r="E507" s="140"/>
      <c r="F507" s="140"/>
      <c r="G507" s="140"/>
      <c r="H507" s="140"/>
      <c r="I507" s="140"/>
      <c r="J507" s="140"/>
      <c r="K507" s="140"/>
      <c r="L507" s="140"/>
      <c r="M507" s="140"/>
      <c r="N507" s="140"/>
      <c r="O507" s="140"/>
      <c r="P507" s="140"/>
      <c r="Q507" s="140"/>
      <c r="R507" s="141"/>
    </row>
    <row r="508" spans="1:18" ht="15.75" customHeight="1" thickBot="1" x14ac:dyDescent="0.4">
      <c r="A508" s="187" t="s">
        <v>337</v>
      </c>
      <c r="B508" s="188" t="s">
        <v>8</v>
      </c>
      <c r="C508" s="189" t="s">
        <v>9</v>
      </c>
      <c r="D508" s="189" t="s">
        <v>10</v>
      </c>
      <c r="E508" s="10" t="s">
        <v>11</v>
      </c>
      <c r="F508" s="189" t="s">
        <v>12</v>
      </c>
      <c r="G508" s="189" t="s">
        <v>13</v>
      </c>
      <c r="H508" s="189" t="s">
        <v>14</v>
      </c>
      <c r="I508" s="190" t="s">
        <v>15</v>
      </c>
      <c r="J508" s="189" t="s">
        <v>16</v>
      </c>
      <c r="K508" s="189" t="s">
        <v>17</v>
      </c>
      <c r="L508" s="189" t="s">
        <v>18</v>
      </c>
      <c r="M508" s="190" t="s">
        <v>19</v>
      </c>
      <c r="N508" s="189" t="s">
        <v>20</v>
      </c>
      <c r="O508" s="189" t="s">
        <v>21</v>
      </c>
      <c r="P508" s="189" t="s">
        <v>22</v>
      </c>
      <c r="Q508" s="190" t="s">
        <v>23</v>
      </c>
      <c r="R508" s="191" t="s">
        <v>24</v>
      </c>
    </row>
    <row r="509" spans="1:18" ht="15.75" customHeight="1" thickBot="1" x14ac:dyDescent="0.4">
      <c r="A509" s="198"/>
      <c r="B509" s="193"/>
      <c r="C509" s="193"/>
      <c r="D509" s="193"/>
      <c r="E509" s="14"/>
      <c r="F509" s="193"/>
      <c r="G509" s="193"/>
      <c r="H509" s="193"/>
      <c r="I509" s="14"/>
      <c r="J509" s="193"/>
      <c r="K509" s="193"/>
      <c r="L509" s="193"/>
      <c r="M509" s="14"/>
      <c r="N509" s="193"/>
      <c r="O509" s="193"/>
      <c r="P509" s="193"/>
      <c r="Q509" s="14"/>
      <c r="R509" s="195"/>
    </row>
    <row r="510" spans="1:18" ht="15.75" customHeight="1" x14ac:dyDescent="0.35">
      <c r="A510" s="174" t="s">
        <v>48</v>
      </c>
      <c r="B510" s="140" t="s">
        <v>7</v>
      </c>
      <c r="C510" s="140" t="s">
        <v>7</v>
      </c>
      <c r="D510" s="140" t="s">
        <v>7</v>
      </c>
      <c r="E510" s="207" t="s">
        <v>7</v>
      </c>
      <c r="F510" s="140" t="s">
        <v>7</v>
      </c>
      <c r="G510" s="140" t="s">
        <v>7</v>
      </c>
      <c r="H510" s="140" t="s">
        <v>7</v>
      </c>
      <c r="I510" s="207" t="s">
        <v>7</v>
      </c>
      <c r="J510" s="140" t="s">
        <v>7</v>
      </c>
      <c r="K510" s="140" t="s">
        <v>7</v>
      </c>
      <c r="L510" s="140" t="s">
        <v>7</v>
      </c>
      <c r="M510" s="207" t="s">
        <v>7</v>
      </c>
      <c r="N510" s="140" t="s">
        <v>7</v>
      </c>
      <c r="O510" s="140" t="s">
        <v>7</v>
      </c>
      <c r="P510" s="140" t="s">
        <v>7</v>
      </c>
      <c r="Q510" s="207" t="s">
        <v>7</v>
      </c>
      <c r="R510" s="207" t="s">
        <v>7</v>
      </c>
    </row>
    <row r="511" spans="1:18" ht="15.75" customHeight="1" x14ac:dyDescent="0.35">
      <c r="A511" s="174" t="s">
        <v>49</v>
      </c>
      <c r="B511" s="140"/>
      <c r="C511" s="140"/>
      <c r="D511" s="140"/>
      <c r="E511" s="207" t="s">
        <v>7</v>
      </c>
      <c r="F511" s="140"/>
      <c r="G511" s="140"/>
      <c r="H511" s="140"/>
      <c r="I511" s="207" t="s">
        <v>7</v>
      </c>
      <c r="J511" s="140"/>
      <c r="K511" s="140"/>
      <c r="L511" s="140"/>
      <c r="M511" s="207" t="s">
        <v>7</v>
      </c>
      <c r="N511" s="140"/>
      <c r="O511" s="140"/>
      <c r="P511" s="140"/>
      <c r="Q511" s="207" t="s">
        <v>7</v>
      </c>
      <c r="R511" s="207" t="s">
        <v>7</v>
      </c>
    </row>
    <row r="512" spans="1:18" ht="15.75" customHeight="1" x14ac:dyDescent="0.35">
      <c r="A512" s="222" t="s">
        <v>338</v>
      </c>
      <c r="B512" s="140">
        <v>0</v>
      </c>
      <c r="C512" s="140">
        <v>0</v>
      </c>
      <c r="D512" s="140">
        <v>0</v>
      </c>
      <c r="E512" s="207">
        <f>SUM(B512:D512)</f>
        <v>0</v>
      </c>
      <c r="F512" s="140">
        <v>0</v>
      </c>
      <c r="G512" s="140">
        <v>0</v>
      </c>
      <c r="H512" s="140">
        <v>1</v>
      </c>
      <c r="I512" s="207">
        <f>SUM(F512:H512)</f>
        <v>1</v>
      </c>
      <c r="J512" s="140">
        <v>787</v>
      </c>
      <c r="K512" s="140">
        <v>629</v>
      </c>
      <c r="L512" s="140">
        <v>662</v>
      </c>
      <c r="M512" s="207">
        <f>SUM(J512:L512)</f>
        <v>2078</v>
      </c>
      <c r="N512" s="140">
        <v>493</v>
      </c>
      <c r="O512" s="140">
        <v>32</v>
      </c>
      <c r="P512" s="140">
        <v>0</v>
      </c>
      <c r="Q512" s="207">
        <f>SUM(N512:P512)</f>
        <v>525</v>
      </c>
      <c r="R512" s="207">
        <f>+E512+I512+M512+Q512</f>
        <v>2604</v>
      </c>
    </row>
    <row r="513" spans="1:18" ht="15.75" customHeight="1" x14ac:dyDescent="0.35">
      <c r="A513" s="222" t="s">
        <v>339</v>
      </c>
      <c r="B513" s="140">
        <v>0</v>
      </c>
      <c r="C513" s="140">
        <v>0</v>
      </c>
      <c r="D513" s="140">
        <v>68</v>
      </c>
      <c r="E513" s="207">
        <f>SUM(B513:D513)</f>
        <v>68</v>
      </c>
      <c r="F513" s="140">
        <v>0</v>
      </c>
      <c r="G513" s="140">
        <v>0</v>
      </c>
      <c r="H513" s="140">
        <v>72</v>
      </c>
      <c r="I513" s="207">
        <f>SUM(F513:H513)</f>
        <v>72</v>
      </c>
      <c r="J513" s="140">
        <v>95</v>
      </c>
      <c r="K513" s="140">
        <v>35</v>
      </c>
      <c r="L513" s="140">
        <v>0</v>
      </c>
      <c r="M513" s="207">
        <f>SUM(J513:L513)</f>
        <v>130</v>
      </c>
      <c r="N513" s="140">
        <v>0</v>
      </c>
      <c r="O513" s="140">
        <v>0</v>
      </c>
      <c r="P513" s="140">
        <v>0</v>
      </c>
      <c r="Q513" s="207">
        <f>SUM(N513:P513)</f>
        <v>0</v>
      </c>
      <c r="R513" s="207">
        <f>+E513+I513+M513+Q513</f>
        <v>270</v>
      </c>
    </row>
    <row r="514" spans="1:18" ht="15.75" customHeight="1" x14ac:dyDescent="0.35">
      <c r="A514" s="174" t="s">
        <v>50</v>
      </c>
      <c r="B514" s="140"/>
      <c r="C514" s="140"/>
      <c r="D514" s="140"/>
      <c r="E514" s="207" t="s">
        <v>7</v>
      </c>
      <c r="F514" s="140"/>
      <c r="G514" s="140"/>
      <c r="H514" s="140"/>
      <c r="I514" s="207" t="s">
        <v>7</v>
      </c>
      <c r="J514" s="140"/>
      <c r="K514" s="140"/>
      <c r="L514" s="140"/>
      <c r="M514" s="207" t="s">
        <v>7</v>
      </c>
      <c r="N514" s="140"/>
      <c r="O514" s="140"/>
      <c r="P514" s="140"/>
      <c r="Q514" s="207" t="s">
        <v>7</v>
      </c>
      <c r="R514" s="207" t="s">
        <v>7</v>
      </c>
    </row>
    <row r="515" spans="1:18" ht="15.75" customHeight="1" x14ac:dyDescent="0.35">
      <c r="A515" s="174" t="s">
        <v>51</v>
      </c>
      <c r="B515" s="140"/>
      <c r="C515" s="140"/>
      <c r="D515" s="140"/>
      <c r="E515" s="207" t="s">
        <v>7</v>
      </c>
      <c r="F515" s="140"/>
      <c r="G515" s="140"/>
      <c r="H515" s="140"/>
      <c r="I515" s="207" t="s">
        <v>7</v>
      </c>
      <c r="J515" s="140"/>
      <c r="K515" s="140"/>
      <c r="L515" s="140"/>
      <c r="M515" s="207" t="s">
        <v>7</v>
      </c>
      <c r="N515" s="140"/>
      <c r="O515" s="140"/>
      <c r="P515" s="140"/>
      <c r="Q515" s="207" t="s">
        <v>7</v>
      </c>
      <c r="R515" s="207" t="s">
        <v>7</v>
      </c>
    </row>
    <row r="516" spans="1:18" ht="15.75" customHeight="1" thickBot="1" x14ac:dyDescent="0.4">
      <c r="A516" s="174" t="s">
        <v>53</v>
      </c>
      <c r="B516" s="140"/>
      <c r="C516" s="140"/>
      <c r="D516" s="140"/>
      <c r="E516" s="207" t="s">
        <v>7</v>
      </c>
      <c r="F516" s="140"/>
      <c r="G516" s="140"/>
      <c r="H516" s="140"/>
      <c r="I516" s="207" t="s">
        <v>7</v>
      </c>
      <c r="J516" s="140"/>
      <c r="K516" s="140"/>
      <c r="L516" s="140"/>
      <c r="M516" s="207" t="s">
        <v>7</v>
      </c>
      <c r="N516" s="140"/>
      <c r="O516" s="140"/>
      <c r="P516" s="140"/>
      <c r="Q516" s="207" t="s">
        <v>7</v>
      </c>
      <c r="R516" s="207" t="s">
        <v>7</v>
      </c>
    </row>
    <row r="517" spans="1:18" ht="15.75" customHeight="1" thickBot="1" x14ac:dyDescent="0.4">
      <c r="A517" s="258" t="s">
        <v>54</v>
      </c>
      <c r="B517" s="237">
        <f>SUM(B510:B516)</f>
        <v>0</v>
      </c>
      <c r="C517" s="238">
        <f>SUM(C510:C516)</f>
        <v>0</v>
      </c>
      <c r="D517" s="238">
        <f>SUM(D510:D516)</f>
        <v>68</v>
      </c>
      <c r="E517" s="211">
        <f>SUM(B517:D517)</f>
        <v>68</v>
      </c>
      <c r="F517" s="238">
        <f>SUM(F510:F516)</f>
        <v>0</v>
      </c>
      <c r="G517" s="238">
        <f>SUM(G510:G516)</f>
        <v>0</v>
      </c>
      <c r="H517" s="238">
        <f>SUM(H510:H516)</f>
        <v>73</v>
      </c>
      <c r="I517" s="211">
        <f>SUM(F517:H517)</f>
        <v>73</v>
      </c>
      <c r="J517" s="238">
        <f>SUM(J510:J516)</f>
        <v>882</v>
      </c>
      <c r="K517" s="238">
        <f>SUM(K510:K516)</f>
        <v>664</v>
      </c>
      <c r="L517" s="238">
        <f>SUM(L510:L516)</f>
        <v>662</v>
      </c>
      <c r="M517" s="211">
        <f>SUM(J517:L517)</f>
        <v>2208</v>
      </c>
      <c r="N517" s="238">
        <f>SUM(N510:N516)</f>
        <v>493</v>
      </c>
      <c r="O517" s="238">
        <f>SUM(O510:O516)</f>
        <v>32</v>
      </c>
      <c r="P517" s="238">
        <f>SUM(P510:P516)</f>
        <v>0</v>
      </c>
      <c r="Q517" s="211">
        <f>SUM(N517:P517)</f>
        <v>525</v>
      </c>
      <c r="R517" s="211">
        <f>+E517+I517+M517+Q517</f>
        <v>2874</v>
      </c>
    </row>
    <row r="518" spans="1:18" ht="15.75" customHeight="1" x14ac:dyDescent="0.35">
      <c r="A518" s="174" t="s">
        <v>55</v>
      </c>
      <c r="B518" s="140"/>
      <c r="C518" s="140"/>
      <c r="D518" s="140"/>
      <c r="E518" s="207" t="s">
        <v>7</v>
      </c>
      <c r="F518" s="140"/>
      <c r="G518" s="140"/>
      <c r="H518" s="140"/>
      <c r="I518" s="207" t="s">
        <v>7</v>
      </c>
      <c r="J518" s="140"/>
      <c r="K518" s="140"/>
      <c r="L518" s="140"/>
      <c r="M518" s="207" t="s">
        <v>7</v>
      </c>
      <c r="N518" s="140"/>
      <c r="O518" s="140"/>
      <c r="P518" s="140"/>
      <c r="Q518" s="207" t="s">
        <v>7</v>
      </c>
      <c r="R518" s="207" t="s">
        <v>7</v>
      </c>
    </row>
    <row r="519" spans="1:18" ht="15.75" customHeight="1" x14ac:dyDescent="0.35">
      <c r="A519" s="174" t="s">
        <v>57</v>
      </c>
      <c r="B519" s="140"/>
      <c r="C519" s="140"/>
      <c r="D519" s="140"/>
      <c r="E519" s="207" t="s">
        <v>7</v>
      </c>
      <c r="F519" s="140"/>
      <c r="G519" s="140"/>
      <c r="H519" s="140"/>
      <c r="I519" s="207" t="s">
        <v>7</v>
      </c>
      <c r="J519" s="140"/>
      <c r="K519" s="140"/>
      <c r="L519" s="140"/>
      <c r="M519" s="207" t="s">
        <v>7</v>
      </c>
      <c r="N519" s="140"/>
      <c r="O519" s="140"/>
      <c r="P519" s="140"/>
      <c r="Q519" s="207" t="s">
        <v>7</v>
      </c>
      <c r="R519" s="207" t="s">
        <v>7</v>
      </c>
    </row>
    <row r="520" spans="1:18" ht="15.75" customHeight="1" thickBot="1" x14ac:dyDescent="0.4">
      <c r="A520" s="174" t="s">
        <v>58</v>
      </c>
      <c r="B520" s="140"/>
      <c r="C520" s="140"/>
      <c r="D520" s="140"/>
      <c r="E520" s="207" t="s">
        <v>7</v>
      </c>
      <c r="F520" s="140"/>
      <c r="G520" s="140"/>
      <c r="H520" s="140"/>
      <c r="I520" s="207" t="s">
        <v>7</v>
      </c>
      <c r="J520" s="140"/>
      <c r="K520" s="140"/>
      <c r="L520" s="140"/>
      <c r="M520" s="207" t="s">
        <v>7</v>
      </c>
      <c r="N520" s="140"/>
      <c r="O520" s="140"/>
      <c r="P520" s="140"/>
      <c r="Q520" s="207" t="s">
        <v>7</v>
      </c>
      <c r="R520" s="207" t="s">
        <v>7</v>
      </c>
    </row>
    <row r="521" spans="1:18" ht="15.75" customHeight="1" thickBot="1" x14ac:dyDescent="0.4">
      <c r="A521" s="209" t="s">
        <v>59</v>
      </c>
      <c r="B521" s="237">
        <f>SUM(B518:B520)</f>
        <v>0</v>
      </c>
      <c r="C521" s="238">
        <f>SUM(C518:C520)</f>
        <v>0</v>
      </c>
      <c r="D521" s="238">
        <f>SUM(D518:D520)</f>
        <v>0</v>
      </c>
      <c r="E521" s="211">
        <f>SUM(B521:D521)</f>
        <v>0</v>
      </c>
      <c r="F521" s="238">
        <f>SUM(F518:F520)</f>
        <v>0</v>
      </c>
      <c r="G521" s="238">
        <f>SUM(G518:G520)</f>
        <v>0</v>
      </c>
      <c r="H521" s="238">
        <f>SUM(H518:H520)</f>
        <v>0</v>
      </c>
      <c r="I521" s="211">
        <f>SUM(F521:H521)</f>
        <v>0</v>
      </c>
      <c r="J521" s="238">
        <f>SUM(J518:J520)</f>
        <v>0</v>
      </c>
      <c r="K521" s="238">
        <f>SUM(K518:K520)</f>
        <v>0</v>
      </c>
      <c r="L521" s="238">
        <f>SUM(L518:L520)</f>
        <v>0</v>
      </c>
      <c r="M521" s="211">
        <f>SUM(J521:L521)</f>
        <v>0</v>
      </c>
      <c r="N521" s="238">
        <f>SUM(N518:N520)</f>
        <v>0</v>
      </c>
      <c r="O521" s="238">
        <f>SUM(O518:O520)</f>
        <v>0</v>
      </c>
      <c r="P521" s="238">
        <f>SUM(P518:P520)</f>
        <v>0</v>
      </c>
      <c r="Q521" s="211">
        <f>SUM(N521:P521)</f>
        <v>0</v>
      </c>
      <c r="R521" s="211">
        <f>+E521+I521+M521+Q521</f>
        <v>0</v>
      </c>
    </row>
    <row r="522" spans="1:18" ht="15.75" customHeight="1" x14ac:dyDescent="0.35">
      <c r="A522" s="174" t="s">
        <v>60</v>
      </c>
      <c r="B522" s="140"/>
      <c r="C522" s="140"/>
      <c r="D522" s="140"/>
      <c r="E522" s="207" t="s">
        <v>7</v>
      </c>
      <c r="F522" s="140"/>
      <c r="G522" s="140"/>
      <c r="H522" s="140"/>
      <c r="I522" s="207" t="s">
        <v>7</v>
      </c>
      <c r="J522" s="140"/>
      <c r="K522" s="140"/>
      <c r="L522" s="140"/>
      <c r="M522" s="207" t="s">
        <v>7</v>
      </c>
      <c r="N522" s="140"/>
      <c r="O522" s="140"/>
      <c r="P522" s="140"/>
      <c r="Q522" s="207" t="s">
        <v>7</v>
      </c>
      <c r="R522" s="207" t="s">
        <v>7</v>
      </c>
    </row>
    <row r="523" spans="1:18" ht="15.75" customHeight="1" x14ac:dyDescent="0.35">
      <c r="A523" s="174" t="s">
        <v>61</v>
      </c>
      <c r="B523" s="140"/>
      <c r="C523" s="140"/>
      <c r="D523" s="140"/>
      <c r="E523" s="207" t="s">
        <v>7</v>
      </c>
      <c r="F523" s="140"/>
      <c r="G523" s="140"/>
      <c r="H523" s="140"/>
      <c r="I523" s="207" t="s">
        <v>7</v>
      </c>
      <c r="J523" s="140"/>
      <c r="K523" s="140"/>
      <c r="L523" s="140"/>
      <c r="M523" s="207" t="s">
        <v>7</v>
      </c>
      <c r="N523" s="140"/>
      <c r="O523" s="140"/>
      <c r="P523" s="140"/>
      <c r="Q523" s="207" t="s">
        <v>7</v>
      </c>
      <c r="R523" s="207" t="s">
        <v>7</v>
      </c>
    </row>
    <row r="524" spans="1:18" ht="15.75" customHeight="1" thickBot="1" x14ac:dyDescent="0.4">
      <c r="A524" s="174" t="s">
        <v>62</v>
      </c>
      <c r="B524" s="140"/>
      <c r="C524" s="140"/>
      <c r="D524" s="140"/>
      <c r="E524" s="207" t="s">
        <v>7</v>
      </c>
      <c r="F524" s="140"/>
      <c r="G524" s="140"/>
      <c r="H524" s="140"/>
      <c r="I524" s="207" t="s">
        <v>7</v>
      </c>
      <c r="J524" s="140"/>
      <c r="K524" s="140"/>
      <c r="L524" s="140"/>
      <c r="M524" s="207" t="s">
        <v>7</v>
      </c>
      <c r="N524" s="140"/>
      <c r="O524" s="140"/>
      <c r="P524" s="140"/>
      <c r="Q524" s="207" t="s">
        <v>7</v>
      </c>
      <c r="R524" s="207" t="s">
        <v>7</v>
      </c>
    </row>
    <row r="525" spans="1:18" ht="15.75" customHeight="1" thickBot="1" x14ac:dyDescent="0.4">
      <c r="A525" s="259" t="s">
        <v>63</v>
      </c>
      <c r="B525" s="237">
        <f>SUM(B522:B524)</f>
        <v>0</v>
      </c>
      <c r="C525" s="238">
        <f>SUM(C522:C524)</f>
        <v>0</v>
      </c>
      <c r="D525" s="238">
        <f>SUM(D522:D524)</f>
        <v>0</v>
      </c>
      <c r="E525" s="211">
        <f>SUM(B525:D525)</f>
        <v>0</v>
      </c>
      <c r="F525" s="238">
        <f>SUM(F522:F524)</f>
        <v>0</v>
      </c>
      <c r="G525" s="238">
        <f>SUM(G522:G524)</f>
        <v>0</v>
      </c>
      <c r="H525" s="238">
        <f>SUM(H522:H524)</f>
        <v>0</v>
      </c>
      <c r="I525" s="211">
        <f>SUM(F525:H525)</f>
        <v>0</v>
      </c>
      <c r="J525" s="238">
        <f>SUM(J522:J524)</f>
        <v>0</v>
      </c>
      <c r="K525" s="238">
        <f>SUM(K522:K524)</f>
        <v>0</v>
      </c>
      <c r="L525" s="238">
        <f>SUM(L522:L524)</f>
        <v>0</v>
      </c>
      <c r="M525" s="211">
        <f>SUM(J525:L525)</f>
        <v>0</v>
      </c>
      <c r="N525" s="238">
        <f>SUM(N522:N524)</f>
        <v>0</v>
      </c>
      <c r="O525" s="238">
        <f>SUM(O522:O524)</f>
        <v>0</v>
      </c>
      <c r="P525" s="238">
        <f>SUM(P522:P524)</f>
        <v>0</v>
      </c>
      <c r="Q525" s="211">
        <f>SUM(N525:P525)</f>
        <v>0</v>
      </c>
      <c r="R525" s="211">
        <f>+E525+I525+M525+Q525</f>
        <v>0</v>
      </c>
    </row>
    <row r="526" spans="1:18" ht="15.75" customHeight="1" x14ac:dyDescent="0.35">
      <c r="A526" s="174" t="s">
        <v>64</v>
      </c>
      <c r="B526" s="140"/>
      <c r="C526" s="140"/>
      <c r="D526" s="140"/>
      <c r="E526" s="207" t="s">
        <v>7</v>
      </c>
      <c r="F526" s="140"/>
      <c r="G526" s="140"/>
      <c r="H526" s="140"/>
      <c r="I526" s="207" t="s">
        <v>7</v>
      </c>
      <c r="J526" s="140"/>
      <c r="K526" s="140"/>
      <c r="L526" s="140"/>
      <c r="M526" s="207" t="s">
        <v>7</v>
      </c>
      <c r="N526" s="140"/>
      <c r="O526" s="140"/>
      <c r="P526" s="140"/>
      <c r="Q526" s="207" t="s">
        <v>7</v>
      </c>
      <c r="R526" s="207" t="s">
        <v>7</v>
      </c>
    </row>
    <row r="527" spans="1:18" ht="15.75" customHeight="1" x14ac:dyDescent="0.35">
      <c r="A527" s="174" t="s">
        <v>65</v>
      </c>
      <c r="B527" s="140"/>
      <c r="C527" s="140"/>
      <c r="D527" s="140"/>
      <c r="E527" s="207" t="s">
        <v>7</v>
      </c>
      <c r="F527" s="140"/>
      <c r="G527" s="140"/>
      <c r="H527" s="140"/>
      <c r="I527" s="207" t="s">
        <v>7</v>
      </c>
      <c r="J527" s="140"/>
      <c r="K527" s="140"/>
      <c r="L527" s="140"/>
      <c r="M527" s="207" t="s">
        <v>7</v>
      </c>
      <c r="N527" s="140"/>
      <c r="O527" s="140"/>
      <c r="P527" s="140"/>
      <c r="Q527" s="207" t="s">
        <v>7</v>
      </c>
      <c r="R527" s="207" t="s">
        <v>7</v>
      </c>
    </row>
    <row r="528" spans="1:18" ht="15.75" customHeight="1" x14ac:dyDescent="0.35">
      <c r="A528" s="174" t="s">
        <v>67</v>
      </c>
      <c r="B528" s="140"/>
      <c r="C528" s="140"/>
      <c r="D528" s="140"/>
      <c r="E528" s="207" t="s">
        <v>7</v>
      </c>
      <c r="F528" s="140"/>
      <c r="G528" s="140"/>
      <c r="H528" s="140"/>
      <c r="I528" s="207" t="s">
        <v>7</v>
      </c>
      <c r="J528" s="140"/>
      <c r="K528" s="140"/>
      <c r="L528" s="140"/>
      <c r="M528" s="207" t="s">
        <v>7</v>
      </c>
      <c r="N528" s="140"/>
      <c r="O528" s="140"/>
      <c r="P528" s="140"/>
      <c r="Q528" s="207" t="s">
        <v>7</v>
      </c>
      <c r="R528" s="207" t="s">
        <v>7</v>
      </c>
    </row>
    <row r="529" spans="1:18" ht="15.75" customHeight="1" x14ac:dyDescent="0.35">
      <c r="A529" s="222" t="s">
        <v>340</v>
      </c>
      <c r="B529" s="140">
        <v>0</v>
      </c>
      <c r="C529" s="140">
        <v>0</v>
      </c>
      <c r="D529" s="140">
        <v>0</v>
      </c>
      <c r="E529" s="207">
        <f>SUM(B529:D529)</f>
        <v>0</v>
      </c>
      <c r="F529" s="140">
        <v>0</v>
      </c>
      <c r="G529" s="140">
        <v>0</v>
      </c>
      <c r="H529" s="140">
        <v>0</v>
      </c>
      <c r="I529" s="207">
        <f>SUM(F529:H529)</f>
        <v>0</v>
      </c>
      <c r="J529" s="140">
        <v>0</v>
      </c>
      <c r="K529" s="140">
        <v>0</v>
      </c>
      <c r="L529" s="140">
        <v>0</v>
      </c>
      <c r="M529" s="207">
        <f>SUM(J529:L529)</f>
        <v>0</v>
      </c>
      <c r="N529" s="140">
        <v>0</v>
      </c>
      <c r="O529" s="140">
        <v>0</v>
      </c>
      <c r="P529" s="140">
        <v>0</v>
      </c>
      <c r="Q529" s="207">
        <f>SUM(N529:P529)</f>
        <v>0</v>
      </c>
      <c r="R529" s="207">
        <f>+E529+I529+M529+Q529</f>
        <v>0</v>
      </c>
    </row>
    <row r="530" spans="1:18" ht="15.75" customHeight="1" x14ac:dyDescent="0.35">
      <c r="A530" s="174" t="s">
        <v>69</v>
      </c>
      <c r="B530" s="140"/>
      <c r="C530" s="140"/>
      <c r="D530" s="140"/>
      <c r="E530" s="207" t="s">
        <v>7</v>
      </c>
      <c r="F530" s="140"/>
      <c r="G530" s="140"/>
      <c r="H530" s="140"/>
      <c r="I530" s="207" t="s">
        <v>7</v>
      </c>
      <c r="J530" s="140"/>
      <c r="K530" s="140"/>
      <c r="L530" s="140"/>
      <c r="M530" s="207" t="s">
        <v>7</v>
      </c>
      <c r="N530" s="140"/>
      <c r="O530" s="140"/>
      <c r="P530" s="140"/>
      <c r="Q530" s="207" t="s">
        <v>7</v>
      </c>
      <c r="R530" s="207" t="s">
        <v>7</v>
      </c>
    </row>
    <row r="531" spans="1:18" ht="15.75" customHeight="1" thickBot="1" x14ac:dyDescent="0.4">
      <c r="A531" s="174" t="s">
        <v>70</v>
      </c>
      <c r="B531" s="140"/>
      <c r="C531" s="140"/>
      <c r="D531" s="140"/>
      <c r="E531" s="207" t="s">
        <v>7</v>
      </c>
      <c r="F531" s="140"/>
      <c r="G531" s="140"/>
      <c r="H531" s="140"/>
      <c r="I531" s="207" t="s">
        <v>7</v>
      </c>
      <c r="J531" s="140"/>
      <c r="K531" s="140"/>
      <c r="L531" s="140"/>
      <c r="M531" s="207" t="s">
        <v>7</v>
      </c>
      <c r="N531" s="140"/>
      <c r="O531" s="140"/>
      <c r="P531" s="140"/>
      <c r="Q531" s="207" t="s">
        <v>7</v>
      </c>
      <c r="R531" s="207" t="s">
        <v>7</v>
      </c>
    </row>
    <row r="532" spans="1:18" ht="15.75" customHeight="1" thickBot="1" x14ac:dyDescent="0.4">
      <c r="A532" s="209" t="s">
        <v>71</v>
      </c>
      <c r="B532" s="210">
        <f>SUM(B530:B531)</f>
        <v>0</v>
      </c>
      <c r="C532" s="210">
        <f>SUM(C530:C531)</f>
        <v>0</v>
      </c>
      <c r="D532" s="210">
        <f>SUM(D530:D531)</f>
        <v>0</v>
      </c>
      <c r="E532" s="212">
        <f>SUM(B532:D532)</f>
        <v>0</v>
      </c>
      <c r="F532" s="210">
        <f>SUM(F530:F531)</f>
        <v>0</v>
      </c>
      <c r="G532" s="210">
        <f>SUM(G530:G531)</f>
        <v>0</v>
      </c>
      <c r="H532" s="210">
        <f>SUM(H530:H531)</f>
        <v>0</v>
      </c>
      <c r="I532" s="212">
        <f>SUM(F532:H532)</f>
        <v>0</v>
      </c>
      <c r="J532" s="210">
        <f>SUM(J530:J531)</f>
        <v>0</v>
      </c>
      <c r="K532" s="210">
        <f>SUM(K530:K531)</f>
        <v>0</v>
      </c>
      <c r="L532" s="210">
        <f>SUM(L530:L531)</f>
        <v>0</v>
      </c>
      <c r="M532" s="212">
        <f>SUM(J532:L532)</f>
        <v>0</v>
      </c>
      <c r="N532" s="210">
        <f>SUM(N530:N531)</f>
        <v>0</v>
      </c>
      <c r="O532" s="210">
        <f>SUM(O530:O531)</f>
        <v>0</v>
      </c>
      <c r="P532" s="210">
        <f>SUM(P530:P531)</f>
        <v>0</v>
      </c>
      <c r="Q532" s="212">
        <f>SUM(N532:P532)</f>
        <v>0</v>
      </c>
      <c r="R532" s="211">
        <f>+E532+I532+M532+Q532</f>
        <v>0</v>
      </c>
    </row>
    <row r="533" spans="1:18" ht="15.75" customHeight="1" thickBot="1" x14ac:dyDescent="0.4">
      <c r="A533" s="259" t="s">
        <v>72</v>
      </c>
      <c r="B533" s="237">
        <f>SUM(B526:B531)</f>
        <v>0</v>
      </c>
      <c r="C533" s="238">
        <f>SUM(C526:C531)</f>
        <v>0</v>
      </c>
      <c r="D533" s="260">
        <f>SUM(D526:D531)</f>
        <v>0</v>
      </c>
      <c r="E533" s="212">
        <f>SUM(B533:D533)</f>
        <v>0</v>
      </c>
      <c r="F533" s="238">
        <f>SUM(F526:F531)</f>
        <v>0</v>
      </c>
      <c r="G533" s="238">
        <f>SUM(G526:G531)</f>
        <v>0</v>
      </c>
      <c r="H533" s="238">
        <f>SUM(H526:H531)</f>
        <v>0</v>
      </c>
      <c r="I533" s="212">
        <f>SUM(F533:H533)</f>
        <v>0</v>
      </c>
      <c r="J533" s="238">
        <f>SUM(J526:J531)</f>
        <v>0</v>
      </c>
      <c r="K533" s="238">
        <f>SUM(K526:K531)</f>
        <v>0</v>
      </c>
      <c r="L533" s="238">
        <f>SUM(L526:L531)</f>
        <v>0</v>
      </c>
      <c r="M533" s="212">
        <f>SUM(J533:L533)</f>
        <v>0</v>
      </c>
      <c r="N533" s="238">
        <f>SUM(N526:N531)</f>
        <v>0</v>
      </c>
      <c r="O533" s="238">
        <f>SUM(O526:O531)</f>
        <v>0</v>
      </c>
      <c r="P533" s="238">
        <f>SUM(P526:P531)</f>
        <v>0</v>
      </c>
      <c r="Q533" s="212">
        <f>SUM(N533:P533)</f>
        <v>0</v>
      </c>
      <c r="R533" s="211">
        <f>+E533+I533+M533+Q533</f>
        <v>0</v>
      </c>
    </row>
    <row r="534" spans="1:18" ht="15.75" customHeight="1" thickBot="1" x14ac:dyDescent="0.4">
      <c r="A534" s="209" t="s">
        <v>73</v>
      </c>
      <c r="B534" s="240">
        <f>+B517+B521+B525+B533</f>
        <v>0</v>
      </c>
      <c r="C534" s="210">
        <f>+C517+C521+C525+C533</f>
        <v>0</v>
      </c>
      <c r="D534" s="210">
        <f>+D517+D521+D525+D533</f>
        <v>68</v>
      </c>
      <c r="E534" s="211">
        <f>SUM(B534:D534)</f>
        <v>68</v>
      </c>
      <c r="F534" s="210">
        <f>+F517+F521+F525+F533</f>
        <v>0</v>
      </c>
      <c r="G534" s="210">
        <f>+G517+G521+G525+G533</f>
        <v>0</v>
      </c>
      <c r="H534" s="210">
        <f>+H517+H521+H525+H533</f>
        <v>73</v>
      </c>
      <c r="I534" s="211">
        <f>SUM(F534:H534)</f>
        <v>73</v>
      </c>
      <c r="J534" s="210">
        <f>+J517+J521+J525+J533</f>
        <v>882</v>
      </c>
      <c r="K534" s="210">
        <f>+K517+K521+K525+K533</f>
        <v>664</v>
      </c>
      <c r="L534" s="210">
        <f>+L517+L521+L525+L533</f>
        <v>662</v>
      </c>
      <c r="M534" s="211">
        <f>SUM(J534:L534)</f>
        <v>2208</v>
      </c>
      <c r="N534" s="210">
        <f>+N517+N521+N525+N533</f>
        <v>493</v>
      </c>
      <c r="O534" s="210">
        <f>+O517+O521+O525+O533</f>
        <v>32</v>
      </c>
      <c r="P534" s="210">
        <f>+P517+P521+P525+P533</f>
        <v>0</v>
      </c>
      <c r="Q534" s="211">
        <f>SUM(N534:P534)</f>
        <v>525</v>
      </c>
      <c r="R534" s="231">
        <f>+E534+I534+M534+Q534</f>
        <v>2874</v>
      </c>
    </row>
    <row r="535" spans="1:18" ht="15.75" customHeight="1" thickBot="1" x14ac:dyDescent="0.4">
      <c r="A535" s="196" t="s">
        <v>40</v>
      </c>
      <c r="B535" s="180">
        <v>10</v>
      </c>
      <c r="C535" s="180">
        <v>11</v>
      </c>
      <c r="D535" s="180">
        <v>14</v>
      </c>
      <c r="E535" s="207">
        <f>SUM(B535:D535)</f>
        <v>35</v>
      </c>
      <c r="F535" s="180">
        <v>18</v>
      </c>
      <c r="G535" s="180">
        <v>21</v>
      </c>
      <c r="H535" s="180">
        <v>22</v>
      </c>
      <c r="I535" s="207">
        <f>SUM(F535:H535)</f>
        <v>61</v>
      </c>
      <c r="J535" s="180">
        <v>19</v>
      </c>
      <c r="K535" s="180">
        <v>17</v>
      </c>
      <c r="L535" s="180">
        <v>17</v>
      </c>
      <c r="M535" s="207">
        <f>SUM(J535:L535)</f>
        <v>53</v>
      </c>
      <c r="N535" s="180">
        <v>14</v>
      </c>
      <c r="O535" s="180">
        <v>11</v>
      </c>
      <c r="P535" s="180">
        <v>9</v>
      </c>
      <c r="Q535" s="207">
        <f>SUM(N535:P535)</f>
        <v>34</v>
      </c>
      <c r="R535" s="207">
        <f>+E535+I535+M535+Q535</f>
        <v>183</v>
      </c>
    </row>
    <row r="536" spans="1:18" ht="15.75" customHeight="1" thickBot="1" x14ac:dyDescent="0.4">
      <c r="A536" s="198"/>
      <c r="B536" s="193"/>
      <c r="C536" s="193"/>
      <c r="D536" s="193"/>
      <c r="E536" s="14"/>
      <c r="F536" s="193"/>
      <c r="G536" s="193"/>
      <c r="H536" s="193"/>
      <c r="I536" s="14"/>
      <c r="J536" s="193"/>
      <c r="K536" s="193"/>
      <c r="L536" s="193"/>
      <c r="M536" s="266"/>
      <c r="N536" s="193"/>
      <c r="O536" s="193"/>
      <c r="P536" s="193"/>
      <c r="Q536" s="266"/>
      <c r="R536" s="197"/>
    </row>
    <row r="537" spans="1:18" ht="15.75" customHeight="1" x14ac:dyDescent="0.35">
      <c r="A537" s="174" t="s">
        <v>314</v>
      </c>
      <c r="B537" s="140">
        <f>SUM(B534:B535)</f>
        <v>10</v>
      </c>
      <c r="C537" s="140">
        <f>SUM(C534:C535)</f>
        <v>11</v>
      </c>
      <c r="D537" s="140">
        <f>SUM(D534:D535)</f>
        <v>82</v>
      </c>
      <c r="E537" s="207">
        <f>SUM(B537:D537)</f>
        <v>103</v>
      </c>
      <c r="F537" s="140">
        <f>SUM(F534:F535)</f>
        <v>18</v>
      </c>
      <c r="G537" s="140">
        <f>SUM(G534:G535)</f>
        <v>21</v>
      </c>
      <c r="H537" s="140">
        <f>SUM(H534:H535)</f>
        <v>95</v>
      </c>
      <c r="I537" s="212">
        <f>SUM(F537:H537)</f>
        <v>134</v>
      </c>
      <c r="J537" s="140">
        <f>SUM(J534:J535)</f>
        <v>901</v>
      </c>
      <c r="K537" s="140">
        <f>SUM(K534:K535)</f>
        <v>681</v>
      </c>
      <c r="L537" s="140">
        <f>SUM(L534:L535)</f>
        <v>679</v>
      </c>
      <c r="M537" s="212">
        <f>SUM(J537:L537)</f>
        <v>2261</v>
      </c>
      <c r="N537" s="140">
        <f>SUM(N534:N535)</f>
        <v>507</v>
      </c>
      <c r="O537" s="140">
        <f>SUM(O534:O535)</f>
        <v>43</v>
      </c>
      <c r="P537" s="140">
        <f>SUM(P534:P535)</f>
        <v>9</v>
      </c>
      <c r="Q537" s="212">
        <f>SUM(N537:P537)</f>
        <v>559</v>
      </c>
      <c r="R537" s="212">
        <f>+E537+I537+M537+Q537</f>
        <v>3057</v>
      </c>
    </row>
    <row r="538" spans="1:18" ht="15.75" customHeight="1" x14ac:dyDescent="0.35">
      <c r="A538" s="174" t="s">
        <v>42</v>
      </c>
      <c r="B538" s="140">
        <f>(B537/31)/1.983</f>
        <v>0.16267304344996988</v>
      </c>
      <c r="C538" s="140">
        <f>(C537/28)/1.983</f>
        <v>0.19811252791585618</v>
      </c>
      <c r="D538" s="140">
        <f>(D537/31)/1.983</f>
        <v>1.3339189562897531</v>
      </c>
      <c r="E538" s="207" t="s">
        <v>7</v>
      </c>
      <c r="F538" s="140">
        <f>(F537/30)/1.983</f>
        <v>0.30257186081694398</v>
      </c>
      <c r="G538" s="140">
        <f>(G537/31)/1.983</f>
        <v>0.34161339124493678</v>
      </c>
      <c r="H538" s="140">
        <f>(H537/30)/1.983</f>
        <v>1.5969070432005377</v>
      </c>
      <c r="I538" s="207" t="s">
        <v>7</v>
      </c>
      <c r="J538" s="140">
        <f>(J537/31)/1.983</f>
        <v>14.656841214842288</v>
      </c>
      <c r="K538" s="140">
        <f>(K537/31)/1.983</f>
        <v>11.078034258942951</v>
      </c>
      <c r="L538" s="140">
        <f>(L537/30)/1.983</f>
        <v>11.413682971928054</v>
      </c>
      <c r="M538" s="207" t="s">
        <v>7</v>
      </c>
      <c r="N538" s="140">
        <f>(N537/31)/1.983</f>
        <v>8.2475233029134749</v>
      </c>
      <c r="O538" s="140">
        <f>(O537/30)/1.983</f>
        <v>0.72281055639603287</v>
      </c>
      <c r="P538" s="140">
        <f>(P537/31)/1.983</f>
        <v>0.14640573910497293</v>
      </c>
      <c r="Q538" s="207" t="s">
        <v>7</v>
      </c>
      <c r="R538" s="207" t="s">
        <v>7</v>
      </c>
    </row>
    <row r="539" spans="1:18" ht="15.75" customHeight="1" x14ac:dyDescent="0.35">
      <c r="A539" s="174" t="s">
        <v>341</v>
      </c>
      <c r="B539" s="140">
        <f>B537+B578</f>
        <v>16005</v>
      </c>
      <c r="C539" s="140">
        <f>C537+C578</f>
        <v>5570</v>
      </c>
      <c r="D539" s="140">
        <f>D537+D578</f>
        <v>5048</v>
      </c>
      <c r="E539" s="207">
        <f>SUM(B539:D539)</f>
        <v>26623</v>
      </c>
      <c r="F539" s="140">
        <f>F537+F578</f>
        <v>9653</v>
      </c>
      <c r="G539" s="140">
        <f>G537+G578</f>
        <v>10973</v>
      </c>
      <c r="H539" s="140">
        <f>H537+H578</f>
        <v>12538</v>
      </c>
      <c r="I539" s="207">
        <f>SUM(F539:H539)</f>
        <v>33164</v>
      </c>
      <c r="J539" s="140">
        <f>J537+J578</f>
        <v>19450</v>
      </c>
      <c r="K539" s="140">
        <f>K537+K578</f>
        <v>21266</v>
      </c>
      <c r="L539" s="140">
        <f>L537+L578</f>
        <v>19396</v>
      </c>
      <c r="M539" s="207">
        <f>SUM(J539:L539)</f>
        <v>60112</v>
      </c>
      <c r="N539" s="140">
        <f>N537+N578</f>
        <v>17960</v>
      </c>
      <c r="O539" s="140">
        <f>O537+O578</f>
        <v>5496</v>
      </c>
      <c r="P539" s="140">
        <f>P537+P578</f>
        <v>17550</v>
      </c>
      <c r="Q539" s="207">
        <f>SUM(N539:P539)</f>
        <v>41006</v>
      </c>
      <c r="R539" s="207">
        <f>+E539+I539+M539+Q539</f>
        <v>160905</v>
      </c>
    </row>
    <row r="540" spans="1:18" ht="15.75" customHeight="1" thickBot="1" x14ac:dyDescent="0.4">
      <c r="A540" s="179" t="s">
        <v>342</v>
      </c>
      <c r="B540" s="180">
        <f>(B539/31)/1.983</f>
        <v>260.35820604167679</v>
      </c>
      <c r="C540" s="180">
        <f>(C539/28)/1.983</f>
        <v>100.31698004466536</v>
      </c>
      <c r="D540" s="180">
        <f>(D539/31)/1.983</f>
        <v>82.117352333544801</v>
      </c>
      <c r="E540" s="231" t="s">
        <v>7</v>
      </c>
      <c r="F540" s="180">
        <f>(F539/30)/1.983</f>
        <v>162.26256513699781</v>
      </c>
      <c r="G540" s="180">
        <f>(G539/31)/1.983</f>
        <v>178.50113057765196</v>
      </c>
      <c r="H540" s="180">
        <f>(H539/30)/1.983</f>
        <v>210.75811060682466</v>
      </c>
      <c r="I540" s="231" t="s">
        <v>7</v>
      </c>
      <c r="J540" s="180">
        <f>(J539/31)/1.983</f>
        <v>316.39906951019145</v>
      </c>
      <c r="K540" s="180">
        <f>(K539/31)/1.983</f>
        <v>345.94049420070598</v>
      </c>
      <c r="L540" s="180">
        <f>(L539/30)/1.983</f>
        <v>326.03798957808033</v>
      </c>
      <c r="M540" s="231" t="s">
        <v>7</v>
      </c>
      <c r="N540" s="180">
        <f>(N539/31)/1.983</f>
        <v>292.16078603614596</v>
      </c>
      <c r="O540" s="180">
        <f>(O539/30)/1.983</f>
        <v>92.385274836106902</v>
      </c>
      <c r="P540" s="180">
        <f>(P539/31)/1.983</f>
        <v>285.49119125469718</v>
      </c>
      <c r="Q540" s="231" t="s">
        <v>7</v>
      </c>
      <c r="R540" s="231" t="s">
        <v>7</v>
      </c>
    </row>
    <row r="541" spans="1:18" ht="15.75" customHeight="1" x14ac:dyDescent="0.35">
      <c r="A541" s="141"/>
      <c r="B541" s="140"/>
      <c r="C541" s="140"/>
      <c r="D541" s="140"/>
      <c r="E541" s="140"/>
      <c r="F541" s="140"/>
      <c r="G541" s="140"/>
      <c r="H541" s="140"/>
      <c r="I541" s="140"/>
      <c r="J541" s="140"/>
      <c r="K541" s="140"/>
      <c r="L541" s="140"/>
      <c r="M541" s="140"/>
      <c r="N541" s="140"/>
      <c r="O541" s="140"/>
      <c r="P541" s="140"/>
      <c r="Q541" s="140"/>
      <c r="R541" s="141"/>
    </row>
    <row r="542" spans="1:18" ht="15.75" customHeight="1" thickBot="1" x14ac:dyDescent="0.4">
      <c r="A542" s="255"/>
      <c r="B542" s="180"/>
      <c r="C542" s="180"/>
      <c r="D542" s="180"/>
      <c r="E542" s="180"/>
      <c r="F542" s="180"/>
      <c r="G542" s="180"/>
      <c r="H542" s="180"/>
      <c r="I542" s="180"/>
      <c r="J542" s="180"/>
      <c r="K542" s="180"/>
      <c r="L542" s="180"/>
      <c r="M542" s="180"/>
      <c r="N542" s="180"/>
      <c r="O542" s="180"/>
      <c r="P542" s="180"/>
      <c r="Q542" s="180"/>
      <c r="R542" s="255"/>
    </row>
    <row r="543" spans="1:18" ht="15.75" customHeight="1" thickBot="1" x14ac:dyDescent="0.4">
      <c r="A543" s="256" t="s">
        <v>343</v>
      </c>
      <c r="B543" s="203" t="s">
        <v>8</v>
      </c>
      <c r="C543" s="9" t="s">
        <v>9</v>
      </c>
      <c r="D543" s="9" t="s">
        <v>10</v>
      </c>
      <c r="E543" s="10" t="s">
        <v>11</v>
      </c>
      <c r="F543" s="9" t="s">
        <v>12</v>
      </c>
      <c r="G543" s="9" t="s">
        <v>13</v>
      </c>
      <c r="H543" s="9" t="s">
        <v>14</v>
      </c>
      <c r="I543" s="10" t="s">
        <v>15</v>
      </c>
      <c r="J543" s="9" t="s">
        <v>16</v>
      </c>
      <c r="K543" s="9" t="s">
        <v>17</v>
      </c>
      <c r="L543" s="9" t="s">
        <v>18</v>
      </c>
      <c r="M543" s="10" t="s">
        <v>19</v>
      </c>
      <c r="N543" s="9" t="s">
        <v>20</v>
      </c>
      <c r="O543" s="9" t="s">
        <v>21</v>
      </c>
      <c r="P543" s="9" t="s">
        <v>22</v>
      </c>
      <c r="Q543" s="10" t="s">
        <v>23</v>
      </c>
      <c r="R543" s="11" t="s">
        <v>24</v>
      </c>
    </row>
    <row r="544" spans="1:18" ht="15.75" customHeight="1" thickBot="1" x14ac:dyDescent="0.4">
      <c r="A544" s="267"/>
      <c r="B544" s="13"/>
      <c r="C544" s="13"/>
      <c r="D544" s="13"/>
      <c r="E544" s="14"/>
      <c r="F544" s="13"/>
      <c r="G544" s="13"/>
      <c r="H544" s="13"/>
      <c r="I544" s="14"/>
      <c r="J544" s="13"/>
      <c r="K544" s="13"/>
      <c r="L544" s="13"/>
      <c r="M544" s="14"/>
      <c r="N544" s="13"/>
      <c r="O544" s="13"/>
      <c r="P544" s="13"/>
      <c r="Q544" s="14"/>
      <c r="R544" s="205"/>
    </row>
    <row r="545" spans="1:18" ht="15.75" customHeight="1" x14ac:dyDescent="0.35">
      <c r="A545" s="174" t="s">
        <v>48</v>
      </c>
      <c r="B545" s="140" t="s">
        <v>7</v>
      </c>
      <c r="C545" s="140" t="s">
        <v>7</v>
      </c>
      <c r="D545" s="140" t="s">
        <v>7</v>
      </c>
      <c r="E545" s="207" t="s">
        <v>7</v>
      </c>
      <c r="F545" s="140" t="s">
        <v>7</v>
      </c>
      <c r="G545" s="140" t="s">
        <v>7</v>
      </c>
      <c r="H545" s="140" t="s">
        <v>7</v>
      </c>
      <c r="I545" s="207" t="s">
        <v>7</v>
      </c>
      <c r="J545" s="140" t="s">
        <v>7</v>
      </c>
      <c r="K545" s="140" t="s">
        <v>7</v>
      </c>
      <c r="L545" s="140" t="s">
        <v>7</v>
      </c>
      <c r="M545" s="207" t="s">
        <v>7</v>
      </c>
      <c r="N545" s="140" t="s">
        <v>7</v>
      </c>
      <c r="O545" s="140" t="s">
        <v>7</v>
      </c>
      <c r="P545" s="140" t="s">
        <v>7</v>
      </c>
      <c r="Q545" s="207" t="s">
        <v>7</v>
      </c>
      <c r="R545" s="207" t="s">
        <v>7</v>
      </c>
    </row>
    <row r="546" spans="1:18" ht="15.75" customHeight="1" x14ac:dyDescent="0.35">
      <c r="A546" s="174" t="s">
        <v>49</v>
      </c>
      <c r="B546" s="140"/>
      <c r="C546" s="140"/>
      <c r="D546" s="140"/>
      <c r="E546" s="207" t="s">
        <v>7</v>
      </c>
      <c r="F546" s="140"/>
      <c r="G546" s="140"/>
      <c r="H546" s="140"/>
      <c r="I546" s="207" t="s">
        <v>7</v>
      </c>
      <c r="J546" s="140"/>
      <c r="K546" s="140"/>
      <c r="L546" s="140"/>
      <c r="M546" s="207" t="s">
        <v>7</v>
      </c>
      <c r="N546" s="140"/>
      <c r="O546" s="140"/>
      <c r="P546" s="140"/>
      <c r="Q546" s="207" t="s">
        <v>7</v>
      </c>
      <c r="R546" s="207" t="s">
        <v>7</v>
      </c>
    </row>
    <row r="547" spans="1:18" ht="15.75" customHeight="1" x14ac:dyDescent="0.35">
      <c r="A547" s="222" t="s">
        <v>344</v>
      </c>
      <c r="B547" s="140">
        <v>6883</v>
      </c>
      <c r="C547" s="140">
        <v>1550</v>
      </c>
      <c r="D547" s="140">
        <v>0</v>
      </c>
      <c r="E547" s="207">
        <f>SUM(B547:D547)</f>
        <v>8433</v>
      </c>
      <c r="F547" s="140">
        <v>0</v>
      </c>
      <c r="G547" s="140">
        <v>0</v>
      </c>
      <c r="H547" s="140">
        <v>195</v>
      </c>
      <c r="I547" s="207">
        <f>SUM(F547:H547)</f>
        <v>195</v>
      </c>
      <c r="J547" s="140">
        <v>7925</v>
      </c>
      <c r="K547" s="140">
        <v>7959</v>
      </c>
      <c r="L547" s="140">
        <v>7720</v>
      </c>
      <c r="M547" s="207">
        <f>SUM(J547:L547)</f>
        <v>23604</v>
      </c>
      <c r="N547" s="140">
        <v>8299</v>
      </c>
      <c r="O547" s="140">
        <v>2319</v>
      </c>
      <c r="P547" s="140">
        <v>7493</v>
      </c>
      <c r="Q547" s="207">
        <f>SUM(N547:P547)</f>
        <v>18111</v>
      </c>
      <c r="R547" s="207">
        <f>+E547+I547+M547+Q547</f>
        <v>50343</v>
      </c>
    </row>
    <row r="548" spans="1:18" ht="15.75" customHeight="1" x14ac:dyDescent="0.35">
      <c r="A548" s="222" t="s">
        <v>345</v>
      </c>
      <c r="B548" s="140">
        <v>6010</v>
      </c>
      <c r="C548" s="140">
        <v>1042</v>
      </c>
      <c r="D548" s="140">
        <v>0</v>
      </c>
      <c r="E548" s="207">
        <f>SUM(B548:D548)</f>
        <v>7052</v>
      </c>
      <c r="F548" s="140">
        <v>0</v>
      </c>
      <c r="G548" s="140">
        <v>0</v>
      </c>
      <c r="H548" s="140">
        <v>0</v>
      </c>
      <c r="I548" s="207">
        <f>SUM(F548:H548)</f>
        <v>0</v>
      </c>
      <c r="J548" s="140">
        <v>6058</v>
      </c>
      <c r="K548" s="140">
        <v>6050</v>
      </c>
      <c r="L548" s="140">
        <v>5851</v>
      </c>
      <c r="M548" s="207">
        <f>SUM(J548:L548)</f>
        <v>17959</v>
      </c>
      <c r="N548" s="140">
        <v>6064</v>
      </c>
      <c r="O548" s="140">
        <v>1762</v>
      </c>
      <c r="P548" s="140">
        <v>5690</v>
      </c>
      <c r="Q548" s="207">
        <f>SUM(N548:P548)</f>
        <v>13516</v>
      </c>
      <c r="R548" s="207">
        <f>+E548+I548+M548+Q548</f>
        <v>38527</v>
      </c>
    </row>
    <row r="549" spans="1:18" ht="15.75" customHeight="1" x14ac:dyDescent="0.35">
      <c r="A549" s="174" t="s">
        <v>50</v>
      </c>
      <c r="B549" s="140"/>
      <c r="C549" s="140"/>
      <c r="D549" s="140"/>
      <c r="E549" s="207" t="s">
        <v>7</v>
      </c>
      <c r="F549" s="140"/>
      <c r="G549" s="140"/>
      <c r="H549" s="140"/>
      <c r="I549" s="207" t="s">
        <v>7</v>
      </c>
      <c r="J549" s="140"/>
      <c r="K549" s="140"/>
      <c r="L549" s="140"/>
      <c r="M549" s="207" t="s">
        <v>7</v>
      </c>
      <c r="N549" s="140"/>
      <c r="O549" s="140"/>
      <c r="P549" s="140"/>
      <c r="Q549" s="207" t="s">
        <v>7</v>
      </c>
      <c r="R549" s="207" t="s">
        <v>7</v>
      </c>
    </row>
    <row r="550" spans="1:18" ht="15.75" customHeight="1" x14ac:dyDescent="0.35">
      <c r="A550" s="174" t="s">
        <v>51</v>
      </c>
      <c r="B550" s="140"/>
      <c r="C550" s="140"/>
      <c r="D550" s="140"/>
      <c r="E550" s="207" t="s">
        <v>7</v>
      </c>
      <c r="F550" s="140"/>
      <c r="G550" s="140"/>
      <c r="H550" s="140"/>
      <c r="I550" s="207" t="s">
        <v>7</v>
      </c>
      <c r="J550" s="140"/>
      <c r="K550" s="140"/>
      <c r="L550" s="140"/>
      <c r="M550" s="207" t="s">
        <v>7</v>
      </c>
      <c r="N550" s="140"/>
      <c r="O550" s="140"/>
      <c r="P550" s="140"/>
      <c r="Q550" s="207" t="s">
        <v>7</v>
      </c>
      <c r="R550" s="207" t="s">
        <v>7</v>
      </c>
    </row>
    <row r="551" spans="1:18" ht="15.75" customHeight="1" thickBot="1" x14ac:dyDescent="0.4">
      <c r="A551" s="174" t="s">
        <v>53</v>
      </c>
      <c r="B551" s="140"/>
      <c r="C551" s="140"/>
      <c r="D551" s="140"/>
      <c r="E551" s="207" t="s">
        <v>7</v>
      </c>
      <c r="F551" s="140"/>
      <c r="G551" s="140"/>
      <c r="H551" s="140"/>
      <c r="I551" s="207" t="s">
        <v>7</v>
      </c>
      <c r="J551" s="140"/>
      <c r="K551" s="140"/>
      <c r="L551" s="140"/>
      <c r="M551" s="207" t="s">
        <v>7</v>
      </c>
      <c r="N551" s="140"/>
      <c r="O551" s="140"/>
      <c r="P551" s="140"/>
      <c r="Q551" s="207" t="s">
        <v>7</v>
      </c>
      <c r="R551" s="207" t="s">
        <v>7</v>
      </c>
    </row>
    <row r="552" spans="1:18" ht="15.75" customHeight="1" thickBot="1" x14ac:dyDescent="0.4">
      <c r="A552" s="258" t="s">
        <v>54</v>
      </c>
      <c r="B552" s="237">
        <f>SUM(B545:B551)</f>
        <v>12893</v>
      </c>
      <c r="C552" s="238">
        <f>SUM(C545:C551)</f>
        <v>2592</v>
      </c>
      <c r="D552" s="238">
        <f>SUM(D545:D551)</f>
        <v>0</v>
      </c>
      <c r="E552" s="211">
        <f>SUM(B552:D552)</f>
        <v>15485</v>
      </c>
      <c r="F552" s="238">
        <f>SUM(F545:F551)</f>
        <v>0</v>
      </c>
      <c r="G552" s="238">
        <f>SUM(G545:G551)</f>
        <v>0</v>
      </c>
      <c r="H552" s="238">
        <f>SUM(H545:H551)</f>
        <v>195</v>
      </c>
      <c r="I552" s="211">
        <f>SUM(F552:H552)</f>
        <v>195</v>
      </c>
      <c r="J552" s="238">
        <f>SUM(J545:J551)</f>
        <v>13983</v>
      </c>
      <c r="K552" s="238">
        <f>SUM(K545:K551)</f>
        <v>14009</v>
      </c>
      <c r="L552" s="238">
        <f>SUM(L545:L551)</f>
        <v>13571</v>
      </c>
      <c r="M552" s="211">
        <f>SUM(J552:L552)</f>
        <v>41563</v>
      </c>
      <c r="N552" s="238">
        <f>SUM(N545:N551)</f>
        <v>14363</v>
      </c>
      <c r="O552" s="238">
        <f>SUM(O545:O551)</f>
        <v>4081</v>
      </c>
      <c r="P552" s="238">
        <f>SUM(P545:P551)</f>
        <v>13183</v>
      </c>
      <c r="Q552" s="211">
        <f>SUM(N552:P552)</f>
        <v>31627</v>
      </c>
      <c r="R552" s="211">
        <f>+E552+I552+M552+Q552</f>
        <v>88870</v>
      </c>
    </row>
    <row r="553" spans="1:18" ht="15.75" customHeight="1" x14ac:dyDescent="0.35">
      <c r="A553" s="174" t="s">
        <v>55</v>
      </c>
      <c r="B553" s="140"/>
      <c r="C553" s="140"/>
      <c r="D553" s="140"/>
      <c r="E553" s="207" t="s">
        <v>7</v>
      </c>
      <c r="F553" s="140"/>
      <c r="G553" s="140"/>
      <c r="H553" s="140"/>
      <c r="I553" s="207" t="s">
        <v>7</v>
      </c>
      <c r="J553" s="140"/>
      <c r="K553" s="140"/>
      <c r="L553" s="140"/>
      <c r="M553" s="207" t="s">
        <v>7</v>
      </c>
      <c r="N553" s="140"/>
      <c r="O553" s="140"/>
      <c r="P553" s="140"/>
      <c r="Q553" s="207" t="s">
        <v>7</v>
      </c>
      <c r="R553" s="207" t="s">
        <v>7</v>
      </c>
    </row>
    <row r="554" spans="1:18" ht="15.75" customHeight="1" x14ac:dyDescent="0.35">
      <c r="A554" s="174" t="s">
        <v>57</v>
      </c>
      <c r="B554" s="140"/>
      <c r="C554" s="140"/>
      <c r="D554" s="140"/>
      <c r="E554" s="207" t="s">
        <v>7</v>
      </c>
      <c r="F554" s="140"/>
      <c r="G554" s="140"/>
      <c r="H554" s="140"/>
      <c r="I554" s="207" t="s">
        <v>7</v>
      </c>
      <c r="J554" s="140"/>
      <c r="K554" s="140"/>
      <c r="L554" s="140"/>
      <c r="M554" s="207" t="s">
        <v>7</v>
      </c>
      <c r="N554" s="140"/>
      <c r="O554" s="140"/>
      <c r="P554" s="140"/>
      <c r="Q554" s="207" t="s">
        <v>7</v>
      </c>
      <c r="R554" s="207" t="s">
        <v>7</v>
      </c>
    </row>
    <row r="555" spans="1:18" ht="15.75" customHeight="1" thickBot="1" x14ac:dyDescent="0.4">
      <c r="A555" s="174" t="s">
        <v>58</v>
      </c>
      <c r="B555" s="140"/>
      <c r="C555" s="140"/>
      <c r="D555" s="140"/>
      <c r="E555" s="207" t="s">
        <v>7</v>
      </c>
      <c r="F555" s="140"/>
      <c r="G555" s="140"/>
      <c r="H555" s="140"/>
      <c r="I555" s="207" t="s">
        <v>7</v>
      </c>
      <c r="J555" s="140"/>
      <c r="K555" s="140"/>
      <c r="L555" s="140"/>
      <c r="M555" s="207" t="s">
        <v>7</v>
      </c>
      <c r="N555" s="140"/>
      <c r="O555" s="140"/>
      <c r="P555" s="140"/>
      <c r="Q555" s="207" t="s">
        <v>7</v>
      </c>
      <c r="R555" s="207" t="s">
        <v>7</v>
      </c>
    </row>
    <row r="556" spans="1:18" ht="15.75" customHeight="1" thickBot="1" x14ac:dyDescent="0.4">
      <c r="A556" s="209" t="s">
        <v>59</v>
      </c>
      <c r="B556" s="237">
        <f>SUM(B553:B555)</f>
        <v>0</v>
      </c>
      <c r="C556" s="238">
        <f>SUM(C553:C555)</f>
        <v>0</v>
      </c>
      <c r="D556" s="238">
        <f>SUM(D553:D555)</f>
        <v>0</v>
      </c>
      <c r="E556" s="211">
        <f>SUM(B556:D556)</f>
        <v>0</v>
      </c>
      <c r="F556" s="238">
        <f>SUM(F553:F555)</f>
        <v>0</v>
      </c>
      <c r="G556" s="238">
        <f>SUM(G553:G555)</f>
        <v>0</v>
      </c>
      <c r="H556" s="238">
        <f>SUM(H553:H555)</f>
        <v>0</v>
      </c>
      <c r="I556" s="211">
        <f>SUM(F556:H556)</f>
        <v>0</v>
      </c>
      <c r="J556" s="238">
        <f>SUM(J553:J555)</f>
        <v>0</v>
      </c>
      <c r="K556" s="238">
        <f>SUM(K553:K555)</f>
        <v>0</v>
      </c>
      <c r="L556" s="238">
        <f>SUM(L553:L555)</f>
        <v>0</v>
      </c>
      <c r="M556" s="211">
        <f>SUM(J556:L556)</f>
        <v>0</v>
      </c>
      <c r="N556" s="238">
        <f>SUM(N553:N555)</f>
        <v>0</v>
      </c>
      <c r="O556" s="238">
        <f>SUM(O553:O555)</f>
        <v>0</v>
      </c>
      <c r="P556" s="238">
        <f>SUM(P553:P555)</f>
        <v>0</v>
      </c>
      <c r="Q556" s="211">
        <f>SUM(N556:P556)</f>
        <v>0</v>
      </c>
      <c r="R556" s="211">
        <f>+E556+I556+M556+Q556</f>
        <v>0</v>
      </c>
    </row>
    <row r="557" spans="1:18" ht="15.75" customHeight="1" x14ac:dyDescent="0.35">
      <c r="A557" s="174" t="s">
        <v>60</v>
      </c>
      <c r="B557" s="140"/>
      <c r="C557" s="140"/>
      <c r="D557" s="140"/>
      <c r="E557" s="207" t="s">
        <v>7</v>
      </c>
      <c r="F557" s="140"/>
      <c r="G557" s="140"/>
      <c r="H557" s="140"/>
      <c r="I557" s="207" t="s">
        <v>7</v>
      </c>
      <c r="J557" s="140"/>
      <c r="K557" s="140"/>
      <c r="L557" s="140"/>
      <c r="M557" s="207" t="s">
        <v>7</v>
      </c>
      <c r="N557" s="140"/>
      <c r="O557" s="140"/>
      <c r="P557" s="140"/>
      <c r="Q557" s="207" t="s">
        <v>7</v>
      </c>
      <c r="R557" s="207" t="s">
        <v>7</v>
      </c>
    </row>
    <row r="558" spans="1:18" ht="15.75" customHeight="1" x14ac:dyDescent="0.35">
      <c r="A558" s="174" t="s">
        <v>61</v>
      </c>
      <c r="B558" s="140"/>
      <c r="C558" s="140"/>
      <c r="D558" s="140"/>
      <c r="E558" s="207" t="s">
        <v>7</v>
      </c>
      <c r="F558" s="140"/>
      <c r="G558" s="140"/>
      <c r="H558" s="140"/>
      <c r="I558" s="207" t="s">
        <v>7</v>
      </c>
      <c r="J558" s="140"/>
      <c r="K558" s="140"/>
      <c r="L558" s="140"/>
      <c r="M558" s="207" t="s">
        <v>7</v>
      </c>
      <c r="N558" s="140"/>
      <c r="O558" s="140"/>
      <c r="P558" s="140"/>
      <c r="Q558" s="207" t="s">
        <v>7</v>
      </c>
      <c r="R558" s="207" t="s">
        <v>7</v>
      </c>
    </row>
    <row r="559" spans="1:18" ht="15.75" customHeight="1" x14ac:dyDescent="0.35">
      <c r="A559" s="222" t="s">
        <v>346</v>
      </c>
      <c r="B559" s="140">
        <v>632</v>
      </c>
      <c r="C559" s="140">
        <v>1105</v>
      </c>
      <c r="D559" s="140">
        <v>1785</v>
      </c>
      <c r="E559" s="207">
        <f>SUM(B559:D559)</f>
        <v>3522</v>
      </c>
      <c r="F559" s="140">
        <v>2471</v>
      </c>
      <c r="G559" s="140">
        <v>2290</v>
      </c>
      <c r="H559" s="140">
        <v>1619</v>
      </c>
      <c r="I559" s="207">
        <f>SUM(F559:H559)</f>
        <v>6380</v>
      </c>
      <c r="J559" s="140">
        <v>1248</v>
      </c>
      <c r="K559" s="140">
        <v>1979</v>
      </c>
      <c r="L559" s="140">
        <v>1015</v>
      </c>
      <c r="M559" s="207">
        <f>SUM(J559:L559)</f>
        <v>4242</v>
      </c>
      <c r="N559" s="140">
        <v>433</v>
      </c>
      <c r="O559" s="140">
        <v>41</v>
      </c>
      <c r="P559" s="140">
        <v>4</v>
      </c>
      <c r="Q559" s="207">
        <f>SUM(N559:P559)</f>
        <v>478</v>
      </c>
      <c r="R559" s="207">
        <f>+E559+I559+M559+Q559</f>
        <v>14622</v>
      </c>
    </row>
    <row r="560" spans="1:18" ht="15.75" customHeight="1" thickBot="1" x14ac:dyDescent="0.4">
      <c r="A560" s="174" t="s">
        <v>62</v>
      </c>
      <c r="B560" s="140"/>
      <c r="C560" s="140"/>
      <c r="D560" s="140"/>
      <c r="E560" s="207" t="s">
        <v>7</v>
      </c>
      <c r="F560" s="140"/>
      <c r="G560" s="140"/>
      <c r="H560" s="140"/>
      <c r="I560" s="207" t="s">
        <v>7</v>
      </c>
      <c r="J560" s="140"/>
      <c r="K560" s="140"/>
      <c r="L560" s="140"/>
      <c r="M560" s="207" t="s">
        <v>7</v>
      </c>
      <c r="N560" s="140"/>
      <c r="O560" s="140"/>
      <c r="P560" s="140"/>
      <c r="Q560" s="207" t="s">
        <v>7</v>
      </c>
      <c r="R560" s="207" t="s">
        <v>7</v>
      </c>
    </row>
    <row r="561" spans="1:18" ht="15.75" customHeight="1" thickBot="1" x14ac:dyDescent="0.4">
      <c r="A561" s="209" t="s">
        <v>63</v>
      </c>
      <c r="B561" s="237">
        <f>SUM(B557:B560)</f>
        <v>632</v>
      </c>
      <c r="C561" s="238">
        <f>SUM(C557:C560)</f>
        <v>1105</v>
      </c>
      <c r="D561" s="238">
        <f>SUM(D557:D560)</f>
        <v>1785</v>
      </c>
      <c r="E561" s="211">
        <f>SUM(B561:D561)</f>
        <v>3522</v>
      </c>
      <c r="F561" s="238">
        <f>SUM(F557:F560)</f>
        <v>2471</v>
      </c>
      <c r="G561" s="238">
        <f>SUM(G557:G560)</f>
        <v>2290</v>
      </c>
      <c r="H561" s="238">
        <f>SUM(H557:H560)</f>
        <v>1619</v>
      </c>
      <c r="I561" s="211">
        <f>SUM(F561:H561)</f>
        <v>6380</v>
      </c>
      <c r="J561" s="238">
        <f>SUM(J557:J560)</f>
        <v>1248</v>
      </c>
      <c r="K561" s="238">
        <f>SUM(K557:K560)</f>
        <v>1979</v>
      </c>
      <c r="L561" s="238">
        <f>SUM(L557:L560)</f>
        <v>1015</v>
      </c>
      <c r="M561" s="211">
        <f>SUM(J561:L561)</f>
        <v>4242</v>
      </c>
      <c r="N561" s="238">
        <f>SUM(N557:N560)</f>
        <v>433</v>
      </c>
      <c r="O561" s="238">
        <f>SUM(O557:O560)</f>
        <v>41</v>
      </c>
      <c r="P561" s="238">
        <f>SUM(P557:P560)</f>
        <v>4</v>
      </c>
      <c r="Q561" s="211">
        <f>SUM(N561:P561)</f>
        <v>478</v>
      </c>
      <c r="R561" s="211">
        <f>+E561+I561+M561+Q561</f>
        <v>14622</v>
      </c>
    </row>
    <row r="562" spans="1:18" ht="15.75" customHeight="1" x14ac:dyDescent="0.35">
      <c r="A562" s="174" t="s">
        <v>64</v>
      </c>
      <c r="B562" s="140"/>
      <c r="C562" s="140"/>
      <c r="D562" s="140"/>
      <c r="E562" s="207" t="s">
        <v>7</v>
      </c>
      <c r="F562" s="140"/>
      <c r="G562" s="140"/>
      <c r="H562" s="140"/>
      <c r="I562" s="207" t="s">
        <v>7</v>
      </c>
      <c r="J562" s="140"/>
      <c r="K562" s="140"/>
      <c r="L562" s="140"/>
      <c r="M562" s="207" t="s">
        <v>7</v>
      </c>
      <c r="N562" s="140"/>
      <c r="O562" s="140"/>
      <c r="P562" s="140"/>
      <c r="Q562" s="207" t="s">
        <v>7</v>
      </c>
      <c r="R562" s="207" t="s">
        <v>7</v>
      </c>
    </row>
    <row r="563" spans="1:18" ht="15.75" customHeight="1" x14ac:dyDescent="0.35">
      <c r="A563" s="174" t="s">
        <v>65</v>
      </c>
      <c r="B563" s="140"/>
      <c r="C563" s="140"/>
      <c r="D563" s="140"/>
      <c r="E563" s="207" t="s">
        <v>7</v>
      </c>
      <c r="F563" s="140"/>
      <c r="G563" s="140"/>
      <c r="H563" s="140"/>
      <c r="I563" s="207" t="s">
        <v>7</v>
      </c>
      <c r="J563" s="140"/>
      <c r="K563" s="140"/>
      <c r="L563" s="140"/>
      <c r="M563" s="207" t="s">
        <v>7</v>
      </c>
      <c r="N563" s="140"/>
      <c r="O563" s="140"/>
      <c r="P563" s="140"/>
      <c r="Q563" s="207" t="s">
        <v>7</v>
      </c>
      <c r="R563" s="207" t="s">
        <v>7</v>
      </c>
    </row>
    <row r="564" spans="1:18" ht="15.75" customHeight="1" x14ac:dyDescent="0.35">
      <c r="A564" s="174" t="s">
        <v>67</v>
      </c>
      <c r="B564" s="140"/>
      <c r="C564" s="140"/>
      <c r="D564" s="140"/>
      <c r="E564" s="207" t="s">
        <v>7</v>
      </c>
      <c r="F564" s="140"/>
      <c r="G564" s="140"/>
      <c r="H564" s="140"/>
      <c r="I564" s="207" t="s">
        <v>7</v>
      </c>
      <c r="J564" s="140"/>
      <c r="K564" s="140"/>
      <c r="L564" s="140"/>
      <c r="M564" s="207" t="s">
        <v>7</v>
      </c>
      <c r="N564" s="140"/>
      <c r="O564" s="140"/>
      <c r="P564" s="140"/>
      <c r="Q564" s="207" t="s">
        <v>7</v>
      </c>
      <c r="R564" s="207" t="s">
        <v>7</v>
      </c>
    </row>
    <row r="565" spans="1:18" ht="15.75" customHeight="1" x14ac:dyDescent="0.35">
      <c r="A565" s="222" t="s">
        <v>347</v>
      </c>
      <c r="B565" s="140">
        <v>0</v>
      </c>
      <c r="C565" s="140">
        <v>0</v>
      </c>
      <c r="D565" s="140">
        <v>0</v>
      </c>
      <c r="E565" s="207">
        <f>SUM(B565:D565)</f>
        <v>0</v>
      </c>
      <c r="F565" s="140">
        <v>4348</v>
      </c>
      <c r="G565" s="140">
        <v>4910</v>
      </c>
      <c r="H565" s="140">
        <v>2341</v>
      </c>
      <c r="I565" s="207">
        <f>SUM(F565:H565)</f>
        <v>11599</v>
      </c>
      <c r="J565" s="140">
        <v>0</v>
      </c>
      <c r="K565" s="140">
        <v>0</v>
      </c>
      <c r="L565" s="140">
        <v>0</v>
      </c>
      <c r="M565" s="207">
        <f>SUM(J565:L565)</f>
        <v>0</v>
      </c>
      <c r="N565" s="140">
        <v>0</v>
      </c>
      <c r="O565" s="140">
        <v>0</v>
      </c>
      <c r="P565" s="140">
        <v>0</v>
      </c>
      <c r="Q565" s="207">
        <f>SUM(N565:P565)</f>
        <v>0</v>
      </c>
      <c r="R565" s="207">
        <f>+E565+I565+M565+Q565</f>
        <v>11599</v>
      </c>
    </row>
    <row r="566" spans="1:18" ht="15.75" customHeight="1" x14ac:dyDescent="0.35">
      <c r="A566" s="222" t="s">
        <v>348</v>
      </c>
      <c r="B566" s="140">
        <v>0</v>
      </c>
      <c r="C566" s="140">
        <v>0</v>
      </c>
      <c r="D566" s="140">
        <v>0</v>
      </c>
      <c r="E566" s="207">
        <f>SUM(B566:D566)</f>
        <v>0</v>
      </c>
      <c r="F566" s="140">
        <v>0</v>
      </c>
      <c r="G566" s="140">
        <v>0</v>
      </c>
      <c r="H566" s="140">
        <v>0</v>
      </c>
      <c r="I566" s="207">
        <f>SUM(F566:H566)</f>
        <v>0</v>
      </c>
      <c r="J566" s="140">
        <v>0</v>
      </c>
      <c r="K566" s="140">
        <v>0</v>
      </c>
      <c r="L566" s="140">
        <v>0</v>
      </c>
      <c r="M566" s="207">
        <f>SUM(J566:L566)</f>
        <v>0</v>
      </c>
      <c r="N566" s="140">
        <v>0</v>
      </c>
      <c r="O566" s="140">
        <v>0</v>
      </c>
      <c r="P566" s="140">
        <v>0</v>
      </c>
      <c r="Q566" s="207">
        <f>SUM(N566:P566)</f>
        <v>0</v>
      </c>
      <c r="R566" s="207">
        <f>+E566+I566+M566+Q566</f>
        <v>0</v>
      </c>
    </row>
    <row r="567" spans="1:18" ht="15.75" customHeight="1" x14ac:dyDescent="0.35">
      <c r="A567" s="222" t="s">
        <v>349</v>
      </c>
      <c r="B567" s="140">
        <v>0</v>
      </c>
      <c r="C567" s="140">
        <v>0</v>
      </c>
      <c r="D567" s="140">
        <v>0</v>
      </c>
      <c r="E567" s="207">
        <f>SUM(B567:D567)</f>
        <v>0</v>
      </c>
      <c r="F567" s="140">
        <v>0</v>
      </c>
      <c r="G567" s="140">
        <v>0</v>
      </c>
      <c r="H567" s="140">
        <v>4525</v>
      </c>
      <c r="I567" s="207">
        <f>SUM(F567:H567)</f>
        <v>4525</v>
      </c>
      <c r="J567" s="140">
        <v>0</v>
      </c>
      <c r="K567" s="140">
        <v>0</v>
      </c>
      <c r="L567" s="140">
        <v>0</v>
      </c>
      <c r="M567" s="207">
        <f>SUM(J567:L567)</f>
        <v>0</v>
      </c>
      <c r="N567" s="140">
        <v>0</v>
      </c>
      <c r="O567" s="140">
        <v>0</v>
      </c>
      <c r="P567" s="140">
        <v>0</v>
      </c>
      <c r="Q567" s="207">
        <f>SUM(N567:P567)</f>
        <v>0</v>
      </c>
      <c r="R567" s="207">
        <f>+E567+I567+M567+Q567</f>
        <v>4525</v>
      </c>
    </row>
    <row r="568" spans="1:18" ht="15.75" customHeight="1" x14ac:dyDescent="0.35">
      <c r="A568" s="222" t="s">
        <v>350</v>
      </c>
      <c r="B568" s="140">
        <v>0</v>
      </c>
      <c r="C568" s="140">
        <v>0</v>
      </c>
      <c r="D568" s="140">
        <v>0</v>
      </c>
      <c r="E568" s="207">
        <f>SUM(B568:D568)</f>
        <v>0</v>
      </c>
      <c r="F568" s="140">
        <v>0</v>
      </c>
      <c r="G568" s="140">
        <v>0</v>
      </c>
      <c r="H568" s="140">
        <v>0</v>
      </c>
      <c r="I568" s="207">
        <f>SUM(F568:H568)</f>
        <v>0</v>
      </c>
      <c r="J568" s="140">
        <v>0</v>
      </c>
      <c r="K568" s="140">
        <v>0</v>
      </c>
      <c r="L568" s="140">
        <v>0</v>
      </c>
      <c r="M568" s="207">
        <f>SUM(J568:L568)</f>
        <v>0</v>
      </c>
      <c r="N568" s="140">
        <v>0</v>
      </c>
      <c r="O568" s="140">
        <v>0</v>
      </c>
      <c r="P568" s="140">
        <v>0</v>
      </c>
      <c r="Q568" s="207">
        <f>SUM(N568:P568)</f>
        <v>0</v>
      </c>
      <c r="R568" s="207">
        <f>+E568+I568+M568+Q568</f>
        <v>0</v>
      </c>
    </row>
    <row r="569" spans="1:18" ht="15.75" customHeight="1" x14ac:dyDescent="0.35">
      <c r="A569" s="174" t="s">
        <v>69</v>
      </c>
      <c r="B569" s="140"/>
      <c r="C569" s="140"/>
      <c r="D569" s="140"/>
      <c r="E569" s="207" t="s">
        <v>7</v>
      </c>
      <c r="F569" s="140"/>
      <c r="G569" s="140"/>
      <c r="H569" s="140"/>
      <c r="I569" s="207" t="s">
        <v>7</v>
      </c>
      <c r="J569" s="140"/>
      <c r="K569" s="140"/>
      <c r="L569" s="140"/>
      <c r="M569" s="207" t="s">
        <v>7</v>
      </c>
      <c r="N569" s="140"/>
      <c r="O569" s="140"/>
      <c r="P569" s="140"/>
      <c r="Q569" s="207" t="s">
        <v>7</v>
      </c>
      <c r="R569" s="207" t="s">
        <v>7</v>
      </c>
    </row>
    <row r="570" spans="1:18" ht="15.75" customHeight="1" thickBot="1" x14ac:dyDescent="0.4">
      <c r="A570" s="174" t="s">
        <v>70</v>
      </c>
      <c r="B570" s="140"/>
      <c r="C570" s="140"/>
      <c r="D570" s="140"/>
      <c r="E570" s="207" t="s">
        <v>7</v>
      </c>
      <c r="F570" s="140"/>
      <c r="G570" s="140"/>
      <c r="H570" s="140"/>
      <c r="I570" s="207" t="s">
        <v>7</v>
      </c>
      <c r="J570" s="140"/>
      <c r="K570" s="140"/>
      <c r="L570" s="140"/>
      <c r="M570" s="207" t="s">
        <v>7</v>
      </c>
      <c r="N570" s="140"/>
      <c r="O570" s="140"/>
      <c r="P570" s="140"/>
      <c r="Q570" s="207" t="s">
        <v>7</v>
      </c>
      <c r="R570" s="207" t="s">
        <v>7</v>
      </c>
    </row>
    <row r="571" spans="1:18" ht="15.75" customHeight="1" thickBot="1" x14ac:dyDescent="0.4">
      <c r="A571" s="209" t="s">
        <v>71</v>
      </c>
      <c r="B571" s="210">
        <f>SUM(B569:B570)</f>
        <v>0</v>
      </c>
      <c r="C571" s="210">
        <f>SUM(C569:C570)</f>
        <v>0</v>
      </c>
      <c r="D571" s="210">
        <f>SUM(D569:D570)</f>
        <v>0</v>
      </c>
      <c r="E571" s="212">
        <f>SUM(B571:D571)</f>
        <v>0</v>
      </c>
      <c r="F571" s="210">
        <f>SUM(F569:F570)</f>
        <v>0</v>
      </c>
      <c r="G571" s="210">
        <f>SUM(G569:G570)</f>
        <v>0</v>
      </c>
      <c r="H571" s="210">
        <f>SUM(H569:H570)</f>
        <v>0</v>
      </c>
      <c r="I571" s="212">
        <f>SUM(F571:H571)</f>
        <v>0</v>
      </c>
      <c r="J571" s="210">
        <f>SUM(J569:J570)</f>
        <v>0</v>
      </c>
      <c r="K571" s="210">
        <f>SUM(K569:K570)</f>
        <v>0</v>
      </c>
      <c r="L571" s="210">
        <f>SUM(L569:L570)</f>
        <v>0</v>
      </c>
      <c r="M571" s="212">
        <f>SUM(J571:L571)</f>
        <v>0</v>
      </c>
      <c r="N571" s="210">
        <f>SUM(N569:N570)</f>
        <v>0</v>
      </c>
      <c r="O571" s="210">
        <f>SUM(O569:O570)</f>
        <v>0</v>
      </c>
      <c r="P571" s="210">
        <f>SUM(P569:P570)</f>
        <v>0</v>
      </c>
      <c r="Q571" s="212">
        <f>SUM(N571:P571)</f>
        <v>0</v>
      </c>
      <c r="R571" s="211">
        <f>+E571+I571+M571+Q571</f>
        <v>0</v>
      </c>
    </row>
    <row r="572" spans="1:18" ht="15.75" customHeight="1" thickBot="1" x14ac:dyDescent="0.4">
      <c r="A572" s="259" t="s">
        <v>72</v>
      </c>
      <c r="B572" s="237">
        <f>SUM(B562:B570)</f>
        <v>0</v>
      </c>
      <c r="C572" s="238">
        <f>SUM(C562:C570)</f>
        <v>0</v>
      </c>
      <c r="D572" s="260">
        <f>SUM(D562:D570)</f>
        <v>0</v>
      </c>
      <c r="E572" s="212">
        <f>SUM(B572:D572)</f>
        <v>0</v>
      </c>
      <c r="F572" s="238">
        <f>SUM(F562:F570)</f>
        <v>4348</v>
      </c>
      <c r="G572" s="238">
        <f>SUM(G562:G570)</f>
        <v>4910</v>
      </c>
      <c r="H572" s="238">
        <f>SUM(H562:H570)</f>
        <v>6866</v>
      </c>
      <c r="I572" s="212">
        <f>SUM(F572:H572)</f>
        <v>16124</v>
      </c>
      <c r="J572" s="238">
        <f>SUM(J562:J570)</f>
        <v>0</v>
      </c>
      <c r="K572" s="238">
        <f>SUM(K562:K570)</f>
        <v>0</v>
      </c>
      <c r="L572" s="238">
        <f>SUM(L562:L570)</f>
        <v>0</v>
      </c>
      <c r="M572" s="212">
        <f>SUM(J572:L572)</f>
        <v>0</v>
      </c>
      <c r="N572" s="238">
        <f>SUM(N562:N570)</f>
        <v>0</v>
      </c>
      <c r="O572" s="238">
        <f>SUM(O562:O570)</f>
        <v>0</v>
      </c>
      <c r="P572" s="238">
        <f>SUM(P562:P570)</f>
        <v>0</v>
      </c>
      <c r="Q572" s="212">
        <f>SUM(N572:P572)</f>
        <v>0</v>
      </c>
      <c r="R572" s="211">
        <f>+E572+I572+M572+Q572</f>
        <v>16124</v>
      </c>
    </row>
    <row r="573" spans="1:18" ht="15.75" customHeight="1" thickBot="1" x14ac:dyDescent="0.4">
      <c r="A573" s="209" t="s">
        <v>73</v>
      </c>
      <c r="B573" s="240">
        <f>+B552+B556+B561+B572</f>
        <v>13525</v>
      </c>
      <c r="C573" s="210">
        <f>+C552+C556+C561+C572</f>
        <v>3697</v>
      </c>
      <c r="D573" s="210">
        <f>+D552+D556+D561+D572</f>
        <v>1785</v>
      </c>
      <c r="E573" s="211">
        <f>SUM(B573:D573)</f>
        <v>19007</v>
      </c>
      <c r="F573" s="210">
        <f>+F552+F556+F561+F572</f>
        <v>6819</v>
      </c>
      <c r="G573" s="210">
        <f>+G552+G556+G561+G572</f>
        <v>7200</v>
      </c>
      <c r="H573" s="210">
        <f>+H552+H556+H561+H572</f>
        <v>8680</v>
      </c>
      <c r="I573" s="211">
        <f>SUM(F573:H573)</f>
        <v>22699</v>
      </c>
      <c r="J573" s="210">
        <f>+J552+J556+J561+J572</f>
        <v>15231</v>
      </c>
      <c r="K573" s="210">
        <f>+K552+K556+K561+K572</f>
        <v>15988</v>
      </c>
      <c r="L573" s="210">
        <f>+L552+L556+L561+L572</f>
        <v>14586</v>
      </c>
      <c r="M573" s="211">
        <f>SUM(J573:L573)</f>
        <v>45805</v>
      </c>
      <c r="N573" s="210">
        <f>+N552+N556+N561+N572</f>
        <v>14796</v>
      </c>
      <c r="O573" s="210">
        <f>+O552+O556+O561+O572</f>
        <v>4122</v>
      </c>
      <c r="P573" s="210">
        <f>+P552+P556+P561+P572</f>
        <v>13187</v>
      </c>
      <c r="Q573" s="211">
        <f>SUM(N573:P573)</f>
        <v>32105</v>
      </c>
      <c r="R573" s="231">
        <f>+E573+I573+M573+Q573</f>
        <v>119616</v>
      </c>
    </row>
    <row r="574" spans="1:18" ht="15.75" customHeight="1" thickBot="1" x14ac:dyDescent="0.4">
      <c r="A574" s="214" t="s">
        <v>40</v>
      </c>
      <c r="B574" s="180">
        <v>22</v>
      </c>
      <c r="C574" s="180">
        <v>24</v>
      </c>
      <c r="D574" s="180">
        <v>31</v>
      </c>
      <c r="E574" s="211">
        <f>SUM(B574:D574)</f>
        <v>77</v>
      </c>
      <c r="F574" s="180">
        <v>40</v>
      </c>
      <c r="G574" s="180">
        <v>45</v>
      </c>
      <c r="H574" s="180">
        <v>48</v>
      </c>
      <c r="I574" s="211">
        <f>SUM(F574:H574)</f>
        <v>133</v>
      </c>
      <c r="J574" s="180">
        <v>42</v>
      </c>
      <c r="K574" s="180">
        <v>39</v>
      </c>
      <c r="L574" s="180">
        <v>38</v>
      </c>
      <c r="M574" s="211">
        <f>SUM(J574:L574)</f>
        <v>119</v>
      </c>
      <c r="N574" s="180">
        <v>32</v>
      </c>
      <c r="O574" s="180">
        <v>25</v>
      </c>
      <c r="P574" s="180">
        <v>21</v>
      </c>
      <c r="Q574" s="211">
        <f>SUM(N574:P574)</f>
        <v>78</v>
      </c>
      <c r="R574" s="212">
        <f>+E574+I574+M574+Q574</f>
        <v>407</v>
      </c>
    </row>
    <row r="575" spans="1:18" ht="15.75" customHeight="1" thickBot="1" x14ac:dyDescent="0.4">
      <c r="A575" s="198"/>
      <c r="B575" s="193"/>
      <c r="C575" s="193"/>
      <c r="D575" s="193"/>
      <c r="E575" s="14"/>
      <c r="F575" s="193"/>
      <c r="G575" s="193"/>
      <c r="H575" s="193"/>
      <c r="I575" s="14"/>
      <c r="J575" s="193"/>
      <c r="K575" s="193"/>
      <c r="L575" s="193"/>
      <c r="M575" s="14"/>
      <c r="N575" s="193"/>
      <c r="O575" s="193"/>
      <c r="P575" s="193"/>
      <c r="Q575" s="14"/>
      <c r="R575" s="199"/>
    </row>
    <row r="576" spans="1:18" ht="15.75" customHeight="1" x14ac:dyDescent="0.35">
      <c r="A576" s="174" t="s">
        <v>314</v>
      </c>
      <c r="B576" s="140">
        <f>+SUM(B573:B574)</f>
        <v>13547</v>
      </c>
      <c r="C576" s="140">
        <f>+SUM(C573:C574)</f>
        <v>3721</v>
      </c>
      <c r="D576" s="140">
        <f>+SUM(D573:D574)</f>
        <v>1816</v>
      </c>
      <c r="E576" s="212">
        <f>SUM(B576:D576)</f>
        <v>19084</v>
      </c>
      <c r="F576" s="140">
        <f>+SUM(F573:F574)</f>
        <v>6859</v>
      </c>
      <c r="G576" s="140">
        <f>+SUM(G573:G574)</f>
        <v>7245</v>
      </c>
      <c r="H576" s="140">
        <f>+SUM(H573:H574)</f>
        <v>8728</v>
      </c>
      <c r="I576" s="212">
        <f>SUM(F576:H576)</f>
        <v>22832</v>
      </c>
      <c r="J576" s="140">
        <f>+SUM(J573:J574)</f>
        <v>15273</v>
      </c>
      <c r="K576" s="140">
        <f>+SUM(K573:K574)</f>
        <v>16027</v>
      </c>
      <c r="L576" s="140">
        <f>+SUM(L573:L574)</f>
        <v>14624</v>
      </c>
      <c r="M576" s="212">
        <f>SUM(J576:L576)</f>
        <v>45924</v>
      </c>
      <c r="N576" s="140">
        <f>+SUM(N573:N574)</f>
        <v>14828</v>
      </c>
      <c r="O576" s="140">
        <f>+SUM(O573:O574)</f>
        <v>4147</v>
      </c>
      <c r="P576" s="140">
        <f>+SUM(P573:P574)</f>
        <v>13208</v>
      </c>
      <c r="Q576" s="212">
        <f>SUM(N576:P576)</f>
        <v>32183</v>
      </c>
      <c r="R576" s="212">
        <f>+E576+I576+M576+Q576</f>
        <v>120023</v>
      </c>
    </row>
    <row r="577" spans="1:18" ht="15.75" customHeight="1" x14ac:dyDescent="0.35">
      <c r="A577" s="174" t="s">
        <v>42</v>
      </c>
      <c r="B577" s="140">
        <f>(B576/31)/1.983</f>
        <v>220.37317196167422</v>
      </c>
      <c r="C577" s="140">
        <f>(C576/28)/1.983</f>
        <v>67.016065124990988</v>
      </c>
      <c r="D577" s="140">
        <f>(D576/31)/1.983</f>
        <v>29.541424690514532</v>
      </c>
      <c r="E577" s="207" t="s">
        <v>7</v>
      </c>
      <c r="F577" s="140">
        <f>(F576/30)/1.983</f>
        <v>115.29668851907883</v>
      </c>
      <c r="G577" s="140">
        <f>(G576/31)/1.983</f>
        <v>117.85661997950319</v>
      </c>
      <c r="H577" s="140">
        <f>(H576/30)/1.983</f>
        <v>146.71373340057153</v>
      </c>
      <c r="I577" s="207" t="s">
        <v>7</v>
      </c>
      <c r="J577" s="140">
        <f>(J576/31)/1.983</f>
        <v>248.45053926113903</v>
      </c>
      <c r="K577" s="140">
        <f>(K576/31)/1.983</f>
        <v>260.71608673726678</v>
      </c>
      <c r="L577" s="140">
        <f>(L576/30)/1.983</f>
        <v>245.82282736594382</v>
      </c>
      <c r="M577" s="207" t="s">
        <v>7</v>
      </c>
      <c r="N577" s="140">
        <f>(N576/31)/1.983</f>
        <v>241.21158882761537</v>
      </c>
      <c r="O577" s="140">
        <f>(O576/30)/1.983</f>
        <v>69.709194822659256</v>
      </c>
      <c r="P577" s="140">
        <f>(P576/31)/1.983</f>
        <v>214.85855578872025</v>
      </c>
      <c r="Q577" s="207" t="s">
        <v>7</v>
      </c>
      <c r="R577" s="207" t="s">
        <v>7</v>
      </c>
    </row>
    <row r="578" spans="1:18" ht="15.75" customHeight="1" x14ac:dyDescent="0.35">
      <c r="A578" s="174" t="s">
        <v>351</v>
      </c>
      <c r="B578" s="140">
        <f>B576+B588</f>
        <v>15995</v>
      </c>
      <c r="C578" s="140">
        <f>C576+C588</f>
        <v>5559</v>
      </c>
      <c r="D578" s="140">
        <f>D576+D588</f>
        <v>4966</v>
      </c>
      <c r="E578" s="207">
        <f>SUM(B578:D578)</f>
        <v>26520</v>
      </c>
      <c r="F578" s="140">
        <f>F576+F588</f>
        <v>9635</v>
      </c>
      <c r="G578" s="140">
        <f>G576+G588</f>
        <v>10952</v>
      </c>
      <c r="H578" s="140">
        <f>H576+H588</f>
        <v>12443</v>
      </c>
      <c r="I578" s="207">
        <f>SUM(F578:H578)</f>
        <v>33030</v>
      </c>
      <c r="J578" s="140">
        <f>J576+J588</f>
        <v>18549</v>
      </c>
      <c r="K578" s="140">
        <f>K576+K588</f>
        <v>20585</v>
      </c>
      <c r="L578" s="140">
        <f>L576+L588</f>
        <v>18717</v>
      </c>
      <c r="M578" s="207">
        <f>SUM(J578:L578)</f>
        <v>57851</v>
      </c>
      <c r="N578" s="140">
        <f>N576+N588</f>
        <v>17453</v>
      </c>
      <c r="O578" s="140">
        <f>O576+O588</f>
        <v>5453</v>
      </c>
      <c r="P578" s="140">
        <f>P576+P588</f>
        <v>17541</v>
      </c>
      <c r="Q578" s="207">
        <f>SUM(N578:P578)</f>
        <v>40447</v>
      </c>
      <c r="R578" s="207">
        <f>+E578+I578+M578+Q578</f>
        <v>157848</v>
      </c>
    </row>
    <row r="579" spans="1:18" ht="15.75" customHeight="1" thickBot="1" x14ac:dyDescent="0.4">
      <c r="A579" s="179" t="s">
        <v>352</v>
      </c>
      <c r="B579" s="180">
        <f>(B578/31)/1.983</f>
        <v>260.19553299822684</v>
      </c>
      <c r="C579" s="180">
        <f>(C578/28)/1.983</f>
        <v>100.1188675167495</v>
      </c>
      <c r="D579" s="180">
        <f>(D578/31)/1.983</f>
        <v>80.783433377255051</v>
      </c>
      <c r="E579" s="231" t="s">
        <v>7</v>
      </c>
      <c r="F579" s="180">
        <f>(F578/30)/1.983</f>
        <v>161.95999327618088</v>
      </c>
      <c r="G579" s="180">
        <f>(G578/31)/1.983</f>
        <v>178.15951718640704</v>
      </c>
      <c r="H579" s="180">
        <f>(H578/30)/1.983</f>
        <v>209.16120356362413</v>
      </c>
      <c r="I579" s="231" t="s">
        <v>7</v>
      </c>
      <c r="J579" s="180">
        <f>(J578/31)/1.983</f>
        <v>301.74222829534915</v>
      </c>
      <c r="K579" s="180">
        <f>(K578/31)/1.983</f>
        <v>334.86245994176301</v>
      </c>
      <c r="L579" s="180">
        <f>(L578/30)/1.983</f>
        <v>314.62430660615229</v>
      </c>
      <c r="M579" s="231" t="s">
        <v>7</v>
      </c>
      <c r="N579" s="180">
        <f>(N578/31)/1.983</f>
        <v>283.91326273323244</v>
      </c>
      <c r="O579" s="180">
        <f>(O578/30)/1.983</f>
        <v>91.662464279710875</v>
      </c>
      <c r="P579" s="180">
        <f>(P578/31)/1.983</f>
        <v>285.34478551559221</v>
      </c>
      <c r="Q579" s="231" t="s">
        <v>7</v>
      </c>
      <c r="R579" s="231" t="s">
        <v>7</v>
      </c>
    </row>
    <row r="580" spans="1:18" ht="15.75" customHeight="1" x14ac:dyDescent="0.35">
      <c r="A580" s="141"/>
      <c r="B580" s="140"/>
      <c r="C580" s="140"/>
      <c r="D580" s="140"/>
      <c r="E580" s="140"/>
      <c r="F580" s="140"/>
      <c r="G580" s="140"/>
      <c r="H580" s="140"/>
      <c r="I580" s="140"/>
      <c r="J580" s="140"/>
      <c r="K580" s="140"/>
      <c r="L580" s="140"/>
      <c r="M580" s="140"/>
      <c r="N580" s="140"/>
      <c r="O580" s="140"/>
      <c r="P580" s="140"/>
      <c r="Q580" s="140"/>
      <c r="R580" s="141"/>
    </row>
    <row r="581" spans="1:18" ht="15.75" customHeight="1" thickBot="1" x14ac:dyDescent="0.4">
      <c r="A581" s="141"/>
      <c r="B581" s="140"/>
      <c r="C581" s="140"/>
      <c r="D581" s="140"/>
      <c r="E581" s="140"/>
      <c r="F581" s="140"/>
      <c r="G581" s="140"/>
      <c r="H581" s="140"/>
      <c r="I581" s="140"/>
      <c r="J581" s="140"/>
      <c r="K581" s="140"/>
      <c r="L581" s="140"/>
      <c r="M581" s="140"/>
      <c r="N581" s="140"/>
      <c r="O581" s="140"/>
      <c r="P581" s="140"/>
      <c r="Q581" s="140"/>
      <c r="R581" s="141"/>
    </row>
    <row r="582" spans="1:18" ht="15.75" customHeight="1" thickBot="1" x14ac:dyDescent="0.4">
      <c r="A582" s="261" t="s">
        <v>353</v>
      </c>
      <c r="B582" s="188" t="s">
        <v>8</v>
      </c>
      <c r="C582" s="189" t="s">
        <v>9</v>
      </c>
      <c r="D582" s="189" t="s">
        <v>10</v>
      </c>
      <c r="E582" s="10" t="s">
        <v>11</v>
      </c>
      <c r="F582" s="189" t="s">
        <v>12</v>
      </c>
      <c r="G582" s="189" t="s">
        <v>13</v>
      </c>
      <c r="H582" s="189" t="s">
        <v>14</v>
      </c>
      <c r="I582" s="190" t="s">
        <v>15</v>
      </c>
      <c r="J582" s="189" t="s">
        <v>16</v>
      </c>
      <c r="K582" s="189" t="s">
        <v>17</v>
      </c>
      <c r="L582" s="189" t="s">
        <v>18</v>
      </c>
      <c r="M582" s="190" t="s">
        <v>19</v>
      </c>
      <c r="N582" s="189" t="s">
        <v>20</v>
      </c>
      <c r="O582" s="189" t="s">
        <v>21</v>
      </c>
      <c r="P582" s="189" t="s">
        <v>22</v>
      </c>
      <c r="Q582" s="190" t="s">
        <v>23</v>
      </c>
      <c r="R582" s="191" t="s">
        <v>24</v>
      </c>
    </row>
    <row r="583" spans="1:18" ht="15.75" customHeight="1" thickBot="1" x14ac:dyDescent="0.4">
      <c r="A583" s="198"/>
      <c r="B583" s="193"/>
      <c r="C583" s="193"/>
      <c r="D583" s="193"/>
      <c r="E583" s="194"/>
      <c r="F583" s="193"/>
      <c r="G583" s="193"/>
      <c r="H583" s="193"/>
      <c r="I583" s="194"/>
      <c r="J583" s="193"/>
      <c r="K583" s="193"/>
      <c r="L583" s="193"/>
      <c r="M583" s="194"/>
      <c r="N583" s="193"/>
      <c r="O583" s="193"/>
      <c r="P583" s="193"/>
      <c r="Q583" s="194"/>
      <c r="R583" s="198"/>
    </row>
    <row r="584" spans="1:18" ht="15.75" customHeight="1" thickBot="1" x14ac:dyDescent="0.4">
      <c r="A584" s="196" t="s">
        <v>40</v>
      </c>
      <c r="B584" s="180">
        <v>2</v>
      </c>
      <c r="C584" s="180">
        <v>3</v>
      </c>
      <c r="D584" s="180">
        <v>5</v>
      </c>
      <c r="E584" s="207">
        <f>SUM(B584:D584)</f>
        <v>10</v>
      </c>
      <c r="F584" s="180">
        <v>7</v>
      </c>
      <c r="G584" s="180">
        <v>8</v>
      </c>
      <c r="H584" s="180">
        <v>9</v>
      </c>
      <c r="I584" s="207">
        <f>SUM(F584:H584)</f>
        <v>24</v>
      </c>
      <c r="J584" s="180">
        <v>7</v>
      </c>
      <c r="K584" s="180">
        <v>6</v>
      </c>
      <c r="L584" s="180">
        <v>6</v>
      </c>
      <c r="M584" s="207">
        <f>SUM(J584:L584)</f>
        <v>19</v>
      </c>
      <c r="N584" s="180">
        <v>5</v>
      </c>
      <c r="O584" s="180">
        <v>3</v>
      </c>
      <c r="P584" s="180">
        <v>2</v>
      </c>
      <c r="Q584" s="207">
        <f>SUM(N584:P584)</f>
        <v>10</v>
      </c>
      <c r="R584" s="212">
        <f>+E584+I584+M584+Q584</f>
        <v>63</v>
      </c>
    </row>
    <row r="585" spans="1:18" ht="15.75" customHeight="1" thickBot="1" x14ac:dyDescent="0.4">
      <c r="A585" s="198"/>
      <c r="B585" s="193"/>
      <c r="C585" s="193"/>
      <c r="D585" s="193"/>
      <c r="E585" s="14"/>
      <c r="F585" s="193"/>
      <c r="G585" s="193"/>
      <c r="H585" s="193"/>
      <c r="I585" s="14"/>
      <c r="J585" s="193"/>
      <c r="K585" s="193"/>
      <c r="L585" s="193"/>
      <c r="M585" s="14"/>
      <c r="N585" s="193"/>
      <c r="O585" s="193"/>
      <c r="P585" s="193"/>
      <c r="Q585" s="14"/>
      <c r="R585" s="199"/>
    </row>
    <row r="586" spans="1:18" ht="15.75" customHeight="1" x14ac:dyDescent="0.35">
      <c r="A586" s="174" t="s">
        <v>314</v>
      </c>
      <c r="B586" s="140">
        <f>B584</f>
        <v>2</v>
      </c>
      <c r="C586" s="140">
        <f>C584</f>
        <v>3</v>
      </c>
      <c r="D586" s="140">
        <f>D584</f>
        <v>5</v>
      </c>
      <c r="E586" s="212">
        <f>SUM(B586:D586)</f>
        <v>10</v>
      </c>
      <c r="F586" s="140">
        <f>F584</f>
        <v>7</v>
      </c>
      <c r="G586" s="140">
        <f>G584</f>
        <v>8</v>
      </c>
      <c r="H586" s="140">
        <f>H584</f>
        <v>9</v>
      </c>
      <c r="I586" s="212">
        <f>SUM(F586:H586)</f>
        <v>24</v>
      </c>
      <c r="J586" s="140">
        <f>J584</f>
        <v>7</v>
      </c>
      <c r="K586" s="140">
        <f>K584</f>
        <v>6</v>
      </c>
      <c r="L586" s="140">
        <f>L584</f>
        <v>6</v>
      </c>
      <c r="M586" s="212">
        <f>SUM(J586:L586)</f>
        <v>19</v>
      </c>
      <c r="N586" s="140">
        <f>N584</f>
        <v>5</v>
      </c>
      <c r="O586" s="140">
        <f>O584</f>
        <v>3</v>
      </c>
      <c r="P586" s="140">
        <f>P584</f>
        <v>2</v>
      </c>
      <c r="Q586" s="212">
        <f>SUM(N586:P586)</f>
        <v>10</v>
      </c>
      <c r="R586" s="212">
        <f>+E586+I586+M586+Q586</f>
        <v>63</v>
      </c>
    </row>
    <row r="587" spans="1:18" ht="15.75" customHeight="1" x14ac:dyDescent="0.35">
      <c r="A587" s="174" t="s">
        <v>42</v>
      </c>
      <c r="B587" s="140">
        <f>(B586/31)/1.983</f>
        <v>3.2534608689993978E-2</v>
      </c>
      <c r="C587" s="140">
        <f>(C586/28)/1.983</f>
        <v>5.403068943159714E-2</v>
      </c>
      <c r="D587" s="140">
        <f>(D586/31)/1.983</f>
        <v>8.1336521724984942E-2</v>
      </c>
      <c r="E587" s="207" t="s">
        <v>7</v>
      </c>
      <c r="F587" s="140">
        <f>(F586/30)/1.983</f>
        <v>0.1176668347621449</v>
      </c>
      <c r="G587" s="140">
        <f>(G586/31)/1.983</f>
        <v>0.13013843475997591</v>
      </c>
      <c r="H587" s="140">
        <f>(H586/30)/1.983</f>
        <v>0.15128593040847199</v>
      </c>
      <c r="I587" s="207" t="s">
        <v>7</v>
      </c>
      <c r="J587" s="140">
        <f>(J586/31)/1.983</f>
        <v>0.11387113041497893</v>
      </c>
      <c r="K587" s="140">
        <f>(K586/31)/1.983</f>
        <v>9.7603826069981942E-2</v>
      </c>
      <c r="L587" s="140">
        <f>(L586/30)/1.983</f>
        <v>0.10085728693898134</v>
      </c>
      <c r="M587" s="207" t="s">
        <v>7</v>
      </c>
      <c r="N587" s="140">
        <f>(N586/31)/1.983</f>
        <v>8.1336521724984942E-2</v>
      </c>
      <c r="O587" s="140">
        <f>(O586/30)/1.983</f>
        <v>5.0428643469490671E-2</v>
      </c>
      <c r="P587" s="140">
        <f>(P586/31)/1.983</f>
        <v>3.2534608689993978E-2</v>
      </c>
      <c r="Q587" s="207" t="s">
        <v>7</v>
      </c>
      <c r="R587" s="207" t="s">
        <v>7</v>
      </c>
    </row>
    <row r="588" spans="1:18" ht="15.75" customHeight="1" x14ac:dyDescent="0.35">
      <c r="A588" s="174" t="s">
        <v>354</v>
      </c>
      <c r="B588" s="140">
        <f>B586+B622+B664-B617</f>
        <v>2448</v>
      </c>
      <c r="C588" s="140">
        <f>C586+C622+C664-C617</f>
        <v>1838</v>
      </c>
      <c r="D588" s="140">
        <f>D586+D622+D664-D617</f>
        <v>3150</v>
      </c>
      <c r="E588" s="207">
        <f>SUM(B588:D588)</f>
        <v>7436</v>
      </c>
      <c r="F588" s="140">
        <f>F586+F622+F664-F617</f>
        <v>2776</v>
      </c>
      <c r="G588" s="140">
        <f>G586+G622+G664-G617</f>
        <v>3707</v>
      </c>
      <c r="H588" s="140">
        <f>H586+H622+H664-H617</f>
        <v>3715</v>
      </c>
      <c r="I588" s="207">
        <f>SUM(F588:H588)</f>
        <v>10198</v>
      </c>
      <c r="J588" s="140">
        <f>J586+J622+J664-J617</f>
        <v>3276</v>
      </c>
      <c r="K588" s="140">
        <f>K586+K622+K664-K617</f>
        <v>4558</v>
      </c>
      <c r="L588" s="140">
        <f>L586+L622+L664-L617</f>
        <v>4093</v>
      </c>
      <c r="M588" s="207">
        <f>SUM(J588:L588)</f>
        <v>11927</v>
      </c>
      <c r="N588" s="140">
        <f>N586+N622+N664-N617</f>
        <v>2625</v>
      </c>
      <c r="O588" s="140">
        <f>O586+O622+O664-O617</f>
        <v>1306</v>
      </c>
      <c r="P588" s="140">
        <f>P586+P622+P664-P617</f>
        <v>4333</v>
      </c>
      <c r="Q588" s="207">
        <f>SUM(N588:P588)</f>
        <v>8264</v>
      </c>
      <c r="R588" s="207">
        <f>+E588+I588+M588+Q588</f>
        <v>37825</v>
      </c>
    </row>
    <row r="589" spans="1:18" ht="15.75" customHeight="1" thickBot="1" x14ac:dyDescent="0.4">
      <c r="A589" s="179" t="s">
        <v>355</v>
      </c>
      <c r="B589" s="180">
        <f>(B588/31)/1.983</f>
        <v>39.822361036552628</v>
      </c>
      <c r="C589" s="180">
        <f>(C588/28)/1.983</f>
        <v>33.102802391758516</v>
      </c>
      <c r="D589" s="180">
        <f>(D588/31)/1.983</f>
        <v>51.242008686740519</v>
      </c>
      <c r="E589" s="231" t="s">
        <v>7</v>
      </c>
      <c r="F589" s="180">
        <f>(F588/30)/1.983</f>
        <v>46.663304757102033</v>
      </c>
      <c r="G589" s="180">
        <f>(G588/31)/1.983</f>
        <v>60.302897206903843</v>
      </c>
      <c r="H589" s="180">
        <f>(H588/30)/1.983</f>
        <v>62.447470163052607</v>
      </c>
      <c r="I589" s="231" t="s">
        <v>7</v>
      </c>
      <c r="J589" s="180">
        <f>(J588/31)/1.983</f>
        <v>53.291689034210137</v>
      </c>
      <c r="K589" s="180">
        <f>(K588/31)/1.983</f>
        <v>74.146373204496285</v>
      </c>
      <c r="L589" s="180">
        <f>(L588/30)/1.983</f>
        <v>68.801479240208437</v>
      </c>
      <c r="M589" s="231" t="s">
        <v>7</v>
      </c>
      <c r="N589" s="180">
        <f>(N588/31)/1.983</f>
        <v>42.701673905617099</v>
      </c>
      <c r="O589" s="180">
        <f>(O588/30)/1.983</f>
        <v>21.953269457051604</v>
      </c>
      <c r="P589" s="180">
        <f>(P588/31)/1.983</f>
        <v>70.486229726871954</v>
      </c>
      <c r="Q589" s="231" t="s">
        <v>7</v>
      </c>
      <c r="R589" s="231" t="s">
        <v>7</v>
      </c>
    </row>
    <row r="590" spans="1:18" ht="15.75" customHeight="1" x14ac:dyDescent="0.35">
      <c r="A590" s="141"/>
      <c r="B590" s="140"/>
      <c r="C590" s="140"/>
      <c r="D590" s="140"/>
      <c r="E590" s="140"/>
      <c r="F590" s="140"/>
      <c r="G590" s="140"/>
      <c r="H590" s="140"/>
      <c r="I590" s="140"/>
      <c r="J590" s="140"/>
      <c r="K590" s="140"/>
      <c r="L590" s="140"/>
      <c r="M590" s="140"/>
      <c r="N590" s="140"/>
      <c r="O590" s="140"/>
      <c r="P590" s="140"/>
      <c r="Q590" s="140"/>
      <c r="R590" s="141"/>
    </row>
    <row r="591" spans="1:18" ht="15.75" customHeight="1" thickBot="1" x14ac:dyDescent="0.4">
      <c r="A591" s="141"/>
      <c r="B591" s="140"/>
      <c r="C591" s="140"/>
      <c r="D591" s="140"/>
      <c r="E591" s="140"/>
      <c r="F591" s="140"/>
      <c r="G591" s="140"/>
      <c r="H591" s="140"/>
      <c r="I591" s="140"/>
      <c r="J591" s="140"/>
      <c r="K591" s="140"/>
      <c r="L591" s="140"/>
      <c r="M591" s="140"/>
      <c r="N591" s="140"/>
      <c r="O591" s="140"/>
      <c r="P591" s="140"/>
      <c r="Q591" s="140"/>
      <c r="R591" s="141"/>
    </row>
    <row r="592" spans="1:18" ht="15.75" customHeight="1" thickBot="1" x14ac:dyDescent="0.4">
      <c r="A592" s="261" t="s">
        <v>356</v>
      </c>
      <c r="B592" s="188" t="s">
        <v>8</v>
      </c>
      <c r="C592" s="189" t="s">
        <v>9</v>
      </c>
      <c r="D592" s="189" t="s">
        <v>10</v>
      </c>
      <c r="E592" s="190" t="s">
        <v>11</v>
      </c>
      <c r="F592" s="189" t="s">
        <v>12</v>
      </c>
      <c r="G592" s="189" t="s">
        <v>13</v>
      </c>
      <c r="H592" s="189" t="s">
        <v>14</v>
      </c>
      <c r="I592" s="190" t="s">
        <v>15</v>
      </c>
      <c r="J592" s="189" t="s">
        <v>16</v>
      </c>
      <c r="K592" s="189" t="s">
        <v>17</v>
      </c>
      <c r="L592" s="189" t="s">
        <v>18</v>
      </c>
      <c r="M592" s="190" t="s">
        <v>19</v>
      </c>
      <c r="N592" s="189" t="s">
        <v>20</v>
      </c>
      <c r="O592" s="189" t="s">
        <v>21</v>
      </c>
      <c r="P592" s="189" t="s">
        <v>22</v>
      </c>
      <c r="Q592" s="190" t="s">
        <v>23</v>
      </c>
      <c r="R592" s="268" t="s">
        <v>24</v>
      </c>
    </row>
    <row r="593" spans="1:18" ht="15.75" customHeight="1" thickBot="1" x14ac:dyDescent="0.4">
      <c r="A593" s="198"/>
      <c r="B593" s="193"/>
      <c r="C593" s="193"/>
      <c r="D593" s="193"/>
      <c r="E593" s="269"/>
      <c r="F593" s="193"/>
      <c r="G593" s="193"/>
      <c r="H593" s="193"/>
      <c r="I593" s="269"/>
      <c r="J593" s="193"/>
      <c r="K593" s="193"/>
      <c r="L593" s="193"/>
      <c r="M593" s="269"/>
      <c r="N593" s="193"/>
      <c r="O593" s="193"/>
      <c r="P593" s="193"/>
      <c r="Q593" s="269"/>
      <c r="R593" s="195"/>
    </row>
    <row r="594" spans="1:18" ht="15.75" customHeight="1" x14ac:dyDescent="0.35">
      <c r="A594" s="174" t="s">
        <v>48</v>
      </c>
      <c r="B594" s="140" t="s">
        <v>7</v>
      </c>
      <c r="C594" s="140" t="s">
        <v>7</v>
      </c>
      <c r="D594" s="140" t="s">
        <v>7</v>
      </c>
      <c r="E594" s="207" t="s">
        <v>7</v>
      </c>
      <c r="F594" s="140" t="s">
        <v>7</v>
      </c>
      <c r="G594" s="140" t="s">
        <v>7</v>
      </c>
      <c r="H594" s="140" t="s">
        <v>7</v>
      </c>
      <c r="I594" s="207" t="s">
        <v>7</v>
      </c>
      <c r="J594" s="140" t="s">
        <v>7</v>
      </c>
      <c r="K594" s="140" t="s">
        <v>7</v>
      </c>
      <c r="L594" s="140" t="s">
        <v>7</v>
      </c>
      <c r="M594" s="207" t="s">
        <v>7</v>
      </c>
      <c r="N594" s="140" t="s">
        <v>7</v>
      </c>
      <c r="O594" s="140" t="s">
        <v>7</v>
      </c>
      <c r="P594" s="140" t="s">
        <v>7</v>
      </c>
      <c r="Q594" s="207" t="s">
        <v>7</v>
      </c>
      <c r="R594" s="207" t="s">
        <v>7</v>
      </c>
    </row>
    <row r="595" spans="1:18" ht="15.75" customHeight="1" x14ac:dyDescent="0.35">
      <c r="A595" s="174" t="s">
        <v>49</v>
      </c>
      <c r="B595" s="140"/>
      <c r="C595" s="140"/>
      <c r="D595" s="140"/>
      <c r="E595" s="207" t="s">
        <v>7</v>
      </c>
      <c r="F595" s="140"/>
      <c r="G595" s="140"/>
      <c r="H595" s="140"/>
      <c r="I595" s="207" t="s">
        <v>7</v>
      </c>
      <c r="J595" s="140"/>
      <c r="K595" s="140"/>
      <c r="L595" s="140"/>
      <c r="M595" s="207" t="s">
        <v>7</v>
      </c>
      <c r="N595" s="140"/>
      <c r="O595" s="140"/>
      <c r="P595" s="140"/>
      <c r="Q595" s="207" t="s">
        <v>7</v>
      </c>
      <c r="R595" s="207" t="s">
        <v>7</v>
      </c>
    </row>
    <row r="596" spans="1:18" ht="15.75" customHeight="1" x14ac:dyDescent="0.35">
      <c r="A596" s="222" t="s">
        <v>357</v>
      </c>
      <c r="B596" s="140">
        <v>66</v>
      </c>
      <c r="C596" s="140">
        <v>23</v>
      </c>
      <c r="D596" s="140">
        <v>67</v>
      </c>
      <c r="E596" s="207">
        <f>SUM(B596:D596)</f>
        <v>156</v>
      </c>
      <c r="F596" s="140">
        <v>67</v>
      </c>
      <c r="G596" s="140">
        <v>10</v>
      </c>
      <c r="H596" s="140">
        <v>81</v>
      </c>
      <c r="I596" s="207">
        <f>SUM(F596:H596)</f>
        <v>158</v>
      </c>
      <c r="J596" s="140">
        <v>116</v>
      </c>
      <c r="K596" s="140">
        <v>68</v>
      </c>
      <c r="L596" s="140">
        <v>37</v>
      </c>
      <c r="M596" s="207">
        <f>SUM(J596:L596)</f>
        <v>221</v>
      </c>
      <c r="N596" s="140">
        <v>93</v>
      </c>
      <c r="O596" s="140">
        <v>77</v>
      </c>
      <c r="P596" s="140">
        <v>32</v>
      </c>
      <c r="Q596" s="207">
        <f>SUM(N596:P596)</f>
        <v>202</v>
      </c>
      <c r="R596" s="207">
        <f>+E596+I596+M596+Q596</f>
        <v>737</v>
      </c>
    </row>
    <row r="597" spans="1:18" ht="15.75" customHeight="1" x14ac:dyDescent="0.35">
      <c r="A597" s="174" t="s">
        <v>50</v>
      </c>
      <c r="B597" s="140"/>
      <c r="C597" s="140"/>
      <c r="D597" s="140"/>
      <c r="E597" s="207" t="s">
        <v>7</v>
      </c>
      <c r="F597" s="140"/>
      <c r="G597" s="140"/>
      <c r="H597" s="140"/>
      <c r="I597" s="207" t="s">
        <v>7</v>
      </c>
      <c r="J597" s="140"/>
      <c r="K597" s="140"/>
      <c r="L597" s="140"/>
      <c r="M597" s="207" t="s">
        <v>7</v>
      </c>
      <c r="N597" s="140"/>
      <c r="O597" s="140"/>
      <c r="P597" s="140"/>
      <c r="Q597" s="207" t="s">
        <v>7</v>
      </c>
      <c r="R597" s="207" t="s">
        <v>7</v>
      </c>
    </row>
    <row r="598" spans="1:18" ht="15.75" customHeight="1" x14ac:dyDescent="0.35">
      <c r="A598" s="174" t="s">
        <v>51</v>
      </c>
      <c r="B598" s="140"/>
      <c r="C598" s="140"/>
      <c r="D598" s="140"/>
      <c r="E598" s="207" t="s">
        <v>7</v>
      </c>
      <c r="F598" s="140"/>
      <c r="G598" s="140"/>
      <c r="H598" s="140"/>
      <c r="I598" s="207" t="s">
        <v>7</v>
      </c>
      <c r="J598" s="140"/>
      <c r="K598" s="140"/>
      <c r="L598" s="140"/>
      <c r="M598" s="207" t="s">
        <v>7</v>
      </c>
      <c r="N598" s="140"/>
      <c r="O598" s="140"/>
      <c r="P598" s="140"/>
      <c r="Q598" s="207" t="s">
        <v>7</v>
      </c>
      <c r="R598" s="207" t="s">
        <v>7</v>
      </c>
    </row>
    <row r="599" spans="1:18" ht="15.75" customHeight="1" thickBot="1" x14ac:dyDescent="0.4">
      <c r="A599" s="174" t="s">
        <v>53</v>
      </c>
      <c r="B599" s="140"/>
      <c r="C599" s="140"/>
      <c r="D599" s="140"/>
      <c r="E599" s="207" t="s">
        <v>7</v>
      </c>
      <c r="F599" s="140"/>
      <c r="G599" s="140"/>
      <c r="H599" s="140"/>
      <c r="I599" s="207" t="s">
        <v>7</v>
      </c>
      <c r="J599" s="140"/>
      <c r="K599" s="140"/>
      <c r="L599" s="140"/>
      <c r="M599" s="207" t="s">
        <v>7</v>
      </c>
      <c r="N599" s="140"/>
      <c r="O599" s="140"/>
      <c r="P599" s="140"/>
      <c r="Q599" s="207" t="s">
        <v>7</v>
      </c>
      <c r="R599" s="207" t="s">
        <v>7</v>
      </c>
    </row>
    <row r="600" spans="1:18" ht="15.75" customHeight="1" thickBot="1" x14ac:dyDescent="0.4">
      <c r="A600" s="209" t="s">
        <v>54</v>
      </c>
      <c r="B600" s="237">
        <f>SUM(B594:B599)</f>
        <v>66</v>
      </c>
      <c r="C600" s="238">
        <f>SUM(C594:C599)</f>
        <v>23</v>
      </c>
      <c r="D600" s="238">
        <f>SUM(D594:D599)</f>
        <v>67</v>
      </c>
      <c r="E600" s="211">
        <f>SUM(B600:D600)</f>
        <v>156</v>
      </c>
      <c r="F600" s="238">
        <f>SUM(F594:F599)</f>
        <v>67</v>
      </c>
      <c r="G600" s="238">
        <f>SUM(G594:G599)</f>
        <v>10</v>
      </c>
      <c r="H600" s="238">
        <f>SUM(H594:H599)</f>
        <v>81</v>
      </c>
      <c r="I600" s="211">
        <f>SUM(F600:H600)</f>
        <v>158</v>
      </c>
      <c r="J600" s="238">
        <f>SUM(J594:J599)</f>
        <v>116</v>
      </c>
      <c r="K600" s="238">
        <f>SUM(K594:K599)</f>
        <v>68</v>
      </c>
      <c r="L600" s="238">
        <f>SUM(L594:L599)</f>
        <v>37</v>
      </c>
      <c r="M600" s="211">
        <f>SUM(J600:L600)</f>
        <v>221</v>
      </c>
      <c r="N600" s="238">
        <f>SUM(N594:N599)</f>
        <v>93</v>
      </c>
      <c r="O600" s="238">
        <f>SUM(O594:O599)</f>
        <v>77</v>
      </c>
      <c r="P600" s="238">
        <f>SUM(P594:P599)</f>
        <v>32</v>
      </c>
      <c r="Q600" s="211">
        <f>SUM(N600:P600)</f>
        <v>202</v>
      </c>
      <c r="R600" s="211">
        <f>+E600+I600+M600+Q600</f>
        <v>737</v>
      </c>
    </row>
    <row r="601" spans="1:18" ht="15.75" customHeight="1" x14ac:dyDescent="0.35">
      <c r="A601" s="174" t="s">
        <v>55</v>
      </c>
      <c r="B601" s="140"/>
      <c r="C601" s="140"/>
      <c r="D601" s="140"/>
      <c r="E601" s="207" t="s">
        <v>7</v>
      </c>
      <c r="F601" s="140"/>
      <c r="G601" s="140"/>
      <c r="H601" s="140"/>
      <c r="I601" s="207" t="s">
        <v>7</v>
      </c>
      <c r="J601" s="140"/>
      <c r="K601" s="140"/>
      <c r="L601" s="140"/>
      <c r="M601" s="207" t="s">
        <v>7</v>
      </c>
      <c r="N601" s="140"/>
      <c r="O601" s="140"/>
      <c r="P601" s="140"/>
      <c r="Q601" s="207" t="s">
        <v>7</v>
      </c>
      <c r="R601" s="207" t="s">
        <v>7</v>
      </c>
    </row>
    <row r="602" spans="1:18" ht="15.75" customHeight="1" x14ac:dyDescent="0.35">
      <c r="A602" s="174" t="s">
        <v>57</v>
      </c>
      <c r="B602" s="140"/>
      <c r="C602" s="140"/>
      <c r="D602" s="140"/>
      <c r="E602" s="207" t="s">
        <v>7</v>
      </c>
      <c r="F602" s="140"/>
      <c r="G602" s="140"/>
      <c r="H602" s="140"/>
      <c r="I602" s="207" t="s">
        <v>7</v>
      </c>
      <c r="J602" s="140"/>
      <c r="K602" s="140"/>
      <c r="L602" s="140"/>
      <c r="M602" s="207" t="s">
        <v>7</v>
      </c>
      <c r="N602" s="140"/>
      <c r="O602" s="140"/>
      <c r="P602" s="140"/>
      <c r="Q602" s="207" t="s">
        <v>7</v>
      </c>
      <c r="R602" s="207" t="s">
        <v>7</v>
      </c>
    </row>
    <row r="603" spans="1:18" ht="15.75" customHeight="1" thickBot="1" x14ac:dyDescent="0.4">
      <c r="A603" s="174" t="s">
        <v>58</v>
      </c>
      <c r="B603" s="140"/>
      <c r="C603" s="140"/>
      <c r="D603" s="140"/>
      <c r="E603" s="207" t="s">
        <v>7</v>
      </c>
      <c r="F603" s="140"/>
      <c r="G603" s="140"/>
      <c r="H603" s="140"/>
      <c r="I603" s="207" t="s">
        <v>7</v>
      </c>
      <c r="J603" s="140"/>
      <c r="K603" s="140"/>
      <c r="L603" s="140"/>
      <c r="M603" s="207" t="s">
        <v>7</v>
      </c>
      <c r="N603" s="140"/>
      <c r="O603" s="140"/>
      <c r="P603" s="140"/>
      <c r="Q603" s="207" t="s">
        <v>7</v>
      </c>
      <c r="R603" s="207" t="s">
        <v>7</v>
      </c>
    </row>
    <row r="604" spans="1:18" ht="15.75" customHeight="1" thickBot="1" x14ac:dyDescent="0.4">
      <c r="A604" s="209" t="s">
        <v>59</v>
      </c>
      <c r="B604" s="237">
        <f>SUM(B601:B603)</f>
        <v>0</v>
      </c>
      <c r="C604" s="238">
        <f>SUM(C601:C603)</f>
        <v>0</v>
      </c>
      <c r="D604" s="238">
        <f>SUM(D601:D603)</f>
        <v>0</v>
      </c>
      <c r="E604" s="211">
        <f>SUM(B604:D604)</f>
        <v>0</v>
      </c>
      <c r="F604" s="238">
        <f>SUM(F601:F603)</f>
        <v>0</v>
      </c>
      <c r="G604" s="238">
        <f>SUM(G601:G603)</f>
        <v>0</v>
      </c>
      <c r="H604" s="238">
        <f>SUM(H601:H603)</f>
        <v>0</v>
      </c>
      <c r="I604" s="211">
        <f>SUM(F604:H604)</f>
        <v>0</v>
      </c>
      <c r="J604" s="238">
        <f>SUM(J601:J603)</f>
        <v>0</v>
      </c>
      <c r="K604" s="238">
        <f>SUM(K601:K603)</f>
        <v>0</v>
      </c>
      <c r="L604" s="238">
        <f>SUM(L601:L603)</f>
        <v>0</v>
      </c>
      <c r="M604" s="211">
        <f>SUM(J604:L604)</f>
        <v>0</v>
      </c>
      <c r="N604" s="238">
        <f>SUM(N601:N603)</f>
        <v>0</v>
      </c>
      <c r="O604" s="238">
        <f>SUM(O601:O603)</f>
        <v>0</v>
      </c>
      <c r="P604" s="238">
        <f>SUM(P601:P603)</f>
        <v>0</v>
      </c>
      <c r="Q604" s="211">
        <f>SUM(N604:P604)</f>
        <v>0</v>
      </c>
      <c r="R604" s="211">
        <f>+E604+I604+M604+Q604</f>
        <v>0</v>
      </c>
    </row>
    <row r="605" spans="1:18" ht="15.75" customHeight="1" x14ac:dyDescent="0.35">
      <c r="A605" s="174" t="s">
        <v>60</v>
      </c>
      <c r="B605" s="140"/>
      <c r="C605" s="140"/>
      <c r="D605" s="140"/>
      <c r="E605" s="207" t="s">
        <v>7</v>
      </c>
      <c r="F605" s="140"/>
      <c r="G605" s="140"/>
      <c r="H605" s="140"/>
      <c r="I605" s="207" t="s">
        <v>7</v>
      </c>
      <c r="J605" s="140"/>
      <c r="K605" s="140"/>
      <c r="L605" s="140"/>
      <c r="M605" s="207" t="s">
        <v>7</v>
      </c>
      <c r="N605" s="140"/>
      <c r="O605" s="140"/>
      <c r="P605" s="140"/>
      <c r="Q605" s="207" t="s">
        <v>7</v>
      </c>
      <c r="R605" s="207" t="s">
        <v>7</v>
      </c>
    </row>
    <row r="606" spans="1:18" ht="15.75" customHeight="1" x14ac:dyDescent="0.35">
      <c r="A606" s="174" t="s">
        <v>61</v>
      </c>
      <c r="B606" s="140"/>
      <c r="C606" s="140"/>
      <c r="D606" s="140"/>
      <c r="E606" s="207" t="s">
        <v>7</v>
      </c>
      <c r="F606" s="140"/>
      <c r="G606" s="140"/>
      <c r="H606" s="140"/>
      <c r="I606" s="207" t="s">
        <v>7</v>
      </c>
      <c r="J606" s="140"/>
      <c r="K606" s="140"/>
      <c r="L606" s="140"/>
      <c r="M606" s="207" t="s">
        <v>7</v>
      </c>
      <c r="N606" s="140"/>
      <c r="O606" s="140"/>
      <c r="P606" s="140"/>
      <c r="Q606" s="207" t="s">
        <v>7</v>
      </c>
      <c r="R606" s="207" t="s">
        <v>7</v>
      </c>
    </row>
    <row r="607" spans="1:18" ht="15.75" customHeight="1" thickBot="1" x14ac:dyDescent="0.4">
      <c r="A607" s="174" t="s">
        <v>62</v>
      </c>
      <c r="B607" s="140"/>
      <c r="C607" s="140"/>
      <c r="D607" s="140"/>
      <c r="E607" s="207" t="s">
        <v>7</v>
      </c>
      <c r="F607" s="140"/>
      <c r="G607" s="140"/>
      <c r="H607" s="140"/>
      <c r="I607" s="207" t="s">
        <v>7</v>
      </c>
      <c r="J607" s="140"/>
      <c r="K607" s="140"/>
      <c r="L607" s="140"/>
      <c r="M607" s="207" t="s">
        <v>7</v>
      </c>
      <c r="N607" s="140"/>
      <c r="O607" s="140"/>
      <c r="P607" s="140"/>
      <c r="Q607" s="207" t="s">
        <v>7</v>
      </c>
      <c r="R607" s="207" t="s">
        <v>7</v>
      </c>
    </row>
    <row r="608" spans="1:18" ht="15.75" customHeight="1" thickBot="1" x14ac:dyDescent="0.4">
      <c r="A608" s="209" t="s">
        <v>63</v>
      </c>
      <c r="B608" s="237">
        <f>SUM(B605:B607)</f>
        <v>0</v>
      </c>
      <c r="C608" s="238">
        <f>SUM(C605:C607)</f>
        <v>0</v>
      </c>
      <c r="D608" s="238">
        <f>SUM(D605:D607)</f>
        <v>0</v>
      </c>
      <c r="E608" s="211">
        <f>SUM(B608:D608)</f>
        <v>0</v>
      </c>
      <c r="F608" s="238">
        <f>SUM(F605:F607)</f>
        <v>0</v>
      </c>
      <c r="G608" s="238">
        <f>SUM(G605:G607)</f>
        <v>0</v>
      </c>
      <c r="H608" s="238">
        <f>SUM(H605:H607)</f>
        <v>0</v>
      </c>
      <c r="I608" s="211">
        <f>SUM(F608:H608)</f>
        <v>0</v>
      </c>
      <c r="J608" s="238">
        <f>SUM(J605:J607)</f>
        <v>0</v>
      </c>
      <c r="K608" s="238">
        <f>SUM(K605:K607)</f>
        <v>0</v>
      </c>
      <c r="L608" s="238">
        <f>SUM(L605:L607)</f>
        <v>0</v>
      </c>
      <c r="M608" s="211">
        <f>SUM(J608:L608)</f>
        <v>0</v>
      </c>
      <c r="N608" s="238">
        <f>SUM(N605:N607)</f>
        <v>0</v>
      </c>
      <c r="O608" s="238">
        <f>SUM(O605:O607)</f>
        <v>0</v>
      </c>
      <c r="P608" s="238">
        <f>SUM(P605:P607)</f>
        <v>0</v>
      </c>
      <c r="Q608" s="211">
        <f>SUM(N608:P608)</f>
        <v>0</v>
      </c>
      <c r="R608" s="211">
        <f>+E608+I608+M608+Q608</f>
        <v>0</v>
      </c>
    </row>
    <row r="609" spans="1:18" ht="15.75" customHeight="1" x14ac:dyDescent="0.35">
      <c r="A609" s="174" t="s">
        <v>64</v>
      </c>
      <c r="B609" s="140"/>
      <c r="C609" s="140"/>
      <c r="D609" s="140"/>
      <c r="E609" s="207" t="s">
        <v>7</v>
      </c>
      <c r="F609" s="140"/>
      <c r="G609" s="140"/>
      <c r="H609" s="140"/>
      <c r="I609" s="207" t="s">
        <v>7</v>
      </c>
      <c r="J609" s="140"/>
      <c r="K609" s="140"/>
      <c r="L609" s="140"/>
      <c r="M609" s="207" t="s">
        <v>7</v>
      </c>
      <c r="N609" s="140"/>
      <c r="O609" s="140"/>
      <c r="P609" s="140"/>
      <c r="Q609" s="207" t="s">
        <v>7</v>
      </c>
      <c r="R609" s="207" t="s">
        <v>7</v>
      </c>
    </row>
    <row r="610" spans="1:18" ht="15.75" customHeight="1" x14ac:dyDescent="0.35">
      <c r="A610" s="174" t="s">
        <v>65</v>
      </c>
      <c r="B610" s="140"/>
      <c r="C610" s="140"/>
      <c r="D610" s="140"/>
      <c r="E610" s="207" t="s">
        <v>7</v>
      </c>
      <c r="F610" s="140"/>
      <c r="G610" s="140"/>
      <c r="H610" s="140"/>
      <c r="I610" s="207" t="s">
        <v>7</v>
      </c>
      <c r="J610" s="140"/>
      <c r="K610" s="140"/>
      <c r="L610" s="140"/>
      <c r="M610" s="207" t="s">
        <v>7</v>
      </c>
      <c r="N610" s="140"/>
      <c r="O610" s="140"/>
      <c r="P610" s="140"/>
      <c r="Q610" s="207" t="s">
        <v>7</v>
      </c>
      <c r="R610" s="207" t="s">
        <v>7</v>
      </c>
    </row>
    <row r="611" spans="1:18" ht="15.75" customHeight="1" x14ac:dyDescent="0.35">
      <c r="A611" s="174" t="s">
        <v>67</v>
      </c>
      <c r="B611" s="140"/>
      <c r="C611" s="140"/>
      <c r="D611" s="140"/>
      <c r="E611" s="207" t="s">
        <v>7</v>
      </c>
      <c r="F611" s="140"/>
      <c r="G611" s="140"/>
      <c r="H611" s="140"/>
      <c r="I611" s="207" t="s">
        <v>7</v>
      </c>
      <c r="J611" s="140"/>
      <c r="K611" s="140"/>
      <c r="L611" s="140"/>
      <c r="M611" s="207" t="s">
        <v>7</v>
      </c>
      <c r="N611" s="140"/>
      <c r="O611" s="140"/>
      <c r="P611" s="140"/>
      <c r="Q611" s="207" t="s">
        <v>7</v>
      </c>
      <c r="R611" s="207" t="s">
        <v>7</v>
      </c>
    </row>
    <row r="612" spans="1:18" ht="15.75" customHeight="1" x14ac:dyDescent="0.35">
      <c r="A612" s="174" t="s">
        <v>69</v>
      </c>
      <c r="B612" s="140"/>
      <c r="C612" s="140"/>
      <c r="D612" s="140"/>
      <c r="E612" s="207" t="s">
        <v>7</v>
      </c>
      <c r="F612" s="140"/>
      <c r="G612" s="140"/>
      <c r="H612" s="140"/>
      <c r="I612" s="207" t="s">
        <v>7</v>
      </c>
      <c r="J612" s="140"/>
      <c r="K612" s="140"/>
      <c r="L612" s="140"/>
      <c r="M612" s="207" t="s">
        <v>7</v>
      </c>
      <c r="N612" s="140"/>
      <c r="O612" s="140"/>
      <c r="P612" s="140"/>
      <c r="Q612" s="207" t="s">
        <v>7</v>
      </c>
      <c r="R612" s="207" t="s">
        <v>7</v>
      </c>
    </row>
    <row r="613" spans="1:18" ht="15.75" customHeight="1" thickBot="1" x14ac:dyDescent="0.4">
      <c r="A613" s="174" t="s">
        <v>70</v>
      </c>
      <c r="B613" s="140"/>
      <c r="C613" s="140"/>
      <c r="D613" s="140"/>
      <c r="E613" s="207" t="s">
        <v>7</v>
      </c>
      <c r="F613" s="140"/>
      <c r="G613" s="140"/>
      <c r="H613" s="140"/>
      <c r="I613" s="207" t="s">
        <v>7</v>
      </c>
      <c r="J613" s="140"/>
      <c r="K613" s="140"/>
      <c r="L613" s="140"/>
      <c r="M613" s="207" t="s">
        <v>7</v>
      </c>
      <c r="N613" s="140"/>
      <c r="O613" s="140"/>
      <c r="P613" s="140"/>
      <c r="Q613" s="207" t="s">
        <v>7</v>
      </c>
      <c r="R613" s="207" t="s">
        <v>7</v>
      </c>
    </row>
    <row r="614" spans="1:18" ht="15.75" customHeight="1" thickBot="1" x14ac:dyDescent="0.4">
      <c r="A614" s="209" t="s">
        <v>71</v>
      </c>
      <c r="B614" s="210">
        <f>SUM(B613:B613)</f>
        <v>0</v>
      </c>
      <c r="C614" s="210">
        <f>SUM(C613:C613)</f>
        <v>0</v>
      </c>
      <c r="D614" s="210">
        <f>SUM(D613:D613)</f>
        <v>0</v>
      </c>
      <c r="E614" s="212">
        <f>SUM(B614:D614)</f>
        <v>0</v>
      </c>
      <c r="F614" s="210">
        <f>SUM(F613:F613)</f>
        <v>0</v>
      </c>
      <c r="G614" s="210">
        <f>SUM(G613:G613)</f>
        <v>0</v>
      </c>
      <c r="H614" s="210">
        <f>SUM(H613:H613)</f>
        <v>0</v>
      </c>
      <c r="I614" s="212">
        <f>SUM(F614:H614)</f>
        <v>0</v>
      </c>
      <c r="J614" s="210">
        <f>SUM(J613:J613)</f>
        <v>0</v>
      </c>
      <c r="K614" s="210">
        <f>SUM(K613:K613)</f>
        <v>0</v>
      </c>
      <c r="L614" s="210">
        <f>SUM(L613:L613)</f>
        <v>0</v>
      </c>
      <c r="M614" s="212">
        <f>SUM(J614:L614)</f>
        <v>0</v>
      </c>
      <c r="N614" s="210">
        <f>SUM(N613:N613)</f>
        <v>0</v>
      </c>
      <c r="O614" s="210">
        <f>SUM(O613:O613)</f>
        <v>0</v>
      </c>
      <c r="P614" s="210">
        <f>SUM(P613:P613)</f>
        <v>0</v>
      </c>
      <c r="Q614" s="212">
        <f>SUM(N614:P614)</f>
        <v>0</v>
      </c>
      <c r="R614" s="211">
        <f>+E614+I614+M614+Q614</f>
        <v>0</v>
      </c>
    </row>
    <row r="615" spans="1:18" ht="15.75" customHeight="1" thickBot="1" x14ac:dyDescent="0.4">
      <c r="A615" s="209" t="s">
        <v>72</v>
      </c>
      <c r="B615" s="237">
        <f>SUM(B609:B613)</f>
        <v>0</v>
      </c>
      <c r="C615" s="238">
        <f>SUM(C609:C613)</f>
        <v>0</v>
      </c>
      <c r="D615" s="260">
        <f>SUM(D609:D613)</f>
        <v>0</v>
      </c>
      <c r="E615" s="212">
        <f>SUM(B615:D615)</f>
        <v>0</v>
      </c>
      <c r="F615" s="238">
        <f>SUM(F609:F613)</f>
        <v>0</v>
      </c>
      <c r="G615" s="238">
        <f>SUM(G609:G613)</f>
        <v>0</v>
      </c>
      <c r="H615" s="238">
        <f>SUM(H609:H613)</f>
        <v>0</v>
      </c>
      <c r="I615" s="212">
        <f>SUM(F615:H615)</f>
        <v>0</v>
      </c>
      <c r="J615" s="238">
        <f>SUM(J609:J613)</f>
        <v>0</v>
      </c>
      <c r="K615" s="238">
        <f>SUM(K609:K613)</f>
        <v>0</v>
      </c>
      <c r="L615" s="238">
        <f>SUM(L609:L613)</f>
        <v>0</v>
      </c>
      <c r="M615" s="212">
        <f>SUM(J615:L615)</f>
        <v>0</v>
      </c>
      <c r="N615" s="238">
        <f>SUM(N609:N613)</f>
        <v>0</v>
      </c>
      <c r="O615" s="238">
        <f>SUM(O609:O613)</f>
        <v>0</v>
      </c>
      <c r="P615" s="238">
        <f>SUM(P609:P613)</f>
        <v>0</v>
      </c>
      <c r="Q615" s="212">
        <f>SUM(N615:P615)</f>
        <v>0</v>
      </c>
      <c r="R615" s="211">
        <f>+E615+I615+M615+Q615</f>
        <v>0</v>
      </c>
    </row>
    <row r="616" spans="1:18" ht="15.75" customHeight="1" thickBot="1" x14ac:dyDescent="0.4">
      <c r="A616" s="209" t="s">
        <v>73</v>
      </c>
      <c r="B616" s="240">
        <f>+B600+B604+B608+B615</f>
        <v>66</v>
      </c>
      <c r="C616" s="210">
        <f>+C600+C604+C608+C615</f>
        <v>23</v>
      </c>
      <c r="D616" s="210">
        <f>+D600+D604+D608+D615</f>
        <v>67</v>
      </c>
      <c r="E616" s="211">
        <f>SUM(B616:D616)</f>
        <v>156</v>
      </c>
      <c r="F616" s="210">
        <f>+F600+F604+F608+F615</f>
        <v>67</v>
      </c>
      <c r="G616" s="210">
        <f>+G600+G604+G608+G615</f>
        <v>10</v>
      </c>
      <c r="H616" s="210">
        <f>+H600+H604+H608+H615</f>
        <v>81</v>
      </c>
      <c r="I616" s="211">
        <f>SUM(F616:H616)</f>
        <v>158</v>
      </c>
      <c r="J616" s="210">
        <f>+J600+J604+J608+J615</f>
        <v>116</v>
      </c>
      <c r="K616" s="210">
        <f>+K600+K604+K608+K615</f>
        <v>68</v>
      </c>
      <c r="L616" s="210">
        <f>+L600+L604+L608+L615</f>
        <v>37</v>
      </c>
      <c r="M616" s="211">
        <f>SUM(J616:L616)</f>
        <v>221</v>
      </c>
      <c r="N616" s="210">
        <f>+N600+N604+N608+N615</f>
        <v>93</v>
      </c>
      <c r="O616" s="210">
        <f>+O600+O604+O608+O615</f>
        <v>77</v>
      </c>
      <c r="P616" s="210">
        <f>+P600+P604+P608+P615</f>
        <v>32</v>
      </c>
      <c r="Q616" s="211">
        <f>SUM(N616:P616)</f>
        <v>202</v>
      </c>
      <c r="R616" s="231">
        <f>+E616+I616+M616+Q616</f>
        <v>737</v>
      </c>
    </row>
    <row r="617" spans="1:18" ht="15.75" customHeight="1" x14ac:dyDescent="0.35">
      <c r="A617" s="222" t="s">
        <v>358</v>
      </c>
      <c r="B617" s="140">
        <v>5306</v>
      </c>
      <c r="C617" s="140">
        <v>3865</v>
      </c>
      <c r="D617" s="140">
        <v>5954</v>
      </c>
      <c r="E617" s="207">
        <f>SUM(B617:D617)</f>
        <v>15125</v>
      </c>
      <c r="F617" s="140">
        <v>4975</v>
      </c>
      <c r="G617" s="140">
        <v>5097</v>
      </c>
      <c r="H617" s="140">
        <v>5249</v>
      </c>
      <c r="I617" s="207">
        <f>SUM(F617:H617)</f>
        <v>15321</v>
      </c>
      <c r="J617" s="140">
        <v>5368</v>
      </c>
      <c r="K617" s="140">
        <v>5541</v>
      </c>
      <c r="L617" s="140">
        <v>5146</v>
      </c>
      <c r="M617" s="207">
        <f>SUM(J617:L617)</f>
        <v>16055</v>
      </c>
      <c r="N617" s="140">
        <v>5153</v>
      </c>
      <c r="O617" s="140">
        <v>5056</v>
      </c>
      <c r="P617" s="140">
        <v>5125</v>
      </c>
      <c r="Q617" s="207">
        <f>SUM(N617:P617)</f>
        <v>15334</v>
      </c>
      <c r="R617" s="207">
        <f>+E617+I617+M617+Q617</f>
        <v>61835</v>
      </c>
    </row>
    <row r="618" spans="1:18" ht="15.75" customHeight="1" thickBot="1" x14ac:dyDescent="0.4">
      <c r="A618" s="222" t="s">
        <v>40</v>
      </c>
      <c r="B618" s="140">
        <v>0</v>
      </c>
      <c r="C618" s="140">
        <v>0</v>
      </c>
      <c r="D618" s="140">
        <v>0</v>
      </c>
      <c r="E618" s="207">
        <f>SUM(B618:D618)</f>
        <v>0</v>
      </c>
      <c r="F618" s="140">
        <v>0</v>
      </c>
      <c r="G618" s="140">
        <v>0</v>
      </c>
      <c r="H618" s="140">
        <v>0</v>
      </c>
      <c r="I618" s="207">
        <f>SUM(F618:H618)</f>
        <v>0</v>
      </c>
      <c r="J618" s="140">
        <v>0</v>
      </c>
      <c r="K618" s="140">
        <v>0</v>
      </c>
      <c r="L618" s="140">
        <v>0</v>
      </c>
      <c r="M618" s="207">
        <f>SUM(J618:L618)</f>
        <v>0</v>
      </c>
      <c r="N618" s="140">
        <v>0</v>
      </c>
      <c r="O618" s="140">
        <v>0</v>
      </c>
      <c r="P618" s="140">
        <v>0</v>
      </c>
      <c r="Q618" s="207">
        <f>SUM(N618:P618)</f>
        <v>0</v>
      </c>
      <c r="R618" s="207">
        <f>+E618+I618+M618+Q618</f>
        <v>0</v>
      </c>
    </row>
    <row r="619" spans="1:18" ht="15.75" customHeight="1" thickBot="1" x14ac:dyDescent="0.4">
      <c r="A619" s="267"/>
      <c r="B619" s="13"/>
      <c r="C619" s="13"/>
      <c r="D619" s="13"/>
      <c r="E619" s="211" t="s">
        <v>7</v>
      </c>
      <c r="F619" s="13"/>
      <c r="G619" s="13"/>
      <c r="H619" s="13"/>
      <c r="I619" s="211" t="s">
        <v>7</v>
      </c>
      <c r="J619" s="13"/>
      <c r="K619" s="13"/>
      <c r="L619" s="13"/>
      <c r="M619" s="211" t="s">
        <v>7</v>
      </c>
      <c r="N619" s="13"/>
      <c r="O619" s="13"/>
      <c r="P619" s="13"/>
      <c r="Q619" s="211"/>
      <c r="R619" s="211"/>
    </row>
    <row r="620" spans="1:18" ht="15.75" customHeight="1" x14ac:dyDescent="0.35">
      <c r="A620" s="174" t="s">
        <v>41</v>
      </c>
      <c r="B620" s="140">
        <f>SUM(B616:B618)</f>
        <v>5372</v>
      </c>
      <c r="C620" s="140">
        <f>SUM(C616:C618)</f>
        <v>3888</v>
      </c>
      <c r="D620" s="140">
        <f>SUM(D616:D618)</f>
        <v>6021</v>
      </c>
      <c r="E620" s="212">
        <f>SUM(B620:D620)</f>
        <v>15281</v>
      </c>
      <c r="F620" s="140">
        <f>SUM(F616:F618)</f>
        <v>5042</v>
      </c>
      <c r="G620" s="140">
        <f>SUM(G616:G618)</f>
        <v>5107</v>
      </c>
      <c r="H620" s="140">
        <f>SUM(H616:H618)</f>
        <v>5330</v>
      </c>
      <c r="I620" s="212">
        <f>SUM(F620:H620)</f>
        <v>15479</v>
      </c>
      <c r="J620" s="140">
        <f>SUM(J616:J618)</f>
        <v>5484</v>
      </c>
      <c r="K620" s="140">
        <f>SUM(K616:K618)</f>
        <v>5609</v>
      </c>
      <c r="L620" s="140">
        <f>SUM(L616:L618)</f>
        <v>5183</v>
      </c>
      <c r="M620" s="212">
        <f>SUM(J620:L620)</f>
        <v>16276</v>
      </c>
      <c r="N620" s="140">
        <f>SUM(N616:N618)</f>
        <v>5246</v>
      </c>
      <c r="O620" s="140">
        <f>SUM(O616:O618)</f>
        <v>5133</v>
      </c>
      <c r="P620" s="140">
        <f>SUM(P616:P618)</f>
        <v>5157</v>
      </c>
      <c r="Q620" s="212">
        <f>SUM(N620:P620)</f>
        <v>15536</v>
      </c>
      <c r="R620" s="212">
        <f>+E620+I620+M620+Q620</f>
        <v>62572</v>
      </c>
    </row>
    <row r="621" spans="1:18" ht="15.75" customHeight="1" x14ac:dyDescent="0.35">
      <c r="A621" s="174" t="s">
        <v>42</v>
      </c>
      <c r="B621" s="140">
        <f>(B620/31)/1.983</f>
        <v>87.387958941323831</v>
      </c>
      <c r="C621" s="140">
        <f>(C620/28)/1.983</f>
        <v>70.023773503349901</v>
      </c>
      <c r="D621" s="140">
        <f>(D620/31)/1.983</f>
        <v>97.945439461226869</v>
      </c>
      <c r="E621" s="207" t="s">
        <v>7</v>
      </c>
      <c r="F621" s="140">
        <f>(F620/30)/1.983</f>
        <v>84.753740124390646</v>
      </c>
      <c r="G621" s="140">
        <f>(G620/31)/1.983</f>
        <v>83.077123289899632</v>
      </c>
      <c r="H621" s="140">
        <f>(H620/30)/1.983</f>
        <v>89.594889897461755</v>
      </c>
      <c r="I621" s="207" t="s">
        <v>7</v>
      </c>
      <c r="J621" s="140">
        <f>(J620/31)/1.983</f>
        <v>89.209897027963493</v>
      </c>
      <c r="K621" s="140">
        <f>(K620/31)/1.983</f>
        <v>91.243310071088118</v>
      </c>
      <c r="L621" s="140">
        <f>(L620/30)/1.983</f>
        <v>87.12388636745672</v>
      </c>
      <c r="M621" s="207" t="s">
        <v>7</v>
      </c>
      <c r="N621" s="140">
        <f>(N620/31)/1.983</f>
        <v>85.338278593854199</v>
      </c>
      <c r="O621" s="140">
        <f>(O620/30)/1.983</f>
        <v>86.283408976298531</v>
      </c>
      <c r="P621" s="140">
        <f>(P620/31)/1.983</f>
        <v>83.89048850714947</v>
      </c>
      <c r="Q621" s="207" t="s">
        <v>7</v>
      </c>
      <c r="R621" s="207" t="s">
        <v>7</v>
      </c>
    </row>
    <row r="622" spans="1:18" ht="15.75" customHeight="1" x14ac:dyDescent="0.35">
      <c r="A622" s="174" t="s">
        <v>359</v>
      </c>
      <c r="B622" s="140">
        <f>B620</f>
        <v>5372</v>
      </c>
      <c r="C622" s="140">
        <f>C620</f>
        <v>3888</v>
      </c>
      <c r="D622" s="140">
        <f>D620</f>
        <v>6021</v>
      </c>
      <c r="E622" s="207">
        <f>SUM(B622:D622)</f>
        <v>15281</v>
      </c>
      <c r="F622" s="140">
        <f>F620</f>
        <v>5042</v>
      </c>
      <c r="G622" s="140">
        <f>G620</f>
        <v>5107</v>
      </c>
      <c r="H622" s="140">
        <f>H620</f>
        <v>5330</v>
      </c>
      <c r="I622" s="207">
        <f>SUM(F622:H622)</f>
        <v>15479</v>
      </c>
      <c r="J622" s="140">
        <f>J620</f>
        <v>5484</v>
      </c>
      <c r="K622" s="140">
        <f>K620</f>
        <v>5609</v>
      </c>
      <c r="L622" s="140">
        <f>L620</f>
        <v>5183</v>
      </c>
      <c r="M622" s="207">
        <f>SUM(J622:L622)</f>
        <v>16276</v>
      </c>
      <c r="N622" s="140">
        <f>N620</f>
        <v>5246</v>
      </c>
      <c r="O622" s="140">
        <f>O620</f>
        <v>5133</v>
      </c>
      <c r="P622" s="140">
        <f>P620</f>
        <v>5157</v>
      </c>
      <c r="Q622" s="207">
        <f>SUM(N622:P622)</f>
        <v>15536</v>
      </c>
      <c r="R622" s="207">
        <f>+E622+I622+M622+Q622</f>
        <v>62572</v>
      </c>
    </row>
    <row r="623" spans="1:18" ht="15.75" customHeight="1" thickBot="1" x14ac:dyDescent="0.4">
      <c r="A623" s="179" t="s">
        <v>360</v>
      </c>
      <c r="B623" s="180">
        <f>(B622/31)/1.983</f>
        <v>87.387958941323831</v>
      </c>
      <c r="C623" s="180">
        <f>(C622/28)/1.983</f>
        <v>70.023773503349901</v>
      </c>
      <c r="D623" s="180">
        <f>(D622/31)/1.983</f>
        <v>97.945439461226869</v>
      </c>
      <c r="E623" s="231" t="s">
        <v>7</v>
      </c>
      <c r="F623" s="180">
        <f>(F622/30)/1.983</f>
        <v>84.753740124390646</v>
      </c>
      <c r="G623" s="180">
        <f>(G622/31)/1.983</f>
        <v>83.077123289899632</v>
      </c>
      <c r="H623" s="180">
        <f>(H622/30)/1.983</f>
        <v>89.594889897461755</v>
      </c>
      <c r="I623" s="231" t="s">
        <v>7</v>
      </c>
      <c r="J623" s="180">
        <f>(J622/31)/1.983</f>
        <v>89.209897027963493</v>
      </c>
      <c r="K623" s="180">
        <f>(K622/31)/1.983</f>
        <v>91.243310071088118</v>
      </c>
      <c r="L623" s="180">
        <f>(L622/30)/1.983</f>
        <v>87.12388636745672</v>
      </c>
      <c r="M623" s="231" t="s">
        <v>7</v>
      </c>
      <c r="N623" s="180">
        <f>(N622/31)/1.983</f>
        <v>85.338278593854199</v>
      </c>
      <c r="O623" s="180">
        <f>(O622/30)/1.983</f>
        <v>86.283408976298531</v>
      </c>
      <c r="P623" s="180">
        <f>(P622/31)/1.983</f>
        <v>83.89048850714947</v>
      </c>
      <c r="Q623" s="231" t="s">
        <v>7</v>
      </c>
      <c r="R623" s="231" t="s">
        <v>7</v>
      </c>
    </row>
    <row r="624" spans="1:18" ht="15.75" customHeight="1" x14ac:dyDescent="0.35">
      <c r="A624" s="141"/>
      <c r="B624" s="140"/>
      <c r="C624" s="140"/>
      <c r="D624" s="140"/>
      <c r="E624" s="140"/>
      <c r="F624" s="140"/>
      <c r="G624" s="140"/>
      <c r="H624" s="140"/>
      <c r="I624" s="140"/>
      <c r="J624" s="140"/>
      <c r="K624" s="140"/>
      <c r="L624" s="140"/>
      <c r="M624" s="140"/>
      <c r="N624" s="140"/>
      <c r="O624" s="140"/>
      <c r="P624" s="140"/>
      <c r="Q624" s="140"/>
      <c r="R624" s="141"/>
    </row>
    <row r="625" spans="1:18" ht="15.75" customHeight="1" thickBot="1" x14ac:dyDescent="0.4">
      <c r="A625" s="141"/>
      <c r="B625" s="140"/>
      <c r="C625" s="140"/>
      <c r="D625" s="140"/>
      <c r="E625" s="140"/>
      <c r="F625" s="140"/>
      <c r="G625" s="140"/>
      <c r="H625" s="140"/>
      <c r="I625" s="140"/>
      <c r="J625" s="140"/>
      <c r="K625" s="140"/>
      <c r="L625" s="140"/>
      <c r="M625" s="140"/>
      <c r="N625" s="140"/>
      <c r="O625" s="140"/>
      <c r="P625" s="140"/>
      <c r="Q625" s="140"/>
      <c r="R625" s="141"/>
    </row>
    <row r="626" spans="1:18" ht="15.75" customHeight="1" thickBot="1" x14ac:dyDescent="0.4">
      <c r="A626" s="261" t="s">
        <v>361</v>
      </c>
      <c r="B626" s="188" t="s">
        <v>8</v>
      </c>
      <c r="C626" s="189" t="s">
        <v>9</v>
      </c>
      <c r="D626" s="189" t="s">
        <v>10</v>
      </c>
      <c r="E626" s="10" t="s">
        <v>11</v>
      </c>
      <c r="F626" s="189" t="s">
        <v>12</v>
      </c>
      <c r="G626" s="189" t="s">
        <v>13</v>
      </c>
      <c r="H626" s="189" t="s">
        <v>14</v>
      </c>
      <c r="I626" s="190" t="s">
        <v>15</v>
      </c>
      <c r="J626" s="189" t="s">
        <v>16</v>
      </c>
      <c r="K626" s="189" t="s">
        <v>17</v>
      </c>
      <c r="L626" s="189" t="s">
        <v>18</v>
      </c>
      <c r="M626" s="190" t="s">
        <v>19</v>
      </c>
      <c r="N626" s="189" t="s">
        <v>20</v>
      </c>
      <c r="O626" s="189" t="s">
        <v>21</v>
      </c>
      <c r="P626" s="189" t="s">
        <v>22</v>
      </c>
      <c r="Q626" s="190" t="s">
        <v>23</v>
      </c>
      <c r="R626" s="270" t="s">
        <v>24</v>
      </c>
    </row>
    <row r="627" spans="1:18" ht="15.75" customHeight="1" thickBot="1" x14ac:dyDescent="0.4">
      <c r="A627" s="198"/>
      <c r="B627" s="193"/>
      <c r="C627" s="193"/>
      <c r="D627" s="193"/>
      <c r="E627" s="14"/>
      <c r="F627" s="193"/>
      <c r="G627" s="193"/>
      <c r="H627" s="193"/>
      <c r="I627" s="269"/>
      <c r="J627" s="193"/>
      <c r="K627" s="193"/>
      <c r="L627" s="193"/>
      <c r="M627" s="269"/>
      <c r="N627" s="193"/>
      <c r="O627" s="193"/>
      <c r="P627" s="193"/>
      <c r="Q627" s="271"/>
      <c r="R627" s="272"/>
    </row>
    <row r="628" spans="1:18" ht="15.75" customHeight="1" x14ac:dyDescent="0.35">
      <c r="A628" s="174" t="s">
        <v>48</v>
      </c>
      <c r="B628" s="140" t="s">
        <v>7</v>
      </c>
      <c r="C628" s="140" t="s">
        <v>7</v>
      </c>
      <c r="D628" s="140" t="s">
        <v>7</v>
      </c>
      <c r="E628" s="273"/>
      <c r="F628" s="140" t="s">
        <v>7</v>
      </c>
      <c r="G628" s="140" t="s">
        <v>7</v>
      </c>
      <c r="H628" s="140" t="s">
        <v>7</v>
      </c>
      <c r="I628" s="273"/>
      <c r="J628" s="140" t="s">
        <v>7</v>
      </c>
      <c r="K628" s="140" t="s">
        <v>7</v>
      </c>
      <c r="L628" s="140" t="s">
        <v>7</v>
      </c>
      <c r="M628" s="273"/>
      <c r="N628" s="140" t="s">
        <v>7</v>
      </c>
      <c r="O628" s="140" t="s">
        <v>7</v>
      </c>
      <c r="P628" s="140" t="s">
        <v>7</v>
      </c>
      <c r="Q628" s="274"/>
      <c r="R628" s="275" t="s">
        <v>7</v>
      </c>
    </row>
    <row r="629" spans="1:18" ht="15.75" customHeight="1" x14ac:dyDescent="0.35">
      <c r="A629" s="174" t="s">
        <v>49</v>
      </c>
      <c r="B629" s="140"/>
      <c r="C629" s="140"/>
      <c r="D629" s="140"/>
      <c r="E629" s="207" t="s">
        <v>7</v>
      </c>
      <c r="F629" s="140"/>
      <c r="G629" s="140"/>
      <c r="H629" s="140"/>
      <c r="I629" s="207" t="s">
        <v>7</v>
      </c>
      <c r="J629" s="140"/>
      <c r="K629" s="140"/>
      <c r="L629" s="140"/>
      <c r="M629" s="207" t="s">
        <v>7</v>
      </c>
      <c r="N629" s="140"/>
      <c r="O629" s="140"/>
      <c r="P629" s="140"/>
      <c r="Q629" s="207" t="s">
        <v>7</v>
      </c>
      <c r="R629" s="207" t="s">
        <v>7</v>
      </c>
    </row>
    <row r="630" spans="1:18" ht="15.75" customHeight="1" x14ac:dyDescent="0.35">
      <c r="A630" s="222" t="s">
        <v>362</v>
      </c>
      <c r="B630" s="140">
        <v>0</v>
      </c>
      <c r="C630" s="140">
        <v>0</v>
      </c>
      <c r="D630" s="140">
        <v>0</v>
      </c>
      <c r="E630" s="207">
        <f>SUM(B630:D630)</f>
        <v>0</v>
      </c>
      <c r="F630" s="140">
        <v>0</v>
      </c>
      <c r="G630" s="140">
        <v>0</v>
      </c>
      <c r="H630" s="140">
        <v>0</v>
      </c>
      <c r="I630" s="207">
        <f>SUM(F630:H630)</f>
        <v>0</v>
      </c>
      <c r="J630" s="140">
        <v>0</v>
      </c>
      <c r="K630" s="140">
        <v>0</v>
      </c>
      <c r="L630" s="140">
        <v>0</v>
      </c>
      <c r="M630" s="207">
        <f>SUM(J630:L630)</f>
        <v>0</v>
      </c>
      <c r="N630" s="140">
        <v>525</v>
      </c>
      <c r="O630" s="140">
        <v>0</v>
      </c>
      <c r="P630" s="140">
        <v>0</v>
      </c>
      <c r="Q630" s="207">
        <f>SUM(N630:P630)</f>
        <v>525</v>
      </c>
      <c r="R630" s="207">
        <f>+E630+I630+M630+Q630</f>
        <v>525</v>
      </c>
    </row>
    <row r="631" spans="1:18" ht="15.75" customHeight="1" x14ac:dyDescent="0.35">
      <c r="A631" s="222" t="s">
        <v>363</v>
      </c>
      <c r="B631" s="140">
        <v>1658</v>
      </c>
      <c r="C631" s="140">
        <v>0</v>
      </c>
      <c r="D631" s="140">
        <v>0</v>
      </c>
      <c r="E631" s="207">
        <f>SUM(B631:D631)</f>
        <v>1658</v>
      </c>
      <c r="F631" s="140">
        <v>833</v>
      </c>
      <c r="G631" s="140">
        <v>0</v>
      </c>
      <c r="H631" s="140">
        <v>0</v>
      </c>
      <c r="I631" s="207">
        <f>SUM(F631:H631)</f>
        <v>833</v>
      </c>
      <c r="J631" s="140">
        <v>0</v>
      </c>
      <c r="K631" s="140">
        <v>0</v>
      </c>
      <c r="L631" s="140">
        <v>0</v>
      </c>
      <c r="M631" s="207">
        <f>SUM(J631:L631)</f>
        <v>0</v>
      </c>
      <c r="N631" s="140">
        <v>0</v>
      </c>
      <c r="O631" s="140">
        <v>0</v>
      </c>
      <c r="P631" s="140">
        <v>0</v>
      </c>
      <c r="Q631" s="207">
        <f>SUM(N631:P631)</f>
        <v>0</v>
      </c>
      <c r="R631" s="207">
        <f>+E631+I631+M631+Q631</f>
        <v>2491</v>
      </c>
    </row>
    <row r="632" spans="1:18" ht="15.75" customHeight="1" x14ac:dyDescent="0.35">
      <c r="A632" s="174" t="s">
        <v>50</v>
      </c>
      <c r="B632" s="140"/>
      <c r="C632" s="140"/>
      <c r="D632" s="140"/>
      <c r="E632" s="207" t="s">
        <v>7</v>
      </c>
      <c r="F632" s="140"/>
      <c r="G632" s="140"/>
      <c r="H632" s="140"/>
      <c r="I632" s="207" t="s">
        <v>7</v>
      </c>
      <c r="J632" s="140"/>
      <c r="K632" s="140"/>
      <c r="L632" s="140"/>
      <c r="M632" s="207" t="s">
        <v>7</v>
      </c>
      <c r="N632" s="140"/>
      <c r="O632" s="140"/>
      <c r="P632" s="140"/>
      <c r="Q632" s="207" t="s">
        <v>7</v>
      </c>
      <c r="R632" s="207" t="s">
        <v>7</v>
      </c>
    </row>
    <row r="633" spans="1:18" ht="15.75" customHeight="1" x14ac:dyDescent="0.35">
      <c r="A633" s="174" t="s">
        <v>51</v>
      </c>
      <c r="B633" s="140"/>
      <c r="C633" s="140"/>
      <c r="D633" s="140"/>
      <c r="E633" s="207" t="s">
        <v>7</v>
      </c>
      <c r="F633" s="140"/>
      <c r="G633" s="140"/>
      <c r="H633" s="140"/>
      <c r="I633" s="207" t="s">
        <v>7</v>
      </c>
      <c r="J633" s="140"/>
      <c r="K633" s="140"/>
      <c r="L633" s="140"/>
      <c r="M633" s="207" t="s">
        <v>7</v>
      </c>
      <c r="N633" s="140"/>
      <c r="O633" s="140"/>
      <c r="P633" s="140"/>
      <c r="Q633" s="207" t="s">
        <v>7</v>
      </c>
      <c r="R633" s="207" t="s">
        <v>7</v>
      </c>
    </row>
    <row r="634" spans="1:18" ht="15.75" customHeight="1" x14ac:dyDescent="0.35">
      <c r="A634" s="222" t="s">
        <v>364</v>
      </c>
      <c r="B634" s="140">
        <v>0</v>
      </c>
      <c r="C634" s="140">
        <v>0</v>
      </c>
      <c r="D634" s="140">
        <v>0</v>
      </c>
      <c r="E634" s="207">
        <f>SUM(B634:D634)</f>
        <v>0</v>
      </c>
      <c r="F634" s="140">
        <v>0</v>
      </c>
      <c r="G634" s="140">
        <v>0</v>
      </c>
      <c r="H634" s="140">
        <v>0</v>
      </c>
      <c r="I634" s="207">
        <f>SUM(F634:H634)</f>
        <v>0</v>
      </c>
      <c r="J634" s="140">
        <v>0</v>
      </c>
      <c r="K634" s="140">
        <v>0</v>
      </c>
      <c r="L634" s="140">
        <v>0</v>
      </c>
      <c r="M634" s="207">
        <f>SUM(J634:L634)</f>
        <v>0</v>
      </c>
      <c r="N634" s="140">
        <v>0</v>
      </c>
      <c r="O634" s="140">
        <v>0</v>
      </c>
      <c r="P634" s="140">
        <v>0</v>
      </c>
      <c r="Q634" s="207">
        <f>SUM(N634:P634)</f>
        <v>0</v>
      </c>
      <c r="R634" s="207">
        <f>+E634+I634+M634+Q634</f>
        <v>0</v>
      </c>
    </row>
    <row r="635" spans="1:18" ht="15.75" customHeight="1" thickBot="1" x14ac:dyDescent="0.4">
      <c r="A635" s="174" t="s">
        <v>53</v>
      </c>
      <c r="B635" s="140"/>
      <c r="C635" s="140"/>
      <c r="D635" s="140"/>
      <c r="E635" s="207" t="s">
        <v>7</v>
      </c>
      <c r="F635" s="140"/>
      <c r="G635" s="140"/>
      <c r="H635" s="140"/>
      <c r="I635" s="207" t="s">
        <v>7</v>
      </c>
      <c r="J635" s="140"/>
      <c r="K635" s="140"/>
      <c r="L635" s="140"/>
      <c r="M635" s="207" t="s">
        <v>7</v>
      </c>
      <c r="N635" s="140"/>
      <c r="O635" s="140"/>
      <c r="P635" s="140"/>
      <c r="Q635" s="207" t="s">
        <v>7</v>
      </c>
      <c r="R635" s="207" t="s">
        <v>7</v>
      </c>
    </row>
    <row r="636" spans="1:18" ht="15.75" customHeight="1" thickBot="1" x14ac:dyDescent="0.4">
      <c r="A636" s="209" t="s">
        <v>54</v>
      </c>
      <c r="B636" s="237">
        <f>SUM(B628:B635)</f>
        <v>1658</v>
      </c>
      <c r="C636" s="238">
        <f>SUM(C628:C635)</f>
        <v>0</v>
      </c>
      <c r="D636" s="238">
        <f>SUM(D628:D635)</f>
        <v>0</v>
      </c>
      <c r="E636" s="211">
        <f>SUM(B636:D636)</f>
        <v>1658</v>
      </c>
      <c r="F636" s="238">
        <f>SUM(F628:F635)</f>
        <v>833</v>
      </c>
      <c r="G636" s="238">
        <f>SUM(G628:G635)</f>
        <v>0</v>
      </c>
      <c r="H636" s="238">
        <f>SUM(H628:H635)</f>
        <v>0</v>
      </c>
      <c r="I636" s="211">
        <f>SUM(F636:H636)</f>
        <v>833</v>
      </c>
      <c r="J636" s="238">
        <f>SUM(J628:J635)</f>
        <v>0</v>
      </c>
      <c r="K636" s="238">
        <f>SUM(K628:K635)</f>
        <v>0</v>
      </c>
      <c r="L636" s="238">
        <f>SUM(L628:L635)</f>
        <v>0</v>
      </c>
      <c r="M636" s="211">
        <f>SUM(J636:L636)</f>
        <v>0</v>
      </c>
      <c r="N636" s="238">
        <f>SUM(N628:N635)</f>
        <v>525</v>
      </c>
      <c r="O636" s="238">
        <f>SUM(O628:O635)</f>
        <v>0</v>
      </c>
      <c r="P636" s="238">
        <f>SUM(P628:P635)</f>
        <v>0</v>
      </c>
      <c r="Q636" s="211">
        <f>SUM(N636:P636)</f>
        <v>525</v>
      </c>
      <c r="R636" s="211">
        <f>+E636+I636+M636+Q636</f>
        <v>3016</v>
      </c>
    </row>
    <row r="637" spans="1:18" ht="15.75" customHeight="1" x14ac:dyDescent="0.35">
      <c r="A637" s="174" t="s">
        <v>55</v>
      </c>
      <c r="B637" s="140"/>
      <c r="C637" s="140"/>
      <c r="D637" s="140"/>
      <c r="E637" s="207" t="s">
        <v>7</v>
      </c>
      <c r="F637" s="140"/>
      <c r="G637" s="140"/>
      <c r="H637" s="140"/>
      <c r="I637" s="207" t="s">
        <v>7</v>
      </c>
      <c r="J637" s="140"/>
      <c r="K637" s="140"/>
      <c r="L637" s="140"/>
      <c r="M637" s="207" t="s">
        <v>7</v>
      </c>
      <c r="N637" s="140"/>
      <c r="O637" s="140"/>
      <c r="P637" s="140"/>
      <c r="Q637" s="207" t="s">
        <v>7</v>
      </c>
      <c r="R637" s="207" t="s">
        <v>7</v>
      </c>
    </row>
    <row r="638" spans="1:18" ht="15.75" customHeight="1" x14ac:dyDescent="0.35">
      <c r="A638" s="174" t="s">
        <v>57</v>
      </c>
      <c r="B638" s="140"/>
      <c r="C638" s="140"/>
      <c r="D638" s="140"/>
      <c r="E638" s="207" t="s">
        <v>7</v>
      </c>
      <c r="F638" s="140"/>
      <c r="G638" s="140"/>
      <c r="H638" s="140"/>
      <c r="I638" s="207" t="s">
        <v>7</v>
      </c>
      <c r="J638" s="140"/>
      <c r="K638" s="140"/>
      <c r="L638" s="140"/>
      <c r="M638" s="207" t="s">
        <v>7</v>
      </c>
      <c r="N638" s="140"/>
      <c r="O638" s="140"/>
      <c r="P638" s="140"/>
      <c r="Q638" s="207" t="s">
        <v>7</v>
      </c>
      <c r="R638" s="207" t="s">
        <v>7</v>
      </c>
    </row>
    <row r="639" spans="1:18" ht="15.75" customHeight="1" thickBot="1" x14ac:dyDescent="0.4">
      <c r="A639" s="174" t="s">
        <v>58</v>
      </c>
      <c r="B639" s="140"/>
      <c r="C639" s="140"/>
      <c r="D639" s="140"/>
      <c r="E639" s="207" t="s">
        <v>7</v>
      </c>
      <c r="F639" s="140"/>
      <c r="G639" s="140"/>
      <c r="H639" s="140"/>
      <c r="I639" s="207" t="s">
        <v>7</v>
      </c>
      <c r="J639" s="140"/>
      <c r="K639" s="140"/>
      <c r="L639" s="140"/>
      <c r="M639" s="207" t="s">
        <v>7</v>
      </c>
      <c r="N639" s="140"/>
      <c r="O639" s="140"/>
      <c r="P639" s="140"/>
      <c r="Q639" s="207" t="s">
        <v>7</v>
      </c>
      <c r="R639" s="207" t="s">
        <v>7</v>
      </c>
    </row>
    <row r="640" spans="1:18" ht="15.75" customHeight="1" thickBot="1" x14ac:dyDescent="0.4">
      <c r="A640" s="209" t="s">
        <v>59</v>
      </c>
      <c r="B640" s="237">
        <f>SUM(B637:B639)</f>
        <v>0</v>
      </c>
      <c r="C640" s="238">
        <f>SUM(C637:C639)</f>
        <v>0</v>
      </c>
      <c r="D640" s="238">
        <f>SUM(D637:D639)</f>
        <v>0</v>
      </c>
      <c r="E640" s="211">
        <f>SUM(B640:D640)</f>
        <v>0</v>
      </c>
      <c r="F640" s="238">
        <f>SUM(F637:F639)</f>
        <v>0</v>
      </c>
      <c r="G640" s="238">
        <f>SUM(G637:G639)</f>
        <v>0</v>
      </c>
      <c r="H640" s="238">
        <f>SUM(H637:H639)</f>
        <v>0</v>
      </c>
      <c r="I640" s="211">
        <f>SUM(F640:H640)</f>
        <v>0</v>
      </c>
      <c r="J640" s="238">
        <f>SUM(J637:J639)</f>
        <v>0</v>
      </c>
      <c r="K640" s="238">
        <f>SUM(K637:K639)</f>
        <v>0</v>
      </c>
      <c r="L640" s="238">
        <f>SUM(L637:L639)</f>
        <v>0</v>
      </c>
      <c r="M640" s="211">
        <f>SUM(J640:L640)</f>
        <v>0</v>
      </c>
      <c r="N640" s="238">
        <f>SUM(N637:N639)</f>
        <v>0</v>
      </c>
      <c r="O640" s="238">
        <f>SUM(O637:O639)</f>
        <v>0</v>
      </c>
      <c r="P640" s="238">
        <f>SUM(P637:P639)</f>
        <v>0</v>
      </c>
      <c r="Q640" s="211">
        <f>SUM(N640:P640)</f>
        <v>0</v>
      </c>
      <c r="R640" s="211">
        <f>+E640+I640+M640+Q640</f>
        <v>0</v>
      </c>
    </row>
    <row r="641" spans="1:18" ht="15.75" customHeight="1" x14ac:dyDescent="0.35">
      <c r="A641" s="174" t="s">
        <v>60</v>
      </c>
      <c r="B641" s="140"/>
      <c r="C641" s="140"/>
      <c r="D641" s="140"/>
      <c r="E641" s="207" t="s">
        <v>7</v>
      </c>
      <c r="F641" s="140"/>
      <c r="G641" s="140"/>
      <c r="H641" s="140"/>
      <c r="I641" s="207" t="s">
        <v>7</v>
      </c>
      <c r="J641" s="140" t="s">
        <v>7</v>
      </c>
      <c r="K641" s="140"/>
      <c r="L641" s="140"/>
      <c r="M641" s="207" t="s">
        <v>7</v>
      </c>
      <c r="N641" s="140"/>
      <c r="O641" s="140"/>
      <c r="P641" s="140"/>
      <c r="Q641" s="207" t="s">
        <v>7</v>
      </c>
      <c r="R641" s="207" t="s">
        <v>7</v>
      </c>
    </row>
    <row r="642" spans="1:18" ht="15.75" customHeight="1" x14ac:dyDescent="0.35">
      <c r="A642" s="174" t="s">
        <v>61</v>
      </c>
      <c r="B642" s="140"/>
      <c r="C642" s="140"/>
      <c r="D642" s="140"/>
      <c r="E642" s="207" t="s">
        <v>7</v>
      </c>
      <c r="F642" s="140"/>
      <c r="G642" s="140"/>
      <c r="H642" s="140"/>
      <c r="I642" s="207" t="s">
        <v>7</v>
      </c>
      <c r="J642" s="140"/>
      <c r="K642" s="140"/>
      <c r="L642" s="140"/>
      <c r="M642" s="207" t="s">
        <v>7</v>
      </c>
      <c r="N642" s="140"/>
      <c r="O642" s="140"/>
      <c r="P642" s="140"/>
      <c r="Q642" s="207" t="s">
        <v>7</v>
      </c>
      <c r="R642" s="207" t="s">
        <v>7</v>
      </c>
    </row>
    <row r="643" spans="1:18" ht="15.75" customHeight="1" x14ac:dyDescent="0.35">
      <c r="A643" s="222" t="s">
        <v>575</v>
      </c>
      <c r="B643" s="140">
        <v>321</v>
      </c>
      <c r="C643" s="140">
        <v>279</v>
      </c>
      <c r="D643" s="140">
        <v>468</v>
      </c>
      <c r="E643" s="207">
        <f>SUM(B643:D643)</f>
        <v>1068</v>
      </c>
      <c r="F643" s="140">
        <v>671</v>
      </c>
      <c r="G643" s="140">
        <v>641</v>
      </c>
      <c r="H643" s="140">
        <v>783</v>
      </c>
      <c r="I643" s="207">
        <f>SUM(F643:H643)</f>
        <v>2095</v>
      </c>
      <c r="J643" s="140">
        <v>797</v>
      </c>
      <c r="K643" s="140">
        <v>777</v>
      </c>
      <c r="L643" s="140">
        <v>734</v>
      </c>
      <c r="M643" s="207">
        <f>SUM(J643:L643)</f>
        <v>2308</v>
      </c>
      <c r="N643" s="140">
        <v>643</v>
      </c>
      <c r="O643" s="140">
        <v>307</v>
      </c>
      <c r="P643" s="140">
        <v>200</v>
      </c>
      <c r="Q643" s="207">
        <f>SUM(N643:P643)</f>
        <v>1150</v>
      </c>
      <c r="R643" s="207">
        <f>+E643+I643+M643+Q643</f>
        <v>6621</v>
      </c>
    </row>
    <row r="644" spans="1:18" ht="15.75" customHeight="1" x14ac:dyDescent="0.35">
      <c r="A644" s="174" t="s">
        <v>62</v>
      </c>
      <c r="B644" s="140"/>
      <c r="C644" s="140"/>
      <c r="D644" s="140"/>
      <c r="E644" s="207" t="s">
        <v>7</v>
      </c>
      <c r="F644" s="140"/>
      <c r="G644" s="140"/>
      <c r="H644" s="140"/>
      <c r="I644" s="207" t="s">
        <v>7</v>
      </c>
      <c r="J644" s="140"/>
      <c r="K644" s="140"/>
      <c r="L644" s="140"/>
      <c r="M644" s="207" t="s">
        <v>7</v>
      </c>
      <c r="N644" s="140"/>
      <c r="O644" s="140"/>
      <c r="P644" s="140"/>
      <c r="Q644" s="207" t="s">
        <v>7</v>
      </c>
      <c r="R644" s="207" t="s">
        <v>7</v>
      </c>
    </row>
    <row r="645" spans="1:18" ht="15.75" customHeight="1" x14ac:dyDescent="0.35">
      <c r="A645" s="222" t="s">
        <v>576</v>
      </c>
      <c r="B645" s="140">
        <v>390</v>
      </c>
      <c r="C645" s="140">
        <v>684</v>
      </c>
      <c r="D645" s="140">
        <v>718</v>
      </c>
      <c r="E645" s="207">
        <f>SUM(B645:D645)</f>
        <v>1792</v>
      </c>
      <c r="F645" s="140">
        <v>677</v>
      </c>
      <c r="G645" s="140">
        <v>748</v>
      </c>
      <c r="H645" s="140">
        <v>699</v>
      </c>
      <c r="I645" s="207">
        <f>SUM(F645:H645)</f>
        <v>2124</v>
      </c>
      <c r="J645" s="140">
        <v>840</v>
      </c>
      <c r="K645" s="140">
        <v>847</v>
      </c>
      <c r="L645" s="140">
        <v>787</v>
      </c>
      <c r="M645" s="207">
        <f>SUM(J645:L645)</f>
        <v>2474</v>
      </c>
      <c r="N645" s="140">
        <v>772</v>
      </c>
      <c r="O645" s="140">
        <v>249</v>
      </c>
      <c r="P645" s="140">
        <v>676</v>
      </c>
      <c r="Q645" s="207">
        <f>SUM(N645:P645)</f>
        <v>1697</v>
      </c>
      <c r="R645" s="207">
        <f>+E645+I645+M645+Q645</f>
        <v>8087</v>
      </c>
    </row>
    <row r="646" spans="1:18" ht="15.75" customHeight="1" thickBot="1" x14ac:dyDescent="0.4">
      <c r="A646" s="222" t="s">
        <v>577</v>
      </c>
      <c r="B646" s="140">
        <v>0</v>
      </c>
      <c r="C646" s="140">
        <v>836</v>
      </c>
      <c r="D646" s="140">
        <v>1875</v>
      </c>
      <c r="E646" s="207">
        <f>SUM(B646:D646)</f>
        <v>2711</v>
      </c>
      <c r="F646" s="140">
        <v>500</v>
      </c>
      <c r="G646" s="140">
        <v>2277</v>
      </c>
      <c r="H646" s="140">
        <v>2118</v>
      </c>
      <c r="I646" s="207">
        <f>SUM(F646:H646)</f>
        <v>4895</v>
      </c>
      <c r="J646" s="140">
        <v>1491</v>
      </c>
      <c r="K646" s="140">
        <v>2839</v>
      </c>
      <c r="L646" s="140">
        <v>2510</v>
      </c>
      <c r="M646" s="207">
        <f>SUM(J646:L646)</f>
        <v>6840</v>
      </c>
      <c r="N646" s="140">
        <v>554</v>
      </c>
      <c r="O646" s="140">
        <v>0</v>
      </c>
      <c r="P646" s="140">
        <v>0</v>
      </c>
      <c r="Q646" s="207">
        <f>SUM(N646:P646)</f>
        <v>554</v>
      </c>
      <c r="R646" s="207">
        <f>+E646+I646+M646+Q646</f>
        <v>15000</v>
      </c>
    </row>
    <row r="647" spans="1:18" ht="15.75" customHeight="1" thickBot="1" x14ac:dyDescent="0.4">
      <c r="A647" s="209" t="s">
        <v>63</v>
      </c>
      <c r="B647" s="237">
        <f>SUM(B641:B646)</f>
        <v>711</v>
      </c>
      <c r="C647" s="238">
        <f>SUM(C641:C646)</f>
        <v>1799</v>
      </c>
      <c r="D647" s="238">
        <f>SUM(D641:D646)</f>
        <v>3061</v>
      </c>
      <c r="E647" s="211">
        <f>SUM(B647:D647)</f>
        <v>5571</v>
      </c>
      <c r="F647" s="238">
        <f>SUM(F641:F646)</f>
        <v>1848</v>
      </c>
      <c r="G647" s="238">
        <f>SUM(G641:G646)</f>
        <v>3666</v>
      </c>
      <c r="H647" s="238">
        <f>SUM(H641:H646)</f>
        <v>3600</v>
      </c>
      <c r="I647" s="211">
        <f>SUM(F647:H647)</f>
        <v>9114</v>
      </c>
      <c r="J647" s="238">
        <f>SUM(J641:J646)</f>
        <v>3128</v>
      </c>
      <c r="K647" s="238">
        <f>SUM(K641:K646)</f>
        <v>4463</v>
      </c>
      <c r="L647" s="238">
        <f>SUM(L641:L646)</f>
        <v>4031</v>
      </c>
      <c r="M647" s="211">
        <f>SUM(J647:L647)</f>
        <v>11622</v>
      </c>
      <c r="N647" s="238">
        <f>SUM(N641:N646)</f>
        <v>1969</v>
      </c>
      <c r="O647" s="238">
        <f>SUM(O641:O646)</f>
        <v>556</v>
      </c>
      <c r="P647" s="238">
        <f>SUM(P641:P646)</f>
        <v>876</v>
      </c>
      <c r="Q647" s="211">
        <f>SUM(N647:P647)</f>
        <v>3401</v>
      </c>
      <c r="R647" s="211">
        <f>+E647+I647+M647+Q647</f>
        <v>29708</v>
      </c>
    </row>
    <row r="648" spans="1:18" ht="15.75" customHeight="1" x14ac:dyDescent="0.35">
      <c r="A648" s="174" t="s">
        <v>64</v>
      </c>
      <c r="B648" s="140"/>
      <c r="C648" s="140"/>
      <c r="D648" s="140"/>
      <c r="E648" s="207" t="s">
        <v>7</v>
      </c>
      <c r="F648" s="140"/>
      <c r="G648" s="140"/>
      <c r="H648" s="140"/>
      <c r="I648" s="207" t="s">
        <v>7</v>
      </c>
      <c r="J648" s="140"/>
      <c r="K648" s="140"/>
      <c r="L648" s="140"/>
      <c r="M648" s="207" t="s">
        <v>7</v>
      </c>
      <c r="N648" s="140"/>
      <c r="O648" s="140"/>
      <c r="P648" s="140"/>
      <c r="Q648" s="207" t="s">
        <v>7</v>
      </c>
      <c r="R648" s="207" t="s">
        <v>7</v>
      </c>
    </row>
    <row r="649" spans="1:18" ht="15.75" customHeight="1" x14ac:dyDescent="0.35">
      <c r="A649" s="174" t="s">
        <v>65</v>
      </c>
      <c r="B649" s="140"/>
      <c r="C649" s="140"/>
      <c r="D649" s="140"/>
      <c r="E649" s="207" t="s">
        <v>7</v>
      </c>
      <c r="F649" s="140"/>
      <c r="G649" s="140"/>
      <c r="H649" s="140"/>
      <c r="I649" s="207" t="s">
        <v>7</v>
      </c>
      <c r="J649" s="140"/>
      <c r="K649" s="140"/>
      <c r="L649" s="140"/>
      <c r="M649" s="207" t="s">
        <v>7</v>
      </c>
      <c r="N649" s="140"/>
      <c r="O649" s="140"/>
      <c r="P649" s="140"/>
      <c r="Q649" s="207" t="s">
        <v>7</v>
      </c>
      <c r="R649" s="207" t="s">
        <v>7</v>
      </c>
    </row>
    <row r="650" spans="1:18" ht="15.75" customHeight="1" x14ac:dyDescent="0.35">
      <c r="A650" s="222" t="s">
        <v>366</v>
      </c>
      <c r="B650" s="140">
        <v>0</v>
      </c>
      <c r="C650" s="140">
        <v>0</v>
      </c>
      <c r="D650" s="140">
        <v>0</v>
      </c>
      <c r="E650" s="207">
        <f>SUM(B650:D650)</f>
        <v>0</v>
      </c>
      <c r="F650" s="140">
        <v>0</v>
      </c>
      <c r="G650" s="140">
        <v>0</v>
      </c>
      <c r="H650" s="140">
        <v>0</v>
      </c>
      <c r="I650" s="207">
        <f>SUM(F650:H650)</f>
        <v>0</v>
      </c>
      <c r="J650" s="140">
        <v>0</v>
      </c>
      <c r="K650" s="140">
        <v>0</v>
      </c>
      <c r="L650" s="140">
        <v>0</v>
      </c>
      <c r="M650" s="207">
        <f>SUM(J650:L650)</f>
        <v>0</v>
      </c>
      <c r="N650" s="140">
        <v>0</v>
      </c>
      <c r="O650" s="140">
        <v>0</v>
      </c>
      <c r="P650" s="140">
        <v>0</v>
      </c>
      <c r="Q650" s="207">
        <f>SUM(N650:P650)</f>
        <v>0</v>
      </c>
      <c r="R650" s="207">
        <f>+E650+I650+M650+Q650</f>
        <v>0</v>
      </c>
    </row>
    <row r="651" spans="1:18" ht="15.75" customHeight="1" x14ac:dyDescent="0.35">
      <c r="A651" s="222" t="s">
        <v>367</v>
      </c>
      <c r="B651" s="140">
        <v>0</v>
      </c>
      <c r="C651" s="140">
        <v>0</v>
      </c>
      <c r="D651" s="140">
        <v>0</v>
      </c>
      <c r="E651" s="207">
        <f>SUM(B651:D651)</f>
        <v>0</v>
      </c>
      <c r="F651" s="140">
        <v>0</v>
      </c>
      <c r="G651" s="140">
        <v>0</v>
      </c>
      <c r="H651" s="140">
        <v>0</v>
      </c>
      <c r="I651" s="207">
        <f>SUM(F651:H651)</f>
        <v>0</v>
      </c>
      <c r="J651" s="140">
        <v>0</v>
      </c>
      <c r="K651" s="140">
        <v>0</v>
      </c>
      <c r="L651" s="140">
        <v>0</v>
      </c>
      <c r="M651" s="207">
        <f>SUM(J651:L651)</f>
        <v>0</v>
      </c>
      <c r="N651" s="140">
        <v>0</v>
      </c>
      <c r="O651" s="140">
        <v>0</v>
      </c>
      <c r="P651" s="140">
        <v>0</v>
      </c>
      <c r="Q651" s="207">
        <f>SUM(N651:P651)</f>
        <v>0</v>
      </c>
      <c r="R651" s="207">
        <f>+E651+I651+M651+Q651</f>
        <v>0</v>
      </c>
    </row>
    <row r="652" spans="1:18" ht="15.75" customHeight="1" x14ac:dyDescent="0.35">
      <c r="A652" s="174" t="s">
        <v>67</v>
      </c>
      <c r="B652" s="140"/>
      <c r="C652" s="140"/>
      <c r="D652" s="140"/>
      <c r="E652" s="207" t="s">
        <v>7</v>
      </c>
      <c r="F652" s="140"/>
      <c r="G652" s="140"/>
      <c r="H652" s="140"/>
      <c r="I652" s="207" t="s">
        <v>7</v>
      </c>
      <c r="J652" s="140"/>
      <c r="K652" s="140"/>
      <c r="L652" s="140"/>
      <c r="M652" s="207" t="s">
        <v>7</v>
      </c>
      <c r="N652" s="140"/>
      <c r="O652" s="140"/>
      <c r="P652" s="140"/>
      <c r="Q652" s="207" t="s">
        <v>7</v>
      </c>
      <c r="R652" s="207" t="s">
        <v>7</v>
      </c>
    </row>
    <row r="653" spans="1:18" ht="15.75" customHeight="1" x14ac:dyDescent="0.35">
      <c r="A653" s="222" t="s">
        <v>370</v>
      </c>
      <c r="B653" s="140">
        <v>0</v>
      </c>
      <c r="C653" s="140">
        <v>0</v>
      </c>
      <c r="D653" s="140">
        <v>0</v>
      </c>
      <c r="E653" s="207">
        <f>SUM(B653:D653)</f>
        <v>0</v>
      </c>
      <c r="F653" s="140">
        <v>0</v>
      </c>
      <c r="G653" s="140">
        <v>0</v>
      </c>
      <c r="H653" s="140">
        <v>0</v>
      </c>
      <c r="I653" s="207">
        <f>SUM(F653:H653)</f>
        <v>0</v>
      </c>
      <c r="J653" s="140">
        <v>0</v>
      </c>
      <c r="K653" s="140">
        <v>0</v>
      </c>
      <c r="L653" s="140">
        <v>0</v>
      </c>
      <c r="M653" s="207">
        <f>SUM(J653:L653)</f>
        <v>0</v>
      </c>
      <c r="N653" s="140">
        <v>16</v>
      </c>
      <c r="O653" s="140">
        <v>0</v>
      </c>
      <c r="P653" s="140">
        <v>0</v>
      </c>
      <c r="Q653" s="207">
        <f>SUM(N653:P653)</f>
        <v>16</v>
      </c>
      <c r="R653" s="207">
        <f>+E653+I653+M653+Q653</f>
        <v>16</v>
      </c>
    </row>
    <row r="654" spans="1:18" ht="15.75" customHeight="1" x14ac:dyDescent="0.35">
      <c r="A654" s="222" t="s">
        <v>371</v>
      </c>
      <c r="B654" s="140">
        <v>0</v>
      </c>
      <c r="C654" s="140">
        <v>0</v>
      </c>
      <c r="D654" s="140">
        <v>0</v>
      </c>
      <c r="E654" s="207">
        <f>SUM(B654:D654)</f>
        <v>0</v>
      </c>
      <c r="F654" s="140">
        <v>0</v>
      </c>
      <c r="G654" s="140">
        <v>0</v>
      </c>
      <c r="H654" s="140">
        <v>0</v>
      </c>
      <c r="I654" s="207">
        <f>SUM(F654:H654)</f>
        <v>0</v>
      </c>
      <c r="J654" s="140">
        <v>0</v>
      </c>
      <c r="K654" s="140">
        <v>0</v>
      </c>
      <c r="L654" s="140">
        <v>0</v>
      </c>
      <c r="M654" s="207">
        <f>SUM(J654:L654)</f>
        <v>0</v>
      </c>
      <c r="N654" s="140">
        <v>0</v>
      </c>
      <c r="O654" s="140">
        <v>657</v>
      </c>
      <c r="P654" s="140">
        <v>3412</v>
      </c>
      <c r="Q654" s="207">
        <f>SUM(N654:P654)</f>
        <v>4069</v>
      </c>
      <c r="R654" s="207">
        <f>+E654+I654+M654+Q654</f>
        <v>4069</v>
      </c>
    </row>
    <row r="655" spans="1:18" ht="15.75" customHeight="1" x14ac:dyDescent="0.35">
      <c r="A655" s="174" t="s">
        <v>69</v>
      </c>
      <c r="B655" s="140"/>
      <c r="C655" s="140"/>
      <c r="D655" s="140"/>
      <c r="E655" s="207" t="s">
        <v>7</v>
      </c>
      <c r="F655" s="140"/>
      <c r="G655" s="140"/>
      <c r="H655" s="140"/>
      <c r="I655" s="207" t="s">
        <v>7</v>
      </c>
      <c r="J655" s="140"/>
      <c r="K655" s="140"/>
      <c r="L655" s="140"/>
      <c r="M655" s="207" t="s">
        <v>7</v>
      </c>
      <c r="N655" s="140"/>
      <c r="O655" s="140"/>
      <c r="P655" s="140"/>
      <c r="Q655" s="207" t="s">
        <v>7</v>
      </c>
      <c r="R655" s="207" t="s">
        <v>7</v>
      </c>
    </row>
    <row r="656" spans="1:18" ht="15.75" customHeight="1" thickBot="1" x14ac:dyDescent="0.4">
      <c r="A656" s="174" t="s">
        <v>70</v>
      </c>
      <c r="B656" s="140"/>
      <c r="C656" s="140"/>
      <c r="D656" s="140"/>
      <c r="E656" s="207" t="s">
        <v>7</v>
      </c>
      <c r="F656" s="140"/>
      <c r="G656" s="140"/>
      <c r="H656" s="140"/>
      <c r="I656" s="207" t="s">
        <v>7</v>
      </c>
      <c r="J656" s="140"/>
      <c r="K656" s="140"/>
      <c r="L656" s="140"/>
      <c r="M656" s="207" t="s">
        <v>7</v>
      </c>
      <c r="N656" s="140"/>
      <c r="O656" s="140"/>
      <c r="P656" s="140"/>
      <c r="Q656" s="207" t="s">
        <v>7</v>
      </c>
      <c r="R656" s="207" t="s">
        <v>7</v>
      </c>
    </row>
    <row r="657" spans="1:18" ht="15.75" customHeight="1" thickBot="1" x14ac:dyDescent="0.4">
      <c r="A657" s="209" t="s">
        <v>71</v>
      </c>
      <c r="B657" s="210">
        <f>SUM(B655:B656)</f>
        <v>0</v>
      </c>
      <c r="C657" s="210">
        <f>SUM(C655:C656)</f>
        <v>0</v>
      </c>
      <c r="D657" s="210">
        <f>SUM(D655:D656)</f>
        <v>0</v>
      </c>
      <c r="E657" s="212">
        <f>SUM(B657:D657)</f>
        <v>0</v>
      </c>
      <c r="F657" s="210">
        <f>SUM(F655:F656)</f>
        <v>0</v>
      </c>
      <c r="G657" s="210">
        <f>SUM(G655:G656)</f>
        <v>0</v>
      </c>
      <c r="H657" s="210">
        <f>SUM(H655:H656)</f>
        <v>0</v>
      </c>
      <c r="I657" s="212">
        <f>SUM(F657:H657)</f>
        <v>0</v>
      </c>
      <c r="J657" s="210">
        <f>SUM(J655:J656)</f>
        <v>0</v>
      </c>
      <c r="K657" s="210">
        <f>SUM(K655:K656)</f>
        <v>0</v>
      </c>
      <c r="L657" s="210">
        <f>SUM(L655:L656)</f>
        <v>0</v>
      </c>
      <c r="M657" s="212">
        <f>SUM(J657:L657)</f>
        <v>0</v>
      </c>
      <c r="N657" s="210">
        <f>SUM(N655:N656)</f>
        <v>0</v>
      </c>
      <c r="O657" s="210">
        <f>SUM(O655:O656)</f>
        <v>0</v>
      </c>
      <c r="P657" s="210">
        <f>SUM(P655:P656)</f>
        <v>0</v>
      </c>
      <c r="Q657" s="212">
        <f>SUM(N657:P657)</f>
        <v>0</v>
      </c>
      <c r="R657" s="211">
        <f>+E657+I657+M657+Q657</f>
        <v>0</v>
      </c>
    </row>
    <row r="658" spans="1:18" ht="15.75" customHeight="1" thickBot="1" x14ac:dyDescent="0.4">
      <c r="A658" s="209" t="s">
        <v>72</v>
      </c>
      <c r="B658" s="237">
        <f>SUM(B648:B656)</f>
        <v>0</v>
      </c>
      <c r="C658" s="238">
        <f>SUM(C648:C656)</f>
        <v>0</v>
      </c>
      <c r="D658" s="260">
        <f>SUM(D648:D656)</f>
        <v>0</v>
      </c>
      <c r="E658" s="212">
        <f>SUM(B658:D658)</f>
        <v>0</v>
      </c>
      <c r="F658" s="238">
        <f>SUM(F648:F656)</f>
        <v>0</v>
      </c>
      <c r="G658" s="238">
        <f>SUM(G648:G656)</f>
        <v>0</v>
      </c>
      <c r="H658" s="238">
        <f>SUM(H648:H656)</f>
        <v>0</v>
      </c>
      <c r="I658" s="212">
        <f>SUM(F658:H658)</f>
        <v>0</v>
      </c>
      <c r="J658" s="238">
        <f>SUM(J648:J656)</f>
        <v>0</v>
      </c>
      <c r="K658" s="238">
        <f>SUM(K648:K656)</f>
        <v>0</v>
      </c>
      <c r="L658" s="238">
        <f>SUM(L648:L656)</f>
        <v>0</v>
      </c>
      <c r="M658" s="212">
        <f>SUM(J658:L658)</f>
        <v>0</v>
      </c>
      <c r="N658" s="238">
        <f>SUM(N648:N656)</f>
        <v>16</v>
      </c>
      <c r="O658" s="238">
        <f>SUM(O648:O656)</f>
        <v>657</v>
      </c>
      <c r="P658" s="238">
        <f>SUM(P648:P656)</f>
        <v>3412</v>
      </c>
      <c r="Q658" s="212">
        <f>SUM(N658:P658)</f>
        <v>4085</v>
      </c>
      <c r="R658" s="211">
        <f>+E658+I658+M658+Q658</f>
        <v>4085</v>
      </c>
    </row>
    <row r="659" spans="1:18" ht="15.75" customHeight="1" thickBot="1" x14ac:dyDescent="0.4">
      <c r="A659" s="209" t="s">
        <v>73</v>
      </c>
      <c r="B659" s="240">
        <f>+B636+B640+B647+B658</f>
        <v>2369</v>
      </c>
      <c r="C659" s="210">
        <f>+C636+C640+C647+C658</f>
        <v>1799</v>
      </c>
      <c r="D659" s="210">
        <f>+D636+D640+D647+D658</f>
        <v>3061</v>
      </c>
      <c r="E659" s="211">
        <f>SUM(B659:D659)</f>
        <v>7229</v>
      </c>
      <c r="F659" s="210">
        <f>+F636+F640+F647+F658</f>
        <v>2681</v>
      </c>
      <c r="G659" s="210">
        <f>+G636+G640+G647+G658</f>
        <v>3666</v>
      </c>
      <c r="H659" s="210">
        <f>+H636+H640+H647+H658</f>
        <v>3600</v>
      </c>
      <c r="I659" s="211">
        <f>SUM(F659:H659)</f>
        <v>9947</v>
      </c>
      <c r="J659" s="210">
        <f>+J636+J640+J647+J658</f>
        <v>3128</v>
      </c>
      <c r="K659" s="210">
        <f>+K636+K640+K647+K658</f>
        <v>4463</v>
      </c>
      <c r="L659" s="210">
        <f>+L636+L640+L647+L658</f>
        <v>4031</v>
      </c>
      <c r="M659" s="211">
        <f>SUM(J659:L659)</f>
        <v>11622</v>
      </c>
      <c r="N659" s="210">
        <f>+N636+N640+N647+N658</f>
        <v>2510</v>
      </c>
      <c r="O659" s="210">
        <f>+O636+O640+O647+O658</f>
        <v>1213</v>
      </c>
      <c r="P659" s="210">
        <f>+P636+P640+P647+P658</f>
        <v>4288</v>
      </c>
      <c r="Q659" s="211">
        <f>SUM(N659:P659)</f>
        <v>8011</v>
      </c>
      <c r="R659" s="231">
        <f>+E659+I659+M659+Q659</f>
        <v>36809</v>
      </c>
    </row>
    <row r="660" spans="1:18" ht="15.75" customHeight="1" thickBot="1" x14ac:dyDescent="0.4">
      <c r="A660" s="196" t="s">
        <v>40</v>
      </c>
      <c r="B660" s="180">
        <v>11</v>
      </c>
      <c r="C660" s="180">
        <v>13</v>
      </c>
      <c r="D660" s="180">
        <v>17</v>
      </c>
      <c r="E660" s="207">
        <f>SUM(B660:D660)</f>
        <v>41</v>
      </c>
      <c r="F660" s="180">
        <v>21</v>
      </c>
      <c r="G660" s="180">
        <v>23</v>
      </c>
      <c r="H660" s="180">
        <v>25</v>
      </c>
      <c r="I660" s="207">
        <f>SUM(F660:H660)</f>
        <v>69</v>
      </c>
      <c r="J660" s="180">
        <v>25</v>
      </c>
      <c r="K660" s="180">
        <v>21</v>
      </c>
      <c r="L660" s="180">
        <v>19</v>
      </c>
      <c r="M660" s="207">
        <f>SUM(J660:L660)</f>
        <v>65</v>
      </c>
      <c r="N660" s="180">
        <v>17</v>
      </c>
      <c r="O660" s="180">
        <v>13</v>
      </c>
      <c r="P660" s="180">
        <v>11</v>
      </c>
      <c r="Q660" s="207">
        <f>SUM(N660:P660)</f>
        <v>41</v>
      </c>
      <c r="R660" s="207">
        <f>+E660+I660+M660+Q660</f>
        <v>216</v>
      </c>
    </row>
    <row r="661" spans="1:18" ht="15.75" customHeight="1" thickBot="1" x14ac:dyDescent="0.4">
      <c r="A661" s="198"/>
      <c r="B661" s="193"/>
      <c r="C661" s="193"/>
      <c r="D661" s="193"/>
      <c r="E661" s="211" t="s">
        <v>7</v>
      </c>
      <c r="F661" s="193"/>
      <c r="G661" s="193"/>
      <c r="H661" s="193"/>
      <c r="I661" s="211" t="s">
        <v>7</v>
      </c>
      <c r="J661" s="193"/>
      <c r="K661" s="193"/>
      <c r="L661" s="193"/>
      <c r="M661" s="211" t="s">
        <v>7</v>
      </c>
      <c r="N661" s="193"/>
      <c r="O661" s="193"/>
      <c r="P661" s="193"/>
      <c r="Q661" s="211" t="s">
        <v>7</v>
      </c>
      <c r="R661" s="211" t="s">
        <v>7</v>
      </c>
    </row>
    <row r="662" spans="1:18" ht="15.75" customHeight="1" x14ac:dyDescent="0.35">
      <c r="A662" s="174" t="s">
        <v>41</v>
      </c>
      <c r="B662" s="140">
        <f>SUM(B659:B660)</f>
        <v>2380</v>
      </c>
      <c r="C662" s="140">
        <f>SUM(C659:C660)</f>
        <v>1812</v>
      </c>
      <c r="D662" s="140">
        <f>SUM(D659:D660)</f>
        <v>3078</v>
      </c>
      <c r="E662" s="212">
        <f>SUM(B662:D662)</f>
        <v>7270</v>
      </c>
      <c r="F662" s="140">
        <f>SUM(F659:F660)</f>
        <v>2702</v>
      </c>
      <c r="G662" s="140">
        <f>SUM(G659:G660)</f>
        <v>3689</v>
      </c>
      <c r="H662" s="140">
        <f>SUM(H659:H660)</f>
        <v>3625</v>
      </c>
      <c r="I662" s="212">
        <f>SUM(F662:H662)</f>
        <v>10016</v>
      </c>
      <c r="J662" s="140">
        <f>SUM(J659:J660)</f>
        <v>3153</v>
      </c>
      <c r="K662" s="140">
        <f>SUM(K659:K660)</f>
        <v>4484</v>
      </c>
      <c r="L662" s="140">
        <f>SUM(L659:L660)</f>
        <v>4050</v>
      </c>
      <c r="M662" s="212">
        <f>SUM(J662:L662)</f>
        <v>11687</v>
      </c>
      <c r="N662" s="140">
        <f>SUM(N659:N660)</f>
        <v>2527</v>
      </c>
      <c r="O662" s="140">
        <f>SUM(O659:O660)</f>
        <v>1226</v>
      </c>
      <c r="P662" s="140">
        <f>SUM(P659:P660)</f>
        <v>4299</v>
      </c>
      <c r="Q662" s="212">
        <f>SUM(N662:P662)</f>
        <v>8052</v>
      </c>
      <c r="R662" s="212">
        <f>+E662+I662+M662+Q662</f>
        <v>37025</v>
      </c>
    </row>
    <row r="663" spans="1:18" ht="15.75" customHeight="1" x14ac:dyDescent="0.35">
      <c r="A663" s="174" t="s">
        <v>42</v>
      </c>
      <c r="B663" s="140">
        <f>(B662/31)/1.983</f>
        <v>38.716184341092841</v>
      </c>
      <c r="C663" s="140">
        <f>(C662/28)/1.983</f>
        <v>32.634536416684675</v>
      </c>
      <c r="D663" s="140">
        <f>(D662/31)/1.983</f>
        <v>50.070762773900739</v>
      </c>
      <c r="E663" s="207" t="s">
        <v>7</v>
      </c>
      <c r="F663" s="140">
        <f>(F662/30)/1.983</f>
        <v>45.419398218187929</v>
      </c>
      <c r="G663" s="140">
        <f>(G662/31)/1.983</f>
        <v>60.010085728693895</v>
      </c>
      <c r="H663" s="140">
        <f>(H662/30)/1.983</f>
        <v>60.934610858967886</v>
      </c>
      <c r="I663" s="207" t="s">
        <v>7</v>
      </c>
      <c r="J663" s="140">
        <f>(J662/31)/1.983</f>
        <v>51.290810599775504</v>
      </c>
      <c r="K663" s="140">
        <f>(K662/31)/1.983</f>
        <v>72.942592682966506</v>
      </c>
      <c r="L663" s="140">
        <f>(L662/30)/1.983</f>
        <v>68.078668683812396</v>
      </c>
      <c r="M663" s="207" t="s">
        <v>7</v>
      </c>
      <c r="N663" s="140">
        <f>(N662/31)/1.983</f>
        <v>41.107478079807393</v>
      </c>
      <c r="O663" s="140">
        <f>(O662/30)/1.983</f>
        <v>20.608505631198518</v>
      </c>
      <c r="P663" s="140">
        <f>(P662/31)/1.983</f>
        <v>69.933141379142057</v>
      </c>
      <c r="Q663" s="207" t="s">
        <v>7</v>
      </c>
      <c r="R663" s="207" t="s">
        <v>7</v>
      </c>
    </row>
    <row r="664" spans="1:18" ht="15.75" customHeight="1" x14ac:dyDescent="0.35">
      <c r="A664" s="174" t="s">
        <v>372</v>
      </c>
      <c r="B664" s="140">
        <f>B662</f>
        <v>2380</v>
      </c>
      <c r="C664" s="140">
        <f>C662</f>
        <v>1812</v>
      </c>
      <c r="D664" s="140">
        <f>D662</f>
        <v>3078</v>
      </c>
      <c r="E664" s="207">
        <f>SUM(B664:D664)</f>
        <v>7270</v>
      </c>
      <c r="F664" s="140">
        <f>F662</f>
        <v>2702</v>
      </c>
      <c r="G664" s="140">
        <f>G662</f>
        <v>3689</v>
      </c>
      <c r="H664" s="140">
        <f>H662</f>
        <v>3625</v>
      </c>
      <c r="I664" s="207">
        <f>SUM(F664:H664)</f>
        <v>10016</v>
      </c>
      <c r="J664" s="140">
        <f>J662</f>
        <v>3153</v>
      </c>
      <c r="K664" s="140">
        <f>K662</f>
        <v>4484</v>
      </c>
      <c r="L664" s="140">
        <f>L662</f>
        <v>4050</v>
      </c>
      <c r="M664" s="207">
        <f>SUM(J664:L664)</f>
        <v>11687</v>
      </c>
      <c r="N664" s="140">
        <f>N662</f>
        <v>2527</v>
      </c>
      <c r="O664" s="140">
        <f>O662</f>
        <v>1226</v>
      </c>
      <c r="P664" s="140">
        <f>P662</f>
        <v>4299</v>
      </c>
      <c r="Q664" s="207">
        <f>SUM(N664:P664)</f>
        <v>8052</v>
      </c>
      <c r="R664" s="207">
        <f>+E664+I664+M664+Q664</f>
        <v>37025</v>
      </c>
    </row>
    <row r="665" spans="1:18" ht="15.75" customHeight="1" thickBot="1" x14ac:dyDescent="0.4">
      <c r="A665" s="179" t="s">
        <v>373</v>
      </c>
      <c r="B665" s="180">
        <f>(B664/31)/1.983</f>
        <v>38.716184341092841</v>
      </c>
      <c r="C665" s="180">
        <f>(C664/28)/1.983</f>
        <v>32.634536416684675</v>
      </c>
      <c r="D665" s="180">
        <f>(D664/31)/1.983</f>
        <v>50.070762773900739</v>
      </c>
      <c r="E665" s="231" t="s">
        <v>7</v>
      </c>
      <c r="F665" s="180">
        <f>(F664/30)/1.983</f>
        <v>45.419398218187929</v>
      </c>
      <c r="G665" s="180">
        <f>(G664/31)/1.983</f>
        <v>60.010085728693895</v>
      </c>
      <c r="H665" s="180">
        <f>(H664/30)/1.983</f>
        <v>60.934610858967886</v>
      </c>
      <c r="I665" s="231" t="s">
        <v>7</v>
      </c>
      <c r="J665" s="180">
        <f>(J664/31)/1.983</f>
        <v>51.290810599775504</v>
      </c>
      <c r="K665" s="180">
        <f>(K664/31)/1.983</f>
        <v>72.942592682966506</v>
      </c>
      <c r="L665" s="180">
        <f>(L664/30)/1.983</f>
        <v>68.078668683812396</v>
      </c>
      <c r="M665" s="231" t="s">
        <v>7</v>
      </c>
      <c r="N665" s="180">
        <f>(N664/31)/1.983</f>
        <v>41.107478079807393</v>
      </c>
      <c r="O665" s="180">
        <f>(O664/30)/1.983</f>
        <v>20.608505631198518</v>
      </c>
      <c r="P665" s="180">
        <f>(P664/31)/1.983</f>
        <v>69.933141379142057</v>
      </c>
      <c r="Q665" s="231" t="s">
        <v>7</v>
      </c>
      <c r="R665" s="231" t="s">
        <v>7</v>
      </c>
    </row>
    <row r="666" spans="1:18" ht="15.75" customHeight="1" x14ac:dyDescent="0.35">
      <c r="A666" s="139"/>
      <c r="B666" s="140"/>
      <c r="C666" s="140"/>
      <c r="D666" s="140"/>
      <c r="E666" s="141"/>
      <c r="F666" s="140"/>
      <c r="G666" s="140"/>
      <c r="H666" s="140"/>
      <c r="I666" s="141"/>
      <c r="J666" s="140"/>
      <c r="K666" s="140"/>
      <c r="L666" s="140"/>
      <c r="M666" s="141"/>
      <c r="N666" s="140"/>
      <c r="O666" s="140"/>
      <c r="P666" s="140"/>
      <c r="Q666" s="141"/>
      <c r="R666" s="141"/>
    </row>
    <row r="667" spans="1:18" ht="15.75" customHeight="1" x14ac:dyDescent="0.35">
      <c r="A667" s="139"/>
      <c r="B667" s="140"/>
      <c r="C667" s="140"/>
      <c r="D667" s="140"/>
      <c r="E667" s="140"/>
      <c r="F667" s="140"/>
      <c r="G667" s="140"/>
      <c r="H667" s="140"/>
      <c r="I667" s="140"/>
      <c r="J667" s="140"/>
      <c r="K667" s="140"/>
      <c r="L667" s="140"/>
      <c r="M667" s="140"/>
      <c r="N667" s="140"/>
      <c r="O667" s="140"/>
      <c r="P667" s="140"/>
      <c r="Q667" s="141" t="str">
        <f>+Q1</f>
        <v>PRINTED:</v>
      </c>
      <c r="R667" s="142">
        <f ca="1">+R1</f>
        <v>44909.46975358796</v>
      </c>
    </row>
    <row r="668" spans="1:18" ht="15.75" customHeight="1" x14ac:dyDescent="0.35">
      <c r="A668" s="565" t="s">
        <v>1</v>
      </c>
      <c r="B668" s="565"/>
      <c r="C668" s="565"/>
      <c r="D668" s="565"/>
      <c r="E668" s="565"/>
      <c r="F668" s="565"/>
      <c r="G668" s="565"/>
      <c r="H668" s="565"/>
      <c r="I668" s="565"/>
      <c r="J668" s="565"/>
      <c r="K668" s="565"/>
      <c r="L668" s="565"/>
      <c r="M668" s="565"/>
      <c r="N668" s="565"/>
      <c r="O668" s="565"/>
      <c r="P668" s="565"/>
      <c r="Q668" s="565"/>
      <c r="R668" s="565"/>
    </row>
    <row r="669" spans="1:18" ht="15.75" customHeight="1" x14ac:dyDescent="0.35">
      <c r="A669" s="565" t="s">
        <v>2</v>
      </c>
      <c r="B669" s="565"/>
      <c r="C669" s="565"/>
      <c r="D669" s="565"/>
      <c r="E669" s="565"/>
      <c r="F669" s="565"/>
      <c r="G669" s="565"/>
      <c r="H669" s="565"/>
      <c r="I669" s="565"/>
      <c r="J669" s="565"/>
      <c r="K669" s="565"/>
      <c r="L669" s="565"/>
      <c r="M669" s="565"/>
      <c r="N669" s="565"/>
      <c r="O669" s="565"/>
      <c r="P669" s="565"/>
      <c r="Q669" s="565"/>
      <c r="R669" s="565"/>
    </row>
    <row r="670" spans="1:18" ht="15.75" customHeight="1" x14ac:dyDescent="0.35">
      <c r="A670" s="565" t="s">
        <v>3</v>
      </c>
      <c r="B670" s="565"/>
      <c r="C670" s="565"/>
      <c r="D670" s="565"/>
      <c r="E670" s="565"/>
      <c r="F670" s="565"/>
      <c r="G670" s="565"/>
      <c r="H670" s="565"/>
      <c r="I670" s="565"/>
      <c r="J670" s="565"/>
      <c r="K670" s="565"/>
      <c r="L670" s="565"/>
      <c r="M670" s="565"/>
      <c r="N670" s="565"/>
      <c r="O670" s="565"/>
      <c r="P670" s="565"/>
      <c r="Q670" s="565"/>
      <c r="R670" s="565"/>
    </row>
    <row r="671" spans="1:18" ht="15.75" customHeight="1" x14ac:dyDescent="0.35">
      <c r="A671" s="565" t="str">
        <f>+A5</f>
        <v>Calendar Year 2009</v>
      </c>
      <c r="B671" s="565"/>
      <c r="C671" s="565"/>
      <c r="D671" s="565"/>
      <c r="E671" s="565"/>
      <c r="F671" s="565"/>
      <c r="G671" s="565"/>
      <c r="H671" s="565"/>
      <c r="I671" s="565"/>
      <c r="J671" s="565"/>
      <c r="K671" s="565"/>
      <c r="L671" s="565"/>
      <c r="M671" s="565"/>
      <c r="N671" s="565"/>
      <c r="O671" s="565"/>
      <c r="P671" s="565"/>
      <c r="Q671" s="565"/>
      <c r="R671" s="565"/>
    </row>
    <row r="672" spans="1:18" ht="15.75" customHeight="1" x14ac:dyDescent="0.35">
      <c r="A672" s="140"/>
      <c r="B672" s="140"/>
      <c r="C672" s="140"/>
      <c r="D672" s="143"/>
      <c r="E672" s="143"/>
      <c r="F672" s="143"/>
      <c r="G672" s="144"/>
      <c r="H672" s="143"/>
      <c r="I672" s="143"/>
      <c r="J672" s="144"/>
      <c r="K672" s="144"/>
      <c r="L672" s="144"/>
      <c r="M672" s="144"/>
      <c r="N672" s="140"/>
      <c r="O672" s="144"/>
      <c r="P672" s="144"/>
      <c r="Q672" s="144"/>
      <c r="R672" s="144"/>
    </row>
    <row r="673" spans="1:18" ht="15.75" customHeight="1" x14ac:dyDescent="0.35">
      <c r="A673" s="565" t="str">
        <f>+A8</f>
        <v>Revised:  1/25/10</v>
      </c>
      <c r="B673" s="565"/>
      <c r="C673" s="565"/>
      <c r="D673" s="565"/>
      <c r="E673" s="565"/>
      <c r="F673" s="565"/>
      <c r="G673" s="565"/>
      <c r="H673" s="565"/>
      <c r="I673" s="565"/>
      <c r="J673" s="565"/>
      <c r="K673" s="565"/>
      <c r="L673" s="565"/>
      <c r="M673" s="565"/>
      <c r="N673" s="565"/>
      <c r="O673" s="565"/>
      <c r="P673" s="565"/>
      <c r="Q673" s="565"/>
      <c r="R673" s="565"/>
    </row>
    <row r="674" spans="1:18" ht="15.75" customHeight="1" x14ac:dyDescent="0.35">
      <c r="A674" s="145"/>
      <c r="B674" s="145"/>
      <c r="C674" s="145"/>
      <c r="D674" s="145"/>
      <c r="E674" s="145"/>
      <c r="F674" s="145"/>
      <c r="G674" s="145"/>
      <c r="H674" s="145"/>
      <c r="I674" s="145"/>
      <c r="J674" s="145"/>
      <c r="K674" s="145"/>
      <c r="L674" s="145"/>
      <c r="M674" s="145"/>
      <c r="N674" s="145"/>
      <c r="O674" s="145"/>
      <c r="P674" s="145"/>
      <c r="Q674" s="145"/>
      <c r="R674" s="145"/>
    </row>
    <row r="675" spans="1:18" ht="15.75" customHeight="1" x14ac:dyDescent="0.35">
      <c r="A675" s="145"/>
      <c r="B675" s="145"/>
      <c r="C675" s="145"/>
      <c r="D675" s="145"/>
      <c r="E675" s="145"/>
      <c r="F675" s="145"/>
      <c r="G675" s="145"/>
      <c r="H675" s="145"/>
      <c r="I675" s="145"/>
      <c r="J675" s="145"/>
      <c r="K675" s="145"/>
      <c r="L675" s="145"/>
      <c r="M675" s="145"/>
      <c r="N675" s="145"/>
      <c r="O675" s="145"/>
      <c r="P675" s="145"/>
      <c r="Q675" s="145"/>
      <c r="R675" s="145"/>
    </row>
    <row r="676" spans="1:18" ht="15.75" customHeight="1" thickBot="1" x14ac:dyDescent="0.4">
      <c r="A676" s="139"/>
      <c r="B676" s="140"/>
      <c r="C676" s="140"/>
      <c r="D676" s="140"/>
      <c r="E676" s="140"/>
      <c r="F676" s="140"/>
      <c r="G676" s="140"/>
      <c r="H676" s="140"/>
      <c r="I676" s="140"/>
      <c r="J676" s="140"/>
      <c r="K676" s="140"/>
      <c r="L676" s="140"/>
      <c r="M676" s="140"/>
      <c r="N676" s="140"/>
      <c r="O676" s="140"/>
      <c r="P676" s="140"/>
      <c r="Q676" s="140"/>
      <c r="R676" s="141"/>
    </row>
    <row r="677" spans="1:18" ht="15.75" customHeight="1" thickBot="1" x14ac:dyDescent="0.4">
      <c r="A677" s="261" t="s">
        <v>374</v>
      </c>
      <c r="B677" s="188" t="s">
        <v>8</v>
      </c>
      <c r="C677" s="189" t="s">
        <v>9</v>
      </c>
      <c r="D677" s="189" t="s">
        <v>10</v>
      </c>
      <c r="E677" s="10" t="s">
        <v>11</v>
      </c>
      <c r="F677" s="189" t="s">
        <v>12</v>
      </c>
      <c r="G677" s="189" t="s">
        <v>13</v>
      </c>
      <c r="H677" s="189" t="s">
        <v>14</v>
      </c>
      <c r="I677" s="190" t="s">
        <v>15</v>
      </c>
      <c r="J677" s="189" t="s">
        <v>16</v>
      </c>
      <c r="K677" s="189" t="s">
        <v>17</v>
      </c>
      <c r="L677" s="189" t="s">
        <v>18</v>
      </c>
      <c r="M677" s="190" t="s">
        <v>19</v>
      </c>
      <c r="N677" s="189" t="s">
        <v>20</v>
      </c>
      <c r="O677" s="189" t="s">
        <v>21</v>
      </c>
      <c r="P677" s="189" t="s">
        <v>22</v>
      </c>
      <c r="Q677" s="190" t="s">
        <v>23</v>
      </c>
      <c r="R677" s="270" t="s">
        <v>24</v>
      </c>
    </row>
    <row r="678" spans="1:18" ht="15.75" customHeight="1" thickBot="1" x14ac:dyDescent="0.4">
      <c r="A678" s="198"/>
      <c r="B678" s="193"/>
      <c r="C678" s="193"/>
      <c r="D678" s="193"/>
      <c r="E678" s="14"/>
      <c r="F678" s="193"/>
      <c r="G678" s="193"/>
      <c r="H678" s="193"/>
      <c r="I678" s="269"/>
      <c r="J678" s="193"/>
      <c r="K678" s="193"/>
      <c r="L678" s="193"/>
      <c r="M678" s="269"/>
      <c r="N678" s="193"/>
      <c r="O678" s="193"/>
      <c r="P678" s="193"/>
      <c r="Q678" s="271"/>
      <c r="R678" s="272"/>
    </row>
    <row r="679" spans="1:18" ht="15.75" customHeight="1" x14ac:dyDescent="0.35">
      <c r="A679" s="174" t="s">
        <v>48</v>
      </c>
      <c r="B679" s="140" t="s">
        <v>7</v>
      </c>
      <c r="C679" s="140" t="s">
        <v>7</v>
      </c>
      <c r="D679" s="140" t="s">
        <v>7</v>
      </c>
      <c r="E679" s="273"/>
      <c r="F679" s="140" t="s">
        <v>7</v>
      </c>
      <c r="G679" s="140" t="s">
        <v>7</v>
      </c>
      <c r="H679" s="140" t="s">
        <v>7</v>
      </c>
      <c r="I679" s="273"/>
      <c r="J679" s="140" t="s">
        <v>7</v>
      </c>
      <c r="K679" s="140" t="s">
        <v>7</v>
      </c>
      <c r="L679" s="140" t="s">
        <v>7</v>
      </c>
      <c r="M679" s="273"/>
      <c r="N679" s="140" t="s">
        <v>7</v>
      </c>
      <c r="O679" s="140" t="s">
        <v>7</v>
      </c>
      <c r="P679" s="140" t="s">
        <v>7</v>
      </c>
      <c r="Q679" s="274"/>
      <c r="R679" s="275" t="s">
        <v>7</v>
      </c>
    </row>
    <row r="680" spans="1:18" ht="15.75" customHeight="1" x14ac:dyDescent="0.35">
      <c r="A680" s="174" t="s">
        <v>49</v>
      </c>
      <c r="B680" s="140">
        <f>+SUM(B73:B79)+SUM(B139:B159)+SUM(B262:B273)+SUM(B366:B368)+SUM(B406:B408)+SUM(B450:B456)+SUM(B512:B513)+SUM(B546:B548)+B596+SUM(B629:B631)</f>
        <v>36227</v>
      </c>
      <c r="C680" s="140">
        <f>+SUM(C73:C79)+SUM(C139:C159)+SUM(C262:C273)+SUM(C366:C368)+SUM(C406:C408)+SUM(C450:C456)+SUM(C512:C513)+SUM(C546:C548)+C596+SUM(C629:C631)</f>
        <v>23309</v>
      </c>
      <c r="D680" s="140">
        <f>+SUM(D73:D79)+SUM(D139:D159)+SUM(D262:D273)+SUM(D366:D368)+SUM(D406:D408)+SUM(D450:D456)+SUM(D512:D513)+SUM(D546:D548)+D596+SUM(D629:D631)</f>
        <v>26678</v>
      </c>
      <c r="E680" s="207">
        <f t="shared" ref="E680:E686" si="90">SUM(B680:D680)</f>
        <v>86214</v>
      </c>
      <c r="F680" s="140">
        <f>+SUM(F73:F79)+SUM(F139:F159)+SUM(F262:F273)+SUM(F366:F368)+SUM(F406:F408)+SUM(F450:F456)+SUM(F512:F513)+SUM(F546:F548)+F596+SUM(F629:F631)</f>
        <v>36222</v>
      </c>
      <c r="G680" s="140">
        <f>+SUM(G73:G79)+SUM(G139:G159)+SUM(G262:G273)+SUM(G366:G368)+SUM(G406:G408)+SUM(G450:G456)+SUM(G512:G513)+SUM(G546:G548)+G596+SUM(G629:G631)</f>
        <v>28735</v>
      </c>
      <c r="H680" s="140">
        <f>+SUM(H73:H79)+SUM(H139:H159)+SUM(H262:H273)+SUM(H366:H368)+SUM(H406:H408)+SUM(H450:H456)+SUM(H512:H513)+SUM(H546:H548)+H596+SUM(H629:H631)</f>
        <v>23461</v>
      </c>
      <c r="I680" s="207">
        <f t="shared" ref="I680:I686" si="91">SUM(F680:H680)</f>
        <v>88418</v>
      </c>
      <c r="J680" s="140">
        <f>+SUM(J73:J79)+SUM(J139:J159)+SUM(J262:J273)+SUM(J366:J368)+SUM(J406:J408)+SUM(J450:J456)+SUM(J512:J513)+SUM(J546:J548)+J596+SUM(J629:J631)</f>
        <v>55416</v>
      </c>
      <c r="K680" s="140">
        <f>+SUM(K73:K79)+SUM(K139:K159)+SUM(K262:K273)+SUM(K366:K368)+SUM(K406:K408)+SUM(K450:K456)+SUM(K512:K513)+SUM(K546:K548)+K596+SUM(K629:K631)</f>
        <v>52905</v>
      </c>
      <c r="L680" s="140">
        <f>+SUM(L73:L79)+SUM(L139:L159)+SUM(L262:L273)+SUM(L366:L368)+SUM(L406:L408)+SUM(L450:L456)+SUM(L512:L513)+SUM(L546:L548)+L596+SUM(L629:L631)</f>
        <v>42362</v>
      </c>
      <c r="M680" s="207">
        <f t="shared" ref="M680:M686" si="92">SUM(J680:L680)</f>
        <v>150683</v>
      </c>
      <c r="N680" s="140">
        <f>+SUM(N73:N79)+SUM(N139:N159)+SUM(N262:N273)+SUM(N366:N368)+SUM(N406:N408)+SUM(N450:N456)+SUM(N512:N513)+SUM(N546:N548)+N596+SUM(N629:N631)</f>
        <v>46372</v>
      </c>
      <c r="O680" s="140">
        <f>+SUM(O73:O79)+SUM(O139:O159)+SUM(O262:O273)+SUM(O366:O368)+SUM(O406:O408)+SUM(O450:O456)+SUM(O512:O513)+SUM(O546:O548)+O596+SUM(O629:O631)</f>
        <v>23784</v>
      </c>
      <c r="P680" s="140">
        <f>+SUM(P73:P79)+SUM(P139:P159)+SUM(P262:P273)+SUM(P366:P368)+SUM(P406:P408)+SUM(P450:P456)+SUM(P512:P513)+SUM(P546:P548)+P596+SUM(P629:P631)</f>
        <v>36504</v>
      </c>
      <c r="Q680" s="207">
        <f t="shared" ref="Q680:Q686" si="93">SUM(N680:P680)</f>
        <v>106660</v>
      </c>
      <c r="R680" s="207">
        <f t="shared" ref="R680:R686" si="94">+E680+I680+M680+Q680</f>
        <v>431975</v>
      </c>
    </row>
    <row r="681" spans="1:18" ht="15.75" customHeight="1" x14ac:dyDescent="0.35">
      <c r="A681" s="174" t="s">
        <v>50</v>
      </c>
      <c r="B681" s="140">
        <f>+SUM(B80:B84)+SUM(B161:B171)+SUM(B275:B291)+SUM(B370:B371)+B409+SUM(B457:B458)+B514+B549+B597+SUM(B632:B632)</f>
        <v>178</v>
      </c>
      <c r="C681" s="140">
        <f>+SUM(C80:C84)+SUM(C161:C171)+SUM(C275:C291)+SUM(C370:C371)+C409+SUM(C457:C458)+C514+C549+C597+SUM(C632:C632)</f>
        <v>195</v>
      </c>
      <c r="D681" s="140">
        <f>+SUM(D80:D84)+SUM(D161:D171)+SUM(D275:D291)+SUM(D370:D371)+D409+SUM(D457:D458)+D514+D549+D597+SUM(D632:D632)</f>
        <v>12427</v>
      </c>
      <c r="E681" s="207">
        <f t="shared" si="90"/>
        <v>12800</v>
      </c>
      <c r="F681" s="140">
        <f>+SUM(F80:F84)+SUM(F161:F171)+SUM(F275:F291)+SUM(F370:F371)+F409+SUM(F457:F458)+F514+F549+F597+SUM(F632:F632)</f>
        <v>11065</v>
      </c>
      <c r="G681" s="140">
        <f>+SUM(G80:G84)+SUM(G161:G171)+SUM(G275:G291)+SUM(G370:G371)+G409+SUM(G457:G458)+G514+G549+G597+SUM(G632:G632)</f>
        <v>4905</v>
      </c>
      <c r="H681" s="140">
        <f>+SUM(H80:H84)+SUM(H161:H171)+SUM(H275:H291)+SUM(H370:H371)+H409+SUM(H457:H458)+H514+H549+H597+SUM(H632:H632)</f>
        <v>4952</v>
      </c>
      <c r="I681" s="207">
        <f t="shared" si="91"/>
        <v>20922</v>
      </c>
      <c r="J681" s="140">
        <f>+SUM(J80:J84)+SUM(J161:J171)+SUM(J275:J291)+SUM(J370:J371)+J409+SUM(J457:J458)+J514+J549+J597+SUM(J632:J632)</f>
        <v>4943</v>
      </c>
      <c r="K681" s="140">
        <f>+SUM(K80:K84)+SUM(K161:K171)+SUM(K275:K291)+SUM(K370:K371)+K409+SUM(K457:K458)+K514+K549+K597+SUM(K632:K632)</f>
        <v>4350</v>
      </c>
      <c r="L681" s="140">
        <f>+SUM(L80:L84)+SUM(L161:L171)+SUM(L275:L291)+SUM(L370:L371)+L409+SUM(L457:L458)+L514+L549+L597+SUM(L632:L632)</f>
        <v>994</v>
      </c>
      <c r="M681" s="207">
        <f t="shared" si="92"/>
        <v>10287</v>
      </c>
      <c r="N681" s="140">
        <f>+SUM(N80:N84)+SUM(N161:N171)+SUM(N275:N291)+SUM(N370:N371)+N409+SUM(N457:N458)+N514+N549+N597+SUM(N632:N632)</f>
        <v>1894</v>
      </c>
      <c r="O681" s="140">
        <f>+SUM(O80:O84)+SUM(O161:O171)+SUM(O275:O291)+SUM(O370:O371)+O409+SUM(O457:O458)+O514+O549+O597+SUM(O632:O632)</f>
        <v>589</v>
      </c>
      <c r="P681" s="140">
        <f>+SUM(P80:P84)+SUM(P161:P171)+SUM(P275:P291)+SUM(P370:P371)+P409+SUM(P457:P458)+P514+P549+P597+SUM(P632:P632)</f>
        <v>731</v>
      </c>
      <c r="Q681" s="207">
        <f t="shared" si="93"/>
        <v>3214</v>
      </c>
      <c r="R681" s="207">
        <f t="shared" si="94"/>
        <v>47223</v>
      </c>
    </row>
    <row r="682" spans="1:18" ht="15.75" customHeight="1" x14ac:dyDescent="0.35">
      <c r="A682" s="174" t="s">
        <v>375</v>
      </c>
      <c r="B682" s="140">
        <f>+SUM(B85:B87)+SUM(B172:B175)+SUM(B292:B295)+B372+B410+SUM(B459:B460)+B515+B550+B598+SUM(B633:B634)</f>
        <v>525</v>
      </c>
      <c r="C682" s="140">
        <f>+SUM(C85:C87)+SUM(C172:C175)+SUM(C292:C295)+C372+C410+SUM(C459:C460)+C515+C550+C598+SUM(C633:C634)</f>
        <v>437</v>
      </c>
      <c r="D682" s="140">
        <f>+SUM(D85:D87)+SUM(D172:D175)+SUM(D292:D295)+D372+D410+SUM(D459:D460)+D515+D550+D598+SUM(D633:D634)</f>
        <v>1650</v>
      </c>
      <c r="E682" s="207">
        <f t="shared" si="90"/>
        <v>2612</v>
      </c>
      <c r="F682" s="140">
        <f>+SUM(F85:F87)+SUM(F172:F175)+SUM(F292:F295)+F372+F410+SUM(F459:F460)+F515+F550+F598+SUM(F633:F634)</f>
        <v>960</v>
      </c>
      <c r="G682" s="140">
        <f>+SUM(G85:G87)+SUM(G172:G175)+SUM(G292:G295)+G372+G410+SUM(G459:G460)+G515+G550+G598+SUM(G633:G634)</f>
        <v>3625</v>
      </c>
      <c r="H682" s="140">
        <f>+SUM(H85:H87)+SUM(H172:H175)+SUM(H292:H295)+H372+H410+SUM(H459:H460)+H515+H550+H598+SUM(H633:H634)</f>
        <v>2539</v>
      </c>
      <c r="I682" s="207">
        <f t="shared" si="91"/>
        <v>7124</v>
      </c>
      <c r="J682" s="140">
        <f>+SUM(J85:J87)+SUM(J172:J175)+SUM(J292:J295)+J372+J410+SUM(J459:J460)+J515+J550+J598+SUM(J633:J634)</f>
        <v>121</v>
      </c>
      <c r="K682" s="140">
        <f>+SUM(K85:K87)+SUM(K172:K175)+SUM(K292:K295)+K372+K410+SUM(K459:K460)+K515+K550+K598+SUM(K633:K634)</f>
        <v>4857</v>
      </c>
      <c r="L682" s="140">
        <f>+SUM(L85:L87)+SUM(L172:L175)+SUM(L292:L295)+L372+L410+SUM(L459:L460)+L515+L550+L598+SUM(L633:L634)</f>
        <v>3068</v>
      </c>
      <c r="M682" s="207">
        <f t="shared" si="92"/>
        <v>8046</v>
      </c>
      <c r="N682" s="140">
        <f>+SUM(N85:N87)+SUM(N172:N175)+SUM(N292:N295)+N372+N410+SUM(N459:N460)+N515+N550+N598+SUM(N633:N634)</f>
        <v>1921</v>
      </c>
      <c r="O682" s="140">
        <f>+SUM(O85:O87)+SUM(O172:O175)+SUM(O292:O295)+O372+O410+SUM(O459:O460)+O515+O550+O598+SUM(O633:O634)</f>
        <v>3246</v>
      </c>
      <c r="P682" s="140">
        <f>+SUM(P85:P87)+SUM(P172:P175)+SUM(P292:P295)+P372+P410+SUM(P459:P460)+P515+P550+P598+SUM(P633:P634)</f>
        <v>6116</v>
      </c>
      <c r="Q682" s="207">
        <f t="shared" si="93"/>
        <v>11283</v>
      </c>
      <c r="R682" s="207">
        <f t="shared" si="94"/>
        <v>29065</v>
      </c>
    </row>
    <row r="683" spans="1:18" ht="15.75" customHeight="1" x14ac:dyDescent="0.35">
      <c r="A683" s="174" t="s">
        <v>578</v>
      </c>
      <c r="B683" s="140">
        <f t="shared" ref="B683:D684" si="95">+B239</f>
        <v>0</v>
      </c>
      <c r="C683" s="140">
        <f t="shared" si="95"/>
        <v>0</v>
      </c>
      <c r="D683" s="140">
        <f t="shared" si="95"/>
        <v>0</v>
      </c>
      <c r="E683" s="207">
        <f t="shared" si="90"/>
        <v>0</v>
      </c>
      <c r="F683" s="140">
        <f t="shared" ref="F683:H684" si="96">+F239</f>
        <v>0</v>
      </c>
      <c r="G683" s="140">
        <f t="shared" si="96"/>
        <v>0</v>
      </c>
      <c r="H683" s="140">
        <f t="shared" si="96"/>
        <v>0</v>
      </c>
      <c r="I683" s="207">
        <f t="shared" si="91"/>
        <v>0</v>
      </c>
      <c r="J683" s="140">
        <f t="shared" ref="J683:L684" si="97">+J239</f>
        <v>0</v>
      </c>
      <c r="K683" s="140">
        <f t="shared" si="97"/>
        <v>0</v>
      </c>
      <c r="L683" s="140">
        <f t="shared" si="97"/>
        <v>0</v>
      </c>
      <c r="M683" s="207">
        <f t="shared" si="92"/>
        <v>0</v>
      </c>
      <c r="N683" s="140">
        <f t="shared" ref="N683:P684" si="98">+N239</f>
        <v>0</v>
      </c>
      <c r="O683" s="140">
        <f t="shared" si="98"/>
        <v>0</v>
      </c>
      <c r="P683" s="140">
        <f t="shared" si="98"/>
        <v>0</v>
      </c>
      <c r="Q683" s="207">
        <f t="shared" si="93"/>
        <v>0</v>
      </c>
      <c r="R683" s="207">
        <f t="shared" si="94"/>
        <v>0</v>
      </c>
    </row>
    <row r="684" spans="1:18" ht="15.75" customHeight="1" x14ac:dyDescent="0.35">
      <c r="A684" s="174" t="s">
        <v>579</v>
      </c>
      <c r="B684" s="140">
        <f t="shared" si="95"/>
        <v>56</v>
      </c>
      <c r="C684" s="140">
        <f t="shared" si="95"/>
        <v>54</v>
      </c>
      <c r="D684" s="140">
        <f t="shared" si="95"/>
        <v>90</v>
      </c>
      <c r="E684" s="207">
        <f t="shared" si="90"/>
        <v>200</v>
      </c>
      <c r="F684" s="140">
        <f t="shared" si="96"/>
        <v>99</v>
      </c>
      <c r="G684" s="140">
        <f t="shared" si="96"/>
        <v>179</v>
      </c>
      <c r="H684" s="140">
        <f t="shared" si="96"/>
        <v>150</v>
      </c>
      <c r="I684" s="207">
        <f t="shared" si="91"/>
        <v>428</v>
      </c>
      <c r="J684" s="140">
        <f t="shared" si="97"/>
        <v>137</v>
      </c>
      <c r="K684" s="140">
        <f t="shared" si="97"/>
        <v>192</v>
      </c>
      <c r="L684" s="140">
        <f t="shared" si="97"/>
        <v>186</v>
      </c>
      <c r="M684" s="207">
        <f t="shared" si="92"/>
        <v>515</v>
      </c>
      <c r="N684" s="140">
        <f t="shared" si="98"/>
        <v>143</v>
      </c>
      <c r="O684" s="140">
        <f t="shared" si="98"/>
        <v>106</v>
      </c>
      <c r="P684" s="140">
        <f t="shared" si="98"/>
        <v>40</v>
      </c>
      <c r="Q684" s="207">
        <f t="shared" si="93"/>
        <v>289</v>
      </c>
      <c r="R684" s="207">
        <f t="shared" si="94"/>
        <v>1432</v>
      </c>
    </row>
    <row r="685" spans="1:18" ht="15.75" customHeight="1" thickBot="1" x14ac:dyDescent="0.4">
      <c r="A685" s="174" t="s">
        <v>53</v>
      </c>
      <c r="B685" s="140">
        <f>+B88+B373+B411+B461+B516+B551+B599+B635</f>
        <v>0</v>
      </c>
      <c r="C685" s="140">
        <f>+C88+C373+C411+C461+C516+C551+C599+C635</f>
        <v>0</v>
      </c>
      <c r="D685" s="140">
        <f>+D88+D373+D411+D461+D516+D551+D599+D635</f>
        <v>0</v>
      </c>
      <c r="E685" s="207">
        <f t="shared" si="90"/>
        <v>0</v>
      </c>
      <c r="F685" s="140">
        <f>+F88+F373+F411+F461+F516+F551+F599+F635</f>
        <v>0</v>
      </c>
      <c r="G685" s="140">
        <f>+G88+G373+G411+G461+G516+G551+G599+G635</f>
        <v>0</v>
      </c>
      <c r="H685" s="140">
        <f>+H88+H373+H411+H461+H516+H551+H599+H635</f>
        <v>0</v>
      </c>
      <c r="I685" s="207">
        <f t="shared" si="91"/>
        <v>0</v>
      </c>
      <c r="J685" s="140">
        <f>+J88+J373+J411+J461+J516+J551+J599+J635</f>
        <v>0</v>
      </c>
      <c r="K685" s="140">
        <f>+K88+K373+K411+K461+K516+K551+K599+K635</f>
        <v>0</v>
      </c>
      <c r="L685" s="140">
        <f>+L88+L373+L411+L461+L516+L551+L599+L635</f>
        <v>0</v>
      </c>
      <c r="M685" s="207">
        <f t="shared" si="92"/>
        <v>0</v>
      </c>
      <c r="N685" s="140">
        <f>+N88+N373+N411+N461+N516+N551+N599+N635</f>
        <v>0</v>
      </c>
      <c r="O685" s="140">
        <f>+O88+O373+O411+O461+O516+O551+O599+O635</f>
        <v>0</v>
      </c>
      <c r="P685" s="140">
        <f>+P88+P373+P411+P461+P516+P551+P599+P635</f>
        <v>0</v>
      </c>
      <c r="Q685" s="207">
        <f t="shared" si="93"/>
        <v>0</v>
      </c>
      <c r="R685" s="207">
        <f t="shared" si="94"/>
        <v>0</v>
      </c>
    </row>
    <row r="686" spans="1:18" ht="15.75" customHeight="1" thickBot="1" x14ac:dyDescent="0.4">
      <c r="A686" s="209" t="s">
        <v>54</v>
      </c>
      <c r="B686" s="237">
        <f>SUM(B679:B685)</f>
        <v>36986</v>
      </c>
      <c r="C686" s="238">
        <f>SUM(C679:C685)</f>
        <v>23995</v>
      </c>
      <c r="D686" s="238">
        <f>SUM(D679:D685)</f>
        <v>40845</v>
      </c>
      <c r="E686" s="211">
        <f t="shared" si="90"/>
        <v>101826</v>
      </c>
      <c r="F686" s="238">
        <f>SUM(F679:F685)</f>
        <v>48346</v>
      </c>
      <c r="G686" s="238">
        <f>SUM(G679:G685)</f>
        <v>37444</v>
      </c>
      <c r="H686" s="238">
        <f>SUM(H679:H685)</f>
        <v>31102</v>
      </c>
      <c r="I686" s="211">
        <f t="shared" si="91"/>
        <v>116892</v>
      </c>
      <c r="J686" s="238">
        <f>SUM(J679:J685)</f>
        <v>60617</v>
      </c>
      <c r="K686" s="238">
        <f>SUM(K679:K685)</f>
        <v>62304</v>
      </c>
      <c r="L686" s="238">
        <f>SUM(L679:L685)</f>
        <v>46610</v>
      </c>
      <c r="M686" s="211">
        <f t="shared" si="92"/>
        <v>169531</v>
      </c>
      <c r="N686" s="238">
        <f>SUM(N679:N685)</f>
        <v>50330</v>
      </c>
      <c r="O686" s="238">
        <f>SUM(O679:O685)</f>
        <v>27725</v>
      </c>
      <c r="P686" s="238">
        <f>SUM(P679:P685)</f>
        <v>43391</v>
      </c>
      <c r="Q686" s="211">
        <f t="shared" si="93"/>
        <v>121446</v>
      </c>
      <c r="R686" s="211">
        <f t="shared" si="94"/>
        <v>509695</v>
      </c>
    </row>
    <row r="687" spans="1:18" ht="15.75" customHeight="1" x14ac:dyDescent="0.35">
      <c r="A687" s="174" t="s">
        <v>55</v>
      </c>
      <c r="B687" s="140"/>
      <c r="C687" s="140"/>
      <c r="D687" s="140"/>
      <c r="E687" s="207" t="s">
        <v>7</v>
      </c>
      <c r="F687" s="140"/>
      <c r="G687" s="140"/>
      <c r="H687" s="140"/>
      <c r="I687" s="207" t="s">
        <v>7</v>
      </c>
      <c r="J687" s="140"/>
      <c r="K687" s="140"/>
      <c r="L687" s="140"/>
      <c r="M687" s="207" t="s">
        <v>7</v>
      </c>
      <c r="N687" s="140"/>
      <c r="O687" s="140"/>
      <c r="P687" s="140"/>
      <c r="Q687" s="207" t="s">
        <v>7</v>
      </c>
      <c r="R687" s="207" t="s">
        <v>7</v>
      </c>
    </row>
    <row r="688" spans="1:18" ht="15.75" customHeight="1" x14ac:dyDescent="0.35">
      <c r="A688" s="174" t="s">
        <v>56</v>
      </c>
      <c r="B688" s="140">
        <f>SUM(B44:B44)+SUM(B179:B179)+SUM(B91:B91)+SUM(B299:B299)</f>
        <v>0</v>
      </c>
      <c r="C688" s="140">
        <f>SUM(C44:C44)+SUM(C179:C179)+SUM(C91:C91)+SUM(C299:C299)</f>
        <v>0</v>
      </c>
      <c r="D688" s="140">
        <f>SUM(D44:D44)+SUM(D179:D179)+SUM(D91:D91)+SUM(D299:D299)</f>
        <v>0</v>
      </c>
      <c r="E688" s="207">
        <f>SUM(B688:D688)</f>
        <v>0</v>
      </c>
      <c r="F688" s="140">
        <f>SUM(F44:F44)+SUM(F179:F179)+SUM(F91:F91)+SUM(F299:F299)</f>
        <v>0</v>
      </c>
      <c r="G688" s="140">
        <f>SUM(G44:G44)+SUM(G179:G179)+SUM(G91:G91)+SUM(G299:G299)</f>
        <v>0</v>
      </c>
      <c r="H688" s="140">
        <f>SUM(H44:H44)+SUM(H179:H179)+SUM(H91:H91)+SUM(H299:H299)</f>
        <v>0</v>
      </c>
      <c r="I688" s="207">
        <f>SUM(F688:H688)</f>
        <v>0</v>
      </c>
      <c r="J688" s="140">
        <f>SUM(J44:J44)+SUM(J179:J179)+SUM(J91:J91)+SUM(J299:J299)</f>
        <v>0</v>
      </c>
      <c r="K688" s="140">
        <f>SUM(K44:K44)+SUM(K179:K179)+SUM(K91:K91)+SUM(K299:K299)</f>
        <v>0</v>
      </c>
      <c r="L688" s="140">
        <f>SUM(L44:L44)+SUM(L179:L179)+SUM(L91:L91)+SUM(L299:L299)</f>
        <v>0</v>
      </c>
      <c r="M688" s="207">
        <f>SUM(J688:L688)</f>
        <v>0</v>
      </c>
      <c r="N688" s="140">
        <f>SUM(N44:N44)+SUM(N179:N179)+SUM(N91:N91)+SUM(N299:N299)</f>
        <v>0</v>
      </c>
      <c r="O688" s="140">
        <f>SUM(O44:O44)+SUM(O179:O179)+SUM(O91:O91)+SUM(O299:O299)</f>
        <v>0</v>
      </c>
      <c r="P688" s="140">
        <f>SUM(P44:P44)+SUM(P179:P179)+SUM(P91:P91)+SUM(P299:P299)</f>
        <v>0</v>
      </c>
      <c r="Q688" s="207">
        <f>SUM(N688:P688)</f>
        <v>0</v>
      </c>
      <c r="R688" s="207">
        <f>+E688+I688+M688+Q688</f>
        <v>0</v>
      </c>
    </row>
    <row r="689" spans="1:18" ht="15.75" customHeight="1" x14ac:dyDescent="0.35">
      <c r="A689" s="174" t="s">
        <v>57</v>
      </c>
      <c r="B689" s="140">
        <f>+SUM(B93:B94)+B180+SUM(B300:B308)+B377+SUM(B414:B416)+SUM(B464:B465)+B519+B554+B602+B638</f>
        <v>10562</v>
      </c>
      <c r="C689" s="140">
        <f>+SUM(C93:C94)+C180+SUM(C300:C308)+C377+SUM(C414:C416)+SUM(C464:C465)+C519+C554+C602+C638</f>
        <v>16199</v>
      </c>
      <c r="D689" s="140">
        <f>+SUM(D93:D94)+D180+SUM(D300:D308)+D377+SUM(D414:D416)+SUM(D464:D465)+D519+D554+D602+D638</f>
        <v>37867</v>
      </c>
      <c r="E689" s="207">
        <f>SUM(B689:D689)</f>
        <v>64628</v>
      </c>
      <c r="F689" s="140">
        <f>+SUM(F93:F94)+F180+SUM(F300:F308)+F377+SUM(F414:F416)+SUM(F464:F465)+F519+F554+F602+F638</f>
        <v>59336</v>
      </c>
      <c r="G689" s="140">
        <f>+SUM(G93:G94)+G180+SUM(G300:G308)+G377+SUM(G414:G416)+SUM(G464:G465)+G519+G554+G602+G638</f>
        <v>52656</v>
      </c>
      <c r="H689" s="140">
        <f>+SUM(H93:H94)+H180+SUM(H300:H308)+H377+SUM(H414:H416)+SUM(H464:H465)+H519+H554+H602+H638</f>
        <v>52095</v>
      </c>
      <c r="I689" s="207">
        <f>SUM(F689:H689)</f>
        <v>164087</v>
      </c>
      <c r="J689" s="140">
        <f>+SUM(J93:J94)+J180+SUM(J300:J308)+J377+SUM(J414:J416)+SUM(J464:J465)+J519+J554+J602+J638</f>
        <v>54211</v>
      </c>
      <c r="K689" s="140">
        <f>+SUM(K93:K94)+K180+SUM(K300:K308)+K377+SUM(K414:K416)+SUM(K464:K465)+K519+K554+K602+K638</f>
        <v>41510</v>
      </c>
      <c r="L689" s="140">
        <f>+SUM(L93:L94)+L180+SUM(L300:L308)+L377+SUM(L414:L416)+SUM(L464:L465)+L519+L554+L602+L638</f>
        <v>22228</v>
      </c>
      <c r="M689" s="207">
        <f>SUM(J689:L689)</f>
        <v>117949</v>
      </c>
      <c r="N689" s="140">
        <f>+SUM(N93:N94)+N180+SUM(N300:N308)+N377+SUM(N414:N416)+SUM(N464:N465)+N519+N554+N602+N638</f>
        <v>13886</v>
      </c>
      <c r="O689" s="140">
        <f>+SUM(O93:O94)+O180+SUM(O300:O308)+O377+SUM(O414:O416)+SUM(O464:O465)+O519+O554+O602+O638</f>
        <v>1981</v>
      </c>
      <c r="P689" s="140">
        <f>+SUM(P93:P94)+P180+SUM(P300:P308)+P377+SUM(P414:P416)+SUM(P464:P465)+P519+P554+P602+P638</f>
        <v>7039</v>
      </c>
      <c r="Q689" s="207">
        <f>SUM(N689:P689)</f>
        <v>22906</v>
      </c>
      <c r="R689" s="207">
        <f>+E689+I689+M689+Q689</f>
        <v>369570</v>
      </c>
    </row>
    <row r="690" spans="1:18" ht="15.75" customHeight="1" x14ac:dyDescent="0.35">
      <c r="A690" s="174" t="s">
        <v>58</v>
      </c>
      <c r="B690" s="140">
        <f>+B95+B378+B418+B466+B520+B555+B603+B639</f>
        <v>0</v>
      </c>
      <c r="C690" s="140">
        <f>+C95+C378+C418+C466+C520+C555+C603+C639</f>
        <v>0</v>
      </c>
      <c r="D690" s="140">
        <f>+D95+D378+D418+D466+D520+D555+D603+D639</f>
        <v>0</v>
      </c>
      <c r="E690" s="207">
        <f>SUM(B690:D690)</f>
        <v>0</v>
      </c>
      <c r="F690" s="140">
        <f>+F95+F378+F418+F466+F520+F555+F603+F639</f>
        <v>0</v>
      </c>
      <c r="G690" s="140">
        <f>+G95+G378+G418+G466+G520+G555+G603+G639</f>
        <v>0</v>
      </c>
      <c r="H690" s="140">
        <f>+H95+H378+H418+H466+H520+H555+H603+H639</f>
        <v>0</v>
      </c>
      <c r="I690" s="207">
        <f>SUM(F690:H690)</f>
        <v>0</v>
      </c>
      <c r="J690" s="140">
        <f>+J95+J378+J418+J466+J520+J555+J603+J639</f>
        <v>0</v>
      </c>
      <c r="K690" s="140">
        <f>+K95+K378+K418+K466+K520+K555+K603+K639</f>
        <v>0</v>
      </c>
      <c r="L690" s="140">
        <f>+L95+L378+L418+L466+L520+L555+L603+L639</f>
        <v>0</v>
      </c>
      <c r="M690" s="207">
        <f>SUM(J690:L690)</f>
        <v>0</v>
      </c>
      <c r="N690" s="140">
        <f>+N95+N378+N418+N466+N520+N555+N603+N639</f>
        <v>0</v>
      </c>
      <c r="O690" s="140">
        <f>+O95+O378+O418+O466+O520+O555+O603+O639</f>
        <v>0</v>
      </c>
      <c r="P690" s="140">
        <f>+P95+P378+P418+P466+P520+P555+P603+P639</f>
        <v>0</v>
      </c>
      <c r="Q690" s="207">
        <f>SUM(N690:P690)</f>
        <v>0</v>
      </c>
      <c r="R690" s="207">
        <f>+E690+I690+M690+Q690</f>
        <v>0</v>
      </c>
    </row>
    <row r="691" spans="1:18" ht="15.75" customHeight="1" thickBot="1" x14ac:dyDescent="0.4">
      <c r="A691" s="174" t="s">
        <v>49</v>
      </c>
      <c r="B691" s="140">
        <f>+B311</f>
        <v>0</v>
      </c>
      <c r="C691" s="140">
        <f>+C311</f>
        <v>0</v>
      </c>
      <c r="D691" s="140">
        <f>+D311</f>
        <v>0</v>
      </c>
      <c r="E691" s="207">
        <f>SUM(B691:D691)</f>
        <v>0</v>
      </c>
      <c r="F691" s="140">
        <f>+F311</f>
        <v>0</v>
      </c>
      <c r="G691" s="140">
        <f>+G311</f>
        <v>0</v>
      </c>
      <c r="H691" s="140">
        <f>+H311</f>
        <v>0</v>
      </c>
      <c r="I691" s="207">
        <f>SUM(F691:H691)</f>
        <v>0</v>
      </c>
      <c r="J691" s="140">
        <f>+J311</f>
        <v>0</v>
      </c>
      <c r="K691" s="140">
        <f>+K311</f>
        <v>0</v>
      </c>
      <c r="L691" s="140">
        <f>+L311</f>
        <v>0</v>
      </c>
      <c r="M691" s="207">
        <f>SUM(J691:L691)</f>
        <v>0</v>
      </c>
      <c r="N691" s="140">
        <f>+N311</f>
        <v>0</v>
      </c>
      <c r="O691" s="140">
        <f>+O311</f>
        <v>0</v>
      </c>
      <c r="P691" s="140">
        <f>+P311</f>
        <v>0</v>
      </c>
      <c r="Q691" s="207">
        <f>SUM(N691:P691)</f>
        <v>0</v>
      </c>
      <c r="R691" s="207">
        <f>+E691+I691+M691+Q691</f>
        <v>0</v>
      </c>
    </row>
    <row r="692" spans="1:18" ht="15.75" customHeight="1" thickBot="1" x14ac:dyDescent="0.4">
      <c r="A692" s="209" t="s">
        <v>59</v>
      </c>
      <c r="B692" s="237">
        <f>SUM(B687:B691)</f>
        <v>10562</v>
      </c>
      <c r="C692" s="238">
        <f>SUM(C687:C691)</f>
        <v>16199</v>
      </c>
      <c r="D692" s="238">
        <f>SUM(D687:D691)</f>
        <v>37867</v>
      </c>
      <c r="E692" s="211">
        <f>SUM(B692:D692)</f>
        <v>64628</v>
      </c>
      <c r="F692" s="238">
        <f>SUM(F687:F691)</f>
        <v>59336</v>
      </c>
      <c r="G692" s="238">
        <f>SUM(G687:G691)</f>
        <v>52656</v>
      </c>
      <c r="H692" s="238">
        <f>SUM(H687:H691)</f>
        <v>52095</v>
      </c>
      <c r="I692" s="211">
        <f>SUM(F692:H692)</f>
        <v>164087</v>
      </c>
      <c r="J692" s="238">
        <f>SUM(J687:J691)</f>
        <v>54211</v>
      </c>
      <c r="K692" s="238">
        <f>SUM(K687:K691)</f>
        <v>41510</v>
      </c>
      <c r="L692" s="238">
        <f>SUM(L687:L691)</f>
        <v>22228</v>
      </c>
      <c r="M692" s="211">
        <f>SUM(J692:L692)</f>
        <v>117949</v>
      </c>
      <c r="N692" s="238">
        <f>SUM(N687:N691)</f>
        <v>13886</v>
      </c>
      <c r="O692" s="238">
        <f>SUM(O687:O691)</f>
        <v>1981</v>
      </c>
      <c r="P692" s="238">
        <f>SUM(P687:P691)</f>
        <v>7039</v>
      </c>
      <c r="Q692" s="211">
        <f>SUM(N692:P692)</f>
        <v>22906</v>
      </c>
      <c r="R692" s="211">
        <f>+E692+I692+M692+Q692</f>
        <v>369570</v>
      </c>
    </row>
    <row r="693" spans="1:18" ht="15.75" customHeight="1" x14ac:dyDescent="0.35">
      <c r="A693" s="174" t="s">
        <v>60</v>
      </c>
      <c r="B693" s="140"/>
      <c r="C693" s="140"/>
      <c r="D693" s="140"/>
      <c r="E693" s="207" t="s">
        <v>7</v>
      </c>
      <c r="F693" s="140"/>
      <c r="G693" s="140"/>
      <c r="H693" s="140"/>
      <c r="I693" s="207" t="s">
        <v>7</v>
      </c>
      <c r="J693" s="140"/>
      <c r="K693" s="140"/>
      <c r="L693" s="140"/>
      <c r="M693" s="207" t="s">
        <v>7</v>
      </c>
      <c r="N693" s="140"/>
      <c r="O693" s="140"/>
      <c r="P693" s="140"/>
      <c r="Q693" s="207" t="s">
        <v>7</v>
      </c>
      <c r="R693" s="207" t="s">
        <v>7</v>
      </c>
    </row>
    <row r="694" spans="1:18" ht="15.75" customHeight="1" x14ac:dyDescent="0.35">
      <c r="A694" s="174" t="s">
        <v>61</v>
      </c>
      <c r="B694" s="140">
        <f>+B98+B184+SUM(B314:B316)+B381+B421+B469+B523+SUM(B558:B559)+B606+SUM(B642:B643)</f>
        <v>4361</v>
      </c>
      <c r="C694" s="140">
        <f>+C98+C184+SUM(C314:C316)+C381+C421+C469+C523+SUM(C558:C559)+C606+SUM(C642:C643)</f>
        <v>7071</v>
      </c>
      <c r="D694" s="140">
        <f>+D98+D184+SUM(D314:D316)+D381+D421+D469+D523+SUM(D558:D559)+D606+SUM(D642:D643)</f>
        <v>13431</v>
      </c>
      <c r="E694" s="207">
        <f>SUM(B694:D694)</f>
        <v>24863</v>
      </c>
      <c r="F694" s="140">
        <f>+F98+F184+SUM(F314:F316)+F381+F421+F469+F523+SUM(F558:F559)+F606+SUM(F642:F643)</f>
        <v>13250</v>
      </c>
      <c r="G694" s="140">
        <f>+G98+G184+SUM(G314:G316)+G381+G421+G469+G523+SUM(G558:G559)+G606+SUM(G642:G643)</f>
        <v>15022</v>
      </c>
      <c r="H694" s="140">
        <f>+H98+H184+SUM(H314:H316)+H381+H421+H469+H523+SUM(H558:H559)+H606+SUM(H642:H643)</f>
        <v>13909</v>
      </c>
      <c r="I694" s="207">
        <f>SUM(F694:H694)</f>
        <v>42181</v>
      </c>
      <c r="J694" s="140">
        <f>+J98+J184+SUM(J314:J316)+J381+J421+J469+J523+SUM(J558:J559)+J606+SUM(J642:J643)</f>
        <v>11092</v>
      </c>
      <c r="K694" s="140">
        <f>+K98+K184+SUM(K314:K316)+K381+K421+K469+K523+SUM(K558:K559)+K606+SUM(K642:K643)</f>
        <v>11864</v>
      </c>
      <c r="L694" s="140">
        <f>+L98+L184+SUM(L314:L316)+L381+L421+L469+L523+SUM(L558:L559)+L606+SUM(L642:L643)</f>
        <v>7574</v>
      </c>
      <c r="M694" s="207">
        <f>SUM(J694:L694)</f>
        <v>30530</v>
      </c>
      <c r="N694" s="140">
        <f>+N98+N184+SUM(N314:N316)+N381+N421+N469+N523+SUM(N558:N559)+N606+SUM(N642:N643)</f>
        <v>3552</v>
      </c>
      <c r="O694" s="140">
        <f>+O98+O184+SUM(O314:O316)+O381+O421+O469+O523+SUM(O558:O559)+O606+SUM(O642:O643)</f>
        <v>1193</v>
      </c>
      <c r="P694" s="140">
        <f>+P98+P184+SUM(P314:P316)+P381+P421+P469+P523+SUM(P558:P559)+P606+SUM(P642:P643)</f>
        <v>2603</v>
      </c>
      <c r="Q694" s="207">
        <f>SUM(N694:P694)</f>
        <v>7348</v>
      </c>
      <c r="R694" s="207">
        <f>+E694+I694+M694+Q694</f>
        <v>104922</v>
      </c>
    </row>
    <row r="695" spans="1:18" ht="15.75" customHeight="1" thickBot="1" x14ac:dyDescent="0.4">
      <c r="A695" s="174" t="s">
        <v>62</v>
      </c>
      <c r="B695" s="140">
        <f>+SUM(B100:B106)+SUM(B185:B214)+SUM(B317:B329)+B354+B382+B422+B470+B524+B560+B607+SUM(B644:B646)</f>
        <v>8450</v>
      </c>
      <c r="C695" s="140">
        <f>+SUM(C100:C106)+SUM(C185:C214)+SUM(C317:C329)+C354+C382+C422+C470+C524+C560+C607+SUM(C644:C646)</f>
        <v>15587</v>
      </c>
      <c r="D695" s="140">
        <f>+SUM(D100:D106)+SUM(D185:D214)+SUM(D317:D329)+D354+D382+D422+D470+D524+D560+D607+SUM(D644:D646)</f>
        <v>14021</v>
      </c>
      <c r="E695" s="207">
        <f>SUM(B695:D695)</f>
        <v>38058</v>
      </c>
      <c r="F695" s="140">
        <f>+SUM(F100:F106)+SUM(F185:F214)+SUM(F317:F329)+F354+F382+F422+F470+F524+F560+F607+SUM(F644:F646)</f>
        <v>4048</v>
      </c>
      <c r="G695" s="140">
        <f>+SUM(G100:G106)+SUM(G185:G214)+SUM(G317:G329)+G354+G382+G422+G470+G524+G560+G607+SUM(G644:G646)</f>
        <v>19786</v>
      </c>
      <c r="H695" s="140">
        <f>+SUM(H100:H106)+SUM(H185:H214)+SUM(H317:H329)+H354+H382+H422+H470+H524+H560+H607+SUM(H644:H646)</f>
        <v>21006</v>
      </c>
      <c r="I695" s="207">
        <f>SUM(F695:H695)</f>
        <v>44840</v>
      </c>
      <c r="J695" s="140">
        <f>+SUM(J100:J106)+SUM(J185:J214)+SUM(J317:J329)+J354+J382+J422+J470+J524+J560+J607+SUM(J644:J646)</f>
        <v>6186</v>
      </c>
      <c r="K695" s="140">
        <f>+SUM(K100:K106)+SUM(K185:K214)+SUM(K317:K329)+K354+K382+K422+K470+K524+K560+K607+SUM(K644:K646)</f>
        <v>9628</v>
      </c>
      <c r="L695" s="140">
        <f>+SUM(L100:L106)+SUM(L185:L214)+SUM(L317:L329)+L354+L382+L422+L470+L524+L560+L607+SUM(L644:L646)</f>
        <v>12640</v>
      </c>
      <c r="M695" s="207">
        <f>SUM(J695:L695)</f>
        <v>28454</v>
      </c>
      <c r="N695" s="140">
        <f>+SUM(N100:N106)+SUM(N185:N214)+SUM(N317:N329)+N354+N382+N422+N470+N524+N560+N607+SUM(N644:N646)</f>
        <v>8096</v>
      </c>
      <c r="O695" s="140">
        <f>+SUM(O100:O106)+SUM(O185:O214)+SUM(O317:O329)+O354+O382+O422+O470+O524+O560+O607+SUM(O644:O646)</f>
        <v>4079</v>
      </c>
      <c r="P695" s="140">
        <f>+SUM(P100:P106)+SUM(P185:P214)+SUM(P317:P329)+P354+P382+P422+P470+P524+P560+P607+SUM(P644:P646)</f>
        <v>5090</v>
      </c>
      <c r="Q695" s="207">
        <f>SUM(N695:P695)</f>
        <v>17265</v>
      </c>
      <c r="R695" s="207">
        <f>+E695+I695+M695+Q695</f>
        <v>128617</v>
      </c>
    </row>
    <row r="696" spans="1:18" ht="15.75" customHeight="1" thickBot="1" x14ac:dyDescent="0.4">
      <c r="A696" s="209" t="s">
        <v>63</v>
      </c>
      <c r="B696" s="237">
        <f>SUM(B693:B695)</f>
        <v>12811</v>
      </c>
      <c r="C696" s="238">
        <f>SUM(C693:C695)</f>
        <v>22658</v>
      </c>
      <c r="D696" s="238">
        <f>SUM(D693:D695)</f>
        <v>27452</v>
      </c>
      <c r="E696" s="211">
        <f>SUM(B696:D696)</f>
        <v>62921</v>
      </c>
      <c r="F696" s="238">
        <f>SUM(F693:F695)</f>
        <v>17298</v>
      </c>
      <c r="G696" s="238">
        <f>SUM(G693:G695)</f>
        <v>34808</v>
      </c>
      <c r="H696" s="238">
        <f>SUM(H693:H695)</f>
        <v>34915</v>
      </c>
      <c r="I696" s="211">
        <f>SUM(F696:H696)</f>
        <v>87021</v>
      </c>
      <c r="J696" s="238">
        <f>SUM(J693:J695)</f>
        <v>17278</v>
      </c>
      <c r="K696" s="238">
        <f>SUM(K693:K695)</f>
        <v>21492</v>
      </c>
      <c r="L696" s="238">
        <f>SUM(L693:L695)</f>
        <v>20214</v>
      </c>
      <c r="M696" s="211">
        <f>SUM(J696:L696)</f>
        <v>58984</v>
      </c>
      <c r="N696" s="238">
        <f>SUM(N693:N695)</f>
        <v>11648</v>
      </c>
      <c r="O696" s="238">
        <f>SUM(O693:O695)</f>
        <v>5272</v>
      </c>
      <c r="P696" s="238">
        <f>SUM(P693:P695)</f>
        <v>7693</v>
      </c>
      <c r="Q696" s="211">
        <f>SUM(N696:P696)</f>
        <v>24613</v>
      </c>
      <c r="R696" s="211">
        <f>+E696+I696+M696+Q696</f>
        <v>233539</v>
      </c>
    </row>
    <row r="697" spans="1:18" ht="15.75" customHeight="1" x14ac:dyDescent="0.35">
      <c r="A697" s="174" t="s">
        <v>64</v>
      </c>
      <c r="B697" s="140"/>
      <c r="C697" s="140"/>
      <c r="D697" s="140"/>
      <c r="E697" s="207" t="s">
        <v>7</v>
      </c>
      <c r="F697" s="140"/>
      <c r="G697" s="140"/>
      <c r="H697" s="140"/>
      <c r="I697" s="207" t="s">
        <v>7</v>
      </c>
      <c r="J697" s="140"/>
      <c r="K697" s="140"/>
      <c r="L697" s="140"/>
      <c r="M697" s="207" t="s">
        <v>7</v>
      </c>
      <c r="N697" s="140"/>
      <c r="O697" s="140"/>
      <c r="P697" s="140"/>
      <c r="Q697" s="207" t="s">
        <v>7</v>
      </c>
      <c r="R697" s="207" t="s">
        <v>7</v>
      </c>
    </row>
    <row r="698" spans="1:18" ht="15.75" customHeight="1" x14ac:dyDescent="0.35">
      <c r="A698" s="174" t="s">
        <v>65</v>
      </c>
      <c r="B698" s="140">
        <f>+B54+SUM(B109:B117)+SUM(B217:B222)+SUM(B332:B333)+SUM(B385:B386)+SUM(B425:B425)+SUM(B473:B477)+SUM(B563:B563)+B610+SUM(B649:B651)</f>
        <v>7284</v>
      </c>
      <c r="C698" s="140">
        <f>+C54+SUM(C109:C117)+SUM(C217:C222)+SUM(C332:C333)+SUM(C385:C386)+SUM(C425:C425)+SUM(C473:C477)+SUM(C563:C563)+C610+SUM(C649:C651)</f>
        <v>6774</v>
      </c>
      <c r="D698" s="140">
        <f>+D54+SUM(D109:D117)+SUM(D217:D222)+SUM(D332:D333)+SUM(D385:D386)+SUM(D425:D425)+SUM(D473:D477)+SUM(D563:D563)+D610+SUM(D649:D651)</f>
        <v>8004</v>
      </c>
      <c r="E698" s="207">
        <f t="shared" ref="E698:E706" si="99">SUM(B698:D698)</f>
        <v>22062</v>
      </c>
      <c r="F698" s="140">
        <f>+F54+SUM(F109:F117)+SUM(F217:F222)+SUM(F332:F333)+SUM(F385:F386)+SUM(F425:F425)+SUM(F473:F477)+SUM(F563:F563)+F610+SUM(F649:F651)</f>
        <v>7250</v>
      </c>
      <c r="G698" s="140">
        <f>+G54+SUM(G109:G117)+SUM(G217:G222)+SUM(G332:G333)+SUM(G385:G386)+SUM(G425:G425)+SUM(G473:G477)+SUM(G563:G563)+G610+SUM(G649:G651)</f>
        <v>18277</v>
      </c>
      <c r="H698" s="140">
        <f>+H54+SUM(H109:H117)+SUM(H217:H222)+SUM(H332:H333)+SUM(H385:H386)+SUM(H425:H425)+SUM(H473:H477)+SUM(H563:H563)+H610+SUM(H649:H651)</f>
        <v>15235</v>
      </c>
      <c r="I698" s="207">
        <f t="shared" ref="I698:I706" si="100">SUM(F698:H698)</f>
        <v>40762</v>
      </c>
      <c r="J698" s="140">
        <f>+J54+SUM(J109:J117)+SUM(J217:J222)+SUM(J332:J333)+SUM(J385:J386)+SUM(J425:J425)+SUM(J473:J477)+SUM(J563:J563)+J610+SUM(J649:J651)</f>
        <v>21160</v>
      </c>
      <c r="K698" s="140">
        <f>+K54+SUM(K109:K117)+SUM(K217:K222)+SUM(K332:K333)+SUM(K385:K386)+SUM(K425:K425)+SUM(K473:K477)+SUM(K563:K563)+K610+SUM(K649:K651)</f>
        <v>22741</v>
      </c>
      <c r="L698" s="140">
        <f>+L54+SUM(L109:L117)+SUM(L217:L222)+SUM(L332:L333)+SUM(L385:L386)+SUM(L425:L425)+SUM(L473:L477)+SUM(L563:L563)+L610+SUM(L649:L651)</f>
        <v>12048</v>
      </c>
      <c r="M698" s="207">
        <f t="shared" ref="M698:M706" si="101">SUM(J698:L698)</f>
        <v>55949</v>
      </c>
      <c r="N698" s="140">
        <f>+N54+SUM(N109:N117)+SUM(N217:N222)+SUM(N332:N333)+SUM(N385:N386)+SUM(N425:N425)+SUM(N473:N477)+SUM(N563:N563)+N610+SUM(N649:N651)</f>
        <v>25641</v>
      </c>
      <c r="O698" s="140">
        <f>+O54+SUM(O109:O117)+SUM(O217:O222)+SUM(O332:O333)+SUM(O385:O386)+SUM(O425:O425)+SUM(O473:O477)+SUM(O563:O563)+O610+SUM(O649:O651)</f>
        <v>6124</v>
      </c>
      <c r="P698" s="140">
        <f>+P54+SUM(P109:P117)+SUM(P217:P222)+SUM(P332:P333)+SUM(P385:P386)+SUM(P425:P425)+SUM(P473:P477)+SUM(P563:P563)+P610+SUM(P649:P651)</f>
        <v>13356</v>
      </c>
      <c r="Q698" s="207">
        <f t="shared" ref="Q698:Q706" si="102">SUM(N698:P698)</f>
        <v>45121</v>
      </c>
      <c r="R698" s="207">
        <f t="shared" ref="R698:R706" si="103">+E698+I698+M698+Q698</f>
        <v>163894</v>
      </c>
    </row>
    <row r="699" spans="1:18" ht="15.75" customHeight="1" x14ac:dyDescent="0.35">
      <c r="A699" s="174" t="s">
        <v>67</v>
      </c>
      <c r="B699" s="140">
        <f>SUM(B55:B56)+SUM(B118:B119)+SUM(B223:B224)+B226+B228+B229+SUM(B334:B336)+B387+B426+SUM(B478:B479)+B481+SUM(B528:B529)+B565+B567+B611+SUM(B652:B653)</f>
        <v>2480</v>
      </c>
      <c r="C699" s="140">
        <f>SUM(C55:C56)+SUM(C118:C119)+SUM(C223:C224)+C226+C228+C229+SUM(C334:C336)+C387+C426+SUM(C478:C479)+C481+SUM(C528:C529)+C565+C567+C611+SUM(C652:C653)</f>
        <v>0</v>
      </c>
      <c r="D699" s="140">
        <f>SUM(D55:D56)+SUM(D118:D119)+SUM(D223:D224)+D226+D228+D229+SUM(D334:D336)+D387+D426+SUM(D478:D479)+D481+SUM(D528:D529)+D565+D567+D611+SUM(D652:D653)</f>
        <v>0</v>
      </c>
      <c r="E699" s="207">
        <f t="shared" si="99"/>
        <v>2480</v>
      </c>
      <c r="F699" s="140">
        <f>SUM(F55:F56)+SUM(F118:F119)+SUM(F223:F224)+F226+F228+F229+SUM(F334:F336)+F387+F426+SUM(F478:F479)+F481+SUM(F528:F529)+F565+F567+F611+SUM(F652:F653)</f>
        <v>6808</v>
      </c>
      <c r="G699" s="140">
        <f>SUM(G55:G56)+SUM(G118:G119)+SUM(G223:G224)+G226+G228+G229+SUM(G334:G336)+G387+G426+SUM(G478:G479)+G481+SUM(G528:G529)+G565+G567+G611+SUM(G652:G653)</f>
        <v>7818</v>
      </c>
      <c r="H699" s="140">
        <f>SUM(H55:H56)+SUM(H118:H119)+SUM(H223:H224)+H226+H228+H229+SUM(H334:H336)+H387+H426+SUM(H478:H479)+H481+SUM(H528:H529)+H565+H567+H611+SUM(H652:H653)</f>
        <v>7476</v>
      </c>
      <c r="I699" s="207">
        <f t="shared" si="100"/>
        <v>22102</v>
      </c>
      <c r="J699" s="140">
        <f>SUM(J55:J56)+SUM(J118:J119)+SUM(J223:J224)+J226+J228+J229+SUM(J334:J336)+J387+J426+SUM(J478:J479)+J481+SUM(J528:J529)+J565+J567+J611+SUM(J652:J653)</f>
        <v>389</v>
      </c>
      <c r="K699" s="140">
        <f>SUM(K55:K56)+SUM(K118:K119)+SUM(K223:K224)+K226+K228+K229+SUM(K334:K336)+K387+K426+SUM(K478:K479)+K481+SUM(K528:K529)+K565+K567+K611+SUM(K652:K653)</f>
        <v>132</v>
      </c>
      <c r="L699" s="140">
        <f>SUM(L55:L56)+SUM(L118:L119)+SUM(L223:L224)+L226+L228+L229+SUM(L334:L336)+L387+L426+SUM(L478:L479)+L481+SUM(L528:L529)+L565+L567+L611+SUM(L652:L653)</f>
        <v>22</v>
      </c>
      <c r="M699" s="207">
        <f t="shared" si="101"/>
        <v>543</v>
      </c>
      <c r="N699" s="140">
        <f>SUM(N55:N56)+SUM(N118:N119)+SUM(N223:N224)+N226+N228+N229+SUM(N334:N336)+N387+N426+SUM(N478:N479)+N481+SUM(N528:N529)+N565+N567+N611+SUM(N652:N653)</f>
        <v>90</v>
      </c>
      <c r="O699" s="140">
        <f>SUM(O55:O56)+SUM(O118:O119)+SUM(O223:O224)+O226+O228+O229+SUM(O334:O336)+O387+O426+SUM(O478:O479)+O481+SUM(O528:O529)+O565+O567+O611+SUM(O652:O653)</f>
        <v>0</v>
      </c>
      <c r="P699" s="140">
        <f>SUM(P55:P56)+SUM(P118:P119)+SUM(P223:P224)+P226+P228+P229+SUM(P334:P336)+P387+P426+SUM(P478:P479)+P481+SUM(P528:P529)+P565+P567+P611+SUM(P652:P653)</f>
        <v>0</v>
      </c>
      <c r="Q699" s="207">
        <f t="shared" si="102"/>
        <v>90</v>
      </c>
      <c r="R699" s="207">
        <f t="shared" si="103"/>
        <v>25215</v>
      </c>
    </row>
    <row r="700" spans="1:18" ht="15.75" customHeight="1" x14ac:dyDescent="0.35">
      <c r="A700" s="222" t="s">
        <v>580</v>
      </c>
      <c r="B700" s="140">
        <f>B120+B225+B227+B480+B482+B566+B568+B654</f>
        <v>0</v>
      </c>
      <c r="C700" s="140">
        <f>C120+C225+C227+C480+C482+C566+C568+C654</f>
        <v>0</v>
      </c>
      <c r="D700" s="140">
        <f>D120+D225+D227+D480+D482+D566+D568+D654</f>
        <v>0</v>
      </c>
      <c r="E700" s="207">
        <f t="shared" si="99"/>
        <v>0</v>
      </c>
      <c r="F700" s="140">
        <f>F120+F225+F227+F480+F482+F566+F568+F654</f>
        <v>0</v>
      </c>
      <c r="G700" s="140">
        <f>G120+G225+G227+G480+G482+G566+G568+G654</f>
        <v>0</v>
      </c>
      <c r="H700" s="140">
        <f>H120+H225+H227+H480+H482+H566+H568+H654</f>
        <v>0</v>
      </c>
      <c r="I700" s="207">
        <f t="shared" si="100"/>
        <v>0</v>
      </c>
      <c r="J700" s="140">
        <f>J120+J225+J227+J480+J482+J566+J568+J654</f>
        <v>0</v>
      </c>
      <c r="K700" s="140">
        <f>K120+K225+K227+K480+K482+K566+K568+K654</f>
        <v>0</v>
      </c>
      <c r="L700" s="140">
        <f>L120+L225+L227+L480+L482+L566+L568+L654</f>
        <v>0</v>
      </c>
      <c r="M700" s="207">
        <f t="shared" si="101"/>
        <v>0</v>
      </c>
      <c r="N700" s="140">
        <f>N120+N225+N227+N480+N482+N566+N568+N654</f>
        <v>0</v>
      </c>
      <c r="O700" s="140">
        <f>O120+O225+O227+O480+O482+O566+O568+O654</f>
        <v>14284</v>
      </c>
      <c r="P700" s="140">
        <f>P120+P225+P227+P480+P482+P566+P568+P654</f>
        <v>18146</v>
      </c>
      <c r="Q700" s="207">
        <f t="shared" si="102"/>
        <v>32430</v>
      </c>
      <c r="R700" s="207">
        <f t="shared" si="103"/>
        <v>32430</v>
      </c>
    </row>
    <row r="701" spans="1:18" ht="15.75" customHeight="1" x14ac:dyDescent="0.35">
      <c r="A701" s="174" t="s">
        <v>69</v>
      </c>
      <c r="B701" s="140">
        <f>+SUM(B121:B122)+SUM(B230:B232)+SUM(B337:B342)+B388+SUM(B427:B431)+SUM(B483:B485)+SUM(B530:B530)+B569+B655</f>
        <v>1755</v>
      </c>
      <c r="C701" s="140">
        <f>+SUM(C121:C122)+SUM(C230:C232)+SUM(C337:C342)+C388+SUM(C427:C431)+SUM(C483:C485)+SUM(C530:C530)+C569+C655</f>
        <v>3172</v>
      </c>
      <c r="D701" s="140">
        <f>+SUM(D121:D122)+SUM(D230:D232)+SUM(D337:D342)+D388+SUM(D427:D431)+SUM(D483:D485)+SUM(D530:D530)+D569+D655</f>
        <v>9184</v>
      </c>
      <c r="E701" s="207">
        <f t="shared" si="99"/>
        <v>14111</v>
      </c>
      <c r="F701" s="140">
        <f>+SUM(F121:F122)+SUM(F230:F232)+SUM(F337:F342)+F388+SUM(F427:F431)+SUM(F483:F485)+SUM(F530:F530)+F569+F655</f>
        <v>6174</v>
      </c>
      <c r="G701" s="140">
        <f>+SUM(G121:G122)+SUM(G230:G232)+SUM(G337:G342)+G388+SUM(G427:G431)+SUM(G483:G485)+SUM(G530:G530)+G569+G655</f>
        <v>10649</v>
      </c>
      <c r="H701" s="140">
        <f>+SUM(H121:H122)+SUM(H230:H232)+SUM(H337:H342)+H388+SUM(H427:H431)+SUM(H483:H485)+SUM(H530:H530)+H569+H655</f>
        <v>25779</v>
      </c>
      <c r="I701" s="207">
        <f t="shared" si="100"/>
        <v>42602</v>
      </c>
      <c r="J701" s="140">
        <f>+SUM(J121:J122)+SUM(J230:J232)+SUM(J337:J342)+J388+SUM(J427:J431)+SUM(J483:J485)+SUM(J530:J530)+J569+J655</f>
        <v>18746</v>
      </c>
      <c r="K701" s="140">
        <f>+SUM(K121:K122)+SUM(K230:K232)+SUM(K337:K342)+K388+SUM(K427:K431)+SUM(K483:K485)+SUM(K530:K530)+K569+K655</f>
        <v>27034</v>
      </c>
      <c r="L701" s="140">
        <f>+SUM(L121:L122)+SUM(L230:L232)+SUM(L337:L342)+L388+SUM(L427:L431)+SUM(L483:L485)+SUM(L530:L530)+L569+L655</f>
        <v>20749</v>
      </c>
      <c r="M701" s="207">
        <f t="shared" si="101"/>
        <v>66529</v>
      </c>
      <c r="N701" s="140">
        <f>+SUM(N121:N122)+SUM(N230:N232)+SUM(N337:N342)+N388+SUM(N427:N431)+SUM(N483:N485)+SUM(N530:N530)+N569+N655</f>
        <v>12220</v>
      </c>
      <c r="O701" s="140">
        <f>+SUM(O121:O122)+SUM(O230:O232)+SUM(O337:O342)+O388+SUM(O427:O431)+SUM(O483:O485)+SUM(O530:O530)+O569+O655</f>
        <v>2175</v>
      </c>
      <c r="P701" s="140">
        <f>+SUM(P121:P122)+SUM(P230:P232)+SUM(P337:P342)+P388+SUM(P427:P431)+SUM(P483:P485)+SUM(P530:P530)+P569+P655</f>
        <v>3356</v>
      </c>
      <c r="Q701" s="207">
        <f t="shared" si="102"/>
        <v>17751</v>
      </c>
      <c r="R701" s="207">
        <f t="shared" si="103"/>
        <v>140993</v>
      </c>
    </row>
    <row r="702" spans="1:18" ht="15.75" customHeight="1" x14ac:dyDescent="0.35">
      <c r="A702" s="174" t="s">
        <v>70</v>
      </c>
      <c r="B702" s="140">
        <f>SUM(B123:B124)+SUM(B233:B233)+B344+B346+B347+B349+SUM(B389:B390)+B433+B435+B486+B531+B570+B613+B656</f>
        <v>3240</v>
      </c>
      <c r="C702" s="140">
        <f>SUM(C123:C124)+SUM(C233:C233)+C344+C346+C347+C349+SUM(C389:C390)+C433+C435+C486+C531+C570+C613+C656</f>
        <v>2000</v>
      </c>
      <c r="D702" s="140">
        <f>SUM(D123:D124)+SUM(D233:D233)+D344+D346+D347+D349+SUM(D389:D390)+D433+D435+D486+D531+D570+D613+D656</f>
        <v>2500</v>
      </c>
      <c r="E702" s="207">
        <f t="shared" si="99"/>
        <v>7740</v>
      </c>
      <c r="F702" s="140">
        <f>SUM(F123:F124)+SUM(F233:F233)+F344+F346+F347+F349+SUM(F389:F390)+F433+F435+F486+F531+F570+F613+F656</f>
        <v>3600</v>
      </c>
      <c r="G702" s="140">
        <f>SUM(G123:G124)+SUM(G233:G233)+G344+G346+G347+G349+SUM(G389:G390)+G433+G435+G486+G531+G570+G613+G656</f>
        <v>7053</v>
      </c>
      <c r="H702" s="140">
        <f>SUM(H123:H124)+SUM(H233:H233)+H344+H346+H347+H349+SUM(H389:H390)+H433+H435+H486+H531+H570+H613+H656</f>
        <v>13712</v>
      </c>
      <c r="I702" s="207">
        <f t="shared" si="100"/>
        <v>24365</v>
      </c>
      <c r="J702" s="140">
        <f>SUM(J123:J124)+SUM(J233:J233)+J344+J346+J347+J349+SUM(J389:J390)+J433+J435+J486+J531+J570+J613+J656</f>
        <v>17675</v>
      </c>
      <c r="K702" s="140">
        <f>SUM(K123:K124)+SUM(K233:K233)+K344+K346+K347+K349+SUM(K389:K390)+K433+K435+K486+K531+K570+K613+K656</f>
        <v>21152</v>
      </c>
      <c r="L702" s="140">
        <f>SUM(L123:L124)+SUM(L233:L233)+L344+L346+L347+L349+SUM(L389:L390)+L433+L435+L486+L531+L570+L613+L656</f>
        <v>6281</v>
      </c>
      <c r="M702" s="207">
        <f t="shared" si="101"/>
        <v>45108</v>
      </c>
      <c r="N702" s="140">
        <f>SUM(N123:N124)+SUM(N233:N233)+N344+N346+N347+N349+SUM(N389:N390)+N433+N435+N486+N531+N570+N613+N656</f>
        <v>2288</v>
      </c>
      <c r="O702" s="140">
        <f>SUM(O123:O124)+SUM(O233:O233)+O344+O346+O347+O349+SUM(O389:O390)+O433+O435+O486+O531+O570+O613+O656</f>
        <v>378</v>
      </c>
      <c r="P702" s="140">
        <f>SUM(P123:P124)+SUM(P233:P233)+P344+P346+P347+P349+SUM(P389:P390)+P433+P435+P486+P531+P570+P613+P656</f>
        <v>924</v>
      </c>
      <c r="Q702" s="207">
        <f t="shared" si="102"/>
        <v>3590</v>
      </c>
      <c r="R702" s="207">
        <f t="shared" si="103"/>
        <v>80803</v>
      </c>
    </row>
    <row r="703" spans="1:18" ht="15.75" customHeight="1" thickBot="1" x14ac:dyDescent="0.4">
      <c r="A703" s="222" t="s">
        <v>581</v>
      </c>
      <c r="B703" s="140">
        <f>+B345+B348+B391+B434</f>
        <v>0</v>
      </c>
      <c r="C703" s="140">
        <f>+C345+C348+C391+C434</f>
        <v>0</v>
      </c>
      <c r="D703" s="140">
        <f>+D345+D348+D391+D434</f>
        <v>5000</v>
      </c>
      <c r="E703" s="207">
        <f t="shared" si="99"/>
        <v>5000</v>
      </c>
      <c r="F703" s="140">
        <f>+F345+F348+F391+F434</f>
        <v>4026</v>
      </c>
      <c r="G703" s="140">
        <f>+G345+G348+G391+G434</f>
        <v>0</v>
      </c>
      <c r="H703" s="140">
        <f>+H345+H348+H391+H434</f>
        <v>1290</v>
      </c>
      <c r="I703" s="207">
        <f t="shared" si="100"/>
        <v>5316</v>
      </c>
      <c r="J703" s="140">
        <f>+J345+J348+J391+J434</f>
        <v>2990</v>
      </c>
      <c r="K703" s="140">
        <f>+K345+K348+K391+K434</f>
        <v>4917</v>
      </c>
      <c r="L703" s="140">
        <f>+L345+L348+L391+L434</f>
        <v>6106</v>
      </c>
      <c r="M703" s="207">
        <f t="shared" si="101"/>
        <v>14013</v>
      </c>
      <c r="N703" s="140">
        <f>+N345+N348+N391+N434</f>
        <v>1890</v>
      </c>
      <c r="O703" s="140">
        <f>+O345+O348+O391+O434</f>
        <v>0</v>
      </c>
      <c r="P703" s="140">
        <f>+P345+P348+P391+P434</f>
        <v>375</v>
      </c>
      <c r="Q703" s="207">
        <f t="shared" si="102"/>
        <v>2265</v>
      </c>
      <c r="R703" s="207">
        <f t="shared" si="103"/>
        <v>26594</v>
      </c>
    </row>
    <row r="704" spans="1:18" ht="15.75" customHeight="1" thickBot="1" x14ac:dyDescent="0.4">
      <c r="A704" s="209" t="s">
        <v>71</v>
      </c>
      <c r="B704" s="276">
        <f>SUM(B701:B703)</f>
        <v>4995</v>
      </c>
      <c r="C704" s="276">
        <f>SUM(C701:C703)</f>
        <v>5172</v>
      </c>
      <c r="D704" s="276">
        <f>SUM(D701:D703)</f>
        <v>16684</v>
      </c>
      <c r="E704" s="212">
        <f t="shared" si="99"/>
        <v>26851</v>
      </c>
      <c r="F704" s="276">
        <f>SUM(F701:F703)</f>
        <v>13800</v>
      </c>
      <c r="G704" s="276">
        <f>SUM(G701:G703)</f>
        <v>17702</v>
      </c>
      <c r="H704" s="276">
        <f>SUM(H701:H703)</f>
        <v>40781</v>
      </c>
      <c r="I704" s="212">
        <f t="shared" si="100"/>
        <v>72283</v>
      </c>
      <c r="J704" s="276">
        <f>SUM(J701:J703)</f>
        <v>39411</v>
      </c>
      <c r="K704" s="276">
        <f>SUM(K701:K703)</f>
        <v>53103</v>
      </c>
      <c r="L704" s="276">
        <f>SUM(L701:L703)</f>
        <v>33136</v>
      </c>
      <c r="M704" s="212">
        <f t="shared" si="101"/>
        <v>125650</v>
      </c>
      <c r="N704" s="276">
        <f>SUM(N701:N703)</f>
        <v>16398</v>
      </c>
      <c r="O704" s="276">
        <f>SUM(O701:O703)</f>
        <v>2553</v>
      </c>
      <c r="P704" s="276">
        <f>SUM(P701:P703)</f>
        <v>4655</v>
      </c>
      <c r="Q704" s="212">
        <f t="shared" si="102"/>
        <v>23606</v>
      </c>
      <c r="R704" s="211">
        <f t="shared" si="103"/>
        <v>248390</v>
      </c>
    </row>
    <row r="705" spans="1:18" ht="15.75" customHeight="1" thickBot="1" x14ac:dyDescent="0.4">
      <c r="A705" s="259" t="s">
        <v>72</v>
      </c>
      <c r="B705" s="237">
        <f>SUM(B697:B703)</f>
        <v>14759</v>
      </c>
      <c r="C705" s="238">
        <f>SUM(C697:C703)</f>
        <v>11946</v>
      </c>
      <c r="D705" s="260">
        <f>SUM(D697:D703)</f>
        <v>24688</v>
      </c>
      <c r="E705" s="277">
        <f t="shared" si="99"/>
        <v>51393</v>
      </c>
      <c r="F705" s="237">
        <f>SUM(F697:F703)</f>
        <v>27858</v>
      </c>
      <c r="G705" s="238">
        <f>SUM(G697:G703)</f>
        <v>43797</v>
      </c>
      <c r="H705" s="260">
        <f>SUM(H697:H703)</f>
        <v>63492</v>
      </c>
      <c r="I705" s="212">
        <f t="shared" si="100"/>
        <v>135147</v>
      </c>
      <c r="J705" s="237">
        <f>SUM(J697:J703)</f>
        <v>60960</v>
      </c>
      <c r="K705" s="238">
        <f>SUM(K697:K703)</f>
        <v>75976</v>
      </c>
      <c r="L705" s="260">
        <f>SUM(L697:L703)</f>
        <v>45206</v>
      </c>
      <c r="M705" s="212">
        <f t="shared" si="101"/>
        <v>182142</v>
      </c>
      <c r="N705" s="237">
        <f>SUM(N697:N703)</f>
        <v>42129</v>
      </c>
      <c r="O705" s="238">
        <f>SUM(O697:O703)</f>
        <v>22961</v>
      </c>
      <c r="P705" s="260">
        <f>SUM(P697:P703)</f>
        <v>36157</v>
      </c>
      <c r="Q705" s="212">
        <f t="shared" si="102"/>
        <v>101247</v>
      </c>
      <c r="R705" s="211">
        <f t="shared" si="103"/>
        <v>469929</v>
      </c>
    </row>
    <row r="706" spans="1:18" ht="15.75" customHeight="1" thickBot="1" x14ac:dyDescent="0.4">
      <c r="A706" s="209" t="s">
        <v>73</v>
      </c>
      <c r="B706" s="278">
        <f>+B686+B692+B696+B705</f>
        <v>75118</v>
      </c>
      <c r="C706" s="279">
        <f>+C686+C692+C696+C705</f>
        <v>74798</v>
      </c>
      <c r="D706" s="279">
        <f>+D686+D692+D696+D705</f>
        <v>130852</v>
      </c>
      <c r="E706" s="211">
        <f t="shared" si="99"/>
        <v>280768</v>
      </c>
      <c r="F706" s="210">
        <f>+F686+F692+F696+F705</f>
        <v>152838</v>
      </c>
      <c r="G706" s="210">
        <f>+G686+G692+G696+G705</f>
        <v>168705</v>
      </c>
      <c r="H706" s="210">
        <f>+H686+H692+H696+H705</f>
        <v>181604</v>
      </c>
      <c r="I706" s="211">
        <f t="shared" si="100"/>
        <v>503147</v>
      </c>
      <c r="J706" s="210">
        <f>+J686+J692+J696+J705</f>
        <v>193066</v>
      </c>
      <c r="K706" s="210">
        <f>+K686+K692+K696+K705</f>
        <v>201282</v>
      </c>
      <c r="L706" s="210">
        <f>+L686+L692+L696+L705</f>
        <v>134258</v>
      </c>
      <c r="M706" s="211">
        <f t="shared" si="101"/>
        <v>528606</v>
      </c>
      <c r="N706" s="210">
        <f>+N686+N692+N696+N705</f>
        <v>117993</v>
      </c>
      <c r="O706" s="210">
        <f>+O686+O692+O696+O705</f>
        <v>57939</v>
      </c>
      <c r="P706" s="210">
        <f>+P686+P692+P696+P705</f>
        <v>94280</v>
      </c>
      <c r="Q706" s="211">
        <f t="shared" si="102"/>
        <v>270212</v>
      </c>
      <c r="R706" s="231">
        <f t="shared" si="103"/>
        <v>1582733</v>
      </c>
    </row>
    <row r="707" spans="1:18" ht="15.75" customHeight="1" x14ac:dyDescent="0.35">
      <c r="A707" s="140"/>
      <c r="B707" s="140"/>
      <c r="C707" s="140"/>
      <c r="D707" s="140"/>
      <c r="E707" s="140"/>
      <c r="F707" s="140"/>
      <c r="G707" s="140"/>
      <c r="H707" s="140"/>
      <c r="I707" s="140"/>
      <c r="J707" s="140"/>
      <c r="K707" s="140"/>
      <c r="L707" s="140"/>
      <c r="M707" s="140"/>
      <c r="N707" s="140"/>
      <c r="O707" s="150"/>
      <c r="P707" s="140"/>
      <c r="Q707" s="140"/>
      <c r="R707" s="141"/>
    </row>
    <row r="708" spans="1:18" ht="15.75" customHeight="1" x14ac:dyDescent="0.35">
      <c r="A708" s="140"/>
      <c r="B708" s="140"/>
      <c r="C708" s="140"/>
      <c r="D708" s="140"/>
      <c r="E708" s="140"/>
      <c r="F708" s="140"/>
      <c r="G708" s="140"/>
      <c r="H708" s="140"/>
      <c r="I708" s="140"/>
      <c r="J708" s="140"/>
      <c r="K708" s="140"/>
      <c r="L708" s="140"/>
      <c r="M708" s="140"/>
      <c r="N708" s="140"/>
      <c r="O708" s="150"/>
      <c r="P708" s="140"/>
      <c r="Q708" s="141" t="str">
        <f>+Q1</f>
        <v>PRINTED:</v>
      </c>
      <c r="R708" s="142">
        <f ca="1">+R1</f>
        <v>44909.46975358796</v>
      </c>
    </row>
    <row r="709" spans="1:18" ht="15.75" customHeight="1" x14ac:dyDescent="0.35">
      <c r="A709" s="565" t="s">
        <v>1</v>
      </c>
      <c r="B709" s="565"/>
      <c r="C709" s="565"/>
      <c r="D709" s="565"/>
      <c r="E709" s="565"/>
      <c r="F709" s="565"/>
      <c r="G709" s="565"/>
      <c r="H709" s="565"/>
      <c r="I709" s="565"/>
      <c r="J709" s="565"/>
      <c r="K709" s="565"/>
      <c r="L709" s="565"/>
      <c r="M709" s="565"/>
      <c r="N709" s="565"/>
      <c r="O709" s="565"/>
      <c r="P709" s="565"/>
      <c r="Q709" s="565"/>
      <c r="R709" s="565"/>
    </row>
    <row r="710" spans="1:18" ht="15.75" customHeight="1" x14ac:dyDescent="0.35">
      <c r="A710" s="565" t="s">
        <v>2</v>
      </c>
      <c r="B710" s="565"/>
      <c r="C710" s="565"/>
      <c r="D710" s="565"/>
      <c r="E710" s="565"/>
      <c r="F710" s="565"/>
      <c r="G710" s="565"/>
      <c r="H710" s="565"/>
      <c r="I710" s="565"/>
      <c r="J710" s="565"/>
      <c r="K710" s="565"/>
      <c r="L710" s="565"/>
      <c r="M710" s="565"/>
      <c r="N710" s="565"/>
      <c r="O710" s="565"/>
      <c r="P710" s="565"/>
      <c r="Q710" s="565"/>
      <c r="R710" s="565"/>
    </row>
    <row r="711" spans="1:18" ht="15.75" customHeight="1" x14ac:dyDescent="0.35">
      <c r="A711" s="565" t="s">
        <v>3</v>
      </c>
      <c r="B711" s="565"/>
      <c r="C711" s="565"/>
      <c r="D711" s="565"/>
      <c r="E711" s="565"/>
      <c r="F711" s="565"/>
      <c r="G711" s="565"/>
      <c r="H711" s="565"/>
      <c r="I711" s="565"/>
      <c r="J711" s="565"/>
      <c r="K711" s="565"/>
      <c r="L711" s="565"/>
      <c r="M711" s="565"/>
      <c r="N711" s="565"/>
      <c r="O711" s="565"/>
      <c r="P711" s="565"/>
      <c r="Q711" s="565"/>
      <c r="R711" s="565"/>
    </row>
    <row r="712" spans="1:18" ht="15.75" customHeight="1" x14ac:dyDescent="0.35">
      <c r="A712" s="565" t="str">
        <f>+A5</f>
        <v>Calendar Year 2009</v>
      </c>
      <c r="B712" s="565"/>
      <c r="C712" s="565"/>
      <c r="D712" s="565"/>
      <c r="E712" s="565"/>
      <c r="F712" s="565"/>
      <c r="G712" s="565"/>
      <c r="H712" s="565"/>
      <c r="I712" s="565"/>
      <c r="J712" s="565"/>
      <c r="K712" s="565"/>
      <c r="L712" s="565"/>
      <c r="M712" s="565"/>
      <c r="N712" s="565"/>
      <c r="O712" s="565"/>
      <c r="P712" s="565"/>
      <c r="Q712" s="565"/>
      <c r="R712" s="565"/>
    </row>
    <row r="713" spans="1:18" ht="15.75" customHeight="1" x14ac:dyDescent="0.35">
      <c r="A713" s="140"/>
      <c r="B713" s="140"/>
      <c r="C713" s="140"/>
      <c r="D713" s="143"/>
      <c r="E713" s="143"/>
      <c r="F713" s="143"/>
      <c r="G713" s="144"/>
      <c r="H713" s="143"/>
      <c r="I713" s="143"/>
      <c r="J713" s="144"/>
      <c r="K713" s="144"/>
      <c r="L713" s="144"/>
      <c r="M713" s="144"/>
      <c r="N713" s="140"/>
      <c r="O713" s="144"/>
      <c r="P713" s="144"/>
      <c r="Q713" s="144"/>
      <c r="R713" s="144"/>
    </row>
    <row r="714" spans="1:18" ht="15.75" customHeight="1" x14ac:dyDescent="0.35">
      <c r="A714" s="565" t="str">
        <f>+A8</f>
        <v>Revised:  1/25/10</v>
      </c>
      <c r="B714" s="565"/>
      <c r="C714" s="565"/>
      <c r="D714" s="565"/>
      <c r="E714" s="565"/>
      <c r="F714" s="565"/>
      <c r="G714" s="565"/>
      <c r="H714" s="565"/>
      <c r="I714" s="565"/>
      <c r="J714" s="565"/>
      <c r="K714" s="565"/>
      <c r="L714" s="565"/>
      <c r="M714" s="565"/>
      <c r="N714" s="565"/>
      <c r="O714" s="565"/>
      <c r="P714" s="565"/>
      <c r="Q714" s="565"/>
      <c r="R714" s="565"/>
    </row>
    <row r="715" spans="1:18" ht="15.75" customHeight="1" x14ac:dyDescent="0.35">
      <c r="A715" s="145"/>
      <c r="B715" s="145"/>
      <c r="C715" s="145"/>
      <c r="D715" s="145"/>
      <c r="E715" s="145"/>
      <c r="F715" s="145"/>
      <c r="G715" s="145"/>
      <c r="H715" s="145"/>
      <c r="I715" s="145"/>
      <c r="J715" s="145"/>
      <c r="K715" s="145"/>
      <c r="L715" s="145"/>
      <c r="M715" s="145"/>
      <c r="N715" s="145"/>
      <c r="O715" s="145"/>
      <c r="P715" s="145"/>
      <c r="Q715" s="145"/>
      <c r="R715" s="145"/>
    </row>
    <row r="716" spans="1:18" ht="15.75" customHeight="1" x14ac:dyDescent="0.35">
      <c r="A716" s="139"/>
      <c r="B716" s="140"/>
      <c r="C716" s="140"/>
      <c r="D716" s="140"/>
      <c r="E716" s="140"/>
      <c r="F716" s="140"/>
      <c r="G716" s="140"/>
      <c r="H716" s="140"/>
      <c r="I716" s="140"/>
      <c r="J716" s="140"/>
      <c r="K716" s="140"/>
      <c r="L716" s="140"/>
      <c r="M716" s="140"/>
      <c r="N716" s="140"/>
      <c r="O716" s="140"/>
      <c r="P716" s="140"/>
      <c r="Q716" s="140"/>
      <c r="R716" s="141"/>
    </row>
    <row r="717" spans="1:18" ht="15.75" customHeight="1" thickBot="1" x14ac:dyDescent="0.4">
      <c r="A717" s="140"/>
      <c r="B717" s="140"/>
      <c r="C717" s="140"/>
      <c r="D717" s="140"/>
      <c r="E717" s="140"/>
      <c r="F717" s="140"/>
      <c r="G717" s="140"/>
      <c r="H717" s="140"/>
      <c r="I717" s="140"/>
      <c r="J717" s="140"/>
      <c r="K717" s="140"/>
      <c r="L717" s="140"/>
      <c r="M717" s="140"/>
      <c r="N717" s="140"/>
      <c r="O717" s="150"/>
      <c r="P717" s="140"/>
      <c r="Q717" s="140"/>
      <c r="R717" s="141"/>
    </row>
    <row r="718" spans="1:18" ht="15.75" customHeight="1" thickBot="1" x14ac:dyDescent="0.4">
      <c r="A718" s="256" t="s">
        <v>380</v>
      </c>
      <c r="B718" s="203" t="s">
        <v>8</v>
      </c>
      <c r="C718" s="9" t="s">
        <v>9</v>
      </c>
      <c r="D718" s="9" t="s">
        <v>10</v>
      </c>
      <c r="E718" s="10" t="s">
        <v>11</v>
      </c>
      <c r="F718" s="9" t="s">
        <v>12</v>
      </c>
      <c r="G718" s="9" t="s">
        <v>13</v>
      </c>
      <c r="H718" s="9" t="s">
        <v>14</v>
      </c>
      <c r="I718" s="10" t="s">
        <v>15</v>
      </c>
      <c r="J718" s="9" t="s">
        <v>16</v>
      </c>
      <c r="K718" s="9" t="s">
        <v>17</v>
      </c>
      <c r="L718" s="9" t="s">
        <v>18</v>
      </c>
      <c r="M718" s="10" t="s">
        <v>19</v>
      </c>
      <c r="N718" s="9" t="s">
        <v>20</v>
      </c>
      <c r="O718" s="9" t="s">
        <v>21</v>
      </c>
      <c r="P718" s="9" t="s">
        <v>22</v>
      </c>
      <c r="Q718" s="10" t="s">
        <v>23</v>
      </c>
      <c r="R718" s="280" t="s">
        <v>24</v>
      </c>
    </row>
    <row r="719" spans="1:18" ht="15.75" customHeight="1" thickBot="1" x14ac:dyDescent="0.4">
      <c r="A719" s="281"/>
      <c r="B719" s="282"/>
      <c r="C719" s="282"/>
      <c r="D719" s="282"/>
      <c r="E719" s="14"/>
      <c r="F719" s="282"/>
      <c r="G719" s="282"/>
      <c r="H719" s="282"/>
      <c r="I719" s="194"/>
      <c r="J719" s="282"/>
      <c r="K719" s="282"/>
      <c r="L719" s="282"/>
      <c r="M719" s="194"/>
      <c r="N719" s="282"/>
      <c r="O719" s="282"/>
      <c r="P719" s="282"/>
      <c r="Q719" s="264"/>
      <c r="R719" s="283"/>
    </row>
    <row r="720" spans="1:18" ht="15.75" customHeight="1" thickBot="1" x14ac:dyDescent="0.4">
      <c r="A720" s="284" t="s">
        <v>381</v>
      </c>
      <c r="B720" s="285">
        <f>+B686</f>
        <v>36986</v>
      </c>
      <c r="C720" s="285">
        <f>+C686</f>
        <v>23995</v>
      </c>
      <c r="D720" s="285">
        <f>+D686</f>
        <v>40845</v>
      </c>
      <c r="E720" s="237">
        <f>+SUM(B720:D720)</f>
        <v>101826</v>
      </c>
      <c r="F720" s="285">
        <f>+F686</f>
        <v>48346</v>
      </c>
      <c r="G720" s="285">
        <f>+G686</f>
        <v>37444</v>
      </c>
      <c r="H720" s="285">
        <f>+H686</f>
        <v>31102</v>
      </c>
      <c r="I720" s="237">
        <f>+SUM(F720:H720)</f>
        <v>116892</v>
      </c>
      <c r="J720" s="285">
        <f>+J686</f>
        <v>60617</v>
      </c>
      <c r="K720" s="285">
        <f>+K686</f>
        <v>62304</v>
      </c>
      <c r="L720" s="285">
        <f>+L686</f>
        <v>46610</v>
      </c>
      <c r="M720" s="237">
        <f>+SUM(J720:L720)</f>
        <v>169531</v>
      </c>
      <c r="N720" s="285">
        <f>+N686</f>
        <v>50330</v>
      </c>
      <c r="O720" s="285">
        <f>+O686</f>
        <v>27725</v>
      </c>
      <c r="P720" s="285">
        <f>+P686</f>
        <v>43391</v>
      </c>
      <c r="Q720" s="237">
        <f>+SUM(N720:P720)</f>
        <v>121446</v>
      </c>
      <c r="R720" s="211">
        <f>+E720+I720+M720+Q720</f>
        <v>509695</v>
      </c>
    </row>
    <row r="721" spans="1:18" ht="15.75" customHeight="1" thickBot="1" x14ac:dyDescent="0.4">
      <c r="A721" s="190"/>
      <c r="B721" s="237"/>
      <c r="C721" s="237"/>
      <c r="D721" s="237"/>
      <c r="E721" s="237"/>
      <c r="F721" s="237"/>
      <c r="G721" s="237"/>
      <c r="H721" s="237"/>
      <c r="I721" s="237"/>
      <c r="J721" s="237"/>
      <c r="K721" s="237"/>
      <c r="L721" s="237"/>
      <c r="M721" s="237"/>
      <c r="N721" s="237"/>
      <c r="O721" s="237"/>
      <c r="P721" s="237"/>
      <c r="Q721" s="237"/>
      <c r="R721" s="211"/>
    </row>
    <row r="722" spans="1:18" ht="15.75" customHeight="1" thickBot="1" x14ac:dyDescent="0.4">
      <c r="A722" s="284" t="s">
        <v>382</v>
      </c>
      <c r="B722" s="285">
        <f>+B692</f>
        <v>10562</v>
      </c>
      <c r="C722" s="285">
        <f>+C692</f>
        <v>16199</v>
      </c>
      <c r="D722" s="285">
        <f>+D692</f>
        <v>37867</v>
      </c>
      <c r="E722" s="237">
        <f>+SUM(B722:D722)</f>
        <v>64628</v>
      </c>
      <c r="F722" s="285">
        <f>+F692</f>
        <v>59336</v>
      </c>
      <c r="G722" s="285">
        <f>+G692</f>
        <v>52656</v>
      </c>
      <c r="H722" s="285">
        <f>+H692</f>
        <v>52095</v>
      </c>
      <c r="I722" s="237">
        <f>+SUM(F722:H722)</f>
        <v>164087</v>
      </c>
      <c r="J722" s="285">
        <f>+J692</f>
        <v>54211</v>
      </c>
      <c r="K722" s="285">
        <f>+K692</f>
        <v>41510</v>
      </c>
      <c r="L722" s="285">
        <f>+L692</f>
        <v>22228</v>
      </c>
      <c r="M722" s="237">
        <f>+SUM(J722:L722)</f>
        <v>117949</v>
      </c>
      <c r="N722" s="285">
        <f>+N692</f>
        <v>13886</v>
      </c>
      <c r="O722" s="285">
        <f>+O692</f>
        <v>1981</v>
      </c>
      <c r="P722" s="285">
        <f>+P692</f>
        <v>7039</v>
      </c>
      <c r="Q722" s="237">
        <f>+SUM(N722:P722)</f>
        <v>22906</v>
      </c>
      <c r="R722" s="211">
        <f>+E722+I722+M722+Q722</f>
        <v>369570</v>
      </c>
    </row>
    <row r="723" spans="1:18" ht="15.75" customHeight="1" thickBot="1" x14ac:dyDescent="0.4">
      <c r="A723" s="190"/>
      <c r="B723" s="237"/>
      <c r="C723" s="237"/>
      <c r="D723" s="237"/>
      <c r="E723" s="237"/>
      <c r="F723" s="237"/>
      <c r="G723" s="237"/>
      <c r="H723" s="237"/>
      <c r="I723" s="237"/>
      <c r="J723" s="237"/>
      <c r="K723" s="237"/>
      <c r="L723" s="237"/>
      <c r="M723" s="237"/>
      <c r="N723" s="237"/>
      <c r="O723" s="237"/>
      <c r="P723" s="237"/>
      <c r="Q723" s="237"/>
      <c r="R723" s="211"/>
    </row>
    <row r="724" spans="1:18" ht="15.75" customHeight="1" thickBot="1" x14ac:dyDescent="0.4">
      <c r="A724" s="284" t="s">
        <v>383</v>
      </c>
      <c r="B724" s="285">
        <f>+B696</f>
        <v>12811</v>
      </c>
      <c r="C724" s="285">
        <f>+C696</f>
        <v>22658</v>
      </c>
      <c r="D724" s="285">
        <f>+D696</f>
        <v>27452</v>
      </c>
      <c r="E724" s="237">
        <f>+SUM(B724:D724)</f>
        <v>62921</v>
      </c>
      <c r="F724" s="285">
        <f>+F696</f>
        <v>17298</v>
      </c>
      <c r="G724" s="285">
        <f>+G696</f>
        <v>34808</v>
      </c>
      <c r="H724" s="285">
        <f>+H696</f>
        <v>34915</v>
      </c>
      <c r="I724" s="237">
        <f>+SUM(F724:H724)</f>
        <v>87021</v>
      </c>
      <c r="J724" s="285">
        <f>+J696</f>
        <v>17278</v>
      </c>
      <c r="K724" s="285">
        <f>+K696</f>
        <v>21492</v>
      </c>
      <c r="L724" s="285">
        <f>+L696</f>
        <v>20214</v>
      </c>
      <c r="M724" s="237">
        <f>+SUM(J724:L724)</f>
        <v>58984</v>
      </c>
      <c r="N724" s="285">
        <f>+N696</f>
        <v>11648</v>
      </c>
      <c r="O724" s="285">
        <f>+O696</f>
        <v>5272</v>
      </c>
      <c r="P724" s="285">
        <f>+P696</f>
        <v>7693</v>
      </c>
      <c r="Q724" s="237">
        <f>+SUM(N724:P724)</f>
        <v>24613</v>
      </c>
      <c r="R724" s="211">
        <f>+E724+I724+M724+Q724</f>
        <v>233539</v>
      </c>
    </row>
    <row r="725" spans="1:18" ht="15.75" customHeight="1" thickBot="1" x14ac:dyDescent="0.4">
      <c r="A725" s="190"/>
      <c r="B725" s="237"/>
      <c r="C725" s="237"/>
      <c r="D725" s="237"/>
      <c r="E725" s="237"/>
      <c r="F725" s="237"/>
      <c r="G725" s="237"/>
      <c r="H725" s="237"/>
      <c r="I725" s="237"/>
      <c r="J725" s="237"/>
      <c r="K725" s="237"/>
      <c r="L725" s="237"/>
      <c r="M725" s="237"/>
      <c r="N725" s="237"/>
      <c r="O725" s="237"/>
      <c r="P725" s="237"/>
      <c r="Q725" s="237"/>
      <c r="R725" s="211"/>
    </row>
    <row r="726" spans="1:18" ht="15.75" customHeight="1" thickBot="1" x14ac:dyDescent="0.4">
      <c r="A726" s="284" t="s">
        <v>384</v>
      </c>
      <c r="B726" s="285">
        <f>+B705</f>
        <v>14759</v>
      </c>
      <c r="C726" s="285">
        <f>+C705</f>
        <v>11946</v>
      </c>
      <c r="D726" s="285">
        <f>+D705</f>
        <v>24688</v>
      </c>
      <c r="E726" s="237">
        <f>+SUM(B726:D726)</f>
        <v>51393</v>
      </c>
      <c r="F726" s="285">
        <f>+F705</f>
        <v>27858</v>
      </c>
      <c r="G726" s="285">
        <f>+G705</f>
        <v>43797</v>
      </c>
      <c r="H726" s="285">
        <f>+H705</f>
        <v>63492</v>
      </c>
      <c r="I726" s="237">
        <f>+SUM(F726:H726)</f>
        <v>135147</v>
      </c>
      <c r="J726" s="285">
        <f>+J705</f>
        <v>60960</v>
      </c>
      <c r="K726" s="285">
        <f>+K705</f>
        <v>75976</v>
      </c>
      <c r="L726" s="285">
        <f>+L705</f>
        <v>45206</v>
      </c>
      <c r="M726" s="237">
        <f>+SUM(J726:L726)</f>
        <v>182142</v>
      </c>
      <c r="N726" s="285">
        <f>+N705</f>
        <v>42129</v>
      </c>
      <c r="O726" s="285">
        <f>+O705</f>
        <v>22961</v>
      </c>
      <c r="P726" s="285">
        <f>+P705</f>
        <v>36157</v>
      </c>
      <c r="Q726" s="237">
        <f>+SUM(N726:P726)</f>
        <v>101247</v>
      </c>
      <c r="R726" s="211">
        <f>+E726+I726+M726+Q726</f>
        <v>469929</v>
      </c>
    </row>
    <row r="727" spans="1:18" ht="15.75" customHeight="1" thickBot="1" x14ac:dyDescent="0.4">
      <c r="A727" s="190"/>
      <c r="B727" s="237"/>
      <c r="C727" s="237"/>
      <c r="D727" s="237"/>
      <c r="E727" s="237"/>
      <c r="F727" s="237"/>
      <c r="G727" s="237"/>
      <c r="H727" s="237"/>
      <c r="I727" s="237"/>
      <c r="J727" s="237"/>
      <c r="K727" s="237"/>
      <c r="L727" s="237"/>
      <c r="M727" s="237"/>
      <c r="N727" s="237"/>
      <c r="O727" s="237"/>
      <c r="P727" s="237"/>
      <c r="Q727" s="237"/>
      <c r="R727" s="211"/>
    </row>
    <row r="728" spans="1:18" ht="15.75" customHeight="1" thickBot="1" x14ac:dyDescent="0.4">
      <c r="A728" s="190" t="s">
        <v>385</v>
      </c>
      <c r="B728" s="240">
        <f t="shared" ref="B728:R728" si="104">+SUM(B720:B726)</f>
        <v>75118</v>
      </c>
      <c r="C728" s="240">
        <f t="shared" si="104"/>
        <v>74798</v>
      </c>
      <c r="D728" s="240">
        <f t="shared" si="104"/>
        <v>130852</v>
      </c>
      <c r="E728" s="240">
        <f t="shared" si="104"/>
        <v>280768</v>
      </c>
      <c r="F728" s="240">
        <f t="shared" si="104"/>
        <v>152838</v>
      </c>
      <c r="G728" s="240">
        <f t="shared" si="104"/>
        <v>168705</v>
      </c>
      <c r="H728" s="240">
        <f t="shared" si="104"/>
        <v>181604</v>
      </c>
      <c r="I728" s="240">
        <f t="shared" si="104"/>
        <v>503147</v>
      </c>
      <c r="J728" s="240">
        <f t="shared" si="104"/>
        <v>193066</v>
      </c>
      <c r="K728" s="240">
        <f t="shared" si="104"/>
        <v>201282</v>
      </c>
      <c r="L728" s="240">
        <f t="shared" si="104"/>
        <v>134258</v>
      </c>
      <c r="M728" s="240">
        <f t="shared" si="104"/>
        <v>528606</v>
      </c>
      <c r="N728" s="240">
        <f t="shared" si="104"/>
        <v>117993</v>
      </c>
      <c r="O728" s="240">
        <f t="shared" si="104"/>
        <v>57939</v>
      </c>
      <c r="P728" s="240">
        <f t="shared" si="104"/>
        <v>94280</v>
      </c>
      <c r="Q728" s="240">
        <f t="shared" si="104"/>
        <v>270212</v>
      </c>
      <c r="R728" s="286">
        <f t="shared" si="104"/>
        <v>1582733</v>
      </c>
    </row>
    <row r="729" spans="1:18" ht="15.75" customHeight="1" x14ac:dyDescent="0.35">
      <c r="A729" s="145"/>
      <c r="B729" s="158"/>
      <c r="C729" s="158"/>
      <c r="D729" s="158"/>
      <c r="E729" s="158"/>
      <c r="F729" s="158"/>
      <c r="G729" s="158"/>
      <c r="H729" s="158"/>
      <c r="I729" s="158"/>
      <c r="J729" s="158"/>
      <c r="K729" s="158"/>
      <c r="L729" s="158"/>
      <c r="M729" s="158"/>
      <c r="N729" s="158"/>
      <c r="O729" s="158"/>
      <c r="P729" s="158"/>
      <c r="Q729" s="158"/>
      <c r="R729" s="158"/>
    </row>
    <row r="730" spans="1:18" ht="15.75" customHeight="1" x14ac:dyDescent="0.3">
      <c r="A730" s="159"/>
      <c r="B730" s="159"/>
      <c r="C730" s="160" t="s">
        <v>386</v>
      </c>
      <c r="D730" s="159"/>
      <c r="E730" s="159"/>
      <c r="F730" s="159"/>
      <c r="G730" s="159"/>
      <c r="H730" s="159"/>
      <c r="I730" s="159"/>
      <c r="J730" s="159"/>
      <c r="K730" s="159"/>
      <c r="L730" s="159"/>
      <c r="M730" s="159"/>
      <c r="N730" s="159"/>
      <c r="O730" s="159"/>
      <c r="P730" s="159"/>
      <c r="Q730" s="161" t="str">
        <f>+Q1</f>
        <v>PRINTED:</v>
      </c>
      <c r="R730" s="162">
        <f ca="1">+R1</f>
        <v>44909.46975358796</v>
      </c>
    </row>
    <row r="731" spans="1:18" ht="15.75" customHeight="1" x14ac:dyDescent="0.3">
      <c r="A731" s="159"/>
      <c r="B731" s="159"/>
      <c r="C731" s="159"/>
      <c r="D731" s="159"/>
      <c r="E731" s="159" t="s">
        <v>7</v>
      </c>
      <c r="F731" s="163" t="str">
        <f>+A8</f>
        <v>Revised:  1/25/10</v>
      </c>
      <c r="G731" s="159"/>
      <c r="H731" s="159"/>
      <c r="I731" s="159"/>
      <c r="J731" s="159"/>
      <c r="K731" s="159"/>
      <c r="L731" s="159"/>
      <c r="M731" s="159"/>
      <c r="N731" s="159"/>
      <c r="O731" s="159"/>
      <c r="P731" s="159"/>
      <c r="Q731" s="159"/>
      <c r="R731" s="159"/>
    </row>
    <row r="732" spans="1:18" ht="15.75" customHeight="1" x14ac:dyDescent="0.3">
      <c r="A732" s="159"/>
      <c r="B732" s="159"/>
      <c r="C732" s="159"/>
      <c r="D732" s="159" t="s">
        <v>387</v>
      </c>
      <c r="E732" s="159"/>
      <c r="F732" s="159"/>
      <c r="G732" s="159"/>
      <c r="H732" s="159"/>
      <c r="I732" s="159"/>
      <c r="J732" s="159"/>
      <c r="K732" s="159"/>
      <c r="L732" s="159"/>
      <c r="M732" s="159"/>
      <c r="N732" s="159"/>
      <c r="O732" s="159"/>
      <c r="P732" s="159"/>
      <c r="Q732" s="159"/>
      <c r="R732" s="159"/>
    </row>
    <row r="733" spans="1:18" ht="15.75" customHeight="1" x14ac:dyDescent="0.3">
      <c r="A733" s="159"/>
      <c r="B733" s="159"/>
      <c r="C733" s="159"/>
      <c r="D733" s="159"/>
      <c r="E733" s="159"/>
      <c r="F733" s="159"/>
      <c r="G733" s="159"/>
      <c r="H733" s="159"/>
      <c r="I733" s="159"/>
      <c r="J733" s="159"/>
      <c r="K733" s="159"/>
      <c r="L733" s="159"/>
      <c r="M733" s="159"/>
      <c r="N733" s="159"/>
      <c r="O733" s="159"/>
      <c r="P733" s="159"/>
      <c r="Q733" s="159"/>
      <c r="R733" s="159"/>
    </row>
    <row r="734" spans="1:18" ht="15.75" customHeight="1" x14ac:dyDescent="0.3">
      <c r="A734" s="159"/>
      <c r="B734" s="159"/>
      <c r="C734" s="159"/>
      <c r="D734" s="159"/>
      <c r="E734" s="159" t="str">
        <f>+A5</f>
        <v>Calendar Year 2009</v>
      </c>
      <c r="F734" s="159"/>
      <c r="G734" s="159"/>
      <c r="H734" s="159"/>
      <c r="I734" s="159"/>
      <c r="J734" s="159"/>
      <c r="K734" s="159"/>
      <c r="L734" s="159"/>
      <c r="M734" s="159"/>
      <c r="N734" s="159"/>
      <c r="O734" s="159"/>
      <c r="P734" s="159"/>
      <c r="Q734" s="159"/>
      <c r="R734" s="159"/>
    </row>
    <row r="735" spans="1:18" ht="15.75" customHeight="1" x14ac:dyDescent="0.3">
      <c r="A735" s="159"/>
      <c r="B735" s="159"/>
      <c r="C735" s="159"/>
      <c r="D735" s="159"/>
      <c r="E735" s="159" t="s">
        <v>388</v>
      </c>
      <c r="F735" s="159"/>
      <c r="G735" s="159"/>
      <c r="H735" s="159"/>
      <c r="I735" s="159"/>
      <c r="J735" s="159"/>
      <c r="K735" s="159"/>
      <c r="L735" s="159"/>
      <c r="M735" s="159"/>
      <c r="N735" s="159"/>
      <c r="O735" s="159"/>
      <c r="P735" s="159"/>
      <c r="Q735" s="159"/>
      <c r="R735" s="159"/>
    </row>
    <row r="736" spans="1:18" ht="15.75" customHeight="1" x14ac:dyDescent="0.3">
      <c r="A736" s="159"/>
      <c r="B736" s="159"/>
      <c r="C736" s="159"/>
      <c r="D736" s="159"/>
      <c r="E736" s="159"/>
      <c r="F736" s="159"/>
      <c r="G736" s="159"/>
      <c r="H736" s="159"/>
      <c r="I736" s="159"/>
      <c r="J736" s="159"/>
      <c r="K736" s="159"/>
      <c r="L736" s="159"/>
      <c r="M736" s="159"/>
      <c r="N736" s="159"/>
      <c r="O736" s="159"/>
      <c r="P736" s="159"/>
      <c r="Q736" s="159"/>
      <c r="R736" s="159"/>
    </row>
    <row r="737" spans="1:18" ht="15.75" customHeight="1" x14ac:dyDescent="0.3">
      <c r="A737" s="159" t="s">
        <v>389</v>
      </c>
      <c r="B737" s="164" t="s">
        <v>390</v>
      </c>
      <c r="C737" s="164" t="s">
        <v>391</v>
      </c>
      <c r="D737" s="164" t="s">
        <v>392</v>
      </c>
      <c r="E737" s="164" t="s">
        <v>393</v>
      </c>
      <c r="F737" s="164" t="s">
        <v>394</v>
      </c>
      <c r="G737" s="164" t="s">
        <v>394</v>
      </c>
      <c r="H737" s="164" t="s">
        <v>395</v>
      </c>
      <c r="I737" s="164" t="s">
        <v>396</v>
      </c>
      <c r="J737" s="164" t="s">
        <v>397</v>
      </c>
      <c r="K737" s="164" t="s">
        <v>398</v>
      </c>
      <c r="L737" s="164" t="s">
        <v>399</v>
      </c>
      <c r="M737" s="164" t="s">
        <v>400</v>
      </c>
      <c r="N737" s="164" t="s">
        <v>401</v>
      </c>
      <c r="O737" s="164" t="s">
        <v>402</v>
      </c>
      <c r="P737" s="164" t="s">
        <v>403</v>
      </c>
      <c r="Q737" s="164" t="s">
        <v>404</v>
      </c>
      <c r="R737" s="159"/>
    </row>
    <row r="738" spans="1:18" ht="15.75" customHeight="1" x14ac:dyDescent="0.3">
      <c r="A738" s="159" t="s">
        <v>405</v>
      </c>
      <c r="B738" s="159"/>
      <c r="C738" s="159"/>
      <c r="D738" s="159"/>
      <c r="E738" s="159"/>
      <c r="F738" s="164" t="s">
        <v>406</v>
      </c>
      <c r="G738" s="164" t="s">
        <v>407</v>
      </c>
      <c r="H738" s="159"/>
      <c r="I738" s="159"/>
      <c r="J738" s="159"/>
      <c r="K738" s="159"/>
      <c r="L738" s="159"/>
      <c r="M738" s="159"/>
      <c r="N738" s="159"/>
      <c r="O738" s="159"/>
      <c r="P738" s="159"/>
      <c r="Q738" s="159"/>
      <c r="R738" s="159"/>
    </row>
    <row r="739" spans="1:18" ht="15.75" customHeight="1" x14ac:dyDescent="0.3">
      <c r="A739" s="159" t="s">
        <v>408</v>
      </c>
      <c r="B739" s="159">
        <v>953</v>
      </c>
      <c r="C739" s="159">
        <v>128</v>
      </c>
      <c r="D739" s="159">
        <v>128</v>
      </c>
      <c r="E739" s="159">
        <v>219</v>
      </c>
      <c r="F739" s="159">
        <v>179</v>
      </c>
      <c r="G739" s="159">
        <v>121</v>
      </c>
      <c r="H739" s="159">
        <v>92</v>
      </c>
      <c r="I739" s="159">
        <v>150</v>
      </c>
      <c r="J739" s="159">
        <v>237</v>
      </c>
      <c r="K739" s="159">
        <v>226</v>
      </c>
      <c r="L739" s="159">
        <v>99</v>
      </c>
      <c r="M739" s="159">
        <v>102</v>
      </c>
      <c r="N739" s="159">
        <v>249</v>
      </c>
      <c r="O739" s="159">
        <v>189</v>
      </c>
      <c r="P739" s="159">
        <v>333</v>
      </c>
      <c r="Q739" s="159">
        <v>411</v>
      </c>
      <c r="R739" s="159"/>
    </row>
    <row r="740" spans="1:18" ht="15.75" customHeight="1" x14ac:dyDescent="0.3">
      <c r="A740" s="159"/>
      <c r="B740" s="159" t="s">
        <v>409</v>
      </c>
      <c r="C740" s="159" t="s">
        <v>409</v>
      </c>
      <c r="D740" s="159" t="s">
        <v>409</v>
      </c>
      <c r="E740" s="159" t="s">
        <v>409</v>
      </c>
      <c r="F740" s="159" t="s">
        <v>409</v>
      </c>
      <c r="G740" s="159" t="s">
        <v>409</v>
      </c>
      <c r="H740" s="159" t="s">
        <v>409</v>
      </c>
      <c r="I740" s="159" t="s">
        <v>409</v>
      </c>
      <c r="J740" s="159" t="s">
        <v>409</v>
      </c>
      <c r="K740" s="159" t="s">
        <v>409</v>
      </c>
      <c r="L740" s="159" t="s">
        <v>409</v>
      </c>
      <c r="M740" s="159" t="s">
        <v>409</v>
      </c>
      <c r="N740" s="159" t="s">
        <v>409</v>
      </c>
      <c r="O740" s="159" t="s">
        <v>409</v>
      </c>
      <c r="P740" s="159" t="s">
        <v>409</v>
      </c>
      <c r="Q740" s="159" t="s">
        <v>409</v>
      </c>
      <c r="R740" s="159"/>
    </row>
    <row r="741" spans="1:18" ht="15.75" customHeight="1" x14ac:dyDescent="0.3">
      <c r="A741" s="164" t="s">
        <v>410</v>
      </c>
      <c r="B741" s="159">
        <f>+B31</f>
        <v>172706</v>
      </c>
      <c r="C741" s="159">
        <f>+B66</f>
        <v>172609</v>
      </c>
      <c r="D741" s="159">
        <f>+B132</f>
        <v>172513</v>
      </c>
      <c r="E741" s="159">
        <f>+B246</f>
        <v>162308</v>
      </c>
      <c r="F741" s="159">
        <f>+B241</f>
        <v>97686</v>
      </c>
      <c r="G741" s="159">
        <f>+B253</f>
        <v>0</v>
      </c>
      <c r="H741" s="159">
        <f>+B359</f>
        <v>43306</v>
      </c>
      <c r="I741" s="159">
        <f>+B399</f>
        <v>22875</v>
      </c>
      <c r="J741" s="159">
        <f>+B443</f>
        <v>22071</v>
      </c>
      <c r="K741" s="159">
        <f>+B494</f>
        <v>20523</v>
      </c>
      <c r="L741" s="159">
        <f>+B504</f>
        <v>16025</v>
      </c>
      <c r="M741" s="159">
        <f>+B539</f>
        <v>16005</v>
      </c>
      <c r="N741" s="159">
        <f>+B578</f>
        <v>15995</v>
      </c>
      <c r="O741" s="159">
        <f>+B588</f>
        <v>2448</v>
      </c>
      <c r="P741" s="159">
        <f>+B622</f>
        <v>5372</v>
      </c>
      <c r="Q741" s="159">
        <f>+B664</f>
        <v>2380</v>
      </c>
      <c r="R741" s="159"/>
    </row>
    <row r="742" spans="1:18" ht="15.75" customHeight="1" x14ac:dyDescent="0.3">
      <c r="A742" s="164" t="s">
        <v>411</v>
      </c>
      <c r="B742" s="159">
        <f>+C31</f>
        <v>160469</v>
      </c>
      <c r="C742" s="159">
        <f>+C66</f>
        <v>160321</v>
      </c>
      <c r="D742" s="159">
        <f>+C132</f>
        <v>160176</v>
      </c>
      <c r="E742" s="159">
        <f>+C246</f>
        <v>140487</v>
      </c>
      <c r="F742" s="159">
        <f>+C241</f>
        <v>85428</v>
      </c>
      <c r="G742" s="159">
        <f>+C253</f>
        <v>0</v>
      </c>
      <c r="H742" s="159">
        <f>+C359</f>
        <v>36966</v>
      </c>
      <c r="I742" s="159">
        <f>+C399</f>
        <v>9239</v>
      </c>
      <c r="J742" s="159">
        <f>+C443</f>
        <v>8109</v>
      </c>
      <c r="K742" s="159">
        <f>+C494</f>
        <v>6245</v>
      </c>
      <c r="L742" s="159">
        <f>+C504</f>
        <v>5592</v>
      </c>
      <c r="M742" s="159">
        <f>+C539</f>
        <v>5570</v>
      </c>
      <c r="N742" s="159">
        <f>+C578</f>
        <v>5559</v>
      </c>
      <c r="O742" s="159">
        <f>+C588</f>
        <v>1838</v>
      </c>
      <c r="P742" s="159">
        <f>+C622</f>
        <v>3888</v>
      </c>
      <c r="Q742" s="159">
        <f>+C664</f>
        <v>1812</v>
      </c>
      <c r="R742" s="159"/>
    </row>
    <row r="743" spans="1:18" ht="15.75" customHeight="1" x14ac:dyDescent="0.3">
      <c r="A743" s="164" t="s">
        <v>412</v>
      </c>
      <c r="B743" s="159">
        <f>+D31</f>
        <v>180951</v>
      </c>
      <c r="C743" s="159">
        <f>+D66</f>
        <v>180677</v>
      </c>
      <c r="D743" s="159">
        <f>+D132</f>
        <v>180416</v>
      </c>
      <c r="E743" s="159">
        <f>+D246</f>
        <v>151665</v>
      </c>
      <c r="F743" s="159">
        <f>+D241</f>
        <v>45817</v>
      </c>
      <c r="G743" s="159">
        <f>+D253</f>
        <v>0</v>
      </c>
      <c r="H743" s="159">
        <f>+D359</f>
        <v>76612</v>
      </c>
      <c r="I743" s="159">
        <f>+D399</f>
        <v>21322</v>
      </c>
      <c r="J743" s="159">
        <f>+D443</f>
        <v>12622</v>
      </c>
      <c r="K743" s="159">
        <f>+D494</f>
        <v>7146</v>
      </c>
      <c r="L743" s="159">
        <f>+D504</f>
        <v>5076</v>
      </c>
      <c r="M743" s="159">
        <f>+D539</f>
        <v>5048</v>
      </c>
      <c r="N743" s="159">
        <f>+D578</f>
        <v>4966</v>
      </c>
      <c r="O743" s="159">
        <f>+D588</f>
        <v>3150</v>
      </c>
      <c r="P743" s="159">
        <f>+D622</f>
        <v>6021</v>
      </c>
      <c r="Q743" s="159">
        <f>+D664</f>
        <v>3078</v>
      </c>
      <c r="R743" s="159"/>
    </row>
    <row r="744" spans="1:18" ht="15.75" customHeight="1" x14ac:dyDescent="0.3">
      <c r="A744" s="164" t="s">
        <v>413</v>
      </c>
      <c r="B744" s="159">
        <f>+F31</f>
        <v>173713</v>
      </c>
      <c r="C744" s="159">
        <f>+F66</f>
        <v>173346</v>
      </c>
      <c r="D744" s="159">
        <f>+F132</f>
        <v>172996</v>
      </c>
      <c r="E744" s="159">
        <f>+F246</f>
        <v>146681</v>
      </c>
      <c r="F744" s="159">
        <f>+F241</f>
        <v>20571</v>
      </c>
      <c r="G744" s="159">
        <f>+F253</f>
        <v>0</v>
      </c>
      <c r="H744" s="159">
        <f>+F359</f>
        <v>102185</v>
      </c>
      <c r="I744" s="159">
        <f>+F399</f>
        <v>36042</v>
      </c>
      <c r="J744" s="159">
        <f>+F443</f>
        <v>23514</v>
      </c>
      <c r="K744" s="159">
        <f>+F494</f>
        <v>16936</v>
      </c>
      <c r="L744" s="159">
        <f>+F504</f>
        <v>9690</v>
      </c>
      <c r="M744" s="159">
        <f>+F539</f>
        <v>9653</v>
      </c>
      <c r="N744" s="159">
        <f>+F578</f>
        <v>9635</v>
      </c>
      <c r="O744" s="159">
        <f>+F588</f>
        <v>2776</v>
      </c>
      <c r="P744" s="159">
        <f>+F622</f>
        <v>5042</v>
      </c>
      <c r="Q744" s="159">
        <f>+F664</f>
        <v>2702</v>
      </c>
      <c r="R744" s="159"/>
    </row>
    <row r="745" spans="1:18" ht="15.75" customHeight="1" x14ac:dyDescent="0.3">
      <c r="A745" s="164" t="s">
        <v>414</v>
      </c>
      <c r="B745" s="159">
        <f>+G31</f>
        <v>164967</v>
      </c>
      <c r="C745" s="159">
        <f>+G66</f>
        <v>164542</v>
      </c>
      <c r="D745" s="159">
        <f>+G132</f>
        <v>164140</v>
      </c>
      <c r="E745" s="159">
        <f>+G246</f>
        <v>136095</v>
      </c>
      <c r="F745" s="159">
        <f>+G241</f>
        <v>4193</v>
      </c>
      <c r="G745" s="159">
        <f>+G253</f>
        <v>-12106</v>
      </c>
      <c r="H745" s="159">
        <f>+G359</f>
        <v>106737</v>
      </c>
      <c r="I745" s="159">
        <f>+G399</f>
        <v>32144</v>
      </c>
      <c r="J745" s="159">
        <f>+G443</f>
        <v>21861</v>
      </c>
      <c r="K745" s="159">
        <f>+G494</f>
        <v>17064</v>
      </c>
      <c r="L745" s="159">
        <f>+G504</f>
        <v>11015</v>
      </c>
      <c r="M745" s="159">
        <f>+G539</f>
        <v>10973</v>
      </c>
      <c r="N745" s="159">
        <f>+G578</f>
        <v>10952</v>
      </c>
      <c r="O745" s="159">
        <f>+G588</f>
        <v>3707</v>
      </c>
      <c r="P745" s="159">
        <f>+G622</f>
        <v>5107</v>
      </c>
      <c r="Q745" s="159">
        <f>+G664</f>
        <v>3689</v>
      </c>
      <c r="R745" s="159"/>
    </row>
    <row r="746" spans="1:18" ht="15.75" customHeight="1" x14ac:dyDescent="0.3">
      <c r="A746" s="164" t="s">
        <v>415</v>
      </c>
      <c r="B746" s="159">
        <f>+H31</f>
        <v>96957</v>
      </c>
      <c r="C746" s="159">
        <f>+H66</f>
        <v>96540</v>
      </c>
      <c r="D746" s="159">
        <f>+H132</f>
        <v>96144</v>
      </c>
      <c r="E746" s="159">
        <f>+H246</f>
        <v>77591</v>
      </c>
      <c r="F746" s="159">
        <f>+H241</f>
        <v>0</v>
      </c>
      <c r="G746" s="159">
        <f>+H253</f>
        <v>-84124</v>
      </c>
      <c r="H746" s="159">
        <f>+H359</f>
        <v>129892</v>
      </c>
      <c r="I746" s="159">
        <f>+H399</f>
        <v>41269</v>
      </c>
      <c r="J746" s="159">
        <f>+H443</f>
        <v>25601</v>
      </c>
      <c r="K746" s="159">
        <f>+H494</f>
        <v>18824</v>
      </c>
      <c r="L746" s="159">
        <f>+H504</f>
        <v>12582</v>
      </c>
      <c r="M746" s="159">
        <f>+H539</f>
        <v>12538</v>
      </c>
      <c r="N746" s="159">
        <f>+H578</f>
        <v>12443</v>
      </c>
      <c r="O746" s="159">
        <f>+H588</f>
        <v>3715</v>
      </c>
      <c r="P746" s="159">
        <f>+H622</f>
        <v>5330</v>
      </c>
      <c r="Q746" s="159">
        <f>+H664</f>
        <v>3625</v>
      </c>
      <c r="R746" s="159"/>
    </row>
    <row r="747" spans="1:18" ht="15.75" customHeight="1" x14ac:dyDescent="0.3">
      <c r="A747" s="164" t="s">
        <v>416</v>
      </c>
      <c r="B747" s="159">
        <f>+J31</f>
        <v>76069</v>
      </c>
      <c r="C747" s="159">
        <f>+J66</f>
        <v>75653</v>
      </c>
      <c r="D747" s="159">
        <f>+J132</f>
        <v>75259</v>
      </c>
      <c r="E747" s="159">
        <f>+J246</f>
        <v>49706</v>
      </c>
      <c r="F747" s="159">
        <f>+J241</f>
        <v>0</v>
      </c>
      <c r="G747" s="159">
        <f>+J253</f>
        <v>-118289</v>
      </c>
      <c r="H747" s="159">
        <f>+J359</f>
        <v>133645</v>
      </c>
      <c r="I747" s="159">
        <f>+J399</f>
        <v>53336</v>
      </c>
      <c r="J747" s="159">
        <f>+J443</f>
        <v>35391</v>
      </c>
      <c r="K747" s="159">
        <f>+J494</f>
        <v>27602</v>
      </c>
      <c r="L747" s="159">
        <f>+J504</f>
        <v>19489</v>
      </c>
      <c r="M747" s="159">
        <f>+J539</f>
        <v>19450</v>
      </c>
      <c r="N747" s="159">
        <f>+J578</f>
        <v>18549</v>
      </c>
      <c r="O747" s="159">
        <f>+J588</f>
        <v>3276</v>
      </c>
      <c r="P747" s="159">
        <f>+J622</f>
        <v>5484</v>
      </c>
      <c r="Q747" s="159">
        <f>+J664</f>
        <v>3153</v>
      </c>
      <c r="R747" s="159"/>
    </row>
    <row r="748" spans="1:18" ht="15.75" customHeight="1" x14ac:dyDescent="0.3">
      <c r="A748" s="164" t="s">
        <v>417</v>
      </c>
      <c r="B748" s="159">
        <f>+K31</f>
        <v>71557</v>
      </c>
      <c r="C748" s="159">
        <f>+K66</f>
        <v>71223</v>
      </c>
      <c r="D748" s="159">
        <f>+K132</f>
        <v>70905</v>
      </c>
      <c r="E748" s="159">
        <f>+K246</f>
        <v>41035</v>
      </c>
      <c r="F748" s="159">
        <f>+K241</f>
        <v>0</v>
      </c>
      <c r="G748" s="159">
        <f>+K253</f>
        <v>-126218</v>
      </c>
      <c r="H748" s="159">
        <f>+K359</f>
        <v>135246</v>
      </c>
      <c r="I748" s="159">
        <f>+K399</f>
        <v>55055</v>
      </c>
      <c r="J748" s="159">
        <f>+K443</f>
        <v>36687</v>
      </c>
      <c r="K748" s="159">
        <f>+K494</f>
        <v>28556</v>
      </c>
      <c r="L748" s="159">
        <f>+K504</f>
        <v>21302</v>
      </c>
      <c r="M748" s="159">
        <f>+K539</f>
        <v>21266</v>
      </c>
      <c r="N748" s="159">
        <f>+K578</f>
        <v>20585</v>
      </c>
      <c r="O748" s="159">
        <f>+K588</f>
        <v>4558</v>
      </c>
      <c r="P748" s="159">
        <f>+K622</f>
        <v>5609</v>
      </c>
      <c r="Q748" s="159">
        <f>+K664</f>
        <v>4484</v>
      </c>
      <c r="R748" s="159"/>
    </row>
    <row r="749" spans="1:18" ht="15.75" customHeight="1" x14ac:dyDescent="0.3">
      <c r="A749" s="164" t="s">
        <v>418</v>
      </c>
      <c r="B749" s="159">
        <f>+L31</f>
        <v>143425</v>
      </c>
      <c r="C749" s="159">
        <f>+L66</f>
        <v>143109</v>
      </c>
      <c r="D749" s="159">
        <f>+L132</f>
        <v>142808</v>
      </c>
      <c r="E749" s="159">
        <f>+L246</f>
        <v>130231</v>
      </c>
      <c r="F749" s="159">
        <f>+L241</f>
        <v>20940</v>
      </c>
      <c r="G749" s="159">
        <f>+L253</f>
        <v>-9314</v>
      </c>
      <c r="H749" s="159">
        <f>+L359</f>
        <v>90595</v>
      </c>
      <c r="I749" s="159">
        <f>+L399</f>
        <v>32679</v>
      </c>
      <c r="J749" s="159">
        <f>+L443</f>
        <v>28281</v>
      </c>
      <c r="K749" s="159">
        <f>+L494</f>
        <v>23719</v>
      </c>
      <c r="L749" s="159">
        <f>+L504</f>
        <v>19430</v>
      </c>
      <c r="M749" s="159">
        <f>+L539</f>
        <v>19396</v>
      </c>
      <c r="N749" s="159">
        <f>+L578</f>
        <v>18717</v>
      </c>
      <c r="O749" s="159">
        <f>+L588</f>
        <v>4093</v>
      </c>
      <c r="P749" s="159">
        <f>+L622</f>
        <v>5183</v>
      </c>
      <c r="Q749" s="159">
        <f>+L664</f>
        <v>4050</v>
      </c>
      <c r="R749" s="159"/>
    </row>
    <row r="750" spans="1:18" ht="15.75" customHeight="1" x14ac:dyDescent="0.3">
      <c r="A750" s="164" t="s">
        <v>419</v>
      </c>
      <c r="B750" s="159">
        <f>+N31</f>
        <v>135867</v>
      </c>
      <c r="C750" s="159">
        <f>+N66</f>
        <v>135582</v>
      </c>
      <c r="D750" s="159">
        <f>+N132</f>
        <v>135310</v>
      </c>
      <c r="E750" s="159">
        <f>+N246</f>
        <v>108904</v>
      </c>
      <c r="F750" s="159">
        <f>+N241</f>
        <v>17280</v>
      </c>
      <c r="G750" s="159">
        <f>+N253</f>
        <v>0</v>
      </c>
      <c r="H750" s="159">
        <f>+N359</f>
        <v>59822</v>
      </c>
      <c r="I750" s="159">
        <f>+N399</f>
        <v>24240</v>
      </c>
      <c r="J750" s="159">
        <f>+N443</f>
        <v>22135</v>
      </c>
      <c r="K750" s="159">
        <f>+N494</f>
        <v>20456</v>
      </c>
      <c r="L750" s="159">
        <f>+N504</f>
        <v>17989</v>
      </c>
      <c r="M750" s="159">
        <f>+N539</f>
        <v>17960</v>
      </c>
      <c r="N750" s="159">
        <f>+N578</f>
        <v>17453</v>
      </c>
      <c r="O750" s="159">
        <f>+N588</f>
        <v>2625</v>
      </c>
      <c r="P750" s="159">
        <f>+N622</f>
        <v>5246</v>
      </c>
      <c r="Q750" s="159">
        <f>+N664</f>
        <v>2527</v>
      </c>
      <c r="R750" s="159"/>
    </row>
    <row r="751" spans="1:18" ht="15.75" customHeight="1" x14ac:dyDescent="0.3">
      <c r="A751" s="164" t="s">
        <v>420</v>
      </c>
      <c r="B751" s="159">
        <f>+O31</f>
        <v>138591</v>
      </c>
      <c r="C751" s="159">
        <f>+O66</f>
        <v>138356</v>
      </c>
      <c r="D751" s="159">
        <f>+O132</f>
        <v>138130</v>
      </c>
      <c r="E751" s="159">
        <f>+O246</f>
        <v>115910</v>
      </c>
      <c r="F751" s="159">
        <f>+O241</f>
        <v>77414</v>
      </c>
      <c r="G751" s="159">
        <f>+O253</f>
        <v>0</v>
      </c>
      <c r="H751" s="159">
        <f>+O359</f>
        <v>14176</v>
      </c>
      <c r="I751" s="159">
        <f>+O399</f>
        <v>6285</v>
      </c>
      <c r="J751" s="159">
        <f>+O443</f>
        <v>6263</v>
      </c>
      <c r="K751" s="159">
        <f>+O494</f>
        <v>5993</v>
      </c>
      <c r="L751" s="159">
        <f>+O504</f>
        <v>5519</v>
      </c>
      <c r="M751" s="159">
        <f>+O539</f>
        <v>5496</v>
      </c>
      <c r="N751" s="159">
        <f>+O578</f>
        <v>5453</v>
      </c>
      <c r="O751" s="159">
        <f>+O588</f>
        <v>1306</v>
      </c>
      <c r="P751" s="159">
        <f>+O622</f>
        <v>5133</v>
      </c>
      <c r="Q751" s="159">
        <f>+O664</f>
        <v>1226</v>
      </c>
      <c r="R751" s="159"/>
    </row>
    <row r="752" spans="1:18" ht="15.75" customHeight="1" x14ac:dyDescent="0.3">
      <c r="A752" s="164" t="s">
        <v>421</v>
      </c>
      <c r="B752" s="159">
        <f>+P31</f>
        <v>150142</v>
      </c>
      <c r="C752" s="159">
        <f>+P66</f>
        <v>149956</v>
      </c>
      <c r="D752" s="159">
        <f>+P132</f>
        <v>149777</v>
      </c>
      <c r="E752" s="159">
        <f>+P246</f>
        <v>123193</v>
      </c>
      <c r="F752" s="159">
        <f>+P241</f>
        <v>58224</v>
      </c>
      <c r="G752" s="159">
        <f>+P253</f>
        <v>0</v>
      </c>
      <c r="H752" s="159">
        <f>+P359</f>
        <v>41490</v>
      </c>
      <c r="I752" s="159">
        <f>+P399</f>
        <v>22966</v>
      </c>
      <c r="J752" s="159">
        <f>+P443</f>
        <v>22204</v>
      </c>
      <c r="K752" s="159">
        <f>+P494</f>
        <v>22006</v>
      </c>
      <c r="L752" s="159">
        <f>+P504</f>
        <v>17569</v>
      </c>
      <c r="M752" s="159">
        <f>+P539</f>
        <v>17550</v>
      </c>
      <c r="N752" s="159">
        <f>+P578</f>
        <v>17541</v>
      </c>
      <c r="O752" s="159">
        <f>+P588</f>
        <v>4333</v>
      </c>
      <c r="P752" s="159">
        <f>+P622</f>
        <v>5157</v>
      </c>
      <c r="Q752" s="159">
        <f>+P664</f>
        <v>4299</v>
      </c>
      <c r="R752" s="159"/>
    </row>
    <row r="753" spans="1:18" ht="15.75" customHeight="1" x14ac:dyDescent="0.3">
      <c r="A753" s="159"/>
      <c r="B753" s="159"/>
      <c r="C753" s="159"/>
      <c r="D753" s="159"/>
      <c r="E753" s="159"/>
      <c r="F753" s="159"/>
      <c r="G753" s="159"/>
      <c r="H753" s="159"/>
      <c r="I753" s="159"/>
      <c r="J753" s="159"/>
      <c r="K753" s="159"/>
      <c r="L753" s="159"/>
      <c r="M753" s="159"/>
      <c r="N753" s="159"/>
      <c r="O753" s="159"/>
      <c r="P753" s="159"/>
      <c r="Q753" s="159"/>
      <c r="R753" s="159"/>
    </row>
    <row r="754" spans="1:18" ht="15.75" customHeight="1" x14ac:dyDescent="0.3">
      <c r="A754" s="164" t="s">
        <v>422</v>
      </c>
      <c r="B754" s="159">
        <f t="shared" ref="B754:Q754" si="105">SUM(B741:B752)</f>
        <v>1665414</v>
      </c>
      <c r="C754" s="159">
        <f t="shared" si="105"/>
        <v>1661914</v>
      </c>
      <c r="D754" s="159">
        <f t="shared" si="105"/>
        <v>1658574</v>
      </c>
      <c r="E754" s="159">
        <f t="shared" si="105"/>
        <v>1383806</v>
      </c>
      <c r="F754" s="159">
        <f t="shared" si="105"/>
        <v>427553</v>
      </c>
      <c r="G754" s="159">
        <f t="shared" si="105"/>
        <v>-350051</v>
      </c>
      <c r="H754" s="159">
        <f t="shared" si="105"/>
        <v>970672</v>
      </c>
      <c r="I754" s="159">
        <f t="shared" si="105"/>
        <v>357452</v>
      </c>
      <c r="J754" s="159">
        <f t="shared" si="105"/>
        <v>264739</v>
      </c>
      <c r="K754" s="159">
        <f t="shared" si="105"/>
        <v>215070</v>
      </c>
      <c r="L754" s="159">
        <f t="shared" si="105"/>
        <v>161278</v>
      </c>
      <c r="M754" s="159">
        <f t="shared" si="105"/>
        <v>160905</v>
      </c>
      <c r="N754" s="159">
        <f t="shared" si="105"/>
        <v>157848</v>
      </c>
      <c r="O754" s="159">
        <f t="shared" si="105"/>
        <v>37825</v>
      </c>
      <c r="P754" s="159">
        <f t="shared" si="105"/>
        <v>62572</v>
      </c>
      <c r="Q754" s="159">
        <f t="shared" si="105"/>
        <v>37025</v>
      </c>
      <c r="R754" s="159"/>
    </row>
    <row r="755" spans="1:18" ht="15.75" customHeight="1" x14ac:dyDescent="0.3">
      <c r="A755" s="159" t="s">
        <v>7</v>
      </c>
      <c r="B755" s="159"/>
      <c r="C755" s="159"/>
      <c r="D755" s="159"/>
      <c r="E755" s="159"/>
      <c r="F755" s="159"/>
      <c r="G755" s="159"/>
      <c r="H755" s="159"/>
      <c r="I755" s="159"/>
      <c r="J755" s="159"/>
      <c r="K755" s="159"/>
      <c r="L755" s="159"/>
      <c r="M755" s="159"/>
      <c r="N755" s="159"/>
      <c r="O755" s="159"/>
      <c r="P755" s="159"/>
      <c r="Q755" s="159"/>
      <c r="R755" s="159"/>
    </row>
    <row r="756" spans="1:18" ht="15.75" customHeight="1" x14ac:dyDescent="0.3">
      <c r="A756" s="159"/>
      <c r="B756" s="159"/>
      <c r="C756" s="159"/>
      <c r="D756" s="159"/>
      <c r="E756" s="159"/>
      <c r="F756" s="159"/>
      <c r="G756" s="159"/>
      <c r="H756" s="159"/>
      <c r="I756" s="159"/>
      <c r="J756" s="159"/>
      <c r="K756" s="159"/>
      <c r="L756" s="159"/>
      <c r="M756" s="159"/>
      <c r="N756" s="159"/>
      <c r="O756" s="159"/>
      <c r="P756" s="159"/>
      <c r="Q756" s="159"/>
      <c r="R756" s="159"/>
    </row>
    <row r="757" spans="1:18" ht="15.75" customHeight="1" x14ac:dyDescent="0.3">
      <c r="A757" s="159"/>
      <c r="B757" s="159"/>
      <c r="C757" s="161" t="s">
        <v>423</v>
      </c>
      <c r="D757" s="159"/>
      <c r="E757" s="159"/>
      <c r="F757" s="159"/>
      <c r="G757" s="159"/>
      <c r="H757" s="159"/>
      <c r="I757" s="159" t="s">
        <v>424</v>
      </c>
      <c r="J757" s="159"/>
      <c r="K757" s="159" t="s">
        <v>7</v>
      </c>
      <c r="L757" s="163" t="str">
        <f>+A8</f>
        <v>Revised:  1/25/10</v>
      </c>
      <c r="M757" s="159"/>
      <c r="N757" s="159"/>
      <c r="O757" s="159"/>
      <c r="P757" s="159"/>
      <c r="Q757" s="161" t="str">
        <f>+Q1</f>
        <v>PRINTED:</v>
      </c>
      <c r="R757" s="162">
        <f ca="1">+R1</f>
        <v>44909.46975358796</v>
      </c>
    </row>
    <row r="758" spans="1:18" ht="15.75" customHeight="1" x14ac:dyDescent="0.3">
      <c r="A758" s="159"/>
      <c r="B758" s="159"/>
      <c r="C758" s="159"/>
      <c r="D758" s="159" t="str">
        <f>++A5</f>
        <v>Calendar Year 2009</v>
      </c>
      <c r="E758" s="159"/>
      <c r="F758" s="159"/>
      <c r="G758" s="159"/>
      <c r="H758" s="159"/>
      <c r="I758" s="159"/>
      <c r="J758" s="159"/>
      <c r="K758" s="159"/>
      <c r="L758" s="159"/>
      <c r="M758" s="159"/>
      <c r="N758" s="159"/>
      <c r="O758" s="159"/>
      <c r="P758" s="159"/>
      <c r="Q758" s="159"/>
      <c r="R758" s="159"/>
    </row>
    <row r="759" spans="1:18" ht="15.75" customHeight="1" x14ac:dyDescent="0.3">
      <c r="A759" s="159"/>
      <c r="B759" s="159"/>
      <c r="C759" s="159"/>
      <c r="D759" s="159"/>
      <c r="E759" s="159"/>
      <c r="F759" s="159"/>
      <c r="G759" s="159"/>
      <c r="H759" s="159"/>
      <c r="I759" s="159"/>
      <c r="J759" s="159"/>
      <c r="K759" s="159"/>
      <c r="L759" s="159"/>
      <c r="M759" s="159"/>
      <c r="N759" s="159"/>
      <c r="O759" s="159"/>
      <c r="P759" s="159"/>
      <c r="Q759" s="159"/>
      <c r="R759" s="159"/>
    </row>
    <row r="760" spans="1:18" ht="15.75" customHeight="1" x14ac:dyDescent="0.3">
      <c r="A760" s="159"/>
      <c r="B760" s="159"/>
      <c r="C760" s="159"/>
      <c r="D760" s="159"/>
      <c r="E760" s="159"/>
      <c r="F760" s="159"/>
      <c r="G760" s="164" t="s">
        <v>425</v>
      </c>
      <c r="H760" s="159"/>
      <c r="I760" s="159"/>
      <c r="J760" s="159"/>
      <c r="K760" s="159"/>
      <c r="L760" s="159"/>
      <c r="M760" s="159"/>
      <c r="N760" s="159"/>
      <c r="O760" s="159"/>
      <c r="P760" s="159"/>
      <c r="Q760" s="159"/>
      <c r="R760" s="159"/>
    </row>
    <row r="761" spans="1:18" ht="15.75" customHeight="1" x14ac:dyDescent="0.3">
      <c r="A761" s="159"/>
      <c r="B761" s="159" t="s">
        <v>424</v>
      </c>
      <c r="C761" s="159"/>
      <c r="D761" s="164" t="s">
        <v>426</v>
      </c>
      <c r="E761" s="164" t="s">
        <v>426</v>
      </c>
      <c r="F761" s="164" t="s">
        <v>427</v>
      </c>
      <c r="G761" s="164" t="s">
        <v>404</v>
      </c>
      <c r="H761" s="164" t="s">
        <v>428</v>
      </c>
      <c r="I761" s="164" t="s">
        <v>429</v>
      </c>
      <c r="J761" s="164" t="s">
        <v>422</v>
      </c>
      <c r="K761" s="159" t="s">
        <v>424</v>
      </c>
      <c r="L761" s="164" t="s">
        <v>430</v>
      </c>
      <c r="M761" s="164" t="s">
        <v>430</v>
      </c>
      <c r="N761" s="164" t="s">
        <v>430</v>
      </c>
      <c r="O761" s="159"/>
      <c r="P761" s="159"/>
      <c r="Q761" s="159"/>
      <c r="R761" s="159"/>
    </row>
    <row r="762" spans="1:18" ht="15.75" customHeight="1" x14ac:dyDescent="0.35">
      <c r="A762" s="159"/>
      <c r="B762" s="164" t="s">
        <v>394</v>
      </c>
      <c r="C762" s="164" t="s">
        <v>431</v>
      </c>
      <c r="D762" s="164" t="s">
        <v>432</v>
      </c>
      <c r="E762" s="164" t="s">
        <v>432</v>
      </c>
      <c r="F762" s="164" t="s">
        <v>433</v>
      </c>
      <c r="G762" s="165" t="s">
        <v>434</v>
      </c>
      <c r="H762" s="164" t="s">
        <v>435</v>
      </c>
      <c r="I762" s="164" t="s">
        <v>436</v>
      </c>
      <c r="J762" s="164" t="s">
        <v>437</v>
      </c>
      <c r="K762" s="159" t="s">
        <v>424</v>
      </c>
      <c r="L762" s="164" t="s">
        <v>438</v>
      </c>
      <c r="M762" s="164" t="s">
        <v>434</v>
      </c>
      <c r="N762" s="164" t="s">
        <v>407</v>
      </c>
      <c r="O762" s="159"/>
      <c r="P762" s="159"/>
      <c r="Q762" s="159"/>
      <c r="R762" s="159"/>
    </row>
    <row r="763" spans="1:18" ht="15.75" customHeight="1" x14ac:dyDescent="0.3">
      <c r="A763" s="159"/>
      <c r="B763" s="164" t="s">
        <v>406</v>
      </c>
      <c r="C763" s="164" t="s">
        <v>439</v>
      </c>
      <c r="D763" s="164" t="s">
        <v>440</v>
      </c>
      <c r="E763" s="164" t="s">
        <v>441</v>
      </c>
      <c r="F763" s="164" t="s">
        <v>442</v>
      </c>
      <c r="G763" s="164" t="s">
        <v>442</v>
      </c>
      <c r="H763" s="164" t="s">
        <v>442</v>
      </c>
      <c r="I763" s="164" t="s">
        <v>442</v>
      </c>
      <c r="J763" s="164" t="s">
        <v>443</v>
      </c>
      <c r="K763" s="159" t="s">
        <v>424</v>
      </c>
      <c r="L763" s="164" t="s">
        <v>444</v>
      </c>
      <c r="M763" s="164" t="s">
        <v>445</v>
      </c>
      <c r="N763" s="164" t="s">
        <v>445</v>
      </c>
      <c r="O763" s="159"/>
      <c r="P763" s="159"/>
      <c r="Q763" s="159"/>
      <c r="R763" s="159"/>
    </row>
    <row r="764" spans="1:18" ht="15.75" customHeight="1" x14ac:dyDescent="0.3">
      <c r="A764" s="159"/>
      <c r="B764" s="164" t="s">
        <v>446</v>
      </c>
      <c r="C764" s="164" t="s">
        <v>447</v>
      </c>
      <c r="D764" s="164" t="s">
        <v>448</v>
      </c>
      <c r="E764" s="164" t="s">
        <v>448</v>
      </c>
      <c r="F764" s="164" t="s">
        <v>448</v>
      </c>
      <c r="G764" s="164" t="s">
        <v>448</v>
      </c>
      <c r="H764" s="164" t="s">
        <v>448</v>
      </c>
      <c r="I764" s="164" t="s">
        <v>448</v>
      </c>
      <c r="J764" s="164" t="s">
        <v>448</v>
      </c>
      <c r="K764" s="159" t="s">
        <v>424</v>
      </c>
      <c r="L764" s="164" t="s">
        <v>449</v>
      </c>
      <c r="M764" s="164" t="s">
        <v>449</v>
      </c>
      <c r="N764" s="164" t="s">
        <v>449</v>
      </c>
      <c r="O764" s="159"/>
      <c r="P764" s="159"/>
      <c r="Q764" s="159"/>
      <c r="R764" s="159"/>
    </row>
    <row r="765" spans="1:18" ht="15.75" customHeight="1" x14ac:dyDescent="0.3">
      <c r="A765" s="159"/>
      <c r="B765" s="159" t="s">
        <v>409</v>
      </c>
      <c r="C765" s="159" t="s">
        <v>409</v>
      </c>
      <c r="D765" s="159" t="s">
        <v>409</v>
      </c>
      <c r="E765" s="159" t="s">
        <v>409</v>
      </c>
      <c r="F765" s="159" t="s">
        <v>409</v>
      </c>
      <c r="G765" s="159" t="s">
        <v>409</v>
      </c>
      <c r="H765" s="159" t="s">
        <v>409</v>
      </c>
      <c r="I765" s="159" t="s">
        <v>409</v>
      </c>
      <c r="J765" s="159" t="s">
        <v>409</v>
      </c>
      <c r="K765" s="159" t="s">
        <v>424</v>
      </c>
      <c r="L765" s="159" t="s">
        <v>409</v>
      </c>
      <c r="M765" s="159" t="s">
        <v>409</v>
      </c>
      <c r="N765" s="159" t="s">
        <v>409</v>
      </c>
      <c r="O765" s="159"/>
      <c r="P765" s="159"/>
      <c r="Q765" s="159"/>
      <c r="R765" s="159"/>
    </row>
    <row r="766" spans="1:18" ht="15.75" customHeight="1" x14ac:dyDescent="0.3">
      <c r="A766" s="164" t="s">
        <v>410</v>
      </c>
      <c r="B766" s="159">
        <f t="shared" ref="B766:B777" si="106">(F741)</f>
        <v>97686</v>
      </c>
      <c r="C766" s="159">
        <f t="shared" ref="C766:C777" si="107">(SUM($B$739:$F$739))</f>
        <v>1607</v>
      </c>
      <c r="D766" s="159">
        <f t="shared" ref="D766:D777" si="108">(B766*C766/1000)</f>
        <v>156981.402</v>
      </c>
      <c r="E766" s="159">
        <f t="shared" ref="E766:E777" si="109">(((B741-F741)*B$739)+((C741-F741)*C$739)+((D741-F741)*D$739)+((E741-F741)*E$739))/1000</f>
        <v>104814.27800000001</v>
      </c>
      <c r="F766" s="159">
        <f t="shared" ref="F766:F777" si="110">(D766+E766)</f>
        <v>261795.68</v>
      </c>
      <c r="G766" s="159">
        <f t="shared" ref="G766:G777" si="111">SUM(H823:Q823)</f>
        <v>27715.894999999997</v>
      </c>
      <c r="H766" s="159">
        <f t="shared" ref="H766:H777" si="112">+F766+G766</f>
        <v>289511.57500000001</v>
      </c>
      <c r="I766" s="159">
        <f t="shared" ref="I766:I773" si="113">(E877)</f>
        <v>0</v>
      </c>
      <c r="J766" s="159">
        <f t="shared" ref="J766:J777" si="114">(H766-I766)</f>
        <v>289511.57500000001</v>
      </c>
      <c r="K766" s="159" t="s">
        <v>424</v>
      </c>
      <c r="L766" s="159">
        <f>+B741/31/1.98</f>
        <v>2813.7178233952427</v>
      </c>
      <c r="M766" s="159">
        <f>(B766*43560/31/24/3600)</f>
        <v>1588.7104838709679</v>
      </c>
      <c r="N766" s="159">
        <f>+B256</f>
        <v>0</v>
      </c>
      <c r="O766" s="159"/>
      <c r="P766" s="159"/>
      <c r="Q766" s="159"/>
      <c r="R766" s="159"/>
    </row>
    <row r="767" spans="1:18" ht="15.75" customHeight="1" x14ac:dyDescent="0.3">
      <c r="A767" s="164" t="s">
        <v>411</v>
      </c>
      <c r="B767" s="159">
        <f t="shared" si="106"/>
        <v>85428</v>
      </c>
      <c r="C767" s="159">
        <f t="shared" si="107"/>
        <v>1607</v>
      </c>
      <c r="D767" s="159">
        <f t="shared" si="108"/>
        <v>137282.796</v>
      </c>
      <c r="E767" s="159">
        <f t="shared" si="109"/>
        <v>102726.042</v>
      </c>
      <c r="F767" s="159">
        <f t="shared" si="110"/>
        <v>240008.83799999999</v>
      </c>
      <c r="G767" s="159">
        <f t="shared" si="111"/>
        <v>13012.681999999999</v>
      </c>
      <c r="H767" s="159">
        <f t="shared" si="112"/>
        <v>253021.52</v>
      </c>
      <c r="I767" s="159">
        <f t="shared" si="113"/>
        <v>0</v>
      </c>
      <c r="J767" s="159">
        <f t="shared" si="114"/>
        <v>253021.52</v>
      </c>
      <c r="K767" s="159" t="s">
        <v>424</v>
      </c>
      <c r="L767" s="159">
        <f>+B742/28/1.98</f>
        <v>2894.4624819624823</v>
      </c>
      <c r="M767" s="159">
        <f>(B767*43560/29/24/3600)</f>
        <v>1485.1706896551725</v>
      </c>
      <c r="N767" s="159">
        <f>+C256</f>
        <v>0</v>
      </c>
      <c r="O767" s="159"/>
      <c r="P767" s="159"/>
      <c r="Q767" s="159"/>
      <c r="R767" s="159"/>
    </row>
    <row r="768" spans="1:18" ht="15.75" customHeight="1" x14ac:dyDescent="0.3">
      <c r="A768" s="164" t="s">
        <v>412</v>
      </c>
      <c r="B768" s="159">
        <f t="shared" si="106"/>
        <v>45817</v>
      </c>
      <c r="C768" s="159">
        <f t="shared" si="107"/>
        <v>1607</v>
      </c>
      <c r="D768" s="159">
        <f t="shared" si="108"/>
        <v>73627.918999999994</v>
      </c>
      <c r="E768" s="159">
        <f t="shared" si="109"/>
        <v>186454.166</v>
      </c>
      <c r="F768" s="159">
        <f t="shared" si="110"/>
        <v>260082.08499999999</v>
      </c>
      <c r="G768" s="159">
        <f t="shared" si="111"/>
        <v>20972.368999999999</v>
      </c>
      <c r="H768" s="159">
        <f t="shared" si="112"/>
        <v>281054.45399999997</v>
      </c>
      <c r="I768" s="159">
        <f t="shared" si="113"/>
        <v>0</v>
      </c>
      <c r="J768" s="159">
        <f t="shared" si="114"/>
        <v>281054.45399999997</v>
      </c>
      <c r="K768" s="159" t="s">
        <v>424</v>
      </c>
      <c r="L768" s="159">
        <f>+B743/31/1.98</f>
        <v>2948.0449657869012</v>
      </c>
      <c r="M768" s="159">
        <f>(B768*43560/31/24/3600)</f>
        <v>745.14206989247316</v>
      </c>
      <c r="N768" s="159">
        <f>+D256</f>
        <v>0</v>
      </c>
      <c r="O768" s="159"/>
      <c r="P768" s="159"/>
      <c r="Q768" s="159"/>
      <c r="R768" s="159"/>
    </row>
    <row r="769" spans="1:18" ht="15.75" customHeight="1" x14ac:dyDescent="0.3">
      <c r="A769" s="164" t="s">
        <v>413</v>
      </c>
      <c r="B769" s="159">
        <f t="shared" si="106"/>
        <v>20571</v>
      </c>
      <c r="C769" s="159">
        <f t="shared" si="107"/>
        <v>1607</v>
      </c>
      <c r="D769" s="159">
        <f t="shared" si="108"/>
        <v>33057.597000000002</v>
      </c>
      <c r="E769" s="159">
        <f t="shared" si="109"/>
        <v>212628.016</v>
      </c>
      <c r="F769" s="159">
        <f t="shared" si="110"/>
        <v>245685.61300000001</v>
      </c>
      <c r="G769" s="159">
        <f t="shared" si="111"/>
        <v>31864.877000000004</v>
      </c>
      <c r="H769" s="159">
        <f t="shared" si="112"/>
        <v>277550.49</v>
      </c>
      <c r="I769" s="159">
        <f t="shared" si="113"/>
        <v>0</v>
      </c>
      <c r="J769" s="159">
        <f t="shared" si="114"/>
        <v>277550.49</v>
      </c>
      <c r="K769" s="159" t="s">
        <v>424</v>
      </c>
      <c r="L769" s="159">
        <f>+B744/30/1.98</f>
        <v>2924.4612794612794</v>
      </c>
      <c r="M769" s="159">
        <f>(B769*43560/30/24/3600)</f>
        <v>345.70708333333334</v>
      </c>
      <c r="N769" s="159">
        <f>+F256</f>
        <v>0</v>
      </c>
      <c r="O769" s="159"/>
      <c r="P769" s="159"/>
      <c r="Q769" s="159"/>
      <c r="R769" s="159"/>
    </row>
    <row r="770" spans="1:18" ht="15.75" customHeight="1" x14ac:dyDescent="0.3">
      <c r="A770" s="164" t="s">
        <v>414</v>
      </c>
      <c r="B770" s="159">
        <f t="shared" si="106"/>
        <v>4193</v>
      </c>
      <c r="C770" s="159">
        <f t="shared" si="107"/>
        <v>1607</v>
      </c>
      <c r="D770" s="159">
        <f t="shared" si="108"/>
        <v>6738.1509999999998</v>
      </c>
      <c r="E770" s="159">
        <f t="shared" si="109"/>
        <v>223102.04800000001</v>
      </c>
      <c r="F770" s="159">
        <f t="shared" si="110"/>
        <v>229840.19900000002</v>
      </c>
      <c r="G770" s="159">
        <f t="shared" si="111"/>
        <v>32533.136999999999</v>
      </c>
      <c r="H770" s="159">
        <f t="shared" si="112"/>
        <v>262373.33600000001</v>
      </c>
      <c r="I770" s="159">
        <f t="shared" si="113"/>
        <v>1464.826</v>
      </c>
      <c r="J770" s="159">
        <f t="shared" si="114"/>
        <v>260908.51</v>
      </c>
      <c r="K770" s="159" t="s">
        <v>424</v>
      </c>
      <c r="L770" s="159">
        <f>+B745/31/1.98</f>
        <v>2687.6344086021509</v>
      </c>
      <c r="M770" s="159">
        <f>(B770*43560/31/24/3600)</f>
        <v>68.192607526881716</v>
      </c>
      <c r="N770" s="159">
        <f>+G256</f>
        <v>-196.93198640053356</v>
      </c>
      <c r="O770" s="159"/>
      <c r="P770" s="159"/>
      <c r="Q770" s="159"/>
      <c r="R770" s="159"/>
    </row>
    <row r="771" spans="1:18" ht="15.75" customHeight="1" x14ac:dyDescent="0.3">
      <c r="A771" s="164" t="s">
        <v>415</v>
      </c>
      <c r="B771" s="159">
        <f t="shared" si="106"/>
        <v>0</v>
      </c>
      <c r="C771" s="159">
        <f t="shared" si="107"/>
        <v>1607</v>
      </c>
      <c r="D771" s="159">
        <f t="shared" si="108"/>
        <v>0</v>
      </c>
      <c r="E771" s="159">
        <f t="shared" si="109"/>
        <v>134056.00200000001</v>
      </c>
      <c r="F771" s="159">
        <f t="shared" si="110"/>
        <v>134056.00200000001</v>
      </c>
      <c r="G771" s="159">
        <f t="shared" si="111"/>
        <v>38051.776000000005</v>
      </c>
      <c r="H771" s="159">
        <f t="shared" si="112"/>
        <v>172107.77800000002</v>
      </c>
      <c r="I771" s="159">
        <f t="shared" si="113"/>
        <v>10179.004000000001</v>
      </c>
      <c r="J771" s="159">
        <f t="shared" si="114"/>
        <v>161928.77400000003</v>
      </c>
      <c r="K771" s="159" t="s">
        <v>424</v>
      </c>
      <c r="L771" s="159">
        <f>+B746/30/1.98</f>
        <v>1632.2727272727273</v>
      </c>
      <c r="M771" s="159">
        <f t="shared" ref="M771:M776" si="115">(B771*43560/30/24/3600)</f>
        <v>0</v>
      </c>
      <c r="N771" s="159">
        <f>+H256</f>
        <v>-1414.086401075811</v>
      </c>
      <c r="O771" s="159"/>
      <c r="P771" s="159"/>
      <c r="Q771" s="159"/>
      <c r="R771" s="159"/>
    </row>
    <row r="772" spans="1:18" ht="15.75" customHeight="1" x14ac:dyDescent="0.3">
      <c r="A772" s="164" t="s">
        <v>416</v>
      </c>
      <c r="B772" s="159">
        <f t="shared" si="106"/>
        <v>0</v>
      </c>
      <c r="C772" s="159">
        <f t="shared" si="107"/>
        <v>1607</v>
      </c>
      <c r="D772" s="159">
        <f t="shared" si="108"/>
        <v>0</v>
      </c>
      <c r="E772" s="159">
        <f t="shared" si="109"/>
        <v>102696.107</v>
      </c>
      <c r="F772" s="159">
        <f t="shared" si="110"/>
        <v>102696.107</v>
      </c>
      <c r="G772" s="159">
        <f t="shared" si="111"/>
        <v>47194.69</v>
      </c>
      <c r="H772" s="159">
        <f t="shared" si="112"/>
        <v>149890.79700000002</v>
      </c>
      <c r="I772" s="159">
        <f t="shared" si="113"/>
        <v>14312.968999999999</v>
      </c>
      <c r="J772" s="159">
        <f t="shared" si="114"/>
        <v>135577.82800000001</v>
      </c>
      <c r="K772" s="159" t="s">
        <v>424</v>
      </c>
      <c r="L772" s="159">
        <f>+B747/31/1.98</f>
        <v>1239.3124796350603</v>
      </c>
      <c r="M772" s="159">
        <f t="shared" si="115"/>
        <v>0</v>
      </c>
      <c r="N772" s="159">
        <f>+J256</f>
        <v>-1924.2431636653491</v>
      </c>
      <c r="O772" s="159"/>
      <c r="P772" s="159"/>
      <c r="Q772" s="159"/>
      <c r="R772" s="159"/>
    </row>
    <row r="773" spans="1:18" ht="15.75" customHeight="1" x14ac:dyDescent="0.3">
      <c r="A773" s="164" t="s">
        <v>417</v>
      </c>
      <c r="B773" s="159">
        <f t="shared" si="106"/>
        <v>0</v>
      </c>
      <c r="C773" s="159">
        <f t="shared" si="107"/>
        <v>1607</v>
      </c>
      <c r="D773" s="159">
        <f t="shared" si="108"/>
        <v>0</v>
      </c>
      <c r="E773" s="159">
        <f t="shared" si="109"/>
        <v>95372.87</v>
      </c>
      <c r="F773" s="159">
        <f t="shared" si="110"/>
        <v>95372.87</v>
      </c>
      <c r="G773" s="159">
        <f t="shared" si="111"/>
        <v>49825.234999999993</v>
      </c>
      <c r="H773" s="159">
        <f t="shared" si="112"/>
        <v>145198.10499999998</v>
      </c>
      <c r="I773" s="159">
        <f t="shared" si="113"/>
        <v>15272.378000000001</v>
      </c>
      <c r="J773" s="159">
        <f t="shared" si="114"/>
        <v>129925.72699999998</v>
      </c>
      <c r="K773" s="159" t="s">
        <v>424</v>
      </c>
      <c r="L773" s="159">
        <f>+B748/31/1.98</f>
        <v>1165.8031932225481</v>
      </c>
      <c r="M773" s="159">
        <f t="shared" si="115"/>
        <v>0</v>
      </c>
      <c r="N773" s="159">
        <f>+K256</f>
        <v>-2053.22661981683</v>
      </c>
      <c r="O773" s="159"/>
      <c r="P773" s="159"/>
      <c r="Q773" s="159"/>
      <c r="R773" s="159"/>
    </row>
    <row r="774" spans="1:18" ht="15.75" customHeight="1" x14ac:dyDescent="0.3">
      <c r="A774" s="164" t="s">
        <v>418</v>
      </c>
      <c r="B774" s="159">
        <f t="shared" si="106"/>
        <v>20940</v>
      </c>
      <c r="C774" s="159">
        <f t="shared" si="107"/>
        <v>1607</v>
      </c>
      <c r="D774" s="159">
        <f t="shared" si="108"/>
        <v>33650.58</v>
      </c>
      <c r="E774" s="159">
        <f t="shared" si="109"/>
        <v>171899.67</v>
      </c>
      <c r="F774" s="159">
        <f t="shared" si="110"/>
        <v>205550.25</v>
      </c>
      <c r="G774" s="159">
        <f t="shared" si="111"/>
        <v>38026.241999999998</v>
      </c>
      <c r="H774" s="159">
        <f t="shared" si="112"/>
        <v>243576.492</v>
      </c>
      <c r="I774" s="159">
        <v>0</v>
      </c>
      <c r="J774" s="159">
        <f t="shared" si="114"/>
        <v>243576.492</v>
      </c>
      <c r="K774" s="159" t="s">
        <v>424</v>
      </c>
      <c r="L774" s="159">
        <f>+B749/30/1.98</f>
        <v>2414.5622895622896</v>
      </c>
      <c r="M774" s="159">
        <f t="shared" si="115"/>
        <v>351.90833333333336</v>
      </c>
      <c r="N774" s="159">
        <f>+L256</f>
        <v>-156.56412842494535</v>
      </c>
      <c r="O774" s="159"/>
      <c r="P774" s="159"/>
      <c r="Q774" s="159"/>
      <c r="R774" s="159"/>
    </row>
    <row r="775" spans="1:18" ht="15.75" customHeight="1" x14ac:dyDescent="0.3">
      <c r="A775" s="164" t="s">
        <v>419</v>
      </c>
      <c r="B775" s="159">
        <f t="shared" si="106"/>
        <v>17280</v>
      </c>
      <c r="C775" s="159">
        <f t="shared" si="107"/>
        <v>1607</v>
      </c>
      <c r="D775" s="159">
        <f t="shared" si="108"/>
        <v>27768.959999999999</v>
      </c>
      <c r="E775" s="159">
        <f t="shared" si="109"/>
        <v>163329.56299999999</v>
      </c>
      <c r="F775" s="159">
        <f t="shared" si="110"/>
        <v>191098.52299999999</v>
      </c>
      <c r="G775" s="159">
        <f t="shared" si="111"/>
        <v>30248.943000000003</v>
      </c>
      <c r="H775" s="159">
        <f t="shared" si="112"/>
        <v>221347.46599999999</v>
      </c>
      <c r="I775" s="159">
        <v>0</v>
      </c>
      <c r="J775" s="159">
        <f t="shared" si="114"/>
        <v>221347.46599999999</v>
      </c>
      <c r="K775" s="159" t="s">
        <v>424</v>
      </c>
      <c r="L775" s="159">
        <f>+B750/31/1.98</f>
        <v>2213.5386119257087</v>
      </c>
      <c r="M775" s="159">
        <f t="shared" si="115"/>
        <v>290.39999999999998</v>
      </c>
      <c r="N775" s="159">
        <f>+N256</f>
        <v>0</v>
      </c>
      <c r="O775" s="159"/>
      <c r="P775" s="159"/>
      <c r="Q775" s="159"/>
      <c r="R775" s="159"/>
    </row>
    <row r="776" spans="1:18" ht="15.75" customHeight="1" x14ac:dyDescent="0.3">
      <c r="A776" s="164" t="s">
        <v>420</v>
      </c>
      <c r="B776" s="159">
        <f t="shared" si="106"/>
        <v>77414</v>
      </c>
      <c r="C776" s="159">
        <f t="shared" si="107"/>
        <v>1607</v>
      </c>
      <c r="D776" s="159">
        <f t="shared" si="108"/>
        <v>124404.298</v>
      </c>
      <c r="E776" s="159">
        <f t="shared" si="109"/>
        <v>82304.528999999995</v>
      </c>
      <c r="F776" s="159">
        <f t="shared" si="110"/>
        <v>206708.82699999999</v>
      </c>
      <c r="G776" s="159">
        <f t="shared" si="111"/>
        <v>10010.469999999999</v>
      </c>
      <c r="H776" s="159">
        <f t="shared" si="112"/>
        <v>216719.29699999999</v>
      </c>
      <c r="I776" s="159">
        <f>(E887)</f>
        <v>0</v>
      </c>
      <c r="J776" s="159">
        <f t="shared" si="114"/>
        <v>216719.29699999999</v>
      </c>
      <c r="K776" s="159" t="s">
        <v>424</v>
      </c>
      <c r="L776" s="159">
        <f>+B751/30/1.98</f>
        <v>2333.181818181818</v>
      </c>
      <c r="M776" s="159">
        <f t="shared" si="115"/>
        <v>1300.9852777777778</v>
      </c>
      <c r="N776" s="159">
        <f>+O256</f>
        <v>0</v>
      </c>
      <c r="O776" s="159"/>
      <c r="P776" s="159"/>
      <c r="Q776" s="159"/>
      <c r="R776" s="159"/>
    </row>
    <row r="777" spans="1:18" ht="15.75" customHeight="1" x14ac:dyDescent="0.3">
      <c r="A777" s="164" t="s">
        <v>421</v>
      </c>
      <c r="B777" s="159">
        <f t="shared" si="106"/>
        <v>58224</v>
      </c>
      <c r="C777" s="159">
        <f t="shared" si="107"/>
        <v>1607</v>
      </c>
      <c r="D777" s="159">
        <f t="shared" si="108"/>
        <v>93565.967999999993</v>
      </c>
      <c r="E777" s="159">
        <f t="shared" si="109"/>
        <v>125286.545</v>
      </c>
      <c r="F777" s="159">
        <f t="shared" si="110"/>
        <v>218852.51299999998</v>
      </c>
      <c r="G777" s="159">
        <f t="shared" si="111"/>
        <v>29697.930999999997</v>
      </c>
      <c r="H777" s="159">
        <f t="shared" si="112"/>
        <v>248550.44399999996</v>
      </c>
      <c r="I777" s="159">
        <f>(E888)</f>
        <v>0</v>
      </c>
      <c r="J777" s="159">
        <f t="shared" si="114"/>
        <v>248550.44399999996</v>
      </c>
      <c r="K777" s="159" t="s">
        <v>424</v>
      </c>
      <c r="L777" s="159">
        <f>+B752/31/1.98</f>
        <v>2446.1062235255781</v>
      </c>
      <c r="M777" s="159">
        <f>(B777*43560/31/24/3600)</f>
        <v>946.92258064516136</v>
      </c>
      <c r="N777" s="159">
        <f>+P256</f>
        <v>0</v>
      </c>
      <c r="O777" s="159"/>
      <c r="P777" s="159"/>
      <c r="Q777" s="159"/>
      <c r="R777" s="159"/>
    </row>
    <row r="778" spans="1:18" ht="15.75" customHeight="1" x14ac:dyDescent="0.3">
      <c r="A778" s="159"/>
      <c r="B778" s="159"/>
      <c r="C778" s="159"/>
      <c r="D778" s="159"/>
      <c r="E778" s="159"/>
      <c r="F778" s="159"/>
      <c r="G778" s="159"/>
      <c r="H778" s="159"/>
      <c r="I778" s="159"/>
      <c r="J778" s="159"/>
      <c r="K778" s="159" t="s">
        <v>424</v>
      </c>
      <c r="L778" s="159"/>
      <c r="M778" s="159"/>
      <c r="N778" s="159"/>
      <c r="O778" s="159"/>
      <c r="P778" s="159"/>
      <c r="Q778" s="159"/>
      <c r="R778" s="159"/>
    </row>
    <row r="779" spans="1:18" ht="15.75" customHeight="1" x14ac:dyDescent="0.3">
      <c r="A779" s="159" t="s">
        <v>422</v>
      </c>
      <c r="B779" s="159">
        <f>SUM(B766:B777)</f>
        <v>427553</v>
      </c>
      <c r="C779" s="159"/>
      <c r="D779" s="159">
        <f t="shared" ref="D779:J779" si="116">SUM(D766:D777)</f>
        <v>687077.67099999997</v>
      </c>
      <c r="E779" s="159">
        <f t="shared" si="116"/>
        <v>1704669.8360000001</v>
      </c>
      <c r="F779" s="159">
        <f t="shared" si="116"/>
        <v>2391747.5070000002</v>
      </c>
      <c r="G779" s="159">
        <f t="shared" si="116"/>
        <v>369154.24699999997</v>
      </c>
      <c r="H779" s="159">
        <f t="shared" si="116"/>
        <v>2760901.7539999997</v>
      </c>
      <c r="I779" s="159">
        <f t="shared" si="116"/>
        <v>41229.176999999996</v>
      </c>
      <c r="J779" s="159">
        <f t="shared" si="116"/>
        <v>2719672.5769999996</v>
      </c>
      <c r="K779" s="159"/>
      <c r="L779" s="159"/>
      <c r="M779" s="159"/>
      <c r="N779" s="159"/>
      <c r="O779" s="159"/>
      <c r="P779" s="159"/>
      <c r="Q779" s="159"/>
      <c r="R779" s="159"/>
    </row>
    <row r="780" spans="1:18" ht="15.75" customHeight="1" x14ac:dyDescent="0.3">
      <c r="A780" s="159"/>
      <c r="B780" s="159"/>
      <c r="C780" s="159"/>
      <c r="D780" s="159"/>
      <c r="E780" s="159"/>
      <c r="F780" s="159"/>
      <c r="G780" s="159"/>
      <c r="H780" s="159"/>
      <c r="I780" s="159"/>
      <c r="J780" s="159"/>
      <c r="K780" s="159"/>
      <c r="L780" s="159"/>
      <c r="M780" s="159"/>
      <c r="N780" s="159"/>
      <c r="O780" s="159"/>
      <c r="P780" s="159"/>
      <c r="Q780" s="159"/>
      <c r="R780" s="159"/>
    </row>
    <row r="781" spans="1:18" ht="15.75" customHeight="1" x14ac:dyDescent="0.3">
      <c r="A781" s="159" t="s">
        <v>450</v>
      </c>
      <c r="B781" s="159"/>
      <c r="C781" s="159"/>
      <c r="D781" s="159"/>
      <c r="E781" s="159"/>
      <c r="F781" s="159"/>
      <c r="G781" s="159"/>
      <c r="H781" s="159"/>
      <c r="I781" s="159"/>
      <c r="J781" s="159"/>
      <c r="K781" s="159"/>
      <c r="L781" s="159"/>
      <c r="M781" s="159"/>
      <c r="N781" s="159"/>
      <c r="O781" s="159"/>
      <c r="P781" s="159"/>
      <c r="Q781" s="159"/>
      <c r="R781" s="159"/>
    </row>
    <row r="782" spans="1:18" ht="15.75" customHeight="1" x14ac:dyDescent="0.3">
      <c r="A782" s="159" t="s">
        <v>451</v>
      </c>
      <c r="B782" s="159"/>
      <c r="C782" s="159"/>
      <c r="D782" s="159"/>
      <c r="E782" s="159"/>
      <c r="F782" s="159"/>
      <c r="G782" s="159"/>
      <c r="H782" s="159"/>
      <c r="I782" s="159"/>
      <c r="J782" s="159"/>
      <c r="K782" s="159"/>
      <c r="L782" s="159"/>
      <c r="M782" s="159"/>
      <c r="N782" s="159"/>
      <c r="O782" s="159"/>
      <c r="P782" s="159"/>
      <c r="Q782" s="159"/>
      <c r="R782" s="159"/>
    </row>
    <row r="783" spans="1:18" ht="15.75" customHeight="1" x14ac:dyDescent="0.3">
      <c r="A783" s="159"/>
      <c r="B783" s="159"/>
      <c r="C783" s="159"/>
      <c r="D783" s="159"/>
      <c r="E783" s="159"/>
      <c r="F783" s="159"/>
      <c r="G783" s="159"/>
      <c r="H783" s="159"/>
      <c r="I783" s="159"/>
      <c r="J783" s="159"/>
      <c r="K783" s="159"/>
      <c r="L783" s="159"/>
      <c r="M783" s="159"/>
      <c r="N783" s="159"/>
      <c r="O783" s="159"/>
      <c r="P783" s="159"/>
      <c r="Q783" s="159"/>
      <c r="R783" s="159"/>
    </row>
    <row r="784" spans="1:18" ht="15.75" customHeight="1" x14ac:dyDescent="0.3">
      <c r="A784" s="159" t="s">
        <v>452</v>
      </c>
      <c r="B784" s="159"/>
      <c r="C784" s="159"/>
      <c r="D784" s="159"/>
      <c r="E784" s="159"/>
      <c r="F784" s="159"/>
      <c r="G784" s="159"/>
      <c r="H784" s="159"/>
      <c r="I784" s="159"/>
      <c r="J784" s="159"/>
      <c r="K784" s="159"/>
      <c r="L784" s="159"/>
      <c r="M784" s="159"/>
      <c r="N784" s="159"/>
      <c r="O784" s="159"/>
      <c r="P784" s="159"/>
      <c r="Q784" s="159"/>
      <c r="R784" s="159"/>
    </row>
    <row r="785" spans="1:18" ht="15.75" customHeight="1" x14ac:dyDescent="0.3">
      <c r="A785" s="159"/>
      <c r="B785" s="159"/>
      <c r="C785" s="159"/>
      <c r="D785" s="159"/>
      <c r="E785" s="159"/>
      <c r="F785" s="159"/>
      <c r="G785" s="159"/>
      <c r="H785" s="159"/>
      <c r="I785" s="159"/>
      <c r="J785" s="159"/>
      <c r="K785" s="159"/>
      <c r="L785" s="159"/>
      <c r="M785" s="159"/>
      <c r="N785" s="159"/>
      <c r="O785" s="159"/>
      <c r="P785" s="159"/>
      <c r="Q785" s="159"/>
      <c r="R785" s="159"/>
    </row>
    <row r="786" spans="1:18" ht="15.75" customHeight="1" x14ac:dyDescent="0.3">
      <c r="A786" s="159" t="s">
        <v>453</v>
      </c>
      <c r="B786" s="159"/>
      <c r="C786" s="159"/>
      <c r="D786" s="159"/>
      <c r="E786" s="159"/>
      <c r="F786" s="159"/>
      <c r="G786" s="159"/>
      <c r="H786" s="159"/>
      <c r="I786" s="159"/>
      <c r="J786" s="159"/>
      <c r="K786" s="159"/>
      <c r="L786" s="159"/>
      <c r="M786" s="159"/>
      <c r="N786" s="159"/>
      <c r="O786" s="159"/>
      <c r="P786" s="159"/>
      <c r="Q786" s="159"/>
      <c r="R786" s="159"/>
    </row>
    <row r="787" spans="1:18" ht="15.75" customHeight="1" x14ac:dyDescent="0.3">
      <c r="A787" s="159"/>
      <c r="B787" s="159"/>
      <c r="C787" s="159"/>
      <c r="D787" s="159"/>
      <c r="E787" s="159"/>
      <c r="F787" s="159"/>
      <c r="G787" s="159"/>
      <c r="H787" s="159"/>
      <c r="I787" s="159"/>
      <c r="J787" s="159"/>
      <c r="K787" s="159"/>
      <c r="L787" s="159"/>
      <c r="M787" s="159"/>
      <c r="N787" s="159"/>
      <c r="O787" s="159"/>
      <c r="P787" s="159"/>
      <c r="Q787" s="159"/>
      <c r="R787" s="159"/>
    </row>
    <row r="788" spans="1:18" ht="15.75" customHeight="1" x14ac:dyDescent="0.3">
      <c r="A788" s="159"/>
      <c r="B788" s="159"/>
      <c r="C788" s="159"/>
      <c r="D788" s="161" t="s">
        <v>454</v>
      </c>
      <c r="E788" s="159"/>
      <c r="F788" s="159"/>
      <c r="G788" s="159"/>
      <c r="H788" s="159"/>
      <c r="I788" s="159"/>
      <c r="J788" s="159"/>
      <c r="K788" s="159"/>
      <c r="L788" s="159"/>
      <c r="M788" s="159"/>
      <c r="N788" s="159"/>
      <c r="O788" s="159"/>
      <c r="P788" s="159"/>
      <c r="Q788" s="161" t="str">
        <f>+Q1</f>
        <v>PRINTED:</v>
      </c>
      <c r="R788" s="162">
        <f ca="1">+R1</f>
        <v>44909.46975358796</v>
      </c>
    </row>
    <row r="789" spans="1:18" ht="15.75" customHeight="1" x14ac:dyDescent="0.3">
      <c r="A789" s="159"/>
      <c r="B789" s="159"/>
      <c r="C789" s="159"/>
      <c r="D789" s="159"/>
      <c r="E789" s="159" t="s">
        <v>7</v>
      </c>
      <c r="F789" s="163" t="str">
        <f>+A8</f>
        <v>Revised:  1/25/10</v>
      </c>
      <c r="G789" s="159"/>
      <c r="H789" s="159"/>
      <c r="I789" s="159"/>
      <c r="J789" s="159"/>
      <c r="K789" s="159"/>
      <c r="L789" s="159"/>
      <c r="M789" s="159"/>
      <c r="N789" s="159"/>
      <c r="O789" s="159"/>
      <c r="P789" s="159"/>
      <c r="Q789" s="159"/>
      <c r="R789" s="159"/>
    </row>
    <row r="790" spans="1:18" ht="15.75" customHeight="1" x14ac:dyDescent="0.3">
      <c r="A790" s="159"/>
      <c r="B790" s="159"/>
      <c r="C790" s="159"/>
      <c r="D790" s="159" t="s">
        <v>387</v>
      </c>
      <c r="E790" s="159"/>
      <c r="F790" s="159"/>
      <c r="G790" s="159"/>
      <c r="H790" s="159"/>
      <c r="I790" s="159"/>
      <c r="J790" s="159"/>
      <c r="K790" s="159"/>
      <c r="L790" s="159"/>
      <c r="M790" s="159"/>
      <c r="N790" s="159"/>
      <c r="O790" s="159"/>
      <c r="P790" s="159"/>
      <c r="Q790" s="159"/>
      <c r="R790" s="159"/>
    </row>
    <row r="791" spans="1:18" ht="15.75" customHeight="1" x14ac:dyDescent="0.3">
      <c r="A791" s="159"/>
      <c r="B791" s="159"/>
      <c r="C791" s="159"/>
      <c r="D791" s="159"/>
      <c r="E791" s="159"/>
      <c r="F791" s="159"/>
      <c r="G791" s="159"/>
      <c r="H791" s="159"/>
      <c r="I791" s="159"/>
      <c r="J791" s="159"/>
      <c r="K791" s="159"/>
      <c r="L791" s="159"/>
      <c r="M791" s="159"/>
      <c r="N791" s="159"/>
      <c r="O791" s="159"/>
      <c r="P791" s="159"/>
      <c r="Q791" s="159"/>
      <c r="R791" s="159"/>
    </row>
    <row r="792" spans="1:18" ht="15.75" customHeight="1" x14ac:dyDescent="0.3">
      <c r="A792" s="159"/>
      <c r="B792" s="159"/>
      <c r="C792" s="159"/>
      <c r="D792" s="159"/>
      <c r="E792" s="159" t="str">
        <f>+A5</f>
        <v>Calendar Year 2009</v>
      </c>
      <c r="F792" s="159"/>
      <c r="G792" s="159"/>
      <c r="H792" s="159"/>
      <c r="I792" s="159"/>
      <c r="J792" s="159"/>
      <c r="K792" s="159"/>
      <c r="L792" s="159"/>
      <c r="M792" s="159"/>
      <c r="N792" s="159"/>
      <c r="O792" s="159"/>
      <c r="P792" s="159"/>
      <c r="Q792" s="159"/>
      <c r="R792" s="159"/>
    </row>
    <row r="793" spans="1:18" ht="15.75" customHeight="1" x14ac:dyDescent="0.3">
      <c r="A793" s="159"/>
      <c r="B793" s="159"/>
      <c r="C793" s="159"/>
      <c r="D793" s="159"/>
      <c r="E793" s="159" t="s">
        <v>455</v>
      </c>
      <c r="F793" s="159"/>
      <c r="G793" s="159"/>
      <c r="H793" s="159"/>
      <c r="I793" s="159"/>
      <c r="J793" s="159"/>
      <c r="K793" s="159"/>
      <c r="L793" s="159"/>
      <c r="M793" s="159"/>
      <c r="N793" s="159"/>
      <c r="O793" s="159"/>
      <c r="P793" s="159"/>
      <c r="Q793" s="159"/>
      <c r="R793" s="159"/>
    </row>
    <row r="794" spans="1:18" ht="15.75" customHeight="1" x14ac:dyDescent="0.3">
      <c r="A794" s="159"/>
      <c r="B794" s="159"/>
      <c r="C794" s="159"/>
      <c r="D794" s="159"/>
      <c r="E794" s="159"/>
      <c r="F794" s="159"/>
      <c r="G794" s="159"/>
      <c r="H794" s="159"/>
      <c r="I794" s="159"/>
      <c r="J794" s="159"/>
      <c r="K794" s="159"/>
      <c r="L794" s="159"/>
      <c r="M794" s="159"/>
      <c r="N794" s="159"/>
      <c r="O794" s="159"/>
      <c r="P794" s="159"/>
      <c r="Q794" s="159"/>
      <c r="R794" s="159"/>
    </row>
    <row r="795" spans="1:18" ht="15.75" customHeight="1" x14ac:dyDescent="0.3">
      <c r="A795" s="159" t="s">
        <v>389</v>
      </c>
      <c r="B795" s="164" t="s">
        <v>390</v>
      </c>
      <c r="C795" s="164" t="s">
        <v>391</v>
      </c>
      <c r="D795" s="164" t="s">
        <v>392</v>
      </c>
      <c r="E795" s="164" t="s">
        <v>393</v>
      </c>
      <c r="F795" s="164" t="s">
        <v>394</v>
      </c>
      <c r="G795" s="164" t="s">
        <v>394</v>
      </c>
      <c r="H795" s="164" t="s">
        <v>395</v>
      </c>
      <c r="I795" s="164" t="s">
        <v>396</v>
      </c>
      <c r="J795" s="164" t="s">
        <v>397</v>
      </c>
      <c r="K795" s="164" t="s">
        <v>398</v>
      </c>
      <c r="L795" s="164" t="s">
        <v>399</v>
      </c>
      <c r="M795" s="164" t="s">
        <v>400</v>
      </c>
      <c r="N795" s="164" t="s">
        <v>401</v>
      </c>
      <c r="O795" s="164" t="s">
        <v>402</v>
      </c>
      <c r="P795" s="164" t="s">
        <v>403</v>
      </c>
      <c r="Q795" s="164" t="s">
        <v>404</v>
      </c>
      <c r="R795" s="159"/>
    </row>
    <row r="796" spans="1:18" ht="15.75" customHeight="1" x14ac:dyDescent="0.3">
      <c r="A796" s="159" t="s">
        <v>405</v>
      </c>
      <c r="B796" s="159"/>
      <c r="C796" s="159"/>
      <c r="D796" s="159"/>
      <c r="E796" s="159"/>
      <c r="F796" s="164" t="s">
        <v>406</v>
      </c>
      <c r="G796" s="164" t="s">
        <v>407</v>
      </c>
      <c r="H796" s="159"/>
      <c r="I796" s="159"/>
      <c r="J796" s="159"/>
      <c r="K796" s="159"/>
      <c r="L796" s="159"/>
      <c r="M796" s="159"/>
      <c r="N796" s="159"/>
      <c r="O796" s="159"/>
      <c r="P796" s="159"/>
      <c r="Q796" s="159"/>
      <c r="R796" s="159"/>
    </row>
    <row r="797" spans="1:18" ht="15.75" customHeight="1" x14ac:dyDescent="0.3">
      <c r="A797" s="159" t="s">
        <v>408</v>
      </c>
      <c r="B797" s="159">
        <v>953</v>
      </c>
      <c r="C797" s="159">
        <v>128</v>
      </c>
      <c r="D797" s="159">
        <v>128</v>
      </c>
      <c r="E797" s="159">
        <v>219</v>
      </c>
      <c r="F797" s="159">
        <v>179</v>
      </c>
      <c r="G797" s="159">
        <v>121</v>
      </c>
      <c r="H797" s="159">
        <v>92</v>
      </c>
      <c r="I797" s="159">
        <v>150</v>
      </c>
      <c r="J797" s="159">
        <v>237</v>
      </c>
      <c r="K797" s="159">
        <v>226</v>
      </c>
      <c r="L797" s="159">
        <v>99</v>
      </c>
      <c r="M797" s="159">
        <v>102</v>
      </c>
      <c r="N797" s="159">
        <v>249</v>
      </c>
      <c r="O797" s="159">
        <v>189</v>
      </c>
      <c r="P797" s="159">
        <v>333</v>
      </c>
      <c r="Q797" s="159">
        <v>411</v>
      </c>
      <c r="R797" s="159"/>
    </row>
    <row r="798" spans="1:18" ht="15.75" customHeight="1" x14ac:dyDescent="0.3">
      <c r="A798" s="159"/>
      <c r="B798" s="166" t="s">
        <v>409</v>
      </c>
      <c r="C798" s="166" t="s">
        <v>409</v>
      </c>
      <c r="D798" s="166" t="s">
        <v>409</v>
      </c>
      <c r="E798" s="166" t="s">
        <v>409</v>
      </c>
      <c r="F798" s="166" t="s">
        <v>409</v>
      </c>
      <c r="G798" s="166" t="s">
        <v>409</v>
      </c>
      <c r="H798" s="166" t="s">
        <v>409</v>
      </c>
      <c r="I798" s="166" t="s">
        <v>409</v>
      </c>
      <c r="J798" s="166" t="s">
        <v>409</v>
      </c>
      <c r="K798" s="166" t="s">
        <v>409</v>
      </c>
      <c r="L798" s="166" t="s">
        <v>409</v>
      </c>
      <c r="M798" s="166" t="s">
        <v>409</v>
      </c>
      <c r="N798" s="166" t="s">
        <v>409</v>
      </c>
      <c r="O798" s="166" t="s">
        <v>409</v>
      </c>
      <c r="P798" s="166" t="s">
        <v>409</v>
      </c>
      <c r="Q798" s="166" t="s">
        <v>409</v>
      </c>
      <c r="R798" s="159"/>
    </row>
    <row r="799" spans="1:18" ht="15.75" customHeight="1" x14ac:dyDescent="0.3">
      <c r="A799" s="164" t="s">
        <v>410</v>
      </c>
      <c r="B799" s="159">
        <f t="shared" ref="B799:Q799" si="117">(B741/31/1.98)</f>
        <v>2813.7178233952427</v>
      </c>
      <c r="C799" s="159">
        <f t="shared" si="117"/>
        <v>2812.1375040729881</v>
      </c>
      <c r="D799" s="159">
        <f t="shared" si="117"/>
        <v>2810.5734767025092</v>
      </c>
      <c r="E799" s="159">
        <f t="shared" si="117"/>
        <v>2644.3141088302382</v>
      </c>
      <c r="F799" s="159">
        <f t="shared" si="117"/>
        <v>1591.4956011730205</v>
      </c>
      <c r="G799" s="159">
        <f t="shared" si="117"/>
        <v>0</v>
      </c>
      <c r="H799" s="159">
        <f t="shared" si="117"/>
        <v>705.53926360377977</v>
      </c>
      <c r="I799" s="159">
        <f t="shared" si="117"/>
        <v>372.67839687194527</v>
      </c>
      <c r="J799" s="159">
        <f t="shared" si="117"/>
        <v>359.57966764418381</v>
      </c>
      <c r="K799" s="159">
        <f t="shared" si="117"/>
        <v>334.35972629521018</v>
      </c>
      <c r="L799" s="159">
        <f t="shared" si="117"/>
        <v>261.07852720755943</v>
      </c>
      <c r="M799" s="159">
        <f t="shared" si="117"/>
        <v>260.75268817204301</v>
      </c>
      <c r="N799" s="159">
        <f t="shared" si="117"/>
        <v>260.5897686542848</v>
      </c>
      <c r="O799" s="159">
        <f t="shared" si="117"/>
        <v>39.882697947214076</v>
      </c>
      <c r="P799" s="159">
        <f t="shared" si="117"/>
        <v>87.520364939719769</v>
      </c>
      <c r="Q799" s="159">
        <f t="shared" si="117"/>
        <v>38.774845226458133</v>
      </c>
      <c r="R799" s="159"/>
    </row>
    <row r="800" spans="1:18" ht="15.75" customHeight="1" x14ac:dyDescent="0.3">
      <c r="A800" s="164" t="s">
        <v>411</v>
      </c>
      <c r="B800" s="159">
        <f t="shared" ref="B800:Q800" si="118">(B742/28/1.98)</f>
        <v>2894.4624819624823</v>
      </c>
      <c r="C800" s="159">
        <f t="shared" si="118"/>
        <v>2891.7929292929293</v>
      </c>
      <c r="D800" s="159">
        <f t="shared" si="118"/>
        <v>2889.177489177489</v>
      </c>
      <c r="E800" s="159">
        <f t="shared" si="118"/>
        <v>2534.0367965367964</v>
      </c>
      <c r="F800" s="159">
        <f t="shared" si="118"/>
        <v>1540.909090909091</v>
      </c>
      <c r="G800" s="159">
        <f t="shared" si="118"/>
        <v>0</v>
      </c>
      <c r="H800" s="159">
        <f t="shared" si="118"/>
        <v>666.77489177489178</v>
      </c>
      <c r="I800" s="159">
        <f t="shared" si="118"/>
        <v>166.64862914862914</v>
      </c>
      <c r="J800" s="159">
        <f t="shared" si="118"/>
        <v>146.26623376623377</v>
      </c>
      <c r="K800" s="159">
        <f t="shared" si="118"/>
        <v>112.64430014430015</v>
      </c>
      <c r="L800" s="159">
        <f t="shared" si="118"/>
        <v>100.86580086580086</v>
      </c>
      <c r="M800" s="159">
        <f t="shared" si="118"/>
        <v>100.46897546897546</v>
      </c>
      <c r="N800" s="159">
        <f t="shared" si="118"/>
        <v>100.27056277056276</v>
      </c>
      <c r="O800" s="159">
        <f t="shared" si="118"/>
        <v>33.152958152958149</v>
      </c>
      <c r="P800" s="159">
        <f t="shared" si="118"/>
        <v>70.129870129870127</v>
      </c>
      <c r="Q800" s="159">
        <f t="shared" si="118"/>
        <v>32.683982683982684</v>
      </c>
      <c r="R800" s="159"/>
    </row>
    <row r="801" spans="1:18" ht="15.75" customHeight="1" x14ac:dyDescent="0.3">
      <c r="A801" s="164" t="s">
        <v>412</v>
      </c>
      <c r="B801" s="159">
        <f t="shared" ref="B801:Q801" si="119">(B743/31/1.98)</f>
        <v>2948.0449657869012</v>
      </c>
      <c r="C801" s="159">
        <f t="shared" si="119"/>
        <v>2943.5809710003259</v>
      </c>
      <c r="D801" s="159">
        <f t="shared" si="119"/>
        <v>2939.3287715868364</v>
      </c>
      <c r="E801" s="159">
        <f t="shared" si="119"/>
        <v>2470.918866080156</v>
      </c>
      <c r="F801" s="159">
        <f t="shared" si="119"/>
        <v>746.44835451287065</v>
      </c>
      <c r="G801" s="159">
        <f t="shared" si="119"/>
        <v>0</v>
      </c>
      <c r="H801" s="159">
        <f t="shared" si="119"/>
        <v>1248.1590094493322</v>
      </c>
      <c r="I801" s="159">
        <f t="shared" si="119"/>
        <v>347.3769957640925</v>
      </c>
      <c r="J801" s="159">
        <f t="shared" si="119"/>
        <v>205.63701531443468</v>
      </c>
      <c r="K801" s="159">
        <f t="shared" si="119"/>
        <v>116.42228739002934</v>
      </c>
      <c r="L801" s="159">
        <f t="shared" si="119"/>
        <v>82.697947214076251</v>
      </c>
      <c r="M801" s="159">
        <f t="shared" si="119"/>
        <v>82.241772564353212</v>
      </c>
      <c r="N801" s="159">
        <f t="shared" si="119"/>
        <v>80.905832518735735</v>
      </c>
      <c r="O801" s="159">
        <f t="shared" si="119"/>
        <v>51.319648093841643</v>
      </c>
      <c r="P801" s="159">
        <f t="shared" si="119"/>
        <v>98.093841642228739</v>
      </c>
      <c r="Q801" s="159">
        <f t="shared" si="119"/>
        <v>50.146627565982406</v>
      </c>
      <c r="R801" s="159"/>
    </row>
    <row r="802" spans="1:18" ht="15.75" customHeight="1" x14ac:dyDescent="0.3">
      <c r="A802" s="164" t="s">
        <v>413</v>
      </c>
      <c r="B802" s="159">
        <f t="shared" ref="B802:Q802" si="120">(B744/30/1.98)</f>
        <v>2924.4612794612794</v>
      </c>
      <c r="C802" s="159">
        <f t="shared" si="120"/>
        <v>2918.2828282828282</v>
      </c>
      <c r="D802" s="159">
        <f t="shared" si="120"/>
        <v>2912.3905723905727</v>
      </c>
      <c r="E802" s="159">
        <f t="shared" si="120"/>
        <v>2469.3771043771044</v>
      </c>
      <c r="F802" s="159">
        <f t="shared" si="120"/>
        <v>346.31313131313135</v>
      </c>
      <c r="G802" s="159">
        <f t="shared" si="120"/>
        <v>0</v>
      </c>
      <c r="H802" s="159">
        <f t="shared" si="120"/>
        <v>1720.2861952861952</v>
      </c>
      <c r="I802" s="159">
        <f t="shared" si="120"/>
        <v>606.76767676767679</v>
      </c>
      <c r="J802" s="159">
        <f t="shared" si="120"/>
        <v>395.85858585858585</v>
      </c>
      <c r="K802" s="159">
        <f t="shared" si="120"/>
        <v>285.11784511784509</v>
      </c>
      <c r="L802" s="159">
        <f t="shared" si="120"/>
        <v>163.13131313131314</v>
      </c>
      <c r="M802" s="159">
        <f t="shared" si="120"/>
        <v>162.50841750841749</v>
      </c>
      <c r="N802" s="159">
        <f t="shared" si="120"/>
        <v>162.20538720538721</v>
      </c>
      <c r="O802" s="159">
        <f t="shared" si="120"/>
        <v>46.734006734006734</v>
      </c>
      <c r="P802" s="159">
        <f t="shared" si="120"/>
        <v>84.882154882154879</v>
      </c>
      <c r="Q802" s="159">
        <f t="shared" si="120"/>
        <v>45.488215488215488</v>
      </c>
      <c r="R802" s="159"/>
    </row>
    <row r="803" spans="1:18" ht="15.75" customHeight="1" x14ac:dyDescent="0.3">
      <c r="A803" s="164" t="s">
        <v>414</v>
      </c>
      <c r="B803" s="159">
        <f t="shared" ref="B803:Q803" si="121">(B745/31/1.98)</f>
        <v>2687.6344086021509</v>
      </c>
      <c r="C803" s="159">
        <f t="shared" si="121"/>
        <v>2680.710329097426</v>
      </c>
      <c r="D803" s="159">
        <f t="shared" si="121"/>
        <v>2674.1609644835453</v>
      </c>
      <c r="E803" s="159">
        <f t="shared" si="121"/>
        <v>2217.2531769305961</v>
      </c>
      <c r="F803" s="159">
        <f t="shared" si="121"/>
        <v>68.312153796024759</v>
      </c>
      <c r="G803" s="159">
        <f t="shared" si="121"/>
        <v>-197.23036819811014</v>
      </c>
      <c r="H803" s="159">
        <f t="shared" si="121"/>
        <v>1738.9540566959922</v>
      </c>
      <c r="I803" s="159">
        <f t="shared" si="121"/>
        <v>523.68849788204636</v>
      </c>
      <c r="J803" s="159">
        <f t="shared" si="121"/>
        <v>356.15835777126102</v>
      </c>
      <c r="K803" s="159">
        <f t="shared" si="121"/>
        <v>278.00586510263935</v>
      </c>
      <c r="L803" s="159">
        <f t="shared" si="121"/>
        <v>179.45584881068751</v>
      </c>
      <c r="M803" s="159">
        <f t="shared" si="121"/>
        <v>178.77158683610295</v>
      </c>
      <c r="N803" s="159">
        <f t="shared" si="121"/>
        <v>178.4294558488107</v>
      </c>
      <c r="O803" s="159">
        <f t="shared" si="121"/>
        <v>60.394265232974909</v>
      </c>
      <c r="P803" s="159">
        <f t="shared" si="121"/>
        <v>83.202997719126756</v>
      </c>
      <c r="Q803" s="159">
        <f t="shared" si="121"/>
        <v>60.101010101010104</v>
      </c>
      <c r="R803" s="159"/>
    </row>
    <row r="804" spans="1:18" ht="15.75" customHeight="1" x14ac:dyDescent="0.3">
      <c r="A804" s="164" t="s">
        <v>415</v>
      </c>
      <c r="B804" s="159">
        <f t="shared" ref="B804:Q804" si="122">(B746/30/1.98)</f>
        <v>1632.2727272727273</v>
      </c>
      <c r="C804" s="159">
        <f t="shared" si="122"/>
        <v>1625.2525252525252</v>
      </c>
      <c r="D804" s="159">
        <f t="shared" si="122"/>
        <v>1618.5858585858587</v>
      </c>
      <c r="E804" s="159">
        <f t="shared" si="122"/>
        <v>1306.2457912457912</v>
      </c>
      <c r="F804" s="159">
        <f t="shared" si="122"/>
        <v>0</v>
      </c>
      <c r="G804" s="159">
        <f t="shared" si="122"/>
        <v>-1416.2289562289561</v>
      </c>
      <c r="H804" s="159">
        <f t="shared" si="122"/>
        <v>2186.7340067340069</v>
      </c>
      <c r="I804" s="159">
        <f t="shared" si="122"/>
        <v>694.76430976430981</v>
      </c>
      <c r="J804" s="159">
        <f t="shared" si="122"/>
        <v>430.99326599326599</v>
      </c>
      <c r="K804" s="159">
        <f t="shared" si="122"/>
        <v>316.90235690235693</v>
      </c>
      <c r="L804" s="159">
        <f t="shared" si="122"/>
        <v>211.81818181818181</v>
      </c>
      <c r="M804" s="159">
        <f t="shared" si="122"/>
        <v>211.07744107744108</v>
      </c>
      <c r="N804" s="159">
        <f t="shared" si="122"/>
        <v>209.47811447811446</v>
      </c>
      <c r="O804" s="159">
        <f t="shared" si="122"/>
        <v>62.542087542087543</v>
      </c>
      <c r="P804" s="159">
        <f t="shared" si="122"/>
        <v>89.730639730639723</v>
      </c>
      <c r="Q804" s="159">
        <f t="shared" si="122"/>
        <v>61.026936026936028</v>
      </c>
      <c r="R804" s="159"/>
    </row>
    <row r="805" spans="1:18" ht="15.75" customHeight="1" x14ac:dyDescent="0.3">
      <c r="A805" s="164" t="s">
        <v>416</v>
      </c>
      <c r="B805" s="159">
        <f t="shared" ref="B805:Q806" si="123">(B747/31/1.98)</f>
        <v>1239.3124796350603</v>
      </c>
      <c r="C805" s="159">
        <f t="shared" si="123"/>
        <v>1232.5350276963181</v>
      </c>
      <c r="D805" s="159">
        <f t="shared" si="123"/>
        <v>1226.1159986966438</v>
      </c>
      <c r="E805" s="159">
        <f t="shared" si="123"/>
        <v>809.80775496904539</v>
      </c>
      <c r="F805" s="159">
        <f t="shared" si="123"/>
        <v>0</v>
      </c>
      <c r="G805" s="159">
        <f t="shared" si="123"/>
        <v>-1927.1586836102967</v>
      </c>
      <c r="H805" s="159">
        <f t="shared" si="123"/>
        <v>2177.3378950798306</v>
      </c>
      <c r="I805" s="159">
        <f t="shared" si="123"/>
        <v>868.94753991528182</v>
      </c>
      <c r="J805" s="159">
        <f t="shared" si="123"/>
        <v>576.58846529814275</v>
      </c>
      <c r="K805" s="159">
        <f t="shared" si="123"/>
        <v>449.69045291625935</v>
      </c>
      <c r="L805" s="159">
        <f t="shared" si="123"/>
        <v>317.51384815900946</v>
      </c>
      <c r="M805" s="159">
        <f t="shared" si="123"/>
        <v>316.87846203975232</v>
      </c>
      <c r="N805" s="159">
        <f t="shared" si="123"/>
        <v>302.19941348973606</v>
      </c>
      <c r="O805" s="159">
        <f t="shared" si="123"/>
        <v>53.372434017595303</v>
      </c>
      <c r="P805" s="159">
        <f t="shared" si="123"/>
        <v>89.345063538611925</v>
      </c>
      <c r="Q805" s="159">
        <f t="shared" si="123"/>
        <v>51.368523949169109</v>
      </c>
      <c r="R805" s="159"/>
    </row>
    <row r="806" spans="1:18" ht="15.75" customHeight="1" x14ac:dyDescent="0.3">
      <c r="A806" s="164" t="s">
        <v>417</v>
      </c>
      <c r="B806" s="159">
        <f t="shared" si="123"/>
        <v>1165.8031932225481</v>
      </c>
      <c r="C806" s="159">
        <f t="shared" si="123"/>
        <v>1160.3616813294232</v>
      </c>
      <c r="D806" s="159">
        <f t="shared" si="123"/>
        <v>1155.1808406647117</v>
      </c>
      <c r="E806" s="159">
        <f t="shared" si="123"/>
        <v>668.54024112088632</v>
      </c>
      <c r="F806" s="159">
        <f t="shared" si="123"/>
        <v>0</v>
      </c>
      <c r="G806" s="159">
        <f t="shared" si="123"/>
        <v>-2056.3375692407949</v>
      </c>
      <c r="H806" s="159">
        <f t="shared" si="123"/>
        <v>2203.4213098729228</v>
      </c>
      <c r="I806" s="159">
        <f t="shared" si="123"/>
        <v>896.95340501792111</v>
      </c>
      <c r="J806" s="159">
        <f t="shared" si="123"/>
        <v>597.70283479960904</v>
      </c>
      <c r="K806" s="159">
        <f t="shared" si="123"/>
        <v>465.23297491039426</v>
      </c>
      <c r="L806" s="159">
        <f t="shared" si="123"/>
        <v>347.05115672857607</v>
      </c>
      <c r="M806" s="159">
        <f t="shared" si="123"/>
        <v>346.46464646464648</v>
      </c>
      <c r="N806" s="159">
        <f t="shared" si="123"/>
        <v>335.36982730531116</v>
      </c>
      <c r="O806" s="159">
        <f t="shared" si="123"/>
        <v>74.258716194200062</v>
      </c>
      <c r="P806" s="159">
        <f t="shared" si="123"/>
        <v>91.381557510589772</v>
      </c>
      <c r="Q806" s="159">
        <f t="shared" si="123"/>
        <v>73.053111762789186</v>
      </c>
      <c r="R806" s="159"/>
    </row>
    <row r="807" spans="1:18" ht="15.75" customHeight="1" x14ac:dyDescent="0.3">
      <c r="A807" s="164" t="s">
        <v>418</v>
      </c>
      <c r="B807" s="159">
        <f>(B749/30/1.98)</f>
        <v>2414.5622895622896</v>
      </c>
      <c r="C807" s="159">
        <f t="shared" ref="C807:Q807" si="124">(C749/30/1.98)</f>
        <v>2409.2424242424245</v>
      </c>
      <c r="D807" s="159">
        <f t="shared" si="124"/>
        <v>2404.1750841750841</v>
      </c>
      <c r="E807" s="159">
        <f t="shared" si="124"/>
        <v>2192.4410774410776</v>
      </c>
      <c r="F807" s="159">
        <f t="shared" si="124"/>
        <v>352.52525252525254</v>
      </c>
      <c r="G807" s="159">
        <f t="shared" si="124"/>
        <v>-156.8013468013468</v>
      </c>
      <c r="H807" s="159">
        <f t="shared" si="124"/>
        <v>1525.1683501683503</v>
      </c>
      <c r="I807" s="159">
        <f t="shared" si="124"/>
        <v>550.15151515151513</v>
      </c>
      <c r="J807" s="159">
        <f t="shared" si="124"/>
        <v>476.11111111111114</v>
      </c>
      <c r="K807" s="159">
        <f t="shared" si="124"/>
        <v>399.30976430976432</v>
      </c>
      <c r="L807" s="159">
        <f t="shared" si="124"/>
        <v>327.10437710437708</v>
      </c>
      <c r="M807" s="159">
        <f t="shared" si="124"/>
        <v>326.53198653198655</v>
      </c>
      <c r="N807" s="159">
        <f t="shared" si="124"/>
        <v>315.1010101010101</v>
      </c>
      <c r="O807" s="159">
        <f t="shared" si="124"/>
        <v>68.905723905723903</v>
      </c>
      <c r="P807" s="159">
        <f t="shared" si="124"/>
        <v>87.255892255892263</v>
      </c>
      <c r="Q807" s="159">
        <f t="shared" si="124"/>
        <v>68.181818181818187</v>
      </c>
      <c r="R807" s="159"/>
    </row>
    <row r="808" spans="1:18" ht="15.75" customHeight="1" x14ac:dyDescent="0.3">
      <c r="A808" s="164" t="s">
        <v>419</v>
      </c>
      <c r="B808" s="159">
        <f t="shared" ref="B808:Q808" si="125">(B750/31/1.98)</f>
        <v>2213.5386119257087</v>
      </c>
      <c r="C808" s="159">
        <f t="shared" si="125"/>
        <v>2208.8954056695993</v>
      </c>
      <c r="D808" s="159">
        <f t="shared" si="125"/>
        <v>2204.4639947865753</v>
      </c>
      <c r="E808" s="159">
        <f t="shared" si="125"/>
        <v>1774.2587161942001</v>
      </c>
      <c r="F808" s="159">
        <f t="shared" si="125"/>
        <v>281.52492668621699</v>
      </c>
      <c r="G808" s="159">
        <f t="shared" si="125"/>
        <v>0</v>
      </c>
      <c r="H808" s="159">
        <f t="shared" si="125"/>
        <v>974.61713913326821</v>
      </c>
      <c r="I808" s="159">
        <f t="shared" si="125"/>
        <v>394.91691104594327</v>
      </c>
      <c r="J808" s="159">
        <f t="shared" si="125"/>
        <v>360.62235255783639</v>
      </c>
      <c r="K808" s="159">
        <f t="shared" si="125"/>
        <v>333.26816552623006</v>
      </c>
      <c r="L808" s="159">
        <f t="shared" si="125"/>
        <v>293.07592049527534</v>
      </c>
      <c r="M808" s="159">
        <f t="shared" si="125"/>
        <v>292.60345389377648</v>
      </c>
      <c r="N808" s="159">
        <f t="shared" si="125"/>
        <v>284.34343434343435</v>
      </c>
      <c r="O808" s="159">
        <f t="shared" si="125"/>
        <v>42.766373411534701</v>
      </c>
      <c r="P808" s="159">
        <f t="shared" si="125"/>
        <v>85.467579015966109</v>
      </c>
      <c r="Q808" s="159">
        <f t="shared" si="125"/>
        <v>41.169762137504073</v>
      </c>
      <c r="R808" s="159"/>
    </row>
    <row r="809" spans="1:18" ht="15.75" customHeight="1" x14ac:dyDescent="0.3">
      <c r="A809" s="164" t="s">
        <v>420</v>
      </c>
      <c r="B809" s="159">
        <f t="shared" ref="B809:Q809" si="126">(B751/30/1.98)</f>
        <v>2333.181818181818</v>
      </c>
      <c r="C809" s="159">
        <f t="shared" si="126"/>
        <v>2329.2255892255894</v>
      </c>
      <c r="D809" s="159">
        <f t="shared" si="126"/>
        <v>2325.4208754208753</v>
      </c>
      <c r="E809" s="159">
        <f t="shared" si="126"/>
        <v>1951.3468013468014</v>
      </c>
      <c r="F809" s="159">
        <f t="shared" si="126"/>
        <v>1303.2659932659933</v>
      </c>
      <c r="G809" s="159">
        <f t="shared" si="126"/>
        <v>0</v>
      </c>
      <c r="H809" s="159">
        <f t="shared" si="126"/>
        <v>238.65319865319867</v>
      </c>
      <c r="I809" s="159">
        <f t="shared" si="126"/>
        <v>105.8080808080808</v>
      </c>
      <c r="J809" s="159">
        <f t="shared" si="126"/>
        <v>105.43771043771045</v>
      </c>
      <c r="K809" s="159">
        <f t="shared" si="126"/>
        <v>100.8922558922559</v>
      </c>
      <c r="L809" s="159">
        <f t="shared" si="126"/>
        <v>92.91245791245791</v>
      </c>
      <c r="M809" s="159">
        <f t="shared" si="126"/>
        <v>92.525252525252526</v>
      </c>
      <c r="N809" s="159">
        <f t="shared" si="126"/>
        <v>91.80134680134681</v>
      </c>
      <c r="O809" s="159">
        <f t="shared" si="126"/>
        <v>21.986531986531986</v>
      </c>
      <c r="P809" s="159">
        <f t="shared" si="126"/>
        <v>86.414141414141412</v>
      </c>
      <c r="Q809" s="159">
        <f t="shared" si="126"/>
        <v>20.63973063973064</v>
      </c>
      <c r="R809" s="159"/>
    </row>
    <row r="810" spans="1:18" ht="15.75" customHeight="1" x14ac:dyDescent="0.3">
      <c r="A810" s="164" t="s">
        <v>421</v>
      </c>
      <c r="B810" s="159">
        <f t="shared" ref="B810:Q810" si="127">(B752/31/1.98)</f>
        <v>2446.1062235255781</v>
      </c>
      <c r="C810" s="159">
        <f t="shared" si="127"/>
        <v>2443.0759204952751</v>
      </c>
      <c r="D810" s="159">
        <f t="shared" si="127"/>
        <v>2440.1596611274035</v>
      </c>
      <c r="E810" s="159">
        <f t="shared" si="127"/>
        <v>2007.0544151189313</v>
      </c>
      <c r="F810" s="159">
        <f t="shared" si="127"/>
        <v>948.58260019550346</v>
      </c>
      <c r="G810" s="159">
        <f t="shared" si="127"/>
        <v>0</v>
      </c>
      <c r="H810" s="159">
        <f t="shared" si="127"/>
        <v>675.95307917888567</v>
      </c>
      <c r="I810" s="159">
        <f t="shared" si="127"/>
        <v>374.16096448354517</v>
      </c>
      <c r="J810" s="159">
        <f t="shared" si="127"/>
        <v>361.74649723036822</v>
      </c>
      <c r="K810" s="159">
        <f t="shared" si="127"/>
        <v>358.5206907787553</v>
      </c>
      <c r="L810" s="159">
        <f t="shared" si="127"/>
        <v>286.23330074942982</v>
      </c>
      <c r="M810" s="159">
        <f t="shared" si="127"/>
        <v>285.92375366568916</v>
      </c>
      <c r="N810" s="159">
        <f t="shared" si="127"/>
        <v>285.77712609970678</v>
      </c>
      <c r="O810" s="159">
        <f t="shared" si="127"/>
        <v>70.593027044639953</v>
      </c>
      <c r="P810" s="159">
        <f t="shared" si="127"/>
        <v>84.017595307917887</v>
      </c>
      <c r="Q810" s="159">
        <f t="shared" si="127"/>
        <v>70.039100684261982</v>
      </c>
      <c r="R810" s="159"/>
    </row>
    <row r="811" spans="1:18" ht="15.75" customHeight="1" x14ac:dyDescent="0.3">
      <c r="A811" s="159"/>
      <c r="B811" s="159"/>
      <c r="C811" s="159"/>
      <c r="D811" s="159"/>
      <c r="E811" s="159"/>
      <c r="F811" s="159"/>
      <c r="G811" s="159"/>
      <c r="H811" s="159"/>
      <c r="I811" s="159"/>
      <c r="J811" s="159"/>
      <c r="K811" s="159"/>
      <c r="L811" s="159"/>
      <c r="M811" s="159"/>
      <c r="N811" s="159"/>
      <c r="O811" s="159"/>
      <c r="P811" s="159"/>
      <c r="Q811" s="159"/>
      <c r="R811" s="159"/>
    </row>
    <row r="812" spans="1:18" ht="15.75" customHeight="1" x14ac:dyDescent="0.3">
      <c r="A812" s="159"/>
      <c r="B812" s="159"/>
      <c r="C812" s="159"/>
      <c r="D812" s="161" t="s">
        <v>456</v>
      </c>
      <c r="E812" s="159"/>
      <c r="F812" s="159"/>
      <c r="G812" s="159"/>
      <c r="H812" s="159"/>
      <c r="I812" s="159"/>
      <c r="J812" s="159"/>
      <c r="K812" s="159"/>
      <c r="L812" s="159"/>
      <c r="M812" s="159"/>
      <c r="N812" s="159"/>
      <c r="O812" s="159"/>
      <c r="P812" s="159"/>
      <c r="Q812" s="161" t="str">
        <f>+Q1</f>
        <v>PRINTED:</v>
      </c>
      <c r="R812" s="162">
        <f ca="1">+R1</f>
        <v>44909.46975358796</v>
      </c>
    </row>
    <row r="813" spans="1:18" ht="15.75" customHeight="1" x14ac:dyDescent="0.3">
      <c r="A813" s="159"/>
      <c r="B813" s="159"/>
      <c r="C813" s="159"/>
      <c r="D813" s="159"/>
      <c r="E813" s="159" t="s">
        <v>7</v>
      </c>
      <c r="F813" s="163" t="str">
        <f>+A8</f>
        <v>Revised:  1/25/10</v>
      </c>
      <c r="G813" s="159"/>
      <c r="H813" s="159"/>
      <c r="I813" s="159"/>
      <c r="J813" s="159"/>
      <c r="K813" s="159"/>
      <c r="L813" s="159"/>
      <c r="M813" s="159"/>
      <c r="N813" s="159"/>
      <c r="O813" s="159"/>
      <c r="P813" s="159"/>
      <c r="Q813" s="159"/>
      <c r="R813" s="159"/>
    </row>
    <row r="814" spans="1:18" ht="15.75" customHeight="1" x14ac:dyDescent="0.3">
      <c r="A814" s="159"/>
      <c r="B814" s="159"/>
      <c r="C814" s="159"/>
      <c r="D814" s="159" t="s">
        <v>387</v>
      </c>
      <c r="E814" s="159"/>
      <c r="F814" s="159"/>
      <c r="G814" s="159"/>
      <c r="H814" s="159"/>
      <c r="I814" s="159"/>
      <c r="J814" s="159"/>
      <c r="K814" s="159"/>
      <c r="L814" s="159"/>
      <c r="M814" s="159"/>
      <c r="N814" s="159"/>
      <c r="O814" s="159"/>
      <c r="P814" s="159"/>
      <c r="Q814" s="159"/>
      <c r="R814" s="159"/>
    </row>
    <row r="815" spans="1:18" ht="15.75" customHeight="1" x14ac:dyDescent="0.3">
      <c r="A815" s="159"/>
      <c r="B815" s="159"/>
      <c r="C815" s="159"/>
      <c r="D815" s="159"/>
      <c r="E815" s="159"/>
      <c r="F815" s="159"/>
      <c r="G815" s="159"/>
      <c r="H815" s="159"/>
      <c r="I815" s="159"/>
      <c r="J815" s="159"/>
      <c r="K815" s="159"/>
      <c r="L815" s="159"/>
      <c r="M815" s="159"/>
      <c r="N815" s="159"/>
      <c r="O815" s="159"/>
      <c r="P815" s="159"/>
      <c r="Q815" s="159"/>
      <c r="R815" s="159"/>
    </row>
    <row r="816" spans="1:18" ht="15.75" customHeight="1" x14ac:dyDescent="0.3">
      <c r="A816" s="159"/>
      <c r="B816" s="159"/>
      <c r="C816" s="159"/>
      <c r="D816" s="159"/>
      <c r="E816" s="159" t="str">
        <f>A5</f>
        <v>Calendar Year 2009</v>
      </c>
      <c r="F816" s="159"/>
      <c r="G816" s="159"/>
      <c r="H816" s="159"/>
      <c r="I816" s="159"/>
      <c r="J816" s="159"/>
      <c r="K816" s="159"/>
      <c r="L816" s="159"/>
      <c r="M816" s="159"/>
      <c r="N816" s="159"/>
      <c r="O816" s="159"/>
      <c r="P816" s="159"/>
      <c r="Q816" s="159"/>
      <c r="R816" s="159"/>
    </row>
    <row r="817" spans="1:18" ht="15.75" customHeight="1" x14ac:dyDescent="0.3">
      <c r="A817" s="159"/>
      <c r="B817" s="159"/>
      <c r="C817" s="159"/>
      <c r="D817" s="159"/>
      <c r="E817" s="159" t="s">
        <v>457</v>
      </c>
      <c r="F817" s="159"/>
      <c r="G817" s="159"/>
      <c r="H817" s="159"/>
      <c r="I817" s="159"/>
      <c r="J817" s="159"/>
      <c r="K817" s="159"/>
      <c r="L817" s="159"/>
      <c r="M817" s="159"/>
      <c r="N817" s="159"/>
      <c r="O817" s="159"/>
      <c r="P817" s="159"/>
      <c r="Q817" s="159"/>
      <c r="R817" s="159"/>
    </row>
    <row r="818" spans="1:18" ht="15.75" customHeight="1" x14ac:dyDescent="0.3">
      <c r="A818" s="159"/>
      <c r="B818" s="159"/>
      <c r="C818" s="159"/>
      <c r="D818" s="159"/>
      <c r="E818" s="159"/>
      <c r="F818" s="159"/>
      <c r="G818" s="159"/>
      <c r="H818" s="159"/>
      <c r="I818" s="159"/>
      <c r="J818" s="159"/>
      <c r="K818" s="159"/>
      <c r="L818" s="159"/>
      <c r="M818" s="159"/>
      <c r="N818" s="159"/>
      <c r="O818" s="159"/>
      <c r="P818" s="159"/>
      <c r="Q818" s="159"/>
      <c r="R818" s="159"/>
    </row>
    <row r="819" spans="1:18" ht="15.75" customHeight="1" x14ac:dyDescent="0.3">
      <c r="A819" s="159" t="s">
        <v>389</v>
      </c>
      <c r="B819" s="164" t="s">
        <v>390</v>
      </c>
      <c r="C819" s="164" t="s">
        <v>391</v>
      </c>
      <c r="D819" s="164" t="s">
        <v>392</v>
      </c>
      <c r="E819" s="164" t="s">
        <v>393</v>
      </c>
      <c r="F819" s="164" t="s">
        <v>394</v>
      </c>
      <c r="G819" s="164" t="s">
        <v>394</v>
      </c>
      <c r="H819" s="164" t="s">
        <v>395</v>
      </c>
      <c r="I819" s="164" t="s">
        <v>396</v>
      </c>
      <c r="J819" s="164" t="s">
        <v>397</v>
      </c>
      <c r="K819" s="164" t="s">
        <v>398</v>
      </c>
      <c r="L819" s="164" t="s">
        <v>399</v>
      </c>
      <c r="M819" s="164" t="s">
        <v>400</v>
      </c>
      <c r="N819" s="164" t="s">
        <v>401</v>
      </c>
      <c r="O819" s="164" t="s">
        <v>402</v>
      </c>
      <c r="P819" s="164" t="s">
        <v>403</v>
      </c>
      <c r="Q819" s="164" t="s">
        <v>404</v>
      </c>
      <c r="R819" s="164" t="s">
        <v>422</v>
      </c>
    </row>
    <row r="820" spans="1:18" ht="15.75" customHeight="1" x14ac:dyDescent="0.3">
      <c r="A820" s="159" t="s">
        <v>405</v>
      </c>
      <c r="B820" s="159"/>
      <c r="C820" s="159"/>
      <c r="D820" s="159"/>
      <c r="E820" s="159"/>
      <c r="F820" s="164" t="s">
        <v>406</v>
      </c>
      <c r="G820" s="164" t="s">
        <v>407</v>
      </c>
      <c r="H820" s="159"/>
      <c r="I820" s="159"/>
      <c r="J820" s="159"/>
      <c r="K820" s="159"/>
      <c r="L820" s="159"/>
      <c r="M820" s="159"/>
      <c r="N820" s="159"/>
      <c r="O820" s="159"/>
      <c r="P820" s="159"/>
      <c r="Q820" s="159"/>
      <c r="R820" s="164" t="s">
        <v>458</v>
      </c>
    </row>
    <row r="821" spans="1:18" ht="15.75" customHeight="1" x14ac:dyDescent="0.3">
      <c r="A821" s="159" t="s">
        <v>408</v>
      </c>
      <c r="B821" s="159">
        <v>953</v>
      </c>
      <c r="C821" s="159">
        <v>128</v>
      </c>
      <c r="D821" s="159">
        <v>128</v>
      </c>
      <c r="E821" s="159">
        <v>219</v>
      </c>
      <c r="F821" s="159">
        <v>179</v>
      </c>
      <c r="G821" s="159">
        <v>121</v>
      </c>
      <c r="H821" s="159">
        <v>92</v>
      </c>
      <c r="I821" s="159">
        <v>150</v>
      </c>
      <c r="J821" s="159">
        <v>237</v>
      </c>
      <c r="K821" s="159">
        <v>226</v>
      </c>
      <c r="L821" s="159">
        <v>99</v>
      </c>
      <c r="M821" s="159">
        <v>102</v>
      </c>
      <c r="N821" s="159">
        <v>249</v>
      </c>
      <c r="O821" s="159">
        <v>189</v>
      </c>
      <c r="P821" s="159">
        <v>333</v>
      </c>
      <c r="Q821" s="159">
        <v>411</v>
      </c>
      <c r="R821" s="164" t="s">
        <v>442</v>
      </c>
    </row>
    <row r="822" spans="1:18" ht="15.75" customHeight="1" x14ac:dyDescent="0.3">
      <c r="A822" s="159"/>
      <c r="B822" s="159" t="s">
        <v>409</v>
      </c>
      <c r="C822" s="159" t="s">
        <v>409</v>
      </c>
      <c r="D822" s="159" t="s">
        <v>409</v>
      </c>
      <c r="E822" s="159" t="s">
        <v>409</v>
      </c>
      <c r="F822" s="159" t="s">
        <v>409</v>
      </c>
      <c r="G822" s="159" t="s">
        <v>409</v>
      </c>
      <c r="H822" s="159" t="s">
        <v>409</v>
      </c>
      <c r="I822" s="159" t="s">
        <v>409</v>
      </c>
      <c r="J822" s="159" t="s">
        <v>409</v>
      </c>
      <c r="K822" s="159" t="s">
        <v>409</v>
      </c>
      <c r="L822" s="159" t="s">
        <v>409</v>
      </c>
      <c r="M822" s="159" t="s">
        <v>409</v>
      </c>
      <c r="N822" s="159" t="s">
        <v>409</v>
      </c>
      <c r="O822" s="159" t="s">
        <v>409</v>
      </c>
      <c r="P822" s="159" t="s">
        <v>409</v>
      </c>
      <c r="Q822" s="159" t="s">
        <v>409</v>
      </c>
      <c r="R822" s="159" t="s">
        <v>459</v>
      </c>
    </row>
    <row r="823" spans="1:18" ht="15.75" customHeight="1" x14ac:dyDescent="0.3">
      <c r="A823" s="164" t="s">
        <v>410</v>
      </c>
      <c r="B823" s="159">
        <f t="shared" ref="B823:Q823" si="128">(B741*B739)/1000</f>
        <v>164588.818</v>
      </c>
      <c r="C823" s="159">
        <f t="shared" si="128"/>
        <v>22093.952000000001</v>
      </c>
      <c r="D823" s="159">
        <f t="shared" si="128"/>
        <v>22081.664000000001</v>
      </c>
      <c r="E823" s="159">
        <f t="shared" si="128"/>
        <v>35545.451999999997</v>
      </c>
      <c r="F823" s="159">
        <f t="shared" si="128"/>
        <v>17485.794000000002</v>
      </c>
      <c r="G823" s="159">
        <f t="shared" si="128"/>
        <v>0</v>
      </c>
      <c r="H823" s="159">
        <f t="shared" si="128"/>
        <v>3984.152</v>
      </c>
      <c r="I823" s="159">
        <f t="shared" si="128"/>
        <v>3431.25</v>
      </c>
      <c r="J823" s="159">
        <f t="shared" si="128"/>
        <v>5230.8270000000002</v>
      </c>
      <c r="K823" s="159">
        <f t="shared" si="128"/>
        <v>4638.1980000000003</v>
      </c>
      <c r="L823" s="159">
        <f t="shared" si="128"/>
        <v>1586.4749999999999</v>
      </c>
      <c r="M823" s="159">
        <f t="shared" si="128"/>
        <v>1632.51</v>
      </c>
      <c r="N823" s="159">
        <f t="shared" si="128"/>
        <v>3982.7550000000001</v>
      </c>
      <c r="O823" s="159">
        <f t="shared" si="128"/>
        <v>462.67200000000003</v>
      </c>
      <c r="P823" s="159">
        <f t="shared" si="128"/>
        <v>1788.876</v>
      </c>
      <c r="Q823" s="159">
        <f t="shared" si="128"/>
        <v>978.18</v>
      </c>
      <c r="R823" s="159">
        <f t="shared" ref="R823:R834" si="129">(SUM(B823:Q823))</f>
        <v>289511.5749999999</v>
      </c>
    </row>
    <row r="824" spans="1:18" ht="15.75" customHeight="1" x14ac:dyDescent="0.3">
      <c r="A824" s="164" t="s">
        <v>411</v>
      </c>
      <c r="B824" s="159">
        <f t="shared" ref="B824:Q824" si="130">(B742*B739)/1000</f>
        <v>152926.95699999999</v>
      </c>
      <c r="C824" s="159">
        <f t="shared" si="130"/>
        <v>20521.088</v>
      </c>
      <c r="D824" s="159">
        <f t="shared" si="130"/>
        <v>20502.527999999998</v>
      </c>
      <c r="E824" s="159">
        <f t="shared" si="130"/>
        <v>30766.652999999998</v>
      </c>
      <c r="F824" s="159">
        <f t="shared" si="130"/>
        <v>15291.611999999999</v>
      </c>
      <c r="G824" s="159">
        <f t="shared" si="130"/>
        <v>0</v>
      </c>
      <c r="H824" s="159">
        <f t="shared" si="130"/>
        <v>3400.8719999999998</v>
      </c>
      <c r="I824" s="159">
        <f t="shared" si="130"/>
        <v>1385.85</v>
      </c>
      <c r="J824" s="159">
        <f t="shared" si="130"/>
        <v>1921.8330000000001</v>
      </c>
      <c r="K824" s="159">
        <f t="shared" si="130"/>
        <v>1411.37</v>
      </c>
      <c r="L824" s="159">
        <f t="shared" si="130"/>
        <v>553.60799999999995</v>
      </c>
      <c r="M824" s="159">
        <f t="shared" si="130"/>
        <v>568.14</v>
      </c>
      <c r="N824" s="159">
        <f t="shared" si="130"/>
        <v>1384.191</v>
      </c>
      <c r="O824" s="159">
        <f t="shared" si="130"/>
        <v>347.38200000000001</v>
      </c>
      <c r="P824" s="159">
        <f t="shared" si="130"/>
        <v>1294.704</v>
      </c>
      <c r="Q824" s="159">
        <f t="shared" si="130"/>
        <v>744.73199999999997</v>
      </c>
      <c r="R824" s="159">
        <f t="shared" si="129"/>
        <v>253021.52</v>
      </c>
    </row>
    <row r="825" spans="1:18" ht="15.75" customHeight="1" x14ac:dyDescent="0.3">
      <c r="A825" s="164" t="s">
        <v>412</v>
      </c>
      <c r="B825" s="159">
        <f t="shared" ref="B825:Q825" si="131">(B743*B739)/1000</f>
        <v>172446.30300000001</v>
      </c>
      <c r="C825" s="159">
        <f t="shared" si="131"/>
        <v>23126.655999999999</v>
      </c>
      <c r="D825" s="159">
        <f t="shared" si="131"/>
        <v>23093.248</v>
      </c>
      <c r="E825" s="159">
        <f t="shared" si="131"/>
        <v>33214.635000000002</v>
      </c>
      <c r="F825" s="159">
        <f t="shared" si="131"/>
        <v>8201.2430000000004</v>
      </c>
      <c r="G825" s="159">
        <f t="shared" si="131"/>
        <v>0</v>
      </c>
      <c r="H825" s="159">
        <f t="shared" si="131"/>
        <v>7048.3040000000001</v>
      </c>
      <c r="I825" s="159">
        <f t="shared" si="131"/>
        <v>3198.3</v>
      </c>
      <c r="J825" s="159">
        <f t="shared" si="131"/>
        <v>2991.4140000000002</v>
      </c>
      <c r="K825" s="159">
        <f t="shared" si="131"/>
        <v>1614.9960000000001</v>
      </c>
      <c r="L825" s="159">
        <f t="shared" si="131"/>
        <v>502.524</v>
      </c>
      <c r="M825" s="159">
        <f t="shared" si="131"/>
        <v>514.89599999999996</v>
      </c>
      <c r="N825" s="159">
        <f t="shared" si="131"/>
        <v>1236.5340000000001</v>
      </c>
      <c r="O825" s="159">
        <f t="shared" si="131"/>
        <v>595.35</v>
      </c>
      <c r="P825" s="159">
        <f t="shared" si="131"/>
        <v>2004.9929999999999</v>
      </c>
      <c r="Q825" s="159">
        <f t="shared" si="131"/>
        <v>1265.058</v>
      </c>
      <c r="R825" s="159">
        <f t="shared" si="129"/>
        <v>281054.45399999991</v>
      </c>
    </row>
    <row r="826" spans="1:18" ht="15.75" customHeight="1" x14ac:dyDescent="0.3">
      <c r="A826" s="164" t="s">
        <v>413</v>
      </c>
      <c r="B826" s="159">
        <f t="shared" ref="B826:Q826" si="132">(B744*B739)/1000</f>
        <v>165548.489</v>
      </c>
      <c r="C826" s="159">
        <f t="shared" si="132"/>
        <v>22188.288</v>
      </c>
      <c r="D826" s="159">
        <f t="shared" si="132"/>
        <v>22143.488000000001</v>
      </c>
      <c r="E826" s="159">
        <f t="shared" si="132"/>
        <v>32123.138999999999</v>
      </c>
      <c r="F826" s="159">
        <f t="shared" si="132"/>
        <v>3682.2089999999998</v>
      </c>
      <c r="G826" s="159">
        <f t="shared" si="132"/>
        <v>0</v>
      </c>
      <c r="H826" s="159">
        <f t="shared" si="132"/>
        <v>9401.02</v>
      </c>
      <c r="I826" s="159">
        <f t="shared" si="132"/>
        <v>5406.3</v>
      </c>
      <c r="J826" s="159">
        <f t="shared" si="132"/>
        <v>5572.8180000000002</v>
      </c>
      <c r="K826" s="159">
        <f t="shared" si="132"/>
        <v>3827.5360000000001</v>
      </c>
      <c r="L826" s="159">
        <f t="shared" si="132"/>
        <v>959.31</v>
      </c>
      <c r="M826" s="159">
        <f t="shared" si="132"/>
        <v>984.60599999999999</v>
      </c>
      <c r="N826" s="159">
        <f t="shared" si="132"/>
        <v>2399.1149999999998</v>
      </c>
      <c r="O826" s="159">
        <f t="shared" si="132"/>
        <v>524.66399999999999</v>
      </c>
      <c r="P826" s="159">
        <f t="shared" si="132"/>
        <v>1678.9860000000001</v>
      </c>
      <c r="Q826" s="159">
        <f t="shared" si="132"/>
        <v>1110.5219999999999</v>
      </c>
      <c r="R826" s="159">
        <f t="shared" si="129"/>
        <v>277550.49</v>
      </c>
    </row>
    <row r="827" spans="1:18" ht="15.75" customHeight="1" x14ac:dyDescent="0.3">
      <c r="A827" s="164" t="s">
        <v>414</v>
      </c>
      <c r="B827" s="159">
        <f t="shared" ref="B827:Q827" si="133">(B745*B739)/1000</f>
        <v>157213.55100000001</v>
      </c>
      <c r="C827" s="159">
        <f t="shared" si="133"/>
        <v>21061.376</v>
      </c>
      <c r="D827" s="159">
        <f t="shared" si="133"/>
        <v>21009.919999999998</v>
      </c>
      <c r="E827" s="159">
        <f t="shared" si="133"/>
        <v>29804.805</v>
      </c>
      <c r="F827" s="159">
        <f t="shared" si="133"/>
        <v>750.54700000000003</v>
      </c>
      <c r="G827" s="159">
        <f t="shared" si="133"/>
        <v>-1464.826</v>
      </c>
      <c r="H827" s="159">
        <f t="shared" si="133"/>
        <v>9819.8040000000001</v>
      </c>
      <c r="I827" s="159">
        <f t="shared" si="133"/>
        <v>4821.6000000000004</v>
      </c>
      <c r="J827" s="159">
        <f t="shared" si="133"/>
        <v>5181.0569999999998</v>
      </c>
      <c r="K827" s="159">
        <f t="shared" si="133"/>
        <v>3856.4639999999999</v>
      </c>
      <c r="L827" s="159">
        <f t="shared" si="133"/>
        <v>1090.4849999999999</v>
      </c>
      <c r="M827" s="159">
        <f t="shared" si="133"/>
        <v>1119.2460000000001</v>
      </c>
      <c r="N827" s="159">
        <f t="shared" si="133"/>
        <v>2727.0479999999998</v>
      </c>
      <c r="O827" s="159">
        <f t="shared" si="133"/>
        <v>700.62300000000005</v>
      </c>
      <c r="P827" s="159">
        <f t="shared" si="133"/>
        <v>1700.6310000000001</v>
      </c>
      <c r="Q827" s="159">
        <f t="shared" si="133"/>
        <v>1516.1790000000001</v>
      </c>
      <c r="R827" s="159">
        <f t="shared" si="129"/>
        <v>260908.51</v>
      </c>
    </row>
    <row r="828" spans="1:18" ht="15.75" customHeight="1" x14ac:dyDescent="0.3">
      <c r="A828" s="164" t="s">
        <v>415</v>
      </c>
      <c r="B828" s="159">
        <f t="shared" ref="B828:Q828" si="134">(B746*B739)/1000</f>
        <v>92400.020999999993</v>
      </c>
      <c r="C828" s="159">
        <f t="shared" si="134"/>
        <v>12357.12</v>
      </c>
      <c r="D828" s="159">
        <f t="shared" si="134"/>
        <v>12306.432000000001</v>
      </c>
      <c r="E828" s="159">
        <f t="shared" si="134"/>
        <v>16992.429</v>
      </c>
      <c r="F828" s="159">
        <f t="shared" si="134"/>
        <v>0</v>
      </c>
      <c r="G828" s="159">
        <f t="shared" si="134"/>
        <v>-10179.004000000001</v>
      </c>
      <c r="H828" s="159">
        <f t="shared" si="134"/>
        <v>11950.064</v>
      </c>
      <c r="I828" s="159">
        <f t="shared" si="134"/>
        <v>6190.35</v>
      </c>
      <c r="J828" s="159">
        <f t="shared" si="134"/>
        <v>6067.4369999999999</v>
      </c>
      <c r="K828" s="159">
        <f t="shared" si="134"/>
        <v>4254.2240000000002</v>
      </c>
      <c r="L828" s="159">
        <f t="shared" si="134"/>
        <v>1245.6179999999999</v>
      </c>
      <c r="M828" s="159">
        <f t="shared" si="134"/>
        <v>1278.876</v>
      </c>
      <c r="N828" s="159">
        <f t="shared" si="134"/>
        <v>3098.3069999999998</v>
      </c>
      <c r="O828" s="159">
        <f t="shared" si="134"/>
        <v>702.13499999999999</v>
      </c>
      <c r="P828" s="159">
        <f t="shared" si="134"/>
        <v>1774.89</v>
      </c>
      <c r="Q828" s="159">
        <f t="shared" si="134"/>
        <v>1489.875</v>
      </c>
      <c r="R828" s="159">
        <f t="shared" si="129"/>
        <v>161928.77399999998</v>
      </c>
    </row>
    <row r="829" spans="1:18" ht="15.75" customHeight="1" x14ac:dyDescent="0.3">
      <c r="A829" s="164" t="s">
        <v>416</v>
      </c>
      <c r="B829" s="159">
        <f t="shared" ref="B829:Q829" si="135">(B747*B739)/1000</f>
        <v>72493.756999999998</v>
      </c>
      <c r="C829" s="159">
        <f t="shared" si="135"/>
        <v>9683.5840000000007</v>
      </c>
      <c r="D829" s="159">
        <f t="shared" si="135"/>
        <v>9633.152</v>
      </c>
      <c r="E829" s="159">
        <f t="shared" si="135"/>
        <v>10885.614</v>
      </c>
      <c r="F829" s="159">
        <f t="shared" si="135"/>
        <v>0</v>
      </c>
      <c r="G829" s="159">
        <f t="shared" si="135"/>
        <v>-14312.968999999999</v>
      </c>
      <c r="H829" s="159">
        <f t="shared" si="135"/>
        <v>12295.34</v>
      </c>
      <c r="I829" s="159">
        <f t="shared" si="135"/>
        <v>8000.4</v>
      </c>
      <c r="J829" s="159">
        <f t="shared" si="135"/>
        <v>8387.6669999999995</v>
      </c>
      <c r="K829" s="159">
        <f t="shared" si="135"/>
        <v>6238.0519999999997</v>
      </c>
      <c r="L829" s="159">
        <f t="shared" si="135"/>
        <v>1929.4110000000001</v>
      </c>
      <c r="M829" s="159">
        <f t="shared" si="135"/>
        <v>1983.9</v>
      </c>
      <c r="N829" s="159">
        <f t="shared" si="135"/>
        <v>4618.701</v>
      </c>
      <c r="O829" s="159">
        <f t="shared" si="135"/>
        <v>619.16399999999999</v>
      </c>
      <c r="P829" s="159">
        <f t="shared" si="135"/>
        <v>1826.172</v>
      </c>
      <c r="Q829" s="159">
        <f t="shared" si="135"/>
        <v>1295.883</v>
      </c>
      <c r="R829" s="159">
        <f t="shared" si="129"/>
        <v>135577.82799999998</v>
      </c>
    </row>
    <row r="830" spans="1:18" ht="15.75" customHeight="1" x14ac:dyDescent="0.3">
      <c r="A830" s="164" t="s">
        <v>417</v>
      </c>
      <c r="B830" s="159">
        <f t="shared" ref="B830:Q830" si="136">(B748*B739)/1000</f>
        <v>68193.820999999996</v>
      </c>
      <c r="C830" s="159">
        <f t="shared" si="136"/>
        <v>9116.5439999999999</v>
      </c>
      <c r="D830" s="159">
        <f t="shared" si="136"/>
        <v>9075.84</v>
      </c>
      <c r="E830" s="159">
        <f t="shared" si="136"/>
        <v>8986.6650000000009</v>
      </c>
      <c r="F830" s="159">
        <f t="shared" si="136"/>
        <v>0</v>
      </c>
      <c r="G830" s="159">
        <f t="shared" si="136"/>
        <v>-15272.378000000001</v>
      </c>
      <c r="H830" s="159">
        <f t="shared" si="136"/>
        <v>12442.632</v>
      </c>
      <c r="I830" s="159">
        <f t="shared" si="136"/>
        <v>8258.25</v>
      </c>
      <c r="J830" s="159">
        <f t="shared" si="136"/>
        <v>8694.8189999999995</v>
      </c>
      <c r="K830" s="159">
        <f t="shared" si="136"/>
        <v>6453.6559999999999</v>
      </c>
      <c r="L830" s="159">
        <f t="shared" si="136"/>
        <v>2108.8980000000001</v>
      </c>
      <c r="M830" s="159">
        <f t="shared" si="136"/>
        <v>2169.1320000000001</v>
      </c>
      <c r="N830" s="159">
        <f t="shared" si="136"/>
        <v>5125.665</v>
      </c>
      <c r="O830" s="159">
        <f t="shared" si="136"/>
        <v>861.46199999999999</v>
      </c>
      <c r="P830" s="159">
        <f t="shared" si="136"/>
        <v>1867.797</v>
      </c>
      <c r="Q830" s="159">
        <f t="shared" si="136"/>
        <v>1842.924</v>
      </c>
      <c r="R830" s="159">
        <f t="shared" si="129"/>
        <v>129925.727</v>
      </c>
    </row>
    <row r="831" spans="1:18" ht="15.75" customHeight="1" x14ac:dyDescent="0.3">
      <c r="A831" s="164" t="s">
        <v>418</v>
      </c>
      <c r="B831" s="159">
        <f>(B749*B739)/1000</f>
        <v>136684.02499999999</v>
      </c>
      <c r="C831" s="159">
        <f>(C749*C739)/1000</f>
        <v>18317.952000000001</v>
      </c>
      <c r="D831" s="159">
        <f>(D749*D739)/1000</f>
        <v>18279.423999999999</v>
      </c>
      <c r="E831" s="159">
        <f>(E749*E739)/1000</f>
        <v>28520.589</v>
      </c>
      <c r="F831" s="159">
        <f>(F749*F739)/1000</f>
        <v>3748.26</v>
      </c>
      <c r="G831" s="159">
        <v>0</v>
      </c>
      <c r="H831" s="159">
        <f t="shared" ref="H831:Q831" si="137">(H749*H739)/1000</f>
        <v>8334.74</v>
      </c>
      <c r="I831" s="159">
        <f t="shared" si="137"/>
        <v>4901.8500000000004</v>
      </c>
      <c r="J831" s="159">
        <f t="shared" si="137"/>
        <v>6702.5969999999998</v>
      </c>
      <c r="K831" s="159">
        <f t="shared" si="137"/>
        <v>5360.4939999999997</v>
      </c>
      <c r="L831" s="159">
        <f t="shared" si="137"/>
        <v>1923.57</v>
      </c>
      <c r="M831" s="159">
        <f t="shared" si="137"/>
        <v>1978.3920000000001</v>
      </c>
      <c r="N831" s="159">
        <f t="shared" si="137"/>
        <v>4660.5330000000004</v>
      </c>
      <c r="O831" s="159">
        <f t="shared" si="137"/>
        <v>773.577</v>
      </c>
      <c r="P831" s="159">
        <f t="shared" si="137"/>
        <v>1725.9390000000001</v>
      </c>
      <c r="Q831" s="159">
        <f t="shared" si="137"/>
        <v>1664.55</v>
      </c>
      <c r="R831" s="159">
        <f t="shared" si="129"/>
        <v>243576.492</v>
      </c>
    </row>
    <row r="832" spans="1:18" ht="15.75" customHeight="1" x14ac:dyDescent="0.3">
      <c r="A832" s="164" t="s">
        <v>419</v>
      </c>
      <c r="B832" s="159">
        <f>(B750*B739)/1000</f>
        <v>129481.251</v>
      </c>
      <c r="C832" s="159">
        <f>(C750*C739)/1000</f>
        <v>17354.495999999999</v>
      </c>
      <c r="D832" s="159">
        <f>(D750*D739)/1000</f>
        <v>17319.68</v>
      </c>
      <c r="E832" s="159">
        <f>(E750*E739)/1000</f>
        <v>23849.975999999999</v>
      </c>
      <c r="F832" s="159">
        <f>(F750*F739)/1000</f>
        <v>3093.12</v>
      </c>
      <c r="G832" s="159">
        <v>0</v>
      </c>
      <c r="H832" s="159">
        <f t="shared" ref="H832:Q832" si="138">(H750*H739)/1000</f>
        <v>5503.6239999999998</v>
      </c>
      <c r="I832" s="159">
        <f t="shared" si="138"/>
        <v>3636</v>
      </c>
      <c r="J832" s="159">
        <f t="shared" si="138"/>
        <v>5245.9949999999999</v>
      </c>
      <c r="K832" s="159">
        <f t="shared" si="138"/>
        <v>4623.0559999999996</v>
      </c>
      <c r="L832" s="159">
        <f t="shared" si="138"/>
        <v>1780.9110000000001</v>
      </c>
      <c r="M832" s="159">
        <f t="shared" si="138"/>
        <v>1831.92</v>
      </c>
      <c r="N832" s="159">
        <f t="shared" si="138"/>
        <v>4345.7969999999996</v>
      </c>
      <c r="O832" s="159">
        <f t="shared" si="138"/>
        <v>496.125</v>
      </c>
      <c r="P832" s="159">
        <f t="shared" si="138"/>
        <v>1746.9179999999999</v>
      </c>
      <c r="Q832" s="159">
        <f t="shared" si="138"/>
        <v>1038.597</v>
      </c>
      <c r="R832" s="159">
        <f t="shared" si="129"/>
        <v>221347.46600000001</v>
      </c>
    </row>
    <row r="833" spans="1:19" ht="15.75" customHeight="1" x14ac:dyDescent="0.3">
      <c r="A833" s="164" t="s">
        <v>420</v>
      </c>
      <c r="B833" s="159">
        <f t="shared" ref="B833:Q833" si="139">(B751*B739)/1000</f>
        <v>132077.223</v>
      </c>
      <c r="C833" s="159">
        <f t="shared" si="139"/>
        <v>17709.567999999999</v>
      </c>
      <c r="D833" s="159">
        <f t="shared" si="139"/>
        <v>17680.64</v>
      </c>
      <c r="E833" s="159">
        <f t="shared" si="139"/>
        <v>25384.29</v>
      </c>
      <c r="F833" s="159">
        <f t="shared" si="139"/>
        <v>13857.106</v>
      </c>
      <c r="G833" s="159">
        <f t="shared" si="139"/>
        <v>0</v>
      </c>
      <c r="H833" s="159">
        <f t="shared" si="139"/>
        <v>1304.192</v>
      </c>
      <c r="I833" s="159">
        <f t="shared" si="139"/>
        <v>942.75</v>
      </c>
      <c r="J833" s="159">
        <f t="shared" si="139"/>
        <v>1484.3309999999999</v>
      </c>
      <c r="K833" s="159">
        <f t="shared" si="139"/>
        <v>1354.4179999999999</v>
      </c>
      <c r="L833" s="159">
        <f t="shared" si="139"/>
        <v>546.38099999999997</v>
      </c>
      <c r="M833" s="159">
        <f t="shared" si="139"/>
        <v>560.59199999999998</v>
      </c>
      <c r="N833" s="159">
        <f t="shared" si="139"/>
        <v>1357.797</v>
      </c>
      <c r="O833" s="159">
        <f t="shared" si="139"/>
        <v>246.834</v>
      </c>
      <c r="P833" s="159">
        <f t="shared" si="139"/>
        <v>1709.289</v>
      </c>
      <c r="Q833" s="159">
        <f t="shared" si="139"/>
        <v>503.88600000000002</v>
      </c>
      <c r="R833" s="159">
        <f t="shared" si="129"/>
        <v>216719.29699999999</v>
      </c>
    </row>
    <row r="834" spans="1:19" ht="15.75" customHeight="1" x14ac:dyDescent="0.3">
      <c r="A834" s="164" t="s">
        <v>421</v>
      </c>
      <c r="B834" s="159">
        <f t="shared" ref="B834:Q834" si="140">(B752*B739)/1000</f>
        <v>143085.326</v>
      </c>
      <c r="C834" s="159">
        <f t="shared" si="140"/>
        <v>19194.367999999999</v>
      </c>
      <c r="D834" s="159">
        <f t="shared" si="140"/>
        <v>19171.455999999998</v>
      </c>
      <c r="E834" s="159">
        <f t="shared" si="140"/>
        <v>26979.267</v>
      </c>
      <c r="F834" s="159">
        <f t="shared" si="140"/>
        <v>10422.096</v>
      </c>
      <c r="G834" s="159">
        <f t="shared" si="140"/>
        <v>0</v>
      </c>
      <c r="H834" s="159">
        <f t="shared" si="140"/>
        <v>3817.08</v>
      </c>
      <c r="I834" s="159">
        <f t="shared" si="140"/>
        <v>3444.9</v>
      </c>
      <c r="J834" s="159">
        <f t="shared" si="140"/>
        <v>5262.348</v>
      </c>
      <c r="K834" s="159">
        <f t="shared" si="140"/>
        <v>4973.3559999999998</v>
      </c>
      <c r="L834" s="159">
        <f t="shared" si="140"/>
        <v>1739.3309999999999</v>
      </c>
      <c r="M834" s="159">
        <f t="shared" si="140"/>
        <v>1790.1</v>
      </c>
      <c r="N834" s="159">
        <f t="shared" si="140"/>
        <v>4367.7089999999998</v>
      </c>
      <c r="O834" s="159">
        <f t="shared" si="140"/>
        <v>818.93700000000001</v>
      </c>
      <c r="P834" s="159">
        <f t="shared" si="140"/>
        <v>1717.2809999999999</v>
      </c>
      <c r="Q834" s="159">
        <f t="shared" si="140"/>
        <v>1766.8889999999999</v>
      </c>
      <c r="R834" s="159">
        <f t="shared" si="129"/>
        <v>248550.44399999996</v>
      </c>
    </row>
    <row r="835" spans="1:19" ht="15.75" customHeight="1" x14ac:dyDescent="0.3">
      <c r="A835" s="159"/>
      <c r="B835" s="159"/>
      <c r="C835" s="159"/>
      <c r="D835" s="159"/>
      <c r="E835" s="159"/>
      <c r="F835" s="159"/>
      <c r="G835" s="159"/>
      <c r="H835" s="159"/>
      <c r="I835" s="159"/>
      <c r="J835" s="159"/>
      <c r="K835" s="159"/>
      <c r="L835" s="159"/>
      <c r="M835" s="159"/>
      <c r="N835" s="159"/>
      <c r="O835" s="159"/>
      <c r="P835" s="159"/>
      <c r="Q835" s="159"/>
      <c r="R835" s="159"/>
    </row>
    <row r="836" spans="1:19" ht="15.75" customHeight="1" x14ac:dyDescent="0.3">
      <c r="A836" s="164" t="s">
        <v>422</v>
      </c>
      <c r="B836" s="159">
        <f t="shared" ref="B836:R836" si="141">SUM(B823:B834)</f>
        <v>1587139.5419999999</v>
      </c>
      <c r="C836" s="159">
        <f t="shared" si="141"/>
        <v>212724.99199999997</v>
      </c>
      <c r="D836" s="159">
        <f t="shared" si="141"/>
        <v>212297.47200000001</v>
      </c>
      <c r="E836" s="159">
        <f t="shared" si="141"/>
        <v>303053.51399999997</v>
      </c>
      <c r="F836" s="159">
        <f t="shared" si="141"/>
        <v>76531.987000000008</v>
      </c>
      <c r="G836" s="159">
        <f t="shared" si="141"/>
        <v>-41229.176999999996</v>
      </c>
      <c r="H836" s="159">
        <f t="shared" si="141"/>
        <v>89301.823999999993</v>
      </c>
      <c r="I836" s="159">
        <f t="shared" si="141"/>
        <v>53617.8</v>
      </c>
      <c r="J836" s="159">
        <f t="shared" si="141"/>
        <v>62743.143000000004</v>
      </c>
      <c r="K836" s="159">
        <f t="shared" si="141"/>
        <v>48605.819999999992</v>
      </c>
      <c r="L836" s="159">
        <f t="shared" si="141"/>
        <v>15966.521999999997</v>
      </c>
      <c r="M836" s="159">
        <f t="shared" si="141"/>
        <v>16412.310000000001</v>
      </c>
      <c r="N836" s="159">
        <f t="shared" si="141"/>
        <v>39304.152000000002</v>
      </c>
      <c r="O836" s="159">
        <f t="shared" si="141"/>
        <v>7148.9249999999993</v>
      </c>
      <c r="P836" s="159">
        <f t="shared" si="141"/>
        <v>20836.476000000002</v>
      </c>
      <c r="Q836" s="159">
        <f t="shared" si="141"/>
        <v>15217.274999999998</v>
      </c>
      <c r="R836" s="159">
        <f t="shared" si="141"/>
        <v>2719672.577</v>
      </c>
    </row>
    <row r="837" spans="1:19" ht="15.75" customHeight="1" x14ac:dyDescent="0.3">
      <c r="A837" s="159" t="s">
        <v>7</v>
      </c>
      <c r="B837" s="159"/>
      <c r="C837" s="159"/>
      <c r="D837" s="159"/>
      <c r="E837" s="159"/>
      <c r="F837" s="159"/>
      <c r="G837" s="159"/>
      <c r="H837" s="159"/>
      <c r="I837" s="159"/>
      <c r="J837" s="159"/>
      <c r="K837" s="159"/>
      <c r="L837" s="159"/>
      <c r="M837" s="159"/>
      <c r="N837" s="159"/>
      <c r="O837" s="159"/>
      <c r="P837" s="159"/>
      <c r="Q837" s="159"/>
      <c r="R837" s="159"/>
      <c r="S837" s="159"/>
    </row>
    <row r="838" spans="1:19" ht="15.75" customHeight="1" x14ac:dyDescent="0.3">
      <c r="A838" s="159"/>
      <c r="B838" s="159"/>
      <c r="C838" s="159"/>
      <c r="D838" s="159"/>
      <c r="E838" s="159"/>
      <c r="F838" s="159"/>
      <c r="G838" s="159"/>
      <c r="H838" s="159"/>
      <c r="I838" s="159"/>
      <c r="J838" s="159"/>
      <c r="K838" s="159"/>
      <c r="L838" s="159"/>
      <c r="M838" s="159"/>
      <c r="N838" s="159"/>
      <c r="O838" s="159"/>
      <c r="P838" s="159"/>
      <c r="Q838" s="159"/>
      <c r="R838" s="159"/>
      <c r="S838" s="159"/>
    </row>
    <row r="839" spans="1:19" ht="15.75" customHeight="1" x14ac:dyDescent="0.3">
      <c r="A839" s="159"/>
      <c r="B839" s="159"/>
      <c r="C839" s="159"/>
      <c r="D839" s="159"/>
      <c r="E839" s="159"/>
      <c r="F839" s="159"/>
      <c r="G839" s="159"/>
      <c r="H839" s="159"/>
      <c r="I839" s="159"/>
      <c r="J839" s="159"/>
      <c r="K839" s="159"/>
      <c r="L839" s="159"/>
      <c r="M839" s="159"/>
      <c r="N839" s="159"/>
      <c r="O839" s="159"/>
      <c r="P839" s="159"/>
      <c r="Q839" s="161" t="str">
        <f>+Q1</f>
        <v>PRINTED:</v>
      </c>
      <c r="R839" s="162">
        <f ca="1">+R1</f>
        <v>44909.46975358796</v>
      </c>
      <c r="S839" s="159"/>
    </row>
    <row r="840" spans="1:19" ht="15.75" customHeight="1" x14ac:dyDescent="0.35">
      <c r="A840" s="159"/>
      <c r="B840" s="159"/>
      <c r="C840" s="161" t="s">
        <v>460</v>
      </c>
      <c r="D840" s="159"/>
      <c r="E840" s="159"/>
      <c r="F840" s="159"/>
      <c r="G840" s="159"/>
      <c r="H840" s="159"/>
      <c r="I840" s="159"/>
      <c r="J840" s="159"/>
      <c r="K840" s="159"/>
      <c r="L840" s="167"/>
      <c r="M840" s="161" t="s">
        <v>461</v>
      </c>
      <c r="N840" s="159"/>
      <c r="O840" s="159"/>
      <c r="P840" s="159"/>
      <c r="Q840" s="159"/>
      <c r="R840" s="159"/>
      <c r="S840" s="164" t="s">
        <v>462</v>
      </c>
    </row>
    <row r="841" spans="1:19" ht="15.75" customHeight="1" x14ac:dyDescent="0.3">
      <c r="A841" s="159"/>
      <c r="B841" s="159"/>
      <c r="C841" s="159"/>
      <c r="D841" s="159"/>
      <c r="E841" s="159" t="s">
        <v>7</v>
      </c>
      <c r="F841" s="163" t="str">
        <f>+A8</f>
        <v>Revised:  1/25/10</v>
      </c>
      <c r="G841" s="159"/>
      <c r="H841" s="159"/>
      <c r="I841" s="159"/>
      <c r="J841" s="159"/>
      <c r="K841" s="159"/>
      <c r="L841" s="159"/>
      <c r="M841" s="159"/>
      <c r="N841" s="159"/>
      <c r="O841" s="159"/>
      <c r="P841" s="159" t="s">
        <v>7</v>
      </c>
      <c r="Q841" s="163" t="str">
        <f>+A8</f>
        <v>Revised:  1/25/10</v>
      </c>
      <c r="R841" s="159"/>
      <c r="S841" s="164" t="s">
        <v>463</v>
      </c>
    </row>
    <row r="842" spans="1:19" ht="15.75" customHeight="1" x14ac:dyDescent="0.3">
      <c r="A842" s="159"/>
      <c r="B842" s="159"/>
      <c r="C842" s="159"/>
      <c r="D842" s="159" t="s">
        <v>387</v>
      </c>
      <c r="E842" s="159"/>
      <c r="F842" s="159"/>
      <c r="G842" s="159"/>
      <c r="H842" s="159"/>
      <c r="I842" s="159"/>
      <c r="J842" s="159"/>
      <c r="K842" s="159"/>
      <c r="L842" s="159"/>
      <c r="M842" s="159"/>
      <c r="N842" s="159" t="s">
        <v>387</v>
      </c>
      <c r="O842" s="159"/>
      <c r="P842" s="159"/>
      <c r="Q842" s="159"/>
      <c r="R842" s="159"/>
      <c r="S842" s="164" t="s">
        <v>464</v>
      </c>
    </row>
    <row r="843" spans="1:19" ht="15.75" customHeight="1" x14ac:dyDescent="0.3">
      <c r="A843" s="159"/>
      <c r="B843" s="159"/>
      <c r="C843" s="159"/>
      <c r="D843" s="159"/>
      <c r="E843" s="159"/>
      <c r="F843" s="159"/>
      <c r="G843" s="159"/>
      <c r="H843" s="159"/>
      <c r="I843" s="159"/>
      <c r="J843" s="159"/>
      <c r="K843" s="159"/>
      <c r="L843" s="159"/>
      <c r="M843" s="159"/>
      <c r="N843" s="159"/>
      <c r="O843" s="159"/>
      <c r="P843" s="159"/>
      <c r="Q843" s="159"/>
      <c r="R843" s="159"/>
      <c r="S843" s="164" t="s">
        <v>409</v>
      </c>
    </row>
    <row r="844" spans="1:19" ht="15.75" customHeight="1" x14ac:dyDescent="0.3">
      <c r="A844" s="159"/>
      <c r="B844" s="159"/>
      <c r="C844" s="159"/>
      <c r="D844" s="159"/>
      <c r="E844" s="159" t="str">
        <f>+A5</f>
        <v>Calendar Year 2009</v>
      </c>
      <c r="F844" s="159"/>
      <c r="G844" s="159"/>
      <c r="H844" s="159"/>
      <c r="I844" s="159"/>
      <c r="J844" s="159"/>
      <c r="K844" s="159"/>
      <c r="L844" s="159"/>
      <c r="M844" s="159"/>
      <c r="N844" s="159"/>
      <c r="O844" s="159"/>
      <c r="P844" s="159" t="str">
        <f>+A5</f>
        <v>Calendar Year 2009</v>
      </c>
      <c r="Q844" s="159"/>
      <c r="R844" s="159"/>
      <c r="S844" s="168">
        <f t="shared" ref="S844:S855" si="142">(Q877*R877)/1000</f>
        <v>25.765725960000005</v>
      </c>
    </row>
    <row r="845" spans="1:19" ht="15.75" customHeight="1" x14ac:dyDescent="0.3">
      <c r="A845" s="159"/>
      <c r="B845" s="159"/>
      <c r="C845" s="159"/>
      <c r="D845" s="159"/>
      <c r="E845" s="159" t="s">
        <v>457</v>
      </c>
      <c r="F845" s="159"/>
      <c r="G845" s="159"/>
      <c r="H845" s="159"/>
      <c r="I845" s="159"/>
      <c r="J845" s="159"/>
      <c r="K845" s="159"/>
      <c r="L845" s="159"/>
      <c r="M845" s="159"/>
      <c r="N845" s="159"/>
      <c r="O845" s="159"/>
      <c r="P845" s="159" t="s">
        <v>457</v>
      </c>
      <c r="Q845" s="159"/>
      <c r="R845" s="159"/>
      <c r="S845" s="168">
        <f t="shared" si="142"/>
        <v>12.085109790000002</v>
      </c>
    </row>
    <row r="846" spans="1:19" ht="15.75" customHeight="1" x14ac:dyDescent="0.3">
      <c r="A846" s="159"/>
      <c r="B846" s="159"/>
      <c r="C846" s="159"/>
      <c r="D846" s="159"/>
      <c r="E846" s="159"/>
      <c r="F846" s="159"/>
      <c r="G846" s="159"/>
      <c r="H846" s="159"/>
      <c r="I846" s="159"/>
      <c r="J846" s="159"/>
      <c r="K846" s="159"/>
      <c r="L846" s="159"/>
      <c r="M846" s="159"/>
      <c r="N846" s="159"/>
      <c r="O846" s="159"/>
      <c r="P846" s="159"/>
      <c r="Q846" s="159"/>
      <c r="R846" s="159"/>
      <c r="S846" s="168">
        <f t="shared" si="142"/>
        <v>15.114806850000003</v>
      </c>
    </row>
    <row r="847" spans="1:19" ht="15.75" customHeight="1" x14ac:dyDescent="0.3">
      <c r="A847" s="159" t="s">
        <v>389</v>
      </c>
      <c r="B847" s="164" t="s">
        <v>390</v>
      </c>
      <c r="C847" s="164" t="s">
        <v>391</v>
      </c>
      <c r="D847" s="164" t="s">
        <v>392</v>
      </c>
      <c r="E847" s="164" t="s">
        <v>393</v>
      </c>
      <c r="F847" s="164" t="s">
        <v>394</v>
      </c>
      <c r="G847" s="159"/>
      <c r="H847" s="164" t="s">
        <v>422</v>
      </c>
      <c r="I847" s="159"/>
      <c r="J847" s="159"/>
      <c r="K847" s="159"/>
      <c r="L847" s="159" t="s">
        <v>389</v>
      </c>
      <c r="M847" s="164" t="s">
        <v>390</v>
      </c>
      <c r="N847" s="164" t="s">
        <v>391</v>
      </c>
      <c r="O847" s="164" t="s">
        <v>392</v>
      </c>
      <c r="P847" s="164" t="s">
        <v>393</v>
      </c>
      <c r="Q847" s="164" t="s">
        <v>394</v>
      </c>
      <c r="R847" s="164" t="s">
        <v>422</v>
      </c>
      <c r="S847" s="168">
        <f t="shared" si="142"/>
        <v>18.913291410000003</v>
      </c>
    </row>
    <row r="848" spans="1:19" ht="15.75" customHeight="1" x14ac:dyDescent="0.3">
      <c r="A848" s="159" t="s">
        <v>405</v>
      </c>
      <c r="B848" s="159"/>
      <c r="C848" s="159"/>
      <c r="D848" s="159"/>
      <c r="E848" s="159"/>
      <c r="F848" s="164" t="s">
        <v>406</v>
      </c>
      <c r="G848" s="159"/>
      <c r="H848" s="164" t="s">
        <v>465</v>
      </c>
      <c r="I848" s="159"/>
      <c r="J848" s="159"/>
      <c r="K848" s="159"/>
      <c r="L848" s="159" t="s">
        <v>405</v>
      </c>
      <c r="M848" s="159"/>
      <c r="N848" s="159"/>
      <c r="O848" s="159"/>
      <c r="P848" s="159"/>
      <c r="Q848" s="164" t="s">
        <v>406</v>
      </c>
      <c r="R848" s="164" t="s">
        <v>465</v>
      </c>
      <c r="S848" s="168">
        <f t="shared" si="142"/>
        <v>21.86990364</v>
      </c>
    </row>
    <row r="849" spans="1:19" ht="15.75" customHeight="1" x14ac:dyDescent="0.3">
      <c r="A849" s="159" t="s">
        <v>408</v>
      </c>
      <c r="B849" s="159">
        <v>953</v>
      </c>
      <c r="C849" s="159">
        <v>128</v>
      </c>
      <c r="D849" s="159">
        <v>128</v>
      </c>
      <c r="E849" s="159">
        <v>219</v>
      </c>
      <c r="F849" s="159">
        <v>179</v>
      </c>
      <c r="G849" s="159"/>
      <c r="H849" s="164" t="s">
        <v>442</v>
      </c>
      <c r="I849" s="159"/>
      <c r="J849" s="159"/>
      <c r="K849" s="159"/>
      <c r="L849" s="159" t="s">
        <v>408</v>
      </c>
      <c r="M849" s="159">
        <v>953</v>
      </c>
      <c r="N849" s="159">
        <v>128</v>
      </c>
      <c r="O849" s="159">
        <v>128</v>
      </c>
      <c r="P849" s="159">
        <v>219</v>
      </c>
      <c r="Q849" s="159">
        <v>179</v>
      </c>
      <c r="R849" s="164" t="s">
        <v>442</v>
      </c>
      <c r="S849" s="168">
        <f t="shared" si="142"/>
        <v>23.686561470000004</v>
      </c>
    </row>
    <row r="850" spans="1:19" ht="15.75" customHeight="1" x14ac:dyDescent="0.3">
      <c r="A850" s="159"/>
      <c r="B850" s="159" t="s">
        <v>409</v>
      </c>
      <c r="C850" s="159" t="s">
        <v>409</v>
      </c>
      <c r="D850" s="159" t="s">
        <v>409</v>
      </c>
      <c r="E850" s="159" t="s">
        <v>409</v>
      </c>
      <c r="F850" s="159" t="s">
        <v>409</v>
      </c>
      <c r="G850" s="159"/>
      <c r="H850" s="159" t="s">
        <v>459</v>
      </c>
      <c r="I850" s="159"/>
      <c r="J850" s="159"/>
      <c r="K850" s="159"/>
      <c r="L850" s="159"/>
      <c r="M850" s="159" t="s">
        <v>409</v>
      </c>
      <c r="N850" s="159" t="s">
        <v>409</v>
      </c>
      <c r="O850" s="159" t="s">
        <v>409</v>
      </c>
      <c r="P850" s="159" t="s">
        <v>409</v>
      </c>
      <c r="Q850" s="159" t="s">
        <v>409</v>
      </c>
      <c r="R850" s="159" t="s">
        <v>459</v>
      </c>
      <c r="S850" s="168">
        <f t="shared" si="142"/>
        <v>30.314880570000003</v>
      </c>
    </row>
    <row r="851" spans="1:19" ht="15.75" customHeight="1" x14ac:dyDescent="0.3">
      <c r="A851" s="164" t="s">
        <v>410</v>
      </c>
      <c r="B851" s="159">
        <f t="shared" ref="B851:F862" si="143">($F741)*B$739/1000</f>
        <v>93094.758000000002</v>
      </c>
      <c r="C851" s="159">
        <f t="shared" si="143"/>
        <v>12503.808000000001</v>
      </c>
      <c r="D851" s="159">
        <f t="shared" si="143"/>
        <v>12503.808000000001</v>
      </c>
      <c r="E851" s="159">
        <f t="shared" si="143"/>
        <v>21393.234</v>
      </c>
      <c r="F851" s="159">
        <f t="shared" si="143"/>
        <v>17485.794000000002</v>
      </c>
      <c r="G851" s="159"/>
      <c r="H851" s="159">
        <f t="shared" ref="H851:H862" si="144">SUM(B851:F851)</f>
        <v>156981.402</v>
      </c>
      <c r="I851" s="159"/>
      <c r="J851" s="159"/>
      <c r="K851" s="159"/>
      <c r="L851" s="164" t="s">
        <v>410</v>
      </c>
      <c r="M851" s="159">
        <f t="shared" ref="M851:Q862" si="145">(B741-$F741)*B$739/1000</f>
        <v>71494.06</v>
      </c>
      <c r="N851" s="159">
        <f t="shared" si="145"/>
        <v>9590.1440000000002</v>
      </c>
      <c r="O851" s="159">
        <f t="shared" si="145"/>
        <v>9577.8559999999998</v>
      </c>
      <c r="P851" s="159">
        <f t="shared" si="145"/>
        <v>14152.218000000001</v>
      </c>
      <c r="Q851" s="159">
        <f t="shared" si="145"/>
        <v>0</v>
      </c>
      <c r="R851" s="159">
        <f t="shared" ref="R851:R862" si="146">SUM(L851:P851)</f>
        <v>104814.27799999999</v>
      </c>
      <c r="S851" s="168">
        <f t="shared" si="142"/>
        <v>34.520418660000004</v>
      </c>
    </row>
    <row r="852" spans="1:19" ht="15.75" customHeight="1" x14ac:dyDescent="0.3">
      <c r="A852" s="164" t="s">
        <v>411</v>
      </c>
      <c r="B852" s="159">
        <f t="shared" si="143"/>
        <v>81412.884000000005</v>
      </c>
      <c r="C852" s="159">
        <f t="shared" si="143"/>
        <v>10934.784</v>
      </c>
      <c r="D852" s="159">
        <f t="shared" si="143"/>
        <v>10934.784</v>
      </c>
      <c r="E852" s="159">
        <f t="shared" si="143"/>
        <v>18708.732</v>
      </c>
      <c r="F852" s="159">
        <f t="shared" si="143"/>
        <v>15291.611999999999</v>
      </c>
      <c r="G852" s="159"/>
      <c r="H852" s="159">
        <f t="shared" si="144"/>
        <v>137282.796</v>
      </c>
      <c r="I852" s="159"/>
      <c r="J852" s="159"/>
      <c r="K852" s="159"/>
      <c r="L852" s="164" t="s">
        <v>411</v>
      </c>
      <c r="M852" s="159">
        <f t="shared" si="145"/>
        <v>71514.073000000004</v>
      </c>
      <c r="N852" s="159">
        <f t="shared" si="145"/>
        <v>9586.3040000000001</v>
      </c>
      <c r="O852" s="159">
        <f t="shared" si="145"/>
        <v>9567.7440000000006</v>
      </c>
      <c r="P852" s="159">
        <f t="shared" si="145"/>
        <v>12057.921</v>
      </c>
      <c r="Q852" s="159">
        <f t="shared" si="145"/>
        <v>0</v>
      </c>
      <c r="R852" s="159">
        <f t="shared" si="146"/>
        <v>102726.04200000002</v>
      </c>
      <c r="S852" s="168">
        <f>(Q885*R885)/1000</f>
        <v>31.43460567</v>
      </c>
    </row>
    <row r="853" spans="1:19" ht="15.75" customHeight="1" x14ac:dyDescent="0.3">
      <c r="A853" s="164" t="s">
        <v>412</v>
      </c>
      <c r="B853" s="159">
        <f t="shared" si="143"/>
        <v>43663.601000000002</v>
      </c>
      <c r="C853" s="159">
        <f t="shared" si="143"/>
        <v>5864.576</v>
      </c>
      <c r="D853" s="159">
        <f t="shared" si="143"/>
        <v>5864.576</v>
      </c>
      <c r="E853" s="159">
        <f t="shared" si="143"/>
        <v>10033.923000000001</v>
      </c>
      <c r="F853" s="159">
        <f t="shared" si="143"/>
        <v>8201.2430000000004</v>
      </c>
      <c r="G853" s="159"/>
      <c r="H853" s="159">
        <f t="shared" si="144"/>
        <v>73627.919000000009</v>
      </c>
      <c r="I853" s="159"/>
      <c r="J853" s="159"/>
      <c r="K853" s="159"/>
      <c r="L853" s="164" t="s">
        <v>412</v>
      </c>
      <c r="M853" s="159">
        <f t="shared" si="145"/>
        <v>128782.702</v>
      </c>
      <c r="N853" s="159">
        <f t="shared" si="145"/>
        <v>17262.080000000002</v>
      </c>
      <c r="O853" s="159">
        <f t="shared" si="145"/>
        <v>17228.671999999999</v>
      </c>
      <c r="P853" s="159">
        <f t="shared" si="145"/>
        <v>23180.712</v>
      </c>
      <c r="Q853" s="159">
        <f t="shared" si="145"/>
        <v>0</v>
      </c>
      <c r="R853" s="159">
        <f t="shared" si="146"/>
        <v>186454.166</v>
      </c>
      <c r="S853" s="168">
        <f t="shared" si="142"/>
        <v>27.763461960000001</v>
      </c>
    </row>
    <row r="854" spans="1:19" ht="15.75" customHeight="1" x14ac:dyDescent="0.3">
      <c r="A854" s="164" t="s">
        <v>413</v>
      </c>
      <c r="B854" s="159">
        <f t="shared" si="143"/>
        <v>19604.163</v>
      </c>
      <c r="C854" s="159">
        <f t="shared" si="143"/>
        <v>2633.0880000000002</v>
      </c>
      <c r="D854" s="159">
        <f t="shared" si="143"/>
        <v>2633.0880000000002</v>
      </c>
      <c r="E854" s="159">
        <f t="shared" si="143"/>
        <v>4505.049</v>
      </c>
      <c r="F854" s="159">
        <f t="shared" si="143"/>
        <v>3682.2089999999998</v>
      </c>
      <c r="G854" s="159"/>
      <c r="H854" s="159">
        <f t="shared" si="144"/>
        <v>33057.597000000002</v>
      </c>
      <c r="I854" s="159"/>
      <c r="J854" s="159"/>
      <c r="K854" s="159"/>
      <c r="L854" s="164" t="s">
        <v>413</v>
      </c>
      <c r="M854" s="159">
        <f t="shared" si="145"/>
        <v>145944.326</v>
      </c>
      <c r="N854" s="159">
        <f t="shared" si="145"/>
        <v>19555.2</v>
      </c>
      <c r="O854" s="159">
        <f t="shared" si="145"/>
        <v>19510.400000000001</v>
      </c>
      <c r="P854" s="159">
        <f t="shared" si="145"/>
        <v>27618.09</v>
      </c>
      <c r="Q854" s="159">
        <f t="shared" si="145"/>
        <v>0</v>
      </c>
      <c r="R854" s="159">
        <f t="shared" si="146"/>
        <v>212628.016</v>
      </c>
      <c r="S854" s="168">
        <f t="shared" si="142"/>
        <v>12.164204130000002</v>
      </c>
    </row>
    <row r="855" spans="1:19" ht="15.75" customHeight="1" x14ac:dyDescent="0.3">
      <c r="A855" s="164" t="s">
        <v>414</v>
      </c>
      <c r="B855" s="159">
        <f t="shared" si="143"/>
        <v>3995.9290000000001</v>
      </c>
      <c r="C855" s="159">
        <f t="shared" si="143"/>
        <v>536.70399999999995</v>
      </c>
      <c r="D855" s="159">
        <f t="shared" si="143"/>
        <v>536.70399999999995</v>
      </c>
      <c r="E855" s="159">
        <f t="shared" si="143"/>
        <v>918.26700000000005</v>
      </c>
      <c r="F855" s="159">
        <f t="shared" si="143"/>
        <v>750.54700000000003</v>
      </c>
      <c r="G855" s="159"/>
      <c r="H855" s="159">
        <f t="shared" si="144"/>
        <v>6738.1509999999998</v>
      </c>
      <c r="I855" s="159"/>
      <c r="J855" s="159"/>
      <c r="K855" s="159"/>
      <c r="L855" s="164" t="s">
        <v>414</v>
      </c>
      <c r="M855" s="159">
        <f t="shared" si="145"/>
        <v>153217.622</v>
      </c>
      <c r="N855" s="159">
        <f t="shared" si="145"/>
        <v>20524.671999999999</v>
      </c>
      <c r="O855" s="159">
        <f t="shared" si="145"/>
        <v>20473.216</v>
      </c>
      <c r="P855" s="159">
        <f t="shared" si="145"/>
        <v>28886.538</v>
      </c>
      <c r="Q855" s="159">
        <f t="shared" si="145"/>
        <v>0</v>
      </c>
      <c r="R855" s="159">
        <f t="shared" si="146"/>
        <v>223102.04800000001</v>
      </c>
      <c r="S855" s="168">
        <f t="shared" si="142"/>
        <v>30.134610090000002</v>
      </c>
    </row>
    <row r="856" spans="1:19" ht="15.75" customHeight="1" x14ac:dyDescent="0.3">
      <c r="A856" s="164" t="s">
        <v>415</v>
      </c>
      <c r="B856" s="159">
        <f t="shared" si="143"/>
        <v>0</v>
      </c>
      <c r="C856" s="159">
        <f t="shared" si="143"/>
        <v>0</v>
      </c>
      <c r="D856" s="159">
        <f t="shared" si="143"/>
        <v>0</v>
      </c>
      <c r="E856" s="159">
        <f t="shared" si="143"/>
        <v>0</v>
      </c>
      <c r="F856" s="159">
        <f t="shared" si="143"/>
        <v>0</v>
      </c>
      <c r="G856" s="159"/>
      <c r="H856" s="159">
        <f t="shared" si="144"/>
        <v>0</v>
      </c>
      <c r="I856" s="159"/>
      <c r="J856" s="159"/>
      <c r="K856" s="159"/>
      <c r="L856" s="164" t="s">
        <v>415</v>
      </c>
      <c r="M856" s="159">
        <f t="shared" si="145"/>
        <v>92400.020999999993</v>
      </c>
      <c r="N856" s="159">
        <f t="shared" si="145"/>
        <v>12357.12</v>
      </c>
      <c r="O856" s="159">
        <f t="shared" si="145"/>
        <v>12306.432000000001</v>
      </c>
      <c r="P856" s="159">
        <f t="shared" si="145"/>
        <v>16992.429</v>
      </c>
      <c r="Q856" s="159">
        <f t="shared" si="145"/>
        <v>0</v>
      </c>
      <c r="R856" s="159">
        <f t="shared" si="146"/>
        <v>134056.00199999998</v>
      </c>
      <c r="S856" s="168"/>
    </row>
    <row r="857" spans="1:19" ht="15.75" customHeight="1" x14ac:dyDescent="0.3">
      <c r="A857" s="164" t="s">
        <v>416</v>
      </c>
      <c r="B857" s="159">
        <f t="shared" si="143"/>
        <v>0</v>
      </c>
      <c r="C857" s="159">
        <f t="shared" si="143"/>
        <v>0</v>
      </c>
      <c r="D857" s="159">
        <f t="shared" si="143"/>
        <v>0</v>
      </c>
      <c r="E857" s="159">
        <f t="shared" si="143"/>
        <v>0</v>
      </c>
      <c r="F857" s="159">
        <f t="shared" si="143"/>
        <v>0</v>
      </c>
      <c r="G857" s="159"/>
      <c r="H857" s="159">
        <f t="shared" si="144"/>
        <v>0</v>
      </c>
      <c r="I857" s="159"/>
      <c r="J857" s="159"/>
      <c r="K857" s="159"/>
      <c r="L857" s="164" t="s">
        <v>416</v>
      </c>
      <c r="M857" s="159">
        <f t="shared" si="145"/>
        <v>72493.756999999998</v>
      </c>
      <c r="N857" s="159">
        <f t="shared" si="145"/>
        <v>9683.5840000000007</v>
      </c>
      <c r="O857" s="159">
        <f t="shared" si="145"/>
        <v>9633.152</v>
      </c>
      <c r="P857" s="159">
        <f t="shared" si="145"/>
        <v>10885.614</v>
      </c>
      <c r="Q857" s="159">
        <f t="shared" si="145"/>
        <v>0</v>
      </c>
      <c r="R857" s="159">
        <f t="shared" si="146"/>
        <v>102696.107</v>
      </c>
      <c r="S857" s="168">
        <f>(SUM(S844:S855))</f>
        <v>283.76758020000005</v>
      </c>
    </row>
    <row r="858" spans="1:19" ht="15.75" customHeight="1" x14ac:dyDescent="0.3">
      <c r="A858" s="164" t="s">
        <v>417</v>
      </c>
      <c r="B858" s="159">
        <f t="shared" si="143"/>
        <v>0</v>
      </c>
      <c r="C858" s="159">
        <f t="shared" si="143"/>
        <v>0</v>
      </c>
      <c r="D858" s="159">
        <f t="shared" si="143"/>
        <v>0</v>
      </c>
      <c r="E858" s="159">
        <f t="shared" si="143"/>
        <v>0</v>
      </c>
      <c r="F858" s="159">
        <f t="shared" si="143"/>
        <v>0</v>
      </c>
      <c r="G858" s="159"/>
      <c r="H858" s="159">
        <f t="shared" si="144"/>
        <v>0</v>
      </c>
      <c r="I858" s="159"/>
      <c r="J858" s="159"/>
      <c r="K858" s="159"/>
      <c r="L858" s="164" t="s">
        <v>417</v>
      </c>
      <c r="M858" s="159">
        <f t="shared" si="145"/>
        <v>68193.820999999996</v>
      </c>
      <c r="N858" s="159">
        <f t="shared" si="145"/>
        <v>9116.5439999999999</v>
      </c>
      <c r="O858" s="159">
        <f t="shared" si="145"/>
        <v>9075.84</v>
      </c>
      <c r="P858" s="159">
        <f t="shared" si="145"/>
        <v>8986.6650000000009</v>
      </c>
      <c r="Q858" s="159">
        <f t="shared" si="145"/>
        <v>0</v>
      </c>
      <c r="R858" s="159">
        <f t="shared" si="146"/>
        <v>95372.87</v>
      </c>
      <c r="S858" s="159"/>
    </row>
    <row r="859" spans="1:19" ht="15.75" customHeight="1" x14ac:dyDescent="0.3">
      <c r="A859" s="164" t="s">
        <v>418</v>
      </c>
      <c r="B859" s="159">
        <f t="shared" si="143"/>
        <v>19955.82</v>
      </c>
      <c r="C859" s="159">
        <f t="shared" si="143"/>
        <v>2680.32</v>
      </c>
      <c r="D859" s="159">
        <f t="shared" si="143"/>
        <v>2680.32</v>
      </c>
      <c r="E859" s="159">
        <f t="shared" si="143"/>
        <v>4585.8599999999997</v>
      </c>
      <c r="F859" s="159">
        <f t="shared" si="143"/>
        <v>3748.26</v>
      </c>
      <c r="G859" s="159"/>
      <c r="H859" s="159">
        <f t="shared" si="144"/>
        <v>33650.58</v>
      </c>
      <c r="I859" s="159"/>
      <c r="J859" s="159"/>
      <c r="K859" s="159"/>
      <c r="L859" s="164" t="s">
        <v>418</v>
      </c>
      <c r="M859" s="159">
        <f t="shared" si="145"/>
        <v>116728.205</v>
      </c>
      <c r="N859" s="159">
        <f t="shared" si="145"/>
        <v>15637.632</v>
      </c>
      <c r="O859" s="159">
        <f t="shared" si="145"/>
        <v>15599.103999999999</v>
      </c>
      <c r="P859" s="159">
        <f t="shared" si="145"/>
        <v>23934.728999999999</v>
      </c>
      <c r="Q859" s="159">
        <f t="shared" si="145"/>
        <v>0</v>
      </c>
      <c r="R859" s="159">
        <f t="shared" si="146"/>
        <v>171899.66999999998</v>
      </c>
    </row>
    <row r="860" spans="1:19" ht="15.75" customHeight="1" x14ac:dyDescent="0.3">
      <c r="A860" s="164" t="s">
        <v>419</v>
      </c>
      <c r="B860" s="159">
        <f t="shared" si="143"/>
        <v>16467.84</v>
      </c>
      <c r="C860" s="159">
        <f t="shared" si="143"/>
        <v>2211.84</v>
      </c>
      <c r="D860" s="159">
        <f t="shared" si="143"/>
        <v>2211.84</v>
      </c>
      <c r="E860" s="159">
        <f t="shared" si="143"/>
        <v>3784.32</v>
      </c>
      <c r="F860" s="159">
        <f t="shared" si="143"/>
        <v>3093.12</v>
      </c>
      <c r="G860" s="159"/>
      <c r="H860" s="159">
        <f t="shared" si="144"/>
        <v>27768.959999999999</v>
      </c>
      <c r="I860" s="159"/>
      <c r="J860" s="159"/>
      <c r="K860" s="159"/>
      <c r="L860" s="164" t="s">
        <v>419</v>
      </c>
      <c r="M860" s="159">
        <f t="shared" si="145"/>
        <v>113013.41099999999</v>
      </c>
      <c r="N860" s="159">
        <f t="shared" si="145"/>
        <v>15142.656000000001</v>
      </c>
      <c r="O860" s="159">
        <f t="shared" si="145"/>
        <v>15107.84</v>
      </c>
      <c r="P860" s="159">
        <f t="shared" si="145"/>
        <v>20065.655999999999</v>
      </c>
      <c r="Q860" s="159">
        <f t="shared" si="145"/>
        <v>0</v>
      </c>
      <c r="R860" s="159">
        <f t="shared" si="146"/>
        <v>163329.56299999999</v>
      </c>
    </row>
    <row r="861" spans="1:19" ht="15.75" customHeight="1" x14ac:dyDescent="0.3">
      <c r="A861" s="164" t="s">
        <v>420</v>
      </c>
      <c r="B861" s="159">
        <f t="shared" si="143"/>
        <v>73775.542000000001</v>
      </c>
      <c r="C861" s="159">
        <f t="shared" si="143"/>
        <v>9908.9920000000002</v>
      </c>
      <c r="D861" s="159">
        <f t="shared" si="143"/>
        <v>9908.9920000000002</v>
      </c>
      <c r="E861" s="159">
        <f t="shared" si="143"/>
        <v>16953.666000000001</v>
      </c>
      <c r="F861" s="159">
        <f t="shared" si="143"/>
        <v>13857.106</v>
      </c>
      <c r="G861" s="159"/>
      <c r="H861" s="159">
        <f t="shared" si="144"/>
        <v>124404.298</v>
      </c>
      <c r="I861" s="159"/>
      <c r="J861" s="159"/>
      <c r="K861" s="159"/>
      <c r="L861" s="164" t="s">
        <v>420</v>
      </c>
      <c r="M861" s="159">
        <f t="shared" si="145"/>
        <v>58301.680999999997</v>
      </c>
      <c r="N861" s="159">
        <f t="shared" si="145"/>
        <v>7800.576</v>
      </c>
      <c r="O861" s="159">
        <f t="shared" si="145"/>
        <v>7771.6480000000001</v>
      </c>
      <c r="P861" s="159">
        <f t="shared" si="145"/>
        <v>8430.6239999999998</v>
      </c>
      <c r="Q861" s="159">
        <f t="shared" si="145"/>
        <v>0</v>
      </c>
      <c r="R861" s="159">
        <f t="shared" si="146"/>
        <v>82304.528999999995</v>
      </c>
    </row>
    <row r="862" spans="1:19" ht="15.75" customHeight="1" x14ac:dyDescent="0.3">
      <c r="A862" s="164" t="s">
        <v>421</v>
      </c>
      <c r="B862" s="159">
        <f t="shared" si="143"/>
        <v>55487.472000000002</v>
      </c>
      <c r="C862" s="159">
        <f t="shared" si="143"/>
        <v>7452.6719999999996</v>
      </c>
      <c r="D862" s="159">
        <f t="shared" si="143"/>
        <v>7452.6719999999996</v>
      </c>
      <c r="E862" s="159">
        <f t="shared" si="143"/>
        <v>12751.056</v>
      </c>
      <c r="F862" s="159">
        <f t="shared" si="143"/>
        <v>10422.096</v>
      </c>
      <c r="G862" s="159"/>
      <c r="H862" s="159">
        <f t="shared" si="144"/>
        <v>93565.968000000008</v>
      </c>
      <c r="I862" s="159"/>
      <c r="J862" s="159"/>
      <c r="K862" s="159"/>
      <c r="L862" s="164" t="s">
        <v>421</v>
      </c>
      <c r="M862" s="159">
        <f t="shared" si="145"/>
        <v>87597.854000000007</v>
      </c>
      <c r="N862" s="159">
        <f t="shared" si="145"/>
        <v>11741.696</v>
      </c>
      <c r="O862" s="159">
        <f t="shared" si="145"/>
        <v>11718.784</v>
      </c>
      <c r="P862" s="159">
        <f t="shared" si="145"/>
        <v>14228.210999999999</v>
      </c>
      <c r="Q862" s="159">
        <f t="shared" si="145"/>
        <v>0</v>
      </c>
      <c r="R862" s="159">
        <f t="shared" si="146"/>
        <v>125286.545</v>
      </c>
    </row>
    <row r="863" spans="1:19" ht="15.75" customHeight="1" x14ac:dyDescent="0.3">
      <c r="A863" s="159"/>
      <c r="B863" s="159"/>
      <c r="C863" s="159"/>
      <c r="D863" s="159"/>
      <c r="E863" s="159"/>
      <c r="F863" s="159"/>
      <c r="G863" s="159"/>
      <c r="H863" s="159"/>
      <c r="I863" s="159"/>
      <c r="J863" s="159"/>
      <c r="K863" s="159"/>
      <c r="L863" s="159"/>
      <c r="M863" s="159"/>
      <c r="N863" s="159"/>
      <c r="O863" s="159"/>
      <c r="P863" s="159"/>
      <c r="Q863" s="159"/>
      <c r="R863" s="159"/>
    </row>
    <row r="864" spans="1:19" ht="15.75" customHeight="1" x14ac:dyDescent="0.3">
      <c r="A864" s="164" t="s">
        <v>422</v>
      </c>
      <c r="B864" s="159">
        <f>SUM(B851:B862)</f>
        <v>407458.00900000002</v>
      </c>
      <c r="C864" s="159">
        <f>SUM(C851:C862)</f>
        <v>54726.784000000007</v>
      </c>
      <c r="D864" s="159">
        <f>SUM(D851:D862)</f>
        <v>54726.784000000007</v>
      </c>
      <c r="E864" s="159">
        <f>SUM(E851:E862)</f>
        <v>93634.107000000004</v>
      </c>
      <c r="F864" s="159">
        <f>SUM(F851:F862)</f>
        <v>76531.987000000008</v>
      </c>
      <c r="G864" s="159"/>
      <c r="H864" s="159">
        <f>SUM(H851:H862)</f>
        <v>687077.67099999997</v>
      </c>
      <c r="I864" s="159"/>
      <c r="J864" s="159"/>
      <c r="K864" s="159"/>
      <c r="L864" s="164" t="s">
        <v>422</v>
      </c>
      <c r="M864" s="159">
        <f t="shared" ref="M864:R864" si="147">SUM(M851:M862)</f>
        <v>1179681.5330000001</v>
      </c>
      <c r="N864" s="159">
        <f t="shared" si="147"/>
        <v>157998.20799999998</v>
      </c>
      <c r="O864" s="159">
        <f t="shared" si="147"/>
        <v>157570.68799999997</v>
      </c>
      <c r="P864" s="159">
        <f t="shared" si="147"/>
        <v>209419.40700000001</v>
      </c>
      <c r="Q864" s="159">
        <f t="shared" si="147"/>
        <v>0</v>
      </c>
      <c r="R864" s="159">
        <f t="shared" si="147"/>
        <v>1704669.8360000001</v>
      </c>
    </row>
    <row r="865" spans="1:18" ht="15.75" customHeight="1" x14ac:dyDescent="0.3">
      <c r="A865" s="159"/>
      <c r="B865" s="159"/>
      <c r="C865" s="159"/>
      <c r="D865" s="159"/>
      <c r="E865" s="159"/>
      <c r="F865" s="159"/>
      <c r="G865" s="159"/>
      <c r="H865" s="159"/>
      <c r="I865" s="159"/>
      <c r="J865" s="159"/>
      <c r="K865" s="159"/>
      <c r="L865" s="159"/>
      <c r="M865" s="159"/>
      <c r="N865" s="159"/>
      <c r="O865" s="159"/>
      <c r="P865" s="159"/>
      <c r="Q865" s="159"/>
      <c r="R865" s="159"/>
    </row>
    <row r="866" spans="1:18" ht="15.75" customHeight="1" x14ac:dyDescent="0.35">
      <c r="A866" s="159"/>
      <c r="B866" s="159" t="s">
        <v>424</v>
      </c>
      <c r="C866" s="167"/>
      <c r="D866" s="167"/>
      <c r="E866" s="167"/>
      <c r="F866" s="167"/>
      <c r="G866" s="161" t="s">
        <v>466</v>
      </c>
      <c r="H866" s="159"/>
      <c r="I866" s="159"/>
      <c r="J866" s="159"/>
      <c r="K866" s="159"/>
      <c r="L866" s="159"/>
      <c r="M866" s="159"/>
      <c r="N866" s="159"/>
      <c r="O866" s="159"/>
      <c r="P866" s="159"/>
      <c r="Q866" s="161" t="str">
        <f>+Q1</f>
        <v>PRINTED:</v>
      </c>
      <c r="R866" s="162">
        <f ca="1">+R1</f>
        <v>44909.46975358796</v>
      </c>
    </row>
    <row r="867" spans="1:18" ht="15.75" customHeight="1" x14ac:dyDescent="0.35">
      <c r="A867" s="159"/>
      <c r="B867" s="159"/>
      <c r="C867" s="167"/>
      <c r="D867" s="167"/>
      <c r="E867" s="167"/>
      <c r="F867" s="167"/>
      <c r="G867" s="159" t="s">
        <v>424</v>
      </c>
      <c r="H867" s="159" t="s">
        <v>7</v>
      </c>
      <c r="I867" s="163" t="str">
        <f>+A8</f>
        <v>Revised:  1/25/10</v>
      </c>
      <c r="J867" s="159"/>
      <c r="K867" s="159"/>
      <c r="L867" s="159"/>
      <c r="M867" s="159"/>
      <c r="N867" s="159"/>
      <c r="O867" s="159"/>
      <c r="P867" s="159"/>
      <c r="Q867" s="159"/>
      <c r="R867" s="159"/>
    </row>
    <row r="868" spans="1:18" ht="15.75" customHeight="1" x14ac:dyDescent="0.35">
      <c r="A868" s="159"/>
      <c r="B868" s="159" t="s">
        <v>424</v>
      </c>
      <c r="C868" s="167"/>
      <c r="D868" s="167"/>
      <c r="E868" s="167"/>
      <c r="F868" s="167"/>
      <c r="G868" s="159" t="s">
        <v>387</v>
      </c>
      <c r="H868" s="159"/>
      <c r="I868" s="159"/>
      <c r="J868" s="159"/>
      <c r="K868" s="159"/>
      <c r="L868" s="159"/>
      <c r="M868" s="159"/>
      <c r="N868" s="159"/>
      <c r="O868" s="159"/>
      <c r="P868" s="159"/>
      <c r="Q868" s="159"/>
      <c r="R868" s="159"/>
    </row>
    <row r="869" spans="1:18" ht="15.75" customHeight="1" x14ac:dyDescent="0.35">
      <c r="A869" s="159"/>
      <c r="B869" s="159"/>
      <c r="C869" s="167"/>
      <c r="D869" s="167"/>
      <c r="E869" s="167"/>
      <c r="F869" s="167"/>
      <c r="G869" s="159"/>
      <c r="H869" s="159"/>
      <c r="I869" s="159"/>
      <c r="J869" s="159"/>
      <c r="K869" s="159"/>
      <c r="L869" s="159" t="s">
        <v>424</v>
      </c>
      <c r="M869" s="159"/>
      <c r="N869" s="159"/>
      <c r="O869" s="159"/>
      <c r="P869" s="159"/>
      <c r="Q869" s="159"/>
      <c r="R869" s="159"/>
    </row>
    <row r="870" spans="1:18" ht="15.75" customHeight="1" x14ac:dyDescent="0.35">
      <c r="A870" s="159"/>
      <c r="B870" s="159"/>
      <c r="C870" s="167"/>
      <c r="D870" s="167"/>
      <c r="E870" s="167"/>
      <c r="F870" s="167"/>
      <c r="G870" s="159" t="s">
        <v>424</v>
      </c>
      <c r="H870" s="159" t="str">
        <f>+A5</f>
        <v>Calendar Year 2009</v>
      </c>
      <c r="I870" s="159"/>
      <c r="K870" s="159"/>
      <c r="L870" s="159"/>
      <c r="N870" s="159" t="s">
        <v>424</v>
      </c>
      <c r="O870" s="159"/>
      <c r="P870" s="159"/>
      <c r="Q870" s="161" t="s">
        <v>467</v>
      </c>
      <c r="R870" s="159"/>
    </row>
    <row r="871" spans="1:18" ht="15.75" customHeight="1" x14ac:dyDescent="0.3">
      <c r="A871" s="159"/>
      <c r="B871" s="159"/>
      <c r="C871" s="159"/>
      <c r="D871" s="159"/>
      <c r="E871" s="159"/>
      <c r="F871" s="159"/>
      <c r="G871" s="159"/>
      <c r="H871" s="159"/>
      <c r="I871" s="159"/>
      <c r="K871" s="159"/>
      <c r="L871" s="159"/>
      <c r="N871" s="159"/>
      <c r="O871" s="159"/>
      <c r="P871" s="159"/>
      <c r="Q871" s="159" t="s">
        <v>468</v>
      </c>
      <c r="R871" s="159"/>
    </row>
    <row r="872" spans="1:18" ht="15.75" customHeight="1" x14ac:dyDescent="0.35">
      <c r="A872" s="159" t="s">
        <v>424</v>
      </c>
      <c r="B872" s="164" t="s">
        <v>428</v>
      </c>
      <c r="C872" s="164" t="s">
        <v>469</v>
      </c>
      <c r="D872" s="164" t="s">
        <v>470</v>
      </c>
      <c r="E872" s="164" t="s">
        <v>471</v>
      </c>
      <c r="F872" s="159"/>
      <c r="G872" s="159"/>
      <c r="H872" s="164" t="s">
        <v>472</v>
      </c>
      <c r="I872" s="164" t="s">
        <v>473</v>
      </c>
      <c r="J872" s="164" t="s">
        <v>474</v>
      </c>
      <c r="K872" s="164" t="s">
        <v>475</v>
      </c>
      <c r="L872" s="164" t="s">
        <v>476</v>
      </c>
      <c r="M872" s="164" t="s">
        <v>474</v>
      </c>
      <c r="N872" s="159" t="s">
        <v>424</v>
      </c>
      <c r="O872" s="159"/>
      <c r="P872" s="159"/>
      <c r="Q872" s="159"/>
      <c r="R872" s="159"/>
    </row>
    <row r="873" spans="1:18" ht="15.75" customHeight="1" x14ac:dyDescent="0.3">
      <c r="A873" s="159" t="s">
        <v>424</v>
      </c>
      <c r="B873" s="164" t="s">
        <v>435</v>
      </c>
      <c r="C873" s="164" t="s">
        <v>477</v>
      </c>
      <c r="D873" s="164" t="s">
        <v>442</v>
      </c>
      <c r="E873" s="164" t="s">
        <v>429</v>
      </c>
      <c r="F873" s="164" t="s">
        <v>478</v>
      </c>
      <c r="G873" s="164" t="s">
        <v>479</v>
      </c>
      <c r="H873" s="164" t="s">
        <v>480</v>
      </c>
      <c r="I873" s="164" t="s">
        <v>481</v>
      </c>
      <c r="J873" s="164" t="s">
        <v>482</v>
      </c>
      <c r="K873" s="164" t="s">
        <v>483</v>
      </c>
      <c r="L873" s="164" t="s">
        <v>422</v>
      </c>
      <c r="M873" s="164" t="s">
        <v>482</v>
      </c>
      <c r="N873" s="159" t="s">
        <v>484</v>
      </c>
      <c r="O873" s="159"/>
      <c r="P873" s="159"/>
      <c r="Q873" s="159" t="s">
        <v>424</v>
      </c>
      <c r="R873" s="164" t="s">
        <v>442</v>
      </c>
    </row>
    <row r="874" spans="1:18" ht="15.75" customHeight="1" x14ac:dyDescent="0.3">
      <c r="A874" s="159" t="s">
        <v>424</v>
      </c>
      <c r="B874" s="164" t="s">
        <v>442</v>
      </c>
      <c r="C874" s="169">
        <v>7.4999999999999997E-2</v>
      </c>
      <c r="D874" s="164" t="s">
        <v>485</v>
      </c>
      <c r="E874" s="164" t="s">
        <v>436</v>
      </c>
      <c r="F874" s="164" t="s">
        <v>442</v>
      </c>
      <c r="G874" s="164" t="s">
        <v>442</v>
      </c>
      <c r="H874" s="164" t="s">
        <v>442</v>
      </c>
      <c r="I874" s="164" t="s">
        <v>486</v>
      </c>
      <c r="J874" s="164" t="s">
        <v>487</v>
      </c>
      <c r="K874" s="164" t="s">
        <v>442</v>
      </c>
      <c r="L874" s="164" t="s">
        <v>488</v>
      </c>
      <c r="M874" s="164" t="s">
        <v>487</v>
      </c>
      <c r="N874" s="164" t="s">
        <v>489</v>
      </c>
      <c r="O874" s="164" t="s">
        <v>490</v>
      </c>
      <c r="P874" s="159"/>
      <c r="Q874" s="164" t="s">
        <v>442</v>
      </c>
      <c r="R874" s="164" t="s">
        <v>439</v>
      </c>
    </row>
    <row r="875" spans="1:18" ht="15.75" customHeight="1" x14ac:dyDescent="0.3">
      <c r="A875" s="159" t="s">
        <v>424</v>
      </c>
      <c r="B875" s="164" t="s">
        <v>448</v>
      </c>
      <c r="C875" s="164" t="s">
        <v>448</v>
      </c>
      <c r="D875" s="164" t="s">
        <v>448</v>
      </c>
      <c r="E875" s="164" t="s">
        <v>448</v>
      </c>
      <c r="F875" s="164" t="s">
        <v>491</v>
      </c>
      <c r="G875" s="164" t="s">
        <v>491</v>
      </c>
      <c r="H875" s="164" t="s">
        <v>448</v>
      </c>
      <c r="I875" s="164" t="s">
        <v>448</v>
      </c>
      <c r="J875" s="164" t="s">
        <v>491</v>
      </c>
      <c r="K875" s="164" t="s">
        <v>448</v>
      </c>
      <c r="L875" s="164" t="s">
        <v>491</v>
      </c>
      <c r="M875" s="164" t="s">
        <v>491</v>
      </c>
      <c r="N875" s="164" t="s">
        <v>491</v>
      </c>
      <c r="O875" s="164" t="s">
        <v>491</v>
      </c>
      <c r="P875" s="159"/>
      <c r="Q875" s="164" t="s">
        <v>491</v>
      </c>
      <c r="R875" s="164" t="s">
        <v>492</v>
      </c>
    </row>
    <row r="876" spans="1:18" ht="15.75" customHeight="1" x14ac:dyDescent="0.3">
      <c r="A876" s="159" t="s">
        <v>409</v>
      </c>
      <c r="B876" s="159" t="s">
        <v>409</v>
      </c>
      <c r="C876" s="159" t="s">
        <v>409</v>
      </c>
      <c r="D876" s="159" t="s">
        <v>493</v>
      </c>
      <c r="E876" s="159" t="s">
        <v>409</v>
      </c>
      <c r="F876" s="164" t="s">
        <v>494</v>
      </c>
      <c r="G876" s="164" t="s">
        <v>494</v>
      </c>
      <c r="H876" s="159" t="s">
        <v>409</v>
      </c>
      <c r="I876" s="159" t="s">
        <v>409</v>
      </c>
      <c r="J876" s="159" t="s">
        <v>409</v>
      </c>
      <c r="K876" s="159" t="s">
        <v>409</v>
      </c>
      <c r="L876" s="164" t="s">
        <v>409</v>
      </c>
      <c r="M876" s="159" t="s">
        <v>409</v>
      </c>
      <c r="N876" s="164" t="s">
        <v>409</v>
      </c>
      <c r="O876" s="164" t="s">
        <v>409</v>
      </c>
      <c r="P876" s="159"/>
      <c r="Q876" s="164" t="s">
        <v>409</v>
      </c>
      <c r="R876" s="164" t="s">
        <v>409</v>
      </c>
    </row>
    <row r="877" spans="1:18" ht="15.75" customHeight="1" x14ac:dyDescent="0.3">
      <c r="A877" s="164" t="s">
        <v>410</v>
      </c>
      <c r="B877" s="159">
        <f t="shared" ref="B877:B888" si="148">+H766</f>
        <v>289511.57500000001</v>
      </c>
      <c r="C877" s="159">
        <f t="shared" ref="C877:C888" si="149">(B877*C$874)</f>
        <v>21713.368125000001</v>
      </c>
      <c r="D877" s="159">
        <f t="shared" ref="D877:D888" si="150">(B877*1.005)</f>
        <v>290959.13287499995</v>
      </c>
      <c r="E877" s="159">
        <f t="shared" ref="E877:E886" si="151">(G741*G$739)/(-1000)</f>
        <v>0</v>
      </c>
      <c r="F877" s="159">
        <f t="shared" ref="F877:F888" si="152">(K914)</f>
        <v>4000</v>
      </c>
      <c r="G877" s="159">
        <f t="shared" ref="G877:G888" si="153">(O914)</f>
        <v>0</v>
      </c>
      <c r="H877" s="159">
        <f t="shared" ref="H877:H888" si="154">(F877+G877)</f>
        <v>4000</v>
      </c>
      <c r="I877" s="159">
        <f t="shared" ref="I877:I888" si="155">(G914)</f>
        <v>0</v>
      </c>
      <c r="J877" s="4">
        <f>B$239*1.728</f>
        <v>0</v>
      </c>
      <c r="K877" s="159">
        <f t="shared" ref="K877:K888" si="156">(D877+C877-E877-H877-I877-J877)</f>
        <v>308672.50099999993</v>
      </c>
      <c r="L877" s="159">
        <f t="shared" ref="L877:L888" si="157">(C877+D877)</f>
        <v>312672.50099999993</v>
      </c>
      <c r="M877" s="159">
        <f t="shared" ref="M877:M888" si="158">J877</f>
        <v>0</v>
      </c>
      <c r="N877" s="170">
        <v>331769</v>
      </c>
      <c r="O877" s="159">
        <v>0</v>
      </c>
      <c r="P877" s="171" t="s">
        <v>495</v>
      </c>
      <c r="Q877" s="159">
        <f t="shared" ref="Q877:Q888" si="159">SUM(L823:Q823)</f>
        <v>10431.468000000001</v>
      </c>
      <c r="R877" s="172">
        <v>2.4700000000000002</v>
      </c>
    </row>
    <row r="878" spans="1:18" ht="15.75" customHeight="1" x14ac:dyDescent="0.3">
      <c r="A878" s="164" t="s">
        <v>411</v>
      </c>
      <c r="B878" s="159">
        <f t="shared" si="148"/>
        <v>253021.52</v>
      </c>
      <c r="C878" s="159">
        <f t="shared" si="149"/>
        <v>18976.613999999998</v>
      </c>
      <c r="D878" s="159">
        <f t="shared" si="150"/>
        <v>254286.62759999995</v>
      </c>
      <c r="E878" s="159">
        <f t="shared" si="151"/>
        <v>0</v>
      </c>
      <c r="F878" s="159">
        <f t="shared" si="152"/>
        <v>4000</v>
      </c>
      <c r="G878" s="159">
        <f t="shared" si="153"/>
        <v>0</v>
      </c>
      <c r="H878" s="159">
        <f t="shared" si="154"/>
        <v>4000</v>
      </c>
      <c r="I878" s="159">
        <f t="shared" si="155"/>
        <v>0</v>
      </c>
      <c r="J878" s="4">
        <f>C$239*1.728</f>
        <v>0</v>
      </c>
      <c r="K878" s="159">
        <f t="shared" si="156"/>
        <v>269263.24159999995</v>
      </c>
      <c r="L878" s="159">
        <f t="shared" si="157"/>
        <v>273263.24159999995</v>
      </c>
      <c r="M878" s="159">
        <f t="shared" si="158"/>
        <v>0</v>
      </c>
      <c r="N878" s="170">
        <v>279587</v>
      </c>
      <c r="O878" s="159">
        <v>0</v>
      </c>
      <c r="P878" s="159"/>
      <c r="Q878" s="159">
        <f t="shared" si="159"/>
        <v>4892.7570000000005</v>
      </c>
      <c r="R878" s="172">
        <v>2.4700000000000002</v>
      </c>
    </row>
    <row r="879" spans="1:18" ht="15.75" customHeight="1" x14ac:dyDescent="0.3">
      <c r="A879" s="164" t="s">
        <v>412</v>
      </c>
      <c r="B879" s="159">
        <f t="shared" si="148"/>
        <v>281054.45399999997</v>
      </c>
      <c r="C879" s="159">
        <f t="shared" si="149"/>
        <v>21079.084049999998</v>
      </c>
      <c r="D879" s="159">
        <f t="shared" si="150"/>
        <v>282459.72626999993</v>
      </c>
      <c r="E879" s="159">
        <f t="shared" si="151"/>
        <v>0</v>
      </c>
      <c r="F879" s="159">
        <f t="shared" si="152"/>
        <v>4000</v>
      </c>
      <c r="G879" s="159">
        <f t="shared" si="153"/>
        <v>0</v>
      </c>
      <c r="H879" s="159">
        <f t="shared" si="154"/>
        <v>4000</v>
      </c>
      <c r="I879" s="159">
        <f t="shared" si="155"/>
        <v>0</v>
      </c>
      <c r="J879" s="4">
        <f>D$239*1.728</f>
        <v>0</v>
      </c>
      <c r="K879" s="159">
        <f t="shared" si="156"/>
        <v>299538.81031999993</v>
      </c>
      <c r="L879" s="159">
        <f t="shared" si="157"/>
        <v>303538.81031999993</v>
      </c>
      <c r="M879" s="159">
        <f t="shared" si="158"/>
        <v>0</v>
      </c>
      <c r="N879" s="287">
        <v>304163</v>
      </c>
      <c r="O879" s="159">
        <v>0</v>
      </c>
      <c r="P879" s="159"/>
      <c r="Q879" s="159">
        <f t="shared" si="159"/>
        <v>6119.3550000000005</v>
      </c>
      <c r="R879" s="172">
        <v>2.4700000000000002</v>
      </c>
    </row>
    <row r="880" spans="1:18" ht="15.75" customHeight="1" x14ac:dyDescent="0.3">
      <c r="A880" s="164" t="s">
        <v>413</v>
      </c>
      <c r="B880" s="159">
        <f t="shared" si="148"/>
        <v>277550.49</v>
      </c>
      <c r="C880" s="159">
        <f t="shared" si="149"/>
        <v>20816.286749999999</v>
      </c>
      <c r="D880" s="159">
        <f t="shared" si="150"/>
        <v>278938.24244999996</v>
      </c>
      <c r="E880" s="159">
        <f t="shared" si="151"/>
        <v>0</v>
      </c>
      <c r="F880" s="159">
        <f t="shared" si="152"/>
        <v>9000</v>
      </c>
      <c r="G880" s="159">
        <f t="shared" si="153"/>
        <v>0</v>
      </c>
      <c r="H880" s="159">
        <f t="shared" si="154"/>
        <v>9000</v>
      </c>
      <c r="I880" s="159">
        <f t="shared" si="155"/>
        <v>0</v>
      </c>
      <c r="J880" s="4">
        <f>F$239*1.728</f>
        <v>0</v>
      </c>
      <c r="K880" s="159">
        <f t="shared" si="156"/>
        <v>290754.52919999999</v>
      </c>
      <c r="L880" s="159">
        <f t="shared" si="157"/>
        <v>299754.52919999999</v>
      </c>
      <c r="M880" s="159">
        <f t="shared" si="158"/>
        <v>0</v>
      </c>
      <c r="N880" s="287">
        <v>294557</v>
      </c>
      <c r="O880" s="159">
        <v>0</v>
      </c>
      <c r="P880" s="159"/>
      <c r="Q880" s="159">
        <f t="shared" si="159"/>
        <v>7657.2029999999995</v>
      </c>
      <c r="R880" s="172">
        <v>2.4700000000000002</v>
      </c>
    </row>
    <row r="881" spans="1:18" ht="15.75" customHeight="1" x14ac:dyDescent="0.3">
      <c r="A881" s="164" t="s">
        <v>414</v>
      </c>
      <c r="B881" s="159">
        <f t="shared" si="148"/>
        <v>262373.33600000001</v>
      </c>
      <c r="C881" s="159">
        <f t="shared" si="149"/>
        <v>19678.000199999999</v>
      </c>
      <c r="D881" s="159">
        <f t="shared" si="150"/>
        <v>263685.20267999999</v>
      </c>
      <c r="E881" s="159">
        <f t="shared" si="151"/>
        <v>1464.826</v>
      </c>
      <c r="F881" s="159">
        <f t="shared" si="152"/>
        <v>9000</v>
      </c>
      <c r="G881" s="159">
        <f t="shared" si="153"/>
        <v>0</v>
      </c>
      <c r="H881" s="159">
        <f t="shared" si="154"/>
        <v>9000</v>
      </c>
      <c r="I881" s="159">
        <f t="shared" si="155"/>
        <v>0</v>
      </c>
      <c r="J881" s="4">
        <f>G$239*1.728</f>
        <v>0</v>
      </c>
      <c r="K881" s="159">
        <f t="shared" si="156"/>
        <v>272898.37688</v>
      </c>
      <c r="L881" s="159">
        <f t="shared" si="157"/>
        <v>283363.20288</v>
      </c>
      <c r="M881" s="159">
        <f t="shared" si="158"/>
        <v>0</v>
      </c>
      <c r="N881" s="287">
        <v>283517</v>
      </c>
      <c r="O881" s="159">
        <v>0</v>
      </c>
      <c r="P881" s="159"/>
      <c r="Q881" s="159">
        <f t="shared" si="159"/>
        <v>8854.2119999999995</v>
      </c>
      <c r="R881" s="172">
        <v>2.4700000000000002</v>
      </c>
    </row>
    <row r="882" spans="1:18" ht="15.75" customHeight="1" x14ac:dyDescent="0.3">
      <c r="A882" s="164" t="s">
        <v>415</v>
      </c>
      <c r="B882" s="159">
        <f t="shared" si="148"/>
        <v>172107.77800000002</v>
      </c>
      <c r="C882" s="159">
        <f t="shared" si="149"/>
        <v>12908.083350000001</v>
      </c>
      <c r="D882" s="159">
        <f t="shared" si="150"/>
        <v>172968.31689000002</v>
      </c>
      <c r="E882" s="159">
        <f t="shared" si="151"/>
        <v>10179.004000000001</v>
      </c>
      <c r="F882" s="159">
        <f t="shared" si="152"/>
        <v>18000</v>
      </c>
      <c r="G882" s="159">
        <f t="shared" si="153"/>
        <v>0</v>
      </c>
      <c r="H882" s="159">
        <f t="shared" si="154"/>
        <v>18000</v>
      </c>
      <c r="I882" s="159">
        <f t="shared" si="155"/>
        <v>0</v>
      </c>
      <c r="J882" s="4">
        <f>H$239*1.728</f>
        <v>0</v>
      </c>
      <c r="K882" s="159">
        <f t="shared" si="156"/>
        <v>157697.39624000003</v>
      </c>
      <c r="L882" s="159">
        <f t="shared" si="157"/>
        <v>185876.40024000002</v>
      </c>
      <c r="M882" s="159">
        <f t="shared" si="158"/>
        <v>0</v>
      </c>
      <c r="N882" s="287">
        <v>181015</v>
      </c>
      <c r="O882" s="159">
        <v>0</v>
      </c>
      <c r="P882" s="159"/>
      <c r="Q882" s="159">
        <f t="shared" si="159"/>
        <v>9589.7010000000009</v>
      </c>
      <c r="R882" s="172">
        <v>2.4700000000000002</v>
      </c>
    </row>
    <row r="883" spans="1:18" ht="15.75" customHeight="1" x14ac:dyDescent="0.3">
      <c r="A883" s="164" t="s">
        <v>416</v>
      </c>
      <c r="B883" s="159">
        <f t="shared" si="148"/>
        <v>149890.79700000002</v>
      </c>
      <c r="C883" s="159">
        <f t="shared" si="149"/>
        <v>11241.809775000002</v>
      </c>
      <c r="D883" s="159">
        <f t="shared" si="150"/>
        <v>150640.25098499999</v>
      </c>
      <c r="E883" s="159">
        <f t="shared" si="151"/>
        <v>14312.968999999999</v>
      </c>
      <c r="F883" s="159">
        <f t="shared" si="152"/>
        <v>21000</v>
      </c>
      <c r="G883" s="159">
        <f t="shared" si="153"/>
        <v>0</v>
      </c>
      <c r="H883" s="159">
        <f t="shared" si="154"/>
        <v>21000</v>
      </c>
      <c r="I883" s="159">
        <f t="shared" si="155"/>
        <v>0</v>
      </c>
      <c r="J883" s="4">
        <f>J$239*1.728</f>
        <v>0</v>
      </c>
      <c r="K883" s="159">
        <f t="shared" si="156"/>
        <v>126569.09175999998</v>
      </c>
      <c r="L883" s="159">
        <f t="shared" si="157"/>
        <v>161882.06075999999</v>
      </c>
      <c r="M883" s="159">
        <f t="shared" si="158"/>
        <v>0</v>
      </c>
      <c r="N883" s="159">
        <v>160129</v>
      </c>
      <c r="O883" s="159">
        <v>0</v>
      </c>
      <c r="P883" s="159"/>
      <c r="Q883" s="159">
        <f t="shared" si="159"/>
        <v>12273.231000000002</v>
      </c>
      <c r="R883" s="172">
        <v>2.4700000000000002</v>
      </c>
    </row>
    <row r="884" spans="1:18" ht="15.75" customHeight="1" x14ac:dyDescent="0.3">
      <c r="A884" s="164" t="s">
        <v>417</v>
      </c>
      <c r="B884" s="159">
        <f t="shared" si="148"/>
        <v>145198.10499999998</v>
      </c>
      <c r="C884" s="159">
        <f t="shared" si="149"/>
        <v>10889.857874999998</v>
      </c>
      <c r="D884" s="159">
        <f t="shared" si="150"/>
        <v>145924.09552499995</v>
      </c>
      <c r="E884" s="159">
        <f t="shared" si="151"/>
        <v>15272.378000000001</v>
      </c>
      <c r="F884" s="159">
        <f t="shared" si="152"/>
        <v>35000</v>
      </c>
      <c r="G884" s="159">
        <f t="shared" si="153"/>
        <v>0</v>
      </c>
      <c r="H884" s="159">
        <f t="shared" si="154"/>
        <v>35000</v>
      </c>
      <c r="I884" s="159">
        <f t="shared" si="155"/>
        <v>0</v>
      </c>
      <c r="J884" s="4">
        <f>K$239*1.728</f>
        <v>0</v>
      </c>
      <c r="K884" s="159">
        <f t="shared" si="156"/>
        <v>106541.57539999994</v>
      </c>
      <c r="L884" s="159">
        <f t="shared" si="157"/>
        <v>156813.95339999994</v>
      </c>
      <c r="M884" s="159">
        <f t="shared" si="158"/>
        <v>0</v>
      </c>
      <c r="N884" s="159">
        <f>L884-M884</f>
        <v>156813.95339999994</v>
      </c>
      <c r="O884" s="159">
        <f>(L884-M884-N884)</f>
        <v>0</v>
      </c>
      <c r="P884" s="159"/>
      <c r="Q884" s="159">
        <f t="shared" si="159"/>
        <v>13975.878000000001</v>
      </c>
      <c r="R884" s="172">
        <v>2.4700000000000002</v>
      </c>
    </row>
    <row r="885" spans="1:18" ht="15.75" customHeight="1" x14ac:dyDescent="0.3">
      <c r="A885" s="164" t="s">
        <v>418</v>
      </c>
      <c r="B885" s="159">
        <f t="shared" si="148"/>
        <v>243576.492</v>
      </c>
      <c r="C885" s="159">
        <f t="shared" si="149"/>
        <v>18268.2369</v>
      </c>
      <c r="D885" s="159">
        <f t="shared" si="150"/>
        <v>244794.37445999996</v>
      </c>
      <c r="E885" s="159">
        <f t="shared" si="151"/>
        <v>1126.9939999999999</v>
      </c>
      <c r="F885" s="159">
        <f t="shared" si="152"/>
        <v>30917</v>
      </c>
      <c r="G885" s="159">
        <f t="shared" si="153"/>
        <v>0</v>
      </c>
      <c r="H885" s="159">
        <f t="shared" si="154"/>
        <v>30917</v>
      </c>
      <c r="I885" s="159">
        <f t="shared" si="155"/>
        <v>0</v>
      </c>
      <c r="J885" s="4">
        <f>L$239*1.728</f>
        <v>0</v>
      </c>
      <c r="K885" s="159">
        <f t="shared" si="156"/>
        <v>231018.61735999997</v>
      </c>
      <c r="L885" s="159">
        <f t="shared" si="157"/>
        <v>263062.61135999998</v>
      </c>
      <c r="M885" s="159">
        <f t="shared" si="158"/>
        <v>0</v>
      </c>
      <c r="N885" s="159">
        <f>L885-M885</f>
        <v>263062.61135999998</v>
      </c>
      <c r="O885" s="159">
        <f>(L885-M885-N885)</f>
        <v>0</v>
      </c>
      <c r="P885" s="159"/>
      <c r="Q885" s="159">
        <f t="shared" si="159"/>
        <v>12726.561</v>
      </c>
      <c r="R885" s="172">
        <v>2.4700000000000002</v>
      </c>
    </row>
    <row r="886" spans="1:18" ht="15.75" customHeight="1" x14ac:dyDescent="0.3">
      <c r="A886" s="164" t="s">
        <v>419</v>
      </c>
      <c r="B886" s="159">
        <f t="shared" si="148"/>
        <v>221347.46599999999</v>
      </c>
      <c r="C886" s="159">
        <f t="shared" si="149"/>
        <v>16601.059949999999</v>
      </c>
      <c r="D886" s="159">
        <f t="shared" si="150"/>
        <v>222454.20332999996</v>
      </c>
      <c r="E886" s="159">
        <f t="shared" si="151"/>
        <v>0</v>
      </c>
      <c r="F886" s="159">
        <f t="shared" si="152"/>
        <v>4000</v>
      </c>
      <c r="G886" s="159">
        <f t="shared" si="153"/>
        <v>0</v>
      </c>
      <c r="H886" s="159">
        <f t="shared" si="154"/>
        <v>4000</v>
      </c>
      <c r="I886" s="159">
        <f t="shared" si="155"/>
        <v>123669.26327999996</v>
      </c>
      <c r="J886" s="4">
        <f>N$239*1.728</f>
        <v>0</v>
      </c>
      <c r="K886" s="159">
        <f t="shared" si="156"/>
        <v>111386</v>
      </c>
      <c r="L886" s="159">
        <f t="shared" si="157"/>
        <v>239055.26327999996</v>
      </c>
      <c r="M886" s="159">
        <f t="shared" si="158"/>
        <v>0</v>
      </c>
      <c r="N886" s="159">
        <v>115386</v>
      </c>
      <c r="O886" s="159">
        <f>(L886-M886-N886)</f>
        <v>123669.26327999996</v>
      </c>
      <c r="P886" s="159"/>
      <c r="Q886" s="159">
        <f t="shared" si="159"/>
        <v>11240.268</v>
      </c>
      <c r="R886" s="172">
        <v>2.4700000000000002</v>
      </c>
    </row>
    <row r="887" spans="1:18" ht="15.75" customHeight="1" x14ac:dyDescent="0.3">
      <c r="A887" s="164" t="s">
        <v>420</v>
      </c>
      <c r="B887" s="159">
        <f t="shared" si="148"/>
        <v>216719.29699999999</v>
      </c>
      <c r="C887" s="159">
        <f t="shared" si="149"/>
        <v>16253.947274999999</v>
      </c>
      <c r="D887" s="159">
        <f t="shared" si="150"/>
        <v>217802.89348499998</v>
      </c>
      <c r="E887" s="159">
        <f>(G751*G$739)/(-1000)</f>
        <v>0</v>
      </c>
      <c r="F887" s="159">
        <f t="shared" si="152"/>
        <v>4000</v>
      </c>
      <c r="G887" s="159">
        <f t="shared" si="153"/>
        <v>0</v>
      </c>
      <c r="H887" s="159">
        <f t="shared" si="154"/>
        <v>4000</v>
      </c>
      <c r="I887" s="159">
        <f t="shared" si="155"/>
        <v>234056.84075999999</v>
      </c>
      <c r="J887" s="4">
        <f>O$239*1.728</f>
        <v>0</v>
      </c>
      <c r="K887" s="159">
        <f t="shared" si="156"/>
        <v>-4000</v>
      </c>
      <c r="L887" s="159">
        <f t="shared" si="157"/>
        <v>234056.84075999999</v>
      </c>
      <c r="M887" s="159">
        <f t="shared" si="158"/>
        <v>0</v>
      </c>
      <c r="N887" s="159">
        <v>0</v>
      </c>
      <c r="O887" s="159">
        <f>(L887-M887-N887)</f>
        <v>234056.84075999999</v>
      </c>
      <c r="P887" s="159"/>
      <c r="Q887" s="159">
        <f t="shared" si="159"/>
        <v>4924.7790000000005</v>
      </c>
      <c r="R887" s="172">
        <v>2.4700000000000002</v>
      </c>
    </row>
    <row r="888" spans="1:18" ht="15.75" customHeight="1" x14ac:dyDescent="0.3">
      <c r="A888" s="164" t="s">
        <v>421</v>
      </c>
      <c r="B888" s="159">
        <f t="shared" si="148"/>
        <v>248550.44399999996</v>
      </c>
      <c r="C888" s="159">
        <f t="shared" si="149"/>
        <v>18641.283299999996</v>
      </c>
      <c r="D888" s="159">
        <f t="shared" si="150"/>
        <v>249793.19621999993</v>
      </c>
      <c r="E888" s="159">
        <f>(G752*G$739)/(-1000)</f>
        <v>0</v>
      </c>
      <c r="F888" s="159">
        <f t="shared" si="152"/>
        <v>4000</v>
      </c>
      <c r="G888" s="159">
        <f t="shared" si="153"/>
        <v>0</v>
      </c>
      <c r="H888" s="159">
        <f t="shared" si="154"/>
        <v>4000</v>
      </c>
      <c r="I888" s="159">
        <f t="shared" si="155"/>
        <v>268434.47951999994</v>
      </c>
      <c r="J888" s="4">
        <f>P$239*1.728</f>
        <v>0</v>
      </c>
      <c r="K888" s="159">
        <f t="shared" si="156"/>
        <v>-4000</v>
      </c>
      <c r="L888" s="159">
        <f t="shared" si="157"/>
        <v>268434.47951999994</v>
      </c>
      <c r="M888" s="159">
        <f t="shared" si="158"/>
        <v>0</v>
      </c>
      <c r="N888" s="159">
        <v>0</v>
      </c>
      <c r="O888" s="159">
        <f>(L888-M888-N888)</f>
        <v>268434.47951999994</v>
      </c>
      <c r="P888" s="159"/>
      <c r="Q888" s="159">
        <f t="shared" si="159"/>
        <v>12200.246999999999</v>
      </c>
      <c r="R888" s="172">
        <v>2.4700000000000002</v>
      </c>
    </row>
    <row r="889" spans="1:18" ht="15.75" customHeight="1" x14ac:dyDescent="0.3">
      <c r="A889" s="159" t="s">
        <v>424</v>
      </c>
      <c r="B889" s="159" t="s">
        <v>424</v>
      </c>
      <c r="C889" s="159"/>
      <c r="D889" s="159" t="s">
        <v>7</v>
      </c>
      <c r="E889" s="159"/>
      <c r="F889" s="159"/>
      <c r="G889" s="159" t="s">
        <v>7</v>
      </c>
      <c r="H889" s="159" t="s">
        <v>7</v>
      </c>
      <c r="I889" s="168"/>
      <c r="K889" s="159"/>
      <c r="L889" s="159"/>
      <c r="M889" s="159"/>
      <c r="N889" s="159"/>
      <c r="O889" s="164" t="s">
        <v>424</v>
      </c>
      <c r="P889" s="159"/>
      <c r="Q889" s="159"/>
      <c r="R889" s="172"/>
    </row>
    <row r="890" spans="1:18" ht="15.75" customHeight="1" x14ac:dyDescent="0.3">
      <c r="A890" s="159" t="s">
        <v>422</v>
      </c>
      <c r="B890" s="159">
        <f>SUM(B877:B888)</f>
        <v>2760901.7539999997</v>
      </c>
      <c r="C890" s="159">
        <f>SUM(C877:C888)</f>
        <v>207067.63154999999</v>
      </c>
      <c r="D890" s="159">
        <f>(B890*1.005)</f>
        <v>2774706.2627699994</v>
      </c>
      <c r="E890" s="159">
        <f>SUM(E877:E888)</f>
        <v>42356.170999999995</v>
      </c>
      <c r="F890" s="159">
        <f>(K928)</f>
        <v>146917</v>
      </c>
      <c r="G890" s="159">
        <f>(O928)</f>
        <v>0</v>
      </c>
      <c r="H890" s="159">
        <f>(F890+G890)</f>
        <v>146917</v>
      </c>
      <c r="I890" s="159">
        <f t="shared" ref="I890:O890" si="160">SUM(I877:I888)</f>
        <v>626160.58355999994</v>
      </c>
      <c r="J890" s="159">
        <f t="shared" si="160"/>
        <v>0</v>
      </c>
      <c r="K890" s="159">
        <f t="shared" si="160"/>
        <v>2166340.1397599997</v>
      </c>
      <c r="L890" s="159">
        <f t="shared" si="160"/>
        <v>2981773.89432</v>
      </c>
      <c r="M890" s="159">
        <f t="shared" si="160"/>
        <v>0</v>
      </c>
      <c r="N890" s="159">
        <f t="shared" si="160"/>
        <v>2369999.56476</v>
      </c>
      <c r="O890" s="159">
        <f t="shared" si="160"/>
        <v>626160.58355999994</v>
      </c>
      <c r="P890" s="159"/>
      <c r="Q890" s="159">
        <f>(SUM(Q877:Q888))</f>
        <v>114885.66</v>
      </c>
      <c r="R890" s="172"/>
    </row>
    <row r="891" spans="1:18" ht="15.75" customHeight="1" x14ac:dyDescent="0.3">
      <c r="A891" s="159"/>
      <c r="B891" s="159"/>
      <c r="C891" s="159"/>
      <c r="D891" s="159"/>
      <c r="E891" s="159"/>
      <c r="F891" s="159" t="s">
        <v>424</v>
      </c>
      <c r="G891" s="159"/>
      <c r="H891" s="159"/>
      <c r="I891" s="159"/>
      <c r="K891" s="159"/>
      <c r="L891" s="159"/>
      <c r="N891" s="173" t="s">
        <v>582</v>
      </c>
      <c r="P891" s="159"/>
      <c r="Q891" s="159"/>
      <c r="R891" s="159"/>
    </row>
    <row r="892" spans="1:18" ht="15.75" customHeight="1" x14ac:dyDescent="0.35">
      <c r="A892" s="159" t="s">
        <v>424</v>
      </c>
      <c r="B892" s="159" t="s">
        <v>497</v>
      </c>
      <c r="C892" s="159"/>
      <c r="D892" s="159"/>
      <c r="E892" s="159"/>
      <c r="F892" s="159"/>
      <c r="G892" s="159"/>
      <c r="H892" s="159"/>
      <c r="I892" s="159"/>
      <c r="J892" s="159"/>
      <c r="K892" s="159"/>
      <c r="L892" s="159"/>
      <c r="M892" s="159"/>
      <c r="N892" s="173"/>
      <c r="O892" s="159"/>
      <c r="P892" s="159"/>
      <c r="Q892" s="159"/>
      <c r="R892" s="159"/>
    </row>
    <row r="893" spans="1:18" ht="15.75" customHeight="1" x14ac:dyDescent="0.3">
      <c r="A893" s="159"/>
      <c r="B893" s="159" t="s">
        <v>498</v>
      </c>
      <c r="C893" s="159"/>
      <c r="D893" s="159"/>
      <c r="E893" s="159"/>
      <c r="F893" s="159"/>
      <c r="G893" s="159"/>
      <c r="H893" s="159"/>
      <c r="I893" s="159"/>
      <c r="J893" s="564" t="s">
        <v>500</v>
      </c>
      <c r="K893" s="564"/>
      <c r="L893" s="564"/>
      <c r="M893" s="564"/>
      <c r="N893" s="170" t="s">
        <v>501</v>
      </c>
      <c r="O893" s="159"/>
      <c r="P893" s="159"/>
      <c r="Q893" s="159"/>
      <c r="R893" s="159"/>
    </row>
    <row r="894" spans="1:18" x14ac:dyDescent="0.3">
      <c r="A894" s="159"/>
      <c r="B894" s="159" t="s">
        <v>499</v>
      </c>
      <c r="C894" s="159"/>
      <c r="D894" s="159"/>
      <c r="E894" s="159"/>
      <c r="F894" s="159"/>
      <c r="G894" s="159"/>
      <c r="H894" s="159"/>
      <c r="I894" s="159"/>
      <c r="J894" s="159"/>
      <c r="K894" s="159"/>
      <c r="L894" s="159"/>
      <c r="M894" s="159"/>
      <c r="N894" s="159"/>
      <c r="O894" s="159"/>
      <c r="P894" s="159"/>
      <c r="Q894" s="159"/>
      <c r="R894" s="159"/>
    </row>
    <row r="895" spans="1:18" x14ac:dyDescent="0.3">
      <c r="A895" s="159"/>
      <c r="B895" s="159" t="s">
        <v>583</v>
      </c>
      <c r="C895" s="159"/>
      <c r="D895" s="159"/>
      <c r="E895" s="159"/>
      <c r="F895" s="159"/>
      <c r="G895" s="159"/>
      <c r="H895" s="159"/>
      <c r="I895" s="159"/>
      <c r="J895" s="159"/>
      <c r="K895" s="159"/>
      <c r="L895" s="159"/>
      <c r="M895" s="159"/>
      <c r="N895" s="159"/>
      <c r="O895" s="159"/>
      <c r="P895" s="159"/>
      <c r="Q895" s="159"/>
      <c r="R895" s="159"/>
    </row>
    <row r="896" spans="1:18" x14ac:dyDescent="0.3">
      <c r="A896" s="159"/>
      <c r="B896" s="159" t="s">
        <v>584</v>
      </c>
      <c r="C896" s="159"/>
      <c r="D896" s="159"/>
      <c r="E896" s="159"/>
      <c r="F896" s="159"/>
      <c r="G896" s="159"/>
      <c r="H896" s="159"/>
      <c r="I896" s="159"/>
      <c r="J896" s="159"/>
      <c r="K896" s="159"/>
      <c r="L896" s="159"/>
      <c r="M896" s="159"/>
      <c r="N896" s="159"/>
      <c r="O896" s="159"/>
      <c r="P896" s="159"/>
      <c r="Q896" s="159"/>
      <c r="R896" s="159"/>
    </row>
    <row r="897" spans="1:18" ht="16.2" x14ac:dyDescent="0.35">
      <c r="A897" s="159"/>
      <c r="B897" s="159" t="s">
        <v>504</v>
      </c>
      <c r="C897" s="159"/>
      <c r="D897" s="159"/>
      <c r="E897" s="159"/>
      <c r="F897" s="159"/>
      <c r="G897" s="159"/>
      <c r="H897" s="159"/>
      <c r="I897" s="159"/>
      <c r="J897" s="159"/>
      <c r="K897" s="159"/>
      <c r="L897" s="159"/>
      <c r="M897" s="159"/>
      <c r="N897" s="159"/>
      <c r="O897" s="159"/>
      <c r="P897" s="159"/>
      <c r="Q897" s="159"/>
      <c r="R897" s="159"/>
    </row>
    <row r="898" spans="1:18" ht="16.2" x14ac:dyDescent="0.35">
      <c r="A898" s="159"/>
      <c r="B898" s="159" t="s">
        <v>505</v>
      </c>
      <c r="C898" s="159"/>
      <c r="D898" s="159"/>
      <c r="E898" s="159"/>
      <c r="F898" s="159"/>
      <c r="G898" s="159"/>
      <c r="H898" s="159"/>
      <c r="I898" s="159"/>
      <c r="J898" s="159"/>
      <c r="K898" s="159"/>
      <c r="L898" s="159"/>
      <c r="M898" s="159"/>
      <c r="N898" s="159"/>
      <c r="O898" s="159"/>
      <c r="P898" s="159"/>
      <c r="Q898" s="159"/>
      <c r="R898" s="159"/>
    </row>
    <row r="899" spans="1:18" x14ac:dyDescent="0.3">
      <c r="A899" s="159"/>
      <c r="B899" s="159"/>
      <c r="C899" s="159"/>
      <c r="D899" s="159"/>
      <c r="E899" s="159"/>
      <c r="F899" s="159"/>
      <c r="G899" s="159"/>
      <c r="H899" s="159"/>
      <c r="I899" s="159"/>
      <c r="J899" s="159"/>
      <c r="K899" s="159"/>
      <c r="L899" s="159"/>
      <c r="M899" s="159"/>
      <c r="N899" s="159"/>
      <c r="O899" s="159"/>
      <c r="P899" s="159"/>
      <c r="Q899" s="159"/>
      <c r="R899" s="159"/>
    </row>
    <row r="900" spans="1:18" ht="16.2" x14ac:dyDescent="0.35">
      <c r="A900" s="159"/>
      <c r="B900" s="159"/>
      <c r="C900" s="167"/>
      <c r="D900" s="167"/>
      <c r="E900" s="167"/>
      <c r="F900" s="167"/>
      <c r="G900" s="167"/>
      <c r="H900" s="161" t="s">
        <v>506</v>
      </c>
      <c r="I900" s="159"/>
      <c r="J900" s="159"/>
      <c r="K900" s="159"/>
      <c r="L900" s="159"/>
      <c r="M900" s="159"/>
      <c r="N900" s="159"/>
      <c r="O900" s="159"/>
      <c r="P900" s="159"/>
      <c r="Q900" s="161" t="str">
        <f>+Q1</f>
        <v>PRINTED:</v>
      </c>
      <c r="R900" s="162">
        <f ca="1">+R1</f>
        <v>44909.46975358796</v>
      </c>
    </row>
    <row r="901" spans="1:18" ht="16.2" x14ac:dyDescent="0.35">
      <c r="A901" s="159"/>
      <c r="B901" s="159"/>
      <c r="C901" s="167"/>
      <c r="D901" s="167"/>
      <c r="E901" s="167"/>
      <c r="F901" s="167"/>
      <c r="G901" s="167"/>
      <c r="H901" s="159" t="s">
        <v>424</v>
      </c>
      <c r="I901" s="159" t="s">
        <v>7</v>
      </c>
      <c r="J901" s="163" t="str">
        <f>+A8</f>
        <v>Revised:  1/25/10</v>
      </c>
      <c r="K901" s="159"/>
      <c r="L901" s="159"/>
      <c r="M901" s="159"/>
      <c r="N901" s="159"/>
      <c r="O901" s="159"/>
      <c r="P901" s="159"/>
      <c r="Q901" s="159"/>
      <c r="R901" s="159"/>
    </row>
    <row r="902" spans="1:18" ht="16.2" x14ac:dyDescent="0.35">
      <c r="A902" s="159"/>
      <c r="B902" s="159"/>
      <c r="C902" s="167"/>
      <c r="D902" s="167"/>
      <c r="E902" s="167"/>
      <c r="F902" s="167"/>
      <c r="G902" s="167"/>
      <c r="H902" s="159" t="s">
        <v>387</v>
      </c>
      <c r="I902" s="159"/>
      <c r="J902" s="159"/>
      <c r="K902" s="159"/>
      <c r="L902" s="159"/>
      <c r="M902" s="159"/>
      <c r="N902" s="159"/>
      <c r="O902" s="159"/>
      <c r="P902" s="159"/>
      <c r="Q902" s="159"/>
      <c r="R902" s="159"/>
    </row>
    <row r="903" spans="1:18" ht="16.2" x14ac:dyDescent="0.35">
      <c r="A903" s="159"/>
      <c r="B903" s="159"/>
      <c r="C903" s="167"/>
      <c r="D903" s="167"/>
      <c r="E903" s="167"/>
      <c r="F903" s="167"/>
      <c r="G903" s="167"/>
      <c r="H903" s="159"/>
      <c r="I903" s="159"/>
      <c r="J903" s="159"/>
      <c r="K903" s="159"/>
      <c r="L903" s="159"/>
      <c r="M903" s="159"/>
      <c r="N903" s="159"/>
      <c r="O903" s="159"/>
      <c r="P903" s="159"/>
      <c r="Q903" s="159"/>
      <c r="R903" s="159"/>
    </row>
    <row r="904" spans="1:18" ht="16.2" x14ac:dyDescent="0.35">
      <c r="A904" s="159"/>
      <c r="B904" s="159"/>
      <c r="C904" s="167"/>
      <c r="D904" s="167"/>
      <c r="E904" s="167"/>
      <c r="F904" s="167"/>
      <c r="G904" s="167"/>
      <c r="H904" s="159" t="s">
        <v>424</v>
      </c>
      <c r="I904" s="159" t="str">
        <f>+A5</f>
        <v>Calendar Year 2009</v>
      </c>
      <c r="J904" s="159"/>
      <c r="K904" s="159"/>
      <c r="L904" s="159"/>
      <c r="M904" s="159"/>
      <c r="N904" s="159"/>
      <c r="O904" s="159"/>
      <c r="P904" s="159"/>
      <c r="Q904" s="159"/>
      <c r="R904" s="159"/>
    </row>
    <row r="905" spans="1:18" x14ac:dyDescent="0.3">
      <c r="A905" s="159"/>
      <c r="B905" s="159"/>
      <c r="C905" s="159"/>
      <c r="D905" s="159"/>
      <c r="E905" s="159"/>
      <c r="F905" s="159"/>
      <c r="G905" s="159"/>
      <c r="H905" s="159"/>
      <c r="I905" s="159"/>
      <c r="J905" s="159"/>
      <c r="K905" s="159"/>
      <c r="L905" s="159"/>
      <c r="M905" s="159"/>
      <c r="N905" s="159"/>
      <c r="O905" s="159"/>
      <c r="P905" s="159"/>
      <c r="Q905" s="159"/>
      <c r="R905" s="159"/>
    </row>
    <row r="906" spans="1:18" x14ac:dyDescent="0.3">
      <c r="A906" s="159"/>
      <c r="B906" s="159"/>
      <c r="C906" s="161" t="s">
        <v>507</v>
      </c>
      <c r="D906" s="159"/>
      <c r="E906" s="159"/>
      <c r="F906" s="159"/>
      <c r="G906" s="161" t="s">
        <v>508</v>
      </c>
      <c r="H906" s="159"/>
      <c r="I906" s="159"/>
      <c r="J906" s="159"/>
      <c r="K906" s="160" t="s">
        <v>509</v>
      </c>
      <c r="L906" s="159"/>
      <c r="M906" s="159"/>
      <c r="N906" s="159"/>
      <c r="O906" s="160" t="s">
        <v>510</v>
      </c>
      <c r="P906" s="159"/>
      <c r="Q906" s="159"/>
      <c r="R906" s="159"/>
    </row>
    <row r="907" spans="1:18" x14ac:dyDescent="0.3">
      <c r="A907" s="159"/>
      <c r="B907" s="159"/>
      <c r="C907" s="159" t="str">
        <f>+A5</f>
        <v>Calendar Year 2009</v>
      </c>
      <c r="D907" s="159"/>
      <c r="E907" s="159"/>
      <c r="F907" s="159" t="s">
        <v>511</v>
      </c>
      <c r="G907" s="159"/>
      <c r="H907" s="159"/>
      <c r="I907" s="159"/>
      <c r="J907" s="159"/>
      <c r="K907" s="159" t="str">
        <f>+A5</f>
        <v>Calendar Year 2009</v>
      </c>
      <c r="L907" s="159"/>
      <c r="M907" s="159"/>
      <c r="N907" s="159"/>
      <c r="O907" s="159" t="str">
        <f>+A5</f>
        <v>Calendar Year 2009</v>
      </c>
      <c r="P907" s="159"/>
      <c r="Q907" s="159"/>
      <c r="R907" s="159"/>
    </row>
    <row r="908" spans="1:18" x14ac:dyDescent="0.3">
      <c r="A908" s="159"/>
      <c r="B908" s="159"/>
      <c r="C908" s="159"/>
      <c r="D908" s="159"/>
      <c r="E908" s="159"/>
      <c r="F908" s="159"/>
      <c r="G908" s="159" t="str">
        <f>+A5</f>
        <v>Calendar Year 2009</v>
      </c>
      <c r="H908" s="159"/>
      <c r="I908" s="159"/>
      <c r="J908" s="159"/>
      <c r="K908" s="159"/>
      <c r="L908" s="159"/>
      <c r="M908" s="159"/>
      <c r="N908" s="159"/>
      <c r="O908" s="159"/>
      <c r="P908" s="159"/>
      <c r="Q908" s="159"/>
      <c r="R908" s="159"/>
    </row>
    <row r="909" spans="1:18" x14ac:dyDescent="0.3">
      <c r="A909" s="159"/>
      <c r="B909" s="159"/>
      <c r="C909" s="164" t="s">
        <v>475</v>
      </c>
      <c r="D909" s="164" t="s">
        <v>512</v>
      </c>
      <c r="E909" s="164" t="s">
        <v>513</v>
      </c>
      <c r="F909" s="159"/>
      <c r="G909" s="164" t="s">
        <v>473</v>
      </c>
      <c r="H909" s="164" t="s">
        <v>512</v>
      </c>
      <c r="I909" s="164" t="s">
        <v>514</v>
      </c>
      <c r="J909" s="159"/>
      <c r="K909" s="164" t="s">
        <v>472</v>
      </c>
      <c r="L909" s="164" t="s">
        <v>512</v>
      </c>
      <c r="M909" s="164" t="s">
        <v>515</v>
      </c>
      <c r="N909" s="159"/>
      <c r="O909" s="164" t="s">
        <v>472</v>
      </c>
      <c r="P909" s="164" t="s">
        <v>512</v>
      </c>
      <c r="Q909" s="164" t="s">
        <v>515</v>
      </c>
      <c r="R909" s="159"/>
    </row>
    <row r="910" spans="1:18" x14ac:dyDescent="0.3">
      <c r="A910" s="159"/>
      <c r="B910" s="159"/>
      <c r="C910" s="164" t="s">
        <v>483</v>
      </c>
      <c r="D910" s="164" t="s">
        <v>442</v>
      </c>
      <c r="E910" s="164" t="s">
        <v>462</v>
      </c>
      <c r="F910" s="159"/>
      <c r="G910" s="164" t="s">
        <v>481</v>
      </c>
      <c r="H910" s="164" t="s">
        <v>442</v>
      </c>
      <c r="I910" s="164" t="s">
        <v>462</v>
      </c>
      <c r="J910" s="159"/>
      <c r="K910" s="164" t="s">
        <v>480</v>
      </c>
      <c r="L910" s="164" t="s">
        <v>442</v>
      </c>
      <c r="M910" s="164" t="s">
        <v>462</v>
      </c>
      <c r="N910" s="159"/>
      <c r="O910" s="164" t="s">
        <v>480</v>
      </c>
      <c r="P910" s="164" t="s">
        <v>442</v>
      </c>
      <c r="Q910" s="164" t="s">
        <v>462</v>
      </c>
      <c r="R910" s="159"/>
    </row>
    <row r="911" spans="1:18" x14ac:dyDescent="0.3">
      <c r="A911" s="159"/>
      <c r="B911" s="159"/>
      <c r="C911" s="164" t="s">
        <v>442</v>
      </c>
      <c r="D911" s="164" t="s">
        <v>439</v>
      </c>
      <c r="E911" s="164" t="s">
        <v>463</v>
      </c>
      <c r="F911" s="159"/>
      <c r="G911" s="164" t="s">
        <v>486</v>
      </c>
      <c r="H911" s="164" t="s">
        <v>439</v>
      </c>
      <c r="I911" s="164" t="s">
        <v>463</v>
      </c>
      <c r="J911" s="159"/>
      <c r="K911" s="164" t="s">
        <v>442</v>
      </c>
      <c r="L911" s="164" t="s">
        <v>439</v>
      </c>
      <c r="M911" s="164" t="s">
        <v>463</v>
      </c>
      <c r="N911" s="159"/>
      <c r="O911" s="164" t="s">
        <v>442</v>
      </c>
      <c r="P911" s="164" t="s">
        <v>439</v>
      </c>
      <c r="Q911" s="164" t="s">
        <v>463</v>
      </c>
      <c r="R911" s="159"/>
    </row>
    <row r="912" spans="1:18" x14ac:dyDescent="0.3">
      <c r="A912" s="159"/>
      <c r="B912" s="159"/>
      <c r="C912" s="164" t="s">
        <v>448</v>
      </c>
      <c r="D912" s="164" t="s">
        <v>516</v>
      </c>
      <c r="E912" s="164" t="s">
        <v>464</v>
      </c>
      <c r="F912" s="159"/>
      <c r="G912" s="164" t="s">
        <v>448</v>
      </c>
      <c r="H912" s="164" t="s">
        <v>516</v>
      </c>
      <c r="I912" s="164" t="s">
        <v>464</v>
      </c>
      <c r="J912" s="159"/>
      <c r="K912" s="164" t="s">
        <v>448</v>
      </c>
      <c r="L912" s="164" t="s">
        <v>516</v>
      </c>
      <c r="M912" s="164" t="s">
        <v>464</v>
      </c>
      <c r="N912" s="159"/>
      <c r="O912" s="164" t="s">
        <v>448</v>
      </c>
      <c r="P912" s="164" t="s">
        <v>516</v>
      </c>
      <c r="Q912" s="164" t="s">
        <v>464</v>
      </c>
      <c r="R912" s="159"/>
    </row>
    <row r="913" spans="1:18" x14ac:dyDescent="0.3">
      <c r="A913" s="159"/>
      <c r="B913" s="159"/>
      <c r="C913" s="159" t="s">
        <v>409</v>
      </c>
      <c r="D913" s="159" t="s">
        <v>409</v>
      </c>
      <c r="E913" s="159" t="s">
        <v>409</v>
      </c>
      <c r="F913" s="159"/>
      <c r="G913" s="164" t="s">
        <v>409</v>
      </c>
      <c r="H913" s="164" t="s">
        <v>409</v>
      </c>
      <c r="I913" s="164" t="s">
        <v>409</v>
      </c>
      <c r="J913" s="159"/>
      <c r="K913" s="159" t="s">
        <v>409</v>
      </c>
      <c r="L913" s="159" t="s">
        <v>409</v>
      </c>
      <c r="M913" s="159" t="s">
        <v>409</v>
      </c>
      <c r="N913" s="159"/>
      <c r="O913" s="159" t="s">
        <v>409</v>
      </c>
      <c r="P913" s="159" t="s">
        <v>409</v>
      </c>
      <c r="Q913" s="159" t="s">
        <v>409</v>
      </c>
      <c r="R913" s="159"/>
    </row>
    <row r="914" spans="1:18" x14ac:dyDescent="0.3">
      <c r="A914" s="164" t="s">
        <v>410</v>
      </c>
      <c r="B914" s="159"/>
      <c r="C914" s="159">
        <f t="shared" ref="C914:C925" si="161">(K877)</f>
        <v>308672.50099999993</v>
      </c>
      <c r="D914" s="172">
        <v>18.03</v>
      </c>
      <c r="E914" s="168">
        <f t="shared" ref="E914:E925" si="162">(K877*D914/1000)</f>
        <v>5565.3651930299984</v>
      </c>
      <c r="F914" s="159"/>
      <c r="G914" s="159">
        <v>0</v>
      </c>
      <c r="H914" s="172">
        <v>29</v>
      </c>
      <c r="I914" s="168">
        <f t="shared" ref="I914:I925" si="163">(G914*H914/1000)</f>
        <v>0</v>
      </c>
      <c r="J914" s="159"/>
      <c r="K914" s="159">
        <v>4000</v>
      </c>
      <c r="L914" s="172">
        <v>11.11</v>
      </c>
      <c r="M914" s="168">
        <f t="shared" ref="M914:M925" si="164">(K914*L914/1000)</f>
        <v>44.44</v>
      </c>
      <c r="N914" s="159"/>
      <c r="O914" s="159">
        <v>0</v>
      </c>
      <c r="P914" s="172">
        <v>7.32</v>
      </c>
      <c r="Q914" s="168">
        <f t="shared" ref="Q914:Q925" si="165">(O914*P914/1000)</f>
        <v>0</v>
      </c>
      <c r="R914" s="159"/>
    </row>
    <row r="915" spans="1:18" x14ac:dyDescent="0.3">
      <c r="A915" s="164" t="s">
        <v>411</v>
      </c>
      <c r="B915" s="159"/>
      <c r="C915" s="159">
        <f t="shared" si="161"/>
        <v>269263.24159999995</v>
      </c>
      <c r="D915" s="172">
        <v>18.03</v>
      </c>
      <c r="E915" s="168">
        <f t="shared" si="162"/>
        <v>4854.8162460479998</v>
      </c>
      <c r="F915" s="159"/>
      <c r="G915" s="159">
        <f t="shared" ref="G915:G925" si="166">O878</f>
        <v>0</v>
      </c>
      <c r="H915" s="172">
        <v>29</v>
      </c>
      <c r="I915" s="168">
        <f t="shared" si="163"/>
        <v>0</v>
      </c>
      <c r="J915" s="159"/>
      <c r="K915" s="159">
        <v>4000</v>
      </c>
      <c r="L915" s="172">
        <v>11.11</v>
      </c>
      <c r="M915" s="168">
        <f t="shared" si="164"/>
        <v>44.44</v>
      </c>
      <c r="N915" s="159"/>
      <c r="O915" s="159">
        <v>0</v>
      </c>
      <c r="P915" s="172">
        <v>7.32</v>
      </c>
      <c r="Q915" s="168">
        <f t="shared" si="165"/>
        <v>0</v>
      </c>
      <c r="R915" s="159"/>
    </row>
    <row r="916" spans="1:18" x14ac:dyDescent="0.3">
      <c r="A916" s="164" t="s">
        <v>412</v>
      </c>
      <c r="B916" s="159"/>
      <c r="C916" s="159">
        <f t="shared" si="161"/>
        <v>299538.81031999993</v>
      </c>
      <c r="D916" s="172">
        <v>18.03</v>
      </c>
      <c r="E916" s="168">
        <f t="shared" si="162"/>
        <v>5400.6847500695985</v>
      </c>
      <c r="F916" s="159">
        <f>SUM(E914:E916)</f>
        <v>15820.866189147597</v>
      </c>
      <c r="G916" s="159">
        <f t="shared" si="166"/>
        <v>0</v>
      </c>
      <c r="H916" s="172">
        <v>29</v>
      </c>
      <c r="I916" s="168">
        <f t="shared" si="163"/>
        <v>0</v>
      </c>
      <c r="J916" s="159">
        <f>SUM(I914:I916)</f>
        <v>0</v>
      </c>
      <c r="K916" s="159">
        <v>4000</v>
      </c>
      <c r="L916" s="172">
        <v>11.11</v>
      </c>
      <c r="M916" s="168">
        <f t="shared" si="164"/>
        <v>44.44</v>
      </c>
      <c r="N916" s="159">
        <f>SUM(M914:M916)</f>
        <v>133.32</v>
      </c>
      <c r="O916" s="159">
        <v>0</v>
      </c>
      <c r="P916" s="172">
        <v>7.32</v>
      </c>
      <c r="Q916" s="168">
        <f t="shared" si="165"/>
        <v>0</v>
      </c>
      <c r="R916" s="159">
        <f>SUM(Q914:Q916)</f>
        <v>0</v>
      </c>
    </row>
    <row r="917" spans="1:18" x14ac:dyDescent="0.3">
      <c r="A917" s="164" t="s">
        <v>413</v>
      </c>
      <c r="B917" s="159"/>
      <c r="C917" s="159">
        <f t="shared" si="161"/>
        <v>290754.52919999999</v>
      </c>
      <c r="D917" s="172">
        <v>18.03</v>
      </c>
      <c r="E917" s="168">
        <f t="shared" si="162"/>
        <v>5242.3041614760004</v>
      </c>
      <c r="F917" s="159"/>
      <c r="G917" s="159">
        <f t="shared" si="166"/>
        <v>0</v>
      </c>
      <c r="H917" s="172">
        <v>29</v>
      </c>
      <c r="I917" s="168">
        <f t="shared" si="163"/>
        <v>0</v>
      </c>
      <c r="J917" s="159"/>
      <c r="K917" s="159">
        <v>9000</v>
      </c>
      <c r="L917" s="172">
        <v>11.11</v>
      </c>
      <c r="M917" s="168">
        <f t="shared" si="164"/>
        <v>99.99</v>
      </c>
      <c r="N917" s="159"/>
      <c r="O917" s="159">
        <v>0</v>
      </c>
      <c r="P917" s="172">
        <v>7.32</v>
      </c>
      <c r="Q917" s="168">
        <f t="shared" si="165"/>
        <v>0</v>
      </c>
      <c r="R917" s="159"/>
    </row>
    <row r="918" spans="1:18" x14ac:dyDescent="0.3">
      <c r="A918" s="164" t="s">
        <v>414</v>
      </c>
      <c r="B918" s="159"/>
      <c r="C918" s="159">
        <f t="shared" si="161"/>
        <v>272898.37688</v>
      </c>
      <c r="D918" s="172">
        <v>18.03</v>
      </c>
      <c r="E918" s="168">
        <f t="shared" si="162"/>
        <v>4920.357735146401</v>
      </c>
      <c r="F918" s="159"/>
      <c r="G918" s="159">
        <f t="shared" si="166"/>
        <v>0</v>
      </c>
      <c r="H918" s="172">
        <v>29</v>
      </c>
      <c r="I918" s="168">
        <f t="shared" si="163"/>
        <v>0</v>
      </c>
      <c r="J918" s="159"/>
      <c r="K918" s="159">
        <v>9000</v>
      </c>
      <c r="L918" s="172">
        <v>11.11</v>
      </c>
      <c r="M918" s="168">
        <f t="shared" si="164"/>
        <v>99.99</v>
      </c>
      <c r="N918" s="159"/>
      <c r="O918" s="159">
        <v>0</v>
      </c>
      <c r="P918" s="172">
        <v>7.32</v>
      </c>
      <c r="Q918" s="168">
        <f t="shared" si="165"/>
        <v>0</v>
      </c>
      <c r="R918" s="159"/>
    </row>
    <row r="919" spans="1:18" x14ac:dyDescent="0.3">
      <c r="A919" s="164" t="s">
        <v>415</v>
      </c>
      <c r="B919" s="159"/>
      <c r="C919" s="159">
        <f t="shared" si="161"/>
        <v>157697.39624000003</v>
      </c>
      <c r="D919" s="172">
        <v>18.03</v>
      </c>
      <c r="E919" s="168">
        <f t="shared" si="162"/>
        <v>2843.2840542072008</v>
      </c>
      <c r="F919" s="159">
        <f>SUM(E917:E919)</f>
        <v>13005.945950829602</v>
      </c>
      <c r="G919" s="159">
        <f t="shared" si="166"/>
        <v>0</v>
      </c>
      <c r="H919" s="172">
        <v>29</v>
      </c>
      <c r="I919" s="168">
        <f t="shared" si="163"/>
        <v>0</v>
      </c>
      <c r="J919" s="159">
        <f>SUM(I917:I919)</f>
        <v>0</v>
      </c>
      <c r="K919" s="159">
        <v>18000</v>
      </c>
      <c r="L919" s="172">
        <v>11.11</v>
      </c>
      <c r="M919" s="168">
        <f t="shared" si="164"/>
        <v>199.98</v>
      </c>
      <c r="N919" s="159">
        <f>SUM(M917:M919)</f>
        <v>399.96</v>
      </c>
      <c r="O919" s="159">
        <v>0</v>
      </c>
      <c r="P919" s="172">
        <v>7.32</v>
      </c>
      <c r="Q919" s="168">
        <f t="shared" si="165"/>
        <v>0</v>
      </c>
      <c r="R919" s="159">
        <f>SUM(Q917:Q919)</f>
        <v>0</v>
      </c>
    </row>
    <row r="920" spans="1:18" x14ac:dyDescent="0.3">
      <c r="A920" s="164" t="s">
        <v>416</v>
      </c>
      <c r="B920" s="159"/>
      <c r="C920" s="159">
        <f t="shared" si="161"/>
        <v>126569.09175999998</v>
      </c>
      <c r="D920" s="172">
        <v>18.03</v>
      </c>
      <c r="E920" s="168">
        <f t="shared" si="162"/>
        <v>2282.0407244327998</v>
      </c>
      <c r="F920" s="159"/>
      <c r="G920" s="159">
        <f t="shared" si="166"/>
        <v>0</v>
      </c>
      <c r="H920" s="172">
        <v>29</v>
      </c>
      <c r="I920" s="168">
        <f t="shared" si="163"/>
        <v>0</v>
      </c>
      <c r="J920" s="159"/>
      <c r="K920" s="159">
        <v>21000</v>
      </c>
      <c r="L920" s="172">
        <v>11.11</v>
      </c>
      <c r="M920" s="168">
        <f t="shared" si="164"/>
        <v>233.31</v>
      </c>
      <c r="N920" s="159"/>
      <c r="O920" s="159">
        <v>0</v>
      </c>
      <c r="P920" s="172">
        <v>7.32</v>
      </c>
      <c r="Q920" s="168">
        <f t="shared" si="165"/>
        <v>0</v>
      </c>
      <c r="R920" s="159"/>
    </row>
    <row r="921" spans="1:18" x14ac:dyDescent="0.3">
      <c r="A921" s="164" t="s">
        <v>417</v>
      </c>
      <c r="B921" s="159"/>
      <c r="C921" s="159">
        <f t="shared" si="161"/>
        <v>106541.57539999994</v>
      </c>
      <c r="D921" s="172">
        <v>18.03</v>
      </c>
      <c r="E921" s="168">
        <f t="shared" si="162"/>
        <v>1920.9446044619992</v>
      </c>
      <c r="F921" s="159"/>
      <c r="G921" s="159">
        <f t="shared" si="166"/>
        <v>0</v>
      </c>
      <c r="H921" s="172">
        <v>29</v>
      </c>
      <c r="I921" s="168">
        <f t="shared" si="163"/>
        <v>0</v>
      </c>
      <c r="J921" s="159"/>
      <c r="K921" s="159">
        <v>35000</v>
      </c>
      <c r="L921" s="172">
        <v>11.11</v>
      </c>
      <c r="M921" s="168">
        <f t="shared" si="164"/>
        <v>388.85</v>
      </c>
      <c r="N921" s="159"/>
      <c r="O921" s="159">
        <v>0</v>
      </c>
      <c r="P921" s="172">
        <v>7.32</v>
      </c>
      <c r="Q921" s="168">
        <f t="shared" si="165"/>
        <v>0</v>
      </c>
      <c r="R921" s="159"/>
    </row>
    <row r="922" spans="1:18" x14ac:dyDescent="0.3">
      <c r="A922" s="164" t="s">
        <v>418</v>
      </c>
      <c r="B922" s="159"/>
      <c r="C922" s="159">
        <f t="shared" si="161"/>
        <v>231018.61735999997</v>
      </c>
      <c r="D922" s="172">
        <v>18.03</v>
      </c>
      <c r="E922" s="168">
        <f t="shared" si="162"/>
        <v>4165.2656710007996</v>
      </c>
      <c r="F922" s="159">
        <f>SUM(E920:E922)</f>
        <v>8368.2509998955975</v>
      </c>
      <c r="G922" s="159">
        <f t="shared" si="166"/>
        <v>0</v>
      </c>
      <c r="H922" s="172">
        <v>29</v>
      </c>
      <c r="I922" s="168">
        <f t="shared" si="163"/>
        <v>0</v>
      </c>
      <c r="J922" s="159">
        <f>SUM(I920:I922)</f>
        <v>0</v>
      </c>
      <c r="K922" s="159">
        <v>30917</v>
      </c>
      <c r="L922" s="172">
        <v>11.11</v>
      </c>
      <c r="M922" s="168">
        <f t="shared" si="164"/>
        <v>343.48786999999999</v>
      </c>
      <c r="N922" s="159">
        <f>SUM(M920:M922)</f>
        <v>965.64787000000001</v>
      </c>
      <c r="O922" s="159">
        <v>0</v>
      </c>
      <c r="P922" s="172">
        <v>7.32</v>
      </c>
      <c r="Q922" s="168">
        <f t="shared" si="165"/>
        <v>0</v>
      </c>
      <c r="R922" s="159">
        <f>SUM(Q920:Q922)</f>
        <v>0</v>
      </c>
    </row>
    <row r="923" spans="1:18" x14ac:dyDescent="0.3">
      <c r="A923" s="164" t="s">
        <v>419</v>
      </c>
      <c r="B923" s="159"/>
      <c r="C923" s="159">
        <f t="shared" si="161"/>
        <v>111386</v>
      </c>
      <c r="D923" s="172">
        <v>18.03</v>
      </c>
      <c r="E923" s="168">
        <f t="shared" si="162"/>
        <v>2008.2895800000001</v>
      </c>
      <c r="F923" s="159"/>
      <c r="G923" s="159">
        <f t="shared" si="166"/>
        <v>123669.26327999996</v>
      </c>
      <c r="H923" s="172">
        <v>29</v>
      </c>
      <c r="I923" s="168">
        <f t="shared" si="163"/>
        <v>3586.408635119999</v>
      </c>
      <c r="J923" s="159"/>
      <c r="K923" s="159">
        <v>4000</v>
      </c>
      <c r="L923" s="172">
        <v>11.11</v>
      </c>
      <c r="M923" s="168">
        <f t="shared" si="164"/>
        <v>44.44</v>
      </c>
      <c r="N923" s="159"/>
      <c r="O923" s="159">
        <v>0</v>
      </c>
      <c r="P923" s="172">
        <v>7.32</v>
      </c>
      <c r="Q923" s="168">
        <f t="shared" si="165"/>
        <v>0</v>
      </c>
      <c r="R923" s="159"/>
    </row>
    <row r="924" spans="1:18" x14ac:dyDescent="0.3">
      <c r="A924" s="164" t="s">
        <v>420</v>
      </c>
      <c r="B924" s="159"/>
      <c r="C924" s="159">
        <f t="shared" si="161"/>
        <v>-4000</v>
      </c>
      <c r="D924" s="172">
        <v>18.03</v>
      </c>
      <c r="E924" s="168">
        <f t="shared" si="162"/>
        <v>-72.12</v>
      </c>
      <c r="F924" s="159"/>
      <c r="G924" s="159">
        <f t="shared" si="166"/>
        <v>234056.84075999999</v>
      </c>
      <c r="H924" s="172">
        <v>29</v>
      </c>
      <c r="I924" s="168">
        <f t="shared" si="163"/>
        <v>6787.6483820399999</v>
      </c>
      <c r="J924" s="159"/>
      <c r="K924" s="159">
        <v>4000</v>
      </c>
      <c r="L924" s="172">
        <v>11.11</v>
      </c>
      <c r="M924" s="168">
        <f t="shared" si="164"/>
        <v>44.44</v>
      </c>
      <c r="N924" s="159"/>
      <c r="O924" s="159">
        <v>0</v>
      </c>
      <c r="P924" s="172">
        <v>7.32</v>
      </c>
      <c r="Q924" s="168">
        <f t="shared" si="165"/>
        <v>0</v>
      </c>
      <c r="R924" s="159"/>
    </row>
    <row r="925" spans="1:18" x14ac:dyDescent="0.3">
      <c r="A925" s="164" t="s">
        <v>421</v>
      </c>
      <c r="B925" s="159"/>
      <c r="C925" s="159">
        <f t="shared" si="161"/>
        <v>-4000</v>
      </c>
      <c r="D925" s="172">
        <v>18.03</v>
      </c>
      <c r="E925" s="168">
        <f t="shared" si="162"/>
        <v>-72.12</v>
      </c>
      <c r="F925" s="159">
        <f>SUM(E923:E925)</f>
        <v>1864.0495800000003</v>
      </c>
      <c r="G925" s="159">
        <f t="shared" si="166"/>
        <v>268434.47951999994</v>
      </c>
      <c r="H925" s="172">
        <v>29</v>
      </c>
      <c r="I925" s="168">
        <f t="shared" si="163"/>
        <v>7784.5999060799986</v>
      </c>
      <c r="J925" s="159">
        <f>SUM(I923:I925)</f>
        <v>18158.65692324</v>
      </c>
      <c r="K925" s="159">
        <v>4000</v>
      </c>
      <c r="L925" s="172">
        <v>11.11</v>
      </c>
      <c r="M925" s="168">
        <f t="shared" si="164"/>
        <v>44.44</v>
      </c>
      <c r="N925" s="159">
        <f>SUM(M923:M925)</f>
        <v>133.32</v>
      </c>
      <c r="O925" s="159">
        <v>0</v>
      </c>
      <c r="P925" s="172">
        <v>7.32</v>
      </c>
      <c r="Q925" s="168">
        <f t="shared" si="165"/>
        <v>0</v>
      </c>
      <c r="R925" s="159">
        <f>SUM(Q923:Q925)</f>
        <v>0</v>
      </c>
    </row>
    <row r="926" spans="1:18" x14ac:dyDescent="0.3">
      <c r="A926" s="159"/>
      <c r="B926" s="159"/>
      <c r="C926" s="159"/>
      <c r="D926" s="159"/>
      <c r="E926" s="159"/>
      <c r="F926" s="159"/>
      <c r="G926" s="159"/>
      <c r="H926" s="159"/>
      <c r="I926" s="159"/>
      <c r="J926" s="159"/>
      <c r="K926" s="159"/>
      <c r="L926" s="159"/>
      <c r="M926" s="159"/>
      <c r="N926" s="159"/>
      <c r="O926" s="159"/>
      <c r="P926" s="159"/>
      <c r="Q926" s="159"/>
      <c r="R926" s="159"/>
    </row>
    <row r="927" spans="1:18" x14ac:dyDescent="0.3">
      <c r="A927" s="159"/>
      <c r="B927" s="159"/>
      <c r="C927" s="159"/>
      <c r="D927" s="159"/>
      <c r="E927" s="159"/>
      <c r="F927" s="159"/>
      <c r="G927" s="159"/>
      <c r="H927" s="159"/>
      <c r="I927" s="159"/>
      <c r="J927" s="159"/>
      <c r="K927" s="159"/>
      <c r="L927" s="159"/>
      <c r="M927" s="159"/>
      <c r="N927" s="159"/>
      <c r="O927" s="159"/>
      <c r="P927" s="159"/>
      <c r="Q927" s="159"/>
      <c r="R927" s="159"/>
    </row>
    <row r="928" spans="1:18" x14ac:dyDescent="0.3">
      <c r="A928" s="159" t="s">
        <v>422</v>
      </c>
      <c r="B928" s="159"/>
      <c r="C928" s="159">
        <f>SUM(C914:C925)</f>
        <v>2166340.1397599997</v>
      </c>
      <c r="D928" s="159"/>
      <c r="E928" s="168">
        <f>SUM(E914:E925)</f>
        <v>39059.112719872792</v>
      </c>
      <c r="F928" s="159"/>
      <c r="G928" s="159">
        <f>SUM(G914:G925)</f>
        <v>626160.58355999994</v>
      </c>
      <c r="H928" s="159" t="s">
        <v>424</v>
      </c>
      <c r="I928" s="168">
        <f>SUM(I914:I925)</f>
        <v>18158.65692324</v>
      </c>
      <c r="J928" s="159"/>
      <c r="K928" s="159">
        <f>SUM(K914:K925)</f>
        <v>146917</v>
      </c>
      <c r="L928" s="159" t="s">
        <v>424</v>
      </c>
      <c r="M928" s="168">
        <f>SUM(M914:M925)</f>
        <v>1632.2478700000001</v>
      </c>
      <c r="N928" s="159"/>
      <c r="O928" s="159">
        <f>(SUM(O914:O925))</f>
        <v>0</v>
      </c>
      <c r="P928" s="159" t="s">
        <v>424</v>
      </c>
      <c r="Q928" s="168">
        <f>SUM(Q914:Q925)</f>
        <v>0</v>
      </c>
      <c r="R928" s="159"/>
    </row>
  </sheetData>
  <mergeCells count="18">
    <mergeCell ref="J893:M893"/>
    <mergeCell ref="A9:R9"/>
    <mergeCell ref="A668:R668"/>
    <mergeCell ref="A669:R669"/>
    <mergeCell ref="A670:R670"/>
    <mergeCell ref="A671:R671"/>
    <mergeCell ref="A673:R673"/>
    <mergeCell ref="A709:R709"/>
    <mergeCell ref="A710:R710"/>
    <mergeCell ref="A711:R711"/>
    <mergeCell ref="A712:R712"/>
    <mergeCell ref="A714:R714"/>
    <mergeCell ref="A8:R8"/>
    <mergeCell ref="A2:R2"/>
    <mergeCell ref="A3:R3"/>
    <mergeCell ref="A4:R4"/>
    <mergeCell ref="A5:R5"/>
    <mergeCell ref="A7:R7"/>
  </mergeCells>
  <printOptions horizontalCentered="1" verticalCentered="1"/>
  <pageMargins left="0.25" right="0.25" top="0.25" bottom="0.25" header="0.25" footer="0.25"/>
  <pageSetup paperSize="17" scale="90" orientation="landscape" r:id="rId1"/>
  <headerFooter alignWithMargins="0"/>
  <rowBreaks count="5" manualBreakCount="5">
    <brk id="665" max="17" man="1"/>
    <brk id="706" max="17" man="1"/>
    <brk id="753" max="16383" man="1"/>
    <brk id="777" max="16383" man="1"/>
    <brk id="831"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83C63-9477-4AA8-B911-1B02B3A5F8C6}">
  <sheetPr codeName="Sheet113"/>
  <dimension ref="A1:U945"/>
  <sheetViews>
    <sheetView topLeftCell="A838" zoomScale="70" zoomScaleNormal="70" workbookViewId="0">
      <selection activeCell="H868" sqref="H868"/>
    </sheetView>
  </sheetViews>
  <sheetFormatPr defaultColWidth="8.77734375" defaultRowHeight="15.6" x14ac:dyDescent="0.3"/>
  <cols>
    <col min="1" max="1" width="40.77734375" style="4" customWidth="1"/>
    <col min="2" max="2" width="11.44140625" style="4" customWidth="1"/>
    <col min="3" max="8" width="8.77734375" style="4"/>
    <col min="9" max="9" width="13.6640625" style="4" customWidth="1"/>
    <col min="10" max="12" width="8.77734375" style="4"/>
    <col min="13" max="13" width="11.88671875" style="4" customWidth="1"/>
    <col min="14" max="16" width="8.77734375" style="4"/>
    <col min="17" max="17" width="11.88671875" style="4" customWidth="1"/>
    <col min="18" max="18" width="12.33203125" style="4" customWidth="1"/>
    <col min="19" max="19" width="8.77734375" style="4"/>
    <col min="20" max="20" width="12.33203125" style="4" customWidth="1"/>
    <col min="21" max="16384" width="8.77734375" style="4"/>
  </cols>
  <sheetData>
    <row r="1" spans="1:18" x14ac:dyDescent="0.3">
      <c r="A1" s="1"/>
      <c r="B1" s="1"/>
      <c r="C1" s="1"/>
      <c r="D1" s="1"/>
      <c r="E1" s="1"/>
      <c r="F1" s="1"/>
      <c r="G1" s="1"/>
      <c r="H1" s="1"/>
      <c r="I1" s="1"/>
      <c r="J1" s="1"/>
      <c r="K1" s="1"/>
      <c r="L1" s="1"/>
      <c r="M1" s="1"/>
      <c r="N1" s="1"/>
      <c r="O1" s="1"/>
      <c r="P1" s="1"/>
      <c r="Q1" s="2" t="s">
        <v>0</v>
      </c>
      <c r="R1" s="3">
        <f ca="1">NOW()</f>
        <v>44909.46975358796</v>
      </c>
    </row>
    <row r="2" spans="1:18" ht="19.8" x14ac:dyDescent="0.35">
      <c r="A2" s="500" t="s">
        <v>1</v>
      </c>
      <c r="B2" s="500"/>
      <c r="C2" s="500"/>
      <c r="D2" s="500"/>
      <c r="E2" s="500"/>
      <c r="F2" s="500"/>
      <c r="G2" s="500"/>
      <c r="H2" s="500"/>
      <c r="I2" s="500"/>
      <c r="J2" s="500"/>
      <c r="K2" s="500"/>
      <c r="L2" s="500"/>
      <c r="M2" s="500"/>
      <c r="N2" s="500"/>
      <c r="O2" s="500"/>
      <c r="P2" s="500"/>
      <c r="Q2" s="500"/>
      <c r="R2" s="500"/>
    </row>
    <row r="3" spans="1:18" ht="19.8" x14ac:dyDescent="0.35">
      <c r="A3" s="500" t="s">
        <v>2</v>
      </c>
      <c r="B3" s="500"/>
      <c r="C3" s="500"/>
      <c r="D3" s="500"/>
      <c r="E3" s="500"/>
      <c r="F3" s="500"/>
      <c r="G3" s="500"/>
      <c r="H3" s="500"/>
      <c r="I3" s="500"/>
      <c r="J3" s="500"/>
      <c r="K3" s="500"/>
      <c r="L3" s="500"/>
      <c r="M3" s="500"/>
      <c r="N3" s="500"/>
      <c r="O3" s="500"/>
      <c r="P3" s="500"/>
      <c r="Q3" s="500"/>
      <c r="R3" s="500"/>
    </row>
    <row r="4" spans="1:18" ht="18" x14ac:dyDescent="0.35">
      <c r="A4" s="501" t="s">
        <v>3</v>
      </c>
      <c r="B4" s="501"/>
      <c r="C4" s="501"/>
      <c r="D4" s="501"/>
      <c r="E4" s="501"/>
      <c r="F4" s="501"/>
      <c r="G4" s="501"/>
      <c r="H4" s="501"/>
      <c r="I4" s="501"/>
      <c r="J4" s="501"/>
      <c r="K4" s="501"/>
      <c r="L4" s="501"/>
      <c r="M4" s="501"/>
      <c r="N4" s="501"/>
      <c r="O4" s="501"/>
      <c r="P4" s="501"/>
      <c r="Q4" s="501"/>
      <c r="R4" s="501"/>
    </row>
    <row r="5" spans="1:18" ht="18" x14ac:dyDescent="0.35">
      <c r="A5" s="501" t="s">
        <v>4</v>
      </c>
      <c r="B5" s="501"/>
      <c r="C5" s="501"/>
      <c r="D5" s="501"/>
      <c r="E5" s="501"/>
      <c r="F5" s="501"/>
      <c r="G5" s="501"/>
      <c r="H5" s="501"/>
      <c r="I5" s="501"/>
      <c r="J5" s="501"/>
      <c r="K5" s="501"/>
      <c r="L5" s="501"/>
      <c r="M5" s="501"/>
      <c r="N5" s="501"/>
      <c r="O5" s="501"/>
      <c r="P5" s="501"/>
      <c r="Q5" s="501"/>
      <c r="R5" s="501"/>
    </row>
    <row r="6" spans="1:18" x14ac:dyDescent="0.3">
      <c r="A6" s="1"/>
      <c r="B6" s="1"/>
      <c r="C6" s="1"/>
      <c r="D6" s="5"/>
      <c r="E6" s="5"/>
      <c r="F6" s="5"/>
      <c r="G6" s="6"/>
      <c r="H6" s="5"/>
      <c r="I6" s="5"/>
      <c r="J6" s="6"/>
      <c r="K6" s="6"/>
      <c r="L6" s="6"/>
      <c r="M6" s="6"/>
      <c r="N6" s="1"/>
      <c r="O6" s="6"/>
      <c r="P6" s="6"/>
      <c r="Q6" s="6"/>
      <c r="R6" s="6"/>
    </row>
    <row r="7" spans="1:18" x14ac:dyDescent="0.3">
      <c r="A7" s="566" t="s">
        <v>5</v>
      </c>
      <c r="B7" s="566"/>
      <c r="C7" s="566"/>
      <c r="D7" s="566"/>
      <c r="E7" s="566"/>
      <c r="F7" s="566"/>
      <c r="G7" s="566"/>
      <c r="H7" s="566"/>
      <c r="I7" s="566"/>
      <c r="J7" s="566"/>
      <c r="K7" s="566"/>
      <c r="L7" s="566"/>
      <c r="M7" s="566"/>
      <c r="N7" s="566"/>
      <c r="O7" s="566"/>
      <c r="P7" s="566"/>
      <c r="Q7" s="566"/>
      <c r="R7" s="566"/>
    </row>
    <row r="8" spans="1:18" x14ac:dyDescent="0.3">
      <c r="A8" s="499" t="s">
        <v>6</v>
      </c>
      <c r="B8" s="499"/>
      <c r="C8" s="499"/>
      <c r="D8" s="499"/>
      <c r="E8" s="499"/>
      <c r="F8" s="499"/>
      <c r="G8" s="499"/>
      <c r="H8" s="499"/>
      <c r="I8" s="499"/>
      <c r="J8" s="499"/>
      <c r="K8" s="499"/>
      <c r="L8" s="499"/>
      <c r="M8" s="499"/>
      <c r="N8" s="499"/>
      <c r="O8" s="499"/>
      <c r="P8" s="499"/>
      <c r="Q8" s="499"/>
      <c r="R8" s="499"/>
    </row>
    <row r="9" spans="1:18" x14ac:dyDescent="0.3">
      <c r="A9" s="5"/>
      <c r="B9" s="6"/>
      <c r="C9" s="6"/>
      <c r="D9" s="6"/>
      <c r="E9" s="6"/>
      <c r="F9" s="6"/>
      <c r="G9" s="6"/>
      <c r="H9" s="6"/>
      <c r="I9" s="6"/>
      <c r="J9" s="6"/>
      <c r="K9" s="6"/>
      <c r="L9" s="6"/>
      <c r="M9" s="6"/>
      <c r="N9" s="6"/>
      <c r="O9" s="6"/>
      <c r="P9" s="6"/>
      <c r="Q9" s="6"/>
      <c r="R9" s="6"/>
    </row>
    <row r="10" spans="1:18" x14ac:dyDescent="0.3">
      <c r="A10" s="1"/>
      <c r="B10" s="1"/>
      <c r="C10" s="1"/>
      <c r="D10" s="1"/>
      <c r="E10" s="1"/>
      <c r="F10" s="1"/>
      <c r="G10" s="1"/>
      <c r="H10" s="1"/>
      <c r="I10" s="1"/>
      <c r="J10" s="1"/>
      <c r="K10" s="1"/>
      <c r="L10" s="1"/>
      <c r="M10" s="1"/>
      <c r="N10" s="1"/>
      <c r="O10" s="1"/>
      <c r="P10" s="1"/>
      <c r="Q10" s="1"/>
      <c r="R10" s="1"/>
    </row>
    <row r="11" spans="1:18" ht="16.2" thickBot="1" x14ac:dyDescent="0.35">
      <c r="A11" s="1"/>
      <c r="B11" s="1"/>
      <c r="C11" s="1"/>
      <c r="D11" s="1"/>
      <c r="E11" s="1"/>
      <c r="F11" s="1"/>
      <c r="G11" s="1"/>
      <c r="H11" s="1"/>
      <c r="I11" s="1"/>
      <c r="J11" s="1"/>
      <c r="K11" s="1"/>
      <c r="L11" s="1"/>
      <c r="M11" s="1"/>
      <c r="N11" s="1"/>
      <c r="O11" s="1"/>
      <c r="P11" s="1"/>
      <c r="Q11" s="1"/>
      <c r="R11" s="1"/>
    </row>
    <row r="12" spans="1:18" ht="15.75" customHeight="1" thickBot="1" x14ac:dyDescent="0.4">
      <c r="A12" s="7" t="s">
        <v>7</v>
      </c>
      <c r="B12" s="8" t="s">
        <v>8</v>
      </c>
      <c r="C12" s="9" t="s">
        <v>9</v>
      </c>
      <c r="D12" s="9" t="s">
        <v>10</v>
      </c>
      <c r="E12" s="10" t="s">
        <v>11</v>
      </c>
      <c r="F12" s="9" t="s">
        <v>12</v>
      </c>
      <c r="G12" s="9" t="s">
        <v>13</v>
      </c>
      <c r="H12" s="9" t="s">
        <v>14</v>
      </c>
      <c r="I12" s="10" t="s">
        <v>15</v>
      </c>
      <c r="J12" s="9" t="s">
        <v>16</v>
      </c>
      <c r="K12" s="9" t="s">
        <v>17</v>
      </c>
      <c r="L12" s="9" t="s">
        <v>18</v>
      </c>
      <c r="M12" s="10" t="s">
        <v>19</v>
      </c>
      <c r="N12" s="9" t="s">
        <v>20</v>
      </c>
      <c r="O12" s="9" t="s">
        <v>21</v>
      </c>
      <c r="P12" s="9" t="s">
        <v>22</v>
      </c>
      <c r="Q12" s="10" t="s">
        <v>23</v>
      </c>
      <c r="R12" s="11" t="s">
        <v>24</v>
      </c>
    </row>
    <row r="13" spans="1:18" ht="15.75" customHeight="1" thickBot="1" x14ac:dyDescent="0.4">
      <c r="A13" s="12"/>
      <c r="B13" s="13"/>
      <c r="C13" s="13"/>
      <c r="D13" s="13"/>
      <c r="E13" s="14"/>
      <c r="F13" s="13"/>
      <c r="G13" s="13"/>
      <c r="H13" s="13"/>
      <c r="I13" s="14"/>
      <c r="J13" s="13"/>
      <c r="K13" s="13"/>
      <c r="L13" s="13"/>
      <c r="M13" s="14"/>
      <c r="N13" s="13"/>
      <c r="O13" s="13"/>
      <c r="P13" s="13"/>
      <c r="Q13" s="14"/>
      <c r="R13" s="14"/>
    </row>
    <row r="14" spans="1:18" ht="15.75" customHeight="1" x14ac:dyDescent="0.3">
      <c r="A14" s="15" t="s">
        <v>25</v>
      </c>
      <c r="B14" s="1">
        <f>+B745</f>
        <v>64252</v>
      </c>
      <c r="C14" s="1">
        <f>+C745</f>
        <v>66697</v>
      </c>
      <c r="D14" s="1">
        <f>+D745</f>
        <v>139065</v>
      </c>
      <c r="E14" s="16">
        <f t="shared" ref="E14:E23" si="0">SUM(B14:D14)</f>
        <v>270014</v>
      </c>
      <c r="F14" s="1">
        <f>+F745</f>
        <v>171027</v>
      </c>
      <c r="G14" s="1">
        <f>+G745</f>
        <v>154487</v>
      </c>
      <c r="H14" s="1">
        <f>+H745</f>
        <v>181099</v>
      </c>
      <c r="I14" s="16">
        <f t="shared" ref="I14:I23" si="1">SUM(F14:H14)</f>
        <v>506613</v>
      </c>
      <c r="J14" s="1">
        <f>+J745</f>
        <v>167843</v>
      </c>
      <c r="K14" s="1">
        <f>+K745</f>
        <v>192047</v>
      </c>
      <c r="L14" s="1">
        <f>+L745</f>
        <v>142420</v>
      </c>
      <c r="M14" s="16">
        <f t="shared" ref="M14:M23" si="2">SUM(J14:L14)</f>
        <v>502310</v>
      </c>
      <c r="N14" s="1">
        <f>+N745</f>
        <v>103812</v>
      </c>
      <c r="O14" s="1">
        <f>+O745</f>
        <v>71171</v>
      </c>
      <c r="P14" s="1">
        <f>+P745</f>
        <v>66662</v>
      </c>
      <c r="Q14" s="17">
        <f t="shared" ref="Q14:Q23" si="3">SUM(N14:P14)</f>
        <v>241645</v>
      </c>
      <c r="R14" s="16">
        <f t="shared" ref="R14:R23" si="4">+E14+I14+M14+Q14</f>
        <v>1520582</v>
      </c>
    </row>
    <row r="15" spans="1:18" ht="15.6" customHeight="1" x14ac:dyDescent="0.3">
      <c r="A15" s="15" t="s">
        <v>26</v>
      </c>
      <c r="B15" s="1">
        <f>+B716+B719</f>
        <v>7874</v>
      </c>
      <c r="C15" s="1">
        <f>+C716+C719</f>
        <v>9073</v>
      </c>
      <c r="D15" s="1">
        <f>+D716+D719</f>
        <v>12364</v>
      </c>
      <c r="E15" s="16">
        <f t="shared" si="0"/>
        <v>29311</v>
      </c>
      <c r="F15" s="1">
        <f>+F716+F719</f>
        <v>8611</v>
      </c>
      <c r="G15" s="1">
        <f>+G716+G719</f>
        <v>8457</v>
      </c>
      <c r="H15" s="1">
        <f>+H716+H719</f>
        <v>10744</v>
      </c>
      <c r="I15" s="16">
        <f t="shared" si="1"/>
        <v>27812</v>
      </c>
      <c r="J15" s="1">
        <f>+J716+J719</f>
        <v>11770</v>
      </c>
      <c r="K15" s="1">
        <f>+K716+K719</f>
        <v>50702</v>
      </c>
      <c r="L15" s="1">
        <f>+L716+L719</f>
        <v>34758</v>
      </c>
      <c r="M15" s="16">
        <f t="shared" si="2"/>
        <v>97230</v>
      </c>
      <c r="N15" s="1">
        <f>+N716+N719</f>
        <v>19009</v>
      </c>
      <c r="O15" s="1">
        <f>+O716+O719</f>
        <v>16442</v>
      </c>
      <c r="P15" s="1">
        <f>+P716+P719</f>
        <v>27186</v>
      </c>
      <c r="Q15" s="17">
        <f t="shared" si="3"/>
        <v>62637</v>
      </c>
      <c r="R15" s="16">
        <f t="shared" si="4"/>
        <v>216990</v>
      </c>
    </row>
    <row r="16" spans="1:18" ht="15.75" customHeight="1" x14ac:dyDescent="0.3">
      <c r="A16" s="15" t="s">
        <v>27</v>
      </c>
      <c r="B16" s="1">
        <f>B28+B63+B129+B252+B373+B418+B459+B507+B517+B552+B591+B601+B635+B677</f>
        <v>739</v>
      </c>
      <c r="C16" s="1">
        <f>C28+C63+C129+C252+C373+C418+C459+C507+C517+C552+C591+C601+C635+C677</f>
        <v>1283</v>
      </c>
      <c r="D16" s="1">
        <f>D28+D63+D129+D252+D373+D418+D459+D507+D517+D552+D591+D601+D635+D677</f>
        <v>2185</v>
      </c>
      <c r="E16" s="16">
        <f t="shared" si="0"/>
        <v>4207</v>
      </c>
      <c r="F16" s="1">
        <f>F28+F63+F129+F252+F373+F418+F459+F507+F517+F552+F591+F601+F635+F677</f>
        <v>2959</v>
      </c>
      <c r="G16" s="1">
        <f>G28+G63+G129+G252+G373+G418+G459+G507+G517+G552+G591+G601+G635+G677</f>
        <v>3425</v>
      </c>
      <c r="H16" s="1">
        <f>H28+H63+H129+H252+H373+H418+H459+H507+H517+H552+H591+H601+H635+H677</f>
        <v>3464</v>
      </c>
      <c r="I16" s="16">
        <f t="shared" si="1"/>
        <v>9848</v>
      </c>
      <c r="J16" s="1">
        <f>J28+J63+J129+J252+J373+J418+J459+J507+J517+J552+J591+J601+J635+J677</f>
        <v>3382</v>
      </c>
      <c r="K16" s="1">
        <f>K28+K63+K129+K252+K373+K418+K459+K507+K517+K552+K591+K601+K635+K677</f>
        <v>2663</v>
      </c>
      <c r="L16" s="1">
        <f>L28+L63+L129+L252+L373+L418+L459+L507+L517+L552+L591+L601+L635+L677</f>
        <v>2559</v>
      </c>
      <c r="M16" s="16">
        <f t="shared" si="2"/>
        <v>8604</v>
      </c>
      <c r="N16" s="1">
        <f>N28+N63+N129+N252+N373+N418+N459+N507+N517+N552+N591+N601+N635+N677</f>
        <v>2343</v>
      </c>
      <c r="O16" s="1">
        <f>O28+O63+O129+O252+O373+O418+O459+O507+O517+O552+O591+O601+O635+O677</f>
        <v>1892</v>
      </c>
      <c r="P16" s="1">
        <f>P28+P63+P129+P252+P373+P418+P459+P507+P517+P552+P591+P601+P635+P677</f>
        <v>1423</v>
      </c>
      <c r="Q16" s="17">
        <f t="shared" si="3"/>
        <v>5658</v>
      </c>
      <c r="R16" s="16">
        <f t="shared" si="4"/>
        <v>28317</v>
      </c>
    </row>
    <row r="17" spans="1:21" ht="15.75" customHeight="1" x14ac:dyDescent="0.3">
      <c r="A17" s="15" t="s">
        <v>28</v>
      </c>
      <c r="B17" s="1">
        <f>B247</f>
        <v>0</v>
      </c>
      <c r="C17" s="1">
        <f>C247</f>
        <v>1067</v>
      </c>
      <c r="D17" s="1">
        <f>D247</f>
        <v>3472</v>
      </c>
      <c r="E17" s="16">
        <f t="shared" si="0"/>
        <v>4539</v>
      </c>
      <c r="F17" s="1">
        <f>F247</f>
        <v>3894</v>
      </c>
      <c r="G17" s="1">
        <f>G247</f>
        <v>4164</v>
      </c>
      <c r="H17" s="1">
        <f>H247</f>
        <v>3434</v>
      </c>
      <c r="I17" s="16">
        <f t="shared" si="1"/>
        <v>11492</v>
      </c>
      <c r="J17" s="1">
        <f>J247</f>
        <v>2383</v>
      </c>
      <c r="K17" s="1">
        <f>K247</f>
        <v>3252</v>
      </c>
      <c r="L17" s="1">
        <f>L247</f>
        <v>3642</v>
      </c>
      <c r="M17" s="16">
        <f t="shared" si="2"/>
        <v>9277</v>
      </c>
      <c r="N17" s="1">
        <f>N247</f>
        <v>4947</v>
      </c>
      <c r="O17" s="1">
        <f>O247</f>
        <v>4047</v>
      </c>
      <c r="P17" s="1">
        <f>P247</f>
        <v>511</v>
      </c>
      <c r="Q17" s="17">
        <f t="shared" si="3"/>
        <v>9505</v>
      </c>
      <c r="R17" s="16">
        <f t="shared" si="4"/>
        <v>34813</v>
      </c>
    </row>
    <row r="18" spans="1:21" ht="15.75" customHeight="1" x14ac:dyDescent="0.3">
      <c r="A18" s="18" t="s">
        <v>29</v>
      </c>
      <c r="B18" s="1">
        <f t="shared" ref="B18:D19" si="5">+B248</f>
        <v>0</v>
      </c>
      <c r="C18" s="1">
        <f t="shared" si="5"/>
        <v>0</v>
      </c>
      <c r="D18" s="1">
        <f t="shared" si="5"/>
        <v>0</v>
      </c>
      <c r="E18" s="16">
        <f t="shared" si="0"/>
        <v>0</v>
      </c>
      <c r="F18" s="1">
        <f t="shared" ref="F18:H19" si="6">+F248</f>
        <v>0</v>
      </c>
      <c r="G18" s="1">
        <f t="shared" si="6"/>
        <v>0</v>
      </c>
      <c r="H18" s="1">
        <f t="shared" si="6"/>
        <v>0</v>
      </c>
      <c r="I18" s="16">
        <f t="shared" si="1"/>
        <v>0</v>
      </c>
      <c r="J18" s="1">
        <f t="shared" ref="J18:L19" si="7">+J248</f>
        <v>0</v>
      </c>
      <c r="K18" s="1">
        <f t="shared" si="7"/>
        <v>0</v>
      </c>
      <c r="L18" s="1">
        <f t="shared" si="7"/>
        <v>0</v>
      </c>
      <c r="M18" s="16">
        <f t="shared" si="2"/>
        <v>0</v>
      </c>
      <c r="N18" s="1">
        <f t="shared" ref="N18:P19" si="8">+N248</f>
        <v>0</v>
      </c>
      <c r="O18" s="1">
        <f t="shared" si="8"/>
        <v>0</v>
      </c>
      <c r="P18" s="1">
        <f t="shared" si="8"/>
        <v>0</v>
      </c>
      <c r="Q18" s="17">
        <f t="shared" si="3"/>
        <v>0</v>
      </c>
      <c r="R18" s="16">
        <f t="shared" si="4"/>
        <v>0</v>
      </c>
    </row>
    <row r="19" spans="1:21" ht="15.75" hidden="1" customHeight="1" x14ac:dyDescent="0.3">
      <c r="A19" s="15" t="s">
        <v>30</v>
      </c>
      <c r="B19" s="1">
        <f t="shared" si="5"/>
        <v>0</v>
      </c>
      <c r="C19" s="1">
        <f t="shared" si="5"/>
        <v>0</v>
      </c>
      <c r="D19" s="1">
        <f t="shared" si="5"/>
        <v>0</v>
      </c>
      <c r="E19" s="16">
        <f t="shared" si="0"/>
        <v>0</v>
      </c>
      <c r="F19" s="1">
        <f t="shared" si="6"/>
        <v>0</v>
      </c>
      <c r="G19" s="1">
        <f t="shared" si="6"/>
        <v>0</v>
      </c>
      <c r="H19" s="1">
        <f t="shared" si="6"/>
        <v>0</v>
      </c>
      <c r="I19" s="16">
        <f t="shared" si="1"/>
        <v>0</v>
      </c>
      <c r="J19" s="1">
        <f t="shared" si="7"/>
        <v>0</v>
      </c>
      <c r="K19" s="1">
        <f t="shared" si="7"/>
        <v>0</v>
      </c>
      <c r="L19" s="1">
        <f t="shared" si="7"/>
        <v>0</v>
      </c>
      <c r="M19" s="16">
        <f t="shared" si="2"/>
        <v>0</v>
      </c>
      <c r="N19" s="1">
        <f t="shared" si="8"/>
        <v>0</v>
      </c>
      <c r="O19" s="1">
        <f t="shared" si="8"/>
        <v>0</v>
      </c>
      <c r="P19" s="1">
        <f t="shared" si="8"/>
        <v>0</v>
      </c>
      <c r="Q19" s="17">
        <f t="shared" si="3"/>
        <v>0</v>
      </c>
      <c r="R19" s="16">
        <f t="shared" si="4"/>
        <v>0</v>
      </c>
    </row>
    <row r="20" spans="1:21" ht="15.75" customHeight="1" x14ac:dyDescent="0.3">
      <c r="A20" s="19" t="s">
        <v>31</v>
      </c>
      <c r="B20" s="1">
        <f>B251</f>
        <v>99649</v>
      </c>
      <c r="C20" s="1">
        <f>C251</f>
        <v>88679</v>
      </c>
      <c r="D20" s="1">
        <f>D251</f>
        <v>23780</v>
      </c>
      <c r="E20" s="16">
        <f t="shared" si="0"/>
        <v>212108</v>
      </c>
      <c r="F20" s="1">
        <f>F251</f>
        <v>0</v>
      </c>
      <c r="G20" s="1">
        <f>G251</f>
        <v>18160</v>
      </c>
      <c r="H20" s="1">
        <f>H251</f>
        <v>769</v>
      </c>
      <c r="I20" s="16">
        <f t="shared" si="1"/>
        <v>18929</v>
      </c>
      <c r="J20" s="1">
        <f>J251</f>
        <v>0</v>
      </c>
      <c r="K20" s="1">
        <f>K251</f>
        <v>0</v>
      </c>
      <c r="L20" s="1">
        <f>L251</f>
        <v>0</v>
      </c>
      <c r="M20" s="16">
        <f t="shared" si="2"/>
        <v>0</v>
      </c>
      <c r="N20" s="1">
        <f>N251</f>
        <v>25846</v>
      </c>
      <c r="O20" s="1">
        <f>O251</f>
        <v>91045</v>
      </c>
      <c r="P20" s="1">
        <f>P251</f>
        <v>20663</v>
      </c>
      <c r="Q20" s="17">
        <f t="shared" si="3"/>
        <v>137554</v>
      </c>
      <c r="R20" s="16">
        <f t="shared" si="4"/>
        <v>368591</v>
      </c>
    </row>
    <row r="21" spans="1:21" ht="15.75" customHeight="1" x14ac:dyDescent="0.3">
      <c r="A21" s="19" t="s">
        <v>32</v>
      </c>
      <c r="B21" s="1">
        <f>B263</f>
        <v>0</v>
      </c>
      <c r="C21" s="1">
        <f>C263</f>
        <v>0</v>
      </c>
      <c r="D21" s="1">
        <f>D263</f>
        <v>-81</v>
      </c>
      <c r="E21" s="16">
        <f t="shared" si="0"/>
        <v>-81</v>
      </c>
      <c r="F21" s="1">
        <f>F263</f>
        <v>-11920</v>
      </c>
      <c r="G21" s="1">
        <f>G263</f>
        <v>-8248</v>
      </c>
      <c r="H21" s="1">
        <f>H263</f>
        <v>-60264</v>
      </c>
      <c r="I21" s="16">
        <f t="shared" si="1"/>
        <v>-80432</v>
      </c>
      <c r="J21" s="1">
        <f>J263</f>
        <v>-92679</v>
      </c>
      <c r="K21" s="1">
        <f>K263</f>
        <v>-129383</v>
      </c>
      <c r="L21" s="1">
        <f>L263</f>
        <v>-54211</v>
      </c>
      <c r="M21" s="16">
        <f t="shared" si="2"/>
        <v>-276273</v>
      </c>
      <c r="N21" s="1">
        <f>N263</f>
        <v>-1553</v>
      </c>
      <c r="O21" s="1">
        <f>O263</f>
        <v>0</v>
      </c>
      <c r="P21" s="1">
        <f>P263</f>
        <v>-22642</v>
      </c>
      <c r="Q21" s="17">
        <f t="shared" si="3"/>
        <v>-24195</v>
      </c>
      <c r="R21" s="16">
        <f t="shared" si="4"/>
        <v>-380981</v>
      </c>
    </row>
    <row r="22" spans="1:21" ht="15.75" customHeight="1" thickBot="1" x14ac:dyDescent="0.35">
      <c r="A22" s="20" t="s">
        <v>33</v>
      </c>
      <c r="B22" s="21">
        <f>(B32)</f>
        <v>164640</v>
      </c>
      <c r="C22" s="21">
        <f>(C32)</f>
        <v>157726</v>
      </c>
      <c r="D22" s="21">
        <f>(D32)</f>
        <v>168421</v>
      </c>
      <c r="E22" s="22">
        <f t="shared" si="0"/>
        <v>490787</v>
      </c>
      <c r="F22" s="21">
        <f>(F32)</f>
        <v>165960</v>
      </c>
      <c r="G22" s="21">
        <f>(G32)</f>
        <v>171988</v>
      </c>
      <c r="H22" s="21">
        <f>(H32)</f>
        <v>128502</v>
      </c>
      <c r="I22" s="22">
        <f t="shared" si="1"/>
        <v>466450</v>
      </c>
      <c r="J22" s="21">
        <f>(J32)</f>
        <v>80929</v>
      </c>
      <c r="K22" s="21">
        <f>(K32)</f>
        <v>68579</v>
      </c>
      <c r="L22" s="21">
        <f>(L32)</f>
        <v>94410</v>
      </c>
      <c r="M22" s="22">
        <f t="shared" si="2"/>
        <v>243918</v>
      </c>
      <c r="N22" s="21">
        <f>(N32)</f>
        <v>135395</v>
      </c>
      <c r="O22" s="21">
        <f>(O32)</f>
        <v>168155</v>
      </c>
      <c r="P22" s="21">
        <f>(P32)</f>
        <v>66617</v>
      </c>
      <c r="Q22" s="23">
        <f t="shared" si="3"/>
        <v>370167</v>
      </c>
      <c r="R22" s="22">
        <f t="shared" si="4"/>
        <v>1571322</v>
      </c>
      <c r="S22" s="4" t="s">
        <v>34</v>
      </c>
      <c r="T22" s="4" t="s">
        <v>35</v>
      </c>
    </row>
    <row r="23" spans="1:21" ht="15.75" customHeight="1" thickBot="1" x14ac:dyDescent="0.35">
      <c r="A23" s="24" t="s">
        <v>36</v>
      </c>
      <c r="B23" s="25">
        <v>166725</v>
      </c>
      <c r="C23" s="25">
        <v>157301</v>
      </c>
      <c r="D23" s="25">
        <v>167973</v>
      </c>
      <c r="E23" s="22">
        <f t="shared" si="0"/>
        <v>491999</v>
      </c>
      <c r="F23" s="25">
        <v>165730</v>
      </c>
      <c r="G23" s="25">
        <v>172183</v>
      </c>
      <c r="H23" s="25">
        <v>126311</v>
      </c>
      <c r="I23" s="22">
        <f t="shared" si="1"/>
        <v>464224</v>
      </c>
      <c r="J23" s="25">
        <v>78041</v>
      </c>
      <c r="K23" s="25">
        <v>65373</v>
      </c>
      <c r="L23" s="25">
        <v>93513</v>
      </c>
      <c r="M23" s="22">
        <f t="shared" si="2"/>
        <v>236927</v>
      </c>
      <c r="N23" s="25">
        <v>135834</v>
      </c>
      <c r="O23" s="25">
        <v>167966</v>
      </c>
      <c r="P23" s="26">
        <v>64769</v>
      </c>
      <c r="Q23" s="23">
        <f t="shared" si="3"/>
        <v>368569</v>
      </c>
      <c r="R23" s="22">
        <f t="shared" si="4"/>
        <v>1561719</v>
      </c>
    </row>
    <row r="24" spans="1:21" ht="15.75" customHeight="1" x14ac:dyDescent="0.3">
      <c r="A24" s="1"/>
      <c r="B24" s="1"/>
      <c r="C24" s="1"/>
      <c r="D24" s="1"/>
      <c r="E24" s="1"/>
      <c r="F24" s="1"/>
      <c r="G24" s="1"/>
      <c r="H24" s="1"/>
      <c r="I24" s="1"/>
      <c r="J24" s="1"/>
      <c r="K24" s="1"/>
      <c r="L24" s="1"/>
      <c r="M24" s="1"/>
      <c r="N24" s="1"/>
      <c r="O24" s="1"/>
      <c r="P24" s="1"/>
      <c r="Q24" s="1"/>
      <c r="R24" s="2"/>
      <c r="U24" s="4" t="s">
        <v>37</v>
      </c>
    </row>
    <row r="25" spans="1:21" ht="15.75" customHeight="1" thickBot="1" x14ac:dyDescent="0.35">
      <c r="A25" s="1"/>
      <c r="B25" s="1"/>
      <c r="C25" s="1"/>
      <c r="D25" s="1"/>
      <c r="E25" s="1"/>
      <c r="F25" s="27" t="s">
        <v>7</v>
      </c>
      <c r="G25" s="27" t="s">
        <v>7</v>
      </c>
      <c r="H25" s="1"/>
      <c r="I25" s="1"/>
      <c r="J25" s="1"/>
      <c r="K25" s="1"/>
      <c r="L25" s="1"/>
      <c r="M25" s="1"/>
      <c r="N25" s="27" t="s">
        <v>7</v>
      </c>
      <c r="O25" s="27" t="s">
        <v>7</v>
      </c>
      <c r="P25" s="27" t="s">
        <v>7</v>
      </c>
      <c r="Q25" s="27"/>
      <c r="R25" s="28" t="s">
        <v>7</v>
      </c>
      <c r="U25" s="4" t="s">
        <v>38</v>
      </c>
    </row>
    <row r="26" spans="1:21" ht="15.75" customHeight="1" thickBot="1" x14ac:dyDescent="0.35">
      <c r="A26" s="29" t="s">
        <v>39</v>
      </c>
      <c r="B26" s="30" t="s">
        <v>8</v>
      </c>
      <c r="C26" s="31" t="s">
        <v>9</v>
      </c>
      <c r="D26" s="31" t="s">
        <v>10</v>
      </c>
      <c r="E26" s="32" t="s">
        <v>11</v>
      </c>
      <c r="F26" s="31" t="s">
        <v>12</v>
      </c>
      <c r="G26" s="31" t="s">
        <v>13</v>
      </c>
      <c r="H26" s="31" t="s">
        <v>14</v>
      </c>
      <c r="I26" s="33" t="s">
        <v>15</v>
      </c>
      <c r="J26" s="31" t="s">
        <v>16</v>
      </c>
      <c r="K26" s="31" t="s">
        <v>17</v>
      </c>
      <c r="L26" s="31" t="s">
        <v>18</v>
      </c>
      <c r="M26" s="33" t="s">
        <v>19</v>
      </c>
      <c r="N26" s="31" t="s">
        <v>20</v>
      </c>
      <c r="O26" s="31" t="s">
        <v>21</v>
      </c>
      <c r="P26" s="31" t="s">
        <v>22</v>
      </c>
      <c r="Q26" s="33" t="s">
        <v>23</v>
      </c>
      <c r="R26" s="34" t="s">
        <v>24</v>
      </c>
    </row>
    <row r="27" spans="1:21" ht="15.75" customHeight="1" thickBot="1" x14ac:dyDescent="0.35">
      <c r="A27" s="35"/>
      <c r="B27" s="36"/>
      <c r="C27" s="36"/>
      <c r="D27" s="36"/>
      <c r="E27" s="37"/>
      <c r="F27" s="36"/>
      <c r="G27" s="36"/>
      <c r="H27" s="36"/>
      <c r="I27" s="37"/>
      <c r="J27" s="36"/>
      <c r="K27" s="36"/>
      <c r="L27" s="36"/>
      <c r="M27" s="37"/>
      <c r="N27" s="36"/>
      <c r="O27" s="36"/>
      <c r="P27" s="36"/>
      <c r="Q27" s="37"/>
      <c r="R27" s="38"/>
    </row>
    <row r="28" spans="1:21" ht="15.75" customHeight="1" thickBot="1" x14ac:dyDescent="0.35">
      <c r="A28" s="39" t="s">
        <v>40</v>
      </c>
      <c r="B28" s="21">
        <v>97</v>
      </c>
      <c r="C28" s="21">
        <v>148</v>
      </c>
      <c r="D28" s="21">
        <v>274</v>
      </c>
      <c r="E28" s="40">
        <f>SUM(B28:D28)</f>
        <v>519</v>
      </c>
      <c r="F28" s="21">
        <v>367</v>
      </c>
      <c r="G28" s="21">
        <v>425</v>
      </c>
      <c r="H28" s="21">
        <v>417</v>
      </c>
      <c r="I28" s="40">
        <f>SUM(F28:H28)</f>
        <v>1209</v>
      </c>
      <c r="J28" s="21">
        <v>416</v>
      </c>
      <c r="K28" s="21">
        <v>334</v>
      </c>
      <c r="L28" s="21">
        <v>316</v>
      </c>
      <c r="M28" s="40">
        <f>SUM(J28:L28)</f>
        <v>1066</v>
      </c>
      <c r="N28" s="21">
        <v>285</v>
      </c>
      <c r="O28" s="21">
        <v>235</v>
      </c>
      <c r="P28" s="21">
        <v>186</v>
      </c>
      <c r="Q28" s="40">
        <f>SUM(N28:P28)</f>
        <v>706</v>
      </c>
      <c r="R28" s="22">
        <f>+E28+I28+M28+Q28</f>
        <v>3500</v>
      </c>
    </row>
    <row r="29" spans="1:21" ht="15.75" customHeight="1" thickBot="1" x14ac:dyDescent="0.35">
      <c r="A29" s="41"/>
      <c r="B29" s="36"/>
      <c r="C29" s="36"/>
      <c r="D29" s="36"/>
      <c r="E29" s="42"/>
      <c r="F29" s="36"/>
      <c r="G29" s="36"/>
      <c r="H29" s="36"/>
      <c r="I29" s="42"/>
      <c r="J29" s="36"/>
      <c r="K29" s="36"/>
      <c r="L29" s="36"/>
      <c r="M29" s="42"/>
      <c r="N29" s="36"/>
      <c r="O29" s="36"/>
      <c r="P29" s="36"/>
      <c r="Q29" s="42"/>
      <c r="R29" s="43"/>
    </row>
    <row r="30" spans="1:21" ht="15.75" customHeight="1" x14ac:dyDescent="0.3">
      <c r="A30" s="15" t="s">
        <v>41</v>
      </c>
      <c r="B30" s="1">
        <f>B28</f>
        <v>97</v>
      </c>
      <c r="C30" s="1">
        <f>C28</f>
        <v>148</v>
      </c>
      <c r="D30" s="1">
        <f>D28</f>
        <v>274</v>
      </c>
      <c r="E30" s="40">
        <f>SUM(B30:D30)</f>
        <v>519</v>
      </c>
      <c r="F30" s="1">
        <f>F28</f>
        <v>367</v>
      </c>
      <c r="G30" s="1">
        <f>G28</f>
        <v>425</v>
      </c>
      <c r="H30" s="1">
        <f>H28</f>
        <v>417</v>
      </c>
      <c r="I30" s="40">
        <f>SUM(F30:H30)</f>
        <v>1209</v>
      </c>
      <c r="J30" s="1">
        <f>J28</f>
        <v>416</v>
      </c>
      <c r="K30" s="1">
        <f>K28</f>
        <v>334</v>
      </c>
      <c r="L30" s="1">
        <f>L28</f>
        <v>316</v>
      </c>
      <c r="M30" s="40">
        <f>SUM(J30:L30)</f>
        <v>1066</v>
      </c>
      <c r="N30" s="1">
        <f>N28</f>
        <v>285</v>
      </c>
      <c r="O30" s="1">
        <f>O28</f>
        <v>235</v>
      </c>
      <c r="P30" s="1">
        <f>P28</f>
        <v>186</v>
      </c>
      <c r="Q30" s="44">
        <f>SUM(N30:P30)</f>
        <v>706</v>
      </c>
      <c r="R30" s="40">
        <f>+E30+I30+M30+Q30</f>
        <v>3500</v>
      </c>
    </row>
    <row r="31" spans="1:21" ht="15.75" customHeight="1" x14ac:dyDescent="0.3">
      <c r="A31" s="15" t="s">
        <v>42</v>
      </c>
      <c r="B31" s="1">
        <f>(B30/31)/1.983</f>
        <v>1.5779285214647079</v>
      </c>
      <c r="C31" s="1">
        <f>(C30/28)/1.983</f>
        <v>2.6655140119587926</v>
      </c>
      <c r="D31" s="1">
        <f>(D30/31)/1.983</f>
        <v>4.457241390529175</v>
      </c>
      <c r="E31" s="16"/>
      <c r="F31" s="1">
        <f>(F30/30)/1.983</f>
        <v>6.1691040511010247</v>
      </c>
      <c r="G31" s="1">
        <f>(G30/31)/1.983</f>
        <v>6.9136043466237203</v>
      </c>
      <c r="H31" s="1">
        <f>(H30/30)/1.983</f>
        <v>7.0095814422592033</v>
      </c>
      <c r="I31" s="16"/>
      <c r="J31" s="1">
        <f>(J30/31)/1.983</f>
        <v>6.7671986075187478</v>
      </c>
      <c r="K31" s="1">
        <f>(K30/31)/1.983</f>
        <v>5.433279651228994</v>
      </c>
      <c r="L31" s="1">
        <f>(L30/30)/1.983</f>
        <v>5.3118171121196838</v>
      </c>
      <c r="M31" s="16"/>
      <c r="N31" s="1">
        <f>(N30/31)/1.983</f>
        <v>4.6361817383241419</v>
      </c>
      <c r="O31" s="1">
        <f>(O30/30)/1.983</f>
        <v>3.9502437384434357</v>
      </c>
      <c r="P31" s="1">
        <f>(P30/31)/1.983</f>
        <v>3.02571860816944</v>
      </c>
      <c r="Q31" s="17"/>
      <c r="R31" s="16"/>
    </row>
    <row r="32" spans="1:21" ht="15.75" customHeight="1" x14ac:dyDescent="0.3">
      <c r="A32" s="15" t="s">
        <v>43</v>
      </c>
      <c r="B32" s="1">
        <f>B30+B67</f>
        <v>164640</v>
      </c>
      <c r="C32" s="1">
        <f>C30+C67</f>
        <v>157726</v>
      </c>
      <c r="D32" s="1">
        <f>D30+D67</f>
        <v>168421</v>
      </c>
      <c r="E32" s="16">
        <f>SUM(B32:D32)</f>
        <v>490787</v>
      </c>
      <c r="F32" s="1">
        <f>F30+F67</f>
        <v>165960</v>
      </c>
      <c r="G32" s="1">
        <f>G30+G67</f>
        <v>171988</v>
      </c>
      <c r="H32" s="1">
        <f>H30+H67</f>
        <v>128502</v>
      </c>
      <c r="I32" s="16">
        <f>SUM(F32:H32)</f>
        <v>466450</v>
      </c>
      <c r="J32" s="1">
        <f>J30+J67</f>
        <v>80929</v>
      </c>
      <c r="K32" s="1">
        <f>K30+K67</f>
        <v>68579</v>
      </c>
      <c r="L32" s="1">
        <f>L30+L67</f>
        <v>94410</v>
      </c>
      <c r="M32" s="16">
        <f>SUM(J32:L32)</f>
        <v>243918</v>
      </c>
      <c r="N32" s="1">
        <f>N30+N67</f>
        <v>135395</v>
      </c>
      <c r="O32" s="1">
        <f>O30+O67</f>
        <v>168155</v>
      </c>
      <c r="P32" s="1">
        <f>P30+P67</f>
        <v>66617</v>
      </c>
      <c r="Q32" s="17">
        <f>SUM(N32:P32)</f>
        <v>370167</v>
      </c>
      <c r="R32" s="16">
        <f>+E32+I32+M32+Q32</f>
        <v>1571322</v>
      </c>
    </row>
    <row r="33" spans="1:20" ht="15.75" customHeight="1" thickBot="1" x14ac:dyDescent="0.35">
      <c r="A33" s="20" t="s">
        <v>44</v>
      </c>
      <c r="B33" s="21">
        <f>(B32/31)/1.983</f>
        <v>2678.2489873603045</v>
      </c>
      <c r="C33" s="21">
        <f>(C32/28)/1.983</f>
        <v>2840.6815070960301</v>
      </c>
      <c r="D33" s="21">
        <f>(D32/31)/1.983</f>
        <v>2739.7556650887382</v>
      </c>
      <c r="E33" s="22"/>
      <c r="F33" s="21">
        <f>(F32/30)/1.983</f>
        <v>2789.7125567322237</v>
      </c>
      <c r="G33" s="21">
        <f>(G32/31)/1.983</f>
        <v>2797.7811396873421</v>
      </c>
      <c r="H33" s="21">
        <f>(H32/30)/1.983</f>
        <v>2160.0605143721632</v>
      </c>
      <c r="I33" s="22"/>
      <c r="J33" s="21">
        <f>(J32/31)/1.983</f>
        <v>1316.4966733362614</v>
      </c>
      <c r="K33" s="21">
        <f>(K32/31)/1.983</f>
        <v>1115.5954646755486</v>
      </c>
      <c r="L33" s="21">
        <f>(L32/30)/1.983</f>
        <v>1586.9894099848714</v>
      </c>
      <c r="M33" s="22"/>
      <c r="N33" s="21">
        <f>(N32/31)/1.983</f>
        <v>2202.5116717908677</v>
      </c>
      <c r="O33" s="21">
        <f>(O32/30)/1.983</f>
        <v>2826.6095142040681</v>
      </c>
      <c r="P33" s="21">
        <f>(P32/31)/1.983</f>
        <v>1083.6790135506644</v>
      </c>
      <c r="Q33" s="23"/>
      <c r="R33" s="22"/>
      <c r="T33" s="45" t="s">
        <v>45</v>
      </c>
    </row>
    <row r="34" spans="1:20" ht="15.75" customHeight="1" x14ac:dyDescent="0.3">
      <c r="A34" s="2"/>
      <c r="B34" s="1"/>
      <c r="C34" s="1"/>
      <c r="D34" s="1"/>
      <c r="E34" s="1"/>
      <c r="F34" s="1"/>
      <c r="G34" s="1"/>
      <c r="H34" s="1"/>
      <c r="I34" s="1"/>
      <c r="J34" s="1"/>
      <c r="K34" s="1"/>
      <c r="L34" s="1"/>
      <c r="M34" s="1"/>
      <c r="N34" s="1"/>
      <c r="O34" s="1"/>
      <c r="P34" s="1"/>
      <c r="Q34" s="1"/>
      <c r="R34" s="2"/>
      <c r="T34" s="45" t="s">
        <v>46</v>
      </c>
    </row>
    <row r="35" spans="1:20" ht="15.75" customHeight="1" thickBot="1" x14ac:dyDescent="0.35">
      <c r="A35" s="2"/>
      <c r="B35" s="1"/>
      <c r="C35" s="1"/>
      <c r="D35" s="1"/>
      <c r="E35" s="1"/>
      <c r="F35" s="1"/>
      <c r="G35" s="1"/>
      <c r="H35" s="1"/>
      <c r="I35" s="1"/>
      <c r="J35" s="1"/>
      <c r="K35" s="1"/>
      <c r="L35" s="1"/>
      <c r="M35" s="1"/>
      <c r="N35" s="1"/>
      <c r="O35" s="1"/>
      <c r="P35" s="1"/>
      <c r="Q35" s="1"/>
      <c r="R35" s="2"/>
    </row>
    <row r="36" spans="1:20" ht="15.75" customHeight="1" thickBot="1" x14ac:dyDescent="0.35">
      <c r="A36" s="46" t="s">
        <v>47</v>
      </c>
      <c r="B36" s="47" t="s">
        <v>8</v>
      </c>
      <c r="C36" s="48" t="s">
        <v>9</v>
      </c>
      <c r="D36" s="48" t="s">
        <v>10</v>
      </c>
      <c r="E36" s="32" t="s">
        <v>11</v>
      </c>
      <c r="F36" s="48" t="s">
        <v>12</v>
      </c>
      <c r="G36" s="48" t="s">
        <v>13</v>
      </c>
      <c r="H36" s="48" t="s">
        <v>14</v>
      </c>
      <c r="I36" s="32" t="s">
        <v>15</v>
      </c>
      <c r="J36" s="48" t="s">
        <v>16</v>
      </c>
      <c r="K36" s="48" t="s">
        <v>17</v>
      </c>
      <c r="L36" s="48" t="s">
        <v>18</v>
      </c>
      <c r="M36" s="32" t="s">
        <v>19</v>
      </c>
      <c r="N36" s="48" t="s">
        <v>20</v>
      </c>
      <c r="O36" s="48" t="s">
        <v>21</v>
      </c>
      <c r="P36" s="48" t="s">
        <v>22</v>
      </c>
      <c r="Q36" s="32" t="s">
        <v>23</v>
      </c>
      <c r="R36" s="49" t="s">
        <v>24</v>
      </c>
    </row>
    <row r="37" spans="1:20" ht="15.75" customHeight="1" thickBot="1" x14ac:dyDescent="0.35">
      <c r="A37" s="42"/>
      <c r="B37" s="50"/>
      <c r="C37" s="51"/>
      <c r="D37" s="51"/>
      <c r="E37" s="52"/>
      <c r="F37" s="51"/>
      <c r="G37" s="51"/>
      <c r="H37" s="51"/>
      <c r="I37" s="52"/>
      <c r="J37" s="51"/>
      <c r="K37" s="51"/>
      <c r="L37" s="51"/>
      <c r="M37" s="52"/>
      <c r="N37" s="51"/>
      <c r="O37" s="51"/>
      <c r="P37" s="51"/>
      <c r="Q37" s="52"/>
      <c r="R37" s="53"/>
    </row>
    <row r="38" spans="1:20" ht="15.75" customHeight="1" x14ac:dyDescent="0.3">
      <c r="A38" s="54" t="s">
        <v>48</v>
      </c>
      <c r="B38" s="28"/>
      <c r="C38" s="28"/>
      <c r="D38" s="28"/>
      <c r="E38" s="55" t="s">
        <v>7</v>
      </c>
      <c r="F38" s="28"/>
      <c r="G38" s="28"/>
      <c r="H38" s="28"/>
      <c r="I38" s="55" t="s">
        <v>7</v>
      </c>
      <c r="J38" s="28"/>
      <c r="K38" s="28"/>
      <c r="L38" s="28"/>
      <c r="M38" s="55" t="s">
        <v>7</v>
      </c>
      <c r="N38" s="28"/>
      <c r="O38" s="28"/>
      <c r="P38" s="28"/>
      <c r="Q38" s="55" t="s">
        <v>7</v>
      </c>
      <c r="R38" s="55" t="s">
        <v>7</v>
      </c>
    </row>
    <row r="39" spans="1:20" ht="15.75" customHeight="1" x14ac:dyDescent="0.3">
      <c r="A39" s="18" t="s">
        <v>49</v>
      </c>
      <c r="B39" s="28" t="s">
        <v>7</v>
      </c>
      <c r="C39" s="56"/>
      <c r="D39" s="56"/>
      <c r="E39" s="55" t="s">
        <v>7</v>
      </c>
      <c r="F39" s="56"/>
      <c r="G39" s="56"/>
      <c r="H39" s="56"/>
      <c r="I39" s="55" t="s">
        <v>7</v>
      </c>
      <c r="J39" s="56"/>
      <c r="K39" s="56"/>
      <c r="L39" s="56"/>
      <c r="M39" s="55" t="s">
        <v>7</v>
      </c>
      <c r="N39" s="56"/>
      <c r="O39" s="56"/>
      <c r="P39" s="56"/>
      <c r="Q39" s="55" t="s">
        <v>7</v>
      </c>
      <c r="R39" s="55" t="s">
        <v>7</v>
      </c>
    </row>
    <row r="40" spans="1:20" ht="15.75" customHeight="1" x14ac:dyDescent="0.3">
      <c r="A40" s="18" t="s">
        <v>50</v>
      </c>
      <c r="B40" s="28"/>
      <c r="C40" s="28"/>
      <c r="D40" s="28"/>
      <c r="E40" s="55" t="s">
        <v>7</v>
      </c>
      <c r="F40" s="28"/>
      <c r="G40" s="28"/>
      <c r="H40" s="28"/>
      <c r="I40" s="55" t="s">
        <v>7</v>
      </c>
      <c r="J40" s="28"/>
      <c r="K40" s="28"/>
      <c r="L40" s="28"/>
      <c r="M40" s="55" t="s">
        <v>7</v>
      </c>
      <c r="N40" s="28"/>
      <c r="O40" s="28"/>
      <c r="P40" s="28"/>
      <c r="Q40" s="55" t="s">
        <v>7</v>
      </c>
      <c r="R40" s="55" t="s">
        <v>7</v>
      </c>
    </row>
    <row r="41" spans="1:20" ht="15.75" customHeight="1" x14ac:dyDescent="0.3">
      <c r="A41" s="18" t="s">
        <v>51</v>
      </c>
      <c r="B41" s="28"/>
      <c r="C41" s="28"/>
      <c r="D41" s="28"/>
      <c r="E41" s="55" t="s">
        <v>52</v>
      </c>
      <c r="F41" s="28"/>
      <c r="G41" s="28"/>
      <c r="H41" s="28"/>
      <c r="I41" s="55" t="s">
        <v>52</v>
      </c>
      <c r="J41" s="28"/>
      <c r="K41" s="28"/>
      <c r="L41" s="28"/>
      <c r="M41" s="55" t="s">
        <v>52</v>
      </c>
      <c r="N41" s="28"/>
      <c r="O41" s="28"/>
      <c r="P41" s="28"/>
      <c r="Q41" s="55" t="s">
        <v>52</v>
      </c>
      <c r="R41" s="55" t="s">
        <v>52</v>
      </c>
    </row>
    <row r="42" spans="1:20" ht="15.75" customHeight="1" thickBot="1" x14ac:dyDescent="0.35">
      <c r="A42" s="18" t="s">
        <v>53</v>
      </c>
      <c r="B42" s="56"/>
      <c r="C42" s="56"/>
      <c r="D42" s="56"/>
      <c r="E42" s="55" t="s">
        <v>7</v>
      </c>
      <c r="F42" s="56"/>
      <c r="G42" s="56"/>
      <c r="H42" s="56"/>
      <c r="I42" s="55" t="s">
        <v>7</v>
      </c>
      <c r="J42" s="56"/>
      <c r="K42" s="56"/>
      <c r="L42" s="56"/>
      <c r="M42" s="55" t="s">
        <v>7</v>
      </c>
      <c r="N42" s="56"/>
      <c r="O42" s="56"/>
      <c r="P42" s="56"/>
      <c r="Q42" s="55" t="s">
        <v>7</v>
      </c>
      <c r="R42" s="55" t="s">
        <v>7</v>
      </c>
    </row>
    <row r="43" spans="1:20" ht="15.75" customHeight="1" thickBot="1" x14ac:dyDescent="0.35">
      <c r="A43" s="57" t="s">
        <v>54</v>
      </c>
      <c r="B43" s="58">
        <f>SUM(B38:B42)</f>
        <v>0</v>
      </c>
      <c r="C43" s="58">
        <f>SUM(C38:C42)</f>
        <v>0</v>
      </c>
      <c r="D43" s="58">
        <f>SUM(D38:D42)</f>
        <v>0</v>
      </c>
      <c r="E43" s="59">
        <f>SUM(B43:D43)</f>
        <v>0</v>
      </c>
      <c r="F43" s="58">
        <f>SUM(F38:F42)</f>
        <v>0</v>
      </c>
      <c r="G43" s="58">
        <f>SUM(G38:G42)</f>
        <v>0</v>
      </c>
      <c r="H43" s="58">
        <f>SUM(H38:H42)</f>
        <v>0</v>
      </c>
      <c r="I43" s="59">
        <f>SUM(F43:H43)</f>
        <v>0</v>
      </c>
      <c r="J43" s="58">
        <f>SUM(J38:J42)</f>
        <v>0</v>
      </c>
      <c r="K43" s="58">
        <f>SUM(K38:K42)</f>
        <v>0</v>
      </c>
      <c r="L43" s="58">
        <f>SUM(L38:L42)</f>
        <v>0</v>
      </c>
      <c r="M43" s="59">
        <f>SUM(J43:L43)</f>
        <v>0</v>
      </c>
      <c r="N43" s="58">
        <f>SUM(N38:N42)</f>
        <v>0</v>
      </c>
      <c r="O43" s="58">
        <f>SUM(O38:O42)</f>
        <v>0</v>
      </c>
      <c r="P43" s="58">
        <f>SUM(P38:P42)</f>
        <v>0</v>
      </c>
      <c r="Q43" s="59">
        <f>SUM(N43:P43)</f>
        <v>0</v>
      </c>
      <c r="R43" s="59">
        <f>+E43+I43+M43+Q43</f>
        <v>0</v>
      </c>
    </row>
    <row r="44" spans="1:20" ht="15.75" customHeight="1" x14ac:dyDescent="0.3">
      <c r="A44" s="18" t="s">
        <v>55</v>
      </c>
      <c r="B44" s="56"/>
      <c r="C44" s="56"/>
      <c r="D44" s="56"/>
      <c r="E44" s="55" t="s">
        <v>7</v>
      </c>
      <c r="F44" s="56"/>
      <c r="G44" s="56"/>
      <c r="H44" s="56"/>
      <c r="I44" s="55" t="s">
        <v>7</v>
      </c>
      <c r="J44" s="56"/>
      <c r="K44" s="56"/>
      <c r="L44" s="56"/>
      <c r="M44" s="55" t="s">
        <v>7</v>
      </c>
      <c r="N44" s="56"/>
      <c r="O44" s="56"/>
      <c r="P44" s="56"/>
      <c r="Q44" s="55" t="s">
        <v>7</v>
      </c>
      <c r="R44" s="60" t="s">
        <v>7</v>
      </c>
    </row>
    <row r="45" spans="1:20" ht="15.75" customHeight="1" x14ac:dyDescent="0.3">
      <c r="A45" s="18" t="s">
        <v>56</v>
      </c>
      <c r="B45" s="56"/>
      <c r="C45" s="56"/>
      <c r="D45" s="56"/>
      <c r="E45" s="55"/>
      <c r="F45" s="56"/>
      <c r="G45" s="56"/>
      <c r="H45" s="56"/>
      <c r="I45" s="55"/>
      <c r="J45" s="56"/>
      <c r="K45" s="56"/>
      <c r="L45" s="56"/>
      <c r="M45" s="55"/>
      <c r="N45" s="56"/>
      <c r="O45" s="56"/>
      <c r="P45" s="56"/>
      <c r="Q45" s="55"/>
      <c r="R45" s="55"/>
    </row>
    <row r="46" spans="1:20" ht="15.75" customHeight="1" x14ac:dyDescent="0.3">
      <c r="A46" s="18" t="s">
        <v>57</v>
      </c>
      <c r="B46" s="56"/>
      <c r="C46" s="56"/>
      <c r="D46" s="56"/>
      <c r="E46" s="55" t="s">
        <v>7</v>
      </c>
      <c r="F46" s="56"/>
      <c r="G46" s="56"/>
      <c r="H46" s="56"/>
      <c r="I46" s="55" t="s">
        <v>7</v>
      </c>
      <c r="J46" s="56"/>
      <c r="K46" s="56"/>
      <c r="L46" s="56"/>
      <c r="M46" s="55" t="s">
        <v>7</v>
      </c>
      <c r="N46" s="56"/>
      <c r="O46" s="56"/>
      <c r="P46" s="56"/>
      <c r="Q46" s="55" t="s">
        <v>7</v>
      </c>
      <c r="R46" s="55" t="s">
        <v>7</v>
      </c>
    </row>
    <row r="47" spans="1:20" ht="15.75" customHeight="1" thickBot="1" x14ac:dyDescent="0.35">
      <c r="A47" s="18" t="s">
        <v>58</v>
      </c>
      <c r="B47" s="56"/>
      <c r="C47" s="56"/>
      <c r="D47" s="56"/>
      <c r="E47" s="55" t="s">
        <v>7</v>
      </c>
      <c r="F47" s="56"/>
      <c r="G47" s="56"/>
      <c r="H47" s="56"/>
      <c r="I47" s="55" t="s">
        <v>7</v>
      </c>
      <c r="J47" s="56"/>
      <c r="K47" s="56"/>
      <c r="L47" s="56"/>
      <c r="M47" s="55" t="s">
        <v>7</v>
      </c>
      <c r="N47" s="56"/>
      <c r="O47" s="56"/>
      <c r="P47" s="56"/>
      <c r="Q47" s="55" t="s">
        <v>7</v>
      </c>
      <c r="R47" s="55" t="s">
        <v>7</v>
      </c>
    </row>
    <row r="48" spans="1:20" ht="15.75" customHeight="1" thickBot="1" x14ac:dyDescent="0.35">
      <c r="A48" s="57" t="s">
        <v>59</v>
      </c>
      <c r="B48" s="58">
        <f>SUM(B44:B47)</f>
        <v>0</v>
      </c>
      <c r="C48" s="58">
        <f>SUM(C44:C47)</f>
        <v>0</v>
      </c>
      <c r="D48" s="58">
        <f>SUM(D44:D47)</f>
        <v>0</v>
      </c>
      <c r="E48" s="59">
        <f>SUM(B48:D48)</f>
        <v>0</v>
      </c>
      <c r="F48" s="58">
        <f>SUM(F44:F47)</f>
        <v>0</v>
      </c>
      <c r="G48" s="58">
        <f>SUM(G44:G47)</f>
        <v>0</v>
      </c>
      <c r="H48" s="58">
        <f>SUM(H44:H47)</f>
        <v>0</v>
      </c>
      <c r="I48" s="59">
        <f>SUM(F48:H48)</f>
        <v>0</v>
      </c>
      <c r="J48" s="58">
        <f>SUM(J44:J47)</f>
        <v>0</v>
      </c>
      <c r="K48" s="58">
        <f>SUM(K44:K47)</f>
        <v>0</v>
      </c>
      <c r="L48" s="58">
        <f>SUM(L44:L47)</f>
        <v>0</v>
      </c>
      <c r="M48" s="59">
        <f>SUM(J48:L48)</f>
        <v>0</v>
      </c>
      <c r="N48" s="58">
        <f>SUM(N44:N47)</f>
        <v>0</v>
      </c>
      <c r="O48" s="58">
        <f>SUM(O44:O47)</f>
        <v>0</v>
      </c>
      <c r="P48" s="58">
        <f>SUM(P44:P47)</f>
        <v>0</v>
      </c>
      <c r="Q48" s="59">
        <f>SUM(N48:P48)</f>
        <v>0</v>
      </c>
      <c r="R48" s="59">
        <f>+E48+I48+M48+Q48</f>
        <v>0</v>
      </c>
    </row>
    <row r="49" spans="1:18" ht="15.75" customHeight="1" x14ac:dyDescent="0.3">
      <c r="A49" s="18" t="s">
        <v>60</v>
      </c>
      <c r="B49" s="56"/>
      <c r="C49" s="56"/>
      <c r="D49" s="56"/>
      <c r="E49" s="55" t="s">
        <v>7</v>
      </c>
      <c r="F49" s="56"/>
      <c r="G49" s="56"/>
      <c r="H49" s="56"/>
      <c r="I49" s="55" t="s">
        <v>7</v>
      </c>
      <c r="J49" s="56"/>
      <c r="K49" s="56"/>
      <c r="L49" s="56"/>
      <c r="M49" s="55" t="s">
        <v>7</v>
      </c>
      <c r="N49" s="56"/>
      <c r="O49" s="56"/>
      <c r="P49" s="56"/>
      <c r="Q49" s="55" t="s">
        <v>7</v>
      </c>
      <c r="R49" s="55" t="s">
        <v>7</v>
      </c>
    </row>
    <row r="50" spans="1:18" ht="15.75" customHeight="1" x14ac:dyDescent="0.3">
      <c r="A50" s="18" t="s">
        <v>61</v>
      </c>
      <c r="B50" s="56"/>
      <c r="C50" s="56"/>
      <c r="D50" s="56"/>
      <c r="E50" s="55" t="s">
        <v>7</v>
      </c>
      <c r="F50" s="56"/>
      <c r="G50" s="56"/>
      <c r="H50" s="56"/>
      <c r="I50" s="55" t="s">
        <v>7</v>
      </c>
      <c r="J50" s="56"/>
      <c r="K50" s="56"/>
      <c r="L50" s="56"/>
      <c r="M50" s="55" t="s">
        <v>7</v>
      </c>
      <c r="N50" s="56"/>
      <c r="O50" s="56"/>
      <c r="P50" s="56"/>
      <c r="Q50" s="55" t="s">
        <v>7</v>
      </c>
      <c r="R50" s="55" t="s">
        <v>7</v>
      </c>
    </row>
    <row r="51" spans="1:18" ht="15.75" customHeight="1" thickBot="1" x14ac:dyDescent="0.35">
      <c r="A51" s="18" t="s">
        <v>62</v>
      </c>
      <c r="B51" s="56"/>
      <c r="C51" s="56"/>
      <c r="D51" s="56"/>
      <c r="E51" s="55"/>
      <c r="F51" s="56"/>
      <c r="G51" s="56"/>
      <c r="H51" s="56"/>
      <c r="I51" s="55"/>
      <c r="J51" s="56"/>
      <c r="K51" s="56"/>
      <c r="L51" s="56"/>
      <c r="M51" s="55"/>
      <c r="N51" s="56"/>
      <c r="O51" s="56"/>
      <c r="P51" s="56"/>
      <c r="Q51" s="55"/>
      <c r="R51" s="55"/>
    </row>
    <row r="52" spans="1:18" ht="15.75" customHeight="1" thickBot="1" x14ac:dyDescent="0.35">
      <c r="A52" s="57" t="s">
        <v>63</v>
      </c>
      <c r="B52" s="58">
        <f>SUM(B49:B51)</f>
        <v>0</v>
      </c>
      <c r="C52" s="58">
        <f>SUM(C49:C51)</f>
        <v>0</v>
      </c>
      <c r="D52" s="58">
        <f>SUM(D49:D51)</f>
        <v>0</v>
      </c>
      <c r="E52" s="59">
        <f>SUM(B52:D52)</f>
        <v>0</v>
      </c>
      <c r="F52" s="58">
        <f>SUM(F49:F51)</f>
        <v>0</v>
      </c>
      <c r="G52" s="58">
        <f>SUM(G49:G51)</f>
        <v>0</v>
      </c>
      <c r="H52" s="58">
        <f>SUM(H49:H51)</f>
        <v>0</v>
      </c>
      <c r="I52" s="59">
        <f>SUM(F52:H52)</f>
        <v>0</v>
      </c>
      <c r="J52" s="58">
        <f>SUM(J49:J51)</f>
        <v>0</v>
      </c>
      <c r="K52" s="58">
        <f>SUM(K49:K51)</f>
        <v>0</v>
      </c>
      <c r="L52" s="58">
        <f>SUM(L49:L51)</f>
        <v>0</v>
      </c>
      <c r="M52" s="59">
        <f>SUM(J52:L52)</f>
        <v>0</v>
      </c>
      <c r="N52" s="58">
        <f>SUM(N49:N51)</f>
        <v>0</v>
      </c>
      <c r="O52" s="58">
        <f>SUM(O49:O51)</f>
        <v>0</v>
      </c>
      <c r="P52" s="58">
        <f>SUM(P49:P51)</f>
        <v>0</v>
      </c>
      <c r="Q52" s="59">
        <f>SUM(N52:P52)</f>
        <v>0</v>
      </c>
      <c r="R52" s="59">
        <f>+E52+I52+M52+Q52</f>
        <v>0</v>
      </c>
    </row>
    <row r="53" spans="1:18" ht="15.75" customHeight="1" x14ac:dyDescent="0.3">
      <c r="A53" s="18" t="s">
        <v>64</v>
      </c>
      <c r="B53" s="56"/>
      <c r="C53" s="56"/>
      <c r="D53" s="56"/>
      <c r="E53" s="55" t="s">
        <v>7</v>
      </c>
      <c r="F53" s="56"/>
      <c r="G53" s="56"/>
      <c r="H53" s="56"/>
      <c r="I53" s="55" t="s">
        <v>7</v>
      </c>
      <c r="J53" s="56"/>
      <c r="K53" s="56"/>
      <c r="L53" s="56"/>
      <c r="M53" s="55" t="s">
        <v>7</v>
      </c>
      <c r="N53" s="56"/>
      <c r="O53" s="56"/>
      <c r="P53" s="56"/>
      <c r="Q53" s="55" t="s">
        <v>7</v>
      </c>
      <c r="R53" s="55" t="s">
        <v>7</v>
      </c>
    </row>
    <row r="54" spans="1:18" ht="15.75" customHeight="1" x14ac:dyDescent="0.3">
      <c r="A54" s="18" t="s">
        <v>65</v>
      </c>
      <c r="B54" s="56"/>
      <c r="C54" s="56"/>
      <c r="D54" s="56"/>
      <c r="E54" s="55" t="s">
        <v>7</v>
      </c>
      <c r="F54" s="56"/>
      <c r="G54" s="56"/>
      <c r="H54" s="56"/>
      <c r="I54" s="55" t="s">
        <v>7</v>
      </c>
      <c r="J54" s="56"/>
      <c r="K54" s="56"/>
      <c r="L54" s="56"/>
      <c r="M54" s="55" t="s">
        <v>7</v>
      </c>
      <c r="N54" s="56"/>
      <c r="O54" s="56"/>
      <c r="P54" s="56"/>
      <c r="Q54" s="55" t="s">
        <v>7</v>
      </c>
      <c r="R54" s="55" t="s">
        <v>7</v>
      </c>
    </row>
    <row r="55" spans="1:18" ht="15.75" customHeight="1" x14ac:dyDescent="0.3">
      <c r="A55" s="61" t="s">
        <v>66</v>
      </c>
      <c r="B55" s="1">
        <v>0</v>
      </c>
      <c r="C55" s="1">
        <v>0</v>
      </c>
      <c r="D55" s="1">
        <v>0</v>
      </c>
      <c r="E55" s="55">
        <f>SUM(B55:D55)</f>
        <v>0</v>
      </c>
      <c r="F55" s="1">
        <v>0</v>
      </c>
      <c r="G55" s="1">
        <v>0</v>
      </c>
      <c r="H55" s="1">
        <v>0</v>
      </c>
      <c r="I55" s="55">
        <f>SUM(F55:H55)</f>
        <v>0</v>
      </c>
      <c r="J55" s="1">
        <v>0</v>
      </c>
      <c r="K55" s="1">
        <v>0</v>
      </c>
      <c r="L55" s="1">
        <v>0</v>
      </c>
      <c r="M55" s="55">
        <f>SUM(J55:L55)</f>
        <v>0</v>
      </c>
      <c r="N55" s="1">
        <v>0</v>
      </c>
      <c r="O55" s="1">
        <v>0</v>
      </c>
      <c r="P55" s="1">
        <v>0</v>
      </c>
      <c r="Q55" s="55">
        <f>SUM(N55:P55)</f>
        <v>0</v>
      </c>
      <c r="R55" s="55">
        <f>+E55+I55+M55+Q55</f>
        <v>0</v>
      </c>
    </row>
    <row r="56" spans="1:18" ht="15.75" customHeight="1" x14ac:dyDescent="0.3">
      <c r="A56" s="18" t="s">
        <v>67</v>
      </c>
      <c r="B56" s="56"/>
      <c r="C56" s="56"/>
      <c r="D56" s="56"/>
      <c r="E56" s="55" t="s">
        <v>7</v>
      </c>
      <c r="F56" s="56"/>
      <c r="G56" s="56"/>
      <c r="H56" s="56"/>
      <c r="I56" s="55" t="s">
        <v>7</v>
      </c>
      <c r="J56" s="56"/>
      <c r="K56" s="56"/>
      <c r="L56" s="56"/>
      <c r="M56" s="55" t="s">
        <v>7</v>
      </c>
      <c r="N56" s="56"/>
      <c r="O56" s="56"/>
      <c r="P56" s="56"/>
      <c r="Q56" s="55" t="s">
        <v>7</v>
      </c>
      <c r="R56" s="55" t="s">
        <v>7</v>
      </c>
    </row>
    <row r="57" spans="1:18" ht="15.75" customHeight="1" x14ac:dyDescent="0.3">
      <c r="A57" s="61" t="s">
        <v>68</v>
      </c>
      <c r="B57" s="1">
        <v>0</v>
      </c>
      <c r="C57" s="1">
        <v>0</v>
      </c>
      <c r="D57" s="1">
        <v>0</v>
      </c>
      <c r="E57" s="55">
        <f>SUM(B57:D57)</f>
        <v>0</v>
      </c>
      <c r="F57" s="1">
        <v>0</v>
      </c>
      <c r="G57" s="1">
        <v>0</v>
      </c>
      <c r="H57" s="1">
        <v>0</v>
      </c>
      <c r="I57" s="55">
        <f>SUM(F57:H57)</f>
        <v>0</v>
      </c>
      <c r="J57" s="1">
        <v>0</v>
      </c>
      <c r="K57" s="1">
        <v>0</v>
      </c>
      <c r="L57" s="1">
        <v>0</v>
      </c>
      <c r="M57" s="55">
        <f>SUM(J57:L57)</f>
        <v>0</v>
      </c>
      <c r="N57" s="1">
        <v>0</v>
      </c>
      <c r="O57" s="1">
        <v>0</v>
      </c>
      <c r="P57" s="1">
        <v>0</v>
      </c>
      <c r="Q57" s="55">
        <f>SUM(N57:P57)</f>
        <v>0</v>
      </c>
      <c r="R57" s="55">
        <f>+E57+I57+M57+Q57</f>
        <v>0</v>
      </c>
    </row>
    <row r="58" spans="1:18" ht="15.75" customHeight="1" x14ac:dyDescent="0.3">
      <c r="A58" s="18" t="s">
        <v>69</v>
      </c>
      <c r="B58" s="56"/>
      <c r="C58" s="56"/>
      <c r="D58" s="56"/>
      <c r="E58" s="55" t="s">
        <v>7</v>
      </c>
      <c r="F58" s="56"/>
      <c r="G58" s="56"/>
      <c r="H58" s="56"/>
      <c r="I58" s="55" t="s">
        <v>7</v>
      </c>
      <c r="J58" s="56"/>
      <c r="K58" s="56"/>
      <c r="L58" s="56"/>
      <c r="M58" s="55" t="s">
        <v>7</v>
      </c>
      <c r="N58" s="56"/>
      <c r="O58" s="56"/>
      <c r="P58" s="56"/>
      <c r="Q58" s="55" t="s">
        <v>7</v>
      </c>
      <c r="R58" s="55" t="s">
        <v>7</v>
      </c>
    </row>
    <row r="59" spans="1:18" ht="15.75" customHeight="1" thickBot="1" x14ac:dyDescent="0.35">
      <c r="A59" s="18" t="s">
        <v>70</v>
      </c>
      <c r="B59" s="56"/>
      <c r="C59" s="56"/>
      <c r="D59" s="56"/>
      <c r="E59" s="55" t="s">
        <v>7</v>
      </c>
      <c r="F59" s="56"/>
      <c r="G59" s="56"/>
      <c r="H59" s="56"/>
      <c r="I59" s="55" t="s">
        <v>7</v>
      </c>
      <c r="J59" s="56"/>
      <c r="K59" s="56"/>
      <c r="L59" s="56"/>
      <c r="M59" s="55" t="s">
        <v>7</v>
      </c>
      <c r="N59" s="56"/>
      <c r="O59" s="56"/>
      <c r="P59" s="56"/>
      <c r="Q59" s="55" t="s">
        <v>7</v>
      </c>
      <c r="R59" s="55" t="s">
        <v>7</v>
      </c>
    </row>
    <row r="60" spans="1:18" ht="15.75" customHeight="1" thickBot="1" x14ac:dyDescent="0.35">
      <c r="A60" s="57" t="s">
        <v>71</v>
      </c>
      <c r="B60" s="58">
        <f>SUM(B58:B59)</f>
        <v>0</v>
      </c>
      <c r="C60" s="58">
        <f>SUM(C58:C59)</f>
        <v>0</v>
      </c>
      <c r="D60" s="58">
        <f>SUM(D58:D59)</f>
        <v>0</v>
      </c>
      <c r="E60" s="60">
        <f>SUM(B60:D60)</f>
        <v>0</v>
      </c>
      <c r="F60" s="58">
        <f>SUM(F58:F59)</f>
        <v>0</v>
      </c>
      <c r="G60" s="58">
        <f>SUM(G58:G59)</f>
        <v>0</v>
      </c>
      <c r="H60" s="58">
        <f>SUM(H58:H59)</f>
        <v>0</v>
      </c>
      <c r="I60" s="60">
        <f>SUM(F60:H60)</f>
        <v>0</v>
      </c>
      <c r="J60" s="58">
        <f>SUM(J58:J59)</f>
        <v>0</v>
      </c>
      <c r="K60" s="58">
        <f>SUM(K58:K59)</f>
        <v>0</v>
      </c>
      <c r="L60" s="58">
        <f>SUM(L58:L59)</f>
        <v>0</v>
      </c>
      <c r="M60" s="60">
        <f>SUM(J60:L60)</f>
        <v>0</v>
      </c>
      <c r="N60" s="58">
        <f>SUM(N58:N59)</f>
        <v>0</v>
      </c>
      <c r="O60" s="58">
        <f>SUM(O58:O59)</f>
        <v>0</v>
      </c>
      <c r="P60" s="58">
        <f>SUM(P58:P59)</f>
        <v>0</v>
      </c>
      <c r="Q60" s="60">
        <f>SUM(N60:P60)</f>
        <v>0</v>
      </c>
      <c r="R60" s="59">
        <f>+E60+I60+M60+Q60</f>
        <v>0</v>
      </c>
    </row>
    <row r="61" spans="1:18" ht="15.75" customHeight="1" thickBot="1" x14ac:dyDescent="0.35">
      <c r="A61" s="57" t="s">
        <v>72</v>
      </c>
      <c r="B61" s="58">
        <f>SUM(B53:B59)</f>
        <v>0</v>
      </c>
      <c r="C61" s="58">
        <f>SUM(C53:C59)</f>
        <v>0</v>
      </c>
      <c r="D61" s="58">
        <f>SUM(D53:D59)</f>
        <v>0</v>
      </c>
      <c r="E61" s="60">
        <f>SUM(B61:D61)</f>
        <v>0</v>
      </c>
      <c r="F61" s="58">
        <f>SUM(F53:F59)</f>
        <v>0</v>
      </c>
      <c r="G61" s="58">
        <f>SUM(G53:G59)</f>
        <v>0</v>
      </c>
      <c r="H61" s="58">
        <f>SUM(H53:H59)</f>
        <v>0</v>
      </c>
      <c r="I61" s="60">
        <f>SUM(F61:H61)</f>
        <v>0</v>
      </c>
      <c r="J61" s="58">
        <f>SUM(J53:J59)</f>
        <v>0</v>
      </c>
      <c r="K61" s="58">
        <f>SUM(K53:K59)</f>
        <v>0</v>
      </c>
      <c r="L61" s="58">
        <f>SUM(L53:L59)</f>
        <v>0</v>
      </c>
      <c r="M61" s="60">
        <f>SUM(J61:L61)</f>
        <v>0</v>
      </c>
      <c r="N61" s="58">
        <f>SUM(N53:N59)</f>
        <v>0</v>
      </c>
      <c r="O61" s="58">
        <f>SUM(O53:O59)</f>
        <v>0</v>
      </c>
      <c r="P61" s="58">
        <f>SUM(P53:P59)</f>
        <v>0</v>
      </c>
      <c r="Q61" s="60">
        <f>SUM(N61:P61)</f>
        <v>0</v>
      </c>
      <c r="R61" s="59">
        <f>+E61+I61+M61+Q61</f>
        <v>0</v>
      </c>
    </row>
    <row r="62" spans="1:18" ht="15.75" customHeight="1" thickBot="1" x14ac:dyDescent="0.35">
      <c r="A62" s="57" t="s">
        <v>73</v>
      </c>
      <c r="B62" s="58">
        <f>+B43+B48+B52+B61</f>
        <v>0</v>
      </c>
      <c r="C62" s="58">
        <f>+C43+C48+C52+C61</f>
        <v>0</v>
      </c>
      <c r="D62" s="58">
        <f>+D43+D48+D52+D61</f>
        <v>0</v>
      </c>
      <c r="E62" s="59">
        <f>SUM(B62:D62)</f>
        <v>0</v>
      </c>
      <c r="F62" s="58">
        <f>+F43+F48+F52+F61</f>
        <v>0</v>
      </c>
      <c r="G62" s="58">
        <f>+G43+G48+G52+G61</f>
        <v>0</v>
      </c>
      <c r="H62" s="58">
        <f>+H43+H48+H52+H61</f>
        <v>0</v>
      </c>
      <c r="I62" s="59">
        <f>SUM(F62:H62)</f>
        <v>0</v>
      </c>
      <c r="J62" s="58">
        <f>+J43+J48+J52+J61</f>
        <v>0</v>
      </c>
      <c r="K62" s="58">
        <f>+K43+K48+K52+K61</f>
        <v>0</v>
      </c>
      <c r="L62" s="58">
        <f>+L43+L48+L52+L61</f>
        <v>0</v>
      </c>
      <c r="M62" s="59">
        <f>SUM(J62:L62)</f>
        <v>0</v>
      </c>
      <c r="N62" s="58">
        <f>+N43+N48+N52+N61</f>
        <v>0</v>
      </c>
      <c r="O62" s="58">
        <f>+O43+O48+O52+O61</f>
        <v>0</v>
      </c>
      <c r="P62" s="58">
        <f>+P43+P48+P52+P61</f>
        <v>0</v>
      </c>
      <c r="Q62" s="59">
        <f>SUM(N62:P62)</f>
        <v>0</v>
      </c>
      <c r="R62" s="59">
        <f>+E62+I62+M62+Q62</f>
        <v>0</v>
      </c>
    </row>
    <row r="63" spans="1:18" ht="15.75" customHeight="1" thickBot="1" x14ac:dyDescent="0.35">
      <c r="A63" s="62" t="s">
        <v>40</v>
      </c>
      <c r="B63" s="63">
        <v>96</v>
      </c>
      <c r="C63" s="63">
        <v>145</v>
      </c>
      <c r="D63" s="63">
        <v>261</v>
      </c>
      <c r="E63" s="42">
        <f>SUM(B63:D63)</f>
        <v>502</v>
      </c>
      <c r="F63" s="63">
        <v>350</v>
      </c>
      <c r="G63" s="63">
        <v>402</v>
      </c>
      <c r="H63" s="63">
        <v>396</v>
      </c>
      <c r="I63" s="42">
        <f>SUM(F63:H63)</f>
        <v>1148</v>
      </c>
      <c r="J63" s="63">
        <v>394</v>
      </c>
      <c r="K63" s="63">
        <v>318</v>
      </c>
      <c r="L63" s="63">
        <v>301</v>
      </c>
      <c r="M63" s="42">
        <f>SUM(J63:L63)</f>
        <v>1013</v>
      </c>
      <c r="N63" s="63">
        <v>272</v>
      </c>
      <c r="O63" s="63">
        <v>226</v>
      </c>
      <c r="P63" s="63">
        <v>179</v>
      </c>
      <c r="Q63" s="42">
        <f>SUM(N63:P63)</f>
        <v>677</v>
      </c>
      <c r="R63" s="42">
        <f>+E63+I63+M63+Q63</f>
        <v>3340</v>
      </c>
    </row>
    <row r="64" spans="1:18" ht="15.75" customHeight="1" thickBot="1" x14ac:dyDescent="0.35">
      <c r="A64" s="41"/>
      <c r="B64" s="36"/>
      <c r="C64" s="36"/>
      <c r="D64" s="36"/>
      <c r="E64" s="22"/>
      <c r="F64" s="36"/>
      <c r="G64" s="36"/>
      <c r="H64" s="36"/>
      <c r="I64" s="22"/>
      <c r="J64" s="36"/>
      <c r="K64" s="36"/>
      <c r="L64" s="36"/>
      <c r="M64" s="22"/>
      <c r="N64" s="36"/>
      <c r="O64" s="36"/>
      <c r="P64" s="36"/>
      <c r="Q64" s="22"/>
      <c r="R64" s="41"/>
    </row>
    <row r="65" spans="1:18" ht="15.75" customHeight="1" x14ac:dyDescent="0.3">
      <c r="A65" s="15" t="s">
        <v>41</v>
      </c>
      <c r="B65" s="1">
        <f>+B62+B63</f>
        <v>96</v>
      </c>
      <c r="C65" s="1">
        <f>+C62+C63</f>
        <v>145</v>
      </c>
      <c r="D65" s="1">
        <f>+D62+D63</f>
        <v>261</v>
      </c>
      <c r="E65" s="40">
        <f>SUM(B65:D65)</f>
        <v>502</v>
      </c>
      <c r="F65" s="1">
        <f>+F62+F63</f>
        <v>350</v>
      </c>
      <c r="G65" s="1">
        <f>+G62+G63</f>
        <v>402</v>
      </c>
      <c r="H65" s="1">
        <f>+H62+H63</f>
        <v>396</v>
      </c>
      <c r="I65" s="40">
        <f>SUM(F65:H65)</f>
        <v>1148</v>
      </c>
      <c r="J65" s="1">
        <f>+J62+J63</f>
        <v>394</v>
      </c>
      <c r="K65" s="1">
        <f>+K62+K63</f>
        <v>318</v>
      </c>
      <c r="L65" s="1">
        <f>+L62+L63</f>
        <v>301</v>
      </c>
      <c r="M65" s="40">
        <f>SUM(J65:L65)</f>
        <v>1013</v>
      </c>
      <c r="N65" s="1">
        <f>+N62+N63</f>
        <v>272</v>
      </c>
      <c r="O65" s="1">
        <f>+O62+O63</f>
        <v>226</v>
      </c>
      <c r="P65" s="1">
        <f>+P62+P63</f>
        <v>179</v>
      </c>
      <c r="Q65" s="44">
        <f>SUM(N65:P65)</f>
        <v>677</v>
      </c>
      <c r="R65" s="16">
        <f>+E65+I65+M65+Q65</f>
        <v>3340</v>
      </c>
    </row>
    <row r="66" spans="1:18" ht="15.75" customHeight="1" x14ac:dyDescent="0.3">
      <c r="A66" s="15" t="s">
        <v>42</v>
      </c>
      <c r="B66" s="1">
        <f>(B65/31)/1.983</f>
        <v>1.5616612171197111</v>
      </c>
      <c r="C66" s="1">
        <f>(C65/28)/1.983</f>
        <v>2.6114833225271954</v>
      </c>
      <c r="D66" s="1">
        <f>(D65/31)/1.983</f>
        <v>4.2457664340442145</v>
      </c>
      <c r="E66" s="16"/>
      <c r="F66" s="1">
        <f>(F65/30)/1.983</f>
        <v>5.8833417381072444</v>
      </c>
      <c r="G66" s="1">
        <f>(G65/31)/1.983</f>
        <v>6.5394563466887892</v>
      </c>
      <c r="H66" s="1">
        <f>(H65/30)/1.983</f>
        <v>6.6565809379727678</v>
      </c>
      <c r="I66" s="16"/>
      <c r="J66" s="1">
        <f>(J65/31)/1.983</f>
        <v>6.4093179119288139</v>
      </c>
      <c r="K66" s="1">
        <f>(K65/31)/1.983</f>
        <v>5.1730027817090427</v>
      </c>
      <c r="L66" s="1">
        <f>(L65/30)/1.983</f>
        <v>5.0596738947722306</v>
      </c>
      <c r="M66" s="16"/>
      <c r="N66" s="1">
        <f>(N65/31)/1.983</f>
        <v>4.4247067818391805</v>
      </c>
      <c r="O66" s="1">
        <f>(O65/30)/1.983</f>
        <v>3.7989578080349635</v>
      </c>
      <c r="P66" s="1">
        <f>(P65/31)/1.983</f>
        <v>2.9118474777544612</v>
      </c>
      <c r="Q66" s="17"/>
      <c r="R66" s="64"/>
    </row>
    <row r="67" spans="1:18" ht="15.75" customHeight="1" x14ac:dyDescent="0.3">
      <c r="A67" s="15" t="s">
        <v>74</v>
      </c>
      <c r="B67" s="1">
        <f>B65+B133</f>
        <v>164543</v>
      </c>
      <c r="C67" s="1">
        <f>C65+C133</f>
        <v>157578</v>
      </c>
      <c r="D67" s="1">
        <f>D65+D133</f>
        <v>168147</v>
      </c>
      <c r="E67" s="16">
        <f>SUM(B67:D67)</f>
        <v>490268</v>
      </c>
      <c r="F67" s="1">
        <f>F65+F133</f>
        <v>165593</v>
      </c>
      <c r="G67" s="1">
        <f>G65+G133</f>
        <v>171563</v>
      </c>
      <c r="H67" s="1">
        <f>H65+H133</f>
        <v>128085</v>
      </c>
      <c r="I67" s="16">
        <f>SUM(F67:H67)</f>
        <v>465241</v>
      </c>
      <c r="J67" s="1">
        <f>J65+J133</f>
        <v>80513</v>
      </c>
      <c r="K67" s="1">
        <f>K65+K133</f>
        <v>68245</v>
      </c>
      <c r="L67" s="1">
        <f>L65+L133</f>
        <v>94094</v>
      </c>
      <c r="M67" s="16">
        <f>SUM(J67:L67)</f>
        <v>242852</v>
      </c>
      <c r="N67" s="1">
        <f>N65+N133</f>
        <v>135110</v>
      </c>
      <c r="O67" s="1">
        <f>O65+O133</f>
        <v>167920</v>
      </c>
      <c r="P67" s="1">
        <f>P65+P133</f>
        <v>66431</v>
      </c>
      <c r="Q67" s="17">
        <f>SUM(N67:P67)</f>
        <v>369461</v>
      </c>
      <c r="R67" s="16">
        <f>+E67+I67+M67+Q67</f>
        <v>1567822</v>
      </c>
    </row>
    <row r="68" spans="1:18" ht="15.75" customHeight="1" thickBot="1" x14ac:dyDescent="0.35">
      <c r="A68" s="20" t="s">
        <v>75</v>
      </c>
      <c r="B68" s="21">
        <f>(B67/31)/1.983</f>
        <v>2676.6710588388396</v>
      </c>
      <c r="C68" s="21">
        <f>(C67/28)/1.983</f>
        <v>2838.0159930840719</v>
      </c>
      <c r="D68" s="21">
        <f>(D67/31)/1.983</f>
        <v>2735.2984236982088</v>
      </c>
      <c r="E68" s="22"/>
      <c r="F68" s="21">
        <f>(F67/30)/1.983</f>
        <v>2783.5434526811227</v>
      </c>
      <c r="G68" s="21">
        <f>(G67/31)/1.983</f>
        <v>2790.8675353407184</v>
      </c>
      <c r="H68" s="21">
        <f>(H67/30)/1.983</f>
        <v>2153.0509329299039</v>
      </c>
      <c r="I68" s="22"/>
      <c r="J68" s="21">
        <f>(J67/31)/1.983</f>
        <v>1309.7294747287426</v>
      </c>
      <c r="K68" s="21">
        <f>(K67/31)/1.983</f>
        <v>1110.1621850243196</v>
      </c>
      <c r="L68" s="21">
        <f>(L67/30)/1.983</f>
        <v>1581.6775928727516</v>
      </c>
      <c r="M68" s="22"/>
      <c r="N68" s="21">
        <f>(N67/31)/1.983</f>
        <v>2197.8754900525432</v>
      </c>
      <c r="O68" s="21">
        <f>(O67/30)/1.983</f>
        <v>2822.6592704656241</v>
      </c>
      <c r="P68" s="21">
        <f>(P67/31)/1.983</f>
        <v>1080.653294942495</v>
      </c>
      <c r="Q68" s="23"/>
      <c r="R68" s="65" t="s">
        <v>7</v>
      </c>
    </row>
    <row r="69" spans="1:18" ht="15.75" customHeight="1" x14ac:dyDescent="0.3">
      <c r="A69" s="2"/>
      <c r="B69" s="1"/>
      <c r="C69" s="1"/>
      <c r="D69" s="1"/>
      <c r="E69" s="1"/>
      <c r="F69" s="1"/>
      <c r="G69" s="1"/>
      <c r="H69" s="1"/>
      <c r="I69" s="1"/>
      <c r="J69" s="1"/>
      <c r="K69" s="1"/>
      <c r="L69" s="1"/>
      <c r="M69" s="1"/>
      <c r="N69" s="1"/>
      <c r="O69" s="1"/>
      <c r="P69" s="1"/>
      <c r="Q69" s="1"/>
      <c r="R69" s="2"/>
    </row>
    <row r="70" spans="1:18" ht="15.75" customHeight="1" thickBot="1" x14ac:dyDescent="0.35">
      <c r="A70" s="2"/>
      <c r="B70" s="1"/>
      <c r="C70" s="1"/>
      <c r="D70" s="1"/>
      <c r="E70" s="1"/>
      <c r="F70" s="1"/>
      <c r="G70" s="1"/>
      <c r="H70" s="1"/>
      <c r="I70" s="1"/>
      <c r="J70" s="1"/>
      <c r="K70" s="1"/>
      <c r="L70" s="1"/>
      <c r="M70" s="1"/>
      <c r="N70" s="1"/>
      <c r="O70" s="1"/>
      <c r="P70" s="1"/>
      <c r="Q70" s="1"/>
      <c r="R70" s="2"/>
    </row>
    <row r="71" spans="1:18" ht="15.75" customHeight="1" thickBot="1" x14ac:dyDescent="0.35">
      <c r="A71" s="29" t="s">
        <v>76</v>
      </c>
      <c r="B71" s="30" t="s">
        <v>8</v>
      </c>
      <c r="C71" s="31" t="s">
        <v>9</v>
      </c>
      <c r="D71" s="31" t="s">
        <v>10</v>
      </c>
      <c r="E71" s="32" t="s">
        <v>11</v>
      </c>
      <c r="F71" s="31" t="s">
        <v>12</v>
      </c>
      <c r="G71" s="31" t="s">
        <v>13</v>
      </c>
      <c r="H71" s="31" t="s">
        <v>14</v>
      </c>
      <c r="I71" s="33" t="s">
        <v>15</v>
      </c>
      <c r="J71" s="31" t="s">
        <v>16</v>
      </c>
      <c r="K71" s="31" t="s">
        <v>17</v>
      </c>
      <c r="L71" s="31" t="s">
        <v>18</v>
      </c>
      <c r="M71" s="33" t="s">
        <v>19</v>
      </c>
      <c r="N71" s="31" t="s">
        <v>20</v>
      </c>
      <c r="O71" s="31" t="s">
        <v>21</v>
      </c>
      <c r="P71" s="31" t="s">
        <v>22</v>
      </c>
      <c r="Q71" s="33" t="s">
        <v>23</v>
      </c>
      <c r="R71" s="34" t="s">
        <v>24</v>
      </c>
    </row>
    <row r="72" spans="1:18" ht="15.75" customHeight="1" thickBot="1" x14ac:dyDescent="0.35">
      <c r="A72" s="66"/>
      <c r="B72" s="67"/>
      <c r="C72" s="68"/>
      <c r="D72" s="68"/>
      <c r="E72" s="69"/>
      <c r="F72" s="68"/>
      <c r="G72" s="68"/>
      <c r="H72" s="68"/>
      <c r="I72" s="69"/>
      <c r="J72" s="68"/>
      <c r="K72" s="68"/>
      <c r="L72" s="68"/>
      <c r="M72" s="69"/>
      <c r="N72" s="68"/>
      <c r="O72" s="68"/>
      <c r="P72" s="70"/>
      <c r="Q72" s="69"/>
      <c r="R72" s="59"/>
    </row>
    <row r="73" spans="1:18" ht="15.75" customHeight="1" x14ac:dyDescent="0.3">
      <c r="A73" s="54" t="s">
        <v>48</v>
      </c>
      <c r="B73" s="28"/>
      <c r="C73" s="28"/>
      <c r="D73" s="28"/>
      <c r="E73" s="55" t="s">
        <v>7</v>
      </c>
      <c r="F73" s="28"/>
      <c r="G73" s="28"/>
      <c r="H73" s="28"/>
      <c r="I73" s="55" t="s">
        <v>7</v>
      </c>
      <c r="J73" s="28"/>
      <c r="K73" s="28"/>
      <c r="L73" s="28"/>
      <c r="M73" s="55" t="s">
        <v>7</v>
      </c>
      <c r="N73" s="28"/>
      <c r="O73" s="28"/>
      <c r="P73" s="28"/>
      <c r="Q73" s="55" t="s">
        <v>7</v>
      </c>
      <c r="R73" s="55" t="s">
        <v>7</v>
      </c>
    </row>
    <row r="74" spans="1:18" ht="15.75" customHeight="1" x14ac:dyDescent="0.3">
      <c r="A74" s="18" t="s">
        <v>49</v>
      </c>
      <c r="B74" s="28"/>
      <c r="C74" s="56"/>
      <c r="D74" s="56"/>
      <c r="E74" s="55" t="s">
        <v>7</v>
      </c>
      <c r="F74" s="56"/>
      <c r="G74" s="56"/>
      <c r="H74" s="56"/>
      <c r="I74" s="55" t="s">
        <v>7</v>
      </c>
      <c r="J74" s="56"/>
      <c r="K74" s="56"/>
      <c r="L74" s="56"/>
      <c r="M74" s="55" t="s">
        <v>7</v>
      </c>
      <c r="N74" s="56"/>
      <c r="O74" s="56"/>
      <c r="P74" s="56"/>
      <c r="Q74" s="55" t="s">
        <v>7</v>
      </c>
      <c r="R74" s="55" t="s">
        <v>7</v>
      </c>
    </row>
    <row r="75" spans="1:18" ht="15.75" customHeight="1" x14ac:dyDescent="0.3">
      <c r="A75" s="71" t="s">
        <v>77</v>
      </c>
      <c r="B75" s="1">
        <v>0</v>
      </c>
      <c r="C75" s="1">
        <v>0</v>
      </c>
      <c r="D75" s="1">
        <v>0</v>
      </c>
      <c r="E75" s="55">
        <f>SUM(B75:D75)</f>
        <v>0</v>
      </c>
      <c r="F75" s="1">
        <v>0</v>
      </c>
      <c r="G75" s="1">
        <v>3231</v>
      </c>
      <c r="H75" s="1">
        <v>0</v>
      </c>
      <c r="I75" s="55">
        <f>SUM(F75:H75)</f>
        <v>3231</v>
      </c>
      <c r="J75" s="1">
        <v>0</v>
      </c>
      <c r="K75" s="1">
        <v>0</v>
      </c>
      <c r="L75" s="1">
        <v>0</v>
      </c>
      <c r="M75" s="55">
        <f>SUM(J75:L75)</f>
        <v>0</v>
      </c>
      <c r="N75" s="1">
        <v>0</v>
      </c>
      <c r="O75" s="1">
        <v>0</v>
      </c>
      <c r="P75" s="1">
        <v>0</v>
      </c>
      <c r="Q75" s="55">
        <f>SUM(N75:P75)</f>
        <v>0</v>
      </c>
      <c r="R75" s="55">
        <f>+E75+I75+M75+Q75</f>
        <v>3231</v>
      </c>
    </row>
    <row r="76" spans="1:18" ht="15.75" customHeight="1" x14ac:dyDescent="0.3">
      <c r="A76" s="71" t="s">
        <v>78</v>
      </c>
      <c r="B76" s="1">
        <v>0</v>
      </c>
      <c r="C76" s="1">
        <v>2952</v>
      </c>
      <c r="D76" s="1">
        <v>0</v>
      </c>
      <c r="E76" s="55">
        <f>SUM(B76:D76)</f>
        <v>2952</v>
      </c>
      <c r="F76" s="1">
        <v>0</v>
      </c>
      <c r="G76" s="1">
        <v>0</v>
      </c>
      <c r="H76" s="1">
        <v>0</v>
      </c>
      <c r="I76" s="55">
        <f>SUM(F76:H76)</f>
        <v>0</v>
      </c>
      <c r="J76" s="1">
        <v>0</v>
      </c>
      <c r="K76" s="1">
        <v>0</v>
      </c>
      <c r="L76" s="1">
        <v>0</v>
      </c>
      <c r="M76" s="55">
        <f>SUM(J76:L76)</f>
        <v>0</v>
      </c>
      <c r="N76" s="1">
        <v>0</v>
      </c>
      <c r="O76" s="1">
        <v>0</v>
      </c>
      <c r="P76" s="1">
        <v>0</v>
      </c>
      <c r="Q76" s="55">
        <f>SUM(N76:P76)</f>
        <v>0</v>
      </c>
      <c r="R76" s="55">
        <f>+E76+I76+M76+Q76</f>
        <v>2952</v>
      </c>
    </row>
    <row r="77" spans="1:18" ht="15.75" customHeight="1" x14ac:dyDescent="0.3">
      <c r="A77" s="72" t="s">
        <v>79</v>
      </c>
      <c r="B77" s="1">
        <v>0</v>
      </c>
      <c r="C77" s="1">
        <v>0</v>
      </c>
      <c r="D77" s="1">
        <v>0</v>
      </c>
      <c r="E77" s="55">
        <f>SUM(B77:D77)</f>
        <v>0</v>
      </c>
      <c r="F77" s="1">
        <v>0</v>
      </c>
      <c r="G77" s="1">
        <v>0</v>
      </c>
      <c r="H77" s="1">
        <v>1000</v>
      </c>
      <c r="I77" s="55">
        <f>SUM(F77:H77)</f>
        <v>1000</v>
      </c>
      <c r="J77" s="1">
        <v>0</v>
      </c>
      <c r="K77" s="1">
        <v>0</v>
      </c>
      <c r="L77" s="1">
        <v>0</v>
      </c>
      <c r="M77" s="55">
        <f>SUM(J77:L77)</f>
        <v>0</v>
      </c>
      <c r="N77" s="1">
        <v>1849</v>
      </c>
      <c r="O77" s="1">
        <v>654</v>
      </c>
      <c r="P77" s="1">
        <v>0</v>
      </c>
      <c r="Q77" s="55">
        <f>SUM(N77:P77)</f>
        <v>2503</v>
      </c>
      <c r="R77" s="55">
        <f>+E77+I77+M77+Q77</f>
        <v>3503</v>
      </c>
    </row>
    <row r="78" spans="1:18" ht="15.75" customHeight="1" x14ac:dyDescent="0.3">
      <c r="A78" s="72" t="s">
        <v>80</v>
      </c>
      <c r="B78" s="1">
        <v>0</v>
      </c>
      <c r="C78" s="1">
        <v>0</v>
      </c>
      <c r="D78" s="1">
        <v>0</v>
      </c>
      <c r="E78" s="55">
        <f>SUM(B78:D78)</f>
        <v>0</v>
      </c>
      <c r="F78" s="1">
        <v>0</v>
      </c>
      <c r="G78" s="1">
        <v>0</v>
      </c>
      <c r="H78" s="1">
        <v>5690</v>
      </c>
      <c r="I78" s="55">
        <f>SUM(F78:H78)</f>
        <v>5690</v>
      </c>
      <c r="J78" s="1">
        <v>0</v>
      </c>
      <c r="K78" s="1">
        <v>0</v>
      </c>
      <c r="L78" s="1">
        <v>0</v>
      </c>
      <c r="M78" s="55">
        <f>SUM(J78:L78)</f>
        <v>0</v>
      </c>
      <c r="N78" s="1">
        <v>0</v>
      </c>
      <c r="O78" s="1">
        <v>0</v>
      </c>
      <c r="P78" s="1">
        <v>0</v>
      </c>
      <c r="Q78" s="55">
        <f>SUM(N78:P78)</f>
        <v>0</v>
      </c>
      <c r="R78" s="55">
        <f>+E78+I78+M78+Q78</f>
        <v>5690</v>
      </c>
    </row>
    <row r="79" spans="1:18" ht="15.75" customHeight="1" x14ac:dyDescent="0.3">
      <c r="A79" s="18" t="s">
        <v>50</v>
      </c>
      <c r="B79" s="28"/>
      <c r="C79" s="28"/>
      <c r="D79" s="28"/>
      <c r="E79" s="55" t="s">
        <v>7</v>
      </c>
      <c r="F79" s="28"/>
      <c r="G79" s="28"/>
      <c r="H79" s="28"/>
      <c r="I79" s="55" t="s">
        <v>7</v>
      </c>
      <c r="J79" s="28"/>
      <c r="K79" s="28"/>
      <c r="L79" s="28"/>
      <c r="M79" s="55" t="s">
        <v>7</v>
      </c>
      <c r="N79" s="28"/>
      <c r="O79" s="28"/>
      <c r="P79" s="28"/>
      <c r="Q79" s="55" t="s">
        <v>7</v>
      </c>
      <c r="R79" s="55" t="s">
        <v>7</v>
      </c>
    </row>
    <row r="80" spans="1:18" ht="15.75" customHeight="1" x14ac:dyDescent="0.3">
      <c r="A80" s="72" t="s">
        <v>81</v>
      </c>
      <c r="B80" s="1">
        <v>0</v>
      </c>
      <c r="C80" s="1">
        <v>0</v>
      </c>
      <c r="D80" s="1">
        <v>0</v>
      </c>
      <c r="E80" s="55">
        <f>SUM(B80:D80)</f>
        <v>0</v>
      </c>
      <c r="F80" s="1">
        <v>0</v>
      </c>
      <c r="G80" s="1">
        <v>0</v>
      </c>
      <c r="H80" s="1">
        <v>0</v>
      </c>
      <c r="I80" s="55">
        <f>SUM(F80:H80)</f>
        <v>0</v>
      </c>
      <c r="J80" s="1">
        <v>0</v>
      </c>
      <c r="K80" s="1">
        <v>0</v>
      </c>
      <c r="L80" s="1">
        <v>0</v>
      </c>
      <c r="M80" s="55">
        <f>SUM(J80:L80)</f>
        <v>0</v>
      </c>
      <c r="N80" s="1">
        <v>0</v>
      </c>
      <c r="O80" s="1">
        <v>0</v>
      </c>
      <c r="P80" s="1">
        <v>0</v>
      </c>
      <c r="Q80" s="55">
        <f>SUM(N80:P80)</f>
        <v>0</v>
      </c>
      <c r="R80" s="55">
        <f>+E80+I80+M80+Q80</f>
        <v>0</v>
      </c>
    </row>
    <row r="81" spans="1:18" ht="15.75" customHeight="1" x14ac:dyDescent="0.3">
      <c r="A81" s="72" t="s">
        <v>82</v>
      </c>
      <c r="B81" s="1">
        <v>0</v>
      </c>
      <c r="C81" s="1">
        <v>0</v>
      </c>
      <c r="D81" s="1">
        <v>0</v>
      </c>
      <c r="E81" s="55">
        <f>SUM(B81:D81)</f>
        <v>0</v>
      </c>
      <c r="F81" s="1">
        <v>0</v>
      </c>
      <c r="G81" s="1">
        <v>0</v>
      </c>
      <c r="H81" s="1">
        <v>0</v>
      </c>
      <c r="I81" s="55">
        <f>SUM(F81:H81)</f>
        <v>0</v>
      </c>
      <c r="J81" s="1">
        <v>0</v>
      </c>
      <c r="K81" s="1">
        <v>0</v>
      </c>
      <c r="L81" s="1">
        <v>0</v>
      </c>
      <c r="M81" s="55">
        <f>SUM(J81:L81)</f>
        <v>0</v>
      </c>
      <c r="N81" s="1">
        <v>0</v>
      </c>
      <c r="O81" s="1">
        <v>604</v>
      </c>
      <c r="P81" s="1">
        <v>0</v>
      </c>
      <c r="Q81" s="55">
        <f>SUM(N81:P81)</f>
        <v>604</v>
      </c>
      <c r="R81" s="55">
        <f>+E81+I81+M81+Q81</f>
        <v>604</v>
      </c>
    </row>
    <row r="82" spans="1:18" ht="15.75" customHeight="1" x14ac:dyDescent="0.3">
      <c r="A82" s="72" t="s">
        <v>83</v>
      </c>
      <c r="B82" s="1">
        <v>0</v>
      </c>
      <c r="C82" s="1">
        <v>0</v>
      </c>
      <c r="D82" s="1">
        <v>0</v>
      </c>
      <c r="E82" s="55">
        <f>SUM(B82:D82)</f>
        <v>0</v>
      </c>
      <c r="F82" s="1">
        <v>0</v>
      </c>
      <c r="G82" s="1">
        <v>0</v>
      </c>
      <c r="H82" s="1">
        <v>62</v>
      </c>
      <c r="I82" s="55">
        <f>SUM(F82:H82)</f>
        <v>62</v>
      </c>
      <c r="J82" s="1">
        <v>269</v>
      </c>
      <c r="K82" s="1">
        <v>389</v>
      </c>
      <c r="L82" s="1">
        <v>304</v>
      </c>
      <c r="M82" s="55">
        <f>SUM(J82:L82)</f>
        <v>962</v>
      </c>
      <c r="N82" s="1">
        <v>177</v>
      </c>
      <c r="O82" s="1">
        <v>23</v>
      </c>
      <c r="P82" s="1">
        <v>0</v>
      </c>
      <c r="Q82" s="55">
        <f>SUM(N82:P82)</f>
        <v>200</v>
      </c>
      <c r="R82" s="55">
        <f>+E82+I82+M82+Q82</f>
        <v>1224</v>
      </c>
    </row>
    <row r="83" spans="1:18" ht="15.75" customHeight="1" x14ac:dyDescent="0.3">
      <c r="A83" s="72" t="s">
        <v>84</v>
      </c>
      <c r="B83" s="1">
        <v>0</v>
      </c>
      <c r="C83" s="1">
        <v>0</v>
      </c>
      <c r="D83" s="1">
        <v>0</v>
      </c>
      <c r="E83" s="55">
        <f>SUM(B83:D83)</f>
        <v>0</v>
      </c>
      <c r="F83" s="1">
        <v>0</v>
      </c>
      <c r="G83" s="1">
        <v>0</v>
      </c>
      <c r="H83" s="1">
        <v>0</v>
      </c>
      <c r="I83" s="55">
        <f>SUM(F83:H83)</f>
        <v>0</v>
      </c>
      <c r="J83" s="1">
        <v>0</v>
      </c>
      <c r="K83" s="1">
        <v>0</v>
      </c>
      <c r="L83" s="1">
        <v>0</v>
      </c>
      <c r="M83" s="55">
        <f>SUM(J83:L83)</f>
        <v>0</v>
      </c>
      <c r="N83" s="1">
        <v>124</v>
      </c>
      <c r="O83" s="1">
        <v>0</v>
      </c>
      <c r="P83" s="1">
        <v>0</v>
      </c>
      <c r="Q83" s="55">
        <f>SUM(N83:P83)</f>
        <v>124</v>
      </c>
      <c r="R83" s="55">
        <f>+E83+I83+M83+Q83</f>
        <v>124</v>
      </c>
    </row>
    <row r="84" spans="1:18" ht="15.75" customHeight="1" x14ac:dyDescent="0.3">
      <c r="A84" s="72" t="s">
        <v>85</v>
      </c>
      <c r="B84" s="1">
        <v>0</v>
      </c>
      <c r="C84" s="1">
        <v>0</v>
      </c>
      <c r="D84" s="1">
        <v>0</v>
      </c>
      <c r="E84" s="55">
        <f>SUM(B84:D84)</f>
        <v>0</v>
      </c>
      <c r="F84" s="1">
        <v>0</v>
      </c>
      <c r="G84" s="1">
        <v>0</v>
      </c>
      <c r="H84" s="1">
        <v>0</v>
      </c>
      <c r="I84" s="55">
        <f>SUM(F84:H84)</f>
        <v>0</v>
      </c>
      <c r="J84" s="1">
        <v>0</v>
      </c>
      <c r="K84" s="1">
        <v>0</v>
      </c>
      <c r="L84" s="1">
        <v>0</v>
      </c>
      <c r="M84" s="55">
        <f>SUM(J84:L84)</f>
        <v>0</v>
      </c>
      <c r="N84" s="1">
        <v>0</v>
      </c>
      <c r="O84" s="1">
        <v>2299</v>
      </c>
      <c r="P84" s="1">
        <v>1296</v>
      </c>
      <c r="Q84" s="55">
        <f>SUM(N84:P84)</f>
        <v>3595</v>
      </c>
      <c r="R84" s="55">
        <f>+E84+I84+M84+Q84</f>
        <v>3595</v>
      </c>
    </row>
    <row r="85" spans="1:18" ht="15.75" customHeight="1" x14ac:dyDescent="0.3">
      <c r="A85" s="18" t="s">
        <v>51</v>
      </c>
      <c r="B85" s="28"/>
      <c r="C85" s="28"/>
      <c r="D85" s="28"/>
      <c r="E85" s="55" t="s">
        <v>52</v>
      </c>
      <c r="F85" s="28"/>
      <c r="G85" s="28"/>
      <c r="H85" s="28"/>
      <c r="I85" s="55" t="s">
        <v>52</v>
      </c>
      <c r="J85" s="28"/>
      <c r="K85" s="28"/>
      <c r="L85" s="28"/>
      <c r="M85" s="55" t="s">
        <v>52</v>
      </c>
      <c r="N85" s="28"/>
      <c r="O85" s="28"/>
      <c r="P85" s="28"/>
      <c r="Q85" s="55" t="s">
        <v>52</v>
      </c>
      <c r="R85" s="55" t="s">
        <v>52</v>
      </c>
    </row>
    <row r="86" spans="1:18" ht="15.75" customHeight="1" x14ac:dyDescent="0.3">
      <c r="A86" s="61" t="s">
        <v>86</v>
      </c>
      <c r="B86" s="1">
        <v>0</v>
      </c>
      <c r="C86" s="1">
        <v>0</v>
      </c>
      <c r="D86" s="1">
        <v>0</v>
      </c>
      <c r="E86" s="55">
        <f>SUM(B86:D86)</f>
        <v>0</v>
      </c>
      <c r="F86" s="1">
        <v>0</v>
      </c>
      <c r="G86" s="1">
        <v>0</v>
      </c>
      <c r="H86" s="1">
        <v>0</v>
      </c>
      <c r="I86" s="55">
        <f>SUM(F86:H86)</f>
        <v>0</v>
      </c>
      <c r="J86" s="1">
        <v>0</v>
      </c>
      <c r="K86" s="1">
        <v>0</v>
      </c>
      <c r="L86" s="1">
        <v>0</v>
      </c>
      <c r="M86" s="55">
        <f>SUM(J86:L86)</f>
        <v>0</v>
      </c>
      <c r="N86" s="1">
        <v>0</v>
      </c>
      <c r="O86" s="1">
        <v>0</v>
      </c>
      <c r="P86" s="1">
        <v>0</v>
      </c>
      <c r="Q86" s="55">
        <f>SUM(N86:P86)</f>
        <v>0</v>
      </c>
      <c r="R86" s="55">
        <f>+E86+I86+M86+Q86</f>
        <v>0</v>
      </c>
    </row>
    <row r="87" spans="1:18" ht="15.75" customHeight="1" x14ac:dyDescent="0.3">
      <c r="A87" s="61" t="s">
        <v>87</v>
      </c>
      <c r="B87" s="1">
        <v>747</v>
      </c>
      <c r="C87" s="1">
        <v>583</v>
      </c>
      <c r="D87" s="1">
        <v>1703</v>
      </c>
      <c r="E87" s="55">
        <f>SUM(B87:D87)</f>
        <v>3033</v>
      </c>
      <c r="F87" s="1">
        <v>767</v>
      </c>
      <c r="G87" s="1">
        <v>0</v>
      </c>
      <c r="H87" s="1">
        <v>0</v>
      </c>
      <c r="I87" s="55">
        <f>SUM(F87:H87)</f>
        <v>767</v>
      </c>
      <c r="J87" s="1">
        <v>0</v>
      </c>
      <c r="K87" s="1">
        <v>0</v>
      </c>
      <c r="L87" s="1">
        <v>0</v>
      </c>
      <c r="M87" s="55">
        <f>SUM(J87:L87)</f>
        <v>0</v>
      </c>
      <c r="N87" s="1">
        <v>0</v>
      </c>
      <c r="O87" s="1">
        <v>0</v>
      </c>
      <c r="P87" s="1">
        <v>0</v>
      </c>
      <c r="Q87" s="55">
        <f>SUM(N87:P87)</f>
        <v>0</v>
      </c>
      <c r="R87" s="55">
        <f>+E87+I87+M87+Q87</f>
        <v>3800</v>
      </c>
    </row>
    <row r="88" spans="1:18" ht="15.75" customHeight="1" thickBot="1" x14ac:dyDescent="0.35">
      <c r="A88" s="18" t="s">
        <v>53</v>
      </c>
      <c r="B88" s="56"/>
      <c r="C88" s="56"/>
      <c r="D88" s="56"/>
      <c r="E88" s="55" t="s">
        <v>7</v>
      </c>
      <c r="F88" s="56"/>
      <c r="G88" s="56"/>
      <c r="H88" s="56"/>
      <c r="I88" s="55" t="s">
        <v>7</v>
      </c>
      <c r="J88" s="56"/>
      <c r="K88" s="56"/>
      <c r="L88" s="56"/>
      <c r="M88" s="55" t="s">
        <v>7</v>
      </c>
      <c r="N88" s="56"/>
      <c r="O88" s="56"/>
      <c r="P88" s="56"/>
      <c r="Q88" s="55" t="s">
        <v>7</v>
      </c>
      <c r="R88" s="55" t="s">
        <v>7</v>
      </c>
    </row>
    <row r="89" spans="1:18" ht="15.75" customHeight="1" thickBot="1" x14ac:dyDescent="0.35">
      <c r="A89" s="57" t="s">
        <v>54</v>
      </c>
      <c r="B89" s="58">
        <f>SUM(B73:B88)</f>
        <v>747</v>
      </c>
      <c r="C89" s="58">
        <f>SUM(C73:C88)</f>
        <v>3535</v>
      </c>
      <c r="D89" s="58">
        <f>SUM(D73:D88)</f>
        <v>1703</v>
      </c>
      <c r="E89" s="59">
        <f>SUM(B89:D89)</f>
        <v>5985</v>
      </c>
      <c r="F89" s="58">
        <f>SUM(F73:F88)</f>
        <v>767</v>
      </c>
      <c r="G89" s="58">
        <f>SUM(G73:G88)</f>
        <v>3231</v>
      </c>
      <c r="H89" s="58">
        <f>SUM(H73:H88)</f>
        <v>6752</v>
      </c>
      <c r="I89" s="59">
        <f>SUM(F89:H89)</f>
        <v>10750</v>
      </c>
      <c r="J89" s="58">
        <f>SUM(J73:J88)</f>
        <v>269</v>
      </c>
      <c r="K89" s="58">
        <f>SUM(K73:K88)</f>
        <v>389</v>
      </c>
      <c r="L89" s="58">
        <f>SUM(L73:L88)</f>
        <v>304</v>
      </c>
      <c r="M89" s="59">
        <f>SUM(J89:L89)</f>
        <v>962</v>
      </c>
      <c r="N89" s="58">
        <f>SUM(N73:N88)</f>
        <v>2150</v>
      </c>
      <c r="O89" s="58">
        <f>SUM(O73:O88)</f>
        <v>3580</v>
      </c>
      <c r="P89" s="58">
        <f>SUM(P73:P88)</f>
        <v>1296</v>
      </c>
      <c r="Q89" s="59">
        <f>SUM(N89:P89)</f>
        <v>7026</v>
      </c>
      <c r="R89" s="59">
        <f>+E89+I89+M89+Q89</f>
        <v>24723</v>
      </c>
    </row>
    <row r="90" spans="1:18" ht="15.75" customHeight="1" x14ac:dyDescent="0.3">
      <c r="A90" s="18" t="s">
        <v>55</v>
      </c>
      <c r="B90" s="56"/>
      <c r="C90" s="56"/>
      <c r="D90" s="56"/>
      <c r="E90" s="55" t="s">
        <v>7</v>
      </c>
      <c r="F90" s="56"/>
      <c r="G90" s="56"/>
      <c r="H90" s="56"/>
      <c r="I90" s="55" t="s">
        <v>7</v>
      </c>
      <c r="J90" s="56"/>
      <c r="K90" s="56"/>
      <c r="L90" s="56"/>
      <c r="M90" s="55" t="s">
        <v>7</v>
      </c>
      <c r="N90" s="56"/>
      <c r="O90" s="56"/>
      <c r="P90" s="56"/>
      <c r="Q90" s="55" t="s">
        <v>7</v>
      </c>
      <c r="R90" s="60" t="s">
        <v>7</v>
      </c>
    </row>
    <row r="91" spans="1:18" ht="15.75" customHeight="1" x14ac:dyDescent="0.3">
      <c r="A91" s="18" t="s">
        <v>56</v>
      </c>
      <c r="B91" s="56"/>
      <c r="C91" s="56"/>
      <c r="D91" s="56"/>
      <c r="E91" s="55" t="s">
        <v>7</v>
      </c>
      <c r="F91" s="56"/>
      <c r="G91" s="56"/>
      <c r="H91" s="56"/>
      <c r="I91" s="55" t="s">
        <v>7</v>
      </c>
      <c r="J91" s="56"/>
      <c r="K91" s="56"/>
      <c r="L91" s="56"/>
      <c r="M91" s="55" t="s">
        <v>7</v>
      </c>
      <c r="N91" s="56"/>
      <c r="O91" s="56"/>
      <c r="P91" s="56"/>
      <c r="Q91" s="55" t="s">
        <v>7</v>
      </c>
      <c r="R91" s="55" t="s">
        <v>7</v>
      </c>
    </row>
    <row r="92" spans="1:18" ht="15.75" customHeight="1" x14ac:dyDescent="0.3">
      <c r="A92" s="18" t="s">
        <v>57</v>
      </c>
      <c r="B92" s="56"/>
      <c r="C92" s="56"/>
      <c r="D92" s="56"/>
      <c r="E92" s="55" t="s">
        <v>7</v>
      </c>
      <c r="F92" s="56"/>
      <c r="G92" s="56"/>
      <c r="H92" s="56"/>
      <c r="I92" s="55" t="s">
        <v>7</v>
      </c>
      <c r="J92" s="56"/>
      <c r="K92" s="56"/>
      <c r="L92" s="56"/>
      <c r="M92" s="55" t="s">
        <v>7</v>
      </c>
      <c r="N92" s="56"/>
      <c r="O92" s="56"/>
      <c r="P92" s="56"/>
      <c r="Q92" s="55" t="s">
        <v>7</v>
      </c>
      <c r="R92" s="55" t="s">
        <v>7</v>
      </c>
    </row>
    <row r="93" spans="1:18" ht="15.75" customHeight="1" x14ac:dyDescent="0.3">
      <c r="A93" s="72" t="s">
        <v>81</v>
      </c>
      <c r="B93" s="1">
        <v>1289</v>
      </c>
      <c r="C93" s="1">
        <v>1592</v>
      </c>
      <c r="D93" s="1">
        <v>4942</v>
      </c>
      <c r="E93" s="55">
        <f>SUM(B93:D93)</f>
        <v>7823</v>
      </c>
      <c r="F93" s="1">
        <v>8651</v>
      </c>
      <c r="G93" s="1">
        <v>4700</v>
      </c>
      <c r="H93" s="1">
        <v>2071</v>
      </c>
      <c r="I93" s="55">
        <f>SUM(F93:H93)</f>
        <v>15422</v>
      </c>
      <c r="J93" s="1">
        <v>2026</v>
      </c>
      <c r="K93" s="1">
        <v>3133</v>
      </c>
      <c r="L93" s="1">
        <v>2672</v>
      </c>
      <c r="M93" s="55">
        <f>SUM(J93:L93)</f>
        <v>7831</v>
      </c>
      <c r="N93" s="1">
        <v>1084</v>
      </c>
      <c r="O93" s="1">
        <v>622</v>
      </c>
      <c r="P93" s="1">
        <v>1702</v>
      </c>
      <c r="Q93" s="55">
        <f>SUM(N93:P93)</f>
        <v>3408</v>
      </c>
      <c r="R93" s="55">
        <f>+E93+I93+M93+Q93</f>
        <v>34484</v>
      </c>
    </row>
    <row r="94" spans="1:18" ht="15.75" customHeight="1" x14ac:dyDescent="0.3">
      <c r="A94" s="72" t="s">
        <v>87</v>
      </c>
      <c r="B94" s="1">
        <v>0</v>
      </c>
      <c r="C94" s="1">
        <v>0</v>
      </c>
      <c r="D94" s="1">
        <v>0</v>
      </c>
      <c r="E94" s="55">
        <f>SUM(B94:D94)</f>
        <v>0</v>
      </c>
      <c r="F94" s="1">
        <v>1000</v>
      </c>
      <c r="G94" s="1">
        <v>1000</v>
      </c>
      <c r="H94" s="1">
        <v>1000</v>
      </c>
      <c r="I94" s="55">
        <f>SUM(F94:H94)</f>
        <v>3000</v>
      </c>
      <c r="J94" s="1">
        <v>460</v>
      </c>
      <c r="K94" s="1">
        <v>0</v>
      </c>
      <c r="L94" s="1">
        <v>0</v>
      </c>
      <c r="M94" s="55">
        <f>SUM(J94:L94)</f>
        <v>460</v>
      </c>
      <c r="N94" s="1">
        <v>0</v>
      </c>
      <c r="O94" s="1">
        <v>0</v>
      </c>
      <c r="P94" s="1">
        <v>0</v>
      </c>
      <c r="Q94" s="55">
        <f>SUM(N94:P94)</f>
        <v>0</v>
      </c>
      <c r="R94" s="55">
        <f>+E94+I94+M94+Q94</f>
        <v>3460</v>
      </c>
    </row>
    <row r="95" spans="1:18" ht="15.75" customHeight="1" thickBot="1" x14ac:dyDescent="0.35">
      <c r="A95" s="18" t="s">
        <v>58</v>
      </c>
      <c r="B95" s="56"/>
      <c r="C95" s="56"/>
      <c r="D95" s="56"/>
      <c r="E95" s="55" t="s">
        <v>7</v>
      </c>
      <c r="F95" s="56"/>
      <c r="G95" s="56"/>
      <c r="H95" s="56"/>
      <c r="I95" s="55" t="s">
        <v>7</v>
      </c>
      <c r="J95" s="56"/>
      <c r="K95" s="56"/>
      <c r="L95" s="56"/>
      <c r="M95" s="55" t="s">
        <v>7</v>
      </c>
      <c r="N95" s="56"/>
      <c r="O95" s="56"/>
      <c r="P95" s="56"/>
      <c r="Q95" s="55" t="s">
        <v>7</v>
      </c>
      <c r="R95" s="55" t="s">
        <v>7</v>
      </c>
    </row>
    <row r="96" spans="1:18" ht="15.75" customHeight="1" thickBot="1" x14ac:dyDescent="0.35">
      <c r="A96" s="57" t="s">
        <v>59</v>
      </c>
      <c r="B96" s="58">
        <f>SUM(B90:B95)</f>
        <v>1289</v>
      </c>
      <c r="C96" s="58">
        <f>SUM(C90:C95)</f>
        <v>1592</v>
      </c>
      <c r="D96" s="58">
        <f>SUM(D90:D95)</f>
        <v>4942</v>
      </c>
      <c r="E96" s="59">
        <f>SUM(B96:D96)</f>
        <v>7823</v>
      </c>
      <c r="F96" s="58">
        <f>SUM(F90:F95)</f>
        <v>9651</v>
      </c>
      <c r="G96" s="58">
        <f>SUM(G90:G95)</f>
        <v>5700</v>
      </c>
      <c r="H96" s="58">
        <f>SUM(H90:H95)</f>
        <v>3071</v>
      </c>
      <c r="I96" s="59">
        <f>SUM(F96:H96)</f>
        <v>18422</v>
      </c>
      <c r="J96" s="58">
        <f>SUM(J90:J95)</f>
        <v>2486</v>
      </c>
      <c r="K96" s="58">
        <f>SUM(K90:K95)</f>
        <v>3133</v>
      </c>
      <c r="L96" s="58">
        <f>SUM(L90:L95)</f>
        <v>2672</v>
      </c>
      <c r="M96" s="59">
        <f>SUM(J96:L96)</f>
        <v>8291</v>
      </c>
      <c r="N96" s="58">
        <f>SUM(N90:N95)</f>
        <v>1084</v>
      </c>
      <c r="O96" s="58">
        <f>SUM(O90:O95)</f>
        <v>622</v>
      </c>
      <c r="P96" s="58">
        <f>SUM(P90:P95)</f>
        <v>1702</v>
      </c>
      <c r="Q96" s="59">
        <f>SUM(N96:P96)</f>
        <v>3408</v>
      </c>
      <c r="R96" s="59">
        <f>+E96+I96+M96+Q96</f>
        <v>37944</v>
      </c>
    </row>
    <row r="97" spans="1:18" ht="15.75" customHeight="1" x14ac:dyDescent="0.3">
      <c r="A97" s="18" t="s">
        <v>60</v>
      </c>
      <c r="B97" s="56"/>
      <c r="C97" s="56"/>
      <c r="D97" s="56"/>
      <c r="E97" s="55" t="s">
        <v>7</v>
      </c>
      <c r="F97" s="56"/>
      <c r="G97" s="56"/>
      <c r="H97" s="56"/>
      <c r="I97" s="55" t="s">
        <v>7</v>
      </c>
      <c r="J97" s="56"/>
      <c r="K97" s="56"/>
      <c r="L97" s="56"/>
      <c r="M97" s="55" t="s">
        <v>7</v>
      </c>
      <c r="N97" s="56"/>
      <c r="O97" s="56"/>
      <c r="P97" s="56"/>
      <c r="Q97" s="55" t="s">
        <v>7</v>
      </c>
      <c r="R97" s="55" t="s">
        <v>7</v>
      </c>
    </row>
    <row r="98" spans="1:18" ht="15.75" customHeight="1" x14ac:dyDescent="0.3">
      <c r="A98" s="18" t="s">
        <v>61</v>
      </c>
      <c r="B98" s="56"/>
      <c r="C98" s="56"/>
      <c r="D98" s="56"/>
      <c r="E98" s="55" t="s">
        <v>7</v>
      </c>
      <c r="F98" s="56"/>
      <c r="G98" s="56"/>
      <c r="H98" s="56"/>
      <c r="I98" s="55" t="s">
        <v>7</v>
      </c>
      <c r="J98" s="56"/>
      <c r="K98" s="56"/>
      <c r="L98" s="56"/>
      <c r="M98" s="55" t="s">
        <v>7</v>
      </c>
      <c r="N98" s="56"/>
      <c r="O98" s="56"/>
      <c r="P98" s="56"/>
      <c r="Q98" s="55" t="s">
        <v>7</v>
      </c>
      <c r="R98" s="55" t="s">
        <v>7</v>
      </c>
    </row>
    <row r="99" spans="1:18" ht="15.75" customHeight="1" x14ac:dyDescent="0.3">
      <c r="A99" s="18" t="s">
        <v>62</v>
      </c>
      <c r="B99" s="56"/>
      <c r="C99" s="56"/>
      <c r="D99" s="56"/>
      <c r="E99" s="55"/>
      <c r="F99" s="56"/>
      <c r="G99" s="56"/>
      <c r="H99" s="56"/>
      <c r="I99" s="55"/>
      <c r="J99" s="56"/>
      <c r="K99" s="56"/>
      <c r="L99" s="56"/>
      <c r="M99" s="55"/>
      <c r="N99" s="56"/>
      <c r="O99" s="56"/>
      <c r="P99" s="56"/>
      <c r="Q99" s="55"/>
      <c r="R99" s="55"/>
    </row>
    <row r="100" spans="1:18" ht="15.75" customHeight="1" x14ac:dyDescent="0.3">
      <c r="A100" s="72" t="s">
        <v>88</v>
      </c>
      <c r="B100" s="1">
        <v>0</v>
      </c>
      <c r="C100" s="1">
        <v>972</v>
      </c>
      <c r="D100" s="1">
        <v>0</v>
      </c>
      <c r="E100" s="55">
        <f t="shared" ref="E100:E108" si="9">SUM(B100:D100)</f>
        <v>972</v>
      </c>
      <c r="F100" s="1">
        <v>0</v>
      </c>
      <c r="G100" s="1">
        <v>0</v>
      </c>
      <c r="H100" s="1">
        <v>0</v>
      </c>
      <c r="I100" s="55">
        <f t="shared" ref="I100:I108" si="10">SUM(F100:H100)</f>
        <v>0</v>
      </c>
      <c r="J100" s="1">
        <v>0</v>
      </c>
      <c r="K100" s="1">
        <v>0</v>
      </c>
      <c r="L100" s="1">
        <v>0</v>
      </c>
      <c r="M100" s="55">
        <f t="shared" ref="M100:M108" si="11">SUM(J100:L100)</f>
        <v>0</v>
      </c>
      <c r="N100" s="1">
        <v>0</v>
      </c>
      <c r="O100" s="1">
        <v>0</v>
      </c>
      <c r="P100" s="1">
        <v>0</v>
      </c>
      <c r="Q100" s="55">
        <f t="shared" ref="Q100:Q108" si="12">SUM(N100:P100)</f>
        <v>0</v>
      </c>
      <c r="R100" s="55">
        <f t="shared" ref="R100:R108" si="13">+E100+I100+M100+Q100</f>
        <v>972</v>
      </c>
    </row>
    <row r="101" spans="1:18" ht="15.75" customHeight="1" x14ac:dyDescent="0.3">
      <c r="A101" s="72" t="s">
        <v>89</v>
      </c>
      <c r="B101" s="1">
        <v>0</v>
      </c>
      <c r="C101" s="1">
        <v>1947</v>
      </c>
      <c r="D101" s="1">
        <v>639</v>
      </c>
      <c r="E101" s="55">
        <f t="shared" si="9"/>
        <v>2586</v>
      </c>
      <c r="F101" s="1">
        <v>0</v>
      </c>
      <c r="G101" s="1">
        <v>0</v>
      </c>
      <c r="H101" s="1">
        <v>0</v>
      </c>
      <c r="I101" s="55">
        <f t="shared" si="10"/>
        <v>0</v>
      </c>
      <c r="J101" s="1">
        <v>0</v>
      </c>
      <c r="K101" s="1">
        <v>0</v>
      </c>
      <c r="L101" s="1">
        <v>0</v>
      </c>
      <c r="M101" s="55">
        <f t="shared" si="11"/>
        <v>0</v>
      </c>
      <c r="N101" s="1">
        <v>0</v>
      </c>
      <c r="O101" s="1">
        <v>0</v>
      </c>
      <c r="P101" s="1">
        <v>0</v>
      </c>
      <c r="Q101" s="55">
        <f t="shared" si="12"/>
        <v>0</v>
      </c>
      <c r="R101" s="55">
        <f t="shared" si="13"/>
        <v>2586</v>
      </c>
    </row>
    <row r="102" spans="1:18" ht="15.75" customHeight="1" x14ac:dyDescent="0.3">
      <c r="A102" s="72" t="s">
        <v>90</v>
      </c>
      <c r="B102" s="1">
        <v>0</v>
      </c>
      <c r="C102" s="1">
        <v>0</v>
      </c>
      <c r="D102" s="1">
        <v>95</v>
      </c>
      <c r="E102" s="55">
        <f>SUM(B102:D102)</f>
        <v>95</v>
      </c>
      <c r="F102" s="1">
        <v>0</v>
      </c>
      <c r="G102" s="1">
        <v>0</v>
      </c>
      <c r="H102" s="1">
        <v>0</v>
      </c>
      <c r="I102" s="55">
        <f>SUM(F102:H102)</f>
        <v>0</v>
      </c>
      <c r="J102" s="1">
        <v>0</v>
      </c>
      <c r="K102" s="1">
        <v>0</v>
      </c>
      <c r="L102" s="1">
        <v>0</v>
      </c>
      <c r="M102" s="55">
        <f>SUM(J102:L102)</f>
        <v>0</v>
      </c>
      <c r="N102" s="1">
        <v>0</v>
      </c>
      <c r="O102" s="1">
        <v>0</v>
      </c>
      <c r="P102" s="1">
        <v>0</v>
      </c>
      <c r="Q102" s="55">
        <f>SUM(N102:P102)</f>
        <v>0</v>
      </c>
      <c r="R102" s="55">
        <f>+E102+I102+M102+Q102</f>
        <v>95</v>
      </c>
    </row>
    <row r="103" spans="1:18" ht="15.75" customHeight="1" x14ac:dyDescent="0.3">
      <c r="A103" s="72" t="s">
        <v>91</v>
      </c>
      <c r="B103" s="1">
        <v>0</v>
      </c>
      <c r="C103" s="1">
        <v>0</v>
      </c>
      <c r="D103" s="1">
        <v>0</v>
      </c>
      <c r="E103" s="55">
        <f>SUM(B103:D103)</f>
        <v>0</v>
      </c>
      <c r="F103" s="1">
        <v>0</v>
      </c>
      <c r="G103" s="1">
        <v>0</v>
      </c>
      <c r="H103" s="1">
        <v>0</v>
      </c>
      <c r="I103" s="55">
        <f>SUM(F103:H103)</f>
        <v>0</v>
      </c>
      <c r="J103" s="1">
        <v>0</v>
      </c>
      <c r="K103" s="1">
        <v>0</v>
      </c>
      <c r="L103" s="1">
        <v>0</v>
      </c>
      <c r="M103" s="55">
        <f>SUM(J103:L103)</f>
        <v>0</v>
      </c>
      <c r="N103" s="1">
        <v>0</v>
      </c>
      <c r="O103" s="1">
        <v>258</v>
      </c>
      <c r="P103" s="1">
        <v>0</v>
      </c>
      <c r="Q103" s="55">
        <f>SUM(N103:P103)</f>
        <v>258</v>
      </c>
      <c r="R103" s="55">
        <f>+E103+I103+M103+Q103</f>
        <v>258</v>
      </c>
    </row>
    <row r="104" spans="1:18" ht="15.75" customHeight="1" x14ac:dyDescent="0.3">
      <c r="A104" s="72" t="s">
        <v>92</v>
      </c>
      <c r="B104" s="1">
        <v>1537</v>
      </c>
      <c r="C104" s="1">
        <v>0</v>
      </c>
      <c r="D104" s="1">
        <v>0</v>
      </c>
      <c r="E104" s="55">
        <f t="shared" si="9"/>
        <v>1537</v>
      </c>
      <c r="F104" s="1">
        <v>0</v>
      </c>
      <c r="G104" s="1">
        <v>0</v>
      </c>
      <c r="H104" s="1">
        <v>0</v>
      </c>
      <c r="I104" s="55">
        <f t="shared" si="10"/>
        <v>0</v>
      </c>
      <c r="J104" s="1">
        <v>0</v>
      </c>
      <c r="K104" s="1">
        <v>0</v>
      </c>
      <c r="L104" s="1">
        <v>0</v>
      </c>
      <c r="M104" s="55">
        <f t="shared" si="11"/>
        <v>0</v>
      </c>
      <c r="N104" s="1">
        <v>0</v>
      </c>
      <c r="O104" s="1">
        <v>0</v>
      </c>
      <c r="P104" s="1">
        <v>0</v>
      </c>
      <c r="Q104" s="55">
        <f t="shared" si="12"/>
        <v>0</v>
      </c>
      <c r="R104" s="55">
        <f t="shared" si="13"/>
        <v>1537</v>
      </c>
    </row>
    <row r="105" spans="1:18" ht="15.75" customHeight="1" x14ac:dyDescent="0.3">
      <c r="A105" s="72" t="s">
        <v>93</v>
      </c>
      <c r="B105" s="1">
        <v>3409</v>
      </c>
      <c r="C105" s="1">
        <v>0</v>
      </c>
      <c r="D105" s="1">
        <v>0</v>
      </c>
      <c r="E105" s="55">
        <f>SUM(B105:D105)</f>
        <v>3409</v>
      </c>
      <c r="F105" s="1">
        <v>0</v>
      </c>
      <c r="G105" s="1">
        <v>0</v>
      </c>
      <c r="H105" s="1">
        <v>0</v>
      </c>
      <c r="I105" s="55">
        <f>SUM(F105:H105)</f>
        <v>0</v>
      </c>
      <c r="J105" s="1">
        <v>0</v>
      </c>
      <c r="K105" s="1">
        <v>0</v>
      </c>
      <c r="L105" s="1">
        <v>0</v>
      </c>
      <c r="M105" s="55">
        <f>SUM(J105:L105)</f>
        <v>0</v>
      </c>
      <c r="N105" s="1">
        <v>0</v>
      </c>
      <c r="O105" s="1">
        <v>0</v>
      </c>
      <c r="P105" s="1">
        <v>0</v>
      </c>
      <c r="Q105" s="55">
        <f>SUM(N105:P105)</f>
        <v>0</v>
      </c>
      <c r="R105" s="55">
        <f>+E105+I105+M105+Q105</f>
        <v>3409</v>
      </c>
    </row>
    <row r="106" spans="1:18" ht="15.75" customHeight="1" x14ac:dyDescent="0.3">
      <c r="A106" s="72" t="s">
        <v>94</v>
      </c>
      <c r="B106" s="1">
        <v>0</v>
      </c>
      <c r="C106" s="1">
        <v>717</v>
      </c>
      <c r="D106" s="1">
        <v>860</v>
      </c>
      <c r="E106" s="55">
        <f t="shared" si="9"/>
        <v>1577</v>
      </c>
      <c r="F106" s="1">
        <v>1004</v>
      </c>
      <c r="G106" s="1">
        <v>1000</v>
      </c>
      <c r="H106" s="1">
        <v>0</v>
      </c>
      <c r="I106" s="55">
        <f t="shared" si="10"/>
        <v>2004</v>
      </c>
      <c r="J106" s="1">
        <v>0</v>
      </c>
      <c r="K106" s="1">
        <v>0</v>
      </c>
      <c r="L106" s="1">
        <v>0</v>
      </c>
      <c r="M106" s="55">
        <f t="shared" si="11"/>
        <v>0</v>
      </c>
      <c r="N106" s="1">
        <v>0</v>
      </c>
      <c r="O106" s="1">
        <v>0</v>
      </c>
      <c r="P106" s="1">
        <v>0</v>
      </c>
      <c r="Q106" s="55">
        <f t="shared" si="12"/>
        <v>0</v>
      </c>
      <c r="R106" s="55">
        <f t="shared" si="13"/>
        <v>3581</v>
      </c>
    </row>
    <row r="107" spans="1:18" ht="15.75" customHeight="1" thickBot="1" x14ac:dyDescent="0.35">
      <c r="A107" s="72" t="s">
        <v>95</v>
      </c>
      <c r="B107" s="1">
        <v>0</v>
      </c>
      <c r="C107" s="1">
        <v>0</v>
      </c>
      <c r="D107" s="1">
        <v>0</v>
      </c>
      <c r="E107" s="55">
        <f t="shared" si="9"/>
        <v>0</v>
      </c>
      <c r="F107" s="1">
        <v>0</v>
      </c>
      <c r="G107" s="1">
        <v>0</v>
      </c>
      <c r="H107" s="1">
        <v>0</v>
      </c>
      <c r="I107" s="55">
        <f t="shared" si="10"/>
        <v>0</v>
      </c>
      <c r="J107" s="1">
        <v>0</v>
      </c>
      <c r="K107" s="1">
        <v>0</v>
      </c>
      <c r="L107" s="1">
        <v>0</v>
      </c>
      <c r="M107" s="55">
        <f t="shared" si="11"/>
        <v>0</v>
      </c>
      <c r="N107" s="1">
        <v>0</v>
      </c>
      <c r="O107" s="1">
        <v>0</v>
      </c>
      <c r="P107" s="1">
        <v>0</v>
      </c>
      <c r="Q107" s="55">
        <f t="shared" si="12"/>
        <v>0</v>
      </c>
      <c r="R107" s="55">
        <f t="shared" si="13"/>
        <v>0</v>
      </c>
    </row>
    <row r="108" spans="1:18" ht="15.75" customHeight="1" thickBot="1" x14ac:dyDescent="0.35">
      <c r="A108" s="57" t="s">
        <v>63</v>
      </c>
      <c r="B108" s="58">
        <f>SUM(B97:B107)</f>
        <v>4946</v>
      </c>
      <c r="C108" s="58">
        <f>SUM(C97:C107)</f>
        <v>3636</v>
      </c>
      <c r="D108" s="58">
        <f>SUM(D97:D107)</f>
        <v>1594</v>
      </c>
      <c r="E108" s="59">
        <f t="shared" si="9"/>
        <v>10176</v>
      </c>
      <c r="F108" s="58">
        <f>SUM(F97:F107)</f>
        <v>1004</v>
      </c>
      <c r="G108" s="58">
        <f>SUM(G97:G107)</f>
        <v>1000</v>
      </c>
      <c r="H108" s="58">
        <f>SUM(H97:H107)</f>
        <v>0</v>
      </c>
      <c r="I108" s="59">
        <f t="shared" si="10"/>
        <v>2004</v>
      </c>
      <c r="J108" s="58">
        <f>SUM(J97:J107)</f>
        <v>0</v>
      </c>
      <c r="K108" s="58">
        <f>SUM(K97:K107)</f>
        <v>0</v>
      </c>
      <c r="L108" s="58">
        <f>SUM(L97:L107)</f>
        <v>0</v>
      </c>
      <c r="M108" s="59">
        <f t="shared" si="11"/>
        <v>0</v>
      </c>
      <c r="N108" s="58">
        <f>SUM(N97:N107)</f>
        <v>0</v>
      </c>
      <c r="O108" s="58">
        <f>SUM(O97:O107)</f>
        <v>258</v>
      </c>
      <c r="P108" s="58">
        <f>SUM(P97:P107)</f>
        <v>0</v>
      </c>
      <c r="Q108" s="59">
        <f t="shared" si="12"/>
        <v>258</v>
      </c>
      <c r="R108" s="59">
        <f t="shared" si="13"/>
        <v>12438</v>
      </c>
    </row>
    <row r="109" spans="1:18" ht="15.75" customHeight="1" x14ac:dyDescent="0.3">
      <c r="A109" s="18" t="s">
        <v>64</v>
      </c>
      <c r="B109" s="56"/>
      <c r="C109" s="56"/>
      <c r="D109" s="56"/>
      <c r="E109" s="55" t="s">
        <v>7</v>
      </c>
      <c r="F109" s="56"/>
      <c r="G109" s="56"/>
      <c r="H109" s="56"/>
      <c r="I109" s="55" t="s">
        <v>7</v>
      </c>
      <c r="J109" s="56"/>
      <c r="K109" s="56"/>
      <c r="L109" s="56"/>
      <c r="M109" s="55" t="s">
        <v>7</v>
      </c>
      <c r="N109" s="56"/>
      <c r="O109" s="56"/>
      <c r="P109" s="56"/>
      <c r="Q109" s="55" t="s">
        <v>7</v>
      </c>
      <c r="R109" s="55" t="s">
        <v>7</v>
      </c>
    </row>
    <row r="110" spans="1:18" ht="15.75" customHeight="1" x14ac:dyDescent="0.3">
      <c r="A110" s="18" t="s">
        <v>65</v>
      </c>
      <c r="B110" s="56"/>
      <c r="C110" s="56"/>
      <c r="D110" s="56"/>
      <c r="E110" s="55" t="s">
        <v>7</v>
      </c>
      <c r="F110" s="56"/>
      <c r="G110" s="56"/>
      <c r="H110" s="56"/>
      <c r="I110" s="55" t="s">
        <v>7</v>
      </c>
      <c r="J110" s="56"/>
      <c r="K110" s="56"/>
      <c r="L110" s="56"/>
      <c r="M110" s="55" t="s">
        <v>7</v>
      </c>
      <c r="N110" s="56"/>
      <c r="O110" s="56"/>
      <c r="P110" s="56"/>
      <c r="Q110" s="55" t="s">
        <v>7</v>
      </c>
      <c r="R110" s="55" t="s">
        <v>7</v>
      </c>
    </row>
    <row r="111" spans="1:18" ht="15.75" customHeight="1" x14ac:dyDescent="0.3">
      <c r="A111" s="61" t="s">
        <v>96</v>
      </c>
      <c r="B111" s="1">
        <v>0</v>
      </c>
      <c r="C111" s="1">
        <v>0</v>
      </c>
      <c r="D111" s="1">
        <v>0</v>
      </c>
      <c r="E111" s="55">
        <f t="shared" ref="E111:E118" si="14">SUM(B111:D111)</f>
        <v>0</v>
      </c>
      <c r="F111" s="1">
        <v>0</v>
      </c>
      <c r="G111" s="1">
        <v>0</v>
      </c>
      <c r="H111" s="1">
        <v>0</v>
      </c>
      <c r="I111" s="55">
        <f t="shared" ref="I111:I118" si="15">SUM(F111:H111)</f>
        <v>0</v>
      </c>
      <c r="J111" s="1">
        <v>0</v>
      </c>
      <c r="K111" s="1">
        <v>0</v>
      </c>
      <c r="L111" s="1">
        <v>0</v>
      </c>
      <c r="M111" s="55">
        <f t="shared" ref="M111:M118" si="16">SUM(J111:L111)</f>
        <v>0</v>
      </c>
      <c r="N111" s="1">
        <v>0</v>
      </c>
      <c r="O111" s="1">
        <v>0</v>
      </c>
      <c r="P111" s="1">
        <v>0</v>
      </c>
      <c r="Q111" s="55">
        <f t="shared" ref="Q111:Q118" si="17">SUM(N111:P111)</f>
        <v>0</v>
      </c>
      <c r="R111" s="55">
        <f t="shared" ref="R111:R118" si="18">+E111+I111+M111+Q111</f>
        <v>0</v>
      </c>
    </row>
    <row r="112" spans="1:18" ht="15.75" customHeight="1" x14ac:dyDescent="0.3">
      <c r="A112" s="61" t="s">
        <v>97</v>
      </c>
      <c r="B112" s="1">
        <v>0</v>
      </c>
      <c r="C112" s="1">
        <v>0</v>
      </c>
      <c r="D112" s="1">
        <v>0</v>
      </c>
      <c r="E112" s="55">
        <f>SUM(B112:D112)</f>
        <v>0</v>
      </c>
      <c r="F112" s="1">
        <v>2199</v>
      </c>
      <c r="G112" s="1">
        <v>0</v>
      </c>
      <c r="H112" s="1">
        <v>0</v>
      </c>
      <c r="I112" s="55">
        <f>SUM(F112:H112)</f>
        <v>2199</v>
      </c>
      <c r="J112" s="1">
        <v>0</v>
      </c>
      <c r="K112" s="1">
        <v>0</v>
      </c>
      <c r="L112" s="1">
        <v>0</v>
      </c>
      <c r="M112" s="55">
        <f>SUM(J112:L112)</f>
        <v>0</v>
      </c>
      <c r="N112" s="1">
        <v>0</v>
      </c>
      <c r="O112" s="1">
        <v>0</v>
      </c>
      <c r="P112" s="1">
        <v>596</v>
      </c>
      <c r="Q112" s="55">
        <f>SUM(N112:P112)</f>
        <v>596</v>
      </c>
      <c r="R112" s="55">
        <f>+E112+I112+M112+Q112</f>
        <v>2795</v>
      </c>
    </row>
    <row r="113" spans="1:18" ht="15.75" customHeight="1" x14ac:dyDescent="0.3">
      <c r="A113" s="61" t="s">
        <v>98</v>
      </c>
      <c r="B113" s="1">
        <v>0</v>
      </c>
      <c r="C113" s="1">
        <v>0</v>
      </c>
      <c r="D113" s="1">
        <v>0</v>
      </c>
      <c r="E113" s="55">
        <f>SUM(B113:D113)</f>
        <v>0</v>
      </c>
      <c r="F113" s="1">
        <v>0</v>
      </c>
      <c r="G113" s="1">
        <v>0</v>
      </c>
      <c r="H113" s="1">
        <v>0</v>
      </c>
      <c r="I113" s="55">
        <f>SUM(F113:H113)</f>
        <v>0</v>
      </c>
      <c r="J113" s="1">
        <v>0</v>
      </c>
      <c r="K113" s="1">
        <v>0</v>
      </c>
      <c r="L113" s="1">
        <v>0</v>
      </c>
      <c r="M113" s="55">
        <f>SUM(J113:L113)</f>
        <v>0</v>
      </c>
      <c r="N113" s="1">
        <v>0</v>
      </c>
      <c r="O113" s="1">
        <v>0</v>
      </c>
      <c r="P113" s="1">
        <v>0</v>
      </c>
      <c r="Q113" s="55">
        <f>SUM(N113:P113)</f>
        <v>0</v>
      </c>
      <c r="R113" s="55">
        <f>+E113+I113+M113+Q113</f>
        <v>0</v>
      </c>
    </row>
    <row r="114" spans="1:18" ht="15.75" customHeight="1" x14ac:dyDescent="0.3">
      <c r="A114" s="61" t="s">
        <v>99</v>
      </c>
      <c r="B114" s="1">
        <v>0</v>
      </c>
      <c r="C114" s="1">
        <v>0</v>
      </c>
      <c r="D114" s="1">
        <v>4500</v>
      </c>
      <c r="E114" s="55">
        <f>SUM(B114:D114)</f>
        <v>4500</v>
      </c>
      <c r="F114" s="1">
        <v>0</v>
      </c>
      <c r="G114" s="1">
        <v>0</v>
      </c>
      <c r="H114" s="1">
        <v>0</v>
      </c>
      <c r="I114" s="55">
        <f>SUM(F114:H114)</f>
        <v>0</v>
      </c>
      <c r="J114" s="1">
        <v>0</v>
      </c>
      <c r="K114" s="1">
        <v>0</v>
      </c>
      <c r="L114" s="1">
        <v>0</v>
      </c>
      <c r="M114" s="55">
        <f>SUM(J114:L114)</f>
        <v>0</v>
      </c>
      <c r="N114" s="1">
        <v>0</v>
      </c>
      <c r="O114" s="1">
        <v>0</v>
      </c>
      <c r="P114" s="1">
        <v>0</v>
      </c>
      <c r="Q114" s="55">
        <f>SUM(N114:P114)</f>
        <v>0</v>
      </c>
      <c r="R114" s="55">
        <f>+E114+I114+M114+Q114</f>
        <v>4500</v>
      </c>
    </row>
    <row r="115" spans="1:18" ht="15.75" customHeight="1" x14ac:dyDescent="0.3">
      <c r="A115" s="61" t="s">
        <v>100</v>
      </c>
      <c r="B115" s="1">
        <v>800</v>
      </c>
      <c r="C115" s="1">
        <v>0</v>
      </c>
      <c r="D115" s="1">
        <v>0</v>
      </c>
      <c r="E115" s="55">
        <f t="shared" si="14"/>
        <v>800</v>
      </c>
      <c r="F115" s="1">
        <v>0</v>
      </c>
      <c r="G115" s="1">
        <v>0</v>
      </c>
      <c r="H115" s="1">
        <v>0</v>
      </c>
      <c r="I115" s="55">
        <f t="shared" si="15"/>
        <v>0</v>
      </c>
      <c r="J115" s="1">
        <v>0</v>
      </c>
      <c r="K115" s="1">
        <v>0</v>
      </c>
      <c r="L115" s="1">
        <v>0</v>
      </c>
      <c r="M115" s="55">
        <f t="shared" si="16"/>
        <v>0</v>
      </c>
      <c r="N115" s="1">
        <v>0</v>
      </c>
      <c r="O115" s="1">
        <v>0</v>
      </c>
      <c r="P115" s="1">
        <v>0</v>
      </c>
      <c r="Q115" s="55">
        <f t="shared" si="17"/>
        <v>0</v>
      </c>
      <c r="R115" s="55">
        <f t="shared" si="18"/>
        <v>800</v>
      </c>
    </row>
    <row r="116" spans="1:18" ht="15.75" customHeight="1" x14ac:dyDescent="0.3">
      <c r="A116" s="61" t="s">
        <v>85</v>
      </c>
      <c r="B116" s="1">
        <v>3477</v>
      </c>
      <c r="C116" s="1">
        <v>3292</v>
      </c>
      <c r="D116" s="1">
        <v>3586</v>
      </c>
      <c r="E116" s="55">
        <f t="shared" si="14"/>
        <v>10355</v>
      </c>
      <c r="F116" s="1">
        <v>3432</v>
      </c>
      <c r="G116" s="1">
        <v>3354</v>
      </c>
      <c r="H116" s="1">
        <v>0</v>
      </c>
      <c r="I116" s="55">
        <f t="shared" si="15"/>
        <v>6786</v>
      </c>
      <c r="J116" s="1">
        <v>0</v>
      </c>
      <c r="K116" s="1">
        <v>4812</v>
      </c>
      <c r="L116" s="1">
        <v>5487</v>
      </c>
      <c r="M116" s="55">
        <f t="shared" si="16"/>
        <v>10299</v>
      </c>
      <c r="N116" s="1">
        <v>5855</v>
      </c>
      <c r="O116" s="1">
        <v>2982</v>
      </c>
      <c r="P116" s="1">
        <v>0</v>
      </c>
      <c r="Q116" s="55">
        <f t="shared" si="17"/>
        <v>8837</v>
      </c>
      <c r="R116" s="55">
        <f t="shared" si="18"/>
        <v>36277</v>
      </c>
    </row>
    <row r="117" spans="1:18" ht="15.75" customHeight="1" x14ac:dyDescent="0.3">
      <c r="A117" s="61" t="s">
        <v>101</v>
      </c>
      <c r="B117" s="1">
        <v>0</v>
      </c>
      <c r="C117" s="1">
        <v>0</v>
      </c>
      <c r="D117" s="1">
        <v>0</v>
      </c>
      <c r="E117" s="55">
        <f t="shared" si="14"/>
        <v>0</v>
      </c>
      <c r="F117" s="1">
        <v>0</v>
      </c>
      <c r="G117" s="1">
        <v>0</v>
      </c>
      <c r="H117" s="1">
        <v>0</v>
      </c>
      <c r="I117" s="55">
        <f t="shared" si="15"/>
        <v>0</v>
      </c>
      <c r="J117" s="1">
        <v>0</v>
      </c>
      <c r="K117" s="1">
        <v>0</v>
      </c>
      <c r="L117" s="1">
        <v>0</v>
      </c>
      <c r="M117" s="55">
        <f t="shared" si="16"/>
        <v>0</v>
      </c>
      <c r="N117" s="1">
        <v>0</v>
      </c>
      <c r="O117" s="1">
        <v>0</v>
      </c>
      <c r="P117" s="1">
        <v>0</v>
      </c>
      <c r="Q117" s="55">
        <f t="shared" si="17"/>
        <v>0</v>
      </c>
      <c r="R117" s="55">
        <f t="shared" si="18"/>
        <v>0</v>
      </c>
    </row>
    <row r="118" spans="1:18" ht="15.75" customHeight="1" x14ac:dyDescent="0.3">
      <c r="A118" s="61" t="s">
        <v>102</v>
      </c>
      <c r="B118" s="1">
        <v>1035</v>
      </c>
      <c r="C118" s="1">
        <v>1262</v>
      </c>
      <c r="D118" s="1">
        <v>1828</v>
      </c>
      <c r="E118" s="55">
        <f t="shared" si="14"/>
        <v>4125</v>
      </c>
      <c r="F118" s="1">
        <v>1652</v>
      </c>
      <c r="G118" s="1">
        <v>1749</v>
      </c>
      <c r="H118" s="1">
        <v>2446</v>
      </c>
      <c r="I118" s="55">
        <f t="shared" si="15"/>
        <v>5847</v>
      </c>
      <c r="J118" s="1">
        <v>2728</v>
      </c>
      <c r="K118" s="1">
        <v>2973</v>
      </c>
      <c r="L118" s="1">
        <v>2179</v>
      </c>
      <c r="M118" s="55">
        <f t="shared" si="16"/>
        <v>7880</v>
      </c>
      <c r="N118" s="1">
        <v>2145</v>
      </c>
      <c r="O118" s="1">
        <v>0</v>
      </c>
      <c r="P118" s="1">
        <v>0</v>
      </c>
      <c r="Q118" s="55">
        <f t="shared" si="17"/>
        <v>2145</v>
      </c>
      <c r="R118" s="55">
        <f t="shared" si="18"/>
        <v>19997</v>
      </c>
    </row>
    <row r="119" spans="1:18" ht="15.75" customHeight="1" x14ac:dyDescent="0.3">
      <c r="A119" s="18" t="s">
        <v>67</v>
      </c>
      <c r="B119" s="56"/>
      <c r="C119" s="56"/>
      <c r="D119" s="56"/>
      <c r="E119" s="55" t="s">
        <v>7</v>
      </c>
      <c r="F119" s="56"/>
      <c r="G119" s="56"/>
      <c r="H119" s="56"/>
      <c r="I119" s="55" t="s">
        <v>7</v>
      </c>
      <c r="J119" s="56"/>
      <c r="K119" s="56"/>
      <c r="L119" s="56"/>
      <c r="M119" s="55" t="s">
        <v>7</v>
      </c>
      <c r="N119" s="56"/>
      <c r="O119" s="56"/>
      <c r="P119" s="56"/>
      <c r="Q119" s="55" t="s">
        <v>7</v>
      </c>
      <c r="R119" s="55" t="s">
        <v>7</v>
      </c>
    </row>
    <row r="120" spans="1:18" ht="15.75" customHeight="1" x14ac:dyDescent="0.3">
      <c r="A120" s="61" t="s">
        <v>103</v>
      </c>
      <c r="B120" s="1">
        <v>2958</v>
      </c>
      <c r="C120" s="1">
        <v>2012</v>
      </c>
      <c r="D120" s="1">
        <v>3755</v>
      </c>
      <c r="E120" s="55">
        <f>SUM(B120:D120)</f>
        <v>8725</v>
      </c>
      <c r="F120" s="1">
        <v>2422</v>
      </c>
      <c r="G120" s="1">
        <v>5126</v>
      </c>
      <c r="H120" s="1">
        <v>2898</v>
      </c>
      <c r="I120" s="55">
        <f>SUM(F120:H120)</f>
        <v>10446</v>
      </c>
      <c r="J120" s="1">
        <v>455</v>
      </c>
      <c r="K120" s="1">
        <v>0</v>
      </c>
      <c r="L120" s="1">
        <v>0</v>
      </c>
      <c r="M120" s="55">
        <f>SUM(J120:L120)</f>
        <v>455</v>
      </c>
      <c r="N120" s="1">
        <v>0</v>
      </c>
      <c r="O120" s="1">
        <v>6838</v>
      </c>
      <c r="P120" s="1">
        <v>12001</v>
      </c>
      <c r="Q120" s="55">
        <f>SUM(N120:P120)</f>
        <v>18839</v>
      </c>
      <c r="R120" s="55">
        <f>+E120+I120+M120+Q120</f>
        <v>38465</v>
      </c>
    </row>
    <row r="121" spans="1:18" ht="15.75" customHeight="1" x14ac:dyDescent="0.3">
      <c r="A121" s="61" t="s">
        <v>104</v>
      </c>
      <c r="B121" s="1">
        <v>0</v>
      </c>
      <c r="C121" s="1">
        <v>0</v>
      </c>
      <c r="D121" s="1">
        <v>0</v>
      </c>
      <c r="E121" s="55">
        <f>SUM(B121:D121)</f>
        <v>0</v>
      </c>
      <c r="F121" s="1">
        <v>0</v>
      </c>
      <c r="G121" s="1">
        <v>0</v>
      </c>
      <c r="H121" s="1">
        <v>0</v>
      </c>
      <c r="I121" s="55">
        <f>SUM(F121:H121)</f>
        <v>0</v>
      </c>
      <c r="J121" s="1">
        <v>0</v>
      </c>
      <c r="K121" s="1">
        <v>0</v>
      </c>
      <c r="L121" s="1">
        <v>0</v>
      </c>
      <c r="M121" s="55">
        <f>SUM(J121:L121)</f>
        <v>0</v>
      </c>
      <c r="N121" s="1">
        <v>0</v>
      </c>
      <c r="O121" s="1">
        <v>0</v>
      </c>
      <c r="P121" s="1">
        <v>0</v>
      </c>
      <c r="Q121" s="55">
        <f>SUM(N121:P121)</f>
        <v>0</v>
      </c>
      <c r="R121" s="55">
        <f>+E121+I121+M121+Q121</f>
        <v>0</v>
      </c>
    </row>
    <row r="122" spans="1:18" ht="15.75" customHeight="1" x14ac:dyDescent="0.3">
      <c r="A122" s="18" t="s">
        <v>69</v>
      </c>
      <c r="B122" s="56"/>
      <c r="C122" s="56"/>
      <c r="D122" s="56"/>
      <c r="E122" s="55" t="s">
        <v>7</v>
      </c>
      <c r="F122" s="56"/>
      <c r="G122" s="56"/>
      <c r="H122" s="56"/>
      <c r="I122" s="55" t="s">
        <v>7</v>
      </c>
      <c r="J122" s="56"/>
      <c r="K122" s="56"/>
      <c r="L122" s="56"/>
      <c r="M122" s="55" t="s">
        <v>7</v>
      </c>
      <c r="N122" s="56"/>
      <c r="O122" s="56"/>
      <c r="P122" s="56"/>
      <c r="Q122" s="55" t="s">
        <v>7</v>
      </c>
      <c r="R122" s="55" t="s">
        <v>7</v>
      </c>
    </row>
    <row r="123" spans="1:18" ht="15.75" customHeight="1" x14ac:dyDescent="0.3">
      <c r="A123" s="61" t="s">
        <v>105</v>
      </c>
      <c r="B123" s="1">
        <v>0</v>
      </c>
      <c r="C123" s="1">
        <v>0</v>
      </c>
      <c r="D123" s="1">
        <v>0</v>
      </c>
      <c r="E123" s="55">
        <f>SUM(B123:D123)</f>
        <v>0</v>
      </c>
      <c r="F123" s="1">
        <v>278</v>
      </c>
      <c r="G123" s="1">
        <v>493</v>
      </c>
      <c r="H123" s="1">
        <v>463</v>
      </c>
      <c r="I123" s="55">
        <f>SUM(F123:H123)</f>
        <v>1234</v>
      </c>
      <c r="J123" s="1">
        <v>923</v>
      </c>
      <c r="K123" s="1">
        <v>2087</v>
      </c>
      <c r="L123" s="1">
        <v>2065</v>
      </c>
      <c r="M123" s="55">
        <f>SUM(J123:L123)</f>
        <v>5075</v>
      </c>
      <c r="N123" s="1">
        <v>643</v>
      </c>
      <c r="O123" s="1">
        <v>116</v>
      </c>
      <c r="P123" s="1">
        <v>286</v>
      </c>
      <c r="Q123" s="55">
        <f>SUM(N123:P123)</f>
        <v>1045</v>
      </c>
      <c r="R123" s="55">
        <f>+E123+I123+M123+Q123</f>
        <v>7354</v>
      </c>
    </row>
    <row r="124" spans="1:18" ht="15.75" customHeight="1" x14ac:dyDescent="0.3">
      <c r="A124" s="18" t="s">
        <v>70</v>
      </c>
      <c r="B124" s="56"/>
      <c r="C124" s="56"/>
      <c r="D124" s="56"/>
      <c r="E124" s="55" t="s">
        <v>7</v>
      </c>
      <c r="F124" s="56"/>
      <c r="G124" s="56"/>
      <c r="H124" s="56"/>
      <c r="I124" s="55" t="s">
        <v>7</v>
      </c>
      <c r="J124" s="56"/>
      <c r="K124" s="56"/>
      <c r="L124" s="56"/>
      <c r="M124" s="55" t="s">
        <v>7</v>
      </c>
      <c r="N124" s="56"/>
      <c r="O124" s="56"/>
      <c r="P124" s="56"/>
      <c r="Q124" s="55" t="s">
        <v>7</v>
      </c>
      <c r="R124" s="55" t="s">
        <v>7</v>
      </c>
    </row>
    <row r="125" spans="1:18" ht="15.75" customHeight="1" thickBot="1" x14ac:dyDescent="0.35">
      <c r="A125" s="61" t="s">
        <v>87</v>
      </c>
      <c r="B125" s="1">
        <v>0</v>
      </c>
      <c r="C125" s="1">
        <v>0</v>
      </c>
      <c r="D125" s="1">
        <v>0</v>
      </c>
      <c r="E125" s="55">
        <f>SUM(B125:D125)</f>
        <v>0</v>
      </c>
      <c r="F125" s="1">
        <v>0</v>
      </c>
      <c r="G125" s="1">
        <v>0</v>
      </c>
      <c r="H125" s="1">
        <v>0</v>
      </c>
      <c r="I125" s="55">
        <f>SUM(F125:H125)</f>
        <v>0</v>
      </c>
      <c r="J125" s="1">
        <v>0</v>
      </c>
      <c r="K125" s="1">
        <v>0</v>
      </c>
      <c r="L125" s="1">
        <v>0</v>
      </c>
      <c r="M125" s="55">
        <f>SUM(J125:L125)</f>
        <v>0</v>
      </c>
      <c r="N125" s="1">
        <v>0</v>
      </c>
      <c r="O125" s="1">
        <v>0</v>
      </c>
      <c r="P125" s="1">
        <v>0</v>
      </c>
      <c r="Q125" s="55">
        <f>SUM(N125:P125)</f>
        <v>0</v>
      </c>
      <c r="R125" s="55">
        <f>+E125+I125+M125+Q125</f>
        <v>0</v>
      </c>
    </row>
    <row r="126" spans="1:18" ht="15.75" customHeight="1" thickBot="1" x14ac:dyDescent="0.35">
      <c r="A126" s="57" t="s">
        <v>71</v>
      </c>
      <c r="B126" s="58">
        <f>SUM(B124:B125)</f>
        <v>0</v>
      </c>
      <c r="C126" s="58">
        <f>SUM(C124:C125)</f>
        <v>0</v>
      </c>
      <c r="D126" s="58">
        <f>SUM(D124:D125)</f>
        <v>0</v>
      </c>
      <c r="E126" s="60">
        <f>SUM(B126:D126)</f>
        <v>0</v>
      </c>
      <c r="F126" s="58">
        <f>SUM(F124:F125)</f>
        <v>0</v>
      </c>
      <c r="G126" s="58">
        <f>SUM(G124:G125)</f>
        <v>0</v>
      </c>
      <c r="H126" s="58">
        <f>SUM(H124:H125)</f>
        <v>0</v>
      </c>
      <c r="I126" s="60">
        <f>SUM(F126:H126)</f>
        <v>0</v>
      </c>
      <c r="J126" s="58">
        <f>SUM(J124:J125)</f>
        <v>0</v>
      </c>
      <c r="K126" s="58">
        <f>SUM(K124:K125)</f>
        <v>0</v>
      </c>
      <c r="L126" s="58">
        <f>SUM(L124:L125)</f>
        <v>0</v>
      </c>
      <c r="M126" s="60">
        <f>SUM(J126:L126)</f>
        <v>0</v>
      </c>
      <c r="N126" s="58">
        <f>SUM(N124:N125)</f>
        <v>0</v>
      </c>
      <c r="O126" s="58">
        <f>SUM(O124:O125)</f>
        <v>0</v>
      </c>
      <c r="P126" s="58">
        <f>SUM(P124:P125)</f>
        <v>0</v>
      </c>
      <c r="Q126" s="60">
        <f>SUM(N126:P126)</f>
        <v>0</v>
      </c>
      <c r="R126" s="59">
        <f>+E126+I126+M126+Q126</f>
        <v>0</v>
      </c>
    </row>
    <row r="127" spans="1:18" ht="15.75" customHeight="1" thickBot="1" x14ac:dyDescent="0.35">
      <c r="A127" s="57" t="s">
        <v>72</v>
      </c>
      <c r="B127" s="58">
        <f>SUM(B109:B125)</f>
        <v>8270</v>
      </c>
      <c r="C127" s="58">
        <f>SUM(C109:C125)</f>
        <v>6566</v>
      </c>
      <c r="D127" s="58">
        <f>SUM(D109:D125)</f>
        <v>13669</v>
      </c>
      <c r="E127" s="60">
        <f>SUM(B127:D127)</f>
        <v>28505</v>
      </c>
      <c r="F127" s="58">
        <f>SUM(F109:F125)</f>
        <v>9983</v>
      </c>
      <c r="G127" s="58">
        <f>SUM(G109:G125)</f>
        <v>10722</v>
      </c>
      <c r="H127" s="58">
        <f>SUM(H109:H125)</f>
        <v>5807</v>
      </c>
      <c r="I127" s="60">
        <f>SUM(F127:H127)</f>
        <v>26512</v>
      </c>
      <c r="J127" s="58">
        <f>SUM(J109:J125)</f>
        <v>4106</v>
      </c>
      <c r="K127" s="58">
        <f>SUM(K109:K125)</f>
        <v>9872</v>
      </c>
      <c r="L127" s="58">
        <f>SUM(L109:L125)</f>
        <v>9731</v>
      </c>
      <c r="M127" s="60">
        <f>SUM(J127:L127)</f>
        <v>23709</v>
      </c>
      <c r="N127" s="58">
        <f>SUM(N109:N125)</f>
        <v>8643</v>
      </c>
      <c r="O127" s="58">
        <f>SUM(O109:O125)</f>
        <v>9936</v>
      </c>
      <c r="P127" s="58">
        <f>SUM(P109:P125)</f>
        <v>12883</v>
      </c>
      <c r="Q127" s="60">
        <f>SUM(N127:P127)</f>
        <v>31462</v>
      </c>
      <c r="R127" s="59">
        <f>+E127+I127+M127+Q127</f>
        <v>110188</v>
      </c>
    </row>
    <row r="128" spans="1:18" ht="15.75" customHeight="1" thickBot="1" x14ac:dyDescent="0.35">
      <c r="A128" s="57" t="s">
        <v>73</v>
      </c>
      <c r="B128" s="58">
        <f>+B89+B96+B108+B127</f>
        <v>15252</v>
      </c>
      <c r="C128" s="58">
        <f>+C89+C96+C108+C127</f>
        <v>15329</v>
      </c>
      <c r="D128" s="58">
        <f>+D89+D96+D108+D127</f>
        <v>21908</v>
      </c>
      <c r="E128" s="59">
        <f>SUM(B128:D128)</f>
        <v>52489</v>
      </c>
      <c r="F128" s="58">
        <f>+F89+F96+F108+F127</f>
        <v>21405</v>
      </c>
      <c r="G128" s="58">
        <f>+G89+G96+G108+G127</f>
        <v>20653</v>
      </c>
      <c r="H128" s="58">
        <f>+H89+H96+H108+H127</f>
        <v>15630</v>
      </c>
      <c r="I128" s="59">
        <f>SUM(F128:H128)</f>
        <v>57688</v>
      </c>
      <c r="J128" s="58">
        <f>+J89+J96+J108+J127</f>
        <v>6861</v>
      </c>
      <c r="K128" s="58">
        <f>+K89+K96+K108+K127</f>
        <v>13394</v>
      </c>
      <c r="L128" s="58">
        <f>+L89+L96+L108+L127</f>
        <v>12707</v>
      </c>
      <c r="M128" s="59">
        <f>SUM(J128:L128)</f>
        <v>32962</v>
      </c>
      <c r="N128" s="58">
        <f>+N89+N96+N108+N127</f>
        <v>11877</v>
      </c>
      <c r="O128" s="58">
        <f>+O89+O96+O108+O127</f>
        <v>14396</v>
      </c>
      <c r="P128" s="58">
        <f>+P89+P96+P108+P127</f>
        <v>15881</v>
      </c>
      <c r="Q128" s="59">
        <f>SUM(N128:P128)</f>
        <v>42154</v>
      </c>
      <c r="R128" s="59">
        <f>+E128+I128+M128+Q128</f>
        <v>185293</v>
      </c>
    </row>
    <row r="129" spans="1:18" ht="15.75" customHeight="1" thickBot="1" x14ac:dyDescent="0.35">
      <c r="A129" s="73" t="s">
        <v>40</v>
      </c>
      <c r="B129" s="21">
        <v>173</v>
      </c>
      <c r="C129" s="21">
        <v>260</v>
      </c>
      <c r="D129" s="21">
        <v>471</v>
      </c>
      <c r="E129" s="55">
        <f>SUM(B129:D129)</f>
        <v>904</v>
      </c>
      <c r="F129" s="21">
        <v>629</v>
      </c>
      <c r="G129" s="21">
        <v>725</v>
      </c>
      <c r="H129" s="21">
        <v>712</v>
      </c>
      <c r="I129" s="55">
        <f>SUM(F129:H129)</f>
        <v>2066</v>
      </c>
      <c r="J129" s="21">
        <v>711</v>
      </c>
      <c r="K129" s="21">
        <v>573</v>
      </c>
      <c r="L129" s="21">
        <v>542</v>
      </c>
      <c r="M129" s="55">
        <f>SUM(J129:L129)</f>
        <v>1826</v>
      </c>
      <c r="N129" s="21">
        <v>490</v>
      </c>
      <c r="O129" s="21">
        <v>407</v>
      </c>
      <c r="P129" s="21">
        <v>323</v>
      </c>
      <c r="Q129" s="55">
        <f>SUM(N129:P129)</f>
        <v>1220</v>
      </c>
      <c r="R129" s="55">
        <f>+E129+I129+M129+Q129</f>
        <v>6016</v>
      </c>
    </row>
    <row r="130" spans="1:18" ht="15.75" customHeight="1" thickBot="1" x14ac:dyDescent="0.35">
      <c r="A130" s="74"/>
      <c r="B130" s="75"/>
      <c r="C130" s="75"/>
      <c r="D130" s="75"/>
      <c r="E130" s="59" t="s">
        <v>7</v>
      </c>
      <c r="F130" s="75"/>
      <c r="G130" s="75"/>
      <c r="H130" s="75"/>
      <c r="I130" s="59" t="s">
        <v>7</v>
      </c>
      <c r="J130" s="75"/>
      <c r="K130" s="75"/>
      <c r="L130" s="75"/>
      <c r="M130" s="59" t="s">
        <v>7</v>
      </c>
      <c r="N130" s="75"/>
      <c r="O130" s="75"/>
      <c r="P130" s="75"/>
      <c r="Q130" s="59" t="s">
        <v>7</v>
      </c>
      <c r="R130" s="59" t="s">
        <v>7</v>
      </c>
    </row>
    <row r="131" spans="1:18" ht="15.75" customHeight="1" x14ac:dyDescent="0.3">
      <c r="A131" s="76" t="s">
        <v>41</v>
      </c>
      <c r="B131" s="77">
        <f>+B128+B129</f>
        <v>15425</v>
      </c>
      <c r="C131" s="77">
        <f>+C128+C129</f>
        <v>15589</v>
      </c>
      <c r="D131" s="77">
        <f>+D128+D129</f>
        <v>22379</v>
      </c>
      <c r="E131" s="55">
        <f>SUM(B131:D131)</f>
        <v>53393</v>
      </c>
      <c r="F131" s="77">
        <f>+F128+F129</f>
        <v>22034</v>
      </c>
      <c r="G131" s="77">
        <f>+G128+G129</f>
        <v>21378</v>
      </c>
      <c r="H131" s="77">
        <f>+H128+H129</f>
        <v>16342</v>
      </c>
      <c r="I131" s="55">
        <f>SUM(F131:H131)</f>
        <v>59754</v>
      </c>
      <c r="J131" s="77">
        <f>+J128+J129</f>
        <v>7572</v>
      </c>
      <c r="K131" s="77">
        <f>+K128+K129</f>
        <v>13967</v>
      </c>
      <c r="L131" s="77">
        <f>+L128+L129</f>
        <v>13249</v>
      </c>
      <c r="M131" s="55">
        <f>SUM(J131:L131)</f>
        <v>34788</v>
      </c>
      <c r="N131" s="77">
        <f>+N128+N129</f>
        <v>12367</v>
      </c>
      <c r="O131" s="77">
        <f>+O128+O129</f>
        <v>14803</v>
      </c>
      <c r="P131" s="77">
        <f>+P128+P129</f>
        <v>16204</v>
      </c>
      <c r="Q131" s="55">
        <f>SUM(N131:P131)</f>
        <v>43374</v>
      </c>
      <c r="R131" s="55">
        <f>+E131+I131+M131+Q131</f>
        <v>191309</v>
      </c>
    </row>
    <row r="132" spans="1:18" ht="15.75" customHeight="1" x14ac:dyDescent="0.3">
      <c r="A132" s="78" t="s">
        <v>42</v>
      </c>
      <c r="B132" s="1">
        <f>(B131/31)/1.983</f>
        <v>250.92316952157856</v>
      </c>
      <c r="C132" s="1">
        <f>(C131/28)/1.983</f>
        <v>280.76147251638929</v>
      </c>
      <c r="D132" s="1">
        <f>(D131/31)/1.983</f>
        <v>364.04600393668761</v>
      </c>
      <c r="E132" s="55" t="s">
        <v>7</v>
      </c>
      <c r="F132" s="1">
        <f>(F131/30)/1.983</f>
        <v>370.38157673558584</v>
      </c>
      <c r="G132" s="1">
        <f>(G131/31)/1.983</f>
        <v>347.76243228734563</v>
      </c>
      <c r="H132" s="1">
        <f>(H131/30)/1.983</f>
        <v>274.70163052613884</v>
      </c>
      <c r="I132" s="55" t="s">
        <v>7</v>
      </c>
      <c r="J132" s="1">
        <f>(J131/31)/1.983</f>
        <v>123.1760285003172</v>
      </c>
      <c r="K132" s="1">
        <f>(K131/31)/1.983</f>
        <v>227.20543978657295</v>
      </c>
      <c r="L132" s="1">
        <f>(L131/30)/1.983</f>
        <v>222.70969910909395</v>
      </c>
      <c r="M132" s="55" t="s">
        <v>7</v>
      </c>
      <c r="N132" s="1">
        <f>(N131/31)/1.983</f>
        <v>201.17775283457777</v>
      </c>
      <c r="O132" s="1">
        <f>(O131/30)/1.983</f>
        <v>248.83173642629012</v>
      </c>
      <c r="P132" s="1">
        <f>(P131/31)/1.983</f>
        <v>263.59539960633123</v>
      </c>
      <c r="Q132" s="55" t="s">
        <v>7</v>
      </c>
      <c r="R132" s="55" t="s">
        <v>7</v>
      </c>
    </row>
    <row r="133" spans="1:18" ht="15.75" customHeight="1" x14ac:dyDescent="0.3">
      <c r="A133" s="79" t="s">
        <v>106</v>
      </c>
      <c r="B133" s="1">
        <f>B131+B256</f>
        <v>164447</v>
      </c>
      <c r="C133" s="1">
        <f>C131+C256</f>
        <v>157433</v>
      </c>
      <c r="D133" s="1">
        <f>D131+D256</f>
        <v>167886</v>
      </c>
      <c r="E133" s="55">
        <f>SUM(B133:D133)</f>
        <v>489766</v>
      </c>
      <c r="F133" s="1">
        <f>F131+F256</f>
        <v>165243</v>
      </c>
      <c r="G133" s="1">
        <f>G131+G256</f>
        <v>171161</v>
      </c>
      <c r="H133" s="1">
        <f>H131+H256</f>
        <v>127689</v>
      </c>
      <c r="I133" s="55">
        <f>SUM(F133:H133)</f>
        <v>464093</v>
      </c>
      <c r="J133" s="1">
        <f>J131+J256</f>
        <v>80119</v>
      </c>
      <c r="K133" s="1">
        <f>K131+K256</f>
        <v>67927</v>
      </c>
      <c r="L133" s="1">
        <f>L131+L256</f>
        <v>93793</v>
      </c>
      <c r="M133" s="55">
        <f>SUM(J133:L133)</f>
        <v>241839</v>
      </c>
      <c r="N133" s="1">
        <f>N131+N256</f>
        <v>134838</v>
      </c>
      <c r="O133" s="1">
        <f>O131+O256</f>
        <v>167694</v>
      </c>
      <c r="P133" s="1">
        <f>P131+P256</f>
        <v>66252</v>
      </c>
      <c r="Q133" s="55">
        <f>SUM(N133:P133)</f>
        <v>368784</v>
      </c>
      <c r="R133" s="55">
        <f>+E133+I133+M133+Q133</f>
        <v>1564482</v>
      </c>
    </row>
    <row r="134" spans="1:18" ht="15.75" customHeight="1" thickBot="1" x14ac:dyDescent="0.35">
      <c r="A134" s="80" t="s">
        <v>107</v>
      </c>
      <c r="B134" s="25">
        <f>(B133/31)/1.983</f>
        <v>2675.1093976217203</v>
      </c>
      <c r="C134" s="25">
        <f>(C133/28)/1.983</f>
        <v>2835.4045097615444</v>
      </c>
      <c r="D134" s="25">
        <f>(D133/31)/1.983</f>
        <v>2731.0526572641647</v>
      </c>
      <c r="E134" s="81" t="s">
        <v>7</v>
      </c>
      <c r="F134" s="25">
        <f>(F133/30)/1.983</f>
        <v>2777.6601109430158</v>
      </c>
      <c r="G134" s="25">
        <f>(G133/31)/1.983</f>
        <v>2784.3280789940295</v>
      </c>
      <c r="H134" s="25">
        <f>(H133/30)/1.983</f>
        <v>2146.3943519919312</v>
      </c>
      <c r="I134" s="81" t="s">
        <v>7</v>
      </c>
      <c r="J134" s="25">
        <f>(J133/31)/1.983</f>
        <v>1303.3201568168138</v>
      </c>
      <c r="K134" s="25">
        <f>(K133/31)/1.983</f>
        <v>1104.9891822426105</v>
      </c>
      <c r="L134" s="25">
        <f>(L133/30)/1.983</f>
        <v>1576.6179189779793</v>
      </c>
      <c r="M134" s="81" t="s">
        <v>7</v>
      </c>
      <c r="N134" s="25">
        <f>(N133/31)/1.983</f>
        <v>2193.4507832707045</v>
      </c>
      <c r="O134" s="25">
        <f>(O133/30)/1.983</f>
        <v>2818.8603126575895</v>
      </c>
      <c r="P134" s="25">
        <f>(P133/31)/1.983</f>
        <v>1077.7414474647405</v>
      </c>
      <c r="Q134" s="81" t="s">
        <v>7</v>
      </c>
      <c r="R134" s="81" t="s">
        <v>7</v>
      </c>
    </row>
    <row r="135" spans="1:18" ht="15.75" customHeight="1" x14ac:dyDescent="0.3">
      <c r="A135" s="28"/>
      <c r="B135" s="1"/>
      <c r="C135" s="1"/>
      <c r="D135" s="1"/>
      <c r="E135" s="1"/>
      <c r="F135" s="1"/>
      <c r="G135" s="1"/>
      <c r="H135" s="1"/>
      <c r="I135" s="1"/>
      <c r="J135" s="1"/>
      <c r="K135" s="1"/>
      <c r="L135" s="1"/>
      <c r="M135" s="1"/>
      <c r="N135" s="1"/>
      <c r="O135" s="1"/>
      <c r="P135" s="1"/>
      <c r="Q135" s="1"/>
      <c r="R135" s="2"/>
    </row>
    <row r="136" spans="1:18" ht="15.75" customHeight="1" thickBot="1" x14ac:dyDescent="0.35">
      <c r="A136" s="28" t="s">
        <v>7</v>
      </c>
      <c r="B136" s="1"/>
      <c r="C136" s="1"/>
      <c r="D136" s="1"/>
      <c r="E136" s="1"/>
      <c r="F136" s="1"/>
      <c r="G136" s="1"/>
      <c r="H136" s="1"/>
      <c r="I136" s="1"/>
      <c r="J136" s="1"/>
      <c r="K136" s="1"/>
      <c r="L136" s="1"/>
      <c r="M136" s="1"/>
      <c r="N136" s="1"/>
      <c r="O136" s="1"/>
      <c r="P136" s="1"/>
      <c r="Q136" s="1"/>
      <c r="R136" s="2"/>
    </row>
    <row r="137" spans="1:18" ht="15.75" customHeight="1" thickBot="1" x14ac:dyDescent="0.35">
      <c r="A137" s="29" t="s">
        <v>108</v>
      </c>
      <c r="B137" s="30" t="s">
        <v>8</v>
      </c>
      <c r="C137" s="31" t="s">
        <v>9</v>
      </c>
      <c r="D137" s="31" t="s">
        <v>10</v>
      </c>
      <c r="E137" s="32" t="s">
        <v>11</v>
      </c>
      <c r="F137" s="31" t="s">
        <v>12</v>
      </c>
      <c r="G137" s="31" t="s">
        <v>13</v>
      </c>
      <c r="H137" s="31" t="s">
        <v>14</v>
      </c>
      <c r="I137" s="33" t="s">
        <v>15</v>
      </c>
      <c r="J137" s="31" t="s">
        <v>16</v>
      </c>
      <c r="K137" s="31" t="s">
        <v>17</v>
      </c>
      <c r="L137" s="31" t="s">
        <v>18</v>
      </c>
      <c r="M137" s="33" t="s">
        <v>19</v>
      </c>
      <c r="N137" s="31" t="s">
        <v>20</v>
      </c>
      <c r="O137" s="31" t="s">
        <v>21</v>
      </c>
      <c r="P137" s="31" t="s">
        <v>22</v>
      </c>
      <c r="Q137" s="33" t="s">
        <v>23</v>
      </c>
      <c r="R137" s="34" t="s">
        <v>24</v>
      </c>
    </row>
    <row r="138" spans="1:18" ht="15.75" customHeight="1" thickBot="1" x14ac:dyDescent="0.35">
      <c r="A138" s="74"/>
      <c r="B138" s="75"/>
      <c r="C138" s="75"/>
      <c r="D138" s="75"/>
      <c r="E138" s="82"/>
      <c r="F138" s="75"/>
      <c r="G138" s="75"/>
      <c r="H138" s="75"/>
      <c r="I138" s="82"/>
      <c r="J138" s="75"/>
      <c r="K138" s="75"/>
      <c r="L138" s="75"/>
      <c r="M138" s="82"/>
      <c r="N138" s="75"/>
      <c r="O138" s="75"/>
      <c r="P138" s="75"/>
      <c r="Q138" s="82"/>
      <c r="R138" s="74"/>
    </row>
    <row r="139" spans="1:18" ht="15.75" customHeight="1" x14ac:dyDescent="0.3">
      <c r="A139" s="15" t="s">
        <v>48</v>
      </c>
      <c r="B139" s="1" t="s">
        <v>7</v>
      </c>
      <c r="C139" s="1" t="s">
        <v>7</v>
      </c>
      <c r="D139" s="1" t="s">
        <v>7</v>
      </c>
      <c r="E139" s="55" t="s">
        <v>7</v>
      </c>
      <c r="F139" s="1" t="s">
        <v>7</v>
      </c>
      <c r="G139" s="1" t="s">
        <v>7</v>
      </c>
      <c r="H139" s="1" t="s">
        <v>7</v>
      </c>
      <c r="I139" s="55" t="s">
        <v>7</v>
      </c>
      <c r="J139" s="1" t="s">
        <v>7</v>
      </c>
      <c r="K139" s="1" t="s">
        <v>7</v>
      </c>
      <c r="L139" s="1" t="s">
        <v>7</v>
      </c>
      <c r="M139" s="55" t="s">
        <v>7</v>
      </c>
      <c r="N139" s="1" t="s">
        <v>7</v>
      </c>
      <c r="O139" s="1" t="s">
        <v>7</v>
      </c>
      <c r="P139" s="1" t="s">
        <v>7</v>
      </c>
      <c r="Q139" s="55" t="s">
        <v>7</v>
      </c>
      <c r="R139" s="83" t="s">
        <v>7</v>
      </c>
    </row>
    <row r="140" spans="1:18" ht="15.75" customHeight="1" x14ac:dyDescent="0.3">
      <c r="A140" s="15" t="s">
        <v>49</v>
      </c>
      <c r="B140" s="1"/>
      <c r="C140" s="1"/>
      <c r="D140" s="1"/>
      <c r="E140" s="55" t="s">
        <v>7</v>
      </c>
      <c r="F140" s="1"/>
      <c r="G140" s="1"/>
      <c r="H140" s="1"/>
      <c r="I140" s="55" t="s">
        <v>7</v>
      </c>
      <c r="J140" s="1"/>
      <c r="K140" s="1"/>
      <c r="L140" s="1"/>
      <c r="M140" s="55" t="s">
        <v>7</v>
      </c>
      <c r="N140" s="1"/>
      <c r="O140" s="1"/>
      <c r="P140" s="1"/>
      <c r="Q140" s="55" t="s">
        <v>7</v>
      </c>
      <c r="R140" s="83"/>
    </row>
    <row r="141" spans="1:18" ht="15.75" customHeight="1" x14ac:dyDescent="0.3">
      <c r="A141" s="71" t="s">
        <v>109</v>
      </c>
      <c r="B141" s="1">
        <v>0</v>
      </c>
      <c r="C141" s="1">
        <v>0</v>
      </c>
      <c r="D141" s="1">
        <v>0</v>
      </c>
      <c r="E141" s="55">
        <f>SUM(B141:D141)</f>
        <v>0</v>
      </c>
      <c r="F141" s="1">
        <v>0</v>
      </c>
      <c r="G141" s="1">
        <v>0</v>
      </c>
      <c r="H141" s="1">
        <v>0</v>
      </c>
      <c r="I141" s="55">
        <f>SUM(F141:H141)</f>
        <v>0</v>
      </c>
      <c r="J141" s="1">
        <v>0</v>
      </c>
      <c r="K141" s="1">
        <v>0</v>
      </c>
      <c r="L141" s="1">
        <v>0</v>
      </c>
      <c r="M141" s="55">
        <f>SUM(J141:L141)</f>
        <v>0</v>
      </c>
      <c r="N141" s="1">
        <v>0</v>
      </c>
      <c r="O141" s="1">
        <v>0</v>
      </c>
      <c r="P141" s="1">
        <v>0</v>
      </c>
      <c r="Q141" s="55">
        <f>SUM(N141:P141)</f>
        <v>0</v>
      </c>
      <c r="R141" s="55">
        <f>+E141+I141+M141+Q141</f>
        <v>0</v>
      </c>
    </row>
    <row r="142" spans="1:18" ht="15.75" customHeight="1" x14ac:dyDescent="0.3">
      <c r="A142" s="84" t="s">
        <v>110</v>
      </c>
      <c r="B142" s="1">
        <v>0</v>
      </c>
      <c r="C142" s="1">
        <v>0</v>
      </c>
      <c r="D142" s="1">
        <v>1525</v>
      </c>
      <c r="E142" s="55">
        <f>SUM(B142:D142)</f>
        <v>1525</v>
      </c>
      <c r="F142" s="1">
        <v>2353</v>
      </c>
      <c r="G142" s="1">
        <v>2471</v>
      </c>
      <c r="H142" s="1">
        <v>2616</v>
      </c>
      <c r="I142" s="55">
        <f>SUM(F142:H142)</f>
        <v>7440</v>
      </c>
      <c r="J142" s="1">
        <v>2021</v>
      </c>
      <c r="K142" s="1">
        <v>1952</v>
      </c>
      <c r="L142" s="1">
        <v>1250</v>
      </c>
      <c r="M142" s="55">
        <f>SUM(J142:L142)</f>
        <v>5223</v>
      </c>
      <c r="N142" s="1">
        <v>69</v>
      </c>
      <c r="O142" s="1">
        <v>5</v>
      </c>
      <c r="P142" s="1">
        <v>0</v>
      </c>
      <c r="Q142" s="55">
        <f>SUM(N142:P142)</f>
        <v>74</v>
      </c>
      <c r="R142" s="55">
        <f>+E142+I142+M142+Q142</f>
        <v>14262</v>
      </c>
    </row>
    <row r="143" spans="1:18" ht="15.75" customHeight="1" x14ac:dyDescent="0.3">
      <c r="A143" s="71" t="s">
        <v>111</v>
      </c>
      <c r="B143" s="1">
        <v>4</v>
      </c>
      <c r="C143" s="1">
        <v>7</v>
      </c>
      <c r="D143" s="1">
        <v>93</v>
      </c>
      <c r="E143" s="55">
        <f t="shared" ref="E143:E158" si="19">SUM(B143:D143)</f>
        <v>104</v>
      </c>
      <c r="F143" s="1">
        <v>65</v>
      </c>
      <c r="G143" s="1">
        <v>45</v>
      </c>
      <c r="H143" s="1">
        <v>53</v>
      </c>
      <c r="I143" s="55">
        <f t="shared" ref="I143:I158" si="20">SUM(F143:H143)</f>
        <v>163</v>
      </c>
      <c r="J143" s="1">
        <v>37</v>
      </c>
      <c r="K143" s="1">
        <v>30</v>
      </c>
      <c r="L143" s="1">
        <v>27</v>
      </c>
      <c r="M143" s="55">
        <f t="shared" ref="M143:M158" si="21">SUM(J143:L143)</f>
        <v>94</v>
      </c>
      <c r="N143" s="1">
        <v>32</v>
      </c>
      <c r="O143" s="1">
        <v>21</v>
      </c>
      <c r="P143" s="1">
        <v>7</v>
      </c>
      <c r="Q143" s="55">
        <f t="shared" ref="Q143:Q158" si="22">SUM(N143:P143)</f>
        <v>60</v>
      </c>
      <c r="R143" s="55">
        <f t="shared" ref="R143:R158" si="23">+E143+I143+M143+Q143</f>
        <v>421</v>
      </c>
    </row>
    <row r="144" spans="1:18" ht="15.75" customHeight="1" x14ac:dyDescent="0.3">
      <c r="A144" s="84" t="s">
        <v>112</v>
      </c>
      <c r="B144" s="1">
        <v>0</v>
      </c>
      <c r="C144" s="1">
        <v>0</v>
      </c>
      <c r="D144" s="1">
        <v>0</v>
      </c>
      <c r="E144" s="55">
        <f t="shared" si="19"/>
        <v>0</v>
      </c>
      <c r="F144" s="1">
        <v>0</v>
      </c>
      <c r="G144" s="1">
        <v>0</v>
      </c>
      <c r="H144" s="1">
        <v>1362</v>
      </c>
      <c r="I144" s="55">
        <f t="shared" si="20"/>
        <v>1362</v>
      </c>
      <c r="J144" s="1">
        <v>3500</v>
      </c>
      <c r="K144" s="1">
        <v>554</v>
      </c>
      <c r="L144" s="1">
        <v>0</v>
      </c>
      <c r="M144" s="55">
        <f t="shared" si="21"/>
        <v>4054</v>
      </c>
      <c r="N144" s="1">
        <v>0</v>
      </c>
      <c r="O144" s="1">
        <v>0</v>
      </c>
      <c r="P144" s="1">
        <v>0</v>
      </c>
      <c r="Q144" s="55">
        <f t="shared" si="22"/>
        <v>0</v>
      </c>
      <c r="R144" s="55">
        <f t="shared" si="23"/>
        <v>5416</v>
      </c>
    </row>
    <row r="145" spans="1:18" ht="15.75" customHeight="1" x14ac:dyDescent="0.3">
      <c r="A145" s="84" t="s">
        <v>113</v>
      </c>
      <c r="B145" s="1">
        <v>1676</v>
      </c>
      <c r="C145" s="1">
        <v>1897</v>
      </c>
      <c r="D145" s="1">
        <v>2548</v>
      </c>
      <c r="E145" s="55">
        <f t="shared" si="19"/>
        <v>6121</v>
      </c>
      <c r="F145" s="1">
        <v>1625</v>
      </c>
      <c r="G145" s="1">
        <v>0</v>
      </c>
      <c r="H145" s="1">
        <v>0</v>
      </c>
      <c r="I145" s="55">
        <f t="shared" si="20"/>
        <v>1625</v>
      </c>
      <c r="J145" s="1">
        <v>0</v>
      </c>
      <c r="K145" s="1">
        <v>0</v>
      </c>
      <c r="L145" s="1">
        <v>0</v>
      </c>
      <c r="M145" s="55">
        <f t="shared" si="21"/>
        <v>0</v>
      </c>
      <c r="N145" s="1">
        <v>0</v>
      </c>
      <c r="O145" s="1">
        <v>0</v>
      </c>
      <c r="P145" s="1">
        <v>0</v>
      </c>
      <c r="Q145" s="55">
        <f t="shared" si="22"/>
        <v>0</v>
      </c>
      <c r="R145" s="55">
        <f t="shared" si="23"/>
        <v>7746</v>
      </c>
    </row>
    <row r="146" spans="1:18" ht="15.75" customHeight="1" x14ac:dyDescent="0.3">
      <c r="A146" s="71" t="s">
        <v>114</v>
      </c>
      <c r="B146" s="1">
        <v>40</v>
      </c>
      <c r="C146" s="1">
        <v>46</v>
      </c>
      <c r="D146" s="1">
        <v>60</v>
      </c>
      <c r="E146" s="55">
        <f t="shared" si="19"/>
        <v>146</v>
      </c>
      <c r="F146" s="1">
        <v>72</v>
      </c>
      <c r="G146" s="1">
        <v>76</v>
      </c>
      <c r="H146" s="1">
        <v>56</v>
      </c>
      <c r="I146" s="55">
        <f t="shared" si="20"/>
        <v>204</v>
      </c>
      <c r="J146" s="1">
        <v>46</v>
      </c>
      <c r="K146" s="1">
        <v>48</v>
      </c>
      <c r="L146" s="1">
        <v>36</v>
      </c>
      <c r="M146" s="55">
        <f t="shared" si="21"/>
        <v>130</v>
      </c>
      <c r="N146" s="1">
        <v>32</v>
      </c>
      <c r="O146" s="1">
        <v>29</v>
      </c>
      <c r="P146" s="1">
        <v>11</v>
      </c>
      <c r="Q146" s="55">
        <f t="shared" si="22"/>
        <v>72</v>
      </c>
      <c r="R146" s="55">
        <f t="shared" si="23"/>
        <v>552</v>
      </c>
    </row>
    <row r="147" spans="1:18" ht="15.75" customHeight="1" x14ac:dyDescent="0.3">
      <c r="A147" s="71" t="s">
        <v>115</v>
      </c>
      <c r="B147" s="1">
        <v>0</v>
      </c>
      <c r="C147" s="1">
        <v>323</v>
      </c>
      <c r="D147" s="1">
        <v>177</v>
      </c>
      <c r="E147" s="55">
        <f t="shared" si="19"/>
        <v>500</v>
      </c>
      <c r="F147" s="1">
        <v>195</v>
      </c>
      <c r="G147" s="1">
        <v>193</v>
      </c>
      <c r="H147" s="1">
        <v>171</v>
      </c>
      <c r="I147" s="55">
        <f t="shared" si="20"/>
        <v>559</v>
      </c>
      <c r="J147" s="1">
        <v>220</v>
      </c>
      <c r="K147" s="1">
        <v>214</v>
      </c>
      <c r="L147" s="1">
        <v>194</v>
      </c>
      <c r="M147" s="55">
        <f t="shared" si="21"/>
        <v>628</v>
      </c>
      <c r="N147" s="1">
        <v>186</v>
      </c>
      <c r="O147" s="1">
        <v>158</v>
      </c>
      <c r="P147" s="1">
        <v>144</v>
      </c>
      <c r="Q147" s="55">
        <f t="shared" si="22"/>
        <v>488</v>
      </c>
      <c r="R147" s="55">
        <f t="shared" si="23"/>
        <v>2175</v>
      </c>
    </row>
    <row r="148" spans="1:18" ht="15.75" customHeight="1" x14ac:dyDescent="0.3">
      <c r="A148" s="71" t="s">
        <v>116</v>
      </c>
      <c r="B148" s="1">
        <v>0</v>
      </c>
      <c r="C148" s="1">
        <v>0</v>
      </c>
      <c r="D148" s="1">
        <v>0</v>
      </c>
      <c r="E148" s="55">
        <f t="shared" si="19"/>
        <v>0</v>
      </c>
      <c r="F148" s="1">
        <v>0</v>
      </c>
      <c r="G148" s="1">
        <v>0</v>
      </c>
      <c r="H148" s="1">
        <v>0</v>
      </c>
      <c r="I148" s="55">
        <f t="shared" si="20"/>
        <v>0</v>
      </c>
      <c r="J148" s="1">
        <v>0</v>
      </c>
      <c r="K148" s="1">
        <v>0</v>
      </c>
      <c r="L148" s="1">
        <v>810</v>
      </c>
      <c r="M148" s="55">
        <f t="shared" si="21"/>
        <v>810</v>
      </c>
      <c r="N148" s="1">
        <v>0</v>
      </c>
      <c r="O148" s="1">
        <v>650</v>
      </c>
      <c r="P148" s="1">
        <v>0</v>
      </c>
      <c r="Q148" s="55">
        <f t="shared" si="22"/>
        <v>650</v>
      </c>
      <c r="R148" s="55">
        <f t="shared" si="23"/>
        <v>1460</v>
      </c>
    </row>
    <row r="149" spans="1:18" ht="15.75" customHeight="1" x14ac:dyDescent="0.3">
      <c r="A149" s="71" t="s">
        <v>117</v>
      </c>
      <c r="B149" s="1">
        <v>442</v>
      </c>
      <c r="C149" s="1">
        <v>383</v>
      </c>
      <c r="D149" s="1">
        <v>488</v>
      </c>
      <c r="E149" s="55">
        <f t="shared" si="19"/>
        <v>1313</v>
      </c>
      <c r="F149" s="1">
        <v>542</v>
      </c>
      <c r="G149" s="1">
        <v>486</v>
      </c>
      <c r="H149" s="1">
        <v>461</v>
      </c>
      <c r="I149" s="55">
        <f t="shared" si="20"/>
        <v>1489</v>
      </c>
      <c r="J149" s="1">
        <v>520</v>
      </c>
      <c r="K149" s="1">
        <v>505</v>
      </c>
      <c r="L149" s="1">
        <v>440</v>
      </c>
      <c r="M149" s="55">
        <f t="shared" si="21"/>
        <v>1465</v>
      </c>
      <c r="N149" s="1">
        <v>551</v>
      </c>
      <c r="O149" s="1">
        <v>460</v>
      </c>
      <c r="P149" s="1">
        <v>406</v>
      </c>
      <c r="Q149" s="55">
        <f t="shared" si="22"/>
        <v>1417</v>
      </c>
      <c r="R149" s="55">
        <f t="shared" si="23"/>
        <v>5684</v>
      </c>
    </row>
    <row r="150" spans="1:18" ht="15.75" customHeight="1" x14ac:dyDescent="0.3">
      <c r="A150" s="71" t="s">
        <v>118</v>
      </c>
      <c r="B150" s="1">
        <v>0</v>
      </c>
      <c r="C150" s="1">
        <v>0</v>
      </c>
      <c r="D150" s="1">
        <v>0</v>
      </c>
      <c r="E150" s="55">
        <f>SUM(B150:D150)</f>
        <v>0</v>
      </c>
      <c r="F150" s="1">
        <v>0</v>
      </c>
      <c r="G150" s="1">
        <v>0</v>
      </c>
      <c r="H150" s="1">
        <v>210</v>
      </c>
      <c r="I150" s="55">
        <f>SUM(F150:H150)</f>
        <v>210</v>
      </c>
      <c r="J150" s="1">
        <v>721</v>
      </c>
      <c r="K150" s="1">
        <v>1577</v>
      </c>
      <c r="L150" s="1">
        <v>434</v>
      </c>
      <c r="M150" s="55">
        <f>SUM(J150:L150)</f>
        <v>2732</v>
      </c>
      <c r="N150" s="1">
        <v>290</v>
      </c>
      <c r="O150" s="1">
        <v>500</v>
      </c>
      <c r="P150" s="1">
        <v>0</v>
      </c>
      <c r="Q150" s="55">
        <f>SUM(N150:P150)</f>
        <v>790</v>
      </c>
      <c r="R150" s="55">
        <f>+E150+I150+M150+Q150</f>
        <v>3732</v>
      </c>
    </row>
    <row r="151" spans="1:18" ht="15.75" customHeight="1" x14ac:dyDescent="0.3">
      <c r="A151" s="71" t="s">
        <v>119</v>
      </c>
      <c r="B151" s="1">
        <v>0</v>
      </c>
      <c r="C151" s="1">
        <v>0</v>
      </c>
      <c r="D151" s="1">
        <v>0</v>
      </c>
      <c r="E151" s="55">
        <f>SUM(B151:D151)</f>
        <v>0</v>
      </c>
      <c r="F151" s="1">
        <v>170</v>
      </c>
      <c r="G151" s="1">
        <v>1694</v>
      </c>
      <c r="H151" s="1">
        <v>1644</v>
      </c>
      <c r="I151" s="55">
        <f>SUM(F151:H151)</f>
        <v>3508</v>
      </c>
      <c r="J151" s="1">
        <v>1771</v>
      </c>
      <c r="K151" s="1">
        <v>1620</v>
      </c>
      <c r="L151" s="1">
        <v>1732</v>
      </c>
      <c r="M151" s="55">
        <f>SUM(J151:L151)</f>
        <v>5123</v>
      </c>
      <c r="N151" s="1">
        <v>2052</v>
      </c>
      <c r="O151" s="1">
        <v>1880</v>
      </c>
      <c r="P151" s="1">
        <v>1673</v>
      </c>
      <c r="Q151" s="55">
        <f>SUM(N151:P151)</f>
        <v>5605</v>
      </c>
      <c r="R151" s="55">
        <f>+E151+I151+M151+Q151</f>
        <v>14236</v>
      </c>
    </row>
    <row r="152" spans="1:18" ht="15.75" customHeight="1" x14ac:dyDescent="0.3">
      <c r="A152" s="71" t="s">
        <v>120</v>
      </c>
      <c r="B152" s="1">
        <v>27</v>
      </c>
      <c r="C152" s="1">
        <v>25</v>
      </c>
      <c r="D152" s="1">
        <v>61</v>
      </c>
      <c r="E152" s="55">
        <f>SUM(B152:D152)</f>
        <v>113</v>
      </c>
      <c r="F152" s="1">
        <v>68</v>
      </c>
      <c r="G152" s="1">
        <v>82</v>
      </c>
      <c r="H152" s="1">
        <v>127</v>
      </c>
      <c r="I152" s="55">
        <f>SUM(F152:H152)</f>
        <v>277</v>
      </c>
      <c r="J152" s="1">
        <v>97</v>
      </c>
      <c r="K152" s="1">
        <v>108</v>
      </c>
      <c r="L152" s="1">
        <v>70</v>
      </c>
      <c r="M152" s="55">
        <f>SUM(J152:L152)</f>
        <v>275</v>
      </c>
      <c r="N152" s="1">
        <v>0</v>
      </c>
      <c r="O152" s="1">
        <v>0</v>
      </c>
      <c r="P152" s="1">
        <v>0</v>
      </c>
      <c r="Q152" s="55">
        <f>SUM(N152:P152)</f>
        <v>0</v>
      </c>
      <c r="R152" s="55">
        <f>+E152+I152+M152+Q152</f>
        <v>665</v>
      </c>
    </row>
    <row r="153" spans="1:18" ht="15.75" customHeight="1" x14ac:dyDescent="0.3">
      <c r="A153" s="71" t="s">
        <v>121</v>
      </c>
      <c r="B153" s="1">
        <v>536</v>
      </c>
      <c r="C153" s="1">
        <v>454</v>
      </c>
      <c r="D153" s="1">
        <v>646</v>
      </c>
      <c r="E153" s="55">
        <f>SUM(B153:D153)</f>
        <v>1636</v>
      </c>
      <c r="F153" s="1">
        <v>652</v>
      </c>
      <c r="G153" s="1">
        <v>2015</v>
      </c>
      <c r="H153" s="1">
        <v>1778</v>
      </c>
      <c r="I153" s="55">
        <f>SUM(F153:H153)</f>
        <v>4445</v>
      </c>
      <c r="J153" s="1">
        <v>5053</v>
      </c>
      <c r="K153" s="1">
        <v>1039</v>
      </c>
      <c r="L153" s="1">
        <v>3065</v>
      </c>
      <c r="M153" s="55">
        <f>SUM(J153:L153)</f>
        <v>9157</v>
      </c>
      <c r="N153" s="1">
        <v>2270</v>
      </c>
      <c r="O153" s="1">
        <v>769</v>
      </c>
      <c r="P153" s="1">
        <v>618</v>
      </c>
      <c r="Q153" s="55">
        <f>SUM(N153:P153)</f>
        <v>3657</v>
      </c>
      <c r="R153" s="55">
        <f>+E153+I153+M153+Q153</f>
        <v>18895</v>
      </c>
    </row>
    <row r="154" spans="1:18" ht="15.75" customHeight="1" x14ac:dyDescent="0.3">
      <c r="A154" s="71" t="s">
        <v>122</v>
      </c>
      <c r="B154" s="1">
        <v>9087</v>
      </c>
      <c r="C154" s="1">
        <v>6796</v>
      </c>
      <c r="D154" s="1">
        <v>8996</v>
      </c>
      <c r="E154" s="55">
        <f>SUM(B154:D154)</f>
        <v>24879</v>
      </c>
      <c r="F154" s="1">
        <v>11265</v>
      </c>
      <c r="G154" s="1">
        <v>1738</v>
      </c>
      <c r="H154" s="1">
        <v>14976</v>
      </c>
      <c r="I154" s="55">
        <f>SUM(F154:H154)</f>
        <v>27979</v>
      </c>
      <c r="J154" s="1">
        <v>15243</v>
      </c>
      <c r="K154" s="1">
        <v>14292</v>
      </c>
      <c r="L154" s="1">
        <v>12706</v>
      </c>
      <c r="M154" s="55">
        <f>SUM(J154:L154)</f>
        <v>42241</v>
      </c>
      <c r="N154" s="1">
        <v>13314</v>
      </c>
      <c r="O154" s="1">
        <v>11074</v>
      </c>
      <c r="P154" s="1">
        <v>9334</v>
      </c>
      <c r="Q154" s="55">
        <f>SUM(N154:P154)</f>
        <v>33722</v>
      </c>
      <c r="R154" s="55">
        <f>+E154+I154+M154+Q154</f>
        <v>128821</v>
      </c>
    </row>
    <row r="155" spans="1:18" ht="15.75" customHeight="1" x14ac:dyDescent="0.3">
      <c r="A155" s="71" t="s">
        <v>123</v>
      </c>
      <c r="B155" s="1">
        <v>16</v>
      </c>
      <c r="C155" s="1">
        <v>0</v>
      </c>
      <c r="D155" s="1">
        <v>0</v>
      </c>
      <c r="E155" s="55">
        <f t="shared" si="19"/>
        <v>16</v>
      </c>
      <c r="F155" s="1">
        <v>24</v>
      </c>
      <c r="G155" s="1">
        <v>65</v>
      </c>
      <c r="H155" s="1">
        <v>25</v>
      </c>
      <c r="I155" s="55">
        <f t="shared" si="20"/>
        <v>114</v>
      </c>
      <c r="J155" s="1">
        <v>25</v>
      </c>
      <c r="K155" s="1">
        <v>25</v>
      </c>
      <c r="L155" s="1">
        <v>27</v>
      </c>
      <c r="M155" s="55">
        <f t="shared" si="21"/>
        <v>77</v>
      </c>
      <c r="N155" s="1">
        <v>17</v>
      </c>
      <c r="O155" s="1">
        <v>28</v>
      </c>
      <c r="P155" s="1">
        <v>10</v>
      </c>
      <c r="Q155" s="55">
        <f t="shared" si="22"/>
        <v>55</v>
      </c>
      <c r="R155" s="55">
        <f t="shared" si="23"/>
        <v>262</v>
      </c>
    </row>
    <row r="156" spans="1:18" ht="15.75" customHeight="1" x14ac:dyDescent="0.3">
      <c r="A156" s="71" t="s">
        <v>124</v>
      </c>
      <c r="B156" s="1">
        <v>2439</v>
      </c>
      <c r="C156" s="1">
        <v>844</v>
      </c>
      <c r="D156" s="1">
        <v>3601</v>
      </c>
      <c r="E156" s="55">
        <f t="shared" si="19"/>
        <v>6884</v>
      </c>
      <c r="F156" s="1">
        <v>4694</v>
      </c>
      <c r="G156" s="1">
        <v>4599</v>
      </c>
      <c r="H156" s="1">
        <v>4773</v>
      </c>
      <c r="I156" s="55">
        <f t="shared" si="20"/>
        <v>14066</v>
      </c>
      <c r="J156" s="1">
        <v>4789</v>
      </c>
      <c r="K156" s="1">
        <v>4700</v>
      </c>
      <c r="L156" s="1">
        <v>4756</v>
      </c>
      <c r="M156" s="55">
        <f t="shared" si="21"/>
        <v>14245</v>
      </c>
      <c r="N156" s="1">
        <v>5120</v>
      </c>
      <c r="O156" s="1">
        <v>4354</v>
      </c>
      <c r="P156" s="1">
        <v>3215</v>
      </c>
      <c r="Q156" s="55">
        <f t="shared" si="22"/>
        <v>12689</v>
      </c>
      <c r="R156" s="55">
        <f t="shared" si="23"/>
        <v>47884</v>
      </c>
    </row>
    <row r="157" spans="1:18" ht="15.75" customHeight="1" x14ac:dyDescent="0.3">
      <c r="A157" s="71" t="s">
        <v>125</v>
      </c>
      <c r="B157" s="1">
        <v>172</v>
      </c>
      <c r="C157" s="1">
        <v>0</v>
      </c>
      <c r="D157" s="1">
        <v>0</v>
      </c>
      <c r="E157" s="55">
        <f>SUM(B157:D157)</f>
        <v>172</v>
      </c>
      <c r="F157" s="1">
        <v>0</v>
      </c>
      <c r="G157" s="1">
        <v>450</v>
      </c>
      <c r="H157" s="1">
        <v>500</v>
      </c>
      <c r="I157" s="55">
        <f>SUM(F157:H157)</f>
        <v>950</v>
      </c>
      <c r="J157" s="1">
        <v>503</v>
      </c>
      <c r="K157" s="1">
        <v>500</v>
      </c>
      <c r="L157" s="1">
        <v>400</v>
      </c>
      <c r="M157" s="55">
        <f>SUM(J157:L157)</f>
        <v>1403</v>
      </c>
      <c r="N157" s="1">
        <v>200</v>
      </c>
      <c r="O157" s="1">
        <v>300</v>
      </c>
      <c r="P157" s="1">
        <v>250</v>
      </c>
      <c r="Q157" s="55">
        <f>SUM(N157:P157)</f>
        <v>750</v>
      </c>
      <c r="R157" s="55">
        <f>+E157+I157+M157+Q157</f>
        <v>3275</v>
      </c>
    </row>
    <row r="158" spans="1:18" ht="15.75" customHeight="1" x14ac:dyDescent="0.3">
      <c r="A158" s="71" t="s">
        <v>126</v>
      </c>
      <c r="B158" s="1">
        <v>2</v>
      </c>
      <c r="C158" s="1">
        <v>2</v>
      </c>
      <c r="D158" s="1">
        <v>2</v>
      </c>
      <c r="E158" s="55">
        <f t="shared" si="19"/>
        <v>6</v>
      </c>
      <c r="F158" s="1">
        <v>3</v>
      </c>
      <c r="G158" s="1">
        <v>3</v>
      </c>
      <c r="H158" s="1">
        <v>4</v>
      </c>
      <c r="I158" s="55">
        <f t="shared" si="20"/>
        <v>10</v>
      </c>
      <c r="J158" s="1">
        <v>3</v>
      </c>
      <c r="K158" s="1">
        <v>4</v>
      </c>
      <c r="L158" s="1">
        <v>3</v>
      </c>
      <c r="M158" s="55">
        <f t="shared" si="21"/>
        <v>10</v>
      </c>
      <c r="N158" s="1">
        <v>3</v>
      </c>
      <c r="O158" s="1">
        <v>3</v>
      </c>
      <c r="P158" s="1">
        <v>2</v>
      </c>
      <c r="Q158" s="55">
        <f t="shared" si="22"/>
        <v>8</v>
      </c>
      <c r="R158" s="55">
        <f t="shared" si="23"/>
        <v>34</v>
      </c>
    </row>
    <row r="159" spans="1:18" ht="15.75" customHeight="1" x14ac:dyDescent="0.3">
      <c r="A159" s="15" t="s">
        <v>50</v>
      </c>
      <c r="B159" s="1"/>
      <c r="C159" s="1"/>
      <c r="D159" s="1"/>
      <c r="E159" s="55" t="s">
        <v>7</v>
      </c>
      <c r="F159" s="1"/>
      <c r="G159" s="1"/>
      <c r="H159" s="1"/>
      <c r="I159" s="55" t="s">
        <v>7</v>
      </c>
      <c r="J159" s="1"/>
      <c r="K159" s="1"/>
      <c r="L159" s="1"/>
      <c r="M159" s="55" t="s">
        <v>7</v>
      </c>
      <c r="N159" s="1"/>
      <c r="O159" s="1"/>
      <c r="P159" s="1"/>
      <c r="Q159" s="55" t="s">
        <v>7</v>
      </c>
      <c r="R159" s="55" t="s">
        <v>7</v>
      </c>
    </row>
    <row r="160" spans="1:18" ht="15.75" customHeight="1" x14ac:dyDescent="0.3">
      <c r="A160" s="71" t="s">
        <v>127</v>
      </c>
      <c r="B160" s="1">
        <v>9</v>
      </c>
      <c r="C160" s="1">
        <v>11</v>
      </c>
      <c r="D160" s="1">
        <v>37</v>
      </c>
      <c r="E160" s="55">
        <f>SUM(B160:D160)</f>
        <v>57</v>
      </c>
      <c r="F160" s="1">
        <v>47</v>
      </c>
      <c r="G160" s="1">
        <v>43</v>
      </c>
      <c r="H160" s="1">
        <v>53</v>
      </c>
      <c r="I160" s="55">
        <f>SUM(F160:H160)</f>
        <v>143</v>
      </c>
      <c r="J160" s="1">
        <v>40</v>
      </c>
      <c r="K160" s="1">
        <v>38</v>
      </c>
      <c r="L160" s="1">
        <v>53</v>
      </c>
      <c r="M160" s="55">
        <f>SUM(J160:L160)</f>
        <v>131</v>
      </c>
      <c r="N160" s="1">
        <v>77</v>
      </c>
      <c r="O160" s="1">
        <v>40</v>
      </c>
      <c r="P160" s="1">
        <v>23</v>
      </c>
      <c r="Q160" s="55">
        <f>SUM(N160:P160)</f>
        <v>140</v>
      </c>
      <c r="R160" s="55">
        <f>+E160+I160+M160+Q160</f>
        <v>471</v>
      </c>
    </row>
    <row r="161" spans="1:18" ht="15.75" customHeight="1" x14ac:dyDescent="0.3">
      <c r="A161" s="71" t="s">
        <v>128</v>
      </c>
      <c r="B161" s="1">
        <v>3</v>
      </c>
      <c r="C161" s="1">
        <v>2</v>
      </c>
      <c r="D161" s="1">
        <v>6</v>
      </c>
      <c r="E161" s="55">
        <f t="shared" ref="E161:E170" si="24">SUM(B161:D161)</f>
        <v>11</v>
      </c>
      <c r="F161" s="1">
        <v>13</v>
      </c>
      <c r="G161" s="1">
        <v>14</v>
      </c>
      <c r="H161" s="1">
        <v>25</v>
      </c>
      <c r="I161" s="55">
        <f t="shared" ref="I161:I170" si="25">SUM(F161:H161)</f>
        <v>52</v>
      </c>
      <c r="J161" s="1">
        <v>21</v>
      </c>
      <c r="K161" s="1">
        <v>9</v>
      </c>
      <c r="L161" s="1">
        <v>15</v>
      </c>
      <c r="M161" s="55">
        <f t="shared" ref="M161:M170" si="26">SUM(J161:L161)</f>
        <v>45</v>
      </c>
      <c r="N161" s="1">
        <v>19</v>
      </c>
      <c r="O161" s="1">
        <v>10</v>
      </c>
      <c r="P161" s="1">
        <v>5</v>
      </c>
      <c r="Q161" s="55">
        <f t="shared" ref="Q161:Q170" si="27">SUM(N161:P161)</f>
        <v>34</v>
      </c>
      <c r="R161" s="55">
        <f t="shared" ref="R161:R170" si="28">+E161+I161+M161+Q161</f>
        <v>142</v>
      </c>
    </row>
    <row r="162" spans="1:18" ht="15.75" customHeight="1" x14ac:dyDescent="0.3">
      <c r="A162" s="71" t="s">
        <v>129</v>
      </c>
      <c r="B162" s="1">
        <v>30</v>
      </c>
      <c r="C162" s="1">
        <v>0</v>
      </c>
      <c r="D162" s="1">
        <v>0</v>
      </c>
      <c r="E162" s="55">
        <f>SUM(B162:D162)</f>
        <v>30</v>
      </c>
      <c r="F162" s="1">
        <v>40</v>
      </c>
      <c r="G162" s="1">
        <v>120</v>
      </c>
      <c r="H162" s="1">
        <v>50</v>
      </c>
      <c r="I162" s="55">
        <f>SUM(F162:H162)</f>
        <v>210</v>
      </c>
      <c r="J162" s="1">
        <v>70</v>
      </c>
      <c r="K162" s="1">
        <v>70</v>
      </c>
      <c r="L162" s="1">
        <v>60</v>
      </c>
      <c r="M162" s="55">
        <f>SUM(J162:L162)</f>
        <v>200</v>
      </c>
      <c r="N162" s="1">
        <v>50</v>
      </c>
      <c r="O162" s="1">
        <v>80</v>
      </c>
      <c r="P162" s="1">
        <v>0</v>
      </c>
      <c r="Q162" s="55">
        <f>SUM(N162:P162)</f>
        <v>130</v>
      </c>
      <c r="R162" s="55">
        <f>+E162+I162+M162+Q162</f>
        <v>570</v>
      </c>
    </row>
    <row r="163" spans="1:18" ht="15.75" customHeight="1" x14ac:dyDescent="0.3">
      <c r="A163" s="72" t="s">
        <v>130</v>
      </c>
      <c r="B163" s="1">
        <v>0</v>
      </c>
      <c r="C163" s="1">
        <v>0</v>
      </c>
      <c r="D163" s="1">
        <v>0</v>
      </c>
      <c r="E163" s="55">
        <f>SUM(B163:D163)</f>
        <v>0</v>
      </c>
      <c r="F163" s="1">
        <v>0</v>
      </c>
      <c r="G163" s="1">
        <v>0</v>
      </c>
      <c r="H163" s="1">
        <v>0</v>
      </c>
      <c r="I163" s="55">
        <f>SUM(F163:H163)</f>
        <v>0</v>
      </c>
      <c r="J163" s="1">
        <v>0</v>
      </c>
      <c r="K163" s="1">
        <v>0</v>
      </c>
      <c r="L163" s="1">
        <v>0</v>
      </c>
      <c r="M163" s="55">
        <f>SUM(J163:L163)</f>
        <v>0</v>
      </c>
      <c r="N163" s="1">
        <v>0</v>
      </c>
      <c r="O163" s="1">
        <v>0</v>
      </c>
      <c r="P163" s="1">
        <v>400</v>
      </c>
      <c r="Q163" s="55">
        <f>SUM(N163:P163)</f>
        <v>400</v>
      </c>
      <c r="R163" s="55">
        <f>+E163+I163+M163+Q163</f>
        <v>400</v>
      </c>
    </row>
    <row r="164" spans="1:18" ht="15.75" customHeight="1" x14ac:dyDescent="0.3">
      <c r="A164" s="71" t="s">
        <v>131</v>
      </c>
      <c r="B164" s="1">
        <v>3</v>
      </c>
      <c r="C164" s="1">
        <v>2</v>
      </c>
      <c r="D164" s="1">
        <v>5</v>
      </c>
      <c r="E164" s="55">
        <f t="shared" si="24"/>
        <v>10</v>
      </c>
      <c r="F164" s="1">
        <v>6</v>
      </c>
      <c r="G164" s="1">
        <v>8</v>
      </c>
      <c r="H164" s="1">
        <v>6</v>
      </c>
      <c r="I164" s="55">
        <f t="shared" si="25"/>
        <v>20</v>
      </c>
      <c r="J164" s="1">
        <v>6</v>
      </c>
      <c r="K164" s="1">
        <v>6</v>
      </c>
      <c r="L164" s="1">
        <v>5</v>
      </c>
      <c r="M164" s="55">
        <f t="shared" si="26"/>
        <v>17</v>
      </c>
      <c r="N164" s="1">
        <v>5</v>
      </c>
      <c r="O164" s="1">
        <v>8</v>
      </c>
      <c r="P164" s="1">
        <v>3</v>
      </c>
      <c r="Q164" s="55">
        <f t="shared" si="27"/>
        <v>16</v>
      </c>
      <c r="R164" s="55">
        <f t="shared" si="28"/>
        <v>63</v>
      </c>
    </row>
    <row r="165" spans="1:18" ht="15.75" customHeight="1" x14ac:dyDescent="0.3">
      <c r="A165" s="71" t="s">
        <v>120</v>
      </c>
      <c r="B165" s="1">
        <v>0</v>
      </c>
      <c r="C165" s="1">
        <v>0</v>
      </c>
      <c r="D165" s="1">
        <v>0</v>
      </c>
      <c r="E165" s="55">
        <f>SUM(B165:D165)</f>
        <v>0</v>
      </c>
      <c r="F165" s="1">
        <v>0</v>
      </c>
      <c r="G165" s="1">
        <v>0</v>
      </c>
      <c r="H165" s="1">
        <v>0</v>
      </c>
      <c r="I165" s="55">
        <f>SUM(F165:H165)</f>
        <v>0</v>
      </c>
      <c r="J165" s="1">
        <v>0</v>
      </c>
      <c r="K165" s="1">
        <v>0</v>
      </c>
      <c r="L165" s="1">
        <v>13</v>
      </c>
      <c r="M165" s="55">
        <f>SUM(J165:L165)</f>
        <v>13</v>
      </c>
      <c r="N165" s="1">
        <v>67</v>
      </c>
      <c r="O165" s="1">
        <v>58</v>
      </c>
      <c r="P165" s="1">
        <v>28</v>
      </c>
      <c r="Q165" s="55">
        <f>SUM(N165:P165)</f>
        <v>153</v>
      </c>
      <c r="R165" s="55">
        <f>+E165+I165+M165+Q165</f>
        <v>166</v>
      </c>
    </row>
    <row r="166" spans="1:18" ht="15.75" customHeight="1" x14ac:dyDescent="0.3">
      <c r="A166" s="71" t="s">
        <v>132</v>
      </c>
      <c r="B166" s="1">
        <v>1</v>
      </c>
      <c r="C166" s="1">
        <v>0</v>
      </c>
      <c r="D166" s="1">
        <v>1</v>
      </c>
      <c r="E166" s="55">
        <f t="shared" si="24"/>
        <v>2</v>
      </c>
      <c r="F166" s="1">
        <v>1</v>
      </c>
      <c r="G166" s="1">
        <v>2</v>
      </c>
      <c r="H166" s="1">
        <v>2</v>
      </c>
      <c r="I166" s="55">
        <f t="shared" si="25"/>
        <v>5</v>
      </c>
      <c r="J166" s="1">
        <v>2</v>
      </c>
      <c r="K166" s="1">
        <v>2</v>
      </c>
      <c r="L166" s="1">
        <v>1</v>
      </c>
      <c r="M166" s="55">
        <f t="shared" si="26"/>
        <v>5</v>
      </c>
      <c r="N166" s="1">
        <v>1</v>
      </c>
      <c r="O166" s="1">
        <v>1</v>
      </c>
      <c r="P166" s="1">
        <v>0</v>
      </c>
      <c r="Q166" s="55">
        <f t="shared" si="27"/>
        <v>2</v>
      </c>
      <c r="R166" s="55">
        <f t="shared" si="28"/>
        <v>14</v>
      </c>
    </row>
    <row r="167" spans="1:18" ht="15.75" customHeight="1" x14ac:dyDescent="0.3">
      <c r="A167" s="71" t="s">
        <v>133</v>
      </c>
      <c r="B167" s="1">
        <v>12</v>
      </c>
      <c r="C167" s="1">
        <v>20</v>
      </c>
      <c r="D167" s="1">
        <v>53</v>
      </c>
      <c r="E167" s="55">
        <f t="shared" si="24"/>
        <v>85</v>
      </c>
      <c r="F167" s="1">
        <v>191</v>
      </c>
      <c r="G167" s="1">
        <v>186</v>
      </c>
      <c r="H167" s="1">
        <v>261</v>
      </c>
      <c r="I167" s="55">
        <f t="shared" si="25"/>
        <v>638</v>
      </c>
      <c r="J167" s="1">
        <v>247</v>
      </c>
      <c r="K167" s="1">
        <v>221</v>
      </c>
      <c r="L167" s="1">
        <v>194</v>
      </c>
      <c r="M167" s="55">
        <f t="shared" si="26"/>
        <v>662</v>
      </c>
      <c r="N167" s="1">
        <v>264</v>
      </c>
      <c r="O167" s="1">
        <v>161</v>
      </c>
      <c r="P167" s="1">
        <v>42</v>
      </c>
      <c r="Q167" s="55">
        <f t="shared" si="27"/>
        <v>467</v>
      </c>
      <c r="R167" s="55">
        <f t="shared" si="28"/>
        <v>1852</v>
      </c>
    </row>
    <row r="168" spans="1:18" ht="15.75" customHeight="1" x14ac:dyDescent="0.3">
      <c r="A168" s="71" t="s">
        <v>134</v>
      </c>
      <c r="B168" s="1">
        <v>0</v>
      </c>
      <c r="C168" s="1">
        <v>0</v>
      </c>
      <c r="D168" s="1">
        <v>0</v>
      </c>
      <c r="E168" s="55">
        <f t="shared" si="24"/>
        <v>0</v>
      </c>
      <c r="F168" s="1">
        <v>0</v>
      </c>
      <c r="G168" s="1">
        <v>18</v>
      </c>
      <c r="H168" s="1">
        <v>22</v>
      </c>
      <c r="I168" s="55">
        <f t="shared" si="25"/>
        <v>40</v>
      </c>
      <c r="J168" s="1">
        <v>35</v>
      </c>
      <c r="K168" s="1">
        <v>36</v>
      </c>
      <c r="L168" s="1">
        <v>23</v>
      </c>
      <c r="M168" s="55">
        <f t="shared" si="26"/>
        <v>94</v>
      </c>
      <c r="N168" s="1">
        <v>34</v>
      </c>
      <c r="O168" s="1">
        <v>42</v>
      </c>
      <c r="P168" s="1">
        <v>0</v>
      </c>
      <c r="Q168" s="55">
        <f t="shared" si="27"/>
        <v>76</v>
      </c>
      <c r="R168" s="55">
        <f t="shared" si="28"/>
        <v>210</v>
      </c>
    </row>
    <row r="169" spans="1:18" ht="15.75" customHeight="1" x14ac:dyDescent="0.3">
      <c r="A169" s="84" t="s">
        <v>135</v>
      </c>
      <c r="B169" s="1">
        <v>6</v>
      </c>
      <c r="C169" s="1">
        <v>6</v>
      </c>
      <c r="D169" s="1">
        <v>8</v>
      </c>
      <c r="E169" s="55">
        <f>SUM(B169:D169)</f>
        <v>20</v>
      </c>
      <c r="F169" s="1">
        <v>12</v>
      </c>
      <c r="G169" s="1">
        <v>11</v>
      </c>
      <c r="H169" s="1">
        <v>12</v>
      </c>
      <c r="I169" s="55">
        <f>SUM(F169:H169)</f>
        <v>35</v>
      </c>
      <c r="J169" s="1">
        <v>10</v>
      </c>
      <c r="K169" s="1">
        <v>11</v>
      </c>
      <c r="L169" s="1">
        <v>11</v>
      </c>
      <c r="M169" s="55">
        <f>SUM(J169:L169)</f>
        <v>32</v>
      </c>
      <c r="N169" s="1">
        <v>7</v>
      </c>
      <c r="O169" s="1">
        <v>7</v>
      </c>
      <c r="P169" s="1">
        <v>5</v>
      </c>
      <c r="Q169" s="55">
        <f>SUM(N169:P169)</f>
        <v>19</v>
      </c>
      <c r="R169" s="55">
        <f>+E169+I169+M169+Q169</f>
        <v>106</v>
      </c>
    </row>
    <row r="170" spans="1:18" ht="15.75" customHeight="1" x14ac:dyDescent="0.3">
      <c r="A170" s="71" t="s">
        <v>136</v>
      </c>
      <c r="B170" s="1">
        <v>0</v>
      </c>
      <c r="C170" s="1">
        <v>0</v>
      </c>
      <c r="D170" s="1">
        <v>0</v>
      </c>
      <c r="E170" s="55">
        <f t="shared" si="24"/>
        <v>0</v>
      </c>
      <c r="F170" s="1">
        <v>0</v>
      </c>
      <c r="G170" s="1">
        <v>50</v>
      </c>
      <c r="H170" s="1">
        <v>0</v>
      </c>
      <c r="I170" s="55">
        <f t="shared" si="25"/>
        <v>50</v>
      </c>
      <c r="J170" s="1">
        <v>0</v>
      </c>
      <c r="K170" s="1">
        <v>0</v>
      </c>
      <c r="L170" s="1">
        <v>0</v>
      </c>
      <c r="M170" s="55">
        <f t="shared" si="26"/>
        <v>0</v>
      </c>
      <c r="N170" s="1">
        <v>0</v>
      </c>
      <c r="O170" s="1">
        <v>8</v>
      </c>
      <c r="P170" s="1">
        <v>0</v>
      </c>
      <c r="Q170" s="55">
        <f t="shared" si="27"/>
        <v>8</v>
      </c>
      <c r="R170" s="55">
        <f t="shared" si="28"/>
        <v>58</v>
      </c>
    </row>
    <row r="171" spans="1:18" ht="15.75" customHeight="1" x14ac:dyDescent="0.3">
      <c r="A171" s="15" t="s">
        <v>51</v>
      </c>
      <c r="B171" s="1"/>
      <c r="C171" s="1"/>
      <c r="D171" s="1"/>
      <c r="E171" s="55" t="s">
        <v>7</v>
      </c>
      <c r="F171" s="1"/>
      <c r="G171" s="1"/>
      <c r="H171" s="1"/>
      <c r="I171" s="55" t="s">
        <v>7</v>
      </c>
      <c r="J171" s="1"/>
      <c r="K171" s="1"/>
      <c r="L171" s="1"/>
      <c r="M171" s="55" t="s">
        <v>7</v>
      </c>
      <c r="N171" s="1"/>
      <c r="O171" s="1"/>
      <c r="P171" s="1"/>
      <c r="Q171" s="55" t="s">
        <v>7</v>
      </c>
      <c r="R171" s="55" t="s">
        <v>7</v>
      </c>
    </row>
    <row r="172" spans="1:18" ht="15.75" customHeight="1" x14ac:dyDescent="0.3">
      <c r="A172" s="85" t="s">
        <v>137</v>
      </c>
      <c r="B172" s="1">
        <v>0</v>
      </c>
      <c r="C172" s="1">
        <v>0</v>
      </c>
      <c r="D172" s="1">
        <v>0</v>
      </c>
      <c r="E172" s="55">
        <f>SUM(B172:D172)</f>
        <v>0</v>
      </c>
      <c r="F172" s="1">
        <v>296</v>
      </c>
      <c r="G172" s="1">
        <v>2414</v>
      </c>
      <c r="H172" s="1">
        <v>2269</v>
      </c>
      <c r="I172" s="55">
        <f>SUM(F172:H172)</f>
        <v>4979</v>
      </c>
      <c r="J172" s="1">
        <v>1022</v>
      </c>
      <c r="K172" s="1">
        <v>1355</v>
      </c>
      <c r="L172" s="1">
        <v>0</v>
      </c>
      <c r="M172" s="55">
        <f>SUM(J172:L172)</f>
        <v>2377</v>
      </c>
      <c r="N172" s="1">
        <v>0</v>
      </c>
      <c r="O172" s="1">
        <v>1000</v>
      </c>
      <c r="P172" s="1">
        <v>0</v>
      </c>
      <c r="Q172" s="55">
        <f>SUM(N172:P172)</f>
        <v>1000</v>
      </c>
      <c r="R172" s="55">
        <f>+E172+I172+M172+Q172</f>
        <v>8356</v>
      </c>
    </row>
    <row r="173" spans="1:18" ht="15.75" customHeight="1" x14ac:dyDescent="0.3">
      <c r="A173" s="85" t="s">
        <v>138</v>
      </c>
      <c r="B173" s="1">
        <v>0</v>
      </c>
      <c r="C173" s="1">
        <v>0</v>
      </c>
      <c r="D173" s="1">
        <v>3243</v>
      </c>
      <c r="E173" s="55">
        <f>SUM(B173:D173)</f>
        <v>3243</v>
      </c>
      <c r="F173" s="1">
        <v>2404</v>
      </c>
      <c r="G173" s="1">
        <v>0</v>
      </c>
      <c r="H173" s="1">
        <v>0</v>
      </c>
      <c r="I173" s="55">
        <f>SUM(F173:H173)</f>
        <v>2404</v>
      </c>
      <c r="J173" s="1">
        <v>0</v>
      </c>
      <c r="K173" s="1">
        <v>0</v>
      </c>
      <c r="L173" s="1">
        <v>0</v>
      </c>
      <c r="M173" s="55">
        <f>SUM(J173:L173)</f>
        <v>0</v>
      </c>
      <c r="N173" s="1">
        <v>278</v>
      </c>
      <c r="O173" s="1">
        <v>872</v>
      </c>
      <c r="P173" s="1">
        <v>0</v>
      </c>
      <c r="Q173" s="55">
        <f>SUM(N173:P173)</f>
        <v>1150</v>
      </c>
      <c r="R173" s="55">
        <f>+E173+I173+M173+Q173</f>
        <v>6797</v>
      </c>
    </row>
    <row r="174" spans="1:18" ht="15.75" customHeight="1" x14ac:dyDescent="0.3">
      <c r="A174" s="61" t="s">
        <v>139</v>
      </c>
      <c r="B174" s="1">
        <v>4</v>
      </c>
      <c r="C174" s="1">
        <v>3</v>
      </c>
      <c r="D174" s="1">
        <v>33</v>
      </c>
      <c r="E174" s="55">
        <f>SUM(B174:D174)</f>
        <v>40</v>
      </c>
      <c r="F174" s="1">
        <v>50</v>
      </c>
      <c r="G174" s="1">
        <v>113</v>
      </c>
      <c r="H174" s="1">
        <v>156</v>
      </c>
      <c r="I174" s="55">
        <f>SUM(F174:H174)</f>
        <v>319</v>
      </c>
      <c r="J174" s="1">
        <v>113</v>
      </c>
      <c r="K174" s="1">
        <v>87</v>
      </c>
      <c r="L174" s="1">
        <v>134</v>
      </c>
      <c r="M174" s="55">
        <f>SUM(J174:L174)</f>
        <v>334</v>
      </c>
      <c r="N174" s="1">
        <v>154</v>
      </c>
      <c r="O174" s="1">
        <v>29</v>
      </c>
      <c r="P174" s="1">
        <v>8</v>
      </c>
      <c r="Q174" s="55">
        <f>SUM(N174:P174)</f>
        <v>191</v>
      </c>
      <c r="R174" s="55">
        <f>+E174+I174+M174+Q174</f>
        <v>884</v>
      </c>
    </row>
    <row r="175" spans="1:18" ht="15.75" customHeight="1" thickBot="1" x14ac:dyDescent="0.35">
      <c r="A175" s="15" t="s">
        <v>53</v>
      </c>
      <c r="B175" s="1"/>
      <c r="C175" s="1"/>
      <c r="D175" s="1"/>
      <c r="E175" s="55" t="s">
        <v>7</v>
      </c>
      <c r="F175" s="1"/>
      <c r="G175" s="1"/>
      <c r="H175" s="1"/>
      <c r="I175" s="55" t="s">
        <v>7</v>
      </c>
      <c r="J175" s="1"/>
      <c r="K175" s="1"/>
      <c r="L175" s="1"/>
      <c r="M175" s="55" t="s">
        <v>7</v>
      </c>
      <c r="N175" s="1"/>
      <c r="O175" s="1"/>
      <c r="P175" s="1"/>
      <c r="Q175" s="55" t="s">
        <v>7</v>
      </c>
      <c r="R175" s="55" t="s">
        <v>7</v>
      </c>
    </row>
    <row r="176" spans="1:18" ht="15.75" customHeight="1" thickBot="1" x14ac:dyDescent="0.35">
      <c r="A176" s="57" t="s">
        <v>54</v>
      </c>
      <c r="B176" s="86">
        <f>SUM(B139:B175)</f>
        <v>14509</v>
      </c>
      <c r="C176" s="87">
        <f>SUM(C139:C175)</f>
        <v>10821</v>
      </c>
      <c r="D176" s="87">
        <f>SUM(D139:D175)</f>
        <v>21583</v>
      </c>
      <c r="E176" s="59">
        <f>SUM(B176:D176)</f>
        <v>46913</v>
      </c>
      <c r="F176" s="87">
        <f>SUM(F139:F175)</f>
        <v>24788</v>
      </c>
      <c r="G176" s="87">
        <f>SUM(G139:G175)</f>
        <v>16896</v>
      </c>
      <c r="H176" s="87">
        <f>SUM(H139:H175)</f>
        <v>31612</v>
      </c>
      <c r="I176" s="59">
        <f>SUM(F176:H176)</f>
        <v>73296</v>
      </c>
      <c r="J176" s="87">
        <f>SUM(J139:J175)</f>
        <v>36115</v>
      </c>
      <c r="K176" s="87">
        <f>SUM(K139:K175)</f>
        <v>29003</v>
      </c>
      <c r="L176" s="87">
        <f>SUM(L139:L175)</f>
        <v>26459</v>
      </c>
      <c r="M176" s="59">
        <f>SUM(J176:L176)</f>
        <v>91577</v>
      </c>
      <c r="N176" s="87">
        <f>SUM(N139:N175)</f>
        <v>25092</v>
      </c>
      <c r="O176" s="87">
        <f>SUM(O139:O175)</f>
        <v>22547</v>
      </c>
      <c r="P176" s="87">
        <f>SUM(P139:P175)</f>
        <v>16184</v>
      </c>
      <c r="Q176" s="59">
        <f>SUM(N176:P176)</f>
        <v>63823</v>
      </c>
      <c r="R176" s="59">
        <f>+E176+I176+M176+Q176</f>
        <v>275609</v>
      </c>
    </row>
    <row r="177" spans="1:18" ht="15.75" customHeight="1" x14ac:dyDescent="0.3">
      <c r="A177" s="15" t="s">
        <v>55</v>
      </c>
      <c r="B177" s="1"/>
      <c r="C177" s="1"/>
      <c r="D177" s="1"/>
      <c r="E177" s="55" t="s">
        <v>7</v>
      </c>
      <c r="F177" s="1"/>
      <c r="G177" s="1"/>
      <c r="H177" s="1"/>
      <c r="I177" s="55" t="s">
        <v>7</v>
      </c>
      <c r="J177" s="1"/>
      <c r="K177" s="1"/>
      <c r="L177" s="1"/>
      <c r="M177" s="55" t="s">
        <v>7</v>
      </c>
      <c r="N177" s="1"/>
      <c r="O177" s="1"/>
      <c r="P177" s="1"/>
      <c r="Q177" s="55" t="s">
        <v>7</v>
      </c>
      <c r="R177" s="55" t="s">
        <v>7</v>
      </c>
    </row>
    <row r="178" spans="1:18" ht="15.75" customHeight="1" x14ac:dyDescent="0.3">
      <c r="A178" s="15" t="s">
        <v>56</v>
      </c>
      <c r="B178" s="1"/>
      <c r="C178" s="1"/>
      <c r="D178" s="1"/>
      <c r="E178" s="55" t="s">
        <v>7</v>
      </c>
      <c r="F178" s="1"/>
      <c r="G178" s="1"/>
      <c r="H178" s="1"/>
      <c r="I178" s="55" t="s">
        <v>7</v>
      </c>
      <c r="J178" s="1"/>
      <c r="K178" s="1"/>
      <c r="L178" s="1"/>
      <c r="M178" s="55" t="s">
        <v>7</v>
      </c>
      <c r="N178" s="1"/>
      <c r="O178" s="1"/>
      <c r="P178" s="1"/>
      <c r="Q178" s="55" t="s">
        <v>7</v>
      </c>
      <c r="R178" s="55" t="s">
        <v>7</v>
      </c>
    </row>
    <row r="179" spans="1:18" ht="15.75" customHeight="1" x14ac:dyDescent="0.3">
      <c r="A179" s="15" t="s">
        <v>57</v>
      </c>
      <c r="B179" s="1"/>
      <c r="C179" s="1"/>
      <c r="D179" s="1"/>
      <c r="E179" s="55" t="s">
        <v>7</v>
      </c>
      <c r="F179" s="1"/>
      <c r="G179" s="1"/>
      <c r="H179" s="1"/>
      <c r="I179" s="55" t="s">
        <v>7</v>
      </c>
      <c r="J179" s="1"/>
      <c r="K179" s="1"/>
      <c r="L179" s="1"/>
      <c r="M179" s="55" t="s">
        <v>7</v>
      </c>
      <c r="N179" s="1"/>
      <c r="O179" s="1"/>
      <c r="P179" s="1"/>
      <c r="Q179" s="55" t="s">
        <v>7</v>
      </c>
      <c r="R179" s="55" t="s">
        <v>7</v>
      </c>
    </row>
    <row r="180" spans="1:18" ht="15.75" customHeight="1" x14ac:dyDescent="0.3">
      <c r="A180" s="85" t="s">
        <v>140</v>
      </c>
      <c r="B180" s="1">
        <v>0</v>
      </c>
      <c r="C180" s="1">
        <v>0</v>
      </c>
      <c r="D180" s="1">
        <v>0</v>
      </c>
      <c r="E180" s="55">
        <f>SUM(B180:D180)</f>
        <v>0</v>
      </c>
      <c r="F180" s="1">
        <v>0</v>
      </c>
      <c r="G180" s="1">
        <v>0</v>
      </c>
      <c r="H180" s="1">
        <v>0</v>
      </c>
      <c r="I180" s="55">
        <f>SUM(F180:H180)</f>
        <v>0</v>
      </c>
      <c r="J180" s="1">
        <v>0</v>
      </c>
      <c r="K180" s="1">
        <v>0</v>
      </c>
      <c r="L180" s="1">
        <v>0</v>
      </c>
      <c r="M180" s="55">
        <f>SUM(J180:L180)</f>
        <v>0</v>
      </c>
      <c r="N180" s="1">
        <v>0</v>
      </c>
      <c r="O180" s="1">
        <v>0</v>
      </c>
      <c r="P180" s="1">
        <v>0</v>
      </c>
      <c r="Q180" s="55">
        <f>SUM(N180:P180)</f>
        <v>0</v>
      </c>
      <c r="R180" s="55">
        <f>+E180+I180+M180+Q180</f>
        <v>0</v>
      </c>
    </row>
    <row r="181" spans="1:18" ht="15.75" customHeight="1" x14ac:dyDescent="0.3">
      <c r="A181" s="61" t="s">
        <v>141</v>
      </c>
      <c r="B181" s="1">
        <v>0</v>
      </c>
      <c r="C181" s="1">
        <v>0</v>
      </c>
      <c r="D181" s="1">
        <v>0</v>
      </c>
      <c r="E181" s="55">
        <f>SUM(B181:D181)</f>
        <v>0</v>
      </c>
      <c r="F181" s="1">
        <v>0</v>
      </c>
      <c r="G181" s="1">
        <v>0</v>
      </c>
      <c r="H181" s="1">
        <v>0</v>
      </c>
      <c r="I181" s="55">
        <f>SUM(F181:H181)</f>
        <v>0</v>
      </c>
      <c r="J181" s="1">
        <v>0</v>
      </c>
      <c r="K181" s="1">
        <v>0</v>
      </c>
      <c r="L181" s="1">
        <v>0</v>
      </c>
      <c r="M181" s="55">
        <f>SUM(J181:L181)</f>
        <v>0</v>
      </c>
      <c r="N181" s="1">
        <v>0</v>
      </c>
      <c r="O181" s="1">
        <v>0</v>
      </c>
      <c r="P181" s="1">
        <v>0</v>
      </c>
      <c r="Q181" s="55">
        <f>SUM(N181:P181)</f>
        <v>0</v>
      </c>
      <c r="R181" s="55">
        <f>+E181+I181+M181+Q181</f>
        <v>0</v>
      </c>
    </row>
    <row r="182" spans="1:18" ht="15.75" customHeight="1" thickBot="1" x14ac:dyDescent="0.35">
      <c r="A182" s="15" t="s">
        <v>58</v>
      </c>
      <c r="B182" s="1"/>
      <c r="C182" s="1"/>
      <c r="D182" s="1"/>
      <c r="E182" s="55" t="s">
        <v>7</v>
      </c>
      <c r="F182" s="1"/>
      <c r="G182" s="1"/>
      <c r="H182" s="1"/>
      <c r="I182" s="55" t="s">
        <v>7</v>
      </c>
      <c r="J182" s="1"/>
      <c r="K182" s="1"/>
      <c r="L182" s="1"/>
      <c r="M182" s="55" t="s">
        <v>7</v>
      </c>
      <c r="N182" s="1"/>
      <c r="O182" s="1"/>
      <c r="P182" s="1"/>
      <c r="Q182" s="55" t="s">
        <v>7</v>
      </c>
      <c r="R182" s="55" t="s">
        <v>7</v>
      </c>
    </row>
    <row r="183" spans="1:18" ht="15.75" customHeight="1" thickBot="1" x14ac:dyDescent="0.35">
      <c r="A183" s="57" t="s">
        <v>59</v>
      </c>
      <c r="B183" s="86">
        <f>SUM(B177:B182)</f>
        <v>0</v>
      </c>
      <c r="C183" s="87">
        <f>SUM(C177:C182)</f>
        <v>0</v>
      </c>
      <c r="D183" s="87">
        <f>SUM(D177:D182)</f>
        <v>0</v>
      </c>
      <c r="E183" s="59">
        <f>SUM(B183:D183)</f>
        <v>0</v>
      </c>
      <c r="F183" s="87">
        <f>SUM(F177:F182)</f>
        <v>0</v>
      </c>
      <c r="G183" s="87">
        <f>SUM(G177:G182)</f>
        <v>0</v>
      </c>
      <c r="H183" s="87">
        <f>SUM(H177:H182)</f>
        <v>0</v>
      </c>
      <c r="I183" s="59">
        <f>SUM(F183:H183)</f>
        <v>0</v>
      </c>
      <c r="J183" s="87">
        <f>SUM(J177:J182)</f>
        <v>0</v>
      </c>
      <c r="K183" s="87">
        <f>SUM(K177:K182)</f>
        <v>0</v>
      </c>
      <c r="L183" s="87">
        <f>SUM(L177:L182)</f>
        <v>0</v>
      </c>
      <c r="M183" s="59">
        <f>SUM(J183:L183)</f>
        <v>0</v>
      </c>
      <c r="N183" s="87">
        <f>SUM(N177:N182)</f>
        <v>0</v>
      </c>
      <c r="O183" s="87">
        <f>SUM(O177:O182)</f>
        <v>0</v>
      </c>
      <c r="P183" s="87">
        <f>SUM(P177:P182)</f>
        <v>0</v>
      </c>
      <c r="Q183" s="59">
        <f>SUM(N183:P183)</f>
        <v>0</v>
      </c>
      <c r="R183" s="59">
        <f>+E183+I183+M183+Q183</f>
        <v>0</v>
      </c>
    </row>
    <row r="184" spans="1:18" ht="15.75" customHeight="1" x14ac:dyDescent="0.3">
      <c r="A184" s="15" t="s">
        <v>60</v>
      </c>
      <c r="B184" s="1"/>
      <c r="C184" s="1"/>
      <c r="D184" s="1"/>
      <c r="E184" s="55" t="s">
        <v>7</v>
      </c>
      <c r="F184" s="1"/>
      <c r="G184" s="1"/>
      <c r="H184" s="1"/>
      <c r="I184" s="55" t="s">
        <v>7</v>
      </c>
      <c r="J184" s="1"/>
      <c r="K184" s="1"/>
      <c r="L184" s="1"/>
      <c r="M184" s="55" t="s">
        <v>7</v>
      </c>
      <c r="N184" s="1"/>
      <c r="O184" s="1"/>
      <c r="P184" s="1"/>
      <c r="Q184" s="55" t="s">
        <v>7</v>
      </c>
      <c r="R184" s="55" t="s">
        <v>7</v>
      </c>
    </row>
    <row r="185" spans="1:18" ht="15.75" customHeight="1" x14ac:dyDescent="0.3">
      <c r="A185" s="15" t="s">
        <v>61</v>
      </c>
      <c r="B185" s="1"/>
      <c r="C185" s="1"/>
      <c r="D185" s="1"/>
      <c r="E185" s="55" t="s">
        <v>7</v>
      </c>
      <c r="F185" s="1"/>
      <c r="G185" s="1"/>
      <c r="H185" s="1"/>
      <c r="I185" s="55" t="s">
        <v>7</v>
      </c>
      <c r="J185" s="1"/>
      <c r="K185" s="1"/>
      <c r="L185" s="1"/>
      <c r="M185" s="55" t="s">
        <v>7</v>
      </c>
      <c r="N185" s="1"/>
      <c r="O185" s="1"/>
      <c r="P185" s="1"/>
      <c r="Q185" s="55" t="s">
        <v>7</v>
      </c>
      <c r="R185" s="55" t="s">
        <v>7</v>
      </c>
    </row>
    <row r="186" spans="1:18" ht="15.75" customHeight="1" x14ac:dyDescent="0.3">
      <c r="A186" s="15" t="s">
        <v>62</v>
      </c>
      <c r="B186" s="1"/>
      <c r="C186" s="1"/>
      <c r="D186" s="1"/>
      <c r="E186" s="55" t="s">
        <v>7</v>
      </c>
      <c r="F186" s="1"/>
      <c r="G186" s="1"/>
      <c r="H186" s="1"/>
      <c r="I186" s="55" t="s">
        <v>7</v>
      </c>
      <c r="J186" s="1"/>
      <c r="K186" s="1"/>
      <c r="L186" s="1"/>
      <c r="M186" s="55" t="s">
        <v>7</v>
      </c>
      <c r="N186" s="1"/>
      <c r="O186" s="1"/>
      <c r="P186" s="1"/>
      <c r="Q186" s="55" t="s">
        <v>7</v>
      </c>
      <c r="R186" s="55" t="s">
        <v>7</v>
      </c>
    </row>
    <row r="187" spans="1:18" ht="15.75" customHeight="1" x14ac:dyDescent="0.3">
      <c r="A187" s="88" t="s">
        <v>142</v>
      </c>
      <c r="B187" s="1">
        <v>340</v>
      </c>
      <c r="C187" s="1">
        <v>330</v>
      </c>
      <c r="D187" s="1">
        <v>384</v>
      </c>
      <c r="E187" s="55">
        <f>SUM(B187:D187)</f>
        <v>1054</v>
      </c>
      <c r="F187" s="1">
        <v>433</v>
      </c>
      <c r="G187" s="1">
        <v>499</v>
      </c>
      <c r="H187" s="1">
        <v>558</v>
      </c>
      <c r="I187" s="55">
        <f>SUM(F187:H187)</f>
        <v>1490</v>
      </c>
      <c r="J187" s="1">
        <v>577</v>
      </c>
      <c r="K187" s="1">
        <v>545</v>
      </c>
      <c r="L187" s="1">
        <v>475</v>
      </c>
      <c r="M187" s="55">
        <f>SUM(J187:L187)</f>
        <v>1597</v>
      </c>
      <c r="N187" s="1">
        <v>499</v>
      </c>
      <c r="O187" s="1">
        <v>394</v>
      </c>
      <c r="P187" s="1">
        <v>318</v>
      </c>
      <c r="Q187" s="55">
        <f>SUM(N187:P187)</f>
        <v>1211</v>
      </c>
      <c r="R187" s="55">
        <f>+E187+I187+M187+Q187</f>
        <v>5352</v>
      </c>
    </row>
    <row r="188" spans="1:18" ht="15.75" customHeight="1" x14ac:dyDescent="0.3">
      <c r="A188" s="88" t="s">
        <v>143</v>
      </c>
      <c r="B188" s="1">
        <v>0</v>
      </c>
      <c r="C188" s="1">
        <v>0</v>
      </c>
      <c r="D188" s="1">
        <v>357</v>
      </c>
      <c r="E188" s="55">
        <f>SUM(B188:D188)</f>
        <v>357</v>
      </c>
      <c r="F188" s="1">
        <v>0</v>
      </c>
      <c r="G188" s="1">
        <v>0</v>
      </c>
      <c r="H188" s="1">
        <v>0</v>
      </c>
      <c r="I188" s="55">
        <f>SUM(F188:H188)</f>
        <v>0</v>
      </c>
      <c r="J188" s="1">
        <v>0</v>
      </c>
      <c r="K188" s="1">
        <v>0</v>
      </c>
      <c r="L188" s="1">
        <v>0</v>
      </c>
      <c r="M188" s="55">
        <f>SUM(J188:L188)</f>
        <v>0</v>
      </c>
      <c r="N188" s="1">
        <v>0</v>
      </c>
      <c r="O188" s="1">
        <v>0</v>
      </c>
      <c r="P188" s="1">
        <v>0</v>
      </c>
      <c r="Q188" s="55">
        <f>SUM(N188:P188)</f>
        <v>0</v>
      </c>
      <c r="R188" s="55">
        <f>+E188+I188+M188+Q188</f>
        <v>357</v>
      </c>
    </row>
    <row r="189" spans="1:18" ht="15.75" customHeight="1" x14ac:dyDescent="0.3">
      <c r="A189" s="88" t="s">
        <v>144</v>
      </c>
      <c r="B189" s="1">
        <v>5</v>
      </c>
      <c r="C189" s="1">
        <v>7</v>
      </c>
      <c r="D189" s="1">
        <v>12</v>
      </c>
      <c r="E189" s="55">
        <f t="shared" ref="E189:E221" si="29">SUM(B189:D189)</f>
        <v>24</v>
      </c>
      <c r="F189" s="1">
        <v>15</v>
      </c>
      <c r="G189" s="1">
        <v>21</v>
      </c>
      <c r="H189" s="1">
        <v>16</v>
      </c>
      <c r="I189" s="55">
        <f t="shared" ref="I189:I221" si="30">SUM(F189:H189)</f>
        <v>52</v>
      </c>
      <c r="J189" s="1">
        <v>9</v>
      </c>
      <c r="K189" s="1">
        <v>10</v>
      </c>
      <c r="L189" s="1">
        <v>6</v>
      </c>
      <c r="M189" s="55">
        <f t="shared" ref="M189:M221" si="31">SUM(J189:L189)</f>
        <v>25</v>
      </c>
      <c r="N189" s="1">
        <v>6</v>
      </c>
      <c r="O189" s="1">
        <v>5</v>
      </c>
      <c r="P189" s="1">
        <v>2</v>
      </c>
      <c r="Q189" s="55">
        <f t="shared" ref="Q189:Q221" si="32">SUM(N189:P189)</f>
        <v>13</v>
      </c>
      <c r="R189" s="55">
        <f t="shared" ref="R189:R221" si="33">+E189+I189+M189+Q189</f>
        <v>114</v>
      </c>
    </row>
    <row r="190" spans="1:18" ht="15.75" customHeight="1" x14ac:dyDescent="0.3">
      <c r="A190" s="88" t="s">
        <v>145</v>
      </c>
      <c r="B190" s="1">
        <v>44</v>
      </c>
      <c r="C190" s="1">
        <v>22</v>
      </c>
      <c r="D190" s="1">
        <v>52</v>
      </c>
      <c r="E190" s="55">
        <f t="shared" si="29"/>
        <v>118</v>
      </c>
      <c r="F190" s="1">
        <v>86</v>
      </c>
      <c r="G190" s="1">
        <v>92</v>
      </c>
      <c r="H190" s="1">
        <v>111</v>
      </c>
      <c r="I190" s="55">
        <f t="shared" si="30"/>
        <v>289</v>
      </c>
      <c r="J190" s="1">
        <v>100</v>
      </c>
      <c r="K190" s="1">
        <v>130</v>
      </c>
      <c r="L190" s="1">
        <v>92</v>
      </c>
      <c r="M190" s="55">
        <f t="shared" si="31"/>
        <v>322</v>
      </c>
      <c r="N190" s="1">
        <v>121</v>
      </c>
      <c r="O190" s="1">
        <v>56</v>
      </c>
      <c r="P190" s="1">
        <v>17</v>
      </c>
      <c r="Q190" s="55">
        <f t="shared" si="32"/>
        <v>194</v>
      </c>
      <c r="R190" s="55">
        <f t="shared" si="33"/>
        <v>923</v>
      </c>
    </row>
    <row r="191" spans="1:18" ht="15.75" customHeight="1" x14ac:dyDescent="0.3">
      <c r="A191" s="72" t="s">
        <v>146</v>
      </c>
      <c r="B191" s="1">
        <v>0</v>
      </c>
      <c r="C191" s="1">
        <v>0</v>
      </c>
      <c r="D191" s="1">
        <v>0</v>
      </c>
      <c r="E191" s="55">
        <f t="shared" si="29"/>
        <v>0</v>
      </c>
      <c r="F191" s="1">
        <v>0</v>
      </c>
      <c r="G191" s="1">
        <v>0</v>
      </c>
      <c r="H191" s="1">
        <v>0</v>
      </c>
      <c r="I191" s="55">
        <f t="shared" si="30"/>
        <v>0</v>
      </c>
      <c r="J191" s="1">
        <v>0</v>
      </c>
      <c r="K191" s="1">
        <v>0</v>
      </c>
      <c r="L191" s="1">
        <v>0</v>
      </c>
      <c r="M191" s="55">
        <f t="shared" si="31"/>
        <v>0</v>
      </c>
      <c r="N191" s="1">
        <v>0</v>
      </c>
      <c r="O191" s="1">
        <v>0</v>
      </c>
      <c r="P191" s="1">
        <v>0</v>
      </c>
      <c r="Q191" s="55">
        <f t="shared" si="32"/>
        <v>0</v>
      </c>
      <c r="R191" s="55">
        <f t="shared" si="33"/>
        <v>0</v>
      </c>
    </row>
    <row r="192" spans="1:18" ht="15.75" customHeight="1" x14ac:dyDescent="0.3">
      <c r="A192" s="72" t="s">
        <v>147</v>
      </c>
      <c r="B192" s="1">
        <v>0</v>
      </c>
      <c r="C192" s="1">
        <v>0</v>
      </c>
      <c r="D192" s="1">
        <v>0</v>
      </c>
      <c r="E192" s="55">
        <f>SUM(B192:D192)</f>
        <v>0</v>
      </c>
      <c r="F192" s="1">
        <v>0</v>
      </c>
      <c r="G192" s="1">
        <v>0</v>
      </c>
      <c r="H192" s="1">
        <v>0</v>
      </c>
      <c r="I192" s="55">
        <f>SUM(F192:H192)</f>
        <v>0</v>
      </c>
      <c r="J192" s="1">
        <v>0</v>
      </c>
      <c r="K192" s="1">
        <v>0</v>
      </c>
      <c r="L192" s="1">
        <v>0</v>
      </c>
      <c r="M192" s="55">
        <f>SUM(J192:L192)</f>
        <v>0</v>
      </c>
      <c r="N192" s="1">
        <v>0</v>
      </c>
      <c r="O192" s="1">
        <v>0</v>
      </c>
      <c r="P192" s="1">
        <v>0</v>
      </c>
      <c r="Q192" s="55">
        <f>SUM(N192:P192)</f>
        <v>0</v>
      </c>
      <c r="R192" s="55">
        <f>+E192+I192+M192+Q192</f>
        <v>0</v>
      </c>
    </row>
    <row r="193" spans="1:18" ht="15.75" customHeight="1" x14ac:dyDescent="0.3">
      <c r="A193" s="72" t="s">
        <v>148</v>
      </c>
      <c r="B193" s="1">
        <v>682</v>
      </c>
      <c r="C193" s="1">
        <v>0</v>
      </c>
      <c r="D193" s="1">
        <v>0</v>
      </c>
      <c r="E193" s="55">
        <f>SUM(B193:D193)</f>
        <v>682</v>
      </c>
      <c r="F193" s="1">
        <v>0</v>
      </c>
      <c r="G193" s="1">
        <v>0</v>
      </c>
      <c r="H193" s="1">
        <v>0</v>
      </c>
      <c r="I193" s="55">
        <f>SUM(F193:H193)</f>
        <v>0</v>
      </c>
      <c r="J193" s="1">
        <v>0</v>
      </c>
      <c r="K193" s="1">
        <v>0</v>
      </c>
      <c r="L193" s="1">
        <v>0</v>
      </c>
      <c r="M193" s="55">
        <f>SUM(J193:L193)</f>
        <v>0</v>
      </c>
      <c r="N193" s="1">
        <v>0</v>
      </c>
      <c r="O193" s="1">
        <v>0</v>
      </c>
      <c r="P193" s="1">
        <v>0</v>
      </c>
      <c r="Q193" s="55">
        <f>SUM(N193:P193)</f>
        <v>0</v>
      </c>
      <c r="R193" s="55">
        <f>+E193+I193+M193+Q193</f>
        <v>682</v>
      </c>
    </row>
    <row r="194" spans="1:18" ht="15.75" customHeight="1" x14ac:dyDescent="0.3">
      <c r="A194" s="72" t="s">
        <v>149</v>
      </c>
      <c r="B194" s="1">
        <v>0</v>
      </c>
      <c r="C194" s="1">
        <v>0</v>
      </c>
      <c r="D194" s="1">
        <v>0</v>
      </c>
      <c r="E194" s="55">
        <f t="shared" si="29"/>
        <v>0</v>
      </c>
      <c r="F194" s="1">
        <v>0</v>
      </c>
      <c r="G194" s="1">
        <v>0</v>
      </c>
      <c r="H194" s="1">
        <v>0</v>
      </c>
      <c r="I194" s="55">
        <f t="shared" si="30"/>
        <v>0</v>
      </c>
      <c r="J194" s="1">
        <v>0</v>
      </c>
      <c r="K194" s="1">
        <v>0</v>
      </c>
      <c r="L194" s="1">
        <v>0</v>
      </c>
      <c r="M194" s="55">
        <f t="shared" si="31"/>
        <v>0</v>
      </c>
      <c r="N194" s="1">
        <v>0</v>
      </c>
      <c r="O194" s="1">
        <v>0</v>
      </c>
      <c r="P194" s="1">
        <v>0</v>
      </c>
      <c r="Q194" s="55">
        <f t="shared" si="32"/>
        <v>0</v>
      </c>
      <c r="R194" s="55">
        <f t="shared" si="33"/>
        <v>0</v>
      </c>
    </row>
    <row r="195" spans="1:18" ht="15.75" customHeight="1" x14ac:dyDescent="0.3">
      <c r="A195" s="72" t="s">
        <v>150</v>
      </c>
      <c r="B195" s="1">
        <v>1136</v>
      </c>
      <c r="C195" s="1">
        <v>0</v>
      </c>
      <c r="D195" s="1">
        <v>0</v>
      </c>
      <c r="E195" s="55">
        <f t="shared" si="29"/>
        <v>1136</v>
      </c>
      <c r="F195" s="1">
        <v>0</v>
      </c>
      <c r="G195" s="1">
        <v>0</v>
      </c>
      <c r="H195" s="1">
        <v>0</v>
      </c>
      <c r="I195" s="55">
        <f t="shared" si="30"/>
        <v>0</v>
      </c>
      <c r="J195" s="1">
        <v>0</v>
      </c>
      <c r="K195" s="1">
        <v>0</v>
      </c>
      <c r="L195" s="1">
        <v>0</v>
      </c>
      <c r="M195" s="55">
        <f t="shared" si="31"/>
        <v>0</v>
      </c>
      <c r="N195" s="1">
        <v>0</v>
      </c>
      <c r="O195" s="1">
        <v>0</v>
      </c>
      <c r="P195" s="1">
        <v>0</v>
      </c>
      <c r="Q195" s="55">
        <f t="shared" si="32"/>
        <v>0</v>
      </c>
      <c r="R195" s="55">
        <f t="shared" si="33"/>
        <v>1136</v>
      </c>
    </row>
    <row r="196" spans="1:18" ht="15.75" customHeight="1" x14ac:dyDescent="0.3">
      <c r="A196" s="72" t="s">
        <v>151</v>
      </c>
      <c r="B196" s="1">
        <v>23</v>
      </c>
      <c r="C196" s="1">
        <v>0</v>
      </c>
      <c r="D196" s="1">
        <v>0</v>
      </c>
      <c r="E196" s="55">
        <f t="shared" si="29"/>
        <v>23</v>
      </c>
      <c r="F196" s="1">
        <v>0</v>
      </c>
      <c r="G196" s="1">
        <v>0</v>
      </c>
      <c r="H196" s="1">
        <v>0</v>
      </c>
      <c r="I196" s="55">
        <f t="shared" si="30"/>
        <v>0</v>
      </c>
      <c r="J196" s="1">
        <v>0</v>
      </c>
      <c r="K196" s="1">
        <v>0</v>
      </c>
      <c r="L196" s="1">
        <v>0</v>
      </c>
      <c r="M196" s="55">
        <f t="shared" si="31"/>
        <v>0</v>
      </c>
      <c r="N196" s="1">
        <v>0</v>
      </c>
      <c r="O196" s="1">
        <v>0</v>
      </c>
      <c r="P196" s="1">
        <v>0</v>
      </c>
      <c r="Q196" s="55">
        <f t="shared" si="32"/>
        <v>0</v>
      </c>
      <c r="R196" s="55">
        <f t="shared" si="33"/>
        <v>23</v>
      </c>
    </row>
    <row r="197" spans="1:18" ht="15.75" customHeight="1" x14ac:dyDescent="0.3">
      <c r="A197" s="72" t="s">
        <v>152</v>
      </c>
      <c r="B197" s="1">
        <v>23</v>
      </c>
      <c r="C197" s="1">
        <v>0</v>
      </c>
      <c r="D197" s="1">
        <v>0</v>
      </c>
      <c r="E197" s="55">
        <f t="shared" ref="E197:E202" si="34">SUM(B197:D197)</f>
        <v>23</v>
      </c>
      <c r="F197" s="1">
        <v>0</v>
      </c>
      <c r="G197" s="1">
        <v>0</v>
      </c>
      <c r="H197" s="1">
        <v>0</v>
      </c>
      <c r="I197" s="55">
        <f t="shared" ref="I197:I202" si="35">SUM(F197:H197)</f>
        <v>0</v>
      </c>
      <c r="J197" s="1">
        <v>0</v>
      </c>
      <c r="K197" s="1">
        <v>0</v>
      </c>
      <c r="L197" s="1">
        <v>0</v>
      </c>
      <c r="M197" s="55">
        <f t="shared" ref="M197:M202" si="36">SUM(J197:L197)</f>
        <v>0</v>
      </c>
      <c r="N197" s="1">
        <v>0</v>
      </c>
      <c r="O197" s="1">
        <v>0</v>
      </c>
      <c r="P197" s="1">
        <v>0</v>
      </c>
      <c r="Q197" s="55">
        <f t="shared" ref="Q197:Q202" si="37">SUM(N197:P197)</f>
        <v>0</v>
      </c>
      <c r="R197" s="55">
        <f t="shared" si="33"/>
        <v>23</v>
      </c>
    </row>
    <row r="198" spans="1:18" ht="15.75" customHeight="1" x14ac:dyDescent="0.3">
      <c r="A198" s="72" t="s">
        <v>153</v>
      </c>
      <c r="B198" s="1">
        <v>0</v>
      </c>
      <c r="C198" s="1">
        <v>0</v>
      </c>
      <c r="D198" s="1">
        <v>0</v>
      </c>
      <c r="E198" s="55">
        <f t="shared" si="34"/>
        <v>0</v>
      </c>
      <c r="F198" s="1">
        <v>0</v>
      </c>
      <c r="G198" s="1">
        <v>4300</v>
      </c>
      <c r="H198" s="1">
        <v>0</v>
      </c>
      <c r="I198" s="55">
        <f t="shared" si="35"/>
        <v>4300</v>
      </c>
      <c r="J198" s="1">
        <v>0</v>
      </c>
      <c r="K198" s="1">
        <v>0</v>
      </c>
      <c r="L198" s="1">
        <v>0</v>
      </c>
      <c r="M198" s="55">
        <f t="shared" si="36"/>
        <v>0</v>
      </c>
      <c r="N198" s="1">
        <v>0</v>
      </c>
      <c r="O198" s="1">
        <v>0</v>
      </c>
      <c r="P198" s="1">
        <v>0</v>
      </c>
      <c r="Q198" s="55">
        <f t="shared" si="37"/>
        <v>0</v>
      </c>
      <c r="R198" s="55">
        <f t="shared" si="33"/>
        <v>4300</v>
      </c>
    </row>
    <row r="199" spans="1:18" ht="15.75" customHeight="1" x14ac:dyDescent="0.3">
      <c r="A199" s="72" t="s">
        <v>154</v>
      </c>
      <c r="B199" s="1">
        <v>0</v>
      </c>
      <c r="C199" s="1">
        <v>0</v>
      </c>
      <c r="D199" s="1">
        <v>0</v>
      </c>
      <c r="E199" s="55">
        <f t="shared" si="34"/>
        <v>0</v>
      </c>
      <c r="F199" s="1">
        <v>0</v>
      </c>
      <c r="G199" s="1">
        <v>0</v>
      </c>
      <c r="H199" s="1">
        <v>0</v>
      </c>
      <c r="I199" s="55">
        <f t="shared" si="35"/>
        <v>0</v>
      </c>
      <c r="J199" s="1">
        <v>0</v>
      </c>
      <c r="K199" s="1">
        <v>0</v>
      </c>
      <c r="L199" s="1">
        <v>0</v>
      </c>
      <c r="M199" s="55">
        <f t="shared" si="36"/>
        <v>0</v>
      </c>
      <c r="N199" s="1">
        <v>0</v>
      </c>
      <c r="O199" s="1">
        <v>0</v>
      </c>
      <c r="P199" s="1">
        <v>0</v>
      </c>
      <c r="Q199" s="55">
        <f t="shared" si="37"/>
        <v>0</v>
      </c>
      <c r="R199" s="55">
        <f t="shared" si="33"/>
        <v>0</v>
      </c>
    </row>
    <row r="200" spans="1:18" ht="15.75" customHeight="1" x14ac:dyDescent="0.3">
      <c r="A200" s="72" t="s">
        <v>155</v>
      </c>
      <c r="B200" s="1">
        <v>0</v>
      </c>
      <c r="C200" s="1">
        <v>0</v>
      </c>
      <c r="D200" s="1">
        <v>0</v>
      </c>
      <c r="E200" s="55">
        <f t="shared" si="34"/>
        <v>0</v>
      </c>
      <c r="F200" s="1">
        <v>0</v>
      </c>
      <c r="G200" s="1">
        <v>0</v>
      </c>
      <c r="H200" s="1">
        <v>0</v>
      </c>
      <c r="I200" s="55">
        <f t="shared" si="35"/>
        <v>0</v>
      </c>
      <c r="J200" s="1">
        <v>0</v>
      </c>
      <c r="K200" s="1">
        <v>0</v>
      </c>
      <c r="L200" s="1">
        <v>0</v>
      </c>
      <c r="M200" s="55">
        <f t="shared" si="36"/>
        <v>0</v>
      </c>
      <c r="N200" s="1">
        <v>0</v>
      </c>
      <c r="O200" s="1">
        <v>0</v>
      </c>
      <c r="P200" s="1">
        <v>0</v>
      </c>
      <c r="Q200" s="55">
        <f t="shared" si="37"/>
        <v>0</v>
      </c>
      <c r="R200" s="55">
        <f t="shared" si="33"/>
        <v>0</v>
      </c>
    </row>
    <row r="201" spans="1:18" ht="15.75" customHeight="1" x14ac:dyDescent="0.3">
      <c r="A201" s="72" t="s">
        <v>156</v>
      </c>
      <c r="B201" s="1">
        <v>0</v>
      </c>
      <c r="C201" s="1">
        <v>0</v>
      </c>
      <c r="D201" s="1">
        <v>0</v>
      </c>
      <c r="E201" s="55">
        <f t="shared" si="34"/>
        <v>0</v>
      </c>
      <c r="F201" s="1">
        <v>0</v>
      </c>
      <c r="G201" s="1">
        <v>0</v>
      </c>
      <c r="H201" s="1">
        <v>0</v>
      </c>
      <c r="I201" s="55">
        <f t="shared" si="35"/>
        <v>0</v>
      </c>
      <c r="J201" s="1">
        <v>0</v>
      </c>
      <c r="K201" s="1">
        <v>0</v>
      </c>
      <c r="L201" s="1">
        <v>0</v>
      </c>
      <c r="M201" s="55">
        <f t="shared" si="36"/>
        <v>0</v>
      </c>
      <c r="N201" s="1">
        <v>0</v>
      </c>
      <c r="O201" s="1">
        <v>0</v>
      </c>
      <c r="P201" s="1">
        <v>0</v>
      </c>
      <c r="Q201" s="55">
        <f t="shared" si="37"/>
        <v>0</v>
      </c>
      <c r="R201" s="55">
        <f t="shared" si="33"/>
        <v>0</v>
      </c>
    </row>
    <row r="202" spans="1:18" ht="15.75" customHeight="1" x14ac:dyDescent="0.3">
      <c r="A202" s="72" t="s">
        <v>157</v>
      </c>
      <c r="B202" s="1">
        <v>1161</v>
      </c>
      <c r="C202" s="1">
        <v>0</v>
      </c>
      <c r="D202" s="1">
        <v>0</v>
      </c>
      <c r="E202" s="55">
        <f t="shared" si="34"/>
        <v>1161</v>
      </c>
      <c r="F202" s="1">
        <v>3282</v>
      </c>
      <c r="G202" s="1">
        <v>1728</v>
      </c>
      <c r="H202" s="1">
        <v>1804</v>
      </c>
      <c r="I202" s="55">
        <f t="shared" si="35"/>
        <v>6814</v>
      </c>
      <c r="J202" s="1">
        <v>1563</v>
      </c>
      <c r="K202" s="1">
        <v>1434</v>
      </c>
      <c r="L202" s="1">
        <v>1321</v>
      </c>
      <c r="M202" s="55">
        <f t="shared" si="36"/>
        <v>4318</v>
      </c>
      <c r="N202" s="1">
        <v>1671</v>
      </c>
      <c r="O202" s="1">
        <v>1654</v>
      </c>
      <c r="P202" s="1">
        <v>0</v>
      </c>
      <c r="Q202" s="55">
        <f t="shared" si="37"/>
        <v>3325</v>
      </c>
      <c r="R202" s="55">
        <f t="shared" si="33"/>
        <v>15618</v>
      </c>
    </row>
    <row r="203" spans="1:18" ht="15.75" customHeight="1" x14ac:dyDescent="0.3">
      <c r="A203" s="72" t="s">
        <v>158</v>
      </c>
      <c r="B203" s="1">
        <v>0</v>
      </c>
      <c r="C203" s="1">
        <v>0</v>
      </c>
      <c r="D203" s="1">
        <v>0</v>
      </c>
      <c r="E203" s="55">
        <f t="shared" si="29"/>
        <v>0</v>
      </c>
      <c r="F203" s="1">
        <v>0</v>
      </c>
      <c r="G203" s="1">
        <v>0</v>
      </c>
      <c r="H203" s="1">
        <v>0</v>
      </c>
      <c r="I203" s="55">
        <f t="shared" si="30"/>
        <v>0</v>
      </c>
      <c r="J203" s="1">
        <v>0</v>
      </c>
      <c r="K203" s="1">
        <v>0</v>
      </c>
      <c r="L203" s="1">
        <v>0</v>
      </c>
      <c r="M203" s="55">
        <f t="shared" si="31"/>
        <v>0</v>
      </c>
      <c r="N203" s="1">
        <v>0</v>
      </c>
      <c r="O203" s="1">
        <v>0</v>
      </c>
      <c r="P203" s="1">
        <v>0</v>
      </c>
      <c r="Q203" s="55">
        <f t="shared" si="32"/>
        <v>0</v>
      </c>
      <c r="R203" s="55">
        <f t="shared" si="33"/>
        <v>0</v>
      </c>
    </row>
    <row r="204" spans="1:18" ht="15.75" customHeight="1" x14ac:dyDescent="0.3">
      <c r="A204" s="72" t="s">
        <v>159</v>
      </c>
      <c r="B204" s="1">
        <v>0</v>
      </c>
      <c r="C204" s="1">
        <v>0</v>
      </c>
      <c r="D204" s="1">
        <v>0</v>
      </c>
      <c r="E204" s="55">
        <f t="shared" si="29"/>
        <v>0</v>
      </c>
      <c r="F204" s="1">
        <v>0</v>
      </c>
      <c r="G204" s="1">
        <v>0</v>
      </c>
      <c r="H204" s="1">
        <v>0</v>
      </c>
      <c r="I204" s="55">
        <f t="shared" si="30"/>
        <v>0</v>
      </c>
      <c r="J204" s="1">
        <v>0</v>
      </c>
      <c r="K204" s="1">
        <v>0</v>
      </c>
      <c r="L204" s="1">
        <v>0</v>
      </c>
      <c r="M204" s="55">
        <f t="shared" si="31"/>
        <v>0</v>
      </c>
      <c r="N204" s="1">
        <v>0</v>
      </c>
      <c r="O204" s="1">
        <v>0</v>
      </c>
      <c r="P204" s="1">
        <v>0</v>
      </c>
      <c r="Q204" s="55">
        <f t="shared" si="32"/>
        <v>0</v>
      </c>
      <c r="R204" s="55">
        <f t="shared" si="33"/>
        <v>0</v>
      </c>
    </row>
    <row r="205" spans="1:18" ht="15.75" customHeight="1" x14ac:dyDescent="0.3">
      <c r="A205" s="72" t="s">
        <v>160</v>
      </c>
      <c r="B205" s="1">
        <v>679</v>
      </c>
      <c r="C205" s="1">
        <v>0</v>
      </c>
      <c r="D205" s="1">
        <v>0</v>
      </c>
      <c r="E205" s="55">
        <f t="shared" si="29"/>
        <v>679</v>
      </c>
      <c r="F205" s="1">
        <v>0</v>
      </c>
      <c r="G205" s="1">
        <v>0</v>
      </c>
      <c r="H205" s="1">
        <v>0</v>
      </c>
      <c r="I205" s="55">
        <f t="shared" si="30"/>
        <v>0</v>
      </c>
      <c r="J205" s="1">
        <v>0</v>
      </c>
      <c r="K205" s="1">
        <v>0</v>
      </c>
      <c r="L205" s="1">
        <v>0</v>
      </c>
      <c r="M205" s="55">
        <f t="shared" si="31"/>
        <v>0</v>
      </c>
      <c r="N205" s="1">
        <v>0</v>
      </c>
      <c r="O205" s="1">
        <v>0</v>
      </c>
      <c r="P205" s="1">
        <v>0</v>
      </c>
      <c r="Q205" s="55">
        <f t="shared" si="32"/>
        <v>0</v>
      </c>
      <c r="R205" s="55">
        <f t="shared" si="33"/>
        <v>679</v>
      </c>
    </row>
    <row r="206" spans="1:18" ht="15.75" customHeight="1" x14ac:dyDescent="0.3">
      <c r="A206" s="72" t="s">
        <v>161</v>
      </c>
      <c r="B206" s="1">
        <v>0</v>
      </c>
      <c r="C206" s="1">
        <v>0</v>
      </c>
      <c r="D206" s="1">
        <v>96</v>
      </c>
      <c r="E206" s="55">
        <f t="shared" si="29"/>
        <v>96</v>
      </c>
      <c r="F206" s="1">
        <v>1718</v>
      </c>
      <c r="G206" s="1">
        <v>0</v>
      </c>
      <c r="H206" s="1">
        <v>0</v>
      </c>
      <c r="I206" s="55">
        <f t="shared" si="30"/>
        <v>1718</v>
      </c>
      <c r="J206" s="1">
        <v>0</v>
      </c>
      <c r="K206" s="1">
        <v>0</v>
      </c>
      <c r="L206" s="1">
        <v>0</v>
      </c>
      <c r="M206" s="55">
        <f t="shared" si="31"/>
        <v>0</v>
      </c>
      <c r="N206" s="1">
        <v>0</v>
      </c>
      <c r="O206" s="1">
        <v>0</v>
      </c>
      <c r="P206" s="1">
        <v>0</v>
      </c>
      <c r="Q206" s="55">
        <f t="shared" si="32"/>
        <v>0</v>
      </c>
      <c r="R206" s="55">
        <f t="shared" si="33"/>
        <v>1814</v>
      </c>
    </row>
    <row r="207" spans="1:18" ht="15.75" customHeight="1" x14ac:dyDescent="0.3">
      <c r="A207" s="72" t="s">
        <v>162</v>
      </c>
      <c r="B207" s="1">
        <v>0</v>
      </c>
      <c r="C207" s="1">
        <v>0</v>
      </c>
      <c r="D207" s="1">
        <v>0</v>
      </c>
      <c r="E207" s="55">
        <f t="shared" si="29"/>
        <v>0</v>
      </c>
      <c r="F207" s="1">
        <v>0</v>
      </c>
      <c r="G207" s="1">
        <v>0</v>
      </c>
      <c r="H207" s="1">
        <v>0</v>
      </c>
      <c r="I207" s="55">
        <f t="shared" si="30"/>
        <v>0</v>
      </c>
      <c r="J207" s="1">
        <v>0</v>
      </c>
      <c r="K207" s="1">
        <v>0</v>
      </c>
      <c r="L207" s="1">
        <v>0</v>
      </c>
      <c r="M207" s="55">
        <f t="shared" si="31"/>
        <v>0</v>
      </c>
      <c r="N207" s="1">
        <v>0</v>
      </c>
      <c r="O207" s="1">
        <v>0</v>
      </c>
      <c r="P207" s="1">
        <v>0</v>
      </c>
      <c r="Q207" s="55">
        <f t="shared" si="32"/>
        <v>0</v>
      </c>
      <c r="R207" s="55">
        <f t="shared" si="33"/>
        <v>0</v>
      </c>
    </row>
    <row r="208" spans="1:18" ht="15.75" customHeight="1" x14ac:dyDescent="0.3">
      <c r="A208" s="72" t="s">
        <v>163</v>
      </c>
      <c r="B208" s="1">
        <v>0</v>
      </c>
      <c r="C208" s="1">
        <v>0</v>
      </c>
      <c r="D208" s="1">
        <v>0</v>
      </c>
      <c r="E208" s="55">
        <f t="shared" si="29"/>
        <v>0</v>
      </c>
      <c r="F208" s="1">
        <v>0</v>
      </c>
      <c r="G208" s="1">
        <v>3023</v>
      </c>
      <c r="H208" s="1">
        <v>0</v>
      </c>
      <c r="I208" s="55">
        <f t="shared" si="30"/>
        <v>3023</v>
      </c>
      <c r="J208" s="1">
        <v>0</v>
      </c>
      <c r="K208" s="1">
        <v>0</v>
      </c>
      <c r="L208" s="1">
        <v>0</v>
      </c>
      <c r="M208" s="55">
        <f t="shared" si="31"/>
        <v>0</v>
      </c>
      <c r="N208" s="1">
        <v>0</v>
      </c>
      <c r="O208" s="1">
        <v>0</v>
      </c>
      <c r="P208" s="1">
        <v>0</v>
      </c>
      <c r="Q208" s="55">
        <f t="shared" si="32"/>
        <v>0</v>
      </c>
      <c r="R208" s="55">
        <f t="shared" si="33"/>
        <v>3023</v>
      </c>
    </row>
    <row r="209" spans="1:18" ht="15.75" customHeight="1" x14ac:dyDescent="0.3">
      <c r="A209" s="72" t="s">
        <v>164</v>
      </c>
      <c r="B209" s="1">
        <v>0</v>
      </c>
      <c r="C209" s="1">
        <v>60</v>
      </c>
      <c r="D209" s="1">
        <v>0</v>
      </c>
      <c r="E209" s="55">
        <f t="shared" si="29"/>
        <v>60</v>
      </c>
      <c r="F209" s="1">
        <v>0</v>
      </c>
      <c r="G209" s="1">
        <v>0</v>
      </c>
      <c r="H209" s="1">
        <v>0</v>
      </c>
      <c r="I209" s="55">
        <f t="shared" si="30"/>
        <v>0</v>
      </c>
      <c r="J209" s="1">
        <v>0</v>
      </c>
      <c r="K209" s="1">
        <v>0</v>
      </c>
      <c r="L209" s="1">
        <v>0</v>
      </c>
      <c r="M209" s="55">
        <f t="shared" si="31"/>
        <v>0</v>
      </c>
      <c r="N209" s="1">
        <v>0</v>
      </c>
      <c r="O209" s="1">
        <v>0</v>
      </c>
      <c r="P209" s="1">
        <v>0</v>
      </c>
      <c r="Q209" s="55">
        <f t="shared" si="32"/>
        <v>0</v>
      </c>
      <c r="R209" s="55">
        <f t="shared" si="33"/>
        <v>60</v>
      </c>
    </row>
    <row r="210" spans="1:18" ht="15.75" customHeight="1" x14ac:dyDescent="0.3">
      <c r="A210" s="72" t="s">
        <v>165</v>
      </c>
      <c r="B210" s="1">
        <v>60</v>
      </c>
      <c r="C210" s="1">
        <v>0</v>
      </c>
      <c r="D210" s="1">
        <v>0</v>
      </c>
      <c r="E210" s="55">
        <f t="shared" si="29"/>
        <v>60</v>
      </c>
      <c r="F210" s="1">
        <v>0</v>
      </c>
      <c r="G210" s="1">
        <v>0</v>
      </c>
      <c r="H210" s="1">
        <v>0</v>
      </c>
      <c r="I210" s="55">
        <f t="shared" si="30"/>
        <v>0</v>
      </c>
      <c r="J210" s="1">
        <v>0</v>
      </c>
      <c r="K210" s="1">
        <v>0</v>
      </c>
      <c r="L210" s="1">
        <v>0</v>
      </c>
      <c r="M210" s="55">
        <f t="shared" si="31"/>
        <v>0</v>
      </c>
      <c r="N210" s="1">
        <v>0</v>
      </c>
      <c r="O210" s="1">
        <v>0</v>
      </c>
      <c r="P210" s="1">
        <v>0</v>
      </c>
      <c r="Q210" s="55">
        <f t="shared" si="32"/>
        <v>0</v>
      </c>
      <c r="R210" s="55">
        <f t="shared" si="33"/>
        <v>60</v>
      </c>
    </row>
    <row r="211" spans="1:18" ht="15.75" customHeight="1" x14ac:dyDescent="0.3">
      <c r="A211" s="72" t="s">
        <v>166</v>
      </c>
      <c r="B211" s="1">
        <v>0</v>
      </c>
      <c r="C211" s="1">
        <v>0</v>
      </c>
      <c r="D211" s="1">
        <v>0</v>
      </c>
      <c r="E211" s="55">
        <f t="shared" si="29"/>
        <v>0</v>
      </c>
      <c r="F211" s="1">
        <v>0</v>
      </c>
      <c r="G211" s="1">
        <v>0</v>
      </c>
      <c r="H211" s="1">
        <v>0</v>
      </c>
      <c r="I211" s="55">
        <f t="shared" si="30"/>
        <v>0</v>
      </c>
      <c r="J211" s="1">
        <v>350</v>
      </c>
      <c r="K211" s="1">
        <v>366</v>
      </c>
      <c r="L211" s="1">
        <v>350</v>
      </c>
      <c r="M211" s="55">
        <f t="shared" si="31"/>
        <v>1066</v>
      </c>
      <c r="N211" s="1">
        <v>0</v>
      </c>
      <c r="O211" s="1">
        <v>0</v>
      </c>
      <c r="P211" s="1">
        <v>0</v>
      </c>
      <c r="Q211" s="55">
        <f t="shared" si="32"/>
        <v>0</v>
      </c>
      <c r="R211" s="55">
        <f t="shared" si="33"/>
        <v>1066</v>
      </c>
    </row>
    <row r="212" spans="1:18" s="89" customFormat="1" ht="15.75" customHeight="1" x14ac:dyDescent="0.3">
      <c r="A212" s="72" t="s">
        <v>167</v>
      </c>
      <c r="B212" s="1">
        <v>0</v>
      </c>
      <c r="C212" s="1">
        <v>1831</v>
      </c>
      <c r="D212" s="1">
        <v>669</v>
      </c>
      <c r="E212" s="55">
        <f>SUM(B212:D212)</f>
        <v>2500</v>
      </c>
      <c r="F212" s="1">
        <v>0</v>
      </c>
      <c r="G212" s="1">
        <v>0</v>
      </c>
      <c r="H212" s="1">
        <v>0</v>
      </c>
      <c r="I212" s="55">
        <f>SUM(F212:H212)</f>
        <v>0</v>
      </c>
      <c r="J212" s="1">
        <v>0</v>
      </c>
      <c r="K212" s="1">
        <v>0</v>
      </c>
      <c r="L212" s="1">
        <v>0</v>
      </c>
      <c r="M212" s="55">
        <f>SUM(J212:L212)</f>
        <v>0</v>
      </c>
      <c r="N212" s="1">
        <v>0</v>
      </c>
      <c r="O212" s="1">
        <v>0</v>
      </c>
      <c r="P212" s="1">
        <v>0</v>
      </c>
      <c r="Q212" s="55">
        <f>SUM(N212:P212)</f>
        <v>0</v>
      </c>
      <c r="R212" s="55">
        <f>+E212+I212+M212+Q212</f>
        <v>2500</v>
      </c>
    </row>
    <row r="213" spans="1:18" ht="15.75" customHeight="1" x14ac:dyDescent="0.3">
      <c r="A213" s="72" t="s">
        <v>168</v>
      </c>
      <c r="B213" s="1">
        <v>0</v>
      </c>
      <c r="C213" s="1">
        <v>0</v>
      </c>
      <c r="D213" s="1">
        <v>0</v>
      </c>
      <c r="E213" s="55">
        <f>SUM(B213:D213)</f>
        <v>0</v>
      </c>
      <c r="F213" s="1">
        <v>0</v>
      </c>
      <c r="G213" s="1">
        <v>0</v>
      </c>
      <c r="H213" s="1">
        <v>1300</v>
      </c>
      <c r="I213" s="55">
        <f>SUM(F213:H213)</f>
        <v>1300</v>
      </c>
      <c r="J213" s="1">
        <v>1466</v>
      </c>
      <c r="K213" s="1">
        <v>0</v>
      </c>
      <c r="L213" s="1">
        <v>43</v>
      </c>
      <c r="M213" s="55">
        <f>SUM(J213:L213)</f>
        <v>1509</v>
      </c>
      <c r="N213" s="1">
        <v>0</v>
      </c>
      <c r="O213" s="1">
        <v>0</v>
      </c>
      <c r="P213" s="1">
        <v>0</v>
      </c>
      <c r="Q213" s="55">
        <f>SUM(N213:P213)</f>
        <v>0</v>
      </c>
      <c r="R213" s="55">
        <f>+E213+I213+M213+Q213</f>
        <v>2809</v>
      </c>
    </row>
    <row r="214" spans="1:18" ht="15.75" customHeight="1" x14ac:dyDescent="0.3">
      <c r="A214" s="72" t="s">
        <v>169</v>
      </c>
      <c r="B214" s="1">
        <v>38</v>
      </c>
      <c r="C214" s="1">
        <v>0</v>
      </c>
      <c r="D214" s="1">
        <v>0</v>
      </c>
      <c r="E214" s="55">
        <f>SUM(B214:D214)</f>
        <v>38</v>
      </c>
      <c r="F214" s="1">
        <v>1004</v>
      </c>
      <c r="G214" s="1">
        <v>1434</v>
      </c>
      <c r="H214" s="1">
        <v>367</v>
      </c>
      <c r="I214" s="55">
        <f>SUM(F214:H214)</f>
        <v>2805</v>
      </c>
      <c r="J214" s="1">
        <v>0</v>
      </c>
      <c r="K214" s="1">
        <v>0</v>
      </c>
      <c r="L214" s="1">
        <v>0</v>
      </c>
      <c r="M214" s="55">
        <f>SUM(J214:L214)</f>
        <v>0</v>
      </c>
      <c r="N214" s="1">
        <v>0</v>
      </c>
      <c r="O214" s="1">
        <v>0</v>
      </c>
      <c r="P214" s="1">
        <v>0</v>
      </c>
      <c r="Q214" s="55">
        <f>SUM(N214:P214)</f>
        <v>0</v>
      </c>
      <c r="R214" s="55">
        <f>+E214+I214+M214+Q214</f>
        <v>2843</v>
      </c>
    </row>
    <row r="215" spans="1:18" ht="15.75" customHeight="1" x14ac:dyDescent="0.3">
      <c r="A215" s="72" t="s">
        <v>170</v>
      </c>
      <c r="B215" s="1">
        <v>345</v>
      </c>
      <c r="C215" s="1">
        <v>992</v>
      </c>
      <c r="D215" s="1">
        <v>1513</v>
      </c>
      <c r="E215" s="55">
        <f t="shared" si="29"/>
        <v>2850</v>
      </c>
      <c r="F215" s="1">
        <v>0</v>
      </c>
      <c r="G215" s="1">
        <v>0</v>
      </c>
      <c r="H215" s="1">
        <v>0</v>
      </c>
      <c r="I215" s="55">
        <f t="shared" si="30"/>
        <v>0</v>
      </c>
      <c r="J215" s="1">
        <v>0</v>
      </c>
      <c r="K215" s="1">
        <v>0</v>
      </c>
      <c r="L215" s="1">
        <v>0</v>
      </c>
      <c r="M215" s="55">
        <f t="shared" si="31"/>
        <v>0</v>
      </c>
      <c r="N215" s="1">
        <v>0</v>
      </c>
      <c r="O215" s="1">
        <v>0</v>
      </c>
      <c r="P215" s="1">
        <v>0</v>
      </c>
      <c r="Q215" s="55">
        <f t="shared" si="32"/>
        <v>0</v>
      </c>
      <c r="R215" s="55">
        <f t="shared" si="33"/>
        <v>2850</v>
      </c>
    </row>
    <row r="216" spans="1:18" ht="15.75" customHeight="1" x14ac:dyDescent="0.3">
      <c r="A216" s="72" t="s">
        <v>171</v>
      </c>
      <c r="B216" s="1">
        <v>0</v>
      </c>
      <c r="C216" s="1">
        <v>0</v>
      </c>
      <c r="D216" s="1">
        <v>0</v>
      </c>
      <c r="E216" s="55">
        <f t="shared" si="29"/>
        <v>0</v>
      </c>
      <c r="F216" s="1">
        <v>0</v>
      </c>
      <c r="G216" s="1">
        <v>0</v>
      </c>
      <c r="H216" s="1">
        <v>0</v>
      </c>
      <c r="I216" s="55">
        <f t="shared" si="30"/>
        <v>0</v>
      </c>
      <c r="J216" s="1">
        <v>0</v>
      </c>
      <c r="K216" s="1">
        <v>0</v>
      </c>
      <c r="L216" s="1">
        <v>0</v>
      </c>
      <c r="M216" s="55">
        <f t="shared" si="31"/>
        <v>0</v>
      </c>
      <c r="N216" s="1">
        <v>0</v>
      </c>
      <c r="O216" s="1">
        <v>0</v>
      </c>
      <c r="P216" s="1">
        <v>0</v>
      </c>
      <c r="Q216" s="55">
        <f t="shared" si="32"/>
        <v>0</v>
      </c>
      <c r="R216" s="55">
        <f t="shared" si="33"/>
        <v>0</v>
      </c>
    </row>
    <row r="217" spans="1:18" ht="15.75" customHeight="1" x14ac:dyDescent="0.3">
      <c r="A217" s="72" t="s">
        <v>172</v>
      </c>
      <c r="B217" s="1">
        <v>0</v>
      </c>
      <c r="C217" s="1">
        <v>0</v>
      </c>
      <c r="D217" s="1">
        <v>0</v>
      </c>
      <c r="E217" s="55">
        <f t="shared" si="29"/>
        <v>0</v>
      </c>
      <c r="F217" s="1">
        <v>387</v>
      </c>
      <c r="G217" s="1">
        <v>4363</v>
      </c>
      <c r="H217" s="1">
        <v>0</v>
      </c>
      <c r="I217" s="55">
        <f t="shared" si="30"/>
        <v>4750</v>
      </c>
      <c r="J217" s="1">
        <v>0</v>
      </c>
      <c r="K217" s="1">
        <v>0</v>
      </c>
      <c r="L217" s="1">
        <v>0</v>
      </c>
      <c r="M217" s="55">
        <f t="shared" si="31"/>
        <v>0</v>
      </c>
      <c r="N217" s="1">
        <v>0</v>
      </c>
      <c r="O217" s="1">
        <v>0</v>
      </c>
      <c r="P217" s="1">
        <v>0</v>
      </c>
      <c r="Q217" s="55">
        <f t="shared" si="32"/>
        <v>0</v>
      </c>
      <c r="R217" s="55">
        <f t="shared" si="33"/>
        <v>4750</v>
      </c>
    </row>
    <row r="218" spans="1:18" ht="15.75" customHeight="1" x14ac:dyDescent="0.3">
      <c r="A218" s="72" t="s">
        <v>173</v>
      </c>
      <c r="B218" s="1">
        <v>0</v>
      </c>
      <c r="C218" s="1">
        <v>95</v>
      </c>
      <c r="D218" s="1">
        <v>0</v>
      </c>
      <c r="E218" s="55">
        <f t="shared" si="29"/>
        <v>95</v>
      </c>
      <c r="F218" s="1">
        <v>0</v>
      </c>
      <c r="G218" s="1">
        <v>0</v>
      </c>
      <c r="H218" s="1">
        <v>0</v>
      </c>
      <c r="I218" s="55">
        <f t="shared" si="30"/>
        <v>0</v>
      </c>
      <c r="J218" s="1">
        <v>0</v>
      </c>
      <c r="K218" s="1">
        <v>0</v>
      </c>
      <c r="L218" s="1">
        <v>0</v>
      </c>
      <c r="M218" s="55">
        <f t="shared" si="31"/>
        <v>0</v>
      </c>
      <c r="N218" s="1">
        <v>0</v>
      </c>
      <c r="O218" s="1">
        <v>0</v>
      </c>
      <c r="P218" s="1">
        <v>0</v>
      </c>
      <c r="Q218" s="55">
        <f t="shared" si="32"/>
        <v>0</v>
      </c>
      <c r="R218" s="55">
        <f t="shared" si="33"/>
        <v>95</v>
      </c>
    </row>
    <row r="219" spans="1:18" ht="15.75" customHeight="1" x14ac:dyDescent="0.3">
      <c r="A219" s="72" t="s">
        <v>174</v>
      </c>
      <c r="B219" s="1">
        <v>95</v>
      </c>
      <c r="C219" s="1">
        <v>0</v>
      </c>
      <c r="D219" s="1">
        <v>0</v>
      </c>
      <c r="E219" s="55">
        <f t="shared" si="29"/>
        <v>95</v>
      </c>
      <c r="F219" s="1">
        <v>0</v>
      </c>
      <c r="G219" s="1">
        <v>0</v>
      </c>
      <c r="H219" s="1">
        <v>0</v>
      </c>
      <c r="I219" s="55">
        <f t="shared" si="30"/>
        <v>0</v>
      </c>
      <c r="J219" s="1">
        <v>0</v>
      </c>
      <c r="K219" s="1">
        <v>0</v>
      </c>
      <c r="L219" s="1">
        <v>0</v>
      </c>
      <c r="M219" s="55">
        <f t="shared" si="31"/>
        <v>0</v>
      </c>
      <c r="N219" s="1">
        <v>0</v>
      </c>
      <c r="O219" s="1">
        <v>0</v>
      </c>
      <c r="P219" s="1">
        <v>0</v>
      </c>
      <c r="Q219" s="55">
        <f t="shared" si="32"/>
        <v>0</v>
      </c>
      <c r="R219" s="55">
        <f t="shared" si="33"/>
        <v>95</v>
      </c>
    </row>
    <row r="220" spans="1:18" ht="15.75" customHeight="1" thickBot="1" x14ac:dyDescent="0.35">
      <c r="A220" s="72" t="s">
        <v>175</v>
      </c>
      <c r="B220" s="1">
        <v>0</v>
      </c>
      <c r="C220" s="1">
        <v>500</v>
      </c>
      <c r="D220" s="1">
        <v>0</v>
      </c>
      <c r="E220" s="55">
        <f t="shared" si="29"/>
        <v>500</v>
      </c>
      <c r="F220" s="1">
        <v>0</v>
      </c>
      <c r="G220" s="1">
        <v>0</v>
      </c>
      <c r="H220" s="1">
        <v>0</v>
      </c>
      <c r="I220" s="55">
        <f t="shared" si="30"/>
        <v>0</v>
      </c>
      <c r="J220" s="1">
        <v>0</v>
      </c>
      <c r="K220" s="1">
        <v>0</v>
      </c>
      <c r="L220" s="1">
        <v>0</v>
      </c>
      <c r="M220" s="55">
        <f t="shared" si="31"/>
        <v>0</v>
      </c>
      <c r="N220" s="1">
        <v>0</v>
      </c>
      <c r="O220" s="1">
        <v>0</v>
      </c>
      <c r="P220" s="1">
        <v>0</v>
      </c>
      <c r="Q220" s="55">
        <f t="shared" si="32"/>
        <v>0</v>
      </c>
      <c r="R220" s="55">
        <f t="shared" si="33"/>
        <v>500</v>
      </c>
    </row>
    <row r="221" spans="1:18" ht="15.75" customHeight="1" thickBot="1" x14ac:dyDescent="0.35">
      <c r="A221" s="57" t="s">
        <v>63</v>
      </c>
      <c r="B221" s="86">
        <f>SUM(B184:B220)</f>
        <v>4631</v>
      </c>
      <c r="C221" s="87">
        <f>SUM(C184:C220)</f>
        <v>3837</v>
      </c>
      <c r="D221" s="87">
        <f>SUM(D184:D220)</f>
        <v>3083</v>
      </c>
      <c r="E221" s="59">
        <f t="shared" si="29"/>
        <v>11551</v>
      </c>
      <c r="F221" s="87">
        <f>SUM(F184:F220)</f>
        <v>6925</v>
      </c>
      <c r="G221" s="87">
        <f>SUM(G184:G220)</f>
        <v>15460</v>
      </c>
      <c r="H221" s="87">
        <f>SUM(H184:H220)</f>
        <v>4156</v>
      </c>
      <c r="I221" s="59">
        <f t="shared" si="30"/>
        <v>26541</v>
      </c>
      <c r="J221" s="87">
        <f>SUM(J184:J220)</f>
        <v>4065</v>
      </c>
      <c r="K221" s="87">
        <f>SUM(K184:K220)</f>
        <v>2485</v>
      </c>
      <c r="L221" s="87">
        <f>SUM(L184:L220)</f>
        <v>2287</v>
      </c>
      <c r="M221" s="59">
        <f t="shared" si="31"/>
        <v>8837</v>
      </c>
      <c r="N221" s="87">
        <f>SUM(N184:N220)</f>
        <v>2297</v>
      </c>
      <c r="O221" s="87">
        <f>SUM(O184:O220)</f>
        <v>2109</v>
      </c>
      <c r="P221" s="87">
        <f>SUM(P184:P220)</f>
        <v>337</v>
      </c>
      <c r="Q221" s="59">
        <f t="shared" si="32"/>
        <v>4743</v>
      </c>
      <c r="R221" s="59">
        <f t="shared" si="33"/>
        <v>51672</v>
      </c>
    </row>
    <row r="222" spans="1:18" ht="15.75" customHeight="1" x14ac:dyDescent="0.3">
      <c r="A222" s="15" t="s">
        <v>64</v>
      </c>
      <c r="B222" s="1"/>
      <c r="C222" s="1"/>
      <c r="D222" s="1"/>
      <c r="E222" s="55" t="s">
        <v>7</v>
      </c>
      <c r="F222" s="1"/>
      <c r="G222" s="1"/>
      <c r="H222" s="1"/>
      <c r="I222" s="55" t="s">
        <v>7</v>
      </c>
      <c r="J222" s="1"/>
      <c r="K222" s="1"/>
      <c r="L222" s="1"/>
      <c r="M222" s="55" t="s">
        <v>7</v>
      </c>
      <c r="N222" s="1"/>
      <c r="O222" s="1"/>
      <c r="P222" s="1"/>
      <c r="Q222" s="55" t="s">
        <v>7</v>
      </c>
      <c r="R222" s="55" t="s">
        <v>7</v>
      </c>
    </row>
    <row r="223" spans="1:18" ht="15.75" customHeight="1" x14ac:dyDescent="0.3">
      <c r="A223" s="15" t="s">
        <v>65</v>
      </c>
      <c r="B223" s="1"/>
      <c r="C223" s="1"/>
      <c r="D223" s="1"/>
      <c r="E223" s="55" t="s">
        <v>7</v>
      </c>
      <c r="F223" s="1"/>
      <c r="G223" s="1"/>
      <c r="H223" s="1"/>
      <c r="I223" s="55" t="s">
        <v>7</v>
      </c>
      <c r="J223" s="1"/>
      <c r="K223" s="1"/>
      <c r="L223" s="1"/>
      <c r="M223" s="55" t="s">
        <v>7</v>
      </c>
      <c r="N223" s="1"/>
      <c r="O223" s="1"/>
      <c r="P223" s="1"/>
      <c r="Q223" s="55" t="s">
        <v>7</v>
      </c>
      <c r="R223" s="55" t="s">
        <v>7</v>
      </c>
    </row>
    <row r="224" spans="1:18" ht="15.75" customHeight="1" x14ac:dyDescent="0.3">
      <c r="A224" s="85" t="s">
        <v>176</v>
      </c>
      <c r="B224" s="1">
        <v>0</v>
      </c>
      <c r="C224" s="1">
        <v>0</v>
      </c>
      <c r="D224" s="1">
        <v>0</v>
      </c>
      <c r="E224" s="55">
        <f t="shared" ref="E224:E229" si="38">SUM(B224:D224)</f>
        <v>0</v>
      </c>
      <c r="F224" s="1">
        <v>0</v>
      </c>
      <c r="G224" s="1">
        <v>0</v>
      </c>
      <c r="H224" s="1">
        <v>0</v>
      </c>
      <c r="I224" s="55">
        <f t="shared" ref="I224:I229" si="39">SUM(F224:H224)</f>
        <v>0</v>
      </c>
      <c r="J224" s="1">
        <v>0</v>
      </c>
      <c r="K224" s="1">
        <v>3796</v>
      </c>
      <c r="L224" s="1">
        <v>1204</v>
      </c>
      <c r="M224" s="55">
        <f t="shared" ref="M224:M229" si="40">SUM(J224:L224)</f>
        <v>5000</v>
      </c>
      <c r="N224" s="1">
        <v>0</v>
      </c>
      <c r="O224" s="1">
        <v>0</v>
      </c>
      <c r="P224" s="1">
        <v>0</v>
      </c>
      <c r="Q224" s="55">
        <f t="shared" ref="Q224:Q229" si="41">SUM(N224:P224)</f>
        <v>0</v>
      </c>
      <c r="R224" s="55">
        <f t="shared" ref="R224:R229" si="42">+E224+I224+M224+Q224</f>
        <v>5000</v>
      </c>
    </row>
    <row r="225" spans="1:18" ht="15.75" customHeight="1" x14ac:dyDescent="0.3">
      <c r="A225" s="85" t="s">
        <v>177</v>
      </c>
      <c r="B225" s="1">
        <v>0</v>
      </c>
      <c r="C225" s="1">
        <v>0</v>
      </c>
      <c r="D225" s="1">
        <v>0</v>
      </c>
      <c r="E225" s="55">
        <f t="shared" si="38"/>
        <v>0</v>
      </c>
      <c r="F225" s="1">
        <v>0</v>
      </c>
      <c r="G225" s="1">
        <v>0</v>
      </c>
      <c r="H225" s="1">
        <v>0</v>
      </c>
      <c r="I225" s="55">
        <f t="shared" si="39"/>
        <v>0</v>
      </c>
      <c r="J225" s="1">
        <v>0</v>
      </c>
      <c r="K225" s="1">
        <v>39</v>
      </c>
      <c r="L225" s="1">
        <v>2505</v>
      </c>
      <c r="M225" s="55">
        <f t="shared" si="40"/>
        <v>2544</v>
      </c>
      <c r="N225" s="1">
        <v>2056</v>
      </c>
      <c r="O225" s="1">
        <v>5</v>
      </c>
      <c r="P225" s="1">
        <v>185</v>
      </c>
      <c r="Q225" s="55">
        <f t="shared" si="41"/>
        <v>2246</v>
      </c>
      <c r="R225" s="55">
        <f t="shared" si="42"/>
        <v>4790</v>
      </c>
    </row>
    <row r="226" spans="1:18" ht="15.75" customHeight="1" x14ac:dyDescent="0.3">
      <c r="A226" s="85" t="s">
        <v>178</v>
      </c>
      <c r="B226" s="1">
        <v>0</v>
      </c>
      <c r="C226" s="1">
        <v>2480</v>
      </c>
      <c r="D226" s="1">
        <v>0</v>
      </c>
      <c r="E226" s="55">
        <f t="shared" si="38"/>
        <v>2480</v>
      </c>
      <c r="F226" s="1">
        <v>0</v>
      </c>
      <c r="G226" s="1">
        <v>0</v>
      </c>
      <c r="H226" s="1">
        <v>0</v>
      </c>
      <c r="I226" s="55">
        <f t="shared" si="39"/>
        <v>0</v>
      </c>
      <c r="J226" s="1">
        <v>0</v>
      </c>
      <c r="K226" s="1">
        <v>0</v>
      </c>
      <c r="L226" s="1">
        <v>0</v>
      </c>
      <c r="M226" s="55">
        <f t="shared" si="40"/>
        <v>0</v>
      </c>
      <c r="N226" s="1">
        <v>0</v>
      </c>
      <c r="O226" s="1">
        <v>59</v>
      </c>
      <c r="P226" s="1">
        <v>0</v>
      </c>
      <c r="Q226" s="55">
        <f t="shared" si="41"/>
        <v>59</v>
      </c>
      <c r="R226" s="55">
        <f t="shared" si="42"/>
        <v>2539</v>
      </c>
    </row>
    <row r="227" spans="1:18" ht="15.75" customHeight="1" x14ac:dyDescent="0.3">
      <c r="A227" s="84" t="s">
        <v>179</v>
      </c>
      <c r="B227" s="1">
        <v>0</v>
      </c>
      <c r="C227" s="1">
        <v>0</v>
      </c>
      <c r="D227" s="1">
        <v>0</v>
      </c>
      <c r="E227" s="55">
        <f t="shared" si="38"/>
        <v>0</v>
      </c>
      <c r="F227" s="1">
        <v>0</v>
      </c>
      <c r="G227" s="1">
        <v>0</v>
      </c>
      <c r="H227" s="1">
        <v>0</v>
      </c>
      <c r="I227" s="55">
        <f t="shared" si="39"/>
        <v>0</v>
      </c>
      <c r="J227" s="1">
        <v>0</v>
      </c>
      <c r="K227" s="1">
        <v>0</v>
      </c>
      <c r="L227" s="1">
        <v>0</v>
      </c>
      <c r="M227" s="55">
        <f t="shared" si="40"/>
        <v>0</v>
      </c>
      <c r="N227" s="1">
        <v>0</v>
      </c>
      <c r="O227" s="1">
        <v>0</v>
      </c>
      <c r="P227" s="1">
        <v>0</v>
      </c>
      <c r="Q227" s="55">
        <f t="shared" si="41"/>
        <v>0</v>
      </c>
      <c r="R227" s="55">
        <f t="shared" si="42"/>
        <v>0</v>
      </c>
    </row>
    <row r="228" spans="1:18" ht="15.75" customHeight="1" x14ac:dyDescent="0.3">
      <c r="A228" s="85" t="s">
        <v>180</v>
      </c>
      <c r="B228" s="1">
        <v>920</v>
      </c>
      <c r="C228" s="1">
        <v>392</v>
      </c>
      <c r="D228" s="1">
        <v>0</v>
      </c>
      <c r="E228" s="55">
        <f t="shared" si="38"/>
        <v>1312</v>
      </c>
      <c r="F228" s="1">
        <v>0</v>
      </c>
      <c r="G228" s="1">
        <v>0</v>
      </c>
      <c r="H228" s="1">
        <v>0</v>
      </c>
      <c r="I228" s="55">
        <f t="shared" si="39"/>
        <v>0</v>
      </c>
      <c r="J228" s="1">
        <v>0</v>
      </c>
      <c r="K228" s="1">
        <v>0</v>
      </c>
      <c r="L228" s="1">
        <v>0</v>
      </c>
      <c r="M228" s="55">
        <f t="shared" si="40"/>
        <v>0</v>
      </c>
      <c r="N228" s="1">
        <v>0</v>
      </c>
      <c r="O228" s="1">
        <v>0</v>
      </c>
      <c r="P228" s="1">
        <v>0</v>
      </c>
      <c r="Q228" s="55">
        <f t="shared" si="41"/>
        <v>0</v>
      </c>
      <c r="R228" s="55">
        <f t="shared" si="42"/>
        <v>1312</v>
      </c>
    </row>
    <row r="229" spans="1:18" ht="15.75" customHeight="1" x14ac:dyDescent="0.3">
      <c r="A229" s="71" t="s">
        <v>181</v>
      </c>
      <c r="B229" s="1">
        <v>160</v>
      </c>
      <c r="C229" s="1">
        <v>133</v>
      </c>
      <c r="D229" s="1">
        <v>300</v>
      </c>
      <c r="E229" s="55">
        <f t="shared" si="38"/>
        <v>593</v>
      </c>
      <c r="F229" s="1">
        <v>371</v>
      </c>
      <c r="G229" s="1">
        <v>249</v>
      </c>
      <c r="H229" s="1">
        <v>128</v>
      </c>
      <c r="I229" s="55">
        <f t="shared" si="39"/>
        <v>748</v>
      </c>
      <c r="J229" s="1">
        <v>210</v>
      </c>
      <c r="K229" s="1">
        <v>408</v>
      </c>
      <c r="L229" s="1">
        <v>114</v>
      </c>
      <c r="M229" s="55">
        <f t="shared" si="40"/>
        <v>732</v>
      </c>
      <c r="N229" s="1">
        <v>117</v>
      </c>
      <c r="O229" s="1">
        <v>138</v>
      </c>
      <c r="P229" s="1">
        <v>292</v>
      </c>
      <c r="Q229" s="55">
        <f t="shared" si="41"/>
        <v>547</v>
      </c>
      <c r="R229" s="55">
        <f t="shared" si="42"/>
        <v>2620</v>
      </c>
    </row>
    <row r="230" spans="1:18" ht="15.75" customHeight="1" x14ac:dyDescent="0.3">
      <c r="A230" s="15" t="s">
        <v>67</v>
      </c>
      <c r="B230" s="1"/>
      <c r="C230" s="1"/>
      <c r="D230" s="1"/>
      <c r="E230" s="55" t="s">
        <v>7</v>
      </c>
      <c r="F230" s="1"/>
      <c r="G230" s="1"/>
      <c r="H230" s="1"/>
      <c r="I230" s="55" t="s">
        <v>7</v>
      </c>
      <c r="J230" s="1"/>
      <c r="K230" s="1"/>
      <c r="L230" s="1"/>
      <c r="M230" s="55" t="s">
        <v>7</v>
      </c>
      <c r="N230" s="1"/>
      <c r="O230" s="1"/>
      <c r="P230" s="1"/>
      <c r="Q230" s="55" t="s">
        <v>7</v>
      </c>
      <c r="R230" s="55" t="s">
        <v>7</v>
      </c>
    </row>
    <row r="231" spans="1:18" ht="15.75" customHeight="1" x14ac:dyDescent="0.3">
      <c r="A231" s="85" t="s">
        <v>182</v>
      </c>
      <c r="B231" s="1">
        <v>0</v>
      </c>
      <c r="C231" s="1">
        <v>0</v>
      </c>
      <c r="D231" s="1">
        <v>0</v>
      </c>
      <c r="E231" s="55">
        <f>SUM(B231:D231)</f>
        <v>0</v>
      </c>
      <c r="F231" s="1">
        <v>0</v>
      </c>
      <c r="G231" s="1">
        <v>0</v>
      </c>
      <c r="H231" s="1">
        <v>0</v>
      </c>
      <c r="I231" s="55">
        <f>SUM(F231:H231)</f>
        <v>0</v>
      </c>
      <c r="J231" s="1">
        <v>0</v>
      </c>
      <c r="K231" s="1">
        <v>0</v>
      </c>
      <c r="L231" s="1">
        <v>0</v>
      </c>
      <c r="M231" s="55">
        <f>SUM(J231:L231)</f>
        <v>0</v>
      </c>
      <c r="N231" s="1">
        <v>0</v>
      </c>
      <c r="O231" s="1">
        <v>0</v>
      </c>
      <c r="P231" s="1">
        <v>2313</v>
      </c>
      <c r="Q231" s="55">
        <f>SUM(N231:P231)</f>
        <v>2313</v>
      </c>
      <c r="R231" s="55">
        <f>+E231+I231+M231+Q231</f>
        <v>2313</v>
      </c>
    </row>
    <row r="232" spans="1:18" ht="15.75" customHeight="1" x14ac:dyDescent="0.3">
      <c r="A232" s="85" t="s">
        <v>183</v>
      </c>
      <c r="B232" s="1">
        <v>0</v>
      </c>
      <c r="C232" s="1">
        <v>0</v>
      </c>
      <c r="D232" s="1">
        <v>0</v>
      </c>
      <c r="E232" s="55">
        <f>SUM(B232:D232)</f>
        <v>0</v>
      </c>
      <c r="F232" s="1">
        <v>0</v>
      </c>
      <c r="G232" s="1">
        <v>0</v>
      </c>
      <c r="H232" s="1">
        <v>0</v>
      </c>
      <c r="I232" s="55">
        <f>SUM(F232:H232)</f>
        <v>0</v>
      </c>
      <c r="J232" s="1">
        <v>0</v>
      </c>
      <c r="K232" s="1">
        <v>0</v>
      </c>
      <c r="L232" s="1">
        <v>0</v>
      </c>
      <c r="M232" s="55">
        <f>SUM(J232:L232)</f>
        <v>0</v>
      </c>
      <c r="N232" s="1">
        <v>0</v>
      </c>
      <c r="O232" s="1">
        <v>0</v>
      </c>
      <c r="P232" s="1">
        <v>0</v>
      </c>
      <c r="Q232" s="55">
        <f>SUM(N232:P232)</f>
        <v>0</v>
      </c>
      <c r="R232" s="55">
        <f>+E232+I232+M232+Q232</f>
        <v>0</v>
      </c>
    </row>
    <row r="233" spans="1:18" ht="15.75" customHeight="1" x14ac:dyDescent="0.3">
      <c r="A233" s="71" t="s">
        <v>184</v>
      </c>
      <c r="B233" s="1">
        <v>0</v>
      </c>
      <c r="C233" s="1">
        <v>0</v>
      </c>
      <c r="D233" s="1">
        <v>0</v>
      </c>
      <c r="E233" s="55">
        <f t="shared" ref="E233:E238" si="43">SUM(B233:D233)</f>
        <v>0</v>
      </c>
      <c r="F233" s="1">
        <v>0</v>
      </c>
      <c r="G233" s="1">
        <v>0</v>
      </c>
      <c r="H233" s="1">
        <v>0</v>
      </c>
      <c r="I233" s="55">
        <f t="shared" ref="I233:I238" si="44">SUM(F233:H233)</f>
        <v>0</v>
      </c>
      <c r="J233" s="1">
        <v>0</v>
      </c>
      <c r="K233" s="1">
        <v>0</v>
      </c>
      <c r="L233" s="1">
        <v>0</v>
      </c>
      <c r="M233" s="55">
        <f t="shared" ref="M233:M238" si="45">SUM(J233:L233)</f>
        <v>0</v>
      </c>
      <c r="N233" s="1">
        <v>0</v>
      </c>
      <c r="O233" s="1">
        <v>0</v>
      </c>
      <c r="P233" s="1">
        <v>0</v>
      </c>
      <c r="Q233" s="55">
        <f t="shared" ref="Q233:Q238" si="46">SUM(N233:P233)</f>
        <v>0</v>
      </c>
      <c r="R233" s="55">
        <f t="shared" ref="R233:R238" si="47">+E233+I233+M233+Q233</f>
        <v>0</v>
      </c>
    </row>
    <row r="234" spans="1:18" ht="15.75" customHeight="1" x14ac:dyDescent="0.3">
      <c r="A234" s="71" t="s">
        <v>185</v>
      </c>
      <c r="B234" s="1">
        <v>0</v>
      </c>
      <c r="C234" s="1">
        <v>0</v>
      </c>
      <c r="D234" s="1">
        <v>0</v>
      </c>
      <c r="E234" s="55">
        <f t="shared" si="43"/>
        <v>0</v>
      </c>
      <c r="F234" s="1">
        <v>0</v>
      </c>
      <c r="G234" s="1">
        <v>0</v>
      </c>
      <c r="H234" s="1">
        <v>0</v>
      </c>
      <c r="I234" s="55">
        <f t="shared" si="44"/>
        <v>0</v>
      </c>
      <c r="J234" s="1">
        <v>0</v>
      </c>
      <c r="K234" s="1">
        <v>0</v>
      </c>
      <c r="L234" s="1">
        <v>0</v>
      </c>
      <c r="M234" s="55">
        <f t="shared" si="45"/>
        <v>0</v>
      </c>
      <c r="N234" s="1">
        <v>0</v>
      </c>
      <c r="O234" s="1">
        <v>0</v>
      </c>
      <c r="P234" s="1">
        <v>0</v>
      </c>
      <c r="Q234" s="55">
        <f t="shared" si="46"/>
        <v>0</v>
      </c>
      <c r="R234" s="55">
        <f t="shared" si="47"/>
        <v>0</v>
      </c>
    </row>
    <row r="235" spans="1:18" ht="15.75" customHeight="1" x14ac:dyDescent="0.3">
      <c r="A235" s="84" t="s">
        <v>186</v>
      </c>
      <c r="B235" s="1">
        <v>0</v>
      </c>
      <c r="C235" s="1">
        <v>0</v>
      </c>
      <c r="D235" s="1">
        <v>0</v>
      </c>
      <c r="E235" s="55">
        <f t="shared" si="43"/>
        <v>0</v>
      </c>
      <c r="F235" s="1">
        <v>0</v>
      </c>
      <c r="G235" s="1">
        <v>0</v>
      </c>
      <c r="H235" s="1">
        <v>0</v>
      </c>
      <c r="I235" s="55">
        <f t="shared" si="44"/>
        <v>0</v>
      </c>
      <c r="J235" s="1">
        <v>0</v>
      </c>
      <c r="K235" s="1">
        <v>0</v>
      </c>
      <c r="L235" s="1">
        <v>0</v>
      </c>
      <c r="M235" s="55">
        <f t="shared" si="45"/>
        <v>0</v>
      </c>
      <c r="N235" s="1">
        <v>0</v>
      </c>
      <c r="O235" s="1">
        <v>390</v>
      </c>
      <c r="P235" s="1">
        <v>874</v>
      </c>
      <c r="Q235" s="55">
        <f t="shared" si="46"/>
        <v>1264</v>
      </c>
      <c r="R235" s="55">
        <f t="shared" si="47"/>
        <v>1264</v>
      </c>
    </row>
    <row r="236" spans="1:18" s="89" customFormat="1" ht="15.75" customHeight="1" x14ac:dyDescent="0.3">
      <c r="A236" s="84" t="s">
        <v>187</v>
      </c>
      <c r="B236" s="1">
        <v>0</v>
      </c>
      <c r="C236" s="1">
        <v>0</v>
      </c>
      <c r="D236" s="1">
        <v>0</v>
      </c>
      <c r="E236" s="55">
        <f t="shared" si="43"/>
        <v>0</v>
      </c>
      <c r="F236" s="1">
        <v>0</v>
      </c>
      <c r="G236" s="1">
        <v>0</v>
      </c>
      <c r="H236" s="1">
        <v>0</v>
      </c>
      <c r="I236" s="55">
        <f t="shared" si="44"/>
        <v>0</v>
      </c>
      <c r="J236" s="1">
        <v>0</v>
      </c>
      <c r="K236" s="1">
        <v>0</v>
      </c>
      <c r="L236" s="1">
        <v>0</v>
      </c>
      <c r="M236" s="55">
        <f t="shared" si="45"/>
        <v>0</v>
      </c>
      <c r="N236" s="1">
        <v>0</v>
      </c>
      <c r="O236" s="1">
        <v>0</v>
      </c>
      <c r="P236" s="1">
        <v>0</v>
      </c>
      <c r="Q236" s="55">
        <f t="shared" si="46"/>
        <v>0</v>
      </c>
      <c r="R236" s="55">
        <f t="shared" si="47"/>
        <v>0</v>
      </c>
    </row>
    <row r="237" spans="1:18" ht="15.75" customHeight="1" x14ac:dyDescent="0.3">
      <c r="A237" s="61" t="s">
        <v>188</v>
      </c>
      <c r="B237" s="1">
        <v>0</v>
      </c>
      <c r="C237" s="1">
        <v>0</v>
      </c>
      <c r="D237" s="1">
        <v>0</v>
      </c>
      <c r="E237" s="55">
        <f t="shared" si="43"/>
        <v>0</v>
      </c>
      <c r="F237" s="1">
        <v>0</v>
      </c>
      <c r="G237" s="1">
        <v>0</v>
      </c>
      <c r="H237" s="1">
        <v>0</v>
      </c>
      <c r="I237" s="55">
        <f t="shared" si="44"/>
        <v>0</v>
      </c>
      <c r="J237" s="1">
        <v>0</v>
      </c>
      <c r="K237" s="1">
        <v>0</v>
      </c>
      <c r="L237" s="1">
        <v>0</v>
      </c>
      <c r="M237" s="55">
        <f t="shared" si="45"/>
        <v>0</v>
      </c>
      <c r="N237" s="1">
        <v>0</v>
      </c>
      <c r="O237" s="1">
        <v>0</v>
      </c>
      <c r="P237" s="1">
        <v>0</v>
      </c>
      <c r="Q237" s="55">
        <f t="shared" si="46"/>
        <v>0</v>
      </c>
      <c r="R237" s="55">
        <f t="shared" si="47"/>
        <v>0</v>
      </c>
    </row>
    <row r="238" spans="1:18" ht="15.75" customHeight="1" x14ac:dyDescent="0.3">
      <c r="A238" s="61" t="s">
        <v>189</v>
      </c>
      <c r="B238" s="1">
        <v>0</v>
      </c>
      <c r="C238" s="1">
        <v>0</v>
      </c>
      <c r="D238" s="1">
        <v>0</v>
      </c>
      <c r="E238" s="55">
        <f t="shared" si="43"/>
        <v>0</v>
      </c>
      <c r="F238" s="1">
        <v>0</v>
      </c>
      <c r="G238" s="1">
        <v>0</v>
      </c>
      <c r="H238" s="1">
        <v>0</v>
      </c>
      <c r="I238" s="55">
        <f t="shared" si="44"/>
        <v>0</v>
      </c>
      <c r="J238" s="1">
        <v>0</v>
      </c>
      <c r="K238" s="1">
        <v>0</v>
      </c>
      <c r="L238" s="1">
        <v>0</v>
      </c>
      <c r="M238" s="55">
        <f t="shared" si="45"/>
        <v>0</v>
      </c>
      <c r="N238" s="1">
        <v>0</v>
      </c>
      <c r="O238" s="1">
        <v>0</v>
      </c>
      <c r="P238" s="1">
        <v>0</v>
      </c>
      <c r="Q238" s="55">
        <f t="shared" si="46"/>
        <v>0</v>
      </c>
      <c r="R238" s="55">
        <f t="shared" si="47"/>
        <v>0</v>
      </c>
    </row>
    <row r="239" spans="1:18" ht="15.75" customHeight="1" x14ac:dyDescent="0.3">
      <c r="A239" s="15" t="s">
        <v>69</v>
      </c>
      <c r="B239" s="1"/>
      <c r="C239" s="1"/>
      <c r="D239" s="1"/>
      <c r="E239" s="55" t="s">
        <v>7</v>
      </c>
      <c r="F239" s="1"/>
      <c r="G239" s="1"/>
      <c r="H239" s="1"/>
      <c r="I239" s="55" t="s">
        <v>7</v>
      </c>
      <c r="J239" s="1"/>
      <c r="K239" s="1"/>
      <c r="L239" s="1"/>
      <c r="M239" s="55" t="s">
        <v>7</v>
      </c>
      <c r="N239" s="1"/>
      <c r="O239" s="1"/>
      <c r="P239" s="1"/>
      <c r="Q239" s="55" t="s">
        <v>7</v>
      </c>
      <c r="R239" s="55" t="s">
        <v>7</v>
      </c>
    </row>
    <row r="240" spans="1:18" ht="15.75" customHeight="1" x14ac:dyDescent="0.3">
      <c r="A240" s="71" t="s">
        <v>190</v>
      </c>
      <c r="B240" s="1">
        <v>0</v>
      </c>
      <c r="C240" s="1">
        <v>0</v>
      </c>
      <c r="D240" s="1">
        <v>0</v>
      </c>
      <c r="E240" s="55">
        <f>SUM(B240:D240)</f>
        <v>0</v>
      </c>
      <c r="F240" s="1">
        <v>0</v>
      </c>
      <c r="G240" s="1">
        <v>0</v>
      </c>
      <c r="H240" s="1">
        <v>0</v>
      </c>
      <c r="I240" s="55">
        <f>SUM(F240:H240)</f>
        <v>0</v>
      </c>
      <c r="J240" s="1">
        <v>0</v>
      </c>
      <c r="K240" s="1">
        <v>0</v>
      </c>
      <c r="L240" s="1">
        <v>0</v>
      </c>
      <c r="M240" s="55">
        <f>SUM(J240:L240)</f>
        <v>0</v>
      </c>
      <c r="N240" s="1">
        <v>0</v>
      </c>
      <c r="O240" s="1">
        <v>0</v>
      </c>
      <c r="P240" s="1">
        <v>0</v>
      </c>
      <c r="Q240" s="55">
        <f>SUM(N240:P240)</f>
        <v>0</v>
      </c>
      <c r="R240" s="55">
        <f>+E240+I240+M240+Q240</f>
        <v>0</v>
      </c>
    </row>
    <row r="241" spans="1:18" ht="15.75" customHeight="1" x14ac:dyDescent="0.3">
      <c r="A241" s="71" t="s">
        <v>179</v>
      </c>
      <c r="B241" s="1">
        <v>0</v>
      </c>
      <c r="C241" s="1">
        <v>0</v>
      </c>
      <c r="D241" s="1">
        <v>0</v>
      </c>
      <c r="E241" s="55">
        <f>SUM(B241:D241)</f>
        <v>0</v>
      </c>
      <c r="F241" s="1">
        <v>0</v>
      </c>
      <c r="G241" s="1">
        <v>0</v>
      </c>
      <c r="H241" s="1">
        <v>0</v>
      </c>
      <c r="I241" s="55">
        <f>SUM(F241:H241)</f>
        <v>0</v>
      </c>
      <c r="J241" s="1">
        <v>0</v>
      </c>
      <c r="K241" s="1">
        <v>0</v>
      </c>
      <c r="L241" s="1">
        <v>0</v>
      </c>
      <c r="M241" s="55">
        <f>SUM(J241:L241)</f>
        <v>0</v>
      </c>
      <c r="N241" s="1">
        <v>0</v>
      </c>
      <c r="O241" s="1">
        <v>0</v>
      </c>
      <c r="P241" s="1">
        <v>0</v>
      </c>
      <c r="Q241" s="55">
        <f>SUM(N241:P241)</f>
        <v>0</v>
      </c>
      <c r="R241" s="55">
        <f>+E241+I241+M241+Q241</f>
        <v>0</v>
      </c>
    </row>
    <row r="242" spans="1:18" ht="15.75" customHeight="1" x14ac:dyDescent="0.3">
      <c r="A242" s="71" t="s">
        <v>191</v>
      </c>
      <c r="B242" s="1">
        <v>0</v>
      </c>
      <c r="C242" s="1">
        <v>0</v>
      </c>
      <c r="D242" s="1">
        <v>0</v>
      </c>
      <c r="E242" s="55">
        <f>SUM(B242:D242)</f>
        <v>0</v>
      </c>
      <c r="F242" s="1">
        <v>0</v>
      </c>
      <c r="G242" s="1">
        <v>0</v>
      </c>
      <c r="H242" s="1">
        <v>0</v>
      </c>
      <c r="I242" s="55">
        <f>SUM(F242:H242)</f>
        <v>0</v>
      </c>
      <c r="J242" s="1">
        <v>0</v>
      </c>
      <c r="K242" s="1">
        <v>0</v>
      </c>
      <c r="L242" s="1">
        <v>0</v>
      </c>
      <c r="M242" s="55">
        <f>SUM(J242:L242)</f>
        <v>0</v>
      </c>
      <c r="N242" s="1">
        <v>0</v>
      </c>
      <c r="O242" s="1">
        <v>0</v>
      </c>
      <c r="P242" s="1">
        <v>0</v>
      </c>
      <c r="Q242" s="55">
        <f>SUM(N242:P242)</f>
        <v>0</v>
      </c>
      <c r="R242" s="55">
        <f>+E242+I242+M242+Q242</f>
        <v>0</v>
      </c>
    </row>
    <row r="243" spans="1:18" ht="15.75" customHeight="1" thickBot="1" x14ac:dyDescent="0.35">
      <c r="A243" s="15" t="s">
        <v>70</v>
      </c>
      <c r="B243" s="1"/>
      <c r="C243" s="1"/>
      <c r="D243" s="1"/>
      <c r="E243" s="55" t="s">
        <v>7</v>
      </c>
      <c r="F243" s="1"/>
      <c r="G243" s="1"/>
      <c r="H243" s="1"/>
      <c r="I243" s="55" t="s">
        <v>7</v>
      </c>
      <c r="J243" s="1"/>
      <c r="K243" s="1"/>
      <c r="L243" s="1"/>
      <c r="M243" s="55" t="s">
        <v>7</v>
      </c>
      <c r="N243" s="1"/>
      <c r="O243" s="1"/>
      <c r="P243" s="1"/>
      <c r="Q243" s="55" t="s">
        <v>7</v>
      </c>
      <c r="R243" s="55" t="s">
        <v>7</v>
      </c>
    </row>
    <row r="244" spans="1:18" ht="15.75" customHeight="1" thickBot="1" x14ac:dyDescent="0.35">
      <c r="A244" s="57" t="s">
        <v>71</v>
      </c>
      <c r="B244" s="58">
        <f>SUM(B239:B243)</f>
        <v>0</v>
      </c>
      <c r="C244" s="58">
        <f>SUM(C239:C243)</f>
        <v>0</v>
      </c>
      <c r="D244" s="58">
        <f>SUM(D239:D243)</f>
        <v>0</v>
      </c>
      <c r="E244" s="60">
        <f t="shared" ref="E244:E252" si="48">SUM(B244:D244)</f>
        <v>0</v>
      </c>
      <c r="F244" s="58">
        <f>SUM(F239:F243)</f>
        <v>0</v>
      </c>
      <c r="G244" s="58">
        <f>SUM(G239:G243)</f>
        <v>0</v>
      </c>
      <c r="H244" s="58">
        <f>SUM(H239:H243)</f>
        <v>0</v>
      </c>
      <c r="I244" s="60">
        <f t="shared" ref="I244:I252" si="49">SUM(F244:H244)</f>
        <v>0</v>
      </c>
      <c r="J244" s="58">
        <f>SUM(J239:J243)</f>
        <v>0</v>
      </c>
      <c r="K244" s="58">
        <f>SUM(K239:K243)</f>
        <v>0</v>
      </c>
      <c r="L244" s="58">
        <f>SUM(L239:L243)</f>
        <v>0</v>
      </c>
      <c r="M244" s="60">
        <f t="shared" ref="M244:M252" si="50">SUM(J244:L244)</f>
        <v>0</v>
      </c>
      <c r="N244" s="58">
        <f>SUM(N239:N243)</f>
        <v>0</v>
      </c>
      <c r="O244" s="58">
        <f>SUM(O239:O243)</f>
        <v>0</v>
      </c>
      <c r="P244" s="58">
        <f>SUM(P239:P243)</f>
        <v>0</v>
      </c>
      <c r="Q244" s="60">
        <f t="shared" ref="Q244:Q252" si="51">SUM(N244:P244)</f>
        <v>0</v>
      </c>
      <c r="R244" s="59">
        <f t="shared" ref="R244:R252" si="52">+E244+I244+M244+Q244</f>
        <v>0</v>
      </c>
    </row>
    <row r="245" spans="1:18" ht="15.75" customHeight="1" thickBot="1" x14ac:dyDescent="0.35">
      <c r="A245" s="57" t="s">
        <v>72</v>
      </c>
      <c r="B245" s="86">
        <f>SUM(B222:B243)</f>
        <v>1080</v>
      </c>
      <c r="C245" s="87">
        <f>SUM(C222:C243)</f>
        <v>3005</v>
      </c>
      <c r="D245" s="87">
        <f>SUM(D222:D243)</f>
        <v>300</v>
      </c>
      <c r="E245" s="59">
        <f t="shared" si="48"/>
        <v>4385</v>
      </c>
      <c r="F245" s="87">
        <f>SUM(F222:F243)</f>
        <v>371</v>
      </c>
      <c r="G245" s="87">
        <f>SUM(G222:G243)</f>
        <v>249</v>
      </c>
      <c r="H245" s="87">
        <f>SUM(H222:H243)</f>
        <v>128</v>
      </c>
      <c r="I245" s="59">
        <f t="shared" si="49"/>
        <v>748</v>
      </c>
      <c r="J245" s="87">
        <f>SUM(J222:J243)</f>
        <v>210</v>
      </c>
      <c r="K245" s="87">
        <f>SUM(K222:K243)</f>
        <v>4243</v>
      </c>
      <c r="L245" s="87">
        <f>SUM(L222:L243)</f>
        <v>3823</v>
      </c>
      <c r="M245" s="59">
        <f t="shared" si="50"/>
        <v>8276</v>
      </c>
      <c r="N245" s="87">
        <f>SUM(N222:N243)</f>
        <v>2173</v>
      </c>
      <c r="O245" s="87">
        <f>SUM(O222:O243)</f>
        <v>592</v>
      </c>
      <c r="P245" s="87">
        <f>SUM(P222:P243)</f>
        <v>3664</v>
      </c>
      <c r="Q245" s="59">
        <f t="shared" si="51"/>
        <v>6429</v>
      </c>
      <c r="R245" s="59">
        <f t="shared" si="52"/>
        <v>19838</v>
      </c>
    </row>
    <row r="246" spans="1:18" ht="15.75" customHeight="1" thickBot="1" x14ac:dyDescent="0.35">
      <c r="A246" s="57" t="s">
        <v>73</v>
      </c>
      <c r="B246" s="90">
        <f>+B176+B183+B221+B245</f>
        <v>20220</v>
      </c>
      <c r="C246" s="58">
        <f>+C176+C183+C221+C245</f>
        <v>17663</v>
      </c>
      <c r="D246" s="58">
        <f>+D176+D183+D221+D245</f>
        <v>24966</v>
      </c>
      <c r="E246" s="81">
        <f t="shared" si="48"/>
        <v>62849</v>
      </c>
      <c r="F246" s="58">
        <f>+F176+F183+F221+F245</f>
        <v>32084</v>
      </c>
      <c r="G246" s="58">
        <f>+G176+G183+G221+G245</f>
        <v>32605</v>
      </c>
      <c r="H246" s="58">
        <f>+H176+H183+H221+H245</f>
        <v>35896</v>
      </c>
      <c r="I246" s="81">
        <f t="shared" si="49"/>
        <v>100585</v>
      </c>
      <c r="J246" s="58">
        <f>+J176+J183+J221+J245</f>
        <v>40390</v>
      </c>
      <c r="K246" s="58">
        <f>+K176+K183+K221+K245</f>
        <v>35731</v>
      </c>
      <c r="L246" s="58">
        <f>+L176+L183+L221+L245</f>
        <v>32569</v>
      </c>
      <c r="M246" s="81">
        <f t="shared" si="50"/>
        <v>108690</v>
      </c>
      <c r="N246" s="58">
        <f>+N176+N183+N221+N245</f>
        <v>29562</v>
      </c>
      <c r="O246" s="58">
        <f>+O176+O183+O221+O245</f>
        <v>25248</v>
      </c>
      <c r="P246" s="58">
        <f>+P176+P183+P221+P245</f>
        <v>20185</v>
      </c>
      <c r="Q246" s="81">
        <f t="shared" si="51"/>
        <v>74995</v>
      </c>
      <c r="R246" s="81">
        <f t="shared" si="52"/>
        <v>347119</v>
      </c>
    </row>
    <row r="247" spans="1:18" ht="15.75" customHeight="1" x14ac:dyDescent="0.3">
      <c r="A247" s="88" t="s">
        <v>192</v>
      </c>
      <c r="B247" s="1">
        <v>0</v>
      </c>
      <c r="C247" s="1">
        <v>1067</v>
      </c>
      <c r="D247" s="1">
        <v>3472</v>
      </c>
      <c r="E247" s="55">
        <f t="shared" si="48"/>
        <v>4539</v>
      </c>
      <c r="F247" s="1">
        <v>3894</v>
      </c>
      <c r="G247" s="1">
        <v>4164</v>
      </c>
      <c r="H247" s="1">
        <v>3434</v>
      </c>
      <c r="I247" s="55">
        <f t="shared" si="49"/>
        <v>11492</v>
      </c>
      <c r="J247" s="1">
        <v>2383</v>
      </c>
      <c r="K247" s="1">
        <v>3252</v>
      </c>
      <c r="L247" s="1">
        <v>3642</v>
      </c>
      <c r="M247" s="55">
        <f t="shared" si="50"/>
        <v>9277</v>
      </c>
      <c r="N247" s="1">
        <v>4947</v>
      </c>
      <c r="O247" s="1">
        <v>4047</v>
      </c>
      <c r="P247" s="1">
        <v>511</v>
      </c>
      <c r="Q247" s="55">
        <f t="shared" si="51"/>
        <v>9505</v>
      </c>
      <c r="R247" s="55">
        <f t="shared" si="52"/>
        <v>34813</v>
      </c>
    </row>
    <row r="248" spans="1:18" ht="15.75" customHeight="1" x14ac:dyDescent="0.3">
      <c r="A248" s="91" t="s">
        <v>193</v>
      </c>
      <c r="B248" s="1">
        <v>0</v>
      </c>
      <c r="C248" s="1">
        <v>0</v>
      </c>
      <c r="D248" s="1">
        <v>0</v>
      </c>
      <c r="E248" s="55">
        <f t="shared" si="48"/>
        <v>0</v>
      </c>
      <c r="F248" s="1">
        <v>0</v>
      </c>
      <c r="G248" s="1">
        <v>0</v>
      </c>
      <c r="H248" s="1">
        <v>0</v>
      </c>
      <c r="I248" s="55">
        <f t="shared" si="49"/>
        <v>0</v>
      </c>
      <c r="J248" s="1">
        <v>0</v>
      </c>
      <c r="K248" s="1">
        <v>0</v>
      </c>
      <c r="L248" s="1">
        <v>0</v>
      </c>
      <c r="M248" s="55">
        <f t="shared" si="50"/>
        <v>0</v>
      </c>
      <c r="N248" s="1">
        <v>0</v>
      </c>
      <c r="O248" s="1">
        <v>0</v>
      </c>
      <c r="P248" s="1">
        <v>0</v>
      </c>
      <c r="Q248" s="55">
        <f t="shared" si="51"/>
        <v>0</v>
      </c>
      <c r="R248" s="55">
        <f t="shared" si="52"/>
        <v>0</v>
      </c>
    </row>
    <row r="249" spans="1:18" ht="15.75" customHeight="1" x14ac:dyDescent="0.3">
      <c r="A249" s="71" t="s">
        <v>194</v>
      </c>
      <c r="B249" s="1">
        <v>0</v>
      </c>
      <c r="C249" s="1">
        <v>0</v>
      </c>
      <c r="D249" s="1">
        <v>0</v>
      </c>
      <c r="E249" s="55">
        <f t="shared" si="48"/>
        <v>0</v>
      </c>
      <c r="F249" s="1">
        <v>0</v>
      </c>
      <c r="G249" s="1">
        <v>0</v>
      </c>
      <c r="H249" s="1">
        <v>0</v>
      </c>
      <c r="I249" s="55">
        <f t="shared" si="49"/>
        <v>0</v>
      </c>
      <c r="J249" s="1">
        <v>0</v>
      </c>
      <c r="K249" s="1">
        <v>0</v>
      </c>
      <c r="L249" s="1">
        <v>0</v>
      </c>
      <c r="M249" s="55">
        <f t="shared" si="50"/>
        <v>0</v>
      </c>
      <c r="N249" s="1">
        <v>0</v>
      </c>
      <c r="O249" s="1">
        <v>0</v>
      </c>
      <c r="P249" s="1">
        <v>0</v>
      </c>
      <c r="Q249" s="55">
        <f>SUM(N249:P249)</f>
        <v>0</v>
      </c>
      <c r="R249" s="55">
        <f>+E249+I249+M249+Q249</f>
        <v>0</v>
      </c>
    </row>
    <row r="250" spans="1:18" ht="15.75" customHeight="1" x14ac:dyDescent="0.3">
      <c r="A250" s="91" t="s">
        <v>195</v>
      </c>
      <c r="B250" s="1">
        <v>90</v>
      </c>
      <c r="C250" s="1">
        <v>92</v>
      </c>
      <c r="D250" s="1">
        <v>188</v>
      </c>
      <c r="E250" s="55">
        <f t="shared" si="48"/>
        <v>370</v>
      </c>
      <c r="F250" s="1">
        <v>133</v>
      </c>
      <c r="G250" s="1">
        <v>132</v>
      </c>
      <c r="H250" s="1">
        <v>278</v>
      </c>
      <c r="I250" s="55">
        <f t="shared" si="49"/>
        <v>543</v>
      </c>
      <c r="J250" s="1">
        <v>257</v>
      </c>
      <c r="K250" s="1">
        <v>198</v>
      </c>
      <c r="L250" s="1">
        <v>252</v>
      </c>
      <c r="M250" s="55">
        <f t="shared" si="50"/>
        <v>707</v>
      </c>
      <c r="N250" s="1">
        <v>235</v>
      </c>
      <c r="O250" s="1">
        <v>196</v>
      </c>
      <c r="P250" s="1">
        <v>77</v>
      </c>
      <c r="Q250" s="55">
        <f t="shared" si="51"/>
        <v>508</v>
      </c>
      <c r="R250" s="55">
        <f t="shared" si="52"/>
        <v>2128</v>
      </c>
    </row>
    <row r="251" spans="1:18" ht="15.75" customHeight="1" x14ac:dyDescent="0.3">
      <c r="A251" s="84" t="s">
        <v>196</v>
      </c>
      <c r="B251" s="1">
        <v>99649</v>
      </c>
      <c r="C251" s="1">
        <v>88679</v>
      </c>
      <c r="D251" s="1">
        <v>23780</v>
      </c>
      <c r="E251" s="55">
        <f t="shared" si="48"/>
        <v>212108</v>
      </c>
      <c r="F251" s="1">
        <v>0</v>
      </c>
      <c r="G251" s="1">
        <v>18160</v>
      </c>
      <c r="H251" s="1">
        <v>769</v>
      </c>
      <c r="I251" s="55">
        <f t="shared" si="49"/>
        <v>18929</v>
      </c>
      <c r="J251" s="1">
        <v>0</v>
      </c>
      <c r="K251" s="1">
        <v>0</v>
      </c>
      <c r="L251" s="1">
        <v>0</v>
      </c>
      <c r="M251" s="55">
        <f t="shared" si="50"/>
        <v>0</v>
      </c>
      <c r="N251" s="1">
        <v>25846</v>
      </c>
      <c r="O251" s="1">
        <v>91045</v>
      </c>
      <c r="P251" s="1">
        <v>20663</v>
      </c>
      <c r="Q251" s="55">
        <f t="shared" si="51"/>
        <v>137554</v>
      </c>
      <c r="R251" s="55">
        <f t="shared" si="52"/>
        <v>368591</v>
      </c>
    </row>
    <row r="252" spans="1:18" ht="15.75" customHeight="1" thickBot="1" x14ac:dyDescent="0.35">
      <c r="A252" s="39" t="s">
        <v>40</v>
      </c>
      <c r="B252" s="21">
        <v>104</v>
      </c>
      <c r="C252" s="21">
        <v>268</v>
      </c>
      <c r="D252" s="21">
        <v>474</v>
      </c>
      <c r="E252" s="55">
        <f t="shared" si="48"/>
        <v>846</v>
      </c>
      <c r="F252" s="21">
        <v>647</v>
      </c>
      <c r="G252" s="21">
        <v>742</v>
      </c>
      <c r="H252" s="21">
        <v>781</v>
      </c>
      <c r="I252" s="55">
        <f t="shared" si="49"/>
        <v>2170</v>
      </c>
      <c r="J252" s="21">
        <v>774</v>
      </c>
      <c r="K252" s="21">
        <v>596</v>
      </c>
      <c r="L252" s="21">
        <v>546</v>
      </c>
      <c r="M252" s="55">
        <f t="shared" si="50"/>
        <v>1916</v>
      </c>
      <c r="N252" s="21">
        <v>517</v>
      </c>
      <c r="O252" s="21">
        <v>413</v>
      </c>
      <c r="P252" s="21">
        <v>302</v>
      </c>
      <c r="Q252" s="55">
        <f t="shared" si="51"/>
        <v>1232</v>
      </c>
      <c r="R252" s="55">
        <f t="shared" si="52"/>
        <v>6164</v>
      </c>
    </row>
    <row r="253" spans="1:18" ht="15.75" customHeight="1" thickBot="1" x14ac:dyDescent="0.35">
      <c r="A253" s="74"/>
      <c r="B253" s="75"/>
      <c r="C253" s="75"/>
      <c r="D253" s="75"/>
      <c r="E253" s="60"/>
      <c r="F253" s="75"/>
      <c r="G253" s="75"/>
      <c r="H253" s="75"/>
      <c r="I253" s="59"/>
      <c r="J253" s="75"/>
      <c r="K253" s="75"/>
      <c r="L253" s="75"/>
      <c r="M253" s="59"/>
      <c r="N253" s="75"/>
      <c r="O253" s="75"/>
      <c r="P253" s="75"/>
      <c r="Q253" s="59"/>
      <c r="R253" s="59" t="s">
        <v>7</v>
      </c>
    </row>
    <row r="254" spans="1:18" ht="15.75" customHeight="1" x14ac:dyDescent="0.3">
      <c r="A254" s="76" t="s">
        <v>41</v>
      </c>
      <c r="B254" s="77">
        <f>SUM(B246:B252)</f>
        <v>120063</v>
      </c>
      <c r="C254" s="77">
        <f>SUM(C246:C252)</f>
        <v>107769</v>
      </c>
      <c r="D254" s="77">
        <f>SUM(D246:D252)</f>
        <v>52880</v>
      </c>
      <c r="E254" s="60">
        <f>SUM(B254:D254)</f>
        <v>280712</v>
      </c>
      <c r="F254" s="77">
        <f>SUM(F246:F252)</f>
        <v>36758</v>
      </c>
      <c r="G254" s="77">
        <f>SUM(G246:G252)</f>
        <v>55803</v>
      </c>
      <c r="H254" s="77">
        <f>SUM(H246:H252)</f>
        <v>41158</v>
      </c>
      <c r="I254" s="60">
        <f>SUM(F254:H254)</f>
        <v>133719</v>
      </c>
      <c r="J254" s="77">
        <f>SUM(J246:J252)</f>
        <v>43804</v>
      </c>
      <c r="K254" s="77">
        <f>SUM(K246:K252)</f>
        <v>39777</v>
      </c>
      <c r="L254" s="77">
        <f>SUM(L246:L252)</f>
        <v>37009</v>
      </c>
      <c r="M254" s="60">
        <f>SUM(J254:L254)</f>
        <v>120590</v>
      </c>
      <c r="N254" s="77">
        <f>SUM(N246:N252)</f>
        <v>61107</v>
      </c>
      <c r="O254" s="77">
        <f>SUM(O246:O252)</f>
        <v>120949</v>
      </c>
      <c r="P254" s="77">
        <f>SUM(P246:P252)</f>
        <v>41738</v>
      </c>
      <c r="Q254" s="92">
        <f>SUM(N254:P254)</f>
        <v>223794</v>
      </c>
      <c r="R254" s="60">
        <f>+E254+I254+M254+Q254</f>
        <v>758815</v>
      </c>
    </row>
    <row r="255" spans="1:18" ht="15.75" customHeight="1" x14ac:dyDescent="0.3">
      <c r="A255" s="79" t="s">
        <v>42</v>
      </c>
      <c r="B255" s="1">
        <f>(B254/31)/1.983</f>
        <v>1953.1013615733737</v>
      </c>
      <c r="C255" s="1">
        <f>(C254/28)/1.983</f>
        <v>1940.9444564512644</v>
      </c>
      <c r="D255" s="1">
        <f>(D254/31)/1.983</f>
        <v>860.21505376344078</v>
      </c>
      <c r="E255" s="55" t="s">
        <v>7</v>
      </c>
      <c r="F255" s="1">
        <f>(F254/30)/1.983</f>
        <v>617.88535888384604</v>
      </c>
      <c r="G255" s="1">
        <f>(G254/31)/1.983</f>
        <v>907.76438436386695</v>
      </c>
      <c r="H255" s="1">
        <f>(H254/30)/1.983</f>
        <v>691.84736930576571</v>
      </c>
      <c r="I255" s="55" t="s">
        <v>7</v>
      </c>
      <c r="J255" s="1">
        <f>(J254/31)/1.983</f>
        <v>712.57299952824815</v>
      </c>
      <c r="K255" s="1">
        <f>(K254/31)/1.983</f>
        <v>647.06456493094527</v>
      </c>
      <c r="L255" s="1">
        <f>(L254/30)/1.983</f>
        <v>622.1045553874601</v>
      </c>
      <c r="M255" s="55" t="s">
        <v>7</v>
      </c>
      <c r="N255" s="1">
        <f>(N254/31)/1.983</f>
        <v>994.04616660973113</v>
      </c>
      <c r="O255" s="1">
        <f>(O254/30)/1.983</f>
        <v>2033.0979996638089</v>
      </c>
      <c r="P255" s="1">
        <f>(P254/31)/1.983</f>
        <v>678.96474875148442</v>
      </c>
      <c r="Q255" s="93" t="s">
        <v>7</v>
      </c>
      <c r="R255" s="55" t="s">
        <v>7</v>
      </c>
    </row>
    <row r="256" spans="1:18" ht="15.75" customHeight="1" x14ac:dyDescent="0.3">
      <c r="A256" s="79" t="s">
        <v>197</v>
      </c>
      <c r="B256" s="1">
        <f>(+B254+B377)+B263</f>
        <v>149022</v>
      </c>
      <c r="C256" s="1">
        <f>(+C254+C377)+C263</f>
        <v>141844</v>
      </c>
      <c r="D256" s="1">
        <f>(+D254+D377)+D263</f>
        <v>145507</v>
      </c>
      <c r="E256" s="55">
        <f>SUM(B256:D256)</f>
        <v>436373</v>
      </c>
      <c r="F256" s="1">
        <f>(+F254+F377)+F263</f>
        <v>143209</v>
      </c>
      <c r="G256" s="1">
        <f>(+G254+G377)+G263</f>
        <v>149783</v>
      </c>
      <c r="H256" s="1">
        <f>(+H254+H377)+H263</f>
        <v>111347</v>
      </c>
      <c r="I256" s="55">
        <f>SUM(F256:H256)</f>
        <v>404339</v>
      </c>
      <c r="J256" s="1">
        <f>(+J254+J377)+J263</f>
        <v>72547</v>
      </c>
      <c r="K256" s="1">
        <f>(+K254+K377)+K263</f>
        <v>53960</v>
      </c>
      <c r="L256" s="1">
        <f>(+L254+L377)+L263</f>
        <v>80544</v>
      </c>
      <c r="M256" s="55">
        <f>SUM(J256:L256)</f>
        <v>207051</v>
      </c>
      <c r="N256" s="1">
        <f>(+N254+N377)+N263</f>
        <v>122471</v>
      </c>
      <c r="O256" s="1">
        <f>(+O254+O377)+O263</f>
        <v>152891</v>
      </c>
      <c r="P256" s="1">
        <f>(+P254+P377)+P263</f>
        <v>50048</v>
      </c>
      <c r="Q256" s="93">
        <f>SUM(N256:P256)</f>
        <v>325410</v>
      </c>
      <c r="R256" s="55">
        <f>+E256+I256+M256+Q256</f>
        <v>1373173</v>
      </c>
    </row>
    <row r="257" spans="1:18" ht="15.75" customHeight="1" thickBot="1" x14ac:dyDescent="0.35">
      <c r="A257" s="80" t="s">
        <v>198</v>
      </c>
      <c r="B257" s="25">
        <f>(B256/31)/1.983</f>
        <v>2424.1862281001413</v>
      </c>
      <c r="C257" s="25">
        <f>(C256/28)/1.983</f>
        <v>2554.643037245155</v>
      </c>
      <c r="D257" s="25">
        <f>(D256/31)/1.983</f>
        <v>2367.0066533274771</v>
      </c>
      <c r="E257" s="81" t="s">
        <v>7</v>
      </c>
      <c r="F257" s="25">
        <f>(F256/30)/1.983</f>
        <v>2407.2785342074299</v>
      </c>
      <c r="G257" s="25">
        <f>(G256/31)/1.983</f>
        <v>2436.5656467066842</v>
      </c>
      <c r="H257" s="25">
        <f>(H256/30)/1.983</f>
        <v>1871.6927214657924</v>
      </c>
      <c r="I257" s="81" t="s">
        <v>7</v>
      </c>
      <c r="J257" s="25">
        <f>(J256/31)/1.983</f>
        <v>1180.1441283164966</v>
      </c>
      <c r="K257" s="25">
        <f>(K256/31)/1.983</f>
        <v>877.78374245603766</v>
      </c>
      <c r="L257" s="25">
        <f>(L256/30)/1.983</f>
        <v>1353.9082198688855</v>
      </c>
      <c r="M257" s="81" t="s">
        <v>7</v>
      </c>
      <c r="N257" s="25">
        <f>(N256/30)/1.983</f>
        <v>2058.6821314506637</v>
      </c>
      <c r="O257" s="25">
        <f>(O256/30)/1.983</f>
        <v>2570.0285762312992</v>
      </c>
      <c r="P257" s="25">
        <f>(P256/31)/1.983</f>
        <v>814.14604785840936</v>
      </c>
      <c r="Q257" s="94" t="s">
        <v>7</v>
      </c>
      <c r="R257" s="81" t="s">
        <v>7</v>
      </c>
    </row>
    <row r="258" spans="1:18" ht="15.75" customHeight="1" thickBot="1" x14ac:dyDescent="0.35">
      <c r="A258" s="95" t="s">
        <v>199</v>
      </c>
      <c r="B258" s="96">
        <f>+(B256-(B142+B144+B145+B169+B172+B173+B180+B187+B188+B189+B190+B224+B225+B226+B228+B231+B232+B235+B236+B247+B251+B259)-B263)/(31*1.983)</f>
        <v>692.6130170969368</v>
      </c>
      <c r="C258" s="96">
        <f>+(C256-(C142+C144+C145+C169+C172+C173+C180+C187+C188+C189+C190+C224+C225+C226+C228+C231+C232+C235+C236+C247+C251+C259)-C263)/(31*1.983)</f>
        <v>709.31953865924868</v>
      </c>
      <c r="D258" s="96">
        <f>+(D256-(D142+D144+D145+D169+D172+D173+D180+D187+D188+D189+D190+D224+D225+D226+D228+D231+D232+D235+D236+D247+D251+D259)-D263)/(31*1.983)</f>
        <v>1732.2564377856943</v>
      </c>
      <c r="E258" s="97"/>
      <c r="F258" s="96">
        <f>+(F256-(F142+F144+F145+F169+F172+F173+F180+F187+F188+F189+F190+F224+F225+F226+F228+F231+F232+F235+F236+F247+F251+F259)-F263)/(31*1.983)</f>
        <v>2284.1084703853721</v>
      </c>
      <c r="G258" s="96">
        <f>+(G256-(G142+G144+G145+G169+G172+G173+G180+G187+G188+G189+G190+G224+G225+G226+G228+G231+G232+G235+G236+G247+G251+G259)-G263)/(31*1.983)</f>
        <v>2057.472386250874</v>
      </c>
      <c r="H258" s="96">
        <f>+(H256-(H142+H144+H145+H169+H172+H173+H180+H187+H188+H189+H190+H224+H225+H226+H228+H231+H232+H235+H236+H247+H251+H259)-H263)/(31*1.983)</f>
        <v>2551.7544287736077</v>
      </c>
      <c r="I258" s="97"/>
      <c r="J258" s="96">
        <f>+(J256-(J142+J144+J145+J169+J172+J173+J180+J187+J188+J189+J190+J224+J225+J226+J228+J231+J232+J235+J236+J247+J251+J259)-J263)/(31*1.983)</f>
        <v>2470.7432531355225</v>
      </c>
      <c r="K258" s="96">
        <f>+(K256-(K142+K144+K145+K169+K172+K173+K180+K187+K188+K189+K190+K224+K225+K226+K228+K231+K232+K235+K236+K247+K251+K259)-K263)/(31*1.983)</f>
        <v>2731.1827956989246</v>
      </c>
      <c r="L258" s="96">
        <f>+(L256-(L142+L144+L145+L169+L172+L173+L180+L187+L188+L189+L190+L224+L225+L226+L228+L231+L232+L235+L236+L247+L251+L259)-L263)/(31*1.983)</f>
        <v>1982.772924698648</v>
      </c>
      <c r="M258" s="97"/>
      <c r="N258" s="96">
        <f>+(N256-(N142+N144+N145+N169+N172+N173+N180+N187+N188+N189+N190+N224+N225+N226+N228+N231+N232+N235+N236+N247+N251+N259)-N263)/(31*1.983)</f>
        <v>1405.3324223642899</v>
      </c>
      <c r="O258" s="96">
        <f>+(O256-(O142+O144+O145+O169+O172+O173+O180+O187+O188+O189+O190+O224+O225+O226+O228+O231+O232+O235+O236+O247+O251+O259)-O263)/(31*1.983)</f>
        <v>834.88686089828047</v>
      </c>
      <c r="P258" s="96">
        <f>+(P256-(P142+P144+P145+P169+P172+P173+P180+P187+P188+P189+P190+P224+P225+P226+P228+P231+P232+P235+P236+P247+P251+P259)-P263)/(31*1.983)</f>
        <v>715.71258926683254</v>
      </c>
      <c r="Q258" s="98"/>
      <c r="R258" s="97"/>
    </row>
    <row r="259" spans="1:18" ht="15.75" customHeight="1" x14ac:dyDescent="0.35">
      <c r="A259" s="99" t="s">
        <v>200</v>
      </c>
      <c r="B259" s="1">
        <v>3805</v>
      </c>
      <c r="C259" s="1">
        <v>3360</v>
      </c>
      <c r="D259" s="1">
        <v>3720</v>
      </c>
      <c r="E259" s="1"/>
      <c r="F259" s="1">
        <v>3600</v>
      </c>
      <c r="G259" s="1">
        <v>3720</v>
      </c>
      <c r="H259" s="1">
        <v>3600</v>
      </c>
      <c r="I259" s="1"/>
      <c r="J259" s="1">
        <v>3720</v>
      </c>
      <c r="K259" s="1">
        <v>3805</v>
      </c>
      <c r="L259" s="1">
        <v>3683</v>
      </c>
      <c r="M259" s="1"/>
      <c r="N259" s="1">
        <v>3805</v>
      </c>
      <c r="O259" s="1">
        <v>3683</v>
      </c>
      <c r="P259" s="1">
        <v>3805</v>
      </c>
      <c r="Q259" s="1"/>
      <c r="R259" s="2"/>
    </row>
    <row r="260" spans="1:18" ht="15.75" customHeight="1" thickBot="1" x14ac:dyDescent="0.35">
      <c r="A260" s="28"/>
      <c r="B260" s="1"/>
      <c r="C260" s="1"/>
      <c r="D260" s="1"/>
      <c r="E260" s="1"/>
      <c r="F260" s="1"/>
      <c r="G260" s="1"/>
      <c r="H260" s="1"/>
      <c r="I260" s="1"/>
      <c r="J260" s="1"/>
      <c r="K260" s="1"/>
      <c r="L260" s="1"/>
      <c r="M260" s="1"/>
      <c r="N260" s="1"/>
      <c r="O260" s="1"/>
      <c r="P260" s="1"/>
      <c r="Q260" s="1"/>
      <c r="R260" s="2"/>
    </row>
    <row r="261" spans="1:18" ht="15.75" customHeight="1" thickBot="1" x14ac:dyDescent="0.35">
      <c r="A261" s="29" t="s">
        <v>201</v>
      </c>
      <c r="B261" s="30" t="s">
        <v>8</v>
      </c>
      <c r="C261" s="31" t="s">
        <v>9</v>
      </c>
      <c r="D261" s="31" t="s">
        <v>10</v>
      </c>
      <c r="E261" s="32" t="s">
        <v>11</v>
      </c>
      <c r="F261" s="31" t="s">
        <v>12</v>
      </c>
      <c r="G261" s="31" t="s">
        <v>13</v>
      </c>
      <c r="H261" s="31" t="s">
        <v>14</v>
      </c>
      <c r="I261" s="33" t="s">
        <v>15</v>
      </c>
      <c r="J261" s="31" t="s">
        <v>16</v>
      </c>
      <c r="K261" s="31" t="s">
        <v>17</v>
      </c>
      <c r="L261" s="31" t="s">
        <v>18</v>
      </c>
      <c r="M261" s="33" t="s">
        <v>19</v>
      </c>
      <c r="N261" s="31" t="s">
        <v>20</v>
      </c>
      <c r="O261" s="31" t="s">
        <v>21</v>
      </c>
      <c r="P261" s="31" t="s">
        <v>22</v>
      </c>
      <c r="Q261" s="33" t="s">
        <v>23</v>
      </c>
      <c r="R261" s="34" t="s">
        <v>24</v>
      </c>
    </row>
    <row r="262" spans="1:18" ht="15.75" customHeight="1" thickBot="1" x14ac:dyDescent="0.35">
      <c r="A262" s="74"/>
      <c r="B262" s="75"/>
      <c r="C262" s="75"/>
      <c r="D262" s="75"/>
      <c r="E262" s="82"/>
      <c r="F262" s="75"/>
      <c r="G262" s="75"/>
      <c r="H262" s="75"/>
      <c r="I262" s="82"/>
      <c r="J262" s="75"/>
      <c r="K262" s="75"/>
      <c r="L262" s="75"/>
      <c r="M262" s="82"/>
      <c r="N262" s="75"/>
      <c r="O262" s="75"/>
      <c r="P262" s="75"/>
      <c r="Q262" s="82"/>
      <c r="R262" s="100"/>
    </row>
    <row r="263" spans="1:18" ht="15.75" customHeight="1" thickBot="1" x14ac:dyDescent="0.35">
      <c r="A263" s="71" t="s">
        <v>202</v>
      </c>
      <c r="B263" s="1">
        <v>0</v>
      </c>
      <c r="C263" s="1">
        <v>0</v>
      </c>
      <c r="D263" s="1">
        <v>-81</v>
      </c>
      <c r="E263" s="55">
        <f>SUM(B263:D263)</f>
        <v>-81</v>
      </c>
      <c r="F263" s="1">
        <v>-11920</v>
      </c>
      <c r="G263" s="1">
        <v>-8248</v>
      </c>
      <c r="H263" s="1">
        <v>-60264</v>
      </c>
      <c r="I263" s="55">
        <f>SUM(F263:H263)</f>
        <v>-80432</v>
      </c>
      <c r="J263" s="1">
        <v>-92679</v>
      </c>
      <c r="K263" s="1">
        <v>-129383</v>
      </c>
      <c r="L263" s="1">
        <v>-54211</v>
      </c>
      <c r="M263" s="55">
        <f>SUM(J263:L263)</f>
        <v>-276273</v>
      </c>
      <c r="N263" s="1">
        <v>-1553</v>
      </c>
      <c r="O263" s="1">
        <v>0</v>
      </c>
      <c r="P263" s="1">
        <v>-22642</v>
      </c>
      <c r="Q263" s="55">
        <f>SUM(N263:P263)</f>
        <v>-24195</v>
      </c>
      <c r="R263" s="55">
        <f>+E263+I263+M263+Q263</f>
        <v>-380981</v>
      </c>
    </row>
    <row r="264" spans="1:18" ht="15.75" customHeight="1" thickBot="1" x14ac:dyDescent="0.35">
      <c r="A264" s="101"/>
      <c r="B264" s="102"/>
      <c r="C264" s="102"/>
      <c r="D264" s="102"/>
      <c r="E264" s="103"/>
      <c r="F264" s="102"/>
      <c r="G264" s="102"/>
      <c r="H264" s="102"/>
      <c r="I264" s="103"/>
      <c r="J264" s="102"/>
      <c r="K264" s="102"/>
      <c r="L264" s="102"/>
      <c r="M264" s="103"/>
      <c r="N264" s="102"/>
      <c r="O264" s="102"/>
      <c r="P264" s="102"/>
      <c r="Q264" s="103"/>
      <c r="R264" s="104"/>
    </row>
    <row r="265" spans="1:18" ht="15.75" customHeight="1" x14ac:dyDescent="0.3">
      <c r="A265" s="15" t="s">
        <v>32</v>
      </c>
      <c r="B265" s="1">
        <f>B263</f>
        <v>0</v>
      </c>
      <c r="C265" s="1">
        <f>C263</f>
        <v>0</v>
      </c>
      <c r="D265" s="1">
        <f>D263</f>
        <v>-81</v>
      </c>
      <c r="E265" s="55">
        <f>SUM(B265:D265)</f>
        <v>-81</v>
      </c>
      <c r="F265" s="1">
        <f>F263</f>
        <v>-11920</v>
      </c>
      <c r="G265" s="1">
        <f>G263</f>
        <v>-8248</v>
      </c>
      <c r="H265" s="1">
        <f>H263</f>
        <v>-60264</v>
      </c>
      <c r="I265" s="55">
        <f>SUM(F265:H265)</f>
        <v>-80432</v>
      </c>
      <c r="J265" s="1">
        <f>J263</f>
        <v>-92679</v>
      </c>
      <c r="K265" s="1">
        <f>K263</f>
        <v>-129383</v>
      </c>
      <c r="L265" s="1">
        <f>L263</f>
        <v>-54211</v>
      </c>
      <c r="M265" s="55">
        <f>SUM(J265:L265)</f>
        <v>-276273</v>
      </c>
      <c r="N265" s="1">
        <f>N263</f>
        <v>-1553</v>
      </c>
      <c r="O265" s="1">
        <f>O263</f>
        <v>0</v>
      </c>
      <c r="P265" s="1">
        <f>P263</f>
        <v>-22642</v>
      </c>
      <c r="Q265" s="55">
        <f>SUM(N265:P265)</f>
        <v>-24195</v>
      </c>
      <c r="R265" s="105">
        <f>R263</f>
        <v>-380981</v>
      </c>
    </row>
    <row r="266" spans="1:18" ht="15.75" customHeight="1" thickBot="1" x14ac:dyDescent="0.35">
      <c r="A266" s="20" t="s">
        <v>42</v>
      </c>
      <c r="B266" s="21">
        <f>(B265/31)/1.983</f>
        <v>0</v>
      </c>
      <c r="C266" s="21">
        <f>(C265/28)/1.983</f>
        <v>0</v>
      </c>
      <c r="D266" s="21">
        <f>(D265/31)/1.983</f>
        <v>-1.3176516519447561</v>
      </c>
      <c r="E266" s="81"/>
      <c r="F266" s="21">
        <f>(F265/30)/1.983</f>
        <v>-200.36981005210959</v>
      </c>
      <c r="G266" s="21">
        <f>(G265/31)/1.983</f>
        <v>-134.17272623753516</v>
      </c>
      <c r="H266" s="21">
        <f>(H265/30)/1.983</f>
        <v>-1013.0105900151285</v>
      </c>
      <c r="I266" s="81"/>
      <c r="J266" s="21">
        <f>(J265/31)/1.983</f>
        <v>-1507.637499389976</v>
      </c>
      <c r="K266" s="21">
        <f>(K265/31)/1.983</f>
        <v>-2104.7126380687455</v>
      </c>
      <c r="L266" s="21">
        <f>(L265/30)/1.983</f>
        <v>-911.26239704151953</v>
      </c>
      <c r="M266" s="81"/>
      <c r="N266" s="21">
        <f>(N265/31)/1.983</f>
        <v>-25.263123647780322</v>
      </c>
      <c r="O266" s="21">
        <f>(O265/30)/1.983</f>
        <v>0</v>
      </c>
      <c r="P266" s="21">
        <f>(P265/31)/1.983</f>
        <v>-368.32430497942181</v>
      </c>
      <c r="Q266" s="81"/>
      <c r="R266" s="100" t="s">
        <v>7</v>
      </c>
    </row>
    <row r="267" spans="1:18" ht="15.75" customHeight="1" x14ac:dyDescent="0.3">
      <c r="A267" s="2"/>
      <c r="B267" s="1"/>
      <c r="C267" s="1"/>
      <c r="D267" s="1"/>
      <c r="E267" s="1"/>
      <c r="F267" s="1"/>
      <c r="G267" s="1"/>
      <c r="H267" s="1"/>
      <c r="I267" s="1"/>
      <c r="J267" s="1"/>
      <c r="K267" s="1"/>
      <c r="L267" s="1"/>
      <c r="M267" s="1"/>
      <c r="N267" s="1"/>
      <c r="O267" s="1"/>
      <c r="P267" s="1"/>
      <c r="Q267" s="1"/>
      <c r="R267" s="2"/>
    </row>
    <row r="268" spans="1:18" ht="15.75" customHeight="1" thickBot="1" x14ac:dyDescent="0.35">
      <c r="A268" s="106"/>
      <c r="B268" s="21"/>
      <c r="C268" s="21"/>
      <c r="D268" s="21"/>
      <c r="E268" s="21"/>
      <c r="F268" s="21"/>
      <c r="G268" s="21"/>
      <c r="H268" s="21"/>
      <c r="I268" s="21"/>
      <c r="J268" s="21"/>
      <c r="K268" s="21"/>
      <c r="L268" s="21"/>
      <c r="M268" s="21"/>
      <c r="N268" s="21"/>
      <c r="O268" s="21"/>
      <c r="P268" s="21"/>
      <c r="Q268" s="21"/>
      <c r="R268" s="106"/>
    </row>
    <row r="269" spans="1:18" ht="15.75" customHeight="1" thickBot="1" x14ac:dyDescent="0.35">
      <c r="A269" s="107" t="s">
        <v>203</v>
      </c>
      <c r="B269" s="30" t="s">
        <v>8</v>
      </c>
      <c r="C269" s="31" t="s">
        <v>9</v>
      </c>
      <c r="D269" s="31" t="s">
        <v>10</v>
      </c>
      <c r="E269" s="32" t="s">
        <v>11</v>
      </c>
      <c r="F269" s="31" t="s">
        <v>12</v>
      </c>
      <c r="G269" s="31" t="s">
        <v>13</v>
      </c>
      <c r="H269" s="31" t="s">
        <v>14</v>
      </c>
      <c r="I269" s="33" t="s">
        <v>15</v>
      </c>
      <c r="J269" s="31" t="s">
        <v>16</v>
      </c>
      <c r="K269" s="31" t="s">
        <v>17</v>
      </c>
      <c r="L269" s="31" t="s">
        <v>18</v>
      </c>
      <c r="M269" s="33" t="s">
        <v>19</v>
      </c>
      <c r="N269" s="31" t="s">
        <v>20</v>
      </c>
      <c r="O269" s="31" t="s">
        <v>21</v>
      </c>
      <c r="P269" s="31" t="s">
        <v>22</v>
      </c>
      <c r="Q269" s="33" t="s">
        <v>23</v>
      </c>
      <c r="R269" s="34" t="s">
        <v>24</v>
      </c>
    </row>
    <row r="270" spans="1:18" ht="15.75" customHeight="1" thickBot="1" x14ac:dyDescent="0.35">
      <c r="A270" s="59"/>
      <c r="B270" s="75"/>
      <c r="C270" s="75"/>
      <c r="D270" s="75"/>
      <c r="E270" s="69"/>
      <c r="F270" s="75"/>
      <c r="G270" s="75"/>
      <c r="H270" s="75"/>
      <c r="I270" s="82"/>
      <c r="J270" s="75"/>
      <c r="K270" s="75"/>
      <c r="L270" s="75"/>
      <c r="M270" s="82"/>
      <c r="N270" s="75"/>
      <c r="O270" s="75"/>
      <c r="P270" s="75"/>
      <c r="Q270" s="82"/>
      <c r="R270" s="100"/>
    </row>
    <row r="271" spans="1:18" ht="15.75" customHeight="1" x14ac:dyDescent="0.3">
      <c r="A271" s="15" t="s">
        <v>48</v>
      </c>
      <c r="B271" s="1" t="s">
        <v>7</v>
      </c>
      <c r="C271" s="1" t="s">
        <v>7</v>
      </c>
      <c r="D271" s="1" t="s">
        <v>7</v>
      </c>
      <c r="E271" s="55" t="s">
        <v>7</v>
      </c>
      <c r="F271" s="1" t="s">
        <v>7</v>
      </c>
      <c r="G271" s="1" t="s">
        <v>7</v>
      </c>
      <c r="H271" s="1" t="s">
        <v>7</v>
      </c>
      <c r="I271" s="55" t="s">
        <v>7</v>
      </c>
      <c r="J271" s="1" t="s">
        <v>7</v>
      </c>
      <c r="K271" s="1" t="s">
        <v>7</v>
      </c>
      <c r="L271" s="1" t="s">
        <v>7</v>
      </c>
      <c r="M271" s="55" t="s">
        <v>7</v>
      </c>
      <c r="N271" s="1" t="s">
        <v>7</v>
      </c>
      <c r="O271" s="1" t="s">
        <v>7</v>
      </c>
      <c r="P271" s="1" t="s">
        <v>7</v>
      </c>
      <c r="Q271" s="55" t="s">
        <v>7</v>
      </c>
      <c r="R271" s="55" t="s">
        <v>7</v>
      </c>
    </row>
    <row r="272" spans="1:18" ht="15.75" customHeight="1" x14ac:dyDescent="0.3">
      <c r="A272" s="15" t="s">
        <v>49</v>
      </c>
      <c r="B272" s="1"/>
      <c r="C272" s="1"/>
      <c r="D272" s="1"/>
      <c r="E272" s="55" t="s">
        <v>7</v>
      </c>
      <c r="F272" s="1"/>
      <c r="G272" s="1"/>
      <c r="H272" s="1"/>
      <c r="I272" s="55" t="s">
        <v>7</v>
      </c>
      <c r="J272" s="1"/>
      <c r="K272" s="1"/>
      <c r="L272" s="1"/>
      <c r="M272" s="55" t="s">
        <v>7</v>
      </c>
      <c r="N272" s="1"/>
      <c r="O272" s="1"/>
      <c r="P272" s="1"/>
      <c r="Q272" s="55" t="s">
        <v>7</v>
      </c>
      <c r="R272" s="55" t="s">
        <v>7</v>
      </c>
    </row>
    <row r="273" spans="1:20" ht="15.75" customHeight="1" x14ac:dyDescent="0.3">
      <c r="A273" s="72" t="s">
        <v>204</v>
      </c>
      <c r="B273" s="1">
        <v>43</v>
      </c>
      <c r="C273" s="108">
        <v>45</v>
      </c>
      <c r="D273" s="1">
        <v>37</v>
      </c>
      <c r="E273" s="55">
        <f>SUM(B273:D273)</f>
        <v>125</v>
      </c>
      <c r="F273" s="1">
        <v>35</v>
      </c>
      <c r="G273" s="1">
        <v>37</v>
      </c>
      <c r="H273" s="1">
        <v>39</v>
      </c>
      <c r="I273" s="55">
        <f>SUM(F273:H273)</f>
        <v>111</v>
      </c>
      <c r="J273" s="1">
        <v>43</v>
      </c>
      <c r="K273" s="1">
        <v>37</v>
      </c>
      <c r="L273" s="1">
        <v>35</v>
      </c>
      <c r="M273" s="55">
        <f>SUM(J273:L273)</f>
        <v>115</v>
      </c>
      <c r="N273" s="1">
        <v>38</v>
      </c>
      <c r="O273" s="1">
        <v>38</v>
      </c>
      <c r="P273" s="1">
        <v>49</v>
      </c>
      <c r="Q273" s="55">
        <f>SUM(N273:P273)</f>
        <v>125</v>
      </c>
      <c r="R273" s="55">
        <f>+E273+I273+M273+Q273</f>
        <v>476</v>
      </c>
      <c r="T273" s="4" t="s">
        <v>205</v>
      </c>
    </row>
    <row r="274" spans="1:20" ht="15.75" customHeight="1" x14ac:dyDescent="0.3">
      <c r="A274" s="71" t="s">
        <v>111</v>
      </c>
      <c r="B274" s="1">
        <v>9</v>
      </c>
      <c r="C274" s="1">
        <v>7</v>
      </c>
      <c r="D274" s="1">
        <v>23</v>
      </c>
      <c r="E274" s="55">
        <f>SUM(B274:D274)</f>
        <v>39</v>
      </c>
      <c r="F274" s="1">
        <v>17</v>
      </c>
      <c r="G274" s="1">
        <v>17</v>
      </c>
      <c r="H274" s="1">
        <v>14</v>
      </c>
      <c r="I274" s="55">
        <f>SUM(F274:H274)</f>
        <v>48</v>
      </c>
      <c r="J274" s="1">
        <v>2</v>
      </c>
      <c r="K274" s="1">
        <v>0</v>
      </c>
      <c r="L274" s="1">
        <v>0</v>
      </c>
      <c r="M274" s="55">
        <f>SUM(J274:L274)</f>
        <v>2</v>
      </c>
      <c r="N274" s="1">
        <v>0</v>
      </c>
      <c r="O274" s="1">
        <v>0</v>
      </c>
      <c r="P274" s="1">
        <v>0</v>
      </c>
      <c r="Q274" s="55">
        <f>SUM(N274:P274)</f>
        <v>0</v>
      </c>
      <c r="R274" s="55">
        <f>+E274+I274+M274+Q274</f>
        <v>89</v>
      </c>
      <c r="T274" s="4" t="s">
        <v>206</v>
      </c>
    </row>
    <row r="275" spans="1:20" ht="15.75" customHeight="1" x14ac:dyDescent="0.3">
      <c r="A275" s="72" t="s">
        <v>207</v>
      </c>
      <c r="B275" s="1">
        <v>172</v>
      </c>
      <c r="C275" s="1">
        <v>326</v>
      </c>
      <c r="D275" s="1">
        <v>536</v>
      </c>
      <c r="E275" s="55">
        <f t="shared" ref="E275:E283" si="53">SUM(B275:D275)</f>
        <v>1034</v>
      </c>
      <c r="F275" s="1">
        <v>437</v>
      </c>
      <c r="G275" s="1">
        <v>382</v>
      </c>
      <c r="H275" s="1">
        <v>717</v>
      </c>
      <c r="I275" s="55">
        <f t="shared" ref="I275:I283" si="54">SUM(F275:H275)</f>
        <v>1536</v>
      </c>
      <c r="J275" s="1">
        <v>718</v>
      </c>
      <c r="K275" s="1">
        <v>648</v>
      </c>
      <c r="L275" s="1">
        <v>615</v>
      </c>
      <c r="M275" s="55">
        <f t="shared" ref="M275:M283" si="55">SUM(J275:L275)</f>
        <v>1981</v>
      </c>
      <c r="N275" s="1">
        <v>746</v>
      </c>
      <c r="O275" s="1">
        <v>471</v>
      </c>
      <c r="P275" s="1">
        <v>228</v>
      </c>
      <c r="Q275" s="55">
        <f t="shared" ref="Q275:Q283" si="56">SUM(N275:P275)</f>
        <v>1445</v>
      </c>
      <c r="R275" s="55">
        <f t="shared" ref="R275:R283" si="57">+E275+I275+M275+Q275</f>
        <v>5996</v>
      </c>
      <c r="T275" s="4" t="s">
        <v>205</v>
      </c>
    </row>
    <row r="276" spans="1:20" ht="15.75" customHeight="1" x14ac:dyDescent="0.3">
      <c r="A276" s="72" t="s">
        <v>208</v>
      </c>
      <c r="B276" s="1">
        <v>137</v>
      </c>
      <c r="C276" s="1">
        <v>97</v>
      </c>
      <c r="D276" s="1">
        <v>109</v>
      </c>
      <c r="E276" s="55">
        <f t="shared" si="53"/>
        <v>343</v>
      </c>
      <c r="F276" s="1">
        <v>183</v>
      </c>
      <c r="G276" s="1">
        <v>173</v>
      </c>
      <c r="H276" s="1">
        <v>210</v>
      </c>
      <c r="I276" s="55">
        <f t="shared" si="54"/>
        <v>566</v>
      </c>
      <c r="J276" s="1">
        <v>213</v>
      </c>
      <c r="K276" s="1">
        <v>231</v>
      </c>
      <c r="L276" s="1">
        <v>223</v>
      </c>
      <c r="M276" s="55">
        <f t="shared" si="55"/>
        <v>667</v>
      </c>
      <c r="N276" s="1">
        <v>206</v>
      </c>
      <c r="O276" s="1">
        <v>182</v>
      </c>
      <c r="P276" s="1">
        <v>89</v>
      </c>
      <c r="Q276" s="55">
        <f t="shared" si="56"/>
        <v>477</v>
      </c>
      <c r="R276" s="55">
        <f t="shared" si="57"/>
        <v>2053</v>
      </c>
      <c r="T276" s="4" t="s">
        <v>209</v>
      </c>
    </row>
    <row r="277" spans="1:20" ht="15.75" customHeight="1" x14ac:dyDescent="0.3">
      <c r="A277" s="72" t="s">
        <v>116</v>
      </c>
      <c r="B277" s="1">
        <v>0</v>
      </c>
      <c r="C277" s="1">
        <v>0</v>
      </c>
      <c r="D277" s="1">
        <v>0</v>
      </c>
      <c r="E277" s="55">
        <f t="shared" si="53"/>
        <v>0</v>
      </c>
      <c r="F277" s="1">
        <v>0</v>
      </c>
      <c r="G277" s="1">
        <v>0</v>
      </c>
      <c r="H277" s="1">
        <v>0</v>
      </c>
      <c r="I277" s="55">
        <f t="shared" si="54"/>
        <v>0</v>
      </c>
      <c r="J277" s="1">
        <v>0</v>
      </c>
      <c r="K277" s="1">
        <v>0</v>
      </c>
      <c r="L277" s="1">
        <v>0</v>
      </c>
      <c r="M277" s="55">
        <f t="shared" si="55"/>
        <v>0</v>
      </c>
      <c r="N277" s="1">
        <v>210</v>
      </c>
      <c r="O277" s="1">
        <v>262</v>
      </c>
      <c r="P277" s="1">
        <v>301</v>
      </c>
      <c r="Q277" s="55">
        <f t="shared" si="56"/>
        <v>773</v>
      </c>
      <c r="R277" s="55">
        <f t="shared" si="57"/>
        <v>773</v>
      </c>
      <c r="T277" s="4" t="s">
        <v>210</v>
      </c>
    </row>
    <row r="278" spans="1:20" ht="15.75" customHeight="1" x14ac:dyDescent="0.3">
      <c r="A278" s="72" t="s">
        <v>211</v>
      </c>
      <c r="B278" s="1">
        <v>0</v>
      </c>
      <c r="C278" s="1">
        <v>0</v>
      </c>
      <c r="D278" s="1">
        <v>35</v>
      </c>
      <c r="E278" s="55">
        <f t="shared" si="53"/>
        <v>35</v>
      </c>
      <c r="F278" s="1">
        <v>40</v>
      </c>
      <c r="G278" s="1">
        <v>62</v>
      </c>
      <c r="H278" s="1">
        <v>1646</v>
      </c>
      <c r="I278" s="55">
        <f t="shared" si="54"/>
        <v>1748</v>
      </c>
      <c r="J278" s="1">
        <v>70</v>
      </c>
      <c r="K278" s="1">
        <v>65</v>
      </c>
      <c r="L278" s="1">
        <v>34</v>
      </c>
      <c r="M278" s="55">
        <f t="shared" si="55"/>
        <v>169</v>
      </c>
      <c r="N278" s="1">
        <v>90</v>
      </c>
      <c r="O278" s="1">
        <v>27</v>
      </c>
      <c r="P278" s="1">
        <v>11</v>
      </c>
      <c r="Q278" s="55">
        <f t="shared" si="56"/>
        <v>128</v>
      </c>
      <c r="R278" s="55">
        <f t="shared" si="57"/>
        <v>2080</v>
      </c>
      <c r="T278" s="4" t="s">
        <v>209</v>
      </c>
    </row>
    <row r="279" spans="1:20" ht="15.75" customHeight="1" x14ac:dyDescent="0.3">
      <c r="A279" s="72" t="s">
        <v>212</v>
      </c>
      <c r="B279" s="1">
        <v>0</v>
      </c>
      <c r="C279" s="1">
        <v>0</v>
      </c>
      <c r="D279" s="1">
        <v>0</v>
      </c>
      <c r="E279" s="55">
        <f t="shared" si="53"/>
        <v>0</v>
      </c>
      <c r="F279" s="1">
        <v>0</v>
      </c>
      <c r="G279" s="1">
        <v>0</v>
      </c>
      <c r="H279" s="1">
        <v>2048</v>
      </c>
      <c r="I279" s="55">
        <f t="shared" si="54"/>
        <v>2048</v>
      </c>
      <c r="J279" s="1">
        <v>0</v>
      </c>
      <c r="K279" s="1">
        <v>0</v>
      </c>
      <c r="L279" s="1">
        <v>0</v>
      </c>
      <c r="M279" s="55">
        <f t="shared" si="55"/>
        <v>0</v>
      </c>
      <c r="N279" s="1">
        <v>0</v>
      </c>
      <c r="O279" s="1">
        <v>0</v>
      </c>
      <c r="P279" s="1">
        <v>0</v>
      </c>
      <c r="Q279" s="55">
        <f t="shared" si="56"/>
        <v>0</v>
      </c>
      <c r="R279" s="55">
        <f t="shared" si="57"/>
        <v>2048</v>
      </c>
      <c r="T279" s="4" t="s">
        <v>209</v>
      </c>
    </row>
    <row r="280" spans="1:20" ht="15.75" customHeight="1" x14ac:dyDescent="0.3">
      <c r="A280" s="72" t="s">
        <v>118</v>
      </c>
      <c r="B280" s="1">
        <v>0</v>
      </c>
      <c r="C280" s="1">
        <v>0</v>
      </c>
      <c r="D280" s="1">
        <v>0</v>
      </c>
      <c r="E280" s="55">
        <f t="shared" si="53"/>
        <v>0</v>
      </c>
      <c r="F280" s="1">
        <v>0</v>
      </c>
      <c r="G280" s="1">
        <v>0</v>
      </c>
      <c r="H280" s="1">
        <v>0</v>
      </c>
      <c r="I280" s="55">
        <f t="shared" si="54"/>
        <v>0</v>
      </c>
      <c r="J280" s="1">
        <v>0</v>
      </c>
      <c r="K280" s="1">
        <v>0</v>
      </c>
      <c r="L280" s="1">
        <v>0</v>
      </c>
      <c r="M280" s="55">
        <f t="shared" si="55"/>
        <v>0</v>
      </c>
      <c r="N280" s="1">
        <v>0</v>
      </c>
      <c r="O280" s="1">
        <v>0</v>
      </c>
      <c r="P280" s="1">
        <v>0</v>
      </c>
      <c r="Q280" s="55">
        <f t="shared" si="56"/>
        <v>0</v>
      </c>
      <c r="R280" s="55">
        <f t="shared" si="57"/>
        <v>0</v>
      </c>
      <c r="T280" s="4" t="s">
        <v>210</v>
      </c>
    </row>
    <row r="281" spans="1:20" ht="15.75" customHeight="1" x14ac:dyDescent="0.3">
      <c r="A281" s="72" t="s">
        <v>213</v>
      </c>
      <c r="B281" s="1">
        <v>9</v>
      </c>
      <c r="C281" s="1">
        <v>10</v>
      </c>
      <c r="D281" s="1">
        <v>59</v>
      </c>
      <c r="E281" s="55">
        <f>SUM(B281:D281)</f>
        <v>78</v>
      </c>
      <c r="F281" s="1">
        <v>69</v>
      </c>
      <c r="G281" s="1">
        <v>0</v>
      </c>
      <c r="H281" s="1">
        <v>0</v>
      </c>
      <c r="I281" s="55">
        <f>SUM(F281:H281)</f>
        <v>69</v>
      </c>
      <c r="J281" s="1">
        <v>0</v>
      </c>
      <c r="K281" s="1">
        <v>0</v>
      </c>
      <c r="L281" s="1">
        <v>0</v>
      </c>
      <c r="M281" s="55">
        <f>SUM(J281:L281)</f>
        <v>0</v>
      </c>
      <c r="N281" s="1">
        <v>0</v>
      </c>
      <c r="O281" s="1">
        <v>0</v>
      </c>
      <c r="P281" s="1">
        <v>0</v>
      </c>
      <c r="Q281" s="55">
        <f>SUM(N281:P281)</f>
        <v>0</v>
      </c>
      <c r="R281" s="55">
        <f>+E281+I281+M281+Q281</f>
        <v>147</v>
      </c>
      <c r="T281" s="4" t="s">
        <v>214</v>
      </c>
    </row>
    <row r="282" spans="1:20" ht="15.75" customHeight="1" x14ac:dyDescent="0.3">
      <c r="A282" s="72" t="s">
        <v>215</v>
      </c>
      <c r="B282" s="1">
        <v>2525</v>
      </c>
      <c r="C282" s="1">
        <v>2010</v>
      </c>
      <c r="D282" s="1">
        <v>389</v>
      </c>
      <c r="E282" s="55">
        <f t="shared" si="53"/>
        <v>4924</v>
      </c>
      <c r="F282" s="1">
        <v>0</v>
      </c>
      <c r="G282" s="1">
        <v>2483</v>
      </c>
      <c r="H282" s="1">
        <v>3357</v>
      </c>
      <c r="I282" s="55">
        <f t="shared" si="54"/>
        <v>5840</v>
      </c>
      <c r="J282" s="1">
        <v>3279</v>
      </c>
      <c r="K282" s="1">
        <v>3385</v>
      </c>
      <c r="L282" s="1">
        <v>3158</v>
      </c>
      <c r="M282" s="55">
        <f t="shared" si="55"/>
        <v>9822</v>
      </c>
      <c r="N282" s="1">
        <v>3179</v>
      </c>
      <c r="O282" s="1">
        <v>3970</v>
      </c>
      <c r="P282" s="1">
        <v>3875</v>
      </c>
      <c r="Q282" s="55">
        <f t="shared" si="56"/>
        <v>11024</v>
      </c>
      <c r="R282" s="55">
        <f t="shared" si="57"/>
        <v>31610</v>
      </c>
      <c r="T282" s="4" t="s">
        <v>210</v>
      </c>
    </row>
    <row r="283" spans="1:20" ht="15.75" customHeight="1" x14ac:dyDescent="0.3">
      <c r="A283" s="72" t="s">
        <v>216</v>
      </c>
      <c r="B283" s="1">
        <v>0</v>
      </c>
      <c r="C283" s="1">
        <v>0</v>
      </c>
      <c r="D283" s="1">
        <v>64</v>
      </c>
      <c r="E283" s="55">
        <f t="shared" si="53"/>
        <v>64</v>
      </c>
      <c r="F283" s="1">
        <v>58</v>
      </c>
      <c r="G283" s="1">
        <v>101</v>
      </c>
      <c r="H283" s="1">
        <v>125</v>
      </c>
      <c r="I283" s="55">
        <f t="shared" si="54"/>
        <v>284</v>
      </c>
      <c r="J283" s="1">
        <v>0</v>
      </c>
      <c r="K283" s="1">
        <v>0</v>
      </c>
      <c r="L283" s="1">
        <v>0</v>
      </c>
      <c r="M283" s="55">
        <f t="shared" si="55"/>
        <v>0</v>
      </c>
      <c r="N283" s="1">
        <v>0</v>
      </c>
      <c r="O283" s="1">
        <v>0</v>
      </c>
      <c r="P283" s="1">
        <v>0</v>
      </c>
      <c r="Q283" s="55">
        <f t="shared" si="56"/>
        <v>0</v>
      </c>
      <c r="R283" s="55">
        <f t="shared" si="57"/>
        <v>348</v>
      </c>
      <c r="T283" s="4" t="s">
        <v>214</v>
      </c>
    </row>
    <row r="284" spans="1:20" ht="15.75" customHeight="1" x14ac:dyDescent="0.3">
      <c r="A284" s="15" t="s">
        <v>50</v>
      </c>
      <c r="B284" s="1"/>
      <c r="C284" s="1"/>
      <c r="D284" s="1"/>
      <c r="E284" s="55" t="s">
        <v>7</v>
      </c>
      <c r="F284" s="1"/>
      <c r="G284" s="1"/>
      <c r="H284" s="1"/>
      <c r="I284" s="55" t="s">
        <v>7</v>
      </c>
      <c r="J284" s="1"/>
      <c r="K284" s="1"/>
      <c r="L284" s="1"/>
      <c r="M284" s="55" t="s">
        <v>7</v>
      </c>
      <c r="N284" s="1"/>
      <c r="O284" s="1"/>
      <c r="P284" s="1"/>
      <c r="Q284" s="55" t="s">
        <v>7</v>
      </c>
      <c r="R284" s="55" t="s">
        <v>7</v>
      </c>
    </row>
    <row r="285" spans="1:20" ht="15.75" customHeight="1" x14ac:dyDescent="0.3">
      <c r="A285" s="72" t="s">
        <v>217</v>
      </c>
      <c r="B285" s="1">
        <v>6</v>
      </c>
      <c r="C285" s="1">
        <v>5</v>
      </c>
      <c r="D285" s="1">
        <v>8</v>
      </c>
      <c r="E285" s="55">
        <f>SUM(B285:D285)</f>
        <v>19</v>
      </c>
      <c r="F285" s="1">
        <v>12</v>
      </c>
      <c r="G285" s="1">
        <v>10</v>
      </c>
      <c r="H285" s="1">
        <v>10</v>
      </c>
      <c r="I285" s="55">
        <f>SUM(F285:H285)</f>
        <v>32</v>
      </c>
      <c r="J285" s="1">
        <v>8</v>
      </c>
      <c r="K285" s="1">
        <v>7</v>
      </c>
      <c r="L285" s="1">
        <v>10</v>
      </c>
      <c r="M285" s="55">
        <f>SUM(J285:L285)</f>
        <v>25</v>
      </c>
      <c r="N285" s="1">
        <v>7</v>
      </c>
      <c r="O285" s="1">
        <v>7</v>
      </c>
      <c r="P285" s="1">
        <v>7</v>
      </c>
      <c r="Q285" s="55">
        <f>SUM(N285:P285)</f>
        <v>21</v>
      </c>
      <c r="R285" s="55">
        <f>+E285+I285+M285+Q285</f>
        <v>97</v>
      </c>
      <c r="T285" s="4" t="s">
        <v>218</v>
      </c>
    </row>
    <row r="286" spans="1:20" ht="15.75" customHeight="1" x14ac:dyDescent="0.3">
      <c r="A286" s="72" t="s">
        <v>219</v>
      </c>
      <c r="B286" s="1">
        <v>0</v>
      </c>
      <c r="C286" s="1">
        <v>0</v>
      </c>
      <c r="D286" s="1">
        <v>0</v>
      </c>
      <c r="E286" s="55">
        <f>SUM(B286:D286)</f>
        <v>0</v>
      </c>
      <c r="F286" s="1">
        <v>0</v>
      </c>
      <c r="G286" s="1">
        <v>14</v>
      </c>
      <c r="H286" s="1">
        <v>36</v>
      </c>
      <c r="I286" s="55">
        <f>SUM(F286:H286)</f>
        <v>50</v>
      </c>
      <c r="J286" s="1">
        <v>14</v>
      </c>
      <c r="K286" s="1">
        <v>29</v>
      </c>
      <c r="L286" s="1">
        <v>23</v>
      </c>
      <c r="M286" s="55">
        <f>SUM(J286:L286)</f>
        <v>66</v>
      </c>
      <c r="N286" s="1">
        <v>20</v>
      </c>
      <c r="O286" s="1">
        <v>10</v>
      </c>
      <c r="P286" s="1">
        <v>17</v>
      </c>
      <c r="Q286" s="55">
        <f>SUM(N286:P286)</f>
        <v>47</v>
      </c>
      <c r="R286" s="55">
        <f>+E286+I286+M286+Q286</f>
        <v>163</v>
      </c>
      <c r="T286" s="4" t="s">
        <v>220</v>
      </c>
    </row>
    <row r="287" spans="1:20" ht="15.75" customHeight="1" x14ac:dyDescent="0.3">
      <c r="A287" s="72" t="s">
        <v>221</v>
      </c>
      <c r="B287" s="1">
        <v>0</v>
      </c>
      <c r="C287" s="1">
        <v>0</v>
      </c>
      <c r="D287" s="1">
        <v>0</v>
      </c>
      <c r="E287" s="55">
        <f t="shared" ref="E287:E300" si="58">SUM(B287:D287)</f>
        <v>0</v>
      </c>
      <c r="F287" s="1">
        <v>7</v>
      </c>
      <c r="G287" s="1">
        <v>29</v>
      </c>
      <c r="H287" s="1">
        <v>21</v>
      </c>
      <c r="I287" s="55">
        <f t="shared" ref="I287:I300" si="59">SUM(F287:H287)</f>
        <v>57</v>
      </c>
      <c r="J287" s="1">
        <v>17</v>
      </c>
      <c r="K287" s="1">
        <v>17</v>
      </c>
      <c r="L287" s="1">
        <v>71</v>
      </c>
      <c r="M287" s="55">
        <f t="shared" ref="M287:M300" si="60">SUM(J287:L287)</f>
        <v>105</v>
      </c>
      <c r="N287" s="1">
        <v>50</v>
      </c>
      <c r="O287" s="1">
        <v>40</v>
      </c>
      <c r="P287" s="1">
        <v>84</v>
      </c>
      <c r="Q287" s="55">
        <f t="shared" ref="Q287:Q300" si="61">SUM(N287:P287)</f>
        <v>174</v>
      </c>
      <c r="R287" s="55">
        <f t="shared" ref="R287:R300" si="62">+E287+I287+M287+Q287</f>
        <v>336</v>
      </c>
      <c r="T287" s="4" t="s">
        <v>214</v>
      </c>
    </row>
    <row r="288" spans="1:20" ht="15.75" customHeight="1" x14ac:dyDescent="0.3">
      <c r="A288" s="72" t="s">
        <v>222</v>
      </c>
      <c r="B288" s="1">
        <v>0</v>
      </c>
      <c r="C288" s="1">
        <v>0</v>
      </c>
      <c r="D288" s="1">
        <v>0</v>
      </c>
      <c r="E288" s="55">
        <f t="shared" si="58"/>
        <v>0</v>
      </c>
      <c r="F288" s="1">
        <v>0</v>
      </c>
      <c r="G288" s="1">
        <v>0</v>
      </c>
      <c r="H288" s="1">
        <v>0</v>
      </c>
      <c r="I288" s="55">
        <f t="shared" si="59"/>
        <v>0</v>
      </c>
      <c r="J288" s="1">
        <v>0</v>
      </c>
      <c r="K288" s="1">
        <v>0</v>
      </c>
      <c r="L288" s="1">
        <v>0</v>
      </c>
      <c r="M288" s="55">
        <f t="shared" si="60"/>
        <v>0</v>
      </c>
      <c r="N288" s="1">
        <v>0</v>
      </c>
      <c r="O288" s="1">
        <v>0</v>
      </c>
      <c r="P288" s="1">
        <v>0</v>
      </c>
      <c r="Q288" s="55">
        <f t="shared" si="61"/>
        <v>0</v>
      </c>
      <c r="R288" s="55">
        <f t="shared" si="62"/>
        <v>0</v>
      </c>
      <c r="T288" s="4" t="s">
        <v>209</v>
      </c>
    </row>
    <row r="289" spans="1:20" ht="15.75" customHeight="1" x14ac:dyDescent="0.3">
      <c r="A289" s="72" t="s">
        <v>223</v>
      </c>
      <c r="B289" s="1">
        <v>0</v>
      </c>
      <c r="C289" s="1">
        <v>0</v>
      </c>
      <c r="D289" s="1">
        <v>4</v>
      </c>
      <c r="E289" s="55">
        <f t="shared" si="58"/>
        <v>4</v>
      </c>
      <c r="F289" s="1">
        <v>3</v>
      </c>
      <c r="G289" s="1">
        <v>8</v>
      </c>
      <c r="H289" s="1">
        <v>4</v>
      </c>
      <c r="I289" s="55">
        <f t="shared" si="59"/>
        <v>15</v>
      </c>
      <c r="J289" s="1">
        <v>5</v>
      </c>
      <c r="K289" s="1">
        <v>4</v>
      </c>
      <c r="L289" s="1">
        <v>4</v>
      </c>
      <c r="M289" s="55">
        <f t="shared" si="60"/>
        <v>13</v>
      </c>
      <c r="N289" s="1">
        <v>4</v>
      </c>
      <c r="O289" s="1">
        <v>8</v>
      </c>
      <c r="P289" s="1">
        <v>0</v>
      </c>
      <c r="Q289" s="55">
        <f t="shared" si="61"/>
        <v>12</v>
      </c>
      <c r="R289" s="55">
        <f t="shared" si="62"/>
        <v>44</v>
      </c>
      <c r="T289" s="4" t="s">
        <v>224</v>
      </c>
    </row>
    <row r="290" spans="1:20" ht="15.75" customHeight="1" x14ac:dyDescent="0.3">
      <c r="A290" s="72" t="s">
        <v>225</v>
      </c>
      <c r="B290" s="1">
        <v>20</v>
      </c>
      <c r="C290" s="1">
        <v>14</v>
      </c>
      <c r="D290" s="1">
        <v>27</v>
      </c>
      <c r="E290" s="55">
        <f t="shared" si="58"/>
        <v>61</v>
      </c>
      <c r="F290" s="1">
        <v>70</v>
      </c>
      <c r="G290" s="1">
        <v>65</v>
      </c>
      <c r="H290" s="1">
        <v>65</v>
      </c>
      <c r="I290" s="55">
        <f t="shared" si="59"/>
        <v>200</v>
      </c>
      <c r="J290" s="1">
        <v>55</v>
      </c>
      <c r="K290" s="1">
        <v>96</v>
      </c>
      <c r="L290" s="1">
        <v>16</v>
      </c>
      <c r="M290" s="55">
        <f t="shared" si="60"/>
        <v>167</v>
      </c>
      <c r="N290" s="1">
        <v>24</v>
      </c>
      <c r="O290" s="1">
        <v>43</v>
      </c>
      <c r="P290" s="1">
        <v>11</v>
      </c>
      <c r="Q290" s="55">
        <f t="shared" si="61"/>
        <v>78</v>
      </c>
      <c r="R290" s="55">
        <f t="shared" si="62"/>
        <v>506</v>
      </c>
      <c r="T290" s="4" t="s">
        <v>226</v>
      </c>
    </row>
    <row r="291" spans="1:20" ht="15.75" customHeight="1" x14ac:dyDescent="0.3">
      <c r="A291" s="72" t="s">
        <v>227</v>
      </c>
      <c r="B291" s="1">
        <v>1</v>
      </c>
      <c r="C291" s="1">
        <v>1</v>
      </c>
      <c r="D291" s="1">
        <v>1</v>
      </c>
      <c r="E291" s="55">
        <f t="shared" si="58"/>
        <v>3</v>
      </c>
      <c r="F291" s="1">
        <v>1</v>
      </c>
      <c r="G291" s="1">
        <v>1</v>
      </c>
      <c r="H291" s="1">
        <v>2</v>
      </c>
      <c r="I291" s="55">
        <f t="shared" si="59"/>
        <v>4</v>
      </c>
      <c r="J291" s="1">
        <v>2</v>
      </c>
      <c r="K291" s="1">
        <v>1</v>
      </c>
      <c r="L291" s="1">
        <v>1</v>
      </c>
      <c r="M291" s="55">
        <f t="shared" si="60"/>
        <v>4</v>
      </c>
      <c r="N291" s="1">
        <v>2</v>
      </c>
      <c r="O291" s="1">
        <v>1</v>
      </c>
      <c r="P291" s="1">
        <v>1</v>
      </c>
      <c r="Q291" s="55">
        <f t="shared" si="61"/>
        <v>4</v>
      </c>
      <c r="R291" s="55">
        <f t="shared" si="62"/>
        <v>15</v>
      </c>
      <c r="T291" s="4" t="s">
        <v>226</v>
      </c>
    </row>
    <row r="292" spans="1:20" ht="15.75" customHeight="1" x14ac:dyDescent="0.3">
      <c r="A292" s="72" t="s">
        <v>216</v>
      </c>
      <c r="B292" s="1">
        <v>0</v>
      </c>
      <c r="C292" s="1">
        <v>0</v>
      </c>
      <c r="D292" s="1">
        <v>0</v>
      </c>
      <c r="E292" s="55">
        <f t="shared" si="58"/>
        <v>0</v>
      </c>
      <c r="F292" s="1">
        <v>0</v>
      </c>
      <c r="G292" s="1">
        <v>0</v>
      </c>
      <c r="H292" s="1">
        <v>18</v>
      </c>
      <c r="I292" s="55">
        <f t="shared" si="59"/>
        <v>18</v>
      </c>
      <c r="J292" s="1">
        <v>96</v>
      </c>
      <c r="K292" s="1">
        <v>143</v>
      </c>
      <c r="L292" s="1">
        <v>96</v>
      </c>
      <c r="M292" s="55">
        <f t="shared" si="60"/>
        <v>335</v>
      </c>
      <c r="N292" s="1">
        <v>98</v>
      </c>
      <c r="O292" s="1">
        <v>28</v>
      </c>
      <c r="P292" s="1">
        <v>0</v>
      </c>
      <c r="Q292" s="55">
        <f t="shared" si="61"/>
        <v>126</v>
      </c>
      <c r="R292" s="55">
        <f t="shared" si="62"/>
        <v>479</v>
      </c>
      <c r="T292" s="4" t="s">
        <v>214</v>
      </c>
    </row>
    <row r="293" spans="1:20" ht="15.75" customHeight="1" x14ac:dyDescent="0.3">
      <c r="A293" s="72" t="s">
        <v>228</v>
      </c>
      <c r="B293" s="1">
        <v>19</v>
      </c>
      <c r="C293" s="1">
        <v>24</v>
      </c>
      <c r="D293" s="1">
        <v>54</v>
      </c>
      <c r="E293" s="55">
        <f t="shared" si="58"/>
        <v>97</v>
      </c>
      <c r="F293" s="1">
        <v>62</v>
      </c>
      <c r="G293" s="1">
        <v>59</v>
      </c>
      <c r="H293" s="1">
        <v>48</v>
      </c>
      <c r="I293" s="55">
        <f t="shared" si="59"/>
        <v>169</v>
      </c>
      <c r="J293" s="1">
        <v>45</v>
      </c>
      <c r="K293" s="1">
        <v>61</v>
      </c>
      <c r="L293" s="1">
        <v>27</v>
      </c>
      <c r="M293" s="55">
        <f t="shared" si="60"/>
        <v>133</v>
      </c>
      <c r="N293" s="1">
        <v>80</v>
      </c>
      <c r="O293" s="1">
        <v>68</v>
      </c>
      <c r="P293" s="1">
        <v>31</v>
      </c>
      <c r="Q293" s="55">
        <f t="shared" si="61"/>
        <v>179</v>
      </c>
      <c r="R293" s="55">
        <f t="shared" si="62"/>
        <v>578</v>
      </c>
      <c r="T293" s="4" t="s">
        <v>206</v>
      </c>
    </row>
    <row r="294" spans="1:20" ht="15.75" customHeight="1" x14ac:dyDescent="0.3">
      <c r="A294" s="72" t="s">
        <v>229</v>
      </c>
      <c r="B294" s="1">
        <v>1</v>
      </c>
      <c r="C294" s="1">
        <v>1</v>
      </c>
      <c r="D294" s="1">
        <v>1</v>
      </c>
      <c r="E294" s="55">
        <f t="shared" si="58"/>
        <v>3</v>
      </c>
      <c r="F294" s="1">
        <v>1</v>
      </c>
      <c r="G294" s="1">
        <v>1</v>
      </c>
      <c r="H294" s="1">
        <v>2</v>
      </c>
      <c r="I294" s="55">
        <f t="shared" si="59"/>
        <v>4</v>
      </c>
      <c r="J294" s="1">
        <v>1</v>
      </c>
      <c r="K294" s="1">
        <v>2</v>
      </c>
      <c r="L294" s="1">
        <v>1</v>
      </c>
      <c r="M294" s="55">
        <f t="shared" si="60"/>
        <v>4</v>
      </c>
      <c r="N294" s="1">
        <v>2</v>
      </c>
      <c r="O294" s="1">
        <v>2</v>
      </c>
      <c r="P294" s="1">
        <v>1</v>
      </c>
      <c r="Q294" s="55">
        <f t="shared" si="61"/>
        <v>5</v>
      </c>
      <c r="R294" s="55">
        <f t="shared" si="62"/>
        <v>16</v>
      </c>
      <c r="T294" s="4" t="s">
        <v>206</v>
      </c>
    </row>
    <row r="295" spans="1:20" ht="15.75" customHeight="1" x14ac:dyDescent="0.3">
      <c r="A295" s="72" t="s">
        <v>230</v>
      </c>
      <c r="B295" s="1">
        <v>21</v>
      </c>
      <c r="C295" s="1">
        <v>11</v>
      </c>
      <c r="D295" s="1">
        <v>54</v>
      </c>
      <c r="E295" s="55">
        <f>SUM(B295:D295)</f>
        <v>86</v>
      </c>
      <c r="F295" s="1">
        <v>80</v>
      </c>
      <c r="G295" s="1">
        <v>93</v>
      </c>
      <c r="H295" s="1">
        <v>89</v>
      </c>
      <c r="I295" s="55">
        <f>SUM(F295:H295)</f>
        <v>262</v>
      </c>
      <c r="J295" s="1">
        <v>74</v>
      </c>
      <c r="K295" s="1">
        <v>79</v>
      </c>
      <c r="L295" s="1">
        <v>43</v>
      </c>
      <c r="M295" s="55">
        <f>SUM(J295:L295)</f>
        <v>196</v>
      </c>
      <c r="N295" s="1">
        <v>81</v>
      </c>
      <c r="O295" s="1">
        <v>41</v>
      </c>
      <c r="P295" s="1">
        <v>11</v>
      </c>
      <c r="Q295" s="55">
        <f>SUM(N295:P295)</f>
        <v>133</v>
      </c>
      <c r="R295" s="55">
        <f>+E295+I295+M295+Q295</f>
        <v>677</v>
      </c>
      <c r="T295" s="4" t="s">
        <v>209</v>
      </c>
    </row>
    <row r="296" spans="1:20" ht="15.75" customHeight="1" x14ac:dyDescent="0.3">
      <c r="A296" s="72" t="s">
        <v>231</v>
      </c>
      <c r="B296" s="1">
        <v>0</v>
      </c>
      <c r="C296" s="1">
        <v>0</v>
      </c>
      <c r="D296" s="1">
        <v>0</v>
      </c>
      <c r="E296" s="55">
        <f>SUM(B296:D296)</f>
        <v>0</v>
      </c>
      <c r="F296" s="1">
        <v>10</v>
      </c>
      <c r="G296" s="1">
        <v>78</v>
      </c>
      <c r="H296" s="1">
        <v>10</v>
      </c>
      <c r="I296" s="55">
        <f>SUM(F296:H296)</f>
        <v>98</v>
      </c>
      <c r="J296" s="1">
        <v>20</v>
      </c>
      <c r="K296" s="1">
        <v>40</v>
      </c>
      <c r="L296" s="1">
        <v>0</v>
      </c>
      <c r="M296" s="55">
        <f>SUM(J296:L296)</f>
        <v>60</v>
      </c>
      <c r="N296" s="1">
        <v>11</v>
      </c>
      <c r="O296" s="1">
        <v>21</v>
      </c>
      <c r="P296" s="1">
        <v>0</v>
      </c>
      <c r="Q296" s="55">
        <f>SUM(N296:P296)</f>
        <v>32</v>
      </c>
      <c r="R296" s="55">
        <f>+E296+I296+M296+Q296</f>
        <v>190</v>
      </c>
      <c r="T296" s="4" t="s">
        <v>232</v>
      </c>
    </row>
    <row r="297" spans="1:20" ht="15.75" customHeight="1" x14ac:dyDescent="0.3">
      <c r="A297" s="72" t="s">
        <v>233</v>
      </c>
      <c r="B297" s="1">
        <v>10</v>
      </c>
      <c r="C297" s="1">
        <v>8</v>
      </c>
      <c r="D297" s="1">
        <v>43</v>
      </c>
      <c r="E297" s="55">
        <f t="shared" si="58"/>
        <v>61</v>
      </c>
      <c r="F297" s="1">
        <v>58</v>
      </c>
      <c r="G297" s="1">
        <v>56</v>
      </c>
      <c r="H297" s="1">
        <v>70</v>
      </c>
      <c r="I297" s="55">
        <f t="shared" si="59"/>
        <v>184</v>
      </c>
      <c r="J297" s="1">
        <v>57</v>
      </c>
      <c r="K297" s="1">
        <v>57</v>
      </c>
      <c r="L297" s="1">
        <v>32</v>
      </c>
      <c r="M297" s="55">
        <f t="shared" si="60"/>
        <v>146</v>
      </c>
      <c r="N297" s="1">
        <v>61</v>
      </c>
      <c r="O297" s="1">
        <v>40</v>
      </c>
      <c r="P297" s="1">
        <v>12</v>
      </c>
      <c r="Q297" s="55">
        <f t="shared" si="61"/>
        <v>113</v>
      </c>
      <c r="R297" s="55">
        <f t="shared" si="62"/>
        <v>504</v>
      </c>
      <c r="T297" s="4" t="s">
        <v>206</v>
      </c>
    </row>
    <row r="298" spans="1:20" ht="15.75" customHeight="1" x14ac:dyDescent="0.3">
      <c r="A298" s="72" t="s">
        <v>234</v>
      </c>
      <c r="B298" s="1">
        <v>0</v>
      </c>
      <c r="C298" s="1">
        <v>0</v>
      </c>
      <c r="D298" s="1">
        <v>0</v>
      </c>
      <c r="E298" s="55">
        <f>SUM(B298:D298)</f>
        <v>0</v>
      </c>
      <c r="F298" s="1">
        <v>0</v>
      </c>
      <c r="G298" s="1">
        <v>0</v>
      </c>
      <c r="H298" s="1">
        <v>0</v>
      </c>
      <c r="I298" s="55">
        <f>SUM(F298:H298)</f>
        <v>0</v>
      </c>
      <c r="J298" s="1">
        <v>0</v>
      </c>
      <c r="K298" s="1">
        <v>0</v>
      </c>
      <c r="L298" s="1">
        <v>0</v>
      </c>
      <c r="M298" s="55">
        <f>SUM(J298:L298)</f>
        <v>0</v>
      </c>
      <c r="N298" s="1">
        <v>0</v>
      </c>
      <c r="O298" s="1">
        <v>0</v>
      </c>
      <c r="P298" s="1">
        <v>0</v>
      </c>
      <c r="Q298" s="55">
        <f>SUM(N298:P298)</f>
        <v>0</v>
      </c>
      <c r="R298" s="55">
        <f>+E298+I298+M298+Q298</f>
        <v>0</v>
      </c>
      <c r="T298" s="4" t="s">
        <v>235</v>
      </c>
    </row>
    <row r="299" spans="1:20" ht="15.75" customHeight="1" x14ac:dyDescent="0.3">
      <c r="A299" s="72" t="s">
        <v>236</v>
      </c>
      <c r="B299" s="1">
        <v>0</v>
      </c>
      <c r="C299" s="1">
        <v>0</v>
      </c>
      <c r="D299" s="1">
        <v>0</v>
      </c>
      <c r="E299" s="55">
        <f t="shared" si="58"/>
        <v>0</v>
      </c>
      <c r="F299" s="1">
        <v>0</v>
      </c>
      <c r="G299" s="1">
        <v>0</v>
      </c>
      <c r="H299" s="1">
        <v>0</v>
      </c>
      <c r="I299" s="55">
        <f t="shared" si="59"/>
        <v>0</v>
      </c>
      <c r="J299" s="1">
        <v>0</v>
      </c>
      <c r="K299" s="1">
        <v>0</v>
      </c>
      <c r="L299" s="1">
        <v>0</v>
      </c>
      <c r="M299" s="55">
        <f t="shared" si="60"/>
        <v>0</v>
      </c>
      <c r="N299" s="1">
        <v>0</v>
      </c>
      <c r="O299" s="1">
        <v>0</v>
      </c>
      <c r="P299" s="1">
        <v>0</v>
      </c>
      <c r="Q299" s="55">
        <f t="shared" si="61"/>
        <v>0</v>
      </c>
      <c r="R299" s="55">
        <f t="shared" si="62"/>
        <v>0</v>
      </c>
      <c r="T299" s="4" t="s">
        <v>209</v>
      </c>
    </row>
    <row r="300" spans="1:20" ht="15.75" customHeight="1" x14ac:dyDescent="0.3">
      <c r="A300" s="72" t="s">
        <v>237</v>
      </c>
      <c r="B300" s="1">
        <v>7</v>
      </c>
      <c r="C300" s="1">
        <v>5</v>
      </c>
      <c r="D300" s="1">
        <v>24</v>
      </c>
      <c r="E300" s="55">
        <f t="shared" si="58"/>
        <v>36</v>
      </c>
      <c r="F300" s="1">
        <v>38</v>
      </c>
      <c r="G300" s="1">
        <v>32</v>
      </c>
      <c r="H300" s="1">
        <v>38</v>
      </c>
      <c r="I300" s="55">
        <f t="shared" si="59"/>
        <v>108</v>
      </c>
      <c r="J300" s="1">
        <v>47</v>
      </c>
      <c r="K300" s="1">
        <v>22</v>
      </c>
      <c r="L300" s="1">
        <v>21</v>
      </c>
      <c r="M300" s="55">
        <f t="shared" si="60"/>
        <v>90</v>
      </c>
      <c r="N300" s="1">
        <v>45</v>
      </c>
      <c r="O300" s="1">
        <v>27</v>
      </c>
      <c r="P300" s="1">
        <v>5</v>
      </c>
      <c r="Q300" s="55">
        <f t="shared" si="61"/>
        <v>77</v>
      </c>
      <c r="R300" s="55">
        <f t="shared" si="62"/>
        <v>311</v>
      </c>
      <c r="T300" s="4" t="s">
        <v>206</v>
      </c>
    </row>
    <row r="301" spans="1:20" ht="15.75" customHeight="1" x14ac:dyDescent="0.3">
      <c r="A301" s="15" t="s">
        <v>51</v>
      </c>
      <c r="B301" s="1"/>
      <c r="C301" s="1"/>
      <c r="D301" s="1"/>
      <c r="E301" s="55" t="s">
        <v>7</v>
      </c>
      <c r="F301" s="1"/>
      <c r="G301" s="1"/>
      <c r="H301" s="1"/>
      <c r="I301" s="55" t="s">
        <v>7</v>
      </c>
      <c r="J301" s="1"/>
      <c r="K301" s="1"/>
      <c r="L301" s="1"/>
      <c r="M301" s="55" t="s">
        <v>7</v>
      </c>
      <c r="N301" s="1"/>
      <c r="O301" s="1"/>
      <c r="P301" s="1"/>
      <c r="Q301" s="55" t="s">
        <v>7</v>
      </c>
      <c r="R301" s="55" t="s">
        <v>7</v>
      </c>
    </row>
    <row r="302" spans="1:20" ht="15.75" customHeight="1" x14ac:dyDescent="0.3">
      <c r="A302" s="72" t="s">
        <v>238</v>
      </c>
      <c r="B302" s="1">
        <v>0</v>
      </c>
      <c r="C302" s="1">
        <v>0</v>
      </c>
      <c r="D302" s="1">
        <v>0</v>
      </c>
      <c r="E302" s="55">
        <f>SUM(B302:D302)</f>
        <v>0</v>
      </c>
      <c r="F302" s="1">
        <v>0</v>
      </c>
      <c r="G302" s="1">
        <v>0</v>
      </c>
      <c r="H302" s="1">
        <v>0</v>
      </c>
      <c r="I302" s="55">
        <f>SUM(F302:H302)</f>
        <v>0</v>
      </c>
      <c r="J302" s="1">
        <v>140</v>
      </c>
      <c r="K302" s="1">
        <v>0</v>
      </c>
      <c r="L302" s="1">
        <v>0</v>
      </c>
      <c r="M302" s="55">
        <f>SUM(J302:L302)</f>
        <v>140</v>
      </c>
      <c r="N302" s="1">
        <v>0</v>
      </c>
      <c r="O302" s="1">
        <v>0</v>
      </c>
      <c r="P302" s="1">
        <v>0</v>
      </c>
      <c r="Q302" s="55">
        <f>SUM(N302:P302)</f>
        <v>0</v>
      </c>
      <c r="R302" s="55">
        <f>+E302+I302+M302+Q302</f>
        <v>140</v>
      </c>
      <c r="T302" s="4" t="s">
        <v>209</v>
      </c>
    </row>
    <row r="303" spans="1:20" ht="15.75" customHeight="1" x14ac:dyDescent="0.3">
      <c r="A303" s="72" t="s">
        <v>239</v>
      </c>
      <c r="B303" s="1">
        <v>0</v>
      </c>
      <c r="C303" s="1">
        <v>0</v>
      </c>
      <c r="D303" s="1">
        <v>0</v>
      </c>
      <c r="E303" s="55">
        <f>SUM(B303:D303)</f>
        <v>0</v>
      </c>
      <c r="F303" s="1">
        <v>0</v>
      </c>
      <c r="G303" s="1">
        <v>461</v>
      </c>
      <c r="H303" s="1">
        <v>2433</v>
      </c>
      <c r="I303" s="55">
        <f>SUM(F303:H303)</f>
        <v>2894</v>
      </c>
      <c r="J303" s="1">
        <v>106</v>
      </c>
      <c r="K303" s="1">
        <v>0</v>
      </c>
      <c r="L303" s="1">
        <v>0</v>
      </c>
      <c r="M303" s="55">
        <f>SUM(J303:L303)</f>
        <v>106</v>
      </c>
      <c r="N303" s="1">
        <v>0</v>
      </c>
      <c r="O303" s="1">
        <v>0</v>
      </c>
      <c r="P303" s="1">
        <v>0</v>
      </c>
      <c r="Q303" s="55">
        <f>SUM(N303:P303)</f>
        <v>0</v>
      </c>
      <c r="R303" s="55">
        <f>+E303+I303+M303+Q303</f>
        <v>3000</v>
      </c>
      <c r="T303" s="4" t="s">
        <v>214</v>
      </c>
    </row>
    <row r="304" spans="1:20" ht="15.75" customHeight="1" x14ac:dyDescent="0.3">
      <c r="A304" s="72" t="s">
        <v>240</v>
      </c>
      <c r="B304" s="1">
        <v>0</v>
      </c>
      <c r="C304" s="1">
        <v>0</v>
      </c>
      <c r="D304" s="1">
        <v>0</v>
      </c>
      <c r="E304" s="55">
        <f>SUM(B304:D304)</f>
        <v>0</v>
      </c>
      <c r="F304" s="1">
        <v>0</v>
      </c>
      <c r="G304" s="1">
        <v>0</v>
      </c>
      <c r="H304" s="1">
        <v>0</v>
      </c>
      <c r="I304" s="55">
        <f>SUM(F304:H304)</f>
        <v>0</v>
      </c>
      <c r="J304" s="1">
        <v>0</v>
      </c>
      <c r="K304" s="1">
        <v>0</v>
      </c>
      <c r="L304" s="1">
        <v>0</v>
      </c>
      <c r="M304" s="55">
        <f>SUM(J304:L304)</f>
        <v>0</v>
      </c>
      <c r="N304" s="1">
        <v>0</v>
      </c>
      <c r="O304" s="1">
        <v>0</v>
      </c>
      <c r="P304" s="1">
        <v>0</v>
      </c>
      <c r="Q304" s="55">
        <f>SUM(N304:P304)</f>
        <v>0</v>
      </c>
      <c r="R304" s="55">
        <f>+E304+I304+M304+Q304</f>
        <v>0</v>
      </c>
      <c r="T304" s="4" t="s">
        <v>241</v>
      </c>
    </row>
    <row r="305" spans="1:20" ht="15.75" customHeight="1" thickBot="1" x14ac:dyDescent="0.35">
      <c r="A305" s="15" t="s">
        <v>53</v>
      </c>
      <c r="B305" s="1"/>
      <c r="C305" s="1"/>
      <c r="D305" s="1"/>
      <c r="E305" s="55" t="s">
        <v>7</v>
      </c>
      <c r="F305" s="1"/>
      <c r="G305" s="1"/>
      <c r="H305" s="1"/>
      <c r="I305" s="55" t="s">
        <v>7</v>
      </c>
      <c r="J305" s="1"/>
      <c r="K305" s="1"/>
      <c r="L305" s="1"/>
      <c r="M305" s="55" t="s">
        <v>7</v>
      </c>
      <c r="N305" s="1"/>
      <c r="O305" s="1"/>
      <c r="P305" s="1"/>
      <c r="Q305" s="55" t="s">
        <v>7</v>
      </c>
      <c r="R305" s="55" t="s">
        <v>7</v>
      </c>
    </row>
    <row r="306" spans="1:20" ht="15.75" customHeight="1" thickBot="1" x14ac:dyDescent="0.35">
      <c r="A306" s="109" t="s">
        <v>54</v>
      </c>
      <c r="B306" s="86">
        <f>SUM(B271:B305)</f>
        <v>2980</v>
      </c>
      <c r="C306" s="87">
        <f>SUM(C271:C305)</f>
        <v>2564</v>
      </c>
      <c r="D306" s="87">
        <f>SUM(D271:D305)</f>
        <v>1468</v>
      </c>
      <c r="E306" s="59">
        <f>SUM(B306:D306)</f>
        <v>7012</v>
      </c>
      <c r="F306" s="87">
        <f>SUM(F271:F305)</f>
        <v>1181</v>
      </c>
      <c r="G306" s="87">
        <f>SUM(G271:G305)</f>
        <v>4162</v>
      </c>
      <c r="H306" s="87">
        <f>SUM(H271:H305)</f>
        <v>11002</v>
      </c>
      <c r="I306" s="59">
        <f>SUM(F306:H306)</f>
        <v>16345</v>
      </c>
      <c r="J306" s="87">
        <f>SUM(J271:J305)</f>
        <v>5012</v>
      </c>
      <c r="K306" s="87">
        <f>SUM(K271:K305)</f>
        <v>4924</v>
      </c>
      <c r="L306" s="87">
        <f>SUM(L271:L305)</f>
        <v>4410</v>
      </c>
      <c r="M306" s="59">
        <f>SUM(J306:L306)</f>
        <v>14346</v>
      </c>
      <c r="N306" s="87">
        <f>SUM(N271:N305)</f>
        <v>4954</v>
      </c>
      <c r="O306" s="87">
        <f>SUM(O271:O305)</f>
        <v>5286</v>
      </c>
      <c r="P306" s="87">
        <f>SUM(P271:P305)</f>
        <v>4733</v>
      </c>
      <c r="Q306" s="59">
        <f>SUM(N306:P306)</f>
        <v>14973</v>
      </c>
      <c r="R306" s="59">
        <f>+E306+I306+M306+Q306</f>
        <v>52676</v>
      </c>
    </row>
    <row r="307" spans="1:20" ht="15.75" customHeight="1" x14ac:dyDescent="0.3">
      <c r="A307" s="15" t="s">
        <v>55</v>
      </c>
      <c r="B307" s="1"/>
      <c r="C307" s="1"/>
      <c r="D307" s="1"/>
      <c r="E307" s="55" t="s">
        <v>7</v>
      </c>
      <c r="F307" s="1"/>
      <c r="G307" s="1"/>
      <c r="H307" s="1"/>
      <c r="I307" s="55" t="s">
        <v>7</v>
      </c>
      <c r="J307" s="1"/>
      <c r="K307" s="1"/>
      <c r="L307" s="1"/>
      <c r="M307" s="55" t="s">
        <v>7</v>
      </c>
      <c r="N307" s="1"/>
      <c r="O307" s="1"/>
      <c r="P307" s="1"/>
      <c r="Q307" s="55" t="s">
        <v>7</v>
      </c>
      <c r="R307" s="55" t="s">
        <v>7</v>
      </c>
    </row>
    <row r="308" spans="1:20" ht="15.75" customHeight="1" x14ac:dyDescent="0.3">
      <c r="A308" s="15" t="s">
        <v>242</v>
      </c>
      <c r="B308" s="1"/>
      <c r="C308" s="1"/>
      <c r="D308" s="1"/>
      <c r="E308" s="55"/>
      <c r="F308" s="1"/>
      <c r="G308" s="1"/>
      <c r="H308" s="1"/>
      <c r="I308" s="55"/>
      <c r="J308" s="1"/>
      <c r="K308" s="1"/>
      <c r="L308" s="1"/>
      <c r="M308" s="55"/>
      <c r="N308" s="1"/>
      <c r="O308" s="1"/>
      <c r="P308" s="1"/>
      <c r="Q308" s="55"/>
      <c r="R308" s="55"/>
    </row>
    <row r="309" spans="1:20" ht="15.75" customHeight="1" x14ac:dyDescent="0.3">
      <c r="A309" s="15" t="s">
        <v>57</v>
      </c>
      <c r="B309" s="1"/>
      <c r="C309" s="1"/>
      <c r="D309" s="1"/>
      <c r="E309" s="55" t="s">
        <v>7</v>
      </c>
      <c r="F309" s="1"/>
      <c r="G309" s="1"/>
      <c r="H309" s="1"/>
      <c r="I309" s="55" t="s">
        <v>7</v>
      </c>
      <c r="J309" s="1"/>
      <c r="K309" s="1"/>
      <c r="L309" s="1"/>
      <c r="M309" s="55" t="s">
        <v>7</v>
      </c>
      <c r="N309" s="1"/>
      <c r="O309" s="1"/>
      <c r="P309" s="1"/>
      <c r="Q309" s="55" t="s">
        <v>7</v>
      </c>
      <c r="R309" s="55" t="s">
        <v>7</v>
      </c>
    </row>
    <row r="310" spans="1:20" ht="15.75" customHeight="1" x14ac:dyDescent="0.3">
      <c r="A310" s="72" t="s">
        <v>243</v>
      </c>
      <c r="B310" s="1">
        <v>22</v>
      </c>
      <c r="C310" s="1">
        <v>153</v>
      </c>
      <c r="D310" s="1">
        <v>2007</v>
      </c>
      <c r="E310" s="55">
        <f t="shared" ref="E310:E317" si="63">SUM(B310:D310)</f>
        <v>2182</v>
      </c>
      <c r="F310" s="1">
        <v>3417</v>
      </c>
      <c r="G310" s="1">
        <v>2376</v>
      </c>
      <c r="H310" s="1">
        <v>2413</v>
      </c>
      <c r="I310" s="55">
        <f t="shared" ref="I310:I317" si="64">SUM(F310:H310)</f>
        <v>8206</v>
      </c>
      <c r="J310" s="1">
        <v>3422</v>
      </c>
      <c r="K310" s="1">
        <v>0</v>
      </c>
      <c r="L310" s="1">
        <v>0</v>
      </c>
      <c r="M310" s="55">
        <f t="shared" ref="M310:M317" si="65">SUM(J310:L310)</f>
        <v>3422</v>
      </c>
      <c r="N310" s="1">
        <v>0</v>
      </c>
      <c r="O310" s="1">
        <v>162</v>
      </c>
      <c r="P310" s="1">
        <v>0</v>
      </c>
      <c r="Q310" s="55">
        <f t="shared" ref="Q310:Q317" si="66">SUM(N310:P310)</f>
        <v>162</v>
      </c>
      <c r="R310" s="55">
        <f t="shared" ref="R310:R317" si="67">+E310+I310+M310+Q310</f>
        <v>13972</v>
      </c>
      <c r="T310" s="4" t="s">
        <v>209</v>
      </c>
    </row>
    <row r="311" spans="1:20" ht="15.75" customHeight="1" x14ac:dyDescent="0.3">
      <c r="A311" s="72" t="s">
        <v>244</v>
      </c>
      <c r="B311" s="1">
        <v>0</v>
      </c>
      <c r="C311" s="1">
        <v>0</v>
      </c>
      <c r="D311" s="1">
        <v>0</v>
      </c>
      <c r="E311" s="55">
        <f t="shared" si="63"/>
        <v>0</v>
      </c>
      <c r="F311" s="1">
        <v>74</v>
      </c>
      <c r="G311" s="1">
        <v>18</v>
      </c>
      <c r="H311" s="1">
        <v>105</v>
      </c>
      <c r="I311" s="55">
        <f t="shared" si="64"/>
        <v>197</v>
      </c>
      <c r="J311" s="1">
        <v>36</v>
      </c>
      <c r="K311" s="1">
        <v>92</v>
      </c>
      <c r="L311" s="1">
        <v>59</v>
      </c>
      <c r="M311" s="55">
        <f t="shared" si="65"/>
        <v>187</v>
      </c>
      <c r="N311" s="1">
        <v>70</v>
      </c>
      <c r="O311" s="1">
        <v>27</v>
      </c>
      <c r="P311" s="1">
        <v>0</v>
      </c>
      <c r="Q311" s="55">
        <f t="shared" si="66"/>
        <v>97</v>
      </c>
      <c r="R311" s="55">
        <f t="shared" si="67"/>
        <v>481</v>
      </c>
      <c r="T311" s="4" t="s">
        <v>214</v>
      </c>
    </row>
    <row r="312" spans="1:20" ht="15.75" customHeight="1" x14ac:dyDescent="0.3">
      <c r="A312" s="72" t="s">
        <v>245</v>
      </c>
      <c r="B312" s="1">
        <v>200</v>
      </c>
      <c r="C312" s="1">
        <v>0</v>
      </c>
      <c r="D312" s="1">
        <v>3200</v>
      </c>
      <c r="E312" s="55">
        <f t="shared" si="63"/>
        <v>3400</v>
      </c>
      <c r="F312" s="1">
        <v>9260</v>
      </c>
      <c r="G312" s="1">
        <v>9492</v>
      </c>
      <c r="H312" s="1">
        <v>11774</v>
      </c>
      <c r="I312" s="55">
        <f t="shared" si="64"/>
        <v>30526</v>
      </c>
      <c r="J312" s="1">
        <v>2013</v>
      </c>
      <c r="K312" s="1">
        <v>2800</v>
      </c>
      <c r="L312" s="1">
        <v>1860</v>
      </c>
      <c r="M312" s="55">
        <f t="shared" si="65"/>
        <v>6673</v>
      </c>
      <c r="N312" s="1">
        <v>268</v>
      </c>
      <c r="O312" s="1">
        <v>1392</v>
      </c>
      <c r="P312" s="1">
        <v>0</v>
      </c>
      <c r="Q312" s="55">
        <f t="shared" si="66"/>
        <v>1660</v>
      </c>
      <c r="R312" s="55">
        <f t="shared" si="67"/>
        <v>42259</v>
      </c>
      <c r="T312" s="4" t="s">
        <v>246</v>
      </c>
    </row>
    <row r="313" spans="1:20" ht="15.75" customHeight="1" x14ac:dyDescent="0.3">
      <c r="A313" s="72" t="s">
        <v>247</v>
      </c>
      <c r="B313" s="1">
        <v>1024</v>
      </c>
      <c r="C313" s="1">
        <v>3300</v>
      </c>
      <c r="D313" s="1">
        <v>9204</v>
      </c>
      <c r="E313" s="55">
        <f t="shared" si="63"/>
        <v>13528</v>
      </c>
      <c r="F313" s="1">
        <v>17414</v>
      </c>
      <c r="G313" s="1">
        <v>12614</v>
      </c>
      <c r="H313" s="1">
        <v>22781</v>
      </c>
      <c r="I313" s="55">
        <f t="shared" si="64"/>
        <v>52809</v>
      </c>
      <c r="J313" s="1">
        <v>17695</v>
      </c>
      <c r="K313" s="1">
        <v>17565</v>
      </c>
      <c r="L313" s="1">
        <v>7830</v>
      </c>
      <c r="M313" s="55">
        <f t="shared" si="65"/>
        <v>43090</v>
      </c>
      <c r="N313" s="1">
        <v>2994</v>
      </c>
      <c r="O313" s="1">
        <v>500</v>
      </c>
      <c r="P313" s="1">
        <v>0</v>
      </c>
      <c r="Q313" s="55">
        <f t="shared" si="66"/>
        <v>3494</v>
      </c>
      <c r="R313" s="55">
        <f t="shared" si="67"/>
        <v>112921</v>
      </c>
      <c r="T313" s="4" t="s">
        <v>209</v>
      </c>
    </row>
    <row r="314" spans="1:20" ht="15.75" customHeight="1" x14ac:dyDescent="0.3">
      <c r="A314" s="72" t="s">
        <v>248</v>
      </c>
      <c r="B314" s="1">
        <v>500</v>
      </c>
      <c r="C314" s="1">
        <v>423</v>
      </c>
      <c r="D314" s="1">
        <v>1588</v>
      </c>
      <c r="E314" s="55">
        <f t="shared" si="63"/>
        <v>2511</v>
      </c>
      <c r="F314" s="1">
        <v>2489</v>
      </c>
      <c r="G314" s="1">
        <v>8000</v>
      </c>
      <c r="H314" s="1">
        <v>6950</v>
      </c>
      <c r="I314" s="55">
        <f t="shared" si="64"/>
        <v>17439</v>
      </c>
      <c r="J314" s="1">
        <v>4675</v>
      </c>
      <c r="K314" s="1">
        <v>2700</v>
      </c>
      <c r="L314" s="1">
        <v>1000</v>
      </c>
      <c r="M314" s="55">
        <f t="shared" si="65"/>
        <v>8375</v>
      </c>
      <c r="N314" s="1">
        <v>1000</v>
      </c>
      <c r="O314" s="1">
        <v>1000</v>
      </c>
      <c r="P314" s="1">
        <v>0</v>
      </c>
      <c r="Q314" s="55">
        <f t="shared" si="66"/>
        <v>2000</v>
      </c>
      <c r="R314" s="55">
        <f t="shared" si="67"/>
        <v>30325</v>
      </c>
      <c r="T314" s="4" t="s">
        <v>249</v>
      </c>
    </row>
    <row r="315" spans="1:20" ht="15.75" customHeight="1" x14ac:dyDescent="0.3">
      <c r="A315" s="72" t="s">
        <v>250</v>
      </c>
      <c r="B315" s="1">
        <v>1157</v>
      </c>
      <c r="C315" s="1">
        <v>842</v>
      </c>
      <c r="D315" s="1">
        <v>3467</v>
      </c>
      <c r="E315" s="55">
        <f t="shared" si="63"/>
        <v>5466</v>
      </c>
      <c r="F315" s="1">
        <v>3777</v>
      </c>
      <c r="G315" s="1">
        <v>3257</v>
      </c>
      <c r="H315" s="1">
        <v>0</v>
      </c>
      <c r="I315" s="55">
        <f t="shared" si="64"/>
        <v>7034</v>
      </c>
      <c r="J315" s="1">
        <v>0</v>
      </c>
      <c r="K315" s="1">
        <v>0</v>
      </c>
      <c r="L315" s="1">
        <v>0</v>
      </c>
      <c r="M315" s="55">
        <f t="shared" si="65"/>
        <v>0</v>
      </c>
      <c r="N315" s="1">
        <v>0</v>
      </c>
      <c r="O315" s="1">
        <v>0</v>
      </c>
      <c r="P315" s="1">
        <v>0</v>
      </c>
      <c r="Q315" s="55">
        <f t="shared" si="66"/>
        <v>0</v>
      </c>
      <c r="R315" s="55">
        <f t="shared" si="67"/>
        <v>12500</v>
      </c>
      <c r="T315" s="4" t="s">
        <v>214</v>
      </c>
    </row>
    <row r="316" spans="1:20" ht="15.75" customHeight="1" x14ac:dyDescent="0.3">
      <c r="A316" s="72" t="s">
        <v>251</v>
      </c>
      <c r="B316" s="1">
        <v>379</v>
      </c>
      <c r="C316" s="1">
        <v>104</v>
      </c>
      <c r="D316" s="1">
        <v>2308</v>
      </c>
      <c r="E316" s="55">
        <f t="shared" si="63"/>
        <v>2791</v>
      </c>
      <c r="F316" s="1">
        <v>2209</v>
      </c>
      <c r="G316" s="1">
        <v>0</v>
      </c>
      <c r="H316" s="1">
        <v>0</v>
      </c>
      <c r="I316" s="55">
        <f t="shared" si="64"/>
        <v>2209</v>
      </c>
      <c r="J316" s="1">
        <v>0</v>
      </c>
      <c r="K316" s="1">
        <v>0</v>
      </c>
      <c r="L316" s="1">
        <v>0</v>
      </c>
      <c r="M316" s="55">
        <f t="shared" si="65"/>
        <v>0</v>
      </c>
      <c r="N316" s="1">
        <v>0</v>
      </c>
      <c r="O316" s="1">
        <v>0</v>
      </c>
      <c r="P316" s="1">
        <v>0</v>
      </c>
      <c r="Q316" s="55">
        <f t="shared" si="66"/>
        <v>0</v>
      </c>
      <c r="R316" s="55">
        <f t="shared" si="67"/>
        <v>5000</v>
      </c>
      <c r="T316" s="4" t="s">
        <v>224</v>
      </c>
    </row>
    <row r="317" spans="1:20" ht="15.75" customHeight="1" x14ac:dyDescent="0.3">
      <c r="A317" s="72" t="s">
        <v>252</v>
      </c>
      <c r="B317" s="1">
        <v>0</v>
      </c>
      <c r="C317" s="1">
        <v>0</v>
      </c>
      <c r="D317" s="1">
        <v>0</v>
      </c>
      <c r="E317" s="55">
        <f t="shared" si="63"/>
        <v>0</v>
      </c>
      <c r="F317" s="1">
        <v>0</v>
      </c>
      <c r="G317" s="1">
        <v>0</v>
      </c>
      <c r="H317" s="1">
        <v>75</v>
      </c>
      <c r="I317" s="55">
        <f t="shared" si="64"/>
        <v>75</v>
      </c>
      <c r="J317" s="1">
        <v>3</v>
      </c>
      <c r="K317" s="1">
        <v>669</v>
      </c>
      <c r="L317" s="1">
        <v>322</v>
      </c>
      <c r="M317" s="55">
        <f t="shared" si="65"/>
        <v>994</v>
      </c>
      <c r="N317" s="1">
        <v>1047</v>
      </c>
      <c r="O317" s="1">
        <v>4</v>
      </c>
      <c r="P317" s="1">
        <v>1371</v>
      </c>
      <c r="Q317" s="55">
        <f t="shared" si="66"/>
        <v>2422</v>
      </c>
      <c r="R317" s="55">
        <f t="shared" si="67"/>
        <v>3491</v>
      </c>
      <c r="T317" s="89" t="s">
        <v>253</v>
      </c>
    </row>
    <row r="318" spans="1:20" ht="15.75" customHeight="1" x14ac:dyDescent="0.3">
      <c r="A318" s="15" t="s">
        <v>58</v>
      </c>
      <c r="B318" s="1"/>
      <c r="C318" s="1"/>
      <c r="D318" s="1"/>
      <c r="E318" s="55" t="s">
        <v>7</v>
      </c>
      <c r="F318" s="1"/>
      <c r="G318" s="1"/>
      <c r="H318" s="1"/>
      <c r="I318" s="55" t="s">
        <v>7</v>
      </c>
      <c r="J318" s="1"/>
      <c r="K318" s="1"/>
      <c r="L318" s="1"/>
      <c r="M318" s="55" t="s">
        <v>7</v>
      </c>
      <c r="N318" s="1"/>
      <c r="O318" s="1"/>
      <c r="P318" s="1"/>
      <c r="Q318" s="55" t="s">
        <v>7</v>
      </c>
      <c r="R318" s="55" t="s">
        <v>7</v>
      </c>
    </row>
    <row r="319" spans="1:20" ht="15.75" customHeight="1" x14ac:dyDescent="0.3">
      <c r="A319" s="15" t="s">
        <v>49</v>
      </c>
      <c r="B319" s="1"/>
      <c r="C319" s="1"/>
      <c r="D319" s="1"/>
      <c r="E319" s="55" t="s">
        <v>7</v>
      </c>
      <c r="F319" s="1"/>
      <c r="G319" s="1"/>
      <c r="H319" s="1"/>
      <c r="I319" s="55" t="s">
        <v>7</v>
      </c>
      <c r="J319" s="1"/>
      <c r="K319" s="1"/>
      <c r="L319" s="1"/>
      <c r="M319" s="55" t="s">
        <v>7</v>
      </c>
      <c r="N319" s="1"/>
      <c r="O319" s="1"/>
      <c r="P319" s="1"/>
      <c r="Q319" s="55" t="s">
        <v>7</v>
      </c>
      <c r="R319" s="55" t="s">
        <v>7</v>
      </c>
    </row>
    <row r="320" spans="1:20" ht="15.75" customHeight="1" thickBot="1" x14ac:dyDescent="0.35">
      <c r="A320" s="72" t="s">
        <v>247</v>
      </c>
      <c r="B320" s="1">
        <v>0</v>
      </c>
      <c r="C320" s="1">
        <v>2188</v>
      </c>
      <c r="D320" s="1">
        <v>6838</v>
      </c>
      <c r="E320" s="55">
        <f>SUM(B320:D320)</f>
        <v>9026</v>
      </c>
      <c r="F320" s="1">
        <v>0</v>
      </c>
      <c r="G320" s="1">
        <v>0</v>
      </c>
      <c r="H320" s="1">
        <v>0</v>
      </c>
      <c r="I320" s="55">
        <f>SUM(F320:H320)</f>
        <v>0</v>
      </c>
      <c r="J320" s="1">
        <v>0</v>
      </c>
      <c r="K320" s="1">
        <v>0</v>
      </c>
      <c r="L320" s="1">
        <v>0</v>
      </c>
      <c r="M320" s="55">
        <f>SUM(J320:L320)</f>
        <v>0</v>
      </c>
      <c r="N320" s="1">
        <v>0</v>
      </c>
      <c r="O320" s="1">
        <v>0</v>
      </c>
      <c r="P320" s="1">
        <v>0</v>
      </c>
      <c r="Q320" s="55">
        <f>SUM(N320:P320)</f>
        <v>0</v>
      </c>
      <c r="R320" s="55">
        <f>+E320+I320+M320+Q320</f>
        <v>9026</v>
      </c>
      <c r="T320" s="4" t="s">
        <v>209</v>
      </c>
    </row>
    <row r="321" spans="1:20" ht="15.75" customHeight="1" thickBot="1" x14ac:dyDescent="0.35">
      <c r="A321" s="57" t="s">
        <v>59</v>
      </c>
      <c r="B321" s="86">
        <f>SUM(B307:B320)</f>
        <v>3282</v>
      </c>
      <c r="C321" s="87">
        <f>SUM(C307:C320)</f>
        <v>7010</v>
      </c>
      <c r="D321" s="87">
        <f>SUM(D307:D320)</f>
        <v>28612</v>
      </c>
      <c r="E321" s="59">
        <f>SUM(B321:D321)</f>
        <v>38904</v>
      </c>
      <c r="F321" s="87">
        <f>SUM(F307:F320)</f>
        <v>38640</v>
      </c>
      <c r="G321" s="87">
        <f>SUM(G307:G320)</f>
        <v>35757</v>
      </c>
      <c r="H321" s="87">
        <f>SUM(H307:H320)</f>
        <v>44098</v>
      </c>
      <c r="I321" s="59">
        <f>SUM(F321:H321)</f>
        <v>118495</v>
      </c>
      <c r="J321" s="87">
        <f>SUM(J307:J320)</f>
        <v>27844</v>
      </c>
      <c r="K321" s="87">
        <f>SUM(K307:K320)</f>
        <v>23826</v>
      </c>
      <c r="L321" s="87">
        <f>SUM(L307:L320)</f>
        <v>11071</v>
      </c>
      <c r="M321" s="59">
        <f>SUM(J321:L321)</f>
        <v>62741</v>
      </c>
      <c r="N321" s="87">
        <f>SUM(N307:N320)</f>
        <v>5379</v>
      </c>
      <c r="O321" s="87">
        <f>SUM(O307:O320)</f>
        <v>3085</v>
      </c>
      <c r="P321" s="87">
        <f>SUM(P307:P320)</f>
        <v>1371</v>
      </c>
      <c r="Q321" s="59">
        <f>SUM(N321:P321)</f>
        <v>9835</v>
      </c>
      <c r="R321" s="59">
        <f>+E321+I321+M321+Q321</f>
        <v>229975</v>
      </c>
    </row>
    <row r="322" spans="1:20" ht="15.75" customHeight="1" x14ac:dyDescent="0.3">
      <c r="A322" s="15" t="s">
        <v>60</v>
      </c>
      <c r="B322" s="1"/>
      <c r="C322" s="1"/>
      <c r="D322" s="1"/>
      <c r="E322" s="55" t="s">
        <v>7</v>
      </c>
      <c r="F322" s="1"/>
      <c r="G322" s="1"/>
      <c r="H322" s="1"/>
      <c r="I322" s="55" t="s">
        <v>7</v>
      </c>
      <c r="J322" s="1"/>
      <c r="K322" s="1"/>
      <c r="L322" s="1"/>
      <c r="M322" s="55" t="s">
        <v>7</v>
      </c>
      <c r="N322" s="1"/>
      <c r="O322" s="1"/>
      <c r="P322" s="1"/>
      <c r="Q322" s="55" t="s">
        <v>7</v>
      </c>
      <c r="R322" s="55" t="s">
        <v>7</v>
      </c>
    </row>
    <row r="323" spans="1:20" ht="15.75" customHeight="1" x14ac:dyDescent="0.3">
      <c r="A323" s="15" t="s">
        <v>61</v>
      </c>
      <c r="B323" s="1"/>
      <c r="C323" s="1"/>
      <c r="D323" s="1"/>
      <c r="E323" s="55" t="s">
        <v>7</v>
      </c>
      <c r="F323" s="1"/>
      <c r="G323" s="1"/>
      <c r="H323" s="1"/>
      <c r="I323" s="55" t="s">
        <v>7</v>
      </c>
      <c r="J323" s="1"/>
      <c r="K323" s="1"/>
      <c r="L323" s="1"/>
      <c r="M323" s="55" t="s">
        <v>7</v>
      </c>
      <c r="N323" s="1"/>
      <c r="O323" s="1"/>
      <c r="P323" s="1"/>
      <c r="Q323" s="55" t="s">
        <v>7</v>
      </c>
      <c r="R323" s="55" t="s">
        <v>7</v>
      </c>
    </row>
    <row r="324" spans="1:20" ht="15.75" customHeight="1" x14ac:dyDescent="0.3">
      <c r="A324" s="72" t="s">
        <v>254</v>
      </c>
      <c r="B324" s="1">
        <v>3865</v>
      </c>
      <c r="C324" s="1">
        <v>2822</v>
      </c>
      <c r="D324" s="1">
        <v>10331</v>
      </c>
      <c r="E324" s="55">
        <f>SUM(B324:D324)</f>
        <v>17018</v>
      </c>
      <c r="F324" s="1">
        <v>11866</v>
      </c>
      <c r="G324" s="1">
        <v>8716</v>
      </c>
      <c r="H324" s="1">
        <v>12277</v>
      </c>
      <c r="I324" s="55">
        <f>SUM(F324:H324)</f>
        <v>32859</v>
      </c>
      <c r="J324" s="1">
        <v>9252</v>
      </c>
      <c r="K324" s="1">
        <v>9530</v>
      </c>
      <c r="L324" s="1">
        <v>4570</v>
      </c>
      <c r="M324" s="55">
        <f>SUM(J324:L324)</f>
        <v>23352</v>
      </c>
      <c r="N324" s="1">
        <v>2923</v>
      </c>
      <c r="O324" s="1">
        <v>1398</v>
      </c>
      <c r="P324" s="1">
        <v>1262</v>
      </c>
      <c r="Q324" s="55">
        <f>SUM(N324:P324)</f>
        <v>5583</v>
      </c>
      <c r="R324" s="55">
        <f>+E324+I324+M324+Q324</f>
        <v>78812</v>
      </c>
      <c r="T324" s="4" t="s">
        <v>209</v>
      </c>
    </row>
    <row r="325" spans="1:20" ht="15.75" customHeight="1" x14ac:dyDescent="0.3">
      <c r="A325" s="72" t="s">
        <v>255</v>
      </c>
      <c r="B325" s="1">
        <v>0</v>
      </c>
      <c r="C325" s="1">
        <v>0</v>
      </c>
      <c r="D325" s="1">
        <v>0</v>
      </c>
      <c r="E325" s="55">
        <f>SUM(B325:D325)</f>
        <v>0</v>
      </c>
      <c r="F325" s="1">
        <v>0</v>
      </c>
      <c r="G325" s="1">
        <v>0</v>
      </c>
      <c r="H325" s="1">
        <v>0</v>
      </c>
      <c r="I325" s="55">
        <f>SUM(F325:H325)</f>
        <v>0</v>
      </c>
      <c r="J325" s="1">
        <v>0</v>
      </c>
      <c r="K325" s="1">
        <v>0</v>
      </c>
      <c r="L325" s="1">
        <v>0</v>
      </c>
      <c r="M325" s="55">
        <f>SUM(J325:L325)</f>
        <v>0</v>
      </c>
      <c r="N325" s="1">
        <v>0</v>
      </c>
      <c r="O325" s="1">
        <v>0</v>
      </c>
      <c r="P325" s="1">
        <v>0</v>
      </c>
      <c r="Q325" s="55">
        <f>SUM(N325:P325)</f>
        <v>0</v>
      </c>
      <c r="R325" s="55">
        <f>+E325+I325+M325+Q325</f>
        <v>0</v>
      </c>
      <c r="T325" s="4" t="s">
        <v>256</v>
      </c>
    </row>
    <row r="326" spans="1:20" ht="15.75" customHeight="1" x14ac:dyDescent="0.3">
      <c r="A326" s="15" t="s">
        <v>62</v>
      </c>
      <c r="B326" s="1"/>
      <c r="C326" s="1"/>
      <c r="D326" s="1"/>
      <c r="E326" s="55" t="s">
        <v>7</v>
      </c>
      <c r="F326" s="1"/>
      <c r="G326" s="1"/>
      <c r="H326" s="1"/>
      <c r="I326" s="55" t="s">
        <v>7</v>
      </c>
      <c r="J326" s="1"/>
      <c r="K326" s="1"/>
      <c r="L326" s="1"/>
      <c r="M326" s="55" t="s">
        <v>7</v>
      </c>
      <c r="N326" s="1"/>
      <c r="O326" s="1"/>
      <c r="P326" s="1"/>
      <c r="Q326" s="55" t="s">
        <v>7</v>
      </c>
      <c r="R326" s="55" t="s">
        <v>7</v>
      </c>
    </row>
    <row r="327" spans="1:20" ht="15.75" customHeight="1" x14ac:dyDescent="0.3">
      <c r="A327" s="72" t="s">
        <v>146</v>
      </c>
      <c r="B327" s="1">
        <v>0</v>
      </c>
      <c r="C327" s="1">
        <v>0</v>
      </c>
      <c r="D327" s="1">
        <v>0</v>
      </c>
      <c r="E327" s="55">
        <f>SUM(B327:D327)</f>
        <v>0</v>
      </c>
      <c r="F327" s="1">
        <v>0</v>
      </c>
      <c r="G327" s="1">
        <v>0</v>
      </c>
      <c r="H327" s="1">
        <v>0</v>
      </c>
      <c r="I327" s="55">
        <f>SUM(F327:H327)</f>
        <v>0</v>
      </c>
      <c r="J327" s="1">
        <v>0</v>
      </c>
      <c r="K327" s="1">
        <v>0</v>
      </c>
      <c r="L327" s="1">
        <v>0</v>
      </c>
      <c r="M327" s="55">
        <f>SUM(J327:L327)</f>
        <v>0</v>
      </c>
      <c r="N327" s="1">
        <v>0</v>
      </c>
      <c r="O327" s="1">
        <v>0</v>
      </c>
      <c r="P327" s="1">
        <v>0</v>
      </c>
      <c r="Q327" s="55">
        <f>SUM(N327:P327)</f>
        <v>0</v>
      </c>
      <c r="R327" s="55">
        <f>+E327+I327+M327+Q327</f>
        <v>0</v>
      </c>
      <c r="T327" s="4" t="s">
        <v>210</v>
      </c>
    </row>
    <row r="328" spans="1:20" ht="15.75" customHeight="1" x14ac:dyDescent="0.3">
      <c r="A328" s="72" t="s">
        <v>147</v>
      </c>
      <c r="B328" s="1">
        <v>0</v>
      </c>
      <c r="C328" s="1">
        <v>0</v>
      </c>
      <c r="D328" s="1">
        <v>0</v>
      </c>
      <c r="E328" s="55">
        <f t="shared" ref="E328:E342" si="68">SUM(B328:D328)</f>
        <v>0</v>
      </c>
      <c r="F328" s="1">
        <v>0</v>
      </c>
      <c r="G328" s="1">
        <v>0</v>
      </c>
      <c r="H328" s="1">
        <v>0</v>
      </c>
      <c r="I328" s="55">
        <f t="shared" ref="I328:I342" si="69">SUM(F328:H328)</f>
        <v>0</v>
      </c>
      <c r="J328" s="1">
        <v>0</v>
      </c>
      <c r="K328" s="1">
        <v>0</v>
      </c>
      <c r="L328" s="1">
        <v>0</v>
      </c>
      <c r="M328" s="55">
        <f t="shared" ref="M328:M342" si="70">SUM(J328:L328)</f>
        <v>0</v>
      </c>
      <c r="N328" s="1">
        <v>0</v>
      </c>
      <c r="O328" s="1">
        <v>0</v>
      </c>
      <c r="P328" s="1">
        <v>0</v>
      </c>
      <c r="Q328" s="55">
        <f t="shared" ref="Q328:Q342" si="71">SUM(N328:P328)</f>
        <v>0</v>
      </c>
      <c r="R328" s="55">
        <f t="shared" ref="R328:R342" si="72">+E328+I328+M328+Q328</f>
        <v>0</v>
      </c>
      <c r="T328" s="4" t="s">
        <v>210</v>
      </c>
    </row>
    <row r="329" spans="1:20" ht="15.75" customHeight="1" x14ac:dyDescent="0.3">
      <c r="A329" s="72" t="s">
        <v>149</v>
      </c>
      <c r="B329" s="1">
        <v>0</v>
      </c>
      <c r="C329" s="1">
        <v>0</v>
      </c>
      <c r="D329" s="1">
        <v>627</v>
      </c>
      <c r="E329" s="55">
        <f t="shared" si="68"/>
        <v>627</v>
      </c>
      <c r="F329" s="1">
        <v>0</v>
      </c>
      <c r="G329" s="1">
        <v>0</v>
      </c>
      <c r="H329" s="1">
        <v>0</v>
      </c>
      <c r="I329" s="55">
        <f t="shared" si="69"/>
        <v>0</v>
      </c>
      <c r="J329" s="1">
        <v>0</v>
      </c>
      <c r="K329" s="1">
        <v>0</v>
      </c>
      <c r="L329" s="1">
        <v>0</v>
      </c>
      <c r="M329" s="55">
        <f t="shared" si="70"/>
        <v>0</v>
      </c>
      <c r="N329" s="1">
        <v>0</v>
      </c>
      <c r="O329" s="1">
        <v>0</v>
      </c>
      <c r="P329" s="1">
        <v>0</v>
      </c>
      <c r="Q329" s="55">
        <f t="shared" si="71"/>
        <v>0</v>
      </c>
      <c r="R329" s="55">
        <f t="shared" si="72"/>
        <v>627</v>
      </c>
      <c r="T329" s="4" t="s">
        <v>210</v>
      </c>
    </row>
    <row r="330" spans="1:20" ht="15.75" customHeight="1" x14ac:dyDescent="0.3">
      <c r="A330" s="72" t="s">
        <v>257</v>
      </c>
      <c r="B330" s="1">
        <v>381</v>
      </c>
      <c r="C330" s="1">
        <v>216</v>
      </c>
      <c r="D330" s="1">
        <v>217</v>
      </c>
      <c r="E330" s="55">
        <f>SUM(B330:D330)</f>
        <v>814</v>
      </c>
      <c r="F330" s="1">
        <v>96</v>
      </c>
      <c r="G330" s="1">
        <v>0</v>
      </c>
      <c r="H330" s="1">
        <v>0</v>
      </c>
      <c r="I330" s="55">
        <f>SUM(F330:H330)</f>
        <v>96</v>
      </c>
      <c r="J330" s="1">
        <v>0</v>
      </c>
      <c r="K330" s="1">
        <v>0</v>
      </c>
      <c r="L330" s="1">
        <v>1555</v>
      </c>
      <c r="M330" s="55">
        <f>SUM(J330:L330)</f>
        <v>1555</v>
      </c>
      <c r="N330" s="1">
        <v>2395</v>
      </c>
      <c r="O330" s="1">
        <v>0</v>
      </c>
      <c r="P330" s="1">
        <v>0</v>
      </c>
      <c r="Q330" s="55">
        <f>SUM(N330:P330)</f>
        <v>2395</v>
      </c>
      <c r="R330" s="55">
        <f>+E330+I330+M330+Q330</f>
        <v>4860</v>
      </c>
      <c r="T330" s="4" t="s">
        <v>210</v>
      </c>
    </row>
    <row r="331" spans="1:20" ht="15.75" customHeight="1" x14ac:dyDescent="0.35">
      <c r="A331" s="110" t="s">
        <v>258</v>
      </c>
      <c r="B331" s="1">
        <v>0</v>
      </c>
      <c r="C331" s="1">
        <v>0</v>
      </c>
      <c r="D331" s="1">
        <v>5000</v>
      </c>
      <c r="E331" s="55">
        <f>SUM(B331:D331)</f>
        <v>5000</v>
      </c>
      <c r="F331" s="1">
        <v>2500</v>
      </c>
      <c r="G331" s="1">
        <v>2500</v>
      </c>
      <c r="H331" s="1">
        <v>0</v>
      </c>
      <c r="I331" s="55">
        <f>SUM(F331:H331)</f>
        <v>5000</v>
      </c>
      <c r="J331" s="1">
        <v>0</v>
      </c>
      <c r="K331" s="1">
        <v>0</v>
      </c>
      <c r="L331" s="1">
        <v>0</v>
      </c>
      <c r="M331" s="55">
        <f>SUM(J331:L331)</f>
        <v>0</v>
      </c>
      <c r="N331" s="1">
        <v>0</v>
      </c>
      <c r="O331" s="1">
        <v>0</v>
      </c>
      <c r="P331" s="1">
        <v>0</v>
      </c>
      <c r="Q331" s="55">
        <f>SUM(N331:P331)</f>
        <v>0</v>
      </c>
      <c r="R331" s="55">
        <f>+E331+I331+M331+Q331</f>
        <v>10000</v>
      </c>
      <c r="T331" s="4" t="s">
        <v>259</v>
      </c>
    </row>
    <row r="332" spans="1:20" ht="15.75" customHeight="1" x14ac:dyDescent="0.35">
      <c r="A332" s="110" t="s">
        <v>260</v>
      </c>
      <c r="B332" s="1">
        <v>0</v>
      </c>
      <c r="C332" s="1">
        <v>0</v>
      </c>
      <c r="D332" s="1">
        <v>2000</v>
      </c>
      <c r="E332" s="55">
        <f>SUM(B332:D332)</f>
        <v>2000</v>
      </c>
      <c r="F332" s="1">
        <v>2500</v>
      </c>
      <c r="G332" s="1">
        <v>2500</v>
      </c>
      <c r="H332" s="1">
        <v>0</v>
      </c>
      <c r="I332" s="55">
        <f>SUM(F332:H332)</f>
        <v>5000</v>
      </c>
      <c r="J332" s="1">
        <v>0</v>
      </c>
      <c r="K332" s="1">
        <v>0</v>
      </c>
      <c r="L332" s="1">
        <v>0</v>
      </c>
      <c r="M332" s="55">
        <f>SUM(J332:L332)</f>
        <v>0</v>
      </c>
      <c r="N332" s="1">
        <v>0</v>
      </c>
      <c r="O332" s="1">
        <v>0</v>
      </c>
      <c r="P332" s="1">
        <v>0</v>
      </c>
      <c r="Q332" s="55">
        <f>SUM(N332:P332)</f>
        <v>0</v>
      </c>
      <c r="R332" s="55">
        <f>+E332+I332+M332+Q332</f>
        <v>7000</v>
      </c>
      <c r="T332" s="4" t="s">
        <v>209</v>
      </c>
    </row>
    <row r="333" spans="1:20" ht="15.75" customHeight="1" x14ac:dyDescent="0.3">
      <c r="A333" s="72" t="s">
        <v>261</v>
      </c>
      <c r="B333" s="1">
        <v>0</v>
      </c>
      <c r="C333" s="1">
        <v>0</v>
      </c>
      <c r="D333" s="1">
        <v>0</v>
      </c>
      <c r="E333" s="55">
        <f>SUM(B333:D333)</f>
        <v>0</v>
      </c>
      <c r="F333" s="1">
        <v>0</v>
      </c>
      <c r="G333" s="1">
        <v>0</v>
      </c>
      <c r="H333" s="1">
        <v>0</v>
      </c>
      <c r="I333" s="55">
        <f>SUM(F333:H333)</f>
        <v>0</v>
      </c>
      <c r="J333" s="1">
        <v>0</v>
      </c>
      <c r="K333" s="1">
        <v>0</v>
      </c>
      <c r="L333" s="1">
        <v>0</v>
      </c>
      <c r="M333" s="55">
        <f>SUM(J333:L333)</f>
        <v>0</v>
      </c>
      <c r="N333" s="1">
        <v>0</v>
      </c>
      <c r="O333" s="1">
        <v>0</v>
      </c>
      <c r="P333" s="1">
        <v>0</v>
      </c>
      <c r="Q333" s="55">
        <f>SUM(N333:P333)</f>
        <v>0</v>
      </c>
      <c r="R333" s="55">
        <f>+E333+I333+M333+Q333</f>
        <v>0</v>
      </c>
      <c r="T333" s="4" t="s">
        <v>210</v>
      </c>
    </row>
    <row r="334" spans="1:20" ht="15.75" customHeight="1" x14ac:dyDescent="0.3">
      <c r="A334" s="72" t="s">
        <v>262</v>
      </c>
      <c r="B334" s="1">
        <v>0</v>
      </c>
      <c r="C334" s="1">
        <v>0</v>
      </c>
      <c r="D334" s="1">
        <v>0</v>
      </c>
      <c r="E334" s="55">
        <f t="shared" si="68"/>
        <v>0</v>
      </c>
      <c r="F334" s="1">
        <v>0</v>
      </c>
      <c r="G334" s="1">
        <v>0</v>
      </c>
      <c r="H334" s="1">
        <v>0</v>
      </c>
      <c r="I334" s="55">
        <f t="shared" si="69"/>
        <v>0</v>
      </c>
      <c r="J334" s="1">
        <v>0</v>
      </c>
      <c r="K334" s="1">
        <v>0</v>
      </c>
      <c r="L334" s="1">
        <v>0</v>
      </c>
      <c r="M334" s="55">
        <f t="shared" si="70"/>
        <v>0</v>
      </c>
      <c r="N334" s="1">
        <v>0</v>
      </c>
      <c r="O334" s="1">
        <v>0</v>
      </c>
      <c r="P334" s="1">
        <v>0</v>
      </c>
      <c r="Q334" s="55">
        <f t="shared" si="71"/>
        <v>0</v>
      </c>
      <c r="R334" s="55">
        <f t="shared" si="72"/>
        <v>0</v>
      </c>
      <c r="T334" s="4" t="s">
        <v>210</v>
      </c>
    </row>
    <row r="335" spans="1:20" ht="15.75" customHeight="1" x14ac:dyDescent="0.3">
      <c r="A335" s="72" t="s">
        <v>159</v>
      </c>
      <c r="B335" s="1">
        <v>0</v>
      </c>
      <c r="C335" s="1">
        <v>0</v>
      </c>
      <c r="D335" s="1">
        <v>0</v>
      </c>
      <c r="E335" s="55">
        <f t="shared" si="68"/>
        <v>0</v>
      </c>
      <c r="F335" s="1">
        <v>0</v>
      </c>
      <c r="G335" s="1">
        <v>0</v>
      </c>
      <c r="H335" s="1">
        <v>0</v>
      </c>
      <c r="I335" s="55">
        <f t="shared" si="69"/>
        <v>0</v>
      </c>
      <c r="J335" s="1">
        <v>0</v>
      </c>
      <c r="K335" s="1">
        <v>0</v>
      </c>
      <c r="L335" s="1">
        <v>0</v>
      </c>
      <c r="M335" s="55">
        <f t="shared" si="70"/>
        <v>0</v>
      </c>
      <c r="N335" s="1">
        <v>0</v>
      </c>
      <c r="O335" s="1">
        <v>0</v>
      </c>
      <c r="P335" s="1">
        <v>0</v>
      </c>
      <c r="Q335" s="55">
        <f t="shared" si="71"/>
        <v>0</v>
      </c>
      <c r="R335" s="55">
        <f t="shared" si="72"/>
        <v>0</v>
      </c>
      <c r="T335" s="4" t="s">
        <v>210</v>
      </c>
    </row>
    <row r="336" spans="1:20" ht="15.75" customHeight="1" x14ac:dyDescent="0.3">
      <c r="A336" s="72" t="s">
        <v>160</v>
      </c>
      <c r="B336" s="1">
        <v>0</v>
      </c>
      <c r="C336" s="1">
        <v>0</v>
      </c>
      <c r="D336" s="1">
        <v>0</v>
      </c>
      <c r="E336" s="55">
        <f t="shared" si="68"/>
        <v>0</v>
      </c>
      <c r="F336" s="1">
        <v>0</v>
      </c>
      <c r="G336" s="1">
        <v>0</v>
      </c>
      <c r="H336" s="1">
        <v>0</v>
      </c>
      <c r="I336" s="55">
        <f t="shared" si="69"/>
        <v>0</v>
      </c>
      <c r="J336" s="1">
        <v>0</v>
      </c>
      <c r="K336" s="1">
        <v>0</v>
      </c>
      <c r="L336" s="1">
        <v>0</v>
      </c>
      <c r="M336" s="55">
        <f t="shared" si="70"/>
        <v>0</v>
      </c>
      <c r="N336" s="1">
        <v>0</v>
      </c>
      <c r="O336" s="1">
        <v>0</v>
      </c>
      <c r="P336" s="1">
        <v>0</v>
      </c>
      <c r="Q336" s="55">
        <f t="shared" si="71"/>
        <v>0</v>
      </c>
      <c r="R336" s="55">
        <f t="shared" si="72"/>
        <v>0</v>
      </c>
      <c r="T336" s="4" t="s">
        <v>210</v>
      </c>
    </row>
    <row r="337" spans="1:20" ht="15.75" customHeight="1" x14ac:dyDescent="0.3">
      <c r="A337" s="72" t="s">
        <v>162</v>
      </c>
      <c r="B337" s="1">
        <v>0</v>
      </c>
      <c r="C337" s="1">
        <v>0</v>
      </c>
      <c r="D337" s="1">
        <v>1308</v>
      </c>
      <c r="E337" s="55">
        <f t="shared" si="68"/>
        <v>1308</v>
      </c>
      <c r="F337" s="1">
        <v>361</v>
      </c>
      <c r="G337" s="1">
        <v>0</v>
      </c>
      <c r="H337" s="1">
        <v>0</v>
      </c>
      <c r="I337" s="55">
        <f t="shared" si="69"/>
        <v>361</v>
      </c>
      <c r="J337" s="1">
        <v>0</v>
      </c>
      <c r="K337" s="1">
        <v>0</v>
      </c>
      <c r="L337" s="1">
        <v>0</v>
      </c>
      <c r="M337" s="55">
        <f t="shared" si="70"/>
        <v>0</v>
      </c>
      <c r="N337" s="1">
        <v>0</v>
      </c>
      <c r="O337" s="1">
        <v>0</v>
      </c>
      <c r="P337" s="1">
        <v>0</v>
      </c>
      <c r="Q337" s="55">
        <f t="shared" si="71"/>
        <v>0</v>
      </c>
      <c r="R337" s="55">
        <f t="shared" si="72"/>
        <v>1669</v>
      </c>
      <c r="T337" s="4" t="s">
        <v>210</v>
      </c>
    </row>
    <row r="338" spans="1:20" ht="15.75" customHeight="1" x14ac:dyDescent="0.3">
      <c r="A338" s="72" t="s">
        <v>168</v>
      </c>
      <c r="B338" s="1">
        <v>0</v>
      </c>
      <c r="C338" s="1">
        <v>0</v>
      </c>
      <c r="D338" s="1">
        <v>0</v>
      </c>
      <c r="E338" s="55">
        <f t="shared" si="68"/>
        <v>0</v>
      </c>
      <c r="F338" s="1">
        <v>158</v>
      </c>
      <c r="G338" s="1">
        <v>165</v>
      </c>
      <c r="H338" s="1">
        <v>197</v>
      </c>
      <c r="I338" s="55">
        <f t="shared" si="69"/>
        <v>520</v>
      </c>
      <c r="J338" s="1">
        <v>246</v>
      </c>
      <c r="K338" s="1">
        <v>248</v>
      </c>
      <c r="L338" s="1">
        <v>146</v>
      </c>
      <c r="M338" s="55">
        <f t="shared" si="70"/>
        <v>640</v>
      </c>
      <c r="N338" s="1">
        <v>0</v>
      </c>
      <c r="O338" s="1">
        <v>0</v>
      </c>
      <c r="P338" s="1">
        <v>0</v>
      </c>
      <c r="Q338" s="55">
        <f t="shared" si="71"/>
        <v>0</v>
      </c>
      <c r="R338" s="55">
        <f t="shared" si="72"/>
        <v>1160</v>
      </c>
      <c r="T338" s="4" t="s">
        <v>210</v>
      </c>
    </row>
    <row r="339" spans="1:20" ht="15.75" customHeight="1" x14ac:dyDescent="0.3">
      <c r="A339" s="72" t="s">
        <v>169</v>
      </c>
      <c r="B339" s="1">
        <v>0</v>
      </c>
      <c r="C339" s="1">
        <v>0</v>
      </c>
      <c r="D339" s="1">
        <v>0</v>
      </c>
      <c r="E339" s="55">
        <f t="shared" si="68"/>
        <v>0</v>
      </c>
      <c r="F339" s="1">
        <v>0</v>
      </c>
      <c r="G339" s="1">
        <v>0</v>
      </c>
      <c r="H339" s="1">
        <v>0</v>
      </c>
      <c r="I339" s="55">
        <f t="shared" si="69"/>
        <v>0</v>
      </c>
      <c r="J339" s="1">
        <v>0</v>
      </c>
      <c r="K339" s="1">
        <v>0</v>
      </c>
      <c r="L339" s="1">
        <v>0</v>
      </c>
      <c r="M339" s="55">
        <f t="shared" si="70"/>
        <v>0</v>
      </c>
      <c r="N339" s="1">
        <v>0</v>
      </c>
      <c r="O339" s="1">
        <v>0</v>
      </c>
      <c r="P339" s="1">
        <v>0</v>
      </c>
      <c r="Q339" s="55">
        <f t="shared" si="71"/>
        <v>0</v>
      </c>
      <c r="R339" s="55">
        <f t="shared" si="72"/>
        <v>0</v>
      </c>
      <c r="T339" s="4" t="s">
        <v>210</v>
      </c>
    </row>
    <row r="340" spans="1:20" ht="15.75" customHeight="1" x14ac:dyDescent="0.3">
      <c r="A340" s="72" t="s">
        <v>171</v>
      </c>
      <c r="B340" s="1">
        <v>0</v>
      </c>
      <c r="C340" s="1">
        <v>0</v>
      </c>
      <c r="D340" s="1">
        <v>0</v>
      </c>
      <c r="E340" s="55">
        <f t="shared" si="68"/>
        <v>0</v>
      </c>
      <c r="F340" s="1">
        <v>2209</v>
      </c>
      <c r="G340" s="1">
        <v>413</v>
      </c>
      <c r="H340" s="1">
        <v>0</v>
      </c>
      <c r="I340" s="55">
        <f t="shared" si="69"/>
        <v>2622</v>
      </c>
      <c r="J340" s="1">
        <v>0</v>
      </c>
      <c r="K340" s="1">
        <v>0</v>
      </c>
      <c r="L340" s="1">
        <v>0</v>
      </c>
      <c r="M340" s="55">
        <f t="shared" si="70"/>
        <v>0</v>
      </c>
      <c r="N340" s="1">
        <v>0</v>
      </c>
      <c r="O340" s="1">
        <v>0</v>
      </c>
      <c r="P340" s="1">
        <v>0</v>
      </c>
      <c r="Q340" s="55">
        <f t="shared" si="71"/>
        <v>0</v>
      </c>
      <c r="R340" s="55">
        <f t="shared" si="72"/>
        <v>2622</v>
      </c>
      <c r="T340" s="4" t="s">
        <v>210</v>
      </c>
    </row>
    <row r="341" spans="1:20" ht="15.75" customHeight="1" thickBot="1" x14ac:dyDescent="0.35">
      <c r="A341" s="111" t="s">
        <v>263</v>
      </c>
      <c r="B341" s="112">
        <v>0</v>
      </c>
      <c r="C341" s="112">
        <v>0</v>
      </c>
      <c r="D341" s="112">
        <v>0</v>
      </c>
      <c r="E341" s="113">
        <f t="shared" si="68"/>
        <v>0</v>
      </c>
      <c r="F341" s="112">
        <v>0</v>
      </c>
      <c r="G341" s="112">
        <v>0</v>
      </c>
      <c r="H341" s="112">
        <v>0</v>
      </c>
      <c r="I341" s="113">
        <f t="shared" si="69"/>
        <v>0</v>
      </c>
      <c r="J341" s="112">
        <v>0</v>
      </c>
      <c r="K341" s="112">
        <v>0</v>
      </c>
      <c r="L341" s="112">
        <v>0</v>
      </c>
      <c r="M341" s="113">
        <f t="shared" si="70"/>
        <v>0</v>
      </c>
      <c r="N341" s="112">
        <v>0</v>
      </c>
      <c r="O341" s="112">
        <v>0</v>
      </c>
      <c r="P341" s="112">
        <v>0</v>
      </c>
      <c r="Q341" s="113">
        <f t="shared" si="71"/>
        <v>0</v>
      </c>
      <c r="R341" s="113">
        <f t="shared" si="72"/>
        <v>0</v>
      </c>
      <c r="T341" s="4" t="s">
        <v>206</v>
      </c>
    </row>
    <row r="342" spans="1:20" ht="15.75" customHeight="1" thickBot="1" x14ac:dyDescent="0.35">
      <c r="A342" s="114" t="s">
        <v>63</v>
      </c>
      <c r="B342" s="86">
        <f>SUM(B322:B341)</f>
        <v>4246</v>
      </c>
      <c r="C342" s="87">
        <f>SUM(C322:C341)</f>
        <v>3038</v>
      </c>
      <c r="D342" s="87">
        <f>SUM(D322:D341)</f>
        <v>19483</v>
      </c>
      <c r="E342" s="59">
        <f t="shared" si="68"/>
        <v>26767</v>
      </c>
      <c r="F342" s="87">
        <f>SUM(F322:F341)</f>
        <v>19690</v>
      </c>
      <c r="G342" s="87">
        <f>SUM(G322:G341)</f>
        <v>14294</v>
      </c>
      <c r="H342" s="87">
        <f>SUM(H322:H341)</f>
        <v>12474</v>
      </c>
      <c r="I342" s="59">
        <f t="shared" si="69"/>
        <v>46458</v>
      </c>
      <c r="J342" s="87">
        <f>SUM(J322:J341)</f>
        <v>9498</v>
      </c>
      <c r="K342" s="87">
        <f>SUM(K322:K341)</f>
        <v>9778</v>
      </c>
      <c r="L342" s="87">
        <f>SUM(L322:L341)</f>
        <v>6271</v>
      </c>
      <c r="M342" s="59">
        <f t="shared" si="70"/>
        <v>25547</v>
      </c>
      <c r="N342" s="87">
        <f>SUM(N322:N341)</f>
        <v>5318</v>
      </c>
      <c r="O342" s="87">
        <f>SUM(O322:O341)</f>
        <v>1398</v>
      </c>
      <c r="P342" s="87">
        <f>SUM(P322:P341)</f>
        <v>1262</v>
      </c>
      <c r="Q342" s="59">
        <f t="shared" si="71"/>
        <v>7978</v>
      </c>
      <c r="R342" s="59">
        <f t="shared" si="72"/>
        <v>106750</v>
      </c>
    </row>
    <row r="343" spans="1:20" ht="15.75" customHeight="1" x14ac:dyDescent="0.3">
      <c r="A343" s="15" t="s">
        <v>64</v>
      </c>
      <c r="B343" s="1"/>
      <c r="C343" s="1"/>
      <c r="D343" s="1"/>
      <c r="E343" s="55" t="s">
        <v>7</v>
      </c>
      <c r="F343" s="1"/>
      <c r="G343" s="1"/>
      <c r="H343" s="1"/>
      <c r="I343" s="55" t="s">
        <v>7</v>
      </c>
      <c r="J343" s="1"/>
      <c r="K343" s="1"/>
      <c r="L343" s="1"/>
      <c r="M343" s="55" t="s">
        <v>7</v>
      </c>
      <c r="N343" s="1"/>
      <c r="O343" s="1"/>
      <c r="P343" s="1"/>
      <c r="Q343" s="55" t="s">
        <v>7</v>
      </c>
      <c r="R343" s="55" t="s">
        <v>7</v>
      </c>
    </row>
    <row r="344" spans="1:20" ht="15.75" customHeight="1" x14ac:dyDescent="0.3">
      <c r="A344" s="15" t="s">
        <v>65</v>
      </c>
      <c r="B344" s="1"/>
      <c r="C344" s="1"/>
      <c r="D344" s="1"/>
      <c r="E344" s="55" t="s">
        <v>7</v>
      </c>
      <c r="F344" s="1"/>
      <c r="G344" s="1"/>
      <c r="H344" s="1"/>
      <c r="I344" s="55" t="s">
        <v>7</v>
      </c>
      <c r="J344" s="1"/>
      <c r="K344" s="1"/>
      <c r="L344" s="1"/>
      <c r="M344" s="55" t="s">
        <v>7</v>
      </c>
      <c r="N344" s="1"/>
      <c r="O344" s="1"/>
      <c r="P344" s="1"/>
      <c r="Q344" s="55" t="s">
        <v>7</v>
      </c>
      <c r="R344" s="55" t="s">
        <v>7</v>
      </c>
    </row>
    <row r="345" spans="1:20" ht="15.75" customHeight="1" x14ac:dyDescent="0.3">
      <c r="A345" s="72" t="s">
        <v>264</v>
      </c>
      <c r="B345" s="1">
        <v>0</v>
      </c>
      <c r="C345" s="1">
        <v>0</v>
      </c>
      <c r="D345" s="1">
        <v>0</v>
      </c>
      <c r="E345" s="55">
        <f>SUM(B345:D345)</f>
        <v>0</v>
      </c>
      <c r="F345" s="1">
        <v>0</v>
      </c>
      <c r="G345" s="1">
        <v>0</v>
      </c>
      <c r="H345" s="1">
        <v>0</v>
      </c>
      <c r="I345" s="55">
        <f>SUM(F345:H345)</f>
        <v>0</v>
      </c>
      <c r="J345" s="1">
        <v>0</v>
      </c>
      <c r="K345" s="1">
        <v>0</v>
      </c>
      <c r="L345" s="1">
        <v>0</v>
      </c>
      <c r="M345" s="55">
        <f>SUM(J345:L345)</f>
        <v>0</v>
      </c>
      <c r="N345" s="1">
        <v>0</v>
      </c>
      <c r="O345" s="1">
        <v>0</v>
      </c>
      <c r="P345" s="1">
        <v>0</v>
      </c>
      <c r="Q345" s="55">
        <f>SUM(N345:P345)</f>
        <v>0</v>
      </c>
      <c r="R345" s="55">
        <f>+E345+I345+M345+Q345</f>
        <v>0</v>
      </c>
      <c r="T345" s="4" t="s">
        <v>265</v>
      </c>
    </row>
    <row r="346" spans="1:20" ht="15.75" customHeight="1" x14ac:dyDescent="0.3">
      <c r="A346" s="72" t="s">
        <v>266</v>
      </c>
      <c r="B346" s="1">
        <v>4</v>
      </c>
      <c r="C346" s="1">
        <v>4</v>
      </c>
      <c r="D346" s="1">
        <v>6</v>
      </c>
      <c r="E346" s="55">
        <f>SUM(B346:D346)</f>
        <v>14</v>
      </c>
      <c r="F346" s="1">
        <v>3</v>
      </c>
      <c r="G346" s="1">
        <v>10</v>
      </c>
      <c r="H346" s="1">
        <v>8</v>
      </c>
      <c r="I346" s="55">
        <f>SUM(F346:H346)</f>
        <v>21</v>
      </c>
      <c r="J346" s="1">
        <v>6</v>
      </c>
      <c r="K346" s="1">
        <v>2</v>
      </c>
      <c r="L346" s="1">
        <v>0</v>
      </c>
      <c r="M346" s="55">
        <f>SUM(J346:L346)</f>
        <v>8</v>
      </c>
      <c r="N346" s="1">
        <v>0</v>
      </c>
      <c r="O346" s="1">
        <v>0</v>
      </c>
      <c r="P346" s="1">
        <v>0</v>
      </c>
      <c r="Q346" s="55">
        <f>SUM(N346:P346)</f>
        <v>0</v>
      </c>
      <c r="R346" s="55">
        <f>+E346+I346+M346+Q346</f>
        <v>43</v>
      </c>
      <c r="T346" s="4" t="s">
        <v>210</v>
      </c>
    </row>
    <row r="347" spans="1:20" ht="15.75" customHeight="1" x14ac:dyDescent="0.3">
      <c r="A347" s="15" t="s">
        <v>67</v>
      </c>
      <c r="B347" s="1"/>
      <c r="C347" s="1"/>
      <c r="D347" s="1"/>
      <c r="E347" s="55" t="s">
        <v>7</v>
      </c>
      <c r="F347" s="1"/>
      <c r="G347" s="1"/>
      <c r="H347" s="1"/>
      <c r="I347" s="55" t="s">
        <v>7</v>
      </c>
      <c r="J347" s="1"/>
      <c r="K347" s="1"/>
      <c r="L347" s="1"/>
      <c r="M347" s="55" t="s">
        <v>7</v>
      </c>
      <c r="N347" s="1"/>
      <c r="O347" s="1"/>
      <c r="P347" s="1"/>
      <c r="Q347" s="55" t="s">
        <v>7</v>
      </c>
      <c r="R347" s="55" t="s">
        <v>7</v>
      </c>
    </row>
    <row r="348" spans="1:20" ht="15.75" customHeight="1" x14ac:dyDescent="0.3">
      <c r="A348" s="72" t="s">
        <v>267</v>
      </c>
      <c r="B348" s="1">
        <v>0</v>
      </c>
      <c r="C348" s="1">
        <v>0</v>
      </c>
      <c r="D348" s="1">
        <v>0</v>
      </c>
      <c r="E348" s="55">
        <f>SUM(B348:D348)</f>
        <v>0</v>
      </c>
      <c r="F348" s="1">
        <v>0</v>
      </c>
      <c r="G348" s="1">
        <v>0</v>
      </c>
      <c r="H348" s="1">
        <v>0</v>
      </c>
      <c r="I348" s="55">
        <f>SUM(F348:H348)</f>
        <v>0</v>
      </c>
      <c r="J348" s="1">
        <v>0</v>
      </c>
      <c r="K348" s="1">
        <v>0</v>
      </c>
      <c r="L348" s="1">
        <v>0</v>
      </c>
      <c r="M348" s="55">
        <f>SUM(J348:L348)</f>
        <v>0</v>
      </c>
      <c r="N348" s="1">
        <v>0</v>
      </c>
      <c r="O348" s="1">
        <v>0</v>
      </c>
      <c r="P348" s="1">
        <v>0</v>
      </c>
      <c r="Q348" s="55">
        <f>SUM(N348:P348)</f>
        <v>0</v>
      </c>
      <c r="R348" s="55">
        <f>+E348+I348+M348+Q348</f>
        <v>0</v>
      </c>
      <c r="T348" s="4" t="s">
        <v>268</v>
      </c>
    </row>
    <row r="349" spans="1:20" ht="15.75" customHeight="1" x14ac:dyDescent="0.3">
      <c r="A349" s="72" t="s">
        <v>269</v>
      </c>
      <c r="B349" s="1">
        <v>0</v>
      </c>
      <c r="C349" s="1">
        <v>0</v>
      </c>
      <c r="D349" s="1">
        <v>0</v>
      </c>
      <c r="E349" s="55">
        <f>SUM(B349:D349)</f>
        <v>0</v>
      </c>
      <c r="F349" s="1">
        <v>0</v>
      </c>
      <c r="G349" s="1">
        <v>0</v>
      </c>
      <c r="H349" s="1">
        <v>0</v>
      </c>
      <c r="I349" s="55">
        <f>SUM(F349:H349)</f>
        <v>0</v>
      </c>
      <c r="J349" s="1">
        <v>0</v>
      </c>
      <c r="K349" s="1">
        <v>0</v>
      </c>
      <c r="L349" s="1">
        <v>0</v>
      </c>
      <c r="M349" s="55">
        <f>SUM(J349:L349)</f>
        <v>0</v>
      </c>
      <c r="N349" s="1">
        <v>0</v>
      </c>
      <c r="O349" s="1">
        <v>0</v>
      </c>
      <c r="P349" s="1">
        <v>0</v>
      </c>
      <c r="Q349" s="55">
        <f>SUM(N349:P349)</f>
        <v>0</v>
      </c>
      <c r="R349" s="55">
        <f>+E349+I349+M349+Q349</f>
        <v>0</v>
      </c>
      <c r="T349" s="4" t="s">
        <v>214</v>
      </c>
    </row>
    <row r="350" spans="1:20" ht="15.75" customHeight="1" x14ac:dyDescent="0.3">
      <c r="A350" s="15" t="s">
        <v>69</v>
      </c>
      <c r="B350" s="1"/>
      <c r="C350" s="1"/>
      <c r="D350" s="1"/>
      <c r="E350" s="55" t="s">
        <v>7</v>
      </c>
      <c r="F350" s="1"/>
      <c r="G350" s="1"/>
      <c r="H350" s="1"/>
      <c r="I350" s="55" t="s">
        <v>7</v>
      </c>
      <c r="J350" s="1"/>
      <c r="K350" s="1"/>
      <c r="L350" s="1"/>
      <c r="M350" s="55" t="s">
        <v>7</v>
      </c>
      <c r="N350" s="1"/>
      <c r="O350" s="1"/>
      <c r="P350" s="1"/>
      <c r="Q350" s="55" t="s">
        <v>7</v>
      </c>
      <c r="R350" s="55" t="s">
        <v>7</v>
      </c>
    </row>
    <row r="351" spans="1:20" ht="15.75" customHeight="1" x14ac:dyDescent="0.3">
      <c r="A351" s="72" t="s">
        <v>270</v>
      </c>
      <c r="B351" s="1">
        <v>0</v>
      </c>
      <c r="C351" s="1">
        <v>0</v>
      </c>
      <c r="D351" s="1">
        <v>0</v>
      </c>
      <c r="E351" s="55">
        <f t="shared" ref="E351:E357" si="73">SUM(B351:D351)</f>
        <v>0</v>
      </c>
      <c r="F351" s="1">
        <v>0</v>
      </c>
      <c r="G351" s="1">
        <v>0</v>
      </c>
      <c r="H351" s="1">
        <v>0</v>
      </c>
      <c r="I351" s="55">
        <f t="shared" ref="I351:I357" si="74">SUM(F351:H351)</f>
        <v>0</v>
      </c>
      <c r="J351" s="1">
        <v>3779</v>
      </c>
      <c r="K351" s="1">
        <v>5894</v>
      </c>
      <c r="L351" s="1">
        <v>5049</v>
      </c>
      <c r="M351" s="55">
        <f t="shared" ref="M351:M357" si="75">SUM(J351:L351)</f>
        <v>14722</v>
      </c>
      <c r="N351" s="1">
        <v>3478</v>
      </c>
      <c r="O351" s="1">
        <v>1800</v>
      </c>
      <c r="P351" s="1">
        <v>0</v>
      </c>
      <c r="Q351" s="55">
        <f t="shared" ref="Q351:Q357" si="76">SUM(N351:P351)</f>
        <v>5278</v>
      </c>
      <c r="R351" s="55">
        <f t="shared" ref="R351:R357" si="77">+E351+I351+M351+Q351</f>
        <v>20000</v>
      </c>
      <c r="T351" s="4" t="s">
        <v>224</v>
      </c>
    </row>
    <row r="352" spans="1:20" ht="15.75" customHeight="1" x14ac:dyDescent="0.3">
      <c r="A352" s="72" t="s">
        <v>271</v>
      </c>
      <c r="B352" s="1">
        <v>0</v>
      </c>
      <c r="C352" s="1">
        <v>0</v>
      </c>
      <c r="D352" s="1">
        <v>0</v>
      </c>
      <c r="E352" s="55">
        <f t="shared" si="73"/>
        <v>0</v>
      </c>
      <c r="F352" s="1">
        <v>0</v>
      </c>
      <c r="G352" s="1">
        <v>0</v>
      </c>
      <c r="H352" s="1">
        <v>1000</v>
      </c>
      <c r="I352" s="55">
        <f t="shared" si="74"/>
        <v>1000</v>
      </c>
      <c r="J352" s="1">
        <v>0</v>
      </c>
      <c r="K352" s="1">
        <v>0</v>
      </c>
      <c r="L352" s="1">
        <v>0</v>
      </c>
      <c r="M352" s="55">
        <f t="shared" si="75"/>
        <v>0</v>
      </c>
      <c r="N352" s="1">
        <v>0</v>
      </c>
      <c r="O352" s="1">
        <v>0</v>
      </c>
      <c r="P352" s="1">
        <v>0</v>
      </c>
      <c r="Q352" s="55">
        <f t="shared" si="76"/>
        <v>0</v>
      </c>
      <c r="R352" s="55">
        <f t="shared" si="77"/>
        <v>1000</v>
      </c>
      <c r="T352" s="4" t="s">
        <v>214</v>
      </c>
    </row>
    <row r="353" spans="1:20" ht="15.75" customHeight="1" x14ac:dyDescent="0.3">
      <c r="A353" s="71" t="s">
        <v>272</v>
      </c>
      <c r="B353" s="1">
        <v>319</v>
      </c>
      <c r="C353" s="1">
        <v>0</v>
      </c>
      <c r="D353" s="1">
        <v>2189</v>
      </c>
      <c r="E353" s="55">
        <f>SUM(B353:D353)</f>
        <v>2508</v>
      </c>
      <c r="F353" s="1">
        <v>3335</v>
      </c>
      <c r="G353" s="1">
        <v>1072</v>
      </c>
      <c r="H353" s="1">
        <v>2077</v>
      </c>
      <c r="I353" s="55">
        <f>SUM(F353:H353)</f>
        <v>6484</v>
      </c>
      <c r="J353" s="1">
        <v>2467</v>
      </c>
      <c r="K353" s="1">
        <v>4774</v>
      </c>
      <c r="L353" s="1">
        <v>1767</v>
      </c>
      <c r="M353" s="55">
        <f>SUM(J353:L353)</f>
        <v>9008</v>
      </c>
      <c r="N353" s="1">
        <v>0</v>
      </c>
      <c r="O353" s="1">
        <v>0</v>
      </c>
      <c r="P353" s="1">
        <v>0</v>
      </c>
      <c r="Q353" s="55">
        <f>SUM(N353:P353)</f>
        <v>0</v>
      </c>
      <c r="R353" s="55">
        <f>+E353+I353+M353+Q353</f>
        <v>18000</v>
      </c>
      <c r="T353" s="4" t="s">
        <v>249</v>
      </c>
    </row>
    <row r="354" spans="1:20" ht="15.75" customHeight="1" x14ac:dyDescent="0.3">
      <c r="A354" s="115" t="s">
        <v>273</v>
      </c>
      <c r="B354" s="116">
        <v>0</v>
      </c>
      <c r="C354" s="116">
        <v>0</v>
      </c>
      <c r="D354" s="116">
        <v>0</v>
      </c>
      <c r="E354" s="117">
        <f>SUM(B354:D354)</f>
        <v>0</v>
      </c>
      <c r="F354" s="116">
        <v>0</v>
      </c>
      <c r="G354" s="116">
        <v>0</v>
      </c>
      <c r="H354" s="116">
        <v>0</v>
      </c>
      <c r="I354" s="117">
        <f>SUM(F354:H354)</f>
        <v>0</v>
      </c>
      <c r="J354" s="116">
        <v>0</v>
      </c>
      <c r="K354" s="116">
        <v>0</v>
      </c>
      <c r="L354" s="116">
        <v>682</v>
      </c>
      <c r="M354" s="117">
        <f>SUM(J354:L354)</f>
        <v>682</v>
      </c>
      <c r="N354" s="116">
        <v>4979</v>
      </c>
      <c r="O354" s="116">
        <v>339</v>
      </c>
      <c r="P354" s="116">
        <v>0</v>
      </c>
      <c r="Q354" s="117">
        <f>SUM(N354:P354)</f>
        <v>5318</v>
      </c>
      <c r="R354" s="117">
        <f>+E354+I354+M354+Q354</f>
        <v>6000</v>
      </c>
      <c r="T354" s="4" t="s">
        <v>246</v>
      </c>
    </row>
    <row r="355" spans="1:20" ht="15.75" customHeight="1" x14ac:dyDescent="0.3">
      <c r="A355" s="72" t="s">
        <v>274</v>
      </c>
      <c r="B355" s="1">
        <v>0</v>
      </c>
      <c r="C355" s="1">
        <v>0</v>
      </c>
      <c r="D355" s="1">
        <v>0</v>
      </c>
      <c r="E355" s="55">
        <f>SUM(B355:D355)</f>
        <v>0</v>
      </c>
      <c r="F355" s="1">
        <v>0</v>
      </c>
      <c r="G355" s="1">
        <v>0</v>
      </c>
      <c r="H355" s="1">
        <v>924</v>
      </c>
      <c r="I355" s="55">
        <f>SUM(F355:H355)</f>
        <v>924</v>
      </c>
      <c r="J355" s="1">
        <v>3550</v>
      </c>
      <c r="K355" s="1">
        <v>2526</v>
      </c>
      <c r="L355" s="1">
        <v>0</v>
      </c>
      <c r="M355" s="55">
        <f>SUM(J355:L355)</f>
        <v>6076</v>
      </c>
      <c r="N355" s="1">
        <v>0</v>
      </c>
      <c r="O355" s="1">
        <v>0</v>
      </c>
      <c r="P355" s="1">
        <v>0</v>
      </c>
      <c r="Q355" s="55">
        <f>SUM(N355:P355)</f>
        <v>0</v>
      </c>
      <c r="R355" s="55">
        <f>+E355+I355+M355+Q355</f>
        <v>7000</v>
      </c>
      <c r="T355" s="4" t="s">
        <v>214</v>
      </c>
    </row>
    <row r="356" spans="1:20" ht="15.75" customHeight="1" x14ac:dyDescent="0.3">
      <c r="A356" s="72" t="s">
        <v>275</v>
      </c>
      <c r="B356" s="1">
        <v>0</v>
      </c>
      <c r="C356" s="1">
        <v>0</v>
      </c>
      <c r="D356" s="1">
        <v>0</v>
      </c>
      <c r="E356" s="55">
        <f t="shared" si="73"/>
        <v>0</v>
      </c>
      <c r="F356" s="1">
        <v>875</v>
      </c>
      <c r="G356" s="1">
        <v>5802</v>
      </c>
      <c r="H356" s="1">
        <v>7208</v>
      </c>
      <c r="I356" s="55">
        <f t="shared" si="74"/>
        <v>13885</v>
      </c>
      <c r="J356" s="1">
        <v>2115</v>
      </c>
      <c r="K356" s="1">
        <v>0</v>
      </c>
      <c r="L356" s="1">
        <v>0</v>
      </c>
      <c r="M356" s="55">
        <f t="shared" si="75"/>
        <v>2115</v>
      </c>
      <c r="N356" s="1">
        <v>0</v>
      </c>
      <c r="O356" s="1">
        <v>0</v>
      </c>
      <c r="P356" s="1">
        <v>0</v>
      </c>
      <c r="Q356" s="55">
        <f t="shared" si="76"/>
        <v>0</v>
      </c>
      <c r="R356" s="55">
        <f t="shared" si="77"/>
        <v>16000</v>
      </c>
      <c r="T356" s="4" t="s">
        <v>224</v>
      </c>
    </row>
    <row r="357" spans="1:20" ht="15.75" customHeight="1" x14ac:dyDescent="0.3">
      <c r="A357" s="72" t="s">
        <v>276</v>
      </c>
      <c r="B357" s="1">
        <v>318</v>
      </c>
      <c r="C357" s="1">
        <v>0</v>
      </c>
      <c r="D357" s="1">
        <v>2189</v>
      </c>
      <c r="E357" s="55">
        <f t="shared" si="73"/>
        <v>2507</v>
      </c>
      <c r="F357" s="1">
        <v>3334</v>
      </c>
      <c r="G357" s="1">
        <v>1072</v>
      </c>
      <c r="H357" s="1">
        <v>2076</v>
      </c>
      <c r="I357" s="55">
        <f t="shared" si="74"/>
        <v>6482</v>
      </c>
      <c r="J357" s="1">
        <v>12602</v>
      </c>
      <c r="K357" s="1">
        <v>12638</v>
      </c>
      <c r="L357" s="1">
        <v>7342</v>
      </c>
      <c r="M357" s="55">
        <f t="shared" si="75"/>
        <v>32582</v>
      </c>
      <c r="N357" s="1">
        <v>4999</v>
      </c>
      <c r="O357" s="1">
        <v>2081</v>
      </c>
      <c r="P357" s="1">
        <v>1944</v>
      </c>
      <c r="Q357" s="55">
        <f t="shared" si="76"/>
        <v>9024</v>
      </c>
      <c r="R357" s="55">
        <f t="shared" si="77"/>
        <v>50595</v>
      </c>
      <c r="T357" s="89" t="s">
        <v>277</v>
      </c>
    </row>
    <row r="358" spans="1:20" ht="15.75" customHeight="1" x14ac:dyDescent="0.3">
      <c r="A358" s="15" t="s">
        <v>70</v>
      </c>
      <c r="B358" s="1"/>
      <c r="C358" s="1"/>
      <c r="D358" s="1"/>
      <c r="E358" s="55" t="s">
        <v>7</v>
      </c>
      <c r="F358" s="1"/>
      <c r="G358" s="1"/>
      <c r="H358" s="1"/>
      <c r="I358" s="55" t="s">
        <v>7</v>
      </c>
      <c r="J358" s="1"/>
      <c r="K358" s="1"/>
      <c r="L358" s="1"/>
      <c r="M358" s="55" t="s">
        <v>7</v>
      </c>
      <c r="N358" s="1"/>
      <c r="O358" s="1"/>
      <c r="P358" s="1"/>
      <c r="Q358" s="55" t="s">
        <v>7</v>
      </c>
      <c r="R358" s="55" t="s">
        <v>7</v>
      </c>
    </row>
    <row r="359" spans="1:20" ht="15.75" customHeight="1" x14ac:dyDescent="0.3">
      <c r="A359" s="72" t="s">
        <v>278</v>
      </c>
      <c r="B359" s="1">
        <v>0</v>
      </c>
      <c r="C359" s="1">
        <v>0</v>
      </c>
      <c r="D359" s="1">
        <v>0</v>
      </c>
      <c r="E359" s="55">
        <f>SUM(B359:D359)</f>
        <v>0</v>
      </c>
      <c r="F359" s="1">
        <v>0</v>
      </c>
      <c r="G359" s="1">
        <v>0</v>
      </c>
      <c r="H359" s="1">
        <v>0</v>
      </c>
      <c r="I359" s="55">
        <f>SUM(F359:H359)</f>
        <v>0</v>
      </c>
      <c r="J359" s="1">
        <v>0</v>
      </c>
      <c r="K359" s="1">
        <v>2893</v>
      </c>
      <c r="L359" s="1">
        <v>744</v>
      </c>
      <c r="M359" s="55">
        <f>SUM(J359:L359)</f>
        <v>3637</v>
      </c>
      <c r="N359" s="1">
        <v>211</v>
      </c>
      <c r="O359" s="1">
        <v>0</v>
      </c>
      <c r="P359" s="1">
        <v>582</v>
      </c>
      <c r="Q359" s="55">
        <f>SUM(N359:P359)</f>
        <v>793</v>
      </c>
      <c r="R359" s="55">
        <f>+E359+I359+M359+Q359</f>
        <v>4430</v>
      </c>
      <c r="T359" s="4" t="s">
        <v>209</v>
      </c>
    </row>
    <row r="360" spans="1:20" ht="15.75" customHeight="1" x14ac:dyDescent="0.3">
      <c r="A360" s="72" t="s">
        <v>279</v>
      </c>
      <c r="B360" s="1">
        <v>0</v>
      </c>
      <c r="C360" s="1">
        <v>0</v>
      </c>
      <c r="D360" s="1">
        <v>0</v>
      </c>
      <c r="E360" s="55">
        <f>SUM(B360:D360)</f>
        <v>0</v>
      </c>
      <c r="F360" s="1">
        <v>0</v>
      </c>
      <c r="G360" s="1">
        <v>0</v>
      </c>
      <c r="H360" s="1">
        <v>0</v>
      </c>
      <c r="I360" s="55">
        <f>SUM(F360:H360)</f>
        <v>0</v>
      </c>
      <c r="J360" s="1">
        <v>0</v>
      </c>
      <c r="K360" s="1">
        <v>0</v>
      </c>
      <c r="L360" s="1">
        <v>0</v>
      </c>
      <c r="M360" s="55">
        <f>SUM(J360:L360)</f>
        <v>0</v>
      </c>
      <c r="N360" s="1">
        <v>0</v>
      </c>
      <c r="O360" s="1">
        <v>0</v>
      </c>
      <c r="P360" s="1">
        <v>0</v>
      </c>
      <c r="Q360" s="55">
        <f>SUM(N360:P360)</f>
        <v>0</v>
      </c>
      <c r="R360" s="55">
        <f>+E360+I360+M360+Q360</f>
        <v>0</v>
      </c>
      <c r="T360" s="4" t="s">
        <v>209</v>
      </c>
    </row>
    <row r="361" spans="1:20" ht="15.75" customHeight="1" x14ac:dyDescent="0.3">
      <c r="A361" s="72" t="s">
        <v>280</v>
      </c>
      <c r="B361" s="1">
        <v>0</v>
      </c>
      <c r="C361" s="1">
        <v>0</v>
      </c>
      <c r="D361" s="1">
        <v>0</v>
      </c>
      <c r="E361" s="55">
        <f t="shared" ref="E361:E373" si="78">SUM(B361:D361)</f>
        <v>0</v>
      </c>
      <c r="F361" s="1">
        <v>0</v>
      </c>
      <c r="G361" s="1">
        <v>0</v>
      </c>
      <c r="H361" s="1">
        <v>0</v>
      </c>
      <c r="I361" s="55">
        <f t="shared" ref="I361:I373" si="79">SUM(F361:H361)</f>
        <v>0</v>
      </c>
      <c r="J361" s="1">
        <v>0</v>
      </c>
      <c r="K361" s="1">
        <v>0</v>
      </c>
      <c r="L361" s="1">
        <v>0</v>
      </c>
      <c r="M361" s="55">
        <f t="shared" ref="M361:M373" si="80">SUM(J361:L361)</f>
        <v>0</v>
      </c>
      <c r="N361" s="1">
        <v>0</v>
      </c>
      <c r="O361" s="1">
        <v>0</v>
      </c>
      <c r="P361" s="1">
        <v>0</v>
      </c>
      <c r="Q361" s="55">
        <f t="shared" ref="Q361:Q373" si="81">SUM(N361:P361)</f>
        <v>0</v>
      </c>
      <c r="R361" s="55">
        <f t="shared" ref="R361:R373" si="82">+E361+I361+M361+Q361</f>
        <v>0</v>
      </c>
      <c r="T361" s="4" t="s">
        <v>214</v>
      </c>
    </row>
    <row r="362" spans="1:20" ht="15.75" customHeight="1" x14ac:dyDescent="0.3">
      <c r="A362" s="72" t="s">
        <v>281</v>
      </c>
      <c r="B362" s="1">
        <v>184</v>
      </c>
      <c r="C362" s="1">
        <v>0</v>
      </c>
      <c r="D362" s="1">
        <v>0</v>
      </c>
      <c r="E362" s="55">
        <f>SUM(B362:D362)</f>
        <v>184</v>
      </c>
      <c r="F362" s="1">
        <v>0</v>
      </c>
      <c r="G362" s="1">
        <v>0</v>
      </c>
      <c r="H362" s="1">
        <v>6315</v>
      </c>
      <c r="I362" s="55">
        <f>SUM(F362:H362)</f>
        <v>6315</v>
      </c>
      <c r="J362" s="1">
        <v>5062</v>
      </c>
      <c r="K362" s="1">
        <v>15698</v>
      </c>
      <c r="L362" s="1">
        <v>9067</v>
      </c>
      <c r="M362" s="55">
        <f>SUM(J362:L362)</f>
        <v>29827</v>
      </c>
      <c r="N362" s="1">
        <v>0</v>
      </c>
      <c r="O362" s="1">
        <v>0</v>
      </c>
      <c r="P362" s="1">
        <v>0</v>
      </c>
      <c r="Q362" s="55">
        <f>SUM(N362:P362)</f>
        <v>0</v>
      </c>
      <c r="R362" s="55">
        <f>+E362+I362+M362+Q362</f>
        <v>36326</v>
      </c>
      <c r="T362" s="4" t="s">
        <v>256</v>
      </c>
    </row>
    <row r="363" spans="1:20" ht="15.75" customHeight="1" x14ac:dyDescent="0.3">
      <c r="A363" s="72" t="s">
        <v>282</v>
      </c>
      <c r="B363" s="1">
        <v>704</v>
      </c>
      <c r="C363" s="1">
        <v>2865</v>
      </c>
      <c r="D363" s="1">
        <v>4374</v>
      </c>
      <c r="E363" s="55">
        <f t="shared" si="78"/>
        <v>7943</v>
      </c>
      <c r="F363" s="1">
        <v>1600</v>
      </c>
      <c r="G363" s="1">
        <v>0</v>
      </c>
      <c r="H363" s="1">
        <v>0</v>
      </c>
      <c r="I363" s="55">
        <f t="shared" si="79"/>
        <v>1600</v>
      </c>
      <c r="J363" s="1">
        <v>0</v>
      </c>
      <c r="K363" s="1">
        <v>1111</v>
      </c>
      <c r="L363" s="1">
        <v>5243</v>
      </c>
      <c r="M363" s="55">
        <f t="shared" si="80"/>
        <v>6354</v>
      </c>
      <c r="N363" s="1">
        <v>0</v>
      </c>
      <c r="O363" s="1">
        <v>872</v>
      </c>
      <c r="P363" s="1">
        <v>1756</v>
      </c>
      <c r="Q363" s="55">
        <f t="shared" si="81"/>
        <v>2628</v>
      </c>
      <c r="R363" s="55">
        <f t="shared" si="82"/>
        <v>18525</v>
      </c>
      <c r="T363" s="4" t="s">
        <v>246</v>
      </c>
    </row>
    <row r="364" spans="1:20" ht="15.75" customHeight="1" x14ac:dyDescent="0.3">
      <c r="A364" s="72" t="s">
        <v>283</v>
      </c>
      <c r="B364" s="1">
        <v>0</v>
      </c>
      <c r="C364" s="1">
        <v>0</v>
      </c>
      <c r="D364" s="1">
        <v>0</v>
      </c>
      <c r="E364" s="55">
        <f>SUM(B364:D364)</f>
        <v>0</v>
      </c>
      <c r="F364" s="1">
        <v>0</v>
      </c>
      <c r="G364" s="1">
        <v>0</v>
      </c>
      <c r="H364" s="1">
        <v>0</v>
      </c>
      <c r="I364" s="55">
        <f>SUM(F364:H364)</f>
        <v>0</v>
      </c>
      <c r="J364" s="1">
        <v>0</v>
      </c>
      <c r="K364" s="1">
        <v>0</v>
      </c>
      <c r="L364" s="1">
        <v>0</v>
      </c>
      <c r="M364" s="55">
        <f>SUM(J364:L364)</f>
        <v>0</v>
      </c>
      <c r="N364" s="1">
        <v>0</v>
      </c>
      <c r="O364" s="1">
        <v>0</v>
      </c>
      <c r="P364" s="1">
        <v>0</v>
      </c>
      <c r="Q364" s="55">
        <f>SUM(N364:P364)</f>
        <v>0</v>
      </c>
      <c r="R364" s="55">
        <f>+E364+I364+M364+Q364</f>
        <v>0</v>
      </c>
      <c r="T364" s="4" t="s">
        <v>246</v>
      </c>
    </row>
    <row r="365" spans="1:20" ht="15.75" customHeight="1" x14ac:dyDescent="0.3">
      <c r="A365" s="72" t="s">
        <v>284</v>
      </c>
      <c r="B365" s="1">
        <v>1530</v>
      </c>
      <c r="C365" s="1">
        <v>2530</v>
      </c>
      <c r="D365" s="1">
        <v>3650</v>
      </c>
      <c r="E365" s="55">
        <f>SUM(B365:D365)</f>
        <v>7710</v>
      </c>
      <c r="F365" s="1">
        <v>4100</v>
      </c>
      <c r="G365" s="1">
        <v>3100</v>
      </c>
      <c r="H365" s="1">
        <v>0</v>
      </c>
      <c r="I365" s="55">
        <f>SUM(F365:H365)</f>
        <v>7200</v>
      </c>
      <c r="J365" s="1">
        <v>0</v>
      </c>
      <c r="K365" s="1">
        <v>5200</v>
      </c>
      <c r="L365" s="1">
        <v>5910</v>
      </c>
      <c r="M365" s="55">
        <f>SUM(J365:L365)</f>
        <v>11110</v>
      </c>
      <c r="N365" s="1">
        <v>8300</v>
      </c>
      <c r="O365" s="1">
        <v>5329</v>
      </c>
      <c r="P365" s="1">
        <v>2215</v>
      </c>
      <c r="Q365" s="55">
        <f>SUM(N365:P365)</f>
        <v>15844</v>
      </c>
      <c r="R365" s="55">
        <f>+E365+I365+M365+Q365</f>
        <v>41864</v>
      </c>
      <c r="T365" s="4" t="s">
        <v>209</v>
      </c>
    </row>
    <row r="366" spans="1:20" ht="15.75" customHeight="1" x14ac:dyDescent="0.3">
      <c r="A366" s="72" t="s">
        <v>285</v>
      </c>
      <c r="B366" s="1">
        <v>0</v>
      </c>
      <c r="C366" s="1">
        <v>0</v>
      </c>
      <c r="D366" s="1">
        <v>0</v>
      </c>
      <c r="E366" s="55">
        <f>SUM(B366:D366)</f>
        <v>0</v>
      </c>
      <c r="F366" s="1">
        <v>0</v>
      </c>
      <c r="G366" s="1">
        <v>0</v>
      </c>
      <c r="H366" s="1">
        <v>0</v>
      </c>
      <c r="I366" s="55">
        <f>SUM(F366:H366)</f>
        <v>0</v>
      </c>
      <c r="J366" s="1">
        <v>0</v>
      </c>
      <c r="K366" s="1">
        <v>0</v>
      </c>
      <c r="L366" s="1">
        <v>0</v>
      </c>
      <c r="M366" s="55">
        <f>SUM(J366:L366)</f>
        <v>0</v>
      </c>
      <c r="N366" s="1">
        <v>0</v>
      </c>
      <c r="O366" s="1">
        <v>0</v>
      </c>
      <c r="P366" s="1">
        <v>0</v>
      </c>
      <c r="Q366" s="55">
        <f>SUM(N366:P366)</f>
        <v>0</v>
      </c>
      <c r="R366" s="55">
        <f>+E366+I366+M366+Q366</f>
        <v>0</v>
      </c>
      <c r="T366" s="4" t="s">
        <v>209</v>
      </c>
    </row>
    <row r="367" spans="1:20" ht="15.75" customHeight="1" thickBot="1" x14ac:dyDescent="0.35">
      <c r="A367" s="72" t="s">
        <v>286</v>
      </c>
      <c r="B367" s="1">
        <v>0</v>
      </c>
      <c r="C367" s="1">
        <v>0</v>
      </c>
      <c r="D367" s="1">
        <v>0</v>
      </c>
      <c r="E367" s="55">
        <f>SUM(B367:D367)</f>
        <v>0</v>
      </c>
      <c r="F367" s="1">
        <v>0</v>
      </c>
      <c r="G367" s="1">
        <v>0</v>
      </c>
      <c r="H367" s="1">
        <v>0</v>
      </c>
      <c r="I367" s="55">
        <f>SUM(F367:H367)</f>
        <v>0</v>
      </c>
      <c r="J367" s="1">
        <v>0</v>
      </c>
      <c r="K367" s="1">
        <v>597</v>
      </c>
      <c r="L367" s="1">
        <v>2064</v>
      </c>
      <c r="M367" s="55">
        <f>SUM(J367:L367)</f>
        <v>2661</v>
      </c>
      <c r="N367" s="1">
        <v>2171</v>
      </c>
      <c r="O367" s="1">
        <v>1094</v>
      </c>
      <c r="P367" s="1">
        <v>471</v>
      </c>
      <c r="Q367" s="55">
        <f>SUM(N367:P367)</f>
        <v>3736</v>
      </c>
      <c r="R367" s="55">
        <f>+E367+I367+M367+Q367</f>
        <v>6397</v>
      </c>
      <c r="T367" s="4" t="s">
        <v>214</v>
      </c>
    </row>
    <row r="368" spans="1:20" ht="15.75" customHeight="1" thickBot="1" x14ac:dyDescent="0.35">
      <c r="A368" s="57" t="s">
        <v>71</v>
      </c>
      <c r="B368" s="58">
        <f>SUM(B351:B367)</f>
        <v>3055</v>
      </c>
      <c r="C368" s="58">
        <f>SUM(C351:C367)</f>
        <v>5395</v>
      </c>
      <c r="D368" s="58">
        <f>SUM(D351:D367)</f>
        <v>12402</v>
      </c>
      <c r="E368" s="60">
        <f t="shared" si="78"/>
        <v>20852</v>
      </c>
      <c r="F368" s="58">
        <f>SUM(F351:F367)</f>
        <v>13244</v>
      </c>
      <c r="G368" s="58">
        <f>SUM(G351:G367)</f>
        <v>11046</v>
      </c>
      <c r="H368" s="58">
        <f>SUM(H351:H367)</f>
        <v>19600</v>
      </c>
      <c r="I368" s="60">
        <f t="shared" si="79"/>
        <v>43890</v>
      </c>
      <c r="J368" s="58">
        <f>SUM(J351:J367)</f>
        <v>29575</v>
      </c>
      <c r="K368" s="58">
        <f>SUM(K351:K367)</f>
        <v>51331</v>
      </c>
      <c r="L368" s="58">
        <f>SUM(L351:L367)</f>
        <v>37868</v>
      </c>
      <c r="M368" s="60">
        <f t="shared" si="80"/>
        <v>118774</v>
      </c>
      <c r="N368" s="58">
        <f>SUM(N351:N367)</f>
        <v>24138</v>
      </c>
      <c r="O368" s="58">
        <f>SUM(O351:O367)</f>
        <v>11515</v>
      </c>
      <c r="P368" s="58">
        <f>SUM(P351:P367)</f>
        <v>6968</v>
      </c>
      <c r="Q368" s="60">
        <f t="shared" si="81"/>
        <v>42621</v>
      </c>
      <c r="R368" s="59">
        <f t="shared" si="82"/>
        <v>226137</v>
      </c>
    </row>
    <row r="369" spans="1:20" ht="15.75" customHeight="1" thickBot="1" x14ac:dyDescent="0.35">
      <c r="A369" s="114" t="s">
        <v>72</v>
      </c>
      <c r="B369" s="86">
        <f>SUM(B343:B367)</f>
        <v>3059</v>
      </c>
      <c r="C369" s="87">
        <f>SUM(C343:C367)</f>
        <v>5399</v>
      </c>
      <c r="D369" s="118">
        <f>SUM(D343:D367)</f>
        <v>12408</v>
      </c>
      <c r="E369" s="60">
        <f t="shared" si="78"/>
        <v>20866</v>
      </c>
      <c r="F369" s="87">
        <f>SUM(F343:F367)</f>
        <v>13247</v>
      </c>
      <c r="G369" s="87">
        <f>SUM(G343:G367)</f>
        <v>11056</v>
      </c>
      <c r="H369" s="87">
        <f>SUM(H343:H367)</f>
        <v>19608</v>
      </c>
      <c r="I369" s="60">
        <f t="shared" si="79"/>
        <v>43911</v>
      </c>
      <c r="J369" s="87">
        <f>SUM(J343:J367)</f>
        <v>29581</v>
      </c>
      <c r="K369" s="87">
        <f>SUM(K343:K367)</f>
        <v>51333</v>
      </c>
      <c r="L369" s="87">
        <f>SUM(L343:L367)</f>
        <v>37868</v>
      </c>
      <c r="M369" s="60">
        <f t="shared" si="80"/>
        <v>118782</v>
      </c>
      <c r="N369" s="87">
        <f>SUM(N343:N367)</f>
        <v>24138</v>
      </c>
      <c r="O369" s="87">
        <f>SUM(O343:O367)</f>
        <v>11515</v>
      </c>
      <c r="P369" s="87">
        <f>SUM(P343:P367)</f>
        <v>6968</v>
      </c>
      <c r="Q369" s="60">
        <f t="shared" si="81"/>
        <v>42621</v>
      </c>
      <c r="R369" s="59">
        <f t="shared" si="82"/>
        <v>226180</v>
      </c>
    </row>
    <row r="370" spans="1:20" ht="15.75" customHeight="1" thickBot="1" x14ac:dyDescent="0.35">
      <c r="A370" s="57" t="s">
        <v>73</v>
      </c>
      <c r="B370" s="90">
        <f>+B306+B321+B342+B369</f>
        <v>13567</v>
      </c>
      <c r="C370" s="58">
        <f>+C306+C321+C342+C369</f>
        <v>18011</v>
      </c>
      <c r="D370" s="58">
        <f>+D306+D321+D342+D369</f>
        <v>61971</v>
      </c>
      <c r="E370" s="59">
        <f t="shared" si="78"/>
        <v>93549</v>
      </c>
      <c r="F370" s="58">
        <f>+F306+F321+F342+F369</f>
        <v>72758</v>
      </c>
      <c r="G370" s="58">
        <f>+G306+G321+G342+G369</f>
        <v>65269</v>
      </c>
      <c r="H370" s="58">
        <f>+H306+H321+H342+H369</f>
        <v>87182</v>
      </c>
      <c r="I370" s="59">
        <f t="shared" si="79"/>
        <v>225209</v>
      </c>
      <c r="J370" s="58">
        <f>+J306+J321+J342+J369</f>
        <v>71935</v>
      </c>
      <c r="K370" s="58">
        <f>+K306+K321+K342+K369</f>
        <v>89861</v>
      </c>
      <c r="L370" s="58">
        <f>+L306+L321+L342+L369</f>
        <v>59620</v>
      </c>
      <c r="M370" s="59">
        <f t="shared" si="80"/>
        <v>221416</v>
      </c>
      <c r="N370" s="58">
        <f>+N306+N321+N342+N369</f>
        <v>39789</v>
      </c>
      <c r="O370" s="58">
        <f>+O306+O321+O342+O369</f>
        <v>21284</v>
      </c>
      <c r="P370" s="58">
        <f>+P306+P321+P342+P369</f>
        <v>14334</v>
      </c>
      <c r="Q370" s="59">
        <f t="shared" si="81"/>
        <v>75407</v>
      </c>
      <c r="R370" s="81">
        <f t="shared" si="82"/>
        <v>615581</v>
      </c>
    </row>
    <row r="371" spans="1:20" ht="15.75" customHeight="1" x14ac:dyDescent="0.3">
      <c r="A371" s="71" t="s">
        <v>287</v>
      </c>
      <c r="B371" s="1">
        <v>0</v>
      </c>
      <c r="C371" s="1">
        <v>0</v>
      </c>
      <c r="D371" s="1">
        <v>0</v>
      </c>
      <c r="E371" s="55">
        <f t="shared" si="78"/>
        <v>0</v>
      </c>
      <c r="F371" s="1">
        <v>0</v>
      </c>
      <c r="G371" s="1">
        <v>0</v>
      </c>
      <c r="H371" s="1">
        <v>0</v>
      </c>
      <c r="I371" s="55">
        <f t="shared" si="79"/>
        <v>0</v>
      </c>
      <c r="J371" s="1">
        <v>0</v>
      </c>
      <c r="K371" s="1">
        <v>0</v>
      </c>
      <c r="L371" s="1">
        <v>0</v>
      </c>
      <c r="M371" s="55">
        <f t="shared" si="80"/>
        <v>0</v>
      </c>
      <c r="N371" s="1">
        <v>0</v>
      </c>
      <c r="O371" s="1">
        <v>0</v>
      </c>
      <c r="P371" s="1">
        <v>0</v>
      </c>
      <c r="Q371" s="55">
        <f t="shared" si="81"/>
        <v>0</v>
      </c>
      <c r="R371" s="55">
        <f t="shared" si="82"/>
        <v>0</v>
      </c>
      <c r="T371" s="119" t="s">
        <v>259</v>
      </c>
    </row>
    <row r="372" spans="1:20" ht="15.75" customHeight="1" x14ac:dyDescent="0.3">
      <c r="A372" s="71" t="s">
        <v>288</v>
      </c>
      <c r="B372" s="1">
        <v>0</v>
      </c>
      <c r="C372" s="1">
        <v>1000</v>
      </c>
      <c r="D372" s="1">
        <v>0</v>
      </c>
      <c r="E372" s="55">
        <f t="shared" si="78"/>
        <v>1000</v>
      </c>
      <c r="F372" s="1">
        <v>0</v>
      </c>
      <c r="G372" s="1">
        <v>0</v>
      </c>
      <c r="H372" s="1">
        <v>0</v>
      </c>
      <c r="I372" s="55">
        <f t="shared" si="79"/>
        <v>0</v>
      </c>
      <c r="J372" s="1">
        <v>0</v>
      </c>
      <c r="K372" s="1">
        <v>0</v>
      </c>
      <c r="L372" s="1">
        <v>1500</v>
      </c>
      <c r="M372" s="55">
        <f t="shared" si="80"/>
        <v>1500</v>
      </c>
      <c r="N372" s="1">
        <v>500</v>
      </c>
      <c r="O372" s="1">
        <v>0</v>
      </c>
      <c r="P372" s="1">
        <v>0</v>
      </c>
      <c r="Q372" s="55">
        <f t="shared" si="81"/>
        <v>500</v>
      </c>
      <c r="R372" s="55">
        <f t="shared" si="82"/>
        <v>3000</v>
      </c>
      <c r="T372" s="4" t="s">
        <v>209</v>
      </c>
    </row>
    <row r="373" spans="1:20" ht="15.75" customHeight="1" thickBot="1" x14ac:dyDescent="0.35">
      <c r="A373" s="73" t="s">
        <v>40</v>
      </c>
      <c r="B373" s="21">
        <v>155</v>
      </c>
      <c r="C373" s="21">
        <v>283</v>
      </c>
      <c r="D373" s="21">
        <v>435</v>
      </c>
      <c r="E373" s="81">
        <f t="shared" si="78"/>
        <v>873</v>
      </c>
      <c r="F373" s="21">
        <v>602</v>
      </c>
      <c r="G373" s="21">
        <v>711</v>
      </c>
      <c r="H373" s="21">
        <v>722</v>
      </c>
      <c r="I373" s="81">
        <f t="shared" si="79"/>
        <v>2035</v>
      </c>
      <c r="J373" s="21">
        <v>686</v>
      </c>
      <c r="K373" s="21">
        <v>519</v>
      </c>
      <c r="L373" s="21">
        <v>531</v>
      </c>
      <c r="M373" s="81">
        <f t="shared" si="80"/>
        <v>1736</v>
      </c>
      <c r="N373" s="21">
        <v>489</v>
      </c>
      <c r="O373" s="21">
        <v>389</v>
      </c>
      <c r="P373" s="21">
        <v>275</v>
      </c>
      <c r="Q373" s="81">
        <f t="shared" si="81"/>
        <v>1153</v>
      </c>
      <c r="R373" s="55">
        <f t="shared" si="82"/>
        <v>5797</v>
      </c>
    </row>
    <row r="374" spans="1:20" ht="15.75" customHeight="1" thickBot="1" x14ac:dyDescent="0.35">
      <c r="A374" s="74"/>
      <c r="B374" s="75"/>
      <c r="C374" s="75"/>
      <c r="D374" s="75"/>
      <c r="E374" s="59"/>
      <c r="F374" s="75"/>
      <c r="G374" s="75"/>
      <c r="H374" s="75"/>
      <c r="I374" s="59"/>
      <c r="J374" s="75"/>
      <c r="K374" s="75"/>
      <c r="L374" s="75"/>
      <c r="M374" s="59"/>
      <c r="N374" s="75"/>
      <c r="O374" s="75"/>
      <c r="P374" s="75"/>
      <c r="Q374" s="59"/>
      <c r="R374" s="59" t="s">
        <v>7</v>
      </c>
    </row>
    <row r="375" spans="1:20" ht="15.75" customHeight="1" x14ac:dyDescent="0.3">
      <c r="A375" s="76" t="s">
        <v>41</v>
      </c>
      <c r="B375" s="77">
        <f>SUM(B370:B373)</f>
        <v>13722</v>
      </c>
      <c r="C375" s="77">
        <f>SUM(C370:C373)</f>
        <v>19294</v>
      </c>
      <c r="D375" s="77">
        <f>SUM(D370:D373)</f>
        <v>62406</v>
      </c>
      <c r="E375" s="60">
        <f>SUM(B375:D375)</f>
        <v>95422</v>
      </c>
      <c r="F375" s="77">
        <f>SUM(F370:F373)</f>
        <v>73360</v>
      </c>
      <c r="G375" s="77">
        <f>SUM(G370:G373)</f>
        <v>65980</v>
      </c>
      <c r="H375" s="77">
        <f>SUM(H370:H373)</f>
        <v>87904</v>
      </c>
      <c r="I375" s="60">
        <f>SUM(F375:H375)</f>
        <v>227244</v>
      </c>
      <c r="J375" s="77">
        <f>SUM(J370:J373)</f>
        <v>72621</v>
      </c>
      <c r="K375" s="77">
        <f>SUM(K370:K373)</f>
        <v>90380</v>
      </c>
      <c r="L375" s="77">
        <f>SUM(L370:L373)</f>
        <v>61651</v>
      </c>
      <c r="M375" s="60">
        <f>SUM(J375:L375)</f>
        <v>224652</v>
      </c>
      <c r="N375" s="77">
        <f>SUM(N370:N373)</f>
        <v>40778</v>
      </c>
      <c r="O375" s="77">
        <f>SUM(O370:O373)</f>
        <v>21673</v>
      </c>
      <c r="P375" s="77">
        <f>SUM(P370:P373)</f>
        <v>14609</v>
      </c>
      <c r="Q375" s="60">
        <f>SUM(N375:P375)</f>
        <v>77060</v>
      </c>
      <c r="R375" s="60">
        <f>+E375+I375+M375+Q375</f>
        <v>624378</v>
      </c>
    </row>
    <row r="376" spans="1:20" ht="15.75" customHeight="1" x14ac:dyDescent="0.3">
      <c r="A376" s="79" t="s">
        <v>42</v>
      </c>
      <c r="B376" s="1">
        <f>(B375/31)/1.983</f>
        <v>223.21995022204868</v>
      </c>
      <c r="C376" s="1">
        <f>(C375/28)/1.983</f>
        <v>347.48937396441175</v>
      </c>
      <c r="D376" s="1">
        <f>(D375/31)/1.983</f>
        <v>1015.1773949538821</v>
      </c>
      <c r="E376" s="55" t="s">
        <v>7</v>
      </c>
      <c r="F376" s="1">
        <f>(F375/30)/1.983</f>
        <v>1233.1484283072787</v>
      </c>
      <c r="G376" s="1">
        <f>(G375/31)/1.983</f>
        <v>1073.3167406829014</v>
      </c>
      <c r="H376" s="1">
        <f>(H375/30)/1.983</f>
        <v>1477.6264918473692</v>
      </c>
      <c r="I376" s="55" t="s">
        <v>7</v>
      </c>
      <c r="J376" s="1">
        <f>(J375/31)/1.983</f>
        <v>1181.3479088380263</v>
      </c>
      <c r="K376" s="1">
        <f>(K375/31)/1.983</f>
        <v>1470.2389667008279</v>
      </c>
      <c r="L376" s="1">
        <f>(L375/30)/1.983</f>
        <v>1036.3254328458563</v>
      </c>
      <c r="M376" s="55" t="s">
        <v>7</v>
      </c>
      <c r="N376" s="1">
        <f>(N375/31)/1.983</f>
        <v>663.34813658028725</v>
      </c>
      <c r="O376" s="1">
        <f>(O375/30)/1.983</f>
        <v>364.31332997142374</v>
      </c>
      <c r="P376" s="1">
        <f>(P375/31)/1.983</f>
        <v>237.64904917606103</v>
      </c>
      <c r="Q376" s="55" t="s">
        <v>7</v>
      </c>
      <c r="R376" s="55" t="s">
        <v>7</v>
      </c>
    </row>
    <row r="377" spans="1:20" ht="15.75" customHeight="1" x14ac:dyDescent="0.3">
      <c r="A377" s="79" t="s">
        <v>289</v>
      </c>
      <c r="B377" s="1">
        <f>B375+B422</f>
        <v>28959</v>
      </c>
      <c r="C377" s="1">
        <f>C375+C422</f>
        <v>34075</v>
      </c>
      <c r="D377" s="1">
        <f>D375+D422</f>
        <v>92708</v>
      </c>
      <c r="E377" s="55">
        <f>SUM(B377:D377)</f>
        <v>155742</v>
      </c>
      <c r="F377" s="1">
        <f>F375+F422</f>
        <v>118371</v>
      </c>
      <c r="G377" s="1">
        <f>G375+G422</f>
        <v>102228</v>
      </c>
      <c r="H377" s="1">
        <f>H375+H422</f>
        <v>130453</v>
      </c>
      <c r="I377" s="55">
        <f>SUM(F377:H377)</f>
        <v>351052</v>
      </c>
      <c r="J377" s="1">
        <f>J375+J422</f>
        <v>121422</v>
      </c>
      <c r="K377" s="1">
        <f>K375+K422</f>
        <v>143566</v>
      </c>
      <c r="L377" s="1">
        <f>L375+L422</f>
        <v>97746</v>
      </c>
      <c r="M377" s="55">
        <f>SUM(J377:L377)</f>
        <v>362734</v>
      </c>
      <c r="N377" s="1">
        <f>N375+N422</f>
        <v>62917</v>
      </c>
      <c r="O377" s="1">
        <f>O375+O422</f>
        <v>31942</v>
      </c>
      <c r="P377" s="1">
        <f>P375+P422</f>
        <v>30952</v>
      </c>
      <c r="Q377" s="55">
        <f>SUM(N377:P377)</f>
        <v>125811</v>
      </c>
      <c r="R377" s="55">
        <f>+E377+I377+M377+Q377</f>
        <v>995339</v>
      </c>
    </row>
    <row r="378" spans="1:20" ht="15.75" customHeight="1" thickBot="1" x14ac:dyDescent="0.35">
      <c r="A378" s="80" t="s">
        <v>290</v>
      </c>
      <c r="B378" s="25">
        <f>(B377/31)/1.983</f>
        <v>471.08486652676783</v>
      </c>
      <c r="C378" s="25">
        <f>(C377/28)/1.983</f>
        <v>613.69858079389098</v>
      </c>
      <c r="D378" s="25">
        <f>(D377/31)/1.983</f>
        <v>1508.109251215981</v>
      </c>
      <c r="E378" s="81" t="s">
        <v>7</v>
      </c>
      <c r="F378" s="25">
        <f>(F377/30)/1.983</f>
        <v>1989.7629853756932</v>
      </c>
      <c r="G378" s="25">
        <f>(G377/31)/1.983</f>
        <v>1662.9739885803522</v>
      </c>
      <c r="H378" s="25">
        <f>(H377/30)/1.983</f>
        <v>2192.8559421751556</v>
      </c>
      <c r="I378" s="81" t="s">
        <v>7</v>
      </c>
      <c r="J378" s="25">
        <f>(J377/31)/1.983</f>
        <v>1975.2086281782247</v>
      </c>
      <c r="K378" s="25">
        <f>(K377/31)/1.983</f>
        <v>2335.4318155938377</v>
      </c>
      <c r="L378" s="25">
        <f>(L377/30)/1.983</f>
        <v>1643.0660615229449</v>
      </c>
      <c r="M378" s="81" t="s">
        <v>7</v>
      </c>
      <c r="N378" s="25">
        <f>(N377/31)/1.983</f>
        <v>1023.4899874741756</v>
      </c>
      <c r="O378" s="25">
        <f>(O377/30)/1.983</f>
        <v>536.93057656749033</v>
      </c>
      <c r="P378" s="25">
        <f>(P377/31)/1.983</f>
        <v>503.50560408634686</v>
      </c>
      <c r="Q378" s="81" t="s">
        <v>7</v>
      </c>
      <c r="R378" s="81" t="s">
        <v>7</v>
      </c>
    </row>
    <row r="379" spans="1:20" ht="15.75" customHeight="1" x14ac:dyDescent="0.3">
      <c r="A379" s="120" t="s">
        <v>291</v>
      </c>
      <c r="B379" s="121">
        <f>B$380+(SUMIF($T$271:$T$372,"FLG",B$271:B$372)/31/1.98)+(SUMIF($T$271:$T$372,"FCA",B$271:B$372)/31/1.98)+(SUMIF($T$271:$T$372,"NSC",B$271:B$372)/31/1.98)</f>
        <v>358.74877810361687</v>
      </c>
      <c r="C379" s="121">
        <f>C$380+(SUMIF($T$271:$T$372,"FLG",C$271:C$372)/28/1.98)+(SUMIF($T$271:$T$372,"FCA",C$271:C$372)/28/1.98)+(SUMIF($T$271:$T$372,"NSC",C$271:C$372)/28/1.98)</f>
        <v>484.88455988455985</v>
      </c>
      <c r="D379" s="121">
        <f>D$380+(SUMIF($T$271:$T$372,"FLG",D$271:D$372)/31/1.98)+(SUMIF($T$271:$T$372,"FCA",D$271:D$372)/31/1.98)+(SUMIF($T$271:$T$372,"NSC",D$271:D$372)/31/1.98)</f>
        <v>1051.3196480938418</v>
      </c>
      <c r="E379" s="122"/>
      <c r="F379" s="121">
        <f>F$380+(SUMIF($T$271:$T$372,"FLG",F$271:F$372)/30/1.98)+(SUMIF($T$271:$T$372,"FCA",F$271:F$372)/30/1.98)+(SUMIF($T$271:$T$372,"NSC",F$271:F$372)/30/1.98)</f>
        <v>1424.4276094276092</v>
      </c>
      <c r="G379" s="121">
        <f>G$380+(SUMIF($T$271:$T$372,"FLG",G$271:G$372)/31/1.98)+(SUMIF($T$271:$T$372,"FCA",G$271:G$372)/31/1.98)+(SUMIF($T$271:$T$372,"NSC",G$271:G$372)/31/1.98)</f>
        <v>1073.5744542196153</v>
      </c>
      <c r="H379" s="121">
        <f>H$380+(SUMIF($T$271:$T$372,"FLG",H$271:H$372)/30/1.98)+(SUMIF($T$271:$T$372,"FCA",H$271:H$372)/30/1.98)+(SUMIF($T$271:$T$372,"NSC",H$271:H$372)/30/1.98)</f>
        <v>1521.2794612794612</v>
      </c>
      <c r="I379" s="45"/>
      <c r="J379" s="121">
        <f>J$380+(SUMIF($T$271:$T$372,"FLG",J$271:J$372)/31/1.98)+(SUMIF($T$271:$T$372,"FCA",J$271:J$372)/31/1.98)+(SUMIF($T$271:$T$372,"NSC",J$271:J$372)/31/1.98)</f>
        <v>1380.6288693385468</v>
      </c>
      <c r="K379" s="121">
        <f>K$380+(SUMIF($T$271:$T$372,"FLG",K$271:K$372)/31/1.98)+(SUMIF($T$271:$T$372,"FCA",K$271:K$372)/31/1.98)+(SUMIF($T$271:$T$372,"NSC",K$271:K$372)/31/1.98)</f>
        <v>1702.1179537308569</v>
      </c>
      <c r="L379" s="121">
        <f>L$380+(SUMIF($T$271:$T$372,"FLG",L$271:L$372)/30/1.98)+(SUMIF($T$271:$T$372,"FCA",L$271:L$372)/30/1.98)+(SUMIF($T$271:$T$372,"NSC",L$271:L$372)/30/1.98)</f>
        <v>1111.7676767676767</v>
      </c>
      <c r="M379" s="45"/>
      <c r="N379" s="121">
        <f>N$380+(SUMIF($T$271:$T$372,"FLG",N$271:N$372)/31/1.98)+(SUMIF($T$271:$T$372,"FCA",N$271:N$372)/31/1.98)+(SUMIF($T$271:$T$372,"NSC",N$271:N$372)/31/1.98)</f>
        <v>610.36168132942328</v>
      </c>
      <c r="O379" s="121">
        <f>O$380+(SUMIF($T$271:$T$372,"FLG",O$271:O$372)/30/1.98)+(SUMIF($T$271:$T$372,"FCA",O$271:O$372)/30/1.98)+(SUMIF($T$271:$T$372,"NSC",O$271:O$372)/30/1.98)</f>
        <v>301.64983164983164</v>
      </c>
      <c r="P379" s="121">
        <f>P$380+(SUMIF($T$271:$T$372,"FLG",P$271:P$372)/31/1.98)+(SUMIF($T$271:$T$372,"FCA",P$271:P$372)/31/1.98)+(SUMIF($T$271:$T$372,"NSC",P$271:P$372)/31/1.98)</f>
        <v>334.47376995764097</v>
      </c>
      <c r="Q379" s="45"/>
      <c r="R379" s="45"/>
    </row>
    <row r="380" spans="1:20" ht="15.75" customHeight="1" x14ac:dyDescent="0.3">
      <c r="A380" s="120" t="s">
        <v>292</v>
      </c>
      <c r="B380" s="121">
        <f>B$381+(SUMIF($T$271:$T$372,"FCI",B$271:B$372)/31/1.98)+(SUMIF($T$271:$T$372,"FCC",B$271:B$372)/31/1.98)</f>
        <v>358.74877810361687</v>
      </c>
      <c r="C380" s="121">
        <f>C$381+(SUMIF($T$271:$T$372,"FCI",C$271:C$372)/28/1.98)+(SUMIF($T$271:$T$372,"FCC",C$271:C$372)/28/1.98)</f>
        <v>484.88455988455985</v>
      </c>
      <c r="D380" s="121">
        <f>D$381+(SUMIF($T$271:$T$372,"FCI",D$271:D$372)/31/1.98)+(SUMIF($T$271:$T$372,"FCC",D$271:D$372)/31/1.98)</f>
        <v>1051.3196480938418</v>
      </c>
      <c r="E380" s="122"/>
      <c r="F380" s="121">
        <f>F$381+(SUMIF($T$271:$T$372,"FCI",F$271:F$372)/30/1.98)+(SUMIF($T$271:$T$372,"FCC",F$271:F$372)/30/1.98)</f>
        <v>1424.4276094276092</v>
      </c>
      <c r="G380" s="121">
        <f>G$381+(SUMIF($T$271:$T$372,"FCI",G$271:G$372)/31/1.98)+(SUMIF($T$271:$T$372,"FCC",G$271:G$372)/31/1.98)</f>
        <v>1073.5744542196153</v>
      </c>
      <c r="H380" s="121">
        <f>H$381+(SUMIF($T$271:$T$372,"FCI",H$271:H$372)/30/1.98)+(SUMIF($T$271:$T$372,"FCC",H$271:H$372)/30/1.98)</f>
        <v>1521.2794612794612</v>
      </c>
      <c r="I380" s="45"/>
      <c r="J380" s="121">
        <f>J$381+(SUMIF($T$271:$T$372,"FCI",J$271:J$372)/31/1.98)+(SUMIF($T$271:$T$372,"FCC",J$271:J$372)/31/1.98)</f>
        <v>1380.6288693385468</v>
      </c>
      <c r="K380" s="121">
        <f>K$381+(SUMIF($T$271:$T$372,"FCI",K$271:K$372)/31/1.98)+(SUMIF($T$271:$T$372,"FCC",K$271:K$372)/31/1.98)</f>
        <v>1702.1179537308569</v>
      </c>
      <c r="L380" s="121">
        <f>L$381+(SUMIF($T$271:$T$372,"FCI",L$271:L$372)/30/1.98)+(SUMIF($T$271:$T$372,"FCC",L$271:L$372)/30/1.98)</f>
        <v>1111.7676767676767</v>
      </c>
      <c r="M380" s="45"/>
      <c r="N380" s="121">
        <f>N$381+(SUMIF($T$271:$T$372,"FCI",N$271:N$372)/31/1.98)+(SUMIF($T$271:$T$372,"FCC",N$271:N$372)/31/1.98)</f>
        <v>610.36168132942328</v>
      </c>
      <c r="O380" s="121">
        <f>O$381+(SUMIF($T$271:$T$372,"FCI",O$271:O$372)/30/1.98)+(SUMIF($T$271:$T$372,"FCC",O$271:O$372)/30/1.98)</f>
        <v>301.64983164983164</v>
      </c>
      <c r="P380" s="121">
        <f>P$381+(SUMIF($T$271:$T$372,"FCI",P$271:P$372)/31/1.98)+(SUMIF($T$271:$T$372,"FCC",P$271:P$372)/31/1.98)</f>
        <v>334.47376995764097</v>
      </c>
      <c r="Q380" s="45"/>
      <c r="R380" s="45"/>
    </row>
    <row r="381" spans="1:20" ht="15.75" customHeight="1" x14ac:dyDescent="0.3">
      <c r="A381" s="120" t="s">
        <v>293</v>
      </c>
      <c r="B381" s="121">
        <f>B$382+(SUMIF($T$271:$T$372,"PIL",B$271:B$372)/31/1.98)+(SUMIF($T$271:$T$372,"KLK",B$271:B$372)/31/1.98)</f>
        <v>358.74877810361687</v>
      </c>
      <c r="C381" s="121">
        <f>C$382+(SUMIF($T$271:$T$372,"PIL",C$271:C$372)/28/1.98)+(SUMIF($T$271:$T$372,"KLK",C$271:C$372)/28/1.98)</f>
        <v>484.88455988455985</v>
      </c>
      <c r="D381" s="121">
        <f>D$382+(SUMIF($T$271:$T$372,"PIL",D$271:D$372)/31/1.98)+(SUMIF($T$271:$T$372,"KLK",D$271:D$372)/31/1.98)</f>
        <v>1051.3196480938418</v>
      </c>
      <c r="E381" s="122"/>
      <c r="F381" s="121">
        <f>F$382+(SUMIF($T$271:$T$372,"PIL",F$271:F$372)/30/1.98)+(SUMIF($T$271:$T$372,"KLK",F$271:F$372)/30/1.98)</f>
        <v>1424.4276094276092</v>
      </c>
      <c r="G381" s="121">
        <f>G$382+(SUMIF($T$271:$T$372,"PIL",G$271:G$372)/31/1.98)+(SUMIF($T$271:$T$372,"KLK",G$271:G$372)/31/1.98)</f>
        <v>1073.5744542196153</v>
      </c>
      <c r="H381" s="121">
        <f>H$382+(SUMIF($T$271:$T$372,"PIL",H$271:H$372)/30/1.98)+(SUMIF($T$271:$T$372,"KLK",H$271:H$372)/30/1.98)</f>
        <v>1521.2794612794612</v>
      </c>
      <c r="I381" s="45"/>
      <c r="J381" s="121">
        <f>J$382+(SUMIF($T$271:$T$372,"PIL",J$271:J$372)/31/1.98)+(SUMIF($T$271:$T$372,"KLK",J$271:J$372)/31/1.98)</f>
        <v>1380.6288693385468</v>
      </c>
      <c r="K381" s="121">
        <f>K$382+(SUMIF($T$271:$T$372,"PIL",K$271:K$372)/31/1.98)+(SUMIF($T$271:$T$372,"KLK",K$271:K$372)/31/1.98)</f>
        <v>1702.1179537308569</v>
      </c>
      <c r="L381" s="121">
        <f>L$382+(SUMIF($T$271:$T$372,"PIL",L$271:L$372)/30/1.98)+(SUMIF($T$271:$T$372,"KLK",L$271:L$372)/30/1.98)</f>
        <v>1111.7676767676767</v>
      </c>
      <c r="M381" s="45"/>
      <c r="N381" s="121">
        <f>N$382+(SUMIF($T$271:$T$372,"PIL",N$271:N$372)/31/1.98)+(SUMIF($T$271:$T$372,"KLK",N$271:N$372)/31/1.98)</f>
        <v>610.36168132942328</v>
      </c>
      <c r="O381" s="121">
        <f>O$382+(SUMIF($T$271:$T$372,"PIL",O$271:O$372)/30/1.98)+(SUMIF($T$271:$T$372,"KLK",O$271:O$372)/30/1.98)</f>
        <v>301.64983164983164</v>
      </c>
      <c r="P381" s="121">
        <f>P$382+(SUMIF($T$271:$T$372,"PIL",P$271:P$372)/31/1.98)+(SUMIF($T$271:$T$372,"KLK",P$271:P$372)/31/1.98)</f>
        <v>334.47376995764097</v>
      </c>
      <c r="Q381" s="45"/>
      <c r="R381" s="45"/>
    </row>
    <row r="382" spans="1:20" ht="15.75" customHeight="1" x14ac:dyDescent="0.3">
      <c r="A382" s="120" t="s">
        <v>294</v>
      </c>
      <c r="B382" s="121">
        <f>B$383+(SUMIF($T$271:$T$372,"CGE",B$271:B$372)/31/1.98)</f>
        <v>355.75105897686547</v>
      </c>
      <c r="C382" s="121">
        <f>C$383+(SUMIF($T$271:$T$372,"CGE",C$271:C$372)/28/1.98)</f>
        <v>484.88455988455985</v>
      </c>
      <c r="D382" s="121">
        <f>D$383+(SUMIF($T$271:$T$372,"CGE",D$271:D$372)/31/1.98)</f>
        <v>1051.3196480938418</v>
      </c>
      <c r="E382" s="122"/>
      <c r="F382" s="121">
        <f>F$383+(SUMIF($T$271:$T$372,"CGE",F$271:F$372)/30/1.98)</f>
        <v>1424.4276094276092</v>
      </c>
      <c r="G382" s="121">
        <f>G$383+(SUMIF($T$271:$T$372,"CGE",G$271:G$372)/31/1.98)</f>
        <v>1073.5744542196153</v>
      </c>
      <c r="H382" s="121">
        <f>H$383+(SUMIF($T$271:$T$372,"CGE",H$271:H$372)/30/1.98)</f>
        <v>1414.9663299663298</v>
      </c>
      <c r="I382" s="45"/>
      <c r="J382" s="121">
        <f>J$383+(SUMIF($T$271:$T$372,"CGE",J$271:J$372)/31/1.98)</f>
        <v>1298.159009449332</v>
      </c>
      <c r="K382" s="121">
        <f>K$383+(SUMIF($T$271:$T$372,"CGE",K$271:K$372)/31/1.98)</f>
        <v>1446.3668947539916</v>
      </c>
      <c r="L382" s="121">
        <f>L$383+(SUMIF($T$271:$T$372,"CGE",L$271:L$372)/30/1.98)</f>
        <v>959.1245791245791</v>
      </c>
      <c r="M382" s="45"/>
      <c r="N382" s="121">
        <f>N$383+(SUMIF($T$271:$T$372,"CGE",N$271:N$372)/31/1.98)</f>
        <v>610.36168132942328</v>
      </c>
      <c r="O382" s="121">
        <f>O$383+(SUMIF($T$271:$T$372,"CGE",O$271:O$372)/30/1.98)</f>
        <v>301.64983164983164</v>
      </c>
      <c r="P382" s="121">
        <f>P$383+(SUMIF($T$271:$T$372,"CGE",P$271:P$372)/31/1.98)</f>
        <v>334.47376995764097</v>
      </c>
      <c r="Q382" s="45"/>
      <c r="R382" s="45"/>
    </row>
    <row r="383" spans="1:20" ht="15.75" customHeight="1" x14ac:dyDescent="0.3">
      <c r="A383" s="120" t="s">
        <v>295</v>
      </c>
      <c r="B383" s="121">
        <f>B$384+(SUMIF($T$271:$T$372,"SRO",B$271:B$372)/31/1.98)</f>
        <v>355.75105897686547</v>
      </c>
      <c r="C383" s="121">
        <f>C$384+(SUMIF($T$271:$T$372,"SRO",C$271:C$372)/28/1.98)</f>
        <v>484.88455988455985</v>
      </c>
      <c r="D383" s="121">
        <f>D$384+(SUMIF($T$271:$T$372,"SRO",D$271:D$372)/31/1.98)</f>
        <v>1051.3196480938418</v>
      </c>
      <c r="E383" s="122"/>
      <c r="F383" s="121">
        <f>F$384+(SUMIF($T$271:$T$372,"SRO",F$271:F$372)/30/1.98)</f>
        <v>1424.4276094276092</v>
      </c>
      <c r="G383" s="121">
        <f>G$384+(SUMIF($T$271:$T$372,"SRO",G$271:G$372)/31/1.98)</f>
        <v>1073.3463668947538</v>
      </c>
      <c r="H383" s="121">
        <f>H$384+(SUMIF($T$271:$T$372,"SRO",H$271:H$372)/30/1.98)</f>
        <v>1414.3602693602693</v>
      </c>
      <c r="I383" s="45"/>
      <c r="J383" s="121">
        <f>J$384+(SUMIF($T$271:$T$372,"SRO",J$271:J$372)/31/1.98)</f>
        <v>1297.9309221244705</v>
      </c>
      <c r="K383" s="121">
        <f>K$384+(SUMIF($T$271:$T$372,"SRO",K$271:K$372)/31/1.98)</f>
        <v>1445.8944281524928</v>
      </c>
      <c r="L383" s="121">
        <f>L$384+(SUMIF($T$271:$T$372,"SRO",L$271:L$372)/30/1.98)</f>
        <v>958.73737373737367</v>
      </c>
      <c r="M383" s="45"/>
      <c r="N383" s="121">
        <f>N$384+(SUMIF($T$271:$T$372,"SRO",N$271:N$372)/31/1.98)</f>
        <v>610.03584229390685</v>
      </c>
      <c r="O383" s="121">
        <f>O$384+(SUMIF($T$271:$T$372,"SRO",O$271:O$372)/30/1.98)</f>
        <v>301.48148148148147</v>
      </c>
      <c r="P383" s="121">
        <f>P$384+(SUMIF($T$271:$T$372,"SRO",P$271:P$372)/31/1.98)</f>
        <v>334.19680677745197</v>
      </c>
      <c r="Q383" s="45"/>
      <c r="R383" s="45"/>
    </row>
    <row r="384" spans="1:20" ht="15.75" customHeight="1" x14ac:dyDescent="0.3">
      <c r="A384" s="120" t="s">
        <v>296</v>
      </c>
      <c r="B384" s="121">
        <f>B$422/31/1.98</f>
        <v>248.24046920821115</v>
      </c>
      <c r="C384" s="121">
        <f>C$422/28/1.98</f>
        <v>266.61255411255411</v>
      </c>
      <c r="D384" s="121">
        <f>D$422/31/1.98</f>
        <v>493.67872271098076</v>
      </c>
      <c r="E384" s="123"/>
      <c r="F384" s="121">
        <f>F$422/30/1.98</f>
        <v>757.76094276094273</v>
      </c>
      <c r="G384" s="121">
        <f>G$422/31/1.98</f>
        <v>590.5506679700228</v>
      </c>
      <c r="H384" s="121">
        <f>H$422/30/1.98</f>
        <v>716.31313131313129</v>
      </c>
      <c r="I384" s="1"/>
      <c r="J384" s="121">
        <f>J$422/31/1.98</f>
        <v>795.06353861192576</v>
      </c>
      <c r="K384" s="121">
        <f>K$422/31/1.98</f>
        <v>866.50374714890847</v>
      </c>
      <c r="L384" s="121">
        <f>L$422/30/1.98</f>
        <v>607.65993265993268</v>
      </c>
      <c r="N384" s="121">
        <f>N$422/31/1.98</f>
        <v>360.6875203649397</v>
      </c>
      <c r="O384" s="121">
        <f>O$422/30/1.98</f>
        <v>172.87878787878788</v>
      </c>
      <c r="P384" s="121">
        <f>P$422/31/1.98</f>
        <v>266.25936787227113</v>
      </c>
      <c r="R384" s="45"/>
    </row>
    <row r="385" spans="1:18" ht="15.75" customHeight="1" thickBot="1" x14ac:dyDescent="0.35">
      <c r="A385" s="28"/>
      <c r="B385" s="1"/>
      <c r="C385" s="1"/>
      <c r="D385" s="1"/>
      <c r="E385" s="1"/>
      <c r="F385" s="1"/>
      <c r="G385" s="1"/>
      <c r="H385" s="1"/>
      <c r="I385" s="1"/>
      <c r="J385" s="1"/>
      <c r="K385" s="1"/>
      <c r="L385" s="1"/>
      <c r="M385" s="1"/>
      <c r="N385" s="1"/>
      <c r="O385" s="1"/>
      <c r="P385" s="1"/>
      <c r="Q385" s="1"/>
      <c r="R385" s="2"/>
    </row>
    <row r="386" spans="1:18" ht="15.75" customHeight="1" thickBot="1" x14ac:dyDescent="0.35">
      <c r="A386" s="29" t="s">
        <v>297</v>
      </c>
      <c r="B386" s="30" t="s">
        <v>8</v>
      </c>
      <c r="C386" s="31" t="s">
        <v>9</v>
      </c>
      <c r="D386" s="31" t="s">
        <v>10</v>
      </c>
      <c r="E386" s="32" t="s">
        <v>11</v>
      </c>
      <c r="F386" s="31" t="s">
        <v>12</v>
      </c>
      <c r="G386" s="31" t="s">
        <v>13</v>
      </c>
      <c r="H386" s="31" t="s">
        <v>14</v>
      </c>
      <c r="I386" s="33" t="s">
        <v>15</v>
      </c>
      <c r="J386" s="31" t="s">
        <v>16</v>
      </c>
      <c r="K386" s="31" t="s">
        <v>17</v>
      </c>
      <c r="L386" s="31" t="s">
        <v>18</v>
      </c>
      <c r="M386" s="33" t="s">
        <v>19</v>
      </c>
      <c r="N386" s="31" t="s">
        <v>20</v>
      </c>
      <c r="O386" s="31" t="s">
        <v>21</v>
      </c>
      <c r="P386" s="31" t="s">
        <v>22</v>
      </c>
      <c r="Q386" s="33" t="s">
        <v>23</v>
      </c>
      <c r="R386" s="34" t="s">
        <v>24</v>
      </c>
    </row>
    <row r="387" spans="1:18" ht="15.75" customHeight="1" thickBot="1" x14ac:dyDescent="0.35">
      <c r="A387" s="59"/>
      <c r="B387" s="75"/>
      <c r="C387" s="75"/>
      <c r="D387" s="75"/>
      <c r="E387" s="69"/>
      <c r="F387" s="75"/>
      <c r="G387" s="75"/>
      <c r="H387" s="75"/>
      <c r="I387" s="82"/>
      <c r="J387" s="75"/>
      <c r="K387" s="75"/>
      <c r="L387" s="75"/>
      <c r="M387" s="82"/>
      <c r="N387" s="75"/>
      <c r="O387" s="75"/>
      <c r="P387" s="75"/>
      <c r="Q387" s="82"/>
      <c r="R387" s="100"/>
    </row>
    <row r="388" spans="1:18" ht="15.75" customHeight="1" x14ac:dyDescent="0.3">
      <c r="A388" s="15" t="s">
        <v>48</v>
      </c>
      <c r="B388" s="1" t="s">
        <v>7</v>
      </c>
      <c r="C388" s="1" t="s">
        <v>7</v>
      </c>
      <c r="D388" s="1" t="s">
        <v>7</v>
      </c>
      <c r="E388" s="55" t="s">
        <v>7</v>
      </c>
      <c r="F388" s="1" t="s">
        <v>7</v>
      </c>
      <c r="G388" s="1" t="s">
        <v>7</v>
      </c>
      <c r="H388" s="1" t="s">
        <v>7</v>
      </c>
      <c r="I388" s="55" t="s">
        <v>7</v>
      </c>
      <c r="J388" s="1" t="s">
        <v>7</v>
      </c>
      <c r="K388" s="1" t="s">
        <v>7</v>
      </c>
      <c r="L388" s="1" t="s">
        <v>7</v>
      </c>
      <c r="M388" s="55" t="s">
        <v>7</v>
      </c>
      <c r="N388" s="1" t="s">
        <v>7</v>
      </c>
      <c r="O388" s="1" t="s">
        <v>7</v>
      </c>
      <c r="P388" s="1" t="s">
        <v>7</v>
      </c>
      <c r="Q388" s="55" t="s">
        <v>7</v>
      </c>
      <c r="R388" s="55" t="s">
        <v>7</v>
      </c>
    </row>
    <row r="389" spans="1:18" ht="15.75" customHeight="1" x14ac:dyDescent="0.3">
      <c r="A389" s="15" t="s">
        <v>49</v>
      </c>
      <c r="B389" s="1"/>
      <c r="C389" s="1"/>
      <c r="D389" s="1"/>
      <c r="E389" s="55" t="s">
        <v>7</v>
      </c>
      <c r="F389" s="1"/>
      <c r="G389" s="1"/>
      <c r="H389" s="1"/>
      <c r="I389" s="55" t="s">
        <v>7</v>
      </c>
      <c r="J389" s="1"/>
      <c r="K389" s="1"/>
      <c r="L389" s="1"/>
      <c r="M389" s="55" t="s">
        <v>7</v>
      </c>
      <c r="N389" s="1"/>
      <c r="O389" s="1"/>
      <c r="P389" s="1"/>
      <c r="Q389" s="55" t="s">
        <v>7</v>
      </c>
      <c r="R389" s="55" t="s">
        <v>7</v>
      </c>
    </row>
    <row r="390" spans="1:18" ht="15.75" customHeight="1" x14ac:dyDescent="0.3">
      <c r="A390" s="71" t="s">
        <v>211</v>
      </c>
      <c r="B390" s="1">
        <v>0</v>
      </c>
      <c r="C390" s="1">
        <v>1</v>
      </c>
      <c r="D390" s="1">
        <v>1</v>
      </c>
      <c r="E390" s="55">
        <f>SUM(B390:D390)</f>
        <v>2</v>
      </c>
      <c r="F390" s="1">
        <v>4</v>
      </c>
      <c r="G390" s="1">
        <v>3</v>
      </c>
      <c r="H390" s="1">
        <v>5</v>
      </c>
      <c r="I390" s="55">
        <f>SUM(F390:H390)</f>
        <v>12</v>
      </c>
      <c r="J390" s="1">
        <v>4</v>
      </c>
      <c r="K390" s="1">
        <v>4</v>
      </c>
      <c r="L390" s="1">
        <v>3</v>
      </c>
      <c r="M390" s="55">
        <f>SUM(J390:L390)</f>
        <v>11</v>
      </c>
      <c r="N390" s="1">
        <v>2</v>
      </c>
      <c r="O390" s="1">
        <v>0</v>
      </c>
      <c r="P390" s="1">
        <v>0</v>
      </c>
      <c r="Q390" s="55">
        <f>SUM(N390:P390)</f>
        <v>2</v>
      </c>
      <c r="R390" s="55">
        <v>0</v>
      </c>
    </row>
    <row r="391" spans="1:18" ht="15.75" customHeight="1" x14ac:dyDescent="0.3">
      <c r="A391" s="72" t="s">
        <v>212</v>
      </c>
      <c r="B391" s="1">
        <v>0</v>
      </c>
      <c r="C391" s="1">
        <v>0</v>
      </c>
      <c r="D391" s="1">
        <v>0</v>
      </c>
      <c r="E391" s="55">
        <f>SUM(B391:D391)</f>
        <v>0</v>
      </c>
      <c r="F391" s="1">
        <v>0</v>
      </c>
      <c r="G391" s="1">
        <v>0</v>
      </c>
      <c r="H391" s="1">
        <v>0</v>
      </c>
      <c r="I391" s="55">
        <f>SUM(F391:H391)</f>
        <v>0</v>
      </c>
      <c r="J391" s="1">
        <v>0</v>
      </c>
      <c r="K391" s="1">
        <v>0</v>
      </c>
      <c r="L391" s="1">
        <v>0</v>
      </c>
      <c r="M391" s="55">
        <f>SUM(J391:L391)</f>
        <v>0</v>
      </c>
      <c r="N391" s="1">
        <v>0</v>
      </c>
      <c r="O391" s="1">
        <v>0</v>
      </c>
      <c r="P391" s="1">
        <v>0</v>
      </c>
      <c r="Q391" s="55">
        <f>SUM(N391:P391)</f>
        <v>0</v>
      </c>
      <c r="R391" s="55">
        <v>0</v>
      </c>
    </row>
    <row r="392" spans="1:18" ht="15.75" customHeight="1" x14ac:dyDescent="0.3">
      <c r="A392" s="15" t="s">
        <v>50</v>
      </c>
      <c r="B392" s="1"/>
      <c r="C392" s="1"/>
      <c r="D392" s="1"/>
      <c r="E392" s="55" t="s">
        <v>7</v>
      </c>
      <c r="F392" s="1"/>
      <c r="G392" s="1"/>
      <c r="H392" s="1"/>
      <c r="I392" s="55" t="s">
        <v>7</v>
      </c>
      <c r="J392" s="1"/>
      <c r="K392" s="1"/>
      <c r="L392" s="1"/>
      <c r="M392" s="55" t="s">
        <v>7</v>
      </c>
      <c r="N392" s="1"/>
      <c r="O392" s="1"/>
      <c r="P392" s="1"/>
      <c r="Q392" s="55" t="s">
        <v>7</v>
      </c>
      <c r="R392" s="55" t="s">
        <v>7</v>
      </c>
    </row>
    <row r="393" spans="1:18" ht="15.75" customHeight="1" x14ac:dyDescent="0.3">
      <c r="A393" s="71" t="s">
        <v>211</v>
      </c>
      <c r="B393" s="1">
        <v>0</v>
      </c>
      <c r="C393" s="1">
        <v>0</v>
      </c>
      <c r="D393" s="1">
        <v>0</v>
      </c>
      <c r="E393" s="55">
        <f>SUM(B393:D393)</f>
        <v>0</v>
      </c>
      <c r="F393" s="1">
        <v>0</v>
      </c>
      <c r="G393" s="1">
        <v>0</v>
      </c>
      <c r="H393" s="1">
        <v>0</v>
      </c>
      <c r="I393" s="55">
        <f>SUM(F393:H393)</f>
        <v>0</v>
      </c>
      <c r="J393" s="1">
        <v>0</v>
      </c>
      <c r="K393" s="1">
        <v>0</v>
      </c>
      <c r="L393" s="1">
        <v>0</v>
      </c>
      <c r="M393" s="55">
        <f>SUM(J393:L393)</f>
        <v>0</v>
      </c>
      <c r="N393" s="1">
        <v>0</v>
      </c>
      <c r="O393" s="1">
        <v>0</v>
      </c>
      <c r="P393" s="1">
        <v>0</v>
      </c>
      <c r="Q393" s="55">
        <f>SUM(N393:P393)</f>
        <v>0</v>
      </c>
      <c r="R393" s="55">
        <f>+E393+I393+M393+Q393</f>
        <v>0</v>
      </c>
    </row>
    <row r="394" spans="1:18" ht="15.75" customHeight="1" x14ac:dyDescent="0.3">
      <c r="A394" s="71" t="s">
        <v>298</v>
      </c>
      <c r="B394" s="1">
        <v>0</v>
      </c>
      <c r="C394" s="1">
        <v>0</v>
      </c>
      <c r="D394" s="1">
        <v>0</v>
      </c>
      <c r="E394" s="55">
        <f>SUM(B394:D394)</f>
        <v>0</v>
      </c>
      <c r="F394" s="1">
        <v>5</v>
      </c>
      <c r="G394" s="1">
        <v>2</v>
      </c>
      <c r="H394" s="1">
        <v>9</v>
      </c>
      <c r="I394" s="55">
        <f>SUM(F394:H394)</f>
        <v>16</v>
      </c>
      <c r="J394" s="1">
        <v>8</v>
      </c>
      <c r="K394" s="1">
        <v>0</v>
      </c>
      <c r="L394" s="1">
        <v>4</v>
      </c>
      <c r="M394" s="55">
        <f>SUM(J394:L394)</f>
        <v>12</v>
      </c>
      <c r="N394" s="1">
        <v>0</v>
      </c>
      <c r="O394" s="1">
        <v>0</v>
      </c>
      <c r="P394" s="1">
        <v>0</v>
      </c>
      <c r="Q394" s="55">
        <f>SUM(N394:P394)</f>
        <v>0</v>
      </c>
      <c r="R394" s="55">
        <f>+E394+I394+M394+Q394</f>
        <v>28</v>
      </c>
    </row>
    <row r="395" spans="1:18" ht="15.75" customHeight="1" x14ac:dyDescent="0.3">
      <c r="A395" s="15" t="s">
        <v>51</v>
      </c>
      <c r="B395" s="1"/>
      <c r="C395" s="1"/>
      <c r="D395" s="1"/>
      <c r="E395" s="55" t="s">
        <v>7</v>
      </c>
      <c r="F395" s="1"/>
      <c r="G395" s="1"/>
      <c r="H395" s="1"/>
      <c r="I395" s="55" t="s">
        <v>7</v>
      </c>
      <c r="J395" s="1"/>
      <c r="K395" s="1"/>
      <c r="L395" s="1"/>
      <c r="M395" s="55" t="s">
        <v>7</v>
      </c>
      <c r="N395" s="1"/>
      <c r="O395" s="1"/>
      <c r="P395" s="1"/>
      <c r="Q395" s="55" t="s">
        <v>7</v>
      </c>
      <c r="R395" s="55" t="s">
        <v>7</v>
      </c>
    </row>
    <row r="396" spans="1:18" ht="15.75" customHeight="1" thickBot="1" x14ac:dyDescent="0.35">
      <c r="A396" s="15" t="s">
        <v>53</v>
      </c>
      <c r="B396" s="1"/>
      <c r="C396" s="1"/>
      <c r="D396" s="1"/>
      <c r="E396" s="55" t="s">
        <v>7</v>
      </c>
      <c r="F396" s="1"/>
      <c r="G396" s="1"/>
      <c r="H396" s="1"/>
      <c r="I396" s="55" t="s">
        <v>7</v>
      </c>
      <c r="J396" s="1"/>
      <c r="K396" s="1"/>
      <c r="L396" s="1"/>
      <c r="M396" s="55" t="s">
        <v>7</v>
      </c>
      <c r="N396" s="1"/>
      <c r="O396" s="1"/>
      <c r="P396" s="1"/>
      <c r="Q396" s="55" t="s">
        <v>7</v>
      </c>
      <c r="R396" s="55" t="s">
        <v>7</v>
      </c>
    </row>
    <row r="397" spans="1:18" ht="15.75" customHeight="1" thickBot="1" x14ac:dyDescent="0.35">
      <c r="A397" s="109" t="s">
        <v>54</v>
      </c>
      <c r="B397" s="86">
        <f>SUM(B388:B396)</f>
        <v>0</v>
      </c>
      <c r="C397" s="87">
        <f>SUM(C388:C396)</f>
        <v>1</v>
      </c>
      <c r="D397" s="87">
        <f>SUM(D388:D396)</f>
        <v>1</v>
      </c>
      <c r="E397" s="59">
        <f>SUM(B397:D397)</f>
        <v>2</v>
      </c>
      <c r="F397" s="87">
        <f>SUM(F388:F396)</f>
        <v>9</v>
      </c>
      <c r="G397" s="87">
        <f>SUM(G388:G396)</f>
        <v>5</v>
      </c>
      <c r="H397" s="87">
        <f>SUM(H388:H396)</f>
        <v>14</v>
      </c>
      <c r="I397" s="59">
        <f>SUM(F397:H397)</f>
        <v>28</v>
      </c>
      <c r="J397" s="87">
        <f>SUM(J388:J396)</f>
        <v>12</v>
      </c>
      <c r="K397" s="87">
        <f>SUM(K388:K396)</f>
        <v>4</v>
      </c>
      <c r="L397" s="87">
        <f>SUM(L388:L396)</f>
        <v>7</v>
      </c>
      <c r="M397" s="59">
        <f>SUM(J397:L397)</f>
        <v>23</v>
      </c>
      <c r="N397" s="87">
        <f>SUM(N388:N396)</f>
        <v>2</v>
      </c>
      <c r="O397" s="87">
        <f>SUM(O388:O396)</f>
        <v>0</v>
      </c>
      <c r="P397" s="87">
        <f>SUM(P388:P396)</f>
        <v>0</v>
      </c>
      <c r="Q397" s="59">
        <f>SUM(N397:P397)</f>
        <v>2</v>
      </c>
      <c r="R397" s="59">
        <f>+E397+I397+M397+Q397</f>
        <v>55</v>
      </c>
    </row>
    <row r="398" spans="1:18" ht="15.75" customHeight="1" x14ac:dyDescent="0.3">
      <c r="A398" s="15" t="s">
        <v>55</v>
      </c>
      <c r="B398" s="1"/>
      <c r="C398" s="1"/>
      <c r="D398" s="1"/>
      <c r="E398" s="55" t="s">
        <v>7</v>
      </c>
      <c r="F398" s="1"/>
      <c r="G398" s="1"/>
      <c r="H398" s="1"/>
      <c r="I398" s="55" t="s">
        <v>7</v>
      </c>
      <c r="J398" s="1"/>
      <c r="K398" s="1"/>
      <c r="L398" s="1"/>
      <c r="M398" s="55" t="s">
        <v>7</v>
      </c>
      <c r="N398" s="1" t="s">
        <v>7</v>
      </c>
      <c r="O398" s="1"/>
      <c r="P398" s="1"/>
      <c r="Q398" s="55" t="s">
        <v>7</v>
      </c>
      <c r="R398" s="55" t="s">
        <v>7</v>
      </c>
    </row>
    <row r="399" spans="1:18" ht="15.75" customHeight="1" x14ac:dyDescent="0.3">
      <c r="A399" s="15" t="s">
        <v>57</v>
      </c>
      <c r="B399" s="1"/>
      <c r="C399" s="1"/>
      <c r="D399" s="1"/>
      <c r="E399" s="55" t="s">
        <v>7</v>
      </c>
      <c r="F399" s="1"/>
      <c r="G399" s="1"/>
      <c r="H399" s="1"/>
      <c r="I399" s="55" t="s">
        <v>7</v>
      </c>
      <c r="J399" s="1"/>
      <c r="K399" s="1"/>
      <c r="L399" s="1"/>
      <c r="M399" s="55" t="s">
        <v>7</v>
      </c>
      <c r="N399" s="1"/>
      <c r="O399" s="1"/>
      <c r="P399" s="1"/>
      <c r="Q399" s="55" t="s">
        <v>7</v>
      </c>
      <c r="R399" s="55" t="s">
        <v>7</v>
      </c>
    </row>
    <row r="400" spans="1:18" ht="15.75" customHeight="1" x14ac:dyDescent="0.3">
      <c r="A400" s="71" t="s">
        <v>299</v>
      </c>
      <c r="B400" s="1">
        <v>392</v>
      </c>
      <c r="C400" s="1">
        <v>1726</v>
      </c>
      <c r="D400" s="1">
        <v>6790</v>
      </c>
      <c r="E400" s="55">
        <f>SUM(B400:D400)</f>
        <v>8908</v>
      </c>
      <c r="F400" s="1">
        <v>13433</v>
      </c>
      <c r="G400" s="1">
        <v>8794</v>
      </c>
      <c r="H400" s="1">
        <v>16947</v>
      </c>
      <c r="I400" s="55">
        <f>SUM(F400:H400)</f>
        <v>39174</v>
      </c>
      <c r="J400" s="1">
        <v>19250</v>
      </c>
      <c r="K400" s="1">
        <v>0</v>
      </c>
      <c r="L400" s="1">
        <v>0</v>
      </c>
      <c r="M400" s="55">
        <f>SUM(J400:L400)</f>
        <v>19250</v>
      </c>
      <c r="N400" s="1">
        <v>0</v>
      </c>
      <c r="O400" s="1">
        <v>0</v>
      </c>
      <c r="P400" s="1">
        <v>494</v>
      </c>
      <c r="Q400" s="55">
        <f>SUM(N400:P400)</f>
        <v>494</v>
      </c>
      <c r="R400" s="55">
        <f>+E400+I400+M400+Q400</f>
        <v>67826</v>
      </c>
    </row>
    <row r="401" spans="1:18" ht="15.75" customHeight="1" thickBot="1" x14ac:dyDescent="0.35">
      <c r="A401" s="15" t="s">
        <v>58</v>
      </c>
      <c r="B401" s="1"/>
      <c r="C401" s="1"/>
      <c r="D401" s="1"/>
      <c r="E401" s="55" t="s">
        <v>7</v>
      </c>
      <c r="F401" s="1"/>
      <c r="G401" s="1"/>
      <c r="H401" s="1"/>
      <c r="I401" s="55" t="s">
        <v>7</v>
      </c>
      <c r="J401" s="1"/>
      <c r="K401" s="1"/>
      <c r="L401" s="1"/>
      <c r="M401" s="55" t="s">
        <v>7</v>
      </c>
      <c r="N401" s="1"/>
      <c r="O401" s="1"/>
      <c r="P401" s="1"/>
      <c r="Q401" s="55" t="s">
        <v>7</v>
      </c>
      <c r="R401" s="55" t="s">
        <v>7</v>
      </c>
    </row>
    <row r="402" spans="1:18" ht="15.75" customHeight="1" thickBot="1" x14ac:dyDescent="0.35">
      <c r="A402" s="57" t="s">
        <v>59</v>
      </c>
      <c r="B402" s="86">
        <f>SUM(B398:B401)</f>
        <v>392</v>
      </c>
      <c r="C402" s="87">
        <f>SUM(C398:C401)</f>
        <v>1726</v>
      </c>
      <c r="D402" s="87">
        <f>SUM(D398:D401)</f>
        <v>6790</v>
      </c>
      <c r="E402" s="59">
        <f>SUM(B402:D402)</f>
        <v>8908</v>
      </c>
      <c r="F402" s="87">
        <f>SUM(F398:F401)</f>
        <v>13433</v>
      </c>
      <c r="G402" s="87">
        <f>SUM(G398:G401)</f>
        <v>8794</v>
      </c>
      <c r="H402" s="87">
        <f>SUM(H398:H401)</f>
        <v>16947</v>
      </c>
      <c r="I402" s="59">
        <f>SUM(F402:H402)</f>
        <v>39174</v>
      </c>
      <c r="J402" s="87">
        <f>SUM(J398:J401)</f>
        <v>19250</v>
      </c>
      <c r="K402" s="87">
        <f>SUM(K398:K401)</f>
        <v>0</v>
      </c>
      <c r="L402" s="87">
        <f>SUM(L398:L401)</f>
        <v>0</v>
      </c>
      <c r="M402" s="59">
        <f>SUM(J402:L402)</f>
        <v>19250</v>
      </c>
      <c r="N402" s="87">
        <f>SUM(N398:N401)</f>
        <v>0</v>
      </c>
      <c r="O402" s="87">
        <f>SUM(O398:O401)</f>
        <v>0</v>
      </c>
      <c r="P402" s="87">
        <f>SUM(P398:P401)</f>
        <v>494</v>
      </c>
      <c r="Q402" s="59">
        <f>SUM(N402:P402)</f>
        <v>494</v>
      </c>
      <c r="R402" s="59">
        <f>+E402+I402+M402+Q402</f>
        <v>67826</v>
      </c>
    </row>
    <row r="403" spans="1:18" ht="15.75" customHeight="1" x14ac:dyDescent="0.3">
      <c r="A403" s="15" t="s">
        <v>60</v>
      </c>
      <c r="B403" s="1"/>
      <c r="C403" s="1"/>
      <c r="D403" s="1"/>
      <c r="E403" s="55" t="s">
        <v>7</v>
      </c>
      <c r="F403" s="1"/>
      <c r="G403" s="1"/>
      <c r="H403" s="1"/>
      <c r="I403" s="55" t="s">
        <v>7</v>
      </c>
      <c r="J403" s="1"/>
      <c r="K403" s="1"/>
      <c r="L403" s="1"/>
      <c r="M403" s="55" t="s">
        <v>7</v>
      </c>
      <c r="N403" s="1"/>
      <c r="O403" s="1"/>
      <c r="P403" s="1"/>
      <c r="Q403" s="55" t="s">
        <v>7</v>
      </c>
      <c r="R403" s="55" t="s">
        <v>7</v>
      </c>
    </row>
    <row r="404" spans="1:18" ht="15.75" customHeight="1" x14ac:dyDescent="0.3">
      <c r="A404" s="15" t="s">
        <v>61</v>
      </c>
      <c r="B404" s="1"/>
      <c r="C404" s="1"/>
      <c r="D404" s="1"/>
      <c r="E404" s="55" t="s">
        <v>7</v>
      </c>
      <c r="F404" s="1"/>
      <c r="G404" s="1"/>
      <c r="H404" s="1"/>
      <c r="I404" s="55" t="s">
        <v>7</v>
      </c>
      <c r="J404" s="1"/>
      <c r="K404" s="1"/>
      <c r="L404" s="1"/>
      <c r="M404" s="55" t="s">
        <v>7</v>
      </c>
      <c r="N404" s="1"/>
      <c r="O404" s="1"/>
      <c r="P404" s="1"/>
      <c r="Q404" s="55" t="s">
        <v>7</v>
      </c>
      <c r="R404" s="55" t="s">
        <v>7</v>
      </c>
    </row>
    <row r="405" spans="1:18" ht="15.75" customHeight="1" thickBot="1" x14ac:dyDescent="0.35">
      <c r="A405" s="15" t="s">
        <v>62</v>
      </c>
      <c r="B405" s="1"/>
      <c r="C405" s="1"/>
      <c r="D405" s="1"/>
      <c r="E405" s="55" t="s">
        <v>7</v>
      </c>
      <c r="F405" s="1"/>
      <c r="G405" s="1"/>
      <c r="H405" s="1"/>
      <c r="I405" s="55" t="s">
        <v>7</v>
      </c>
      <c r="J405" s="1"/>
      <c r="K405" s="1"/>
      <c r="L405" s="1"/>
      <c r="M405" s="55" t="s">
        <v>7</v>
      </c>
      <c r="N405" s="1"/>
      <c r="O405" s="1"/>
      <c r="P405" s="1"/>
      <c r="Q405" s="55" t="s">
        <v>7</v>
      </c>
      <c r="R405" s="55" t="s">
        <v>7</v>
      </c>
    </row>
    <row r="406" spans="1:18" ht="15.75" customHeight="1" thickBot="1" x14ac:dyDescent="0.35">
      <c r="A406" s="114" t="s">
        <v>63</v>
      </c>
      <c r="B406" s="86">
        <f>SUM(B403:B405)</f>
        <v>0</v>
      </c>
      <c r="C406" s="87">
        <f>SUM(C403:C405)</f>
        <v>0</v>
      </c>
      <c r="D406" s="87">
        <f>SUM(D403:D405)</f>
        <v>0</v>
      </c>
      <c r="E406" s="59">
        <f>SUM(B406:D406)</f>
        <v>0</v>
      </c>
      <c r="F406" s="87">
        <f>SUM(F403:F405)</f>
        <v>0</v>
      </c>
      <c r="G406" s="87">
        <f>SUM(G403:G405)</f>
        <v>0</v>
      </c>
      <c r="H406" s="87">
        <f>SUM(H403:H405)</f>
        <v>0</v>
      </c>
      <c r="I406" s="59">
        <f>SUM(F406:H406)</f>
        <v>0</v>
      </c>
      <c r="J406" s="87">
        <f>SUM(J403:J405)</f>
        <v>0</v>
      </c>
      <c r="K406" s="87">
        <f>SUM(K403:K405)</f>
        <v>0</v>
      </c>
      <c r="L406" s="87">
        <f>SUM(L403:L405)</f>
        <v>0</v>
      </c>
      <c r="M406" s="59">
        <f>SUM(J406:L406)</f>
        <v>0</v>
      </c>
      <c r="N406" s="87">
        <f>SUM(N403:N405)</f>
        <v>0</v>
      </c>
      <c r="O406" s="87">
        <f>SUM(O403:O405)</f>
        <v>0</v>
      </c>
      <c r="P406" s="87">
        <f>SUM(P403:P405)</f>
        <v>0</v>
      </c>
      <c r="Q406" s="59">
        <f>SUM(N406:P406)</f>
        <v>0</v>
      </c>
      <c r="R406" s="59">
        <f>+E406+I406+M406+Q406</f>
        <v>0</v>
      </c>
    </row>
    <row r="407" spans="1:18" ht="15.75" customHeight="1" x14ac:dyDescent="0.3">
      <c r="A407" s="15" t="s">
        <v>64</v>
      </c>
      <c r="B407" s="1"/>
      <c r="C407" s="1"/>
      <c r="D407" s="1"/>
      <c r="E407" s="55" t="s">
        <v>7</v>
      </c>
      <c r="F407" s="1"/>
      <c r="G407" s="1"/>
      <c r="H407" s="1"/>
      <c r="I407" s="55" t="s">
        <v>7</v>
      </c>
      <c r="J407" s="1"/>
      <c r="K407" s="1"/>
      <c r="L407" s="1"/>
      <c r="M407" s="55" t="s">
        <v>7</v>
      </c>
      <c r="N407" s="1"/>
      <c r="O407" s="1"/>
      <c r="P407" s="1"/>
      <c r="Q407" s="55" t="s">
        <v>7</v>
      </c>
      <c r="R407" s="55" t="s">
        <v>7</v>
      </c>
    </row>
    <row r="408" spans="1:18" ht="15.75" customHeight="1" x14ac:dyDescent="0.3">
      <c r="A408" s="15" t="s">
        <v>65</v>
      </c>
      <c r="B408" s="1"/>
      <c r="C408" s="1"/>
      <c r="D408" s="1"/>
      <c r="E408" s="55" t="s">
        <v>7</v>
      </c>
      <c r="F408" s="1"/>
      <c r="G408" s="1"/>
      <c r="H408" s="1"/>
      <c r="I408" s="55" t="s">
        <v>7</v>
      </c>
      <c r="J408" s="1"/>
      <c r="K408" s="1"/>
      <c r="L408" s="1"/>
      <c r="M408" s="55" t="s">
        <v>7</v>
      </c>
      <c r="N408" s="1"/>
      <c r="O408" s="1"/>
      <c r="P408" s="1"/>
      <c r="Q408" s="55" t="s">
        <v>7</v>
      </c>
      <c r="R408" s="55" t="s">
        <v>7</v>
      </c>
    </row>
    <row r="409" spans="1:18" ht="15.75" customHeight="1" x14ac:dyDescent="0.3">
      <c r="A409" s="71" t="s">
        <v>300</v>
      </c>
      <c r="B409" s="1">
        <v>0</v>
      </c>
      <c r="C409" s="1">
        <v>0</v>
      </c>
      <c r="D409" s="1">
        <v>0</v>
      </c>
      <c r="E409" s="55">
        <f>SUM(B409:D409)</f>
        <v>0</v>
      </c>
      <c r="F409" s="1">
        <v>0</v>
      </c>
      <c r="G409" s="1">
        <v>0</v>
      </c>
      <c r="H409" s="1">
        <v>0</v>
      </c>
      <c r="I409" s="55">
        <f>SUM(F409:H409)</f>
        <v>0</v>
      </c>
      <c r="J409" s="1">
        <v>0</v>
      </c>
      <c r="K409" s="1">
        <v>0</v>
      </c>
      <c r="L409" s="1">
        <v>0</v>
      </c>
      <c r="M409" s="55">
        <f>SUM(J409:L409)</f>
        <v>0</v>
      </c>
      <c r="N409" s="1">
        <v>0</v>
      </c>
      <c r="O409" s="1">
        <v>0</v>
      </c>
      <c r="P409" s="1">
        <v>0</v>
      </c>
      <c r="Q409" s="55">
        <f>SUM(N409:P409)</f>
        <v>0</v>
      </c>
      <c r="R409" s="55">
        <f>+E409+I409+M409+Q409</f>
        <v>0</v>
      </c>
    </row>
    <row r="410" spans="1:18" ht="15.75" customHeight="1" x14ac:dyDescent="0.3">
      <c r="A410" s="15" t="s">
        <v>67</v>
      </c>
      <c r="B410" s="1"/>
      <c r="C410" s="1"/>
      <c r="D410" s="1"/>
      <c r="E410" s="55" t="s">
        <v>7</v>
      </c>
      <c r="F410" s="1"/>
      <c r="G410" s="1"/>
      <c r="H410" s="1"/>
      <c r="I410" s="55" t="s">
        <v>7</v>
      </c>
      <c r="J410" s="1"/>
      <c r="K410" s="1"/>
      <c r="L410" s="1"/>
      <c r="M410" s="55" t="s">
        <v>7</v>
      </c>
      <c r="N410" s="1"/>
      <c r="O410" s="1"/>
      <c r="P410" s="1"/>
      <c r="Q410" s="55" t="s">
        <v>7</v>
      </c>
      <c r="R410" s="55" t="s">
        <v>7</v>
      </c>
    </row>
    <row r="411" spans="1:18" ht="15.75" customHeight="1" x14ac:dyDescent="0.3">
      <c r="A411" s="15" t="s">
        <v>69</v>
      </c>
      <c r="B411" s="1"/>
      <c r="C411" s="1"/>
      <c r="D411" s="1"/>
      <c r="E411" s="55" t="s">
        <v>7</v>
      </c>
      <c r="F411" s="1"/>
      <c r="G411" s="1"/>
      <c r="H411" s="1"/>
      <c r="I411" s="55" t="s">
        <v>7</v>
      </c>
      <c r="J411" s="1"/>
      <c r="K411" s="1"/>
      <c r="L411" s="1"/>
      <c r="M411" s="55" t="s">
        <v>7</v>
      </c>
      <c r="N411" s="1"/>
      <c r="O411" s="1"/>
      <c r="P411" s="1"/>
      <c r="Q411" s="55" t="s">
        <v>7</v>
      </c>
      <c r="R411" s="55" t="s">
        <v>7</v>
      </c>
    </row>
    <row r="412" spans="1:18" ht="15.75" customHeight="1" x14ac:dyDescent="0.3">
      <c r="A412" s="15" t="s">
        <v>70</v>
      </c>
      <c r="B412" s="1"/>
      <c r="C412" s="1"/>
      <c r="D412" s="1"/>
      <c r="E412" s="55" t="s">
        <v>7</v>
      </c>
      <c r="F412" s="1"/>
      <c r="G412" s="1"/>
      <c r="H412" s="1"/>
      <c r="I412" s="55" t="s">
        <v>7</v>
      </c>
      <c r="J412" s="1"/>
      <c r="K412" s="1"/>
      <c r="L412" s="1"/>
      <c r="M412" s="55" t="s">
        <v>7</v>
      </c>
      <c r="N412" s="1"/>
      <c r="O412" s="1"/>
      <c r="P412" s="1"/>
      <c r="Q412" s="55" t="s">
        <v>7</v>
      </c>
      <c r="R412" s="55" t="s">
        <v>7</v>
      </c>
    </row>
    <row r="413" spans="1:18" ht="15.75" customHeight="1" x14ac:dyDescent="0.3">
      <c r="A413" s="71" t="s">
        <v>301</v>
      </c>
      <c r="B413" s="1">
        <v>0</v>
      </c>
      <c r="C413" s="1">
        <v>0</v>
      </c>
      <c r="D413" s="1">
        <v>0</v>
      </c>
      <c r="E413" s="55">
        <f t="shared" ref="E413:E418" si="83">SUM(B413:D413)</f>
        <v>0</v>
      </c>
      <c r="F413" s="1">
        <v>0</v>
      </c>
      <c r="G413" s="1">
        <v>0</v>
      </c>
      <c r="H413" s="1">
        <v>0</v>
      </c>
      <c r="I413" s="55">
        <f t="shared" ref="I413:I418" si="84">SUM(F413:H413)</f>
        <v>0</v>
      </c>
      <c r="J413" s="1">
        <v>0</v>
      </c>
      <c r="K413" s="1">
        <v>19344</v>
      </c>
      <c r="L413" s="1">
        <v>7432</v>
      </c>
      <c r="M413" s="55">
        <f t="shared" ref="M413:M418" si="85">SUM(J413:L413)</f>
        <v>26776</v>
      </c>
      <c r="N413" s="1">
        <v>3421</v>
      </c>
      <c r="O413" s="1">
        <v>655</v>
      </c>
      <c r="P413" s="1">
        <v>1040</v>
      </c>
      <c r="Q413" s="55">
        <f t="shared" ref="Q413:Q418" si="86">SUM(N413:P413)</f>
        <v>5116</v>
      </c>
      <c r="R413" s="55">
        <f t="shared" ref="R413:R418" si="87">+E413+I413+M413+Q413</f>
        <v>31892</v>
      </c>
    </row>
    <row r="414" spans="1:18" ht="15.75" customHeight="1" thickBot="1" x14ac:dyDescent="0.35">
      <c r="A414" s="71" t="s">
        <v>302</v>
      </c>
      <c r="B414" s="1">
        <v>0</v>
      </c>
      <c r="C414" s="1">
        <v>0</v>
      </c>
      <c r="D414" s="1">
        <v>0</v>
      </c>
      <c r="E414" s="55">
        <f t="shared" si="83"/>
        <v>0</v>
      </c>
      <c r="F414" s="1">
        <v>0</v>
      </c>
      <c r="G414" s="1">
        <v>0</v>
      </c>
      <c r="H414" s="1">
        <v>0</v>
      </c>
      <c r="I414" s="55">
        <f t="shared" si="84"/>
        <v>0</v>
      </c>
      <c r="J414" s="1">
        <v>0</v>
      </c>
      <c r="K414" s="1">
        <v>0</v>
      </c>
      <c r="L414" s="1">
        <v>0</v>
      </c>
      <c r="M414" s="55">
        <f t="shared" si="85"/>
        <v>0</v>
      </c>
      <c r="N414" s="1">
        <v>0</v>
      </c>
      <c r="O414" s="1">
        <v>0</v>
      </c>
      <c r="P414" s="1">
        <v>0</v>
      </c>
      <c r="Q414" s="55">
        <f t="shared" si="86"/>
        <v>0</v>
      </c>
      <c r="R414" s="55">
        <f t="shared" si="87"/>
        <v>0</v>
      </c>
    </row>
    <row r="415" spans="1:18" ht="15.75" customHeight="1" thickBot="1" x14ac:dyDescent="0.35">
      <c r="A415" s="57" t="s">
        <v>71</v>
      </c>
      <c r="B415" s="58">
        <f>SUM(B411:B414)</f>
        <v>0</v>
      </c>
      <c r="C415" s="58">
        <f>SUM(C411:C414)</f>
        <v>0</v>
      </c>
      <c r="D415" s="58">
        <f>SUM(D411:D414)</f>
        <v>0</v>
      </c>
      <c r="E415" s="60">
        <f t="shared" si="83"/>
        <v>0</v>
      </c>
      <c r="F415" s="58">
        <f>SUM(F411:F414)</f>
        <v>0</v>
      </c>
      <c r="G415" s="58">
        <f>SUM(G411:G414)</f>
        <v>0</v>
      </c>
      <c r="H415" s="58">
        <f>SUM(H411:H414)</f>
        <v>0</v>
      </c>
      <c r="I415" s="60">
        <f t="shared" si="84"/>
        <v>0</v>
      </c>
      <c r="J415" s="58">
        <f>SUM(J411:J414)</f>
        <v>0</v>
      </c>
      <c r="K415" s="58">
        <f>SUM(K411:K414)</f>
        <v>19344</v>
      </c>
      <c r="L415" s="58">
        <f>SUM(L411:L414)</f>
        <v>7432</v>
      </c>
      <c r="M415" s="60">
        <f t="shared" si="85"/>
        <v>26776</v>
      </c>
      <c r="N415" s="58">
        <f>SUM(N411:N414)</f>
        <v>3421</v>
      </c>
      <c r="O415" s="58">
        <f>SUM(O411:O414)</f>
        <v>655</v>
      </c>
      <c r="P415" s="58">
        <f>SUM(P411:P414)</f>
        <v>1040</v>
      </c>
      <c r="Q415" s="60">
        <f t="shared" si="86"/>
        <v>5116</v>
      </c>
      <c r="R415" s="59">
        <f t="shared" si="87"/>
        <v>31892</v>
      </c>
    </row>
    <row r="416" spans="1:18" ht="15.75" customHeight="1" thickBot="1" x14ac:dyDescent="0.35">
      <c r="A416" s="114" t="s">
        <v>72</v>
      </c>
      <c r="B416" s="86">
        <f>SUM(B407:B414)</f>
        <v>0</v>
      </c>
      <c r="C416" s="87">
        <f>SUM(C407:C414)</f>
        <v>0</v>
      </c>
      <c r="D416" s="118">
        <f>SUM(D407:D414)</f>
        <v>0</v>
      </c>
      <c r="E416" s="60">
        <f t="shared" si="83"/>
        <v>0</v>
      </c>
      <c r="F416" s="87">
        <f>SUM(F407:F414)</f>
        <v>0</v>
      </c>
      <c r="G416" s="87">
        <f>SUM(G407:G414)</f>
        <v>0</v>
      </c>
      <c r="H416" s="87">
        <f>SUM(H407:H414)</f>
        <v>0</v>
      </c>
      <c r="I416" s="60">
        <f t="shared" si="84"/>
        <v>0</v>
      </c>
      <c r="J416" s="87">
        <f>SUM(J407:J414)</f>
        <v>0</v>
      </c>
      <c r="K416" s="87">
        <f>SUM(K407:K414)</f>
        <v>19344</v>
      </c>
      <c r="L416" s="87">
        <f>SUM(L407:L414)</f>
        <v>7432</v>
      </c>
      <c r="M416" s="60">
        <f t="shared" si="85"/>
        <v>26776</v>
      </c>
      <c r="N416" s="87">
        <f>SUM(N407:N414)</f>
        <v>3421</v>
      </c>
      <c r="O416" s="87">
        <f>SUM(O407:O414)</f>
        <v>655</v>
      </c>
      <c r="P416" s="87">
        <f>SUM(P407:P414)</f>
        <v>1040</v>
      </c>
      <c r="Q416" s="60">
        <f t="shared" si="86"/>
        <v>5116</v>
      </c>
      <c r="R416" s="59">
        <f t="shared" si="87"/>
        <v>31892</v>
      </c>
    </row>
    <row r="417" spans="1:18" ht="15.75" customHeight="1" thickBot="1" x14ac:dyDescent="0.35">
      <c r="A417" s="57" t="s">
        <v>73</v>
      </c>
      <c r="B417" s="90">
        <f>+B397+B402+B406+B416</f>
        <v>392</v>
      </c>
      <c r="C417" s="58">
        <f>+C397+C402+C406+C416</f>
        <v>1727</v>
      </c>
      <c r="D417" s="58">
        <f>+D397+D402+D406+D416</f>
        <v>6791</v>
      </c>
      <c r="E417" s="59">
        <f t="shared" si="83"/>
        <v>8910</v>
      </c>
      <c r="F417" s="58">
        <f>+F397+F402+F406+F416</f>
        <v>13442</v>
      </c>
      <c r="G417" s="58">
        <f>+G397+G402+G406+G416</f>
        <v>8799</v>
      </c>
      <c r="H417" s="58">
        <f>+H397+H402+H406+H416</f>
        <v>16961</v>
      </c>
      <c r="I417" s="59">
        <f t="shared" si="84"/>
        <v>39202</v>
      </c>
      <c r="J417" s="58">
        <f>+J397+J402+J406+J416</f>
        <v>19262</v>
      </c>
      <c r="K417" s="58">
        <f>+K397+K402+K406+K416</f>
        <v>19348</v>
      </c>
      <c r="L417" s="58">
        <f>+L397+L402+L406+L416</f>
        <v>7439</v>
      </c>
      <c r="M417" s="59">
        <f t="shared" si="85"/>
        <v>46049</v>
      </c>
      <c r="N417" s="58">
        <f>+N397+N402+N406+N416</f>
        <v>3423</v>
      </c>
      <c r="O417" s="58">
        <f>+O397+O402+O406+O416</f>
        <v>655</v>
      </c>
      <c r="P417" s="58">
        <f>+P397+P402+P406+P416</f>
        <v>1534</v>
      </c>
      <c r="Q417" s="59">
        <f t="shared" si="86"/>
        <v>5612</v>
      </c>
      <c r="R417" s="81">
        <f t="shared" si="87"/>
        <v>99773</v>
      </c>
    </row>
    <row r="418" spans="1:18" ht="15.75" customHeight="1" thickBot="1" x14ac:dyDescent="0.35">
      <c r="A418" s="39" t="s">
        <v>40</v>
      </c>
      <c r="B418" s="21">
        <v>9</v>
      </c>
      <c r="C418" s="21">
        <v>16</v>
      </c>
      <c r="D418" s="21">
        <v>25</v>
      </c>
      <c r="E418" s="55">
        <f t="shared" si="83"/>
        <v>50</v>
      </c>
      <c r="F418" s="21">
        <v>34</v>
      </c>
      <c r="G418" s="21">
        <v>41</v>
      </c>
      <c r="H418" s="21">
        <v>41</v>
      </c>
      <c r="I418" s="55">
        <f t="shared" si="84"/>
        <v>116</v>
      </c>
      <c r="J418" s="21">
        <v>39</v>
      </c>
      <c r="K418" s="21">
        <v>30</v>
      </c>
      <c r="L418" s="21">
        <v>30</v>
      </c>
      <c r="M418" s="55">
        <f t="shared" si="85"/>
        <v>99</v>
      </c>
      <c r="N418" s="21">
        <v>28</v>
      </c>
      <c r="O418" s="21">
        <v>22</v>
      </c>
      <c r="P418" s="21">
        <v>16</v>
      </c>
      <c r="Q418" s="55">
        <f t="shared" si="86"/>
        <v>66</v>
      </c>
      <c r="R418" s="55">
        <f t="shared" si="87"/>
        <v>331</v>
      </c>
    </row>
    <row r="419" spans="1:18" ht="15.75" customHeight="1" thickBot="1" x14ac:dyDescent="0.35">
      <c r="A419" s="74"/>
      <c r="B419" s="75"/>
      <c r="C419" s="75"/>
      <c r="D419" s="75"/>
      <c r="E419" s="59"/>
      <c r="F419" s="75"/>
      <c r="G419" s="75"/>
      <c r="H419" s="75"/>
      <c r="I419" s="59"/>
      <c r="J419" s="75"/>
      <c r="K419" s="75"/>
      <c r="L419" s="75"/>
      <c r="M419" s="59"/>
      <c r="N419" s="75"/>
      <c r="O419" s="75"/>
      <c r="P419" s="75"/>
      <c r="Q419" s="59"/>
      <c r="R419" s="59" t="s">
        <v>7</v>
      </c>
    </row>
    <row r="420" spans="1:18" ht="15.75" customHeight="1" x14ac:dyDescent="0.3">
      <c r="A420" s="76" t="s">
        <v>41</v>
      </c>
      <c r="B420" s="77">
        <f>SUM(B417:B418)</f>
        <v>401</v>
      </c>
      <c r="C420" s="77">
        <f>SUM(C417:C418)</f>
        <v>1743</v>
      </c>
      <c r="D420" s="77">
        <f>SUM(D417:D418)</f>
        <v>6816</v>
      </c>
      <c r="E420" s="60">
        <f>SUM(B420:D420)</f>
        <v>8960</v>
      </c>
      <c r="F420" s="77">
        <f>SUM(F417:F418)</f>
        <v>13476</v>
      </c>
      <c r="G420" s="77">
        <f>SUM(G417:G418)</f>
        <v>8840</v>
      </c>
      <c r="H420" s="77">
        <f>SUM(H417:H418)</f>
        <v>17002</v>
      </c>
      <c r="I420" s="60">
        <f>SUM(F420:H420)</f>
        <v>39318</v>
      </c>
      <c r="J420" s="77">
        <f>SUM(J417:J418)</f>
        <v>19301</v>
      </c>
      <c r="K420" s="77">
        <f>SUM(K417:K418)</f>
        <v>19378</v>
      </c>
      <c r="L420" s="77">
        <f>SUM(L417:L418)</f>
        <v>7469</v>
      </c>
      <c r="M420" s="60">
        <f>SUM(J420:L420)</f>
        <v>46148</v>
      </c>
      <c r="N420" s="77">
        <f>SUM(N417:N418)</f>
        <v>3451</v>
      </c>
      <c r="O420" s="77">
        <f>SUM(O417:O418)</f>
        <v>677</v>
      </c>
      <c r="P420" s="77">
        <f>SUM(P417:P418)</f>
        <v>1550</v>
      </c>
      <c r="Q420" s="60">
        <f>SUM(N420:P420)</f>
        <v>5678</v>
      </c>
      <c r="R420" s="60">
        <f>+E420+I420+M420+Q420</f>
        <v>100104</v>
      </c>
    </row>
    <row r="421" spans="1:18" ht="15.75" customHeight="1" x14ac:dyDescent="0.3">
      <c r="A421" s="79" t="s">
        <v>42</v>
      </c>
      <c r="B421" s="1">
        <f>(B420/31)/1.983</f>
        <v>6.5231890423437928</v>
      </c>
      <c r="C421" s="1">
        <f>(C420/28)/1.983</f>
        <v>31.391830559757942</v>
      </c>
      <c r="D421" s="1">
        <f>(D420/31)/1.983</f>
        <v>110.87794641549948</v>
      </c>
      <c r="E421" s="55" t="s">
        <v>7</v>
      </c>
      <c r="F421" s="1">
        <f>(F420/30)/1.983</f>
        <v>226.52546646495207</v>
      </c>
      <c r="G421" s="1">
        <f>(G420/31)/1.983</f>
        <v>143.80297040977339</v>
      </c>
      <c r="H421" s="1">
        <f>(H420/30)/1.983</f>
        <v>285.7959320894268</v>
      </c>
      <c r="I421" s="55" t="s">
        <v>7</v>
      </c>
      <c r="J421" s="1">
        <f>(J420/31)/1.983</f>
        <v>313.97524116278692</v>
      </c>
      <c r="K421" s="1">
        <f>(K420/31)/1.983</f>
        <v>315.22782359735169</v>
      </c>
      <c r="L421" s="1">
        <f>(L420/30)/1.983</f>
        <v>125.5505126912086</v>
      </c>
      <c r="M421" s="55" t="s">
        <v>7</v>
      </c>
      <c r="N421" s="1">
        <f>(N420/31)/1.983</f>
        <v>56.138467294584615</v>
      </c>
      <c r="O421" s="1">
        <f>(O420/30)/1.983</f>
        <v>11.380063876281728</v>
      </c>
      <c r="P421" s="1">
        <f>(P420/31)/1.983</f>
        <v>25.214321734745333</v>
      </c>
      <c r="Q421" s="55" t="s">
        <v>7</v>
      </c>
      <c r="R421" s="55" t="s">
        <v>7</v>
      </c>
    </row>
    <row r="422" spans="1:18" ht="15.75" customHeight="1" x14ac:dyDescent="0.3">
      <c r="A422" s="79" t="s">
        <v>303</v>
      </c>
      <c r="B422" s="1">
        <f>B420+B463</f>
        <v>15237</v>
      </c>
      <c r="C422" s="1">
        <f>C420+C463</f>
        <v>14781</v>
      </c>
      <c r="D422" s="1">
        <f>D420+D463</f>
        <v>30302</v>
      </c>
      <c r="E422" s="55">
        <f>SUM(B422:D422)</f>
        <v>60320</v>
      </c>
      <c r="F422" s="1">
        <f>F420+F463</f>
        <v>45011</v>
      </c>
      <c r="G422" s="1">
        <f>G420+G463</f>
        <v>36248</v>
      </c>
      <c r="H422" s="1">
        <f>H420+H463</f>
        <v>42549</v>
      </c>
      <c r="I422" s="55">
        <f>SUM(F422:H422)</f>
        <v>123808</v>
      </c>
      <c r="J422" s="1">
        <f>J420+J463</f>
        <v>48801</v>
      </c>
      <c r="K422" s="1">
        <f>K420+K463</f>
        <v>53186</v>
      </c>
      <c r="L422" s="1">
        <f>L420+L463</f>
        <v>36095</v>
      </c>
      <c r="M422" s="55">
        <f>SUM(J422:L422)</f>
        <v>138082</v>
      </c>
      <c r="N422" s="1">
        <f>N420+N463</f>
        <v>22139</v>
      </c>
      <c r="O422" s="1">
        <f>O420+O463</f>
        <v>10269</v>
      </c>
      <c r="P422" s="1">
        <f>P420+P463</f>
        <v>16343</v>
      </c>
      <c r="Q422" s="55">
        <f>SUM(N422:P422)</f>
        <v>48751</v>
      </c>
      <c r="R422" s="55">
        <f>+E422+I422+M422+Q422</f>
        <v>370961</v>
      </c>
    </row>
    <row r="423" spans="1:18" ht="15.75" customHeight="1" thickBot="1" x14ac:dyDescent="0.35">
      <c r="A423" s="80" t="s">
        <v>304</v>
      </c>
      <c r="B423" s="25">
        <f>(B422/31)/1.983</f>
        <v>247.86491630471912</v>
      </c>
      <c r="C423" s="25">
        <f>(C422/28)/1.983</f>
        <v>266.20920682947911</v>
      </c>
      <c r="D423" s="25">
        <f>(D422/31)/1.983</f>
        <v>492.93185626209879</v>
      </c>
      <c r="E423" s="81" t="s">
        <v>7</v>
      </c>
      <c r="F423" s="25">
        <f>(F422/30)/1.983</f>
        <v>756.6145570684148</v>
      </c>
      <c r="G423" s="25">
        <f>(G422/31)/1.983</f>
        <v>589.65724789745082</v>
      </c>
      <c r="H423" s="25">
        <f>(H422/30)/1.983</f>
        <v>715.22945032778614</v>
      </c>
      <c r="I423" s="81" t="s">
        <v>7</v>
      </c>
      <c r="J423" s="25">
        <f>(J422/31)/1.983</f>
        <v>793.8607193401981</v>
      </c>
      <c r="K423" s="25">
        <f>(K422/31)/1.983</f>
        <v>865.19284889300991</v>
      </c>
      <c r="L423" s="25">
        <f>(L422/30)/1.983</f>
        <v>606.74062867708858</v>
      </c>
      <c r="M423" s="81" t="s">
        <v>7</v>
      </c>
      <c r="N423" s="25">
        <f>(N422/31)/1.983</f>
        <v>360.14185089388832</v>
      </c>
      <c r="O423" s="25">
        <f>(O422/30)/1.983</f>
        <v>172.61724659606656</v>
      </c>
      <c r="P423" s="25">
        <f>(P422/31)/1.983</f>
        <v>265.85655491028581</v>
      </c>
      <c r="Q423" s="81" t="s">
        <v>7</v>
      </c>
      <c r="R423" s="81" t="s">
        <v>7</v>
      </c>
    </row>
    <row r="424" spans="1:18" ht="15.75" customHeight="1" x14ac:dyDescent="0.3">
      <c r="A424" s="2"/>
      <c r="B424" s="1"/>
      <c r="C424" s="1"/>
      <c r="D424" s="1"/>
      <c r="E424" s="1"/>
      <c r="F424" s="1"/>
      <c r="G424" s="1"/>
      <c r="H424" s="1"/>
      <c r="I424" s="1"/>
      <c r="J424" s="1"/>
      <c r="K424" s="1"/>
      <c r="L424" s="1"/>
      <c r="M424" s="1"/>
      <c r="N424" s="1"/>
      <c r="O424" s="1"/>
      <c r="P424" s="1"/>
      <c r="Q424" s="1"/>
      <c r="R424" s="2"/>
    </row>
    <row r="425" spans="1:18" ht="15.75" customHeight="1" thickBot="1" x14ac:dyDescent="0.35">
      <c r="A425" s="2"/>
      <c r="B425" s="1"/>
      <c r="C425" s="1"/>
      <c r="D425" s="1"/>
      <c r="E425" s="1"/>
      <c r="F425" s="1"/>
      <c r="G425" s="1"/>
      <c r="H425" s="1"/>
      <c r="I425" s="1"/>
      <c r="J425" s="1"/>
      <c r="K425" s="1"/>
      <c r="L425" s="1"/>
      <c r="M425" s="1"/>
      <c r="N425" s="1"/>
      <c r="O425" s="1"/>
      <c r="P425" s="1"/>
      <c r="Q425" s="1"/>
      <c r="R425" s="2"/>
    </row>
    <row r="426" spans="1:18" ht="15.75" customHeight="1" thickBot="1" x14ac:dyDescent="0.35">
      <c r="A426" s="124" t="s">
        <v>305</v>
      </c>
      <c r="B426" s="30" t="s">
        <v>8</v>
      </c>
      <c r="C426" s="31" t="s">
        <v>9</v>
      </c>
      <c r="D426" s="31" t="s">
        <v>10</v>
      </c>
      <c r="E426" s="32" t="s">
        <v>11</v>
      </c>
      <c r="F426" s="31" t="s">
        <v>12</v>
      </c>
      <c r="G426" s="31" t="s">
        <v>13</v>
      </c>
      <c r="H426" s="31" t="s">
        <v>14</v>
      </c>
      <c r="I426" s="33" t="s">
        <v>15</v>
      </c>
      <c r="J426" s="31" t="s">
        <v>16</v>
      </c>
      <c r="K426" s="31" t="s">
        <v>17</v>
      </c>
      <c r="L426" s="31" t="s">
        <v>18</v>
      </c>
      <c r="M426" s="33" t="s">
        <v>19</v>
      </c>
      <c r="N426" s="31" t="s">
        <v>20</v>
      </c>
      <c r="O426" s="31" t="s">
        <v>21</v>
      </c>
      <c r="P426" s="31" t="s">
        <v>22</v>
      </c>
      <c r="Q426" s="33" t="s">
        <v>23</v>
      </c>
      <c r="R426" s="34" t="s">
        <v>24</v>
      </c>
    </row>
    <row r="427" spans="1:18" ht="15.75" customHeight="1" thickBot="1" x14ac:dyDescent="0.35">
      <c r="A427" s="59"/>
      <c r="B427" s="75"/>
      <c r="C427" s="75"/>
      <c r="D427" s="75"/>
      <c r="E427" s="69"/>
      <c r="F427" s="75"/>
      <c r="G427" s="75"/>
      <c r="H427" s="75"/>
      <c r="I427" s="82"/>
      <c r="J427" s="75"/>
      <c r="K427" s="75"/>
      <c r="L427" s="75"/>
      <c r="M427" s="82"/>
      <c r="N427" s="75"/>
      <c r="O427" s="75"/>
      <c r="P427" s="75"/>
      <c r="Q427" s="82"/>
      <c r="R427" s="100"/>
    </row>
    <row r="428" spans="1:18" ht="15.75" customHeight="1" x14ac:dyDescent="0.3">
      <c r="A428" s="15" t="s">
        <v>48</v>
      </c>
      <c r="B428" s="1" t="s">
        <v>7</v>
      </c>
      <c r="C428" s="1" t="s">
        <v>7</v>
      </c>
      <c r="D428" s="1" t="s">
        <v>7</v>
      </c>
      <c r="E428" s="55" t="s">
        <v>7</v>
      </c>
      <c r="F428" s="1" t="s">
        <v>7</v>
      </c>
      <c r="G428" s="1" t="s">
        <v>7</v>
      </c>
      <c r="H428" s="1" t="s">
        <v>7</v>
      </c>
      <c r="I428" s="55" t="s">
        <v>7</v>
      </c>
      <c r="J428" s="1" t="s">
        <v>7</v>
      </c>
      <c r="K428" s="1" t="s">
        <v>7</v>
      </c>
      <c r="L428" s="1" t="s">
        <v>7</v>
      </c>
      <c r="M428" s="55" t="s">
        <v>7</v>
      </c>
      <c r="N428" s="1" t="s">
        <v>7</v>
      </c>
      <c r="O428" s="1" t="s">
        <v>7</v>
      </c>
      <c r="P428" s="1" t="s">
        <v>7</v>
      </c>
      <c r="Q428" s="55" t="s">
        <v>7</v>
      </c>
      <c r="R428" s="55" t="s">
        <v>7</v>
      </c>
    </row>
    <row r="429" spans="1:18" ht="15.75" customHeight="1" x14ac:dyDescent="0.3">
      <c r="A429" s="15" t="s">
        <v>49</v>
      </c>
      <c r="B429" s="1"/>
      <c r="C429" s="1"/>
      <c r="D429" s="1"/>
      <c r="E429" s="55" t="s">
        <v>7</v>
      </c>
      <c r="F429" s="1"/>
      <c r="G429" s="1"/>
      <c r="H429" s="1"/>
      <c r="I429" s="55" t="s">
        <v>7</v>
      </c>
      <c r="J429" s="1"/>
      <c r="K429" s="1"/>
      <c r="L429" s="1"/>
      <c r="M429" s="55" t="s">
        <v>7</v>
      </c>
      <c r="N429" s="1"/>
      <c r="O429" s="1"/>
      <c r="P429" s="1"/>
      <c r="Q429" s="55" t="s">
        <v>7</v>
      </c>
      <c r="R429" s="55" t="s">
        <v>7</v>
      </c>
    </row>
    <row r="430" spans="1:18" ht="15.75" customHeight="1" x14ac:dyDescent="0.3">
      <c r="A430" s="71" t="s">
        <v>306</v>
      </c>
      <c r="B430" s="1">
        <v>0</v>
      </c>
      <c r="C430" s="1">
        <v>0</v>
      </c>
      <c r="D430" s="1">
        <v>78</v>
      </c>
      <c r="E430" s="55">
        <f>SUM(B430:D430)</f>
        <v>78</v>
      </c>
      <c r="F430" s="1">
        <v>751</v>
      </c>
      <c r="G430" s="1">
        <v>286</v>
      </c>
      <c r="H430" s="1">
        <v>0</v>
      </c>
      <c r="I430" s="55">
        <f>SUM(F430:H430)</f>
        <v>1037</v>
      </c>
      <c r="J430" s="1">
        <v>366</v>
      </c>
      <c r="K430" s="1">
        <v>641</v>
      </c>
      <c r="L430" s="1">
        <v>0</v>
      </c>
      <c r="M430" s="55">
        <f>SUM(J430:L430)</f>
        <v>1007</v>
      </c>
      <c r="N430" s="1">
        <v>0</v>
      </c>
      <c r="O430" s="1">
        <v>0</v>
      </c>
      <c r="P430" s="1">
        <v>0</v>
      </c>
      <c r="Q430" s="55">
        <f>SUM(N430:P430)</f>
        <v>0</v>
      </c>
      <c r="R430" s="55">
        <f>+E430+I430+M430+Q430</f>
        <v>2122</v>
      </c>
    </row>
    <row r="431" spans="1:18" ht="15.75" customHeight="1" x14ac:dyDescent="0.3">
      <c r="A431" s="71" t="s">
        <v>307</v>
      </c>
      <c r="B431" s="1">
        <v>0</v>
      </c>
      <c r="C431" s="1">
        <v>0</v>
      </c>
      <c r="D431" s="1">
        <v>0</v>
      </c>
      <c r="E431" s="55">
        <f>SUM(B431:D431)</f>
        <v>0</v>
      </c>
      <c r="F431" s="1">
        <v>500</v>
      </c>
      <c r="G431" s="1">
        <v>500</v>
      </c>
      <c r="H431" s="1">
        <v>578</v>
      </c>
      <c r="I431" s="55">
        <f>SUM(F431:H431)</f>
        <v>1578</v>
      </c>
      <c r="J431" s="1">
        <v>922</v>
      </c>
      <c r="K431" s="1">
        <v>0</v>
      </c>
      <c r="L431" s="1">
        <v>0</v>
      </c>
      <c r="M431" s="55">
        <f>SUM(J431:L431)</f>
        <v>922</v>
      </c>
      <c r="N431" s="1">
        <v>585</v>
      </c>
      <c r="O431" s="1">
        <v>29</v>
      </c>
      <c r="P431" s="1">
        <v>86</v>
      </c>
      <c r="Q431" s="55">
        <f>SUM(N431:P431)</f>
        <v>700</v>
      </c>
      <c r="R431" s="55">
        <f>+E431+I431+M431+Q431</f>
        <v>3200</v>
      </c>
    </row>
    <row r="432" spans="1:18" ht="15.75" customHeight="1" x14ac:dyDescent="0.3">
      <c r="A432" s="15" t="s">
        <v>50</v>
      </c>
      <c r="B432" s="1"/>
      <c r="C432" s="1"/>
      <c r="D432" s="1"/>
      <c r="E432" s="55" t="s">
        <v>7</v>
      </c>
      <c r="F432" s="1"/>
      <c r="G432" s="1"/>
      <c r="H432" s="1"/>
      <c r="I432" s="55" t="s">
        <v>7</v>
      </c>
      <c r="J432" s="1"/>
      <c r="K432" s="1"/>
      <c r="L432" s="1"/>
      <c r="M432" s="55" t="s">
        <v>7</v>
      </c>
      <c r="N432" s="1"/>
      <c r="O432" s="1"/>
      <c r="P432" s="1"/>
      <c r="Q432" s="55" t="s">
        <v>7</v>
      </c>
      <c r="R432" s="55" t="s">
        <v>7</v>
      </c>
    </row>
    <row r="433" spans="1:18" ht="15.75" customHeight="1" x14ac:dyDescent="0.3">
      <c r="A433" s="15" t="s">
        <v>51</v>
      </c>
      <c r="B433" s="1"/>
      <c r="C433" s="1"/>
      <c r="D433" s="1"/>
      <c r="E433" s="55" t="s">
        <v>7</v>
      </c>
      <c r="F433" s="1"/>
      <c r="G433" s="1"/>
      <c r="H433" s="1"/>
      <c r="I433" s="55" t="s">
        <v>7</v>
      </c>
      <c r="J433" s="1"/>
      <c r="K433" s="1"/>
      <c r="L433" s="1"/>
      <c r="M433" s="55" t="s">
        <v>7</v>
      </c>
      <c r="N433" s="1"/>
      <c r="O433" s="1"/>
      <c r="P433" s="1"/>
      <c r="Q433" s="55" t="s">
        <v>7</v>
      </c>
      <c r="R433" s="55" t="s">
        <v>7</v>
      </c>
    </row>
    <row r="434" spans="1:18" ht="15.75" customHeight="1" thickBot="1" x14ac:dyDescent="0.35">
      <c r="A434" s="15" t="s">
        <v>53</v>
      </c>
      <c r="B434" s="1"/>
      <c r="C434" s="1"/>
      <c r="D434" s="1"/>
      <c r="E434" s="55" t="s">
        <v>7</v>
      </c>
      <c r="F434" s="1"/>
      <c r="G434" s="1"/>
      <c r="H434" s="1"/>
      <c r="I434" s="55" t="s">
        <v>7</v>
      </c>
      <c r="J434" s="1"/>
      <c r="K434" s="1"/>
      <c r="L434" s="1"/>
      <c r="M434" s="55" t="s">
        <v>7</v>
      </c>
      <c r="N434" s="1"/>
      <c r="O434" s="1"/>
      <c r="P434" s="1"/>
      <c r="Q434" s="55" t="s">
        <v>7</v>
      </c>
      <c r="R434" s="55" t="s">
        <v>7</v>
      </c>
    </row>
    <row r="435" spans="1:18" ht="15.75" customHeight="1" thickBot="1" x14ac:dyDescent="0.35">
      <c r="A435" s="109" t="s">
        <v>54</v>
      </c>
      <c r="B435" s="86">
        <f>SUM(B428:B434)</f>
        <v>0</v>
      </c>
      <c r="C435" s="87">
        <f>SUM(C428:C434)</f>
        <v>0</v>
      </c>
      <c r="D435" s="87">
        <f>SUM(D428:D434)</f>
        <v>78</v>
      </c>
      <c r="E435" s="59">
        <f>SUM(B435:D435)</f>
        <v>78</v>
      </c>
      <c r="F435" s="87">
        <f>SUM(F428:F434)</f>
        <v>1251</v>
      </c>
      <c r="G435" s="87">
        <f>SUM(G428:G434)</f>
        <v>786</v>
      </c>
      <c r="H435" s="87">
        <f>SUM(H428:H434)</f>
        <v>578</v>
      </c>
      <c r="I435" s="59">
        <f>SUM(F435:H435)</f>
        <v>2615</v>
      </c>
      <c r="J435" s="87">
        <f>SUM(J428:J434)</f>
        <v>1288</v>
      </c>
      <c r="K435" s="87">
        <f>SUM(K428:K434)</f>
        <v>641</v>
      </c>
      <c r="L435" s="87">
        <f>SUM(L428:L434)</f>
        <v>0</v>
      </c>
      <c r="M435" s="59">
        <f>SUM(J435:L435)</f>
        <v>1929</v>
      </c>
      <c r="N435" s="87">
        <f>SUM(N428:N434)</f>
        <v>585</v>
      </c>
      <c r="O435" s="87">
        <f>SUM(O428:O434)</f>
        <v>29</v>
      </c>
      <c r="P435" s="87">
        <f>SUM(P428:P434)</f>
        <v>86</v>
      </c>
      <c r="Q435" s="59">
        <f>SUM(N435:P435)</f>
        <v>700</v>
      </c>
      <c r="R435" s="59">
        <f>+E435+I435+M435+Q435</f>
        <v>5322</v>
      </c>
    </row>
    <row r="436" spans="1:18" ht="15.75" customHeight="1" x14ac:dyDescent="0.3">
      <c r="A436" s="15" t="s">
        <v>55</v>
      </c>
      <c r="B436" s="1"/>
      <c r="C436" s="1"/>
      <c r="D436" s="1"/>
      <c r="E436" s="60" t="s">
        <v>7</v>
      </c>
      <c r="F436" s="1"/>
      <c r="G436" s="1"/>
      <c r="H436" s="1"/>
      <c r="I436" s="60" t="s">
        <v>7</v>
      </c>
      <c r="J436" s="1"/>
      <c r="K436" s="1"/>
      <c r="L436" s="1"/>
      <c r="M436" s="60" t="s">
        <v>7</v>
      </c>
      <c r="N436" s="1"/>
      <c r="O436" s="1"/>
      <c r="P436" s="1"/>
      <c r="Q436" s="60" t="s">
        <v>7</v>
      </c>
      <c r="R436" s="125" t="s">
        <v>7</v>
      </c>
    </row>
    <row r="437" spans="1:18" ht="15.75" customHeight="1" x14ac:dyDescent="0.3">
      <c r="A437" s="15" t="s">
        <v>57</v>
      </c>
      <c r="B437" s="1"/>
      <c r="C437" s="1"/>
      <c r="D437" s="1"/>
      <c r="E437" s="55" t="s">
        <v>7</v>
      </c>
      <c r="F437" s="1"/>
      <c r="G437" s="1"/>
      <c r="H437" s="1"/>
      <c r="I437" s="55" t="s">
        <v>7</v>
      </c>
      <c r="J437" s="1"/>
      <c r="K437" s="1"/>
      <c r="L437" s="1"/>
      <c r="M437" s="55" t="s">
        <v>7</v>
      </c>
      <c r="N437" s="1"/>
      <c r="O437" s="1"/>
      <c r="P437" s="1"/>
      <c r="Q437" s="55" t="s">
        <v>7</v>
      </c>
      <c r="R437" s="125" t="s">
        <v>7</v>
      </c>
    </row>
    <row r="438" spans="1:18" ht="15.75" customHeight="1" x14ac:dyDescent="0.3">
      <c r="A438" s="71" t="s">
        <v>308</v>
      </c>
      <c r="B438" s="1">
        <v>1021</v>
      </c>
      <c r="C438" s="1">
        <v>1549</v>
      </c>
      <c r="D438" s="1">
        <v>4562</v>
      </c>
      <c r="E438" s="55">
        <f>SUM(B438:D438)</f>
        <v>7132</v>
      </c>
      <c r="F438" s="1">
        <v>6120</v>
      </c>
      <c r="G438" s="1">
        <v>3454</v>
      </c>
      <c r="H438" s="1">
        <v>4152</v>
      </c>
      <c r="I438" s="55">
        <f>SUM(F438:H438)</f>
        <v>13726</v>
      </c>
      <c r="J438" s="1">
        <v>6122</v>
      </c>
      <c r="K438" s="1">
        <v>7749</v>
      </c>
      <c r="L438" s="1">
        <v>4250</v>
      </c>
      <c r="M438" s="55">
        <f>SUM(J438:L438)</f>
        <v>18121</v>
      </c>
      <c r="N438" s="1">
        <v>0</v>
      </c>
      <c r="O438" s="1">
        <v>153</v>
      </c>
      <c r="P438" s="1">
        <v>572</v>
      </c>
      <c r="Q438" s="55">
        <f>SUM(N438:P438)</f>
        <v>725</v>
      </c>
      <c r="R438" s="55">
        <f>+E438+I438+M438+Q438</f>
        <v>39704</v>
      </c>
    </row>
    <row r="439" spans="1:18" ht="15.75" customHeight="1" x14ac:dyDescent="0.3">
      <c r="A439" s="71" t="s">
        <v>309</v>
      </c>
      <c r="B439" s="1">
        <v>94</v>
      </c>
      <c r="C439" s="1">
        <v>463</v>
      </c>
      <c r="D439" s="1">
        <v>443</v>
      </c>
      <c r="E439" s="55">
        <f>SUM(B439:D439)</f>
        <v>1000</v>
      </c>
      <c r="F439" s="1">
        <v>0</v>
      </c>
      <c r="G439" s="1">
        <v>0</v>
      </c>
      <c r="H439" s="1">
        <v>0</v>
      </c>
      <c r="I439" s="55">
        <f>SUM(F439:H439)</f>
        <v>0</v>
      </c>
      <c r="J439" s="1">
        <v>0</v>
      </c>
      <c r="K439" s="1">
        <v>0</v>
      </c>
      <c r="L439" s="1">
        <v>0</v>
      </c>
      <c r="M439" s="55">
        <f>SUM(J439:L439)</f>
        <v>0</v>
      </c>
      <c r="N439" s="1">
        <v>0</v>
      </c>
      <c r="O439" s="1">
        <v>0</v>
      </c>
      <c r="P439" s="1">
        <v>0</v>
      </c>
      <c r="Q439" s="55">
        <f>SUM(N439:P439)</f>
        <v>0</v>
      </c>
      <c r="R439" s="55">
        <f>+E439+I439+M439+Q439</f>
        <v>1000</v>
      </c>
    </row>
    <row r="440" spans="1:18" ht="15.75" customHeight="1" thickBot="1" x14ac:dyDescent="0.35">
      <c r="A440" s="15" t="s">
        <v>58</v>
      </c>
      <c r="B440" s="1"/>
      <c r="C440" s="1"/>
      <c r="D440" s="1"/>
      <c r="E440" s="55" t="s">
        <v>7</v>
      </c>
      <c r="F440" s="1"/>
      <c r="G440" s="1"/>
      <c r="H440" s="1"/>
      <c r="I440" s="55" t="s">
        <v>7</v>
      </c>
      <c r="J440" s="1"/>
      <c r="K440" s="1"/>
      <c r="L440" s="1"/>
      <c r="M440" s="55" t="s">
        <v>7</v>
      </c>
      <c r="N440" s="1"/>
      <c r="O440" s="1"/>
      <c r="P440" s="1"/>
      <c r="Q440" s="55" t="s">
        <v>7</v>
      </c>
      <c r="R440" s="125" t="s">
        <v>7</v>
      </c>
    </row>
    <row r="441" spans="1:18" ht="15.75" customHeight="1" thickBot="1" x14ac:dyDescent="0.35">
      <c r="A441" s="57" t="s">
        <v>59</v>
      </c>
      <c r="B441" s="86">
        <f>SUM(B436:B440)</f>
        <v>1115</v>
      </c>
      <c r="C441" s="87">
        <f>SUM(C436:C440)</f>
        <v>2012</v>
      </c>
      <c r="D441" s="87">
        <f>SUM(D436:D440)</f>
        <v>5005</v>
      </c>
      <c r="E441" s="59">
        <f>SUM(B441:D441)</f>
        <v>8132</v>
      </c>
      <c r="F441" s="87">
        <f>SUM(F436:F440)</f>
        <v>6120</v>
      </c>
      <c r="G441" s="87">
        <f>SUM(G436:G440)</f>
        <v>3454</v>
      </c>
      <c r="H441" s="87">
        <f>SUM(H436:H440)</f>
        <v>4152</v>
      </c>
      <c r="I441" s="59">
        <f>SUM(F441:H441)</f>
        <v>13726</v>
      </c>
      <c r="J441" s="87">
        <f>SUM(J436:J440)</f>
        <v>6122</v>
      </c>
      <c r="K441" s="87">
        <f>SUM(K436:K440)</f>
        <v>7749</v>
      </c>
      <c r="L441" s="87">
        <f>SUM(L436:L440)</f>
        <v>4250</v>
      </c>
      <c r="M441" s="59">
        <f>SUM(J441:L441)</f>
        <v>18121</v>
      </c>
      <c r="N441" s="87">
        <f>SUM(N436:N440)</f>
        <v>0</v>
      </c>
      <c r="O441" s="87">
        <f>SUM(O436:O440)</f>
        <v>153</v>
      </c>
      <c r="P441" s="87">
        <f>SUM(P436:P440)</f>
        <v>572</v>
      </c>
      <c r="Q441" s="59">
        <f>SUM(N441:P441)</f>
        <v>725</v>
      </c>
      <c r="R441" s="59">
        <f>+E441+I441+M441+Q441</f>
        <v>40704</v>
      </c>
    </row>
    <row r="442" spans="1:18" ht="15.75" customHeight="1" x14ac:dyDescent="0.3">
      <c r="A442" s="15" t="s">
        <v>60</v>
      </c>
      <c r="B442" s="1"/>
      <c r="C442" s="1"/>
      <c r="D442" s="1"/>
      <c r="E442" s="55" t="s">
        <v>7</v>
      </c>
      <c r="F442" s="1"/>
      <c r="G442" s="1"/>
      <c r="H442" s="1"/>
      <c r="I442" s="55" t="s">
        <v>7</v>
      </c>
      <c r="J442" s="1"/>
      <c r="K442" s="1"/>
      <c r="L442" s="1"/>
      <c r="M442" s="55" t="s">
        <v>7</v>
      </c>
      <c r="N442" s="1"/>
      <c r="O442" s="1"/>
      <c r="P442" s="1"/>
      <c r="Q442" s="55" t="s">
        <v>7</v>
      </c>
      <c r="R442" s="55" t="s">
        <v>7</v>
      </c>
    </row>
    <row r="443" spans="1:18" ht="15.75" customHeight="1" x14ac:dyDescent="0.3">
      <c r="A443" s="15" t="s">
        <v>61</v>
      </c>
      <c r="B443" s="1"/>
      <c r="C443" s="1"/>
      <c r="D443" s="1"/>
      <c r="E443" s="55" t="s">
        <v>7</v>
      </c>
      <c r="F443" s="1"/>
      <c r="G443" s="1"/>
      <c r="H443" s="1"/>
      <c r="I443" s="55" t="s">
        <v>7</v>
      </c>
      <c r="J443" s="1"/>
      <c r="K443" s="1"/>
      <c r="L443" s="1"/>
      <c r="M443" s="55" t="s">
        <v>7</v>
      </c>
      <c r="N443" s="1"/>
      <c r="O443" s="1"/>
      <c r="P443" s="1"/>
      <c r="Q443" s="55" t="s">
        <v>7</v>
      </c>
      <c r="R443" s="55" t="s">
        <v>7</v>
      </c>
    </row>
    <row r="444" spans="1:18" ht="15.75" customHeight="1" thickBot="1" x14ac:dyDescent="0.35">
      <c r="A444" s="15" t="s">
        <v>62</v>
      </c>
      <c r="B444" s="1"/>
      <c r="C444" s="1"/>
      <c r="D444" s="1"/>
      <c r="E444" s="55" t="s">
        <v>7</v>
      </c>
      <c r="F444" s="1"/>
      <c r="G444" s="1"/>
      <c r="H444" s="1"/>
      <c r="I444" s="55" t="s">
        <v>7</v>
      </c>
      <c r="J444" s="1"/>
      <c r="K444" s="1"/>
      <c r="L444" s="1"/>
      <c r="M444" s="55" t="s">
        <v>7</v>
      </c>
      <c r="N444" s="1"/>
      <c r="O444" s="1"/>
      <c r="P444" s="1"/>
      <c r="Q444" s="55" t="s">
        <v>7</v>
      </c>
      <c r="R444" s="55" t="s">
        <v>7</v>
      </c>
    </row>
    <row r="445" spans="1:18" ht="15.75" customHeight="1" thickBot="1" x14ac:dyDescent="0.35">
      <c r="A445" s="114" t="s">
        <v>63</v>
      </c>
      <c r="B445" s="86">
        <f>SUM(B442:B444)</f>
        <v>0</v>
      </c>
      <c r="C445" s="87">
        <f>SUM(C442:C444)</f>
        <v>0</v>
      </c>
      <c r="D445" s="87">
        <f>SUM(D442:D444)</f>
        <v>0</v>
      </c>
      <c r="E445" s="59">
        <f>SUM(B445:D445)</f>
        <v>0</v>
      </c>
      <c r="F445" s="87">
        <f>SUM(F442:F444)</f>
        <v>0</v>
      </c>
      <c r="G445" s="87">
        <f>SUM(G442:G444)</f>
        <v>0</v>
      </c>
      <c r="H445" s="87">
        <f>SUM(H442:H444)</f>
        <v>0</v>
      </c>
      <c r="I445" s="59">
        <f>SUM(F445:H445)</f>
        <v>0</v>
      </c>
      <c r="J445" s="87">
        <f>SUM(J442:J444)</f>
        <v>0</v>
      </c>
      <c r="K445" s="87">
        <f>SUM(K442:K444)</f>
        <v>0</v>
      </c>
      <c r="L445" s="87">
        <f>SUM(L442:L444)</f>
        <v>0</v>
      </c>
      <c r="M445" s="59">
        <f>SUM(J445:L445)</f>
        <v>0</v>
      </c>
      <c r="N445" s="87">
        <f>SUM(N442:N444)</f>
        <v>0</v>
      </c>
      <c r="O445" s="87">
        <f>SUM(O442:O444)</f>
        <v>0</v>
      </c>
      <c r="P445" s="87">
        <f>SUM(P442:P444)</f>
        <v>0</v>
      </c>
      <c r="Q445" s="59">
        <f>SUM(N445:P445)</f>
        <v>0</v>
      </c>
      <c r="R445" s="59">
        <f>+E445+I445+M445+Q445</f>
        <v>0</v>
      </c>
    </row>
    <row r="446" spans="1:18" ht="15.75" customHeight="1" x14ac:dyDescent="0.3">
      <c r="A446" s="15" t="s">
        <v>64</v>
      </c>
      <c r="B446" s="1"/>
      <c r="C446" s="1"/>
      <c r="D446" s="1"/>
      <c r="E446" s="55" t="s">
        <v>7</v>
      </c>
      <c r="F446" s="1"/>
      <c r="G446" s="1"/>
      <c r="H446" s="1"/>
      <c r="I446" s="55" t="s">
        <v>7</v>
      </c>
      <c r="J446" s="1"/>
      <c r="K446" s="1"/>
      <c r="L446" s="1"/>
      <c r="M446" s="55" t="s">
        <v>7</v>
      </c>
      <c r="N446" s="1"/>
      <c r="O446" s="1"/>
      <c r="P446" s="1"/>
      <c r="Q446" s="55" t="s">
        <v>7</v>
      </c>
      <c r="R446" s="55" t="s">
        <v>7</v>
      </c>
    </row>
    <row r="447" spans="1:18" ht="15.75" customHeight="1" x14ac:dyDescent="0.3">
      <c r="A447" s="15" t="s">
        <v>65</v>
      </c>
      <c r="B447" s="1"/>
      <c r="C447" s="1"/>
      <c r="D447" s="1"/>
      <c r="E447" s="55" t="s">
        <v>7</v>
      </c>
      <c r="F447" s="1"/>
      <c r="G447" s="1"/>
      <c r="H447" s="1"/>
      <c r="I447" s="55" t="s">
        <v>7</v>
      </c>
      <c r="J447" s="1"/>
      <c r="K447" s="1"/>
      <c r="L447" s="1"/>
      <c r="M447" s="55" t="s">
        <v>7</v>
      </c>
      <c r="N447" s="1"/>
      <c r="O447" s="1"/>
      <c r="P447" s="1"/>
      <c r="Q447" s="55" t="s">
        <v>7</v>
      </c>
      <c r="R447" s="55" t="s">
        <v>7</v>
      </c>
    </row>
    <row r="448" spans="1:18" ht="15.75" customHeight="1" x14ac:dyDescent="0.3">
      <c r="A448" s="15" t="s">
        <v>67</v>
      </c>
      <c r="B448" s="1"/>
      <c r="C448" s="1"/>
      <c r="D448" s="1"/>
      <c r="E448" s="55" t="s">
        <v>7</v>
      </c>
      <c r="F448" s="1"/>
      <c r="G448" s="1"/>
      <c r="H448" s="1"/>
      <c r="I448" s="55" t="s">
        <v>7</v>
      </c>
      <c r="J448" s="1"/>
      <c r="K448" s="1"/>
      <c r="L448" s="1"/>
      <c r="M448" s="55" t="s">
        <v>7</v>
      </c>
      <c r="N448" s="1"/>
      <c r="O448" s="1"/>
      <c r="P448" s="1"/>
      <c r="Q448" s="55" t="s">
        <v>7</v>
      </c>
      <c r="R448" s="55" t="s">
        <v>7</v>
      </c>
    </row>
    <row r="449" spans="1:18" ht="15.75" customHeight="1" x14ac:dyDescent="0.3">
      <c r="A449" s="15" t="s">
        <v>69</v>
      </c>
      <c r="B449" s="1"/>
      <c r="C449" s="1"/>
      <c r="D449" s="1"/>
      <c r="E449" s="55" t="s">
        <v>7</v>
      </c>
      <c r="F449" s="1"/>
      <c r="G449" s="1"/>
      <c r="H449" s="1"/>
      <c r="I449" s="55" t="s">
        <v>7</v>
      </c>
      <c r="J449" s="1"/>
      <c r="K449" s="1"/>
      <c r="L449" s="1"/>
      <c r="M449" s="55" t="s">
        <v>7</v>
      </c>
      <c r="N449" s="1"/>
      <c r="O449" s="1"/>
      <c r="P449" s="1"/>
      <c r="Q449" s="55" t="s">
        <v>7</v>
      </c>
      <c r="R449" s="55" t="s">
        <v>7</v>
      </c>
    </row>
    <row r="450" spans="1:18" ht="15.75" customHeight="1" x14ac:dyDescent="0.3">
      <c r="A450" s="71" t="s">
        <v>306</v>
      </c>
      <c r="B450" s="1">
        <v>0</v>
      </c>
      <c r="C450" s="1">
        <v>0</v>
      </c>
      <c r="D450" s="1">
        <v>0</v>
      </c>
      <c r="E450" s="55">
        <f>SUM(B450:D450)</f>
        <v>0</v>
      </c>
      <c r="F450" s="1">
        <v>0</v>
      </c>
      <c r="G450" s="1">
        <v>0</v>
      </c>
      <c r="H450" s="1">
        <v>0</v>
      </c>
      <c r="I450" s="55">
        <f>SUM(F450:H450)</f>
        <v>0</v>
      </c>
      <c r="J450" s="1">
        <v>0</v>
      </c>
      <c r="K450" s="1">
        <v>891</v>
      </c>
      <c r="L450" s="1">
        <v>245</v>
      </c>
      <c r="M450" s="55">
        <f>SUM(J450:L450)</f>
        <v>1136</v>
      </c>
      <c r="N450" s="1">
        <v>0</v>
      </c>
      <c r="O450" s="1">
        <v>0</v>
      </c>
      <c r="P450" s="1">
        <v>0</v>
      </c>
      <c r="Q450" s="55">
        <f>SUM(N450:P450)</f>
        <v>0</v>
      </c>
      <c r="R450" s="55">
        <f>+E450+I450+M450+Q450</f>
        <v>1136</v>
      </c>
    </row>
    <row r="451" spans="1:18" ht="15.75" customHeight="1" x14ac:dyDescent="0.3">
      <c r="A451" s="71" t="s">
        <v>310</v>
      </c>
      <c r="B451" s="1">
        <v>0</v>
      </c>
      <c r="C451" s="1">
        <v>0</v>
      </c>
      <c r="D451" s="1">
        <v>0</v>
      </c>
      <c r="E451" s="55">
        <f>SUM(B451:D451)</f>
        <v>0</v>
      </c>
      <c r="F451" s="1">
        <v>0</v>
      </c>
      <c r="G451" s="1">
        <v>0</v>
      </c>
      <c r="H451" s="1">
        <v>0</v>
      </c>
      <c r="I451" s="55">
        <f>SUM(F451:H451)</f>
        <v>0</v>
      </c>
      <c r="J451" s="1">
        <v>0</v>
      </c>
      <c r="K451" s="1">
        <v>0</v>
      </c>
      <c r="L451" s="1">
        <v>1493</v>
      </c>
      <c r="M451" s="55">
        <f>SUM(J451:L451)</f>
        <v>1493</v>
      </c>
      <c r="N451" s="1">
        <v>507</v>
      </c>
      <c r="O451" s="1">
        <v>0</v>
      </c>
      <c r="P451" s="1">
        <v>0</v>
      </c>
      <c r="Q451" s="55">
        <f>SUM(N451:P451)</f>
        <v>507</v>
      </c>
      <c r="R451" s="55">
        <f>+E451+I451+M451+Q451</f>
        <v>2000</v>
      </c>
    </row>
    <row r="452" spans="1:18" ht="15.75" customHeight="1" x14ac:dyDescent="0.3">
      <c r="A452" s="71" t="s">
        <v>311</v>
      </c>
      <c r="B452" s="1">
        <v>0</v>
      </c>
      <c r="C452" s="1">
        <v>0</v>
      </c>
      <c r="D452" s="1">
        <v>0</v>
      </c>
      <c r="E452" s="55">
        <f>SUM(B452:D452)</f>
        <v>0</v>
      </c>
      <c r="F452" s="1">
        <v>235</v>
      </c>
      <c r="G452" s="1">
        <v>551</v>
      </c>
      <c r="H452" s="1">
        <v>0</v>
      </c>
      <c r="I452" s="55">
        <f>SUM(F452:H452)</f>
        <v>786</v>
      </c>
      <c r="J452" s="1">
        <v>0</v>
      </c>
      <c r="K452" s="1">
        <v>0</v>
      </c>
      <c r="L452" s="1">
        <v>0</v>
      </c>
      <c r="M452" s="55">
        <f>SUM(J452:L452)</f>
        <v>0</v>
      </c>
      <c r="N452" s="1">
        <v>0</v>
      </c>
      <c r="O452" s="1">
        <v>0</v>
      </c>
      <c r="P452" s="1">
        <v>0</v>
      </c>
      <c r="Q452" s="55">
        <f>SUM(N452:P452)</f>
        <v>0</v>
      </c>
      <c r="R452" s="55">
        <f>+E452+I452+M452+Q452</f>
        <v>786</v>
      </c>
    </row>
    <row r="453" spans="1:18" ht="15.75" customHeight="1" x14ac:dyDescent="0.3">
      <c r="A453" s="15" t="s">
        <v>70</v>
      </c>
      <c r="B453" s="1"/>
      <c r="C453" s="1"/>
      <c r="D453" s="1"/>
      <c r="E453" s="55"/>
      <c r="F453" s="1"/>
      <c r="G453" s="1"/>
      <c r="H453" s="1"/>
      <c r="I453" s="55"/>
      <c r="J453" s="1"/>
      <c r="K453" s="1"/>
      <c r="L453" s="1"/>
      <c r="M453" s="55"/>
      <c r="N453" s="1"/>
      <c r="O453" s="1"/>
      <c r="P453" s="1"/>
      <c r="Q453" s="55"/>
      <c r="R453" s="55" t="s">
        <v>7</v>
      </c>
    </row>
    <row r="454" spans="1:18" ht="15.75" customHeight="1" x14ac:dyDescent="0.3">
      <c r="A454" s="71" t="s">
        <v>312</v>
      </c>
      <c r="B454" s="1">
        <v>0</v>
      </c>
      <c r="C454" s="1">
        <v>0</v>
      </c>
      <c r="D454" s="1">
        <v>0</v>
      </c>
      <c r="E454" s="55">
        <f t="shared" ref="E454:E459" si="88">SUM(B454:D454)</f>
        <v>0</v>
      </c>
      <c r="F454" s="1">
        <v>0</v>
      </c>
      <c r="G454" s="1">
        <v>0</v>
      </c>
      <c r="H454" s="1">
        <v>0</v>
      </c>
      <c r="I454" s="55">
        <f t="shared" ref="I454:I459" si="89">SUM(F454:H454)</f>
        <v>0</v>
      </c>
      <c r="J454" s="1">
        <v>0</v>
      </c>
      <c r="K454" s="1">
        <v>0</v>
      </c>
      <c r="L454" s="1">
        <v>0</v>
      </c>
      <c r="M454" s="55">
        <f t="shared" ref="M454:M459" si="90">SUM(J454:L454)</f>
        <v>0</v>
      </c>
      <c r="N454" s="1">
        <v>1530</v>
      </c>
      <c r="O454" s="1">
        <v>0</v>
      </c>
      <c r="P454" s="1">
        <v>0</v>
      </c>
      <c r="Q454" s="55">
        <f t="shared" ref="Q454:Q459" si="91">SUM(N454:P454)</f>
        <v>1530</v>
      </c>
      <c r="R454" s="55">
        <f t="shared" ref="R454:R459" si="92">+E454+I454+M454+Q454</f>
        <v>1530</v>
      </c>
    </row>
    <row r="455" spans="1:18" ht="15.75" customHeight="1" thickBot="1" x14ac:dyDescent="0.35">
      <c r="A455" s="71" t="s">
        <v>313</v>
      </c>
      <c r="B455" s="1">
        <v>0</v>
      </c>
      <c r="C455" s="1">
        <v>0</v>
      </c>
      <c r="D455" s="1">
        <v>0</v>
      </c>
      <c r="E455" s="55">
        <f t="shared" si="88"/>
        <v>0</v>
      </c>
      <c r="F455" s="1">
        <v>0</v>
      </c>
      <c r="G455" s="1">
        <v>0</v>
      </c>
      <c r="H455" s="1">
        <v>0</v>
      </c>
      <c r="I455" s="55">
        <f t="shared" si="89"/>
        <v>0</v>
      </c>
      <c r="J455" s="1">
        <v>0</v>
      </c>
      <c r="K455" s="1">
        <v>0</v>
      </c>
      <c r="L455" s="1">
        <v>0</v>
      </c>
      <c r="M455" s="55">
        <f t="shared" si="90"/>
        <v>0</v>
      </c>
      <c r="N455" s="1">
        <v>0</v>
      </c>
      <c r="O455" s="1">
        <v>0</v>
      </c>
      <c r="P455" s="1">
        <v>0</v>
      </c>
      <c r="Q455" s="55">
        <f t="shared" si="91"/>
        <v>0</v>
      </c>
      <c r="R455" s="55">
        <f t="shared" si="92"/>
        <v>0</v>
      </c>
    </row>
    <row r="456" spans="1:18" ht="15.75" customHeight="1" thickBot="1" x14ac:dyDescent="0.35">
      <c r="A456" s="57" t="s">
        <v>71</v>
      </c>
      <c r="B456" s="58">
        <f>SUM(B449:B455)</f>
        <v>0</v>
      </c>
      <c r="C456" s="58">
        <f>SUM(C449:C455)</f>
        <v>0</v>
      </c>
      <c r="D456" s="58">
        <f>SUM(D449:D455)</f>
        <v>0</v>
      </c>
      <c r="E456" s="60">
        <f t="shared" si="88"/>
        <v>0</v>
      </c>
      <c r="F456" s="58">
        <f>SUM(F449:F455)</f>
        <v>235</v>
      </c>
      <c r="G456" s="58">
        <f>SUM(G449:G455)</f>
        <v>551</v>
      </c>
      <c r="H456" s="58">
        <f>SUM(H449:H455)</f>
        <v>0</v>
      </c>
      <c r="I456" s="60">
        <f t="shared" si="89"/>
        <v>786</v>
      </c>
      <c r="J456" s="58">
        <f>SUM(J449:J455)</f>
        <v>0</v>
      </c>
      <c r="K456" s="58">
        <f>SUM(K449:K455)</f>
        <v>891</v>
      </c>
      <c r="L456" s="58">
        <f>SUM(L449:L455)</f>
        <v>1738</v>
      </c>
      <c r="M456" s="60">
        <f t="shared" si="90"/>
        <v>2629</v>
      </c>
      <c r="N456" s="58">
        <f>SUM(N449:N455)</f>
        <v>2037</v>
      </c>
      <c r="O456" s="58">
        <f>SUM(O449:O455)</f>
        <v>0</v>
      </c>
      <c r="P456" s="58">
        <f>SUM(P449:P455)</f>
        <v>0</v>
      </c>
      <c r="Q456" s="60">
        <f t="shared" si="91"/>
        <v>2037</v>
      </c>
      <c r="R456" s="59">
        <f t="shared" si="92"/>
        <v>5452</v>
      </c>
    </row>
    <row r="457" spans="1:18" ht="15.75" customHeight="1" thickBot="1" x14ac:dyDescent="0.35">
      <c r="A457" s="114" t="s">
        <v>72</v>
      </c>
      <c r="B457" s="86">
        <f>SUM(B446:B455)</f>
        <v>0</v>
      </c>
      <c r="C457" s="87">
        <f>SUM(C446:C455)</f>
        <v>0</v>
      </c>
      <c r="D457" s="118">
        <f>SUM(D446:D455)</f>
        <v>0</v>
      </c>
      <c r="E457" s="60">
        <f t="shared" si="88"/>
        <v>0</v>
      </c>
      <c r="F457" s="87">
        <f>SUM(F446:F455)</f>
        <v>235</v>
      </c>
      <c r="G457" s="87">
        <f>SUM(G446:G455)</f>
        <v>551</v>
      </c>
      <c r="H457" s="87">
        <f>SUM(H446:H455)</f>
        <v>0</v>
      </c>
      <c r="I457" s="60">
        <f t="shared" si="89"/>
        <v>786</v>
      </c>
      <c r="J457" s="87">
        <f>SUM(J446:J455)</f>
        <v>0</v>
      </c>
      <c r="K457" s="87">
        <f>SUM(K446:K455)</f>
        <v>891</v>
      </c>
      <c r="L457" s="87">
        <f>SUM(L446:L455)</f>
        <v>1738</v>
      </c>
      <c r="M457" s="60">
        <f t="shared" si="90"/>
        <v>2629</v>
      </c>
      <c r="N457" s="87">
        <f>SUM(N446:N455)</f>
        <v>2037</v>
      </c>
      <c r="O457" s="87">
        <f>SUM(O446:O455)</f>
        <v>0</v>
      </c>
      <c r="P457" s="87">
        <f>SUM(P446:P455)</f>
        <v>0</v>
      </c>
      <c r="Q457" s="60">
        <f t="shared" si="91"/>
        <v>2037</v>
      </c>
      <c r="R457" s="59">
        <f t="shared" si="92"/>
        <v>5452</v>
      </c>
    </row>
    <row r="458" spans="1:18" ht="15.75" customHeight="1" thickBot="1" x14ac:dyDescent="0.35">
      <c r="A458" s="57" t="s">
        <v>73</v>
      </c>
      <c r="B458" s="90">
        <f>+B435+B441+B445+B457</f>
        <v>1115</v>
      </c>
      <c r="C458" s="58">
        <f>+C435+C441+C445+C457</f>
        <v>2012</v>
      </c>
      <c r="D458" s="58">
        <f>+D435+D441+D445+D457</f>
        <v>5083</v>
      </c>
      <c r="E458" s="59">
        <f t="shared" si="88"/>
        <v>8210</v>
      </c>
      <c r="F458" s="58">
        <f>+F435+F441+F445+F457</f>
        <v>7606</v>
      </c>
      <c r="G458" s="58">
        <f>+G435+G441+G445+G457</f>
        <v>4791</v>
      </c>
      <c r="H458" s="58">
        <f>+H435+H441+H445+H457</f>
        <v>4730</v>
      </c>
      <c r="I458" s="59">
        <f t="shared" si="89"/>
        <v>17127</v>
      </c>
      <c r="J458" s="58">
        <f>+J435+J441+J445+J457</f>
        <v>7410</v>
      </c>
      <c r="K458" s="58">
        <f>+K435+K441+K445+K457</f>
        <v>9281</v>
      </c>
      <c r="L458" s="58">
        <f>+L435+L441+L445+L457</f>
        <v>5988</v>
      </c>
      <c r="M458" s="59">
        <f t="shared" si="90"/>
        <v>22679</v>
      </c>
      <c r="N458" s="58">
        <f>+N435+N441+N445+N457</f>
        <v>2622</v>
      </c>
      <c r="O458" s="58">
        <f>+O435+O441+O445+O457</f>
        <v>182</v>
      </c>
      <c r="P458" s="58">
        <f>+P435+P441+P445+P457</f>
        <v>658</v>
      </c>
      <c r="Q458" s="59">
        <f t="shared" si="91"/>
        <v>3462</v>
      </c>
      <c r="R458" s="81">
        <f t="shared" si="92"/>
        <v>51478</v>
      </c>
    </row>
    <row r="459" spans="1:18" ht="15.75" customHeight="1" thickBot="1" x14ac:dyDescent="0.35">
      <c r="A459" s="39" t="s">
        <v>40</v>
      </c>
      <c r="B459" s="21">
        <v>23</v>
      </c>
      <c r="C459" s="21">
        <v>43</v>
      </c>
      <c r="D459" s="21">
        <v>66</v>
      </c>
      <c r="E459" s="81">
        <f t="shared" si="88"/>
        <v>132</v>
      </c>
      <c r="F459" s="21">
        <v>91</v>
      </c>
      <c r="G459" s="21">
        <v>108</v>
      </c>
      <c r="H459" s="21">
        <v>109</v>
      </c>
      <c r="I459" s="81">
        <f t="shared" si="89"/>
        <v>308</v>
      </c>
      <c r="J459" s="21">
        <v>104</v>
      </c>
      <c r="K459" s="21">
        <v>79</v>
      </c>
      <c r="L459" s="21">
        <v>80</v>
      </c>
      <c r="M459" s="81">
        <f t="shared" si="90"/>
        <v>263</v>
      </c>
      <c r="N459" s="21">
        <v>74</v>
      </c>
      <c r="O459" s="21">
        <v>58</v>
      </c>
      <c r="P459" s="21">
        <v>42</v>
      </c>
      <c r="Q459" s="81">
        <f t="shared" si="91"/>
        <v>174</v>
      </c>
      <c r="R459" s="55">
        <f t="shared" si="92"/>
        <v>877</v>
      </c>
    </row>
    <row r="460" spans="1:18" ht="15.75" customHeight="1" thickBot="1" x14ac:dyDescent="0.35">
      <c r="A460" s="41"/>
      <c r="B460" s="36"/>
      <c r="C460" s="36"/>
      <c r="D460" s="36"/>
      <c r="E460" s="42"/>
      <c r="F460" s="36"/>
      <c r="G460" s="36"/>
      <c r="H460" s="36"/>
      <c r="I460" s="126"/>
      <c r="J460" s="36"/>
      <c r="K460" s="36"/>
      <c r="L460" s="36"/>
      <c r="M460" s="126"/>
      <c r="N460" s="36"/>
      <c r="O460" s="36"/>
      <c r="P460" s="36"/>
      <c r="Q460" s="126"/>
      <c r="R460" s="42"/>
    </row>
    <row r="461" spans="1:18" ht="15.75" customHeight="1" x14ac:dyDescent="0.3">
      <c r="A461" s="15" t="s">
        <v>314</v>
      </c>
      <c r="B461" s="77">
        <f>SUM(B458:B459)</f>
        <v>1138</v>
      </c>
      <c r="C461" s="77">
        <f>SUM(C458:C459)</f>
        <v>2055</v>
      </c>
      <c r="D461" s="77">
        <f>SUM(D458:D459)</f>
        <v>5149</v>
      </c>
      <c r="E461" s="60">
        <f>SUM(B461:D461)</f>
        <v>8342</v>
      </c>
      <c r="F461" s="77">
        <f>SUM(F458:F459)</f>
        <v>7697</v>
      </c>
      <c r="G461" s="77">
        <f>SUM(G458:G459)</f>
        <v>4899</v>
      </c>
      <c r="H461" s="77">
        <f>SUM(H458:H459)</f>
        <v>4839</v>
      </c>
      <c r="I461" s="60">
        <f>SUM(F461:H461)</f>
        <v>17435</v>
      </c>
      <c r="J461" s="77">
        <f>SUM(J458:J459)</f>
        <v>7514</v>
      </c>
      <c r="K461" s="77">
        <f>SUM(K458:K459)</f>
        <v>9360</v>
      </c>
      <c r="L461" s="77">
        <f>SUM(L458:L459)</f>
        <v>6068</v>
      </c>
      <c r="M461" s="60">
        <f>SUM(J461:L461)</f>
        <v>22942</v>
      </c>
      <c r="N461" s="77">
        <f>SUM(N458:N459)</f>
        <v>2696</v>
      </c>
      <c r="O461" s="77">
        <f>SUM(O458:O459)</f>
        <v>240</v>
      </c>
      <c r="P461" s="77">
        <f>SUM(P458:P459)</f>
        <v>700</v>
      </c>
      <c r="Q461" s="60">
        <f>SUM(N461:P461)</f>
        <v>3636</v>
      </c>
      <c r="R461" s="60">
        <f>+E461+I461+M461+Q461</f>
        <v>52355</v>
      </c>
    </row>
    <row r="462" spans="1:18" ht="15.75" customHeight="1" x14ac:dyDescent="0.3">
      <c r="A462" s="15" t="s">
        <v>42</v>
      </c>
      <c r="B462" s="1">
        <f>(B461/31)/1.983</f>
        <v>18.512192344606575</v>
      </c>
      <c r="C462" s="1">
        <f>(C461/28)/1.983</f>
        <v>37.01102226064404</v>
      </c>
      <c r="D462" s="1">
        <f>(D461/31)/1.983</f>
        <v>83.7603500723895</v>
      </c>
      <c r="E462" s="55" t="s">
        <v>7</v>
      </c>
      <c r="F462" s="1">
        <f>(F461/30)/1.983</f>
        <v>129.3830895948899</v>
      </c>
      <c r="G462" s="1">
        <f>(G461/31)/1.983</f>
        <v>79.693523986140249</v>
      </c>
      <c r="H462" s="1">
        <f>(H461/30)/1.983</f>
        <v>81.341401916288447</v>
      </c>
      <c r="I462" s="55" t="s">
        <v>7</v>
      </c>
      <c r="J462" s="1">
        <f>(J461/31)/1.983</f>
        <v>122.23252484830738</v>
      </c>
      <c r="K462" s="1">
        <f>(K461/31)/1.983</f>
        <v>152.26196866917184</v>
      </c>
      <c r="L462" s="1">
        <f>(L461/30)/1.983</f>
        <v>102.00033619095646</v>
      </c>
      <c r="M462" s="55" t="s">
        <v>7</v>
      </c>
      <c r="N462" s="1">
        <f>(N461/31)/1.983</f>
        <v>43.856652514111886</v>
      </c>
      <c r="O462" s="1">
        <f>(O461/30)/1.983</f>
        <v>4.0342914775592531</v>
      </c>
      <c r="P462" s="1">
        <f>(P461/31)/1.983</f>
        <v>11.387113041497894</v>
      </c>
      <c r="Q462" s="55" t="s">
        <v>7</v>
      </c>
      <c r="R462" s="55" t="s">
        <v>7</v>
      </c>
    </row>
    <row r="463" spans="1:18" ht="15.75" customHeight="1" x14ac:dyDescent="0.3">
      <c r="A463" s="15" t="s">
        <v>315</v>
      </c>
      <c r="B463" s="1">
        <f>B461+B511</f>
        <v>14836</v>
      </c>
      <c r="C463" s="1">
        <f>C461+C511</f>
        <v>13038</v>
      </c>
      <c r="D463" s="1">
        <f>D461+D511</f>
        <v>23486</v>
      </c>
      <c r="E463" s="55">
        <f>SUM(B463:D463)</f>
        <v>51360</v>
      </c>
      <c r="F463" s="1">
        <f>F461+F511</f>
        <v>31535</v>
      </c>
      <c r="G463" s="1">
        <f>G461+G511</f>
        <v>27408</v>
      </c>
      <c r="H463" s="1">
        <f>H461+H511</f>
        <v>25547</v>
      </c>
      <c r="I463" s="55">
        <f>SUM(F463:H463)</f>
        <v>84490</v>
      </c>
      <c r="J463" s="1">
        <f>J461+J511</f>
        <v>29500</v>
      </c>
      <c r="K463" s="1">
        <f>K461+K511</f>
        <v>33808</v>
      </c>
      <c r="L463" s="1">
        <f>L461+L511</f>
        <v>28626</v>
      </c>
      <c r="M463" s="55">
        <f>SUM(J463:L463)</f>
        <v>91934</v>
      </c>
      <c r="N463" s="1">
        <f>N461+N511</f>
        <v>18688</v>
      </c>
      <c r="O463" s="1">
        <f>O461+O511</f>
        <v>9592</v>
      </c>
      <c r="P463" s="1">
        <f>P461+P511</f>
        <v>14793</v>
      </c>
      <c r="Q463" s="55">
        <f>SUM(N463:P463)</f>
        <v>43073</v>
      </c>
      <c r="R463" s="55">
        <f>+E463+I463+M463+Q463</f>
        <v>270857</v>
      </c>
    </row>
    <row r="464" spans="1:18" ht="15.75" customHeight="1" thickBot="1" x14ac:dyDescent="0.35">
      <c r="A464" s="20" t="s">
        <v>316</v>
      </c>
      <c r="B464" s="25">
        <f>(B463/31)/1.983</f>
        <v>241.34172726237534</v>
      </c>
      <c r="C464" s="25">
        <f>(C463/28)/1.983</f>
        <v>234.81737626972119</v>
      </c>
      <c r="D464" s="25">
        <f>(D463/31)/1.983</f>
        <v>382.05390984659931</v>
      </c>
      <c r="E464" s="81" t="s">
        <v>7</v>
      </c>
      <c r="F464" s="25">
        <f>(F463/30)/1.983</f>
        <v>530.08909060346275</v>
      </c>
      <c r="G464" s="25">
        <f>(G463/31)/1.983</f>
        <v>445.85427748767751</v>
      </c>
      <c r="H464" s="25">
        <f>(H463/30)/1.983</f>
        <v>429.4335182383594</v>
      </c>
      <c r="I464" s="81" t="s">
        <v>7</v>
      </c>
      <c r="J464" s="25">
        <f>(J463/31)/1.983</f>
        <v>479.88547817741119</v>
      </c>
      <c r="K464" s="25">
        <f>(K463/31)/1.983</f>
        <v>549.96502529565817</v>
      </c>
      <c r="L464" s="25">
        <f>(L463/30)/1.983</f>
        <v>481.19011598587997</v>
      </c>
      <c r="M464" s="81" t="s">
        <v>7</v>
      </c>
      <c r="N464" s="25">
        <f>(N463/31)/1.983</f>
        <v>304.00338359930379</v>
      </c>
      <c r="O464" s="25">
        <f>(O463/30)/1.983</f>
        <v>161.23718271978484</v>
      </c>
      <c r="P464" s="25">
        <f>(P463/31)/1.983</f>
        <v>240.64223317554047</v>
      </c>
      <c r="Q464" s="81" t="s">
        <v>7</v>
      </c>
      <c r="R464" s="81" t="s">
        <v>7</v>
      </c>
    </row>
    <row r="465" spans="1:18" ht="15.75" customHeight="1" x14ac:dyDescent="0.3">
      <c r="A465" s="2"/>
      <c r="B465" s="1"/>
      <c r="C465" s="1"/>
      <c r="D465" s="1"/>
      <c r="E465" s="1"/>
      <c r="F465" s="1"/>
      <c r="G465" s="1"/>
      <c r="H465" s="1"/>
      <c r="I465" s="1"/>
      <c r="J465" s="1"/>
      <c r="K465" s="1"/>
      <c r="L465" s="1"/>
      <c r="M465" s="1"/>
      <c r="N465" s="1"/>
      <c r="O465" s="1"/>
      <c r="P465" s="1"/>
      <c r="Q465" s="1"/>
      <c r="R465" s="2"/>
    </row>
    <row r="466" spans="1:18" ht="15.75" customHeight="1" thickBot="1" x14ac:dyDescent="0.35">
      <c r="A466" s="2"/>
      <c r="B466" s="1"/>
      <c r="C466" s="1"/>
      <c r="D466" s="1"/>
      <c r="E466" s="1"/>
      <c r="F466" s="1"/>
      <c r="G466" s="1"/>
      <c r="H466" s="1"/>
      <c r="I466" s="1"/>
      <c r="J466" s="1"/>
      <c r="K466" s="1"/>
      <c r="L466" s="1"/>
      <c r="M466" s="1"/>
      <c r="N466" s="1"/>
      <c r="O466" s="1"/>
      <c r="P466" s="1"/>
      <c r="Q466" s="1"/>
      <c r="R466" s="2"/>
    </row>
    <row r="467" spans="1:18" ht="15.75" customHeight="1" thickBot="1" x14ac:dyDescent="0.35">
      <c r="A467" s="124" t="s">
        <v>317</v>
      </c>
      <c r="B467" s="30" t="s">
        <v>8</v>
      </c>
      <c r="C467" s="31" t="s">
        <v>9</v>
      </c>
      <c r="D467" s="31" t="s">
        <v>10</v>
      </c>
      <c r="E467" s="32" t="s">
        <v>11</v>
      </c>
      <c r="F467" s="31" t="s">
        <v>12</v>
      </c>
      <c r="G467" s="31" t="s">
        <v>13</v>
      </c>
      <c r="H467" s="31" t="s">
        <v>14</v>
      </c>
      <c r="I467" s="33" t="s">
        <v>15</v>
      </c>
      <c r="J467" s="31" t="s">
        <v>16</v>
      </c>
      <c r="K467" s="31" t="s">
        <v>17</v>
      </c>
      <c r="L467" s="31" t="s">
        <v>18</v>
      </c>
      <c r="M467" s="33" t="s">
        <v>19</v>
      </c>
      <c r="N467" s="31" t="s">
        <v>20</v>
      </c>
      <c r="O467" s="31" t="s">
        <v>21</v>
      </c>
      <c r="P467" s="31" t="s">
        <v>22</v>
      </c>
      <c r="Q467" s="33" t="s">
        <v>23</v>
      </c>
      <c r="R467" s="34" t="s">
        <v>24</v>
      </c>
    </row>
    <row r="468" spans="1:18" ht="15.75" customHeight="1" thickBot="1" x14ac:dyDescent="0.35">
      <c r="A468" s="59"/>
      <c r="B468" s="75"/>
      <c r="C468" s="75"/>
      <c r="D468" s="75"/>
      <c r="E468" s="69"/>
      <c r="F468" s="75"/>
      <c r="G468" s="75"/>
      <c r="H468" s="75"/>
      <c r="I468" s="82"/>
      <c r="J468" s="75"/>
      <c r="K468" s="75"/>
      <c r="L468" s="75"/>
      <c r="M468" s="82"/>
      <c r="N468" s="75"/>
      <c r="O468" s="75"/>
      <c r="P468" s="75"/>
      <c r="Q468" s="82"/>
      <c r="R468" s="100"/>
    </row>
    <row r="469" spans="1:18" ht="15.75" customHeight="1" x14ac:dyDescent="0.3">
      <c r="A469" s="15" t="s">
        <v>48</v>
      </c>
      <c r="B469" s="1" t="s">
        <v>7</v>
      </c>
      <c r="C469" s="1" t="s">
        <v>7</v>
      </c>
      <c r="D469" s="1" t="s">
        <v>7</v>
      </c>
      <c r="E469" s="55" t="s">
        <v>7</v>
      </c>
      <c r="F469" s="1" t="s">
        <v>7</v>
      </c>
      <c r="G469" s="1" t="s">
        <v>7</v>
      </c>
      <c r="H469" s="1" t="s">
        <v>7</v>
      </c>
      <c r="I469" s="55" t="s">
        <v>7</v>
      </c>
      <c r="J469" s="1" t="s">
        <v>7</v>
      </c>
      <c r="K469" s="1" t="s">
        <v>7</v>
      </c>
      <c r="L469" s="1" t="s">
        <v>7</v>
      </c>
      <c r="M469" s="55" t="s">
        <v>7</v>
      </c>
      <c r="N469" s="1" t="s">
        <v>7</v>
      </c>
      <c r="O469" s="1" t="s">
        <v>7</v>
      </c>
      <c r="P469" s="1" t="s">
        <v>7</v>
      </c>
      <c r="Q469" s="55" t="s">
        <v>7</v>
      </c>
      <c r="R469" s="55" t="s">
        <v>7</v>
      </c>
    </row>
    <row r="470" spans="1:18" ht="15.75" customHeight="1" x14ac:dyDescent="0.3">
      <c r="A470" s="15" t="s">
        <v>49</v>
      </c>
      <c r="B470" s="1"/>
      <c r="C470" s="1"/>
      <c r="D470" s="1"/>
      <c r="E470" s="55" t="s">
        <v>7</v>
      </c>
      <c r="F470" s="1"/>
      <c r="G470" s="1"/>
      <c r="H470" s="1"/>
      <c r="I470" s="55" t="s">
        <v>7</v>
      </c>
      <c r="J470" s="1"/>
      <c r="K470" s="1"/>
      <c r="L470" s="1"/>
      <c r="M470" s="55" t="s">
        <v>7</v>
      </c>
      <c r="N470" s="1"/>
      <c r="O470" s="1"/>
      <c r="P470" s="1"/>
      <c r="Q470" s="55" t="s">
        <v>7</v>
      </c>
      <c r="R470" s="55" t="s">
        <v>7</v>
      </c>
    </row>
    <row r="471" spans="1:18" ht="15.75" customHeight="1" x14ac:dyDescent="0.3">
      <c r="A471" s="71" t="s">
        <v>318</v>
      </c>
      <c r="B471" s="1">
        <v>0</v>
      </c>
      <c r="C471" s="1">
        <v>0</v>
      </c>
      <c r="D471" s="1">
        <v>670</v>
      </c>
      <c r="E471" s="55">
        <f>SUM(B471:D471)</f>
        <v>670</v>
      </c>
      <c r="F471" s="1">
        <v>2766</v>
      </c>
      <c r="G471" s="1">
        <v>1200</v>
      </c>
      <c r="H471" s="1">
        <v>1041</v>
      </c>
      <c r="I471" s="55">
        <f>SUM(F471:H471)</f>
        <v>5007</v>
      </c>
      <c r="J471" s="1">
        <v>865</v>
      </c>
      <c r="K471" s="1">
        <v>94</v>
      </c>
      <c r="L471" s="1">
        <v>0</v>
      </c>
      <c r="M471" s="55">
        <f>SUM(J471:L471)</f>
        <v>959</v>
      </c>
      <c r="N471" s="1">
        <v>0</v>
      </c>
      <c r="O471" s="1">
        <v>0</v>
      </c>
      <c r="P471" s="1">
        <v>0</v>
      </c>
      <c r="Q471" s="55">
        <f>SUM(N471:P471)</f>
        <v>0</v>
      </c>
      <c r="R471" s="55">
        <f>+E471+I471+M471+Q471</f>
        <v>6636</v>
      </c>
    </row>
    <row r="472" spans="1:18" ht="15.75" customHeight="1" x14ac:dyDescent="0.3">
      <c r="A472" s="71" t="s">
        <v>319</v>
      </c>
      <c r="B472" s="1">
        <v>0</v>
      </c>
      <c r="C472" s="1">
        <v>0</v>
      </c>
      <c r="D472" s="1">
        <v>0</v>
      </c>
      <c r="E472" s="55">
        <f>SUM(B472:D472)</f>
        <v>0</v>
      </c>
      <c r="F472" s="1">
        <v>0</v>
      </c>
      <c r="G472" s="1">
        <v>0</v>
      </c>
      <c r="H472" s="1">
        <v>0</v>
      </c>
      <c r="I472" s="55">
        <f>SUM(F472:H472)</f>
        <v>0</v>
      </c>
      <c r="J472" s="1">
        <v>0</v>
      </c>
      <c r="K472" s="1">
        <v>0</v>
      </c>
      <c r="L472" s="1">
        <v>0</v>
      </c>
      <c r="M472" s="55">
        <f>SUM(J472:L472)</f>
        <v>0</v>
      </c>
      <c r="N472" s="1">
        <v>0</v>
      </c>
      <c r="O472" s="1">
        <v>0</v>
      </c>
      <c r="P472" s="1">
        <v>0</v>
      </c>
      <c r="Q472" s="55">
        <f>SUM(N472:P472)</f>
        <v>0</v>
      </c>
      <c r="R472" s="55">
        <f>+E472+I472+M472+Q472</f>
        <v>0</v>
      </c>
    </row>
    <row r="473" spans="1:18" ht="15.75" customHeight="1" x14ac:dyDescent="0.3">
      <c r="A473" s="71" t="s">
        <v>320</v>
      </c>
      <c r="B473" s="1">
        <v>0</v>
      </c>
      <c r="C473" s="1">
        <v>0</v>
      </c>
      <c r="D473" s="1">
        <v>100</v>
      </c>
      <c r="E473" s="55">
        <f>SUM(B473:D473)</f>
        <v>100</v>
      </c>
      <c r="F473" s="1">
        <v>0</v>
      </c>
      <c r="G473" s="1">
        <v>0</v>
      </c>
      <c r="H473" s="1">
        <v>0</v>
      </c>
      <c r="I473" s="55">
        <f>SUM(F473:H473)</f>
        <v>0</v>
      </c>
      <c r="J473" s="1">
        <v>0</v>
      </c>
      <c r="K473" s="1">
        <v>0</v>
      </c>
      <c r="L473" s="1">
        <v>0</v>
      </c>
      <c r="M473" s="55">
        <f>SUM(J473:L473)</f>
        <v>0</v>
      </c>
      <c r="N473" s="1">
        <v>0</v>
      </c>
      <c r="O473" s="1">
        <v>0</v>
      </c>
      <c r="P473" s="1">
        <v>0</v>
      </c>
      <c r="Q473" s="55">
        <f>SUM(N473:P473)</f>
        <v>0</v>
      </c>
      <c r="R473" s="55">
        <f>+E473+I473+M473+Q473</f>
        <v>100</v>
      </c>
    </row>
    <row r="474" spans="1:18" ht="15.75" customHeight="1" x14ac:dyDescent="0.3">
      <c r="A474" s="71" t="s">
        <v>321</v>
      </c>
      <c r="B474" s="1">
        <v>47</v>
      </c>
      <c r="C474" s="1">
        <v>0</v>
      </c>
      <c r="D474" s="1">
        <v>0</v>
      </c>
      <c r="E474" s="55">
        <f>SUM(B474:D474)</f>
        <v>47</v>
      </c>
      <c r="F474" s="1">
        <v>0</v>
      </c>
      <c r="G474" s="1">
        <v>0</v>
      </c>
      <c r="H474" s="1">
        <v>0</v>
      </c>
      <c r="I474" s="55">
        <f>SUM(F474:H474)</f>
        <v>0</v>
      </c>
      <c r="J474" s="1">
        <v>0</v>
      </c>
      <c r="K474" s="1">
        <v>0</v>
      </c>
      <c r="L474" s="1">
        <v>0</v>
      </c>
      <c r="M474" s="55">
        <f>SUM(J474:L474)</f>
        <v>0</v>
      </c>
      <c r="N474" s="1">
        <v>0</v>
      </c>
      <c r="O474" s="1">
        <v>0</v>
      </c>
      <c r="P474" s="1">
        <v>0</v>
      </c>
      <c r="Q474" s="55">
        <f>SUM(N474:P474)</f>
        <v>0</v>
      </c>
      <c r="R474" s="55">
        <f>+E474+I474+M474+Q474</f>
        <v>47</v>
      </c>
    </row>
    <row r="475" spans="1:18" ht="15.75" customHeight="1" x14ac:dyDescent="0.3">
      <c r="A475" s="71" t="s">
        <v>322</v>
      </c>
      <c r="B475" s="1">
        <v>0</v>
      </c>
      <c r="C475" s="1">
        <v>0</v>
      </c>
      <c r="D475" s="1">
        <v>82</v>
      </c>
      <c r="E475" s="55">
        <f>SUM(B475:D475)</f>
        <v>82</v>
      </c>
      <c r="F475" s="1">
        <v>2098</v>
      </c>
      <c r="G475" s="1">
        <v>1302</v>
      </c>
      <c r="H475" s="1">
        <v>806</v>
      </c>
      <c r="I475" s="55">
        <f>SUM(F475:H475)</f>
        <v>4206</v>
      </c>
      <c r="J475" s="1">
        <v>1201</v>
      </c>
      <c r="K475" s="1">
        <v>1437</v>
      </c>
      <c r="L475" s="1">
        <v>1107</v>
      </c>
      <c r="M475" s="55">
        <f>SUM(J475:L475)</f>
        <v>3745</v>
      </c>
      <c r="N475" s="1">
        <v>202</v>
      </c>
      <c r="O475" s="1">
        <v>10</v>
      </c>
      <c r="P475" s="1">
        <v>0</v>
      </c>
      <c r="Q475" s="55">
        <f>SUM(N475:P475)</f>
        <v>212</v>
      </c>
      <c r="R475" s="55">
        <f>+E475+I475+M475+Q475</f>
        <v>8245</v>
      </c>
    </row>
    <row r="476" spans="1:18" ht="15.75" customHeight="1" x14ac:dyDescent="0.3">
      <c r="A476" s="15" t="s">
        <v>50</v>
      </c>
      <c r="B476" s="1"/>
      <c r="C476" s="1"/>
      <c r="D476" s="1"/>
      <c r="E476" s="55" t="s">
        <v>7</v>
      </c>
      <c r="F476" s="1"/>
      <c r="G476" s="1"/>
      <c r="H476" s="1"/>
      <c r="I476" s="55" t="s">
        <v>7</v>
      </c>
      <c r="J476" s="1"/>
      <c r="K476" s="1"/>
      <c r="L476" s="1"/>
      <c r="M476" s="55" t="s">
        <v>7</v>
      </c>
      <c r="N476" s="1"/>
      <c r="O476" s="1"/>
      <c r="P476" s="1"/>
      <c r="Q476" s="55" t="s">
        <v>7</v>
      </c>
      <c r="R476" s="55" t="s">
        <v>7</v>
      </c>
    </row>
    <row r="477" spans="1:18" ht="15.75" customHeight="1" x14ac:dyDescent="0.3">
      <c r="A477" s="71" t="s">
        <v>321</v>
      </c>
      <c r="B477" s="1">
        <v>1630</v>
      </c>
      <c r="C477" s="1">
        <v>370</v>
      </c>
      <c r="D477" s="1">
        <v>0</v>
      </c>
      <c r="E477" s="55">
        <f>SUM(B477:D477)</f>
        <v>2000</v>
      </c>
      <c r="F477" s="1">
        <v>0</v>
      </c>
      <c r="G477" s="1">
        <v>0</v>
      </c>
      <c r="H477" s="1">
        <v>0</v>
      </c>
      <c r="I477" s="55">
        <f>SUM(F477:H477)</f>
        <v>0</v>
      </c>
      <c r="J477" s="1">
        <v>0</v>
      </c>
      <c r="K477" s="1">
        <v>0</v>
      </c>
      <c r="L477" s="1">
        <v>0</v>
      </c>
      <c r="M477" s="55">
        <f>SUM(J477:L477)</f>
        <v>0</v>
      </c>
      <c r="N477" s="1">
        <v>0</v>
      </c>
      <c r="O477" s="1">
        <v>500</v>
      </c>
      <c r="P477" s="1">
        <v>0</v>
      </c>
      <c r="Q477" s="55">
        <f>SUM(N477:P477)</f>
        <v>500</v>
      </c>
      <c r="R477" s="55">
        <f>+E477+I477+M477+Q477</f>
        <v>2500</v>
      </c>
    </row>
    <row r="478" spans="1:18" ht="15.75" customHeight="1" x14ac:dyDescent="0.3">
      <c r="A478" s="15" t="s">
        <v>51</v>
      </c>
      <c r="B478" s="1"/>
      <c r="C478" s="1"/>
      <c r="D478" s="1"/>
      <c r="E478" s="55" t="s">
        <v>7</v>
      </c>
      <c r="F478" s="1"/>
      <c r="G478" s="1"/>
      <c r="H478" s="1"/>
      <c r="I478" s="55" t="s">
        <v>7</v>
      </c>
      <c r="J478" s="1"/>
      <c r="K478" s="1"/>
      <c r="L478" s="1"/>
      <c r="M478" s="55" t="s">
        <v>7</v>
      </c>
      <c r="N478" s="1"/>
      <c r="O478" s="1"/>
      <c r="P478" s="1"/>
      <c r="Q478" s="55" t="s">
        <v>7</v>
      </c>
      <c r="R478" s="55" t="s">
        <v>7</v>
      </c>
    </row>
    <row r="479" spans="1:18" ht="15.75" customHeight="1" x14ac:dyDescent="0.3">
      <c r="A479" s="15" t="s">
        <v>323</v>
      </c>
      <c r="B479" s="1">
        <v>423</v>
      </c>
      <c r="C479" s="1">
        <v>0</v>
      </c>
      <c r="D479" s="1">
        <v>0</v>
      </c>
      <c r="E479" s="55">
        <f>SUM(B479:D479)</f>
        <v>423</v>
      </c>
      <c r="F479" s="1">
        <v>0</v>
      </c>
      <c r="G479" s="1">
        <v>0</v>
      </c>
      <c r="H479" s="1">
        <v>0</v>
      </c>
      <c r="I479" s="55">
        <f>SUM(F479:H479)</f>
        <v>0</v>
      </c>
      <c r="J479" s="1">
        <v>0</v>
      </c>
      <c r="K479" s="1">
        <v>0</v>
      </c>
      <c r="L479" s="1">
        <v>0</v>
      </c>
      <c r="M479" s="55">
        <f>SUM(J479:L479)</f>
        <v>0</v>
      </c>
      <c r="N479" s="1">
        <v>0</v>
      </c>
      <c r="O479" s="1">
        <v>0</v>
      </c>
      <c r="P479" s="1">
        <v>0</v>
      </c>
      <c r="Q479" s="55">
        <f>SUM(N479:P479)</f>
        <v>0</v>
      </c>
      <c r="R479" s="55">
        <f>+E479+I479+M479+Q479</f>
        <v>423</v>
      </c>
    </row>
    <row r="480" spans="1:18" ht="15.75" customHeight="1" thickBot="1" x14ac:dyDescent="0.35">
      <c r="A480" s="15" t="s">
        <v>53</v>
      </c>
      <c r="B480" s="1"/>
      <c r="C480" s="1"/>
      <c r="D480" s="1"/>
      <c r="E480" s="55" t="s">
        <v>7</v>
      </c>
      <c r="F480" s="1"/>
      <c r="G480" s="1"/>
      <c r="H480" s="1"/>
      <c r="I480" s="55" t="s">
        <v>7</v>
      </c>
      <c r="J480" s="1"/>
      <c r="K480" s="1"/>
      <c r="L480" s="1"/>
      <c r="M480" s="55" t="s">
        <v>7</v>
      </c>
      <c r="N480" s="1"/>
      <c r="O480" s="1"/>
      <c r="P480" s="1"/>
      <c r="Q480" s="55" t="s">
        <v>7</v>
      </c>
      <c r="R480" s="55" t="s">
        <v>7</v>
      </c>
    </row>
    <row r="481" spans="1:18" ht="15.75" customHeight="1" thickBot="1" x14ac:dyDescent="0.35">
      <c r="A481" s="109" t="s">
        <v>54</v>
      </c>
      <c r="B481" s="86">
        <f>SUM(B469:B480)</f>
        <v>2100</v>
      </c>
      <c r="C481" s="87">
        <f>SUM(C469:C480)</f>
        <v>370</v>
      </c>
      <c r="D481" s="87">
        <f>SUM(D469:D480)</f>
        <v>852</v>
      </c>
      <c r="E481" s="59">
        <f>SUM(B481:D481)</f>
        <v>3322</v>
      </c>
      <c r="F481" s="87">
        <f>SUM(F469:F480)</f>
        <v>4864</v>
      </c>
      <c r="G481" s="87">
        <f>SUM(G469:G480)</f>
        <v>2502</v>
      </c>
      <c r="H481" s="87">
        <f>SUM(H469:H480)</f>
        <v>1847</v>
      </c>
      <c r="I481" s="59">
        <f>SUM(F481:H481)</f>
        <v>9213</v>
      </c>
      <c r="J481" s="87">
        <f>SUM(J469:J480)</f>
        <v>2066</v>
      </c>
      <c r="K481" s="87">
        <f>SUM(K469:K480)</f>
        <v>1531</v>
      </c>
      <c r="L481" s="87">
        <f>SUM(L469:L480)</f>
        <v>1107</v>
      </c>
      <c r="M481" s="59">
        <f>SUM(J481:L481)</f>
        <v>4704</v>
      </c>
      <c r="N481" s="87">
        <f>SUM(N469:N480)</f>
        <v>202</v>
      </c>
      <c r="O481" s="87">
        <f>SUM(O469:O480)</f>
        <v>510</v>
      </c>
      <c r="P481" s="87">
        <f>SUM(P469:P480)</f>
        <v>0</v>
      </c>
      <c r="Q481" s="59">
        <f>SUM(N481:P481)</f>
        <v>712</v>
      </c>
      <c r="R481" s="59">
        <f>+E481+I481+M481+Q481</f>
        <v>17951</v>
      </c>
    </row>
    <row r="482" spans="1:18" ht="15.75" customHeight="1" x14ac:dyDescent="0.3">
      <c r="A482" s="15" t="s">
        <v>55</v>
      </c>
      <c r="B482" s="1"/>
      <c r="C482" s="1"/>
      <c r="D482" s="1"/>
      <c r="E482" s="55" t="s">
        <v>7</v>
      </c>
      <c r="F482" s="1"/>
      <c r="G482" s="1"/>
      <c r="H482" s="1"/>
      <c r="I482" s="55" t="s">
        <v>7</v>
      </c>
      <c r="J482" s="1"/>
      <c r="K482" s="1"/>
      <c r="L482" s="1"/>
      <c r="M482" s="55" t="s">
        <v>7</v>
      </c>
      <c r="N482" s="1"/>
      <c r="O482" s="1"/>
      <c r="P482" s="1"/>
      <c r="Q482" s="55" t="s">
        <v>7</v>
      </c>
      <c r="R482" s="55" t="s">
        <v>7</v>
      </c>
    </row>
    <row r="483" spans="1:18" ht="15.75" customHeight="1" x14ac:dyDescent="0.3">
      <c r="A483" s="15" t="s">
        <v>57</v>
      </c>
      <c r="B483" s="1"/>
      <c r="C483" s="1"/>
      <c r="D483" s="1"/>
      <c r="E483" s="55" t="s">
        <v>7</v>
      </c>
      <c r="F483" s="1"/>
      <c r="G483" s="1"/>
      <c r="H483" s="1"/>
      <c r="I483" s="55" t="s">
        <v>7</v>
      </c>
      <c r="J483" s="1"/>
      <c r="K483" s="1"/>
      <c r="L483" s="1"/>
      <c r="M483" s="55" t="s">
        <v>7</v>
      </c>
      <c r="N483" s="1"/>
      <c r="O483" s="1"/>
      <c r="P483" s="1"/>
      <c r="Q483" s="55" t="s">
        <v>7</v>
      </c>
      <c r="R483" s="55" t="s">
        <v>7</v>
      </c>
    </row>
    <row r="484" spans="1:18" ht="15.75" customHeight="1" x14ac:dyDescent="0.3">
      <c r="A484" s="71" t="s">
        <v>324</v>
      </c>
      <c r="B484" s="1">
        <v>414</v>
      </c>
      <c r="C484" s="1">
        <v>383</v>
      </c>
      <c r="D484" s="1">
        <v>838</v>
      </c>
      <c r="E484" s="55">
        <f>SUM(B484:D484)</f>
        <v>1635</v>
      </c>
      <c r="F484" s="1">
        <v>0</v>
      </c>
      <c r="G484" s="1">
        <v>0</v>
      </c>
      <c r="H484" s="1">
        <v>0</v>
      </c>
      <c r="I484" s="55">
        <f>SUM(F484:H484)</f>
        <v>0</v>
      </c>
      <c r="J484" s="1">
        <v>0</v>
      </c>
      <c r="K484" s="1">
        <v>0</v>
      </c>
      <c r="L484" s="1">
        <v>0</v>
      </c>
      <c r="M484" s="55">
        <f>SUM(J484:L484)</f>
        <v>0</v>
      </c>
      <c r="N484" s="1">
        <v>0</v>
      </c>
      <c r="O484" s="1">
        <v>0</v>
      </c>
      <c r="P484" s="1">
        <v>0</v>
      </c>
      <c r="Q484" s="55">
        <f>SUM(N484:P484)</f>
        <v>0</v>
      </c>
      <c r="R484" s="55">
        <f>+E484+I484+M484+Q484</f>
        <v>1635</v>
      </c>
    </row>
    <row r="485" spans="1:18" ht="15.75" customHeight="1" thickBot="1" x14ac:dyDescent="0.35">
      <c r="A485" s="15" t="s">
        <v>58</v>
      </c>
      <c r="B485" s="1"/>
      <c r="C485" s="1"/>
      <c r="D485" s="1"/>
      <c r="E485" s="55" t="s">
        <v>7</v>
      </c>
      <c r="F485" s="1"/>
      <c r="G485" s="1"/>
      <c r="H485" s="1"/>
      <c r="I485" s="55" t="s">
        <v>7</v>
      </c>
      <c r="J485" s="1"/>
      <c r="K485" s="1"/>
      <c r="L485" s="1"/>
      <c r="M485" s="55" t="s">
        <v>7</v>
      </c>
      <c r="N485" s="1"/>
      <c r="O485" s="1"/>
      <c r="P485" s="1"/>
      <c r="Q485" s="55" t="s">
        <v>7</v>
      </c>
      <c r="R485" s="55" t="s">
        <v>7</v>
      </c>
    </row>
    <row r="486" spans="1:18" ht="15.75" customHeight="1" thickBot="1" x14ac:dyDescent="0.35">
      <c r="A486" s="57" t="s">
        <v>59</v>
      </c>
      <c r="B486" s="86">
        <f>SUM(B482:B485)</f>
        <v>414</v>
      </c>
      <c r="C486" s="87">
        <f>SUM(C482:C485)</f>
        <v>383</v>
      </c>
      <c r="D486" s="87">
        <f>SUM(D482:D485)</f>
        <v>838</v>
      </c>
      <c r="E486" s="59">
        <f>SUM(B486:D486)</f>
        <v>1635</v>
      </c>
      <c r="F486" s="87">
        <f>SUM(F482:F485)</f>
        <v>0</v>
      </c>
      <c r="G486" s="87">
        <f>SUM(G482:G485)</f>
        <v>0</v>
      </c>
      <c r="H486" s="87">
        <f>SUM(H482:H485)</f>
        <v>0</v>
      </c>
      <c r="I486" s="59">
        <f>SUM(F486:H486)</f>
        <v>0</v>
      </c>
      <c r="J486" s="87">
        <f>SUM(J482:J485)</f>
        <v>0</v>
      </c>
      <c r="K486" s="87">
        <f>SUM(K482:K485)</f>
        <v>0</v>
      </c>
      <c r="L486" s="87">
        <f>SUM(L482:L485)</f>
        <v>0</v>
      </c>
      <c r="M486" s="59">
        <f>SUM(J486:L486)</f>
        <v>0</v>
      </c>
      <c r="N486" s="87">
        <f>SUM(N482:N485)</f>
        <v>0</v>
      </c>
      <c r="O486" s="87">
        <f>SUM(O482:O485)</f>
        <v>0</v>
      </c>
      <c r="P486" s="87">
        <f>SUM(P482:P485)</f>
        <v>0</v>
      </c>
      <c r="Q486" s="59">
        <f>SUM(N486:P486)</f>
        <v>0</v>
      </c>
      <c r="R486" s="59">
        <f>+E486+I486+M486+Q486</f>
        <v>1635</v>
      </c>
    </row>
    <row r="487" spans="1:18" ht="15.75" customHeight="1" x14ac:dyDescent="0.3">
      <c r="A487" s="15" t="s">
        <v>60</v>
      </c>
      <c r="B487" s="1"/>
      <c r="C487" s="1"/>
      <c r="D487" s="1"/>
      <c r="E487" s="55" t="s">
        <v>7</v>
      </c>
      <c r="F487" s="1"/>
      <c r="G487" s="1"/>
      <c r="H487" s="1"/>
      <c r="I487" s="55" t="s">
        <v>7</v>
      </c>
      <c r="J487" s="1"/>
      <c r="K487" s="1"/>
      <c r="L487" s="1"/>
      <c r="M487" s="55" t="s">
        <v>7</v>
      </c>
      <c r="N487" s="1"/>
      <c r="O487" s="1"/>
      <c r="P487" s="1"/>
      <c r="Q487" s="55" t="s">
        <v>7</v>
      </c>
      <c r="R487" s="55" t="s">
        <v>7</v>
      </c>
    </row>
    <row r="488" spans="1:18" ht="15.75" customHeight="1" x14ac:dyDescent="0.3">
      <c r="A488" s="15" t="s">
        <v>61</v>
      </c>
      <c r="B488" s="1"/>
      <c r="C488" s="1"/>
      <c r="D488" s="1"/>
      <c r="E488" s="55" t="s">
        <v>7</v>
      </c>
      <c r="F488" s="1"/>
      <c r="G488" s="1"/>
      <c r="H488" s="1"/>
      <c r="I488" s="55" t="s">
        <v>7</v>
      </c>
      <c r="J488" s="1"/>
      <c r="K488" s="1"/>
      <c r="L488" s="1"/>
      <c r="M488" s="55" t="s">
        <v>7</v>
      </c>
      <c r="N488" s="1"/>
      <c r="O488" s="1"/>
      <c r="P488" s="1"/>
      <c r="Q488" s="55" t="s">
        <v>7</v>
      </c>
      <c r="R488" s="55" t="s">
        <v>7</v>
      </c>
    </row>
    <row r="489" spans="1:18" ht="15.75" customHeight="1" thickBot="1" x14ac:dyDescent="0.35">
      <c r="A489" s="15" t="s">
        <v>62</v>
      </c>
      <c r="B489" s="1"/>
      <c r="C489" s="1"/>
      <c r="D489" s="1"/>
      <c r="E489" s="55" t="s">
        <v>7</v>
      </c>
      <c r="F489" s="1"/>
      <c r="G489" s="1"/>
      <c r="H489" s="1"/>
      <c r="I489" s="55" t="s">
        <v>7</v>
      </c>
      <c r="J489" s="1"/>
      <c r="K489" s="1"/>
      <c r="L489" s="1"/>
      <c r="M489" s="55" t="s">
        <v>7</v>
      </c>
      <c r="N489" s="1"/>
      <c r="O489" s="1"/>
      <c r="P489" s="1"/>
      <c r="Q489" s="55" t="s">
        <v>7</v>
      </c>
      <c r="R489" s="55" t="s">
        <v>7</v>
      </c>
    </row>
    <row r="490" spans="1:18" ht="15.75" customHeight="1" thickBot="1" x14ac:dyDescent="0.35">
      <c r="A490" s="114" t="s">
        <v>63</v>
      </c>
      <c r="B490" s="86">
        <f>SUM(B487:B489)</f>
        <v>0</v>
      </c>
      <c r="C490" s="87">
        <f>SUM(C487:C489)</f>
        <v>0</v>
      </c>
      <c r="D490" s="87">
        <f>SUM(D487:D489)</f>
        <v>0</v>
      </c>
      <c r="E490" s="59">
        <f>SUM(B490:D490)</f>
        <v>0</v>
      </c>
      <c r="F490" s="87">
        <f>SUM(F487:F489)</f>
        <v>0</v>
      </c>
      <c r="G490" s="87">
        <f>SUM(G487:G489)</f>
        <v>0</v>
      </c>
      <c r="H490" s="87">
        <f>SUM(H487:H489)</f>
        <v>0</v>
      </c>
      <c r="I490" s="59">
        <f>SUM(F490:H490)</f>
        <v>0</v>
      </c>
      <c r="J490" s="87">
        <f>SUM(J487:J489)</f>
        <v>0</v>
      </c>
      <c r="K490" s="87">
        <f>SUM(K487:K489)</f>
        <v>0</v>
      </c>
      <c r="L490" s="87">
        <f>SUM(L487:L489)</f>
        <v>0</v>
      </c>
      <c r="M490" s="59">
        <f>SUM(J490:L490)</f>
        <v>0</v>
      </c>
      <c r="N490" s="87">
        <f>SUM(N487:N489)</f>
        <v>0</v>
      </c>
      <c r="O490" s="87">
        <f>SUM(O487:O489)</f>
        <v>0</v>
      </c>
      <c r="P490" s="87">
        <f>SUM(P487:P489)</f>
        <v>0</v>
      </c>
      <c r="Q490" s="59">
        <f>SUM(N490:P490)</f>
        <v>0</v>
      </c>
      <c r="R490" s="59">
        <f>+E490+I490+M490+Q490</f>
        <v>0</v>
      </c>
    </row>
    <row r="491" spans="1:18" ht="15.75" customHeight="1" x14ac:dyDescent="0.3">
      <c r="A491" s="15" t="s">
        <v>64</v>
      </c>
      <c r="B491" s="1"/>
      <c r="C491" s="1"/>
      <c r="D491" s="1"/>
      <c r="E491" s="55" t="s">
        <v>7</v>
      </c>
      <c r="F491" s="1"/>
      <c r="G491" s="1"/>
      <c r="H491" s="1"/>
      <c r="I491" s="55" t="s">
        <v>7</v>
      </c>
      <c r="J491" s="1"/>
      <c r="K491" s="1"/>
      <c r="L491" s="1"/>
      <c r="M491" s="55" t="s">
        <v>7</v>
      </c>
      <c r="N491" s="1"/>
      <c r="O491" s="1"/>
      <c r="P491" s="1"/>
      <c r="Q491" s="55" t="s">
        <v>7</v>
      </c>
      <c r="R491" s="55" t="s">
        <v>7</v>
      </c>
    </row>
    <row r="492" spans="1:18" ht="15.75" customHeight="1" x14ac:dyDescent="0.3">
      <c r="A492" s="15" t="s">
        <v>65</v>
      </c>
      <c r="B492" s="1"/>
      <c r="C492" s="1"/>
      <c r="D492" s="1"/>
      <c r="E492" s="55" t="s">
        <v>7</v>
      </c>
      <c r="F492" s="1"/>
      <c r="G492" s="1"/>
      <c r="H492" s="1"/>
      <c r="I492" s="55" t="s">
        <v>7</v>
      </c>
      <c r="J492" s="1"/>
      <c r="K492" s="1"/>
      <c r="L492" s="1"/>
      <c r="M492" s="55" t="s">
        <v>7</v>
      </c>
      <c r="N492" s="1"/>
      <c r="O492" s="1"/>
      <c r="P492" s="1"/>
      <c r="Q492" s="55" t="s">
        <v>7</v>
      </c>
      <c r="R492" s="55" t="s">
        <v>7</v>
      </c>
    </row>
    <row r="493" spans="1:18" ht="15.75" customHeight="1" x14ac:dyDescent="0.3">
      <c r="A493" s="71" t="s">
        <v>325</v>
      </c>
      <c r="B493" s="1">
        <v>0</v>
      </c>
      <c r="C493" s="1">
        <v>0</v>
      </c>
      <c r="D493" s="1">
        <v>0</v>
      </c>
      <c r="E493" s="55">
        <f>SUM(B493:D493)</f>
        <v>0</v>
      </c>
      <c r="F493" s="1">
        <v>0</v>
      </c>
      <c r="G493" s="1">
        <v>0</v>
      </c>
      <c r="H493" s="1">
        <v>0</v>
      </c>
      <c r="I493" s="55">
        <f>SUM(F493:H493)</f>
        <v>0</v>
      </c>
      <c r="J493" s="1">
        <v>0</v>
      </c>
      <c r="K493" s="1">
        <v>0</v>
      </c>
      <c r="L493" s="1">
        <v>0</v>
      </c>
      <c r="M493" s="55">
        <f>SUM(J493:L493)</f>
        <v>0</v>
      </c>
      <c r="N493" s="1">
        <v>0</v>
      </c>
      <c r="O493" s="1">
        <v>0</v>
      </c>
      <c r="P493" s="1">
        <v>0</v>
      </c>
      <c r="Q493" s="55">
        <f>SUM(N493:P493)</f>
        <v>0</v>
      </c>
      <c r="R493" s="55">
        <f>+E493+I493+M493+Q493</f>
        <v>0</v>
      </c>
    </row>
    <row r="494" spans="1:18" ht="15.75" customHeight="1" x14ac:dyDescent="0.3">
      <c r="A494" s="71" t="s">
        <v>326</v>
      </c>
      <c r="B494" s="1">
        <v>830</v>
      </c>
      <c r="C494" s="1">
        <v>0</v>
      </c>
      <c r="D494" s="1">
        <v>0</v>
      </c>
      <c r="E494" s="55">
        <f>SUM(B494:D494)</f>
        <v>830</v>
      </c>
      <c r="F494" s="1">
        <v>0</v>
      </c>
      <c r="G494" s="1">
        <v>0</v>
      </c>
      <c r="H494" s="1">
        <v>0</v>
      </c>
      <c r="I494" s="55">
        <f>SUM(F494:H494)</f>
        <v>0</v>
      </c>
      <c r="J494" s="1">
        <v>0</v>
      </c>
      <c r="K494" s="1">
        <v>0</v>
      </c>
      <c r="L494" s="1">
        <v>0</v>
      </c>
      <c r="M494" s="55">
        <f>SUM(J494:L494)</f>
        <v>0</v>
      </c>
      <c r="N494" s="1">
        <v>0</v>
      </c>
      <c r="O494" s="1">
        <v>0</v>
      </c>
      <c r="P494" s="1">
        <v>0</v>
      </c>
      <c r="Q494" s="55">
        <f>SUM(N494:P494)</f>
        <v>0</v>
      </c>
      <c r="R494" s="55">
        <f>+E494+I494+M494+Q494</f>
        <v>830</v>
      </c>
    </row>
    <row r="495" spans="1:18" ht="15.75" customHeight="1" x14ac:dyDescent="0.3">
      <c r="A495" s="71" t="s">
        <v>327</v>
      </c>
      <c r="B495" s="1">
        <v>0</v>
      </c>
      <c r="C495" s="1">
        <v>1345</v>
      </c>
      <c r="D495" s="1">
        <v>3138</v>
      </c>
      <c r="E495" s="55">
        <f>SUM(B495:D495)</f>
        <v>4483</v>
      </c>
      <c r="F495" s="1">
        <v>3777</v>
      </c>
      <c r="G495" s="1">
        <v>3850</v>
      </c>
      <c r="H495" s="1">
        <v>2890</v>
      </c>
      <c r="I495" s="55">
        <f>SUM(F495:H495)</f>
        <v>10517</v>
      </c>
      <c r="J495" s="1">
        <v>0</v>
      </c>
      <c r="K495" s="1">
        <v>0</v>
      </c>
      <c r="L495" s="1">
        <v>0</v>
      </c>
      <c r="M495" s="55">
        <f>SUM(J495:L495)</f>
        <v>0</v>
      </c>
      <c r="N495" s="1">
        <v>0</v>
      </c>
      <c r="O495" s="1">
        <v>0</v>
      </c>
      <c r="P495" s="1">
        <v>0</v>
      </c>
      <c r="Q495" s="55">
        <f>SUM(N495:P495)</f>
        <v>0</v>
      </c>
      <c r="R495" s="55">
        <f>+E495+I495+M495+Q495</f>
        <v>15000</v>
      </c>
    </row>
    <row r="496" spans="1:18" ht="15.75" customHeight="1" x14ac:dyDescent="0.3">
      <c r="A496" s="15" t="s">
        <v>67</v>
      </c>
      <c r="B496" s="1"/>
      <c r="C496" s="1"/>
      <c r="D496" s="1"/>
      <c r="E496" s="55" t="s">
        <v>7</v>
      </c>
      <c r="F496" s="1"/>
      <c r="G496" s="1"/>
      <c r="H496" s="1"/>
      <c r="I496" s="55" t="s">
        <v>7</v>
      </c>
      <c r="J496" s="1"/>
      <c r="K496" s="1"/>
      <c r="L496" s="1"/>
      <c r="M496" s="55" t="s">
        <v>7</v>
      </c>
      <c r="N496" s="1"/>
      <c r="O496" s="1"/>
      <c r="P496" s="1"/>
      <c r="Q496" s="55" t="s">
        <v>7</v>
      </c>
      <c r="R496" s="55" t="s">
        <v>7</v>
      </c>
    </row>
    <row r="497" spans="1:18" ht="15.75" customHeight="1" x14ac:dyDescent="0.3">
      <c r="A497" s="71" t="s">
        <v>328</v>
      </c>
      <c r="B497" s="1">
        <v>772</v>
      </c>
      <c r="C497" s="1">
        <v>166</v>
      </c>
      <c r="D497" s="1">
        <v>585</v>
      </c>
      <c r="E497" s="55">
        <f>SUM(B497:D497)</f>
        <v>1523</v>
      </c>
      <c r="F497" s="1">
        <v>489</v>
      </c>
      <c r="G497" s="1">
        <v>231</v>
      </c>
      <c r="H497" s="1">
        <v>554</v>
      </c>
      <c r="I497" s="55">
        <f>SUM(F497:H497)</f>
        <v>1274</v>
      </c>
      <c r="J497" s="1">
        <v>713</v>
      </c>
      <c r="K497" s="1">
        <v>571</v>
      </c>
      <c r="L497" s="1">
        <v>434</v>
      </c>
      <c r="M497" s="55">
        <f>SUM(J497:L497)</f>
        <v>1718</v>
      </c>
      <c r="N497" s="1">
        <v>251</v>
      </c>
      <c r="O497" s="1">
        <v>198</v>
      </c>
      <c r="P497" s="1">
        <v>479</v>
      </c>
      <c r="Q497" s="55">
        <f>SUM(N497:P497)</f>
        <v>928</v>
      </c>
      <c r="R497" s="55">
        <f>+E497+I497+M497+Q497</f>
        <v>5443</v>
      </c>
    </row>
    <row r="498" spans="1:18" ht="15.75" customHeight="1" x14ac:dyDescent="0.3">
      <c r="A498" s="71" t="s">
        <v>329</v>
      </c>
      <c r="B498" s="1">
        <v>0</v>
      </c>
      <c r="C498" s="1">
        <v>0</v>
      </c>
      <c r="D498" s="1">
        <v>0</v>
      </c>
      <c r="E498" s="55">
        <f>SUM(B498:D498)</f>
        <v>0</v>
      </c>
      <c r="F498" s="1">
        <v>0</v>
      </c>
      <c r="G498" s="1">
        <v>0</v>
      </c>
      <c r="H498" s="1">
        <v>0</v>
      </c>
      <c r="I498" s="55">
        <f>SUM(F498:H498)</f>
        <v>0</v>
      </c>
      <c r="J498" s="1">
        <v>0</v>
      </c>
      <c r="K498" s="1">
        <v>0</v>
      </c>
      <c r="L498" s="1">
        <v>0</v>
      </c>
      <c r="M498" s="55">
        <f>SUM(J498:L498)</f>
        <v>0</v>
      </c>
      <c r="N498" s="1">
        <v>0</v>
      </c>
      <c r="O498" s="1">
        <v>0</v>
      </c>
      <c r="P498" s="1">
        <v>0</v>
      </c>
      <c r="Q498" s="55">
        <f>SUM(N498:P498)</f>
        <v>0</v>
      </c>
      <c r="R498" s="55">
        <f>+E498+I498+M498+Q498</f>
        <v>0</v>
      </c>
    </row>
    <row r="499" spans="1:18" ht="15.75" customHeight="1" x14ac:dyDescent="0.3">
      <c r="A499" s="71" t="s">
        <v>330</v>
      </c>
      <c r="B499" s="1">
        <v>551</v>
      </c>
      <c r="C499" s="1">
        <v>0</v>
      </c>
      <c r="D499" s="1">
        <v>0</v>
      </c>
      <c r="E499" s="55">
        <f>SUM(B499:D499)</f>
        <v>551</v>
      </c>
      <c r="F499" s="1">
        <v>0</v>
      </c>
      <c r="G499" s="1">
        <v>0</v>
      </c>
      <c r="H499" s="1">
        <v>977</v>
      </c>
      <c r="I499" s="55">
        <f>SUM(F499:H499)</f>
        <v>977</v>
      </c>
      <c r="J499" s="1">
        <v>4040</v>
      </c>
      <c r="K499" s="1">
        <v>3788</v>
      </c>
      <c r="L499" s="1">
        <v>3864</v>
      </c>
      <c r="M499" s="55">
        <f>SUM(J499:L499)</f>
        <v>11692</v>
      </c>
      <c r="N499" s="1">
        <v>3125</v>
      </c>
      <c r="O499" s="1">
        <v>1066</v>
      </c>
      <c r="P499" s="1">
        <v>3455</v>
      </c>
      <c r="Q499" s="55">
        <f>SUM(N499:P499)</f>
        <v>7646</v>
      </c>
      <c r="R499" s="55">
        <f>+E499+I499+M499+Q499</f>
        <v>20866</v>
      </c>
    </row>
    <row r="500" spans="1:18" ht="15.75" customHeight="1" x14ac:dyDescent="0.3">
      <c r="A500" s="71" t="s">
        <v>331</v>
      </c>
      <c r="B500" s="1">
        <v>0</v>
      </c>
      <c r="C500" s="1">
        <v>0</v>
      </c>
      <c r="D500" s="1">
        <v>0</v>
      </c>
      <c r="E500" s="55">
        <f>SUM(B500:D500)</f>
        <v>0</v>
      </c>
      <c r="F500" s="1">
        <v>0</v>
      </c>
      <c r="G500" s="1">
        <v>0</v>
      </c>
      <c r="H500" s="1">
        <v>0</v>
      </c>
      <c r="I500" s="55">
        <f>SUM(F500:H500)</f>
        <v>0</v>
      </c>
      <c r="J500" s="1">
        <v>0</v>
      </c>
      <c r="K500" s="1">
        <v>0</v>
      </c>
      <c r="L500" s="1">
        <v>0</v>
      </c>
      <c r="M500" s="55">
        <f>SUM(J500:L500)</f>
        <v>0</v>
      </c>
      <c r="N500" s="1">
        <v>0</v>
      </c>
      <c r="O500" s="1">
        <v>0</v>
      </c>
      <c r="P500" s="1">
        <v>0</v>
      </c>
      <c r="Q500" s="55">
        <f>SUM(N500:P500)</f>
        <v>0</v>
      </c>
      <c r="R500" s="55">
        <f>+E500+I500+M500+Q500</f>
        <v>0</v>
      </c>
    </row>
    <row r="501" spans="1:18" ht="15.75" customHeight="1" x14ac:dyDescent="0.3">
      <c r="A501" s="15" t="s">
        <v>69</v>
      </c>
      <c r="B501" s="1"/>
      <c r="C501" s="1"/>
      <c r="D501" s="1"/>
      <c r="E501" s="55" t="s">
        <v>7</v>
      </c>
      <c r="F501" s="1"/>
      <c r="G501" s="1"/>
      <c r="H501" s="1"/>
      <c r="I501" s="55" t="s">
        <v>7</v>
      </c>
      <c r="J501" s="1"/>
      <c r="K501" s="1"/>
      <c r="L501" s="1"/>
      <c r="M501" s="55" t="s">
        <v>7</v>
      </c>
      <c r="N501" s="1"/>
      <c r="O501" s="1"/>
      <c r="P501" s="1"/>
      <c r="Q501" s="55" t="s">
        <v>7</v>
      </c>
      <c r="R501" s="55" t="s">
        <v>7</v>
      </c>
    </row>
    <row r="502" spans="1:18" ht="15.75" customHeight="1" x14ac:dyDescent="0.3">
      <c r="A502" s="71" t="s">
        <v>318</v>
      </c>
      <c r="B502" s="1">
        <v>0</v>
      </c>
      <c r="C502" s="1">
        <v>0</v>
      </c>
      <c r="D502" s="1">
        <v>0</v>
      </c>
      <c r="E502" s="55">
        <f>SUM(B502:D502)</f>
        <v>0</v>
      </c>
      <c r="F502" s="1">
        <v>0</v>
      </c>
      <c r="G502" s="1">
        <v>422</v>
      </c>
      <c r="H502" s="1">
        <v>0</v>
      </c>
      <c r="I502" s="55">
        <f>SUM(F502:H502)</f>
        <v>422</v>
      </c>
      <c r="J502" s="1">
        <v>0</v>
      </c>
      <c r="K502" s="1">
        <v>855</v>
      </c>
      <c r="L502" s="1">
        <v>0</v>
      </c>
      <c r="M502" s="55">
        <f>SUM(J502:L502)</f>
        <v>855</v>
      </c>
      <c r="N502" s="1">
        <v>0</v>
      </c>
      <c r="O502" s="1">
        <v>0</v>
      </c>
      <c r="P502" s="1">
        <v>4</v>
      </c>
      <c r="Q502" s="55">
        <f>SUM(N502:P502)</f>
        <v>4</v>
      </c>
      <c r="R502" s="55">
        <f>+E502+I502+M502+Q502</f>
        <v>1281</v>
      </c>
    </row>
    <row r="503" spans="1:18" ht="15.75" customHeight="1" thickBot="1" x14ac:dyDescent="0.35">
      <c r="A503" s="15" t="s">
        <v>70</v>
      </c>
      <c r="B503" s="1"/>
      <c r="C503" s="1"/>
      <c r="D503" s="1"/>
      <c r="E503" s="55" t="s">
        <v>7</v>
      </c>
      <c r="F503" s="1"/>
      <c r="G503" s="1"/>
      <c r="H503" s="1"/>
      <c r="I503" s="55" t="s">
        <v>7</v>
      </c>
      <c r="J503" s="1"/>
      <c r="K503" s="1"/>
      <c r="L503" s="1"/>
      <c r="M503" s="55" t="s">
        <v>7</v>
      </c>
      <c r="N503" s="1"/>
      <c r="O503" s="1"/>
      <c r="P503" s="1"/>
      <c r="Q503" s="55" t="s">
        <v>7</v>
      </c>
      <c r="R503" s="55" t="s">
        <v>7</v>
      </c>
    </row>
    <row r="504" spans="1:18" ht="15.75" customHeight="1" thickBot="1" x14ac:dyDescent="0.35">
      <c r="A504" s="57" t="s">
        <v>71</v>
      </c>
      <c r="B504" s="58">
        <f>SUM(B502:B503)</f>
        <v>0</v>
      </c>
      <c r="C504" s="58">
        <f>SUM(C502:C503)</f>
        <v>0</v>
      </c>
      <c r="D504" s="58">
        <f>SUM(D502:D503)</f>
        <v>0</v>
      </c>
      <c r="E504" s="60">
        <f>SUM(B504:D504)</f>
        <v>0</v>
      </c>
      <c r="F504" s="58">
        <f>SUM(F502:F503)</f>
        <v>0</v>
      </c>
      <c r="G504" s="58">
        <f>SUM(G502:G503)</f>
        <v>422</v>
      </c>
      <c r="H504" s="58">
        <f>SUM(H502:H503)</f>
        <v>0</v>
      </c>
      <c r="I504" s="60">
        <f>SUM(F504:H504)</f>
        <v>422</v>
      </c>
      <c r="J504" s="58">
        <f>SUM(J502:J503)</f>
        <v>0</v>
      </c>
      <c r="K504" s="58">
        <f>SUM(K502:K503)</f>
        <v>855</v>
      </c>
      <c r="L504" s="58">
        <f>SUM(L502:L503)</f>
        <v>0</v>
      </c>
      <c r="M504" s="60">
        <f>SUM(J504:L504)</f>
        <v>855</v>
      </c>
      <c r="N504" s="58">
        <f>SUM(N502:N503)</f>
        <v>0</v>
      </c>
      <c r="O504" s="58">
        <f>SUM(O502:O503)</f>
        <v>0</v>
      </c>
      <c r="P504" s="58">
        <f>SUM(P502:P503)</f>
        <v>4</v>
      </c>
      <c r="Q504" s="60">
        <f>SUM(N504:P504)</f>
        <v>4</v>
      </c>
      <c r="R504" s="59">
        <f>+E504+I504+M504+Q504</f>
        <v>1281</v>
      </c>
    </row>
    <row r="505" spans="1:18" ht="15.75" customHeight="1" thickBot="1" x14ac:dyDescent="0.35">
      <c r="A505" s="114" t="s">
        <v>72</v>
      </c>
      <c r="B505" s="86">
        <f>SUM(B491:B503)</f>
        <v>2153</v>
      </c>
      <c r="C505" s="87">
        <f>SUM(C491:C503)</f>
        <v>1511</v>
      </c>
      <c r="D505" s="118">
        <f>SUM(D491:D503)</f>
        <v>3723</v>
      </c>
      <c r="E505" s="60">
        <f>SUM(B505:D505)</f>
        <v>7387</v>
      </c>
      <c r="F505" s="87">
        <f>SUM(F491:F503)</f>
        <v>4266</v>
      </c>
      <c r="G505" s="87">
        <f>SUM(G491:G503)</f>
        <v>4503</v>
      </c>
      <c r="H505" s="87">
        <f>SUM(H491:H503)</f>
        <v>4421</v>
      </c>
      <c r="I505" s="60">
        <f>SUM(F505:H505)</f>
        <v>13190</v>
      </c>
      <c r="J505" s="87">
        <f>SUM(J491:J503)</f>
        <v>4753</v>
      </c>
      <c r="K505" s="87">
        <f>SUM(K491:K503)</f>
        <v>5214</v>
      </c>
      <c r="L505" s="87">
        <f>SUM(L491:L503)</f>
        <v>4298</v>
      </c>
      <c r="M505" s="60">
        <f>SUM(J505:L505)</f>
        <v>14265</v>
      </c>
      <c r="N505" s="87">
        <f>SUM(N491:N503)</f>
        <v>3376</v>
      </c>
      <c r="O505" s="87">
        <f>SUM(O491:O503)</f>
        <v>1264</v>
      </c>
      <c r="P505" s="87">
        <f>SUM(P491:P503)</f>
        <v>3938</v>
      </c>
      <c r="Q505" s="60">
        <f>SUM(N505:P505)</f>
        <v>8578</v>
      </c>
      <c r="R505" s="59">
        <f>+E505+I505+M505+Q505</f>
        <v>43420</v>
      </c>
    </row>
    <row r="506" spans="1:18" ht="15.75" customHeight="1" thickBot="1" x14ac:dyDescent="0.35">
      <c r="A506" s="57" t="s">
        <v>73</v>
      </c>
      <c r="B506" s="90">
        <f>+B481+B486+B490+B505</f>
        <v>4667</v>
      </c>
      <c r="C506" s="58">
        <f>+C481+C486+C490+C505</f>
        <v>2264</v>
      </c>
      <c r="D506" s="58">
        <f>+D481+D486+D490+D505</f>
        <v>5413</v>
      </c>
      <c r="E506" s="59">
        <f>SUM(B506:D506)</f>
        <v>12344</v>
      </c>
      <c r="F506" s="58">
        <f>+F481+F486+F490+F505</f>
        <v>9130</v>
      </c>
      <c r="G506" s="58">
        <f>+G481+G486+G490+G505</f>
        <v>7005</v>
      </c>
      <c r="H506" s="58">
        <f>+H481+H486+H490+H505</f>
        <v>6268</v>
      </c>
      <c r="I506" s="59">
        <f>SUM(F506:H506)</f>
        <v>22403</v>
      </c>
      <c r="J506" s="58">
        <f>+J481+J486+J490+J505</f>
        <v>6819</v>
      </c>
      <c r="K506" s="58">
        <f>+K481+K486+K490+K505</f>
        <v>6745</v>
      </c>
      <c r="L506" s="58">
        <f>+L481+L486+L490+L505</f>
        <v>5405</v>
      </c>
      <c r="M506" s="59">
        <f>SUM(J506:L506)</f>
        <v>18969</v>
      </c>
      <c r="N506" s="58">
        <f>+N481+N486+N490+N505</f>
        <v>3578</v>
      </c>
      <c r="O506" s="58">
        <f>+O481+O486+O490+O505</f>
        <v>1774</v>
      </c>
      <c r="P506" s="58">
        <f>+P481+P486+P490+P505</f>
        <v>3938</v>
      </c>
      <c r="Q506" s="59">
        <f>SUM(N506:P506)</f>
        <v>9290</v>
      </c>
      <c r="R506" s="81">
        <f>+E506+I506+M506+Q506</f>
        <v>63006</v>
      </c>
    </row>
    <row r="507" spans="1:18" ht="15.75" customHeight="1" thickBot="1" x14ac:dyDescent="0.35">
      <c r="A507" s="39" t="s">
        <v>40</v>
      </c>
      <c r="B507" s="21">
        <v>17</v>
      </c>
      <c r="C507" s="21">
        <v>47</v>
      </c>
      <c r="D507" s="21">
        <v>84</v>
      </c>
      <c r="E507" s="55">
        <f>SUM(B507:D507)</f>
        <v>148</v>
      </c>
      <c r="F507" s="21">
        <v>116</v>
      </c>
      <c r="G507" s="21">
        <v>132</v>
      </c>
      <c r="H507" s="21">
        <v>138</v>
      </c>
      <c r="I507" s="55">
        <f>SUM(F507:H507)</f>
        <v>386</v>
      </c>
      <c r="J507" s="21">
        <v>126</v>
      </c>
      <c r="K507" s="21">
        <v>95</v>
      </c>
      <c r="L507" s="21">
        <v>99</v>
      </c>
      <c r="M507" s="55">
        <f>SUM(J507:L507)</f>
        <v>320</v>
      </c>
      <c r="N507" s="21">
        <v>91</v>
      </c>
      <c r="O507" s="21">
        <v>67</v>
      </c>
      <c r="P507" s="21">
        <v>38</v>
      </c>
      <c r="Q507" s="55">
        <f>SUM(N507:P507)</f>
        <v>196</v>
      </c>
      <c r="R507" s="55">
        <f>+E507+I507+M507+Q507</f>
        <v>1050</v>
      </c>
    </row>
    <row r="508" spans="1:18" ht="15.75" customHeight="1" thickBot="1" x14ac:dyDescent="0.35">
      <c r="A508" s="41"/>
      <c r="B508" s="36"/>
      <c r="C508" s="36"/>
      <c r="D508" s="36"/>
      <c r="E508" s="42"/>
      <c r="F508" s="36"/>
      <c r="G508" s="36"/>
      <c r="H508" s="36"/>
      <c r="I508" s="42"/>
      <c r="J508" s="36"/>
      <c r="K508" s="36"/>
      <c r="L508" s="36"/>
      <c r="M508" s="42"/>
      <c r="N508" s="36"/>
      <c r="O508" s="36"/>
      <c r="P508" s="36"/>
      <c r="Q508" s="42"/>
      <c r="R508" s="42"/>
    </row>
    <row r="509" spans="1:18" ht="15.75" customHeight="1" x14ac:dyDescent="0.3">
      <c r="A509" s="76" t="s">
        <v>314</v>
      </c>
      <c r="B509" s="77">
        <f>SUM(B506:B507)</f>
        <v>4684</v>
      </c>
      <c r="C509" s="77">
        <f>SUM(C506:C507)</f>
        <v>2311</v>
      </c>
      <c r="D509" s="77">
        <f>SUM(D506:D507)</f>
        <v>5497</v>
      </c>
      <c r="E509" s="60">
        <f>SUM(B509:D509)</f>
        <v>12492</v>
      </c>
      <c r="F509" s="77">
        <f>SUM(F506:F507)</f>
        <v>9246</v>
      </c>
      <c r="G509" s="77">
        <f>SUM(G506:G507)</f>
        <v>7137</v>
      </c>
      <c r="H509" s="77">
        <f>SUM(H506:H507)</f>
        <v>6406</v>
      </c>
      <c r="I509" s="60">
        <f>SUM(F509:H509)</f>
        <v>22789</v>
      </c>
      <c r="J509" s="77">
        <f>SUM(J506:J507)</f>
        <v>6945</v>
      </c>
      <c r="K509" s="77">
        <f>SUM(K506:K507)</f>
        <v>6840</v>
      </c>
      <c r="L509" s="77">
        <f>SUM(L506:L507)</f>
        <v>5504</v>
      </c>
      <c r="M509" s="60">
        <f>SUM(J509:L509)</f>
        <v>19289</v>
      </c>
      <c r="N509" s="77">
        <f>SUM(N506:N507)</f>
        <v>3669</v>
      </c>
      <c r="O509" s="77">
        <f>SUM(O506:O507)</f>
        <v>1841</v>
      </c>
      <c r="P509" s="77">
        <f>SUM(P506:P507)</f>
        <v>3976</v>
      </c>
      <c r="Q509" s="60">
        <f>SUM(N509:P509)</f>
        <v>9486</v>
      </c>
      <c r="R509" s="60">
        <f>+E509+I509+M509+Q509</f>
        <v>64056</v>
      </c>
    </row>
    <row r="510" spans="1:18" ht="15.75" customHeight="1" x14ac:dyDescent="0.3">
      <c r="A510" s="79" t="s">
        <v>42</v>
      </c>
      <c r="B510" s="1">
        <f>(B509/31)/1.983</f>
        <v>76.196053551965903</v>
      </c>
      <c r="C510" s="1">
        <f>(C509/28)/1.983</f>
        <v>41.621641092140337</v>
      </c>
      <c r="D510" s="1">
        <f>(D509/31)/1.983</f>
        <v>89.421371984448442</v>
      </c>
      <c r="E510" s="55" t="s">
        <v>7</v>
      </c>
      <c r="F510" s="1">
        <f>(F509/30)/1.983</f>
        <v>155.42107917297022</v>
      </c>
      <c r="G510" s="1">
        <f>(G509/31)/1.983</f>
        <v>116.09975111024352</v>
      </c>
      <c r="H510" s="1">
        <f>(H509/30)/1.983</f>
        <v>107.68196335518574</v>
      </c>
      <c r="I510" s="55" t="s">
        <v>7</v>
      </c>
      <c r="J510" s="1">
        <f>(J509/31)/1.983</f>
        <v>112.97642867600409</v>
      </c>
      <c r="K510" s="1">
        <f>(K509/31)/1.983</f>
        <v>111.26836171977942</v>
      </c>
      <c r="L510" s="1">
        <f>(L509/30)/1.983</f>
        <v>92.519751218692207</v>
      </c>
      <c r="M510" s="55" t="s">
        <v>7</v>
      </c>
      <c r="N510" s="1">
        <f>(N509/31)/1.983</f>
        <v>59.684739641793961</v>
      </c>
      <c r="O510" s="1">
        <f>(O509/30)/1.983</f>
        <v>30.946377542444107</v>
      </c>
      <c r="P510" s="1">
        <f>(P509/31)/1.983</f>
        <v>64.678802075708035</v>
      </c>
      <c r="Q510" s="55" t="s">
        <v>7</v>
      </c>
      <c r="R510" s="55" t="s">
        <v>7</v>
      </c>
    </row>
    <row r="511" spans="1:18" ht="15.75" customHeight="1" x14ac:dyDescent="0.3">
      <c r="A511" s="79" t="s">
        <v>332</v>
      </c>
      <c r="B511" s="1">
        <f>B509+B521</f>
        <v>13698</v>
      </c>
      <c r="C511" s="1">
        <f>C509+C521</f>
        <v>10983</v>
      </c>
      <c r="D511" s="1">
        <f>D509+D521</f>
        <v>18337</v>
      </c>
      <c r="E511" s="55">
        <f>SUM(B511:D511)</f>
        <v>43018</v>
      </c>
      <c r="F511" s="1">
        <f>F509+F521</f>
        <v>23838</v>
      </c>
      <c r="G511" s="1">
        <f>G509+G521</f>
        <v>22509</v>
      </c>
      <c r="H511" s="1">
        <f>H509+H521</f>
        <v>20708</v>
      </c>
      <c r="I511" s="55">
        <f>SUM(F511:H511)</f>
        <v>67055</v>
      </c>
      <c r="J511" s="1">
        <f>J509+J521</f>
        <v>21986</v>
      </c>
      <c r="K511" s="1">
        <f>K509+K521</f>
        <v>24448</v>
      </c>
      <c r="L511" s="1">
        <f>L509+L521</f>
        <v>22558</v>
      </c>
      <c r="M511" s="55">
        <f>SUM(J511:L511)</f>
        <v>68992</v>
      </c>
      <c r="N511" s="1">
        <f>N509+N521</f>
        <v>15992</v>
      </c>
      <c r="O511" s="1">
        <f>O509+O521</f>
        <v>9352</v>
      </c>
      <c r="P511" s="1">
        <f>P509+P521</f>
        <v>14093</v>
      </c>
      <c r="Q511" s="55">
        <f>SUM(N511:P511)</f>
        <v>39437</v>
      </c>
      <c r="R511" s="55">
        <f>+E511+I511+M511+Q511</f>
        <v>218502</v>
      </c>
    </row>
    <row r="512" spans="1:18" ht="15.75" customHeight="1" thickBot="1" x14ac:dyDescent="0.35">
      <c r="A512" s="80" t="s">
        <v>333</v>
      </c>
      <c r="B512" s="25">
        <f>(B511/31)/1.983</f>
        <v>222.82953491776877</v>
      </c>
      <c r="C512" s="25">
        <f>(C511/28)/1.983</f>
        <v>197.80635400907715</v>
      </c>
      <c r="D512" s="25">
        <f>(D511/31)/1.983</f>
        <v>298.29355977420977</v>
      </c>
      <c r="E512" s="81" t="s">
        <v>7</v>
      </c>
      <c r="F512" s="25">
        <f>(F511/30)/1.983</f>
        <v>400.70600100857285</v>
      </c>
      <c r="G512" s="25">
        <f>(G511/31)/1.983</f>
        <v>366.16075350153727</v>
      </c>
      <c r="H512" s="25">
        <f>(H511/30)/1.983</f>
        <v>348.09211632207092</v>
      </c>
      <c r="I512" s="81" t="s">
        <v>7</v>
      </c>
      <c r="J512" s="25">
        <f>(J511/31)/1.983</f>
        <v>357.65295332910381</v>
      </c>
      <c r="K512" s="25">
        <f>(K511/31)/1.983</f>
        <v>397.70305662648639</v>
      </c>
      <c r="L512" s="25">
        <f>(L511/30)/1.983</f>
        <v>379.18977979492348</v>
      </c>
      <c r="M512" s="81" t="s">
        <v>7</v>
      </c>
      <c r="N512" s="25">
        <f>(N511/31)/1.983</f>
        <v>260.14673108519185</v>
      </c>
      <c r="O512" s="25">
        <f>(O511/30)/1.983</f>
        <v>157.20289124222558</v>
      </c>
      <c r="P512" s="25">
        <f>(P511/31)/1.983</f>
        <v>229.25512013404258</v>
      </c>
      <c r="Q512" s="81" t="s">
        <v>7</v>
      </c>
      <c r="R512" s="81" t="s">
        <v>7</v>
      </c>
    </row>
    <row r="513" spans="1:18" ht="15.75" customHeight="1" x14ac:dyDescent="0.3">
      <c r="A513" s="2"/>
      <c r="B513" s="1"/>
      <c r="C513" s="1"/>
      <c r="D513" s="1"/>
      <c r="E513" s="1"/>
      <c r="F513" s="1"/>
      <c r="G513" s="1"/>
      <c r="H513" s="1"/>
      <c r="I513" s="1"/>
      <c r="J513" s="1"/>
      <c r="K513" s="1"/>
      <c r="L513" s="1"/>
      <c r="M513" s="1"/>
      <c r="N513" s="1"/>
      <c r="O513" s="1"/>
      <c r="P513" s="1"/>
      <c r="Q513" s="1"/>
      <c r="R513" s="2"/>
    </row>
    <row r="514" spans="1:18" ht="15.75" customHeight="1" thickBot="1" x14ac:dyDescent="0.35">
      <c r="A514" s="106"/>
      <c r="B514" s="21"/>
      <c r="C514" s="21"/>
      <c r="D514" s="21"/>
      <c r="E514" s="21"/>
      <c r="F514" s="21"/>
      <c r="G514" s="21"/>
      <c r="H514" s="21"/>
      <c r="I514" s="21"/>
      <c r="J514" s="21"/>
      <c r="K514" s="21"/>
      <c r="L514" s="21"/>
      <c r="M514" s="21"/>
      <c r="N514" s="21"/>
      <c r="O514" s="21"/>
      <c r="P514" s="21"/>
      <c r="Q514" s="21"/>
      <c r="R514" s="106"/>
    </row>
    <row r="515" spans="1:18" ht="15.75" customHeight="1" thickBot="1" x14ac:dyDescent="0.35">
      <c r="A515" s="124" t="s">
        <v>334</v>
      </c>
      <c r="B515" s="30" t="s">
        <v>8</v>
      </c>
      <c r="C515" s="31" t="s">
        <v>9</v>
      </c>
      <c r="D515" s="31" t="s">
        <v>10</v>
      </c>
      <c r="E515" s="32" t="s">
        <v>11</v>
      </c>
      <c r="F515" s="31" t="s">
        <v>12</v>
      </c>
      <c r="G515" s="31" t="s">
        <v>13</v>
      </c>
      <c r="H515" s="31" t="s">
        <v>14</v>
      </c>
      <c r="I515" s="33" t="s">
        <v>15</v>
      </c>
      <c r="J515" s="31" t="s">
        <v>16</v>
      </c>
      <c r="K515" s="31" t="s">
        <v>17</v>
      </c>
      <c r="L515" s="31" t="s">
        <v>18</v>
      </c>
      <c r="M515" s="33" t="s">
        <v>19</v>
      </c>
      <c r="N515" s="31" t="s">
        <v>20</v>
      </c>
      <c r="O515" s="31" t="s">
        <v>21</v>
      </c>
      <c r="P515" s="31" t="s">
        <v>22</v>
      </c>
      <c r="Q515" s="32" t="s">
        <v>23</v>
      </c>
      <c r="R515" s="49" t="s">
        <v>24</v>
      </c>
    </row>
    <row r="516" spans="1:18" ht="15.75" customHeight="1" thickBot="1" x14ac:dyDescent="0.35">
      <c r="A516" s="41"/>
      <c r="B516" s="36"/>
      <c r="C516" s="36"/>
      <c r="D516" s="36"/>
      <c r="E516" s="37"/>
      <c r="F516" s="36"/>
      <c r="G516" s="36"/>
      <c r="H516" s="36"/>
      <c r="I516" s="37"/>
      <c r="J516" s="36"/>
      <c r="K516" s="36"/>
      <c r="L516" s="36"/>
      <c r="M516" s="37"/>
      <c r="N516" s="36"/>
      <c r="O516" s="36"/>
      <c r="P516" s="36"/>
      <c r="Q516" s="127"/>
      <c r="R516" s="128"/>
    </row>
    <row r="517" spans="1:18" ht="15.75" customHeight="1" thickBot="1" x14ac:dyDescent="0.35">
      <c r="A517" s="39" t="s">
        <v>40</v>
      </c>
      <c r="B517" s="21">
        <v>20</v>
      </c>
      <c r="C517" s="21">
        <v>22</v>
      </c>
      <c r="D517" s="21">
        <v>28</v>
      </c>
      <c r="E517" s="55">
        <f>SUM(B517:D517)</f>
        <v>70</v>
      </c>
      <c r="F517" s="21">
        <v>37</v>
      </c>
      <c r="G517" s="21">
        <v>42</v>
      </c>
      <c r="H517" s="21">
        <v>44</v>
      </c>
      <c r="I517" s="55">
        <f>SUM(F517:H517)</f>
        <v>123</v>
      </c>
      <c r="J517" s="21">
        <v>39</v>
      </c>
      <c r="K517" s="21">
        <v>36</v>
      </c>
      <c r="L517" s="21">
        <v>34</v>
      </c>
      <c r="M517" s="55">
        <f>SUM(J517:L517)</f>
        <v>109</v>
      </c>
      <c r="N517" s="21">
        <v>29</v>
      </c>
      <c r="O517" s="21">
        <v>23</v>
      </c>
      <c r="P517" s="21">
        <v>19</v>
      </c>
      <c r="Q517" s="55">
        <f>SUM(N517:P517)</f>
        <v>71</v>
      </c>
      <c r="R517" s="55">
        <f>+E517+I517+M517+Q517</f>
        <v>373</v>
      </c>
    </row>
    <row r="518" spans="1:18" ht="15.75" customHeight="1" thickBot="1" x14ac:dyDescent="0.35">
      <c r="A518" s="41"/>
      <c r="B518" s="36"/>
      <c r="C518" s="36"/>
      <c r="D518" s="36"/>
      <c r="E518" s="52"/>
      <c r="F518" s="36"/>
      <c r="G518" s="36"/>
      <c r="H518" s="36"/>
      <c r="I518" s="52"/>
      <c r="J518" s="36"/>
      <c r="K518" s="36"/>
      <c r="L518" s="36"/>
      <c r="M518" s="52"/>
      <c r="N518" s="36"/>
      <c r="O518" s="36"/>
      <c r="P518" s="36"/>
      <c r="Q518" s="52"/>
      <c r="R518" s="42"/>
    </row>
    <row r="519" spans="1:18" ht="15.75" customHeight="1" x14ac:dyDescent="0.3">
      <c r="A519" s="76" t="s">
        <v>314</v>
      </c>
      <c r="B519" s="77">
        <f>B517</f>
        <v>20</v>
      </c>
      <c r="C519" s="77">
        <f>C517</f>
        <v>22</v>
      </c>
      <c r="D519" s="77">
        <f>D517</f>
        <v>28</v>
      </c>
      <c r="E519" s="60">
        <f>SUM(B519:D519)</f>
        <v>70</v>
      </c>
      <c r="F519" s="77">
        <f>F517</f>
        <v>37</v>
      </c>
      <c r="G519" s="77">
        <f>G517</f>
        <v>42</v>
      </c>
      <c r="H519" s="77">
        <f>H517</f>
        <v>44</v>
      </c>
      <c r="I519" s="60">
        <f>SUM(F519:H519)</f>
        <v>123</v>
      </c>
      <c r="J519" s="77">
        <f>J517</f>
        <v>39</v>
      </c>
      <c r="K519" s="77">
        <f>K517</f>
        <v>36</v>
      </c>
      <c r="L519" s="77">
        <f>L517</f>
        <v>34</v>
      </c>
      <c r="M519" s="60">
        <f>SUM(J519:L519)</f>
        <v>109</v>
      </c>
      <c r="N519" s="77">
        <f>N517</f>
        <v>29</v>
      </c>
      <c r="O519" s="77">
        <f>O517</f>
        <v>23</v>
      </c>
      <c r="P519" s="77">
        <f>P517</f>
        <v>19</v>
      </c>
      <c r="Q519" s="60">
        <f>SUM(N519:P519)</f>
        <v>71</v>
      </c>
      <c r="R519" s="60">
        <f>+E519+I519+M519+Q519</f>
        <v>373</v>
      </c>
    </row>
    <row r="520" spans="1:18" ht="15.75" customHeight="1" x14ac:dyDescent="0.3">
      <c r="A520" s="79" t="s">
        <v>42</v>
      </c>
      <c r="B520" s="1">
        <f>(B519/31)/1.983</f>
        <v>0.32534608689993977</v>
      </c>
      <c r="C520" s="1">
        <f>(C519/28)/1.983</f>
        <v>0.39622505583171236</v>
      </c>
      <c r="D520" s="1">
        <f>(D519/31)/1.983</f>
        <v>0.45548452165991571</v>
      </c>
      <c r="E520" s="55" t="s">
        <v>7</v>
      </c>
      <c r="F520" s="1">
        <f>(F519/30)/1.983</f>
        <v>0.62195326945705165</v>
      </c>
      <c r="G520" s="1">
        <f>(G519/31)/1.983</f>
        <v>0.68322678248987356</v>
      </c>
      <c r="H520" s="1">
        <f>(H519/30)/1.983</f>
        <v>0.73962010421919644</v>
      </c>
      <c r="I520" s="55" t="s">
        <v>7</v>
      </c>
      <c r="J520" s="1">
        <f>(J519/31)/1.983</f>
        <v>0.63442486945488263</v>
      </c>
      <c r="K520" s="1">
        <f>(K519/31)/1.983</f>
        <v>0.5856229564198917</v>
      </c>
      <c r="L520" s="1">
        <f>(L519/30)/1.983</f>
        <v>0.57152462598756093</v>
      </c>
      <c r="M520" s="55" t="s">
        <v>7</v>
      </c>
      <c r="N520" s="1">
        <f>(N519/31)/1.983</f>
        <v>0.47175182600491267</v>
      </c>
      <c r="O520" s="1">
        <f>(O519/30)/1.983</f>
        <v>0.38661959993276179</v>
      </c>
      <c r="P520" s="1">
        <f>(P519/31)/1.983</f>
        <v>0.30907878255494281</v>
      </c>
      <c r="Q520" s="55" t="s">
        <v>7</v>
      </c>
      <c r="R520" s="55" t="s">
        <v>7</v>
      </c>
    </row>
    <row r="521" spans="1:18" ht="15.75" customHeight="1" x14ac:dyDescent="0.3">
      <c r="A521" s="79" t="s">
        <v>335</v>
      </c>
      <c r="B521" s="1">
        <f>B519+B556</f>
        <v>9014</v>
      </c>
      <c r="C521" s="1">
        <f>C519+C556</f>
        <v>8672</v>
      </c>
      <c r="D521" s="1">
        <f>D519+D556</f>
        <v>12840</v>
      </c>
      <c r="E521" s="55">
        <f>SUM(B521:D521)</f>
        <v>30526</v>
      </c>
      <c r="F521" s="1">
        <f>F519+F556</f>
        <v>14592</v>
      </c>
      <c r="G521" s="1">
        <f>G519+G556</f>
        <v>15372</v>
      </c>
      <c r="H521" s="1">
        <f>H519+H556</f>
        <v>14302</v>
      </c>
      <c r="I521" s="55">
        <f>SUM(F521:H521)</f>
        <v>44266</v>
      </c>
      <c r="J521" s="1">
        <f>J519+J556</f>
        <v>15041</v>
      </c>
      <c r="K521" s="1">
        <f>K519+K556</f>
        <v>17608</v>
      </c>
      <c r="L521" s="1">
        <f>L519+L556</f>
        <v>17054</v>
      </c>
      <c r="M521" s="55">
        <f>SUM(J521:L521)</f>
        <v>49703</v>
      </c>
      <c r="N521" s="1">
        <f>N519+N556</f>
        <v>12323</v>
      </c>
      <c r="O521" s="1">
        <f>O519+O556</f>
        <v>7511</v>
      </c>
      <c r="P521" s="1">
        <f>P519+P556</f>
        <v>10117</v>
      </c>
      <c r="Q521" s="55">
        <f>SUM(N521:P521)</f>
        <v>29951</v>
      </c>
      <c r="R521" s="55">
        <f>+E521+I521+M521+Q521</f>
        <v>154446</v>
      </c>
    </row>
    <row r="522" spans="1:18" ht="15.75" customHeight="1" thickBot="1" x14ac:dyDescent="0.35">
      <c r="A522" s="80" t="s">
        <v>336</v>
      </c>
      <c r="B522" s="25">
        <f>(B521/31)/1.983</f>
        <v>146.63348136580285</v>
      </c>
      <c r="C522" s="25">
        <f>(C521/28)/1.983</f>
        <v>156.1847129169368</v>
      </c>
      <c r="D522" s="25">
        <f>(D521/31)/1.983</f>
        <v>208.87218778976134</v>
      </c>
      <c r="E522" s="81" t="s">
        <v>7</v>
      </c>
      <c r="F522" s="25">
        <f>(F521/30)/1.983</f>
        <v>245.2849218356026</v>
      </c>
      <c r="G522" s="25">
        <f>(G521/31)/1.983</f>
        <v>250.06100239129373</v>
      </c>
      <c r="H522" s="25">
        <f>(H521/30)/1.983</f>
        <v>240.41015296688519</v>
      </c>
      <c r="I522" s="81" t="s">
        <v>7</v>
      </c>
      <c r="J522" s="25">
        <f>(J521/31)/1.983</f>
        <v>244.67652465309973</v>
      </c>
      <c r="K522" s="25">
        <f>(K521/31)/1.983</f>
        <v>286.43469490670702</v>
      </c>
      <c r="L522" s="25">
        <f>(L521/30)/1.983</f>
        <v>286.67002857623129</v>
      </c>
      <c r="M522" s="81" t="s">
        <v>7</v>
      </c>
      <c r="N522" s="25">
        <f>(N521/31)/1.983</f>
        <v>200.46199144339789</v>
      </c>
      <c r="O522" s="25">
        <f>(O521/30)/1.983</f>
        <v>126.25651369978148</v>
      </c>
      <c r="P522" s="25">
        <f>(P521/31)/1.983</f>
        <v>164.57631805833455</v>
      </c>
      <c r="Q522" s="81" t="s">
        <v>7</v>
      </c>
      <c r="R522" s="81" t="s">
        <v>7</v>
      </c>
    </row>
    <row r="523" spans="1:18" ht="15.75" customHeight="1" x14ac:dyDescent="0.3">
      <c r="A523" s="28"/>
      <c r="B523" s="1"/>
      <c r="C523" s="1"/>
      <c r="D523" s="1"/>
      <c r="E523" s="1"/>
      <c r="F523" s="1"/>
      <c r="G523" s="1"/>
      <c r="H523" s="1"/>
      <c r="I523" s="1"/>
      <c r="J523" s="1"/>
      <c r="K523" s="1"/>
      <c r="L523" s="1"/>
      <c r="M523" s="1"/>
      <c r="N523" s="1"/>
      <c r="O523" s="1"/>
      <c r="P523" s="1"/>
      <c r="Q523" s="1"/>
      <c r="R523" s="2"/>
    </row>
    <row r="524" spans="1:18" ht="15.75" customHeight="1" thickBot="1" x14ac:dyDescent="0.35">
      <c r="A524" s="28"/>
      <c r="B524" s="1"/>
      <c r="C524" s="1"/>
      <c r="D524" s="1"/>
      <c r="E524" s="1"/>
      <c r="F524" s="1"/>
      <c r="G524" s="1"/>
      <c r="H524" s="1"/>
      <c r="I524" s="1"/>
      <c r="J524" s="1"/>
      <c r="K524" s="1"/>
      <c r="L524" s="1"/>
      <c r="M524" s="1"/>
      <c r="N524" s="1"/>
      <c r="O524" s="1"/>
      <c r="P524" s="1"/>
      <c r="Q524" s="1"/>
      <c r="R524" s="2"/>
    </row>
    <row r="525" spans="1:18" ht="15.75" customHeight="1" thickBot="1" x14ac:dyDescent="0.35">
      <c r="A525" s="29" t="s">
        <v>337</v>
      </c>
      <c r="B525" s="30" t="s">
        <v>8</v>
      </c>
      <c r="C525" s="31" t="s">
        <v>9</v>
      </c>
      <c r="D525" s="31" t="s">
        <v>10</v>
      </c>
      <c r="E525" s="32" t="s">
        <v>11</v>
      </c>
      <c r="F525" s="31" t="s">
        <v>12</v>
      </c>
      <c r="G525" s="31" t="s">
        <v>13</v>
      </c>
      <c r="H525" s="31" t="s">
        <v>14</v>
      </c>
      <c r="I525" s="33" t="s">
        <v>15</v>
      </c>
      <c r="J525" s="31" t="s">
        <v>16</v>
      </c>
      <c r="K525" s="31" t="s">
        <v>17</v>
      </c>
      <c r="L525" s="31" t="s">
        <v>18</v>
      </c>
      <c r="M525" s="33" t="s">
        <v>19</v>
      </c>
      <c r="N525" s="31" t="s">
        <v>20</v>
      </c>
      <c r="O525" s="31" t="s">
        <v>21</v>
      </c>
      <c r="P525" s="31" t="s">
        <v>22</v>
      </c>
      <c r="Q525" s="33" t="s">
        <v>23</v>
      </c>
      <c r="R525" s="34" t="s">
        <v>24</v>
      </c>
    </row>
    <row r="526" spans="1:18" ht="15.75" customHeight="1" thickBot="1" x14ac:dyDescent="0.35">
      <c r="A526" s="41"/>
      <c r="B526" s="36"/>
      <c r="C526" s="36"/>
      <c r="D526" s="36"/>
      <c r="E526" s="52"/>
      <c r="F526" s="36"/>
      <c r="G526" s="36"/>
      <c r="H526" s="36"/>
      <c r="I526" s="52"/>
      <c r="J526" s="36"/>
      <c r="K526" s="36"/>
      <c r="L526" s="36"/>
      <c r="M526" s="52"/>
      <c r="N526" s="36"/>
      <c r="O526" s="36"/>
      <c r="P526" s="36"/>
      <c r="Q526" s="52"/>
      <c r="R526" s="38"/>
    </row>
    <row r="527" spans="1:18" ht="15.75" customHeight="1" x14ac:dyDescent="0.3">
      <c r="A527" s="15" t="s">
        <v>48</v>
      </c>
      <c r="B527" s="1" t="s">
        <v>7</v>
      </c>
      <c r="C527" s="1" t="s">
        <v>7</v>
      </c>
      <c r="D527" s="1" t="s">
        <v>7</v>
      </c>
      <c r="E527" s="55" t="s">
        <v>7</v>
      </c>
      <c r="F527" s="1" t="s">
        <v>7</v>
      </c>
      <c r="G527" s="1" t="s">
        <v>7</v>
      </c>
      <c r="H527" s="1" t="s">
        <v>7</v>
      </c>
      <c r="I527" s="55" t="s">
        <v>7</v>
      </c>
      <c r="J527" s="1" t="s">
        <v>7</v>
      </c>
      <c r="K527" s="1" t="s">
        <v>7</v>
      </c>
      <c r="L527" s="1" t="s">
        <v>7</v>
      </c>
      <c r="M527" s="55" t="s">
        <v>7</v>
      </c>
      <c r="N527" s="1" t="s">
        <v>7</v>
      </c>
      <c r="O527" s="1" t="s">
        <v>7</v>
      </c>
      <c r="P527" s="1" t="s">
        <v>7</v>
      </c>
      <c r="Q527" s="55" t="s">
        <v>7</v>
      </c>
      <c r="R527" s="55" t="s">
        <v>7</v>
      </c>
    </row>
    <row r="528" spans="1:18" ht="15.75" customHeight="1" x14ac:dyDescent="0.3">
      <c r="A528" s="15" t="s">
        <v>49</v>
      </c>
      <c r="B528" s="1"/>
      <c r="C528" s="1"/>
      <c r="D528" s="1"/>
      <c r="E528" s="55" t="s">
        <v>7</v>
      </c>
      <c r="F528" s="1"/>
      <c r="G528" s="1"/>
      <c r="H528" s="1"/>
      <c r="I528" s="55" t="s">
        <v>7</v>
      </c>
      <c r="J528" s="1"/>
      <c r="K528" s="1"/>
      <c r="L528" s="1"/>
      <c r="M528" s="55" t="s">
        <v>7</v>
      </c>
      <c r="N528" s="1"/>
      <c r="O528" s="1"/>
      <c r="P528" s="1"/>
      <c r="Q528" s="55" t="s">
        <v>7</v>
      </c>
      <c r="R528" s="55" t="s">
        <v>7</v>
      </c>
    </row>
    <row r="529" spans="1:18" ht="15.75" customHeight="1" x14ac:dyDescent="0.3">
      <c r="A529" s="71" t="s">
        <v>338</v>
      </c>
      <c r="B529" s="1">
        <v>346</v>
      </c>
      <c r="C529" s="1">
        <v>459</v>
      </c>
      <c r="D529" s="1">
        <v>722</v>
      </c>
      <c r="E529" s="55">
        <f>SUM(B529:D529)</f>
        <v>1527</v>
      </c>
      <c r="F529" s="1">
        <v>867</v>
      </c>
      <c r="G529" s="1">
        <v>162</v>
      </c>
      <c r="H529" s="1">
        <v>13</v>
      </c>
      <c r="I529" s="55">
        <f>SUM(F529:H529)</f>
        <v>1042</v>
      </c>
      <c r="J529" s="1">
        <v>770</v>
      </c>
      <c r="K529" s="1">
        <v>820</v>
      </c>
      <c r="L529" s="1">
        <v>602</v>
      </c>
      <c r="M529" s="55">
        <f>SUM(J529:L529)</f>
        <v>2192</v>
      </c>
      <c r="N529" s="1">
        <v>290</v>
      </c>
      <c r="O529" s="1">
        <v>148</v>
      </c>
      <c r="P529" s="1">
        <v>5</v>
      </c>
      <c r="Q529" s="55">
        <f>SUM(N529:P529)</f>
        <v>443</v>
      </c>
      <c r="R529" s="55">
        <f>+E529+I529+M529+Q529</f>
        <v>5204</v>
      </c>
    </row>
    <row r="530" spans="1:18" ht="15.75" customHeight="1" x14ac:dyDescent="0.3">
      <c r="A530" s="71" t="s">
        <v>339</v>
      </c>
      <c r="B530" s="1">
        <v>113</v>
      </c>
      <c r="C530" s="1">
        <v>52</v>
      </c>
      <c r="D530" s="1">
        <v>87</v>
      </c>
      <c r="E530" s="55">
        <f>SUM(B530:D530)</f>
        <v>252</v>
      </c>
      <c r="F530" s="1">
        <v>132</v>
      </c>
      <c r="G530" s="1">
        <v>87</v>
      </c>
      <c r="H530" s="1">
        <v>52</v>
      </c>
      <c r="I530" s="55">
        <f>SUM(F530:H530)</f>
        <v>271</v>
      </c>
      <c r="J530" s="1">
        <v>76</v>
      </c>
      <c r="K530" s="1">
        <v>71</v>
      </c>
      <c r="L530" s="1">
        <v>0</v>
      </c>
      <c r="M530" s="55">
        <f>SUM(J530:L530)</f>
        <v>147</v>
      </c>
      <c r="N530" s="1">
        <v>0</v>
      </c>
      <c r="O530" s="1">
        <v>0</v>
      </c>
      <c r="P530" s="1">
        <v>0</v>
      </c>
      <c r="Q530" s="55">
        <f>SUM(N530:P530)</f>
        <v>0</v>
      </c>
      <c r="R530" s="55">
        <f>+E530+I530+M530+Q530</f>
        <v>670</v>
      </c>
    </row>
    <row r="531" spans="1:18" ht="15.75" customHeight="1" x14ac:dyDescent="0.3">
      <c r="A531" s="15" t="s">
        <v>50</v>
      </c>
      <c r="B531" s="1"/>
      <c r="C531" s="1"/>
      <c r="D531" s="1"/>
      <c r="E531" s="55" t="s">
        <v>7</v>
      </c>
      <c r="F531" s="1"/>
      <c r="G531" s="1"/>
      <c r="H531" s="1"/>
      <c r="I531" s="55" t="s">
        <v>7</v>
      </c>
      <c r="J531" s="1"/>
      <c r="K531" s="1"/>
      <c r="L531" s="1"/>
      <c r="M531" s="55" t="s">
        <v>7</v>
      </c>
      <c r="N531" s="1"/>
      <c r="O531" s="1"/>
      <c r="P531" s="1"/>
      <c r="Q531" s="55" t="s">
        <v>7</v>
      </c>
      <c r="R531" s="55" t="s">
        <v>7</v>
      </c>
    </row>
    <row r="532" spans="1:18" ht="15.75" customHeight="1" x14ac:dyDescent="0.3">
      <c r="A532" s="15" t="s">
        <v>51</v>
      </c>
      <c r="B532" s="1"/>
      <c r="C532" s="1"/>
      <c r="D532" s="1"/>
      <c r="E532" s="55" t="s">
        <v>7</v>
      </c>
      <c r="F532" s="1"/>
      <c r="G532" s="1"/>
      <c r="H532" s="1"/>
      <c r="I532" s="55" t="s">
        <v>7</v>
      </c>
      <c r="J532" s="1"/>
      <c r="K532" s="1"/>
      <c r="L532" s="1"/>
      <c r="M532" s="55" t="s">
        <v>7</v>
      </c>
      <c r="N532" s="1"/>
      <c r="O532" s="1"/>
      <c r="P532" s="1"/>
      <c r="Q532" s="55" t="s">
        <v>7</v>
      </c>
      <c r="R532" s="55" t="s">
        <v>7</v>
      </c>
    </row>
    <row r="533" spans="1:18" ht="15.75" customHeight="1" thickBot="1" x14ac:dyDescent="0.35">
      <c r="A533" s="15" t="s">
        <v>53</v>
      </c>
      <c r="B533" s="1"/>
      <c r="C533" s="1"/>
      <c r="D533" s="1"/>
      <c r="E533" s="55" t="s">
        <v>7</v>
      </c>
      <c r="F533" s="1"/>
      <c r="G533" s="1"/>
      <c r="H533" s="1"/>
      <c r="I533" s="55" t="s">
        <v>7</v>
      </c>
      <c r="J533" s="1"/>
      <c r="K533" s="1"/>
      <c r="L533" s="1"/>
      <c r="M533" s="55" t="s">
        <v>7</v>
      </c>
      <c r="N533" s="1"/>
      <c r="O533" s="1"/>
      <c r="P533" s="1"/>
      <c r="Q533" s="55" t="s">
        <v>7</v>
      </c>
      <c r="R533" s="55" t="s">
        <v>7</v>
      </c>
    </row>
    <row r="534" spans="1:18" ht="15.75" customHeight="1" thickBot="1" x14ac:dyDescent="0.35">
      <c r="A534" s="109" t="s">
        <v>54</v>
      </c>
      <c r="B534" s="86">
        <f>SUM(B527:B533)</f>
        <v>459</v>
      </c>
      <c r="C534" s="87">
        <f>SUM(C527:C533)</f>
        <v>511</v>
      </c>
      <c r="D534" s="87">
        <f>SUM(D527:D533)</f>
        <v>809</v>
      </c>
      <c r="E534" s="59">
        <f>SUM(B534:D534)</f>
        <v>1779</v>
      </c>
      <c r="F534" s="87">
        <f>SUM(F527:F533)</f>
        <v>999</v>
      </c>
      <c r="G534" s="87">
        <f>SUM(G527:G533)</f>
        <v>249</v>
      </c>
      <c r="H534" s="87">
        <f>SUM(H527:H533)</f>
        <v>65</v>
      </c>
      <c r="I534" s="59">
        <f>SUM(F534:H534)</f>
        <v>1313</v>
      </c>
      <c r="J534" s="87">
        <f>SUM(J527:J533)</f>
        <v>846</v>
      </c>
      <c r="K534" s="87">
        <f>SUM(K527:K533)</f>
        <v>891</v>
      </c>
      <c r="L534" s="87">
        <f>SUM(L527:L533)</f>
        <v>602</v>
      </c>
      <c r="M534" s="59">
        <f>SUM(J534:L534)</f>
        <v>2339</v>
      </c>
      <c r="N534" s="87">
        <f>SUM(N527:N533)</f>
        <v>290</v>
      </c>
      <c r="O534" s="87">
        <f>SUM(O527:O533)</f>
        <v>148</v>
      </c>
      <c r="P534" s="87">
        <f>SUM(P527:P533)</f>
        <v>5</v>
      </c>
      <c r="Q534" s="59">
        <f>SUM(N534:P534)</f>
        <v>443</v>
      </c>
      <c r="R534" s="59">
        <f>+E534+I534+M534+Q534</f>
        <v>5874</v>
      </c>
    </row>
    <row r="535" spans="1:18" ht="15.75" customHeight="1" x14ac:dyDescent="0.3">
      <c r="A535" s="15" t="s">
        <v>55</v>
      </c>
      <c r="B535" s="1"/>
      <c r="C535" s="1"/>
      <c r="D535" s="1"/>
      <c r="E535" s="55" t="s">
        <v>7</v>
      </c>
      <c r="F535" s="1"/>
      <c r="G535" s="1"/>
      <c r="H535" s="1"/>
      <c r="I535" s="55" t="s">
        <v>7</v>
      </c>
      <c r="J535" s="1"/>
      <c r="K535" s="1"/>
      <c r="L535" s="1"/>
      <c r="M535" s="55" t="s">
        <v>7</v>
      </c>
      <c r="N535" s="1"/>
      <c r="O535" s="1"/>
      <c r="P535" s="1"/>
      <c r="Q535" s="55" t="s">
        <v>7</v>
      </c>
      <c r="R535" s="55" t="s">
        <v>7</v>
      </c>
    </row>
    <row r="536" spans="1:18" ht="15.75" customHeight="1" x14ac:dyDescent="0.3">
      <c r="A536" s="15" t="s">
        <v>57</v>
      </c>
      <c r="B536" s="1"/>
      <c r="C536" s="1"/>
      <c r="D536" s="1"/>
      <c r="E536" s="55" t="s">
        <v>7</v>
      </c>
      <c r="F536" s="1"/>
      <c r="G536" s="1"/>
      <c r="H536" s="1"/>
      <c r="I536" s="55" t="s">
        <v>7</v>
      </c>
      <c r="J536" s="1"/>
      <c r="K536" s="1"/>
      <c r="L536" s="1"/>
      <c r="M536" s="55" t="s">
        <v>7</v>
      </c>
      <c r="N536" s="1"/>
      <c r="O536" s="1"/>
      <c r="P536" s="1"/>
      <c r="Q536" s="55" t="s">
        <v>7</v>
      </c>
      <c r="R536" s="55" t="s">
        <v>7</v>
      </c>
    </row>
    <row r="537" spans="1:18" ht="15.75" customHeight="1" thickBot="1" x14ac:dyDescent="0.35">
      <c r="A537" s="15" t="s">
        <v>58</v>
      </c>
      <c r="B537" s="1"/>
      <c r="C537" s="1"/>
      <c r="D537" s="1"/>
      <c r="E537" s="55" t="s">
        <v>7</v>
      </c>
      <c r="F537" s="1"/>
      <c r="G537" s="1"/>
      <c r="H537" s="1"/>
      <c r="I537" s="55" t="s">
        <v>7</v>
      </c>
      <c r="J537" s="1"/>
      <c r="K537" s="1"/>
      <c r="L537" s="1"/>
      <c r="M537" s="55" t="s">
        <v>7</v>
      </c>
      <c r="N537" s="1"/>
      <c r="O537" s="1"/>
      <c r="P537" s="1"/>
      <c r="Q537" s="55" t="s">
        <v>7</v>
      </c>
      <c r="R537" s="55" t="s">
        <v>7</v>
      </c>
    </row>
    <row r="538" spans="1:18" ht="15.75" customHeight="1" thickBot="1" x14ac:dyDescent="0.35">
      <c r="A538" s="57" t="s">
        <v>59</v>
      </c>
      <c r="B538" s="86">
        <f>SUM(B535:B537)</f>
        <v>0</v>
      </c>
      <c r="C538" s="87">
        <f>SUM(C535:C537)</f>
        <v>0</v>
      </c>
      <c r="D538" s="87">
        <f>SUM(D535:D537)</f>
        <v>0</v>
      </c>
      <c r="E538" s="59">
        <f>SUM(B538:D538)</f>
        <v>0</v>
      </c>
      <c r="F538" s="87">
        <f>SUM(F535:F537)</f>
        <v>0</v>
      </c>
      <c r="G538" s="87">
        <f>SUM(G535:G537)</f>
        <v>0</v>
      </c>
      <c r="H538" s="87">
        <f>SUM(H535:H537)</f>
        <v>0</v>
      </c>
      <c r="I538" s="59">
        <f>SUM(F538:H538)</f>
        <v>0</v>
      </c>
      <c r="J538" s="87">
        <f>SUM(J535:J537)</f>
        <v>0</v>
      </c>
      <c r="K538" s="87">
        <f>SUM(K535:K537)</f>
        <v>0</v>
      </c>
      <c r="L538" s="87">
        <f>SUM(L535:L537)</f>
        <v>0</v>
      </c>
      <c r="M538" s="59">
        <f>SUM(J538:L538)</f>
        <v>0</v>
      </c>
      <c r="N538" s="87">
        <f>SUM(N535:N537)</f>
        <v>0</v>
      </c>
      <c r="O538" s="87">
        <f>SUM(O535:O537)</f>
        <v>0</v>
      </c>
      <c r="P538" s="87">
        <f>SUM(P535:P537)</f>
        <v>0</v>
      </c>
      <c r="Q538" s="59">
        <f>SUM(N538:P538)</f>
        <v>0</v>
      </c>
      <c r="R538" s="59">
        <f>+E538+I538+M538+Q538</f>
        <v>0</v>
      </c>
    </row>
    <row r="539" spans="1:18" ht="15.75" customHeight="1" x14ac:dyDescent="0.3">
      <c r="A539" s="15" t="s">
        <v>60</v>
      </c>
      <c r="B539" s="1"/>
      <c r="C539" s="1"/>
      <c r="D539" s="1"/>
      <c r="E539" s="55" t="s">
        <v>7</v>
      </c>
      <c r="F539" s="1"/>
      <c r="G539" s="1"/>
      <c r="H539" s="1"/>
      <c r="I539" s="55" t="s">
        <v>7</v>
      </c>
      <c r="J539" s="1"/>
      <c r="K539" s="1"/>
      <c r="L539" s="1"/>
      <c r="M539" s="55" t="s">
        <v>7</v>
      </c>
      <c r="N539" s="1"/>
      <c r="O539" s="1"/>
      <c r="P539" s="1"/>
      <c r="Q539" s="55" t="s">
        <v>7</v>
      </c>
      <c r="R539" s="55" t="s">
        <v>7</v>
      </c>
    </row>
    <row r="540" spans="1:18" ht="15.75" customHeight="1" x14ac:dyDescent="0.3">
      <c r="A540" s="15" t="s">
        <v>61</v>
      </c>
      <c r="B540" s="1"/>
      <c r="C540" s="1"/>
      <c r="D540" s="1"/>
      <c r="E540" s="55" t="s">
        <v>7</v>
      </c>
      <c r="F540" s="1"/>
      <c r="G540" s="1"/>
      <c r="H540" s="1"/>
      <c r="I540" s="55" t="s">
        <v>7</v>
      </c>
      <c r="J540" s="1"/>
      <c r="K540" s="1"/>
      <c r="L540" s="1"/>
      <c r="M540" s="55" t="s">
        <v>7</v>
      </c>
      <c r="N540" s="1"/>
      <c r="O540" s="1"/>
      <c r="P540" s="1"/>
      <c r="Q540" s="55" t="s">
        <v>7</v>
      </c>
      <c r="R540" s="55" t="s">
        <v>7</v>
      </c>
    </row>
    <row r="541" spans="1:18" ht="15.75" customHeight="1" thickBot="1" x14ac:dyDescent="0.35">
      <c r="A541" s="15" t="s">
        <v>62</v>
      </c>
      <c r="B541" s="1"/>
      <c r="C541" s="1"/>
      <c r="D541" s="1"/>
      <c r="E541" s="55" t="s">
        <v>7</v>
      </c>
      <c r="F541" s="1"/>
      <c r="G541" s="1"/>
      <c r="H541" s="1"/>
      <c r="I541" s="55" t="s">
        <v>7</v>
      </c>
      <c r="J541" s="1"/>
      <c r="K541" s="1"/>
      <c r="L541" s="1"/>
      <c r="M541" s="55" t="s">
        <v>7</v>
      </c>
      <c r="N541" s="1"/>
      <c r="O541" s="1"/>
      <c r="P541" s="1"/>
      <c r="Q541" s="55" t="s">
        <v>7</v>
      </c>
      <c r="R541" s="55" t="s">
        <v>7</v>
      </c>
    </row>
    <row r="542" spans="1:18" ht="15.75" customHeight="1" thickBot="1" x14ac:dyDescent="0.35">
      <c r="A542" s="114" t="s">
        <v>63</v>
      </c>
      <c r="B542" s="86">
        <f>SUM(B539:B541)</f>
        <v>0</v>
      </c>
      <c r="C542" s="87">
        <f>SUM(C539:C541)</f>
        <v>0</v>
      </c>
      <c r="D542" s="87">
        <f>SUM(D539:D541)</f>
        <v>0</v>
      </c>
      <c r="E542" s="59">
        <f>SUM(B542:D542)</f>
        <v>0</v>
      </c>
      <c r="F542" s="87">
        <f>SUM(F539:F541)</f>
        <v>0</v>
      </c>
      <c r="G542" s="87">
        <f>SUM(G539:G541)</f>
        <v>0</v>
      </c>
      <c r="H542" s="87">
        <f>SUM(H539:H541)</f>
        <v>0</v>
      </c>
      <c r="I542" s="59">
        <f>SUM(F542:H542)</f>
        <v>0</v>
      </c>
      <c r="J542" s="87">
        <f>SUM(J539:J541)</f>
        <v>0</v>
      </c>
      <c r="K542" s="87">
        <f>SUM(K539:K541)</f>
        <v>0</v>
      </c>
      <c r="L542" s="87">
        <f>SUM(L539:L541)</f>
        <v>0</v>
      </c>
      <c r="M542" s="59">
        <f>SUM(J542:L542)</f>
        <v>0</v>
      </c>
      <c r="N542" s="87">
        <f>SUM(N539:N541)</f>
        <v>0</v>
      </c>
      <c r="O542" s="87">
        <f>SUM(O539:O541)</f>
        <v>0</v>
      </c>
      <c r="P542" s="87">
        <f>SUM(P539:P541)</f>
        <v>0</v>
      </c>
      <c r="Q542" s="59">
        <f>SUM(N542:P542)</f>
        <v>0</v>
      </c>
      <c r="R542" s="59">
        <f>+E542+I542+M542+Q542</f>
        <v>0</v>
      </c>
    </row>
    <row r="543" spans="1:18" ht="15.75" customHeight="1" x14ac:dyDescent="0.3">
      <c r="A543" s="15" t="s">
        <v>64</v>
      </c>
      <c r="B543" s="1"/>
      <c r="C543" s="1"/>
      <c r="D543" s="1"/>
      <c r="E543" s="55" t="s">
        <v>7</v>
      </c>
      <c r="F543" s="1"/>
      <c r="G543" s="1"/>
      <c r="H543" s="1"/>
      <c r="I543" s="55" t="s">
        <v>7</v>
      </c>
      <c r="J543" s="1"/>
      <c r="K543" s="1"/>
      <c r="L543" s="1"/>
      <c r="M543" s="55" t="s">
        <v>7</v>
      </c>
      <c r="N543" s="1"/>
      <c r="O543" s="1"/>
      <c r="P543" s="1"/>
      <c r="Q543" s="55" t="s">
        <v>7</v>
      </c>
      <c r="R543" s="55" t="s">
        <v>7</v>
      </c>
    </row>
    <row r="544" spans="1:18" ht="15.75" customHeight="1" x14ac:dyDescent="0.3">
      <c r="A544" s="15" t="s">
        <v>65</v>
      </c>
      <c r="B544" s="1"/>
      <c r="C544" s="1"/>
      <c r="D544" s="1"/>
      <c r="E544" s="55" t="s">
        <v>7</v>
      </c>
      <c r="F544" s="1"/>
      <c r="G544" s="1"/>
      <c r="H544" s="1"/>
      <c r="I544" s="55" t="s">
        <v>7</v>
      </c>
      <c r="J544" s="1"/>
      <c r="K544" s="1"/>
      <c r="L544" s="1"/>
      <c r="M544" s="55" t="s">
        <v>7</v>
      </c>
      <c r="N544" s="1"/>
      <c r="O544" s="1"/>
      <c r="P544" s="1"/>
      <c r="Q544" s="55" t="s">
        <v>7</v>
      </c>
      <c r="R544" s="55" t="s">
        <v>7</v>
      </c>
    </row>
    <row r="545" spans="1:18" ht="15.75" customHeight="1" x14ac:dyDescent="0.3">
      <c r="A545" s="15" t="s">
        <v>67</v>
      </c>
      <c r="B545" s="1"/>
      <c r="C545" s="1"/>
      <c r="D545" s="1"/>
      <c r="E545" s="55" t="s">
        <v>7</v>
      </c>
      <c r="F545" s="1"/>
      <c r="G545" s="1"/>
      <c r="H545" s="1"/>
      <c r="I545" s="55" t="s">
        <v>7</v>
      </c>
      <c r="J545" s="1"/>
      <c r="K545" s="1"/>
      <c r="L545" s="1"/>
      <c r="M545" s="55" t="s">
        <v>7</v>
      </c>
      <c r="N545" s="1"/>
      <c r="O545" s="1"/>
      <c r="P545" s="1"/>
      <c r="Q545" s="55" t="s">
        <v>7</v>
      </c>
      <c r="R545" s="55" t="s">
        <v>7</v>
      </c>
    </row>
    <row r="546" spans="1:18" ht="15.75" customHeight="1" x14ac:dyDescent="0.3">
      <c r="A546" s="71" t="s">
        <v>340</v>
      </c>
      <c r="B546" s="1">
        <v>0</v>
      </c>
      <c r="C546" s="1">
        <v>0</v>
      </c>
      <c r="D546" s="1">
        <v>0</v>
      </c>
      <c r="E546" s="55">
        <f>SUM(B546:D546)</f>
        <v>0</v>
      </c>
      <c r="F546" s="1">
        <v>0</v>
      </c>
      <c r="G546" s="1">
        <v>0</v>
      </c>
      <c r="H546" s="1">
        <v>0</v>
      </c>
      <c r="I546" s="55">
        <f>SUM(F546:H546)</f>
        <v>0</v>
      </c>
      <c r="J546" s="1">
        <v>0</v>
      </c>
      <c r="K546" s="1">
        <v>0</v>
      </c>
      <c r="L546" s="1">
        <v>0</v>
      </c>
      <c r="M546" s="55">
        <f>SUM(J546:L546)</f>
        <v>0</v>
      </c>
      <c r="N546" s="1">
        <v>0</v>
      </c>
      <c r="O546" s="1">
        <v>0</v>
      </c>
      <c r="P546" s="1">
        <v>0</v>
      </c>
      <c r="Q546" s="55">
        <f>SUM(N546:P546)</f>
        <v>0</v>
      </c>
      <c r="R546" s="55">
        <f>+E546+I546+M546+Q546</f>
        <v>0</v>
      </c>
    </row>
    <row r="547" spans="1:18" ht="15.75" customHeight="1" x14ac:dyDescent="0.3">
      <c r="A547" s="15" t="s">
        <v>69</v>
      </c>
      <c r="B547" s="1"/>
      <c r="C547" s="1"/>
      <c r="D547" s="1"/>
      <c r="E547" s="55" t="s">
        <v>7</v>
      </c>
      <c r="F547" s="1"/>
      <c r="G547" s="1"/>
      <c r="H547" s="1"/>
      <c r="I547" s="55" t="s">
        <v>7</v>
      </c>
      <c r="J547" s="1"/>
      <c r="K547" s="1"/>
      <c r="L547" s="1"/>
      <c r="M547" s="55" t="s">
        <v>7</v>
      </c>
      <c r="N547" s="1"/>
      <c r="O547" s="1"/>
      <c r="P547" s="1"/>
      <c r="Q547" s="55" t="s">
        <v>7</v>
      </c>
      <c r="R547" s="55" t="s">
        <v>7</v>
      </c>
    </row>
    <row r="548" spans="1:18" ht="15.75" customHeight="1" thickBot="1" x14ac:dyDescent="0.35">
      <c r="A548" s="15" t="s">
        <v>70</v>
      </c>
      <c r="B548" s="1"/>
      <c r="C548" s="1"/>
      <c r="D548" s="1"/>
      <c r="E548" s="55" t="s">
        <v>7</v>
      </c>
      <c r="F548" s="1"/>
      <c r="G548" s="1"/>
      <c r="H548" s="1"/>
      <c r="I548" s="55" t="s">
        <v>7</v>
      </c>
      <c r="J548" s="1"/>
      <c r="K548" s="1"/>
      <c r="L548" s="1"/>
      <c r="M548" s="55" t="s">
        <v>7</v>
      </c>
      <c r="N548" s="1"/>
      <c r="O548" s="1"/>
      <c r="P548" s="1"/>
      <c r="Q548" s="55" t="s">
        <v>7</v>
      </c>
      <c r="R548" s="55" t="s">
        <v>7</v>
      </c>
    </row>
    <row r="549" spans="1:18" ht="15.75" customHeight="1" thickBot="1" x14ac:dyDescent="0.35">
      <c r="A549" s="57" t="s">
        <v>71</v>
      </c>
      <c r="B549" s="58">
        <f>SUM(B547:B548)</f>
        <v>0</v>
      </c>
      <c r="C549" s="58">
        <f>SUM(C547:C548)</f>
        <v>0</v>
      </c>
      <c r="D549" s="58">
        <f>SUM(D547:D548)</f>
        <v>0</v>
      </c>
      <c r="E549" s="60">
        <f>SUM(B549:D549)</f>
        <v>0</v>
      </c>
      <c r="F549" s="58">
        <f>SUM(F547:F548)</f>
        <v>0</v>
      </c>
      <c r="G549" s="58">
        <f>SUM(G547:G548)</f>
        <v>0</v>
      </c>
      <c r="H549" s="58">
        <f>SUM(H547:H548)</f>
        <v>0</v>
      </c>
      <c r="I549" s="60">
        <f>SUM(F549:H549)</f>
        <v>0</v>
      </c>
      <c r="J549" s="58">
        <f>SUM(J547:J548)</f>
        <v>0</v>
      </c>
      <c r="K549" s="58">
        <f>SUM(K547:K548)</f>
        <v>0</v>
      </c>
      <c r="L549" s="58">
        <f>SUM(L547:L548)</f>
        <v>0</v>
      </c>
      <c r="M549" s="60">
        <f>SUM(J549:L549)</f>
        <v>0</v>
      </c>
      <c r="N549" s="58">
        <f>SUM(N547:N548)</f>
        <v>0</v>
      </c>
      <c r="O549" s="58">
        <f>SUM(O547:O548)</f>
        <v>0</v>
      </c>
      <c r="P549" s="58">
        <f>SUM(P547:P548)</f>
        <v>0</v>
      </c>
      <c r="Q549" s="60">
        <f>SUM(N549:P549)</f>
        <v>0</v>
      </c>
      <c r="R549" s="59">
        <f>+E549+I549+M549+Q549</f>
        <v>0</v>
      </c>
    </row>
    <row r="550" spans="1:18" ht="15.75" customHeight="1" thickBot="1" x14ac:dyDescent="0.35">
      <c r="A550" s="114" t="s">
        <v>72</v>
      </c>
      <c r="B550" s="86">
        <f>SUM(B543:B548)</f>
        <v>0</v>
      </c>
      <c r="C550" s="87">
        <f>SUM(C543:C548)</f>
        <v>0</v>
      </c>
      <c r="D550" s="118">
        <f>SUM(D543:D548)</f>
        <v>0</v>
      </c>
      <c r="E550" s="60">
        <f>SUM(B550:D550)</f>
        <v>0</v>
      </c>
      <c r="F550" s="87">
        <f>SUM(F543:F548)</f>
        <v>0</v>
      </c>
      <c r="G550" s="87">
        <f>SUM(G543:G548)</f>
        <v>0</v>
      </c>
      <c r="H550" s="87">
        <f>SUM(H543:H548)</f>
        <v>0</v>
      </c>
      <c r="I550" s="60">
        <f>SUM(F550:H550)</f>
        <v>0</v>
      </c>
      <c r="J550" s="87">
        <f>SUM(J543:J548)</f>
        <v>0</v>
      </c>
      <c r="K550" s="87">
        <f>SUM(K543:K548)</f>
        <v>0</v>
      </c>
      <c r="L550" s="87">
        <f>SUM(L543:L548)</f>
        <v>0</v>
      </c>
      <c r="M550" s="60">
        <f>SUM(J550:L550)</f>
        <v>0</v>
      </c>
      <c r="N550" s="87">
        <f>SUM(N543:N548)</f>
        <v>0</v>
      </c>
      <c r="O550" s="87">
        <f>SUM(O543:O548)</f>
        <v>0</v>
      </c>
      <c r="P550" s="87">
        <f>SUM(P543:P548)</f>
        <v>0</v>
      </c>
      <c r="Q550" s="60">
        <f>SUM(N550:P550)</f>
        <v>0</v>
      </c>
      <c r="R550" s="59">
        <f>+E550+I550+M550+Q550</f>
        <v>0</v>
      </c>
    </row>
    <row r="551" spans="1:18" ht="15.75" customHeight="1" thickBot="1" x14ac:dyDescent="0.35">
      <c r="A551" s="57" t="s">
        <v>73</v>
      </c>
      <c r="B551" s="90">
        <f>+B534+B538+B542+B550</f>
        <v>459</v>
      </c>
      <c r="C551" s="58">
        <f>+C534+C538+C542+C550</f>
        <v>511</v>
      </c>
      <c r="D551" s="58">
        <f>+D534+D538+D542+D550</f>
        <v>809</v>
      </c>
      <c r="E551" s="59">
        <f>SUM(B551:D551)</f>
        <v>1779</v>
      </c>
      <c r="F551" s="58">
        <f>+F534+F538+F542+F550</f>
        <v>999</v>
      </c>
      <c r="G551" s="58">
        <f>+G534+G538+G542+G550</f>
        <v>249</v>
      </c>
      <c r="H551" s="58">
        <f>+H534+H538+H542+H550</f>
        <v>65</v>
      </c>
      <c r="I551" s="59">
        <f>SUM(F551:H551)</f>
        <v>1313</v>
      </c>
      <c r="J551" s="58">
        <f>+J534+J538+J542+J550</f>
        <v>846</v>
      </c>
      <c r="K551" s="58">
        <f>+K534+K538+K542+K550</f>
        <v>891</v>
      </c>
      <c r="L551" s="58">
        <f>+L534+L538+L542+L550</f>
        <v>602</v>
      </c>
      <c r="M551" s="59">
        <f>SUM(J551:L551)</f>
        <v>2339</v>
      </c>
      <c r="N551" s="58">
        <f>+N534+N538+N542+N550</f>
        <v>290</v>
      </c>
      <c r="O551" s="58">
        <f>+O534+O538+O542+O550</f>
        <v>148</v>
      </c>
      <c r="P551" s="58">
        <f>+P534+P538+P542+P550</f>
        <v>5</v>
      </c>
      <c r="Q551" s="59">
        <f>SUM(N551:P551)</f>
        <v>443</v>
      </c>
      <c r="R551" s="81">
        <f>+E551+I551+M551+Q551</f>
        <v>5874</v>
      </c>
    </row>
    <row r="552" spans="1:18" ht="15.75" customHeight="1" thickBot="1" x14ac:dyDescent="0.35">
      <c r="A552" s="39" t="s">
        <v>40</v>
      </c>
      <c r="B552" s="21">
        <v>10</v>
      </c>
      <c r="C552" s="21">
        <v>11</v>
      </c>
      <c r="D552" s="21">
        <v>14</v>
      </c>
      <c r="E552" s="55">
        <f>SUM(B552:D552)</f>
        <v>35</v>
      </c>
      <c r="F552" s="21">
        <v>18</v>
      </c>
      <c r="G552" s="21">
        <v>21</v>
      </c>
      <c r="H552" s="21">
        <v>22</v>
      </c>
      <c r="I552" s="55">
        <f>SUM(F552:H552)</f>
        <v>61</v>
      </c>
      <c r="J552" s="21">
        <v>19</v>
      </c>
      <c r="K552" s="21">
        <v>17</v>
      </c>
      <c r="L552" s="21">
        <v>17</v>
      </c>
      <c r="M552" s="55">
        <f>SUM(J552:L552)</f>
        <v>53</v>
      </c>
      <c r="N552" s="21">
        <v>14</v>
      </c>
      <c r="O552" s="21">
        <v>11</v>
      </c>
      <c r="P552" s="21">
        <v>9</v>
      </c>
      <c r="Q552" s="55">
        <f>SUM(N552:P552)</f>
        <v>34</v>
      </c>
      <c r="R552" s="55">
        <f>+E552+I552+M552+Q552</f>
        <v>183</v>
      </c>
    </row>
    <row r="553" spans="1:18" ht="15.75" customHeight="1" thickBot="1" x14ac:dyDescent="0.35">
      <c r="A553" s="41"/>
      <c r="B553" s="36"/>
      <c r="C553" s="36"/>
      <c r="D553" s="36"/>
      <c r="E553" s="52"/>
      <c r="F553" s="36"/>
      <c r="G553" s="36"/>
      <c r="H553" s="36"/>
      <c r="I553" s="52"/>
      <c r="J553" s="36"/>
      <c r="K553" s="36"/>
      <c r="L553" s="36"/>
      <c r="M553" s="129"/>
      <c r="N553" s="36"/>
      <c r="O553" s="36"/>
      <c r="P553" s="36"/>
      <c r="Q553" s="129"/>
      <c r="R553" s="40"/>
    </row>
    <row r="554" spans="1:18" ht="15.75" customHeight="1" x14ac:dyDescent="0.3">
      <c r="A554" s="15" t="s">
        <v>314</v>
      </c>
      <c r="B554" s="1">
        <f>SUM(B551:B552)</f>
        <v>469</v>
      </c>
      <c r="C554" s="1">
        <f>SUM(C551:C552)</f>
        <v>522</v>
      </c>
      <c r="D554" s="1">
        <f>SUM(D551:D552)</f>
        <v>823</v>
      </c>
      <c r="E554" s="55">
        <f>SUM(B554:D554)</f>
        <v>1814</v>
      </c>
      <c r="F554" s="1">
        <f>SUM(F551:F552)</f>
        <v>1017</v>
      </c>
      <c r="G554" s="1">
        <f>SUM(G551:G552)</f>
        <v>270</v>
      </c>
      <c r="H554" s="1">
        <f>SUM(H551:H552)</f>
        <v>87</v>
      </c>
      <c r="I554" s="60">
        <f>SUM(F554:H554)</f>
        <v>1374</v>
      </c>
      <c r="J554" s="1">
        <f>SUM(J551:J552)</f>
        <v>865</v>
      </c>
      <c r="K554" s="1">
        <f>SUM(K551:K552)</f>
        <v>908</v>
      </c>
      <c r="L554" s="1">
        <f>SUM(L551:L552)</f>
        <v>619</v>
      </c>
      <c r="M554" s="60">
        <f>SUM(J554:L554)</f>
        <v>2392</v>
      </c>
      <c r="N554" s="1">
        <f>SUM(N551:N552)</f>
        <v>304</v>
      </c>
      <c r="O554" s="1">
        <f>SUM(O551:O552)</f>
        <v>159</v>
      </c>
      <c r="P554" s="1">
        <f>SUM(P551:P552)</f>
        <v>14</v>
      </c>
      <c r="Q554" s="60">
        <f>SUM(N554:P554)</f>
        <v>477</v>
      </c>
      <c r="R554" s="60">
        <f>+E554+I554+M554+Q554</f>
        <v>6057</v>
      </c>
    </row>
    <row r="555" spans="1:18" ht="15.75" customHeight="1" x14ac:dyDescent="0.3">
      <c r="A555" s="15" t="s">
        <v>42</v>
      </c>
      <c r="B555" s="1">
        <f>(B554/31)/1.983</f>
        <v>7.629365737803588</v>
      </c>
      <c r="C555" s="1">
        <f>(C554/28)/1.983</f>
        <v>9.4013399610979036</v>
      </c>
      <c r="D555" s="1">
        <f>(D554/31)/1.983</f>
        <v>13.387991475932521</v>
      </c>
      <c r="E555" s="55" t="s">
        <v>7</v>
      </c>
      <c r="F555" s="1">
        <f>(F554/30)/1.983</f>
        <v>17.095310136157337</v>
      </c>
      <c r="G555" s="1">
        <f>(G554/31)/1.983</f>
        <v>4.392172173149187</v>
      </c>
      <c r="H555" s="1">
        <f>(H554/30)/1.983</f>
        <v>1.4624306606152293</v>
      </c>
      <c r="I555" s="55" t="s">
        <v>7</v>
      </c>
      <c r="J555" s="1">
        <f>(J554/31)/1.983</f>
        <v>14.071218258422396</v>
      </c>
      <c r="K555" s="1">
        <f>(K554/31)/1.983</f>
        <v>14.770712345257266</v>
      </c>
      <c r="L555" s="1">
        <f>(L554/30)/1.983</f>
        <v>10.405110102538242</v>
      </c>
      <c r="M555" s="55" t="s">
        <v>7</v>
      </c>
      <c r="N555" s="1">
        <f>(N554/31)/1.983</f>
        <v>4.945260520879085</v>
      </c>
      <c r="O555" s="1">
        <f>(O554/30)/1.983</f>
        <v>2.6727181038830055</v>
      </c>
      <c r="P555" s="1">
        <f>(P554/31)/1.983</f>
        <v>0.22774226082995785</v>
      </c>
      <c r="Q555" s="55" t="s">
        <v>7</v>
      </c>
      <c r="R555" s="55" t="s">
        <v>7</v>
      </c>
    </row>
    <row r="556" spans="1:18" ht="15.75" customHeight="1" x14ac:dyDescent="0.3">
      <c r="A556" s="15" t="s">
        <v>341</v>
      </c>
      <c r="B556" s="1">
        <f>B554+B595</f>
        <v>8994</v>
      </c>
      <c r="C556" s="1">
        <f>C554+C595</f>
        <v>8650</v>
      </c>
      <c r="D556" s="1">
        <f>D554+D595</f>
        <v>12812</v>
      </c>
      <c r="E556" s="55">
        <f>SUM(B556:D556)</f>
        <v>30456</v>
      </c>
      <c r="F556" s="1">
        <f>F554+F595</f>
        <v>14555</v>
      </c>
      <c r="G556" s="1">
        <f>G554+G595</f>
        <v>15330</v>
      </c>
      <c r="H556" s="1">
        <f>H554+H595</f>
        <v>14258</v>
      </c>
      <c r="I556" s="55">
        <f>SUM(F556:H556)</f>
        <v>44143</v>
      </c>
      <c r="J556" s="1">
        <f>J554+J595</f>
        <v>15002</v>
      </c>
      <c r="K556" s="1">
        <f>K554+K595</f>
        <v>17572</v>
      </c>
      <c r="L556" s="1">
        <f>L554+L595</f>
        <v>17020</v>
      </c>
      <c r="M556" s="55">
        <f>SUM(J556:L556)</f>
        <v>49594</v>
      </c>
      <c r="N556" s="1">
        <f>N554+N595</f>
        <v>12294</v>
      </c>
      <c r="O556" s="1">
        <f>O554+O595</f>
        <v>7488</v>
      </c>
      <c r="P556" s="1">
        <f>P554+P595</f>
        <v>10098</v>
      </c>
      <c r="Q556" s="55">
        <f>SUM(N556:P556)</f>
        <v>29880</v>
      </c>
      <c r="R556" s="55">
        <f>+E556+I556+M556+Q556</f>
        <v>154073</v>
      </c>
    </row>
    <row r="557" spans="1:18" ht="15.75" customHeight="1" thickBot="1" x14ac:dyDescent="0.35">
      <c r="A557" s="20" t="s">
        <v>342</v>
      </c>
      <c r="B557" s="21">
        <f>(B556/31)/1.983</f>
        <v>146.30813527890294</v>
      </c>
      <c r="C557" s="21">
        <f>(C556/28)/1.983</f>
        <v>155.7884878611051</v>
      </c>
      <c r="D557" s="21">
        <f>(D556/31)/1.983</f>
        <v>208.41670326810143</v>
      </c>
      <c r="E557" s="81" t="s">
        <v>7</v>
      </c>
      <c r="F557" s="21">
        <f>(F556/30)/1.983</f>
        <v>244.66296856614557</v>
      </c>
      <c r="G557" s="21">
        <f>(G556/31)/1.983</f>
        <v>249.37777560880386</v>
      </c>
      <c r="H557" s="21">
        <f>(H556/30)/1.983</f>
        <v>239.67053286266597</v>
      </c>
      <c r="I557" s="81" t="s">
        <v>7</v>
      </c>
      <c r="J557" s="21">
        <f>(J556/31)/1.983</f>
        <v>244.04209978364483</v>
      </c>
      <c r="K557" s="21">
        <f>(K556/31)/1.983</f>
        <v>285.84907195028711</v>
      </c>
      <c r="L557" s="21">
        <f>(L556/30)/1.983</f>
        <v>286.09850395024375</v>
      </c>
      <c r="M557" s="81" t="s">
        <v>7</v>
      </c>
      <c r="N557" s="21">
        <f>(N556/31)/1.983</f>
        <v>199.99023961739297</v>
      </c>
      <c r="O557" s="21">
        <f>(O556/30)/1.983</f>
        <v>125.86989409984871</v>
      </c>
      <c r="P557" s="21">
        <f>(P556/31)/1.983</f>
        <v>164.26723927577962</v>
      </c>
      <c r="Q557" s="81" t="s">
        <v>7</v>
      </c>
      <c r="R557" s="81" t="s">
        <v>7</v>
      </c>
    </row>
    <row r="558" spans="1:18" ht="15.75" customHeight="1" x14ac:dyDescent="0.3">
      <c r="A558" s="2"/>
      <c r="B558" s="1"/>
      <c r="C558" s="1"/>
      <c r="D558" s="1"/>
      <c r="E558" s="1"/>
      <c r="F558" s="1"/>
      <c r="G558" s="1"/>
      <c r="H558" s="1"/>
      <c r="I558" s="1"/>
      <c r="J558" s="1"/>
      <c r="K558" s="1"/>
      <c r="L558" s="1"/>
      <c r="M558" s="1"/>
      <c r="N558" s="1"/>
      <c r="O558" s="1"/>
      <c r="P558" s="1"/>
      <c r="Q558" s="1"/>
      <c r="R558" s="2"/>
    </row>
    <row r="559" spans="1:18" ht="15.75" customHeight="1" thickBot="1" x14ac:dyDescent="0.35">
      <c r="A559" s="106"/>
      <c r="B559" s="21"/>
      <c r="C559" s="21"/>
      <c r="D559" s="21"/>
      <c r="E559" s="21"/>
      <c r="F559" s="21"/>
      <c r="G559" s="21"/>
      <c r="H559" s="21"/>
      <c r="I559" s="21"/>
      <c r="J559" s="21"/>
      <c r="K559" s="21"/>
      <c r="L559" s="21"/>
      <c r="M559" s="21"/>
      <c r="N559" s="21"/>
      <c r="O559" s="21"/>
      <c r="P559" s="21"/>
      <c r="Q559" s="21"/>
      <c r="R559" s="106"/>
    </row>
    <row r="560" spans="1:18" ht="15.75" customHeight="1" thickBot="1" x14ac:dyDescent="0.35">
      <c r="A560" s="107" t="s">
        <v>343</v>
      </c>
      <c r="B560" s="47" t="s">
        <v>8</v>
      </c>
      <c r="C560" s="48" t="s">
        <v>9</v>
      </c>
      <c r="D560" s="48" t="s">
        <v>10</v>
      </c>
      <c r="E560" s="32" t="s">
        <v>11</v>
      </c>
      <c r="F560" s="48" t="s">
        <v>12</v>
      </c>
      <c r="G560" s="48" t="s">
        <v>13</v>
      </c>
      <c r="H560" s="48" t="s">
        <v>14</v>
      </c>
      <c r="I560" s="32" t="s">
        <v>15</v>
      </c>
      <c r="J560" s="48" t="s">
        <v>16</v>
      </c>
      <c r="K560" s="48" t="s">
        <v>17</v>
      </c>
      <c r="L560" s="48" t="s">
        <v>18</v>
      </c>
      <c r="M560" s="32" t="s">
        <v>19</v>
      </c>
      <c r="N560" s="48" t="s">
        <v>20</v>
      </c>
      <c r="O560" s="48" t="s">
        <v>21</v>
      </c>
      <c r="P560" s="48" t="s">
        <v>22</v>
      </c>
      <c r="Q560" s="32" t="s">
        <v>23</v>
      </c>
      <c r="R560" s="49" t="s">
        <v>24</v>
      </c>
    </row>
    <row r="561" spans="1:18" ht="15.75" customHeight="1" thickBot="1" x14ac:dyDescent="0.35">
      <c r="A561" s="130"/>
      <c r="B561" s="51"/>
      <c r="C561" s="51"/>
      <c r="D561" s="51"/>
      <c r="E561" s="52"/>
      <c r="F561" s="51"/>
      <c r="G561" s="51"/>
      <c r="H561" s="51"/>
      <c r="I561" s="52"/>
      <c r="J561" s="51"/>
      <c r="K561" s="51"/>
      <c r="L561" s="51"/>
      <c r="M561" s="52"/>
      <c r="N561" s="51"/>
      <c r="O561" s="51"/>
      <c r="P561" s="51"/>
      <c r="Q561" s="52"/>
      <c r="R561" s="53"/>
    </row>
    <row r="562" spans="1:18" ht="15.75" customHeight="1" x14ac:dyDescent="0.3">
      <c r="A562" s="15" t="s">
        <v>48</v>
      </c>
      <c r="B562" s="1" t="s">
        <v>7</v>
      </c>
      <c r="C562" s="1" t="s">
        <v>7</v>
      </c>
      <c r="D562" s="1" t="s">
        <v>7</v>
      </c>
      <c r="E562" s="55" t="s">
        <v>7</v>
      </c>
      <c r="F562" s="1" t="s">
        <v>7</v>
      </c>
      <c r="G562" s="1" t="s">
        <v>7</v>
      </c>
      <c r="H562" s="1" t="s">
        <v>7</v>
      </c>
      <c r="I562" s="55" t="s">
        <v>7</v>
      </c>
      <c r="J562" s="1" t="s">
        <v>7</v>
      </c>
      <c r="K562" s="1" t="s">
        <v>7</v>
      </c>
      <c r="L562" s="1" t="s">
        <v>7</v>
      </c>
      <c r="M562" s="55" t="s">
        <v>7</v>
      </c>
      <c r="N562" s="1" t="s">
        <v>7</v>
      </c>
      <c r="O562" s="1" t="s">
        <v>7</v>
      </c>
      <c r="P562" s="1" t="s">
        <v>7</v>
      </c>
      <c r="Q562" s="55" t="s">
        <v>7</v>
      </c>
      <c r="R562" s="55" t="s">
        <v>7</v>
      </c>
    </row>
    <row r="563" spans="1:18" ht="15.75" customHeight="1" x14ac:dyDescent="0.3">
      <c r="A563" s="15" t="s">
        <v>49</v>
      </c>
      <c r="B563" s="1"/>
      <c r="C563" s="1"/>
      <c r="D563" s="1"/>
      <c r="E563" s="55" t="s">
        <v>7</v>
      </c>
      <c r="F563" s="1"/>
      <c r="G563" s="1"/>
      <c r="H563" s="1"/>
      <c r="I563" s="55" t="s">
        <v>7</v>
      </c>
      <c r="J563" s="1"/>
      <c r="K563" s="1"/>
      <c r="L563" s="1"/>
      <c r="M563" s="55" t="s">
        <v>7</v>
      </c>
      <c r="N563" s="1"/>
      <c r="O563" s="1"/>
      <c r="P563" s="1"/>
      <c r="Q563" s="55" t="s">
        <v>7</v>
      </c>
      <c r="R563" s="55" t="s">
        <v>7</v>
      </c>
    </row>
    <row r="564" spans="1:18" ht="15.75" customHeight="1" x14ac:dyDescent="0.3">
      <c r="A564" s="71" t="s">
        <v>344</v>
      </c>
      <c r="B564" s="1">
        <v>6020</v>
      </c>
      <c r="C564" s="1">
        <v>4938</v>
      </c>
      <c r="D564" s="1">
        <v>7914</v>
      </c>
      <c r="E564" s="55">
        <f>SUM(B564:D564)</f>
        <v>18872</v>
      </c>
      <c r="F564" s="1">
        <v>7402</v>
      </c>
      <c r="G564" s="1">
        <v>7985</v>
      </c>
      <c r="H564" s="1">
        <v>7722</v>
      </c>
      <c r="I564" s="55">
        <f>SUM(F564:H564)</f>
        <v>23109</v>
      </c>
      <c r="J564" s="1">
        <v>6616</v>
      </c>
      <c r="K564" s="1">
        <v>6444</v>
      </c>
      <c r="L564" s="1">
        <v>7981</v>
      </c>
      <c r="M564" s="55">
        <f>SUM(J564:L564)</f>
        <v>21041</v>
      </c>
      <c r="N564" s="1">
        <v>5892</v>
      </c>
      <c r="O564" s="1">
        <v>2397</v>
      </c>
      <c r="P564" s="1">
        <v>1069</v>
      </c>
      <c r="Q564" s="55">
        <f>SUM(N564:P564)</f>
        <v>9358</v>
      </c>
      <c r="R564" s="55">
        <f>+E564+I564+M564+Q564</f>
        <v>72380</v>
      </c>
    </row>
    <row r="565" spans="1:18" ht="15.75" customHeight="1" x14ac:dyDescent="0.3">
      <c r="A565" s="71" t="s">
        <v>345</v>
      </c>
      <c r="B565" s="1">
        <v>0</v>
      </c>
      <c r="C565" s="1">
        <v>0</v>
      </c>
      <c r="D565" s="1">
        <v>15</v>
      </c>
      <c r="E565" s="55">
        <f>SUM(B565:D565)</f>
        <v>15</v>
      </c>
      <c r="F565" s="1">
        <v>862</v>
      </c>
      <c r="G565" s="1">
        <v>1737</v>
      </c>
      <c r="H565" s="1">
        <v>2380</v>
      </c>
      <c r="I565" s="55">
        <f>SUM(F565:H565)</f>
        <v>4979</v>
      </c>
      <c r="J565" s="1">
        <v>3068</v>
      </c>
      <c r="K565" s="1">
        <v>3532</v>
      </c>
      <c r="L565" s="1">
        <v>3677</v>
      </c>
      <c r="M565" s="55">
        <f>SUM(J565:L565)</f>
        <v>10277</v>
      </c>
      <c r="N565" s="1">
        <v>3109</v>
      </c>
      <c r="O565" s="1">
        <v>2830</v>
      </c>
      <c r="P565" s="1">
        <v>4053</v>
      </c>
      <c r="Q565" s="55">
        <f>SUM(N565:P565)</f>
        <v>9992</v>
      </c>
      <c r="R565" s="55">
        <f>+E565+I565+M565+Q565</f>
        <v>25263</v>
      </c>
    </row>
    <row r="566" spans="1:18" ht="15.75" customHeight="1" x14ac:dyDescent="0.3">
      <c r="A566" s="15" t="s">
        <v>50</v>
      </c>
      <c r="B566" s="1"/>
      <c r="C566" s="1"/>
      <c r="D566" s="1"/>
      <c r="E566" s="55" t="s">
        <v>7</v>
      </c>
      <c r="F566" s="1"/>
      <c r="G566" s="1"/>
      <c r="H566" s="1"/>
      <c r="I566" s="55" t="s">
        <v>7</v>
      </c>
      <c r="J566" s="1"/>
      <c r="K566" s="1"/>
      <c r="L566" s="1"/>
      <c r="M566" s="55" t="s">
        <v>7</v>
      </c>
      <c r="N566" s="1"/>
      <c r="O566" s="1"/>
      <c r="P566" s="1"/>
      <c r="Q566" s="55" t="s">
        <v>7</v>
      </c>
      <c r="R566" s="55" t="s">
        <v>7</v>
      </c>
    </row>
    <row r="567" spans="1:18" ht="15.75" customHeight="1" x14ac:dyDescent="0.3">
      <c r="A567" s="15" t="s">
        <v>51</v>
      </c>
      <c r="B567" s="1"/>
      <c r="C567" s="1"/>
      <c r="D567" s="1"/>
      <c r="E567" s="55" t="s">
        <v>7</v>
      </c>
      <c r="F567" s="1"/>
      <c r="G567" s="1"/>
      <c r="H567" s="1"/>
      <c r="I567" s="55" t="s">
        <v>7</v>
      </c>
      <c r="J567" s="1"/>
      <c r="K567" s="1"/>
      <c r="L567" s="1"/>
      <c r="M567" s="55" t="s">
        <v>7</v>
      </c>
      <c r="N567" s="1"/>
      <c r="O567" s="1"/>
      <c r="P567" s="1"/>
      <c r="Q567" s="55" t="s">
        <v>7</v>
      </c>
      <c r="R567" s="55" t="s">
        <v>7</v>
      </c>
    </row>
    <row r="568" spans="1:18" ht="15.75" customHeight="1" thickBot="1" x14ac:dyDescent="0.35">
      <c r="A568" s="15" t="s">
        <v>53</v>
      </c>
      <c r="B568" s="1"/>
      <c r="C568" s="1"/>
      <c r="D568" s="1"/>
      <c r="E568" s="55" t="s">
        <v>7</v>
      </c>
      <c r="F568" s="1"/>
      <c r="G568" s="1"/>
      <c r="H568" s="1"/>
      <c r="I568" s="55" t="s">
        <v>7</v>
      </c>
      <c r="J568" s="1"/>
      <c r="K568" s="1"/>
      <c r="L568" s="1"/>
      <c r="M568" s="55" t="s">
        <v>7</v>
      </c>
      <c r="N568" s="1"/>
      <c r="O568" s="1"/>
      <c r="P568" s="1"/>
      <c r="Q568" s="55" t="s">
        <v>7</v>
      </c>
      <c r="R568" s="55" t="s">
        <v>7</v>
      </c>
    </row>
    <row r="569" spans="1:18" ht="15.75" customHeight="1" thickBot="1" x14ac:dyDescent="0.35">
      <c r="A569" s="109" t="s">
        <v>54</v>
      </c>
      <c r="B569" s="86">
        <f>SUM(B562:B568)</f>
        <v>6020</v>
      </c>
      <c r="C569" s="87">
        <f>SUM(C562:C568)</f>
        <v>4938</v>
      </c>
      <c r="D569" s="87">
        <f>SUM(D562:D568)</f>
        <v>7929</v>
      </c>
      <c r="E569" s="59">
        <f>SUM(B569:D569)</f>
        <v>18887</v>
      </c>
      <c r="F569" s="87">
        <f>SUM(F562:F568)</f>
        <v>8264</v>
      </c>
      <c r="G569" s="87">
        <f>SUM(G562:G568)</f>
        <v>9722</v>
      </c>
      <c r="H569" s="87">
        <f>SUM(H562:H568)</f>
        <v>10102</v>
      </c>
      <c r="I569" s="59">
        <f>SUM(F569:H569)</f>
        <v>28088</v>
      </c>
      <c r="J569" s="87">
        <f>SUM(J562:J568)</f>
        <v>9684</v>
      </c>
      <c r="K569" s="87">
        <f>SUM(K562:K568)</f>
        <v>9976</v>
      </c>
      <c r="L569" s="87">
        <f>SUM(L562:L568)</f>
        <v>11658</v>
      </c>
      <c r="M569" s="59">
        <f>SUM(J569:L569)</f>
        <v>31318</v>
      </c>
      <c r="N569" s="87">
        <f>SUM(N562:N568)</f>
        <v>9001</v>
      </c>
      <c r="O569" s="87">
        <f>SUM(O562:O568)</f>
        <v>5227</v>
      </c>
      <c r="P569" s="87">
        <f>SUM(P562:P568)</f>
        <v>5122</v>
      </c>
      <c r="Q569" s="59">
        <f>SUM(N569:P569)</f>
        <v>19350</v>
      </c>
      <c r="R569" s="59">
        <f>+E569+I569+M569+Q569</f>
        <v>97643</v>
      </c>
    </row>
    <row r="570" spans="1:18" ht="15.75" customHeight="1" x14ac:dyDescent="0.3">
      <c r="A570" s="15" t="s">
        <v>55</v>
      </c>
      <c r="B570" s="1"/>
      <c r="C570" s="1"/>
      <c r="D570" s="1"/>
      <c r="E570" s="55" t="s">
        <v>7</v>
      </c>
      <c r="F570" s="1"/>
      <c r="G570" s="1"/>
      <c r="H570" s="1"/>
      <c r="I570" s="55" t="s">
        <v>7</v>
      </c>
      <c r="J570" s="1"/>
      <c r="K570" s="1"/>
      <c r="L570" s="1"/>
      <c r="M570" s="55" t="s">
        <v>7</v>
      </c>
      <c r="N570" s="1"/>
      <c r="O570" s="1"/>
      <c r="P570" s="1"/>
      <c r="Q570" s="55" t="s">
        <v>7</v>
      </c>
      <c r="R570" s="55" t="s">
        <v>7</v>
      </c>
    </row>
    <row r="571" spans="1:18" ht="15.75" customHeight="1" x14ac:dyDescent="0.3">
      <c r="A571" s="15" t="s">
        <v>57</v>
      </c>
      <c r="B571" s="1"/>
      <c r="C571" s="1"/>
      <c r="D571" s="1"/>
      <c r="E571" s="55" t="s">
        <v>7</v>
      </c>
      <c r="F571" s="1"/>
      <c r="G571" s="1"/>
      <c r="H571" s="1"/>
      <c r="I571" s="55" t="s">
        <v>7</v>
      </c>
      <c r="J571" s="1"/>
      <c r="K571" s="1"/>
      <c r="L571" s="1"/>
      <c r="M571" s="55" t="s">
        <v>7</v>
      </c>
      <c r="N571" s="1"/>
      <c r="O571" s="1"/>
      <c r="P571" s="1"/>
      <c r="Q571" s="55" t="s">
        <v>7</v>
      </c>
      <c r="R571" s="55" t="s">
        <v>7</v>
      </c>
    </row>
    <row r="572" spans="1:18" ht="15.75" customHeight="1" thickBot="1" x14ac:dyDescent="0.35">
      <c r="A572" s="15" t="s">
        <v>58</v>
      </c>
      <c r="B572" s="1"/>
      <c r="C572" s="1"/>
      <c r="D572" s="1"/>
      <c r="E572" s="55" t="s">
        <v>7</v>
      </c>
      <c r="F572" s="1"/>
      <c r="G572" s="1"/>
      <c r="H572" s="1"/>
      <c r="I572" s="55" t="s">
        <v>7</v>
      </c>
      <c r="J572" s="1"/>
      <c r="K572" s="1"/>
      <c r="L572" s="1"/>
      <c r="M572" s="55" t="s">
        <v>7</v>
      </c>
      <c r="N572" s="1"/>
      <c r="O572" s="1"/>
      <c r="P572" s="1"/>
      <c r="Q572" s="55" t="s">
        <v>7</v>
      </c>
      <c r="R572" s="55" t="s">
        <v>7</v>
      </c>
    </row>
    <row r="573" spans="1:18" ht="15.75" customHeight="1" thickBot="1" x14ac:dyDescent="0.35">
      <c r="A573" s="57" t="s">
        <v>59</v>
      </c>
      <c r="B573" s="86">
        <f>SUM(B570:B572)</f>
        <v>0</v>
      </c>
      <c r="C573" s="87">
        <f>SUM(C570:C572)</f>
        <v>0</v>
      </c>
      <c r="D573" s="87">
        <f>SUM(D570:D572)</f>
        <v>0</v>
      </c>
      <c r="E573" s="59">
        <f>SUM(B573:D573)</f>
        <v>0</v>
      </c>
      <c r="F573" s="87">
        <f>SUM(F570:F572)</f>
        <v>0</v>
      </c>
      <c r="G573" s="87">
        <f>SUM(G570:G572)</f>
        <v>0</v>
      </c>
      <c r="H573" s="87">
        <f>SUM(H570:H572)</f>
        <v>0</v>
      </c>
      <c r="I573" s="59">
        <f>SUM(F573:H573)</f>
        <v>0</v>
      </c>
      <c r="J573" s="87">
        <f>SUM(J570:J572)</f>
        <v>0</v>
      </c>
      <c r="K573" s="87">
        <f>SUM(K570:K572)</f>
        <v>0</v>
      </c>
      <c r="L573" s="87">
        <f>SUM(L570:L572)</f>
        <v>0</v>
      </c>
      <c r="M573" s="59">
        <f>SUM(J573:L573)</f>
        <v>0</v>
      </c>
      <c r="N573" s="87">
        <f>SUM(N570:N572)</f>
        <v>0</v>
      </c>
      <c r="O573" s="87">
        <f>SUM(O570:O572)</f>
        <v>0</v>
      </c>
      <c r="P573" s="87">
        <f>SUM(P570:P572)</f>
        <v>0</v>
      </c>
      <c r="Q573" s="59">
        <f>SUM(N573:P573)</f>
        <v>0</v>
      </c>
      <c r="R573" s="59">
        <f>+E573+I573+M573+Q573</f>
        <v>0</v>
      </c>
    </row>
    <row r="574" spans="1:18" ht="15.75" customHeight="1" x14ac:dyDescent="0.3">
      <c r="A574" s="15" t="s">
        <v>60</v>
      </c>
      <c r="B574" s="1"/>
      <c r="C574" s="1"/>
      <c r="D574" s="1"/>
      <c r="E574" s="55" t="s">
        <v>7</v>
      </c>
      <c r="F574" s="1"/>
      <c r="G574" s="1"/>
      <c r="H574" s="1"/>
      <c r="I574" s="55" t="s">
        <v>7</v>
      </c>
      <c r="J574" s="1"/>
      <c r="K574" s="1"/>
      <c r="L574" s="1"/>
      <c r="M574" s="55" t="s">
        <v>7</v>
      </c>
      <c r="N574" s="1"/>
      <c r="O574" s="1"/>
      <c r="P574" s="1"/>
      <c r="Q574" s="55" t="s">
        <v>7</v>
      </c>
      <c r="R574" s="55" t="s">
        <v>7</v>
      </c>
    </row>
    <row r="575" spans="1:18" ht="15.75" customHeight="1" x14ac:dyDescent="0.3">
      <c r="A575" s="15" t="s">
        <v>61</v>
      </c>
      <c r="B575" s="1"/>
      <c r="C575" s="1"/>
      <c r="D575" s="1"/>
      <c r="E575" s="55" t="s">
        <v>7</v>
      </c>
      <c r="F575" s="1"/>
      <c r="G575" s="1"/>
      <c r="H575" s="1"/>
      <c r="I575" s="55" t="s">
        <v>7</v>
      </c>
      <c r="J575" s="1"/>
      <c r="K575" s="1"/>
      <c r="L575" s="1"/>
      <c r="M575" s="55" t="s">
        <v>7</v>
      </c>
      <c r="N575" s="1"/>
      <c r="O575" s="1"/>
      <c r="P575" s="1"/>
      <c r="Q575" s="55" t="s">
        <v>7</v>
      </c>
      <c r="R575" s="55" t="s">
        <v>7</v>
      </c>
    </row>
    <row r="576" spans="1:18" ht="15.75" customHeight="1" x14ac:dyDescent="0.3">
      <c r="A576" s="71" t="s">
        <v>346</v>
      </c>
      <c r="B576" s="1">
        <v>803</v>
      </c>
      <c r="C576" s="1">
        <v>721</v>
      </c>
      <c r="D576" s="1">
        <v>1766</v>
      </c>
      <c r="E576" s="55">
        <f>SUM(B576:D576)</f>
        <v>3290</v>
      </c>
      <c r="F576" s="1">
        <v>2056</v>
      </c>
      <c r="G576" s="1">
        <v>1743</v>
      </c>
      <c r="H576" s="1">
        <v>1137</v>
      </c>
      <c r="I576" s="55">
        <f>SUM(F576:H576)</f>
        <v>4936</v>
      </c>
      <c r="J576" s="1">
        <v>1052</v>
      </c>
      <c r="K576" s="1">
        <v>1800</v>
      </c>
      <c r="L576" s="1">
        <v>1573</v>
      </c>
      <c r="M576" s="55">
        <f>SUM(J576:L576)</f>
        <v>4425</v>
      </c>
      <c r="N576" s="1">
        <v>372</v>
      </c>
      <c r="O576" s="1">
        <v>355</v>
      </c>
      <c r="P576" s="1">
        <v>261</v>
      </c>
      <c r="Q576" s="55">
        <f>SUM(N576:P576)</f>
        <v>988</v>
      </c>
      <c r="R576" s="55">
        <f>+E576+I576+M576+Q576</f>
        <v>13639</v>
      </c>
    </row>
    <row r="577" spans="1:18" ht="15.75" customHeight="1" thickBot="1" x14ac:dyDescent="0.35">
      <c r="A577" s="15" t="s">
        <v>62</v>
      </c>
      <c r="B577" s="1"/>
      <c r="C577" s="1"/>
      <c r="D577" s="1"/>
      <c r="E577" s="55" t="s">
        <v>7</v>
      </c>
      <c r="F577" s="1"/>
      <c r="G577" s="1"/>
      <c r="H577" s="1"/>
      <c r="I577" s="55" t="s">
        <v>7</v>
      </c>
      <c r="J577" s="1"/>
      <c r="K577" s="1"/>
      <c r="L577" s="1"/>
      <c r="M577" s="55" t="s">
        <v>7</v>
      </c>
      <c r="N577" s="1"/>
      <c r="O577" s="1"/>
      <c r="P577" s="1"/>
      <c r="Q577" s="55" t="s">
        <v>7</v>
      </c>
      <c r="R577" s="55" t="s">
        <v>7</v>
      </c>
    </row>
    <row r="578" spans="1:18" ht="15.75" customHeight="1" thickBot="1" x14ac:dyDescent="0.35">
      <c r="A578" s="57" t="s">
        <v>63</v>
      </c>
      <c r="B578" s="86">
        <f>SUM(B574:B577)</f>
        <v>803</v>
      </c>
      <c r="C578" s="87">
        <f>SUM(C574:C577)</f>
        <v>721</v>
      </c>
      <c r="D578" s="87">
        <f>SUM(D574:D577)</f>
        <v>1766</v>
      </c>
      <c r="E578" s="59">
        <f>SUM(B578:D578)</f>
        <v>3290</v>
      </c>
      <c r="F578" s="87">
        <f>SUM(F574:F577)</f>
        <v>2056</v>
      </c>
      <c r="G578" s="87">
        <f>SUM(G574:G577)</f>
        <v>1743</v>
      </c>
      <c r="H578" s="87">
        <f>SUM(H574:H577)</f>
        <v>1137</v>
      </c>
      <c r="I578" s="59">
        <f>SUM(F578:H578)</f>
        <v>4936</v>
      </c>
      <c r="J578" s="87">
        <f>SUM(J574:J577)</f>
        <v>1052</v>
      </c>
      <c r="K578" s="87">
        <f>SUM(K574:K577)</f>
        <v>1800</v>
      </c>
      <c r="L578" s="87">
        <f>SUM(L574:L577)</f>
        <v>1573</v>
      </c>
      <c r="M578" s="59">
        <f>SUM(J578:L578)</f>
        <v>4425</v>
      </c>
      <c r="N578" s="87">
        <f>SUM(N574:N577)</f>
        <v>372</v>
      </c>
      <c r="O578" s="87">
        <f>SUM(O574:O577)</f>
        <v>355</v>
      </c>
      <c r="P578" s="87">
        <f>SUM(P574:P577)</f>
        <v>261</v>
      </c>
      <c r="Q578" s="59">
        <f>SUM(N578:P578)</f>
        <v>988</v>
      </c>
      <c r="R578" s="59">
        <f>+E578+I578+M578+Q578</f>
        <v>13639</v>
      </c>
    </row>
    <row r="579" spans="1:18" ht="15.75" customHeight="1" x14ac:dyDescent="0.3">
      <c r="A579" s="15" t="s">
        <v>64</v>
      </c>
      <c r="B579" s="1"/>
      <c r="C579" s="1"/>
      <c r="D579" s="1"/>
      <c r="E579" s="55" t="s">
        <v>7</v>
      </c>
      <c r="F579" s="1"/>
      <c r="G579" s="1"/>
      <c r="H579" s="1"/>
      <c r="I579" s="55" t="s">
        <v>7</v>
      </c>
      <c r="J579" s="1"/>
      <c r="K579" s="1"/>
      <c r="L579" s="1"/>
      <c r="M579" s="55" t="s">
        <v>7</v>
      </c>
      <c r="N579" s="1"/>
      <c r="O579" s="1"/>
      <c r="P579" s="1"/>
      <c r="Q579" s="55" t="s">
        <v>7</v>
      </c>
      <c r="R579" s="55" t="s">
        <v>7</v>
      </c>
    </row>
    <row r="580" spans="1:18" ht="15.75" customHeight="1" x14ac:dyDescent="0.3">
      <c r="A580" s="15" t="s">
        <v>65</v>
      </c>
      <c r="B580" s="1"/>
      <c r="C580" s="1"/>
      <c r="D580" s="1"/>
      <c r="E580" s="55" t="s">
        <v>7</v>
      </c>
      <c r="F580" s="1"/>
      <c r="G580" s="1"/>
      <c r="H580" s="1"/>
      <c r="I580" s="55" t="s">
        <v>7</v>
      </c>
      <c r="J580" s="1"/>
      <c r="K580" s="1"/>
      <c r="L580" s="1"/>
      <c r="M580" s="55" t="s">
        <v>7</v>
      </c>
      <c r="N580" s="1"/>
      <c r="O580" s="1"/>
      <c r="P580" s="1"/>
      <c r="Q580" s="55" t="s">
        <v>7</v>
      </c>
      <c r="R580" s="55" t="s">
        <v>7</v>
      </c>
    </row>
    <row r="581" spans="1:18" ht="15.75" customHeight="1" x14ac:dyDescent="0.3">
      <c r="A581" s="15" t="s">
        <v>67</v>
      </c>
      <c r="B581" s="1"/>
      <c r="C581" s="1"/>
      <c r="D581" s="1"/>
      <c r="E581" s="55" t="s">
        <v>7</v>
      </c>
      <c r="F581" s="1"/>
      <c r="G581" s="1"/>
      <c r="H581" s="1"/>
      <c r="I581" s="55" t="s">
        <v>7</v>
      </c>
      <c r="J581" s="1"/>
      <c r="K581" s="1"/>
      <c r="L581" s="1"/>
      <c r="M581" s="55" t="s">
        <v>7</v>
      </c>
      <c r="N581" s="1"/>
      <c r="O581" s="1"/>
      <c r="P581" s="1"/>
      <c r="Q581" s="55" t="s">
        <v>7</v>
      </c>
      <c r="R581" s="55" t="s">
        <v>7</v>
      </c>
    </row>
    <row r="582" spans="1:18" ht="15.75" customHeight="1" x14ac:dyDescent="0.3">
      <c r="A582" s="71" t="s">
        <v>347</v>
      </c>
      <c r="B582" s="1">
        <v>1175</v>
      </c>
      <c r="C582" s="1">
        <v>1500</v>
      </c>
      <c r="D582" s="1">
        <v>0</v>
      </c>
      <c r="E582" s="55">
        <f>SUM(B582:D582)</f>
        <v>2675</v>
      </c>
      <c r="F582" s="1">
        <v>0</v>
      </c>
      <c r="G582" s="1">
        <v>0</v>
      </c>
      <c r="H582" s="1">
        <v>0</v>
      </c>
      <c r="I582" s="55">
        <f>SUM(F582:H582)</f>
        <v>0</v>
      </c>
      <c r="J582" s="1">
        <v>1500</v>
      </c>
      <c r="K582" s="1">
        <v>1500</v>
      </c>
      <c r="L582" s="1">
        <v>0</v>
      </c>
      <c r="M582" s="55">
        <f>SUM(J582:L582)</f>
        <v>3000</v>
      </c>
      <c r="N582" s="1">
        <v>0</v>
      </c>
      <c r="O582" s="1">
        <v>0</v>
      </c>
      <c r="P582" s="1">
        <v>2000</v>
      </c>
      <c r="Q582" s="55">
        <f>SUM(N582:P582)</f>
        <v>2000</v>
      </c>
      <c r="R582" s="55">
        <f>+E582+I582+M582+Q582</f>
        <v>7675</v>
      </c>
    </row>
    <row r="583" spans="1:18" ht="15.75" customHeight="1" x14ac:dyDescent="0.3">
      <c r="A583" s="71" t="s">
        <v>348</v>
      </c>
      <c r="B583" s="1">
        <v>0</v>
      </c>
      <c r="C583" s="1">
        <v>0</v>
      </c>
      <c r="D583" s="1">
        <v>0</v>
      </c>
      <c r="E583" s="55">
        <f>SUM(B583:D583)</f>
        <v>0</v>
      </c>
      <c r="F583" s="1">
        <v>0</v>
      </c>
      <c r="G583" s="1">
        <v>0</v>
      </c>
      <c r="H583" s="1">
        <v>0</v>
      </c>
      <c r="I583" s="55">
        <f>SUM(F583:H583)</f>
        <v>0</v>
      </c>
      <c r="J583" s="1">
        <v>0</v>
      </c>
      <c r="K583" s="1">
        <v>0</v>
      </c>
      <c r="L583" s="1">
        <v>0</v>
      </c>
      <c r="M583" s="55">
        <f>SUM(J583:L583)</f>
        <v>0</v>
      </c>
      <c r="N583" s="1">
        <v>0</v>
      </c>
      <c r="O583" s="1">
        <v>0</v>
      </c>
      <c r="P583" s="1">
        <v>0</v>
      </c>
      <c r="Q583" s="55">
        <f>SUM(N583:P583)</f>
        <v>0</v>
      </c>
      <c r="R583" s="55">
        <f>+E583+I583+M583+Q583</f>
        <v>0</v>
      </c>
    </row>
    <row r="584" spans="1:18" ht="15.75" customHeight="1" x14ac:dyDescent="0.3">
      <c r="A584" s="71" t="s">
        <v>349</v>
      </c>
      <c r="B584" s="1">
        <v>0</v>
      </c>
      <c r="C584" s="1">
        <v>0</v>
      </c>
      <c r="D584" s="1">
        <v>0</v>
      </c>
      <c r="E584" s="55">
        <f>SUM(B584:D584)</f>
        <v>0</v>
      </c>
      <c r="F584" s="1">
        <v>0</v>
      </c>
      <c r="G584" s="1">
        <v>0</v>
      </c>
      <c r="H584" s="1">
        <v>0</v>
      </c>
      <c r="I584" s="55">
        <f>SUM(F584:H584)</f>
        <v>0</v>
      </c>
      <c r="J584" s="1">
        <v>0</v>
      </c>
      <c r="K584" s="1">
        <v>0</v>
      </c>
      <c r="L584" s="1">
        <v>0</v>
      </c>
      <c r="M584" s="55">
        <f>SUM(J584:L584)</f>
        <v>0</v>
      </c>
      <c r="N584" s="1">
        <v>0</v>
      </c>
      <c r="O584" s="1">
        <v>0</v>
      </c>
      <c r="P584" s="1">
        <v>0</v>
      </c>
      <c r="Q584" s="55">
        <f>SUM(N584:P584)</f>
        <v>0</v>
      </c>
      <c r="R584" s="55">
        <f>+E584+I584+M584+Q584</f>
        <v>0</v>
      </c>
    </row>
    <row r="585" spans="1:18" ht="15.75" customHeight="1" x14ac:dyDescent="0.3">
      <c r="A585" s="71" t="s">
        <v>350</v>
      </c>
      <c r="B585" s="1">
        <v>0</v>
      </c>
      <c r="C585" s="1">
        <v>0</v>
      </c>
      <c r="D585" s="1">
        <v>0</v>
      </c>
      <c r="E585" s="55">
        <f>SUM(B585:D585)</f>
        <v>0</v>
      </c>
      <c r="F585" s="1">
        <v>0</v>
      </c>
      <c r="G585" s="1">
        <v>0</v>
      </c>
      <c r="H585" s="1">
        <v>0</v>
      </c>
      <c r="I585" s="55">
        <f>SUM(F585:H585)</f>
        <v>0</v>
      </c>
      <c r="J585" s="1">
        <v>0</v>
      </c>
      <c r="K585" s="1">
        <v>0</v>
      </c>
      <c r="L585" s="1">
        <v>0</v>
      </c>
      <c r="M585" s="55">
        <f>SUM(J585:L585)</f>
        <v>0</v>
      </c>
      <c r="N585" s="1">
        <v>0</v>
      </c>
      <c r="O585" s="1">
        <v>0</v>
      </c>
      <c r="P585" s="1">
        <v>0</v>
      </c>
      <c r="Q585" s="55">
        <f>SUM(N585:P585)</f>
        <v>0</v>
      </c>
      <c r="R585" s="55">
        <f>+E585+I585+M585+Q585</f>
        <v>0</v>
      </c>
    </row>
    <row r="586" spans="1:18" ht="15.75" customHeight="1" x14ac:dyDescent="0.3">
      <c r="A586" s="15" t="s">
        <v>69</v>
      </c>
      <c r="B586" s="1"/>
      <c r="C586" s="1"/>
      <c r="D586" s="1"/>
      <c r="E586" s="55" t="s">
        <v>7</v>
      </c>
      <c r="F586" s="1"/>
      <c r="G586" s="1"/>
      <c r="H586" s="1"/>
      <c r="I586" s="55" t="s">
        <v>7</v>
      </c>
      <c r="J586" s="1"/>
      <c r="K586" s="1"/>
      <c r="L586" s="1"/>
      <c r="M586" s="55" t="s">
        <v>7</v>
      </c>
      <c r="N586" s="1"/>
      <c r="O586" s="1"/>
      <c r="P586" s="1"/>
      <c r="Q586" s="55" t="s">
        <v>7</v>
      </c>
      <c r="R586" s="55" t="s">
        <v>7</v>
      </c>
    </row>
    <row r="587" spans="1:18" ht="15.75" customHeight="1" thickBot="1" x14ac:dyDescent="0.35">
      <c r="A587" s="15" t="s">
        <v>70</v>
      </c>
      <c r="B587" s="1"/>
      <c r="C587" s="1"/>
      <c r="D587" s="1"/>
      <c r="E587" s="55" t="s">
        <v>7</v>
      </c>
      <c r="F587" s="1"/>
      <c r="G587" s="1"/>
      <c r="H587" s="1"/>
      <c r="I587" s="55" t="s">
        <v>7</v>
      </c>
      <c r="J587" s="1"/>
      <c r="K587" s="1"/>
      <c r="L587" s="1"/>
      <c r="M587" s="55" t="s">
        <v>7</v>
      </c>
      <c r="N587" s="1"/>
      <c r="O587" s="1"/>
      <c r="P587" s="1"/>
      <c r="Q587" s="55" t="s">
        <v>7</v>
      </c>
      <c r="R587" s="55" t="s">
        <v>7</v>
      </c>
    </row>
    <row r="588" spans="1:18" ht="15.75" customHeight="1" thickBot="1" x14ac:dyDescent="0.35">
      <c r="A588" s="57" t="s">
        <v>71</v>
      </c>
      <c r="B588" s="58">
        <f>SUM(B586:B587)</f>
        <v>0</v>
      </c>
      <c r="C588" s="58">
        <f>SUM(C586:C587)</f>
        <v>0</v>
      </c>
      <c r="D588" s="58">
        <f>SUM(D586:D587)</f>
        <v>0</v>
      </c>
      <c r="E588" s="60">
        <f>SUM(B588:D588)</f>
        <v>0</v>
      </c>
      <c r="F588" s="58">
        <f>SUM(F586:F587)</f>
        <v>0</v>
      </c>
      <c r="G588" s="58">
        <f>SUM(G586:G587)</f>
        <v>0</v>
      </c>
      <c r="H588" s="58">
        <f>SUM(H586:H587)</f>
        <v>0</v>
      </c>
      <c r="I588" s="60">
        <f>SUM(F588:H588)</f>
        <v>0</v>
      </c>
      <c r="J588" s="58">
        <f>SUM(J586:J587)</f>
        <v>0</v>
      </c>
      <c r="K588" s="58">
        <f>SUM(K586:K587)</f>
        <v>0</v>
      </c>
      <c r="L588" s="58">
        <f>SUM(L586:L587)</f>
        <v>0</v>
      </c>
      <c r="M588" s="60">
        <f>SUM(J588:L588)</f>
        <v>0</v>
      </c>
      <c r="N588" s="58">
        <f>SUM(N586:N587)</f>
        <v>0</v>
      </c>
      <c r="O588" s="58">
        <f>SUM(O586:O587)</f>
        <v>0</v>
      </c>
      <c r="P588" s="58">
        <f>SUM(P586:P587)</f>
        <v>0</v>
      </c>
      <c r="Q588" s="60">
        <f>SUM(N588:P588)</f>
        <v>0</v>
      </c>
      <c r="R588" s="59">
        <f>+E588+I588+M588+Q588</f>
        <v>0</v>
      </c>
    </row>
    <row r="589" spans="1:18" ht="15.75" customHeight="1" thickBot="1" x14ac:dyDescent="0.35">
      <c r="A589" s="114" t="s">
        <v>72</v>
      </c>
      <c r="B589" s="86">
        <f>SUM(B579:B587)</f>
        <v>1175</v>
      </c>
      <c r="C589" s="87">
        <f>SUM(C579:C587)</f>
        <v>1500</v>
      </c>
      <c r="D589" s="118">
        <f>SUM(D579:D587)</f>
        <v>0</v>
      </c>
      <c r="E589" s="60">
        <f>SUM(B589:D589)</f>
        <v>2675</v>
      </c>
      <c r="F589" s="87">
        <f>SUM(F579:F587)</f>
        <v>0</v>
      </c>
      <c r="G589" s="87">
        <f>SUM(G579:G587)</f>
        <v>0</v>
      </c>
      <c r="H589" s="87">
        <f>SUM(H579:H587)</f>
        <v>0</v>
      </c>
      <c r="I589" s="60">
        <f>SUM(F589:H589)</f>
        <v>0</v>
      </c>
      <c r="J589" s="87">
        <f>SUM(J579:J587)</f>
        <v>1500</v>
      </c>
      <c r="K589" s="87">
        <f>SUM(K579:K587)</f>
        <v>1500</v>
      </c>
      <c r="L589" s="87">
        <f>SUM(L579:L587)</f>
        <v>0</v>
      </c>
      <c r="M589" s="60">
        <f>SUM(J589:L589)</f>
        <v>3000</v>
      </c>
      <c r="N589" s="87">
        <f>SUM(N579:N587)</f>
        <v>0</v>
      </c>
      <c r="O589" s="87">
        <f>SUM(O579:O587)</f>
        <v>0</v>
      </c>
      <c r="P589" s="87">
        <f>SUM(P579:P587)</f>
        <v>2000</v>
      </c>
      <c r="Q589" s="60">
        <f>SUM(N589:P589)</f>
        <v>2000</v>
      </c>
      <c r="R589" s="59">
        <f>+E589+I589+M589+Q589</f>
        <v>7675</v>
      </c>
    </row>
    <row r="590" spans="1:18" ht="15.75" customHeight="1" thickBot="1" x14ac:dyDescent="0.35">
      <c r="A590" s="57" t="s">
        <v>73</v>
      </c>
      <c r="B590" s="90">
        <f>+B569+B573+B578+B589</f>
        <v>7998</v>
      </c>
      <c r="C590" s="58">
        <f>+C569+C573+C578+C589</f>
        <v>7159</v>
      </c>
      <c r="D590" s="58">
        <f>+D569+D573+D578+D589</f>
        <v>9695</v>
      </c>
      <c r="E590" s="59">
        <f>SUM(B590:D590)</f>
        <v>24852</v>
      </c>
      <c r="F590" s="58">
        <f>+F569+F573+F578+F589</f>
        <v>10320</v>
      </c>
      <c r="G590" s="58">
        <f>+G569+G573+G578+G589</f>
        <v>11465</v>
      </c>
      <c r="H590" s="58">
        <f>+H569+H573+H578+H589</f>
        <v>11239</v>
      </c>
      <c r="I590" s="59">
        <f>SUM(F590:H590)</f>
        <v>33024</v>
      </c>
      <c r="J590" s="58">
        <f>+J569+J573+J578+J589</f>
        <v>12236</v>
      </c>
      <c r="K590" s="58">
        <f>+K569+K573+K578+K589</f>
        <v>13276</v>
      </c>
      <c r="L590" s="58">
        <f>+L569+L573+L578+L589</f>
        <v>13231</v>
      </c>
      <c r="M590" s="59">
        <f>SUM(J590:L590)</f>
        <v>38743</v>
      </c>
      <c r="N590" s="58">
        <f>+N569+N573+N578+N589</f>
        <v>9373</v>
      </c>
      <c r="O590" s="58">
        <f>+O569+O573+O578+O589</f>
        <v>5582</v>
      </c>
      <c r="P590" s="58">
        <f>+P569+P573+P578+P589</f>
        <v>7383</v>
      </c>
      <c r="Q590" s="59">
        <f>SUM(N590:P590)</f>
        <v>22338</v>
      </c>
      <c r="R590" s="81">
        <f>+E590+I590+M590+Q590</f>
        <v>118957</v>
      </c>
    </row>
    <row r="591" spans="1:18" ht="15.75" customHeight="1" thickBot="1" x14ac:dyDescent="0.35">
      <c r="A591" s="62" t="s">
        <v>40</v>
      </c>
      <c r="B591" s="21">
        <v>22</v>
      </c>
      <c r="C591" s="21">
        <v>24</v>
      </c>
      <c r="D591" s="21">
        <v>31</v>
      </c>
      <c r="E591" s="59">
        <f>SUM(B591:D591)</f>
        <v>77</v>
      </c>
      <c r="F591" s="21">
        <v>40</v>
      </c>
      <c r="G591" s="21">
        <v>45</v>
      </c>
      <c r="H591" s="21">
        <v>48</v>
      </c>
      <c r="I591" s="59">
        <f>SUM(F591:H591)</f>
        <v>133</v>
      </c>
      <c r="J591" s="21">
        <v>42</v>
      </c>
      <c r="K591" s="21">
        <v>39</v>
      </c>
      <c r="L591" s="21">
        <v>38</v>
      </c>
      <c r="M591" s="59">
        <f>SUM(J591:L591)</f>
        <v>119</v>
      </c>
      <c r="N591" s="21">
        <v>32</v>
      </c>
      <c r="O591" s="21">
        <v>25</v>
      </c>
      <c r="P591" s="21">
        <v>21</v>
      </c>
      <c r="Q591" s="59">
        <f>SUM(N591:P591)</f>
        <v>78</v>
      </c>
      <c r="R591" s="60">
        <f>+E591+I591+M591+Q591</f>
        <v>407</v>
      </c>
    </row>
    <row r="592" spans="1:18" ht="15.75" customHeight="1" thickBot="1" x14ac:dyDescent="0.35">
      <c r="A592" s="41"/>
      <c r="B592" s="36"/>
      <c r="C592" s="36"/>
      <c r="D592" s="36"/>
      <c r="E592" s="52"/>
      <c r="F592" s="36"/>
      <c r="G592" s="36"/>
      <c r="H592" s="36"/>
      <c r="I592" s="52"/>
      <c r="J592" s="36"/>
      <c r="K592" s="36"/>
      <c r="L592" s="36"/>
      <c r="M592" s="52"/>
      <c r="N592" s="36"/>
      <c r="O592" s="36"/>
      <c r="P592" s="36"/>
      <c r="Q592" s="52"/>
      <c r="R592" s="42"/>
    </row>
    <row r="593" spans="1:18" ht="15.75" customHeight="1" x14ac:dyDescent="0.3">
      <c r="A593" s="15" t="s">
        <v>314</v>
      </c>
      <c r="B593" s="1">
        <f>+SUM(B590:B591)</f>
        <v>8020</v>
      </c>
      <c r="C593" s="1">
        <f>+SUM(C590:C591)</f>
        <v>7183</v>
      </c>
      <c r="D593" s="1">
        <f>+SUM(D590:D591)</f>
        <v>9726</v>
      </c>
      <c r="E593" s="60">
        <f>SUM(B593:D593)</f>
        <v>24929</v>
      </c>
      <c r="F593" s="1">
        <f>+SUM(F590:F591)</f>
        <v>10360</v>
      </c>
      <c r="G593" s="1">
        <f>+SUM(G590:G591)</f>
        <v>11510</v>
      </c>
      <c r="H593" s="1">
        <f>+SUM(H590:H591)</f>
        <v>11287</v>
      </c>
      <c r="I593" s="60">
        <f>SUM(F593:H593)</f>
        <v>33157</v>
      </c>
      <c r="J593" s="1">
        <f>+SUM(J590:J591)</f>
        <v>12278</v>
      </c>
      <c r="K593" s="1">
        <f>+SUM(K590:K591)</f>
        <v>13315</v>
      </c>
      <c r="L593" s="1">
        <f>+SUM(L590:L591)</f>
        <v>13269</v>
      </c>
      <c r="M593" s="60">
        <f>SUM(J593:L593)</f>
        <v>38862</v>
      </c>
      <c r="N593" s="1">
        <f>+SUM(N590:N591)</f>
        <v>9405</v>
      </c>
      <c r="O593" s="1">
        <f>+SUM(O590:O591)</f>
        <v>5607</v>
      </c>
      <c r="P593" s="1">
        <f>+SUM(P590:P591)</f>
        <v>7404</v>
      </c>
      <c r="Q593" s="60">
        <f>SUM(N593:P593)</f>
        <v>22416</v>
      </c>
      <c r="R593" s="60">
        <f>+E593+I593+M593+Q593</f>
        <v>119364</v>
      </c>
    </row>
    <row r="594" spans="1:18" ht="15.75" customHeight="1" x14ac:dyDescent="0.3">
      <c r="A594" s="15" t="s">
        <v>42</v>
      </c>
      <c r="B594" s="1">
        <f>(B593/31)/1.983</f>
        <v>130.46378084687584</v>
      </c>
      <c r="C594" s="1">
        <f>(C593/28)/1.983</f>
        <v>129.36748072905408</v>
      </c>
      <c r="D594" s="1">
        <f>(D593/31)/1.983</f>
        <v>158.21580205944073</v>
      </c>
      <c r="E594" s="55" t="s">
        <v>7</v>
      </c>
      <c r="F594" s="1">
        <f>(F593/30)/1.983</f>
        <v>174.14691544797444</v>
      </c>
      <c r="G594" s="1">
        <f>(G593/31)/1.983</f>
        <v>187.23667301091535</v>
      </c>
      <c r="H594" s="1">
        <f>(H593/30)/1.983</f>
        <v>189.72936628004706</v>
      </c>
      <c r="I594" s="55" t="s">
        <v>7</v>
      </c>
      <c r="J594" s="1">
        <f>(J593/31)/1.983</f>
        <v>199.72996274787303</v>
      </c>
      <c r="K594" s="1">
        <f>(K593/31)/1.983</f>
        <v>216.59915735363492</v>
      </c>
      <c r="L594" s="1">
        <f>(L593/30)/1.983</f>
        <v>223.04589006555724</v>
      </c>
      <c r="M594" s="55" t="s">
        <v>7</v>
      </c>
      <c r="N594" s="1">
        <f>(N593/31)/1.983</f>
        <v>152.9939973646967</v>
      </c>
      <c r="O594" s="1">
        <f>(O593/30)/1.983</f>
        <v>94.251134644478057</v>
      </c>
      <c r="P594" s="1">
        <f>(P593/31)/1.983</f>
        <v>120.44312137035772</v>
      </c>
      <c r="Q594" s="55" t="s">
        <v>7</v>
      </c>
      <c r="R594" s="55" t="s">
        <v>7</v>
      </c>
    </row>
    <row r="595" spans="1:18" ht="15.75" customHeight="1" x14ac:dyDescent="0.3">
      <c r="A595" s="15" t="s">
        <v>351</v>
      </c>
      <c r="B595" s="1">
        <f>B593+B605</f>
        <v>8525</v>
      </c>
      <c r="C595" s="1">
        <f>C593+C605</f>
        <v>8128</v>
      </c>
      <c r="D595" s="1">
        <f>D593+D605</f>
        <v>11989</v>
      </c>
      <c r="E595" s="55">
        <f>SUM(B595:D595)</f>
        <v>28642</v>
      </c>
      <c r="F595" s="1">
        <f>F593+F605</f>
        <v>13538</v>
      </c>
      <c r="G595" s="1">
        <f>G593+G605</f>
        <v>15060</v>
      </c>
      <c r="H595" s="1">
        <f>H593+H605</f>
        <v>14171</v>
      </c>
      <c r="I595" s="55">
        <f>SUM(F595:H595)</f>
        <v>42769</v>
      </c>
      <c r="J595" s="1">
        <f>J593+J605</f>
        <v>14137</v>
      </c>
      <c r="K595" s="1">
        <f>K593+K605</f>
        <v>16664</v>
      </c>
      <c r="L595" s="1">
        <f>L593+L605</f>
        <v>16401</v>
      </c>
      <c r="M595" s="55">
        <f>SUM(J595:L595)</f>
        <v>47202</v>
      </c>
      <c r="N595" s="1">
        <f>N593+N605</f>
        <v>11990</v>
      </c>
      <c r="O595" s="1">
        <f>O593+O605</f>
        <v>7329</v>
      </c>
      <c r="P595" s="1">
        <f>P593+P605</f>
        <v>10084</v>
      </c>
      <c r="Q595" s="55">
        <f>SUM(N595:P595)</f>
        <v>29403</v>
      </c>
      <c r="R595" s="55">
        <f>+E595+I595+M595+Q595</f>
        <v>148016</v>
      </c>
    </row>
    <row r="596" spans="1:18" ht="15.75" customHeight="1" thickBot="1" x14ac:dyDescent="0.35">
      <c r="A596" s="20" t="s">
        <v>352</v>
      </c>
      <c r="B596" s="21">
        <f>(B595/31)/1.983</f>
        <v>138.67876954109934</v>
      </c>
      <c r="C596" s="21">
        <f>(C595/28)/1.983</f>
        <v>146.38714790000719</v>
      </c>
      <c r="D596" s="21">
        <f>(D595/31)/1.983</f>
        <v>195.02871179216891</v>
      </c>
      <c r="E596" s="81" t="s">
        <v>7</v>
      </c>
      <c r="F596" s="21">
        <f>(F595/30)/1.983</f>
        <v>227.56765842998823</v>
      </c>
      <c r="G596" s="21">
        <f>(G595/31)/1.983</f>
        <v>244.98560343565467</v>
      </c>
      <c r="H596" s="21">
        <f>(H595/30)/1.983</f>
        <v>238.20810220205075</v>
      </c>
      <c r="I596" s="81" t="s">
        <v>7</v>
      </c>
      <c r="J596" s="21">
        <f>(J595/31)/1.983</f>
        <v>229.97088152522247</v>
      </c>
      <c r="K596" s="21">
        <f>(K595/31)/1.983</f>
        <v>271.07835960502979</v>
      </c>
      <c r="L596" s="21">
        <f>(L595/30)/1.983</f>
        <v>275.69339384770552</v>
      </c>
      <c r="M596" s="81" t="s">
        <v>7</v>
      </c>
      <c r="N596" s="21">
        <f>(N595/31)/1.983</f>
        <v>195.04497909651388</v>
      </c>
      <c r="O596" s="21">
        <f>(O595/30)/1.983</f>
        <v>123.19717599596571</v>
      </c>
      <c r="P596" s="21">
        <f>(P595/31)/1.983</f>
        <v>164.03949701494966</v>
      </c>
      <c r="Q596" s="81" t="s">
        <v>7</v>
      </c>
      <c r="R596" s="81" t="s">
        <v>7</v>
      </c>
    </row>
    <row r="597" spans="1:18" ht="15.75" customHeight="1" x14ac:dyDescent="0.3">
      <c r="A597" s="2"/>
      <c r="B597" s="1"/>
      <c r="C597" s="1"/>
      <c r="D597" s="1"/>
      <c r="E597" s="1"/>
      <c r="F597" s="1"/>
      <c r="G597" s="1"/>
      <c r="H597" s="1"/>
      <c r="I597" s="1"/>
      <c r="J597" s="1"/>
      <c r="K597" s="1"/>
      <c r="L597" s="1"/>
      <c r="M597" s="1"/>
      <c r="N597" s="1"/>
      <c r="O597" s="1"/>
      <c r="P597" s="1"/>
      <c r="Q597" s="1"/>
      <c r="R597" s="2"/>
    </row>
    <row r="598" spans="1:18" ht="15.75" customHeight="1" thickBot="1" x14ac:dyDescent="0.35">
      <c r="A598" s="2"/>
      <c r="B598" s="1"/>
      <c r="C598" s="1"/>
      <c r="D598" s="1"/>
      <c r="E598" s="1"/>
      <c r="F598" s="1"/>
      <c r="G598" s="1"/>
      <c r="H598" s="1"/>
      <c r="I598" s="1"/>
      <c r="J598" s="1"/>
      <c r="K598" s="1"/>
      <c r="L598" s="1"/>
      <c r="M598" s="1"/>
      <c r="N598" s="1"/>
      <c r="O598" s="1"/>
      <c r="P598" s="1"/>
      <c r="Q598" s="1"/>
      <c r="R598" s="2"/>
    </row>
    <row r="599" spans="1:18" ht="15.75" customHeight="1" thickBot="1" x14ac:dyDescent="0.35">
      <c r="A599" s="124" t="s">
        <v>353</v>
      </c>
      <c r="B599" s="30" t="s">
        <v>8</v>
      </c>
      <c r="C599" s="31" t="s">
        <v>9</v>
      </c>
      <c r="D599" s="31" t="s">
        <v>10</v>
      </c>
      <c r="E599" s="32" t="s">
        <v>11</v>
      </c>
      <c r="F599" s="31" t="s">
        <v>12</v>
      </c>
      <c r="G599" s="31" t="s">
        <v>13</v>
      </c>
      <c r="H599" s="31" t="s">
        <v>14</v>
      </c>
      <c r="I599" s="33" t="s">
        <v>15</v>
      </c>
      <c r="J599" s="31" t="s">
        <v>16</v>
      </c>
      <c r="K599" s="31" t="s">
        <v>17</v>
      </c>
      <c r="L599" s="31" t="s">
        <v>18</v>
      </c>
      <c r="M599" s="33" t="s">
        <v>19</v>
      </c>
      <c r="N599" s="31" t="s">
        <v>20</v>
      </c>
      <c r="O599" s="31" t="s">
        <v>21</v>
      </c>
      <c r="P599" s="31" t="s">
        <v>22</v>
      </c>
      <c r="Q599" s="33" t="s">
        <v>23</v>
      </c>
      <c r="R599" s="34" t="s">
        <v>24</v>
      </c>
    </row>
    <row r="600" spans="1:18" ht="15.75" customHeight="1" thickBot="1" x14ac:dyDescent="0.35">
      <c r="A600" s="41"/>
      <c r="B600" s="36"/>
      <c r="C600" s="36"/>
      <c r="D600" s="36"/>
      <c r="E600" s="37"/>
      <c r="F600" s="36"/>
      <c r="G600" s="36"/>
      <c r="H600" s="36"/>
      <c r="I600" s="37"/>
      <c r="J600" s="36"/>
      <c r="K600" s="36"/>
      <c r="L600" s="36"/>
      <c r="M600" s="37"/>
      <c r="N600" s="36"/>
      <c r="O600" s="36"/>
      <c r="P600" s="36"/>
      <c r="Q600" s="37"/>
      <c r="R600" s="41"/>
    </row>
    <row r="601" spans="1:18" ht="15.75" customHeight="1" thickBot="1" x14ac:dyDescent="0.35">
      <c r="A601" s="39" t="s">
        <v>40</v>
      </c>
      <c r="B601" s="21">
        <v>2</v>
      </c>
      <c r="C601" s="21">
        <v>3</v>
      </c>
      <c r="D601" s="21">
        <v>5</v>
      </c>
      <c r="E601" s="55">
        <f>SUM(B601:D601)</f>
        <v>10</v>
      </c>
      <c r="F601" s="21">
        <v>7</v>
      </c>
      <c r="G601" s="21">
        <v>8</v>
      </c>
      <c r="H601" s="21">
        <v>9</v>
      </c>
      <c r="I601" s="55">
        <f>SUM(F601:H601)</f>
        <v>24</v>
      </c>
      <c r="J601" s="21">
        <v>7</v>
      </c>
      <c r="K601" s="21">
        <v>6</v>
      </c>
      <c r="L601" s="21">
        <v>6</v>
      </c>
      <c r="M601" s="55">
        <f>SUM(J601:L601)</f>
        <v>19</v>
      </c>
      <c r="N601" s="21">
        <v>5</v>
      </c>
      <c r="O601" s="21">
        <v>3</v>
      </c>
      <c r="P601" s="21">
        <v>2</v>
      </c>
      <c r="Q601" s="55">
        <f>SUM(N601:P601)</f>
        <v>10</v>
      </c>
      <c r="R601" s="60">
        <f>+E601+I601+M601+Q601</f>
        <v>63</v>
      </c>
    </row>
    <row r="602" spans="1:18" ht="15.75" customHeight="1" thickBot="1" x14ac:dyDescent="0.35">
      <c r="A602" s="41"/>
      <c r="B602" s="36"/>
      <c r="C602" s="36"/>
      <c r="D602" s="36"/>
      <c r="E602" s="52"/>
      <c r="F602" s="36"/>
      <c r="G602" s="36"/>
      <c r="H602" s="36"/>
      <c r="I602" s="52"/>
      <c r="J602" s="36"/>
      <c r="K602" s="36"/>
      <c r="L602" s="36"/>
      <c r="M602" s="52"/>
      <c r="N602" s="36"/>
      <c r="O602" s="36"/>
      <c r="P602" s="36"/>
      <c r="Q602" s="52"/>
      <c r="R602" s="42"/>
    </row>
    <row r="603" spans="1:18" ht="15.75" customHeight="1" x14ac:dyDescent="0.3">
      <c r="A603" s="15" t="s">
        <v>314</v>
      </c>
      <c r="B603" s="1">
        <f>B601</f>
        <v>2</v>
      </c>
      <c r="C603" s="1">
        <f>C601</f>
        <v>3</v>
      </c>
      <c r="D603" s="1">
        <f>D601</f>
        <v>5</v>
      </c>
      <c r="E603" s="60">
        <f>SUM(B603:D603)</f>
        <v>10</v>
      </c>
      <c r="F603" s="1">
        <f>F601</f>
        <v>7</v>
      </c>
      <c r="G603" s="1">
        <f>G601</f>
        <v>8</v>
      </c>
      <c r="H603" s="1">
        <f>H601</f>
        <v>9</v>
      </c>
      <c r="I603" s="60">
        <f>SUM(F603:H603)</f>
        <v>24</v>
      </c>
      <c r="J603" s="1">
        <f>J601</f>
        <v>7</v>
      </c>
      <c r="K603" s="1">
        <f>K601</f>
        <v>6</v>
      </c>
      <c r="L603" s="1">
        <f>L601</f>
        <v>6</v>
      </c>
      <c r="M603" s="60">
        <f>SUM(J603:L603)</f>
        <v>19</v>
      </c>
      <c r="N603" s="1">
        <f>N601</f>
        <v>5</v>
      </c>
      <c r="O603" s="1">
        <f>O601</f>
        <v>3</v>
      </c>
      <c r="P603" s="1">
        <f>P601</f>
        <v>2</v>
      </c>
      <c r="Q603" s="60">
        <f>SUM(N603:P603)</f>
        <v>10</v>
      </c>
      <c r="R603" s="60">
        <f>+E603+I603+M603+Q603</f>
        <v>63</v>
      </c>
    </row>
    <row r="604" spans="1:18" ht="15.75" customHeight="1" x14ac:dyDescent="0.3">
      <c r="A604" s="15" t="s">
        <v>42</v>
      </c>
      <c r="B604" s="1">
        <f>(B603/31)/1.983</f>
        <v>3.2534608689993978E-2</v>
      </c>
      <c r="C604" s="1">
        <f>(C603/28)/1.983</f>
        <v>5.403068943159714E-2</v>
      </c>
      <c r="D604" s="1">
        <f>(D603/31)/1.983</f>
        <v>8.1336521724984942E-2</v>
      </c>
      <c r="E604" s="55" t="s">
        <v>7</v>
      </c>
      <c r="F604" s="1">
        <f>(F603/30)/1.983</f>
        <v>0.1176668347621449</v>
      </c>
      <c r="G604" s="1">
        <f>(G603/31)/1.983</f>
        <v>0.13013843475997591</v>
      </c>
      <c r="H604" s="1">
        <f>(H603/30)/1.983</f>
        <v>0.15128593040847199</v>
      </c>
      <c r="I604" s="55" t="s">
        <v>7</v>
      </c>
      <c r="J604" s="1">
        <f>(J603/31)/1.983</f>
        <v>0.11387113041497893</v>
      </c>
      <c r="K604" s="1">
        <f>(K603/31)/1.983</f>
        <v>9.7603826069981942E-2</v>
      </c>
      <c r="L604" s="1">
        <f>(L603/30)/1.983</f>
        <v>0.10085728693898134</v>
      </c>
      <c r="M604" s="55" t="s">
        <v>7</v>
      </c>
      <c r="N604" s="1">
        <f>(N603/31)/1.983</f>
        <v>8.1336521724984942E-2</v>
      </c>
      <c r="O604" s="1">
        <f>(O603/30)/1.983</f>
        <v>5.0428643469490671E-2</v>
      </c>
      <c r="P604" s="1">
        <f>(P603/31)/1.983</f>
        <v>3.2534608689993978E-2</v>
      </c>
      <c r="Q604" s="55" t="s">
        <v>7</v>
      </c>
      <c r="R604" s="55" t="s">
        <v>7</v>
      </c>
    </row>
    <row r="605" spans="1:18" ht="15.75" customHeight="1" x14ac:dyDescent="0.3">
      <c r="A605" s="15" t="s">
        <v>354</v>
      </c>
      <c r="B605" s="1">
        <f>B603+B639+B681-B634</f>
        <v>505</v>
      </c>
      <c r="C605" s="1">
        <f>C603+C639+C681-C634</f>
        <v>945</v>
      </c>
      <c r="D605" s="1">
        <f>D603+D639+D681-D634</f>
        <v>2263</v>
      </c>
      <c r="E605" s="55">
        <f>SUM(B605:D605)</f>
        <v>3713</v>
      </c>
      <c r="F605" s="1">
        <f>F603+F639+F681-F634</f>
        <v>3178</v>
      </c>
      <c r="G605" s="1">
        <f>G603+G639+G681-G634</f>
        <v>3550</v>
      </c>
      <c r="H605" s="1">
        <f>H603+H639+H681-H634</f>
        <v>2884</v>
      </c>
      <c r="I605" s="55">
        <f>SUM(F605:H605)</f>
        <v>9612</v>
      </c>
      <c r="J605" s="1">
        <f>J603+J639+J681-J634</f>
        <v>1859</v>
      </c>
      <c r="K605" s="1">
        <f>K603+K639+K681-K634</f>
        <v>3349</v>
      </c>
      <c r="L605" s="1">
        <f>L603+L639+L681-L634</f>
        <v>3132</v>
      </c>
      <c r="M605" s="55">
        <f>SUM(J605:L605)</f>
        <v>8340</v>
      </c>
      <c r="N605" s="1">
        <f>N603+N639+N681-N634</f>
        <v>2585</v>
      </c>
      <c r="O605" s="1">
        <f>O603+O639+O681-O634</f>
        <v>1722</v>
      </c>
      <c r="P605" s="1">
        <f>P603+P639+P681-P634</f>
        <v>2680</v>
      </c>
      <c r="Q605" s="55">
        <f>SUM(N605:P605)</f>
        <v>6987</v>
      </c>
      <c r="R605" s="55">
        <f>+E605+I605+M605+Q605</f>
        <v>28652</v>
      </c>
    </row>
    <row r="606" spans="1:18" ht="15.75" customHeight="1" thickBot="1" x14ac:dyDescent="0.35">
      <c r="A606" s="20" t="s">
        <v>355</v>
      </c>
      <c r="B606" s="21">
        <f>(B605/31)/1.983</f>
        <v>8.2149886942234787</v>
      </c>
      <c r="C606" s="21">
        <f>(C605/28)/1.983</f>
        <v>17.019667170953099</v>
      </c>
      <c r="D606" s="21">
        <f>(D605/31)/1.983</f>
        <v>36.812909732728187</v>
      </c>
      <c r="E606" s="81" t="s">
        <v>7</v>
      </c>
      <c r="F606" s="21">
        <f>(F605/30)/1.983</f>
        <v>53.420742982013785</v>
      </c>
      <c r="G606" s="21">
        <f>(G605/31)/1.983</f>
        <v>57.748930424739314</v>
      </c>
      <c r="H606" s="21">
        <f>(H605/30)/1.983</f>
        <v>48.4787359220037</v>
      </c>
      <c r="I606" s="81" t="s">
        <v>7</v>
      </c>
      <c r="J606" s="21">
        <f>(J605/31)/1.983</f>
        <v>30.240918777349403</v>
      </c>
      <c r="K606" s="21">
        <f>(K605/31)/1.983</f>
        <v>54.479202251394916</v>
      </c>
      <c r="L606" s="21">
        <f>(L605/30)/1.983</f>
        <v>52.647503782148263</v>
      </c>
      <c r="M606" s="81" t="s">
        <v>7</v>
      </c>
      <c r="N606" s="21">
        <f>(N605/31)/1.983</f>
        <v>42.050981731817217</v>
      </c>
      <c r="O606" s="21">
        <f>(O605/30)/1.983</f>
        <v>28.946041351487644</v>
      </c>
      <c r="P606" s="21">
        <f>(P605/31)/1.983</f>
        <v>43.59637564459193</v>
      </c>
      <c r="Q606" s="81" t="s">
        <v>7</v>
      </c>
      <c r="R606" s="81" t="s">
        <v>7</v>
      </c>
    </row>
    <row r="607" spans="1:18" ht="15.75" customHeight="1" x14ac:dyDescent="0.3">
      <c r="A607" s="2"/>
      <c r="B607" s="1"/>
      <c r="C607" s="1"/>
      <c r="D607" s="1"/>
      <c r="E607" s="1"/>
      <c r="F607" s="1"/>
      <c r="G607" s="1"/>
      <c r="H607" s="1"/>
      <c r="I607" s="1"/>
      <c r="J607" s="1"/>
      <c r="K607" s="1"/>
      <c r="L607" s="1"/>
      <c r="M607" s="1"/>
      <c r="N607" s="1"/>
      <c r="O607" s="1"/>
      <c r="P607" s="1"/>
      <c r="Q607" s="1"/>
      <c r="R607" s="2"/>
    </row>
    <row r="608" spans="1:18" ht="15.75" customHeight="1" thickBot="1" x14ac:dyDescent="0.35">
      <c r="A608" s="2"/>
      <c r="B608" s="1"/>
      <c r="C608" s="1"/>
      <c r="D608" s="1"/>
      <c r="E608" s="1"/>
      <c r="F608" s="1"/>
      <c r="G608" s="1"/>
      <c r="H608" s="1"/>
      <c r="I608" s="1"/>
      <c r="J608" s="1"/>
      <c r="K608" s="1"/>
      <c r="L608" s="1"/>
      <c r="M608" s="1"/>
      <c r="N608" s="1"/>
      <c r="O608" s="1"/>
      <c r="P608" s="1"/>
      <c r="Q608" s="1"/>
      <c r="R608" s="2"/>
    </row>
    <row r="609" spans="1:18" ht="15.75" customHeight="1" thickBot="1" x14ac:dyDescent="0.35">
      <c r="A609" s="124" t="s">
        <v>356</v>
      </c>
      <c r="B609" s="30" t="s">
        <v>8</v>
      </c>
      <c r="C609" s="31" t="s">
        <v>9</v>
      </c>
      <c r="D609" s="31" t="s">
        <v>10</v>
      </c>
      <c r="E609" s="33" t="s">
        <v>11</v>
      </c>
      <c r="F609" s="31" t="s">
        <v>12</v>
      </c>
      <c r="G609" s="31" t="s">
        <v>13</v>
      </c>
      <c r="H609" s="31" t="s">
        <v>14</v>
      </c>
      <c r="I609" s="33" t="s">
        <v>15</v>
      </c>
      <c r="J609" s="31" t="s">
        <v>16</v>
      </c>
      <c r="K609" s="31" t="s">
        <v>17</v>
      </c>
      <c r="L609" s="31" t="s">
        <v>18</v>
      </c>
      <c r="M609" s="33" t="s">
        <v>19</v>
      </c>
      <c r="N609" s="31" t="s">
        <v>20</v>
      </c>
      <c r="O609" s="31" t="s">
        <v>21</v>
      </c>
      <c r="P609" s="31" t="s">
        <v>22</v>
      </c>
      <c r="Q609" s="33" t="s">
        <v>23</v>
      </c>
      <c r="R609" s="131" t="s">
        <v>24</v>
      </c>
    </row>
    <row r="610" spans="1:18" ht="15.75" customHeight="1" thickBot="1" x14ac:dyDescent="0.35">
      <c r="A610" s="41"/>
      <c r="B610" s="36"/>
      <c r="C610" s="36"/>
      <c r="D610" s="36"/>
      <c r="E610" s="132"/>
      <c r="F610" s="36"/>
      <c r="G610" s="36"/>
      <c r="H610" s="36"/>
      <c r="I610" s="132"/>
      <c r="J610" s="36"/>
      <c r="K610" s="36"/>
      <c r="L610" s="36"/>
      <c r="M610" s="132"/>
      <c r="N610" s="36"/>
      <c r="O610" s="36"/>
      <c r="P610" s="36"/>
      <c r="Q610" s="132"/>
      <c r="R610" s="38"/>
    </row>
    <row r="611" spans="1:18" ht="15.75" customHeight="1" x14ac:dyDescent="0.3">
      <c r="A611" s="15" t="s">
        <v>48</v>
      </c>
      <c r="B611" s="1" t="s">
        <v>7</v>
      </c>
      <c r="C611" s="1" t="s">
        <v>7</v>
      </c>
      <c r="D611" s="1" t="s">
        <v>7</v>
      </c>
      <c r="E611" s="55" t="s">
        <v>7</v>
      </c>
      <c r="F611" s="1" t="s">
        <v>7</v>
      </c>
      <c r="G611" s="1" t="s">
        <v>7</v>
      </c>
      <c r="H611" s="1" t="s">
        <v>7</v>
      </c>
      <c r="I611" s="55" t="s">
        <v>7</v>
      </c>
      <c r="J611" s="1" t="s">
        <v>7</v>
      </c>
      <c r="K611" s="1" t="s">
        <v>7</v>
      </c>
      <c r="L611" s="1" t="s">
        <v>7</v>
      </c>
      <c r="M611" s="55" t="s">
        <v>7</v>
      </c>
      <c r="N611" s="1" t="s">
        <v>7</v>
      </c>
      <c r="O611" s="1" t="s">
        <v>7</v>
      </c>
      <c r="P611" s="1" t="s">
        <v>7</v>
      </c>
      <c r="Q611" s="55" t="s">
        <v>7</v>
      </c>
      <c r="R611" s="55" t="s">
        <v>7</v>
      </c>
    </row>
    <row r="612" spans="1:18" ht="15.75" customHeight="1" x14ac:dyDescent="0.3">
      <c r="A612" s="15" t="s">
        <v>49</v>
      </c>
      <c r="B612" s="1"/>
      <c r="C612" s="1"/>
      <c r="D612" s="1"/>
      <c r="E612" s="55" t="s">
        <v>7</v>
      </c>
      <c r="F612" s="1"/>
      <c r="G612" s="1"/>
      <c r="H612" s="1"/>
      <c r="I612" s="55" t="s">
        <v>7</v>
      </c>
      <c r="J612" s="1"/>
      <c r="K612" s="1"/>
      <c r="L612" s="1"/>
      <c r="M612" s="55" t="s">
        <v>7</v>
      </c>
      <c r="N612" s="1"/>
      <c r="O612" s="1"/>
      <c r="P612" s="1"/>
      <c r="Q612" s="55" t="s">
        <v>7</v>
      </c>
      <c r="R612" s="55" t="s">
        <v>7</v>
      </c>
    </row>
    <row r="613" spans="1:18" ht="15.75" customHeight="1" x14ac:dyDescent="0.3">
      <c r="A613" s="71" t="s">
        <v>357</v>
      </c>
      <c r="B613" s="1">
        <v>42</v>
      </c>
      <c r="C613" s="1">
        <v>17</v>
      </c>
      <c r="D613" s="1">
        <v>56</v>
      </c>
      <c r="E613" s="55">
        <f>SUM(B613:D613)</f>
        <v>115</v>
      </c>
      <c r="F613" s="1">
        <v>86</v>
      </c>
      <c r="G613" s="1">
        <v>42</v>
      </c>
      <c r="H613" s="1">
        <v>11</v>
      </c>
      <c r="I613" s="55">
        <f>SUM(F613:H613)</f>
        <v>139</v>
      </c>
      <c r="J613" s="1">
        <v>48</v>
      </c>
      <c r="K613" s="1">
        <v>98</v>
      </c>
      <c r="L613" s="1">
        <v>0</v>
      </c>
      <c r="M613" s="55">
        <f>SUM(J613:L613)</f>
        <v>146</v>
      </c>
      <c r="N613" s="1">
        <v>0</v>
      </c>
      <c r="O613" s="1">
        <v>88</v>
      </c>
      <c r="P613" s="1">
        <v>15</v>
      </c>
      <c r="Q613" s="55">
        <f>SUM(N613:P613)</f>
        <v>103</v>
      </c>
      <c r="R613" s="55">
        <f>+E613+I613+M613+Q613</f>
        <v>503</v>
      </c>
    </row>
    <row r="614" spans="1:18" ht="15.75" customHeight="1" x14ac:dyDescent="0.3">
      <c r="A614" s="15" t="s">
        <v>50</v>
      </c>
      <c r="B614" s="1"/>
      <c r="C614" s="1"/>
      <c r="D614" s="1"/>
      <c r="E614" s="55" t="s">
        <v>7</v>
      </c>
      <c r="F614" s="1"/>
      <c r="G614" s="1"/>
      <c r="H614" s="1"/>
      <c r="I614" s="55" t="s">
        <v>7</v>
      </c>
      <c r="J614" s="1"/>
      <c r="K614" s="1"/>
      <c r="L614" s="1"/>
      <c r="M614" s="55" t="s">
        <v>7</v>
      </c>
      <c r="N614" s="1"/>
      <c r="O614" s="1"/>
      <c r="P614" s="1"/>
      <c r="Q614" s="55" t="s">
        <v>7</v>
      </c>
      <c r="R614" s="55" t="s">
        <v>7</v>
      </c>
    </row>
    <row r="615" spans="1:18" ht="15.75" customHeight="1" x14ac:dyDescent="0.3">
      <c r="A615" s="15" t="s">
        <v>51</v>
      </c>
      <c r="B615" s="1"/>
      <c r="C615" s="1"/>
      <c r="D615" s="1"/>
      <c r="E615" s="55" t="s">
        <v>7</v>
      </c>
      <c r="F615" s="1"/>
      <c r="G615" s="1"/>
      <c r="H615" s="1"/>
      <c r="I615" s="55" t="s">
        <v>7</v>
      </c>
      <c r="J615" s="1"/>
      <c r="K615" s="1"/>
      <c r="L615" s="1"/>
      <c r="M615" s="55" t="s">
        <v>7</v>
      </c>
      <c r="N615" s="1"/>
      <c r="O615" s="1"/>
      <c r="P615" s="1"/>
      <c r="Q615" s="55" t="s">
        <v>7</v>
      </c>
      <c r="R615" s="55" t="s">
        <v>7</v>
      </c>
    </row>
    <row r="616" spans="1:18" ht="15.75" customHeight="1" thickBot="1" x14ac:dyDescent="0.35">
      <c r="A616" s="15" t="s">
        <v>53</v>
      </c>
      <c r="B616" s="1"/>
      <c r="C616" s="1"/>
      <c r="D616" s="1"/>
      <c r="E616" s="55" t="s">
        <v>7</v>
      </c>
      <c r="F616" s="1"/>
      <c r="G616" s="1"/>
      <c r="H616" s="1"/>
      <c r="I616" s="55" t="s">
        <v>7</v>
      </c>
      <c r="J616" s="1"/>
      <c r="K616" s="1"/>
      <c r="L616" s="1"/>
      <c r="M616" s="55" t="s">
        <v>7</v>
      </c>
      <c r="N616" s="1"/>
      <c r="O616" s="1"/>
      <c r="P616" s="1"/>
      <c r="Q616" s="55" t="s">
        <v>7</v>
      </c>
      <c r="R616" s="55" t="s">
        <v>7</v>
      </c>
    </row>
    <row r="617" spans="1:18" ht="15.75" customHeight="1" thickBot="1" x14ac:dyDescent="0.35">
      <c r="A617" s="57" t="s">
        <v>54</v>
      </c>
      <c r="B617" s="86">
        <f>SUM(B611:B616)</f>
        <v>42</v>
      </c>
      <c r="C617" s="87">
        <f>SUM(C611:C616)</f>
        <v>17</v>
      </c>
      <c r="D617" s="87">
        <f>SUM(D611:D616)</f>
        <v>56</v>
      </c>
      <c r="E617" s="59">
        <f>SUM(B617:D617)</f>
        <v>115</v>
      </c>
      <c r="F617" s="87">
        <f>SUM(F611:F616)</f>
        <v>86</v>
      </c>
      <c r="G617" s="87">
        <f>SUM(G611:G616)</f>
        <v>42</v>
      </c>
      <c r="H617" s="87">
        <f>SUM(H611:H616)</f>
        <v>11</v>
      </c>
      <c r="I617" s="59">
        <f>SUM(F617:H617)</f>
        <v>139</v>
      </c>
      <c r="J617" s="87">
        <f>SUM(J611:J616)</f>
        <v>48</v>
      </c>
      <c r="K617" s="87">
        <f>SUM(K611:K616)</f>
        <v>98</v>
      </c>
      <c r="L617" s="87">
        <f>SUM(L611:L616)</f>
        <v>0</v>
      </c>
      <c r="M617" s="59">
        <f>SUM(J617:L617)</f>
        <v>146</v>
      </c>
      <c r="N617" s="87">
        <f>SUM(N611:N616)</f>
        <v>0</v>
      </c>
      <c r="O617" s="87">
        <f>SUM(O611:O616)</f>
        <v>88</v>
      </c>
      <c r="P617" s="87">
        <f>SUM(P611:P616)</f>
        <v>15</v>
      </c>
      <c r="Q617" s="59">
        <f>SUM(N617:P617)</f>
        <v>103</v>
      </c>
      <c r="R617" s="59">
        <f>+E617+I617+M617+Q617</f>
        <v>503</v>
      </c>
    </row>
    <row r="618" spans="1:18" ht="15.75" customHeight="1" x14ac:dyDescent="0.3">
      <c r="A618" s="15" t="s">
        <v>55</v>
      </c>
      <c r="B618" s="1"/>
      <c r="C618" s="1"/>
      <c r="D618" s="1"/>
      <c r="E618" s="55" t="s">
        <v>7</v>
      </c>
      <c r="F618" s="1"/>
      <c r="G618" s="1"/>
      <c r="H618" s="1"/>
      <c r="I618" s="55" t="s">
        <v>7</v>
      </c>
      <c r="J618" s="1"/>
      <c r="K618" s="1"/>
      <c r="L618" s="1"/>
      <c r="M618" s="55" t="s">
        <v>7</v>
      </c>
      <c r="N618" s="1"/>
      <c r="O618" s="1"/>
      <c r="P618" s="1"/>
      <c r="Q618" s="55" t="s">
        <v>7</v>
      </c>
      <c r="R618" s="55" t="s">
        <v>7</v>
      </c>
    </row>
    <row r="619" spans="1:18" ht="15.75" customHeight="1" x14ac:dyDescent="0.3">
      <c r="A619" s="15" t="s">
        <v>57</v>
      </c>
      <c r="B619" s="1"/>
      <c r="C619" s="1"/>
      <c r="D619" s="1"/>
      <c r="E619" s="55" t="s">
        <v>7</v>
      </c>
      <c r="F619" s="1"/>
      <c r="G619" s="1"/>
      <c r="H619" s="1"/>
      <c r="I619" s="55" t="s">
        <v>7</v>
      </c>
      <c r="J619" s="1"/>
      <c r="K619" s="1"/>
      <c r="L619" s="1"/>
      <c r="M619" s="55" t="s">
        <v>7</v>
      </c>
      <c r="N619" s="1"/>
      <c r="O619" s="1"/>
      <c r="P619" s="1"/>
      <c r="Q619" s="55" t="s">
        <v>7</v>
      </c>
      <c r="R619" s="55" t="s">
        <v>7</v>
      </c>
    </row>
    <row r="620" spans="1:18" ht="15.75" customHeight="1" thickBot="1" x14ac:dyDescent="0.35">
      <c r="A620" s="15" t="s">
        <v>58</v>
      </c>
      <c r="B620" s="1"/>
      <c r="C620" s="1"/>
      <c r="D620" s="1"/>
      <c r="E620" s="55" t="s">
        <v>7</v>
      </c>
      <c r="F620" s="1"/>
      <c r="G620" s="1"/>
      <c r="H620" s="1"/>
      <c r="I620" s="55" t="s">
        <v>7</v>
      </c>
      <c r="J620" s="1"/>
      <c r="K620" s="1"/>
      <c r="L620" s="1"/>
      <c r="M620" s="55" t="s">
        <v>7</v>
      </c>
      <c r="N620" s="1"/>
      <c r="O620" s="1"/>
      <c r="P620" s="1"/>
      <c r="Q620" s="55" t="s">
        <v>7</v>
      </c>
      <c r="R620" s="55" t="s">
        <v>7</v>
      </c>
    </row>
    <row r="621" spans="1:18" ht="15.75" customHeight="1" thickBot="1" x14ac:dyDescent="0.35">
      <c r="A621" s="57" t="s">
        <v>59</v>
      </c>
      <c r="B621" s="86">
        <f>SUM(B618:B620)</f>
        <v>0</v>
      </c>
      <c r="C621" s="87">
        <f>SUM(C618:C620)</f>
        <v>0</v>
      </c>
      <c r="D621" s="87">
        <f>SUM(D618:D620)</f>
        <v>0</v>
      </c>
      <c r="E621" s="59">
        <f>SUM(B621:D621)</f>
        <v>0</v>
      </c>
      <c r="F621" s="87">
        <f>SUM(F618:F620)</f>
        <v>0</v>
      </c>
      <c r="G621" s="87">
        <f>SUM(G618:G620)</f>
        <v>0</v>
      </c>
      <c r="H621" s="87">
        <f>SUM(H618:H620)</f>
        <v>0</v>
      </c>
      <c r="I621" s="59">
        <f>SUM(F621:H621)</f>
        <v>0</v>
      </c>
      <c r="J621" s="87">
        <f>SUM(J618:J620)</f>
        <v>0</v>
      </c>
      <c r="K621" s="87">
        <f>SUM(K618:K620)</f>
        <v>0</v>
      </c>
      <c r="L621" s="87">
        <f>SUM(L618:L620)</f>
        <v>0</v>
      </c>
      <c r="M621" s="59">
        <f>SUM(J621:L621)</f>
        <v>0</v>
      </c>
      <c r="N621" s="87">
        <f>SUM(N618:N620)</f>
        <v>0</v>
      </c>
      <c r="O621" s="87">
        <f>SUM(O618:O620)</f>
        <v>0</v>
      </c>
      <c r="P621" s="87">
        <f>SUM(P618:P620)</f>
        <v>0</v>
      </c>
      <c r="Q621" s="59">
        <f>SUM(N621:P621)</f>
        <v>0</v>
      </c>
      <c r="R621" s="59">
        <f>+E621+I621+M621+Q621</f>
        <v>0</v>
      </c>
    </row>
    <row r="622" spans="1:18" ht="15.75" customHeight="1" x14ac:dyDescent="0.3">
      <c r="A622" s="15" t="s">
        <v>60</v>
      </c>
      <c r="B622" s="1"/>
      <c r="C622" s="1"/>
      <c r="D622" s="1"/>
      <c r="E622" s="55" t="s">
        <v>7</v>
      </c>
      <c r="F622" s="1"/>
      <c r="G622" s="1"/>
      <c r="H622" s="1"/>
      <c r="I622" s="55" t="s">
        <v>7</v>
      </c>
      <c r="J622" s="1"/>
      <c r="K622" s="1"/>
      <c r="L622" s="1"/>
      <c r="M622" s="55" t="s">
        <v>7</v>
      </c>
      <c r="N622" s="1"/>
      <c r="O622" s="1"/>
      <c r="P622" s="1"/>
      <c r="Q622" s="55" t="s">
        <v>7</v>
      </c>
      <c r="R622" s="55" t="s">
        <v>7</v>
      </c>
    </row>
    <row r="623" spans="1:18" ht="15.75" customHeight="1" x14ac:dyDescent="0.3">
      <c r="A623" s="15" t="s">
        <v>61</v>
      </c>
      <c r="B623" s="1"/>
      <c r="C623" s="1"/>
      <c r="D623" s="1"/>
      <c r="E623" s="55" t="s">
        <v>7</v>
      </c>
      <c r="F623" s="1"/>
      <c r="G623" s="1"/>
      <c r="H623" s="1"/>
      <c r="I623" s="55" t="s">
        <v>7</v>
      </c>
      <c r="J623" s="1"/>
      <c r="K623" s="1"/>
      <c r="L623" s="1"/>
      <c r="M623" s="55" t="s">
        <v>7</v>
      </c>
      <c r="N623" s="1"/>
      <c r="O623" s="1"/>
      <c r="P623" s="1"/>
      <c r="Q623" s="55" t="s">
        <v>7</v>
      </c>
      <c r="R623" s="55" t="s">
        <v>7</v>
      </c>
    </row>
    <row r="624" spans="1:18" ht="15.75" customHeight="1" thickBot="1" x14ac:dyDescent="0.35">
      <c r="A624" s="15" t="s">
        <v>62</v>
      </c>
      <c r="B624" s="1"/>
      <c r="C624" s="1"/>
      <c r="D624" s="1"/>
      <c r="E624" s="55" t="s">
        <v>7</v>
      </c>
      <c r="F624" s="1"/>
      <c r="G624" s="1"/>
      <c r="H624" s="1"/>
      <c r="I624" s="55" t="s">
        <v>7</v>
      </c>
      <c r="J624" s="1"/>
      <c r="K624" s="1"/>
      <c r="L624" s="1"/>
      <c r="M624" s="55" t="s">
        <v>7</v>
      </c>
      <c r="N624" s="1"/>
      <c r="O624" s="1"/>
      <c r="P624" s="1"/>
      <c r="Q624" s="55" t="s">
        <v>7</v>
      </c>
      <c r="R624" s="55" t="s">
        <v>7</v>
      </c>
    </row>
    <row r="625" spans="1:18" ht="15.75" customHeight="1" thickBot="1" x14ac:dyDescent="0.35">
      <c r="A625" s="57" t="s">
        <v>63</v>
      </c>
      <c r="B625" s="86">
        <f>SUM(B622:B624)</f>
        <v>0</v>
      </c>
      <c r="C625" s="87">
        <f>SUM(C622:C624)</f>
        <v>0</v>
      </c>
      <c r="D625" s="87">
        <f>SUM(D622:D624)</f>
        <v>0</v>
      </c>
      <c r="E625" s="59">
        <f>SUM(B625:D625)</f>
        <v>0</v>
      </c>
      <c r="F625" s="87">
        <f>SUM(F622:F624)</f>
        <v>0</v>
      </c>
      <c r="G625" s="87">
        <f>SUM(G622:G624)</f>
        <v>0</v>
      </c>
      <c r="H625" s="87">
        <f>SUM(H622:H624)</f>
        <v>0</v>
      </c>
      <c r="I625" s="59">
        <f>SUM(F625:H625)</f>
        <v>0</v>
      </c>
      <c r="J625" s="87">
        <f>SUM(J622:J624)</f>
        <v>0</v>
      </c>
      <c r="K625" s="87">
        <f>SUM(K622:K624)</f>
        <v>0</v>
      </c>
      <c r="L625" s="87">
        <f>SUM(L622:L624)</f>
        <v>0</v>
      </c>
      <c r="M625" s="59">
        <f>SUM(J625:L625)</f>
        <v>0</v>
      </c>
      <c r="N625" s="87">
        <f>SUM(N622:N624)</f>
        <v>0</v>
      </c>
      <c r="O625" s="87">
        <f>SUM(O622:O624)</f>
        <v>0</v>
      </c>
      <c r="P625" s="87">
        <f>SUM(P622:P624)</f>
        <v>0</v>
      </c>
      <c r="Q625" s="59">
        <f>SUM(N625:P625)</f>
        <v>0</v>
      </c>
      <c r="R625" s="59">
        <f>+E625+I625+M625+Q625</f>
        <v>0</v>
      </c>
    </row>
    <row r="626" spans="1:18" ht="15.75" customHeight="1" x14ac:dyDescent="0.3">
      <c r="A626" s="15" t="s">
        <v>64</v>
      </c>
      <c r="B626" s="1"/>
      <c r="C626" s="1"/>
      <c r="D626" s="1"/>
      <c r="E626" s="55" t="s">
        <v>7</v>
      </c>
      <c r="F626" s="1"/>
      <c r="G626" s="1"/>
      <c r="H626" s="1"/>
      <c r="I626" s="55" t="s">
        <v>7</v>
      </c>
      <c r="J626" s="1"/>
      <c r="K626" s="1"/>
      <c r="L626" s="1"/>
      <c r="M626" s="55" t="s">
        <v>7</v>
      </c>
      <c r="N626" s="1"/>
      <c r="O626" s="1"/>
      <c r="P626" s="1"/>
      <c r="Q626" s="55" t="s">
        <v>7</v>
      </c>
      <c r="R626" s="55" t="s">
        <v>7</v>
      </c>
    </row>
    <row r="627" spans="1:18" ht="15.75" customHeight="1" x14ac:dyDescent="0.3">
      <c r="A627" s="15" t="s">
        <v>65</v>
      </c>
      <c r="B627" s="1"/>
      <c r="C627" s="1"/>
      <c r="D627" s="1"/>
      <c r="E627" s="55" t="s">
        <v>7</v>
      </c>
      <c r="F627" s="1"/>
      <c r="G627" s="1"/>
      <c r="H627" s="1"/>
      <c r="I627" s="55" t="s">
        <v>7</v>
      </c>
      <c r="J627" s="1"/>
      <c r="K627" s="1"/>
      <c r="L627" s="1"/>
      <c r="M627" s="55" t="s">
        <v>7</v>
      </c>
      <c r="N627" s="1"/>
      <c r="O627" s="1"/>
      <c r="P627" s="1"/>
      <c r="Q627" s="55" t="s">
        <v>7</v>
      </c>
      <c r="R627" s="55" t="s">
        <v>7</v>
      </c>
    </row>
    <row r="628" spans="1:18" ht="15.75" customHeight="1" x14ac:dyDescent="0.3">
      <c r="A628" s="15" t="s">
        <v>67</v>
      </c>
      <c r="B628" s="1"/>
      <c r="C628" s="1"/>
      <c r="D628" s="1"/>
      <c r="E628" s="55" t="s">
        <v>7</v>
      </c>
      <c r="F628" s="1"/>
      <c r="G628" s="1"/>
      <c r="H628" s="1"/>
      <c r="I628" s="55" t="s">
        <v>7</v>
      </c>
      <c r="J628" s="1"/>
      <c r="K628" s="1"/>
      <c r="L628" s="1"/>
      <c r="M628" s="55" t="s">
        <v>7</v>
      </c>
      <c r="N628" s="1"/>
      <c r="O628" s="1"/>
      <c r="P628" s="1"/>
      <c r="Q628" s="55" t="s">
        <v>7</v>
      </c>
      <c r="R628" s="55" t="s">
        <v>7</v>
      </c>
    </row>
    <row r="629" spans="1:18" ht="15.75" customHeight="1" x14ac:dyDescent="0.3">
      <c r="A629" s="15" t="s">
        <v>69</v>
      </c>
      <c r="B629" s="1"/>
      <c r="C629" s="1"/>
      <c r="D629" s="1"/>
      <c r="E629" s="55" t="s">
        <v>7</v>
      </c>
      <c r="F629" s="1"/>
      <c r="G629" s="1"/>
      <c r="H629" s="1"/>
      <c r="I629" s="55" t="s">
        <v>7</v>
      </c>
      <c r="J629" s="1"/>
      <c r="K629" s="1"/>
      <c r="L629" s="1"/>
      <c r="M629" s="55" t="s">
        <v>7</v>
      </c>
      <c r="N629" s="1"/>
      <c r="O629" s="1"/>
      <c r="P629" s="1"/>
      <c r="Q629" s="55" t="s">
        <v>7</v>
      </c>
      <c r="R629" s="55" t="s">
        <v>7</v>
      </c>
    </row>
    <row r="630" spans="1:18" ht="15.75" customHeight="1" thickBot="1" x14ac:dyDescent="0.35">
      <c r="A630" s="15" t="s">
        <v>70</v>
      </c>
      <c r="B630" s="1"/>
      <c r="C630" s="1"/>
      <c r="D630" s="1"/>
      <c r="E630" s="55" t="s">
        <v>7</v>
      </c>
      <c r="F630" s="1"/>
      <c r="G630" s="1"/>
      <c r="H630" s="1"/>
      <c r="I630" s="55" t="s">
        <v>7</v>
      </c>
      <c r="J630" s="1"/>
      <c r="K630" s="1"/>
      <c r="L630" s="1"/>
      <c r="M630" s="55" t="s">
        <v>7</v>
      </c>
      <c r="N630" s="1"/>
      <c r="O630" s="1"/>
      <c r="P630" s="1"/>
      <c r="Q630" s="55" t="s">
        <v>7</v>
      </c>
      <c r="R630" s="55" t="s">
        <v>7</v>
      </c>
    </row>
    <row r="631" spans="1:18" ht="15.75" customHeight="1" thickBot="1" x14ac:dyDescent="0.35">
      <c r="A631" s="57" t="s">
        <v>71</v>
      </c>
      <c r="B631" s="58">
        <f>SUM(B630:B630)</f>
        <v>0</v>
      </c>
      <c r="C631" s="58">
        <f>SUM(C630:C630)</f>
        <v>0</v>
      </c>
      <c r="D631" s="58">
        <f>SUM(D630:D630)</f>
        <v>0</v>
      </c>
      <c r="E631" s="60">
        <f>SUM(B631:D631)</f>
        <v>0</v>
      </c>
      <c r="F631" s="58">
        <f>SUM(F630:F630)</f>
        <v>0</v>
      </c>
      <c r="G631" s="58">
        <f>SUM(G630:G630)</f>
        <v>0</v>
      </c>
      <c r="H631" s="58">
        <f>SUM(H630:H630)</f>
        <v>0</v>
      </c>
      <c r="I631" s="60">
        <f>SUM(F631:H631)</f>
        <v>0</v>
      </c>
      <c r="J631" s="58">
        <f>SUM(J630:J630)</f>
        <v>0</v>
      </c>
      <c r="K631" s="58">
        <f>SUM(K630:K630)</f>
        <v>0</v>
      </c>
      <c r="L631" s="58">
        <f>SUM(L630:L630)</f>
        <v>0</v>
      </c>
      <c r="M631" s="60">
        <f>SUM(J631:L631)</f>
        <v>0</v>
      </c>
      <c r="N631" s="58">
        <f>SUM(N630:N630)</f>
        <v>0</v>
      </c>
      <c r="O631" s="58">
        <f>SUM(O630:O630)</f>
        <v>0</v>
      </c>
      <c r="P631" s="58">
        <f>SUM(P630:P630)</f>
        <v>0</v>
      </c>
      <c r="Q631" s="60">
        <f>SUM(N631:P631)</f>
        <v>0</v>
      </c>
      <c r="R631" s="59">
        <f>+E631+I631+M631+Q631</f>
        <v>0</v>
      </c>
    </row>
    <row r="632" spans="1:18" ht="15.75" customHeight="1" thickBot="1" x14ac:dyDescent="0.35">
      <c r="A632" s="57" t="s">
        <v>72</v>
      </c>
      <c r="B632" s="86">
        <f>SUM(B626:B630)</f>
        <v>0</v>
      </c>
      <c r="C632" s="87">
        <f>SUM(C626:C630)</f>
        <v>0</v>
      </c>
      <c r="D632" s="118">
        <f>SUM(D626:D630)</f>
        <v>0</v>
      </c>
      <c r="E632" s="60">
        <f>SUM(B632:D632)</f>
        <v>0</v>
      </c>
      <c r="F632" s="87">
        <f>SUM(F626:F630)</f>
        <v>0</v>
      </c>
      <c r="G632" s="87">
        <f>SUM(G626:G630)</f>
        <v>0</v>
      </c>
      <c r="H632" s="87">
        <f>SUM(H626:H630)</f>
        <v>0</v>
      </c>
      <c r="I632" s="60">
        <f>SUM(F632:H632)</f>
        <v>0</v>
      </c>
      <c r="J632" s="87">
        <f>SUM(J626:J630)</f>
        <v>0</v>
      </c>
      <c r="K632" s="87">
        <f>SUM(K626:K630)</f>
        <v>0</v>
      </c>
      <c r="L632" s="87">
        <f>SUM(L626:L630)</f>
        <v>0</v>
      </c>
      <c r="M632" s="60">
        <f>SUM(J632:L632)</f>
        <v>0</v>
      </c>
      <c r="N632" s="87">
        <f>SUM(N626:N630)</f>
        <v>0</v>
      </c>
      <c r="O632" s="87">
        <f>SUM(O626:O630)</f>
        <v>0</v>
      </c>
      <c r="P632" s="87">
        <f>SUM(P626:P630)</f>
        <v>0</v>
      </c>
      <c r="Q632" s="60">
        <f>SUM(N632:P632)</f>
        <v>0</v>
      </c>
      <c r="R632" s="59">
        <f>+E632+I632+M632+Q632</f>
        <v>0</v>
      </c>
    </row>
    <row r="633" spans="1:18" ht="15.75" customHeight="1" thickBot="1" x14ac:dyDescent="0.35">
      <c r="A633" s="57" t="s">
        <v>73</v>
      </c>
      <c r="B633" s="90">
        <f>+B617+B621+B625+B632</f>
        <v>42</v>
      </c>
      <c r="C633" s="58">
        <f>+C617+C621+C625+C632</f>
        <v>17</v>
      </c>
      <c r="D633" s="58">
        <f>+D617+D621+D625+D632</f>
        <v>56</v>
      </c>
      <c r="E633" s="59">
        <f>SUM(B633:D633)</f>
        <v>115</v>
      </c>
      <c r="F633" s="58">
        <f>+F617+F621+F625+F632</f>
        <v>86</v>
      </c>
      <c r="G633" s="58">
        <f>+G617+G621+G625+G632</f>
        <v>42</v>
      </c>
      <c r="H633" s="58">
        <f>+H617+H621+H625+H632</f>
        <v>11</v>
      </c>
      <c r="I633" s="59">
        <f>SUM(F633:H633)</f>
        <v>139</v>
      </c>
      <c r="J633" s="58">
        <f>+J617+J621+J625+J632</f>
        <v>48</v>
      </c>
      <c r="K633" s="58">
        <f>+K617+K621+K625+K632</f>
        <v>98</v>
      </c>
      <c r="L633" s="58">
        <f>+L617+L621+L625+L632</f>
        <v>0</v>
      </c>
      <c r="M633" s="59">
        <f>SUM(J633:L633)</f>
        <v>146</v>
      </c>
      <c r="N633" s="58">
        <f>+N617+N621+N625+N632</f>
        <v>0</v>
      </c>
      <c r="O633" s="58">
        <f>+O617+O621+O625+O632</f>
        <v>88</v>
      </c>
      <c r="P633" s="58">
        <f>+P617+P621+P625+P632</f>
        <v>15</v>
      </c>
      <c r="Q633" s="59">
        <f>SUM(N633:P633)</f>
        <v>103</v>
      </c>
      <c r="R633" s="81">
        <f>+E633+I633+M633+Q633</f>
        <v>503</v>
      </c>
    </row>
    <row r="634" spans="1:18" ht="15.75" customHeight="1" x14ac:dyDescent="0.3">
      <c r="A634" s="71" t="s">
        <v>358</v>
      </c>
      <c r="B634" s="1">
        <v>1967</v>
      </c>
      <c r="C634" s="1">
        <v>4709</v>
      </c>
      <c r="D634" s="1">
        <v>5079</v>
      </c>
      <c r="E634" s="55">
        <f>SUM(B634:D634)</f>
        <v>11755</v>
      </c>
      <c r="F634" s="1">
        <v>4939</v>
      </c>
      <c r="G634" s="1">
        <v>5261</v>
      </c>
      <c r="H634" s="1">
        <v>5204</v>
      </c>
      <c r="I634" s="55">
        <f>SUM(F634:H634)</f>
        <v>15404</v>
      </c>
      <c r="J634" s="1">
        <v>5236</v>
      </c>
      <c r="K634" s="1">
        <v>5388</v>
      </c>
      <c r="L634" s="1">
        <v>4485</v>
      </c>
      <c r="M634" s="55">
        <f>SUM(J634:L634)</f>
        <v>15109</v>
      </c>
      <c r="N634" s="1">
        <v>5593</v>
      </c>
      <c r="O634" s="1">
        <v>4959</v>
      </c>
      <c r="P634" s="1">
        <v>5378</v>
      </c>
      <c r="Q634" s="55">
        <f>SUM(N634:P634)</f>
        <v>15930</v>
      </c>
      <c r="R634" s="55">
        <f>+E634+I634+M634+Q634</f>
        <v>58198</v>
      </c>
    </row>
    <row r="635" spans="1:18" ht="15.75" customHeight="1" thickBot="1" x14ac:dyDescent="0.35">
      <c r="A635" s="71" t="s">
        <v>40</v>
      </c>
      <c r="B635" s="1">
        <v>0</v>
      </c>
      <c r="C635" s="1">
        <v>0</v>
      </c>
      <c r="D635" s="1">
        <v>0</v>
      </c>
      <c r="E635" s="55">
        <f>SUM(B635:D635)</f>
        <v>0</v>
      </c>
      <c r="F635" s="1">
        <v>0</v>
      </c>
      <c r="G635" s="1">
        <v>0</v>
      </c>
      <c r="H635" s="1">
        <v>0</v>
      </c>
      <c r="I635" s="55">
        <f>SUM(F635:H635)</f>
        <v>0</v>
      </c>
      <c r="J635" s="1">
        <v>0</v>
      </c>
      <c r="K635" s="1">
        <v>0</v>
      </c>
      <c r="L635" s="1">
        <v>0</v>
      </c>
      <c r="M635" s="55">
        <f>SUM(J635:L635)</f>
        <v>0</v>
      </c>
      <c r="N635" s="1">
        <v>0</v>
      </c>
      <c r="O635" s="1">
        <v>0</v>
      </c>
      <c r="P635" s="1">
        <v>0</v>
      </c>
      <c r="Q635" s="55">
        <f>SUM(N635:P635)</f>
        <v>0</v>
      </c>
      <c r="R635" s="55">
        <f>+E635+I635+M635+Q635</f>
        <v>0</v>
      </c>
    </row>
    <row r="636" spans="1:18" ht="15.75" customHeight="1" thickBot="1" x14ac:dyDescent="0.35">
      <c r="A636" s="130"/>
      <c r="B636" s="51"/>
      <c r="C636" s="51"/>
      <c r="D636" s="51"/>
      <c r="E636" s="59" t="s">
        <v>7</v>
      </c>
      <c r="F636" s="51"/>
      <c r="G636" s="51"/>
      <c r="H636" s="51"/>
      <c r="I636" s="59" t="s">
        <v>7</v>
      </c>
      <c r="J636" s="51"/>
      <c r="K636" s="51"/>
      <c r="L636" s="51"/>
      <c r="M636" s="59" t="s">
        <v>7</v>
      </c>
      <c r="N636" s="51"/>
      <c r="O636" s="51"/>
      <c r="P636" s="51"/>
      <c r="Q636" s="59"/>
      <c r="R636" s="59"/>
    </row>
    <row r="637" spans="1:18" ht="15.75" customHeight="1" x14ac:dyDescent="0.3">
      <c r="A637" s="15" t="s">
        <v>41</v>
      </c>
      <c r="B637" s="1">
        <f>SUM(B633:B635)</f>
        <v>2009</v>
      </c>
      <c r="C637" s="1">
        <f>SUM(C633:C635)</f>
        <v>4726</v>
      </c>
      <c r="D637" s="1">
        <f>SUM(D633:D635)</f>
        <v>5135</v>
      </c>
      <c r="E637" s="60">
        <f>SUM(B637:D637)</f>
        <v>11870</v>
      </c>
      <c r="F637" s="1">
        <f>SUM(F633:F635)</f>
        <v>5025</v>
      </c>
      <c r="G637" s="1">
        <f>SUM(G633:G635)</f>
        <v>5303</v>
      </c>
      <c r="H637" s="1">
        <f>SUM(H633:H635)</f>
        <v>5215</v>
      </c>
      <c r="I637" s="60">
        <f>SUM(F637:H637)</f>
        <v>15543</v>
      </c>
      <c r="J637" s="1">
        <f>SUM(J633:J635)</f>
        <v>5284</v>
      </c>
      <c r="K637" s="1">
        <f>SUM(K633:K635)</f>
        <v>5486</v>
      </c>
      <c r="L637" s="1">
        <f>SUM(L633:L635)</f>
        <v>4485</v>
      </c>
      <c r="M637" s="60">
        <f>SUM(J637:L637)</f>
        <v>15255</v>
      </c>
      <c r="N637" s="1">
        <f>SUM(N633:N635)</f>
        <v>5593</v>
      </c>
      <c r="O637" s="1">
        <f>SUM(O633:O635)</f>
        <v>5047</v>
      </c>
      <c r="P637" s="1">
        <f>SUM(P633:P635)</f>
        <v>5393</v>
      </c>
      <c r="Q637" s="60">
        <f>SUM(N637:P637)</f>
        <v>16033</v>
      </c>
      <c r="R637" s="60">
        <f>+E637+I637+M637+Q637</f>
        <v>58701</v>
      </c>
    </row>
    <row r="638" spans="1:18" ht="15.75" customHeight="1" x14ac:dyDescent="0.3">
      <c r="A638" s="15" t="s">
        <v>42</v>
      </c>
      <c r="B638" s="1">
        <f>(B637/31)/1.983</f>
        <v>32.681014429098958</v>
      </c>
      <c r="C638" s="1">
        <f>(C637/28)/1.983</f>
        <v>85.116346084576037</v>
      </c>
      <c r="D638" s="1">
        <f>(D637/31)/1.983</f>
        <v>83.532607811559544</v>
      </c>
      <c r="E638" s="55" t="s">
        <v>7</v>
      </c>
      <c r="F638" s="1">
        <f>(F637/30)/1.983</f>
        <v>84.467977811396864</v>
      </c>
      <c r="G638" s="1">
        <f>(G637/31)/1.983</f>
        <v>86.265514941519029</v>
      </c>
      <c r="H638" s="1">
        <f>(H637/30)/1.983</f>
        <v>87.661791897797954</v>
      </c>
      <c r="I638" s="55" t="s">
        <v>7</v>
      </c>
      <c r="J638" s="1">
        <f>(J637/31)/1.983</f>
        <v>85.956436158964081</v>
      </c>
      <c r="K638" s="1">
        <f>(K637/31)/1.983</f>
        <v>89.242431636653492</v>
      </c>
      <c r="L638" s="1">
        <f>(L637/30)/1.983</f>
        <v>75.390821986888554</v>
      </c>
      <c r="M638" s="55" t="s">
        <v>7</v>
      </c>
      <c r="N638" s="1">
        <f>(N637/31)/1.983</f>
        <v>90.983033201568162</v>
      </c>
      <c r="O638" s="1">
        <f>(O637/30)/1.983</f>
        <v>84.837787863506463</v>
      </c>
      <c r="P638" s="1">
        <f>(P637/31)/1.983</f>
        <v>87.729572332568765</v>
      </c>
      <c r="Q638" s="55" t="s">
        <v>7</v>
      </c>
      <c r="R638" s="55" t="s">
        <v>7</v>
      </c>
    </row>
    <row r="639" spans="1:18" ht="15.75" customHeight="1" x14ac:dyDescent="0.3">
      <c r="A639" s="15" t="s">
        <v>359</v>
      </c>
      <c r="B639" s="1">
        <f>B637</f>
        <v>2009</v>
      </c>
      <c r="C639" s="1">
        <f>C637</f>
        <v>4726</v>
      </c>
      <c r="D639" s="1">
        <f>D637</f>
        <v>5135</v>
      </c>
      <c r="E639" s="55">
        <f>SUM(B639:D639)</f>
        <v>11870</v>
      </c>
      <c r="F639" s="1">
        <f>F637</f>
        <v>5025</v>
      </c>
      <c r="G639" s="1">
        <f>G637</f>
        <v>5303</v>
      </c>
      <c r="H639" s="1">
        <f>H637</f>
        <v>5215</v>
      </c>
      <c r="I639" s="55">
        <f>SUM(F639:H639)</f>
        <v>15543</v>
      </c>
      <c r="J639" s="1">
        <f>J637</f>
        <v>5284</v>
      </c>
      <c r="K639" s="1">
        <f>K637</f>
        <v>5486</v>
      </c>
      <c r="L639" s="1">
        <f>L637</f>
        <v>4485</v>
      </c>
      <c r="M639" s="55">
        <f>SUM(J639:L639)</f>
        <v>15255</v>
      </c>
      <c r="N639" s="1">
        <f>N637</f>
        <v>5593</v>
      </c>
      <c r="O639" s="1">
        <f>O637</f>
        <v>5047</v>
      </c>
      <c r="P639" s="1">
        <f>P637</f>
        <v>5393</v>
      </c>
      <c r="Q639" s="55">
        <f>SUM(N639:P639)</f>
        <v>16033</v>
      </c>
      <c r="R639" s="55">
        <f>+E639+I639+M639+Q639</f>
        <v>58701</v>
      </c>
    </row>
    <row r="640" spans="1:18" ht="15.75" customHeight="1" thickBot="1" x14ac:dyDescent="0.35">
      <c r="A640" s="20" t="s">
        <v>360</v>
      </c>
      <c r="B640" s="21">
        <f>(B639/31)/1.983</f>
        <v>32.681014429098958</v>
      </c>
      <c r="C640" s="21">
        <f>(C639/28)/1.983</f>
        <v>85.116346084576037</v>
      </c>
      <c r="D640" s="21">
        <f>(D639/31)/1.983</f>
        <v>83.532607811559544</v>
      </c>
      <c r="E640" s="81" t="s">
        <v>7</v>
      </c>
      <c r="F640" s="21">
        <f>(F639/30)/1.983</f>
        <v>84.467977811396864</v>
      </c>
      <c r="G640" s="21">
        <f>(G639/31)/1.983</f>
        <v>86.265514941519029</v>
      </c>
      <c r="H640" s="21">
        <f>(H639/30)/1.983</f>
        <v>87.661791897797954</v>
      </c>
      <c r="I640" s="81" t="s">
        <v>7</v>
      </c>
      <c r="J640" s="21">
        <f>(J639/31)/1.983</f>
        <v>85.956436158964081</v>
      </c>
      <c r="K640" s="21">
        <f>(K639/31)/1.983</f>
        <v>89.242431636653492</v>
      </c>
      <c r="L640" s="21">
        <f>(L639/30)/1.983</f>
        <v>75.390821986888554</v>
      </c>
      <c r="M640" s="81" t="s">
        <v>7</v>
      </c>
      <c r="N640" s="21">
        <f>(N639/31)/1.983</f>
        <v>90.983033201568162</v>
      </c>
      <c r="O640" s="21">
        <f>(O639/30)/1.983</f>
        <v>84.837787863506463</v>
      </c>
      <c r="P640" s="21">
        <f>(P639/31)/1.983</f>
        <v>87.729572332568765</v>
      </c>
      <c r="Q640" s="81" t="s">
        <v>7</v>
      </c>
      <c r="R640" s="81" t="s">
        <v>7</v>
      </c>
    </row>
    <row r="641" spans="1:18" ht="15.75" customHeight="1" x14ac:dyDescent="0.3">
      <c r="A641" s="2"/>
      <c r="B641" s="1"/>
      <c r="C641" s="1"/>
      <c r="D641" s="1"/>
      <c r="E641" s="1"/>
      <c r="F641" s="1"/>
      <c r="G641" s="1"/>
      <c r="H641" s="1"/>
      <c r="I641" s="1"/>
      <c r="J641" s="1"/>
      <c r="K641" s="1"/>
      <c r="L641" s="1"/>
      <c r="M641" s="1"/>
      <c r="N641" s="1"/>
      <c r="O641" s="1"/>
      <c r="P641" s="1"/>
      <c r="Q641" s="1"/>
      <c r="R641" s="2"/>
    </row>
    <row r="642" spans="1:18" ht="15.75" customHeight="1" thickBot="1" x14ac:dyDescent="0.35">
      <c r="A642" s="2"/>
      <c r="B642" s="1"/>
      <c r="C642" s="1"/>
      <c r="D642" s="1"/>
      <c r="E642" s="1"/>
      <c r="F642" s="1"/>
      <c r="G642" s="1"/>
      <c r="H642" s="1"/>
      <c r="I642" s="1"/>
      <c r="J642" s="1"/>
      <c r="K642" s="1"/>
      <c r="L642" s="1"/>
      <c r="M642" s="1"/>
      <c r="N642" s="1"/>
      <c r="O642" s="1"/>
      <c r="P642" s="1"/>
      <c r="Q642" s="1"/>
      <c r="R642" s="2"/>
    </row>
    <row r="643" spans="1:18" ht="15.75" customHeight="1" thickBot="1" x14ac:dyDescent="0.35">
      <c r="A643" s="124" t="s">
        <v>361</v>
      </c>
      <c r="B643" s="30" t="s">
        <v>8</v>
      </c>
      <c r="C643" s="31" t="s">
        <v>9</v>
      </c>
      <c r="D643" s="31" t="s">
        <v>10</v>
      </c>
      <c r="E643" s="32" t="s">
        <v>11</v>
      </c>
      <c r="F643" s="31" t="s">
        <v>12</v>
      </c>
      <c r="G643" s="31" t="s">
        <v>13</v>
      </c>
      <c r="H643" s="31" t="s">
        <v>14</v>
      </c>
      <c r="I643" s="33" t="s">
        <v>15</v>
      </c>
      <c r="J643" s="31" t="s">
        <v>16</v>
      </c>
      <c r="K643" s="31" t="s">
        <v>17</v>
      </c>
      <c r="L643" s="31" t="s">
        <v>18</v>
      </c>
      <c r="M643" s="33" t="s">
        <v>19</v>
      </c>
      <c r="N643" s="31" t="s">
        <v>20</v>
      </c>
      <c r="O643" s="31" t="s">
        <v>21</v>
      </c>
      <c r="P643" s="31" t="s">
        <v>22</v>
      </c>
      <c r="Q643" s="33" t="s">
        <v>23</v>
      </c>
      <c r="R643" s="133" t="s">
        <v>24</v>
      </c>
    </row>
    <row r="644" spans="1:18" ht="15.75" customHeight="1" thickBot="1" x14ac:dyDescent="0.35">
      <c r="A644" s="41"/>
      <c r="B644" s="36"/>
      <c r="C644" s="36"/>
      <c r="D644" s="36"/>
      <c r="E644" s="52"/>
      <c r="F644" s="36"/>
      <c r="G644" s="36"/>
      <c r="H644" s="36"/>
      <c r="I644" s="132"/>
      <c r="J644" s="36"/>
      <c r="K644" s="36"/>
      <c r="L644" s="36"/>
      <c r="M644" s="132"/>
      <c r="N644" s="36"/>
      <c r="O644" s="36"/>
      <c r="P644" s="36"/>
      <c r="Q644" s="134"/>
      <c r="R644" s="135"/>
    </row>
    <row r="645" spans="1:18" ht="15.75" customHeight="1" x14ac:dyDescent="0.3">
      <c r="A645" s="15" t="s">
        <v>48</v>
      </c>
      <c r="B645" s="1" t="s">
        <v>7</v>
      </c>
      <c r="C645" s="1" t="s">
        <v>7</v>
      </c>
      <c r="D645" s="1" t="s">
        <v>7</v>
      </c>
      <c r="E645" s="136"/>
      <c r="F645" s="1" t="s">
        <v>7</v>
      </c>
      <c r="G645" s="1" t="s">
        <v>7</v>
      </c>
      <c r="H645" s="1" t="s">
        <v>7</v>
      </c>
      <c r="I645" s="136"/>
      <c r="J645" s="1" t="s">
        <v>7</v>
      </c>
      <c r="K645" s="1" t="s">
        <v>7</v>
      </c>
      <c r="L645" s="1" t="s">
        <v>7</v>
      </c>
      <c r="M645" s="136"/>
      <c r="N645" s="1" t="s">
        <v>7</v>
      </c>
      <c r="O645" s="1" t="s">
        <v>7</v>
      </c>
      <c r="P645" s="1" t="s">
        <v>7</v>
      </c>
      <c r="Q645" s="137"/>
      <c r="R645" s="138" t="s">
        <v>7</v>
      </c>
    </row>
    <row r="646" spans="1:18" ht="15.75" customHeight="1" x14ac:dyDescent="0.3">
      <c r="A646" s="15" t="s">
        <v>49</v>
      </c>
      <c r="B646" s="1"/>
      <c r="C646" s="1"/>
      <c r="D646" s="1"/>
      <c r="E646" s="55" t="s">
        <v>7</v>
      </c>
      <c r="F646" s="1"/>
      <c r="G646" s="1"/>
      <c r="H646" s="1"/>
      <c r="I646" s="55" t="s">
        <v>7</v>
      </c>
      <c r="J646" s="1"/>
      <c r="K646" s="1"/>
      <c r="L646" s="1"/>
      <c r="M646" s="55" t="s">
        <v>7</v>
      </c>
      <c r="N646" s="1"/>
      <c r="O646" s="1"/>
      <c r="P646" s="1"/>
      <c r="Q646" s="55" t="s">
        <v>7</v>
      </c>
      <c r="R646" s="55" t="s">
        <v>7</v>
      </c>
    </row>
    <row r="647" spans="1:18" ht="15.75" customHeight="1" x14ac:dyDescent="0.3">
      <c r="A647" s="71" t="s">
        <v>362</v>
      </c>
      <c r="B647" s="1">
        <v>0</v>
      </c>
      <c r="C647" s="1">
        <v>0</v>
      </c>
      <c r="D647" s="1">
        <v>0</v>
      </c>
      <c r="E647" s="55">
        <f>SUM(B647:D647)</f>
        <v>0</v>
      </c>
      <c r="F647" s="1">
        <v>0</v>
      </c>
      <c r="G647" s="1">
        <v>0</v>
      </c>
      <c r="H647" s="1">
        <v>0</v>
      </c>
      <c r="I647" s="55">
        <f>SUM(F647:H647)</f>
        <v>0</v>
      </c>
      <c r="J647" s="1">
        <v>0</v>
      </c>
      <c r="K647" s="1">
        <v>0</v>
      </c>
      <c r="L647" s="1">
        <v>0</v>
      </c>
      <c r="M647" s="55">
        <f>SUM(J647:L647)</f>
        <v>0</v>
      </c>
      <c r="N647" s="1">
        <v>0</v>
      </c>
      <c r="O647" s="1">
        <v>558</v>
      </c>
      <c r="P647" s="1">
        <v>0</v>
      </c>
      <c r="Q647" s="55">
        <f>SUM(N647:P647)</f>
        <v>558</v>
      </c>
      <c r="R647" s="55">
        <f>+E647+I647+M647+Q647</f>
        <v>558</v>
      </c>
    </row>
    <row r="648" spans="1:18" ht="15.75" customHeight="1" x14ac:dyDescent="0.3">
      <c r="A648" s="71" t="s">
        <v>363</v>
      </c>
      <c r="B648" s="1">
        <v>101</v>
      </c>
      <c r="C648" s="1">
        <v>425</v>
      </c>
      <c r="D648" s="1">
        <v>1731</v>
      </c>
      <c r="E648" s="55">
        <f>SUM(B648:D648)</f>
        <v>2257</v>
      </c>
      <c r="F648" s="1">
        <v>1436</v>
      </c>
      <c r="G648" s="1">
        <v>2694</v>
      </c>
      <c r="H648" s="1">
        <v>1934</v>
      </c>
      <c r="I648" s="55">
        <f>SUM(F648:H648)</f>
        <v>6064</v>
      </c>
      <c r="J648" s="1">
        <v>1323</v>
      </c>
      <c r="K648" s="1">
        <v>1686</v>
      </c>
      <c r="L648" s="1">
        <v>2246</v>
      </c>
      <c r="M648" s="55">
        <f>SUM(J648:L648)</f>
        <v>5255</v>
      </c>
      <c r="N648" s="1">
        <v>1000</v>
      </c>
      <c r="O648" s="1">
        <v>580</v>
      </c>
      <c r="P648" s="1">
        <v>844</v>
      </c>
      <c r="Q648" s="55">
        <f>SUM(N648:P648)</f>
        <v>2424</v>
      </c>
      <c r="R648" s="55">
        <f>+E648+I648+M648+Q648</f>
        <v>16000</v>
      </c>
    </row>
    <row r="649" spans="1:18" ht="15.75" customHeight="1" x14ac:dyDescent="0.3">
      <c r="A649" s="15" t="s">
        <v>50</v>
      </c>
      <c r="B649" s="1"/>
      <c r="C649" s="1"/>
      <c r="D649" s="1"/>
      <c r="E649" s="55" t="s">
        <v>7</v>
      </c>
      <c r="F649" s="1"/>
      <c r="G649" s="1"/>
      <c r="H649" s="1"/>
      <c r="I649" s="55" t="s">
        <v>7</v>
      </c>
      <c r="J649" s="1"/>
      <c r="K649" s="1"/>
      <c r="L649" s="1"/>
      <c r="M649" s="55" t="s">
        <v>7</v>
      </c>
      <c r="N649" s="1"/>
      <c r="O649" s="1"/>
      <c r="P649" s="1"/>
      <c r="Q649" s="55" t="s">
        <v>7</v>
      </c>
      <c r="R649" s="55" t="s">
        <v>7</v>
      </c>
    </row>
    <row r="650" spans="1:18" ht="15.75" customHeight="1" x14ac:dyDescent="0.3">
      <c r="A650" s="15" t="s">
        <v>51</v>
      </c>
      <c r="B650" s="1"/>
      <c r="C650" s="1"/>
      <c r="D650" s="1"/>
      <c r="E650" s="55" t="s">
        <v>7</v>
      </c>
      <c r="F650" s="1"/>
      <c r="G650" s="1"/>
      <c r="H650" s="1"/>
      <c r="I650" s="55" t="s">
        <v>7</v>
      </c>
      <c r="J650" s="1"/>
      <c r="K650" s="1"/>
      <c r="L650" s="1"/>
      <c r="M650" s="55" t="s">
        <v>7</v>
      </c>
      <c r="N650" s="1"/>
      <c r="O650" s="1"/>
      <c r="P650" s="1"/>
      <c r="Q650" s="55" t="s">
        <v>7</v>
      </c>
      <c r="R650" s="55" t="s">
        <v>7</v>
      </c>
    </row>
    <row r="651" spans="1:18" ht="15.75" customHeight="1" x14ac:dyDescent="0.3">
      <c r="A651" s="71" t="s">
        <v>364</v>
      </c>
      <c r="B651" s="1">
        <v>0</v>
      </c>
      <c r="C651" s="1">
        <v>0</v>
      </c>
      <c r="D651" s="1">
        <v>0</v>
      </c>
      <c r="E651" s="55">
        <f>SUM(B651:D651)</f>
        <v>0</v>
      </c>
      <c r="F651" s="1">
        <v>846</v>
      </c>
      <c r="G651" s="1">
        <v>0</v>
      </c>
      <c r="H651" s="1">
        <v>0</v>
      </c>
      <c r="I651" s="55">
        <f>SUM(F651:H651)</f>
        <v>846</v>
      </c>
      <c r="J651" s="1">
        <v>0</v>
      </c>
      <c r="K651" s="1">
        <v>0</v>
      </c>
      <c r="L651" s="1">
        <v>0</v>
      </c>
      <c r="M651" s="55">
        <f>SUM(J651:L651)</f>
        <v>0</v>
      </c>
      <c r="N651" s="1">
        <v>0</v>
      </c>
      <c r="O651" s="1">
        <v>0</v>
      </c>
      <c r="P651" s="1">
        <v>0</v>
      </c>
      <c r="Q651" s="55">
        <f>SUM(N651:P651)</f>
        <v>0</v>
      </c>
      <c r="R651" s="55">
        <f>+E651+I651+M651+Q651</f>
        <v>846</v>
      </c>
    </row>
    <row r="652" spans="1:18" ht="15.75" customHeight="1" thickBot="1" x14ac:dyDescent="0.35">
      <c r="A652" s="15" t="s">
        <v>53</v>
      </c>
      <c r="B652" s="1"/>
      <c r="C652" s="1"/>
      <c r="D652" s="1"/>
      <c r="E652" s="55" t="s">
        <v>7</v>
      </c>
      <c r="F652" s="1"/>
      <c r="G652" s="1"/>
      <c r="H652" s="1"/>
      <c r="I652" s="55" t="s">
        <v>7</v>
      </c>
      <c r="J652" s="1"/>
      <c r="K652" s="1"/>
      <c r="L652" s="1"/>
      <c r="M652" s="55" t="s">
        <v>7</v>
      </c>
      <c r="N652" s="1"/>
      <c r="O652" s="1"/>
      <c r="P652" s="1"/>
      <c r="Q652" s="55" t="s">
        <v>7</v>
      </c>
      <c r="R652" s="55" t="s">
        <v>7</v>
      </c>
    </row>
    <row r="653" spans="1:18" ht="15.75" customHeight="1" thickBot="1" x14ac:dyDescent="0.35">
      <c r="A653" s="57" t="s">
        <v>54</v>
      </c>
      <c r="B653" s="86">
        <f>SUM(B645:B652)</f>
        <v>101</v>
      </c>
      <c r="C653" s="87">
        <f>SUM(C645:C652)</f>
        <v>425</v>
      </c>
      <c r="D653" s="87">
        <f>SUM(D645:D652)</f>
        <v>1731</v>
      </c>
      <c r="E653" s="59">
        <f>SUM(B653:D653)</f>
        <v>2257</v>
      </c>
      <c r="F653" s="87">
        <f>SUM(F645:F652)</f>
        <v>2282</v>
      </c>
      <c r="G653" s="87">
        <f>SUM(G645:G652)</f>
        <v>2694</v>
      </c>
      <c r="H653" s="87">
        <f>SUM(H645:H652)</f>
        <v>1934</v>
      </c>
      <c r="I653" s="59">
        <f>SUM(F653:H653)</f>
        <v>6910</v>
      </c>
      <c r="J653" s="87">
        <f>SUM(J645:J652)</f>
        <v>1323</v>
      </c>
      <c r="K653" s="87">
        <f>SUM(K645:K652)</f>
        <v>1686</v>
      </c>
      <c r="L653" s="87">
        <f>SUM(L645:L652)</f>
        <v>2246</v>
      </c>
      <c r="M653" s="59">
        <f>SUM(J653:L653)</f>
        <v>5255</v>
      </c>
      <c r="N653" s="87">
        <f>SUM(N645:N652)</f>
        <v>1000</v>
      </c>
      <c r="O653" s="87">
        <f>SUM(O645:O652)</f>
        <v>1138</v>
      </c>
      <c r="P653" s="87">
        <f>SUM(P645:P652)</f>
        <v>844</v>
      </c>
      <c r="Q653" s="59">
        <f>SUM(N653:P653)</f>
        <v>2982</v>
      </c>
      <c r="R653" s="59">
        <f>+E653+I653+M653+Q653</f>
        <v>17404</v>
      </c>
    </row>
    <row r="654" spans="1:18" ht="15.75" customHeight="1" x14ac:dyDescent="0.3">
      <c r="A654" s="15" t="s">
        <v>55</v>
      </c>
      <c r="B654" s="1"/>
      <c r="C654" s="1"/>
      <c r="D654" s="1"/>
      <c r="E654" s="55" t="s">
        <v>7</v>
      </c>
      <c r="F654" s="1"/>
      <c r="G654" s="1"/>
      <c r="H654" s="1"/>
      <c r="I654" s="55" t="s">
        <v>7</v>
      </c>
      <c r="J654" s="1"/>
      <c r="K654" s="1"/>
      <c r="L654" s="1"/>
      <c r="M654" s="55" t="s">
        <v>7</v>
      </c>
      <c r="N654" s="1"/>
      <c r="O654" s="1"/>
      <c r="P654" s="1"/>
      <c r="Q654" s="55" t="s">
        <v>7</v>
      </c>
      <c r="R654" s="55" t="s">
        <v>7</v>
      </c>
    </row>
    <row r="655" spans="1:18" ht="15.75" customHeight="1" x14ac:dyDescent="0.3">
      <c r="A655" s="15" t="s">
        <v>57</v>
      </c>
      <c r="B655" s="1"/>
      <c r="C655" s="1"/>
      <c r="D655" s="1"/>
      <c r="E655" s="55" t="s">
        <v>7</v>
      </c>
      <c r="F655" s="1"/>
      <c r="G655" s="1"/>
      <c r="H655" s="1"/>
      <c r="I655" s="55" t="s">
        <v>7</v>
      </c>
      <c r="J655" s="1"/>
      <c r="K655" s="1"/>
      <c r="L655" s="1"/>
      <c r="M655" s="55" t="s">
        <v>7</v>
      </c>
      <c r="N655" s="1"/>
      <c r="O655" s="1"/>
      <c r="P655" s="1"/>
      <c r="Q655" s="55" t="s">
        <v>7</v>
      </c>
      <c r="R655" s="55" t="s">
        <v>7</v>
      </c>
    </row>
    <row r="656" spans="1:18" ht="15.75" customHeight="1" thickBot="1" x14ac:dyDescent="0.35">
      <c r="A656" s="15" t="s">
        <v>58</v>
      </c>
      <c r="B656" s="1"/>
      <c r="C656" s="1"/>
      <c r="D656" s="1"/>
      <c r="E656" s="55" t="s">
        <v>7</v>
      </c>
      <c r="F656" s="1"/>
      <c r="G656" s="1"/>
      <c r="H656" s="1"/>
      <c r="I656" s="55" t="s">
        <v>7</v>
      </c>
      <c r="J656" s="1"/>
      <c r="K656" s="1"/>
      <c r="L656" s="1"/>
      <c r="M656" s="55" t="s">
        <v>7</v>
      </c>
      <c r="N656" s="1"/>
      <c r="O656" s="1"/>
      <c r="P656" s="1"/>
      <c r="Q656" s="55" t="s">
        <v>7</v>
      </c>
      <c r="R656" s="55" t="s">
        <v>7</v>
      </c>
    </row>
    <row r="657" spans="1:18" ht="15.75" customHeight="1" thickBot="1" x14ac:dyDescent="0.35">
      <c r="A657" s="57" t="s">
        <v>59</v>
      </c>
      <c r="B657" s="86">
        <f>SUM(B654:B656)</f>
        <v>0</v>
      </c>
      <c r="C657" s="87">
        <f>SUM(C654:C656)</f>
        <v>0</v>
      </c>
      <c r="D657" s="87">
        <f>SUM(D654:D656)</f>
        <v>0</v>
      </c>
      <c r="E657" s="59">
        <f>SUM(B657:D657)</f>
        <v>0</v>
      </c>
      <c r="F657" s="87">
        <f>SUM(F654:F656)</f>
        <v>0</v>
      </c>
      <c r="G657" s="87">
        <f>SUM(G654:G656)</f>
        <v>0</v>
      </c>
      <c r="H657" s="87">
        <f>SUM(H654:H656)</f>
        <v>0</v>
      </c>
      <c r="I657" s="59">
        <f>SUM(F657:H657)</f>
        <v>0</v>
      </c>
      <c r="J657" s="87">
        <f>SUM(J654:J656)</f>
        <v>0</v>
      </c>
      <c r="K657" s="87">
        <f>SUM(K654:K656)</f>
        <v>0</v>
      </c>
      <c r="L657" s="87">
        <f>SUM(L654:L656)</f>
        <v>0</v>
      </c>
      <c r="M657" s="59">
        <f>SUM(J657:L657)</f>
        <v>0</v>
      </c>
      <c r="N657" s="87">
        <f>SUM(N654:N656)</f>
        <v>0</v>
      </c>
      <c r="O657" s="87">
        <f>SUM(O654:O656)</f>
        <v>0</v>
      </c>
      <c r="P657" s="87">
        <f>SUM(P654:P656)</f>
        <v>0</v>
      </c>
      <c r="Q657" s="59">
        <f>SUM(N657:P657)</f>
        <v>0</v>
      </c>
      <c r="R657" s="59">
        <f>+E657+I657+M657+Q657</f>
        <v>0</v>
      </c>
    </row>
    <row r="658" spans="1:18" ht="15.75" customHeight="1" x14ac:dyDescent="0.3">
      <c r="A658" s="15" t="s">
        <v>60</v>
      </c>
      <c r="B658" s="1"/>
      <c r="C658" s="1"/>
      <c r="D658" s="1"/>
      <c r="E658" s="55" t="s">
        <v>7</v>
      </c>
      <c r="F658" s="1"/>
      <c r="G658" s="1"/>
      <c r="H658" s="1"/>
      <c r="I658" s="55" t="s">
        <v>7</v>
      </c>
      <c r="J658" s="1" t="s">
        <v>7</v>
      </c>
      <c r="K658" s="1"/>
      <c r="L658" s="1"/>
      <c r="M658" s="55" t="s">
        <v>7</v>
      </c>
      <c r="N658" s="1"/>
      <c r="O658" s="1"/>
      <c r="P658" s="1"/>
      <c r="Q658" s="55" t="s">
        <v>7</v>
      </c>
      <c r="R658" s="55" t="s">
        <v>7</v>
      </c>
    </row>
    <row r="659" spans="1:18" ht="15.75" customHeight="1" x14ac:dyDescent="0.3">
      <c r="A659" s="15" t="s">
        <v>61</v>
      </c>
      <c r="B659" s="1"/>
      <c r="C659" s="1"/>
      <c r="D659" s="1"/>
      <c r="E659" s="55" t="s">
        <v>7</v>
      </c>
      <c r="F659" s="1"/>
      <c r="G659" s="1"/>
      <c r="H659" s="1"/>
      <c r="I659" s="55" t="s">
        <v>7</v>
      </c>
      <c r="J659" s="1"/>
      <c r="K659" s="1"/>
      <c r="L659" s="1"/>
      <c r="M659" s="55" t="s">
        <v>7</v>
      </c>
      <c r="N659" s="1"/>
      <c r="O659" s="1"/>
      <c r="P659" s="1"/>
      <c r="Q659" s="55" t="s">
        <v>7</v>
      </c>
      <c r="R659" s="55" t="s">
        <v>7</v>
      </c>
    </row>
    <row r="660" spans="1:18" ht="15.75" customHeight="1" x14ac:dyDescent="0.3">
      <c r="A660" s="71" t="s">
        <v>365</v>
      </c>
      <c r="B660" s="1">
        <v>349</v>
      </c>
      <c r="C660" s="1">
        <v>487</v>
      </c>
      <c r="D660" s="1">
        <v>454</v>
      </c>
      <c r="E660" s="55">
        <f>SUM(B660:D660)</f>
        <v>1290</v>
      </c>
      <c r="F660" s="1">
        <v>758</v>
      </c>
      <c r="G660" s="1">
        <v>783</v>
      </c>
      <c r="H660" s="1">
        <v>905</v>
      </c>
      <c r="I660" s="55">
        <f>SUM(F660:H660)</f>
        <v>2446</v>
      </c>
      <c r="J660" s="1">
        <v>456</v>
      </c>
      <c r="K660" s="1">
        <v>742</v>
      </c>
      <c r="L660" s="1">
        <v>861</v>
      </c>
      <c r="M660" s="55">
        <f>SUM(J660:L660)</f>
        <v>2059</v>
      </c>
      <c r="N660" s="1">
        <v>1043</v>
      </c>
      <c r="O660" s="1">
        <v>300</v>
      </c>
      <c r="P660" s="1">
        <v>699</v>
      </c>
      <c r="Q660" s="55">
        <f>SUM(N660:P660)</f>
        <v>2042</v>
      </c>
      <c r="R660" s="55">
        <f>+E660+I660+M660+Q660</f>
        <v>7837</v>
      </c>
    </row>
    <row r="661" spans="1:18" ht="15.75" customHeight="1" thickBot="1" x14ac:dyDescent="0.35">
      <c r="A661" s="15" t="s">
        <v>62</v>
      </c>
      <c r="B661" s="1"/>
      <c r="C661" s="1"/>
      <c r="D661" s="1"/>
      <c r="E661" s="55" t="s">
        <v>7</v>
      </c>
      <c r="F661" s="1"/>
      <c r="G661" s="1"/>
      <c r="H661" s="1"/>
      <c r="I661" s="55" t="s">
        <v>7</v>
      </c>
      <c r="J661" s="1"/>
      <c r="K661" s="1"/>
      <c r="L661" s="1"/>
      <c r="M661" s="55" t="s">
        <v>7</v>
      </c>
      <c r="N661" s="1"/>
      <c r="O661" s="1"/>
      <c r="P661" s="1"/>
      <c r="Q661" s="55" t="s">
        <v>7</v>
      </c>
      <c r="R661" s="55" t="s">
        <v>7</v>
      </c>
    </row>
    <row r="662" spans="1:18" ht="15.75" customHeight="1" thickBot="1" x14ac:dyDescent="0.35">
      <c r="A662" s="57" t="s">
        <v>63</v>
      </c>
      <c r="B662" s="86">
        <f>SUM(B658:B661)</f>
        <v>349</v>
      </c>
      <c r="C662" s="87">
        <f>SUM(C658:C661)</f>
        <v>487</v>
      </c>
      <c r="D662" s="87">
        <f>SUM(D658:D661)</f>
        <v>454</v>
      </c>
      <c r="E662" s="59">
        <f>SUM(B662:D662)</f>
        <v>1290</v>
      </c>
      <c r="F662" s="87">
        <f>SUM(F658:F661)</f>
        <v>758</v>
      </c>
      <c r="G662" s="87">
        <f>SUM(G658:G661)</f>
        <v>783</v>
      </c>
      <c r="H662" s="87">
        <f>SUM(H658:H661)</f>
        <v>905</v>
      </c>
      <c r="I662" s="59">
        <f>SUM(F662:H662)</f>
        <v>2446</v>
      </c>
      <c r="J662" s="87">
        <f>SUM(J658:J661)</f>
        <v>456</v>
      </c>
      <c r="K662" s="87">
        <f>SUM(K658:K661)</f>
        <v>742</v>
      </c>
      <c r="L662" s="87">
        <f>SUM(L658:L661)</f>
        <v>861</v>
      </c>
      <c r="M662" s="59">
        <f>SUM(J662:L662)</f>
        <v>2059</v>
      </c>
      <c r="N662" s="87">
        <f>SUM(N658:N661)</f>
        <v>1043</v>
      </c>
      <c r="O662" s="87">
        <f>SUM(O658:O661)</f>
        <v>300</v>
      </c>
      <c r="P662" s="87">
        <f>SUM(P658:P661)</f>
        <v>699</v>
      </c>
      <c r="Q662" s="59">
        <f>SUM(N662:P662)</f>
        <v>2042</v>
      </c>
      <c r="R662" s="59">
        <f>+E662+I662+M662+Q662</f>
        <v>7837</v>
      </c>
    </row>
    <row r="663" spans="1:18" ht="15.75" customHeight="1" x14ac:dyDescent="0.3">
      <c r="A663" s="15" t="s">
        <v>64</v>
      </c>
      <c r="B663" s="1"/>
      <c r="C663" s="1"/>
      <c r="D663" s="1"/>
      <c r="E663" s="55" t="s">
        <v>7</v>
      </c>
      <c r="F663" s="1"/>
      <c r="G663" s="1"/>
      <c r="H663" s="1"/>
      <c r="I663" s="55" t="s">
        <v>7</v>
      </c>
      <c r="J663" s="1"/>
      <c r="K663" s="1"/>
      <c r="L663" s="1"/>
      <c r="M663" s="55" t="s">
        <v>7</v>
      </c>
      <c r="N663" s="1"/>
      <c r="O663" s="1"/>
      <c r="P663" s="1"/>
      <c r="Q663" s="55" t="s">
        <v>7</v>
      </c>
      <c r="R663" s="55" t="s">
        <v>7</v>
      </c>
    </row>
    <row r="664" spans="1:18" ht="15.75" customHeight="1" x14ac:dyDescent="0.3">
      <c r="A664" s="15" t="s">
        <v>65</v>
      </c>
      <c r="B664" s="1"/>
      <c r="C664" s="1"/>
      <c r="D664" s="1"/>
      <c r="E664" s="55" t="s">
        <v>7</v>
      </c>
      <c r="F664" s="1"/>
      <c r="G664" s="1"/>
      <c r="H664" s="1"/>
      <c r="I664" s="55" t="s">
        <v>7</v>
      </c>
      <c r="J664" s="1"/>
      <c r="K664" s="1"/>
      <c r="L664" s="1"/>
      <c r="M664" s="55" t="s">
        <v>7</v>
      </c>
      <c r="N664" s="1"/>
      <c r="O664" s="1"/>
      <c r="P664" s="1"/>
      <c r="Q664" s="55" t="s">
        <v>7</v>
      </c>
      <c r="R664" s="55" t="s">
        <v>7</v>
      </c>
    </row>
    <row r="665" spans="1:18" ht="15.75" customHeight="1" x14ac:dyDescent="0.3">
      <c r="A665" s="71" t="s">
        <v>366</v>
      </c>
      <c r="B665" s="1">
        <v>0</v>
      </c>
      <c r="C665" s="1">
        <v>0</v>
      </c>
      <c r="D665" s="1">
        <v>0</v>
      </c>
      <c r="E665" s="55">
        <f>SUM(B665:D665)</f>
        <v>0</v>
      </c>
      <c r="F665" s="1">
        <v>24</v>
      </c>
      <c r="G665" s="1">
        <v>0</v>
      </c>
      <c r="H665" s="1">
        <v>0</v>
      </c>
      <c r="I665" s="55">
        <f>SUM(F665:H665)</f>
        <v>24</v>
      </c>
      <c r="J665" s="1">
        <v>0</v>
      </c>
      <c r="K665" s="1">
        <v>796</v>
      </c>
      <c r="L665" s="1">
        <v>0</v>
      </c>
      <c r="M665" s="55">
        <f>SUM(J665:L665)</f>
        <v>796</v>
      </c>
      <c r="N665" s="1">
        <v>520</v>
      </c>
      <c r="O665" s="1">
        <v>180</v>
      </c>
      <c r="P665" s="1">
        <v>109</v>
      </c>
      <c r="Q665" s="55">
        <f>SUM(N665:P665)</f>
        <v>809</v>
      </c>
      <c r="R665" s="55">
        <f>+E665+I665+M665+Q665</f>
        <v>1629</v>
      </c>
    </row>
    <row r="666" spans="1:18" ht="15.75" customHeight="1" x14ac:dyDescent="0.3">
      <c r="A666" s="71" t="s">
        <v>367</v>
      </c>
      <c r="B666" s="1">
        <v>0</v>
      </c>
      <c r="C666" s="1">
        <v>0</v>
      </c>
      <c r="D666" s="1">
        <v>0</v>
      </c>
      <c r="E666" s="55">
        <f>SUM(B666:D666)</f>
        <v>0</v>
      </c>
      <c r="F666" s="1">
        <v>0</v>
      </c>
      <c r="G666" s="1">
        <v>0</v>
      </c>
      <c r="H666" s="1">
        <v>0</v>
      </c>
      <c r="I666" s="55">
        <f>SUM(F666:H666)</f>
        <v>0</v>
      </c>
      <c r="J666" s="1">
        <v>0</v>
      </c>
      <c r="K666" s="1">
        <v>0</v>
      </c>
      <c r="L666" s="1">
        <v>0</v>
      </c>
      <c r="M666" s="55">
        <f>SUM(J666:L666)</f>
        <v>0</v>
      </c>
      <c r="N666" s="1">
        <v>0</v>
      </c>
      <c r="O666" s="1">
        <v>0</v>
      </c>
      <c r="P666" s="1">
        <v>0</v>
      </c>
      <c r="Q666" s="55">
        <f>SUM(N666:P666)</f>
        <v>0</v>
      </c>
      <c r="R666" s="55">
        <f>+E666+I666+M666+Q666</f>
        <v>0</v>
      </c>
    </row>
    <row r="667" spans="1:18" ht="15.75" customHeight="1" x14ac:dyDescent="0.3">
      <c r="A667" s="71" t="s">
        <v>368</v>
      </c>
      <c r="B667" s="1">
        <v>0</v>
      </c>
      <c r="C667" s="1">
        <v>0</v>
      </c>
      <c r="D667" s="1">
        <v>0</v>
      </c>
      <c r="E667" s="55">
        <f>SUM(B667:D667)</f>
        <v>0</v>
      </c>
      <c r="F667" s="1">
        <v>0</v>
      </c>
      <c r="G667" s="1">
        <v>0</v>
      </c>
      <c r="H667" s="1">
        <v>0</v>
      </c>
      <c r="I667" s="55">
        <f>SUM(F667:H667)</f>
        <v>0</v>
      </c>
      <c r="J667" s="1">
        <v>0</v>
      </c>
      <c r="K667" s="1">
        <v>0</v>
      </c>
      <c r="L667" s="1">
        <v>0</v>
      </c>
      <c r="M667" s="55">
        <f>SUM(J667:L667)</f>
        <v>0</v>
      </c>
      <c r="N667" s="1">
        <v>0</v>
      </c>
      <c r="O667" s="1">
        <v>0</v>
      </c>
      <c r="P667" s="1">
        <v>1000</v>
      </c>
      <c r="Q667" s="55">
        <f>SUM(N667:P667)</f>
        <v>1000</v>
      </c>
      <c r="R667" s="55">
        <f>+E667+I667+M667+Q667</f>
        <v>1000</v>
      </c>
    </row>
    <row r="668" spans="1:18" ht="15.75" customHeight="1" x14ac:dyDescent="0.3">
      <c r="A668" s="71" t="s">
        <v>369</v>
      </c>
      <c r="B668" s="1">
        <v>0</v>
      </c>
      <c r="C668" s="1">
        <v>0</v>
      </c>
      <c r="D668" s="1">
        <v>0</v>
      </c>
      <c r="E668" s="55">
        <f>SUM(B668:D668)</f>
        <v>0</v>
      </c>
      <c r="F668" s="1">
        <v>0</v>
      </c>
      <c r="G668" s="1">
        <v>0</v>
      </c>
      <c r="H668" s="1">
        <v>0</v>
      </c>
      <c r="I668" s="55">
        <f>SUM(F668:H668)</f>
        <v>0</v>
      </c>
      <c r="J668" s="1">
        <v>0</v>
      </c>
      <c r="K668" s="1">
        <v>0</v>
      </c>
      <c r="L668" s="1">
        <v>0</v>
      </c>
      <c r="M668" s="55">
        <f>SUM(J668:L668)</f>
        <v>0</v>
      </c>
      <c r="N668" s="1">
        <v>0</v>
      </c>
      <c r="O668" s="1">
        <v>0</v>
      </c>
      <c r="P668" s="1">
        <v>0</v>
      </c>
      <c r="Q668" s="55">
        <f>SUM(N668:P668)</f>
        <v>0</v>
      </c>
      <c r="R668" s="55">
        <f>+E668+I668+M668+Q668</f>
        <v>0</v>
      </c>
    </row>
    <row r="669" spans="1:18" ht="15.75" customHeight="1" x14ac:dyDescent="0.3">
      <c r="A669" s="15" t="s">
        <v>67</v>
      </c>
      <c r="B669" s="1"/>
      <c r="C669" s="1"/>
      <c r="D669" s="1"/>
      <c r="E669" s="55" t="s">
        <v>7</v>
      </c>
      <c r="F669" s="1"/>
      <c r="G669" s="1"/>
      <c r="H669" s="1"/>
      <c r="I669" s="55" t="s">
        <v>7</v>
      </c>
      <c r="J669" s="1"/>
      <c r="K669" s="1"/>
      <c r="L669" s="1"/>
      <c r="M669" s="55" t="s">
        <v>7</v>
      </c>
      <c r="N669" s="1"/>
      <c r="O669" s="1"/>
      <c r="P669" s="1"/>
      <c r="Q669" s="55" t="s">
        <v>7</v>
      </c>
      <c r="R669" s="55" t="s">
        <v>7</v>
      </c>
    </row>
    <row r="670" spans="1:18" ht="15.75" customHeight="1" x14ac:dyDescent="0.3">
      <c r="A670" s="71" t="s">
        <v>370</v>
      </c>
      <c r="B670" s="1">
        <v>0</v>
      </c>
      <c r="C670" s="1">
        <v>0</v>
      </c>
      <c r="D670" s="1">
        <v>0</v>
      </c>
      <c r="E670" s="55">
        <f>SUM(B670:D670)</f>
        <v>0</v>
      </c>
      <c r="F670" s="1">
        <v>0</v>
      </c>
      <c r="G670" s="1">
        <v>0</v>
      </c>
      <c r="H670" s="1">
        <v>0</v>
      </c>
      <c r="I670" s="55">
        <f>SUM(F670:H670)</f>
        <v>0</v>
      </c>
      <c r="J670" s="1">
        <v>0</v>
      </c>
      <c r="K670" s="1">
        <v>0</v>
      </c>
      <c r="L670" s="1">
        <v>0</v>
      </c>
      <c r="M670" s="55">
        <f>SUM(J670:L670)</f>
        <v>0</v>
      </c>
      <c r="N670" s="1">
        <v>0</v>
      </c>
      <c r="O670" s="1">
        <v>0</v>
      </c>
      <c r="P670" s="1">
        <v>0</v>
      </c>
      <c r="Q670" s="55">
        <f>SUM(N670:P670)</f>
        <v>0</v>
      </c>
      <c r="R670" s="55">
        <f>+E670+I670+M670+Q670</f>
        <v>0</v>
      </c>
    </row>
    <row r="671" spans="1:18" ht="15.75" customHeight="1" x14ac:dyDescent="0.3">
      <c r="A671" s="71" t="s">
        <v>371</v>
      </c>
      <c r="B671" s="1">
        <v>0</v>
      </c>
      <c r="C671" s="1">
        <v>0</v>
      </c>
      <c r="D671" s="1">
        <v>0</v>
      </c>
      <c r="E671" s="55">
        <f>SUM(B671:D671)</f>
        <v>0</v>
      </c>
      <c r="F671" s="1">
        <v>0</v>
      </c>
      <c r="G671" s="1">
        <v>0</v>
      </c>
      <c r="H671" s="1">
        <v>0</v>
      </c>
      <c r="I671" s="55">
        <f>SUM(F671:H671)</f>
        <v>0</v>
      </c>
      <c r="J671" s="1">
        <v>0</v>
      </c>
      <c r="K671" s="1">
        <v>0</v>
      </c>
      <c r="L671" s="1">
        <v>0</v>
      </c>
      <c r="M671" s="55">
        <f>SUM(J671:L671)</f>
        <v>0</v>
      </c>
      <c r="N671" s="1">
        <v>0</v>
      </c>
      <c r="O671" s="1">
        <v>0</v>
      </c>
      <c r="P671" s="1">
        <v>0</v>
      </c>
      <c r="Q671" s="55">
        <f>SUM(N671:P671)</f>
        <v>0</v>
      </c>
      <c r="R671" s="55">
        <f>+E671+I671+M671+Q671</f>
        <v>0</v>
      </c>
    </row>
    <row r="672" spans="1:18" ht="15.75" customHeight="1" x14ac:dyDescent="0.3">
      <c r="A672" s="15" t="s">
        <v>69</v>
      </c>
      <c r="B672" s="1"/>
      <c r="C672" s="1"/>
      <c r="D672" s="1"/>
      <c r="E672" s="55" t="s">
        <v>7</v>
      </c>
      <c r="F672" s="1"/>
      <c r="G672" s="1"/>
      <c r="H672" s="1"/>
      <c r="I672" s="55" t="s">
        <v>7</v>
      </c>
      <c r="J672" s="1"/>
      <c r="K672" s="1"/>
      <c r="L672" s="1"/>
      <c r="M672" s="55" t="s">
        <v>7</v>
      </c>
      <c r="N672" s="1"/>
      <c r="O672" s="1"/>
      <c r="P672" s="1"/>
      <c r="Q672" s="55" t="s">
        <v>7</v>
      </c>
      <c r="R672" s="55" t="s">
        <v>7</v>
      </c>
    </row>
    <row r="673" spans="1:18" ht="15.75" customHeight="1" thickBot="1" x14ac:dyDescent="0.35">
      <c r="A673" s="15" t="s">
        <v>70</v>
      </c>
      <c r="B673" s="1"/>
      <c r="C673" s="1"/>
      <c r="D673" s="1"/>
      <c r="E673" s="55" t="s">
        <v>7</v>
      </c>
      <c r="F673" s="1"/>
      <c r="G673" s="1"/>
      <c r="H673" s="1"/>
      <c r="I673" s="55" t="s">
        <v>7</v>
      </c>
      <c r="J673" s="1"/>
      <c r="K673" s="1"/>
      <c r="L673" s="1"/>
      <c r="M673" s="55" t="s">
        <v>7</v>
      </c>
      <c r="N673" s="1"/>
      <c r="O673" s="1"/>
      <c r="P673" s="1"/>
      <c r="Q673" s="55" t="s">
        <v>7</v>
      </c>
      <c r="R673" s="55" t="s">
        <v>7</v>
      </c>
    </row>
    <row r="674" spans="1:18" ht="15.75" customHeight="1" thickBot="1" x14ac:dyDescent="0.35">
      <c r="A674" s="57" t="s">
        <v>71</v>
      </c>
      <c r="B674" s="58">
        <f>SUM(B672:B673)</f>
        <v>0</v>
      </c>
      <c r="C674" s="58">
        <f>SUM(C672:C673)</f>
        <v>0</v>
      </c>
      <c r="D674" s="58">
        <f>SUM(D672:D673)</f>
        <v>0</v>
      </c>
      <c r="E674" s="60">
        <f>SUM(B674:D674)</f>
        <v>0</v>
      </c>
      <c r="F674" s="58">
        <f>SUM(F672:F673)</f>
        <v>0</v>
      </c>
      <c r="G674" s="58">
        <f>SUM(G672:G673)</f>
        <v>0</v>
      </c>
      <c r="H674" s="58">
        <f>SUM(H672:H673)</f>
        <v>0</v>
      </c>
      <c r="I674" s="60">
        <f>SUM(F674:H674)</f>
        <v>0</v>
      </c>
      <c r="J674" s="58">
        <f>SUM(J672:J673)</f>
        <v>0</v>
      </c>
      <c r="K674" s="58">
        <f>SUM(K672:K673)</f>
        <v>0</v>
      </c>
      <c r="L674" s="58">
        <f>SUM(L672:L673)</f>
        <v>0</v>
      </c>
      <c r="M674" s="60">
        <f>SUM(J674:L674)</f>
        <v>0</v>
      </c>
      <c r="N674" s="58">
        <f>SUM(N672:N673)</f>
        <v>0</v>
      </c>
      <c r="O674" s="58">
        <f>SUM(O672:O673)</f>
        <v>0</v>
      </c>
      <c r="P674" s="58">
        <f>SUM(P672:P673)</f>
        <v>0</v>
      </c>
      <c r="Q674" s="60">
        <f>SUM(N674:P674)</f>
        <v>0</v>
      </c>
      <c r="R674" s="59">
        <f>+E674+I674+M674+Q674</f>
        <v>0</v>
      </c>
    </row>
    <row r="675" spans="1:18" ht="15.75" customHeight="1" thickBot="1" x14ac:dyDescent="0.35">
      <c r="A675" s="57" t="s">
        <v>72</v>
      </c>
      <c r="B675" s="86">
        <f>SUM(B663:B673)</f>
        <v>0</v>
      </c>
      <c r="C675" s="87">
        <f>SUM(C663:C673)</f>
        <v>0</v>
      </c>
      <c r="D675" s="118">
        <f>SUM(D663:D673)</f>
        <v>0</v>
      </c>
      <c r="E675" s="60">
        <f>SUM(B675:D675)</f>
        <v>0</v>
      </c>
      <c r="F675" s="87">
        <f>SUM(F663:F673)</f>
        <v>24</v>
      </c>
      <c r="G675" s="87">
        <f>SUM(G663:G673)</f>
        <v>0</v>
      </c>
      <c r="H675" s="87">
        <f>SUM(H663:H673)</f>
        <v>0</v>
      </c>
      <c r="I675" s="60">
        <f>SUM(F675:H675)</f>
        <v>24</v>
      </c>
      <c r="J675" s="87">
        <f>SUM(J663:J673)</f>
        <v>0</v>
      </c>
      <c r="K675" s="87">
        <f>SUM(K663:K673)</f>
        <v>796</v>
      </c>
      <c r="L675" s="87">
        <f>SUM(L663:L673)</f>
        <v>0</v>
      </c>
      <c r="M675" s="60">
        <f>SUM(J675:L675)</f>
        <v>796</v>
      </c>
      <c r="N675" s="87">
        <f>SUM(N663:N673)</f>
        <v>520</v>
      </c>
      <c r="O675" s="87">
        <f>SUM(O663:O673)</f>
        <v>180</v>
      </c>
      <c r="P675" s="87">
        <f>SUM(P663:P673)</f>
        <v>1109</v>
      </c>
      <c r="Q675" s="60">
        <f>SUM(N675:P675)</f>
        <v>1809</v>
      </c>
      <c r="R675" s="59">
        <f>+E675+I675+M675+Q675</f>
        <v>2629</v>
      </c>
    </row>
    <row r="676" spans="1:18" ht="15.75" customHeight="1" thickBot="1" x14ac:dyDescent="0.35">
      <c r="A676" s="57" t="s">
        <v>73</v>
      </c>
      <c r="B676" s="90">
        <f>+B653+B657+B662+B675</f>
        <v>450</v>
      </c>
      <c r="C676" s="58">
        <f>+C653+C657+C662+C675</f>
        <v>912</v>
      </c>
      <c r="D676" s="58">
        <f>+D653+D657+D662+D675</f>
        <v>2185</v>
      </c>
      <c r="E676" s="59">
        <f>SUM(B676:D676)</f>
        <v>3547</v>
      </c>
      <c r="F676" s="58">
        <f>+F653+F657+F662+F675</f>
        <v>3064</v>
      </c>
      <c r="G676" s="58">
        <f>+G653+G657+G662+G675</f>
        <v>3477</v>
      </c>
      <c r="H676" s="58">
        <f>+H653+H657+H662+H675</f>
        <v>2839</v>
      </c>
      <c r="I676" s="59">
        <f>SUM(F676:H676)</f>
        <v>9380</v>
      </c>
      <c r="J676" s="58">
        <f>+J653+J657+J662+J675</f>
        <v>1779</v>
      </c>
      <c r="K676" s="58">
        <f>+K653+K657+K662+K675</f>
        <v>3224</v>
      </c>
      <c r="L676" s="58">
        <f>+L653+L657+L662+L675</f>
        <v>3107</v>
      </c>
      <c r="M676" s="59">
        <f>SUM(J676:L676)</f>
        <v>8110</v>
      </c>
      <c r="N676" s="58">
        <f>+N653+N657+N662+N675</f>
        <v>2563</v>
      </c>
      <c r="O676" s="58">
        <f>+O653+O657+O662+O675</f>
        <v>1618</v>
      </c>
      <c r="P676" s="58">
        <f>+P653+P657+P662+P675</f>
        <v>2652</v>
      </c>
      <c r="Q676" s="59">
        <f>SUM(N676:P676)</f>
        <v>6833</v>
      </c>
      <c r="R676" s="81">
        <f>+E676+I676+M676+Q676</f>
        <v>27870</v>
      </c>
    </row>
    <row r="677" spans="1:18" ht="15.75" customHeight="1" thickBot="1" x14ac:dyDescent="0.35">
      <c r="A677" s="39" t="s">
        <v>40</v>
      </c>
      <c r="B677" s="21">
        <v>11</v>
      </c>
      <c r="C677" s="21">
        <v>13</v>
      </c>
      <c r="D677" s="21">
        <v>17</v>
      </c>
      <c r="E677" s="55">
        <f>SUM(B677:D677)</f>
        <v>41</v>
      </c>
      <c r="F677" s="21">
        <v>21</v>
      </c>
      <c r="G677" s="21">
        <v>23</v>
      </c>
      <c r="H677" s="21">
        <v>25</v>
      </c>
      <c r="I677" s="55">
        <f>SUM(F677:H677)</f>
        <v>69</v>
      </c>
      <c r="J677" s="21">
        <v>25</v>
      </c>
      <c r="K677" s="21">
        <v>21</v>
      </c>
      <c r="L677" s="21">
        <v>19</v>
      </c>
      <c r="M677" s="55">
        <f>SUM(J677:L677)</f>
        <v>65</v>
      </c>
      <c r="N677" s="21">
        <v>17</v>
      </c>
      <c r="O677" s="21">
        <v>13</v>
      </c>
      <c r="P677" s="21">
        <v>11</v>
      </c>
      <c r="Q677" s="55">
        <f>SUM(N677:P677)</f>
        <v>41</v>
      </c>
      <c r="R677" s="55">
        <f>+E677+I677+M677+Q677</f>
        <v>216</v>
      </c>
    </row>
    <row r="678" spans="1:18" ht="15.75" customHeight="1" thickBot="1" x14ac:dyDescent="0.35">
      <c r="A678" s="41"/>
      <c r="B678" s="36"/>
      <c r="C678" s="36"/>
      <c r="D678" s="36"/>
      <c r="E678" s="59" t="s">
        <v>7</v>
      </c>
      <c r="F678" s="36"/>
      <c r="G678" s="36"/>
      <c r="H678" s="36"/>
      <c r="I678" s="59" t="s">
        <v>7</v>
      </c>
      <c r="J678" s="36"/>
      <c r="K678" s="36"/>
      <c r="L678" s="36"/>
      <c r="M678" s="59" t="s">
        <v>7</v>
      </c>
      <c r="N678" s="36"/>
      <c r="O678" s="36"/>
      <c r="P678" s="36"/>
      <c r="Q678" s="59" t="s">
        <v>7</v>
      </c>
      <c r="R678" s="59" t="s">
        <v>7</v>
      </c>
    </row>
    <row r="679" spans="1:18" ht="15.75" customHeight="1" x14ac:dyDescent="0.3">
      <c r="A679" s="15" t="s">
        <v>41</v>
      </c>
      <c r="B679" s="1">
        <f>SUM(B676:B677)</f>
        <v>461</v>
      </c>
      <c r="C679" s="1">
        <f>SUM(C676:C677)</f>
        <v>925</v>
      </c>
      <c r="D679" s="1">
        <f>SUM(D676:D677)</f>
        <v>2202</v>
      </c>
      <c r="E679" s="60">
        <f>SUM(B679:D679)</f>
        <v>3588</v>
      </c>
      <c r="F679" s="1">
        <f>SUM(F676:F677)</f>
        <v>3085</v>
      </c>
      <c r="G679" s="1">
        <f>SUM(G676:G677)</f>
        <v>3500</v>
      </c>
      <c r="H679" s="1">
        <f>SUM(H676:H677)</f>
        <v>2864</v>
      </c>
      <c r="I679" s="60">
        <f>SUM(F679:H679)</f>
        <v>9449</v>
      </c>
      <c r="J679" s="1">
        <f>SUM(J676:J677)</f>
        <v>1804</v>
      </c>
      <c r="K679" s="1">
        <f>SUM(K676:K677)</f>
        <v>3245</v>
      </c>
      <c r="L679" s="1">
        <f>SUM(L676:L677)</f>
        <v>3126</v>
      </c>
      <c r="M679" s="60">
        <f>SUM(J679:L679)</f>
        <v>8175</v>
      </c>
      <c r="N679" s="1">
        <f>SUM(N676:N677)</f>
        <v>2580</v>
      </c>
      <c r="O679" s="1">
        <f>SUM(O676:O677)</f>
        <v>1631</v>
      </c>
      <c r="P679" s="1">
        <f>SUM(P676:P677)</f>
        <v>2663</v>
      </c>
      <c r="Q679" s="60">
        <f>SUM(N679:P679)</f>
        <v>6874</v>
      </c>
      <c r="R679" s="60">
        <f>+E679+I679+M679+Q679</f>
        <v>28086</v>
      </c>
    </row>
    <row r="680" spans="1:18" ht="15.75" customHeight="1" x14ac:dyDescent="0.3">
      <c r="A680" s="15" t="s">
        <v>42</v>
      </c>
      <c r="B680" s="1">
        <f>(B679/31)/1.983</f>
        <v>7.4992273030436127</v>
      </c>
      <c r="C680" s="1">
        <f>(C679/28)/1.983</f>
        <v>16.659462574742452</v>
      </c>
      <c r="D680" s="1">
        <f>(D679/31)/1.983</f>
        <v>35.820604167683371</v>
      </c>
      <c r="E680" s="55" t="s">
        <v>7</v>
      </c>
      <c r="F680" s="1">
        <f>(F679/30)/1.983</f>
        <v>51.857455034459569</v>
      </c>
      <c r="G680" s="1">
        <f>(G679/31)/1.983</f>
        <v>56.935565207489468</v>
      </c>
      <c r="H680" s="1">
        <f>(H679/30)/1.983</f>
        <v>48.142544965540424</v>
      </c>
      <c r="I680" s="55" t="s">
        <v>7</v>
      </c>
      <c r="J680" s="1">
        <f>(J679/31)/1.983</f>
        <v>29.346217038374569</v>
      </c>
      <c r="K680" s="1">
        <f>(K679/31)/1.983</f>
        <v>52.787402599515232</v>
      </c>
      <c r="L680" s="1">
        <f>(L679/30)/1.983</f>
        <v>52.546646495209281</v>
      </c>
      <c r="M680" s="55" t="s">
        <v>7</v>
      </c>
      <c r="N680" s="1">
        <f>(N679/31)/1.983</f>
        <v>41.969645210092231</v>
      </c>
      <c r="O680" s="1">
        <f>(O679/30)/1.983</f>
        <v>27.416372499579762</v>
      </c>
      <c r="P680" s="1">
        <f>(P679/31)/1.983</f>
        <v>43.319831470726982</v>
      </c>
      <c r="Q680" s="55" t="s">
        <v>7</v>
      </c>
      <c r="R680" s="55" t="s">
        <v>7</v>
      </c>
    </row>
    <row r="681" spans="1:18" ht="15.75" customHeight="1" x14ac:dyDescent="0.3">
      <c r="A681" s="15" t="s">
        <v>372</v>
      </c>
      <c r="B681" s="1">
        <f>B679</f>
        <v>461</v>
      </c>
      <c r="C681" s="1">
        <f>C679</f>
        <v>925</v>
      </c>
      <c r="D681" s="1">
        <f>D679</f>
        <v>2202</v>
      </c>
      <c r="E681" s="55">
        <f>SUM(B681:D681)</f>
        <v>3588</v>
      </c>
      <c r="F681" s="1">
        <f>F679</f>
        <v>3085</v>
      </c>
      <c r="G681" s="1">
        <f>G679</f>
        <v>3500</v>
      </c>
      <c r="H681" s="1">
        <f>H679</f>
        <v>2864</v>
      </c>
      <c r="I681" s="55">
        <f>SUM(F681:H681)</f>
        <v>9449</v>
      </c>
      <c r="J681" s="1">
        <f>J679</f>
        <v>1804</v>
      </c>
      <c r="K681" s="1">
        <f>K679</f>
        <v>3245</v>
      </c>
      <c r="L681" s="1">
        <f>L679</f>
        <v>3126</v>
      </c>
      <c r="M681" s="55">
        <f>SUM(J681:L681)</f>
        <v>8175</v>
      </c>
      <c r="N681" s="1">
        <f>N679</f>
        <v>2580</v>
      </c>
      <c r="O681" s="1">
        <f>O679</f>
        <v>1631</v>
      </c>
      <c r="P681" s="1">
        <f>P679</f>
        <v>2663</v>
      </c>
      <c r="Q681" s="55">
        <f>SUM(N681:P681)</f>
        <v>6874</v>
      </c>
      <c r="R681" s="55">
        <f>+E681+I681+M681+Q681</f>
        <v>28086</v>
      </c>
    </row>
    <row r="682" spans="1:18" ht="15.75" customHeight="1" thickBot="1" x14ac:dyDescent="0.35">
      <c r="A682" s="20" t="s">
        <v>373</v>
      </c>
      <c r="B682" s="21">
        <f>(B681/31)/1.983</f>
        <v>7.4992273030436127</v>
      </c>
      <c r="C682" s="21">
        <f>(C681/28)/1.983</f>
        <v>16.659462574742452</v>
      </c>
      <c r="D682" s="21">
        <f>(D681/31)/1.983</f>
        <v>35.820604167683371</v>
      </c>
      <c r="E682" s="81" t="s">
        <v>7</v>
      </c>
      <c r="F682" s="21">
        <f>(F681/30)/1.983</f>
        <v>51.857455034459569</v>
      </c>
      <c r="G682" s="21">
        <f>(G681/31)/1.983</f>
        <v>56.935565207489468</v>
      </c>
      <c r="H682" s="21">
        <f>(H681/30)/1.983</f>
        <v>48.142544965540424</v>
      </c>
      <c r="I682" s="81" t="s">
        <v>7</v>
      </c>
      <c r="J682" s="21">
        <f>(J681/31)/1.983</f>
        <v>29.346217038374569</v>
      </c>
      <c r="K682" s="21">
        <f>(K681/31)/1.983</f>
        <v>52.787402599515232</v>
      </c>
      <c r="L682" s="21">
        <f>(L681/30)/1.983</f>
        <v>52.546646495209281</v>
      </c>
      <c r="M682" s="81" t="s">
        <v>7</v>
      </c>
      <c r="N682" s="21">
        <f>(N681/31)/1.983</f>
        <v>41.969645210092231</v>
      </c>
      <c r="O682" s="21">
        <f>(O681/30)/1.983</f>
        <v>27.416372499579762</v>
      </c>
      <c r="P682" s="21">
        <f>(P681/31)/1.983</f>
        <v>43.319831470726982</v>
      </c>
      <c r="Q682" s="81" t="s">
        <v>7</v>
      </c>
      <c r="R682" s="81" t="s">
        <v>7</v>
      </c>
    </row>
    <row r="683" spans="1:18" ht="15.75" customHeight="1" x14ac:dyDescent="0.35">
      <c r="A683" s="139"/>
      <c r="B683" s="140"/>
      <c r="C683" s="140"/>
      <c r="D683" s="140"/>
      <c r="E683" s="141"/>
      <c r="F683" s="140"/>
      <c r="G683" s="140"/>
      <c r="H683" s="140"/>
      <c r="I683" s="141"/>
      <c r="J683" s="140"/>
      <c r="K683" s="140"/>
      <c r="L683" s="140"/>
      <c r="M683" s="141"/>
      <c r="N683" s="140"/>
      <c r="O683" s="140"/>
      <c r="P683" s="140"/>
      <c r="Q683" s="141"/>
      <c r="R683" s="141"/>
    </row>
    <row r="684" spans="1:18" ht="15.75" customHeight="1" x14ac:dyDescent="0.35">
      <c r="A684" s="139"/>
      <c r="B684" s="140"/>
      <c r="C684" s="140"/>
      <c r="D684" s="140"/>
      <c r="E684" s="140"/>
      <c r="F684" s="140"/>
      <c r="G684" s="140"/>
      <c r="H684" s="140"/>
      <c r="I684" s="140"/>
      <c r="J684" s="140"/>
      <c r="K684" s="140"/>
      <c r="L684" s="140"/>
      <c r="M684" s="140"/>
      <c r="N684" s="140"/>
      <c r="O684" s="140"/>
      <c r="P684" s="140"/>
      <c r="Q684" s="141" t="str">
        <f>+Q1</f>
        <v>PRINTED:</v>
      </c>
      <c r="R684" s="142">
        <f ca="1">+R1</f>
        <v>44909.46975358796</v>
      </c>
    </row>
    <row r="685" spans="1:18" ht="15.75" customHeight="1" x14ac:dyDescent="0.35">
      <c r="A685" s="565" t="s">
        <v>1</v>
      </c>
      <c r="B685" s="565"/>
      <c r="C685" s="565"/>
      <c r="D685" s="565"/>
      <c r="E685" s="565"/>
      <c r="F685" s="565"/>
      <c r="G685" s="565"/>
      <c r="H685" s="565"/>
      <c r="I685" s="565"/>
      <c r="J685" s="565"/>
      <c r="K685" s="565"/>
      <c r="L685" s="565"/>
      <c r="M685" s="565"/>
      <c r="N685" s="565"/>
      <c r="O685" s="565"/>
      <c r="P685" s="565"/>
      <c r="Q685" s="565"/>
      <c r="R685" s="565"/>
    </row>
    <row r="686" spans="1:18" ht="15.75" customHeight="1" x14ac:dyDescent="0.35">
      <c r="A686" s="565" t="s">
        <v>2</v>
      </c>
      <c r="B686" s="565"/>
      <c r="C686" s="565"/>
      <c r="D686" s="565"/>
      <c r="E686" s="565"/>
      <c r="F686" s="565"/>
      <c r="G686" s="565"/>
      <c r="H686" s="565"/>
      <c r="I686" s="565"/>
      <c r="J686" s="565"/>
      <c r="K686" s="565"/>
      <c r="L686" s="565"/>
      <c r="M686" s="565"/>
      <c r="N686" s="565"/>
      <c r="O686" s="565"/>
      <c r="P686" s="565"/>
      <c r="Q686" s="565"/>
      <c r="R686" s="565"/>
    </row>
    <row r="687" spans="1:18" ht="15.75" customHeight="1" x14ac:dyDescent="0.35">
      <c r="A687" s="565" t="s">
        <v>3</v>
      </c>
      <c r="B687" s="565"/>
      <c r="C687" s="565"/>
      <c r="D687" s="565"/>
      <c r="E687" s="565"/>
      <c r="F687" s="565"/>
      <c r="G687" s="565"/>
      <c r="H687" s="565"/>
      <c r="I687" s="565"/>
      <c r="J687" s="565"/>
      <c r="K687" s="565"/>
      <c r="L687" s="565"/>
      <c r="M687" s="565"/>
      <c r="N687" s="565"/>
      <c r="O687" s="565"/>
      <c r="P687" s="565"/>
      <c r="Q687" s="565"/>
      <c r="R687" s="565"/>
    </row>
    <row r="688" spans="1:18" ht="15.75" customHeight="1" x14ac:dyDescent="0.35">
      <c r="A688" s="565" t="str">
        <f>+A5</f>
        <v>Calendar Year 2008</v>
      </c>
      <c r="B688" s="565"/>
      <c r="C688" s="565"/>
      <c r="D688" s="565"/>
      <c r="E688" s="565"/>
      <c r="F688" s="565"/>
      <c r="G688" s="565"/>
      <c r="H688" s="565"/>
      <c r="I688" s="565"/>
      <c r="J688" s="565"/>
      <c r="K688" s="565"/>
      <c r="L688" s="565"/>
      <c r="M688" s="565"/>
      <c r="N688" s="565"/>
      <c r="O688" s="565"/>
      <c r="P688" s="565"/>
      <c r="Q688" s="565"/>
      <c r="R688" s="565"/>
    </row>
    <row r="689" spans="1:18" ht="15.75" customHeight="1" x14ac:dyDescent="0.35">
      <c r="A689" s="140"/>
      <c r="B689" s="140"/>
      <c r="C689" s="140"/>
      <c r="D689" s="143"/>
      <c r="E689" s="143"/>
      <c r="F689" s="143"/>
      <c r="G689" s="144"/>
      <c r="H689" s="143"/>
      <c r="I689" s="143"/>
      <c r="J689" s="144"/>
      <c r="K689" s="144"/>
      <c r="L689" s="144"/>
      <c r="M689" s="144"/>
      <c r="N689" s="140"/>
      <c r="O689" s="144"/>
      <c r="P689" s="144"/>
      <c r="Q689" s="144"/>
      <c r="R689" s="144"/>
    </row>
    <row r="690" spans="1:18" ht="15.75" customHeight="1" x14ac:dyDescent="0.35">
      <c r="A690" s="565" t="str">
        <f>+A8</f>
        <v>Revised:  1/19/09</v>
      </c>
      <c r="B690" s="565"/>
      <c r="C690" s="565"/>
      <c r="D690" s="565"/>
      <c r="E690" s="565"/>
      <c r="F690" s="565"/>
      <c r="G690" s="565"/>
      <c r="H690" s="565"/>
      <c r="I690" s="565"/>
      <c r="J690" s="565"/>
      <c r="K690" s="565"/>
      <c r="L690" s="565"/>
      <c r="M690" s="565"/>
      <c r="N690" s="565"/>
      <c r="O690" s="565"/>
      <c r="P690" s="565"/>
      <c r="Q690" s="565"/>
      <c r="R690" s="565"/>
    </row>
    <row r="691" spans="1:18" ht="15.75" customHeight="1" x14ac:dyDescent="0.35">
      <c r="A691" s="145"/>
      <c r="B691" s="145"/>
      <c r="C691" s="145"/>
      <c r="D691" s="145"/>
      <c r="E691" s="145"/>
      <c r="F691" s="145"/>
      <c r="G691" s="145"/>
      <c r="H691" s="145"/>
      <c r="I691" s="145"/>
      <c r="J691" s="145"/>
      <c r="K691" s="145"/>
      <c r="L691" s="145"/>
      <c r="M691" s="145"/>
      <c r="N691" s="145"/>
      <c r="O691" s="145"/>
      <c r="P691" s="145"/>
      <c r="Q691" s="145"/>
      <c r="R691" s="145"/>
    </row>
    <row r="692" spans="1:18" ht="15.75" customHeight="1" x14ac:dyDescent="0.35">
      <c r="A692" s="145"/>
      <c r="B692" s="145"/>
      <c r="C692" s="145"/>
      <c r="D692" s="145"/>
      <c r="E692" s="145"/>
      <c r="F692" s="145"/>
      <c r="G692" s="145"/>
      <c r="H692" s="145"/>
      <c r="I692" s="145"/>
      <c r="J692" s="145"/>
      <c r="K692" s="145"/>
      <c r="L692" s="145"/>
      <c r="M692" s="145"/>
      <c r="N692" s="145"/>
      <c r="O692" s="145"/>
      <c r="P692" s="145"/>
      <c r="Q692" s="145"/>
      <c r="R692" s="145"/>
    </row>
    <row r="693" spans="1:18" ht="15.75" customHeight="1" thickBot="1" x14ac:dyDescent="0.4">
      <c r="A693" s="139"/>
      <c r="B693" s="140"/>
      <c r="C693" s="140"/>
      <c r="D693" s="140"/>
      <c r="E693" s="140"/>
      <c r="F693" s="140"/>
      <c r="G693" s="140"/>
      <c r="H693" s="140"/>
      <c r="I693" s="140"/>
      <c r="J693" s="140"/>
      <c r="K693" s="140"/>
      <c r="L693" s="140"/>
      <c r="M693" s="140"/>
      <c r="N693" s="140"/>
      <c r="O693" s="140"/>
      <c r="P693" s="140"/>
      <c r="Q693" s="140"/>
      <c r="R693" s="141"/>
    </row>
    <row r="694" spans="1:18" ht="15.75" customHeight="1" thickBot="1" x14ac:dyDescent="0.35">
      <c r="A694" s="124" t="s">
        <v>374</v>
      </c>
      <c r="B694" s="30" t="s">
        <v>8</v>
      </c>
      <c r="C694" s="31" t="s">
        <v>9</v>
      </c>
      <c r="D694" s="31" t="s">
        <v>10</v>
      </c>
      <c r="E694" s="32" t="s">
        <v>11</v>
      </c>
      <c r="F694" s="31" t="s">
        <v>12</v>
      </c>
      <c r="G694" s="31" t="s">
        <v>13</v>
      </c>
      <c r="H694" s="31" t="s">
        <v>14</v>
      </c>
      <c r="I694" s="33" t="s">
        <v>15</v>
      </c>
      <c r="J694" s="31" t="s">
        <v>16</v>
      </c>
      <c r="K694" s="31" t="s">
        <v>17</v>
      </c>
      <c r="L694" s="31" t="s">
        <v>18</v>
      </c>
      <c r="M694" s="33" t="s">
        <v>19</v>
      </c>
      <c r="N694" s="31" t="s">
        <v>20</v>
      </c>
      <c r="O694" s="31" t="s">
        <v>21</v>
      </c>
      <c r="P694" s="31" t="s">
        <v>22</v>
      </c>
      <c r="Q694" s="33" t="s">
        <v>23</v>
      </c>
      <c r="R694" s="133" t="s">
        <v>24</v>
      </c>
    </row>
    <row r="695" spans="1:18" ht="15.75" customHeight="1" thickBot="1" x14ac:dyDescent="0.35">
      <c r="A695" s="41"/>
      <c r="B695" s="36"/>
      <c r="C695" s="36"/>
      <c r="D695" s="36"/>
      <c r="E695" s="52"/>
      <c r="F695" s="36"/>
      <c r="G695" s="36"/>
      <c r="H695" s="36"/>
      <c r="I695" s="132"/>
      <c r="J695" s="36"/>
      <c r="K695" s="36"/>
      <c r="L695" s="36"/>
      <c r="M695" s="132"/>
      <c r="N695" s="36"/>
      <c r="O695" s="36"/>
      <c r="P695" s="36"/>
      <c r="Q695" s="134"/>
      <c r="R695" s="135"/>
    </row>
    <row r="696" spans="1:18" ht="15.75" customHeight="1" x14ac:dyDescent="0.3">
      <c r="A696" s="15" t="s">
        <v>48</v>
      </c>
      <c r="B696" s="1" t="s">
        <v>7</v>
      </c>
      <c r="C696" s="1" t="s">
        <v>7</v>
      </c>
      <c r="D696" s="1" t="s">
        <v>7</v>
      </c>
      <c r="E696" s="136"/>
      <c r="F696" s="1" t="s">
        <v>7</v>
      </c>
      <c r="G696" s="1" t="s">
        <v>7</v>
      </c>
      <c r="H696" s="1" t="s">
        <v>7</v>
      </c>
      <c r="I696" s="136"/>
      <c r="J696" s="1" t="s">
        <v>7</v>
      </c>
      <c r="K696" s="1" t="s">
        <v>7</v>
      </c>
      <c r="L696" s="1" t="s">
        <v>7</v>
      </c>
      <c r="M696" s="136"/>
      <c r="N696" s="1" t="s">
        <v>7</v>
      </c>
      <c r="O696" s="1" t="s">
        <v>7</v>
      </c>
      <c r="P696" s="1" t="s">
        <v>7</v>
      </c>
      <c r="Q696" s="137"/>
      <c r="R696" s="138" t="s">
        <v>7</v>
      </c>
    </row>
    <row r="697" spans="1:18" ht="15.75" customHeight="1" x14ac:dyDescent="0.3">
      <c r="A697" s="15" t="s">
        <v>49</v>
      </c>
      <c r="B697" s="1">
        <f>+SUM(B74:B78)+SUM(B140:B158)+SUM(B272:B283)+SUM(B389:B391)+SUM(B429:B431)+SUM(B470:B475)+SUM(B529:B530)+SUM(B563:B565)+B613+SUM(B646:B648)</f>
        <v>24005</v>
      </c>
      <c r="C697" s="1">
        <f>+SUM(C74:C78)+SUM(C140:C158)+SUM(C272:C283)+SUM(C389:C391)+SUM(C429:C431)+SUM(C470:C475)+SUM(C529:C530)+SUM(C563:C565)+C613+SUM(C646:C648)</f>
        <v>22116</v>
      </c>
      <c r="D697" s="1">
        <f>+SUM(D74:D78)+SUM(D140:D158)+SUM(D272:D283)+SUM(D389:D391)+SUM(D429:D431)+SUM(D470:D475)+SUM(D529:D530)+SUM(D563:D565)+D613+SUM(D646:D648)</f>
        <v>30905</v>
      </c>
      <c r="E697" s="55">
        <f t="shared" ref="E697:E703" si="93">SUM(B697:D697)</f>
        <v>77026</v>
      </c>
      <c r="F697" s="1">
        <f>+SUM(F74:F78)+SUM(F140:F158)+SUM(F272:F283)+SUM(F389:F391)+SUM(F429:F431)+SUM(F470:F475)+SUM(F529:F530)+SUM(F563:F565)+F613+SUM(F646:F648)</f>
        <v>39471</v>
      </c>
      <c r="G697" s="1">
        <f>+SUM(G74:G78)+SUM(G140:G158)+SUM(G272:G283)+SUM(G389:G391)+SUM(G429:G431)+SUM(G470:G475)+SUM(G529:G530)+SUM(G563:G565)+G613+SUM(G646:G648)</f>
        <v>36401</v>
      </c>
      <c r="H697" s="1">
        <f>+SUM(H74:H78)+SUM(H140:H158)+SUM(H272:H283)+SUM(H389:H391)+SUM(H429:H431)+SUM(H470:H475)+SUM(H529:H530)+SUM(H563:H565)+H613+SUM(H646:H648)</f>
        <v>58144</v>
      </c>
      <c r="I697" s="55">
        <f t="shared" ref="I697:I703" si="94">SUM(F697:H697)</f>
        <v>134016</v>
      </c>
      <c r="J697" s="1">
        <f>+SUM(J74:J78)+SUM(J140:J158)+SUM(J272:J283)+SUM(J389:J391)+SUM(J429:J431)+SUM(J470:J475)+SUM(J529:J530)+SUM(J563:J565)+J613+SUM(J646:J648)</f>
        <v>54133</v>
      </c>
      <c r="K697" s="1">
        <f>+SUM(K74:K78)+SUM(K140:K158)+SUM(K272:K283)+SUM(K389:K391)+SUM(K429:K431)+SUM(K470:K475)+SUM(K529:K530)+SUM(K563:K565)+K613+SUM(K646:K648)</f>
        <v>46361</v>
      </c>
      <c r="L697" s="1">
        <f>+SUM(L74:L78)+SUM(L140:L158)+SUM(L272:L283)+SUM(L389:L391)+SUM(L429:L431)+SUM(L470:L475)+SUM(L529:L530)+SUM(L563:L565)+L613+SUM(L646:L648)</f>
        <v>45631</v>
      </c>
      <c r="M697" s="55">
        <f t="shared" ref="M697:M703" si="95">SUM(J697:L697)</f>
        <v>146125</v>
      </c>
      <c r="N697" s="1">
        <f>+SUM(N74:N78)+SUM(N140:N158)+SUM(N272:N283)+SUM(N389:N391)+SUM(N429:N431)+SUM(N470:N475)+SUM(N529:N530)+SUM(N563:N565)+N613+SUM(N646:N648)</f>
        <v>41534</v>
      </c>
      <c r="O697" s="1">
        <f>+SUM(O74:O78)+SUM(O140:O158)+SUM(O272:O283)+SUM(O389:O391)+SUM(O429:O431)+SUM(O470:O475)+SUM(O529:O530)+SUM(O563:O565)+O613+SUM(O646:O648)</f>
        <v>32475</v>
      </c>
      <c r="P697" s="1">
        <f>+SUM(P74:P78)+SUM(P140:P158)+SUM(P272:P283)+SUM(P389:P391)+SUM(P429:P431)+SUM(P470:P475)+SUM(P529:P530)+SUM(P563:P565)+P613+SUM(P646:P648)</f>
        <v>26295</v>
      </c>
      <c r="Q697" s="55">
        <f t="shared" ref="Q697:Q703" si="96">SUM(N697:P697)</f>
        <v>100304</v>
      </c>
      <c r="R697" s="55">
        <f t="shared" ref="R697:R703" si="97">+E697+I697+M697+Q697</f>
        <v>457471</v>
      </c>
    </row>
    <row r="698" spans="1:18" ht="15.75" customHeight="1" x14ac:dyDescent="0.3">
      <c r="A698" s="15" t="s">
        <v>50</v>
      </c>
      <c r="B698" s="1">
        <f>+SUM(B79:B84)+SUM(B160:B170)+SUM(B285:B300)+SUM(B393:B394)+B432+SUM(B476:B477)+B531+B566+B614+SUM(B649:B649)</f>
        <v>1779</v>
      </c>
      <c r="C698" s="1">
        <f>+SUM(C79:C84)+SUM(C160:C170)+SUM(C285:C300)+SUM(C393:C394)+C432+SUM(C476:C477)+C531+C566+C614+SUM(C649:C649)</f>
        <v>480</v>
      </c>
      <c r="D698" s="1">
        <f>+SUM(D79:D84)+SUM(D160:D170)+SUM(D285:D300)+SUM(D393:D394)+D432+SUM(D476:D477)+D531+D566+D614+SUM(D649:D649)</f>
        <v>326</v>
      </c>
      <c r="E698" s="55">
        <f t="shared" si="93"/>
        <v>2585</v>
      </c>
      <c r="F698" s="1">
        <f>+SUM(F79:F84)+SUM(F160:F170)+SUM(F285:F300)+SUM(F393:F394)+F432+SUM(F476:F477)+F531+F566+F614+SUM(F649:F649)</f>
        <v>657</v>
      </c>
      <c r="G698" s="1">
        <f>+SUM(G79:G84)+SUM(G160:G170)+SUM(G285:G300)+SUM(G393:G394)+G432+SUM(G476:G477)+G531+G566+G614+SUM(G649:G649)</f>
        <v>900</v>
      </c>
      <c r="H698" s="1">
        <f>+SUM(H79:H84)+SUM(H160:H170)+SUM(H285:H300)+SUM(H393:H394)+H432+SUM(H476:H477)+H531+H566+H614+SUM(H649:H649)</f>
        <v>915</v>
      </c>
      <c r="I698" s="55">
        <f t="shared" si="94"/>
        <v>2472</v>
      </c>
      <c r="J698" s="1">
        <f>+SUM(J79:J84)+SUM(J160:J170)+SUM(J285:J300)+SUM(J393:J394)+J432+SUM(J476:J477)+J531+J566+J614+SUM(J649:J649)</f>
        <v>1149</v>
      </c>
      <c r="K698" s="1">
        <f>+SUM(K79:K84)+SUM(K160:K170)+SUM(K285:K300)+SUM(K393:K394)+K432+SUM(K476:K477)+K531+K566+K614+SUM(K649:K649)</f>
        <v>1340</v>
      </c>
      <c r="L698" s="1">
        <f>+SUM(L79:L84)+SUM(L160:L170)+SUM(L285:L300)+SUM(L393:L394)+L432+SUM(L476:L477)+L531+L566+L614+SUM(L649:L649)</f>
        <v>1028</v>
      </c>
      <c r="M698" s="55">
        <f t="shared" si="95"/>
        <v>3517</v>
      </c>
      <c r="N698" s="1">
        <f>+SUM(N79:N84)+SUM(N160:N170)+SUM(N285:N300)+SUM(N393:N394)+N432+SUM(N476:N477)+N531+N566+N614+SUM(N649:N649)</f>
        <v>1310</v>
      </c>
      <c r="O698" s="1">
        <f>+SUM(O79:O84)+SUM(O160:O170)+SUM(O285:O300)+SUM(O393:O394)+O432+SUM(O476:O477)+O531+O566+O614+SUM(O649:O649)</f>
        <v>4177</v>
      </c>
      <c r="P698" s="1">
        <f>+SUM(P79:P84)+SUM(P160:P170)+SUM(P285:P300)+SUM(P393:P394)+P432+SUM(P476:P477)+P531+P566+P614+SUM(P649:P649)</f>
        <v>1982</v>
      </c>
      <c r="Q698" s="55">
        <f t="shared" si="96"/>
        <v>7469</v>
      </c>
      <c r="R698" s="55">
        <f t="shared" si="97"/>
        <v>16043</v>
      </c>
    </row>
    <row r="699" spans="1:18" ht="15.75" customHeight="1" x14ac:dyDescent="0.3">
      <c r="A699" s="15" t="s">
        <v>375</v>
      </c>
      <c r="B699" s="1">
        <f>+SUM(B85:B87)+SUM(B171:B174)+SUM(B301:B304)+B395+B433+SUM(B478:B479)+B532+B567+B615+SUM(B650:B651)</f>
        <v>1174</v>
      </c>
      <c r="C699" s="1">
        <f>+SUM(C85:C87)+SUM(C171:C174)+SUM(C301:C304)+C395+C433+SUM(C478:C479)+C532+C567+C615+SUM(C650:C651)</f>
        <v>586</v>
      </c>
      <c r="D699" s="1">
        <f>+SUM(D85:D87)+SUM(D171:D174)+SUM(D301:D304)+D395+D433+SUM(D478:D479)+D532+D567+D615+SUM(D650:D651)</f>
        <v>4979</v>
      </c>
      <c r="E699" s="55">
        <f t="shared" si="93"/>
        <v>6739</v>
      </c>
      <c r="F699" s="1">
        <f>+SUM(F85:F87)+SUM(F171:F174)+SUM(F301:F304)+F395+F433+SUM(F478:F479)+F532+F567+F615+SUM(F650:F651)</f>
        <v>4363</v>
      </c>
      <c r="G699" s="1">
        <f>+SUM(G85:G87)+SUM(G171:G174)+SUM(G301:G304)+G395+G433+SUM(G478:G479)+G532+G567+G615+SUM(G650:G651)</f>
        <v>2988</v>
      </c>
      <c r="H699" s="1">
        <f>+SUM(H85:H87)+SUM(H171:H174)+SUM(H301:H304)+H395+H433+SUM(H478:H479)+H532+H567+H615+SUM(H650:H651)</f>
        <v>4858</v>
      </c>
      <c r="I699" s="55">
        <f t="shared" si="94"/>
        <v>12209</v>
      </c>
      <c r="J699" s="1">
        <f>+SUM(J85:J87)+SUM(J171:J174)+SUM(J301:J304)+J395+J433+SUM(J478:J479)+J532+J567+J615+SUM(J650:J651)</f>
        <v>1381</v>
      </c>
      <c r="K699" s="1">
        <f>+SUM(K85:K87)+SUM(K171:K174)+SUM(K301:K304)+K395+K433+SUM(K478:K479)+K532+K567+K615+SUM(K650:K651)</f>
        <v>1442</v>
      </c>
      <c r="L699" s="1">
        <f>+SUM(L85:L87)+SUM(L171:L174)+SUM(L301:L304)+L395+L433+SUM(L478:L479)+L532+L567+L615+SUM(L650:L651)</f>
        <v>134</v>
      </c>
      <c r="M699" s="55">
        <f t="shared" si="95"/>
        <v>2957</v>
      </c>
      <c r="N699" s="1">
        <f>+SUM(N85:N87)+SUM(N171:N174)+SUM(N301:N304)+N395+N433+SUM(N478:N479)+N532+N567+N615+SUM(N650:N651)</f>
        <v>432</v>
      </c>
      <c r="O699" s="1">
        <f>+SUM(O85:O87)+SUM(O171:O174)+SUM(O301:O304)+O395+O433+SUM(O478:O479)+O532+O567+O615+SUM(O650:O651)</f>
        <v>1901</v>
      </c>
      <c r="P699" s="1">
        <f>+SUM(P85:P87)+SUM(P171:P174)+SUM(P301:P304)+P395+P433+SUM(P478:P479)+P532+P567+P615+SUM(P650:P651)</f>
        <v>8</v>
      </c>
      <c r="Q699" s="55">
        <f t="shared" si="96"/>
        <v>2341</v>
      </c>
      <c r="R699" s="55">
        <f t="shared" si="97"/>
        <v>24246</v>
      </c>
    </row>
    <row r="700" spans="1:18" ht="15.75" customHeight="1" x14ac:dyDescent="0.3">
      <c r="A700" s="15" t="s">
        <v>376</v>
      </c>
      <c r="B700" s="1">
        <f>+B249+B371+B372</f>
        <v>0</v>
      </c>
      <c r="C700" s="1">
        <f>+C249+C371+C372</f>
        <v>1000</v>
      </c>
      <c r="D700" s="1">
        <f>+D249+D371+D372</f>
        <v>0</v>
      </c>
      <c r="E700" s="55">
        <f t="shared" si="93"/>
        <v>1000</v>
      </c>
      <c r="F700" s="1">
        <f>+F249+F371+F372</f>
        <v>0</v>
      </c>
      <c r="G700" s="1">
        <f>+G249+G371+G372</f>
        <v>0</v>
      </c>
      <c r="H700" s="1">
        <f>+H249+H371+H372</f>
        <v>0</v>
      </c>
      <c r="I700" s="55">
        <f t="shared" si="94"/>
        <v>0</v>
      </c>
      <c r="J700" s="1">
        <f>+J249+J371+J372</f>
        <v>0</v>
      </c>
      <c r="K700" s="1">
        <f>+K249+K371+K372</f>
        <v>0</v>
      </c>
      <c r="L700" s="1">
        <f>+L249+L371+L372</f>
        <v>1500</v>
      </c>
      <c r="M700" s="55">
        <f t="shared" si="95"/>
        <v>1500</v>
      </c>
      <c r="N700" s="1">
        <f>+N249+N371+N372</f>
        <v>500</v>
      </c>
      <c r="O700" s="1">
        <f>+O249+O371+O372</f>
        <v>0</v>
      </c>
      <c r="P700" s="1">
        <f>+P249+P371+P372</f>
        <v>0</v>
      </c>
      <c r="Q700" s="55">
        <f t="shared" si="96"/>
        <v>500</v>
      </c>
      <c r="R700" s="55">
        <f t="shared" si="97"/>
        <v>3000</v>
      </c>
    </row>
    <row r="701" spans="1:18" ht="15.75" customHeight="1" x14ac:dyDescent="0.3">
      <c r="A701" s="15" t="s">
        <v>377</v>
      </c>
      <c r="B701" s="1">
        <f>+B250</f>
        <v>90</v>
      </c>
      <c r="C701" s="1">
        <f>+C250</f>
        <v>92</v>
      </c>
      <c r="D701" s="1">
        <f>+D250</f>
        <v>188</v>
      </c>
      <c r="E701" s="55">
        <f t="shared" si="93"/>
        <v>370</v>
      </c>
      <c r="F701" s="1">
        <f>+F250</f>
        <v>133</v>
      </c>
      <c r="G701" s="1">
        <f>+G250</f>
        <v>132</v>
      </c>
      <c r="H701" s="1">
        <f>+H250</f>
        <v>278</v>
      </c>
      <c r="I701" s="55">
        <f t="shared" si="94"/>
        <v>543</v>
      </c>
      <c r="J701" s="1">
        <f>+J250</f>
        <v>257</v>
      </c>
      <c r="K701" s="1">
        <f>+K250</f>
        <v>198</v>
      </c>
      <c r="L701" s="1">
        <f>+L250</f>
        <v>252</v>
      </c>
      <c r="M701" s="55">
        <f t="shared" si="95"/>
        <v>707</v>
      </c>
      <c r="N701" s="1">
        <f>+N250</f>
        <v>235</v>
      </c>
      <c r="O701" s="1">
        <f>+O250</f>
        <v>196</v>
      </c>
      <c r="P701" s="1">
        <f>+P250</f>
        <v>77</v>
      </c>
      <c r="Q701" s="55">
        <f t="shared" si="96"/>
        <v>508</v>
      </c>
      <c r="R701" s="55">
        <f t="shared" si="97"/>
        <v>2128</v>
      </c>
    </row>
    <row r="702" spans="1:18" ht="15.75" customHeight="1" thickBot="1" x14ac:dyDescent="0.35">
      <c r="A702" s="15" t="s">
        <v>53</v>
      </c>
      <c r="B702" s="1">
        <f>+B88+B396+B434+B480+B533+B568+B616+B652</f>
        <v>0</v>
      </c>
      <c r="C702" s="1">
        <f>+C88+C396+C434+C480+C533+C568+C616+C652</f>
        <v>0</v>
      </c>
      <c r="D702" s="1">
        <f>+D88+D396+D434+D480+D533+D568+D616+D652</f>
        <v>0</v>
      </c>
      <c r="E702" s="55">
        <f t="shared" si="93"/>
        <v>0</v>
      </c>
      <c r="F702" s="1">
        <f>+F88+F396+F434+F480+F533+F568+F616+F652</f>
        <v>0</v>
      </c>
      <c r="G702" s="1">
        <f>+G88+G396+G434+G480+G533+G568+G616+G652</f>
        <v>0</v>
      </c>
      <c r="H702" s="1">
        <f>+H88+H396+H434+H480+H533+H568+H616+H652</f>
        <v>0</v>
      </c>
      <c r="I702" s="55">
        <f t="shared" si="94"/>
        <v>0</v>
      </c>
      <c r="J702" s="1">
        <f>+J88+J396+J434+J480+J533+J568+J616+J652</f>
        <v>0</v>
      </c>
      <c r="K702" s="1">
        <f>+K88+K396+K434+K480+K533+K568+K616+K652</f>
        <v>0</v>
      </c>
      <c r="L702" s="1">
        <f>+L88+L396+L434+L480+L533+L568+L616+L652</f>
        <v>0</v>
      </c>
      <c r="M702" s="55">
        <f t="shared" si="95"/>
        <v>0</v>
      </c>
      <c r="N702" s="1">
        <f>+N88+N396+N434+N480+N533+N568+N616+N652</f>
        <v>0</v>
      </c>
      <c r="O702" s="1">
        <f>+O88+O396+O434+O480+O533+O568+O616+O652</f>
        <v>0</v>
      </c>
      <c r="P702" s="1">
        <f>+P88+P396+P434+P480+P533+P568+P616+P652</f>
        <v>0</v>
      </c>
      <c r="Q702" s="55">
        <f t="shared" si="96"/>
        <v>0</v>
      </c>
      <c r="R702" s="55">
        <f t="shared" si="97"/>
        <v>0</v>
      </c>
    </row>
    <row r="703" spans="1:18" ht="15.75" customHeight="1" thickBot="1" x14ac:dyDescent="0.35">
      <c r="A703" s="57" t="s">
        <v>54</v>
      </c>
      <c r="B703" s="86">
        <f>SUM(B696:B702)</f>
        <v>27048</v>
      </c>
      <c r="C703" s="87">
        <f>SUM(C696:C702)</f>
        <v>24274</v>
      </c>
      <c r="D703" s="87">
        <f>SUM(D696:D702)</f>
        <v>36398</v>
      </c>
      <c r="E703" s="59">
        <f t="shared" si="93"/>
        <v>87720</v>
      </c>
      <c r="F703" s="87">
        <f>SUM(F696:F702)</f>
        <v>44624</v>
      </c>
      <c r="G703" s="87">
        <f>SUM(G696:G702)</f>
        <v>40421</v>
      </c>
      <c r="H703" s="87">
        <f>SUM(H696:H702)</f>
        <v>64195</v>
      </c>
      <c r="I703" s="59">
        <f t="shared" si="94"/>
        <v>149240</v>
      </c>
      <c r="J703" s="87">
        <f>SUM(J696:J702)</f>
        <v>56920</v>
      </c>
      <c r="K703" s="87">
        <f>SUM(K696:K702)</f>
        <v>49341</v>
      </c>
      <c r="L703" s="87">
        <f>SUM(L696:L702)</f>
        <v>48545</v>
      </c>
      <c r="M703" s="59">
        <f t="shared" si="95"/>
        <v>154806</v>
      </c>
      <c r="N703" s="87">
        <f>SUM(N696:N702)</f>
        <v>44011</v>
      </c>
      <c r="O703" s="87">
        <f>SUM(O696:O702)</f>
        <v>38749</v>
      </c>
      <c r="P703" s="87">
        <f>SUM(P696:P702)</f>
        <v>28362</v>
      </c>
      <c r="Q703" s="59">
        <f t="shared" si="96"/>
        <v>111122</v>
      </c>
      <c r="R703" s="59">
        <f t="shared" si="97"/>
        <v>502888</v>
      </c>
    </row>
    <row r="704" spans="1:18" ht="15.75" customHeight="1" x14ac:dyDescent="0.3">
      <c r="A704" s="15" t="s">
        <v>55</v>
      </c>
      <c r="B704" s="1"/>
      <c r="C704" s="1"/>
      <c r="D704" s="1"/>
      <c r="E704" s="55" t="s">
        <v>7</v>
      </c>
      <c r="F704" s="1"/>
      <c r="G704" s="1"/>
      <c r="H704" s="1"/>
      <c r="I704" s="55" t="s">
        <v>7</v>
      </c>
      <c r="J704" s="1"/>
      <c r="K704" s="1"/>
      <c r="L704" s="1"/>
      <c r="M704" s="55" t="s">
        <v>7</v>
      </c>
      <c r="N704" s="1"/>
      <c r="O704" s="1"/>
      <c r="P704" s="1"/>
      <c r="Q704" s="55" t="s">
        <v>7</v>
      </c>
      <c r="R704" s="55" t="s">
        <v>7</v>
      </c>
    </row>
    <row r="705" spans="1:18" ht="15.75" customHeight="1" x14ac:dyDescent="0.3">
      <c r="A705" s="15" t="s">
        <v>56</v>
      </c>
      <c r="B705" s="1">
        <f>SUM(B45:B45)+SUM(B178:B178)+SUM(B91:B91)+SUM(B308:B308)</f>
        <v>0</v>
      </c>
      <c r="C705" s="1">
        <f>SUM(C45:C45)+SUM(C178:C178)+SUM(C91:C91)+SUM(C308:C308)</f>
        <v>0</v>
      </c>
      <c r="D705" s="1">
        <f>SUM(D45:D45)+SUM(D178:D178)+SUM(D91:D91)+SUM(D308:D308)</f>
        <v>0</v>
      </c>
      <c r="E705" s="55">
        <f>SUM(B705:D705)</f>
        <v>0</v>
      </c>
      <c r="F705" s="1">
        <f>SUM(F45:F45)+SUM(F178:F178)+SUM(F91:F91)+SUM(F308:F308)</f>
        <v>0</v>
      </c>
      <c r="G705" s="1">
        <f>SUM(G45:G45)+SUM(G178:G178)+SUM(G91:G91)+SUM(G308:G308)</f>
        <v>0</v>
      </c>
      <c r="H705" s="1">
        <f>SUM(H45:H45)+SUM(H178:H178)+SUM(H91:H91)+SUM(H308:H308)</f>
        <v>0</v>
      </c>
      <c r="I705" s="55">
        <f>SUM(F705:H705)</f>
        <v>0</v>
      </c>
      <c r="J705" s="1">
        <f>SUM(J45:J45)+SUM(J178:J178)+SUM(J91:J91)+SUM(J308:J308)</f>
        <v>0</v>
      </c>
      <c r="K705" s="1">
        <f>SUM(K45:K45)+SUM(K178:K178)+SUM(K91:K91)+SUM(K308:K308)</f>
        <v>0</v>
      </c>
      <c r="L705" s="1">
        <f>SUM(L45:L45)+SUM(L178:L178)+SUM(L91:L91)+SUM(L308:L308)</f>
        <v>0</v>
      </c>
      <c r="M705" s="55">
        <f>SUM(J705:L705)</f>
        <v>0</v>
      </c>
      <c r="N705" s="1">
        <f>SUM(N45:N45)+SUM(N178:N178)+SUM(N91:N91)+SUM(N308:N308)</f>
        <v>0</v>
      </c>
      <c r="O705" s="1">
        <f>SUM(O45:O45)+SUM(O178:O178)+SUM(O91:O91)+SUM(O308:O308)</f>
        <v>0</v>
      </c>
      <c r="P705" s="1">
        <f>SUM(P45:P45)+SUM(P178:P178)+SUM(P91:P91)+SUM(P308:P308)</f>
        <v>0</v>
      </c>
      <c r="Q705" s="55">
        <f>SUM(N705:P705)</f>
        <v>0</v>
      </c>
      <c r="R705" s="55">
        <f>+E705+I705+M705+Q705</f>
        <v>0</v>
      </c>
    </row>
    <row r="706" spans="1:18" ht="15.75" customHeight="1" x14ac:dyDescent="0.3">
      <c r="A706" s="15" t="s">
        <v>57</v>
      </c>
      <c r="B706" s="1">
        <f>+SUM(B93:B94)+SUM(B179:B181)+SUM(B309:B317)+B400+SUM(B437:B439)+SUM(B483:B484)+SUM(B536:B536)+B571+B619+B655</f>
        <v>6492</v>
      </c>
      <c r="C706" s="1">
        <f>+SUM(C93:C94)+SUM(C179:C181)+SUM(C309:C317)+C400+SUM(C437:C439)+SUM(C483:C484)+SUM(C536:C536)+C571+C619+C655</f>
        <v>10535</v>
      </c>
      <c r="D706" s="1">
        <f>+SUM(D93:D94)+SUM(D179:D181)+SUM(D309:D317)+D400+SUM(D437:D439)+SUM(D483:D484)+SUM(D536:D536)+D571+D619+D655</f>
        <v>39349</v>
      </c>
      <c r="E706" s="55">
        <f>SUM(B706:D706)</f>
        <v>56376</v>
      </c>
      <c r="F706" s="1">
        <f>+SUM(F93:F94)+SUM(F179:F181)+SUM(F309:F317)+F400+SUM(F437:F439)+SUM(F483:F484)+SUM(F536:F536)+F571+F619+F655</f>
        <v>67844</v>
      </c>
      <c r="G706" s="1">
        <f>+SUM(G93:G94)+SUM(G179:G181)+SUM(G309:G317)+G400+SUM(G437:G439)+SUM(G483:G484)+SUM(G536:G536)+G571+G619+G655</f>
        <v>53705</v>
      </c>
      <c r="H706" s="1">
        <f>+SUM(H93:H94)+SUM(H179:H181)+SUM(H309:H317)+H400+SUM(H437:H439)+SUM(H483:H484)+SUM(H536:H536)+H571+H619+H655</f>
        <v>68268</v>
      </c>
      <c r="I706" s="55">
        <f>SUM(F706:H706)</f>
        <v>189817</v>
      </c>
      <c r="J706" s="1">
        <f>+SUM(J93:J94)+SUM(J179:J181)+SUM(J309:J317)+J400+SUM(J437:J439)+SUM(J483:J484)+SUM(J536:J536)+J571+J619+J655</f>
        <v>55702</v>
      </c>
      <c r="K706" s="1">
        <f>+SUM(K93:K94)+SUM(K179:K181)+SUM(K309:K317)+K400+SUM(K437:K439)+SUM(K483:K484)+SUM(K536:K536)+K571+K619+K655</f>
        <v>34708</v>
      </c>
      <c r="L706" s="1">
        <f>+SUM(L93:L94)+SUM(L179:L181)+SUM(L309:L317)+L400+SUM(L437:L439)+SUM(L483:L484)+SUM(L536:L536)+L571+L619+L655</f>
        <v>17993</v>
      </c>
      <c r="M706" s="55">
        <f>SUM(J706:L706)</f>
        <v>108403</v>
      </c>
      <c r="N706" s="1">
        <f>+SUM(N93:N94)+SUM(N179:N181)+SUM(N309:N317)+N400+SUM(N437:N439)+SUM(N483:N484)+SUM(N536:N536)+N571+N619+N655</f>
        <v>6463</v>
      </c>
      <c r="O706" s="1">
        <f>+SUM(O93:O94)+SUM(O179:O181)+SUM(O309:O317)+O400+SUM(O437:O439)+SUM(O483:O484)+SUM(O536:O536)+O571+O619+O655</f>
        <v>3860</v>
      </c>
      <c r="P706" s="1">
        <f>+SUM(P93:P94)+SUM(P179:P181)+SUM(P309:P317)+P400+SUM(P437:P439)+SUM(P483:P484)+SUM(P536:P536)+P571+P619+P655</f>
        <v>4139</v>
      </c>
      <c r="Q706" s="55">
        <f>SUM(N706:P706)</f>
        <v>14462</v>
      </c>
      <c r="R706" s="55">
        <f>+E706+I706+M706+Q706</f>
        <v>369058</v>
      </c>
    </row>
    <row r="707" spans="1:18" ht="15.75" customHeight="1" x14ac:dyDescent="0.3">
      <c r="A707" s="15" t="s">
        <v>58</v>
      </c>
      <c r="B707" s="1">
        <f>+B95+B401+B440+B485+B537+B572+B620+B656</f>
        <v>0</v>
      </c>
      <c r="C707" s="1">
        <f>+C95+C401+C440+C485+C537+C572+C620+C656</f>
        <v>0</v>
      </c>
      <c r="D707" s="1">
        <f>+D95+D401+D440+D485+D537+D572+D620+D656</f>
        <v>0</v>
      </c>
      <c r="E707" s="55">
        <f>SUM(B707:D707)</f>
        <v>0</v>
      </c>
      <c r="F707" s="1">
        <f>+F95+F401+F440+F485+F537+F572+F620+F656</f>
        <v>0</v>
      </c>
      <c r="G707" s="1">
        <f>+G95+G401+G440+G485+G537+G572+G620+G656</f>
        <v>0</v>
      </c>
      <c r="H707" s="1">
        <f>+H95+H401+H440+H485+H537+H572+H620+H656</f>
        <v>0</v>
      </c>
      <c r="I707" s="55">
        <f>SUM(F707:H707)</f>
        <v>0</v>
      </c>
      <c r="J707" s="1">
        <f>+J95+J401+J440+J485+J537+J572+J620+J656</f>
        <v>0</v>
      </c>
      <c r="K707" s="1">
        <f>+K95+K401+K440+K485+K537+K572+K620+K656</f>
        <v>0</v>
      </c>
      <c r="L707" s="1">
        <f>+L95+L401+L440+L485+L537+L572+L620+L656</f>
        <v>0</v>
      </c>
      <c r="M707" s="55">
        <f>SUM(J707:L707)</f>
        <v>0</v>
      </c>
      <c r="N707" s="1">
        <f>+N95+N401+N440+N485+N537+N572+N620+N656</f>
        <v>0</v>
      </c>
      <c r="O707" s="1">
        <f>+O95+O401+O440+O485+O537+O572+O620+O656</f>
        <v>0</v>
      </c>
      <c r="P707" s="1">
        <f>+P95+P401+P440+P485+P537+P572+P620+P656</f>
        <v>0</v>
      </c>
      <c r="Q707" s="55">
        <f>SUM(N707:P707)</f>
        <v>0</v>
      </c>
      <c r="R707" s="55">
        <f>+E707+I707+M707+Q707</f>
        <v>0</v>
      </c>
    </row>
    <row r="708" spans="1:18" ht="15.75" customHeight="1" thickBot="1" x14ac:dyDescent="0.35">
      <c r="A708" s="15" t="s">
        <v>49</v>
      </c>
      <c r="B708" s="1">
        <f>SUM(B319:B320)</f>
        <v>0</v>
      </c>
      <c r="C708" s="1">
        <f>SUM(C319:C320)</f>
        <v>2188</v>
      </c>
      <c r="D708" s="1">
        <f>SUM(D319:D320)</f>
        <v>6838</v>
      </c>
      <c r="E708" s="55">
        <f>SUM(B708:D708)</f>
        <v>9026</v>
      </c>
      <c r="F708" s="1">
        <f>SUM(F319:F320)</f>
        <v>0</v>
      </c>
      <c r="G708" s="1">
        <f>SUM(G319:G320)</f>
        <v>0</v>
      </c>
      <c r="H708" s="1">
        <f>SUM(H319:H320)</f>
        <v>0</v>
      </c>
      <c r="I708" s="55">
        <f>SUM(F708:H708)</f>
        <v>0</v>
      </c>
      <c r="J708" s="1">
        <f>SUM(J319:J320)</f>
        <v>0</v>
      </c>
      <c r="K708" s="1">
        <f>SUM(K319:K320)</f>
        <v>0</v>
      </c>
      <c r="L708" s="1">
        <f>SUM(L319:L320)</f>
        <v>0</v>
      </c>
      <c r="M708" s="55">
        <f>SUM(J708:L708)</f>
        <v>0</v>
      </c>
      <c r="N708" s="1">
        <f>SUM(N319:N320)</f>
        <v>0</v>
      </c>
      <c r="O708" s="1">
        <f>SUM(O319:O320)</f>
        <v>0</v>
      </c>
      <c r="P708" s="1">
        <f>SUM(P319:P320)</f>
        <v>0</v>
      </c>
      <c r="Q708" s="55">
        <f>SUM(N708:P708)</f>
        <v>0</v>
      </c>
      <c r="R708" s="55">
        <f>+E708+I708+M708+Q708</f>
        <v>9026</v>
      </c>
    </row>
    <row r="709" spans="1:18" ht="15.75" customHeight="1" thickBot="1" x14ac:dyDescent="0.35">
      <c r="A709" s="57" t="s">
        <v>59</v>
      </c>
      <c r="B709" s="86">
        <f>SUM(B704:B708)</f>
        <v>6492</v>
      </c>
      <c r="C709" s="87">
        <f>SUM(C704:C708)</f>
        <v>12723</v>
      </c>
      <c r="D709" s="87">
        <f>SUM(D704:D708)</f>
        <v>46187</v>
      </c>
      <c r="E709" s="59">
        <f>SUM(B709:D709)</f>
        <v>65402</v>
      </c>
      <c r="F709" s="87">
        <f>SUM(F704:F708)</f>
        <v>67844</v>
      </c>
      <c r="G709" s="87">
        <f>SUM(G704:G708)</f>
        <v>53705</v>
      </c>
      <c r="H709" s="87">
        <f>SUM(H704:H708)</f>
        <v>68268</v>
      </c>
      <c r="I709" s="59">
        <f>SUM(F709:H709)</f>
        <v>189817</v>
      </c>
      <c r="J709" s="87">
        <f>SUM(J704:J708)</f>
        <v>55702</v>
      </c>
      <c r="K709" s="87">
        <f>SUM(K704:K708)</f>
        <v>34708</v>
      </c>
      <c r="L709" s="87">
        <f>SUM(L704:L708)</f>
        <v>17993</v>
      </c>
      <c r="M709" s="59">
        <f>SUM(J709:L709)</f>
        <v>108403</v>
      </c>
      <c r="N709" s="87">
        <f>SUM(N704:N708)</f>
        <v>6463</v>
      </c>
      <c r="O709" s="87">
        <f>SUM(O704:O708)</f>
        <v>3860</v>
      </c>
      <c r="P709" s="87">
        <f>SUM(P704:P708)</f>
        <v>4139</v>
      </c>
      <c r="Q709" s="59">
        <f>SUM(N709:P709)</f>
        <v>14462</v>
      </c>
      <c r="R709" s="59">
        <f>+E709+I709+M709+Q709</f>
        <v>378084</v>
      </c>
    </row>
    <row r="710" spans="1:18" ht="15.75" customHeight="1" x14ac:dyDescent="0.3">
      <c r="A710" s="15" t="s">
        <v>60</v>
      </c>
      <c r="B710" s="1"/>
      <c r="C710" s="1"/>
      <c r="D710" s="1"/>
      <c r="E710" s="55" t="s">
        <v>7</v>
      </c>
      <c r="F710" s="1"/>
      <c r="G710" s="1"/>
      <c r="H710" s="1"/>
      <c r="I710" s="55" t="s">
        <v>7</v>
      </c>
      <c r="J710" s="1"/>
      <c r="K710" s="1"/>
      <c r="L710" s="1"/>
      <c r="M710" s="55" t="s">
        <v>7</v>
      </c>
      <c r="N710" s="1"/>
      <c r="O710" s="1"/>
      <c r="P710" s="1"/>
      <c r="Q710" s="55" t="s">
        <v>7</v>
      </c>
      <c r="R710" s="55" t="s">
        <v>7</v>
      </c>
    </row>
    <row r="711" spans="1:18" ht="15.75" customHeight="1" x14ac:dyDescent="0.3">
      <c r="A711" s="15" t="s">
        <v>61</v>
      </c>
      <c r="B711" s="1">
        <f>+B98+B185+SUM(B323:B325)+B404+B443+B488+B540+SUM(B575:B576)+B623+SUM(B659:B660)</f>
        <v>5017</v>
      </c>
      <c r="C711" s="1">
        <f>+C98+C185+SUM(C323:C325)+C404+C443+C488+C540+SUM(C575:C576)+C623+SUM(C659:C660)</f>
        <v>4030</v>
      </c>
      <c r="D711" s="1">
        <f>+D98+D185+SUM(D323:D325)+D404+D443+D488+D540+SUM(D575:D576)+D623+SUM(D659:D660)</f>
        <v>12551</v>
      </c>
      <c r="E711" s="55">
        <f>SUM(B711:D711)</f>
        <v>21598</v>
      </c>
      <c r="F711" s="1">
        <f>+F98+F185+SUM(F323:F325)+F404+F443+F488+F540+SUM(F575:F576)+F623+SUM(F659:F660)</f>
        <v>14680</v>
      </c>
      <c r="G711" s="1">
        <f>+G98+G185+SUM(G323:G325)+G404+G443+G488+G540+SUM(G575:G576)+G623+SUM(G659:G660)</f>
        <v>11242</v>
      </c>
      <c r="H711" s="1">
        <f>+H98+H185+SUM(H323:H325)+H404+H443+H488+H540+SUM(H575:H576)+H623+SUM(H659:H660)</f>
        <v>14319</v>
      </c>
      <c r="I711" s="55">
        <f>SUM(F711:H711)</f>
        <v>40241</v>
      </c>
      <c r="J711" s="1">
        <f>+J98+J185+SUM(J323:J325)+J404+J443+J488+J540+SUM(J575:J576)+J623+SUM(J659:J660)</f>
        <v>10760</v>
      </c>
      <c r="K711" s="1">
        <f>+K98+K185+SUM(K323:K325)+K404+K443+K488+K540+SUM(K575:K576)+K623+SUM(K659:K660)</f>
        <v>12072</v>
      </c>
      <c r="L711" s="1">
        <f>+L98+L185+SUM(L323:L325)+L404+L443+L488+L540+SUM(L575:L576)+L623+SUM(L659:L660)</f>
        <v>7004</v>
      </c>
      <c r="M711" s="55">
        <f>SUM(J711:L711)</f>
        <v>29836</v>
      </c>
      <c r="N711" s="1">
        <f>+N98+N185+SUM(N323:N325)+N404+N443+N488+N540+SUM(N575:N576)+N623+SUM(N659:N660)</f>
        <v>4338</v>
      </c>
      <c r="O711" s="1">
        <f>+O98+O185+SUM(O323:O325)+O404+O443+O488+O540+SUM(O575:O576)+O623+SUM(O659:O660)</f>
        <v>2053</v>
      </c>
      <c r="P711" s="1">
        <f>+P98+P185+SUM(P323:P325)+P404+P443+P488+P540+SUM(P575:P576)+P623+SUM(P659:P660)</f>
        <v>2222</v>
      </c>
      <c r="Q711" s="55">
        <f>SUM(N711:P711)</f>
        <v>8613</v>
      </c>
      <c r="R711" s="55">
        <f>+E711+I711+M711+Q711</f>
        <v>100288</v>
      </c>
    </row>
    <row r="712" spans="1:18" ht="15.75" customHeight="1" thickBot="1" x14ac:dyDescent="0.35">
      <c r="A712" s="15" t="s">
        <v>62</v>
      </c>
      <c r="B712" s="1">
        <f>+B51+SUM(B99:B107)+SUM(B186:B220)+SUM(B326:B341)+B405+B444+B489+B541+B577+B624+SUM(B661:B661)</f>
        <v>9958</v>
      </c>
      <c r="C712" s="1">
        <f>+C51+SUM(C99:C107)+SUM(C186:C220)+SUM(C326:C341)+C405+C444+C489+C541+C577+C624+SUM(C661:C661)</f>
        <v>7689</v>
      </c>
      <c r="D712" s="1">
        <f>+D51+SUM(D99:D107)+SUM(D186:D220)+SUM(D326:D341)+D405+D444+D489+D541+D577+D624+SUM(D661:D661)</f>
        <v>13829</v>
      </c>
      <c r="E712" s="55">
        <f>SUM(B712:D712)</f>
        <v>31476</v>
      </c>
      <c r="F712" s="1">
        <f>+F51+SUM(F99:F107)+SUM(F186:F220)+SUM(F326:F341)+F405+F444+F489+F541+F577+F624+SUM(F661:F661)</f>
        <v>15753</v>
      </c>
      <c r="G712" s="1">
        <f>+G51+SUM(G99:G107)+SUM(G186:G220)+SUM(G326:G341)+G405+G444+G489+G541+G577+G624+SUM(G661:G661)</f>
        <v>22038</v>
      </c>
      <c r="H712" s="1">
        <f>+H51+SUM(H99:H107)+SUM(H186:H220)+SUM(H326:H341)+H405+H444+H489+H541+H577+H624+SUM(H661:H661)</f>
        <v>4353</v>
      </c>
      <c r="I712" s="55">
        <f>SUM(F712:H712)</f>
        <v>42144</v>
      </c>
      <c r="J712" s="1">
        <f>+J51+SUM(J99:J107)+SUM(J186:J220)+SUM(J326:J341)+J405+J444+J489+J541+J577+J624+SUM(J661:J661)</f>
        <v>4311</v>
      </c>
      <c r="K712" s="1">
        <f>+K51+SUM(K99:K107)+SUM(K186:K220)+SUM(K326:K341)+K405+K444+K489+K541+K577+K624+SUM(K661:K661)</f>
        <v>2733</v>
      </c>
      <c r="L712" s="1">
        <f>+L51+SUM(L99:L107)+SUM(L186:L220)+SUM(L326:L341)+L405+L444+L489+L541+L577+L624+SUM(L661:L661)</f>
        <v>3988</v>
      </c>
      <c r="M712" s="55">
        <f>SUM(J712:L712)</f>
        <v>11032</v>
      </c>
      <c r="N712" s="1">
        <f>+N51+SUM(N99:N107)+SUM(N186:N220)+SUM(N326:N341)+N405+N444+N489+N541+N577+N624+SUM(N661:N661)</f>
        <v>4692</v>
      </c>
      <c r="O712" s="1">
        <f>+O51+SUM(O99:O107)+SUM(O186:O220)+SUM(O326:O341)+O405+O444+O489+O541+O577+O624+SUM(O661:O661)</f>
        <v>2367</v>
      </c>
      <c r="P712" s="1">
        <f>+P51+SUM(P99:P107)+SUM(P186:P220)+SUM(P326:P341)+P405+P444+P489+P541+P577+P624+SUM(P661:P661)</f>
        <v>337</v>
      </c>
      <c r="Q712" s="55">
        <f>SUM(N712:P712)</f>
        <v>7396</v>
      </c>
      <c r="R712" s="55">
        <f>+E712+I712+M712+Q712</f>
        <v>92048</v>
      </c>
    </row>
    <row r="713" spans="1:18" ht="15.75" customHeight="1" thickBot="1" x14ac:dyDescent="0.35">
      <c r="A713" s="57" t="s">
        <v>63</v>
      </c>
      <c r="B713" s="86">
        <f>SUM(B710:B712)</f>
        <v>14975</v>
      </c>
      <c r="C713" s="87">
        <f>SUM(C710:C712)</f>
        <v>11719</v>
      </c>
      <c r="D713" s="87">
        <f>SUM(D710:D712)</f>
        <v>26380</v>
      </c>
      <c r="E713" s="59">
        <f>SUM(B713:D713)</f>
        <v>53074</v>
      </c>
      <c r="F713" s="87">
        <f>SUM(F710:F712)</f>
        <v>30433</v>
      </c>
      <c r="G713" s="87">
        <f>SUM(G710:G712)</f>
        <v>33280</v>
      </c>
      <c r="H713" s="87">
        <f>SUM(H710:H712)</f>
        <v>18672</v>
      </c>
      <c r="I713" s="59">
        <f>SUM(F713:H713)</f>
        <v>82385</v>
      </c>
      <c r="J713" s="87">
        <f>SUM(J710:J712)</f>
        <v>15071</v>
      </c>
      <c r="K713" s="87">
        <f>SUM(K710:K712)</f>
        <v>14805</v>
      </c>
      <c r="L713" s="87">
        <f>SUM(L710:L712)</f>
        <v>10992</v>
      </c>
      <c r="M713" s="59">
        <f>SUM(J713:L713)</f>
        <v>40868</v>
      </c>
      <c r="N713" s="87">
        <f>SUM(N710:N712)</f>
        <v>9030</v>
      </c>
      <c r="O713" s="87">
        <f>SUM(O710:O712)</f>
        <v>4420</v>
      </c>
      <c r="P713" s="87">
        <f>SUM(P710:P712)</f>
        <v>2559</v>
      </c>
      <c r="Q713" s="59">
        <f>SUM(N713:P713)</f>
        <v>16009</v>
      </c>
      <c r="R713" s="59">
        <f>+E713+I713+M713+Q713</f>
        <v>192336</v>
      </c>
    </row>
    <row r="714" spans="1:18" ht="15.75" customHeight="1" x14ac:dyDescent="0.3">
      <c r="A714" s="15" t="s">
        <v>64</v>
      </c>
      <c r="B714" s="1"/>
      <c r="C714" s="1"/>
      <c r="D714" s="1"/>
      <c r="E714" s="55" t="s">
        <v>7</v>
      </c>
      <c r="F714" s="1"/>
      <c r="G714" s="1"/>
      <c r="H714" s="1"/>
      <c r="I714" s="55" t="s">
        <v>7</v>
      </c>
      <c r="J714" s="1"/>
      <c r="K714" s="1"/>
      <c r="L714" s="1"/>
      <c r="M714" s="55" t="s">
        <v>7</v>
      </c>
      <c r="N714" s="1"/>
      <c r="O714" s="1"/>
      <c r="P714" s="1"/>
      <c r="Q714" s="55" t="s">
        <v>7</v>
      </c>
      <c r="R714" s="55" t="s">
        <v>7</v>
      </c>
    </row>
    <row r="715" spans="1:18" ht="15.75" customHeight="1" x14ac:dyDescent="0.3">
      <c r="A715" s="15" t="s">
        <v>65</v>
      </c>
      <c r="B715" s="1">
        <f>+B55+SUM(B110:B118)+SUM(B223:B229)+SUM(B344:B346)+SUM(B408:B409)+B447+SUM(B492:B495)+SUM(B580:B580)+B627+SUM(B664:B668)</f>
        <v>7226</v>
      </c>
      <c r="C715" s="1">
        <f>+C55+SUM(C110:C118)+SUM(C223:C229)+SUM(C344:C346)+SUM(C408:C409)+C447+SUM(C492:C495)+SUM(C580:C580)+C627+SUM(C664:C668)</f>
        <v>8908</v>
      </c>
      <c r="D715" s="1">
        <f>+D55+SUM(D110:D118)+SUM(D223:D229)+SUM(D344:D346)+SUM(D408:D409)+D447+SUM(D492:D495)+SUM(D580:D580)+D627+SUM(D664:D668)</f>
        <v>13358</v>
      </c>
      <c r="E715" s="55">
        <f t="shared" ref="E715:E723" si="98">SUM(B715:D715)</f>
        <v>29492</v>
      </c>
      <c r="F715" s="1">
        <f>+F55+SUM(F110:F118)+SUM(F223:F229)+SUM(F344:F346)+SUM(F408:F409)+F447+SUM(F492:F495)+SUM(F580:F580)+F627+SUM(F664:F668)</f>
        <v>11458</v>
      </c>
      <c r="G715" s="1">
        <f>+G55+SUM(G110:G118)+SUM(G223:G229)+SUM(G344:G346)+SUM(G408:G409)+G447+SUM(G492:G495)+SUM(G580:G580)+G627+SUM(G664:G668)</f>
        <v>9212</v>
      </c>
      <c r="H715" s="1">
        <f>+H55+SUM(H110:H118)+SUM(H223:H229)+SUM(H344:H346)+SUM(H408:H409)+H447+SUM(H492:H495)+SUM(H580:H580)+H627+SUM(H664:H668)</f>
        <v>5472</v>
      </c>
      <c r="I715" s="55">
        <f t="shared" ref="I715:I723" si="99">SUM(F715:H715)</f>
        <v>26142</v>
      </c>
      <c r="J715" s="1">
        <f>+J55+SUM(J110:J118)+SUM(J223:J229)+SUM(J344:J346)+SUM(J408:J409)+J447+SUM(J492:J495)+SUM(J580:J580)+J627+SUM(J664:J668)</f>
        <v>2944</v>
      </c>
      <c r="K715" s="1">
        <f>+K55+SUM(K110:K118)+SUM(K223:K229)+SUM(K344:K346)+SUM(K408:K409)+K447+SUM(K492:K495)+SUM(K580:K580)+K627+SUM(K664:K668)</f>
        <v>12826</v>
      </c>
      <c r="L715" s="1">
        <f>+L55+SUM(L110:L118)+SUM(L223:L229)+SUM(L344:L346)+SUM(L408:L409)+L447+SUM(L492:L495)+SUM(L580:L580)+L627+SUM(L664:L668)</f>
        <v>11489</v>
      </c>
      <c r="M715" s="55">
        <f t="shared" ref="M715:M723" si="100">SUM(J715:L715)</f>
        <v>27259</v>
      </c>
      <c r="N715" s="1">
        <f>+N55+SUM(N110:N118)+SUM(N223:N229)+SUM(N344:N346)+SUM(N408:N409)+N447+SUM(N492:N495)+SUM(N580:N580)+N627+SUM(N664:N668)</f>
        <v>10693</v>
      </c>
      <c r="O715" s="1">
        <f>+O55+SUM(O110:O118)+SUM(O223:O229)+SUM(O344:O346)+SUM(O408:O409)+O447+SUM(O492:O495)+SUM(O580:O580)+O627+SUM(O664:O668)</f>
        <v>3364</v>
      </c>
      <c r="P715" s="1">
        <f>+P55+SUM(P110:P118)+SUM(P223:P229)+SUM(P344:P346)+SUM(P408:P409)+P447+SUM(P492:P495)+SUM(P580:P580)+P627+SUM(P664:P668)</f>
        <v>2182</v>
      </c>
      <c r="Q715" s="55">
        <f t="shared" ref="Q715:Q723" si="101">SUM(N715:P715)</f>
        <v>16239</v>
      </c>
      <c r="R715" s="55">
        <f t="shared" ref="R715:R723" si="102">+E715+I715+M715+Q715</f>
        <v>99132</v>
      </c>
    </row>
    <row r="716" spans="1:18" ht="15.75" customHeight="1" x14ac:dyDescent="0.3">
      <c r="A716" s="15" t="s">
        <v>67</v>
      </c>
      <c r="B716" s="1">
        <f>SUM(B56:B57)+SUM(B119:B120)+SUM(B230:B231)+B233+B235+B237+B238+SUM(B347:B349)+B410+B448+SUM(B496:B497)+B499+SUM(B545:B546)+B582+B584+B628+SUM(B669:B670)</f>
        <v>5456</v>
      </c>
      <c r="C716" s="1">
        <f>SUM(C56:C57)+SUM(C119:C120)+SUM(C230:C231)+C233+C235+C237+C238+SUM(C347:C349)+C410+C448+SUM(C496:C497)+C499+SUM(C545:C546)+C582+C584+C628+SUM(C669:C670)</f>
        <v>3678</v>
      </c>
      <c r="D716" s="1">
        <f>SUM(D56:D57)+SUM(D119:D120)+SUM(D230:D231)+D233+D235+D237+D238+SUM(D347:D349)+D410+D448+SUM(D496:D497)+D499+SUM(D545:D546)+D582+D584+D628+SUM(D669:D670)</f>
        <v>4340</v>
      </c>
      <c r="E716" s="55">
        <f t="shared" si="98"/>
        <v>13474</v>
      </c>
      <c r="F716" s="1">
        <f>SUM(F56:F57)+SUM(F119:F120)+SUM(F230:F231)+F233+F235+F237+F238+SUM(F347:F349)+F410+F448+SUM(F496:F497)+F499+SUM(F545:F546)+F582+F584+F628+SUM(F669:F670)</f>
        <v>2911</v>
      </c>
      <c r="G716" s="1">
        <f>SUM(G56:G57)+SUM(G119:G120)+SUM(G230:G231)+G233+G235+G237+G238+SUM(G347:G349)+G410+G448+SUM(G496:G497)+G499+SUM(G545:G546)+G582+G584+G628+SUM(G669:G670)</f>
        <v>5357</v>
      </c>
      <c r="H716" s="1">
        <f>SUM(H56:H57)+SUM(H119:H120)+SUM(H230:H231)+H233+H235+H237+H238+SUM(H347:H349)+H410+H448+SUM(H496:H497)+H499+SUM(H545:H546)+H582+H584+H628+SUM(H669:H670)</f>
        <v>4429</v>
      </c>
      <c r="I716" s="55">
        <f t="shared" si="99"/>
        <v>12697</v>
      </c>
      <c r="J716" s="1">
        <f>SUM(J56:J57)+SUM(J119:J120)+SUM(J230:J231)+J233+J235+J237+J238+SUM(J347:J349)+J410+J448+SUM(J496:J497)+J499+SUM(J545:J546)+J582+J584+J628+SUM(J669:J670)</f>
        <v>6708</v>
      </c>
      <c r="K716" s="1">
        <f>SUM(K56:K57)+SUM(K119:K120)+SUM(K230:K231)+K233+K235+K237+K238+SUM(K347:K349)+K410+K448+SUM(K496:K497)+K499+SUM(K545:K546)+K582+K584+K628+SUM(K669:K670)</f>
        <v>5859</v>
      </c>
      <c r="L716" s="1">
        <f>SUM(L56:L57)+SUM(L119:L120)+SUM(L230:L231)+L233+L235+L237+L238+SUM(L347:L349)+L410+L448+SUM(L496:L497)+L499+SUM(L545:L546)+L582+L584+L628+SUM(L669:L670)</f>
        <v>4298</v>
      </c>
      <c r="M716" s="55">
        <f t="shared" si="100"/>
        <v>16865</v>
      </c>
      <c r="N716" s="1">
        <f>SUM(N56:N57)+SUM(N119:N120)+SUM(N230:N231)+N233+N235+N237+N238+SUM(N347:N349)+N410+N448+SUM(N496:N497)+N499+SUM(N545:N546)+N582+N584+N628+SUM(N669:N670)</f>
        <v>3376</v>
      </c>
      <c r="O716" s="1">
        <f>SUM(O56:O57)+SUM(O119:O120)+SUM(O230:O231)+O233+O235+O237+O238+SUM(O347:O349)+O410+O448+SUM(O496:O497)+O499+SUM(O545:O546)+O582+O584+O628+SUM(O669:O670)</f>
        <v>8492</v>
      </c>
      <c r="P716" s="1">
        <f>SUM(P56:P57)+SUM(P119:P120)+SUM(P230:P231)+P233+P235+P237+P238+SUM(P347:P349)+P410+P448+SUM(P496:P497)+P499+SUM(P545:P546)+P582+P584+P628+SUM(P669:P670)</f>
        <v>21122</v>
      </c>
      <c r="Q716" s="55">
        <f t="shared" si="101"/>
        <v>32990</v>
      </c>
      <c r="R716" s="55">
        <f t="shared" si="102"/>
        <v>76026</v>
      </c>
    </row>
    <row r="717" spans="1:18" ht="15.75" customHeight="1" x14ac:dyDescent="0.3">
      <c r="A717" s="71" t="s">
        <v>378</v>
      </c>
      <c r="B717" s="1">
        <f>B121+B232+B234+B236+B498+B500+B583+B585+B671</f>
        <v>0</v>
      </c>
      <c r="C717" s="1">
        <f>C121+C232+C234+C236+C498+C500+C583+C585+C671</f>
        <v>0</v>
      </c>
      <c r="D717" s="1">
        <f>D121+D232+D234+D236+D498+D500+D583+D585+D671</f>
        <v>0</v>
      </c>
      <c r="E717" s="55">
        <f t="shared" si="98"/>
        <v>0</v>
      </c>
      <c r="F717" s="1">
        <f>F121+F232+F234+F236+F498+F500+F583+F585+F671</f>
        <v>0</v>
      </c>
      <c r="G717" s="1">
        <f>G121+G232+G234+G236+G498+G500+G583+G585+G671</f>
        <v>0</v>
      </c>
      <c r="H717" s="1">
        <f>H121+H232+H234+H236+H498+H500+H583+H585+H671</f>
        <v>0</v>
      </c>
      <c r="I717" s="55">
        <f t="shared" si="99"/>
        <v>0</v>
      </c>
      <c r="J717" s="1">
        <f>J121+J232+J234+J236+J498+J500+J583+J585+J671</f>
        <v>0</v>
      </c>
      <c r="K717" s="1">
        <f>K121+K232+K234+K236+K498+K500+K583+K585+K671</f>
        <v>0</v>
      </c>
      <c r="L717" s="1">
        <f>L121+L232+L234+L236+L498+L500+L583+L585+L671</f>
        <v>0</v>
      </c>
      <c r="M717" s="55">
        <f t="shared" si="100"/>
        <v>0</v>
      </c>
      <c r="N717" s="1">
        <f>N121+N232+N234+N236+N498+N500+N583+N585+N671</f>
        <v>0</v>
      </c>
      <c r="O717" s="1">
        <f>O121+O232+O234+O236+O498+O500+O583+O585+O671</f>
        <v>0</v>
      </c>
      <c r="P717" s="1">
        <f>P121+P232+P234+P236+P498+P500+P583+P585+P671</f>
        <v>0</v>
      </c>
      <c r="Q717" s="55">
        <f t="shared" si="101"/>
        <v>0</v>
      </c>
      <c r="R717" s="55">
        <f t="shared" si="102"/>
        <v>0</v>
      </c>
    </row>
    <row r="718" spans="1:18" ht="15.75" customHeight="1" x14ac:dyDescent="0.3">
      <c r="A718" s="15" t="s">
        <v>69</v>
      </c>
      <c r="B718" s="1">
        <f>+SUM(B122:B123)+SUM(B239:B242)+SUM(B350:B357)+B411+SUM(B449:B452)+SUM(B501:B502)+SUM(B547:B547)+B586+B672</f>
        <v>637</v>
      </c>
      <c r="C718" s="1">
        <f>+SUM(C122:C123)+SUM(C239:C242)+SUM(C350:C357)+C411+SUM(C449:C452)+SUM(C501:C502)+SUM(C547:C547)+C586+C672</f>
        <v>0</v>
      </c>
      <c r="D718" s="1">
        <f>+SUM(D122:D123)+SUM(D239:D242)+SUM(D350:D357)+D411+SUM(D449:D452)+SUM(D501:D502)+SUM(D547:D547)+D586+D672</f>
        <v>4378</v>
      </c>
      <c r="E718" s="55">
        <f t="shared" si="98"/>
        <v>5015</v>
      </c>
      <c r="F718" s="1">
        <f>+SUM(F122:F123)+SUM(F239:F242)+SUM(F350:F357)+F411+SUM(F449:F452)+SUM(F501:F502)+SUM(F547:F547)+F586+F672</f>
        <v>8057</v>
      </c>
      <c r="G718" s="1">
        <f>+SUM(G122:G123)+SUM(G239:G242)+SUM(G350:G357)+G411+SUM(G449:G452)+SUM(G501:G502)+SUM(G547:G547)+G586+G672</f>
        <v>9412</v>
      </c>
      <c r="H718" s="1">
        <f>+SUM(H122:H123)+SUM(H239:H242)+SUM(H350:H357)+H411+SUM(H449:H452)+SUM(H501:H502)+SUM(H547:H547)+H586+H672</f>
        <v>13748</v>
      </c>
      <c r="I718" s="55">
        <f t="shared" si="99"/>
        <v>31217</v>
      </c>
      <c r="J718" s="1">
        <f>+SUM(J122:J123)+SUM(J239:J242)+SUM(J350:J357)+J411+SUM(J449:J452)+SUM(J501:J502)+SUM(J547:J547)+J586+J672</f>
        <v>25436</v>
      </c>
      <c r="K718" s="1">
        <f>+SUM(K122:K123)+SUM(K239:K242)+SUM(K350:K357)+K411+SUM(K449:K452)+SUM(K501:K502)+SUM(K547:K547)+K586+K672</f>
        <v>29665</v>
      </c>
      <c r="L718" s="1">
        <f>+SUM(L122:L123)+SUM(L239:L242)+SUM(L350:L357)+L411+SUM(L449:L452)+SUM(L501:L502)+SUM(L547:L547)+L586+L672</f>
        <v>18643</v>
      </c>
      <c r="M718" s="55">
        <f t="shared" si="100"/>
        <v>73744</v>
      </c>
      <c r="N718" s="1">
        <f>+SUM(N122:N123)+SUM(N239:N242)+SUM(N350:N357)+N411+SUM(N449:N452)+SUM(N501:N502)+SUM(N547:N547)+N586+N672</f>
        <v>14606</v>
      </c>
      <c r="O718" s="1">
        <f>+SUM(O122:O123)+SUM(O239:O242)+SUM(O350:O357)+O411+SUM(O449:O452)+SUM(O501:O502)+SUM(O547:O547)+O586+O672</f>
        <v>4336</v>
      </c>
      <c r="P718" s="1">
        <f>+SUM(P122:P123)+SUM(P239:P242)+SUM(P350:P357)+P411+SUM(P449:P452)+SUM(P501:P502)+SUM(P547:P547)+P586+P672</f>
        <v>2234</v>
      </c>
      <c r="Q718" s="55">
        <f t="shared" si="101"/>
        <v>21176</v>
      </c>
      <c r="R718" s="55">
        <f t="shared" si="102"/>
        <v>131152</v>
      </c>
    </row>
    <row r="719" spans="1:18" ht="15.75" customHeight="1" x14ac:dyDescent="0.3">
      <c r="A719" s="15" t="s">
        <v>70</v>
      </c>
      <c r="B719" s="1">
        <f>SUM(B124:B125)+SUM(B243:B243)+B359+B361+B362+B363+B365+B367+SUM(B412:B413)+B454+B503+B548+B587+B630+B673</f>
        <v>2418</v>
      </c>
      <c r="C719" s="1">
        <f>SUM(C124:C125)+SUM(C243:C243)+C359+C361+C362+C363+C365+C367+SUM(C412:C413)+C454+C503+C548+C587+C630+C673</f>
        <v>5395</v>
      </c>
      <c r="D719" s="1">
        <f>SUM(D124:D125)+SUM(D243:D243)+D359+D361+D362+D363+D365+D367+SUM(D412:D413)+D454+D503+D548+D587+D630+D673</f>
        <v>8024</v>
      </c>
      <c r="E719" s="55">
        <f t="shared" si="98"/>
        <v>15837</v>
      </c>
      <c r="F719" s="1">
        <f>SUM(F124:F125)+SUM(F243:F243)+F359+F361+F362+F363+F365+F367+SUM(F412:F413)+F454+F503+F548+F587+F630+F673</f>
        <v>5700</v>
      </c>
      <c r="G719" s="1">
        <f>SUM(G124:G125)+SUM(G243:G243)+G359+G361+G362+G363+G365+G367+SUM(G412:G413)+G454+G503+G548+G587+G630+G673</f>
        <v>3100</v>
      </c>
      <c r="H719" s="1">
        <f>SUM(H124:H125)+SUM(H243:H243)+H359+H361+H362+H363+H365+H367+SUM(H412:H413)+H454+H503+H548+H587+H630+H673</f>
        <v>6315</v>
      </c>
      <c r="I719" s="55">
        <f t="shared" si="99"/>
        <v>15115</v>
      </c>
      <c r="J719" s="1">
        <f>SUM(J124:J125)+SUM(J243:J243)+J359+J361+J362+J363+J365+J367+SUM(J412:J413)+J454+J503+J548+J587+J630+J673</f>
        <v>5062</v>
      </c>
      <c r="K719" s="1">
        <f>SUM(K124:K125)+SUM(K243:K243)+K359+K361+K362+K363+K365+K367+SUM(K412:K413)+K454+K503+K548+K587+K630+K673</f>
        <v>44843</v>
      </c>
      <c r="L719" s="1">
        <f>SUM(L124:L125)+SUM(L243:L243)+L359+L361+L362+L363+L365+L367+SUM(L412:L413)+L454+L503+L548+L587+L630+L673</f>
        <v>30460</v>
      </c>
      <c r="M719" s="55">
        <f t="shared" si="100"/>
        <v>80365</v>
      </c>
      <c r="N719" s="1">
        <f>SUM(N124:N125)+SUM(N243:N243)+N359+N361+N362+N363+N365+N367+SUM(N412:N413)+N454+N503+N548+N587+N630+N673</f>
        <v>15633</v>
      </c>
      <c r="O719" s="1">
        <f>SUM(O124:O125)+SUM(O243:O243)+O359+O361+O362+O363+O365+O367+SUM(O412:O413)+O454+O503+O548+O587+O630+O673</f>
        <v>7950</v>
      </c>
      <c r="P719" s="1">
        <f>SUM(P124:P125)+SUM(P243:P243)+P359+P361+P362+P363+P365+P367+SUM(P412:P413)+P454+P503+P548+P587+P630+P673</f>
        <v>6064</v>
      </c>
      <c r="Q719" s="55">
        <f t="shared" si="101"/>
        <v>29647</v>
      </c>
      <c r="R719" s="55">
        <f t="shared" si="102"/>
        <v>140964</v>
      </c>
    </row>
    <row r="720" spans="1:18" ht="15.75" customHeight="1" thickBot="1" x14ac:dyDescent="0.35">
      <c r="A720" s="71" t="s">
        <v>379</v>
      </c>
      <c r="B720" s="1">
        <f>+B360+B364+B366+B414+B455</f>
        <v>0</v>
      </c>
      <c r="C720" s="1">
        <f>+C360+C364+C366+C414+C455</f>
        <v>0</v>
      </c>
      <c r="D720" s="1">
        <f>+D360+D364+D366+D414+D455</f>
        <v>0</v>
      </c>
      <c r="E720" s="55">
        <f>SUM(B720:D720)</f>
        <v>0</v>
      </c>
      <c r="F720" s="1">
        <f>+F360+F364+F366+F414+F455</f>
        <v>0</v>
      </c>
      <c r="G720" s="1">
        <f>+G360+G364+G366+G414+G455</f>
        <v>0</v>
      </c>
      <c r="H720" s="1">
        <f>+H360+H364+H366+H414+H455</f>
        <v>0</v>
      </c>
      <c r="I720" s="55">
        <f>SUM(F720:H720)</f>
        <v>0</v>
      </c>
      <c r="J720" s="1">
        <f>+J360+J364+J366+J414+J455</f>
        <v>0</v>
      </c>
      <c r="K720" s="1">
        <f>+K360+K364+K366+K414+K455</f>
        <v>0</v>
      </c>
      <c r="L720" s="1">
        <f>+L360+L364+L366+L414+L455</f>
        <v>0</v>
      </c>
      <c r="M720" s="55">
        <f>SUM(J720:L720)</f>
        <v>0</v>
      </c>
      <c r="N720" s="1">
        <f>+N360+N364+N366+N414+N455</f>
        <v>0</v>
      </c>
      <c r="O720" s="1">
        <f>+O360+O364+O366+O414+O455</f>
        <v>0</v>
      </c>
      <c r="P720" s="1">
        <f>+P360+P364+P366+P414+P455</f>
        <v>0</v>
      </c>
      <c r="Q720" s="55">
        <f>SUM(N720:P720)</f>
        <v>0</v>
      </c>
      <c r="R720" s="55">
        <f>+E720+I720+M720+Q720</f>
        <v>0</v>
      </c>
    </row>
    <row r="721" spans="1:18" ht="15.75" customHeight="1" thickBot="1" x14ac:dyDescent="0.35">
      <c r="A721" s="57" t="s">
        <v>71</v>
      </c>
      <c r="B721" s="146">
        <f>SUM(B718:B720)</f>
        <v>3055</v>
      </c>
      <c r="C721" s="146">
        <f>SUM(C718:C720)</f>
        <v>5395</v>
      </c>
      <c r="D721" s="146">
        <f>SUM(D718:D720)</f>
        <v>12402</v>
      </c>
      <c r="E721" s="60">
        <f t="shared" si="98"/>
        <v>20852</v>
      </c>
      <c r="F721" s="146">
        <f>SUM(F718:F720)</f>
        <v>13757</v>
      </c>
      <c r="G721" s="146">
        <f>SUM(G718:G720)</f>
        <v>12512</v>
      </c>
      <c r="H721" s="146">
        <f>SUM(H718:H720)</f>
        <v>20063</v>
      </c>
      <c r="I721" s="60">
        <f t="shared" si="99"/>
        <v>46332</v>
      </c>
      <c r="J721" s="146">
        <f>SUM(J718:J720)</f>
        <v>30498</v>
      </c>
      <c r="K721" s="146">
        <f>SUM(K718:K720)</f>
        <v>74508</v>
      </c>
      <c r="L721" s="146">
        <f>SUM(L718:L720)</f>
        <v>49103</v>
      </c>
      <c r="M721" s="60">
        <f t="shared" si="100"/>
        <v>154109</v>
      </c>
      <c r="N721" s="146">
        <f>SUM(N718:N720)</f>
        <v>30239</v>
      </c>
      <c r="O721" s="146">
        <f>SUM(O718:O720)</f>
        <v>12286</v>
      </c>
      <c r="P721" s="146">
        <f>SUM(P718:P720)</f>
        <v>8298</v>
      </c>
      <c r="Q721" s="60">
        <f t="shared" si="101"/>
        <v>50823</v>
      </c>
      <c r="R721" s="59">
        <f t="shared" si="102"/>
        <v>272116</v>
      </c>
    </row>
    <row r="722" spans="1:18" ht="15.75" customHeight="1" thickBot="1" x14ac:dyDescent="0.35">
      <c r="A722" s="114" t="s">
        <v>72</v>
      </c>
      <c r="B722" s="86">
        <f>SUM(B714:B720)</f>
        <v>15737</v>
      </c>
      <c r="C722" s="87">
        <f>SUM(C714:C720)</f>
        <v>17981</v>
      </c>
      <c r="D722" s="118">
        <f>SUM(D714:D720)</f>
        <v>30100</v>
      </c>
      <c r="E722" s="147">
        <f t="shared" si="98"/>
        <v>63818</v>
      </c>
      <c r="F722" s="86">
        <f>SUM(F714:F720)</f>
        <v>28126</v>
      </c>
      <c r="G722" s="87">
        <f>SUM(G714:G720)</f>
        <v>27081</v>
      </c>
      <c r="H722" s="118">
        <f>SUM(H714:H720)</f>
        <v>29964</v>
      </c>
      <c r="I722" s="60">
        <f t="shared" si="99"/>
        <v>85171</v>
      </c>
      <c r="J722" s="86">
        <f>SUM(J714:J720)</f>
        <v>40150</v>
      </c>
      <c r="K722" s="87">
        <f>SUM(K714:K720)</f>
        <v>93193</v>
      </c>
      <c r="L722" s="118">
        <f>SUM(L714:L720)</f>
        <v>64890</v>
      </c>
      <c r="M722" s="60">
        <f t="shared" si="100"/>
        <v>198233</v>
      </c>
      <c r="N722" s="86">
        <f>SUM(N714:N720)</f>
        <v>44308</v>
      </c>
      <c r="O722" s="87">
        <f>SUM(O714:O720)</f>
        <v>24142</v>
      </c>
      <c r="P722" s="118">
        <f>SUM(P714:P720)</f>
        <v>31602</v>
      </c>
      <c r="Q722" s="60">
        <f t="shared" si="101"/>
        <v>100052</v>
      </c>
      <c r="R722" s="59">
        <f t="shared" si="102"/>
        <v>447274</v>
      </c>
    </row>
    <row r="723" spans="1:18" ht="15.75" customHeight="1" thickBot="1" x14ac:dyDescent="0.35">
      <c r="A723" s="57" t="s">
        <v>73</v>
      </c>
      <c r="B723" s="148">
        <f>+B703+B709+B713+B722</f>
        <v>64252</v>
      </c>
      <c r="C723" s="149">
        <f>+C703+C709+C713+C722</f>
        <v>66697</v>
      </c>
      <c r="D723" s="149">
        <f>+D703+D709+D713+D722</f>
        <v>139065</v>
      </c>
      <c r="E723" s="59">
        <f t="shared" si="98"/>
        <v>270014</v>
      </c>
      <c r="F723" s="58">
        <f>+F703+F709+F713+F722</f>
        <v>171027</v>
      </c>
      <c r="G723" s="58">
        <f>+G703+G709+G713+G722</f>
        <v>154487</v>
      </c>
      <c r="H723" s="58">
        <f>+H703+H709+H713+H722</f>
        <v>181099</v>
      </c>
      <c r="I723" s="59">
        <f t="shared" si="99"/>
        <v>506613</v>
      </c>
      <c r="J723" s="58">
        <f>+J703+J709+J713+J722</f>
        <v>167843</v>
      </c>
      <c r="K723" s="58">
        <f>+K703+K709+K713+K722</f>
        <v>192047</v>
      </c>
      <c r="L723" s="58">
        <f>+L703+L709+L713+L722</f>
        <v>142420</v>
      </c>
      <c r="M723" s="59">
        <f t="shared" si="100"/>
        <v>502310</v>
      </c>
      <c r="N723" s="58">
        <f>+N703+N709+N713+N722</f>
        <v>103812</v>
      </c>
      <c r="O723" s="58">
        <f>+O703+O709+O713+O722</f>
        <v>71171</v>
      </c>
      <c r="P723" s="58">
        <f>+P703+P709+P713+P722</f>
        <v>66662</v>
      </c>
      <c r="Q723" s="59">
        <f t="shared" si="101"/>
        <v>241645</v>
      </c>
      <c r="R723" s="81">
        <f t="shared" si="102"/>
        <v>1520582</v>
      </c>
    </row>
    <row r="724" spans="1:18" ht="15.75" customHeight="1" x14ac:dyDescent="0.35">
      <c r="A724" s="140"/>
      <c r="B724" s="140"/>
      <c r="C724" s="140"/>
      <c r="D724" s="140"/>
      <c r="E724" s="140"/>
      <c r="F724" s="140"/>
      <c r="G724" s="140"/>
      <c r="H724" s="140"/>
      <c r="I724" s="140"/>
      <c r="J724" s="140"/>
      <c r="K724" s="140"/>
      <c r="L724" s="140"/>
      <c r="M724" s="140"/>
      <c r="N724" s="140"/>
      <c r="O724" s="150"/>
      <c r="P724" s="140"/>
      <c r="Q724" s="140"/>
      <c r="R724" s="141"/>
    </row>
    <row r="725" spans="1:18" ht="15.75" customHeight="1" x14ac:dyDescent="0.35">
      <c r="A725" s="140"/>
      <c r="B725" s="140"/>
      <c r="C725" s="140"/>
      <c r="D725" s="140"/>
      <c r="E725" s="140"/>
      <c r="F725" s="140"/>
      <c r="G725" s="140"/>
      <c r="H725" s="140"/>
      <c r="I725" s="140"/>
      <c r="J725" s="140"/>
      <c r="K725" s="140"/>
      <c r="L725" s="140"/>
      <c r="M725" s="140"/>
      <c r="N725" s="140"/>
      <c r="O725" s="150"/>
      <c r="P725" s="140"/>
      <c r="Q725" s="141" t="str">
        <f>+Q1</f>
        <v>PRINTED:</v>
      </c>
      <c r="R725" s="142">
        <f ca="1">+R1</f>
        <v>44909.46975358796</v>
      </c>
    </row>
    <row r="726" spans="1:18" ht="15.75" customHeight="1" x14ac:dyDescent="0.35">
      <c r="A726" s="565" t="s">
        <v>1</v>
      </c>
      <c r="B726" s="565"/>
      <c r="C726" s="565"/>
      <c r="D726" s="565"/>
      <c r="E726" s="565"/>
      <c r="F726" s="565"/>
      <c r="G726" s="565"/>
      <c r="H726" s="565"/>
      <c r="I726" s="565"/>
      <c r="J726" s="565"/>
      <c r="K726" s="565"/>
      <c r="L726" s="565"/>
      <c r="M726" s="565"/>
      <c r="N726" s="565"/>
      <c r="O726" s="565"/>
      <c r="P726" s="565"/>
      <c r="Q726" s="565"/>
      <c r="R726" s="565"/>
    </row>
    <row r="727" spans="1:18" ht="15.75" customHeight="1" x14ac:dyDescent="0.35">
      <c r="A727" s="565" t="s">
        <v>2</v>
      </c>
      <c r="B727" s="565"/>
      <c r="C727" s="565"/>
      <c r="D727" s="565"/>
      <c r="E727" s="565"/>
      <c r="F727" s="565"/>
      <c r="G727" s="565"/>
      <c r="H727" s="565"/>
      <c r="I727" s="565"/>
      <c r="J727" s="565"/>
      <c r="K727" s="565"/>
      <c r="L727" s="565"/>
      <c r="M727" s="565"/>
      <c r="N727" s="565"/>
      <c r="O727" s="565"/>
      <c r="P727" s="565"/>
      <c r="Q727" s="565"/>
      <c r="R727" s="565"/>
    </row>
    <row r="728" spans="1:18" ht="15.75" customHeight="1" x14ac:dyDescent="0.35">
      <c r="A728" s="565" t="s">
        <v>3</v>
      </c>
      <c r="B728" s="565"/>
      <c r="C728" s="565"/>
      <c r="D728" s="565"/>
      <c r="E728" s="565"/>
      <c r="F728" s="565"/>
      <c r="G728" s="565"/>
      <c r="H728" s="565"/>
      <c r="I728" s="565"/>
      <c r="J728" s="565"/>
      <c r="K728" s="565"/>
      <c r="L728" s="565"/>
      <c r="M728" s="565"/>
      <c r="N728" s="565"/>
      <c r="O728" s="565"/>
      <c r="P728" s="565"/>
      <c r="Q728" s="565"/>
      <c r="R728" s="565"/>
    </row>
    <row r="729" spans="1:18" ht="15.75" customHeight="1" x14ac:dyDescent="0.35">
      <c r="A729" s="565" t="str">
        <f>+A5</f>
        <v>Calendar Year 2008</v>
      </c>
      <c r="B729" s="565"/>
      <c r="C729" s="565"/>
      <c r="D729" s="565"/>
      <c r="E729" s="565"/>
      <c r="F729" s="565"/>
      <c r="G729" s="565"/>
      <c r="H729" s="565"/>
      <c r="I729" s="565"/>
      <c r="J729" s="565"/>
      <c r="K729" s="565"/>
      <c r="L729" s="565"/>
      <c r="M729" s="565"/>
      <c r="N729" s="565"/>
      <c r="O729" s="565"/>
      <c r="P729" s="565"/>
      <c r="Q729" s="565"/>
      <c r="R729" s="565"/>
    </row>
    <row r="730" spans="1:18" ht="15.75" customHeight="1" x14ac:dyDescent="0.35">
      <c r="A730" s="140"/>
      <c r="B730" s="140"/>
      <c r="C730" s="140"/>
      <c r="D730" s="143"/>
      <c r="E730" s="143"/>
      <c r="F730" s="143"/>
      <c r="G730" s="144"/>
      <c r="H730" s="143"/>
      <c r="I730" s="143"/>
      <c r="J730" s="144"/>
      <c r="K730" s="144"/>
      <c r="L730" s="144"/>
      <c r="M730" s="144"/>
      <c r="N730" s="140"/>
      <c r="O730" s="144"/>
      <c r="P730" s="144"/>
      <c r="Q730" s="144"/>
      <c r="R730" s="144"/>
    </row>
    <row r="731" spans="1:18" ht="15.75" customHeight="1" x14ac:dyDescent="0.35">
      <c r="A731" s="565" t="str">
        <f>+A8</f>
        <v>Revised:  1/19/09</v>
      </c>
      <c r="B731" s="565"/>
      <c r="C731" s="565"/>
      <c r="D731" s="565"/>
      <c r="E731" s="565"/>
      <c r="F731" s="565"/>
      <c r="G731" s="565"/>
      <c r="H731" s="565"/>
      <c r="I731" s="565"/>
      <c r="J731" s="565"/>
      <c r="K731" s="565"/>
      <c r="L731" s="565"/>
      <c r="M731" s="565"/>
      <c r="N731" s="565"/>
      <c r="O731" s="565"/>
      <c r="P731" s="565"/>
      <c r="Q731" s="565"/>
      <c r="R731" s="565"/>
    </row>
    <row r="732" spans="1:18" ht="15.75" customHeight="1" x14ac:dyDescent="0.35">
      <c r="A732" s="145"/>
      <c r="B732" s="145"/>
      <c r="C732" s="145"/>
      <c r="D732" s="145"/>
      <c r="E732" s="145"/>
      <c r="F732" s="145"/>
      <c r="G732" s="145"/>
      <c r="H732" s="145"/>
      <c r="I732" s="145"/>
      <c r="J732" s="145"/>
      <c r="K732" s="145"/>
      <c r="L732" s="145"/>
      <c r="M732" s="145"/>
      <c r="N732" s="145"/>
      <c r="O732" s="145"/>
      <c r="P732" s="145"/>
      <c r="Q732" s="145"/>
      <c r="R732" s="145"/>
    </row>
    <row r="733" spans="1:18" ht="15.75" customHeight="1" x14ac:dyDescent="0.35">
      <c r="A733" s="139"/>
      <c r="B733" s="140"/>
      <c r="C733" s="140"/>
      <c r="D733" s="140"/>
      <c r="E733" s="140"/>
      <c r="F733" s="140"/>
      <c r="G733" s="140"/>
      <c r="H733" s="140"/>
      <c r="I733" s="140"/>
      <c r="J733" s="140"/>
      <c r="K733" s="140"/>
      <c r="L733" s="140"/>
      <c r="M733" s="140"/>
      <c r="N733" s="140"/>
      <c r="O733" s="140"/>
      <c r="P733" s="140"/>
      <c r="Q733" s="140"/>
      <c r="R733" s="141"/>
    </row>
    <row r="734" spans="1:18" ht="15.75" customHeight="1" thickBot="1" x14ac:dyDescent="0.4">
      <c r="A734" s="140"/>
      <c r="B734" s="140"/>
      <c r="C734" s="140"/>
      <c r="D734" s="140"/>
      <c r="E734" s="140"/>
      <c r="F734" s="140"/>
      <c r="G734" s="140"/>
      <c r="H734" s="140"/>
      <c r="I734" s="140"/>
      <c r="J734" s="140"/>
      <c r="K734" s="140"/>
      <c r="L734" s="140"/>
      <c r="M734" s="140"/>
      <c r="N734" s="140"/>
      <c r="O734" s="150"/>
      <c r="P734" s="140"/>
      <c r="Q734" s="140"/>
      <c r="R734" s="141"/>
    </row>
    <row r="735" spans="1:18" ht="15.75" customHeight="1" thickBot="1" x14ac:dyDescent="0.35">
      <c r="A735" s="107" t="s">
        <v>380</v>
      </c>
      <c r="B735" s="47" t="s">
        <v>8</v>
      </c>
      <c r="C735" s="48" t="s">
        <v>9</v>
      </c>
      <c r="D735" s="48" t="s">
        <v>10</v>
      </c>
      <c r="E735" s="32" t="s">
        <v>11</v>
      </c>
      <c r="F735" s="48" t="s">
        <v>12</v>
      </c>
      <c r="G735" s="48" t="s">
        <v>13</v>
      </c>
      <c r="H735" s="48" t="s">
        <v>14</v>
      </c>
      <c r="I735" s="32" t="s">
        <v>15</v>
      </c>
      <c r="J735" s="48" t="s">
        <v>16</v>
      </c>
      <c r="K735" s="48" t="s">
        <v>17</v>
      </c>
      <c r="L735" s="48" t="s">
        <v>18</v>
      </c>
      <c r="M735" s="32" t="s">
        <v>19</v>
      </c>
      <c r="N735" s="48" t="s">
        <v>20</v>
      </c>
      <c r="O735" s="48" t="s">
        <v>21</v>
      </c>
      <c r="P735" s="48" t="s">
        <v>22</v>
      </c>
      <c r="Q735" s="32" t="s">
        <v>23</v>
      </c>
      <c r="R735" s="151" t="s">
        <v>24</v>
      </c>
    </row>
    <row r="736" spans="1:18" ht="15.75" customHeight="1" thickBot="1" x14ac:dyDescent="0.35">
      <c r="A736" s="152"/>
      <c r="B736" s="153"/>
      <c r="C736" s="153"/>
      <c r="D736" s="153"/>
      <c r="E736" s="52"/>
      <c r="F736" s="153"/>
      <c r="G736" s="153"/>
      <c r="H736" s="153"/>
      <c r="I736" s="37"/>
      <c r="J736" s="153"/>
      <c r="K736" s="153"/>
      <c r="L736" s="153"/>
      <c r="M736" s="37"/>
      <c r="N736" s="153"/>
      <c r="O736" s="153"/>
      <c r="P736" s="153"/>
      <c r="Q736" s="127"/>
      <c r="R736" s="154"/>
    </row>
    <row r="737" spans="1:18" ht="15.75" customHeight="1" thickBot="1" x14ac:dyDescent="0.35">
      <c r="A737" s="155" t="s">
        <v>381</v>
      </c>
      <c r="B737" s="156">
        <f>+B703</f>
        <v>27048</v>
      </c>
      <c r="C737" s="156">
        <f>+C703</f>
        <v>24274</v>
      </c>
      <c r="D737" s="156">
        <f>+D703</f>
        <v>36398</v>
      </c>
      <c r="E737" s="86">
        <f>+SUM(B737:D737)</f>
        <v>87720</v>
      </c>
      <c r="F737" s="156">
        <f>+F703</f>
        <v>44624</v>
      </c>
      <c r="G737" s="156">
        <f>+G703</f>
        <v>40421</v>
      </c>
      <c r="H737" s="156">
        <f>+H703</f>
        <v>64195</v>
      </c>
      <c r="I737" s="86">
        <f>+SUM(F737:H737)</f>
        <v>149240</v>
      </c>
      <c r="J737" s="156">
        <f>+J703</f>
        <v>56920</v>
      </c>
      <c r="K737" s="156">
        <f>+K703</f>
        <v>49341</v>
      </c>
      <c r="L737" s="156">
        <f>+L703</f>
        <v>48545</v>
      </c>
      <c r="M737" s="86">
        <f>+SUM(J737:L737)</f>
        <v>154806</v>
      </c>
      <c r="N737" s="156">
        <f>+N703</f>
        <v>44011</v>
      </c>
      <c r="O737" s="156">
        <f>+O703</f>
        <v>38749</v>
      </c>
      <c r="P737" s="156">
        <f>+P703</f>
        <v>28362</v>
      </c>
      <c r="Q737" s="86">
        <f>+SUM(N737:P737)</f>
        <v>111122</v>
      </c>
      <c r="R737" s="59">
        <f>+E737+I737+M737+Q737</f>
        <v>502888</v>
      </c>
    </row>
    <row r="738" spans="1:18" ht="15.75" customHeight="1" thickBot="1" x14ac:dyDescent="0.35">
      <c r="A738" s="33"/>
      <c r="B738" s="86"/>
      <c r="C738" s="86"/>
      <c r="D738" s="86"/>
      <c r="E738" s="86"/>
      <c r="F738" s="86"/>
      <c r="G738" s="86"/>
      <c r="H738" s="86"/>
      <c r="I738" s="86"/>
      <c r="J738" s="86"/>
      <c r="K738" s="86"/>
      <c r="L738" s="86"/>
      <c r="M738" s="86"/>
      <c r="N738" s="86"/>
      <c r="O738" s="86"/>
      <c r="P738" s="86"/>
      <c r="Q738" s="86"/>
      <c r="R738" s="59"/>
    </row>
    <row r="739" spans="1:18" ht="15.75" customHeight="1" thickBot="1" x14ac:dyDescent="0.35">
      <c r="A739" s="155" t="s">
        <v>382</v>
      </c>
      <c r="B739" s="156">
        <f>+B709</f>
        <v>6492</v>
      </c>
      <c r="C739" s="156">
        <f>+C709</f>
        <v>12723</v>
      </c>
      <c r="D739" s="156">
        <f>+D709</f>
        <v>46187</v>
      </c>
      <c r="E739" s="86">
        <f>+SUM(B739:D739)</f>
        <v>65402</v>
      </c>
      <c r="F739" s="156">
        <f>+F709</f>
        <v>67844</v>
      </c>
      <c r="G739" s="156">
        <f>+G709</f>
        <v>53705</v>
      </c>
      <c r="H739" s="156">
        <f>+H709</f>
        <v>68268</v>
      </c>
      <c r="I739" s="86">
        <f>+SUM(F739:H739)</f>
        <v>189817</v>
      </c>
      <c r="J739" s="156">
        <f>+J709</f>
        <v>55702</v>
      </c>
      <c r="K739" s="156">
        <f>+K709</f>
        <v>34708</v>
      </c>
      <c r="L739" s="156">
        <f>+L709</f>
        <v>17993</v>
      </c>
      <c r="M739" s="86">
        <f>+SUM(J739:L739)</f>
        <v>108403</v>
      </c>
      <c r="N739" s="156">
        <f>+N709</f>
        <v>6463</v>
      </c>
      <c r="O739" s="156">
        <f>+O709</f>
        <v>3860</v>
      </c>
      <c r="P739" s="156">
        <f>+P709</f>
        <v>4139</v>
      </c>
      <c r="Q739" s="86">
        <f>+SUM(N739:P739)</f>
        <v>14462</v>
      </c>
      <c r="R739" s="59">
        <f>+E739+I739+M739+Q739</f>
        <v>378084</v>
      </c>
    </row>
    <row r="740" spans="1:18" ht="15.75" customHeight="1" thickBot="1" x14ac:dyDescent="0.35">
      <c r="A740" s="33"/>
      <c r="B740" s="86"/>
      <c r="C740" s="86"/>
      <c r="D740" s="86"/>
      <c r="E740" s="86"/>
      <c r="F740" s="86"/>
      <c r="G740" s="86"/>
      <c r="H740" s="86"/>
      <c r="I740" s="86"/>
      <c r="J740" s="86"/>
      <c r="K740" s="86"/>
      <c r="L740" s="86"/>
      <c r="M740" s="86"/>
      <c r="N740" s="86"/>
      <c r="O740" s="86"/>
      <c r="P740" s="86"/>
      <c r="Q740" s="86"/>
      <c r="R740" s="59"/>
    </row>
    <row r="741" spans="1:18" ht="15.75" customHeight="1" thickBot="1" x14ac:dyDescent="0.35">
      <c r="A741" s="155" t="s">
        <v>383</v>
      </c>
      <c r="B741" s="156">
        <f>+B713</f>
        <v>14975</v>
      </c>
      <c r="C741" s="156">
        <f>+C713</f>
        <v>11719</v>
      </c>
      <c r="D741" s="156">
        <f>+D713</f>
        <v>26380</v>
      </c>
      <c r="E741" s="86">
        <f>+SUM(B741:D741)</f>
        <v>53074</v>
      </c>
      <c r="F741" s="156">
        <f>+F713</f>
        <v>30433</v>
      </c>
      <c r="G741" s="156">
        <f>+G713</f>
        <v>33280</v>
      </c>
      <c r="H741" s="156">
        <f>+H713</f>
        <v>18672</v>
      </c>
      <c r="I741" s="86">
        <f>+SUM(F741:H741)</f>
        <v>82385</v>
      </c>
      <c r="J741" s="156">
        <f>+J713</f>
        <v>15071</v>
      </c>
      <c r="K741" s="156">
        <f>+K713</f>
        <v>14805</v>
      </c>
      <c r="L741" s="156">
        <f>+L713</f>
        <v>10992</v>
      </c>
      <c r="M741" s="86">
        <f>+SUM(J741:L741)</f>
        <v>40868</v>
      </c>
      <c r="N741" s="156">
        <f>+N713</f>
        <v>9030</v>
      </c>
      <c r="O741" s="156">
        <f>+O713</f>
        <v>4420</v>
      </c>
      <c r="P741" s="156">
        <f>+P713</f>
        <v>2559</v>
      </c>
      <c r="Q741" s="86">
        <f>+SUM(N741:P741)</f>
        <v>16009</v>
      </c>
      <c r="R741" s="59">
        <f>+E741+I741+M741+Q741</f>
        <v>192336</v>
      </c>
    </row>
    <row r="742" spans="1:18" ht="15.75" customHeight="1" thickBot="1" x14ac:dyDescent="0.35">
      <c r="A742" s="33"/>
      <c r="B742" s="86"/>
      <c r="C742" s="86"/>
      <c r="D742" s="86"/>
      <c r="E742" s="86"/>
      <c r="F742" s="86"/>
      <c r="G742" s="86"/>
      <c r="H742" s="86"/>
      <c r="I742" s="86"/>
      <c r="J742" s="86"/>
      <c r="K742" s="86"/>
      <c r="L742" s="86"/>
      <c r="M742" s="86"/>
      <c r="N742" s="86"/>
      <c r="O742" s="86"/>
      <c r="P742" s="86"/>
      <c r="Q742" s="86"/>
      <c r="R742" s="59"/>
    </row>
    <row r="743" spans="1:18" ht="15.75" customHeight="1" thickBot="1" x14ac:dyDescent="0.35">
      <c r="A743" s="155" t="s">
        <v>384</v>
      </c>
      <c r="B743" s="156">
        <f>+B722</f>
        <v>15737</v>
      </c>
      <c r="C743" s="156">
        <f>+C722</f>
        <v>17981</v>
      </c>
      <c r="D743" s="156">
        <f>+D722</f>
        <v>30100</v>
      </c>
      <c r="E743" s="86">
        <f>+SUM(B743:D743)</f>
        <v>63818</v>
      </c>
      <c r="F743" s="156">
        <f>+F722</f>
        <v>28126</v>
      </c>
      <c r="G743" s="156">
        <f>+G722</f>
        <v>27081</v>
      </c>
      <c r="H743" s="156">
        <f>+H722</f>
        <v>29964</v>
      </c>
      <c r="I743" s="86">
        <f>+SUM(F743:H743)</f>
        <v>85171</v>
      </c>
      <c r="J743" s="156">
        <f>+J722</f>
        <v>40150</v>
      </c>
      <c r="K743" s="156">
        <f>+K722</f>
        <v>93193</v>
      </c>
      <c r="L743" s="156">
        <f>+L722</f>
        <v>64890</v>
      </c>
      <c r="M743" s="86">
        <f>+SUM(J743:L743)</f>
        <v>198233</v>
      </c>
      <c r="N743" s="156">
        <f>+N722</f>
        <v>44308</v>
      </c>
      <c r="O743" s="156">
        <f>+O722</f>
        <v>24142</v>
      </c>
      <c r="P743" s="156">
        <f>+P722</f>
        <v>31602</v>
      </c>
      <c r="Q743" s="86">
        <f>+SUM(N743:P743)</f>
        <v>100052</v>
      </c>
      <c r="R743" s="59">
        <f>+E743+I743+M743+Q743</f>
        <v>447274</v>
      </c>
    </row>
    <row r="744" spans="1:18" ht="15.75" customHeight="1" thickBot="1" x14ac:dyDescent="0.35">
      <c r="A744" s="33"/>
      <c r="B744" s="86"/>
      <c r="C744" s="86"/>
      <c r="D744" s="86"/>
      <c r="E744" s="86"/>
      <c r="F744" s="86"/>
      <c r="G744" s="86"/>
      <c r="H744" s="86"/>
      <c r="I744" s="86"/>
      <c r="J744" s="86"/>
      <c r="K744" s="86"/>
      <c r="L744" s="86"/>
      <c r="M744" s="86"/>
      <c r="N744" s="86"/>
      <c r="O744" s="86"/>
      <c r="P744" s="86"/>
      <c r="Q744" s="86"/>
      <c r="R744" s="59"/>
    </row>
    <row r="745" spans="1:18" ht="15.75" customHeight="1" thickBot="1" x14ac:dyDescent="0.35">
      <c r="A745" s="33" t="s">
        <v>385</v>
      </c>
      <c r="B745" s="90">
        <f t="shared" ref="B745:R745" si="103">+SUM(B737:B743)</f>
        <v>64252</v>
      </c>
      <c r="C745" s="90">
        <f t="shared" si="103"/>
        <v>66697</v>
      </c>
      <c r="D745" s="90">
        <f t="shared" si="103"/>
        <v>139065</v>
      </c>
      <c r="E745" s="90">
        <f t="shared" si="103"/>
        <v>270014</v>
      </c>
      <c r="F745" s="90">
        <f t="shared" si="103"/>
        <v>171027</v>
      </c>
      <c r="G745" s="90">
        <f t="shared" si="103"/>
        <v>154487</v>
      </c>
      <c r="H745" s="90">
        <f t="shared" si="103"/>
        <v>181099</v>
      </c>
      <c r="I745" s="90">
        <f t="shared" si="103"/>
        <v>506613</v>
      </c>
      <c r="J745" s="90">
        <f t="shared" si="103"/>
        <v>167843</v>
      </c>
      <c r="K745" s="90">
        <f t="shared" si="103"/>
        <v>192047</v>
      </c>
      <c r="L745" s="90">
        <f t="shared" si="103"/>
        <v>142420</v>
      </c>
      <c r="M745" s="90">
        <f t="shared" si="103"/>
        <v>502310</v>
      </c>
      <c r="N745" s="90">
        <f t="shared" si="103"/>
        <v>103812</v>
      </c>
      <c r="O745" s="90">
        <f t="shared" si="103"/>
        <v>71171</v>
      </c>
      <c r="P745" s="90">
        <f t="shared" si="103"/>
        <v>66662</v>
      </c>
      <c r="Q745" s="90">
        <f t="shared" si="103"/>
        <v>241645</v>
      </c>
      <c r="R745" s="157">
        <f t="shared" si="103"/>
        <v>1520582</v>
      </c>
    </row>
    <row r="746" spans="1:18" ht="15.75" customHeight="1" x14ac:dyDescent="0.35">
      <c r="A746" s="145"/>
      <c r="B746" s="158"/>
      <c r="C746" s="158"/>
      <c r="D746" s="158"/>
      <c r="E746" s="158"/>
      <c r="F746" s="158"/>
      <c r="G746" s="158"/>
      <c r="H746" s="158"/>
      <c r="I746" s="158"/>
      <c r="J746" s="158"/>
      <c r="K746" s="158"/>
      <c r="L746" s="158"/>
      <c r="M746" s="158"/>
      <c r="N746" s="158"/>
      <c r="O746" s="158"/>
      <c r="P746" s="158"/>
      <c r="Q746" s="158"/>
      <c r="R746" s="158"/>
    </row>
    <row r="747" spans="1:18" ht="15.75" customHeight="1" x14ac:dyDescent="0.3">
      <c r="A747" s="159"/>
      <c r="B747" s="159"/>
      <c r="C747" s="160" t="s">
        <v>386</v>
      </c>
      <c r="D747" s="159"/>
      <c r="E747" s="159"/>
      <c r="F747" s="159"/>
      <c r="G747" s="159"/>
      <c r="H747" s="159"/>
      <c r="I747" s="159"/>
      <c r="J747" s="159"/>
      <c r="K747" s="159"/>
      <c r="L747" s="159"/>
      <c r="M747" s="159"/>
      <c r="N747" s="159"/>
      <c r="O747" s="159"/>
      <c r="P747" s="159"/>
      <c r="Q747" s="161" t="str">
        <f>+Q1</f>
        <v>PRINTED:</v>
      </c>
      <c r="R747" s="162">
        <f ca="1">+R1</f>
        <v>44909.46975358796</v>
      </c>
    </row>
    <row r="748" spans="1:18" ht="15.75" customHeight="1" x14ac:dyDescent="0.3">
      <c r="A748" s="159"/>
      <c r="B748" s="159"/>
      <c r="C748" s="159"/>
      <c r="D748" s="159"/>
      <c r="E748" s="159" t="s">
        <v>7</v>
      </c>
      <c r="F748" s="163" t="str">
        <f>+A8</f>
        <v>Revised:  1/19/09</v>
      </c>
      <c r="G748" s="159"/>
      <c r="H748" s="159"/>
      <c r="I748" s="159"/>
      <c r="J748" s="159"/>
      <c r="K748" s="159"/>
      <c r="L748" s="159"/>
      <c r="M748" s="159"/>
      <c r="N748" s="159"/>
      <c r="O748" s="159"/>
      <c r="P748" s="159"/>
      <c r="Q748" s="159"/>
      <c r="R748" s="159"/>
    </row>
    <row r="749" spans="1:18" ht="15.75" customHeight="1" x14ac:dyDescent="0.3">
      <c r="A749" s="159"/>
      <c r="B749" s="159"/>
      <c r="C749" s="159"/>
      <c r="D749" s="159" t="s">
        <v>387</v>
      </c>
      <c r="E749" s="159"/>
      <c r="F749" s="159"/>
      <c r="G749" s="159"/>
      <c r="H749" s="159"/>
      <c r="I749" s="159"/>
      <c r="J749" s="159"/>
      <c r="K749" s="159"/>
      <c r="L749" s="159"/>
      <c r="M749" s="159"/>
      <c r="N749" s="159"/>
      <c r="O749" s="159"/>
      <c r="P749" s="159"/>
      <c r="Q749" s="159"/>
      <c r="R749" s="159"/>
    </row>
    <row r="750" spans="1:18" ht="15.75" customHeight="1" x14ac:dyDescent="0.3">
      <c r="A750" s="159"/>
      <c r="B750" s="159"/>
      <c r="C750" s="159"/>
      <c r="D750" s="159"/>
      <c r="E750" s="159"/>
      <c r="F750" s="159"/>
      <c r="G750" s="159"/>
      <c r="H750" s="159"/>
      <c r="I750" s="159"/>
      <c r="J750" s="159"/>
      <c r="K750" s="159"/>
      <c r="L750" s="159"/>
      <c r="M750" s="159"/>
      <c r="N750" s="159"/>
      <c r="O750" s="159"/>
      <c r="P750" s="159"/>
      <c r="Q750" s="159"/>
      <c r="R750" s="159"/>
    </row>
    <row r="751" spans="1:18" ht="15.75" customHeight="1" x14ac:dyDescent="0.3">
      <c r="A751" s="159"/>
      <c r="B751" s="159"/>
      <c r="C751" s="159"/>
      <c r="D751" s="159"/>
      <c r="E751" s="159" t="str">
        <f>+A5</f>
        <v>Calendar Year 2008</v>
      </c>
      <c r="F751" s="159"/>
      <c r="G751" s="159"/>
      <c r="H751" s="159"/>
      <c r="I751" s="159"/>
      <c r="J751" s="159"/>
      <c r="K751" s="159"/>
      <c r="L751" s="159"/>
      <c r="M751" s="159"/>
      <c r="N751" s="159"/>
      <c r="O751" s="159"/>
      <c r="P751" s="159"/>
      <c r="Q751" s="159"/>
      <c r="R751" s="159"/>
    </row>
    <row r="752" spans="1:18" ht="15.75" customHeight="1" x14ac:dyDescent="0.3">
      <c r="A752" s="159"/>
      <c r="B752" s="159"/>
      <c r="C752" s="159"/>
      <c r="D752" s="159"/>
      <c r="E752" s="159" t="s">
        <v>388</v>
      </c>
      <c r="F752" s="159"/>
      <c r="G752" s="159"/>
      <c r="H752" s="159"/>
      <c r="I752" s="159"/>
      <c r="J752" s="159"/>
      <c r="K752" s="159"/>
      <c r="L752" s="159"/>
      <c r="M752" s="159"/>
      <c r="N752" s="159"/>
      <c r="O752" s="159"/>
      <c r="P752" s="159"/>
      <c r="Q752" s="159"/>
      <c r="R752" s="159"/>
    </row>
    <row r="753" spans="1:18" ht="15.75" customHeight="1" x14ac:dyDescent="0.3">
      <c r="A753" s="159"/>
      <c r="B753" s="159"/>
      <c r="C753" s="159"/>
      <c r="D753" s="159"/>
      <c r="E753" s="159"/>
      <c r="F753" s="159"/>
      <c r="G753" s="159"/>
      <c r="H753" s="159"/>
      <c r="I753" s="159"/>
      <c r="J753" s="159"/>
      <c r="K753" s="159"/>
      <c r="L753" s="159"/>
      <c r="M753" s="159"/>
      <c r="N753" s="159"/>
      <c r="O753" s="159"/>
      <c r="P753" s="159"/>
      <c r="Q753" s="159"/>
      <c r="R753" s="159"/>
    </row>
    <row r="754" spans="1:18" ht="15.75" customHeight="1" x14ac:dyDescent="0.3">
      <c r="A754" s="159" t="s">
        <v>389</v>
      </c>
      <c r="B754" s="164" t="s">
        <v>390</v>
      </c>
      <c r="C754" s="164" t="s">
        <v>391</v>
      </c>
      <c r="D754" s="164" t="s">
        <v>392</v>
      </c>
      <c r="E754" s="164" t="s">
        <v>393</v>
      </c>
      <c r="F754" s="164" t="s">
        <v>394</v>
      </c>
      <c r="G754" s="164" t="s">
        <v>394</v>
      </c>
      <c r="H754" s="164" t="s">
        <v>395</v>
      </c>
      <c r="I754" s="164" t="s">
        <v>396</v>
      </c>
      <c r="J754" s="164" t="s">
        <v>397</v>
      </c>
      <c r="K754" s="164" t="s">
        <v>398</v>
      </c>
      <c r="L754" s="164" t="s">
        <v>399</v>
      </c>
      <c r="M754" s="164" t="s">
        <v>400</v>
      </c>
      <c r="N754" s="164" t="s">
        <v>401</v>
      </c>
      <c r="O754" s="164" t="s">
        <v>402</v>
      </c>
      <c r="P754" s="164" t="s">
        <v>403</v>
      </c>
      <c r="Q754" s="164" t="s">
        <v>404</v>
      </c>
      <c r="R754" s="159"/>
    </row>
    <row r="755" spans="1:18" ht="15.75" customHeight="1" x14ac:dyDescent="0.3">
      <c r="A755" s="159" t="s">
        <v>405</v>
      </c>
      <c r="B755" s="159"/>
      <c r="C755" s="159"/>
      <c r="D755" s="159"/>
      <c r="E755" s="159"/>
      <c r="F755" s="164" t="s">
        <v>406</v>
      </c>
      <c r="G755" s="164" t="s">
        <v>407</v>
      </c>
      <c r="H755" s="159"/>
      <c r="I755" s="159"/>
      <c r="J755" s="159"/>
      <c r="K755" s="159"/>
      <c r="L755" s="159"/>
      <c r="M755" s="159"/>
      <c r="N755" s="159"/>
      <c r="O755" s="159"/>
      <c r="P755" s="159"/>
      <c r="Q755" s="159"/>
      <c r="R755" s="159"/>
    </row>
    <row r="756" spans="1:18" ht="15.75" customHeight="1" x14ac:dyDescent="0.3">
      <c r="A756" s="159" t="s">
        <v>408</v>
      </c>
      <c r="B756" s="159">
        <v>953</v>
      </c>
      <c r="C756" s="159">
        <v>128</v>
      </c>
      <c r="D756" s="159">
        <v>128</v>
      </c>
      <c r="E756" s="159">
        <v>219</v>
      </c>
      <c r="F756" s="159">
        <v>179</v>
      </c>
      <c r="G756" s="159">
        <v>121</v>
      </c>
      <c r="H756" s="159">
        <v>92</v>
      </c>
      <c r="I756" s="159">
        <v>150</v>
      </c>
      <c r="J756" s="159">
        <v>237</v>
      </c>
      <c r="K756" s="159">
        <v>226</v>
      </c>
      <c r="L756" s="159">
        <v>99</v>
      </c>
      <c r="M756" s="159">
        <v>102</v>
      </c>
      <c r="N756" s="159">
        <v>249</v>
      </c>
      <c r="O756" s="159">
        <v>189</v>
      </c>
      <c r="P756" s="159">
        <v>333</v>
      </c>
      <c r="Q756" s="159">
        <v>411</v>
      </c>
      <c r="R756" s="159"/>
    </row>
    <row r="757" spans="1:18" ht="15.75" customHeight="1" x14ac:dyDescent="0.3">
      <c r="A757" s="159"/>
      <c r="B757" s="159" t="s">
        <v>409</v>
      </c>
      <c r="C757" s="159" t="s">
        <v>409</v>
      </c>
      <c r="D757" s="159" t="s">
        <v>409</v>
      </c>
      <c r="E757" s="159" t="s">
        <v>409</v>
      </c>
      <c r="F757" s="159" t="s">
        <v>409</v>
      </c>
      <c r="G757" s="159" t="s">
        <v>409</v>
      </c>
      <c r="H757" s="159" t="s">
        <v>409</v>
      </c>
      <c r="I757" s="159" t="s">
        <v>409</v>
      </c>
      <c r="J757" s="159" t="s">
        <v>409</v>
      </c>
      <c r="K757" s="159" t="s">
        <v>409</v>
      </c>
      <c r="L757" s="159" t="s">
        <v>409</v>
      </c>
      <c r="M757" s="159" t="s">
        <v>409</v>
      </c>
      <c r="N757" s="159" t="s">
        <v>409</v>
      </c>
      <c r="O757" s="159" t="s">
        <v>409</v>
      </c>
      <c r="P757" s="159" t="s">
        <v>409</v>
      </c>
      <c r="Q757" s="159" t="s">
        <v>409</v>
      </c>
      <c r="R757" s="159"/>
    </row>
    <row r="758" spans="1:18" ht="15.75" customHeight="1" x14ac:dyDescent="0.3">
      <c r="A758" s="164" t="s">
        <v>410</v>
      </c>
      <c r="B758" s="159">
        <f>+B32</f>
        <v>164640</v>
      </c>
      <c r="C758" s="159">
        <f>+B67</f>
        <v>164543</v>
      </c>
      <c r="D758" s="159">
        <f>+B133</f>
        <v>164447</v>
      </c>
      <c r="E758" s="159">
        <f>+B256</f>
        <v>149022</v>
      </c>
      <c r="F758" s="159">
        <f>+B251</f>
        <v>99649</v>
      </c>
      <c r="G758" s="159">
        <f>+B263</f>
        <v>0</v>
      </c>
      <c r="H758" s="159">
        <f>+B377</f>
        <v>28959</v>
      </c>
      <c r="I758" s="159">
        <f>+B422</f>
        <v>15237</v>
      </c>
      <c r="J758" s="159">
        <f>+B463</f>
        <v>14836</v>
      </c>
      <c r="K758" s="159">
        <f>+B511</f>
        <v>13698</v>
      </c>
      <c r="L758" s="159">
        <f>+B521</f>
        <v>9014</v>
      </c>
      <c r="M758" s="159">
        <f>+B556</f>
        <v>8994</v>
      </c>
      <c r="N758" s="159">
        <f>+B595</f>
        <v>8525</v>
      </c>
      <c r="O758" s="159">
        <f>+B605</f>
        <v>505</v>
      </c>
      <c r="P758" s="159">
        <f>+B639</f>
        <v>2009</v>
      </c>
      <c r="Q758" s="159">
        <f>+B681</f>
        <v>461</v>
      </c>
      <c r="R758" s="159"/>
    </row>
    <row r="759" spans="1:18" ht="15.75" customHeight="1" x14ac:dyDescent="0.3">
      <c r="A759" s="164" t="s">
        <v>411</v>
      </c>
      <c r="B759" s="159">
        <f>+C32</f>
        <v>157726</v>
      </c>
      <c r="C759" s="159">
        <f>+C67</f>
        <v>157578</v>
      </c>
      <c r="D759" s="159">
        <f>+C133</f>
        <v>157433</v>
      </c>
      <c r="E759" s="159">
        <f>+C256</f>
        <v>141844</v>
      </c>
      <c r="F759" s="159">
        <f>+C251</f>
        <v>88679</v>
      </c>
      <c r="G759" s="159">
        <f>+C263</f>
        <v>0</v>
      </c>
      <c r="H759" s="159">
        <f>+C377</f>
        <v>34075</v>
      </c>
      <c r="I759" s="159">
        <f>+C422</f>
        <v>14781</v>
      </c>
      <c r="J759" s="159">
        <f>+C463</f>
        <v>13038</v>
      </c>
      <c r="K759" s="159">
        <f>+C511</f>
        <v>10983</v>
      </c>
      <c r="L759" s="159">
        <f>+C521</f>
        <v>8672</v>
      </c>
      <c r="M759" s="159">
        <f>+C556</f>
        <v>8650</v>
      </c>
      <c r="N759" s="159">
        <f>+C595</f>
        <v>8128</v>
      </c>
      <c r="O759" s="159">
        <f>+C605</f>
        <v>945</v>
      </c>
      <c r="P759" s="159">
        <f>+C639</f>
        <v>4726</v>
      </c>
      <c r="Q759" s="159">
        <f>+C681</f>
        <v>925</v>
      </c>
      <c r="R759" s="159"/>
    </row>
    <row r="760" spans="1:18" ht="15.75" customHeight="1" x14ac:dyDescent="0.3">
      <c r="A760" s="164" t="s">
        <v>412</v>
      </c>
      <c r="B760" s="159">
        <f>+D32</f>
        <v>168421</v>
      </c>
      <c r="C760" s="159">
        <f>+D67</f>
        <v>168147</v>
      </c>
      <c r="D760" s="159">
        <f>+D133</f>
        <v>167886</v>
      </c>
      <c r="E760" s="159">
        <f>+D256</f>
        <v>145507</v>
      </c>
      <c r="F760" s="159">
        <f>+D251</f>
        <v>23780</v>
      </c>
      <c r="G760" s="159">
        <f>+D263</f>
        <v>-81</v>
      </c>
      <c r="H760" s="159">
        <f>+D377</f>
        <v>92708</v>
      </c>
      <c r="I760" s="159">
        <f>+D422</f>
        <v>30302</v>
      </c>
      <c r="J760" s="159">
        <f>+D463</f>
        <v>23486</v>
      </c>
      <c r="K760" s="159">
        <f>+D511</f>
        <v>18337</v>
      </c>
      <c r="L760" s="159">
        <f>+D521</f>
        <v>12840</v>
      </c>
      <c r="M760" s="159">
        <f>+D556</f>
        <v>12812</v>
      </c>
      <c r="N760" s="159">
        <f>+D595</f>
        <v>11989</v>
      </c>
      <c r="O760" s="159">
        <f>+D605</f>
        <v>2263</v>
      </c>
      <c r="P760" s="159">
        <f>+D639</f>
        <v>5135</v>
      </c>
      <c r="Q760" s="159">
        <f>+D681</f>
        <v>2202</v>
      </c>
      <c r="R760" s="159"/>
    </row>
    <row r="761" spans="1:18" ht="15.75" customHeight="1" x14ac:dyDescent="0.3">
      <c r="A761" s="164" t="s">
        <v>413</v>
      </c>
      <c r="B761" s="159">
        <f>+F32</f>
        <v>165960</v>
      </c>
      <c r="C761" s="159">
        <f>+F67</f>
        <v>165593</v>
      </c>
      <c r="D761" s="159">
        <f>+F133</f>
        <v>165243</v>
      </c>
      <c r="E761" s="159">
        <f>+F256</f>
        <v>143209</v>
      </c>
      <c r="F761" s="159">
        <f>+F251</f>
        <v>0</v>
      </c>
      <c r="G761" s="159">
        <f>+F263</f>
        <v>-11920</v>
      </c>
      <c r="H761" s="159">
        <f>+F377</f>
        <v>118371</v>
      </c>
      <c r="I761" s="159">
        <f>+F422</f>
        <v>45011</v>
      </c>
      <c r="J761" s="159">
        <f>+F463</f>
        <v>31535</v>
      </c>
      <c r="K761" s="159">
        <f>+F511</f>
        <v>23838</v>
      </c>
      <c r="L761" s="159">
        <f>+F521</f>
        <v>14592</v>
      </c>
      <c r="M761" s="159">
        <f>+F556</f>
        <v>14555</v>
      </c>
      <c r="N761" s="159">
        <f>+F595</f>
        <v>13538</v>
      </c>
      <c r="O761" s="159">
        <f>+F605</f>
        <v>3178</v>
      </c>
      <c r="P761" s="159">
        <f>+F639</f>
        <v>5025</v>
      </c>
      <c r="Q761" s="159">
        <f>+F681</f>
        <v>3085</v>
      </c>
      <c r="R761" s="159"/>
    </row>
    <row r="762" spans="1:18" ht="15.75" customHeight="1" x14ac:dyDescent="0.3">
      <c r="A762" s="164" t="s">
        <v>414</v>
      </c>
      <c r="B762" s="159">
        <f>+G32</f>
        <v>171988</v>
      </c>
      <c r="C762" s="159">
        <f>+G67</f>
        <v>171563</v>
      </c>
      <c r="D762" s="159">
        <f>+G133</f>
        <v>171161</v>
      </c>
      <c r="E762" s="159">
        <f>+G256</f>
        <v>149783</v>
      </c>
      <c r="F762" s="159">
        <f>+G251</f>
        <v>18160</v>
      </c>
      <c r="G762" s="159">
        <f>+G263</f>
        <v>-8248</v>
      </c>
      <c r="H762" s="159">
        <f>+G377</f>
        <v>102228</v>
      </c>
      <c r="I762" s="159">
        <f>+G422</f>
        <v>36248</v>
      </c>
      <c r="J762" s="159">
        <f>+G463</f>
        <v>27408</v>
      </c>
      <c r="K762" s="159">
        <f>+G511</f>
        <v>22509</v>
      </c>
      <c r="L762" s="159">
        <f>+G521</f>
        <v>15372</v>
      </c>
      <c r="M762" s="159">
        <f>+G556</f>
        <v>15330</v>
      </c>
      <c r="N762" s="159">
        <f>+G595</f>
        <v>15060</v>
      </c>
      <c r="O762" s="159">
        <f>+G605</f>
        <v>3550</v>
      </c>
      <c r="P762" s="159">
        <f>+G639</f>
        <v>5303</v>
      </c>
      <c r="Q762" s="159">
        <f>+G681</f>
        <v>3500</v>
      </c>
      <c r="R762" s="159"/>
    </row>
    <row r="763" spans="1:18" ht="15.75" customHeight="1" x14ac:dyDescent="0.3">
      <c r="A763" s="164" t="s">
        <v>415</v>
      </c>
      <c r="B763" s="159">
        <f>+H32</f>
        <v>128502</v>
      </c>
      <c r="C763" s="159">
        <f>+H67</f>
        <v>128085</v>
      </c>
      <c r="D763" s="159">
        <f>+H133</f>
        <v>127689</v>
      </c>
      <c r="E763" s="159">
        <f>+H256</f>
        <v>111347</v>
      </c>
      <c r="F763" s="159">
        <f>+H251</f>
        <v>769</v>
      </c>
      <c r="G763" s="159">
        <f>+H263</f>
        <v>-60264</v>
      </c>
      <c r="H763" s="159">
        <f>+H377</f>
        <v>130453</v>
      </c>
      <c r="I763" s="159">
        <f>+H422</f>
        <v>42549</v>
      </c>
      <c r="J763" s="159">
        <f>+H463</f>
        <v>25547</v>
      </c>
      <c r="K763" s="159">
        <f>+H511</f>
        <v>20708</v>
      </c>
      <c r="L763" s="159">
        <f>+H521</f>
        <v>14302</v>
      </c>
      <c r="M763" s="159">
        <f>+H556</f>
        <v>14258</v>
      </c>
      <c r="N763" s="159">
        <f>+H595</f>
        <v>14171</v>
      </c>
      <c r="O763" s="159">
        <f>+H605</f>
        <v>2884</v>
      </c>
      <c r="P763" s="159">
        <f>+H639</f>
        <v>5215</v>
      </c>
      <c r="Q763" s="159">
        <f>+H681</f>
        <v>2864</v>
      </c>
      <c r="R763" s="159"/>
    </row>
    <row r="764" spans="1:18" ht="15.75" customHeight="1" x14ac:dyDescent="0.3">
      <c r="A764" s="164" t="s">
        <v>416</v>
      </c>
      <c r="B764" s="159">
        <f>+J32</f>
        <v>80929</v>
      </c>
      <c r="C764" s="159">
        <f>+J67</f>
        <v>80513</v>
      </c>
      <c r="D764" s="159">
        <f>+J133</f>
        <v>80119</v>
      </c>
      <c r="E764" s="159">
        <f>+J256</f>
        <v>72547</v>
      </c>
      <c r="F764" s="159">
        <f>+J251</f>
        <v>0</v>
      </c>
      <c r="G764" s="159">
        <f>+J263</f>
        <v>-92679</v>
      </c>
      <c r="H764" s="159">
        <f>+J377</f>
        <v>121422</v>
      </c>
      <c r="I764" s="159">
        <f>+J422</f>
        <v>48801</v>
      </c>
      <c r="J764" s="159">
        <f>+J463</f>
        <v>29500</v>
      </c>
      <c r="K764" s="159">
        <f>+J511</f>
        <v>21986</v>
      </c>
      <c r="L764" s="159">
        <f>+J521</f>
        <v>15041</v>
      </c>
      <c r="M764" s="159">
        <f>+J556</f>
        <v>15002</v>
      </c>
      <c r="N764" s="159">
        <f>+J595</f>
        <v>14137</v>
      </c>
      <c r="O764" s="159">
        <f>+J605</f>
        <v>1859</v>
      </c>
      <c r="P764" s="159">
        <f>+J639</f>
        <v>5284</v>
      </c>
      <c r="Q764" s="159">
        <f>+J681</f>
        <v>1804</v>
      </c>
      <c r="R764" s="159"/>
    </row>
    <row r="765" spans="1:18" ht="15.75" customHeight="1" x14ac:dyDescent="0.3">
      <c r="A765" s="164" t="s">
        <v>417</v>
      </c>
      <c r="B765" s="159">
        <f>+K32</f>
        <v>68579</v>
      </c>
      <c r="C765" s="159">
        <f>+K67</f>
        <v>68245</v>
      </c>
      <c r="D765" s="159">
        <f>+K133</f>
        <v>67927</v>
      </c>
      <c r="E765" s="159">
        <f>+K256</f>
        <v>53960</v>
      </c>
      <c r="F765" s="159">
        <f>+K251</f>
        <v>0</v>
      </c>
      <c r="G765" s="159">
        <f>+K263</f>
        <v>-129383</v>
      </c>
      <c r="H765" s="159">
        <f>+K377</f>
        <v>143566</v>
      </c>
      <c r="I765" s="159">
        <f>+K422</f>
        <v>53186</v>
      </c>
      <c r="J765" s="159">
        <f>+K463</f>
        <v>33808</v>
      </c>
      <c r="K765" s="159">
        <f>+K511</f>
        <v>24448</v>
      </c>
      <c r="L765" s="159">
        <f>+K521</f>
        <v>17608</v>
      </c>
      <c r="M765" s="159">
        <f>+K556</f>
        <v>17572</v>
      </c>
      <c r="N765" s="159">
        <f>+K595</f>
        <v>16664</v>
      </c>
      <c r="O765" s="159">
        <f>+K605</f>
        <v>3349</v>
      </c>
      <c r="P765" s="159">
        <f>+K639</f>
        <v>5486</v>
      </c>
      <c r="Q765" s="159">
        <f>+K681</f>
        <v>3245</v>
      </c>
      <c r="R765" s="159"/>
    </row>
    <row r="766" spans="1:18" ht="15.75" customHeight="1" x14ac:dyDescent="0.3">
      <c r="A766" s="164" t="s">
        <v>418</v>
      </c>
      <c r="B766" s="159">
        <f>+L32</f>
        <v>94410</v>
      </c>
      <c r="C766" s="159">
        <f>+L67</f>
        <v>94094</v>
      </c>
      <c r="D766" s="159">
        <f>+L133</f>
        <v>93793</v>
      </c>
      <c r="E766" s="159">
        <f>+L256</f>
        <v>80544</v>
      </c>
      <c r="F766" s="159">
        <f>+L251</f>
        <v>0</v>
      </c>
      <c r="G766" s="159">
        <f>+L263</f>
        <v>-54211</v>
      </c>
      <c r="H766" s="159">
        <f>+L377</f>
        <v>97746</v>
      </c>
      <c r="I766" s="159">
        <f>+L422</f>
        <v>36095</v>
      </c>
      <c r="J766" s="159">
        <f>+L463</f>
        <v>28626</v>
      </c>
      <c r="K766" s="159">
        <f>+L511</f>
        <v>22558</v>
      </c>
      <c r="L766" s="159">
        <f>+L521</f>
        <v>17054</v>
      </c>
      <c r="M766" s="159">
        <f>+L556</f>
        <v>17020</v>
      </c>
      <c r="N766" s="159">
        <f>+L595</f>
        <v>16401</v>
      </c>
      <c r="O766" s="159">
        <f>+L605</f>
        <v>3132</v>
      </c>
      <c r="P766" s="159">
        <f>+L639</f>
        <v>4485</v>
      </c>
      <c r="Q766" s="159">
        <f>+L681</f>
        <v>3126</v>
      </c>
      <c r="R766" s="159"/>
    </row>
    <row r="767" spans="1:18" ht="15.75" customHeight="1" x14ac:dyDescent="0.3">
      <c r="A767" s="164" t="s">
        <v>419</v>
      </c>
      <c r="B767" s="159">
        <f>+N32</f>
        <v>135395</v>
      </c>
      <c r="C767" s="159">
        <f>+N67</f>
        <v>135110</v>
      </c>
      <c r="D767" s="159">
        <f>+N133</f>
        <v>134838</v>
      </c>
      <c r="E767" s="159">
        <f>+N256</f>
        <v>122471</v>
      </c>
      <c r="F767" s="159">
        <f>+N251</f>
        <v>25846</v>
      </c>
      <c r="G767" s="159">
        <f>+N263</f>
        <v>-1553</v>
      </c>
      <c r="H767" s="159">
        <f>+N377</f>
        <v>62917</v>
      </c>
      <c r="I767" s="159">
        <f>+N422</f>
        <v>22139</v>
      </c>
      <c r="J767" s="159">
        <f>+N463</f>
        <v>18688</v>
      </c>
      <c r="K767" s="159">
        <f>+N511</f>
        <v>15992</v>
      </c>
      <c r="L767" s="159">
        <f>+N521</f>
        <v>12323</v>
      </c>
      <c r="M767" s="159">
        <f>+N556</f>
        <v>12294</v>
      </c>
      <c r="N767" s="159">
        <f>+N595</f>
        <v>11990</v>
      </c>
      <c r="O767" s="159">
        <f>+N605</f>
        <v>2585</v>
      </c>
      <c r="P767" s="159">
        <f>+N639</f>
        <v>5593</v>
      </c>
      <c r="Q767" s="159">
        <f>+N681</f>
        <v>2580</v>
      </c>
      <c r="R767" s="159"/>
    </row>
    <row r="768" spans="1:18" ht="15.75" customHeight="1" x14ac:dyDescent="0.3">
      <c r="A768" s="164" t="s">
        <v>420</v>
      </c>
      <c r="B768" s="159">
        <f>+O32</f>
        <v>168155</v>
      </c>
      <c r="C768" s="159">
        <f>+O67</f>
        <v>167920</v>
      </c>
      <c r="D768" s="159">
        <f>+O133</f>
        <v>167694</v>
      </c>
      <c r="E768" s="159">
        <f>+O256</f>
        <v>152891</v>
      </c>
      <c r="F768" s="159">
        <f>+O251</f>
        <v>91045</v>
      </c>
      <c r="G768" s="159">
        <f>+O263</f>
        <v>0</v>
      </c>
      <c r="H768" s="159">
        <f>+O377</f>
        <v>31942</v>
      </c>
      <c r="I768" s="159">
        <f>+O422</f>
        <v>10269</v>
      </c>
      <c r="J768" s="159">
        <f>+O463</f>
        <v>9592</v>
      </c>
      <c r="K768" s="159">
        <f>+O511</f>
        <v>9352</v>
      </c>
      <c r="L768" s="159">
        <f>+O521</f>
        <v>7511</v>
      </c>
      <c r="M768" s="159">
        <f>+O556</f>
        <v>7488</v>
      </c>
      <c r="N768" s="159">
        <f>+O595</f>
        <v>7329</v>
      </c>
      <c r="O768" s="159">
        <f>+O605</f>
        <v>1722</v>
      </c>
      <c r="P768" s="159">
        <f>+O639</f>
        <v>5047</v>
      </c>
      <c r="Q768" s="159">
        <f>+O681</f>
        <v>1631</v>
      </c>
      <c r="R768" s="159"/>
    </row>
    <row r="769" spans="1:18" ht="15.75" customHeight="1" x14ac:dyDescent="0.3">
      <c r="A769" s="164" t="s">
        <v>421</v>
      </c>
      <c r="B769" s="159">
        <f>+P32</f>
        <v>66617</v>
      </c>
      <c r="C769" s="159">
        <f>+P67</f>
        <v>66431</v>
      </c>
      <c r="D769" s="159">
        <f>+P133</f>
        <v>66252</v>
      </c>
      <c r="E769" s="159">
        <f>+P256</f>
        <v>50048</v>
      </c>
      <c r="F769" s="159">
        <f>+P251</f>
        <v>20663</v>
      </c>
      <c r="G769" s="159">
        <f>+P263</f>
        <v>-22642</v>
      </c>
      <c r="H769" s="159">
        <f>+P377</f>
        <v>30952</v>
      </c>
      <c r="I769" s="159">
        <f>+P422</f>
        <v>16343</v>
      </c>
      <c r="J769" s="159">
        <f>+P463</f>
        <v>14793</v>
      </c>
      <c r="K769" s="159">
        <f>+P511</f>
        <v>14093</v>
      </c>
      <c r="L769" s="159">
        <f>+P521</f>
        <v>10117</v>
      </c>
      <c r="M769" s="159">
        <f>+P556</f>
        <v>10098</v>
      </c>
      <c r="N769" s="159">
        <f>+P595</f>
        <v>10084</v>
      </c>
      <c r="O769" s="159">
        <f>+P605</f>
        <v>2680</v>
      </c>
      <c r="P769" s="159">
        <f>+P639</f>
        <v>5393</v>
      </c>
      <c r="Q769" s="159">
        <f>+P681</f>
        <v>2663</v>
      </c>
      <c r="R769" s="159"/>
    </row>
    <row r="770" spans="1:18" ht="15.75" customHeight="1" x14ac:dyDescent="0.3">
      <c r="A770" s="159"/>
      <c r="B770" s="159"/>
      <c r="C770" s="159"/>
      <c r="D770" s="159"/>
      <c r="E770" s="159"/>
      <c r="F770" s="159"/>
      <c r="G770" s="159"/>
      <c r="H770" s="159"/>
      <c r="I770" s="159"/>
      <c r="J770" s="159"/>
      <c r="K770" s="159"/>
      <c r="L770" s="159"/>
      <c r="M770" s="159"/>
      <c r="N770" s="159"/>
      <c r="O770" s="159"/>
      <c r="P770" s="159"/>
      <c r="Q770" s="159"/>
      <c r="R770" s="159"/>
    </row>
    <row r="771" spans="1:18" ht="15.75" customHeight="1" x14ac:dyDescent="0.3">
      <c r="A771" s="164" t="s">
        <v>422</v>
      </c>
      <c r="B771" s="159">
        <f t="shared" ref="B771:Q771" si="104">SUM(B758:B769)</f>
        <v>1571322</v>
      </c>
      <c r="C771" s="159">
        <f t="shared" si="104"/>
        <v>1567822</v>
      </c>
      <c r="D771" s="159">
        <f t="shared" si="104"/>
        <v>1564482</v>
      </c>
      <c r="E771" s="159">
        <f t="shared" si="104"/>
        <v>1373173</v>
      </c>
      <c r="F771" s="159">
        <f t="shared" si="104"/>
        <v>368591</v>
      </c>
      <c r="G771" s="159">
        <f t="shared" si="104"/>
        <v>-380981</v>
      </c>
      <c r="H771" s="159">
        <f t="shared" si="104"/>
        <v>995339</v>
      </c>
      <c r="I771" s="159">
        <f t="shared" si="104"/>
        <v>370961</v>
      </c>
      <c r="J771" s="159">
        <f t="shared" si="104"/>
        <v>270857</v>
      </c>
      <c r="K771" s="159">
        <f t="shared" si="104"/>
        <v>218502</v>
      </c>
      <c r="L771" s="159">
        <f t="shared" si="104"/>
        <v>154446</v>
      </c>
      <c r="M771" s="159">
        <f t="shared" si="104"/>
        <v>154073</v>
      </c>
      <c r="N771" s="159">
        <f t="shared" si="104"/>
        <v>148016</v>
      </c>
      <c r="O771" s="159">
        <f t="shared" si="104"/>
        <v>28652</v>
      </c>
      <c r="P771" s="159">
        <f t="shared" si="104"/>
        <v>58701</v>
      </c>
      <c r="Q771" s="159">
        <f t="shared" si="104"/>
        <v>28086</v>
      </c>
      <c r="R771" s="159"/>
    </row>
    <row r="772" spans="1:18" ht="15.75" customHeight="1" x14ac:dyDescent="0.3">
      <c r="A772" s="159" t="s">
        <v>7</v>
      </c>
      <c r="B772" s="159"/>
      <c r="C772" s="159"/>
      <c r="D772" s="159"/>
      <c r="E772" s="159"/>
      <c r="F772" s="159"/>
      <c r="G772" s="159"/>
      <c r="H772" s="159"/>
      <c r="I772" s="159"/>
      <c r="J772" s="159"/>
      <c r="K772" s="159"/>
      <c r="L772" s="159"/>
      <c r="M772" s="159"/>
      <c r="N772" s="159"/>
      <c r="O772" s="159"/>
      <c r="P772" s="159"/>
      <c r="Q772" s="159"/>
      <c r="R772" s="159"/>
    </row>
    <row r="773" spans="1:18" ht="15.75" customHeight="1" x14ac:dyDescent="0.3">
      <c r="A773" s="159"/>
      <c r="B773" s="159"/>
      <c r="C773" s="159"/>
      <c r="D773" s="159"/>
      <c r="E773" s="159"/>
      <c r="F773" s="159"/>
      <c r="G773" s="159"/>
      <c r="H773" s="159"/>
      <c r="I773" s="159"/>
      <c r="J773" s="159"/>
      <c r="K773" s="159"/>
      <c r="L773" s="159"/>
      <c r="M773" s="159"/>
      <c r="N773" s="159"/>
      <c r="O773" s="159"/>
      <c r="P773" s="159"/>
      <c r="Q773" s="159"/>
      <c r="R773" s="159"/>
    </row>
    <row r="774" spans="1:18" ht="15.75" customHeight="1" x14ac:dyDescent="0.3">
      <c r="A774" s="159"/>
      <c r="B774" s="159"/>
      <c r="C774" s="161" t="s">
        <v>423</v>
      </c>
      <c r="D774" s="159"/>
      <c r="E774" s="159"/>
      <c r="F774" s="159"/>
      <c r="G774" s="159"/>
      <c r="H774" s="159"/>
      <c r="I774" s="159" t="s">
        <v>424</v>
      </c>
      <c r="J774" s="159"/>
      <c r="K774" s="159" t="s">
        <v>7</v>
      </c>
      <c r="L774" s="163" t="str">
        <f>+A8</f>
        <v>Revised:  1/19/09</v>
      </c>
      <c r="M774" s="159"/>
      <c r="N774" s="159"/>
      <c r="O774" s="159"/>
      <c r="P774" s="159"/>
      <c r="Q774" s="161" t="str">
        <f>+Q1</f>
        <v>PRINTED:</v>
      </c>
      <c r="R774" s="162">
        <f ca="1">+R1</f>
        <v>44909.46975358796</v>
      </c>
    </row>
    <row r="775" spans="1:18" ht="15.75" customHeight="1" x14ac:dyDescent="0.3">
      <c r="A775" s="159"/>
      <c r="B775" s="159"/>
      <c r="C775" s="159"/>
      <c r="D775" s="159" t="str">
        <f>++A5</f>
        <v>Calendar Year 2008</v>
      </c>
      <c r="E775" s="159"/>
      <c r="F775" s="159"/>
      <c r="G775" s="159"/>
      <c r="H775" s="159"/>
      <c r="I775" s="159"/>
      <c r="J775" s="159"/>
      <c r="K775" s="159"/>
      <c r="L775" s="159"/>
      <c r="M775" s="159"/>
      <c r="N775" s="159"/>
      <c r="O775" s="159"/>
      <c r="P775" s="159"/>
      <c r="Q775" s="159"/>
      <c r="R775" s="159"/>
    </row>
    <row r="776" spans="1:18" ht="15.75" customHeight="1" x14ac:dyDescent="0.3">
      <c r="A776" s="159"/>
      <c r="B776" s="159"/>
      <c r="C776" s="159"/>
      <c r="D776" s="159"/>
      <c r="E776" s="159"/>
      <c r="F776" s="159"/>
      <c r="G776" s="159"/>
      <c r="H776" s="159"/>
      <c r="I776" s="159"/>
      <c r="J776" s="159"/>
      <c r="K776" s="159"/>
      <c r="L776" s="159"/>
      <c r="M776" s="159"/>
      <c r="N776" s="159"/>
      <c r="O776" s="159"/>
      <c r="P776" s="159"/>
      <c r="Q776" s="159"/>
      <c r="R776" s="159"/>
    </row>
    <row r="777" spans="1:18" ht="15.75" customHeight="1" x14ac:dyDescent="0.3">
      <c r="A777" s="159"/>
      <c r="B777" s="159"/>
      <c r="C777" s="159"/>
      <c r="D777" s="159"/>
      <c r="E777" s="159"/>
      <c r="F777" s="159"/>
      <c r="G777" s="164" t="s">
        <v>425</v>
      </c>
      <c r="H777" s="159"/>
      <c r="I777" s="159"/>
      <c r="J777" s="159"/>
      <c r="K777" s="159"/>
      <c r="L777" s="159"/>
      <c r="M777" s="159"/>
      <c r="N777" s="159"/>
      <c r="O777" s="159"/>
      <c r="P777" s="159"/>
      <c r="Q777" s="159"/>
      <c r="R777" s="159"/>
    </row>
    <row r="778" spans="1:18" ht="15.75" customHeight="1" x14ac:dyDescent="0.3">
      <c r="A778" s="159"/>
      <c r="B778" s="159" t="s">
        <v>424</v>
      </c>
      <c r="C778" s="159"/>
      <c r="D778" s="164" t="s">
        <v>426</v>
      </c>
      <c r="E778" s="164" t="s">
        <v>426</v>
      </c>
      <c r="F778" s="164" t="s">
        <v>427</v>
      </c>
      <c r="G778" s="164" t="s">
        <v>404</v>
      </c>
      <c r="H778" s="164" t="s">
        <v>428</v>
      </c>
      <c r="I778" s="164" t="s">
        <v>429</v>
      </c>
      <c r="J778" s="164" t="s">
        <v>422</v>
      </c>
      <c r="K778" s="159" t="s">
        <v>424</v>
      </c>
      <c r="L778" s="164" t="s">
        <v>430</v>
      </c>
      <c r="M778" s="164" t="s">
        <v>430</v>
      </c>
      <c r="N778" s="164" t="s">
        <v>430</v>
      </c>
      <c r="O778" s="159"/>
      <c r="P778" s="159"/>
      <c r="Q778" s="159"/>
      <c r="R778" s="159"/>
    </row>
    <row r="779" spans="1:18" ht="15.75" customHeight="1" x14ac:dyDescent="0.35">
      <c r="A779" s="159"/>
      <c r="B779" s="164" t="s">
        <v>394</v>
      </c>
      <c r="C779" s="164" t="s">
        <v>431</v>
      </c>
      <c r="D779" s="164" t="s">
        <v>432</v>
      </c>
      <c r="E779" s="164" t="s">
        <v>432</v>
      </c>
      <c r="F779" s="164" t="s">
        <v>433</v>
      </c>
      <c r="G779" s="165" t="s">
        <v>434</v>
      </c>
      <c r="H779" s="164" t="s">
        <v>435</v>
      </c>
      <c r="I779" s="164" t="s">
        <v>436</v>
      </c>
      <c r="J779" s="164" t="s">
        <v>437</v>
      </c>
      <c r="K779" s="159" t="s">
        <v>424</v>
      </c>
      <c r="L779" s="164" t="s">
        <v>438</v>
      </c>
      <c r="M779" s="164" t="s">
        <v>434</v>
      </c>
      <c r="N779" s="164" t="s">
        <v>407</v>
      </c>
      <c r="O779" s="159"/>
      <c r="P779" s="159"/>
      <c r="Q779" s="159"/>
      <c r="R779" s="159"/>
    </row>
    <row r="780" spans="1:18" ht="15.75" customHeight="1" x14ac:dyDescent="0.3">
      <c r="A780" s="159"/>
      <c r="B780" s="164" t="s">
        <v>406</v>
      </c>
      <c r="C780" s="164" t="s">
        <v>439</v>
      </c>
      <c r="D780" s="164" t="s">
        <v>440</v>
      </c>
      <c r="E780" s="164" t="s">
        <v>441</v>
      </c>
      <c r="F780" s="164" t="s">
        <v>442</v>
      </c>
      <c r="G780" s="164" t="s">
        <v>442</v>
      </c>
      <c r="H780" s="164" t="s">
        <v>442</v>
      </c>
      <c r="I780" s="164" t="s">
        <v>442</v>
      </c>
      <c r="J780" s="164" t="s">
        <v>443</v>
      </c>
      <c r="K780" s="159" t="s">
        <v>424</v>
      </c>
      <c r="L780" s="164" t="s">
        <v>444</v>
      </c>
      <c r="M780" s="164" t="s">
        <v>445</v>
      </c>
      <c r="N780" s="164" t="s">
        <v>445</v>
      </c>
      <c r="O780" s="159"/>
      <c r="P780" s="159"/>
      <c r="Q780" s="159"/>
      <c r="R780" s="159"/>
    </row>
    <row r="781" spans="1:18" ht="15.75" customHeight="1" x14ac:dyDescent="0.3">
      <c r="A781" s="159"/>
      <c r="B781" s="164" t="s">
        <v>446</v>
      </c>
      <c r="C781" s="164" t="s">
        <v>447</v>
      </c>
      <c r="D781" s="164" t="s">
        <v>448</v>
      </c>
      <c r="E781" s="164" t="s">
        <v>448</v>
      </c>
      <c r="F781" s="164" t="s">
        <v>448</v>
      </c>
      <c r="G781" s="164" t="s">
        <v>448</v>
      </c>
      <c r="H781" s="164" t="s">
        <v>448</v>
      </c>
      <c r="I781" s="164" t="s">
        <v>448</v>
      </c>
      <c r="J781" s="164" t="s">
        <v>448</v>
      </c>
      <c r="K781" s="159" t="s">
        <v>424</v>
      </c>
      <c r="L781" s="164" t="s">
        <v>449</v>
      </c>
      <c r="M781" s="164" t="s">
        <v>449</v>
      </c>
      <c r="N781" s="164" t="s">
        <v>449</v>
      </c>
      <c r="O781" s="159"/>
      <c r="P781" s="159"/>
      <c r="Q781" s="159"/>
      <c r="R781" s="159"/>
    </row>
    <row r="782" spans="1:18" ht="15.75" customHeight="1" x14ac:dyDescent="0.3">
      <c r="A782" s="159"/>
      <c r="B782" s="159" t="s">
        <v>409</v>
      </c>
      <c r="C782" s="159" t="s">
        <v>409</v>
      </c>
      <c r="D782" s="159" t="s">
        <v>409</v>
      </c>
      <c r="E782" s="159" t="s">
        <v>409</v>
      </c>
      <c r="F782" s="159" t="s">
        <v>409</v>
      </c>
      <c r="G782" s="159" t="s">
        <v>409</v>
      </c>
      <c r="H782" s="159" t="s">
        <v>409</v>
      </c>
      <c r="I782" s="159" t="s">
        <v>409</v>
      </c>
      <c r="J782" s="159" t="s">
        <v>409</v>
      </c>
      <c r="K782" s="159" t="s">
        <v>424</v>
      </c>
      <c r="L782" s="159" t="s">
        <v>409</v>
      </c>
      <c r="M782" s="159" t="s">
        <v>409</v>
      </c>
      <c r="N782" s="159" t="s">
        <v>409</v>
      </c>
      <c r="O782" s="159"/>
      <c r="P782" s="159"/>
      <c r="Q782" s="159"/>
      <c r="R782" s="159"/>
    </row>
    <row r="783" spans="1:18" ht="15.75" customHeight="1" x14ac:dyDescent="0.3">
      <c r="A783" s="164" t="s">
        <v>410</v>
      </c>
      <c r="B783" s="159">
        <f t="shared" ref="B783:B794" si="105">(F758)</f>
        <v>99649</v>
      </c>
      <c r="C783" s="159">
        <f t="shared" ref="C783:C794" si="106">(SUM($B$756:$F$756))</f>
        <v>1607</v>
      </c>
      <c r="D783" s="159">
        <f t="shared" ref="D783:D794" si="107">(B783*C783/1000)</f>
        <v>160135.943</v>
      </c>
      <c r="E783" s="159">
        <f t="shared" ref="E783:E794" si="108">(((B758-F758)*B$756)+((C758-F758)*C$756)+((D758-F758)*D$756)+((E758-F758)*E$756))/1000</f>
        <v>89349.686000000002</v>
      </c>
      <c r="F783" s="159">
        <f t="shared" ref="F783:F794" si="109">(D783+E783)</f>
        <v>249485.62900000002</v>
      </c>
      <c r="G783" s="159">
        <f t="shared" ref="G783:G794" si="110">SUM(H840:Q840)</f>
        <v>16448.07</v>
      </c>
      <c r="H783" s="159">
        <f t="shared" ref="H783:H794" si="111">+F783+G783</f>
        <v>265933.69900000002</v>
      </c>
      <c r="I783" s="159">
        <f t="shared" ref="I783:I790" si="112">(E894)</f>
        <v>0</v>
      </c>
      <c r="J783" s="159">
        <f t="shared" ref="J783:J794" si="113">(H783-I783)</f>
        <v>265933.69900000002</v>
      </c>
      <c r="K783" s="159" t="s">
        <v>424</v>
      </c>
      <c r="L783" s="159">
        <f>+B758/31/1.98</f>
        <v>2682.3069403714567</v>
      </c>
      <c r="M783" s="159">
        <f>(B783*43560/31/24/3600)</f>
        <v>1620.6356182795698</v>
      </c>
      <c r="N783" s="159">
        <f>+B266</f>
        <v>0</v>
      </c>
      <c r="O783" s="159"/>
      <c r="P783" s="159"/>
      <c r="Q783" s="159"/>
      <c r="R783" s="159"/>
    </row>
    <row r="784" spans="1:18" ht="15.75" customHeight="1" x14ac:dyDescent="0.3">
      <c r="A784" s="164" t="s">
        <v>411</v>
      </c>
      <c r="B784" s="159">
        <f t="shared" si="105"/>
        <v>88679</v>
      </c>
      <c r="C784" s="159">
        <f t="shared" si="106"/>
        <v>1607</v>
      </c>
      <c r="D784" s="159">
        <f t="shared" si="107"/>
        <v>142507.15299999999</v>
      </c>
      <c r="E784" s="159">
        <f t="shared" si="108"/>
        <v>95064.51</v>
      </c>
      <c r="F784" s="159">
        <f t="shared" si="109"/>
        <v>237571.663</v>
      </c>
      <c r="G784" s="159">
        <f t="shared" si="110"/>
        <v>16821.451999999997</v>
      </c>
      <c r="H784" s="159">
        <f t="shared" si="111"/>
        <v>254393.11499999999</v>
      </c>
      <c r="I784" s="159">
        <f t="shared" si="112"/>
        <v>0</v>
      </c>
      <c r="J784" s="159">
        <f t="shared" si="113"/>
        <v>254393.11499999999</v>
      </c>
      <c r="K784" s="159" t="s">
        <v>424</v>
      </c>
      <c r="L784" s="159">
        <f>+B759/28/1.98</f>
        <v>2844.9855699855698</v>
      </c>
      <c r="M784" s="159">
        <f>(B784*43560/29/24/3600)</f>
        <v>1541.6895114942529</v>
      </c>
      <c r="N784" s="159">
        <f>+C266</f>
        <v>0</v>
      </c>
      <c r="O784" s="159"/>
      <c r="P784" s="159"/>
      <c r="Q784" s="159"/>
      <c r="R784" s="159"/>
    </row>
    <row r="785" spans="1:18" ht="15.75" customHeight="1" x14ac:dyDescent="0.3">
      <c r="A785" s="164" t="s">
        <v>412</v>
      </c>
      <c r="B785" s="159">
        <f t="shared" si="105"/>
        <v>23780</v>
      </c>
      <c r="C785" s="159">
        <f t="shared" si="106"/>
        <v>1607</v>
      </c>
      <c r="D785" s="159">
        <f t="shared" si="107"/>
        <v>38214.46</v>
      </c>
      <c r="E785" s="159">
        <f t="shared" si="108"/>
        <v>201425.63</v>
      </c>
      <c r="F785" s="159">
        <f t="shared" si="109"/>
        <v>239640.09</v>
      </c>
      <c r="G785" s="159">
        <f t="shared" si="110"/>
        <v>31390.708999999999</v>
      </c>
      <c r="H785" s="159">
        <f t="shared" si="111"/>
        <v>271030.799</v>
      </c>
      <c r="I785" s="159">
        <f t="shared" si="112"/>
        <v>9.8010000000000002</v>
      </c>
      <c r="J785" s="159">
        <f t="shared" si="113"/>
        <v>271020.99800000002</v>
      </c>
      <c r="K785" s="159" t="s">
        <v>424</v>
      </c>
      <c r="L785" s="159">
        <f>+B760/31/1.98</f>
        <v>2743.9068100358422</v>
      </c>
      <c r="M785" s="159">
        <f>(B785*43560/31/24/3600)</f>
        <v>386.74462365591398</v>
      </c>
      <c r="N785" s="159">
        <f>+D266</f>
        <v>-1.3176516519447561</v>
      </c>
      <c r="O785" s="159"/>
      <c r="P785" s="159"/>
      <c r="Q785" s="159"/>
      <c r="R785" s="159"/>
    </row>
    <row r="786" spans="1:18" ht="15.75" customHeight="1" x14ac:dyDescent="0.3">
      <c r="A786" s="164" t="s">
        <v>413</v>
      </c>
      <c r="B786" s="159">
        <f t="shared" si="105"/>
        <v>0</v>
      </c>
      <c r="C786" s="159">
        <f t="shared" si="106"/>
        <v>1607</v>
      </c>
      <c r="D786" s="159">
        <f t="shared" si="107"/>
        <v>0</v>
      </c>
      <c r="E786" s="159">
        <f t="shared" si="108"/>
        <v>231869.65900000001</v>
      </c>
      <c r="F786" s="159">
        <f t="shared" si="109"/>
        <v>231869.65900000001</v>
      </c>
      <c r="G786" s="159">
        <f t="shared" si="110"/>
        <v>40345.046999999991</v>
      </c>
      <c r="H786" s="159">
        <f t="shared" si="111"/>
        <v>272214.70600000001</v>
      </c>
      <c r="I786" s="159">
        <f t="shared" si="112"/>
        <v>1442.32</v>
      </c>
      <c r="J786" s="159">
        <f t="shared" si="113"/>
        <v>270772.386</v>
      </c>
      <c r="K786" s="159" t="s">
        <v>424</v>
      </c>
      <c r="L786" s="159">
        <f>+B761/30/1.98</f>
        <v>2793.939393939394</v>
      </c>
      <c r="M786" s="159">
        <f>(B786*43560/30/24/3600)</f>
        <v>0</v>
      </c>
      <c r="N786" s="159">
        <f>+F266</f>
        <v>-200.36981005210959</v>
      </c>
      <c r="O786" s="159"/>
      <c r="P786" s="159"/>
      <c r="Q786" s="159"/>
      <c r="R786" s="159"/>
    </row>
    <row r="787" spans="1:18" ht="15.75" customHeight="1" x14ac:dyDescent="0.3">
      <c r="A787" s="164" t="s">
        <v>414</v>
      </c>
      <c r="B787" s="159">
        <f t="shared" si="105"/>
        <v>18160</v>
      </c>
      <c r="C787" s="159">
        <f t="shared" si="106"/>
        <v>1607</v>
      </c>
      <c r="D787" s="159">
        <f t="shared" si="107"/>
        <v>29183.119999999999</v>
      </c>
      <c r="E787" s="159">
        <f t="shared" si="108"/>
        <v>214643.23300000001</v>
      </c>
      <c r="F787" s="159">
        <f t="shared" si="109"/>
        <v>243826.353</v>
      </c>
      <c r="G787" s="159">
        <f t="shared" si="110"/>
        <v>37135.682999999997</v>
      </c>
      <c r="H787" s="159">
        <f t="shared" si="111"/>
        <v>280962.03600000002</v>
      </c>
      <c r="I787" s="159">
        <f t="shared" si="112"/>
        <v>998.00800000000004</v>
      </c>
      <c r="J787" s="159">
        <f t="shared" si="113"/>
        <v>279964.02800000005</v>
      </c>
      <c r="K787" s="159" t="s">
        <v>424</v>
      </c>
      <c r="L787" s="159">
        <f>+B762/31/1.98</f>
        <v>2802.0202020202019</v>
      </c>
      <c r="M787" s="159">
        <f>(B787*43560/31/24/3600)</f>
        <v>295.3440860215054</v>
      </c>
      <c r="N787" s="159">
        <f>+G266</f>
        <v>-134.17272623753516</v>
      </c>
      <c r="O787" s="159"/>
      <c r="P787" s="159"/>
      <c r="Q787" s="159"/>
      <c r="R787" s="159"/>
    </row>
    <row r="788" spans="1:18" ht="15.75" customHeight="1" x14ac:dyDescent="0.3">
      <c r="A788" s="164" t="s">
        <v>415</v>
      </c>
      <c r="B788" s="159">
        <f t="shared" si="105"/>
        <v>769</v>
      </c>
      <c r="C788" s="159">
        <f t="shared" si="106"/>
        <v>1607</v>
      </c>
      <c r="D788" s="159">
        <f t="shared" si="107"/>
        <v>1235.7829999999999</v>
      </c>
      <c r="E788" s="159">
        <f t="shared" si="108"/>
        <v>178488.33900000001</v>
      </c>
      <c r="F788" s="159">
        <f t="shared" si="109"/>
        <v>179724.122</v>
      </c>
      <c r="G788" s="159">
        <f t="shared" si="110"/>
        <v>38976.240999999995</v>
      </c>
      <c r="H788" s="159">
        <f t="shared" si="111"/>
        <v>218700.36300000001</v>
      </c>
      <c r="I788" s="159">
        <f t="shared" si="112"/>
        <v>7291.9440000000004</v>
      </c>
      <c r="J788" s="159">
        <f t="shared" si="113"/>
        <v>211408.41900000002</v>
      </c>
      <c r="K788" s="159" t="s">
        <v>424</v>
      </c>
      <c r="L788" s="159">
        <f>+B763/30/1.98</f>
        <v>2163.333333333333</v>
      </c>
      <c r="M788" s="159">
        <f t="shared" ref="M788:M793" si="114">(B788*43560/30/24/3600)</f>
        <v>12.923472222222221</v>
      </c>
      <c r="N788" s="159">
        <f>+H266</f>
        <v>-1013.0105900151285</v>
      </c>
      <c r="O788" s="159"/>
      <c r="P788" s="159"/>
      <c r="Q788" s="159"/>
      <c r="R788" s="159"/>
    </row>
    <row r="789" spans="1:18" ht="15.75" customHeight="1" x14ac:dyDescent="0.3">
      <c r="A789" s="164" t="s">
        <v>416</v>
      </c>
      <c r="B789" s="159">
        <f t="shared" si="105"/>
        <v>0</v>
      </c>
      <c r="C789" s="159">
        <f t="shared" si="106"/>
        <v>1607</v>
      </c>
      <c r="D789" s="159">
        <f t="shared" si="107"/>
        <v>0</v>
      </c>
      <c r="E789" s="159">
        <f t="shared" si="108"/>
        <v>113574.026</v>
      </c>
      <c r="F789" s="159">
        <f t="shared" si="109"/>
        <v>113574.026</v>
      </c>
      <c r="G789" s="159">
        <f t="shared" si="110"/>
        <v>39843.053000000007</v>
      </c>
      <c r="H789" s="159">
        <f t="shared" si="111"/>
        <v>153417.079</v>
      </c>
      <c r="I789" s="159">
        <f t="shared" si="112"/>
        <v>11214.159</v>
      </c>
      <c r="J789" s="159">
        <f t="shared" si="113"/>
        <v>142202.91999999998</v>
      </c>
      <c r="K789" s="159" t="s">
        <v>424</v>
      </c>
      <c r="L789" s="159">
        <f>+B764/31/1.98</f>
        <v>1318.4913652655587</v>
      </c>
      <c r="M789" s="159">
        <f t="shared" si="114"/>
        <v>0</v>
      </c>
      <c r="N789" s="159">
        <f>+J266</f>
        <v>-1507.637499389976</v>
      </c>
      <c r="O789" s="159"/>
      <c r="P789" s="159"/>
      <c r="Q789" s="159"/>
      <c r="R789" s="159"/>
    </row>
    <row r="790" spans="1:18" ht="15.75" customHeight="1" x14ac:dyDescent="0.3">
      <c r="A790" s="164" t="s">
        <v>417</v>
      </c>
      <c r="B790" s="159">
        <f t="shared" si="105"/>
        <v>0</v>
      </c>
      <c r="C790" s="159">
        <f t="shared" si="106"/>
        <v>1607</v>
      </c>
      <c r="D790" s="159">
        <f t="shared" si="107"/>
        <v>0</v>
      </c>
      <c r="E790" s="159">
        <f t="shared" si="108"/>
        <v>94603.043000000005</v>
      </c>
      <c r="F790" s="159">
        <f t="shared" si="109"/>
        <v>94603.043000000005</v>
      </c>
      <c r="G790" s="159">
        <f t="shared" si="110"/>
        <v>46202.082000000009</v>
      </c>
      <c r="H790" s="159">
        <f t="shared" si="111"/>
        <v>140805.125</v>
      </c>
      <c r="I790" s="159">
        <f t="shared" si="112"/>
        <v>15655.343000000001</v>
      </c>
      <c r="J790" s="159">
        <f t="shared" si="113"/>
        <v>125149.78200000001</v>
      </c>
      <c r="K790" s="159" t="s">
        <v>424</v>
      </c>
      <c r="L790" s="159">
        <f>+B765/31/1.98</f>
        <v>1117.2857608341478</v>
      </c>
      <c r="M790" s="159">
        <f t="shared" si="114"/>
        <v>0</v>
      </c>
      <c r="N790" s="159">
        <f>+K266</f>
        <v>-2104.7126380687455</v>
      </c>
      <c r="O790" s="159"/>
      <c r="P790" s="159"/>
      <c r="Q790" s="159"/>
      <c r="R790" s="159"/>
    </row>
    <row r="791" spans="1:18" ht="15.75" customHeight="1" x14ac:dyDescent="0.3">
      <c r="A791" s="164" t="s">
        <v>418</v>
      </c>
      <c r="B791" s="159">
        <f t="shared" si="105"/>
        <v>0</v>
      </c>
      <c r="C791" s="159">
        <f t="shared" si="106"/>
        <v>1607</v>
      </c>
      <c r="D791" s="159">
        <f t="shared" si="107"/>
        <v>0</v>
      </c>
      <c r="E791" s="159">
        <f t="shared" si="108"/>
        <v>131661.402</v>
      </c>
      <c r="F791" s="159">
        <f t="shared" si="109"/>
        <v>131661.402</v>
      </c>
      <c r="G791" s="159">
        <f t="shared" si="110"/>
        <v>37167.825999999994</v>
      </c>
      <c r="H791" s="159">
        <f t="shared" si="111"/>
        <v>168829.228</v>
      </c>
      <c r="I791" s="159">
        <v>0</v>
      </c>
      <c r="J791" s="159">
        <f t="shared" si="113"/>
        <v>168829.228</v>
      </c>
      <c r="K791" s="159" t="s">
        <v>424</v>
      </c>
      <c r="L791" s="159">
        <f>+B766/30/1.98</f>
        <v>1589.3939393939395</v>
      </c>
      <c r="M791" s="159">
        <f t="shared" si="114"/>
        <v>0</v>
      </c>
      <c r="N791" s="159">
        <f>+L266</f>
        <v>-911.26239704151953</v>
      </c>
      <c r="O791" s="159"/>
      <c r="P791" s="159"/>
      <c r="Q791" s="159"/>
      <c r="R791" s="159"/>
    </row>
    <row r="792" spans="1:18" ht="15.75" customHeight="1" x14ac:dyDescent="0.3">
      <c r="A792" s="164" t="s">
        <v>419</v>
      </c>
      <c r="B792" s="159">
        <f t="shared" si="105"/>
        <v>25846</v>
      </c>
      <c r="C792" s="159">
        <f t="shared" si="106"/>
        <v>1607</v>
      </c>
      <c r="D792" s="159">
        <f t="shared" si="107"/>
        <v>41534.521999999997</v>
      </c>
      <c r="E792" s="159">
        <f t="shared" si="108"/>
        <v>153497.84</v>
      </c>
      <c r="F792" s="159">
        <f t="shared" si="109"/>
        <v>195032.36199999999</v>
      </c>
      <c r="G792" s="159">
        <f t="shared" si="110"/>
        <v>26023.350999999999</v>
      </c>
      <c r="H792" s="159">
        <f t="shared" si="111"/>
        <v>221055.71299999999</v>
      </c>
      <c r="I792" s="159">
        <v>0</v>
      </c>
      <c r="J792" s="159">
        <f t="shared" si="113"/>
        <v>221055.71299999999</v>
      </c>
      <c r="K792" s="159" t="s">
        <v>424</v>
      </c>
      <c r="L792" s="159">
        <f>+B767/31/1.98</f>
        <v>2205.8488106875207</v>
      </c>
      <c r="M792" s="159">
        <f t="shared" si="114"/>
        <v>434.35638888888889</v>
      </c>
      <c r="N792" s="159">
        <f>+N266</f>
        <v>-25.263123647780322</v>
      </c>
      <c r="O792" s="159"/>
      <c r="P792" s="159"/>
      <c r="Q792" s="159"/>
      <c r="R792" s="159"/>
    </row>
    <row r="793" spans="1:18" ht="15.75" customHeight="1" x14ac:dyDescent="0.3">
      <c r="A793" s="164" t="s">
        <v>420</v>
      </c>
      <c r="B793" s="159">
        <f t="shared" si="105"/>
        <v>91045</v>
      </c>
      <c r="C793" s="159">
        <f t="shared" si="106"/>
        <v>1607</v>
      </c>
      <c r="D793" s="159">
        <f t="shared" si="107"/>
        <v>146309.315</v>
      </c>
      <c r="E793" s="159">
        <f t="shared" si="108"/>
        <v>106681.17600000001</v>
      </c>
      <c r="F793" s="159">
        <f t="shared" si="109"/>
        <v>252990.49100000001</v>
      </c>
      <c r="G793" s="159">
        <f t="shared" si="110"/>
        <v>14874.606000000002</v>
      </c>
      <c r="H793" s="159">
        <f t="shared" si="111"/>
        <v>267865.09700000001</v>
      </c>
      <c r="I793" s="159">
        <f>(E904)</f>
        <v>0</v>
      </c>
      <c r="J793" s="159">
        <f t="shared" si="113"/>
        <v>267865.09700000001</v>
      </c>
      <c r="K793" s="159" t="s">
        <v>424</v>
      </c>
      <c r="L793" s="159">
        <f>+B768/30/1.98</f>
        <v>2830.8922558922559</v>
      </c>
      <c r="M793" s="159">
        <f t="shared" si="114"/>
        <v>1530.0618055555556</v>
      </c>
      <c r="N793" s="159">
        <f>+O266</f>
        <v>0</v>
      </c>
      <c r="O793" s="159"/>
      <c r="P793" s="159"/>
      <c r="Q793" s="159"/>
      <c r="R793" s="159"/>
    </row>
    <row r="794" spans="1:18" ht="15.75" customHeight="1" x14ac:dyDescent="0.3">
      <c r="A794" s="164" t="s">
        <v>421</v>
      </c>
      <c r="B794" s="159">
        <f t="shared" si="105"/>
        <v>20663</v>
      </c>
      <c r="C794" s="159">
        <f t="shared" si="106"/>
        <v>1607</v>
      </c>
      <c r="D794" s="159">
        <f t="shared" si="107"/>
        <v>33205.440999999999</v>
      </c>
      <c r="E794" s="159">
        <f t="shared" si="108"/>
        <v>61923.173000000003</v>
      </c>
      <c r="F794" s="159">
        <f t="shared" si="109"/>
        <v>95128.614000000001</v>
      </c>
      <c r="G794" s="159">
        <f t="shared" si="110"/>
        <v>19929.37</v>
      </c>
      <c r="H794" s="159">
        <f t="shared" si="111"/>
        <v>115057.984</v>
      </c>
      <c r="I794" s="159">
        <f>(E905)</f>
        <v>2739.6819999999998</v>
      </c>
      <c r="J794" s="159">
        <f t="shared" si="113"/>
        <v>112318.302</v>
      </c>
      <c r="K794" s="159" t="s">
        <v>424</v>
      </c>
      <c r="L794" s="159">
        <f>+B769/31/1.98</f>
        <v>1085.3209514499838</v>
      </c>
      <c r="M794" s="159">
        <f>(B794*43560/31/24/3600)</f>
        <v>336.05147849462361</v>
      </c>
      <c r="N794" s="159">
        <f>+P266</f>
        <v>-368.32430497942181</v>
      </c>
      <c r="O794" s="159"/>
      <c r="P794" s="159"/>
      <c r="Q794" s="159"/>
      <c r="R794" s="159"/>
    </row>
    <row r="795" spans="1:18" ht="15.75" customHeight="1" x14ac:dyDescent="0.3">
      <c r="A795" s="159"/>
      <c r="B795" s="159"/>
      <c r="C795" s="159"/>
      <c r="D795" s="159"/>
      <c r="E795" s="159"/>
      <c r="F795" s="159"/>
      <c r="G795" s="159"/>
      <c r="H795" s="159"/>
      <c r="I795" s="159"/>
      <c r="J795" s="159"/>
      <c r="K795" s="159" t="s">
        <v>424</v>
      </c>
      <c r="L795" s="159"/>
      <c r="M795" s="159"/>
      <c r="N795" s="159"/>
      <c r="O795" s="159"/>
      <c r="P795" s="159"/>
      <c r="Q795" s="159"/>
      <c r="R795" s="159"/>
    </row>
    <row r="796" spans="1:18" ht="15.75" customHeight="1" x14ac:dyDescent="0.3">
      <c r="A796" s="159" t="s">
        <v>422</v>
      </c>
      <c r="B796" s="159">
        <f>SUM(B783:B794)</f>
        <v>368591</v>
      </c>
      <c r="C796" s="159"/>
      <c r="D796" s="159">
        <f t="shared" ref="D796:J796" si="115">SUM(D783:D794)</f>
        <v>592325.73700000008</v>
      </c>
      <c r="E796" s="159">
        <f t="shared" si="115"/>
        <v>1672781.7170000002</v>
      </c>
      <c r="F796" s="159">
        <f t="shared" si="115"/>
        <v>2265107.4539999999</v>
      </c>
      <c r="G796" s="159">
        <f t="shared" si="115"/>
        <v>365157.49000000005</v>
      </c>
      <c r="H796" s="159">
        <f t="shared" si="115"/>
        <v>2630264.9440000006</v>
      </c>
      <c r="I796" s="159">
        <f t="shared" si="115"/>
        <v>39351.256999999998</v>
      </c>
      <c r="J796" s="159">
        <f t="shared" si="115"/>
        <v>2590913.6870000004</v>
      </c>
      <c r="K796" s="159"/>
      <c r="L796" s="159"/>
      <c r="M796" s="159"/>
      <c r="N796" s="159"/>
      <c r="O796" s="159"/>
      <c r="P796" s="159"/>
      <c r="Q796" s="159"/>
      <c r="R796" s="159"/>
    </row>
    <row r="797" spans="1:18" ht="15.75" customHeight="1" x14ac:dyDescent="0.3">
      <c r="A797" s="159"/>
      <c r="B797" s="159"/>
      <c r="C797" s="159"/>
      <c r="D797" s="159"/>
      <c r="E797" s="159"/>
      <c r="F797" s="159"/>
      <c r="G797" s="159"/>
      <c r="H797" s="159"/>
      <c r="I797" s="159"/>
      <c r="J797" s="159"/>
      <c r="K797" s="159"/>
      <c r="L797" s="159"/>
      <c r="M797" s="159"/>
      <c r="N797" s="159"/>
      <c r="O797" s="159"/>
      <c r="P797" s="159"/>
      <c r="Q797" s="159"/>
      <c r="R797" s="159"/>
    </row>
    <row r="798" spans="1:18" ht="15.75" customHeight="1" x14ac:dyDescent="0.3">
      <c r="A798" s="159" t="s">
        <v>450</v>
      </c>
      <c r="B798" s="159"/>
      <c r="C798" s="159"/>
      <c r="D798" s="159"/>
      <c r="E798" s="159"/>
      <c r="F798" s="159"/>
      <c r="G798" s="159"/>
      <c r="H798" s="159"/>
      <c r="I798" s="159"/>
      <c r="J798" s="159"/>
      <c r="K798" s="159"/>
      <c r="L798" s="159"/>
      <c r="M798" s="159"/>
      <c r="N798" s="159"/>
      <c r="O798" s="159"/>
      <c r="P798" s="159"/>
      <c r="Q798" s="159"/>
      <c r="R798" s="159"/>
    </row>
    <row r="799" spans="1:18" ht="15.75" customHeight="1" x14ac:dyDescent="0.3">
      <c r="A799" s="159" t="s">
        <v>451</v>
      </c>
      <c r="B799" s="159"/>
      <c r="C799" s="159"/>
      <c r="D799" s="159"/>
      <c r="E799" s="159"/>
      <c r="F799" s="159"/>
      <c r="G799" s="159"/>
      <c r="H799" s="159"/>
      <c r="I799" s="159"/>
      <c r="J799" s="159"/>
      <c r="K799" s="159"/>
      <c r="L799" s="159"/>
      <c r="M799" s="159"/>
      <c r="N799" s="159"/>
      <c r="O799" s="159"/>
      <c r="P799" s="159"/>
      <c r="Q799" s="159"/>
      <c r="R799" s="159"/>
    </row>
    <row r="800" spans="1:18" ht="15.75" customHeight="1" x14ac:dyDescent="0.3">
      <c r="A800" s="159"/>
      <c r="B800" s="159"/>
      <c r="C800" s="159"/>
      <c r="D800" s="159"/>
      <c r="E800" s="159"/>
      <c r="F800" s="159"/>
      <c r="G800" s="159"/>
      <c r="H800" s="159"/>
      <c r="I800" s="159"/>
      <c r="J800" s="159"/>
      <c r="K800" s="159"/>
      <c r="L800" s="159"/>
      <c r="M800" s="159"/>
      <c r="N800" s="159"/>
      <c r="O800" s="159"/>
      <c r="P800" s="159"/>
      <c r="Q800" s="159"/>
      <c r="R800" s="159"/>
    </row>
    <row r="801" spans="1:18" ht="15.75" customHeight="1" x14ac:dyDescent="0.3">
      <c r="A801" s="159" t="s">
        <v>452</v>
      </c>
      <c r="B801" s="159"/>
      <c r="C801" s="159"/>
      <c r="D801" s="159"/>
      <c r="E801" s="159"/>
      <c r="F801" s="159"/>
      <c r="G801" s="159"/>
      <c r="H801" s="159"/>
      <c r="I801" s="159"/>
      <c r="J801" s="159"/>
      <c r="K801" s="159"/>
      <c r="L801" s="159"/>
      <c r="M801" s="159"/>
      <c r="N801" s="159"/>
      <c r="O801" s="159"/>
      <c r="P801" s="159"/>
      <c r="Q801" s="159"/>
      <c r="R801" s="159"/>
    </row>
    <row r="802" spans="1:18" ht="15.75" customHeight="1" x14ac:dyDescent="0.3">
      <c r="A802" s="159"/>
      <c r="B802" s="159"/>
      <c r="C802" s="159"/>
      <c r="D802" s="159"/>
      <c r="E802" s="159"/>
      <c r="F802" s="159"/>
      <c r="G802" s="159"/>
      <c r="H802" s="159"/>
      <c r="I802" s="159"/>
      <c r="J802" s="159"/>
      <c r="K802" s="159"/>
      <c r="L802" s="159"/>
      <c r="M802" s="159"/>
      <c r="N802" s="159"/>
      <c r="O802" s="159"/>
      <c r="P802" s="159"/>
      <c r="Q802" s="159"/>
      <c r="R802" s="159"/>
    </row>
    <row r="803" spans="1:18" ht="15.75" customHeight="1" x14ac:dyDescent="0.3">
      <c r="A803" s="159" t="s">
        <v>453</v>
      </c>
      <c r="B803" s="159"/>
      <c r="C803" s="159"/>
      <c r="D803" s="159"/>
      <c r="E803" s="159"/>
      <c r="F803" s="159"/>
      <c r="G803" s="159"/>
      <c r="H803" s="159"/>
      <c r="I803" s="159"/>
      <c r="J803" s="159"/>
      <c r="K803" s="159"/>
      <c r="L803" s="159"/>
      <c r="M803" s="159"/>
      <c r="N803" s="159"/>
      <c r="O803" s="159"/>
      <c r="P803" s="159"/>
      <c r="Q803" s="159"/>
      <c r="R803" s="159"/>
    </row>
    <row r="804" spans="1:18" ht="15.75" customHeight="1" x14ac:dyDescent="0.3">
      <c r="A804" s="159"/>
      <c r="B804" s="159"/>
      <c r="C804" s="159"/>
      <c r="D804" s="159"/>
      <c r="E804" s="159"/>
      <c r="F804" s="159"/>
      <c r="G804" s="159"/>
      <c r="H804" s="159"/>
      <c r="I804" s="159"/>
      <c r="J804" s="159"/>
      <c r="K804" s="159"/>
      <c r="L804" s="159"/>
      <c r="M804" s="159"/>
      <c r="N804" s="159"/>
      <c r="O804" s="159"/>
      <c r="P804" s="159"/>
      <c r="Q804" s="159"/>
      <c r="R804" s="159"/>
    </row>
    <row r="805" spans="1:18" ht="15.75" customHeight="1" x14ac:dyDescent="0.3">
      <c r="A805" s="159"/>
      <c r="B805" s="159"/>
      <c r="C805" s="159"/>
      <c r="D805" s="161" t="s">
        <v>454</v>
      </c>
      <c r="E805" s="159"/>
      <c r="F805" s="159"/>
      <c r="G805" s="159"/>
      <c r="H805" s="159"/>
      <c r="I805" s="159"/>
      <c r="J805" s="159"/>
      <c r="K805" s="159"/>
      <c r="L805" s="159"/>
      <c r="M805" s="159"/>
      <c r="N805" s="159"/>
      <c r="O805" s="159"/>
      <c r="P805" s="159"/>
      <c r="Q805" s="161" t="str">
        <f>+Q1</f>
        <v>PRINTED:</v>
      </c>
      <c r="R805" s="162">
        <f ca="1">+R1</f>
        <v>44909.46975358796</v>
      </c>
    </row>
    <row r="806" spans="1:18" ht="15.75" customHeight="1" x14ac:dyDescent="0.3">
      <c r="A806" s="159"/>
      <c r="B806" s="159"/>
      <c r="C806" s="159"/>
      <c r="D806" s="159"/>
      <c r="E806" s="159" t="s">
        <v>7</v>
      </c>
      <c r="F806" s="163" t="str">
        <f>+A8</f>
        <v>Revised:  1/19/09</v>
      </c>
      <c r="G806" s="159"/>
      <c r="H806" s="159"/>
      <c r="I806" s="159"/>
      <c r="J806" s="159"/>
      <c r="K806" s="159"/>
      <c r="L806" s="159"/>
      <c r="M806" s="159"/>
      <c r="N806" s="159"/>
      <c r="O806" s="159"/>
      <c r="P806" s="159"/>
      <c r="Q806" s="159"/>
      <c r="R806" s="159"/>
    </row>
    <row r="807" spans="1:18" ht="15.75" customHeight="1" x14ac:dyDescent="0.3">
      <c r="A807" s="159"/>
      <c r="B807" s="159"/>
      <c r="C807" s="159"/>
      <c r="D807" s="159" t="s">
        <v>387</v>
      </c>
      <c r="E807" s="159"/>
      <c r="F807" s="159"/>
      <c r="G807" s="159"/>
      <c r="H807" s="159"/>
      <c r="I807" s="159"/>
      <c r="J807" s="159"/>
      <c r="K807" s="159"/>
      <c r="L807" s="159"/>
      <c r="M807" s="159"/>
      <c r="N807" s="159"/>
      <c r="O807" s="159"/>
      <c r="P807" s="159"/>
      <c r="Q807" s="159"/>
      <c r="R807" s="159"/>
    </row>
    <row r="808" spans="1:18" ht="15.75" customHeight="1" x14ac:dyDescent="0.3">
      <c r="A808" s="159"/>
      <c r="B808" s="159"/>
      <c r="C808" s="159"/>
      <c r="D808" s="159"/>
      <c r="E808" s="159"/>
      <c r="F808" s="159"/>
      <c r="G808" s="159"/>
      <c r="H808" s="159"/>
      <c r="I808" s="159"/>
      <c r="J808" s="159"/>
      <c r="K808" s="159"/>
      <c r="L808" s="159"/>
      <c r="M808" s="159"/>
      <c r="N808" s="159"/>
      <c r="O808" s="159"/>
      <c r="P808" s="159"/>
      <c r="Q808" s="159"/>
      <c r="R808" s="159"/>
    </row>
    <row r="809" spans="1:18" ht="15.75" customHeight="1" x14ac:dyDescent="0.3">
      <c r="A809" s="159"/>
      <c r="B809" s="159"/>
      <c r="C809" s="159"/>
      <c r="D809" s="159"/>
      <c r="E809" s="159" t="str">
        <f>+A5</f>
        <v>Calendar Year 2008</v>
      </c>
      <c r="F809" s="159"/>
      <c r="G809" s="159"/>
      <c r="H809" s="159"/>
      <c r="I809" s="159"/>
      <c r="J809" s="159"/>
      <c r="K809" s="159"/>
      <c r="L809" s="159"/>
      <c r="M809" s="159"/>
      <c r="N809" s="159"/>
      <c r="O809" s="159"/>
      <c r="P809" s="159"/>
      <c r="Q809" s="159"/>
      <c r="R809" s="159"/>
    </row>
    <row r="810" spans="1:18" ht="15.75" customHeight="1" x14ac:dyDescent="0.3">
      <c r="A810" s="159"/>
      <c r="B810" s="159"/>
      <c r="C810" s="159"/>
      <c r="D810" s="159"/>
      <c r="E810" s="159" t="s">
        <v>455</v>
      </c>
      <c r="F810" s="159"/>
      <c r="G810" s="159"/>
      <c r="H810" s="159"/>
      <c r="I810" s="159"/>
      <c r="J810" s="159"/>
      <c r="K810" s="159"/>
      <c r="L810" s="159"/>
      <c r="M810" s="159"/>
      <c r="N810" s="159"/>
      <c r="O810" s="159"/>
      <c r="P810" s="159"/>
      <c r="Q810" s="159"/>
      <c r="R810" s="159"/>
    </row>
    <row r="811" spans="1:18" ht="15.75" customHeight="1" x14ac:dyDescent="0.3">
      <c r="A811" s="159"/>
      <c r="B811" s="159"/>
      <c r="C811" s="159"/>
      <c r="D811" s="159"/>
      <c r="E811" s="159"/>
      <c r="F811" s="159"/>
      <c r="G811" s="159"/>
      <c r="H811" s="159"/>
      <c r="I811" s="159"/>
      <c r="J811" s="159"/>
      <c r="K811" s="159"/>
      <c r="L811" s="159"/>
      <c r="M811" s="159"/>
      <c r="N811" s="159"/>
      <c r="O811" s="159"/>
      <c r="P811" s="159"/>
      <c r="Q811" s="159"/>
      <c r="R811" s="159"/>
    </row>
    <row r="812" spans="1:18" ht="15.75" customHeight="1" x14ac:dyDescent="0.3">
      <c r="A812" s="159" t="s">
        <v>389</v>
      </c>
      <c r="B812" s="164" t="s">
        <v>390</v>
      </c>
      <c r="C812" s="164" t="s">
        <v>391</v>
      </c>
      <c r="D812" s="164" t="s">
        <v>392</v>
      </c>
      <c r="E812" s="164" t="s">
        <v>393</v>
      </c>
      <c r="F812" s="164" t="s">
        <v>394</v>
      </c>
      <c r="G812" s="164" t="s">
        <v>394</v>
      </c>
      <c r="H812" s="164" t="s">
        <v>395</v>
      </c>
      <c r="I812" s="164" t="s">
        <v>396</v>
      </c>
      <c r="J812" s="164" t="s">
        <v>397</v>
      </c>
      <c r="K812" s="164" t="s">
        <v>398</v>
      </c>
      <c r="L812" s="164" t="s">
        <v>399</v>
      </c>
      <c r="M812" s="164" t="s">
        <v>400</v>
      </c>
      <c r="N812" s="164" t="s">
        <v>401</v>
      </c>
      <c r="O812" s="164" t="s">
        <v>402</v>
      </c>
      <c r="P812" s="164" t="s">
        <v>403</v>
      </c>
      <c r="Q812" s="164" t="s">
        <v>404</v>
      </c>
      <c r="R812" s="159"/>
    </row>
    <row r="813" spans="1:18" ht="15.75" customHeight="1" x14ac:dyDescent="0.3">
      <c r="A813" s="159" t="s">
        <v>405</v>
      </c>
      <c r="B813" s="159"/>
      <c r="C813" s="159"/>
      <c r="D813" s="159"/>
      <c r="E813" s="159"/>
      <c r="F813" s="164" t="s">
        <v>406</v>
      </c>
      <c r="G813" s="164" t="s">
        <v>407</v>
      </c>
      <c r="H813" s="159"/>
      <c r="I813" s="159"/>
      <c r="J813" s="159"/>
      <c r="K813" s="159"/>
      <c r="L813" s="159"/>
      <c r="M813" s="159"/>
      <c r="N813" s="159"/>
      <c r="O813" s="159"/>
      <c r="P813" s="159"/>
      <c r="Q813" s="159"/>
      <c r="R813" s="159"/>
    </row>
    <row r="814" spans="1:18" ht="15.75" customHeight="1" x14ac:dyDescent="0.3">
      <c r="A814" s="159" t="s">
        <v>408</v>
      </c>
      <c r="B814" s="159">
        <v>953</v>
      </c>
      <c r="C814" s="159">
        <v>128</v>
      </c>
      <c r="D814" s="159">
        <v>128</v>
      </c>
      <c r="E814" s="159">
        <v>219</v>
      </c>
      <c r="F814" s="159">
        <v>179</v>
      </c>
      <c r="G814" s="159">
        <v>121</v>
      </c>
      <c r="H814" s="159">
        <v>92</v>
      </c>
      <c r="I814" s="159">
        <v>150</v>
      </c>
      <c r="J814" s="159">
        <v>237</v>
      </c>
      <c r="K814" s="159">
        <v>226</v>
      </c>
      <c r="L814" s="159">
        <v>99</v>
      </c>
      <c r="M814" s="159">
        <v>102</v>
      </c>
      <c r="N814" s="159">
        <v>249</v>
      </c>
      <c r="O814" s="159">
        <v>189</v>
      </c>
      <c r="P814" s="159">
        <v>333</v>
      </c>
      <c r="Q814" s="159">
        <v>411</v>
      </c>
      <c r="R814" s="159"/>
    </row>
    <row r="815" spans="1:18" ht="15.75" customHeight="1" x14ac:dyDescent="0.3">
      <c r="A815" s="159"/>
      <c r="B815" s="166" t="s">
        <v>409</v>
      </c>
      <c r="C815" s="166" t="s">
        <v>409</v>
      </c>
      <c r="D815" s="166" t="s">
        <v>409</v>
      </c>
      <c r="E815" s="166" t="s">
        <v>409</v>
      </c>
      <c r="F815" s="166" t="s">
        <v>409</v>
      </c>
      <c r="G815" s="166" t="s">
        <v>409</v>
      </c>
      <c r="H815" s="166" t="s">
        <v>409</v>
      </c>
      <c r="I815" s="166" t="s">
        <v>409</v>
      </c>
      <c r="J815" s="166" t="s">
        <v>409</v>
      </c>
      <c r="K815" s="166" t="s">
        <v>409</v>
      </c>
      <c r="L815" s="166" t="s">
        <v>409</v>
      </c>
      <c r="M815" s="166" t="s">
        <v>409</v>
      </c>
      <c r="N815" s="166" t="s">
        <v>409</v>
      </c>
      <c r="O815" s="166" t="s">
        <v>409</v>
      </c>
      <c r="P815" s="166" t="s">
        <v>409</v>
      </c>
      <c r="Q815" s="166" t="s">
        <v>409</v>
      </c>
      <c r="R815" s="159"/>
    </row>
    <row r="816" spans="1:18" ht="15.75" customHeight="1" x14ac:dyDescent="0.3">
      <c r="A816" s="164" t="s">
        <v>410</v>
      </c>
      <c r="B816" s="159">
        <f t="shared" ref="B816:Q816" si="116">(B758/31/1.98)</f>
        <v>2682.3069403714567</v>
      </c>
      <c r="C816" s="159">
        <f t="shared" si="116"/>
        <v>2680.7266210492016</v>
      </c>
      <c r="D816" s="159">
        <f t="shared" si="116"/>
        <v>2679.1625936787227</v>
      </c>
      <c r="E816" s="159">
        <f t="shared" si="116"/>
        <v>2427.859237536657</v>
      </c>
      <c r="F816" s="159">
        <f t="shared" si="116"/>
        <v>1623.4767025089607</v>
      </c>
      <c r="G816" s="159">
        <f t="shared" si="116"/>
        <v>0</v>
      </c>
      <c r="H816" s="159">
        <f t="shared" si="116"/>
        <v>471.79863147605084</v>
      </c>
      <c r="I816" s="159">
        <f t="shared" si="116"/>
        <v>248.24046920821115</v>
      </c>
      <c r="J816" s="159">
        <f t="shared" si="116"/>
        <v>241.70739654610622</v>
      </c>
      <c r="K816" s="159">
        <f t="shared" si="116"/>
        <v>223.16715542521993</v>
      </c>
      <c r="L816" s="159">
        <f t="shared" si="116"/>
        <v>146.85565330726621</v>
      </c>
      <c r="M816" s="159">
        <f t="shared" si="116"/>
        <v>146.52981427174976</v>
      </c>
      <c r="N816" s="159">
        <f t="shared" si="116"/>
        <v>138.88888888888889</v>
      </c>
      <c r="O816" s="159">
        <f t="shared" si="116"/>
        <v>8.2274356467904841</v>
      </c>
      <c r="P816" s="159">
        <f t="shared" si="116"/>
        <v>32.730531117627898</v>
      </c>
      <c r="Q816" s="159">
        <f t="shared" si="116"/>
        <v>7.5105897686542846</v>
      </c>
      <c r="R816" s="159"/>
    </row>
    <row r="817" spans="1:18" ht="15.75" customHeight="1" x14ac:dyDescent="0.3">
      <c r="A817" s="164" t="s">
        <v>411</v>
      </c>
      <c r="B817" s="159">
        <f t="shared" ref="B817:Q817" si="117">(B759/28/1.98)</f>
        <v>2844.9855699855698</v>
      </c>
      <c r="C817" s="159">
        <f t="shared" si="117"/>
        <v>2842.3160173160177</v>
      </c>
      <c r="D817" s="159">
        <f t="shared" si="117"/>
        <v>2839.7005772005773</v>
      </c>
      <c r="E817" s="159">
        <f t="shared" si="117"/>
        <v>2558.5137085137085</v>
      </c>
      <c r="F817" s="159">
        <f t="shared" si="117"/>
        <v>1599.5490620490621</v>
      </c>
      <c r="G817" s="159">
        <f t="shared" si="117"/>
        <v>0</v>
      </c>
      <c r="H817" s="159">
        <f t="shared" si="117"/>
        <v>614.62842712842712</v>
      </c>
      <c r="I817" s="159">
        <f t="shared" si="117"/>
        <v>266.61255411255411</v>
      </c>
      <c r="J817" s="159">
        <f t="shared" si="117"/>
        <v>235.1731601731602</v>
      </c>
      <c r="K817" s="159">
        <f t="shared" si="117"/>
        <v>198.10606060606059</v>
      </c>
      <c r="L817" s="159">
        <f t="shared" si="117"/>
        <v>156.42135642135642</v>
      </c>
      <c r="M817" s="159">
        <f t="shared" si="117"/>
        <v>156.02453102453103</v>
      </c>
      <c r="N817" s="159">
        <f t="shared" si="117"/>
        <v>146.60894660894661</v>
      </c>
      <c r="O817" s="159">
        <f t="shared" si="117"/>
        <v>17.045454545454547</v>
      </c>
      <c r="P817" s="159">
        <f t="shared" si="117"/>
        <v>85.245310245310236</v>
      </c>
      <c r="Q817" s="159">
        <f t="shared" si="117"/>
        <v>16.684704184704184</v>
      </c>
      <c r="R817" s="159"/>
    </row>
    <row r="818" spans="1:18" ht="15.75" customHeight="1" x14ac:dyDescent="0.3">
      <c r="A818" s="164" t="s">
        <v>412</v>
      </c>
      <c r="B818" s="159">
        <f t="shared" ref="B818:Q818" si="118">(B760/31/1.98)</f>
        <v>2743.9068100358422</v>
      </c>
      <c r="C818" s="159">
        <f t="shared" si="118"/>
        <v>2739.4428152492669</v>
      </c>
      <c r="D818" s="159">
        <f t="shared" si="118"/>
        <v>2735.1906158357774</v>
      </c>
      <c r="E818" s="159">
        <f t="shared" si="118"/>
        <v>2370.5930270446402</v>
      </c>
      <c r="F818" s="159">
        <f t="shared" si="118"/>
        <v>387.42261322906484</v>
      </c>
      <c r="G818" s="159">
        <f t="shared" si="118"/>
        <v>-1.3196480938416422</v>
      </c>
      <c r="H818" s="159">
        <f t="shared" si="118"/>
        <v>1510.3942652329749</v>
      </c>
      <c r="I818" s="159">
        <f t="shared" si="118"/>
        <v>493.67872271098076</v>
      </c>
      <c r="J818" s="159">
        <f t="shared" si="118"/>
        <v>382.63277940697299</v>
      </c>
      <c r="K818" s="159">
        <f t="shared" si="118"/>
        <v>298.74551971326167</v>
      </c>
      <c r="L818" s="159">
        <f t="shared" si="118"/>
        <v>209.18866080156403</v>
      </c>
      <c r="M818" s="159">
        <f t="shared" si="118"/>
        <v>208.73248615184102</v>
      </c>
      <c r="N818" s="159">
        <f t="shared" si="118"/>
        <v>195.32420984033888</v>
      </c>
      <c r="O818" s="159">
        <f t="shared" si="118"/>
        <v>36.868686868686872</v>
      </c>
      <c r="P818" s="159">
        <f t="shared" si="118"/>
        <v>83.659172368849795</v>
      </c>
      <c r="Q818" s="159">
        <f t="shared" si="118"/>
        <v>35.874877810361681</v>
      </c>
      <c r="R818" s="159"/>
    </row>
    <row r="819" spans="1:18" ht="15.75" customHeight="1" x14ac:dyDescent="0.3">
      <c r="A819" s="164" t="s">
        <v>413</v>
      </c>
      <c r="B819" s="159">
        <f t="shared" ref="B819:Q819" si="119">(B761/30/1.98)</f>
        <v>2793.939393939394</v>
      </c>
      <c r="C819" s="159">
        <f t="shared" si="119"/>
        <v>2787.7609427609427</v>
      </c>
      <c r="D819" s="159">
        <f t="shared" si="119"/>
        <v>2781.8686868686873</v>
      </c>
      <c r="E819" s="159">
        <f t="shared" si="119"/>
        <v>2410.9259259259261</v>
      </c>
      <c r="F819" s="159">
        <f t="shared" si="119"/>
        <v>0</v>
      </c>
      <c r="G819" s="159">
        <f t="shared" si="119"/>
        <v>-200.67340067340066</v>
      </c>
      <c r="H819" s="159">
        <f t="shared" si="119"/>
        <v>1992.7777777777776</v>
      </c>
      <c r="I819" s="159">
        <f t="shared" si="119"/>
        <v>757.76094276094273</v>
      </c>
      <c r="J819" s="159">
        <f t="shared" si="119"/>
        <v>530.89225589225589</v>
      </c>
      <c r="K819" s="159">
        <f t="shared" si="119"/>
        <v>401.31313131313135</v>
      </c>
      <c r="L819" s="159">
        <f t="shared" si="119"/>
        <v>245.65656565656565</v>
      </c>
      <c r="M819" s="159">
        <f t="shared" si="119"/>
        <v>245.03367003367003</v>
      </c>
      <c r="N819" s="159">
        <f t="shared" si="119"/>
        <v>227.91245791245791</v>
      </c>
      <c r="O819" s="159">
        <f t="shared" si="119"/>
        <v>53.501683501683502</v>
      </c>
      <c r="P819" s="159">
        <f t="shared" si="119"/>
        <v>84.595959595959599</v>
      </c>
      <c r="Q819" s="159">
        <f t="shared" si="119"/>
        <v>51.936026936026934</v>
      </c>
      <c r="R819" s="159"/>
    </row>
    <row r="820" spans="1:18" ht="15.75" customHeight="1" x14ac:dyDescent="0.3">
      <c r="A820" s="164" t="s">
        <v>414</v>
      </c>
      <c r="B820" s="159">
        <f t="shared" ref="B820:Q820" si="120">(B762/31/1.98)</f>
        <v>2802.0202020202019</v>
      </c>
      <c r="C820" s="159">
        <f t="shared" si="120"/>
        <v>2795.0961225154774</v>
      </c>
      <c r="D820" s="159">
        <f t="shared" si="120"/>
        <v>2788.5467579015963</v>
      </c>
      <c r="E820" s="159">
        <f t="shared" si="120"/>
        <v>2440.2574128380584</v>
      </c>
      <c r="F820" s="159">
        <f t="shared" si="120"/>
        <v>295.861844248941</v>
      </c>
      <c r="G820" s="159">
        <f t="shared" si="120"/>
        <v>-134.37601824698598</v>
      </c>
      <c r="H820" s="159">
        <f t="shared" si="120"/>
        <v>1665.4936461388074</v>
      </c>
      <c r="I820" s="159">
        <f t="shared" si="120"/>
        <v>590.5506679700228</v>
      </c>
      <c r="J820" s="159">
        <f t="shared" si="120"/>
        <v>446.52981427174979</v>
      </c>
      <c r="K820" s="159">
        <f t="shared" si="120"/>
        <v>366.71554252199417</v>
      </c>
      <c r="L820" s="159">
        <f t="shared" si="120"/>
        <v>250.43988269794721</v>
      </c>
      <c r="M820" s="159">
        <f t="shared" si="120"/>
        <v>249.75562072336265</v>
      </c>
      <c r="N820" s="159">
        <f t="shared" si="120"/>
        <v>245.35679374389053</v>
      </c>
      <c r="O820" s="159">
        <f t="shared" si="120"/>
        <v>57.836428804170737</v>
      </c>
      <c r="P820" s="159">
        <f t="shared" si="120"/>
        <v>86.396220267188014</v>
      </c>
      <c r="Q820" s="159">
        <f t="shared" si="120"/>
        <v>57.021831215379606</v>
      </c>
      <c r="R820" s="159"/>
    </row>
    <row r="821" spans="1:18" ht="15.75" customHeight="1" x14ac:dyDescent="0.3">
      <c r="A821" s="164" t="s">
        <v>415</v>
      </c>
      <c r="B821" s="159">
        <f t="shared" ref="B821:Q821" si="121">(B763/30/1.98)</f>
        <v>2163.333333333333</v>
      </c>
      <c r="C821" s="159">
        <f t="shared" si="121"/>
        <v>2156.3131313131312</v>
      </c>
      <c r="D821" s="159">
        <f t="shared" si="121"/>
        <v>2149.6464646464647</v>
      </c>
      <c r="E821" s="159">
        <f t="shared" si="121"/>
        <v>1874.5286195286194</v>
      </c>
      <c r="F821" s="159">
        <f t="shared" si="121"/>
        <v>12.946127946127946</v>
      </c>
      <c r="G821" s="159">
        <f t="shared" si="121"/>
        <v>-1014.5454545454545</v>
      </c>
      <c r="H821" s="159">
        <f t="shared" si="121"/>
        <v>2196.1784511784513</v>
      </c>
      <c r="I821" s="159">
        <f t="shared" si="121"/>
        <v>716.31313131313129</v>
      </c>
      <c r="J821" s="159">
        <f t="shared" si="121"/>
        <v>430.08417508417511</v>
      </c>
      <c r="K821" s="159">
        <f t="shared" si="121"/>
        <v>348.61952861952864</v>
      </c>
      <c r="L821" s="159">
        <f t="shared" si="121"/>
        <v>240.7744107744108</v>
      </c>
      <c r="M821" s="159">
        <f t="shared" si="121"/>
        <v>240.03367003367003</v>
      </c>
      <c r="N821" s="159">
        <f t="shared" si="121"/>
        <v>238.56902356902359</v>
      </c>
      <c r="O821" s="159">
        <f t="shared" si="121"/>
        <v>48.552188552188554</v>
      </c>
      <c r="P821" s="159">
        <f t="shared" si="121"/>
        <v>87.794612794612803</v>
      </c>
      <c r="Q821" s="159">
        <f t="shared" si="121"/>
        <v>48.215488215488215</v>
      </c>
      <c r="R821" s="159"/>
    </row>
    <row r="822" spans="1:18" ht="15.75" customHeight="1" x14ac:dyDescent="0.3">
      <c r="A822" s="164" t="s">
        <v>416</v>
      </c>
      <c r="B822" s="159">
        <f t="shared" ref="B822:Q823" si="122">(B764/31/1.98)</f>
        <v>1318.4913652655587</v>
      </c>
      <c r="C822" s="159">
        <f t="shared" si="122"/>
        <v>1311.7139133268165</v>
      </c>
      <c r="D822" s="159">
        <f t="shared" si="122"/>
        <v>1305.2948843271424</v>
      </c>
      <c r="E822" s="159">
        <f t="shared" si="122"/>
        <v>1181.9322254806125</v>
      </c>
      <c r="F822" s="159">
        <f t="shared" si="122"/>
        <v>0</v>
      </c>
      <c r="G822" s="159">
        <f t="shared" si="122"/>
        <v>-1509.9217986314759</v>
      </c>
      <c r="H822" s="159">
        <f t="shared" si="122"/>
        <v>1978.2013685239492</v>
      </c>
      <c r="I822" s="159">
        <f t="shared" si="122"/>
        <v>795.06353861192576</v>
      </c>
      <c r="J822" s="159">
        <f t="shared" si="122"/>
        <v>480.61257738677097</v>
      </c>
      <c r="K822" s="159">
        <f t="shared" si="122"/>
        <v>358.19485174323887</v>
      </c>
      <c r="L822" s="159">
        <f t="shared" si="122"/>
        <v>245.04724666014988</v>
      </c>
      <c r="M822" s="159">
        <f t="shared" si="122"/>
        <v>244.4118605408928</v>
      </c>
      <c r="N822" s="159">
        <f t="shared" si="122"/>
        <v>230.31932225480614</v>
      </c>
      <c r="O822" s="159">
        <f t="shared" si="122"/>
        <v>30.286738351254481</v>
      </c>
      <c r="P822" s="159">
        <f t="shared" si="122"/>
        <v>86.086673183447374</v>
      </c>
      <c r="Q822" s="159">
        <f t="shared" si="122"/>
        <v>29.390681003584231</v>
      </c>
      <c r="R822" s="159"/>
    </row>
    <row r="823" spans="1:18" ht="15.75" customHeight="1" x14ac:dyDescent="0.3">
      <c r="A823" s="164" t="s">
        <v>417</v>
      </c>
      <c r="B823" s="159">
        <f t="shared" si="122"/>
        <v>1117.2857608341478</v>
      </c>
      <c r="C823" s="159">
        <f t="shared" si="122"/>
        <v>1111.8442489410231</v>
      </c>
      <c r="D823" s="159">
        <f t="shared" si="122"/>
        <v>1106.6634082763114</v>
      </c>
      <c r="E823" s="159">
        <f t="shared" si="122"/>
        <v>879.11371782339529</v>
      </c>
      <c r="F823" s="159">
        <f t="shared" si="122"/>
        <v>0</v>
      </c>
      <c r="G823" s="159">
        <f t="shared" si="122"/>
        <v>-2107.9015966112743</v>
      </c>
      <c r="H823" s="159">
        <f t="shared" si="122"/>
        <v>2338.9703486477679</v>
      </c>
      <c r="I823" s="159">
        <f t="shared" si="122"/>
        <v>866.50374714890847</v>
      </c>
      <c r="J823" s="159">
        <f t="shared" si="122"/>
        <v>550.79830563701523</v>
      </c>
      <c r="K823" s="159">
        <f t="shared" si="122"/>
        <v>398.3056370153144</v>
      </c>
      <c r="L823" s="159">
        <f t="shared" si="122"/>
        <v>286.86868686868689</v>
      </c>
      <c r="M823" s="159">
        <f t="shared" si="122"/>
        <v>286.2821766047573</v>
      </c>
      <c r="N823" s="159">
        <f t="shared" si="122"/>
        <v>271.48908439231019</v>
      </c>
      <c r="O823" s="159">
        <f t="shared" si="122"/>
        <v>54.561746497230367</v>
      </c>
      <c r="P823" s="159">
        <f t="shared" si="122"/>
        <v>89.377647442163578</v>
      </c>
      <c r="Q823" s="159">
        <f t="shared" si="122"/>
        <v>52.867383512544798</v>
      </c>
      <c r="R823" s="159"/>
    </row>
    <row r="824" spans="1:18" ht="15.75" customHeight="1" x14ac:dyDescent="0.3">
      <c r="A824" s="164" t="s">
        <v>418</v>
      </c>
      <c r="B824" s="159">
        <f>(B766/30/1.98)</f>
        <v>1589.3939393939395</v>
      </c>
      <c r="C824" s="159">
        <f t="shared" ref="C824:Q824" si="123">(C766/30/1.98)</f>
        <v>1584.0740740740741</v>
      </c>
      <c r="D824" s="159">
        <f t="shared" si="123"/>
        <v>1579.006734006734</v>
      </c>
      <c r="E824" s="159">
        <f t="shared" si="123"/>
        <v>1355.9595959595961</v>
      </c>
      <c r="F824" s="159">
        <f t="shared" si="123"/>
        <v>0</v>
      </c>
      <c r="G824" s="159">
        <f t="shared" si="123"/>
        <v>-912.64309764309769</v>
      </c>
      <c r="H824" s="159">
        <f t="shared" si="123"/>
        <v>1645.5555555555554</v>
      </c>
      <c r="I824" s="159">
        <f t="shared" si="123"/>
        <v>607.65993265993268</v>
      </c>
      <c r="J824" s="159">
        <f t="shared" si="123"/>
        <v>481.91919191919197</v>
      </c>
      <c r="K824" s="159">
        <f t="shared" si="123"/>
        <v>379.76430976430976</v>
      </c>
      <c r="L824" s="159">
        <f t="shared" si="123"/>
        <v>287.10437710437714</v>
      </c>
      <c r="M824" s="159">
        <f t="shared" si="123"/>
        <v>286.53198653198655</v>
      </c>
      <c r="N824" s="159">
        <f t="shared" si="123"/>
        <v>276.11111111111114</v>
      </c>
      <c r="O824" s="159">
        <f t="shared" si="123"/>
        <v>52.727272727272734</v>
      </c>
      <c r="P824" s="159">
        <f t="shared" si="123"/>
        <v>75.505050505050505</v>
      </c>
      <c r="Q824" s="159">
        <f t="shared" si="123"/>
        <v>52.62626262626263</v>
      </c>
      <c r="R824" s="159"/>
    </row>
    <row r="825" spans="1:18" ht="15.75" customHeight="1" x14ac:dyDescent="0.3">
      <c r="A825" s="164" t="s">
        <v>419</v>
      </c>
      <c r="B825" s="159">
        <f t="shared" ref="B825:Q825" si="124">(B767/31/1.98)</f>
        <v>2205.8488106875207</v>
      </c>
      <c r="C825" s="159">
        <f t="shared" si="124"/>
        <v>2201.2056044314108</v>
      </c>
      <c r="D825" s="159">
        <f t="shared" si="124"/>
        <v>2196.7741935483873</v>
      </c>
      <c r="E825" s="159">
        <f t="shared" si="124"/>
        <v>1995.2916259367871</v>
      </c>
      <c r="F825" s="159">
        <f t="shared" si="124"/>
        <v>421.08178559791463</v>
      </c>
      <c r="G825" s="159">
        <f t="shared" si="124"/>
        <v>-25.301401107852719</v>
      </c>
      <c r="H825" s="159">
        <f t="shared" si="124"/>
        <v>1025.0407298794396</v>
      </c>
      <c r="I825" s="159">
        <f t="shared" si="124"/>
        <v>360.6875203649397</v>
      </c>
      <c r="J825" s="159">
        <f t="shared" si="124"/>
        <v>304.46399478657543</v>
      </c>
      <c r="K825" s="159">
        <f t="shared" si="124"/>
        <v>260.54089279895732</v>
      </c>
      <c r="L825" s="159">
        <f t="shared" si="124"/>
        <v>200.76572173346366</v>
      </c>
      <c r="M825" s="159">
        <f t="shared" si="124"/>
        <v>200.2932551319648</v>
      </c>
      <c r="N825" s="159">
        <f t="shared" si="124"/>
        <v>195.34050179211468</v>
      </c>
      <c r="O825" s="159">
        <f t="shared" si="124"/>
        <v>42.114695340501797</v>
      </c>
      <c r="P825" s="159">
        <f t="shared" si="124"/>
        <v>91.120886282176599</v>
      </c>
      <c r="Q825" s="159">
        <f t="shared" si="124"/>
        <v>42.033235581622677</v>
      </c>
      <c r="R825" s="159"/>
    </row>
    <row r="826" spans="1:18" ht="15.75" customHeight="1" x14ac:dyDescent="0.3">
      <c r="A826" s="164" t="s">
        <v>420</v>
      </c>
      <c r="B826" s="159">
        <f t="shared" ref="B826:Q826" si="125">(B768/30/1.98)</f>
        <v>2830.8922558922559</v>
      </c>
      <c r="C826" s="159">
        <f t="shared" si="125"/>
        <v>2826.9360269360268</v>
      </c>
      <c r="D826" s="159">
        <f t="shared" si="125"/>
        <v>2823.1313131313132</v>
      </c>
      <c r="E826" s="159">
        <f t="shared" si="125"/>
        <v>2573.9225589225589</v>
      </c>
      <c r="F826" s="159">
        <f t="shared" si="125"/>
        <v>1532.7441077441079</v>
      </c>
      <c r="G826" s="159">
        <f t="shared" si="125"/>
        <v>0</v>
      </c>
      <c r="H826" s="159">
        <f t="shared" si="125"/>
        <v>537.74410774410774</v>
      </c>
      <c r="I826" s="159">
        <f t="shared" si="125"/>
        <v>172.87878787878788</v>
      </c>
      <c r="J826" s="159">
        <f t="shared" si="125"/>
        <v>161.4814814814815</v>
      </c>
      <c r="K826" s="159">
        <f t="shared" si="125"/>
        <v>157.44107744107745</v>
      </c>
      <c r="L826" s="159">
        <f t="shared" si="125"/>
        <v>126.44781144781145</v>
      </c>
      <c r="M826" s="159">
        <f t="shared" si="125"/>
        <v>126.06060606060606</v>
      </c>
      <c r="N826" s="159">
        <f t="shared" si="125"/>
        <v>123.38383838383839</v>
      </c>
      <c r="O826" s="159">
        <f t="shared" si="125"/>
        <v>28.98989898989899</v>
      </c>
      <c r="P826" s="159">
        <f t="shared" si="125"/>
        <v>84.966329966329965</v>
      </c>
      <c r="Q826" s="159">
        <f t="shared" si="125"/>
        <v>27.457912457912457</v>
      </c>
      <c r="R826" s="159"/>
    </row>
    <row r="827" spans="1:18" ht="15.75" customHeight="1" x14ac:dyDescent="0.3">
      <c r="A827" s="164" t="s">
        <v>421</v>
      </c>
      <c r="B827" s="159">
        <f t="shared" ref="B827:Q827" si="126">(B769/31/1.98)</f>
        <v>1085.3209514499838</v>
      </c>
      <c r="C827" s="159">
        <f t="shared" si="126"/>
        <v>1082.2906484196808</v>
      </c>
      <c r="D827" s="159">
        <f t="shared" si="126"/>
        <v>1079.3743890518083</v>
      </c>
      <c r="E827" s="159">
        <f t="shared" si="126"/>
        <v>815.3796024763767</v>
      </c>
      <c r="F827" s="159">
        <f t="shared" si="126"/>
        <v>336.64059954382532</v>
      </c>
      <c r="G827" s="159">
        <f t="shared" si="126"/>
        <v>-368.88237210817857</v>
      </c>
      <c r="H827" s="159">
        <f t="shared" si="126"/>
        <v>504.26849136526556</v>
      </c>
      <c r="I827" s="159">
        <f t="shared" si="126"/>
        <v>266.25936787227113</v>
      </c>
      <c r="J827" s="159">
        <f t="shared" si="126"/>
        <v>241.00684261974584</v>
      </c>
      <c r="K827" s="159">
        <f t="shared" si="126"/>
        <v>229.60247637666993</v>
      </c>
      <c r="L827" s="159">
        <f t="shared" si="126"/>
        <v>164.8256761159987</v>
      </c>
      <c r="M827" s="159">
        <f t="shared" si="126"/>
        <v>164.51612903225808</v>
      </c>
      <c r="N827" s="159">
        <f t="shared" si="126"/>
        <v>164.28804170739656</v>
      </c>
      <c r="O827" s="159">
        <f t="shared" si="126"/>
        <v>43.662430759204952</v>
      </c>
      <c r="P827" s="159">
        <f t="shared" si="126"/>
        <v>87.862495927012063</v>
      </c>
      <c r="Q827" s="159">
        <f t="shared" si="126"/>
        <v>43.385467579015966</v>
      </c>
      <c r="R827" s="159"/>
    </row>
    <row r="828" spans="1:18" ht="15.75" customHeight="1" x14ac:dyDescent="0.3">
      <c r="A828" s="159"/>
      <c r="B828" s="159"/>
      <c r="C828" s="159"/>
      <c r="D828" s="159"/>
      <c r="E828" s="159"/>
      <c r="F828" s="159"/>
      <c r="G828" s="159"/>
      <c r="H828" s="159"/>
      <c r="I828" s="159"/>
      <c r="J828" s="159"/>
      <c r="K828" s="159"/>
      <c r="L828" s="159"/>
      <c r="M828" s="159"/>
      <c r="N828" s="159"/>
      <c r="O828" s="159"/>
      <c r="P828" s="159"/>
      <c r="Q828" s="159"/>
      <c r="R828" s="159"/>
    </row>
    <row r="829" spans="1:18" ht="15.75" customHeight="1" x14ac:dyDescent="0.3">
      <c r="A829" s="159"/>
      <c r="B829" s="159"/>
      <c r="C829" s="159"/>
      <c r="D829" s="161" t="s">
        <v>456</v>
      </c>
      <c r="E829" s="159"/>
      <c r="F829" s="159"/>
      <c r="G829" s="159"/>
      <c r="H829" s="159"/>
      <c r="I829" s="159"/>
      <c r="J829" s="159"/>
      <c r="K829" s="159"/>
      <c r="L829" s="159"/>
      <c r="M829" s="159"/>
      <c r="N829" s="159"/>
      <c r="O829" s="159"/>
      <c r="P829" s="159"/>
      <c r="Q829" s="161" t="str">
        <f>+Q1</f>
        <v>PRINTED:</v>
      </c>
      <c r="R829" s="162">
        <f ca="1">+R1</f>
        <v>44909.46975358796</v>
      </c>
    </row>
    <row r="830" spans="1:18" ht="15.75" customHeight="1" x14ac:dyDescent="0.3">
      <c r="A830" s="159"/>
      <c r="B830" s="159"/>
      <c r="C830" s="159"/>
      <c r="D830" s="159"/>
      <c r="E830" s="159" t="s">
        <v>7</v>
      </c>
      <c r="F830" s="163" t="str">
        <f>+A8</f>
        <v>Revised:  1/19/09</v>
      </c>
      <c r="G830" s="159"/>
      <c r="H830" s="159"/>
      <c r="I830" s="159"/>
      <c r="J830" s="159"/>
      <c r="K830" s="159"/>
      <c r="L830" s="159"/>
      <c r="M830" s="159"/>
      <c r="N830" s="159"/>
      <c r="O830" s="159"/>
      <c r="P830" s="159"/>
      <c r="Q830" s="159"/>
      <c r="R830" s="159"/>
    </row>
    <row r="831" spans="1:18" ht="15.75" customHeight="1" x14ac:dyDescent="0.3">
      <c r="A831" s="159"/>
      <c r="B831" s="159"/>
      <c r="C831" s="159"/>
      <c r="D831" s="159" t="s">
        <v>387</v>
      </c>
      <c r="E831" s="159"/>
      <c r="F831" s="159"/>
      <c r="G831" s="159"/>
      <c r="H831" s="159"/>
      <c r="I831" s="159"/>
      <c r="J831" s="159"/>
      <c r="K831" s="159"/>
      <c r="L831" s="159"/>
      <c r="M831" s="159"/>
      <c r="N831" s="159"/>
      <c r="O831" s="159"/>
      <c r="P831" s="159"/>
      <c r="Q831" s="159"/>
      <c r="R831" s="159"/>
    </row>
    <row r="832" spans="1:18" ht="15.75" customHeight="1" x14ac:dyDescent="0.3">
      <c r="A832" s="159"/>
      <c r="B832" s="159"/>
      <c r="C832" s="159"/>
      <c r="D832" s="159"/>
      <c r="E832" s="159"/>
      <c r="F832" s="159"/>
      <c r="G832" s="159"/>
      <c r="H832" s="159"/>
      <c r="I832" s="159"/>
      <c r="J832" s="159"/>
      <c r="K832" s="159"/>
      <c r="L832" s="159"/>
      <c r="M832" s="159"/>
      <c r="N832" s="159"/>
      <c r="O832" s="159"/>
      <c r="P832" s="159"/>
      <c r="Q832" s="159"/>
      <c r="R832" s="159"/>
    </row>
    <row r="833" spans="1:18" ht="15.75" customHeight="1" x14ac:dyDescent="0.3">
      <c r="A833" s="159"/>
      <c r="B833" s="159"/>
      <c r="C833" s="159"/>
      <c r="D833" s="159"/>
      <c r="E833" s="159" t="str">
        <f>A5</f>
        <v>Calendar Year 2008</v>
      </c>
      <c r="F833" s="159"/>
      <c r="G833" s="159"/>
      <c r="H833" s="159"/>
      <c r="I833" s="159"/>
      <c r="J833" s="159"/>
      <c r="K833" s="159"/>
      <c r="L833" s="159"/>
      <c r="M833" s="159"/>
      <c r="N833" s="159"/>
      <c r="O833" s="159"/>
      <c r="P833" s="159"/>
      <c r="Q833" s="159"/>
      <c r="R833" s="159"/>
    </row>
    <row r="834" spans="1:18" ht="15.75" customHeight="1" x14ac:dyDescent="0.3">
      <c r="A834" s="159"/>
      <c r="B834" s="159"/>
      <c r="C834" s="159"/>
      <c r="D834" s="159"/>
      <c r="E834" s="159" t="s">
        <v>457</v>
      </c>
      <c r="F834" s="159"/>
      <c r="G834" s="159"/>
      <c r="H834" s="159"/>
      <c r="I834" s="159"/>
      <c r="J834" s="159"/>
      <c r="K834" s="159"/>
      <c r="L834" s="159"/>
      <c r="M834" s="159"/>
      <c r="N834" s="159"/>
      <c r="O834" s="159"/>
      <c r="P834" s="159"/>
      <c r="Q834" s="159"/>
      <c r="R834" s="159"/>
    </row>
    <row r="835" spans="1:18" ht="15.75" customHeight="1" x14ac:dyDescent="0.3">
      <c r="A835" s="159"/>
      <c r="B835" s="159"/>
      <c r="C835" s="159"/>
      <c r="D835" s="159"/>
      <c r="E835" s="159"/>
      <c r="F835" s="159"/>
      <c r="G835" s="159"/>
      <c r="H835" s="159"/>
      <c r="I835" s="159"/>
      <c r="J835" s="159"/>
      <c r="K835" s="159"/>
      <c r="L835" s="159"/>
      <c r="M835" s="159"/>
      <c r="N835" s="159"/>
      <c r="O835" s="159"/>
      <c r="P835" s="159"/>
      <c r="Q835" s="159"/>
      <c r="R835" s="159"/>
    </row>
    <row r="836" spans="1:18" ht="15.75" customHeight="1" x14ac:dyDescent="0.3">
      <c r="A836" s="159" t="s">
        <v>389</v>
      </c>
      <c r="B836" s="164" t="s">
        <v>390</v>
      </c>
      <c r="C836" s="164" t="s">
        <v>391</v>
      </c>
      <c r="D836" s="164" t="s">
        <v>392</v>
      </c>
      <c r="E836" s="164" t="s">
        <v>393</v>
      </c>
      <c r="F836" s="164" t="s">
        <v>394</v>
      </c>
      <c r="G836" s="164" t="s">
        <v>394</v>
      </c>
      <c r="H836" s="164" t="s">
        <v>395</v>
      </c>
      <c r="I836" s="164" t="s">
        <v>396</v>
      </c>
      <c r="J836" s="164" t="s">
        <v>397</v>
      </c>
      <c r="K836" s="164" t="s">
        <v>398</v>
      </c>
      <c r="L836" s="164" t="s">
        <v>399</v>
      </c>
      <c r="M836" s="164" t="s">
        <v>400</v>
      </c>
      <c r="N836" s="164" t="s">
        <v>401</v>
      </c>
      <c r="O836" s="164" t="s">
        <v>402</v>
      </c>
      <c r="P836" s="164" t="s">
        <v>403</v>
      </c>
      <c r="Q836" s="164" t="s">
        <v>404</v>
      </c>
      <c r="R836" s="164" t="s">
        <v>422</v>
      </c>
    </row>
    <row r="837" spans="1:18" ht="15.75" customHeight="1" x14ac:dyDescent="0.3">
      <c r="A837" s="159" t="s">
        <v>405</v>
      </c>
      <c r="B837" s="159"/>
      <c r="C837" s="159"/>
      <c r="D837" s="159"/>
      <c r="E837" s="159"/>
      <c r="F837" s="164" t="s">
        <v>406</v>
      </c>
      <c r="G837" s="164" t="s">
        <v>407</v>
      </c>
      <c r="H837" s="159"/>
      <c r="I837" s="159"/>
      <c r="J837" s="159"/>
      <c r="K837" s="159"/>
      <c r="L837" s="159"/>
      <c r="M837" s="159"/>
      <c r="N837" s="159"/>
      <c r="O837" s="159"/>
      <c r="P837" s="159"/>
      <c r="Q837" s="159"/>
      <c r="R837" s="164" t="s">
        <v>458</v>
      </c>
    </row>
    <row r="838" spans="1:18" ht="15.75" customHeight="1" x14ac:dyDescent="0.3">
      <c r="A838" s="159" t="s">
        <v>408</v>
      </c>
      <c r="B838" s="159">
        <v>953</v>
      </c>
      <c r="C838" s="159">
        <v>128</v>
      </c>
      <c r="D838" s="159">
        <v>128</v>
      </c>
      <c r="E838" s="159">
        <v>219</v>
      </c>
      <c r="F838" s="159">
        <v>179</v>
      </c>
      <c r="G838" s="159">
        <v>121</v>
      </c>
      <c r="H838" s="159">
        <v>92</v>
      </c>
      <c r="I838" s="159">
        <v>150</v>
      </c>
      <c r="J838" s="159">
        <v>237</v>
      </c>
      <c r="K838" s="159">
        <v>226</v>
      </c>
      <c r="L838" s="159">
        <v>99</v>
      </c>
      <c r="M838" s="159">
        <v>102</v>
      </c>
      <c r="N838" s="159">
        <v>249</v>
      </c>
      <c r="O838" s="159">
        <v>189</v>
      </c>
      <c r="P838" s="159">
        <v>333</v>
      </c>
      <c r="Q838" s="159">
        <v>411</v>
      </c>
      <c r="R838" s="164" t="s">
        <v>442</v>
      </c>
    </row>
    <row r="839" spans="1:18" ht="15.75" customHeight="1" x14ac:dyDescent="0.3">
      <c r="A839" s="159"/>
      <c r="B839" s="159" t="s">
        <v>409</v>
      </c>
      <c r="C839" s="159" t="s">
        <v>409</v>
      </c>
      <c r="D839" s="159" t="s">
        <v>409</v>
      </c>
      <c r="E839" s="159" t="s">
        <v>409</v>
      </c>
      <c r="F839" s="159" t="s">
        <v>409</v>
      </c>
      <c r="G839" s="159" t="s">
        <v>409</v>
      </c>
      <c r="H839" s="159" t="s">
        <v>409</v>
      </c>
      <c r="I839" s="159" t="s">
        <v>409</v>
      </c>
      <c r="J839" s="159" t="s">
        <v>409</v>
      </c>
      <c r="K839" s="159" t="s">
        <v>409</v>
      </c>
      <c r="L839" s="159" t="s">
        <v>409</v>
      </c>
      <c r="M839" s="159" t="s">
        <v>409</v>
      </c>
      <c r="N839" s="159" t="s">
        <v>409</v>
      </c>
      <c r="O839" s="159" t="s">
        <v>409</v>
      </c>
      <c r="P839" s="159" t="s">
        <v>409</v>
      </c>
      <c r="Q839" s="159" t="s">
        <v>409</v>
      </c>
      <c r="R839" s="159" t="s">
        <v>459</v>
      </c>
    </row>
    <row r="840" spans="1:18" ht="15.75" customHeight="1" x14ac:dyDescent="0.3">
      <c r="A840" s="164" t="s">
        <v>410</v>
      </c>
      <c r="B840" s="159">
        <f t="shared" ref="B840:Q840" si="127">(B758*B756)/1000</f>
        <v>156901.92000000001</v>
      </c>
      <c r="C840" s="159">
        <f t="shared" si="127"/>
        <v>21061.504000000001</v>
      </c>
      <c r="D840" s="159">
        <f t="shared" si="127"/>
        <v>21049.216</v>
      </c>
      <c r="E840" s="159">
        <f t="shared" si="127"/>
        <v>32635.817999999999</v>
      </c>
      <c r="F840" s="159">
        <f t="shared" si="127"/>
        <v>17837.170999999998</v>
      </c>
      <c r="G840" s="159">
        <f t="shared" si="127"/>
        <v>0</v>
      </c>
      <c r="H840" s="159">
        <f t="shared" si="127"/>
        <v>2664.2280000000001</v>
      </c>
      <c r="I840" s="159">
        <f t="shared" si="127"/>
        <v>2285.5500000000002</v>
      </c>
      <c r="J840" s="159">
        <f t="shared" si="127"/>
        <v>3516.1320000000001</v>
      </c>
      <c r="K840" s="159">
        <f t="shared" si="127"/>
        <v>3095.748</v>
      </c>
      <c r="L840" s="159">
        <f t="shared" si="127"/>
        <v>892.38599999999997</v>
      </c>
      <c r="M840" s="159">
        <f t="shared" si="127"/>
        <v>917.38800000000003</v>
      </c>
      <c r="N840" s="159">
        <f t="shared" si="127"/>
        <v>2122.7249999999999</v>
      </c>
      <c r="O840" s="159">
        <f t="shared" si="127"/>
        <v>95.444999999999993</v>
      </c>
      <c r="P840" s="159">
        <f t="shared" si="127"/>
        <v>668.99699999999996</v>
      </c>
      <c r="Q840" s="159">
        <f t="shared" si="127"/>
        <v>189.471</v>
      </c>
      <c r="R840" s="159">
        <f t="shared" ref="R840:R851" si="128">(SUM(B840:Q840))</f>
        <v>265933.69899999996</v>
      </c>
    </row>
    <row r="841" spans="1:18" ht="15.75" customHeight="1" x14ac:dyDescent="0.3">
      <c r="A841" s="164" t="s">
        <v>411</v>
      </c>
      <c r="B841" s="159">
        <f t="shared" ref="B841:Q841" si="129">(B759*B756)/1000</f>
        <v>150312.878</v>
      </c>
      <c r="C841" s="159">
        <f t="shared" si="129"/>
        <v>20169.984</v>
      </c>
      <c r="D841" s="159">
        <f t="shared" si="129"/>
        <v>20151.423999999999</v>
      </c>
      <c r="E841" s="159">
        <f t="shared" si="129"/>
        <v>31063.835999999999</v>
      </c>
      <c r="F841" s="159">
        <f t="shared" si="129"/>
        <v>15873.540999999999</v>
      </c>
      <c r="G841" s="159">
        <f t="shared" si="129"/>
        <v>0</v>
      </c>
      <c r="H841" s="159">
        <f t="shared" si="129"/>
        <v>3134.9</v>
      </c>
      <c r="I841" s="159">
        <f t="shared" si="129"/>
        <v>2217.15</v>
      </c>
      <c r="J841" s="159">
        <f t="shared" si="129"/>
        <v>3090.0059999999999</v>
      </c>
      <c r="K841" s="159">
        <f t="shared" si="129"/>
        <v>2482.1579999999999</v>
      </c>
      <c r="L841" s="159">
        <f t="shared" si="129"/>
        <v>858.52800000000002</v>
      </c>
      <c r="M841" s="159">
        <f t="shared" si="129"/>
        <v>882.3</v>
      </c>
      <c r="N841" s="159">
        <f t="shared" si="129"/>
        <v>2023.8720000000001</v>
      </c>
      <c r="O841" s="159">
        <f t="shared" si="129"/>
        <v>178.60499999999999</v>
      </c>
      <c r="P841" s="159">
        <f t="shared" si="129"/>
        <v>1573.758</v>
      </c>
      <c r="Q841" s="159">
        <f t="shared" si="129"/>
        <v>380.17500000000001</v>
      </c>
      <c r="R841" s="159">
        <f t="shared" si="128"/>
        <v>254393.11499999996</v>
      </c>
    </row>
    <row r="842" spans="1:18" ht="15.75" customHeight="1" x14ac:dyDescent="0.3">
      <c r="A842" s="164" t="s">
        <v>412</v>
      </c>
      <c r="B842" s="159">
        <f t="shared" ref="B842:Q842" si="130">(B760*B756)/1000</f>
        <v>160505.21299999999</v>
      </c>
      <c r="C842" s="159">
        <f t="shared" si="130"/>
        <v>21522.815999999999</v>
      </c>
      <c r="D842" s="159">
        <f t="shared" si="130"/>
        <v>21489.407999999999</v>
      </c>
      <c r="E842" s="159">
        <f t="shared" si="130"/>
        <v>31866.032999999999</v>
      </c>
      <c r="F842" s="159">
        <f t="shared" si="130"/>
        <v>4256.62</v>
      </c>
      <c r="G842" s="159">
        <f t="shared" si="130"/>
        <v>-9.8010000000000002</v>
      </c>
      <c r="H842" s="159">
        <f t="shared" si="130"/>
        <v>8529.1360000000004</v>
      </c>
      <c r="I842" s="159">
        <f t="shared" si="130"/>
        <v>4545.3</v>
      </c>
      <c r="J842" s="159">
        <f t="shared" si="130"/>
        <v>5566.1819999999998</v>
      </c>
      <c r="K842" s="159">
        <f t="shared" si="130"/>
        <v>4144.1620000000003</v>
      </c>
      <c r="L842" s="159">
        <f t="shared" si="130"/>
        <v>1271.1600000000001</v>
      </c>
      <c r="M842" s="159">
        <f t="shared" si="130"/>
        <v>1306.8240000000001</v>
      </c>
      <c r="N842" s="159">
        <f t="shared" si="130"/>
        <v>2985.261</v>
      </c>
      <c r="O842" s="159">
        <f t="shared" si="130"/>
        <v>427.70699999999999</v>
      </c>
      <c r="P842" s="159">
        <f t="shared" si="130"/>
        <v>1709.9549999999999</v>
      </c>
      <c r="Q842" s="159">
        <f t="shared" si="130"/>
        <v>905.02200000000005</v>
      </c>
      <c r="R842" s="159">
        <f t="shared" si="128"/>
        <v>271020.99799999996</v>
      </c>
    </row>
    <row r="843" spans="1:18" ht="15.75" customHeight="1" x14ac:dyDescent="0.3">
      <c r="A843" s="164" t="s">
        <v>413</v>
      </c>
      <c r="B843" s="159">
        <f t="shared" ref="B843:Q843" si="131">(B761*B756)/1000</f>
        <v>158159.88</v>
      </c>
      <c r="C843" s="159">
        <f t="shared" si="131"/>
        <v>21195.903999999999</v>
      </c>
      <c r="D843" s="159">
        <f t="shared" si="131"/>
        <v>21151.103999999999</v>
      </c>
      <c r="E843" s="159">
        <f t="shared" si="131"/>
        <v>31362.771000000001</v>
      </c>
      <c r="F843" s="159">
        <f t="shared" si="131"/>
        <v>0</v>
      </c>
      <c r="G843" s="159">
        <f t="shared" si="131"/>
        <v>-1442.32</v>
      </c>
      <c r="H843" s="159">
        <f t="shared" si="131"/>
        <v>10890.132</v>
      </c>
      <c r="I843" s="159">
        <f t="shared" si="131"/>
        <v>6751.65</v>
      </c>
      <c r="J843" s="159">
        <f t="shared" si="131"/>
        <v>7473.7950000000001</v>
      </c>
      <c r="K843" s="159">
        <f t="shared" si="131"/>
        <v>5387.3879999999999</v>
      </c>
      <c r="L843" s="159">
        <f t="shared" si="131"/>
        <v>1444.6079999999999</v>
      </c>
      <c r="M843" s="159">
        <f t="shared" si="131"/>
        <v>1484.61</v>
      </c>
      <c r="N843" s="159">
        <f t="shared" si="131"/>
        <v>3370.962</v>
      </c>
      <c r="O843" s="159">
        <f t="shared" si="131"/>
        <v>600.64200000000005</v>
      </c>
      <c r="P843" s="159">
        <f t="shared" si="131"/>
        <v>1673.325</v>
      </c>
      <c r="Q843" s="159">
        <f t="shared" si="131"/>
        <v>1267.9349999999999</v>
      </c>
      <c r="R843" s="159">
        <f t="shared" si="128"/>
        <v>270772.386</v>
      </c>
    </row>
    <row r="844" spans="1:18" ht="15.75" customHeight="1" x14ac:dyDescent="0.3">
      <c r="A844" s="164" t="s">
        <v>414</v>
      </c>
      <c r="B844" s="159">
        <f t="shared" ref="B844:Q844" si="132">(B762*B756)/1000</f>
        <v>163904.56400000001</v>
      </c>
      <c r="C844" s="159">
        <f t="shared" si="132"/>
        <v>21960.063999999998</v>
      </c>
      <c r="D844" s="159">
        <f t="shared" si="132"/>
        <v>21908.608</v>
      </c>
      <c r="E844" s="159">
        <f t="shared" si="132"/>
        <v>32802.476999999999</v>
      </c>
      <c r="F844" s="159">
        <f t="shared" si="132"/>
        <v>3250.64</v>
      </c>
      <c r="G844" s="159">
        <f t="shared" si="132"/>
        <v>-998.00800000000004</v>
      </c>
      <c r="H844" s="159">
        <f t="shared" si="132"/>
        <v>9404.9760000000006</v>
      </c>
      <c r="I844" s="159">
        <f t="shared" si="132"/>
        <v>5437.2</v>
      </c>
      <c r="J844" s="159">
        <f t="shared" si="132"/>
        <v>6495.6959999999999</v>
      </c>
      <c r="K844" s="159">
        <f t="shared" si="132"/>
        <v>5087.0339999999997</v>
      </c>
      <c r="L844" s="159">
        <f t="shared" si="132"/>
        <v>1521.828</v>
      </c>
      <c r="M844" s="159">
        <f t="shared" si="132"/>
        <v>1563.66</v>
      </c>
      <c r="N844" s="159">
        <f t="shared" si="132"/>
        <v>3749.94</v>
      </c>
      <c r="O844" s="159">
        <f t="shared" si="132"/>
        <v>670.95</v>
      </c>
      <c r="P844" s="159">
        <f t="shared" si="132"/>
        <v>1765.8989999999999</v>
      </c>
      <c r="Q844" s="159">
        <f t="shared" si="132"/>
        <v>1438.5</v>
      </c>
      <c r="R844" s="159">
        <f t="shared" si="128"/>
        <v>279964.02799999999</v>
      </c>
    </row>
    <row r="845" spans="1:18" ht="15.75" customHeight="1" x14ac:dyDescent="0.3">
      <c r="A845" s="164" t="s">
        <v>415</v>
      </c>
      <c r="B845" s="159">
        <f t="shared" ref="B845:Q845" si="133">(B763*B756)/1000</f>
        <v>122462.406</v>
      </c>
      <c r="C845" s="159">
        <f t="shared" si="133"/>
        <v>16394.88</v>
      </c>
      <c r="D845" s="159">
        <f t="shared" si="133"/>
        <v>16344.191999999999</v>
      </c>
      <c r="E845" s="159">
        <f t="shared" si="133"/>
        <v>24384.992999999999</v>
      </c>
      <c r="F845" s="159">
        <f t="shared" si="133"/>
        <v>137.65100000000001</v>
      </c>
      <c r="G845" s="159">
        <f t="shared" si="133"/>
        <v>-7291.9440000000004</v>
      </c>
      <c r="H845" s="159">
        <f t="shared" si="133"/>
        <v>12001.675999999999</v>
      </c>
      <c r="I845" s="159">
        <f t="shared" si="133"/>
        <v>6382.35</v>
      </c>
      <c r="J845" s="159">
        <f t="shared" si="133"/>
        <v>6054.6390000000001</v>
      </c>
      <c r="K845" s="159">
        <f t="shared" si="133"/>
        <v>4680.0079999999998</v>
      </c>
      <c r="L845" s="159">
        <f t="shared" si="133"/>
        <v>1415.8979999999999</v>
      </c>
      <c r="M845" s="159">
        <f t="shared" si="133"/>
        <v>1454.316</v>
      </c>
      <c r="N845" s="159">
        <f t="shared" si="133"/>
        <v>3528.5790000000002</v>
      </c>
      <c r="O845" s="159">
        <f t="shared" si="133"/>
        <v>545.07600000000002</v>
      </c>
      <c r="P845" s="159">
        <f t="shared" si="133"/>
        <v>1736.595</v>
      </c>
      <c r="Q845" s="159">
        <f t="shared" si="133"/>
        <v>1177.104</v>
      </c>
      <c r="R845" s="159">
        <f t="shared" si="128"/>
        <v>211408.41899999999</v>
      </c>
    </row>
    <row r="846" spans="1:18" ht="15.75" customHeight="1" x14ac:dyDescent="0.3">
      <c r="A846" s="164" t="s">
        <v>416</v>
      </c>
      <c r="B846" s="159">
        <f t="shared" ref="B846:Q846" si="134">(B764*B756)/1000</f>
        <v>77125.337</v>
      </c>
      <c r="C846" s="159">
        <f t="shared" si="134"/>
        <v>10305.664000000001</v>
      </c>
      <c r="D846" s="159">
        <f t="shared" si="134"/>
        <v>10255.232</v>
      </c>
      <c r="E846" s="159">
        <f t="shared" si="134"/>
        <v>15887.793</v>
      </c>
      <c r="F846" s="159">
        <f t="shared" si="134"/>
        <v>0</v>
      </c>
      <c r="G846" s="159">
        <f t="shared" si="134"/>
        <v>-11214.159</v>
      </c>
      <c r="H846" s="159">
        <f t="shared" si="134"/>
        <v>11170.824000000001</v>
      </c>
      <c r="I846" s="159">
        <f t="shared" si="134"/>
        <v>7320.15</v>
      </c>
      <c r="J846" s="159">
        <f t="shared" si="134"/>
        <v>6991.5</v>
      </c>
      <c r="K846" s="159">
        <f t="shared" si="134"/>
        <v>4968.8360000000002</v>
      </c>
      <c r="L846" s="159">
        <f t="shared" si="134"/>
        <v>1489.059</v>
      </c>
      <c r="M846" s="159">
        <f t="shared" si="134"/>
        <v>1530.204</v>
      </c>
      <c r="N846" s="159">
        <f t="shared" si="134"/>
        <v>3520.1129999999998</v>
      </c>
      <c r="O846" s="159">
        <f t="shared" si="134"/>
        <v>351.351</v>
      </c>
      <c r="P846" s="159">
        <f t="shared" si="134"/>
        <v>1759.5719999999999</v>
      </c>
      <c r="Q846" s="159">
        <f t="shared" si="134"/>
        <v>741.44399999999996</v>
      </c>
      <c r="R846" s="159">
        <f t="shared" si="128"/>
        <v>142202.92000000001</v>
      </c>
    </row>
    <row r="847" spans="1:18" ht="15.75" customHeight="1" x14ac:dyDescent="0.3">
      <c r="A847" s="164" t="s">
        <v>417</v>
      </c>
      <c r="B847" s="159">
        <f t="shared" ref="B847:Q847" si="135">(B765*B756)/1000</f>
        <v>65355.786999999997</v>
      </c>
      <c r="C847" s="159">
        <f t="shared" si="135"/>
        <v>8735.36</v>
      </c>
      <c r="D847" s="159">
        <f t="shared" si="135"/>
        <v>8694.6560000000009</v>
      </c>
      <c r="E847" s="159">
        <f t="shared" si="135"/>
        <v>11817.24</v>
      </c>
      <c r="F847" s="159">
        <f t="shared" si="135"/>
        <v>0</v>
      </c>
      <c r="G847" s="159">
        <f t="shared" si="135"/>
        <v>-15655.343000000001</v>
      </c>
      <c r="H847" s="159">
        <f t="shared" si="135"/>
        <v>13208.072</v>
      </c>
      <c r="I847" s="159">
        <f t="shared" si="135"/>
        <v>7977.9</v>
      </c>
      <c r="J847" s="159">
        <f t="shared" si="135"/>
        <v>8012.4960000000001</v>
      </c>
      <c r="K847" s="159">
        <f t="shared" si="135"/>
        <v>5525.2479999999996</v>
      </c>
      <c r="L847" s="159">
        <f t="shared" si="135"/>
        <v>1743.192</v>
      </c>
      <c r="M847" s="159">
        <f t="shared" si="135"/>
        <v>1792.3440000000001</v>
      </c>
      <c r="N847" s="159">
        <f t="shared" si="135"/>
        <v>4149.3360000000002</v>
      </c>
      <c r="O847" s="159">
        <f t="shared" si="135"/>
        <v>632.96100000000001</v>
      </c>
      <c r="P847" s="159">
        <f t="shared" si="135"/>
        <v>1826.838</v>
      </c>
      <c r="Q847" s="159">
        <f t="shared" si="135"/>
        <v>1333.6949999999999</v>
      </c>
      <c r="R847" s="159">
        <f t="shared" si="128"/>
        <v>125149.78199999999</v>
      </c>
    </row>
    <row r="848" spans="1:18" ht="15.75" customHeight="1" x14ac:dyDescent="0.3">
      <c r="A848" s="164" t="s">
        <v>418</v>
      </c>
      <c r="B848" s="159">
        <f>(B766*B756)/1000</f>
        <v>89972.73</v>
      </c>
      <c r="C848" s="159">
        <f>(C766*C756)/1000</f>
        <v>12044.031999999999</v>
      </c>
      <c r="D848" s="159">
        <f>(D766*D756)/1000</f>
        <v>12005.504000000001</v>
      </c>
      <c r="E848" s="159">
        <f>(E766*E756)/1000</f>
        <v>17639.135999999999</v>
      </c>
      <c r="F848" s="159">
        <f>(F766*F756)/1000</f>
        <v>0</v>
      </c>
      <c r="G848" s="159">
        <v>0</v>
      </c>
      <c r="H848" s="159">
        <f t="shared" ref="H848:Q848" si="136">(H766*H756)/1000</f>
        <v>8992.6319999999996</v>
      </c>
      <c r="I848" s="159">
        <f t="shared" si="136"/>
        <v>5414.25</v>
      </c>
      <c r="J848" s="159">
        <f t="shared" si="136"/>
        <v>6784.3620000000001</v>
      </c>
      <c r="K848" s="159">
        <f t="shared" si="136"/>
        <v>5098.1080000000002</v>
      </c>
      <c r="L848" s="159">
        <f t="shared" si="136"/>
        <v>1688.346</v>
      </c>
      <c r="M848" s="159">
        <f t="shared" si="136"/>
        <v>1736.04</v>
      </c>
      <c r="N848" s="159">
        <f t="shared" si="136"/>
        <v>4083.8490000000002</v>
      </c>
      <c r="O848" s="159">
        <f t="shared" si="136"/>
        <v>591.94799999999998</v>
      </c>
      <c r="P848" s="159">
        <f t="shared" si="136"/>
        <v>1493.5050000000001</v>
      </c>
      <c r="Q848" s="159">
        <f t="shared" si="136"/>
        <v>1284.7860000000001</v>
      </c>
      <c r="R848" s="159">
        <f t="shared" si="128"/>
        <v>168829.228</v>
      </c>
    </row>
    <row r="849" spans="1:19" ht="15.75" customHeight="1" x14ac:dyDescent="0.3">
      <c r="A849" s="164" t="s">
        <v>419</v>
      </c>
      <c r="B849" s="159">
        <f>(B767*B756)/1000</f>
        <v>129031.435</v>
      </c>
      <c r="C849" s="159">
        <f>(C767*C756)/1000</f>
        <v>17294.080000000002</v>
      </c>
      <c r="D849" s="159">
        <f>(D767*D756)/1000</f>
        <v>17259.263999999999</v>
      </c>
      <c r="E849" s="159">
        <f>(E767*E756)/1000</f>
        <v>26821.149000000001</v>
      </c>
      <c r="F849" s="159">
        <f>(F767*F756)/1000</f>
        <v>4626.4340000000002</v>
      </c>
      <c r="G849" s="159">
        <v>0</v>
      </c>
      <c r="H849" s="159">
        <f t="shared" ref="H849:Q849" si="137">(H767*H756)/1000</f>
        <v>5788.3639999999996</v>
      </c>
      <c r="I849" s="159">
        <f t="shared" si="137"/>
        <v>3320.85</v>
      </c>
      <c r="J849" s="159">
        <f t="shared" si="137"/>
        <v>4429.0559999999996</v>
      </c>
      <c r="K849" s="159">
        <f t="shared" si="137"/>
        <v>3614.192</v>
      </c>
      <c r="L849" s="159">
        <f t="shared" si="137"/>
        <v>1219.9770000000001</v>
      </c>
      <c r="M849" s="159">
        <f t="shared" si="137"/>
        <v>1253.9880000000001</v>
      </c>
      <c r="N849" s="159">
        <f t="shared" si="137"/>
        <v>2985.51</v>
      </c>
      <c r="O849" s="159">
        <f t="shared" si="137"/>
        <v>488.565</v>
      </c>
      <c r="P849" s="159">
        <f t="shared" si="137"/>
        <v>1862.4690000000001</v>
      </c>
      <c r="Q849" s="159">
        <f t="shared" si="137"/>
        <v>1060.3800000000001</v>
      </c>
      <c r="R849" s="159">
        <f t="shared" si="128"/>
        <v>221055.71300000011</v>
      </c>
    </row>
    <row r="850" spans="1:19" ht="15.75" customHeight="1" x14ac:dyDescent="0.3">
      <c r="A850" s="164" t="s">
        <v>420</v>
      </c>
      <c r="B850" s="159">
        <f t="shared" ref="B850:Q850" si="138">(B768*B756)/1000</f>
        <v>160251.715</v>
      </c>
      <c r="C850" s="159">
        <f t="shared" si="138"/>
        <v>21493.759999999998</v>
      </c>
      <c r="D850" s="159">
        <f t="shared" si="138"/>
        <v>21464.831999999999</v>
      </c>
      <c r="E850" s="159">
        <f t="shared" si="138"/>
        <v>33483.129000000001</v>
      </c>
      <c r="F850" s="159">
        <f t="shared" si="138"/>
        <v>16297.055</v>
      </c>
      <c r="G850" s="159">
        <f t="shared" si="138"/>
        <v>0</v>
      </c>
      <c r="H850" s="159">
        <f t="shared" si="138"/>
        <v>2938.6640000000002</v>
      </c>
      <c r="I850" s="159">
        <f t="shared" si="138"/>
        <v>1540.35</v>
      </c>
      <c r="J850" s="159">
        <f t="shared" si="138"/>
        <v>2273.3040000000001</v>
      </c>
      <c r="K850" s="159">
        <f t="shared" si="138"/>
        <v>2113.5520000000001</v>
      </c>
      <c r="L850" s="159">
        <f t="shared" si="138"/>
        <v>743.58900000000006</v>
      </c>
      <c r="M850" s="159">
        <f t="shared" si="138"/>
        <v>763.77599999999995</v>
      </c>
      <c r="N850" s="159">
        <f t="shared" si="138"/>
        <v>1824.921</v>
      </c>
      <c r="O850" s="159">
        <f t="shared" si="138"/>
        <v>325.45800000000003</v>
      </c>
      <c r="P850" s="159">
        <f t="shared" si="138"/>
        <v>1680.6510000000001</v>
      </c>
      <c r="Q850" s="159">
        <f t="shared" si="138"/>
        <v>670.34100000000001</v>
      </c>
      <c r="R850" s="159">
        <f t="shared" si="128"/>
        <v>267865.09699999995</v>
      </c>
    </row>
    <row r="851" spans="1:19" ht="15.75" customHeight="1" x14ac:dyDescent="0.3">
      <c r="A851" s="164" t="s">
        <v>421</v>
      </c>
      <c r="B851" s="159">
        <f t="shared" ref="B851:Q851" si="139">(B769*B756)/1000</f>
        <v>63486.000999999997</v>
      </c>
      <c r="C851" s="159">
        <f t="shared" si="139"/>
        <v>8503.1679999999997</v>
      </c>
      <c r="D851" s="159">
        <f t="shared" si="139"/>
        <v>8480.2559999999994</v>
      </c>
      <c r="E851" s="159">
        <f t="shared" si="139"/>
        <v>10960.512000000001</v>
      </c>
      <c r="F851" s="159">
        <f t="shared" si="139"/>
        <v>3698.6770000000001</v>
      </c>
      <c r="G851" s="159">
        <f t="shared" si="139"/>
        <v>-2739.6819999999998</v>
      </c>
      <c r="H851" s="159">
        <f t="shared" si="139"/>
        <v>2847.5839999999998</v>
      </c>
      <c r="I851" s="159">
        <f t="shared" si="139"/>
        <v>2451.4499999999998</v>
      </c>
      <c r="J851" s="159">
        <f t="shared" si="139"/>
        <v>3505.9409999999998</v>
      </c>
      <c r="K851" s="159">
        <f t="shared" si="139"/>
        <v>3185.018</v>
      </c>
      <c r="L851" s="159">
        <f t="shared" si="139"/>
        <v>1001.583</v>
      </c>
      <c r="M851" s="159">
        <f t="shared" si="139"/>
        <v>1029.9960000000001</v>
      </c>
      <c r="N851" s="159">
        <f t="shared" si="139"/>
        <v>2510.9160000000002</v>
      </c>
      <c r="O851" s="159">
        <f t="shared" si="139"/>
        <v>506.52</v>
      </c>
      <c r="P851" s="159">
        <f t="shared" si="139"/>
        <v>1795.8689999999999</v>
      </c>
      <c r="Q851" s="159">
        <f t="shared" si="139"/>
        <v>1094.4929999999999</v>
      </c>
      <c r="R851" s="159">
        <f t="shared" si="128"/>
        <v>112318.302</v>
      </c>
    </row>
    <row r="852" spans="1:19" ht="15.75" customHeight="1" x14ac:dyDescent="0.3">
      <c r="A852" s="159"/>
      <c r="B852" s="159"/>
      <c r="C852" s="159"/>
      <c r="D852" s="159"/>
      <c r="E852" s="159"/>
      <c r="F852" s="159"/>
      <c r="G852" s="159"/>
      <c r="H852" s="159"/>
      <c r="I852" s="159"/>
      <c r="J852" s="159"/>
      <c r="K852" s="159"/>
      <c r="L852" s="159"/>
      <c r="M852" s="159"/>
      <c r="N852" s="159"/>
      <c r="O852" s="159"/>
      <c r="P852" s="159"/>
      <c r="Q852" s="159"/>
      <c r="R852" s="159"/>
    </row>
    <row r="853" spans="1:19" ht="15.75" customHeight="1" x14ac:dyDescent="0.3">
      <c r="A853" s="164" t="s">
        <v>422</v>
      </c>
      <c r="B853" s="159">
        <f t="shared" ref="B853:R853" si="140">SUM(B840:B851)</f>
        <v>1497469.8660000002</v>
      </c>
      <c r="C853" s="159">
        <f t="shared" si="140"/>
        <v>200681.21600000001</v>
      </c>
      <c r="D853" s="159">
        <f t="shared" si="140"/>
        <v>200253.69599999997</v>
      </c>
      <c r="E853" s="159">
        <f t="shared" si="140"/>
        <v>300724.88699999999</v>
      </c>
      <c r="F853" s="159">
        <f t="shared" si="140"/>
        <v>65977.789000000004</v>
      </c>
      <c r="G853" s="159">
        <f t="shared" si="140"/>
        <v>-39351.256999999998</v>
      </c>
      <c r="H853" s="159">
        <f t="shared" si="140"/>
        <v>91571.188000000009</v>
      </c>
      <c r="I853" s="159">
        <f t="shared" si="140"/>
        <v>55644.149999999994</v>
      </c>
      <c r="J853" s="159">
        <f t="shared" si="140"/>
        <v>64193.108999999989</v>
      </c>
      <c r="K853" s="159">
        <f t="shared" si="140"/>
        <v>49381.452000000005</v>
      </c>
      <c r="L853" s="159">
        <f t="shared" si="140"/>
        <v>15290.154</v>
      </c>
      <c r="M853" s="159">
        <f t="shared" si="140"/>
        <v>15715.446</v>
      </c>
      <c r="N853" s="159">
        <f t="shared" si="140"/>
        <v>36855.984000000004</v>
      </c>
      <c r="O853" s="159">
        <f t="shared" si="140"/>
        <v>5415.2279999999992</v>
      </c>
      <c r="P853" s="159">
        <f t="shared" si="140"/>
        <v>19547.433000000001</v>
      </c>
      <c r="Q853" s="159">
        <f t="shared" si="140"/>
        <v>11543.346</v>
      </c>
      <c r="R853" s="159">
        <f t="shared" si="140"/>
        <v>2590913.6869999999</v>
      </c>
    </row>
    <row r="854" spans="1:19" ht="15.75" customHeight="1" x14ac:dyDescent="0.3">
      <c r="A854" s="159" t="s">
        <v>7</v>
      </c>
      <c r="B854" s="159"/>
      <c r="C854" s="159"/>
      <c r="D854" s="159"/>
      <c r="E854" s="159"/>
      <c r="F854" s="159"/>
      <c r="G854" s="159"/>
      <c r="H854" s="159"/>
      <c r="I854" s="159"/>
      <c r="J854" s="159"/>
      <c r="K854" s="159"/>
      <c r="L854" s="159"/>
      <c r="M854" s="159"/>
      <c r="N854" s="159"/>
      <c r="O854" s="159"/>
      <c r="P854" s="159"/>
      <c r="Q854" s="159"/>
      <c r="R854" s="159"/>
    </row>
    <row r="855" spans="1:19" ht="15.75" customHeight="1" x14ac:dyDescent="0.3">
      <c r="A855" s="159"/>
      <c r="B855" s="159"/>
      <c r="C855" s="159"/>
      <c r="D855" s="159"/>
      <c r="E855" s="159"/>
      <c r="F855" s="159"/>
      <c r="G855" s="159"/>
      <c r="H855" s="159"/>
      <c r="I855" s="159"/>
      <c r="J855" s="159"/>
      <c r="K855" s="159"/>
      <c r="L855" s="159"/>
      <c r="M855" s="159"/>
      <c r="N855" s="159"/>
      <c r="O855" s="159"/>
      <c r="P855" s="159"/>
      <c r="Q855" s="159"/>
      <c r="R855" s="159"/>
    </row>
    <row r="856" spans="1:19" ht="15.75" customHeight="1" x14ac:dyDescent="0.3">
      <c r="A856" s="159"/>
      <c r="B856" s="159"/>
      <c r="C856" s="159"/>
      <c r="D856" s="159"/>
      <c r="E856" s="159"/>
      <c r="F856" s="159"/>
      <c r="G856" s="159"/>
      <c r="H856" s="159"/>
      <c r="I856" s="159"/>
      <c r="J856" s="159"/>
      <c r="K856" s="159"/>
      <c r="L856" s="159"/>
      <c r="M856" s="159"/>
      <c r="N856" s="159"/>
      <c r="O856" s="159"/>
      <c r="P856" s="159"/>
      <c r="Q856" s="161" t="str">
        <f>+Q1</f>
        <v>PRINTED:</v>
      </c>
      <c r="R856" s="162">
        <f ca="1">+R1</f>
        <v>44909.46975358796</v>
      </c>
    </row>
    <row r="857" spans="1:19" ht="15.75" customHeight="1" x14ac:dyDescent="0.35">
      <c r="A857" s="159"/>
      <c r="B857" s="159"/>
      <c r="C857" s="161" t="s">
        <v>460</v>
      </c>
      <c r="D857" s="159"/>
      <c r="E857" s="159"/>
      <c r="F857" s="159"/>
      <c r="G857" s="159"/>
      <c r="H857" s="159"/>
      <c r="I857" s="159"/>
      <c r="J857" s="159"/>
      <c r="K857" s="159"/>
      <c r="L857" s="167"/>
      <c r="M857" s="161" t="s">
        <v>461</v>
      </c>
      <c r="N857" s="159"/>
      <c r="O857" s="159"/>
      <c r="P857" s="159"/>
      <c r="Q857" s="159"/>
      <c r="R857" s="159"/>
    </row>
    <row r="858" spans="1:19" ht="15.75" customHeight="1" x14ac:dyDescent="0.3">
      <c r="A858" s="159"/>
      <c r="B858" s="159"/>
      <c r="C858" s="159"/>
      <c r="D858" s="159"/>
      <c r="E858" s="159" t="s">
        <v>7</v>
      </c>
      <c r="F858" s="163" t="str">
        <f>+A8</f>
        <v>Revised:  1/19/09</v>
      </c>
      <c r="G858" s="159"/>
      <c r="H858" s="159"/>
      <c r="I858" s="159"/>
      <c r="J858" s="159"/>
      <c r="K858" s="159"/>
      <c r="L858" s="159"/>
      <c r="M858" s="159"/>
      <c r="N858" s="159"/>
      <c r="O858" s="159"/>
      <c r="P858" s="159" t="s">
        <v>7</v>
      </c>
      <c r="Q858" s="163" t="str">
        <f>+A8</f>
        <v>Revised:  1/19/09</v>
      </c>
      <c r="R858" s="159"/>
      <c r="S858" s="159"/>
    </row>
    <row r="859" spans="1:19" ht="15.75" customHeight="1" x14ac:dyDescent="0.3">
      <c r="A859" s="159"/>
      <c r="B859" s="159"/>
      <c r="C859" s="159"/>
      <c r="D859" s="159" t="s">
        <v>387</v>
      </c>
      <c r="E859" s="159"/>
      <c r="F859" s="159"/>
      <c r="G859" s="159"/>
      <c r="H859" s="159"/>
      <c r="I859" s="159"/>
      <c r="J859" s="159"/>
      <c r="K859" s="159"/>
      <c r="L859" s="159"/>
      <c r="M859" s="159"/>
      <c r="N859" s="159" t="s">
        <v>387</v>
      </c>
      <c r="O859" s="159"/>
      <c r="P859" s="159"/>
      <c r="Q859" s="159"/>
      <c r="R859" s="159"/>
      <c r="S859" s="159"/>
    </row>
    <row r="860" spans="1:19" ht="15.75" customHeight="1" x14ac:dyDescent="0.3">
      <c r="A860" s="159"/>
      <c r="B860" s="159"/>
      <c r="C860" s="159"/>
      <c r="D860" s="159"/>
      <c r="E860" s="159"/>
      <c r="F860" s="159"/>
      <c r="G860" s="159"/>
      <c r="H860" s="159"/>
      <c r="I860" s="159"/>
      <c r="J860" s="159"/>
      <c r="K860" s="159"/>
      <c r="L860" s="159"/>
      <c r="M860" s="159"/>
      <c r="N860" s="159"/>
      <c r="O860" s="159"/>
      <c r="P860" s="159"/>
      <c r="Q860" s="159"/>
      <c r="R860" s="159"/>
      <c r="S860" s="159"/>
    </row>
    <row r="861" spans="1:19" ht="15.75" customHeight="1" x14ac:dyDescent="0.3">
      <c r="A861" s="159"/>
      <c r="B861" s="159"/>
      <c r="C861" s="159"/>
      <c r="D861" s="159"/>
      <c r="E861" s="159" t="str">
        <f>+A5</f>
        <v>Calendar Year 2008</v>
      </c>
      <c r="F861" s="159"/>
      <c r="G861" s="159"/>
      <c r="H861" s="159"/>
      <c r="I861" s="159"/>
      <c r="J861" s="159"/>
      <c r="K861" s="159"/>
      <c r="L861" s="159"/>
      <c r="M861" s="159"/>
      <c r="N861" s="159"/>
      <c r="O861" s="159"/>
      <c r="P861" s="159" t="str">
        <f>+A5</f>
        <v>Calendar Year 2008</v>
      </c>
      <c r="Q861" s="159"/>
      <c r="R861" s="159"/>
      <c r="S861" s="164" t="s">
        <v>462</v>
      </c>
    </row>
    <row r="862" spans="1:19" ht="15.75" customHeight="1" x14ac:dyDescent="0.3">
      <c r="A862" s="159"/>
      <c r="B862" s="159"/>
      <c r="C862" s="159"/>
      <c r="D862" s="159"/>
      <c r="E862" s="159" t="s">
        <v>457</v>
      </c>
      <c r="F862" s="159"/>
      <c r="G862" s="159"/>
      <c r="H862" s="159"/>
      <c r="I862" s="159"/>
      <c r="J862" s="159"/>
      <c r="K862" s="159"/>
      <c r="L862" s="159"/>
      <c r="M862" s="159"/>
      <c r="N862" s="159"/>
      <c r="O862" s="159"/>
      <c r="P862" s="159" t="s">
        <v>457</v>
      </c>
      <c r="Q862" s="159"/>
      <c r="R862" s="159"/>
      <c r="S862" s="164" t="s">
        <v>463</v>
      </c>
    </row>
    <row r="863" spans="1:19" ht="15.75" customHeight="1" x14ac:dyDescent="0.3">
      <c r="A863" s="159"/>
      <c r="B863" s="159"/>
      <c r="C863" s="159"/>
      <c r="D863" s="159"/>
      <c r="E863" s="159"/>
      <c r="F863" s="159"/>
      <c r="G863" s="159"/>
      <c r="H863" s="159"/>
      <c r="I863" s="159"/>
      <c r="J863" s="159"/>
      <c r="K863" s="159"/>
      <c r="L863" s="159"/>
      <c r="M863" s="159"/>
      <c r="N863" s="159"/>
      <c r="O863" s="159"/>
      <c r="P863" s="159"/>
      <c r="Q863" s="159"/>
      <c r="R863" s="159"/>
      <c r="S863" s="164" t="s">
        <v>464</v>
      </c>
    </row>
    <row r="864" spans="1:19" ht="15.75" customHeight="1" x14ac:dyDescent="0.3">
      <c r="A864" s="159" t="s">
        <v>389</v>
      </c>
      <c r="B864" s="164" t="s">
        <v>390</v>
      </c>
      <c r="C864" s="164" t="s">
        <v>391</v>
      </c>
      <c r="D864" s="164" t="s">
        <v>392</v>
      </c>
      <c r="E864" s="164" t="s">
        <v>393</v>
      </c>
      <c r="F864" s="164" t="s">
        <v>394</v>
      </c>
      <c r="G864" s="159"/>
      <c r="H864" s="164" t="s">
        <v>422</v>
      </c>
      <c r="I864" s="159"/>
      <c r="J864" s="159"/>
      <c r="K864" s="159"/>
      <c r="L864" s="159" t="s">
        <v>389</v>
      </c>
      <c r="M864" s="164" t="s">
        <v>390</v>
      </c>
      <c r="N864" s="164" t="s">
        <v>391</v>
      </c>
      <c r="O864" s="164" t="s">
        <v>392</v>
      </c>
      <c r="P864" s="164" t="s">
        <v>393</v>
      </c>
      <c r="Q864" s="164" t="s">
        <v>394</v>
      </c>
      <c r="R864" s="164" t="s">
        <v>422</v>
      </c>
      <c r="S864" s="164" t="s">
        <v>409</v>
      </c>
    </row>
    <row r="865" spans="1:19" ht="15.75" customHeight="1" x14ac:dyDescent="0.3">
      <c r="A865" s="159" t="s">
        <v>405</v>
      </c>
      <c r="B865" s="159"/>
      <c r="C865" s="159"/>
      <c r="D865" s="159"/>
      <c r="E865" s="159"/>
      <c r="F865" s="164" t="s">
        <v>406</v>
      </c>
      <c r="G865" s="159"/>
      <c r="H865" s="164" t="s">
        <v>465</v>
      </c>
      <c r="I865" s="159"/>
      <c r="J865" s="159"/>
      <c r="K865" s="159"/>
      <c r="L865" s="159" t="s">
        <v>405</v>
      </c>
      <c r="M865" s="159"/>
      <c r="N865" s="159"/>
      <c r="O865" s="159"/>
      <c r="P865" s="159"/>
      <c r="Q865" s="164" t="s">
        <v>406</v>
      </c>
      <c r="R865" s="164" t="s">
        <v>465</v>
      </c>
      <c r="S865" s="168">
        <f t="shared" ref="S865:S876" si="141">(Q894*R894)/1000</f>
        <v>12.069437640000002</v>
      </c>
    </row>
    <row r="866" spans="1:19" ht="15.75" customHeight="1" x14ac:dyDescent="0.3">
      <c r="A866" s="159" t="s">
        <v>408</v>
      </c>
      <c r="B866" s="159">
        <v>953</v>
      </c>
      <c r="C866" s="159">
        <v>128</v>
      </c>
      <c r="D866" s="159">
        <v>128</v>
      </c>
      <c r="E866" s="159">
        <v>219</v>
      </c>
      <c r="F866" s="159">
        <v>179</v>
      </c>
      <c r="G866" s="159"/>
      <c r="H866" s="164" t="s">
        <v>442</v>
      </c>
      <c r="I866" s="159"/>
      <c r="J866" s="159"/>
      <c r="K866" s="159"/>
      <c r="L866" s="159" t="s">
        <v>408</v>
      </c>
      <c r="M866" s="159">
        <v>953</v>
      </c>
      <c r="N866" s="159">
        <v>128</v>
      </c>
      <c r="O866" s="159">
        <v>128</v>
      </c>
      <c r="P866" s="159">
        <v>219</v>
      </c>
      <c r="Q866" s="159">
        <v>179</v>
      </c>
      <c r="R866" s="164" t="s">
        <v>442</v>
      </c>
      <c r="S866" s="168">
        <f t="shared" si="141"/>
        <v>14.566177860000002</v>
      </c>
    </row>
    <row r="867" spans="1:19" ht="15.75" customHeight="1" x14ac:dyDescent="0.3">
      <c r="A867" s="159"/>
      <c r="B867" s="159" t="s">
        <v>409</v>
      </c>
      <c r="C867" s="159" t="s">
        <v>409</v>
      </c>
      <c r="D867" s="159" t="s">
        <v>409</v>
      </c>
      <c r="E867" s="159" t="s">
        <v>409</v>
      </c>
      <c r="F867" s="159" t="s">
        <v>409</v>
      </c>
      <c r="G867" s="159"/>
      <c r="H867" s="159" t="s">
        <v>459</v>
      </c>
      <c r="I867" s="159"/>
      <c r="J867" s="159"/>
      <c r="K867" s="159"/>
      <c r="L867" s="159"/>
      <c r="M867" s="159" t="s">
        <v>409</v>
      </c>
      <c r="N867" s="159" t="s">
        <v>409</v>
      </c>
      <c r="O867" s="159" t="s">
        <v>409</v>
      </c>
      <c r="P867" s="159" t="s">
        <v>409</v>
      </c>
      <c r="Q867" s="159" t="s">
        <v>409</v>
      </c>
      <c r="R867" s="159" t="s">
        <v>459</v>
      </c>
      <c r="S867" s="168">
        <f t="shared" si="141"/>
        <v>21.256644630000007</v>
      </c>
    </row>
    <row r="868" spans="1:19" ht="15.75" customHeight="1" x14ac:dyDescent="0.3">
      <c r="A868" s="164" t="s">
        <v>410</v>
      </c>
      <c r="B868" s="159">
        <f t="shared" ref="B868:F879" si="142">($F758)*B$756/1000</f>
        <v>94965.497000000003</v>
      </c>
      <c r="C868" s="159">
        <f t="shared" si="142"/>
        <v>12755.072</v>
      </c>
      <c r="D868" s="159">
        <f t="shared" si="142"/>
        <v>12755.072</v>
      </c>
      <c r="E868" s="159">
        <f t="shared" si="142"/>
        <v>21823.131000000001</v>
      </c>
      <c r="F868" s="159">
        <f t="shared" si="142"/>
        <v>17837.170999999998</v>
      </c>
      <c r="G868" s="159"/>
      <c r="H868" s="159">
        <f t="shared" ref="H868:H879" si="143">SUM(B868:F868)</f>
        <v>160135.943</v>
      </c>
      <c r="I868" s="159"/>
      <c r="J868" s="159"/>
      <c r="K868" s="159"/>
      <c r="L868" s="164" t="s">
        <v>410</v>
      </c>
      <c r="M868" s="159">
        <f t="shared" ref="M868:Q879" si="144">(B758-$F758)*B$756/1000</f>
        <v>61936.423000000003</v>
      </c>
      <c r="N868" s="159">
        <f t="shared" si="144"/>
        <v>8306.4320000000007</v>
      </c>
      <c r="O868" s="159">
        <f t="shared" si="144"/>
        <v>8294.1440000000002</v>
      </c>
      <c r="P868" s="159">
        <f t="shared" si="144"/>
        <v>10812.687</v>
      </c>
      <c r="Q868" s="159">
        <f t="shared" si="144"/>
        <v>0</v>
      </c>
      <c r="R868" s="159">
        <f t="shared" ref="R868:R879" si="145">SUM(L868:P868)</f>
        <v>89349.686000000016</v>
      </c>
      <c r="S868" s="168">
        <f t="shared" si="141"/>
        <v>24.309942540000005</v>
      </c>
    </row>
    <row r="869" spans="1:19" ht="15.75" customHeight="1" x14ac:dyDescent="0.3">
      <c r="A869" s="164" t="s">
        <v>411</v>
      </c>
      <c r="B869" s="159">
        <f t="shared" si="142"/>
        <v>84511.087</v>
      </c>
      <c r="C869" s="159">
        <f t="shared" si="142"/>
        <v>11350.912</v>
      </c>
      <c r="D869" s="159">
        <f t="shared" si="142"/>
        <v>11350.912</v>
      </c>
      <c r="E869" s="159">
        <f t="shared" si="142"/>
        <v>19420.701000000001</v>
      </c>
      <c r="F869" s="159">
        <f t="shared" si="142"/>
        <v>15873.540999999999</v>
      </c>
      <c r="G869" s="159"/>
      <c r="H869" s="159">
        <f t="shared" si="143"/>
        <v>142507.15299999999</v>
      </c>
      <c r="I869" s="159"/>
      <c r="J869" s="159"/>
      <c r="K869" s="159"/>
      <c r="L869" s="164" t="s">
        <v>411</v>
      </c>
      <c r="M869" s="159">
        <f t="shared" si="144"/>
        <v>65801.790999999997</v>
      </c>
      <c r="N869" s="159">
        <f t="shared" si="144"/>
        <v>8819.0720000000001</v>
      </c>
      <c r="O869" s="159">
        <f t="shared" si="144"/>
        <v>8800.5120000000006</v>
      </c>
      <c r="P869" s="159">
        <f t="shared" si="144"/>
        <v>11643.135</v>
      </c>
      <c r="Q869" s="159">
        <f t="shared" si="144"/>
        <v>0</v>
      </c>
      <c r="R869" s="159">
        <f t="shared" si="145"/>
        <v>95064.51</v>
      </c>
      <c r="S869" s="168">
        <f t="shared" si="141"/>
        <v>26.45561919</v>
      </c>
    </row>
    <row r="870" spans="1:19" ht="15.75" customHeight="1" x14ac:dyDescent="0.3">
      <c r="A870" s="164" t="s">
        <v>412</v>
      </c>
      <c r="B870" s="159">
        <f t="shared" si="142"/>
        <v>22662.34</v>
      </c>
      <c r="C870" s="159">
        <f t="shared" si="142"/>
        <v>3043.84</v>
      </c>
      <c r="D870" s="159">
        <f t="shared" si="142"/>
        <v>3043.84</v>
      </c>
      <c r="E870" s="159">
        <f t="shared" si="142"/>
        <v>5207.82</v>
      </c>
      <c r="F870" s="159">
        <f t="shared" si="142"/>
        <v>4256.62</v>
      </c>
      <c r="G870" s="159"/>
      <c r="H870" s="159">
        <f t="shared" si="143"/>
        <v>38214.46</v>
      </c>
      <c r="I870" s="159"/>
      <c r="J870" s="159"/>
      <c r="K870" s="159"/>
      <c r="L870" s="164" t="s">
        <v>412</v>
      </c>
      <c r="M870" s="159">
        <f t="shared" si="144"/>
        <v>137842.87299999999</v>
      </c>
      <c r="N870" s="159">
        <f t="shared" si="144"/>
        <v>18478.975999999999</v>
      </c>
      <c r="O870" s="159">
        <f t="shared" si="144"/>
        <v>18445.567999999999</v>
      </c>
      <c r="P870" s="159">
        <f t="shared" si="144"/>
        <v>26658.213</v>
      </c>
      <c r="Q870" s="159">
        <f t="shared" si="144"/>
        <v>0</v>
      </c>
      <c r="R870" s="159">
        <f t="shared" si="145"/>
        <v>201425.62999999998</v>
      </c>
      <c r="S870" s="168">
        <f t="shared" si="141"/>
        <v>24.348192959999999</v>
      </c>
    </row>
    <row r="871" spans="1:19" ht="15.75" customHeight="1" x14ac:dyDescent="0.3">
      <c r="A871" s="164" t="s">
        <v>413</v>
      </c>
      <c r="B871" s="159">
        <f t="shared" si="142"/>
        <v>0</v>
      </c>
      <c r="C871" s="159">
        <f t="shared" si="142"/>
        <v>0</v>
      </c>
      <c r="D871" s="159">
        <f t="shared" si="142"/>
        <v>0</v>
      </c>
      <c r="E871" s="159">
        <f t="shared" si="142"/>
        <v>0</v>
      </c>
      <c r="F871" s="159">
        <f t="shared" si="142"/>
        <v>0</v>
      </c>
      <c r="G871" s="159"/>
      <c r="H871" s="159">
        <f t="shared" si="143"/>
        <v>0</v>
      </c>
      <c r="I871" s="159"/>
      <c r="J871" s="159"/>
      <c r="K871" s="159"/>
      <c r="L871" s="164" t="s">
        <v>413</v>
      </c>
      <c r="M871" s="159">
        <f t="shared" si="144"/>
        <v>158159.88</v>
      </c>
      <c r="N871" s="159">
        <f t="shared" si="144"/>
        <v>21195.903999999999</v>
      </c>
      <c r="O871" s="159">
        <f t="shared" si="144"/>
        <v>21151.103999999999</v>
      </c>
      <c r="P871" s="159">
        <f t="shared" si="144"/>
        <v>31362.771000000001</v>
      </c>
      <c r="Q871" s="159">
        <f t="shared" si="144"/>
        <v>0</v>
      </c>
      <c r="R871" s="159">
        <f t="shared" si="145"/>
        <v>231869.65900000001</v>
      </c>
      <c r="S871" s="168">
        <f t="shared" si="141"/>
        <v>23.197605209999999</v>
      </c>
    </row>
    <row r="872" spans="1:19" ht="15.75" customHeight="1" x14ac:dyDescent="0.3">
      <c r="A872" s="164" t="s">
        <v>414</v>
      </c>
      <c r="B872" s="159">
        <f t="shared" si="142"/>
        <v>17306.48</v>
      </c>
      <c r="C872" s="159">
        <f t="shared" si="142"/>
        <v>2324.48</v>
      </c>
      <c r="D872" s="159">
        <f t="shared" si="142"/>
        <v>2324.48</v>
      </c>
      <c r="E872" s="159">
        <f t="shared" si="142"/>
        <v>3977.04</v>
      </c>
      <c r="F872" s="159">
        <f t="shared" si="142"/>
        <v>3250.64</v>
      </c>
      <c r="G872" s="159"/>
      <c r="H872" s="159">
        <f t="shared" si="143"/>
        <v>29183.119999999999</v>
      </c>
      <c r="I872" s="159"/>
      <c r="J872" s="159"/>
      <c r="K872" s="159"/>
      <c r="L872" s="164" t="s">
        <v>414</v>
      </c>
      <c r="M872" s="159">
        <f t="shared" si="144"/>
        <v>146598.084</v>
      </c>
      <c r="N872" s="159">
        <f t="shared" si="144"/>
        <v>19635.583999999999</v>
      </c>
      <c r="O872" s="159">
        <f t="shared" si="144"/>
        <v>19584.128000000001</v>
      </c>
      <c r="P872" s="159">
        <f t="shared" si="144"/>
        <v>28825.437000000002</v>
      </c>
      <c r="Q872" s="159">
        <f t="shared" si="144"/>
        <v>0</v>
      </c>
      <c r="R872" s="159">
        <f t="shared" si="145"/>
        <v>214643.23300000001</v>
      </c>
      <c r="S872" s="168">
        <f t="shared" si="141"/>
        <v>28.351564020000001</v>
      </c>
    </row>
    <row r="873" spans="1:19" ht="15.75" customHeight="1" x14ac:dyDescent="0.3">
      <c r="A873" s="164" t="s">
        <v>415</v>
      </c>
      <c r="B873" s="159">
        <f t="shared" si="142"/>
        <v>732.85699999999997</v>
      </c>
      <c r="C873" s="159">
        <f t="shared" si="142"/>
        <v>98.432000000000002</v>
      </c>
      <c r="D873" s="159">
        <f t="shared" si="142"/>
        <v>98.432000000000002</v>
      </c>
      <c r="E873" s="159">
        <f t="shared" si="142"/>
        <v>168.411</v>
      </c>
      <c r="F873" s="159">
        <f t="shared" si="142"/>
        <v>137.65100000000001</v>
      </c>
      <c r="G873" s="159"/>
      <c r="H873" s="159">
        <f t="shared" si="143"/>
        <v>1235.7830000000001</v>
      </c>
      <c r="I873" s="159"/>
      <c r="J873" s="159"/>
      <c r="K873" s="159"/>
      <c r="L873" s="164" t="s">
        <v>415</v>
      </c>
      <c r="M873" s="159">
        <f t="shared" si="144"/>
        <v>121729.549</v>
      </c>
      <c r="N873" s="159">
        <f t="shared" si="144"/>
        <v>16296.448</v>
      </c>
      <c r="O873" s="159">
        <f t="shared" si="144"/>
        <v>16245.76</v>
      </c>
      <c r="P873" s="159">
        <f t="shared" si="144"/>
        <v>24216.581999999999</v>
      </c>
      <c r="Q873" s="159">
        <f t="shared" si="144"/>
        <v>0</v>
      </c>
      <c r="R873" s="159">
        <f t="shared" si="145"/>
        <v>178488.33900000001</v>
      </c>
      <c r="S873" s="168">
        <f t="shared" si="141"/>
        <v>26.869830780000008</v>
      </c>
    </row>
    <row r="874" spans="1:19" ht="15.75" customHeight="1" x14ac:dyDescent="0.3">
      <c r="A874" s="164" t="s">
        <v>416</v>
      </c>
      <c r="B874" s="159">
        <f t="shared" si="142"/>
        <v>0</v>
      </c>
      <c r="C874" s="159">
        <f t="shared" si="142"/>
        <v>0</v>
      </c>
      <c r="D874" s="159">
        <f t="shared" si="142"/>
        <v>0</v>
      </c>
      <c r="E874" s="159">
        <f t="shared" si="142"/>
        <v>0</v>
      </c>
      <c r="F874" s="159">
        <f t="shared" si="142"/>
        <v>0</v>
      </c>
      <c r="G874" s="159"/>
      <c r="H874" s="159">
        <f t="shared" si="143"/>
        <v>0</v>
      </c>
      <c r="I874" s="159"/>
      <c r="J874" s="159"/>
      <c r="K874" s="159"/>
      <c r="L874" s="164" t="s">
        <v>416</v>
      </c>
      <c r="M874" s="159">
        <f t="shared" si="144"/>
        <v>77125.337</v>
      </c>
      <c r="N874" s="159">
        <f t="shared" si="144"/>
        <v>10305.664000000001</v>
      </c>
      <c r="O874" s="159">
        <f t="shared" si="144"/>
        <v>10255.232</v>
      </c>
      <c r="P874" s="159">
        <f t="shared" si="144"/>
        <v>15887.793</v>
      </c>
      <c r="Q874" s="159">
        <f t="shared" si="144"/>
        <v>0</v>
      </c>
      <c r="R874" s="159">
        <f t="shared" si="145"/>
        <v>113574.02600000001</v>
      </c>
      <c r="S874" s="168">
        <f t="shared" si="141"/>
        <v>21.911095829999997</v>
      </c>
    </row>
    <row r="875" spans="1:19" ht="15.75" customHeight="1" x14ac:dyDescent="0.3">
      <c r="A875" s="164" t="s">
        <v>417</v>
      </c>
      <c r="B875" s="159">
        <f t="shared" si="142"/>
        <v>0</v>
      </c>
      <c r="C875" s="159">
        <f t="shared" si="142"/>
        <v>0</v>
      </c>
      <c r="D875" s="159">
        <f t="shared" si="142"/>
        <v>0</v>
      </c>
      <c r="E875" s="159">
        <f t="shared" si="142"/>
        <v>0</v>
      </c>
      <c r="F875" s="159">
        <f t="shared" si="142"/>
        <v>0</v>
      </c>
      <c r="G875" s="159"/>
      <c r="H875" s="159">
        <f t="shared" si="143"/>
        <v>0</v>
      </c>
      <c r="I875" s="159"/>
      <c r="J875" s="159"/>
      <c r="K875" s="159"/>
      <c r="L875" s="164" t="s">
        <v>417</v>
      </c>
      <c r="M875" s="159">
        <f t="shared" si="144"/>
        <v>65355.786999999997</v>
      </c>
      <c r="N875" s="159">
        <f t="shared" si="144"/>
        <v>8735.36</v>
      </c>
      <c r="O875" s="159">
        <f t="shared" si="144"/>
        <v>8694.6560000000009</v>
      </c>
      <c r="P875" s="159">
        <f t="shared" si="144"/>
        <v>11817.24</v>
      </c>
      <c r="Q875" s="159">
        <f t="shared" si="144"/>
        <v>0</v>
      </c>
      <c r="R875" s="159">
        <f t="shared" si="145"/>
        <v>94603.043000000005</v>
      </c>
      <c r="S875" s="168">
        <f t="shared" si="141"/>
        <v>14.841577920000004</v>
      </c>
    </row>
    <row r="876" spans="1:19" ht="15.75" customHeight="1" x14ac:dyDescent="0.3">
      <c r="A876" s="164" t="s">
        <v>418</v>
      </c>
      <c r="B876" s="159">
        <f t="shared" si="142"/>
        <v>0</v>
      </c>
      <c r="C876" s="159">
        <f t="shared" si="142"/>
        <v>0</v>
      </c>
      <c r="D876" s="159">
        <f t="shared" si="142"/>
        <v>0</v>
      </c>
      <c r="E876" s="159">
        <f t="shared" si="142"/>
        <v>0</v>
      </c>
      <c r="F876" s="159">
        <f t="shared" si="142"/>
        <v>0</v>
      </c>
      <c r="G876" s="159"/>
      <c r="H876" s="159">
        <f t="shared" si="143"/>
        <v>0</v>
      </c>
      <c r="I876" s="159"/>
      <c r="J876" s="159"/>
      <c r="K876" s="159"/>
      <c r="L876" s="164" t="s">
        <v>418</v>
      </c>
      <c r="M876" s="159">
        <f t="shared" si="144"/>
        <v>89972.73</v>
      </c>
      <c r="N876" s="159">
        <f t="shared" si="144"/>
        <v>12044.031999999999</v>
      </c>
      <c r="O876" s="159">
        <f t="shared" si="144"/>
        <v>12005.504000000001</v>
      </c>
      <c r="P876" s="159">
        <f t="shared" si="144"/>
        <v>17639.135999999999</v>
      </c>
      <c r="Q876" s="159">
        <f t="shared" si="144"/>
        <v>0</v>
      </c>
      <c r="R876" s="159">
        <f t="shared" si="145"/>
        <v>131661.402</v>
      </c>
      <c r="S876" s="168">
        <f t="shared" si="141"/>
        <v>19.610261190000003</v>
      </c>
    </row>
    <row r="877" spans="1:19" ht="15.75" customHeight="1" x14ac:dyDescent="0.3">
      <c r="A877" s="164" t="s">
        <v>419</v>
      </c>
      <c r="B877" s="159">
        <f t="shared" si="142"/>
        <v>24631.238000000001</v>
      </c>
      <c r="C877" s="159">
        <f t="shared" si="142"/>
        <v>3308.288</v>
      </c>
      <c r="D877" s="159">
        <f t="shared" si="142"/>
        <v>3308.288</v>
      </c>
      <c r="E877" s="159">
        <f t="shared" si="142"/>
        <v>5660.2740000000003</v>
      </c>
      <c r="F877" s="159">
        <f t="shared" si="142"/>
        <v>4626.4340000000002</v>
      </c>
      <c r="G877" s="159"/>
      <c r="H877" s="159">
        <f t="shared" si="143"/>
        <v>41534.522000000004</v>
      </c>
      <c r="I877" s="159"/>
      <c r="J877" s="159"/>
      <c r="K877" s="159"/>
      <c r="L877" s="164" t="s">
        <v>419</v>
      </c>
      <c r="M877" s="159">
        <f t="shared" si="144"/>
        <v>104400.197</v>
      </c>
      <c r="N877" s="159">
        <f t="shared" si="144"/>
        <v>13985.791999999999</v>
      </c>
      <c r="O877" s="159">
        <f t="shared" si="144"/>
        <v>13950.976000000001</v>
      </c>
      <c r="P877" s="159">
        <f t="shared" si="144"/>
        <v>21160.875</v>
      </c>
      <c r="Q877" s="159">
        <f t="shared" si="144"/>
        <v>0</v>
      </c>
      <c r="R877" s="159">
        <f t="shared" si="145"/>
        <v>153497.84</v>
      </c>
      <c r="S877" s="168"/>
    </row>
    <row r="878" spans="1:19" ht="15.75" customHeight="1" x14ac:dyDescent="0.3">
      <c r="A878" s="164" t="s">
        <v>420</v>
      </c>
      <c r="B878" s="159">
        <f t="shared" si="142"/>
        <v>86765.884999999995</v>
      </c>
      <c r="C878" s="159">
        <f t="shared" si="142"/>
        <v>11653.76</v>
      </c>
      <c r="D878" s="159">
        <f t="shared" si="142"/>
        <v>11653.76</v>
      </c>
      <c r="E878" s="159">
        <f t="shared" si="142"/>
        <v>19938.855</v>
      </c>
      <c r="F878" s="159">
        <f t="shared" si="142"/>
        <v>16297.055</v>
      </c>
      <c r="G878" s="159"/>
      <c r="H878" s="159">
        <f t="shared" si="143"/>
        <v>146309.31499999997</v>
      </c>
      <c r="I878" s="159"/>
      <c r="J878" s="159"/>
      <c r="K878" s="159"/>
      <c r="L878" s="164" t="s">
        <v>420</v>
      </c>
      <c r="M878" s="159">
        <f t="shared" si="144"/>
        <v>73485.83</v>
      </c>
      <c r="N878" s="159">
        <f t="shared" si="144"/>
        <v>9840</v>
      </c>
      <c r="O878" s="159">
        <f t="shared" si="144"/>
        <v>9811.0720000000001</v>
      </c>
      <c r="P878" s="159">
        <f t="shared" si="144"/>
        <v>13544.273999999999</v>
      </c>
      <c r="Q878" s="159">
        <f t="shared" si="144"/>
        <v>0</v>
      </c>
      <c r="R878" s="159">
        <f t="shared" si="145"/>
        <v>106681.17600000001</v>
      </c>
      <c r="S878" s="168">
        <f>(SUM(S865:S876))</f>
        <v>257.78794977000001</v>
      </c>
    </row>
    <row r="879" spans="1:19" ht="15.75" customHeight="1" x14ac:dyDescent="0.3">
      <c r="A879" s="164" t="s">
        <v>421</v>
      </c>
      <c r="B879" s="159">
        <f t="shared" si="142"/>
        <v>19691.839</v>
      </c>
      <c r="C879" s="159">
        <f t="shared" si="142"/>
        <v>2644.864</v>
      </c>
      <c r="D879" s="159">
        <f t="shared" si="142"/>
        <v>2644.864</v>
      </c>
      <c r="E879" s="159">
        <f t="shared" si="142"/>
        <v>4525.1970000000001</v>
      </c>
      <c r="F879" s="159">
        <f t="shared" si="142"/>
        <v>3698.6770000000001</v>
      </c>
      <c r="G879" s="159"/>
      <c r="H879" s="159">
        <f t="shared" si="143"/>
        <v>33205.441000000006</v>
      </c>
      <c r="I879" s="159"/>
      <c r="J879" s="159"/>
      <c r="K879" s="159"/>
      <c r="L879" s="164" t="s">
        <v>421</v>
      </c>
      <c r="M879" s="159">
        <f t="shared" si="144"/>
        <v>43794.161999999997</v>
      </c>
      <c r="N879" s="159">
        <f t="shared" si="144"/>
        <v>5858.3040000000001</v>
      </c>
      <c r="O879" s="159">
        <f t="shared" si="144"/>
        <v>5835.3919999999998</v>
      </c>
      <c r="P879" s="159">
        <f t="shared" si="144"/>
        <v>6435.3149999999996</v>
      </c>
      <c r="Q879" s="159">
        <f t="shared" si="144"/>
        <v>0</v>
      </c>
      <c r="R879" s="159">
        <f t="shared" si="145"/>
        <v>61923.173000000003</v>
      </c>
      <c r="S879" s="159"/>
    </row>
    <row r="880" spans="1:19" ht="15.75" customHeight="1" x14ac:dyDescent="0.3">
      <c r="A880" s="159"/>
      <c r="B880" s="159"/>
      <c r="C880" s="159"/>
      <c r="D880" s="159"/>
      <c r="E880" s="159"/>
      <c r="F880" s="159"/>
      <c r="G880" s="159"/>
      <c r="H880" s="159"/>
      <c r="I880" s="159"/>
      <c r="J880" s="159"/>
      <c r="K880" s="159"/>
      <c r="L880" s="159"/>
      <c r="M880" s="159"/>
      <c r="N880" s="159"/>
      <c r="O880" s="159"/>
      <c r="P880" s="159"/>
      <c r="Q880" s="159"/>
      <c r="R880" s="159"/>
    </row>
    <row r="881" spans="1:18" ht="15.75" customHeight="1" x14ac:dyDescent="0.3">
      <c r="A881" s="164" t="s">
        <v>422</v>
      </c>
      <c r="B881" s="159">
        <f>SUM(B868:B879)</f>
        <v>351267.223</v>
      </c>
      <c r="C881" s="159">
        <f>SUM(C868:C879)</f>
        <v>47179.648000000001</v>
      </c>
      <c r="D881" s="159">
        <f>SUM(D868:D879)</f>
        <v>47179.648000000001</v>
      </c>
      <c r="E881" s="159">
        <f>SUM(E868:E879)</f>
        <v>80721.429000000004</v>
      </c>
      <c r="F881" s="159">
        <f>SUM(F868:F879)</f>
        <v>65977.789000000004</v>
      </c>
      <c r="G881" s="159"/>
      <c r="H881" s="159">
        <f>SUM(H868:H879)</f>
        <v>592325.73699999996</v>
      </c>
      <c r="I881" s="159"/>
      <c r="J881" s="159"/>
      <c r="K881" s="159"/>
      <c r="L881" s="164" t="s">
        <v>422</v>
      </c>
      <c r="M881" s="159">
        <f t="shared" ref="M881:R881" si="146">SUM(M868:M879)</f>
        <v>1146202.6429999999</v>
      </c>
      <c r="N881" s="159">
        <f t="shared" si="146"/>
        <v>153501.568</v>
      </c>
      <c r="O881" s="159">
        <f t="shared" si="146"/>
        <v>153074.04800000001</v>
      </c>
      <c r="P881" s="159">
        <f t="shared" si="146"/>
        <v>220003.45800000001</v>
      </c>
      <c r="Q881" s="159">
        <f t="shared" si="146"/>
        <v>0</v>
      </c>
      <c r="R881" s="159">
        <f t="shared" si="146"/>
        <v>1672781.7170000002</v>
      </c>
    </row>
    <row r="882" spans="1:18" ht="15.75" customHeight="1" x14ac:dyDescent="0.3">
      <c r="A882" s="159"/>
      <c r="B882" s="159"/>
      <c r="C882" s="159"/>
      <c r="D882" s="159"/>
      <c r="E882" s="159"/>
      <c r="F882" s="159"/>
      <c r="G882" s="159"/>
      <c r="H882" s="159"/>
      <c r="I882" s="159"/>
      <c r="J882" s="159"/>
      <c r="K882" s="159"/>
      <c r="L882" s="159"/>
      <c r="M882" s="159"/>
      <c r="N882" s="159"/>
      <c r="O882" s="159"/>
      <c r="P882" s="159"/>
      <c r="Q882" s="159"/>
      <c r="R882" s="159"/>
    </row>
    <row r="883" spans="1:18" ht="15.75" customHeight="1" x14ac:dyDescent="0.35">
      <c r="A883" s="159"/>
      <c r="B883" s="159" t="s">
        <v>424</v>
      </c>
      <c r="C883" s="167"/>
      <c r="D883" s="167"/>
      <c r="E883" s="167"/>
      <c r="F883" s="167"/>
      <c r="G883" s="161" t="s">
        <v>466</v>
      </c>
      <c r="H883" s="159"/>
      <c r="I883" s="159"/>
      <c r="J883" s="159"/>
      <c r="K883" s="159"/>
      <c r="L883" s="159"/>
      <c r="M883" s="159"/>
      <c r="N883" s="159"/>
      <c r="O883" s="159"/>
      <c r="P883" s="159"/>
      <c r="Q883" s="161" t="str">
        <f>+Q1</f>
        <v>PRINTED:</v>
      </c>
      <c r="R883" s="162">
        <f ca="1">+R1</f>
        <v>44909.46975358796</v>
      </c>
    </row>
    <row r="884" spans="1:18" ht="15.75" customHeight="1" x14ac:dyDescent="0.35">
      <c r="A884" s="159"/>
      <c r="B884" s="159"/>
      <c r="C884" s="167"/>
      <c r="D884" s="167"/>
      <c r="E884" s="167"/>
      <c r="F884" s="167"/>
      <c r="G884" s="159" t="s">
        <v>424</v>
      </c>
      <c r="H884" s="159" t="s">
        <v>7</v>
      </c>
      <c r="I884" s="163" t="str">
        <f>+A8</f>
        <v>Revised:  1/19/09</v>
      </c>
      <c r="J884" s="159"/>
      <c r="K884" s="159"/>
      <c r="L884" s="159"/>
      <c r="M884" s="159"/>
      <c r="N884" s="159"/>
      <c r="O884" s="159"/>
      <c r="P884" s="159"/>
      <c r="Q884" s="159"/>
      <c r="R884" s="159"/>
    </row>
    <row r="885" spans="1:18" ht="15.75" customHeight="1" x14ac:dyDescent="0.35">
      <c r="A885" s="159"/>
      <c r="B885" s="159" t="s">
        <v>424</v>
      </c>
      <c r="C885" s="167"/>
      <c r="D885" s="167"/>
      <c r="E885" s="167"/>
      <c r="F885" s="167"/>
      <c r="G885" s="159" t="s">
        <v>387</v>
      </c>
      <c r="H885" s="159"/>
      <c r="I885" s="159"/>
      <c r="J885" s="159"/>
      <c r="K885" s="159"/>
      <c r="L885" s="159"/>
      <c r="M885" s="159"/>
      <c r="N885" s="159"/>
      <c r="O885" s="159"/>
      <c r="P885" s="159"/>
      <c r="Q885" s="159"/>
      <c r="R885" s="159"/>
    </row>
    <row r="886" spans="1:18" ht="15.75" customHeight="1" x14ac:dyDescent="0.35">
      <c r="A886" s="159"/>
      <c r="B886" s="159"/>
      <c r="C886" s="167"/>
      <c r="D886" s="167"/>
      <c r="E886" s="167"/>
      <c r="F886" s="167"/>
      <c r="G886" s="159"/>
      <c r="H886" s="159"/>
      <c r="I886" s="159"/>
      <c r="J886" s="159"/>
      <c r="K886" s="159"/>
      <c r="L886" s="159" t="s">
        <v>424</v>
      </c>
      <c r="M886" s="159"/>
      <c r="N886" s="159"/>
      <c r="O886" s="159"/>
      <c r="P886" s="159"/>
      <c r="Q886" s="159"/>
      <c r="R886" s="159"/>
    </row>
    <row r="887" spans="1:18" ht="15.75" customHeight="1" x14ac:dyDescent="0.35">
      <c r="A887" s="159"/>
      <c r="B887" s="159"/>
      <c r="C887" s="167"/>
      <c r="D887" s="167"/>
      <c r="E887" s="167"/>
      <c r="F887" s="167"/>
      <c r="G887" s="159" t="s">
        <v>424</v>
      </c>
      <c r="H887" s="159" t="str">
        <f>+A5</f>
        <v>Calendar Year 2008</v>
      </c>
      <c r="I887" s="159"/>
      <c r="K887" s="159"/>
      <c r="L887" s="159"/>
      <c r="N887" s="159" t="s">
        <v>424</v>
      </c>
      <c r="O887" s="159"/>
      <c r="P887" s="159"/>
      <c r="Q887" s="161" t="s">
        <v>467</v>
      </c>
      <c r="R887" s="159"/>
    </row>
    <row r="888" spans="1:18" ht="15.75" customHeight="1" x14ac:dyDescent="0.3">
      <c r="A888" s="159"/>
      <c r="B888" s="159"/>
      <c r="C888" s="159"/>
      <c r="D888" s="159"/>
      <c r="E888" s="159"/>
      <c r="F888" s="159"/>
      <c r="G888" s="159"/>
      <c r="H888" s="159"/>
      <c r="I888" s="159"/>
      <c r="K888" s="159"/>
      <c r="L888" s="159"/>
      <c r="N888" s="159"/>
      <c r="O888" s="159"/>
      <c r="P888" s="159"/>
      <c r="Q888" s="159" t="s">
        <v>468</v>
      </c>
      <c r="R888" s="159"/>
    </row>
    <row r="889" spans="1:18" ht="15.75" customHeight="1" x14ac:dyDescent="0.35">
      <c r="A889" s="159" t="s">
        <v>424</v>
      </c>
      <c r="B889" s="164" t="s">
        <v>428</v>
      </c>
      <c r="C889" s="164" t="s">
        <v>469</v>
      </c>
      <c r="D889" s="164" t="s">
        <v>470</v>
      </c>
      <c r="E889" s="164" t="s">
        <v>471</v>
      </c>
      <c r="F889" s="159"/>
      <c r="G889" s="159"/>
      <c r="H889" s="164" t="s">
        <v>472</v>
      </c>
      <c r="I889" s="164" t="s">
        <v>473</v>
      </c>
      <c r="J889" s="164" t="s">
        <v>474</v>
      </c>
      <c r="K889" s="164" t="s">
        <v>475</v>
      </c>
      <c r="L889" s="164" t="s">
        <v>476</v>
      </c>
      <c r="M889" s="164" t="s">
        <v>474</v>
      </c>
      <c r="N889" s="159" t="s">
        <v>424</v>
      </c>
      <c r="O889" s="159"/>
      <c r="P889" s="159"/>
      <c r="Q889" s="159"/>
      <c r="R889" s="159"/>
    </row>
    <row r="890" spans="1:18" ht="15.75" customHeight="1" x14ac:dyDescent="0.3">
      <c r="A890" s="159" t="s">
        <v>424</v>
      </c>
      <c r="B890" s="164" t="s">
        <v>435</v>
      </c>
      <c r="C890" s="164" t="s">
        <v>477</v>
      </c>
      <c r="D890" s="164" t="s">
        <v>442</v>
      </c>
      <c r="E890" s="164" t="s">
        <v>429</v>
      </c>
      <c r="F890" s="164" t="s">
        <v>478</v>
      </c>
      <c r="G890" s="164" t="s">
        <v>479</v>
      </c>
      <c r="H890" s="164" t="s">
        <v>480</v>
      </c>
      <c r="I890" s="164" t="s">
        <v>481</v>
      </c>
      <c r="J890" s="164" t="s">
        <v>482</v>
      </c>
      <c r="K890" s="164" t="s">
        <v>483</v>
      </c>
      <c r="L890" s="164" t="s">
        <v>422</v>
      </c>
      <c r="M890" s="164" t="s">
        <v>482</v>
      </c>
      <c r="N890" s="159" t="s">
        <v>484</v>
      </c>
      <c r="O890" s="159"/>
      <c r="P890" s="159"/>
      <c r="Q890" s="159" t="s">
        <v>424</v>
      </c>
      <c r="R890" s="164" t="s">
        <v>442</v>
      </c>
    </row>
    <row r="891" spans="1:18" ht="15.75" customHeight="1" x14ac:dyDescent="0.3">
      <c r="A891" s="159" t="s">
        <v>424</v>
      </c>
      <c r="B891" s="164" t="s">
        <v>442</v>
      </c>
      <c r="C891" s="169">
        <v>7.4999999999999997E-2</v>
      </c>
      <c r="D891" s="164" t="s">
        <v>485</v>
      </c>
      <c r="E891" s="164" t="s">
        <v>436</v>
      </c>
      <c r="F891" s="164" t="s">
        <v>442</v>
      </c>
      <c r="G891" s="164" t="s">
        <v>442</v>
      </c>
      <c r="H891" s="164" t="s">
        <v>442</v>
      </c>
      <c r="I891" s="164" t="s">
        <v>486</v>
      </c>
      <c r="J891" s="164" t="s">
        <v>487</v>
      </c>
      <c r="K891" s="164" t="s">
        <v>442</v>
      </c>
      <c r="L891" s="164" t="s">
        <v>488</v>
      </c>
      <c r="M891" s="164" t="s">
        <v>487</v>
      </c>
      <c r="N891" s="164" t="s">
        <v>489</v>
      </c>
      <c r="O891" s="164" t="s">
        <v>490</v>
      </c>
      <c r="P891" s="159"/>
      <c r="Q891" s="164" t="s">
        <v>442</v>
      </c>
      <c r="R891" s="164" t="s">
        <v>439</v>
      </c>
    </row>
    <row r="892" spans="1:18" ht="15.75" customHeight="1" x14ac:dyDescent="0.3">
      <c r="A892" s="159" t="s">
        <v>424</v>
      </c>
      <c r="B892" s="164" t="s">
        <v>448</v>
      </c>
      <c r="C892" s="164" t="s">
        <v>448</v>
      </c>
      <c r="D892" s="164" t="s">
        <v>448</v>
      </c>
      <c r="E892" s="164" t="s">
        <v>448</v>
      </c>
      <c r="F892" s="164" t="s">
        <v>491</v>
      </c>
      <c r="G892" s="164" t="s">
        <v>491</v>
      </c>
      <c r="H892" s="164" t="s">
        <v>448</v>
      </c>
      <c r="I892" s="164" t="s">
        <v>448</v>
      </c>
      <c r="J892" s="164" t="s">
        <v>491</v>
      </c>
      <c r="K892" s="164" t="s">
        <v>448</v>
      </c>
      <c r="L892" s="164" t="s">
        <v>491</v>
      </c>
      <c r="M892" s="164" t="s">
        <v>491</v>
      </c>
      <c r="N892" s="164" t="s">
        <v>491</v>
      </c>
      <c r="O892" s="164" t="s">
        <v>491</v>
      </c>
      <c r="P892" s="159"/>
      <c r="Q892" s="164" t="s">
        <v>491</v>
      </c>
      <c r="R892" s="164" t="s">
        <v>492</v>
      </c>
    </row>
    <row r="893" spans="1:18" ht="15.75" customHeight="1" x14ac:dyDescent="0.3">
      <c r="A893" s="159" t="s">
        <v>409</v>
      </c>
      <c r="B893" s="159" t="s">
        <v>409</v>
      </c>
      <c r="C893" s="159" t="s">
        <v>409</v>
      </c>
      <c r="D893" s="159" t="s">
        <v>493</v>
      </c>
      <c r="E893" s="159" t="s">
        <v>409</v>
      </c>
      <c r="F893" s="164" t="s">
        <v>494</v>
      </c>
      <c r="G893" s="164" t="s">
        <v>494</v>
      </c>
      <c r="H893" s="159" t="s">
        <v>409</v>
      </c>
      <c r="I893" s="159" t="s">
        <v>409</v>
      </c>
      <c r="J893" s="159" t="s">
        <v>409</v>
      </c>
      <c r="K893" s="159" t="s">
        <v>409</v>
      </c>
      <c r="L893" s="164" t="s">
        <v>409</v>
      </c>
      <c r="M893" s="159" t="s">
        <v>409</v>
      </c>
      <c r="N893" s="164" t="s">
        <v>409</v>
      </c>
      <c r="O893" s="164" t="s">
        <v>409</v>
      </c>
      <c r="P893" s="159"/>
      <c r="Q893" s="164" t="s">
        <v>409</v>
      </c>
      <c r="R893" s="164" t="s">
        <v>409</v>
      </c>
    </row>
    <row r="894" spans="1:18" ht="15.75" customHeight="1" x14ac:dyDescent="0.3">
      <c r="A894" s="164" t="s">
        <v>410</v>
      </c>
      <c r="B894" s="159">
        <f t="shared" ref="B894:B905" si="147">+H783</f>
        <v>265933.69900000002</v>
      </c>
      <c r="C894" s="159">
        <f t="shared" ref="C894:C905" si="148">(B894*C$891)</f>
        <v>19945.027425</v>
      </c>
      <c r="D894" s="159">
        <f t="shared" ref="D894:D905" si="149">(B894*1.005)</f>
        <v>267263.36749500001</v>
      </c>
      <c r="E894" s="159">
        <f t="shared" ref="E894:E901" si="150">(G758*G$756)/(-1000)</f>
        <v>0</v>
      </c>
      <c r="F894" s="159">
        <f t="shared" ref="F894:F905" si="151">(K931)</f>
        <v>4000</v>
      </c>
      <c r="G894" s="159">
        <f t="shared" ref="G894:G905" si="152">(O931)</f>
        <v>0</v>
      </c>
      <c r="H894" s="159">
        <f t="shared" ref="H894:H905" si="153">(F894+G894)</f>
        <v>4000</v>
      </c>
      <c r="I894" s="159">
        <f t="shared" ref="I894:I905" si="154">(G931)</f>
        <v>0</v>
      </c>
      <c r="J894" s="4">
        <f>(B$249+B$371+B$372)*1.728</f>
        <v>0</v>
      </c>
      <c r="K894" s="159">
        <f t="shared" ref="K894:K905" si="155">(D894+C894-E894-H894-I894-J894)</f>
        <v>283208.39491999999</v>
      </c>
      <c r="L894" s="159">
        <f t="shared" ref="L894:L905" si="156">(C894+D894)</f>
        <v>287208.39491999999</v>
      </c>
      <c r="M894" s="159">
        <f t="shared" ref="M894:M905" si="157">J894</f>
        <v>0</v>
      </c>
      <c r="N894" s="170">
        <v>286335</v>
      </c>
      <c r="O894" s="159">
        <v>-44340</v>
      </c>
      <c r="P894" s="171" t="s">
        <v>495</v>
      </c>
      <c r="Q894" s="159">
        <f t="shared" ref="Q894:Q905" si="158">SUM(L840:Q840)</f>
        <v>4886.4120000000003</v>
      </c>
      <c r="R894" s="172">
        <v>2.4700000000000002</v>
      </c>
    </row>
    <row r="895" spans="1:18" ht="15.75" customHeight="1" x14ac:dyDescent="0.3">
      <c r="A895" s="164" t="s">
        <v>411</v>
      </c>
      <c r="B895" s="159">
        <f t="shared" si="147"/>
        <v>254393.11499999999</v>
      </c>
      <c r="C895" s="159">
        <f t="shared" si="148"/>
        <v>19079.483624999997</v>
      </c>
      <c r="D895" s="159">
        <f t="shared" si="149"/>
        <v>255665.08057499997</v>
      </c>
      <c r="E895" s="159">
        <f t="shared" si="150"/>
        <v>0</v>
      </c>
      <c r="F895" s="159">
        <f t="shared" si="151"/>
        <v>4000</v>
      </c>
      <c r="G895" s="159">
        <f t="shared" si="152"/>
        <v>0</v>
      </c>
      <c r="H895" s="159">
        <f t="shared" si="153"/>
        <v>4000</v>
      </c>
      <c r="I895" s="159">
        <f t="shared" si="154"/>
        <v>0</v>
      </c>
      <c r="J895" s="4">
        <f>(C$249+C$371+C$372)*1.728</f>
        <v>1728</v>
      </c>
      <c r="K895" s="159">
        <f t="shared" si="155"/>
        <v>269016.56419999996</v>
      </c>
      <c r="L895" s="159">
        <f t="shared" si="156"/>
        <v>274744.56419999996</v>
      </c>
      <c r="M895" s="159">
        <f t="shared" si="157"/>
        <v>1728</v>
      </c>
      <c r="N895" s="170">
        <v>275656</v>
      </c>
      <c r="O895" s="159">
        <v>0</v>
      </c>
      <c r="P895" s="159"/>
      <c r="Q895" s="159">
        <f t="shared" si="158"/>
        <v>5897.2380000000003</v>
      </c>
      <c r="R895" s="172">
        <v>2.4700000000000002</v>
      </c>
    </row>
    <row r="896" spans="1:18" ht="15.75" customHeight="1" x14ac:dyDescent="0.3">
      <c r="A896" s="164" t="s">
        <v>412</v>
      </c>
      <c r="B896" s="159">
        <f t="shared" si="147"/>
        <v>271030.799</v>
      </c>
      <c r="C896" s="159">
        <f t="shared" si="148"/>
        <v>20327.309924999998</v>
      </c>
      <c r="D896" s="159">
        <f t="shared" si="149"/>
        <v>272385.95299499994</v>
      </c>
      <c r="E896" s="159">
        <f t="shared" si="150"/>
        <v>9.8010000000000002</v>
      </c>
      <c r="F896" s="159">
        <f t="shared" si="151"/>
        <v>4000</v>
      </c>
      <c r="G896" s="159">
        <f t="shared" si="152"/>
        <v>0</v>
      </c>
      <c r="H896" s="159">
        <f t="shared" si="153"/>
        <v>4000</v>
      </c>
      <c r="I896" s="159">
        <f t="shared" si="154"/>
        <v>0</v>
      </c>
      <c r="J896" s="4">
        <f>(D$249+D$371+D$372)*1.728</f>
        <v>0</v>
      </c>
      <c r="K896" s="159">
        <f t="shared" si="155"/>
        <v>288703.46191999997</v>
      </c>
      <c r="L896" s="159">
        <f t="shared" si="156"/>
        <v>292713.26291999995</v>
      </c>
      <c r="M896" s="159">
        <f t="shared" si="157"/>
        <v>0</v>
      </c>
      <c r="N896" s="170">
        <v>289993</v>
      </c>
      <c r="O896" s="159">
        <v>0</v>
      </c>
      <c r="P896" s="159"/>
      <c r="Q896" s="159">
        <f t="shared" si="158"/>
        <v>8605.9290000000019</v>
      </c>
      <c r="R896" s="172">
        <v>2.4700000000000002</v>
      </c>
    </row>
    <row r="897" spans="1:18" ht="15.75" customHeight="1" x14ac:dyDescent="0.3">
      <c r="A897" s="164" t="s">
        <v>413</v>
      </c>
      <c r="B897" s="159">
        <f t="shared" si="147"/>
        <v>272214.70600000001</v>
      </c>
      <c r="C897" s="159">
        <f t="shared" si="148"/>
        <v>20416.10295</v>
      </c>
      <c r="D897" s="159">
        <f t="shared" si="149"/>
        <v>273575.77953</v>
      </c>
      <c r="E897" s="159">
        <f t="shared" si="150"/>
        <v>1442.32</v>
      </c>
      <c r="F897" s="159">
        <f t="shared" si="151"/>
        <v>9000</v>
      </c>
      <c r="G897" s="159">
        <f t="shared" si="152"/>
        <v>0</v>
      </c>
      <c r="H897" s="159">
        <f t="shared" si="153"/>
        <v>9000</v>
      </c>
      <c r="I897" s="159">
        <f t="shared" si="154"/>
        <v>0</v>
      </c>
      <c r="J897" s="4">
        <f>(F$249+F$371+F$372)*1.728</f>
        <v>0</v>
      </c>
      <c r="K897" s="159">
        <f t="shared" si="155"/>
        <v>283549.56248000002</v>
      </c>
      <c r="L897" s="159">
        <f t="shared" si="156"/>
        <v>293991.88248000003</v>
      </c>
      <c r="M897" s="159">
        <f t="shared" si="157"/>
        <v>0</v>
      </c>
      <c r="N897" s="170">
        <v>294379</v>
      </c>
      <c r="O897" s="159">
        <v>0</v>
      </c>
      <c r="P897" s="159"/>
      <c r="Q897" s="159">
        <f t="shared" si="158"/>
        <v>9842.0820000000003</v>
      </c>
      <c r="R897" s="172">
        <v>2.4700000000000002</v>
      </c>
    </row>
    <row r="898" spans="1:18" ht="15.75" customHeight="1" x14ac:dyDescent="0.3">
      <c r="A898" s="164" t="s">
        <v>414</v>
      </c>
      <c r="B898" s="159">
        <f t="shared" si="147"/>
        <v>280962.03600000002</v>
      </c>
      <c r="C898" s="159">
        <f t="shared" si="148"/>
        <v>21072.152700000002</v>
      </c>
      <c r="D898" s="159">
        <f t="shared" si="149"/>
        <v>282366.84617999999</v>
      </c>
      <c r="E898" s="159">
        <f t="shared" si="150"/>
        <v>998.00800000000004</v>
      </c>
      <c r="F898" s="159">
        <f t="shared" si="151"/>
        <v>9000</v>
      </c>
      <c r="G898" s="159">
        <f t="shared" si="152"/>
        <v>0</v>
      </c>
      <c r="H898" s="159">
        <f t="shared" si="153"/>
        <v>9000</v>
      </c>
      <c r="I898" s="159">
        <f t="shared" si="154"/>
        <v>0</v>
      </c>
      <c r="J898" s="4">
        <f>(G$249+G$371+G$372)*1.728</f>
        <v>0</v>
      </c>
      <c r="K898" s="159">
        <f t="shared" si="155"/>
        <v>293440.99088</v>
      </c>
      <c r="L898" s="159">
        <f t="shared" si="156"/>
        <v>303438.99887999997</v>
      </c>
      <c r="M898" s="159">
        <f t="shared" si="157"/>
        <v>0</v>
      </c>
      <c r="N898" s="170">
        <v>303088</v>
      </c>
      <c r="O898" s="159">
        <v>0</v>
      </c>
      <c r="P898" s="159"/>
      <c r="Q898" s="159">
        <f t="shared" si="158"/>
        <v>10710.777</v>
      </c>
      <c r="R898" s="172">
        <v>2.4700000000000002</v>
      </c>
    </row>
    <row r="899" spans="1:18" ht="15.75" customHeight="1" x14ac:dyDescent="0.3">
      <c r="A899" s="164" t="s">
        <v>415</v>
      </c>
      <c r="B899" s="159">
        <f t="shared" si="147"/>
        <v>218700.36300000001</v>
      </c>
      <c r="C899" s="159">
        <f t="shared" si="148"/>
        <v>16402.527225000002</v>
      </c>
      <c r="D899" s="159">
        <f t="shared" si="149"/>
        <v>219793.86481499998</v>
      </c>
      <c r="E899" s="159">
        <f t="shared" si="150"/>
        <v>7291.9440000000004</v>
      </c>
      <c r="F899" s="159">
        <f t="shared" si="151"/>
        <v>18000</v>
      </c>
      <c r="G899" s="159">
        <f t="shared" si="152"/>
        <v>0</v>
      </c>
      <c r="H899" s="159">
        <f t="shared" si="153"/>
        <v>18000</v>
      </c>
      <c r="I899" s="159">
        <f t="shared" si="154"/>
        <v>0</v>
      </c>
      <c r="J899" s="4">
        <f>(H$249+H$371+H$372)*1.728</f>
        <v>0</v>
      </c>
      <c r="K899" s="159">
        <f t="shared" si="155"/>
        <v>210904.44803999999</v>
      </c>
      <c r="L899" s="159">
        <f t="shared" si="156"/>
        <v>236196.39203999998</v>
      </c>
      <c r="M899" s="159">
        <f t="shared" si="157"/>
        <v>0</v>
      </c>
      <c r="N899" s="170">
        <v>231510</v>
      </c>
      <c r="O899" s="159">
        <v>0</v>
      </c>
      <c r="P899" s="159"/>
      <c r="Q899" s="159">
        <f t="shared" si="158"/>
        <v>9857.5679999999993</v>
      </c>
      <c r="R899" s="172">
        <v>2.4700000000000002</v>
      </c>
    </row>
    <row r="900" spans="1:18" ht="15.75" customHeight="1" x14ac:dyDescent="0.3">
      <c r="A900" s="164" t="s">
        <v>416</v>
      </c>
      <c r="B900" s="159">
        <f t="shared" si="147"/>
        <v>153417.079</v>
      </c>
      <c r="C900" s="159">
        <f t="shared" si="148"/>
        <v>11506.280924999999</v>
      </c>
      <c r="D900" s="159">
        <f t="shared" si="149"/>
        <v>154184.16439499997</v>
      </c>
      <c r="E900" s="159">
        <f t="shared" si="150"/>
        <v>11214.159</v>
      </c>
      <c r="F900" s="159">
        <f t="shared" si="151"/>
        <v>21000</v>
      </c>
      <c r="G900" s="159">
        <f t="shared" si="152"/>
        <v>0</v>
      </c>
      <c r="H900" s="159">
        <f t="shared" si="153"/>
        <v>21000</v>
      </c>
      <c r="I900" s="159">
        <f t="shared" si="154"/>
        <v>0</v>
      </c>
      <c r="J900" s="4">
        <f>(J$249+J$371+J$372)*1.728</f>
        <v>0</v>
      </c>
      <c r="K900" s="159">
        <f t="shared" si="155"/>
        <v>133476.28631999996</v>
      </c>
      <c r="L900" s="159">
        <f t="shared" si="156"/>
        <v>165690.44531999997</v>
      </c>
      <c r="M900" s="159">
        <f t="shared" si="157"/>
        <v>0</v>
      </c>
      <c r="N900" s="170">
        <v>161543</v>
      </c>
      <c r="O900" s="159">
        <v>0</v>
      </c>
      <c r="P900" s="159"/>
      <c r="Q900" s="159">
        <f t="shared" si="158"/>
        <v>9391.7429999999986</v>
      </c>
      <c r="R900" s="172">
        <v>2.4700000000000002</v>
      </c>
    </row>
    <row r="901" spans="1:18" ht="15.75" customHeight="1" x14ac:dyDescent="0.3">
      <c r="A901" s="164" t="s">
        <v>417</v>
      </c>
      <c r="B901" s="159">
        <f t="shared" si="147"/>
        <v>140805.125</v>
      </c>
      <c r="C901" s="159">
        <f t="shared" si="148"/>
        <v>10560.384375</v>
      </c>
      <c r="D901" s="159">
        <f t="shared" si="149"/>
        <v>141509.15062499998</v>
      </c>
      <c r="E901" s="159">
        <f t="shared" si="150"/>
        <v>15655.343000000001</v>
      </c>
      <c r="F901" s="159">
        <f t="shared" si="151"/>
        <v>35000</v>
      </c>
      <c r="G901" s="159">
        <f t="shared" si="152"/>
        <v>0</v>
      </c>
      <c r="H901" s="159">
        <f t="shared" si="153"/>
        <v>35000</v>
      </c>
      <c r="I901" s="159">
        <f t="shared" si="154"/>
        <v>0</v>
      </c>
      <c r="J901" s="4">
        <f>(K$249+K$371+K$372)*1.728</f>
        <v>0</v>
      </c>
      <c r="K901" s="159">
        <f t="shared" si="155"/>
        <v>101414.19199999998</v>
      </c>
      <c r="L901" s="159">
        <f t="shared" si="156"/>
        <v>152069.53499999997</v>
      </c>
      <c r="M901" s="159">
        <f t="shared" si="157"/>
        <v>0</v>
      </c>
      <c r="N901" s="170">
        <v>148178</v>
      </c>
      <c r="O901" s="159">
        <v>0</v>
      </c>
      <c r="P901" s="159"/>
      <c r="Q901" s="159">
        <f t="shared" si="158"/>
        <v>11478.366</v>
      </c>
      <c r="R901" s="172">
        <v>2.4700000000000002</v>
      </c>
    </row>
    <row r="902" spans="1:18" ht="15.75" customHeight="1" x14ac:dyDescent="0.3">
      <c r="A902" s="164" t="s">
        <v>418</v>
      </c>
      <c r="B902" s="159">
        <f t="shared" si="147"/>
        <v>168829.228</v>
      </c>
      <c r="C902" s="159">
        <f t="shared" si="148"/>
        <v>12662.1921</v>
      </c>
      <c r="D902" s="159">
        <f t="shared" si="149"/>
        <v>169673.37413999997</v>
      </c>
      <c r="E902" s="159">
        <v>0</v>
      </c>
      <c r="F902" s="159">
        <f t="shared" si="151"/>
        <v>35000</v>
      </c>
      <c r="G902" s="159">
        <f t="shared" si="152"/>
        <v>0</v>
      </c>
      <c r="H902" s="159">
        <f t="shared" si="153"/>
        <v>35000</v>
      </c>
      <c r="I902" s="159">
        <f t="shared" si="154"/>
        <v>0</v>
      </c>
      <c r="J902" s="4">
        <f>(L$249+L$371+L$372)*1.728</f>
        <v>2592</v>
      </c>
      <c r="K902" s="159">
        <f t="shared" si="155"/>
        <v>144743.56623999996</v>
      </c>
      <c r="L902" s="159">
        <f t="shared" si="156"/>
        <v>182335.56623999996</v>
      </c>
      <c r="M902" s="159">
        <f t="shared" si="157"/>
        <v>2592</v>
      </c>
      <c r="N902" s="159">
        <f>L902-M902</f>
        <v>179743.56623999996</v>
      </c>
      <c r="O902" s="159">
        <f>(L902-M902-N902)</f>
        <v>0</v>
      </c>
      <c r="P902" s="159"/>
      <c r="Q902" s="159">
        <f t="shared" si="158"/>
        <v>10878.474000000002</v>
      </c>
      <c r="R902" s="172">
        <v>2.4700000000000002</v>
      </c>
    </row>
    <row r="903" spans="1:18" ht="15.75" customHeight="1" x14ac:dyDescent="0.3">
      <c r="A903" s="164" t="s">
        <v>419</v>
      </c>
      <c r="B903" s="159">
        <f t="shared" si="147"/>
        <v>221055.71299999999</v>
      </c>
      <c r="C903" s="159">
        <f t="shared" si="148"/>
        <v>16579.178474999997</v>
      </c>
      <c r="D903" s="159">
        <f t="shared" si="149"/>
        <v>222160.99156499997</v>
      </c>
      <c r="E903" s="159">
        <v>0</v>
      </c>
      <c r="F903" s="159">
        <f t="shared" si="151"/>
        <v>4000</v>
      </c>
      <c r="G903" s="159">
        <f t="shared" si="152"/>
        <v>0</v>
      </c>
      <c r="H903" s="159">
        <f t="shared" si="153"/>
        <v>4000</v>
      </c>
      <c r="I903" s="159">
        <f t="shared" si="154"/>
        <v>71876.170039999968</v>
      </c>
      <c r="J903" s="4">
        <f>(N$249+N$371+N$372)*1.728</f>
        <v>864</v>
      </c>
      <c r="K903" s="159">
        <f t="shared" si="155"/>
        <v>162000</v>
      </c>
      <c r="L903" s="159">
        <f t="shared" si="156"/>
        <v>238740.17003999997</v>
      </c>
      <c r="M903" s="159">
        <f t="shared" si="157"/>
        <v>864</v>
      </c>
      <c r="N903" s="159">
        <v>166000</v>
      </c>
      <c r="O903" s="159">
        <f>(L903-M903-N903)</f>
        <v>71876.170039999968</v>
      </c>
      <c r="P903" s="159"/>
      <c r="Q903" s="159">
        <f t="shared" si="158"/>
        <v>8870.8889999999992</v>
      </c>
      <c r="R903" s="172">
        <v>2.4700000000000002</v>
      </c>
    </row>
    <row r="904" spans="1:18" ht="15.75" customHeight="1" x14ac:dyDescent="0.3">
      <c r="A904" s="164" t="s">
        <v>420</v>
      </c>
      <c r="B904" s="159">
        <f t="shared" si="147"/>
        <v>267865.09700000001</v>
      </c>
      <c r="C904" s="159">
        <f t="shared" si="148"/>
        <v>20089.882275</v>
      </c>
      <c r="D904" s="159">
        <f t="shared" si="149"/>
        <v>269204.42248499999</v>
      </c>
      <c r="E904" s="159">
        <f>(G768*G$756)/(-1000)</f>
        <v>0</v>
      </c>
      <c r="F904" s="159">
        <f t="shared" si="151"/>
        <v>4000</v>
      </c>
      <c r="G904" s="159">
        <f t="shared" si="152"/>
        <v>0</v>
      </c>
      <c r="H904" s="159">
        <f t="shared" si="153"/>
        <v>4000</v>
      </c>
      <c r="I904" s="159">
        <f t="shared" si="154"/>
        <v>289294.30475999997</v>
      </c>
      <c r="J904" s="4">
        <f>(O$249+O$371+O$372)*1.728</f>
        <v>0</v>
      </c>
      <c r="K904" s="159">
        <f t="shared" si="155"/>
        <v>-4000</v>
      </c>
      <c r="L904" s="159">
        <f t="shared" si="156"/>
        <v>289294.30475999997</v>
      </c>
      <c r="M904" s="159">
        <f t="shared" si="157"/>
        <v>0</v>
      </c>
      <c r="N904" s="159">
        <v>0</v>
      </c>
      <c r="O904" s="159">
        <f>(L904-M904-N904)</f>
        <v>289294.30475999997</v>
      </c>
      <c r="P904" s="159"/>
      <c r="Q904" s="159">
        <f t="shared" si="158"/>
        <v>6008.7360000000008</v>
      </c>
      <c r="R904" s="172">
        <v>2.4700000000000002</v>
      </c>
    </row>
    <row r="905" spans="1:18" ht="15.75" customHeight="1" x14ac:dyDescent="0.3">
      <c r="A905" s="164" t="s">
        <v>421</v>
      </c>
      <c r="B905" s="159">
        <f t="shared" si="147"/>
        <v>115057.984</v>
      </c>
      <c r="C905" s="159">
        <f t="shared" si="148"/>
        <v>8629.3487999999998</v>
      </c>
      <c r="D905" s="159">
        <f t="shared" si="149"/>
        <v>115633.27391999998</v>
      </c>
      <c r="E905" s="159">
        <f>(G769*G$756)/(-1000)</f>
        <v>2739.6819999999998</v>
      </c>
      <c r="F905" s="159">
        <f t="shared" si="151"/>
        <v>4000</v>
      </c>
      <c r="G905" s="159">
        <f t="shared" si="152"/>
        <v>0</v>
      </c>
      <c r="H905" s="159">
        <f t="shared" si="153"/>
        <v>4000</v>
      </c>
      <c r="I905" s="159">
        <f t="shared" si="154"/>
        <v>124262.62271999998</v>
      </c>
      <c r="J905" s="4">
        <f>(P$249+P$371+P$372)*1.728</f>
        <v>0</v>
      </c>
      <c r="K905" s="159">
        <f t="shared" si="155"/>
        <v>-6739.6820000000007</v>
      </c>
      <c r="L905" s="159">
        <f t="shared" si="156"/>
        <v>124262.62271999998</v>
      </c>
      <c r="M905" s="159">
        <f t="shared" si="157"/>
        <v>0</v>
      </c>
      <c r="N905" s="159">
        <v>0</v>
      </c>
      <c r="O905" s="159">
        <f>(L905-M905-N905)</f>
        <v>124262.62271999998</v>
      </c>
      <c r="P905" s="159"/>
      <c r="Q905" s="159">
        <f t="shared" si="158"/>
        <v>7939.3770000000004</v>
      </c>
      <c r="R905" s="172">
        <v>2.4700000000000002</v>
      </c>
    </row>
    <row r="906" spans="1:18" ht="15.75" customHeight="1" x14ac:dyDescent="0.3">
      <c r="A906" s="159" t="s">
        <v>424</v>
      </c>
      <c r="B906" s="159" t="s">
        <v>424</v>
      </c>
      <c r="C906" s="159"/>
      <c r="D906" s="159" t="s">
        <v>7</v>
      </c>
      <c r="E906" s="159"/>
      <c r="F906" s="159"/>
      <c r="G906" s="159" t="s">
        <v>7</v>
      </c>
      <c r="H906" s="159" t="s">
        <v>7</v>
      </c>
      <c r="I906" s="168"/>
      <c r="K906" s="159"/>
      <c r="L906" s="159"/>
      <c r="M906" s="159"/>
      <c r="N906" s="159"/>
      <c r="O906" s="164" t="s">
        <v>424</v>
      </c>
      <c r="P906" s="159"/>
      <c r="Q906" s="159"/>
      <c r="R906" s="172"/>
    </row>
    <row r="907" spans="1:18" ht="15.75" customHeight="1" x14ac:dyDescent="0.3">
      <c r="A907" s="159" t="s">
        <v>422</v>
      </c>
      <c r="B907" s="159">
        <f>SUM(B894:B905)</f>
        <v>2630264.9440000006</v>
      </c>
      <c r="C907" s="159">
        <f>SUM(C894:C905)</f>
        <v>197269.8708</v>
      </c>
      <c r="D907" s="159">
        <f>(B907*1.005)</f>
        <v>2643416.2687200005</v>
      </c>
      <c r="E907" s="159">
        <f>SUM(E894:E905)</f>
        <v>39351.256999999998</v>
      </c>
      <c r="F907" s="159">
        <f>(K945)</f>
        <v>151000</v>
      </c>
      <c r="G907" s="159">
        <f>(O945)</f>
        <v>0</v>
      </c>
      <c r="H907" s="159">
        <f>(F907+G907)</f>
        <v>151000</v>
      </c>
      <c r="I907" s="159">
        <f t="shared" ref="I907:O907" si="159">SUM(I894:I905)</f>
        <v>485433.09751999995</v>
      </c>
      <c r="J907" s="159">
        <f t="shared" si="159"/>
        <v>5184</v>
      </c>
      <c r="K907" s="159">
        <f t="shared" si="159"/>
        <v>2159717.7849999997</v>
      </c>
      <c r="L907" s="159">
        <f t="shared" si="159"/>
        <v>2840686.1395199993</v>
      </c>
      <c r="M907" s="159">
        <f t="shared" si="159"/>
        <v>5184</v>
      </c>
      <c r="N907" s="159">
        <f t="shared" si="159"/>
        <v>2336425.5662400001</v>
      </c>
      <c r="O907" s="159">
        <f t="shared" si="159"/>
        <v>441093.09751999995</v>
      </c>
      <c r="P907" s="159"/>
      <c r="Q907" s="159">
        <f>(SUM(Q894:Q905))</f>
        <v>104367.59100000001</v>
      </c>
      <c r="R907" s="172"/>
    </row>
    <row r="908" spans="1:18" ht="15.75" customHeight="1" x14ac:dyDescent="0.3">
      <c r="A908" s="159"/>
      <c r="B908" s="159"/>
      <c r="C908" s="159"/>
      <c r="D908" s="159"/>
      <c r="E908" s="159"/>
      <c r="F908" s="159" t="s">
        <v>424</v>
      </c>
      <c r="G908" s="159"/>
      <c r="H908" s="159"/>
      <c r="I908" s="159"/>
      <c r="K908" s="159"/>
      <c r="L908" s="159"/>
      <c r="N908" s="173" t="s">
        <v>496</v>
      </c>
      <c r="P908" s="159"/>
      <c r="Q908" s="159"/>
      <c r="R908" s="159"/>
    </row>
    <row r="909" spans="1:18" ht="15.75" customHeight="1" x14ac:dyDescent="0.35">
      <c r="A909" s="159" t="s">
        <v>424</v>
      </c>
      <c r="B909" s="159" t="s">
        <v>497</v>
      </c>
      <c r="C909" s="159"/>
      <c r="D909" s="159"/>
      <c r="E909" s="159"/>
      <c r="F909" s="159"/>
      <c r="G909" s="159"/>
      <c r="H909" s="159"/>
      <c r="I909" s="159"/>
      <c r="J909" s="159"/>
      <c r="K909" s="159"/>
      <c r="L909" s="159"/>
      <c r="M909" s="159"/>
      <c r="N909" s="159"/>
      <c r="O909" s="159"/>
      <c r="P909" s="159"/>
      <c r="Q909" s="159"/>
      <c r="R909" s="159"/>
    </row>
    <row r="910" spans="1:18" ht="15.75" customHeight="1" x14ac:dyDescent="0.3">
      <c r="A910" s="159"/>
      <c r="B910" s="159" t="s">
        <v>498</v>
      </c>
      <c r="C910" s="159"/>
      <c r="D910" s="159"/>
      <c r="E910" s="159"/>
      <c r="F910" s="159"/>
      <c r="G910" s="159"/>
      <c r="H910" s="159"/>
      <c r="I910" s="159"/>
      <c r="J910" s="159"/>
      <c r="K910" s="159"/>
      <c r="L910" s="159"/>
      <c r="M910" s="159"/>
      <c r="N910" s="159"/>
      <c r="O910" s="159"/>
      <c r="P910" s="159"/>
      <c r="Q910" s="159"/>
      <c r="R910" s="159"/>
    </row>
    <row r="911" spans="1:18" ht="15.75" customHeight="1" x14ac:dyDescent="0.3">
      <c r="A911" s="159"/>
      <c r="B911" s="159" t="s">
        <v>499</v>
      </c>
      <c r="C911" s="159"/>
      <c r="D911" s="159"/>
      <c r="E911" s="159"/>
      <c r="F911" s="159"/>
      <c r="G911" s="159"/>
      <c r="H911" s="159"/>
      <c r="I911" s="159"/>
      <c r="J911" s="564" t="s">
        <v>500</v>
      </c>
      <c r="K911" s="564"/>
      <c r="L911" s="564"/>
      <c r="M911" s="564"/>
      <c r="N911" s="170" t="s">
        <v>501</v>
      </c>
      <c r="O911" s="159"/>
      <c r="P911" s="159"/>
      <c r="Q911" s="159"/>
      <c r="R911" s="159"/>
    </row>
    <row r="912" spans="1:18" ht="15.75" customHeight="1" x14ac:dyDescent="0.3">
      <c r="A912" s="159"/>
      <c r="B912" s="159" t="s">
        <v>502</v>
      </c>
      <c r="C912" s="159"/>
      <c r="D912" s="159"/>
      <c r="E912" s="159"/>
      <c r="F912" s="159"/>
      <c r="G912" s="159"/>
      <c r="H912" s="159"/>
      <c r="I912" s="159"/>
      <c r="J912" s="159"/>
      <c r="K912" s="159"/>
      <c r="L912" s="159"/>
      <c r="M912" s="159"/>
      <c r="N912" s="159"/>
      <c r="O912" s="159"/>
      <c r="P912" s="159"/>
      <c r="Q912" s="159"/>
      <c r="R912" s="159"/>
    </row>
    <row r="913" spans="1:18" ht="15.75" customHeight="1" x14ac:dyDescent="0.3">
      <c r="A913" s="159"/>
      <c r="B913" s="159" t="s">
        <v>503</v>
      </c>
      <c r="C913" s="159"/>
      <c r="D913" s="159"/>
      <c r="E913" s="159"/>
      <c r="F913" s="159"/>
      <c r="G913" s="159"/>
      <c r="H913" s="159"/>
      <c r="I913" s="159"/>
      <c r="J913" s="159"/>
      <c r="K913" s="159"/>
      <c r="L913" s="159"/>
      <c r="M913" s="159"/>
      <c r="N913" s="159"/>
      <c r="O913" s="159"/>
      <c r="P913" s="159"/>
      <c r="Q913" s="159"/>
      <c r="R913" s="159"/>
    </row>
    <row r="914" spans="1:18" ht="15.75" customHeight="1" x14ac:dyDescent="0.35">
      <c r="A914" s="159"/>
      <c r="B914" s="159" t="s">
        <v>504</v>
      </c>
      <c r="C914" s="159"/>
      <c r="D914" s="159"/>
      <c r="E914" s="159"/>
      <c r="F914" s="159"/>
      <c r="G914" s="159"/>
      <c r="H914" s="159"/>
      <c r="I914" s="159"/>
      <c r="J914" s="159"/>
      <c r="K914" s="159"/>
      <c r="L914" s="159"/>
      <c r="M914" s="159"/>
      <c r="N914" s="159"/>
      <c r="O914" s="159"/>
      <c r="P914" s="159"/>
      <c r="Q914" s="159"/>
      <c r="R914" s="159"/>
    </row>
    <row r="915" spans="1:18" ht="16.2" x14ac:dyDescent="0.35">
      <c r="A915" s="159"/>
      <c r="B915" s="159" t="s">
        <v>505</v>
      </c>
      <c r="C915" s="159"/>
      <c r="D915" s="159"/>
      <c r="E915" s="159"/>
      <c r="F915" s="159"/>
      <c r="G915" s="159"/>
      <c r="H915" s="159"/>
      <c r="I915" s="159"/>
      <c r="J915" s="159"/>
      <c r="K915" s="159"/>
      <c r="L915" s="159"/>
      <c r="M915" s="159"/>
      <c r="N915" s="159"/>
      <c r="O915" s="159"/>
      <c r="P915" s="159"/>
      <c r="Q915" s="159"/>
      <c r="R915" s="159"/>
    </row>
    <row r="916" spans="1:18" x14ac:dyDescent="0.3">
      <c r="A916" s="159"/>
      <c r="B916" s="159"/>
      <c r="C916" s="159"/>
      <c r="D916" s="159"/>
      <c r="E916" s="159"/>
      <c r="F916" s="159"/>
      <c r="G916" s="159"/>
      <c r="H916" s="159"/>
      <c r="I916" s="159"/>
      <c r="J916" s="159"/>
      <c r="K916" s="159"/>
      <c r="L916" s="159"/>
      <c r="M916" s="159"/>
      <c r="N916" s="159"/>
      <c r="O916" s="159"/>
      <c r="P916" s="159"/>
      <c r="Q916" s="159"/>
      <c r="R916" s="159"/>
    </row>
    <row r="917" spans="1:18" ht="16.2" x14ac:dyDescent="0.35">
      <c r="A917" s="159"/>
      <c r="B917" s="159"/>
      <c r="C917" s="167"/>
      <c r="D917" s="167"/>
      <c r="E917" s="167"/>
      <c r="F917" s="167"/>
      <c r="G917" s="167"/>
      <c r="H917" s="161" t="s">
        <v>506</v>
      </c>
      <c r="I917" s="159"/>
      <c r="J917" s="159"/>
      <c r="K917" s="159"/>
      <c r="L917" s="159"/>
      <c r="M917" s="159"/>
      <c r="N917" s="159"/>
      <c r="O917" s="159"/>
      <c r="P917" s="159"/>
      <c r="Q917" s="161" t="str">
        <f>+Q1</f>
        <v>PRINTED:</v>
      </c>
      <c r="R917" s="162">
        <f ca="1">+R1</f>
        <v>44909.46975358796</v>
      </c>
    </row>
    <row r="918" spans="1:18" ht="16.2" x14ac:dyDescent="0.35">
      <c r="A918" s="159"/>
      <c r="B918" s="159"/>
      <c r="C918" s="167"/>
      <c r="D918" s="167"/>
      <c r="E918" s="167"/>
      <c r="F918" s="167"/>
      <c r="G918" s="167"/>
      <c r="H918" s="159" t="s">
        <v>424</v>
      </c>
      <c r="I918" s="159" t="s">
        <v>7</v>
      </c>
      <c r="J918" s="163" t="str">
        <f>+A8</f>
        <v>Revised:  1/19/09</v>
      </c>
      <c r="K918" s="159"/>
      <c r="L918" s="159"/>
      <c r="M918" s="159"/>
      <c r="N918" s="159"/>
      <c r="O918" s="159"/>
      <c r="P918" s="159"/>
      <c r="Q918" s="159"/>
      <c r="R918" s="159"/>
    </row>
    <row r="919" spans="1:18" ht="16.2" x14ac:dyDescent="0.35">
      <c r="A919" s="159"/>
      <c r="B919" s="159"/>
      <c r="C919" s="167"/>
      <c r="D919" s="167"/>
      <c r="E919" s="167"/>
      <c r="F919" s="167"/>
      <c r="G919" s="167"/>
      <c r="H919" s="159" t="s">
        <v>387</v>
      </c>
      <c r="I919" s="159"/>
      <c r="J919" s="159"/>
      <c r="K919" s="159"/>
      <c r="L919" s="159"/>
      <c r="M919" s="159"/>
      <c r="N919" s="159"/>
      <c r="O919" s="159"/>
      <c r="P919" s="159"/>
      <c r="Q919" s="159"/>
      <c r="R919" s="159"/>
    </row>
    <row r="920" spans="1:18" ht="16.2" x14ac:dyDescent="0.35">
      <c r="A920" s="159"/>
      <c r="B920" s="159"/>
      <c r="C920" s="167"/>
      <c r="D920" s="167"/>
      <c r="E920" s="167"/>
      <c r="F920" s="167"/>
      <c r="G920" s="167"/>
      <c r="H920" s="159"/>
      <c r="I920" s="159"/>
      <c r="J920" s="159"/>
      <c r="K920" s="159"/>
      <c r="L920" s="159"/>
      <c r="M920" s="159"/>
      <c r="N920" s="159"/>
      <c r="O920" s="159"/>
      <c r="P920" s="159"/>
      <c r="Q920" s="159"/>
      <c r="R920" s="159"/>
    </row>
    <row r="921" spans="1:18" ht="16.2" x14ac:dyDescent="0.35">
      <c r="A921" s="159"/>
      <c r="B921" s="159"/>
      <c r="C921" s="167"/>
      <c r="D921" s="167"/>
      <c r="E921" s="167"/>
      <c r="F921" s="167"/>
      <c r="G921" s="167"/>
      <c r="H921" s="159" t="s">
        <v>424</v>
      </c>
      <c r="I921" s="159" t="str">
        <f>+A5</f>
        <v>Calendar Year 2008</v>
      </c>
      <c r="J921" s="159"/>
      <c r="K921" s="159"/>
      <c r="L921" s="159"/>
      <c r="M921" s="159"/>
      <c r="N921" s="159"/>
      <c r="O921" s="159"/>
      <c r="P921" s="159"/>
      <c r="Q921" s="159"/>
      <c r="R921" s="159"/>
    </row>
    <row r="922" spans="1:18" x14ac:dyDescent="0.3">
      <c r="A922" s="159"/>
      <c r="B922" s="159"/>
      <c r="C922" s="159"/>
      <c r="D922" s="159"/>
      <c r="E922" s="159"/>
      <c r="F922" s="159"/>
      <c r="G922" s="159"/>
      <c r="H922" s="159"/>
      <c r="I922" s="159"/>
      <c r="J922" s="159"/>
      <c r="K922" s="159"/>
      <c r="L922" s="159"/>
      <c r="M922" s="159"/>
      <c r="N922" s="159"/>
      <c r="O922" s="159"/>
      <c r="P922" s="159"/>
      <c r="Q922" s="159"/>
      <c r="R922" s="159"/>
    </row>
    <row r="923" spans="1:18" x14ac:dyDescent="0.3">
      <c r="A923" s="159"/>
      <c r="B923" s="159"/>
      <c r="C923" s="161" t="s">
        <v>507</v>
      </c>
      <c r="D923" s="159"/>
      <c r="E923" s="159"/>
      <c r="F923" s="159"/>
      <c r="G923" s="161" t="s">
        <v>508</v>
      </c>
      <c r="H923" s="159"/>
      <c r="I923" s="159"/>
      <c r="J923" s="159"/>
      <c r="K923" s="160" t="s">
        <v>509</v>
      </c>
      <c r="L923" s="159"/>
      <c r="M923" s="159"/>
      <c r="N923" s="159"/>
      <c r="O923" s="160" t="s">
        <v>510</v>
      </c>
      <c r="P923" s="159"/>
      <c r="Q923" s="159"/>
      <c r="R923" s="159"/>
    </row>
    <row r="924" spans="1:18" x14ac:dyDescent="0.3">
      <c r="A924" s="159"/>
      <c r="B924" s="159"/>
      <c r="C924" s="159" t="str">
        <f>+A5</f>
        <v>Calendar Year 2008</v>
      </c>
      <c r="D924" s="159"/>
      <c r="E924" s="159"/>
      <c r="F924" s="159" t="s">
        <v>511</v>
      </c>
      <c r="G924" s="159"/>
      <c r="H924" s="159"/>
      <c r="I924" s="159"/>
      <c r="J924" s="159"/>
      <c r="K924" s="159" t="str">
        <f>+A5</f>
        <v>Calendar Year 2008</v>
      </c>
      <c r="L924" s="159"/>
      <c r="M924" s="159"/>
      <c r="N924" s="159"/>
      <c r="O924" s="159" t="str">
        <f>+A5</f>
        <v>Calendar Year 2008</v>
      </c>
      <c r="P924" s="159"/>
      <c r="Q924" s="159"/>
      <c r="R924" s="159"/>
    </row>
    <row r="925" spans="1:18" x14ac:dyDescent="0.3">
      <c r="A925" s="159"/>
      <c r="B925" s="159"/>
      <c r="C925" s="159"/>
      <c r="D925" s="159"/>
      <c r="E925" s="159"/>
      <c r="F925" s="159"/>
      <c r="G925" s="159" t="str">
        <f>+A5</f>
        <v>Calendar Year 2008</v>
      </c>
      <c r="H925" s="159"/>
      <c r="I925" s="159"/>
      <c r="J925" s="159"/>
      <c r="K925" s="159"/>
      <c r="L925" s="159"/>
      <c r="M925" s="159"/>
      <c r="N925" s="159"/>
      <c r="O925" s="159"/>
      <c r="P925" s="159"/>
      <c r="Q925" s="159"/>
      <c r="R925" s="159"/>
    </row>
    <row r="926" spans="1:18" x14ac:dyDescent="0.3">
      <c r="A926" s="159"/>
      <c r="B926" s="159"/>
      <c r="C926" s="164" t="s">
        <v>475</v>
      </c>
      <c r="D926" s="164" t="s">
        <v>512</v>
      </c>
      <c r="E926" s="164" t="s">
        <v>513</v>
      </c>
      <c r="F926" s="159"/>
      <c r="G926" s="164" t="s">
        <v>473</v>
      </c>
      <c r="H926" s="164" t="s">
        <v>512</v>
      </c>
      <c r="I926" s="164" t="s">
        <v>514</v>
      </c>
      <c r="J926" s="159"/>
      <c r="K926" s="164" t="s">
        <v>472</v>
      </c>
      <c r="L926" s="164" t="s">
        <v>512</v>
      </c>
      <c r="M926" s="164" t="s">
        <v>515</v>
      </c>
      <c r="N926" s="159"/>
      <c r="O926" s="164" t="s">
        <v>472</v>
      </c>
      <c r="P926" s="164" t="s">
        <v>512</v>
      </c>
      <c r="Q926" s="164" t="s">
        <v>515</v>
      </c>
      <c r="R926" s="159"/>
    </row>
    <row r="927" spans="1:18" x14ac:dyDescent="0.3">
      <c r="A927" s="159"/>
      <c r="B927" s="159"/>
      <c r="C927" s="164" t="s">
        <v>483</v>
      </c>
      <c r="D927" s="164" t="s">
        <v>442</v>
      </c>
      <c r="E927" s="164" t="s">
        <v>462</v>
      </c>
      <c r="F927" s="159"/>
      <c r="G927" s="164" t="s">
        <v>481</v>
      </c>
      <c r="H927" s="164" t="s">
        <v>442</v>
      </c>
      <c r="I927" s="164" t="s">
        <v>462</v>
      </c>
      <c r="J927" s="159"/>
      <c r="K927" s="164" t="s">
        <v>480</v>
      </c>
      <c r="L927" s="164" t="s">
        <v>442</v>
      </c>
      <c r="M927" s="164" t="s">
        <v>462</v>
      </c>
      <c r="N927" s="159"/>
      <c r="O927" s="164" t="s">
        <v>480</v>
      </c>
      <c r="P927" s="164" t="s">
        <v>442</v>
      </c>
      <c r="Q927" s="164" t="s">
        <v>462</v>
      </c>
      <c r="R927" s="159"/>
    </row>
    <row r="928" spans="1:18" x14ac:dyDescent="0.3">
      <c r="A928" s="159"/>
      <c r="B928" s="159"/>
      <c r="C928" s="164" t="s">
        <v>442</v>
      </c>
      <c r="D928" s="164" t="s">
        <v>439</v>
      </c>
      <c r="E928" s="164" t="s">
        <v>463</v>
      </c>
      <c r="F928" s="159"/>
      <c r="G928" s="164" t="s">
        <v>486</v>
      </c>
      <c r="H928" s="164" t="s">
        <v>439</v>
      </c>
      <c r="I928" s="164" t="s">
        <v>463</v>
      </c>
      <c r="J928" s="159"/>
      <c r="K928" s="164" t="s">
        <v>442</v>
      </c>
      <c r="L928" s="164" t="s">
        <v>439</v>
      </c>
      <c r="M928" s="164" t="s">
        <v>463</v>
      </c>
      <c r="N928" s="159"/>
      <c r="O928" s="164" t="s">
        <v>442</v>
      </c>
      <c r="P928" s="164" t="s">
        <v>439</v>
      </c>
      <c r="Q928" s="164" t="s">
        <v>463</v>
      </c>
      <c r="R928" s="159"/>
    </row>
    <row r="929" spans="1:18" x14ac:dyDescent="0.3">
      <c r="A929" s="159"/>
      <c r="B929" s="159"/>
      <c r="C929" s="164" t="s">
        <v>448</v>
      </c>
      <c r="D929" s="164" t="s">
        <v>516</v>
      </c>
      <c r="E929" s="164" t="s">
        <v>464</v>
      </c>
      <c r="F929" s="159"/>
      <c r="G929" s="164" t="s">
        <v>448</v>
      </c>
      <c r="H929" s="164" t="s">
        <v>516</v>
      </c>
      <c r="I929" s="164" t="s">
        <v>464</v>
      </c>
      <c r="J929" s="159"/>
      <c r="K929" s="164" t="s">
        <v>448</v>
      </c>
      <c r="L929" s="164" t="s">
        <v>516</v>
      </c>
      <c r="M929" s="164" t="s">
        <v>464</v>
      </c>
      <c r="N929" s="159"/>
      <c r="O929" s="164" t="s">
        <v>448</v>
      </c>
      <c r="P929" s="164" t="s">
        <v>516</v>
      </c>
      <c r="Q929" s="164" t="s">
        <v>464</v>
      </c>
      <c r="R929" s="159"/>
    </row>
    <row r="930" spans="1:18" x14ac:dyDescent="0.3">
      <c r="A930" s="159"/>
      <c r="B930" s="159"/>
      <c r="C930" s="159" t="s">
        <v>409</v>
      </c>
      <c r="D930" s="159" t="s">
        <v>409</v>
      </c>
      <c r="E930" s="159" t="s">
        <v>409</v>
      </c>
      <c r="F930" s="159"/>
      <c r="G930" s="164" t="s">
        <v>409</v>
      </c>
      <c r="H930" s="164" t="s">
        <v>409</v>
      </c>
      <c r="I930" s="164" t="s">
        <v>409</v>
      </c>
      <c r="J930" s="159"/>
      <c r="K930" s="159" t="s">
        <v>409</v>
      </c>
      <c r="L930" s="159" t="s">
        <v>409</v>
      </c>
      <c r="M930" s="159" t="s">
        <v>409</v>
      </c>
      <c r="N930" s="159"/>
      <c r="O930" s="159" t="s">
        <v>409</v>
      </c>
      <c r="P930" s="159" t="s">
        <v>409</v>
      </c>
      <c r="Q930" s="159" t="s">
        <v>409</v>
      </c>
      <c r="R930" s="159"/>
    </row>
    <row r="931" spans="1:18" x14ac:dyDescent="0.3">
      <c r="A931" s="164" t="s">
        <v>410</v>
      </c>
      <c r="B931" s="159"/>
      <c r="C931" s="159">
        <f t="shared" ref="C931:C942" si="160">(K894)</f>
        <v>283208.39491999999</v>
      </c>
      <c r="D931" s="172">
        <v>0</v>
      </c>
      <c r="E931" s="168">
        <f t="shared" ref="E931:E942" si="161">(K894*D931/1000)</f>
        <v>0</v>
      </c>
      <c r="F931" s="159"/>
      <c r="G931" s="159">
        <v>0</v>
      </c>
      <c r="H931" s="172">
        <v>0</v>
      </c>
      <c r="I931" s="168">
        <f t="shared" ref="I931:I942" si="162">(G931*H931/1000)</f>
        <v>0</v>
      </c>
      <c r="J931" s="159"/>
      <c r="K931" s="159">
        <v>4000</v>
      </c>
      <c r="L931" s="172">
        <v>0</v>
      </c>
      <c r="M931" s="168">
        <f t="shared" ref="M931:M942" si="163">(K931*L931/1000)</f>
        <v>0</v>
      </c>
      <c r="N931" s="159"/>
      <c r="O931" s="159">
        <v>0</v>
      </c>
      <c r="P931" s="172">
        <v>0</v>
      </c>
      <c r="Q931" s="168">
        <f t="shared" ref="Q931:Q942" si="164">(O931*P931/1000)</f>
        <v>0</v>
      </c>
      <c r="R931" s="159"/>
    </row>
    <row r="932" spans="1:18" x14ac:dyDescent="0.3">
      <c r="A932" s="164" t="s">
        <v>411</v>
      </c>
      <c r="B932" s="159"/>
      <c r="C932" s="159">
        <f t="shared" si="160"/>
        <v>269016.56419999996</v>
      </c>
      <c r="D932" s="172">
        <v>0</v>
      </c>
      <c r="E932" s="168">
        <f t="shared" si="161"/>
        <v>0</v>
      </c>
      <c r="F932" s="159"/>
      <c r="G932" s="159">
        <f t="shared" ref="G932:G942" si="165">O895</f>
        <v>0</v>
      </c>
      <c r="H932" s="172">
        <v>0</v>
      </c>
      <c r="I932" s="168">
        <f t="shared" si="162"/>
        <v>0</v>
      </c>
      <c r="J932" s="159"/>
      <c r="K932" s="159">
        <v>4000</v>
      </c>
      <c r="L932" s="172">
        <v>0</v>
      </c>
      <c r="M932" s="168">
        <f t="shared" si="163"/>
        <v>0</v>
      </c>
      <c r="N932" s="159"/>
      <c r="O932" s="159">
        <v>0</v>
      </c>
      <c r="P932" s="172">
        <v>0</v>
      </c>
      <c r="Q932" s="168">
        <f t="shared" si="164"/>
        <v>0</v>
      </c>
      <c r="R932" s="159"/>
    </row>
    <row r="933" spans="1:18" x14ac:dyDescent="0.3">
      <c r="A933" s="164" t="s">
        <v>412</v>
      </c>
      <c r="B933" s="159"/>
      <c r="C933" s="159">
        <f t="shared" si="160"/>
        <v>288703.46191999997</v>
      </c>
      <c r="D933" s="172">
        <v>0</v>
      </c>
      <c r="E933" s="168">
        <f t="shared" si="161"/>
        <v>0</v>
      </c>
      <c r="F933" s="159">
        <f>SUM(E931:E933)</f>
        <v>0</v>
      </c>
      <c r="G933" s="159">
        <f t="shared" si="165"/>
        <v>0</v>
      </c>
      <c r="H933" s="172">
        <v>0</v>
      </c>
      <c r="I933" s="168">
        <f t="shared" si="162"/>
        <v>0</v>
      </c>
      <c r="J933" s="159">
        <f>SUM(I931:I933)</f>
        <v>0</v>
      </c>
      <c r="K933" s="159">
        <v>4000</v>
      </c>
      <c r="L933" s="172">
        <v>0</v>
      </c>
      <c r="M933" s="168">
        <f t="shared" si="163"/>
        <v>0</v>
      </c>
      <c r="N933" s="159">
        <f>SUM(M931:M933)</f>
        <v>0</v>
      </c>
      <c r="O933" s="159">
        <v>0</v>
      </c>
      <c r="P933" s="172">
        <v>0</v>
      </c>
      <c r="Q933" s="168">
        <f t="shared" si="164"/>
        <v>0</v>
      </c>
      <c r="R933" s="159">
        <f>SUM(Q931:Q933)</f>
        <v>0</v>
      </c>
    </row>
    <row r="934" spans="1:18" x14ac:dyDescent="0.3">
      <c r="A934" s="164" t="s">
        <v>413</v>
      </c>
      <c r="B934" s="159"/>
      <c r="C934" s="159">
        <f t="shared" si="160"/>
        <v>283549.56248000002</v>
      </c>
      <c r="D934" s="172">
        <v>0</v>
      </c>
      <c r="E934" s="168">
        <f t="shared" si="161"/>
        <v>0</v>
      </c>
      <c r="F934" s="159"/>
      <c r="G934" s="159">
        <f t="shared" si="165"/>
        <v>0</v>
      </c>
      <c r="H934" s="172">
        <v>0</v>
      </c>
      <c r="I934" s="168">
        <f t="shared" si="162"/>
        <v>0</v>
      </c>
      <c r="J934" s="159"/>
      <c r="K934" s="159">
        <v>9000</v>
      </c>
      <c r="L934" s="172">
        <v>0</v>
      </c>
      <c r="M934" s="168">
        <f t="shared" si="163"/>
        <v>0</v>
      </c>
      <c r="N934" s="159"/>
      <c r="O934" s="159">
        <v>0</v>
      </c>
      <c r="P934" s="172">
        <v>0</v>
      </c>
      <c r="Q934" s="168">
        <f t="shared" si="164"/>
        <v>0</v>
      </c>
      <c r="R934" s="159"/>
    </row>
    <row r="935" spans="1:18" x14ac:dyDescent="0.3">
      <c r="A935" s="164" t="s">
        <v>414</v>
      </c>
      <c r="B935" s="159"/>
      <c r="C935" s="159">
        <f t="shared" si="160"/>
        <v>293440.99088</v>
      </c>
      <c r="D935" s="172">
        <v>0</v>
      </c>
      <c r="E935" s="168">
        <f t="shared" si="161"/>
        <v>0</v>
      </c>
      <c r="F935" s="159"/>
      <c r="G935" s="159">
        <f t="shared" si="165"/>
        <v>0</v>
      </c>
      <c r="H935" s="172">
        <v>0</v>
      </c>
      <c r="I935" s="168">
        <f t="shared" si="162"/>
        <v>0</v>
      </c>
      <c r="J935" s="159"/>
      <c r="K935" s="159">
        <v>9000</v>
      </c>
      <c r="L935" s="172">
        <v>0</v>
      </c>
      <c r="M935" s="168">
        <f t="shared" si="163"/>
        <v>0</v>
      </c>
      <c r="N935" s="159"/>
      <c r="O935" s="159">
        <v>0</v>
      </c>
      <c r="P935" s="172">
        <v>0</v>
      </c>
      <c r="Q935" s="168">
        <f t="shared" si="164"/>
        <v>0</v>
      </c>
      <c r="R935" s="159"/>
    </row>
    <row r="936" spans="1:18" x14ac:dyDescent="0.3">
      <c r="A936" s="164" t="s">
        <v>415</v>
      </c>
      <c r="B936" s="159"/>
      <c r="C936" s="159">
        <f t="shared" si="160"/>
        <v>210904.44803999999</v>
      </c>
      <c r="D936" s="172">
        <v>0</v>
      </c>
      <c r="E936" s="168">
        <f t="shared" si="161"/>
        <v>0</v>
      </c>
      <c r="F936" s="159">
        <f>SUM(E934:E936)</f>
        <v>0</v>
      </c>
      <c r="G936" s="159">
        <f t="shared" si="165"/>
        <v>0</v>
      </c>
      <c r="H936" s="172">
        <v>0</v>
      </c>
      <c r="I936" s="168">
        <f t="shared" si="162"/>
        <v>0</v>
      </c>
      <c r="J936" s="159">
        <f>SUM(I934:I936)</f>
        <v>0</v>
      </c>
      <c r="K936" s="159">
        <v>18000</v>
      </c>
      <c r="L936" s="172">
        <v>0</v>
      </c>
      <c r="M936" s="168">
        <f t="shared" si="163"/>
        <v>0</v>
      </c>
      <c r="N936" s="159">
        <f>SUM(M934:M936)</f>
        <v>0</v>
      </c>
      <c r="O936" s="159">
        <v>0</v>
      </c>
      <c r="P936" s="172">
        <v>0</v>
      </c>
      <c r="Q936" s="168">
        <f t="shared" si="164"/>
        <v>0</v>
      </c>
      <c r="R936" s="159">
        <f>SUM(Q934:Q936)</f>
        <v>0</v>
      </c>
    </row>
    <row r="937" spans="1:18" x14ac:dyDescent="0.3">
      <c r="A937" s="164" t="s">
        <v>416</v>
      </c>
      <c r="B937" s="159"/>
      <c r="C937" s="159">
        <f t="shared" si="160"/>
        <v>133476.28631999996</v>
      </c>
      <c r="D937" s="172">
        <v>0</v>
      </c>
      <c r="E937" s="168">
        <f t="shared" si="161"/>
        <v>0</v>
      </c>
      <c r="F937" s="159"/>
      <c r="G937" s="159">
        <f t="shared" si="165"/>
        <v>0</v>
      </c>
      <c r="H937" s="172">
        <v>0</v>
      </c>
      <c r="I937" s="168">
        <f t="shared" si="162"/>
        <v>0</v>
      </c>
      <c r="J937" s="159"/>
      <c r="K937" s="159">
        <v>21000</v>
      </c>
      <c r="L937" s="172">
        <v>0</v>
      </c>
      <c r="M937" s="168">
        <f t="shared" si="163"/>
        <v>0</v>
      </c>
      <c r="N937" s="159"/>
      <c r="O937" s="159">
        <v>0</v>
      </c>
      <c r="P937" s="172">
        <v>0</v>
      </c>
      <c r="Q937" s="168">
        <f t="shared" si="164"/>
        <v>0</v>
      </c>
      <c r="R937" s="159"/>
    </row>
    <row r="938" spans="1:18" x14ac:dyDescent="0.3">
      <c r="A938" s="164" t="s">
        <v>417</v>
      </c>
      <c r="B938" s="159"/>
      <c r="C938" s="159">
        <f t="shared" si="160"/>
        <v>101414.19199999998</v>
      </c>
      <c r="D938" s="172">
        <v>0</v>
      </c>
      <c r="E938" s="168">
        <f t="shared" si="161"/>
        <v>0</v>
      </c>
      <c r="F938" s="159"/>
      <c r="G938" s="159">
        <f t="shared" si="165"/>
        <v>0</v>
      </c>
      <c r="H938" s="172">
        <v>0</v>
      </c>
      <c r="I938" s="168">
        <f t="shared" si="162"/>
        <v>0</v>
      </c>
      <c r="J938" s="159"/>
      <c r="K938" s="159">
        <v>35000</v>
      </c>
      <c r="L938" s="172">
        <v>0</v>
      </c>
      <c r="M938" s="168">
        <f t="shared" si="163"/>
        <v>0</v>
      </c>
      <c r="N938" s="159"/>
      <c r="O938" s="159">
        <v>0</v>
      </c>
      <c r="P938" s="172">
        <v>0</v>
      </c>
      <c r="Q938" s="168">
        <f t="shared" si="164"/>
        <v>0</v>
      </c>
      <c r="R938" s="159"/>
    </row>
    <row r="939" spans="1:18" x14ac:dyDescent="0.3">
      <c r="A939" s="164" t="s">
        <v>418</v>
      </c>
      <c r="B939" s="159"/>
      <c r="C939" s="159">
        <f t="shared" si="160"/>
        <v>144743.56623999996</v>
      </c>
      <c r="D939" s="172">
        <v>0</v>
      </c>
      <c r="E939" s="168">
        <f t="shared" si="161"/>
        <v>0</v>
      </c>
      <c r="F939" s="159">
        <f>SUM(E937:E939)</f>
        <v>0</v>
      </c>
      <c r="G939" s="159">
        <f t="shared" si="165"/>
        <v>0</v>
      </c>
      <c r="H939" s="172">
        <v>0</v>
      </c>
      <c r="I939" s="168">
        <f t="shared" si="162"/>
        <v>0</v>
      </c>
      <c r="J939" s="159">
        <f>SUM(I937:I939)</f>
        <v>0</v>
      </c>
      <c r="K939" s="159">
        <v>35000</v>
      </c>
      <c r="L939" s="172">
        <v>0</v>
      </c>
      <c r="M939" s="168">
        <f t="shared" si="163"/>
        <v>0</v>
      </c>
      <c r="N939" s="159">
        <f>SUM(M937:M939)</f>
        <v>0</v>
      </c>
      <c r="O939" s="159">
        <v>0</v>
      </c>
      <c r="P939" s="172">
        <v>0</v>
      </c>
      <c r="Q939" s="168">
        <f t="shared" si="164"/>
        <v>0</v>
      </c>
      <c r="R939" s="159">
        <f>SUM(Q937:Q939)</f>
        <v>0</v>
      </c>
    </row>
    <row r="940" spans="1:18" x14ac:dyDescent="0.3">
      <c r="A940" s="164" t="s">
        <v>419</v>
      </c>
      <c r="B940" s="159"/>
      <c r="C940" s="159">
        <f t="shared" si="160"/>
        <v>162000</v>
      </c>
      <c r="D940" s="172">
        <v>0</v>
      </c>
      <c r="E940" s="168">
        <f t="shared" si="161"/>
        <v>0</v>
      </c>
      <c r="F940" s="159"/>
      <c r="G940" s="159">
        <f t="shared" si="165"/>
        <v>71876.170039999968</v>
      </c>
      <c r="H940" s="172">
        <v>0</v>
      </c>
      <c r="I940" s="168">
        <f t="shared" si="162"/>
        <v>0</v>
      </c>
      <c r="J940" s="159"/>
      <c r="K940" s="159">
        <v>4000</v>
      </c>
      <c r="L940" s="172">
        <v>0</v>
      </c>
      <c r="M940" s="168">
        <f t="shared" si="163"/>
        <v>0</v>
      </c>
      <c r="N940" s="159"/>
      <c r="O940" s="159">
        <v>0</v>
      </c>
      <c r="P940" s="172">
        <v>0</v>
      </c>
      <c r="Q940" s="168">
        <f t="shared" si="164"/>
        <v>0</v>
      </c>
      <c r="R940" s="159"/>
    </row>
    <row r="941" spans="1:18" x14ac:dyDescent="0.3">
      <c r="A941" s="164" t="s">
        <v>420</v>
      </c>
      <c r="B941" s="159"/>
      <c r="C941" s="159">
        <f t="shared" si="160"/>
        <v>-4000</v>
      </c>
      <c r="D941" s="172">
        <v>0</v>
      </c>
      <c r="E941" s="168">
        <f t="shared" si="161"/>
        <v>0</v>
      </c>
      <c r="F941" s="159"/>
      <c r="G941" s="159">
        <f t="shared" si="165"/>
        <v>289294.30475999997</v>
      </c>
      <c r="H941" s="172">
        <v>0</v>
      </c>
      <c r="I941" s="168">
        <f t="shared" si="162"/>
        <v>0</v>
      </c>
      <c r="J941" s="159"/>
      <c r="K941" s="159">
        <v>4000</v>
      </c>
      <c r="L941" s="172">
        <v>0</v>
      </c>
      <c r="M941" s="168">
        <f t="shared" si="163"/>
        <v>0</v>
      </c>
      <c r="N941" s="159"/>
      <c r="O941" s="159">
        <v>0</v>
      </c>
      <c r="P941" s="172">
        <v>0</v>
      </c>
      <c r="Q941" s="168">
        <f t="shared" si="164"/>
        <v>0</v>
      </c>
      <c r="R941" s="159"/>
    </row>
    <row r="942" spans="1:18" x14ac:dyDescent="0.3">
      <c r="A942" s="164" t="s">
        <v>421</v>
      </c>
      <c r="B942" s="159"/>
      <c r="C942" s="159">
        <f t="shared" si="160"/>
        <v>-6739.6820000000007</v>
      </c>
      <c r="D942" s="172">
        <v>0</v>
      </c>
      <c r="E942" s="168">
        <f t="shared" si="161"/>
        <v>0</v>
      </c>
      <c r="F942" s="159">
        <f>SUM(E940:E942)</f>
        <v>0</v>
      </c>
      <c r="G942" s="159">
        <f t="shared" si="165"/>
        <v>124262.62271999998</v>
      </c>
      <c r="H942" s="172">
        <v>0</v>
      </c>
      <c r="I942" s="168">
        <f t="shared" si="162"/>
        <v>0</v>
      </c>
      <c r="J942" s="159">
        <f>SUM(I940:I942)</f>
        <v>0</v>
      </c>
      <c r="K942" s="159">
        <v>4000</v>
      </c>
      <c r="L942" s="172">
        <v>0</v>
      </c>
      <c r="M942" s="168">
        <f t="shared" si="163"/>
        <v>0</v>
      </c>
      <c r="N942" s="159">
        <f>SUM(M940:M942)</f>
        <v>0</v>
      </c>
      <c r="O942" s="159">
        <v>0</v>
      </c>
      <c r="P942" s="172">
        <v>0</v>
      </c>
      <c r="Q942" s="168">
        <f t="shared" si="164"/>
        <v>0</v>
      </c>
      <c r="R942" s="159">
        <f>SUM(Q940:Q942)</f>
        <v>0</v>
      </c>
    </row>
    <row r="943" spans="1:18" x14ac:dyDescent="0.3">
      <c r="A943" s="159"/>
      <c r="B943" s="159"/>
      <c r="C943" s="159"/>
      <c r="D943" s="159"/>
      <c r="E943" s="159"/>
      <c r="F943" s="159"/>
      <c r="G943" s="159"/>
      <c r="H943" s="159"/>
      <c r="I943" s="159"/>
      <c r="J943" s="159"/>
      <c r="K943" s="159"/>
      <c r="L943" s="159"/>
      <c r="M943" s="159"/>
      <c r="N943" s="159"/>
      <c r="O943" s="159"/>
      <c r="P943" s="159"/>
      <c r="Q943" s="159"/>
      <c r="R943" s="159"/>
    </row>
    <row r="944" spans="1:18" x14ac:dyDescent="0.3">
      <c r="A944" s="159"/>
      <c r="B944" s="159"/>
      <c r="C944" s="159"/>
      <c r="D944" s="159"/>
      <c r="E944" s="159"/>
      <c r="F944" s="159"/>
      <c r="G944" s="159"/>
      <c r="H944" s="159"/>
      <c r="I944" s="159"/>
      <c r="J944" s="159"/>
      <c r="K944" s="159"/>
      <c r="L944" s="159"/>
      <c r="M944" s="159"/>
      <c r="N944" s="159"/>
      <c r="O944" s="159"/>
      <c r="P944" s="159"/>
      <c r="Q944" s="159"/>
      <c r="R944" s="159"/>
    </row>
    <row r="945" spans="1:18" x14ac:dyDescent="0.3">
      <c r="A945" s="159" t="s">
        <v>422</v>
      </c>
      <c r="B945" s="159"/>
      <c r="C945" s="159">
        <f>SUM(C931:C942)</f>
        <v>2159717.7849999997</v>
      </c>
      <c r="D945" s="159"/>
      <c r="E945" s="168">
        <f>SUM(E931:E942)</f>
        <v>0</v>
      </c>
      <c r="F945" s="159"/>
      <c r="G945" s="159">
        <f>SUM(G931:G942)</f>
        <v>485433.09751999995</v>
      </c>
      <c r="H945" s="159" t="s">
        <v>424</v>
      </c>
      <c r="I945" s="168">
        <f>SUM(I931:I942)</f>
        <v>0</v>
      </c>
      <c r="J945" s="159"/>
      <c r="K945" s="159">
        <f>SUM(K931:K942)</f>
        <v>151000</v>
      </c>
      <c r="L945" s="159" t="s">
        <v>424</v>
      </c>
      <c r="M945" s="168">
        <f>SUM(M931:M942)</f>
        <v>0</v>
      </c>
      <c r="N945" s="159"/>
      <c r="O945" s="159">
        <f>(SUM(O931:O942))</f>
        <v>0</v>
      </c>
      <c r="P945" s="159" t="s">
        <v>424</v>
      </c>
      <c r="Q945" s="168">
        <f>SUM(Q931:Q942)</f>
        <v>0</v>
      </c>
      <c r="R945" s="159"/>
    </row>
  </sheetData>
  <mergeCells count="17">
    <mergeCell ref="A727:R727"/>
    <mergeCell ref="A728:R728"/>
    <mergeCell ref="A729:R729"/>
    <mergeCell ref="A731:R731"/>
    <mergeCell ref="J911:M911"/>
    <mergeCell ref="A726:R726"/>
    <mergeCell ref="A2:R2"/>
    <mergeCell ref="A3:R3"/>
    <mergeCell ref="A4:R4"/>
    <mergeCell ref="A5:R5"/>
    <mergeCell ref="A7:R7"/>
    <mergeCell ref="A8:R8"/>
    <mergeCell ref="A685:R685"/>
    <mergeCell ref="A686:R686"/>
    <mergeCell ref="A687:R687"/>
    <mergeCell ref="A688:R688"/>
    <mergeCell ref="A690:R690"/>
  </mergeCells>
  <printOptions horizontalCentered="1" verticalCentered="1"/>
  <pageMargins left="0.01" right="0.01" top="0.01" bottom="0.01" header="0" footer="0"/>
  <pageSetup paperSize="17" scale="90" orientation="landscape" r:id="rId1"/>
  <headerFooter alignWithMargins="0"/>
  <rowBreaks count="7" manualBreakCount="7">
    <brk id="682" max="17" man="1"/>
    <brk id="723" max="17" man="1"/>
    <brk id="745" max="17" man="1"/>
    <brk id="774" max="16383" man="1"/>
    <brk id="798" max="16383" man="1"/>
    <brk id="824" max="16383" man="1"/>
    <brk id="852"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2021 T0</vt:lpstr>
      <vt:lpstr>2020 T0</vt:lpstr>
      <vt:lpstr>2019</vt:lpstr>
      <vt:lpstr>2018</vt:lpstr>
      <vt:lpstr>2017</vt:lpstr>
      <vt:lpstr>2016</vt:lpstr>
      <vt:lpstr>2015</vt:lpstr>
      <vt:lpstr>2014</vt:lpstr>
      <vt:lpstr>2013</vt:lpstr>
      <vt:lpstr>2012</vt:lpstr>
      <vt:lpstr>2011</vt:lpstr>
      <vt:lpstr>2010</vt:lpstr>
      <vt:lpstr>2009</vt:lpstr>
      <vt:lpstr>2008</vt:lpstr>
      <vt:lpstr>'2008'!Print_Area</vt:lpstr>
      <vt:lpstr>'2009'!Print_Area</vt:lpstr>
      <vt:lpstr>'2010'!Print_Area</vt:lpstr>
      <vt:lpstr>'2011'!Print_Area</vt:lpstr>
      <vt:lpstr>'2012'!Print_Area</vt:lpstr>
      <vt:lpstr>'2013'!Print_Area</vt:lpstr>
      <vt:lpstr>'2014'!Print_Area</vt:lpstr>
      <vt:lpstr>'2015'!Print_Area</vt:lpstr>
      <vt:lpstr>'2016'!Print_Area</vt:lpstr>
      <vt:lpstr>'2017'!Print_Area</vt:lpstr>
      <vt:lpstr>'2018'!Print_Area</vt:lpstr>
      <vt:lpstr>'2019'!Print_Area</vt:lpstr>
      <vt:lpstr>'2020 T0'!Print_Area</vt:lpstr>
      <vt:lpstr>'2021 T0'!Print_Area</vt:lpstr>
    </vt:vector>
  </TitlesOfParts>
  <Company>Central Arizona Project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Jaxon P. White</dc:creator>
  <cp:lastModifiedBy>Gorelick, David</cp:lastModifiedBy>
  <dcterms:created xsi:type="dcterms:W3CDTF">2022-03-10T15:37:02Z</dcterms:created>
  <dcterms:modified xsi:type="dcterms:W3CDTF">2022-12-14T20:55:45Z</dcterms:modified>
</cp:coreProperties>
</file>